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oanna\Downloads\"/>
    </mc:Choice>
  </mc:AlternateContent>
  <xr:revisionPtr revIDLastSave="0" documentId="13_ncr:1_{67AAB778-EEE3-4742-8555-DE7FF29B9935}" xr6:coauthVersionLast="46" xr6:coauthVersionMax="46" xr10:uidLastSave="{00000000-0000-0000-0000-000000000000}"/>
  <bookViews>
    <workbookView xWindow="0" yWindow="1380" windowWidth="25275" windowHeight="14220" activeTab="4" xr2:uid="{2BA8E01E-F04D-9543-B4AF-8EAF43C47035}"/>
  </bookViews>
  <sheets>
    <sheet name="Instructions" sheetId="7" r:id="rId1"/>
    <sheet name="REF" sheetId="9" state="hidden" r:id="rId2"/>
    <sheet name="raw" sheetId="1" r:id="rId3"/>
    <sheet name="RR" sheetId="2" r:id="rId4"/>
    <sheet name="Product" sheetId="3" r:id="rId5"/>
    <sheet name="Staging" sheetId="10" state="hidden" r:id="rId6"/>
  </sheets>
  <functionGroups builtInGroupCount="19"/>
  <definedNames>
    <definedName name="_xlnm._FilterDatabase" localSheetId="2" hidden="1">raw!$A$1:$H$703</definedName>
    <definedName name="_xlnm._FilterDatabase" localSheetId="1" hidden="1">REF!$A$1:$A$7653</definedName>
    <definedName name="_xlnm._FilterDatabase" localSheetId="3" hidden="1">RR!$A$1:$S$7815</definedName>
    <definedName name="DATE">INDEX(Staging!XEY:XEY,MATCH(Product!$L$6,Staging!XEY:XEY,0)):INDEX(Staging!XEY:XEY,MATCH(Product!$L$7,Staging!XEY:XEY,0))</definedName>
    <definedName name="LOWER">INDEX(Staging!XFB:XFB,MATCH(Product!$L$6,Staging!XEY:XEY,0)):INDEX(Staging!XFB:XFB,MATCH(Product!$L$7,Staging!XEY:XEY,0))</definedName>
    <definedName name="SENT">INDEX(Staging!G:G,MATCH(Product!$L$6,Staging!XEY:XEY,0)):INDEX(Staging!G:G,MATCH(Product!$L$7,Staging!XEY:XEY,0))</definedName>
    <definedName name="SPOT">INDEX(Staging!C:C,MATCH(Product!$L$6,Staging!XEY:XEY,0)):INDEX(Staging!C:C,MATCH(Product!$L$7,Staging!XEY:XEY,0))</definedName>
    <definedName name="STDEV_S">INDEX(Staging!A:A,MATCH(Product!$L$6,Staging!XEY:XEY,0)):INDEX(Staging!A:A,MATCH(Product!$L$7,Staging!XEY:XEY,0))</definedName>
    <definedName name="UPPER">INDEX(Staging!XFC:XFC,MATCH(Product!$L$6,Staging!XEY:XEY,0)):INDEX(Staging!XFC:XFC,MATCH(Product!$L$7,Staging!XEY:XEY,0))</definedName>
    <definedName name="WIDTH">INDEX(Staging!B:B,MATCH(Product!$L$6,Staging!XEY:XEY,0)):INDEX(Staging!B:B,MATCH(Product!$L$7,Staging!XEY:XEY,0))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15" i="2" l="1"/>
  <c r="F7814" i="2"/>
  <c r="F7813" i="2"/>
  <c r="F7812" i="2"/>
  <c r="F7811" i="2"/>
  <c r="F7810" i="2"/>
  <c r="F7809" i="2"/>
  <c r="F7808" i="2"/>
  <c r="F7807" i="2"/>
  <c r="F7806" i="2"/>
  <c r="F7805" i="2"/>
  <c r="F7804" i="2"/>
  <c r="F7803" i="2"/>
  <c r="F7802" i="2"/>
  <c r="F7801" i="2"/>
  <c r="F7800" i="2"/>
  <c r="F7799" i="2"/>
  <c r="F7798" i="2"/>
  <c r="F7797" i="2"/>
  <c r="F7796" i="2"/>
  <c r="F7795" i="2"/>
  <c r="F7794" i="2"/>
  <c r="F7793" i="2"/>
  <c r="F7792" i="2"/>
  <c r="F7791" i="2"/>
  <c r="F7790" i="2"/>
  <c r="F7789" i="2"/>
  <c r="F7788" i="2"/>
  <c r="F7787" i="2"/>
  <c r="F7786" i="2"/>
  <c r="F7785" i="2"/>
  <c r="F7784" i="2"/>
  <c r="F7783" i="2"/>
  <c r="R7815" i="2"/>
  <c r="S7815" i="2" s="1"/>
  <c r="O7815" i="2"/>
  <c r="K7815" i="2"/>
  <c r="J7815" i="2"/>
  <c r="I7815" i="2"/>
  <c r="A7815" i="2" s="1"/>
  <c r="H7815" i="2"/>
  <c r="R7814" i="2"/>
  <c r="S7814" i="2" s="1"/>
  <c r="O7814" i="2"/>
  <c r="K7814" i="2"/>
  <c r="J7814" i="2"/>
  <c r="I7814" i="2"/>
  <c r="A7814" i="2" s="1"/>
  <c r="H7814" i="2"/>
  <c r="R7813" i="2"/>
  <c r="S7813" i="2" s="1"/>
  <c r="O7813" i="2"/>
  <c r="K7813" i="2"/>
  <c r="J7813" i="2"/>
  <c r="I7813" i="2"/>
  <c r="A7813" i="2" s="1"/>
  <c r="H7813" i="2"/>
  <c r="R7812" i="2"/>
  <c r="S7812" i="2" s="1"/>
  <c r="O7812" i="2"/>
  <c r="K7812" i="2"/>
  <c r="J7812" i="2"/>
  <c r="I7812" i="2"/>
  <c r="A7812" i="2" s="1"/>
  <c r="H7812" i="2"/>
  <c r="R7811" i="2"/>
  <c r="S7811" i="2" s="1"/>
  <c r="O7811" i="2"/>
  <c r="K7811" i="2"/>
  <c r="J7811" i="2"/>
  <c r="I7811" i="2"/>
  <c r="A7811" i="2" s="1"/>
  <c r="H7811" i="2"/>
  <c r="R7810" i="2"/>
  <c r="S7810" i="2" s="1"/>
  <c r="O7810" i="2"/>
  <c r="K7810" i="2"/>
  <c r="J7810" i="2"/>
  <c r="I7810" i="2"/>
  <c r="A7810" i="2" s="1"/>
  <c r="H7810" i="2"/>
  <c r="R7809" i="2"/>
  <c r="S7809" i="2" s="1"/>
  <c r="O7809" i="2"/>
  <c r="K7809" i="2"/>
  <c r="J7809" i="2"/>
  <c r="I7809" i="2"/>
  <c r="A7809" i="2" s="1"/>
  <c r="H7809" i="2"/>
  <c r="R7808" i="2"/>
  <c r="S7808" i="2" s="1"/>
  <c r="O7808" i="2"/>
  <c r="K7808" i="2"/>
  <c r="J7808" i="2"/>
  <c r="I7808" i="2"/>
  <c r="A7808" i="2" s="1"/>
  <c r="H7808" i="2"/>
  <c r="R7807" i="2"/>
  <c r="S7807" i="2" s="1"/>
  <c r="O7807" i="2"/>
  <c r="K7807" i="2"/>
  <c r="J7807" i="2"/>
  <c r="I7807" i="2"/>
  <c r="A7807" i="2" s="1"/>
  <c r="H7807" i="2"/>
  <c r="R7806" i="2"/>
  <c r="S7806" i="2" s="1"/>
  <c r="O7806" i="2"/>
  <c r="K7806" i="2"/>
  <c r="J7806" i="2"/>
  <c r="I7806" i="2"/>
  <c r="A7806" i="2" s="1"/>
  <c r="H7806" i="2"/>
  <c r="R7805" i="2"/>
  <c r="S7805" i="2" s="1"/>
  <c r="O7805" i="2"/>
  <c r="K7805" i="2"/>
  <c r="J7805" i="2"/>
  <c r="I7805" i="2"/>
  <c r="A7805" i="2" s="1"/>
  <c r="H7805" i="2"/>
  <c r="R7804" i="2"/>
  <c r="S7804" i="2" s="1"/>
  <c r="O7804" i="2"/>
  <c r="K7804" i="2"/>
  <c r="J7804" i="2"/>
  <c r="I7804" i="2"/>
  <c r="A7804" i="2" s="1"/>
  <c r="H7804" i="2"/>
  <c r="R7803" i="2"/>
  <c r="S7803" i="2" s="1"/>
  <c r="O7803" i="2"/>
  <c r="K7803" i="2"/>
  <c r="J7803" i="2"/>
  <c r="I7803" i="2"/>
  <c r="A7803" i="2" s="1"/>
  <c r="H7803" i="2"/>
  <c r="R7802" i="2"/>
  <c r="S7802" i="2" s="1"/>
  <c r="O7802" i="2"/>
  <c r="K7802" i="2"/>
  <c r="J7802" i="2"/>
  <c r="I7802" i="2"/>
  <c r="A7802" i="2" s="1"/>
  <c r="H7802" i="2"/>
  <c r="R7801" i="2"/>
  <c r="S7801" i="2" s="1"/>
  <c r="O7801" i="2"/>
  <c r="K7801" i="2"/>
  <c r="J7801" i="2"/>
  <c r="I7801" i="2"/>
  <c r="A7801" i="2" s="1"/>
  <c r="H7801" i="2"/>
  <c r="R7800" i="2"/>
  <c r="S7800" i="2" s="1"/>
  <c r="O7800" i="2"/>
  <c r="K7800" i="2"/>
  <c r="J7800" i="2"/>
  <c r="I7800" i="2"/>
  <c r="A7800" i="2" s="1"/>
  <c r="H7800" i="2"/>
  <c r="R7799" i="2"/>
  <c r="S7799" i="2" s="1"/>
  <c r="O7799" i="2"/>
  <c r="K7799" i="2"/>
  <c r="J7799" i="2"/>
  <c r="I7799" i="2"/>
  <c r="A7799" i="2" s="1"/>
  <c r="H7799" i="2"/>
  <c r="R7798" i="2"/>
  <c r="S7798" i="2" s="1"/>
  <c r="O7798" i="2"/>
  <c r="K7798" i="2"/>
  <c r="J7798" i="2"/>
  <c r="I7798" i="2"/>
  <c r="A7798" i="2" s="1"/>
  <c r="H7798" i="2"/>
  <c r="R7797" i="2"/>
  <c r="S7797" i="2" s="1"/>
  <c r="O7797" i="2"/>
  <c r="K7797" i="2"/>
  <c r="J7797" i="2"/>
  <c r="I7797" i="2"/>
  <c r="A7797" i="2" s="1"/>
  <c r="H7797" i="2"/>
  <c r="R7796" i="2"/>
  <c r="S7796" i="2" s="1"/>
  <c r="O7796" i="2"/>
  <c r="K7796" i="2"/>
  <c r="J7796" i="2"/>
  <c r="I7796" i="2"/>
  <c r="A7796" i="2" s="1"/>
  <c r="H7796" i="2"/>
  <c r="R7795" i="2"/>
  <c r="S7795" i="2" s="1"/>
  <c r="O7795" i="2"/>
  <c r="K7795" i="2"/>
  <c r="J7795" i="2"/>
  <c r="I7795" i="2"/>
  <c r="A7795" i="2" s="1"/>
  <c r="H7795" i="2"/>
  <c r="R7794" i="2"/>
  <c r="S7794" i="2" s="1"/>
  <c r="O7794" i="2"/>
  <c r="K7794" i="2"/>
  <c r="J7794" i="2"/>
  <c r="I7794" i="2"/>
  <c r="A7794" i="2" s="1"/>
  <c r="H7794" i="2"/>
  <c r="R7793" i="2"/>
  <c r="S7793" i="2" s="1"/>
  <c r="O7793" i="2"/>
  <c r="K7793" i="2"/>
  <c r="J7793" i="2"/>
  <c r="I7793" i="2"/>
  <c r="A7793" i="2" s="1"/>
  <c r="H7793" i="2"/>
  <c r="R7792" i="2"/>
  <c r="S7792" i="2" s="1"/>
  <c r="O7792" i="2"/>
  <c r="K7792" i="2"/>
  <c r="J7792" i="2"/>
  <c r="I7792" i="2"/>
  <c r="A7792" i="2" s="1"/>
  <c r="H7792" i="2"/>
  <c r="R7791" i="2"/>
  <c r="S7791" i="2" s="1"/>
  <c r="O7791" i="2"/>
  <c r="K7791" i="2"/>
  <c r="J7791" i="2"/>
  <c r="I7791" i="2"/>
  <c r="A7791" i="2" s="1"/>
  <c r="H7791" i="2"/>
  <c r="R7790" i="2"/>
  <c r="S7790" i="2" s="1"/>
  <c r="O7790" i="2"/>
  <c r="K7790" i="2"/>
  <c r="J7790" i="2"/>
  <c r="I7790" i="2"/>
  <c r="A7790" i="2" s="1"/>
  <c r="H7790" i="2"/>
  <c r="R7789" i="2"/>
  <c r="S7789" i="2" s="1"/>
  <c r="O7789" i="2"/>
  <c r="K7789" i="2"/>
  <c r="J7789" i="2"/>
  <c r="I7789" i="2"/>
  <c r="A7789" i="2" s="1"/>
  <c r="H7789" i="2"/>
  <c r="R7788" i="2"/>
  <c r="S7788" i="2" s="1"/>
  <c r="O7788" i="2"/>
  <c r="K7788" i="2"/>
  <c r="J7788" i="2"/>
  <c r="I7788" i="2"/>
  <c r="A7788" i="2" s="1"/>
  <c r="H7788" i="2"/>
  <c r="R7787" i="2"/>
  <c r="S7787" i="2" s="1"/>
  <c r="O7787" i="2"/>
  <c r="K7787" i="2"/>
  <c r="J7787" i="2"/>
  <c r="I7787" i="2"/>
  <c r="A7787" i="2" s="1"/>
  <c r="H7787" i="2"/>
  <c r="R7786" i="2"/>
  <c r="S7786" i="2" s="1"/>
  <c r="O7786" i="2"/>
  <c r="K7786" i="2"/>
  <c r="J7786" i="2"/>
  <c r="I7786" i="2"/>
  <c r="A7786" i="2" s="1"/>
  <c r="H7786" i="2"/>
  <c r="R7785" i="2"/>
  <c r="S7785" i="2" s="1"/>
  <c r="O7785" i="2"/>
  <c r="K7785" i="2"/>
  <c r="J7785" i="2"/>
  <c r="I7785" i="2"/>
  <c r="A7785" i="2" s="1"/>
  <c r="H7785" i="2"/>
  <c r="R7784" i="2"/>
  <c r="S7784" i="2" s="1"/>
  <c r="O7784" i="2"/>
  <c r="K7784" i="2"/>
  <c r="J7784" i="2"/>
  <c r="I7784" i="2"/>
  <c r="A7784" i="2" s="1"/>
  <c r="H7784" i="2"/>
  <c r="R7783" i="2"/>
  <c r="S7783" i="2" s="1"/>
  <c r="O7783" i="2"/>
  <c r="K7783" i="2"/>
  <c r="J7783" i="2"/>
  <c r="I7783" i="2"/>
  <c r="A7783" i="2" s="1"/>
  <c r="H7783" i="2"/>
  <c r="F7782" i="2"/>
  <c r="F7781" i="2"/>
  <c r="F7780" i="2"/>
  <c r="F7779" i="2"/>
  <c r="F7778" i="2"/>
  <c r="F7777" i="2"/>
  <c r="F7776" i="2"/>
  <c r="F7775" i="2"/>
  <c r="F7774" i="2"/>
  <c r="F7773" i="2"/>
  <c r="F7772" i="2"/>
  <c r="F7771" i="2"/>
  <c r="F7770" i="2"/>
  <c r="F7769" i="2"/>
  <c r="F7768" i="2"/>
  <c r="F7767" i="2"/>
  <c r="F7766" i="2"/>
  <c r="F7765" i="2"/>
  <c r="F7764" i="2"/>
  <c r="F7763" i="2"/>
  <c r="F7762" i="2"/>
  <c r="F7761" i="2"/>
  <c r="F7760" i="2"/>
  <c r="F7759" i="2"/>
  <c r="F7758" i="2"/>
  <c r="F7757" i="2"/>
  <c r="F7756" i="2"/>
  <c r="F7755" i="2"/>
  <c r="F7754" i="2"/>
  <c r="F7753" i="2"/>
  <c r="F7752" i="2"/>
  <c r="F7751" i="2"/>
  <c r="F7750" i="2"/>
  <c r="R7782" i="2"/>
  <c r="S7782" i="2" s="1"/>
  <c r="O7782" i="2"/>
  <c r="K7782" i="2"/>
  <c r="J7782" i="2"/>
  <c r="I7782" i="2"/>
  <c r="A7782" i="2" s="1"/>
  <c r="H7782" i="2"/>
  <c r="R7781" i="2"/>
  <c r="S7781" i="2" s="1"/>
  <c r="O7781" i="2"/>
  <c r="K7781" i="2"/>
  <c r="J7781" i="2"/>
  <c r="I7781" i="2"/>
  <c r="A7781" i="2" s="1"/>
  <c r="H7781" i="2"/>
  <c r="R7780" i="2"/>
  <c r="S7780" i="2" s="1"/>
  <c r="O7780" i="2"/>
  <c r="K7780" i="2"/>
  <c r="J7780" i="2"/>
  <c r="I7780" i="2"/>
  <c r="A7780" i="2" s="1"/>
  <c r="H7780" i="2"/>
  <c r="R7779" i="2"/>
  <c r="S7779" i="2" s="1"/>
  <c r="O7779" i="2"/>
  <c r="K7779" i="2"/>
  <c r="J7779" i="2"/>
  <c r="I7779" i="2"/>
  <c r="A7779" i="2" s="1"/>
  <c r="H7779" i="2"/>
  <c r="R7778" i="2"/>
  <c r="S7778" i="2" s="1"/>
  <c r="O7778" i="2"/>
  <c r="K7778" i="2"/>
  <c r="J7778" i="2"/>
  <c r="I7778" i="2"/>
  <c r="A7778" i="2" s="1"/>
  <c r="H7778" i="2"/>
  <c r="R7777" i="2"/>
  <c r="S7777" i="2" s="1"/>
  <c r="O7777" i="2"/>
  <c r="K7777" i="2"/>
  <c r="J7777" i="2"/>
  <c r="I7777" i="2"/>
  <c r="A7777" i="2" s="1"/>
  <c r="H7777" i="2"/>
  <c r="R7776" i="2"/>
  <c r="S7776" i="2" s="1"/>
  <c r="O7776" i="2"/>
  <c r="K7776" i="2"/>
  <c r="J7776" i="2"/>
  <c r="I7776" i="2"/>
  <c r="A7776" i="2" s="1"/>
  <c r="H7776" i="2"/>
  <c r="R7775" i="2"/>
  <c r="S7775" i="2" s="1"/>
  <c r="O7775" i="2"/>
  <c r="K7775" i="2"/>
  <c r="J7775" i="2"/>
  <c r="I7775" i="2"/>
  <c r="A7775" i="2" s="1"/>
  <c r="H7775" i="2"/>
  <c r="R7774" i="2"/>
  <c r="S7774" i="2" s="1"/>
  <c r="O7774" i="2"/>
  <c r="K7774" i="2"/>
  <c r="J7774" i="2"/>
  <c r="I7774" i="2"/>
  <c r="A7774" i="2" s="1"/>
  <c r="H7774" i="2"/>
  <c r="R7773" i="2"/>
  <c r="S7773" i="2" s="1"/>
  <c r="O7773" i="2"/>
  <c r="K7773" i="2"/>
  <c r="J7773" i="2"/>
  <c r="I7773" i="2"/>
  <c r="A7773" i="2" s="1"/>
  <c r="H7773" i="2"/>
  <c r="R7772" i="2"/>
  <c r="S7772" i="2" s="1"/>
  <c r="O7772" i="2"/>
  <c r="K7772" i="2"/>
  <c r="J7772" i="2"/>
  <c r="I7772" i="2"/>
  <c r="A7772" i="2" s="1"/>
  <c r="H7772" i="2"/>
  <c r="R7771" i="2"/>
  <c r="S7771" i="2" s="1"/>
  <c r="O7771" i="2"/>
  <c r="K7771" i="2"/>
  <c r="J7771" i="2"/>
  <c r="I7771" i="2"/>
  <c r="A7771" i="2" s="1"/>
  <c r="H7771" i="2"/>
  <c r="R7770" i="2"/>
  <c r="S7770" i="2" s="1"/>
  <c r="O7770" i="2"/>
  <c r="K7770" i="2"/>
  <c r="J7770" i="2"/>
  <c r="I7770" i="2"/>
  <c r="A7770" i="2" s="1"/>
  <c r="H7770" i="2"/>
  <c r="R7769" i="2"/>
  <c r="S7769" i="2" s="1"/>
  <c r="O7769" i="2"/>
  <c r="K7769" i="2"/>
  <c r="J7769" i="2"/>
  <c r="I7769" i="2"/>
  <c r="A7769" i="2" s="1"/>
  <c r="H7769" i="2"/>
  <c r="R7768" i="2"/>
  <c r="S7768" i="2" s="1"/>
  <c r="O7768" i="2"/>
  <c r="K7768" i="2"/>
  <c r="J7768" i="2"/>
  <c r="I7768" i="2"/>
  <c r="A7768" i="2" s="1"/>
  <c r="H7768" i="2"/>
  <c r="R7767" i="2"/>
  <c r="S7767" i="2" s="1"/>
  <c r="O7767" i="2"/>
  <c r="K7767" i="2"/>
  <c r="J7767" i="2"/>
  <c r="I7767" i="2"/>
  <c r="A7767" i="2" s="1"/>
  <c r="H7767" i="2"/>
  <c r="R7766" i="2"/>
  <c r="S7766" i="2" s="1"/>
  <c r="O7766" i="2"/>
  <c r="K7766" i="2"/>
  <c r="J7766" i="2"/>
  <c r="I7766" i="2"/>
  <c r="A7766" i="2" s="1"/>
  <c r="H7766" i="2"/>
  <c r="R7765" i="2"/>
  <c r="S7765" i="2" s="1"/>
  <c r="O7765" i="2"/>
  <c r="K7765" i="2"/>
  <c r="J7765" i="2"/>
  <c r="I7765" i="2"/>
  <c r="A7765" i="2" s="1"/>
  <c r="H7765" i="2"/>
  <c r="R7764" i="2"/>
  <c r="S7764" i="2" s="1"/>
  <c r="O7764" i="2"/>
  <c r="K7764" i="2"/>
  <c r="J7764" i="2"/>
  <c r="I7764" i="2"/>
  <c r="A7764" i="2" s="1"/>
  <c r="H7764" i="2"/>
  <c r="R7763" i="2"/>
  <c r="S7763" i="2" s="1"/>
  <c r="O7763" i="2"/>
  <c r="K7763" i="2"/>
  <c r="J7763" i="2"/>
  <c r="I7763" i="2"/>
  <c r="A7763" i="2" s="1"/>
  <c r="H7763" i="2"/>
  <c r="R7762" i="2"/>
  <c r="S7762" i="2" s="1"/>
  <c r="O7762" i="2"/>
  <c r="K7762" i="2"/>
  <c r="J7762" i="2"/>
  <c r="I7762" i="2"/>
  <c r="A7762" i="2" s="1"/>
  <c r="H7762" i="2"/>
  <c r="R7761" i="2"/>
  <c r="S7761" i="2" s="1"/>
  <c r="O7761" i="2"/>
  <c r="K7761" i="2"/>
  <c r="J7761" i="2"/>
  <c r="I7761" i="2"/>
  <c r="A7761" i="2" s="1"/>
  <c r="H7761" i="2"/>
  <c r="R7760" i="2"/>
  <c r="S7760" i="2" s="1"/>
  <c r="O7760" i="2"/>
  <c r="K7760" i="2"/>
  <c r="J7760" i="2"/>
  <c r="I7760" i="2"/>
  <c r="A7760" i="2" s="1"/>
  <c r="H7760" i="2"/>
  <c r="R7759" i="2"/>
  <c r="S7759" i="2" s="1"/>
  <c r="O7759" i="2"/>
  <c r="K7759" i="2"/>
  <c r="J7759" i="2"/>
  <c r="I7759" i="2"/>
  <c r="A7759" i="2" s="1"/>
  <c r="H7759" i="2"/>
  <c r="R7758" i="2"/>
  <c r="S7758" i="2" s="1"/>
  <c r="O7758" i="2"/>
  <c r="K7758" i="2"/>
  <c r="J7758" i="2"/>
  <c r="I7758" i="2"/>
  <c r="A7758" i="2" s="1"/>
  <c r="H7758" i="2"/>
  <c r="R7757" i="2"/>
  <c r="S7757" i="2" s="1"/>
  <c r="O7757" i="2"/>
  <c r="K7757" i="2"/>
  <c r="J7757" i="2"/>
  <c r="I7757" i="2"/>
  <c r="A7757" i="2" s="1"/>
  <c r="H7757" i="2"/>
  <c r="R7756" i="2"/>
  <c r="S7756" i="2" s="1"/>
  <c r="O7756" i="2"/>
  <c r="K7756" i="2"/>
  <c r="J7756" i="2"/>
  <c r="I7756" i="2"/>
  <c r="A7756" i="2" s="1"/>
  <c r="H7756" i="2"/>
  <c r="R7755" i="2"/>
  <c r="S7755" i="2" s="1"/>
  <c r="O7755" i="2"/>
  <c r="K7755" i="2"/>
  <c r="J7755" i="2"/>
  <c r="I7755" i="2"/>
  <c r="A7755" i="2" s="1"/>
  <c r="H7755" i="2"/>
  <c r="R7754" i="2"/>
  <c r="S7754" i="2" s="1"/>
  <c r="O7754" i="2"/>
  <c r="K7754" i="2"/>
  <c r="J7754" i="2"/>
  <c r="I7754" i="2"/>
  <c r="A7754" i="2" s="1"/>
  <c r="H7754" i="2"/>
  <c r="R7753" i="2"/>
  <c r="S7753" i="2" s="1"/>
  <c r="O7753" i="2"/>
  <c r="K7753" i="2"/>
  <c r="J7753" i="2"/>
  <c r="I7753" i="2"/>
  <c r="A7753" i="2" s="1"/>
  <c r="H7753" i="2"/>
  <c r="R7752" i="2"/>
  <c r="S7752" i="2" s="1"/>
  <c r="O7752" i="2"/>
  <c r="K7752" i="2"/>
  <c r="J7752" i="2"/>
  <c r="I7752" i="2"/>
  <c r="A7752" i="2" s="1"/>
  <c r="H7752" i="2"/>
  <c r="R7751" i="2"/>
  <c r="S7751" i="2" s="1"/>
  <c r="O7751" i="2"/>
  <c r="K7751" i="2"/>
  <c r="J7751" i="2"/>
  <c r="I7751" i="2"/>
  <c r="A7751" i="2" s="1"/>
  <c r="H7751" i="2"/>
  <c r="R7750" i="2"/>
  <c r="S7750" i="2" s="1"/>
  <c r="O7750" i="2"/>
  <c r="K7750" i="2"/>
  <c r="J7750" i="2"/>
  <c r="I7750" i="2"/>
  <c r="A7750" i="2" s="1"/>
  <c r="H7750" i="2"/>
  <c r="L7784" i="2" l="1"/>
  <c r="L7794" i="2"/>
  <c r="M7800" i="2"/>
  <c r="Q7791" i="2"/>
  <c r="M7795" i="2"/>
  <c r="N7813" i="2"/>
  <c r="Q7786" i="2"/>
  <c r="M7794" i="2"/>
  <c r="N7796" i="2"/>
  <c r="N7798" i="2"/>
  <c r="N7800" i="2"/>
  <c r="M7804" i="2"/>
  <c r="P7804" i="2" s="1"/>
  <c r="N7806" i="2"/>
  <c r="N7810" i="2"/>
  <c r="L7812" i="2"/>
  <c r="Q7814" i="2"/>
  <c r="Q7794" i="2"/>
  <c r="Q7800" i="2"/>
  <c r="Q7812" i="2"/>
  <c r="N7797" i="2"/>
  <c r="N7799" i="2"/>
  <c r="M7801" i="2"/>
  <c r="L7807" i="2"/>
  <c r="L7810" i="2"/>
  <c r="M7806" i="2"/>
  <c r="Q7806" i="2"/>
  <c r="N7812" i="2"/>
  <c r="N7801" i="2"/>
  <c r="M7791" i="2"/>
  <c r="N7803" i="2"/>
  <c r="Q7793" i="2"/>
  <c r="M7784" i="2"/>
  <c r="N7786" i="2"/>
  <c r="N7788" i="2"/>
  <c r="N7790" i="2"/>
  <c r="N7792" i="2"/>
  <c r="N7804" i="2"/>
  <c r="N7809" i="2"/>
  <c r="N7811" i="2"/>
  <c r="L7783" i="2"/>
  <c r="L7798" i="2"/>
  <c r="N7802" i="2"/>
  <c r="M7815" i="2"/>
  <c r="P7815" i="2" s="1"/>
  <c r="N7793" i="2"/>
  <c r="M7798" i="2"/>
  <c r="N7805" i="2"/>
  <c r="L7815" i="2"/>
  <c r="L7786" i="2"/>
  <c r="N7807" i="2"/>
  <c r="M7812" i="2"/>
  <c r="L7809" i="2"/>
  <c r="M7786" i="2"/>
  <c r="N7795" i="2"/>
  <c r="L7797" i="2"/>
  <c r="L7802" i="2"/>
  <c r="Q7788" i="2"/>
  <c r="Q7790" i="2"/>
  <c r="M7792" i="2"/>
  <c r="L7804" i="2"/>
  <c r="M7811" i="2"/>
  <c r="N7783" i="2"/>
  <c r="N7785" i="2"/>
  <c r="L7792" i="2"/>
  <c r="N7794" i="2"/>
  <c r="Q7787" i="2"/>
  <c r="Q7808" i="2"/>
  <c r="M7813" i="2"/>
  <c r="Q7785" i="2"/>
  <c r="L7796" i="2"/>
  <c r="L7801" i="2"/>
  <c r="P7801" i="2" s="1"/>
  <c r="L7803" i="2"/>
  <c r="N7808" i="2"/>
  <c r="L7813" i="2"/>
  <c r="N7791" i="2"/>
  <c r="L7800" i="2"/>
  <c r="P7800" i="2" s="1"/>
  <c r="M7810" i="2"/>
  <c r="M7797" i="2"/>
  <c r="M7803" i="2"/>
  <c r="M7809" i="2"/>
  <c r="Q7815" i="2"/>
  <c r="M7783" i="2"/>
  <c r="Q7784" i="2"/>
  <c r="L7789" i="2"/>
  <c r="L7791" i="2"/>
  <c r="Q7798" i="2"/>
  <c r="Q7804" i="2"/>
  <c r="L7808" i="2"/>
  <c r="Q7810" i="2"/>
  <c r="L7814" i="2"/>
  <c r="Q7792" i="2"/>
  <c r="M7796" i="2"/>
  <c r="M7802" i="2"/>
  <c r="M7808" i="2"/>
  <c r="M7814" i="2"/>
  <c r="L7795" i="2"/>
  <c r="Q7797" i="2"/>
  <c r="Q7803" i="2"/>
  <c r="Q7809" i="2"/>
  <c r="N7814" i="2"/>
  <c r="M7807" i="2"/>
  <c r="P7807" i="2" s="1"/>
  <c r="Q7783" i="2"/>
  <c r="Q7796" i="2"/>
  <c r="Q7802" i="2"/>
  <c r="L7806" i="2"/>
  <c r="M7785" i="2"/>
  <c r="M7788" i="2"/>
  <c r="M7793" i="2"/>
  <c r="Q7795" i="2"/>
  <c r="L7799" i="2"/>
  <c r="Q7801" i="2"/>
  <c r="L7805" i="2"/>
  <c r="Q7807" i="2"/>
  <c r="L7811" i="2"/>
  <c r="Q7813" i="2"/>
  <c r="L7785" i="2"/>
  <c r="L7793" i="2"/>
  <c r="M7799" i="2"/>
  <c r="M7805" i="2"/>
  <c r="N7815" i="2"/>
  <c r="N7784" i="2"/>
  <c r="Q7799" i="2"/>
  <c r="Q7805" i="2"/>
  <c r="Q7811" i="2"/>
  <c r="L7788" i="2"/>
  <c r="N7789" i="2"/>
  <c r="M7789" i="2"/>
  <c r="L7787" i="2"/>
  <c r="M7787" i="2"/>
  <c r="Q7789" i="2"/>
  <c r="N7787" i="2"/>
  <c r="L7790" i="2"/>
  <c r="M7790" i="2"/>
  <c r="L7769" i="2"/>
  <c r="M7775" i="2"/>
  <c r="M7777" i="2"/>
  <c r="M7779" i="2"/>
  <c r="M7768" i="2"/>
  <c r="L7772" i="2"/>
  <c r="L7774" i="2"/>
  <c r="M7776" i="2"/>
  <c r="M7778" i="2"/>
  <c r="M7780" i="2"/>
  <c r="M7782" i="2"/>
  <c r="N7764" i="2"/>
  <c r="M7781" i="2"/>
  <c r="N7767" i="2"/>
  <c r="M7753" i="2"/>
  <c r="L7755" i="2"/>
  <c r="M7759" i="2"/>
  <c r="L7761" i="2"/>
  <c r="L7763" i="2"/>
  <c r="L7765" i="2"/>
  <c r="N7771" i="2"/>
  <c r="L7773" i="2"/>
  <c r="M7750" i="2"/>
  <c r="L7752" i="2"/>
  <c r="M7756" i="2"/>
  <c r="L7758" i="2"/>
  <c r="M7762" i="2"/>
  <c r="L7766" i="2"/>
  <c r="N7769" i="2"/>
  <c r="M7773" i="2"/>
  <c r="N7752" i="2"/>
  <c r="N7754" i="2"/>
  <c r="N7758" i="2"/>
  <c r="N7760" i="2"/>
  <c r="L7764" i="2"/>
  <c r="Q7769" i="2"/>
  <c r="Q7760" i="2"/>
  <c r="N7766" i="2"/>
  <c r="L7768" i="2"/>
  <c r="Q7766" i="2"/>
  <c r="N7770" i="2"/>
  <c r="N7772" i="2"/>
  <c r="N7751" i="2"/>
  <c r="N7755" i="2"/>
  <c r="N7757" i="2"/>
  <c r="N7761" i="2"/>
  <c r="N7763" i="2"/>
  <c r="Q7772" i="2"/>
  <c r="N7774" i="2"/>
  <c r="Q7757" i="2"/>
  <c r="Q7763" i="2"/>
  <c r="M7765" i="2"/>
  <c r="M7767" i="2"/>
  <c r="M7755" i="2"/>
  <c r="M7761" i="2"/>
  <c r="M7764" i="2"/>
  <c r="Q7752" i="2"/>
  <c r="Q7755" i="2"/>
  <c r="Q7758" i="2"/>
  <c r="Q7761" i="2"/>
  <c r="Q7764" i="2"/>
  <c r="Q7767" i="2"/>
  <c r="M7774" i="2"/>
  <c r="L7751" i="2"/>
  <c r="L7754" i="2"/>
  <c r="L7757" i="2"/>
  <c r="L7760" i="2"/>
  <c r="M7751" i="2"/>
  <c r="M7754" i="2"/>
  <c r="M7757" i="2"/>
  <c r="M7760" i="2"/>
  <c r="M7763" i="2"/>
  <c r="M7766" i="2"/>
  <c r="M7769" i="2"/>
  <c r="M7771" i="2"/>
  <c r="Q7774" i="2"/>
  <c r="N7776" i="2"/>
  <c r="N7778" i="2"/>
  <c r="N7780" i="2"/>
  <c r="N7782" i="2"/>
  <c r="Q7751" i="2"/>
  <c r="Q7754" i="2"/>
  <c r="Q7776" i="2"/>
  <c r="Q7778" i="2"/>
  <c r="Q7780" i="2"/>
  <c r="Q7782" i="2"/>
  <c r="N7750" i="2"/>
  <c r="N7759" i="2"/>
  <c r="N7762" i="2"/>
  <c r="N7765" i="2"/>
  <c r="L7771" i="2"/>
  <c r="N7753" i="2"/>
  <c r="N7756" i="2"/>
  <c r="N7768" i="2"/>
  <c r="L7750" i="2"/>
  <c r="P7750" i="2" s="1"/>
  <c r="L7753" i="2"/>
  <c r="L7756" i="2"/>
  <c r="L7759" i="2"/>
  <c r="L7762" i="2"/>
  <c r="P7762" i="2" s="1"/>
  <c r="Q7771" i="2"/>
  <c r="N7773" i="2"/>
  <c r="Q7750" i="2"/>
  <c r="Q7753" i="2"/>
  <c r="Q7756" i="2"/>
  <c r="Q7759" i="2"/>
  <c r="Q7762" i="2"/>
  <c r="Q7765" i="2"/>
  <c r="Q7768" i="2"/>
  <c r="M7770" i="2"/>
  <c r="Q7773" i="2"/>
  <c r="N7775" i="2"/>
  <c r="L7775" i="2"/>
  <c r="P7775" i="2" s="1"/>
  <c r="N7777" i="2"/>
  <c r="N7779" i="2"/>
  <c r="N7781" i="2"/>
  <c r="L7767" i="2"/>
  <c r="L7770" i="2"/>
  <c r="M7772" i="2"/>
  <c r="Q7775" i="2"/>
  <c r="Q7777" i="2"/>
  <c r="Q7779" i="2"/>
  <c r="Q7781" i="2"/>
  <c r="M7752" i="2"/>
  <c r="M7758" i="2"/>
  <c r="Q7770" i="2"/>
  <c r="L7776" i="2"/>
  <c r="L7777" i="2"/>
  <c r="L7778" i="2"/>
  <c r="L7779" i="2"/>
  <c r="L7780" i="2"/>
  <c r="P7780" i="2" s="1"/>
  <c r="L7781" i="2"/>
  <c r="L7782" i="2"/>
  <c r="P7785" i="2" l="1"/>
  <c r="P7811" i="2"/>
  <c r="P7814" i="2"/>
  <c r="P7797" i="2"/>
  <c r="P7789" i="2"/>
  <c r="P7809" i="2"/>
  <c r="P7784" i="2"/>
  <c r="P7794" i="2"/>
  <c r="P7795" i="2"/>
  <c r="P7812" i="2"/>
  <c r="P7792" i="2"/>
  <c r="P7799" i="2"/>
  <c r="P7791" i="2"/>
  <c r="P7810" i="2"/>
  <c r="P7806" i="2"/>
  <c r="P7796" i="2"/>
  <c r="P7798" i="2"/>
  <c r="P7805" i="2"/>
  <c r="P7803" i="2"/>
  <c r="P7813" i="2"/>
  <c r="P7783" i="2"/>
  <c r="P7786" i="2"/>
  <c r="P7808" i="2"/>
  <c r="P7790" i="2"/>
  <c r="P7802" i="2"/>
  <c r="P7788" i="2"/>
  <c r="P7787" i="2"/>
  <c r="P7793" i="2"/>
  <c r="P7782" i="2"/>
  <c r="P7751" i="2"/>
  <c r="P7765" i="2"/>
  <c r="P7752" i="2"/>
  <c r="P7778" i="2"/>
  <c r="P7767" i="2"/>
  <c r="P7777" i="2"/>
  <c r="P7776" i="2"/>
  <c r="P7770" i="2"/>
  <c r="P7766" i="2"/>
  <c r="P7753" i="2"/>
  <c r="P7781" i="2"/>
  <c r="P7772" i="2"/>
  <c r="P7757" i="2"/>
  <c r="P7773" i="2"/>
  <c r="P7779" i="2"/>
  <c r="P7754" i="2"/>
  <c r="P7764" i="2"/>
  <c r="P7761" i="2"/>
  <c r="P7774" i="2"/>
  <c r="P7768" i="2"/>
  <c r="P7759" i="2"/>
  <c r="P7769" i="2"/>
  <c r="P7771" i="2"/>
  <c r="P7760" i="2"/>
  <c r="P7763" i="2"/>
  <c r="P7755" i="2"/>
  <c r="P7756" i="2"/>
  <c r="P7758" i="2"/>
  <c r="F7749" i="2"/>
  <c r="F7748" i="2"/>
  <c r="F7747" i="2"/>
  <c r="F7746" i="2"/>
  <c r="F7745" i="2"/>
  <c r="F7744" i="2"/>
  <c r="F7743" i="2"/>
  <c r="F7742" i="2"/>
  <c r="F7741" i="2"/>
  <c r="F7740" i="2"/>
  <c r="F7739" i="2"/>
  <c r="F7738" i="2"/>
  <c r="F7737" i="2"/>
  <c r="F7736" i="2"/>
  <c r="F7735" i="2"/>
  <c r="F7734" i="2"/>
  <c r="F7733" i="2"/>
  <c r="F7732" i="2"/>
  <c r="F7731" i="2"/>
  <c r="F7730" i="2"/>
  <c r="F7729" i="2"/>
  <c r="F7728" i="2"/>
  <c r="F7727" i="2"/>
  <c r="F7726" i="2"/>
  <c r="F7725" i="2"/>
  <c r="F7724" i="2"/>
  <c r="F7723" i="2"/>
  <c r="F7722" i="2"/>
  <c r="F7721" i="2"/>
  <c r="F7720" i="2"/>
  <c r="F7719" i="2"/>
  <c r="F7718" i="2"/>
  <c r="R7749" i="2"/>
  <c r="S7749" i="2" s="1"/>
  <c r="O7749" i="2"/>
  <c r="K7749" i="2"/>
  <c r="J7749" i="2"/>
  <c r="I7749" i="2"/>
  <c r="A7749" i="2" s="1"/>
  <c r="H7749" i="2"/>
  <c r="R7748" i="2"/>
  <c r="S7748" i="2" s="1"/>
  <c r="O7748" i="2"/>
  <c r="K7748" i="2"/>
  <c r="J7748" i="2"/>
  <c r="I7748" i="2"/>
  <c r="A7748" i="2" s="1"/>
  <c r="H7748" i="2"/>
  <c r="R7747" i="2"/>
  <c r="S7747" i="2" s="1"/>
  <c r="O7747" i="2"/>
  <c r="K7747" i="2"/>
  <c r="J7747" i="2"/>
  <c r="I7747" i="2"/>
  <c r="A7747" i="2" s="1"/>
  <c r="H7747" i="2"/>
  <c r="R7746" i="2"/>
  <c r="S7746" i="2" s="1"/>
  <c r="O7746" i="2"/>
  <c r="K7746" i="2"/>
  <c r="J7746" i="2"/>
  <c r="I7746" i="2"/>
  <c r="A7746" i="2" s="1"/>
  <c r="H7746" i="2"/>
  <c r="R7745" i="2"/>
  <c r="S7745" i="2" s="1"/>
  <c r="O7745" i="2"/>
  <c r="K7745" i="2"/>
  <c r="J7745" i="2"/>
  <c r="I7745" i="2"/>
  <c r="A7745" i="2" s="1"/>
  <c r="H7745" i="2"/>
  <c r="R7744" i="2"/>
  <c r="S7744" i="2" s="1"/>
  <c r="O7744" i="2"/>
  <c r="K7744" i="2"/>
  <c r="J7744" i="2"/>
  <c r="I7744" i="2"/>
  <c r="A7744" i="2" s="1"/>
  <c r="H7744" i="2"/>
  <c r="R7743" i="2"/>
  <c r="S7743" i="2" s="1"/>
  <c r="O7743" i="2"/>
  <c r="K7743" i="2"/>
  <c r="J7743" i="2"/>
  <c r="I7743" i="2"/>
  <c r="A7743" i="2" s="1"/>
  <c r="H7743" i="2"/>
  <c r="R7742" i="2"/>
  <c r="S7742" i="2" s="1"/>
  <c r="O7742" i="2"/>
  <c r="K7742" i="2"/>
  <c r="J7742" i="2"/>
  <c r="I7742" i="2"/>
  <c r="A7742" i="2" s="1"/>
  <c r="H7742" i="2"/>
  <c r="R7741" i="2"/>
  <c r="S7741" i="2" s="1"/>
  <c r="O7741" i="2"/>
  <c r="K7741" i="2"/>
  <c r="J7741" i="2"/>
  <c r="I7741" i="2"/>
  <c r="A7741" i="2" s="1"/>
  <c r="H7741" i="2"/>
  <c r="R7740" i="2"/>
  <c r="S7740" i="2" s="1"/>
  <c r="O7740" i="2"/>
  <c r="K7740" i="2"/>
  <c r="J7740" i="2"/>
  <c r="I7740" i="2"/>
  <c r="A7740" i="2" s="1"/>
  <c r="H7740" i="2"/>
  <c r="R7739" i="2"/>
  <c r="S7739" i="2" s="1"/>
  <c r="O7739" i="2"/>
  <c r="K7739" i="2"/>
  <c r="J7739" i="2"/>
  <c r="I7739" i="2"/>
  <c r="A7739" i="2" s="1"/>
  <c r="H7739" i="2"/>
  <c r="R7738" i="2"/>
  <c r="S7738" i="2" s="1"/>
  <c r="O7738" i="2"/>
  <c r="K7738" i="2"/>
  <c r="J7738" i="2"/>
  <c r="I7738" i="2"/>
  <c r="A7738" i="2" s="1"/>
  <c r="H7738" i="2"/>
  <c r="R7737" i="2"/>
  <c r="S7737" i="2" s="1"/>
  <c r="O7737" i="2"/>
  <c r="K7737" i="2"/>
  <c r="J7737" i="2"/>
  <c r="I7737" i="2"/>
  <c r="A7737" i="2" s="1"/>
  <c r="H7737" i="2"/>
  <c r="R7736" i="2"/>
  <c r="S7736" i="2" s="1"/>
  <c r="O7736" i="2"/>
  <c r="K7736" i="2"/>
  <c r="J7736" i="2"/>
  <c r="I7736" i="2"/>
  <c r="A7736" i="2" s="1"/>
  <c r="H7736" i="2"/>
  <c r="R7735" i="2"/>
  <c r="S7735" i="2" s="1"/>
  <c r="O7735" i="2"/>
  <c r="K7735" i="2"/>
  <c r="J7735" i="2"/>
  <c r="I7735" i="2"/>
  <c r="A7735" i="2" s="1"/>
  <c r="H7735" i="2"/>
  <c r="R7734" i="2"/>
  <c r="S7734" i="2" s="1"/>
  <c r="O7734" i="2"/>
  <c r="K7734" i="2"/>
  <c r="J7734" i="2"/>
  <c r="I7734" i="2"/>
  <c r="A7734" i="2" s="1"/>
  <c r="H7734" i="2"/>
  <c r="R7733" i="2"/>
  <c r="S7733" i="2" s="1"/>
  <c r="O7733" i="2"/>
  <c r="K7733" i="2"/>
  <c r="J7733" i="2"/>
  <c r="I7733" i="2"/>
  <c r="A7733" i="2" s="1"/>
  <c r="H7733" i="2"/>
  <c r="R7732" i="2"/>
  <c r="S7732" i="2" s="1"/>
  <c r="O7732" i="2"/>
  <c r="K7732" i="2"/>
  <c r="J7732" i="2"/>
  <c r="I7732" i="2"/>
  <c r="A7732" i="2" s="1"/>
  <c r="H7732" i="2"/>
  <c r="R7731" i="2"/>
  <c r="S7731" i="2" s="1"/>
  <c r="O7731" i="2"/>
  <c r="K7731" i="2"/>
  <c r="J7731" i="2"/>
  <c r="I7731" i="2"/>
  <c r="A7731" i="2" s="1"/>
  <c r="H7731" i="2"/>
  <c r="R7730" i="2"/>
  <c r="S7730" i="2" s="1"/>
  <c r="O7730" i="2"/>
  <c r="K7730" i="2"/>
  <c r="J7730" i="2"/>
  <c r="I7730" i="2"/>
  <c r="A7730" i="2" s="1"/>
  <c r="H7730" i="2"/>
  <c r="R7729" i="2"/>
  <c r="S7729" i="2" s="1"/>
  <c r="O7729" i="2"/>
  <c r="K7729" i="2"/>
  <c r="J7729" i="2"/>
  <c r="I7729" i="2"/>
  <c r="A7729" i="2" s="1"/>
  <c r="H7729" i="2"/>
  <c r="R7728" i="2"/>
  <c r="S7728" i="2" s="1"/>
  <c r="O7728" i="2"/>
  <c r="K7728" i="2"/>
  <c r="J7728" i="2"/>
  <c r="I7728" i="2"/>
  <c r="A7728" i="2" s="1"/>
  <c r="H7728" i="2"/>
  <c r="R7727" i="2"/>
  <c r="S7727" i="2" s="1"/>
  <c r="O7727" i="2"/>
  <c r="K7727" i="2"/>
  <c r="J7727" i="2"/>
  <c r="I7727" i="2"/>
  <c r="A7727" i="2" s="1"/>
  <c r="H7727" i="2"/>
  <c r="R7726" i="2"/>
  <c r="S7726" i="2" s="1"/>
  <c r="O7726" i="2"/>
  <c r="K7726" i="2"/>
  <c r="J7726" i="2"/>
  <c r="I7726" i="2"/>
  <c r="A7726" i="2" s="1"/>
  <c r="H7726" i="2"/>
  <c r="R7725" i="2"/>
  <c r="S7725" i="2" s="1"/>
  <c r="O7725" i="2"/>
  <c r="K7725" i="2"/>
  <c r="J7725" i="2"/>
  <c r="I7725" i="2"/>
  <c r="A7725" i="2" s="1"/>
  <c r="H7725" i="2"/>
  <c r="R7724" i="2"/>
  <c r="S7724" i="2" s="1"/>
  <c r="O7724" i="2"/>
  <c r="K7724" i="2"/>
  <c r="J7724" i="2"/>
  <c r="I7724" i="2"/>
  <c r="A7724" i="2" s="1"/>
  <c r="H7724" i="2"/>
  <c r="R7723" i="2"/>
  <c r="S7723" i="2" s="1"/>
  <c r="O7723" i="2"/>
  <c r="K7723" i="2"/>
  <c r="J7723" i="2"/>
  <c r="I7723" i="2"/>
  <c r="A7723" i="2" s="1"/>
  <c r="H7723" i="2"/>
  <c r="R7722" i="2"/>
  <c r="S7722" i="2" s="1"/>
  <c r="O7722" i="2"/>
  <c r="K7722" i="2"/>
  <c r="J7722" i="2"/>
  <c r="I7722" i="2"/>
  <c r="A7722" i="2" s="1"/>
  <c r="H7722" i="2"/>
  <c r="R7721" i="2"/>
  <c r="S7721" i="2" s="1"/>
  <c r="O7721" i="2"/>
  <c r="K7721" i="2"/>
  <c r="J7721" i="2"/>
  <c r="I7721" i="2"/>
  <c r="A7721" i="2" s="1"/>
  <c r="H7721" i="2"/>
  <c r="R7720" i="2"/>
  <c r="S7720" i="2" s="1"/>
  <c r="O7720" i="2"/>
  <c r="K7720" i="2"/>
  <c r="J7720" i="2"/>
  <c r="I7720" i="2"/>
  <c r="A7720" i="2" s="1"/>
  <c r="H7720" i="2"/>
  <c r="R7719" i="2"/>
  <c r="S7719" i="2" s="1"/>
  <c r="O7719" i="2"/>
  <c r="K7719" i="2"/>
  <c r="J7719" i="2"/>
  <c r="I7719" i="2"/>
  <c r="A7719" i="2" s="1"/>
  <c r="H7719" i="2"/>
  <c r="R7718" i="2"/>
  <c r="S7718" i="2" s="1"/>
  <c r="O7718" i="2"/>
  <c r="K7718" i="2"/>
  <c r="J7718" i="2"/>
  <c r="I7718" i="2"/>
  <c r="A7718" i="2" s="1"/>
  <c r="H7718" i="2"/>
  <c r="F7" i="3"/>
  <c r="E7" i="3"/>
  <c r="L7718" i="2" l="1"/>
  <c r="M7720" i="2"/>
  <c r="L7722" i="2"/>
  <c r="L7724" i="2"/>
  <c r="L7726" i="2"/>
  <c r="M7728" i="2"/>
  <c r="M7730" i="2"/>
  <c r="M7732" i="2"/>
  <c r="M7734" i="2"/>
  <c r="M7736" i="2"/>
  <c r="M7738" i="2"/>
  <c r="M7740" i="2"/>
  <c r="M7742" i="2"/>
  <c r="M7744" i="2"/>
  <c r="N7749" i="2"/>
  <c r="M7746" i="2"/>
  <c r="M7748" i="2"/>
  <c r="M7719" i="2"/>
  <c r="M7721" i="2"/>
  <c r="M7723" i="2"/>
  <c r="M7725" i="2"/>
  <c r="M7727" i="2"/>
  <c r="L7729" i="2"/>
  <c r="L7731" i="2"/>
  <c r="M7733" i="2"/>
  <c r="M7735" i="2"/>
  <c r="M7737" i="2"/>
  <c r="M7739" i="2"/>
  <c r="M7741" i="2"/>
  <c r="M7743" i="2"/>
  <c r="M7745" i="2"/>
  <c r="M7747" i="2"/>
  <c r="M7749" i="2"/>
  <c r="Q7718" i="2"/>
  <c r="Q7720" i="2"/>
  <c r="Q7722" i="2"/>
  <c r="Q7724" i="2"/>
  <c r="Q7726" i="2"/>
  <c r="Q7728" i="2"/>
  <c r="Q7730" i="2"/>
  <c r="Q7732" i="2"/>
  <c r="Q7734" i="2"/>
  <c r="Q7736" i="2"/>
  <c r="Q7738" i="2"/>
  <c r="Q7740" i="2"/>
  <c r="Q7742" i="2"/>
  <c r="Q7744" i="2"/>
  <c r="Q7746" i="2"/>
  <c r="Q7748" i="2"/>
  <c r="N7719" i="2"/>
  <c r="N7721" i="2"/>
  <c r="N7723" i="2"/>
  <c r="N7725" i="2"/>
  <c r="N7727" i="2"/>
  <c r="N7729" i="2"/>
  <c r="N7731" i="2"/>
  <c r="N7733" i="2"/>
  <c r="N7735" i="2"/>
  <c r="N7737" i="2"/>
  <c r="N7739" i="2"/>
  <c r="N7741" i="2"/>
  <c r="N7743" i="2"/>
  <c r="N7745" i="2"/>
  <c r="N7747" i="2"/>
  <c r="Q7719" i="2"/>
  <c r="Q7721" i="2"/>
  <c r="Q7723" i="2"/>
  <c r="Q7725" i="2"/>
  <c r="Q7727" i="2"/>
  <c r="Q7729" i="2"/>
  <c r="Q7731" i="2"/>
  <c r="Q7733" i="2"/>
  <c r="Q7735" i="2"/>
  <c r="Q7737" i="2"/>
  <c r="Q7739" i="2"/>
  <c r="Q7741" i="2"/>
  <c r="Q7743" i="2"/>
  <c r="Q7745" i="2"/>
  <c r="Q7747" i="2"/>
  <c r="Q7749" i="2"/>
  <c r="N7718" i="2"/>
  <c r="N7720" i="2"/>
  <c r="N7722" i="2"/>
  <c r="N7724" i="2"/>
  <c r="N7726" i="2"/>
  <c r="N7728" i="2"/>
  <c r="N7730" i="2"/>
  <c r="N7732" i="2"/>
  <c r="N7734" i="2"/>
  <c r="N7736" i="2"/>
  <c r="N7738" i="2"/>
  <c r="N7740" i="2"/>
  <c r="N7742" i="2"/>
  <c r="N7744" i="2"/>
  <c r="N7746" i="2"/>
  <c r="N7748" i="2"/>
  <c r="L7719" i="2"/>
  <c r="L7725" i="2"/>
  <c r="L7728" i="2"/>
  <c r="L7732" i="2"/>
  <c r="L7734" i="2"/>
  <c r="L7735" i="2"/>
  <c r="L7736" i="2"/>
  <c r="L7737" i="2"/>
  <c r="L7738" i="2"/>
  <c r="L7739" i="2"/>
  <c r="L7740" i="2"/>
  <c r="L7741" i="2"/>
  <c r="L7742" i="2"/>
  <c r="P7742" i="2" s="1"/>
  <c r="L7743" i="2"/>
  <c r="L7744" i="2"/>
  <c r="L7745" i="2"/>
  <c r="L7746" i="2"/>
  <c r="L7747" i="2"/>
  <c r="L7748" i="2"/>
  <c r="L7749" i="2"/>
  <c r="L7723" i="2"/>
  <c r="L7730" i="2"/>
  <c r="M7722" i="2"/>
  <c r="M7726" i="2"/>
  <c r="M7729" i="2"/>
  <c r="M7731" i="2"/>
  <c r="L7721" i="2"/>
  <c r="L7727" i="2"/>
  <c r="M7718" i="2"/>
  <c r="M7724" i="2"/>
  <c r="L7720" i="2"/>
  <c r="L7733" i="2"/>
  <c r="G6564" i="2"/>
  <c r="G6563" i="2"/>
  <c r="G6562" i="2"/>
  <c r="G6561" i="2"/>
  <c r="G6560" i="2"/>
  <c r="G6559" i="2"/>
  <c r="G6558" i="2"/>
  <c r="G6557" i="2"/>
  <c r="G6556" i="2"/>
  <c r="G6555" i="2"/>
  <c r="G6554" i="2"/>
  <c r="G6553" i="2"/>
  <c r="G6552" i="2"/>
  <c r="G6551" i="2"/>
  <c r="G6550" i="2"/>
  <c r="G6549" i="2"/>
  <c r="G6548" i="2"/>
  <c r="G6547" i="2"/>
  <c r="G6546" i="2"/>
  <c r="G6545" i="2"/>
  <c r="G6544" i="2"/>
  <c r="G6543" i="2"/>
  <c r="G6542" i="2"/>
  <c r="G6541" i="2"/>
  <c r="G6540" i="2"/>
  <c r="G6539" i="2"/>
  <c r="G6538" i="2"/>
  <c r="G6537" i="2"/>
  <c r="G6536" i="2"/>
  <c r="G6535" i="2"/>
  <c r="G6534" i="2"/>
  <c r="G6533" i="2"/>
  <c r="F7717" i="2"/>
  <c r="F7716" i="2"/>
  <c r="F7715" i="2"/>
  <c r="F7714" i="2"/>
  <c r="F7713" i="2"/>
  <c r="F7712" i="2"/>
  <c r="F7711" i="2"/>
  <c r="F7710" i="2"/>
  <c r="F7709" i="2"/>
  <c r="F7708" i="2"/>
  <c r="F7707" i="2"/>
  <c r="F7706" i="2"/>
  <c r="F7705" i="2"/>
  <c r="F7704" i="2"/>
  <c r="F7703" i="2"/>
  <c r="F7702" i="2"/>
  <c r="F7701" i="2"/>
  <c r="F7700" i="2"/>
  <c r="F7699" i="2"/>
  <c r="F7698" i="2"/>
  <c r="F7697" i="2"/>
  <c r="F7696" i="2"/>
  <c r="F7695" i="2"/>
  <c r="F7694" i="2"/>
  <c r="F7693" i="2"/>
  <c r="F7692" i="2"/>
  <c r="F7691" i="2"/>
  <c r="F7690" i="2"/>
  <c r="F7689" i="2"/>
  <c r="F7688" i="2"/>
  <c r="F7687" i="2"/>
  <c r="F7686" i="2"/>
  <c r="R7717" i="2"/>
  <c r="S7717" i="2" s="1"/>
  <c r="O7717" i="2"/>
  <c r="K7717" i="2"/>
  <c r="J7717" i="2"/>
  <c r="I7717" i="2"/>
  <c r="A7717" i="2" s="1"/>
  <c r="H7717" i="2"/>
  <c r="R7716" i="2"/>
  <c r="S7716" i="2" s="1"/>
  <c r="O7716" i="2"/>
  <c r="K7716" i="2"/>
  <c r="J7716" i="2"/>
  <c r="I7716" i="2"/>
  <c r="A7716" i="2" s="1"/>
  <c r="H7716" i="2"/>
  <c r="R7715" i="2"/>
  <c r="S7715" i="2" s="1"/>
  <c r="O7715" i="2"/>
  <c r="K7715" i="2"/>
  <c r="J7715" i="2"/>
  <c r="I7715" i="2"/>
  <c r="A7715" i="2" s="1"/>
  <c r="H7715" i="2"/>
  <c r="R7714" i="2"/>
  <c r="S7714" i="2" s="1"/>
  <c r="O7714" i="2"/>
  <c r="K7714" i="2"/>
  <c r="J7714" i="2"/>
  <c r="I7714" i="2"/>
  <c r="A7714" i="2" s="1"/>
  <c r="H7714" i="2"/>
  <c r="R7713" i="2"/>
  <c r="S7713" i="2" s="1"/>
  <c r="O7713" i="2"/>
  <c r="K7713" i="2"/>
  <c r="J7713" i="2"/>
  <c r="I7713" i="2"/>
  <c r="A7713" i="2" s="1"/>
  <c r="H7713" i="2"/>
  <c r="R7712" i="2"/>
  <c r="S7712" i="2" s="1"/>
  <c r="O7712" i="2"/>
  <c r="K7712" i="2"/>
  <c r="J7712" i="2"/>
  <c r="I7712" i="2"/>
  <c r="A7712" i="2" s="1"/>
  <c r="H7712" i="2"/>
  <c r="R7711" i="2"/>
  <c r="S7711" i="2" s="1"/>
  <c r="O7711" i="2"/>
  <c r="K7711" i="2"/>
  <c r="J7711" i="2"/>
  <c r="I7711" i="2"/>
  <c r="A7711" i="2" s="1"/>
  <c r="H7711" i="2"/>
  <c r="R7710" i="2"/>
  <c r="S7710" i="2" s="1"/>
  <c r="O7710" i="2"/>
  <c r="K7710" i="2"/>
  <c r="J7710" i="2"/>
  <c r="I7710" i="2"/>
  <c r="A7710" i="2" s="1"/>
  <c r="H7710" i="2"/>
  <c r="R7709" i="2"/>
  <c r="S7709" i="2" s="1"/>
  <c r="O7709" i="2"/>
  <c r="K7709" i="2"/>
  <c r="J7709" i="2"/>
  <c r="I7709" i="2"/>
  <c r="A7709" i="2" s="1"/>
  <c r="H7709" i="2"/>
  <c r="R7708" i="2"/>
  <c r="S7708" i="2" s="1"/>
  <c r="O7708" i="2"/>
  <c r="K7708" i="2"/>
  <c r="J7708" i="2"/>
  <c r="I7708" i="2"/>
  <c r="A7708" i="2" s="1"/>
  <c r="H7708" i="2"/>
  <c r="R7707" i="2"/>
  <c r="S7707" i="2" s="1"/>
  <c r="O7707" i="2"/>
  <c r="K7707" i="2"/>
  <c r="J7707" i="2"/>
  <c r="I7707" i="2"/>
  <c r="A7707" i="2" s="1"/>
  <c r="H7707" i="2"/>
  <c r="R7706" i="2"/>
  <c r="S7706" i="2" s="1"/>
  <c r="O7706" i="2"/>
  <c r="K7706" i="2"/>
  <c r="J7706" i="2"/>
  <c r="I7706" i="2"/>
  <c r="A7706" i="2" s="1"/>
  <c r="H7706" i="2"/>
  <c r="R7705" i="2"/>
  <c r="S7705" i="2" s="1"/>
  <c r="O7705" i="2"/>
  <c r="K7705" i="2"/>
  <c r="J7705" i="2"/>
  <c r="I7705" i="2"/>
  <c r="A7705" i="2" s="1"/>
  <c r="H7705" i="2"/>
  <c r="R7704" i="2"/>
  <c r="S7704" i="2" s="1"/>
  <c r="O7704" i="2"/>
  <c r="K7704" i="2"/>
  <c r="J7704" i="2"/>
  <c r="I7704" i="2"/>
  <c r="A7704" i="2" s="1"/>
  <c r="H7704" i="2"/>
  <c r="R7703" i="2"/>
  <c r="S7703" i="2" s="1"/>
  <c r="O7703" i="2"/>
  <c r="K7703" i="2"/>
  <c r="J7703" i="2"/>
  <c r="I7703" i="2"/>
  <c r="A7703" i="2" s="1"/>
  <c r="H7703" i="2"/>
  <c r="R7702" i="2"/>
  <c r="S7702" i="2" s="1"/>
  <c r="O7702" i="2"/>
  <c r="K7702" i="2"/>
  <c r="J7702" i="2"/>
  <c r="I7702" i="2"/>
  <c r="A7702" i="2" s="1"/>
  <c r="H7702" i="2"/>
  <c r="R7701" i="2"/>
  <c r="S7701" i="2" s="1"/>
  <c r="O7701" i="2"/>
  <c r="K7701" i="2"/>
  <c r="J7701" i="2"/>
  <c r="I7701" i="2"/>
  <c r="A7701" i="2" s="1"/>
  <c r="H7701" i="2"/>
  <c r="R7700" i="2"/>
  <c r="S7700" i="2" s="1"/>
  <c r="O7700" i="2"/>
  <c r="K7700" i="2"/>
  <c r="J7700" i="2"/>
  <c r="I7700" i="2"/>
  <c r="A7700" i="2" s="1"/>
  <c r="H7700" i="2"/>
  <c r="R7699" i="2"/>
  <c r="S7699" i="2" s="1"/>
  <c r="O7699" i="2"/>
  <c r="K7699" i="2"/>
  <c r="J7699" i="2"/>
  <c r="I7699" i="2"/>
  <c r="A7699" i="2" s="1"/>
  <c r="H7699" i="2"/>
  <c r="R7698" i="2"/>
  <c r="S7698" i="2" s="1"/>
  <c r="O7698" i="2"/>
  <c r="K7698" i="2"/>
  <c r="J7698" i="2"/>
  <c r="I7698" i="2"/>
  <c r="A7698" i="2" s="1"/>
  <c r="H7698" i="2"/>
  <c r="R7697" i="2"/>
  <c r="S7697" i="2" s="1"/>
  <c r="O7697" i="2"/>
  <c r="K7697" i="2"/>
  <c r="J7697" i="2"/>
  <c r="I7697" i="2"/>
  <c r="A7697" i="2" s="1"/>
  <c r="H7697" i="2"/>
  <c r="R7696" i="2"/>
  <c r="S7696" i="2" s="1"/>
  <c r="O7696" i="2"/>
  <c r="K7696" i="2"/>
  <c r="J7696" i="2"/>
  <c r="I7696" i="2"/>
  <c r="A7696" i="2" s="1"/>
  <c r="H7696" i="2"/>
  <c r="R7695" i="2"/>
  <c r="S7695" i="2" s="1"/>
  <c r="O7695" i="2"/>
  <c r="K7695" i="2"/>
  <c r="J7695" i="2"/>
  <c r="I7695" i="2"/>
  <c r="A7695" i="2" s="1"/>
  <c r="H7695" i="2"/>
  <c r="R7694" i="2"/>
  <c r="S7694" i="2" s="1"/>
  <c r="O7694" i="2"/>
  <c r="K7694" i="2"/>
  <c r="J7694" i="2"/>
  <c r="I7694" i="2"/>
  <c r="A7694" i="2" s="1"/>
  <c r="H7694" i="2"/>
  <c r="R7693" i="2"/>
  <c r="S7693" i="2" s="1"/>
  <c r="O7693" i="2"/>
  <c r="K7693" i="2"/>
  <c r="J7693" i="2"/>
  <c r="I7693" i="2"/>
  <c r="A7693" i="2" s="1"/>
  <c r="H7693" i="2"/>
  <c r="R7692" i="2"/>
  <c r="S7692" i="2" s="1"/>
  <c r="O7692" i="2"/>
  <c r="K7692" i="2"/>
  <c r="J7692" i="2"/>
  <c r="I7692" i="2"/>
  <c r="A7692" i="2" s="1"/>
  <c r="H7692" i="2"/>
  <c r="R7691" i="2"/>
  <c r="S7691" i="2" s="1"/>
  <c r="O7691" i="2"/>
  <c r="K7691" i="2"/>
  <c r="J7691" i="2"/>
  <c r="I7691" i="2"/>
  <c r="A7691" i="2" s="1"/>
  <c r="H7691" i="2"/>
  <c r="R7690" i="2"/>
  <c r="S7690" i="2" s="1"/>
  <c r="O7690" i="2"/>
  <c r="K7690" i="2"/>
  <c r="J7690" i="2"/>
  <c r="I7690" i="2"/>
  <c r="A7690" i="2" s="1"/>
  <c r="H7690" i="2"/>
  <c r="R7689" i="2"/>
  <c r="S7689" i="2" s="1"/>
  <c r="O7689" i="2"/>
  <c r="K7689" i="2"/>
  <c r="J7689" i="2"/>
  <c r="I7689" i="2"/>
  <c r="A7689" i="2" s="1"/>
  <c r="H7689" i="2"/>
  <c r="R7688" i="2"/>
  <c r="S7688" i="2" s="1"/>
  <c r="O7688" i="2"/>
  <c r="K7688" i="2"/>
  <c r="J7688" i="2"/>
  <c r="I7688" i="2"/>
  <c r="A7688" i="2" s="1"/>
  <c r="H7688" i="2"/>
  <c r="R7687" i="2"/>
  <c r="S7687" i="2" s="1"/>
  <c r="O7687" i="2"/>
  <c r="K7687" i="2"/>
  <c r="J7687" i="2"/>
  <c r="I7687" i="2"/>
  <c r="A7687" i="2" s="1"/>
  <c r="H7687" i="2"/>
  <c r="R7686" i="2"/>
  <c r="S7686" i="2" s="1"/>
  <c r="O7686" i="2"/>
  <c r="K7686" i="2"/>
  <c r="J7686" i="2"/>
  <c r="I7686" i="2"/>
  <c r="A7686" i="2" s="1"/>
  <c r="H7686" i="2"/>
  <c r="F7685" i="2"/>
  <c r="F7684" i="2"/>
  <c r="F7683" i="2"/>
  <c r="F7682" i="2"/>
  <c r="F7681" i="2"/>
  <c r="F7680" i="2"/>
  <c r="F7679" i="2"/>
  <c r="F7678" i="2"/>
  <c r="F7677" i="2"/>
  <c r="F7676" i="2"/>
  <c r="F7675" i="2"/>
  <c r="F7674" i="2"/>
  <c r="F7673" i="2"/>
  <c r="F7672" i="2"/>
  <c r="F7671" i="2"/>
  <c r="F7670" i="2"/>
  <c r="F7669" i="2"/>
  <c r="F7668" i="2"/>
  <c r="F7667" i="2"/>
  <c r="F7666" i="2"/>
  <c r="F7665" i="2"/>
  <c r="F7664" i="2"/>
  <c r="F7663" i="2"/>
  <c r="F7662" i="2"/>
  <c r="F7661" i="2"/>
  <c r="F7660" i="2"/>
  <c r="F7659" i="2"/>
  <c r="F7658" i="2"/>
  <c r="F7657" i="2"/>
  <c r="F7656" i="2"/>
  <c r="F7655" i="2"/>
  <c r="F7654" i="2"/>
  <c r="R7685" i="2"/>
  <c r="S7685" i="2" s="1"/>
  <c r="O7685" i="2"/>
  <c r="K7685" i="2"/>
  <c r="J7685" i="2"/>
  <c r="I7685" i="2"/>
  <c r="A7685" i="2" s="1"/>
  <c r="H7685" i="2"/>
  <c r="R7684" i="2"/>
  <c r="S7684" i="2" s="1"/>
  <c r="O7684" i="2"/>
  <c r="K7684" i="2"/>
  <c r="J7684" i="2"/>
  <c r="I7684" i="2"/>
  <c r="A7684" i="2" s="1"/>
  <c r="H7684" i="2"/>
  <c r="R7683" i="2"/>
  <c r="S7683" i="2" s="1"/>
  <c r="O7683" i="2"/>
  <c r="K7683" i="2"/>
  <c r="J7683" i="2"/>
  <c r="I7683" i="2"/>
  <c r="A7683" i="2" s="1"/>
  <c r="H7683" i="2"/>
  <c r="R7682" i="2"/>
  <c r="S7682" i="2" s="1"/>
  <c r="O7682" i="2"/>
  <c r="K7682" i="2"/>
  <c r="J7682" i="2"/>
  <c r="I7682" i="2"/>
  <c r="A7682" i="2" s="1"/>
  <c r="H7682" i="2"/>
  <c r="R7681" i="2"/>
  <c r="S7681" i="2" s="1"/>
  <c r="O7681" i="2"/>
  <c r="K7681" i="2"/>
  <c r="J7681" i="2"/>
  <c r="I7681" i="2"/>
  <c r="A7681" i="2" s="1"/>
  <c r="H7681" i="2"/>
  <c r="R7680" i="2"/>
  <c r="S7680" i="2" s="1"/>
  <c r="O7680" i="2"/>
  <c r="K7680" i="2"/>
  <c r="J7680" i="2"/>
  <c r="I7680" i="2"/>
  <c r="A7680" i="2" s="1"/>
  <c r="H7680" i="2"/>
  <c r="R7679" i="2"/>
  <c r="S7679" i="2" s="1"/>
  <c r="O7679" i="2"/>
  <c r="K7679" i="2"/>
  <c r="J7679" i="2"/>
  <c r="I7679" i="2"/>
  <c r="A7679" i="2" s="1"/>
  <c r="H7679" i="2"/>
  <c r="R7678" i="2"/>
  <c r="S7678" i="2" s="1"/>
  <c r="O7678" i="2"/>
  <c r="K7678" i="2"/>
  <c r="J7678" i="2"/>
  <c r="I7678" i="2"/>
  <c r="A7678" i="2" s="1"/>
  <c r="H7678" i="2"/>
  <c r="R7677" i="2"/>
  <c r="S7677" i="2" s="1"/>
  <c r="O7677" i="2"/>
  <c r="K7677" i="2"/>
  <c r="J7677" i="2"/>
  <c r="I7677" i="2"/>
  <c r="A7677" i="2" s="1"/>
  <c r="H7677" i="2"/>
  <c r="R7676" i="2"/>
  <c r="S7676" i="2" s="1"/>
  <c r="O7676" i="2"/>
  <c r="K7676" i="2"/>
  <c r="J7676" i="2"/>
  <c r="I7676" i="2"/>
  <c r="A7676" i="2" s="1"/>
  <c r="H7676" i="2"/>
  <c r="R7675" i="2"/>
  <c r="S7675" i="2" s="1"/>
  <c r="O7675" i="2"/>
  <c r="K7675" i="2"/>
  <c r="J7675" i="2"/>
  <c r="I7675" i="2"/>
  <c r="A7675" i="2" s="1"/>
  <c r="H7675" i="2"/>
  <c r="R7674" i="2"/>
  <c r="S7674" i="2" s="1"/>
  <c r="O7674" i="2"/>
  <c r="K7674" i="2"/>
  <c r="J7674" i="2"/>
  <c r="I7674" i="2"/>
  <c r="A7674" i="2" s="1"/>
  <c r="H7674" i="2"/>
  <c r="R7673" i="2"/>
  <c r="S7673" i="2" s="1"/>
  <c r="O7673" i="2"/>
  <c r="K7673" i="2"/>
  <c r="J7673" i="2"/>
  <c r="I7673" i="2"/>
  <c r="A7673" i="2" s="1"/>
  <c r="H7673" i="2"/>
  <c r="R7672" i="2"/>
  <c r="S7672" i="2" s="1"/>
  <c r="O7672" i="2"/>
  <c r="K7672" i="2"/>
  <c r="J7672" i="2"/>
  <c r="I7672" i="2"/>
  <c r="A7672" i="2" s="1"/>
  <c r="H7672" i="2"/>
  <c r="R7671" i="2"/>
  <c r="S7671" i="2" s="1"/>
  <c r="O7671" i="2"/>
  <c r="K7671" i="2"/>
  <c r="J7671" i="2"/>
  <c r="I7671" i="2"/>
  <c r="A7671" i="2" s="1"/>
  <c r="H7671" i="2"/>
  <c r="R7670" i="2"/>
  <c r="S7670" i="2" s="1"/>
  <c r="O7670" i="2"/>
  <c r="K7670" i="2"/>
  <c r="J7670" i="2"/>
  <c r="I7670" i="2"/>
  <c r="A7670" i="2" s="1"/>
  <c r="H7670" i="2"/>
  <c r="R7669" i="2"/>
  <c r="S7669" i="2" s="1"/>
  <c r="O7669" i="2"/>
  <c r="K7669" i="2"/>
  <c r="J7669" i="2"/>
  <c r="I7669" i="2"/>
  <c r="A7669" i="2" s="1"/>
  <c r="H7669" i="2"/>
  <c r="R7668" i="2"/>
  <c r="S7668" i="2" s="1"/>
  <c r="O7668" i="2"/>
  <c r="K7668" i="2"/>
  <c r="J7668" i="2"/>
  <c r="I7668" i="2"/>
  <c r="A7668" i="2" s="1"/>
  <c r="H7668" i="2"/>
  <c r="R7667" i="2"/>
  <c r="S7667" i="2" s="1"/>
  <c r="O7667" i="2"/>
  <c r="K7667" i="2"/>
  <c r="J7667" i="2"/>
  <c r="I7667" i="2"/>
  <c r="A7667" i="2" s="1"/>
  <c r="H7667" i="2"/>
  <c r="R7666" i="2"/>
  <c r="S7666" i="2" s="1"/>
  <c r="O7666" i="2"/>
  <c r="K7666" i="2"/>
  <c r="J7666" i="2"/>
  <c r="I7666" i="2"/>
  <c r="A7666" i="2" s="1"/>
  <c r="H7666" i="2"/>
  <c r="R7665" i="2"/>
  <c r="S7665" i="2" s="1"/>
  <c r="O7665" i="2"/>
  <c r="K7665" i="2"/>
  <c r="J7665" i="2"/>
  <c r="I7665" i="2"/>
  <c r="A7665" i="2" s="1"/>
  <c r="H7665" i="2"/>
  <c r="R7664" i="2"/>
  <c r="S7664" i="2" s="1"/>
  <c r="O7664" i="2"/>
  <c r="K7664" i="2"/>
  <c r="J7664" i="2"/>
  <c r="I7664" i="2"/>
  <c r="A7664" i="2" s="1"/>
  <c r="H7664" i="2"/>
  <c r="R7663" i="2"/>
  <c r="S7663" i="2" s="1"/>
  <c r="O7663" i="2"/>
  <c r="K7663" i="2"/>
  <c r="J7663" i="2"/>
  <c r="I7663" i="2"/>
  <c r="A7663" i="2" s="1"/>
  <c r="H7663" i="2"/>
  <c r="R7662" i="2"/>
  <c r="S7662" i="2" s="1"/>
  <c r="O7662" i="2"/>
  <c r="K7662" i="2"/>
  <c r="J7662" i="2"/>
  <c r="I7662" i="2"/>
  <c r="A7662" i="2" s="1"/>
  <c r="H7662" i="2"/>
  <c r="R7661" i="2"/>
  <c r="S7661" i="2" s="1"/>
  <c r="O7661" i="2"/>
  <c r="K7661" i="2"/>
  <c r="J7661" i="2"/>
  <c r="I7661" i="2"/>
  <c r="A7661" i="2" s="1"/>
  <c r="H7661" i="2"/>
  <c r="R7660" i="2"/>
  <c r="S7660" i="2" s="1"/>
  <c r="O7660" i="2"/>
  <c r="K7660" i="2"/>
  <c r="J7660" i="2"/>
  <c r="I7660" i="2"/>
  <c r="A7660" i="2" s="1"/>
  <c r="H7660" i="2"/>
  <c r="R7659" i="2"/>
  <c r="S7659" i="2" s="1"/>
  <c r="O7659" i="2"/>
  <c r="K7659" i="2"/>
  <c r="J7659" i="2"/>
  <c r="I7659" i="2"/>
  <c r="A7659" i="2" s="1"/>
  <c r="H7659" i="2"/>
  <c r="R7658" i="2"/>
  <c r="S7658" i="2" s="1"/>
  <c r="O7658" i="2"/>
  <c r="K7658" i="2"/>
  <c r="J7658" i="2"/>
  <c r="I7658" i="2"/>
  <c r="A7658" i="2" s="1"/>
  <c r="H7658" i="2"/>
  <c r="R7657" i="2"/>
  <c r="S7657" i="2" s="1"/>
  <c r="O7657" i="2"/>
  <c r="K7657" i="2"/>
  <c r="J7657" i="2"/>
  <c r="I7657" i="2"/>
  <c r="A7657" i="2" s="1"/>
  <c r="H7657" i="2"/>
  <c r="R7656" i="2"/>
  <c r="S7656" i="2" s="1"/>
  <c r="O7656" i="2"/>
  <c r="K7656" i="2"/>
  <c r="J7656" i="2"/>
  <c r="I7656" i="2"/>
  <c r="A7656" i="2" s="1"/>
  <c r="H7656" i="2"/>
  <c r="R7655" i="2"/>
  <c r="S7655" i="2" s="1"/>
  <c r="O7655" i="2"/>
  <c r="K7655" i="2"/>
  <c r="J7655" i="2"/>
  <c r="I7655" i="2"/>
  <c r="A7655" i="2" s="1"/>
  <c r="H7655" i="2"/>
  <c r="R7654" i="2"/>
  <c r="S7654" i="2" s="1"/>
  <c r="O7654" i="2"/>
  <c r="K7654" i="2"/>
  <c r="J7654" i="2"/>
  <c r="I7654" i="2"/>
  <c r="A7654" i="2" s="1"/>
  <c r="H7654" i="2"/>
  <c r="F7653" i="2"/>
  <c r="F7652" i="2"/>
  <c r="F7651" i="2"/>
  <c r="F7650" i="2"/>
  <c r="F7649" i="2"/>
  <c r="F7648" i="2"/>
  <c r="F7647" i="2"/>
  <c r="F7646" i="2"/>
  <c r="F7645" i="2"/>
  <c r="F7644" i="2"/>
  <c r="F7643" i="2"/>
  <c r="F7642" i="2"/>
  <c r="F7641" i="2"/>
  <c r="F7640" i="2"/>
  <c r="F7639" i="2"/>
  <c r="F7638" i="2"/>
  <c r="F7637" i="2"/>
  <c r="F7636" i="2"/>
  <c r="F7635" i="2"/>
  <c r="F7634" i="2"/>
  <c r="F7633" i="2"/>
  <c r="F7632" i="2"/>
  <c r="F7631" i="2"/>
  <c r="F7630" i="2"/>
  <c r="F7629" i="2"/>
  <c r="F7628" i="2"/>
  <c r="F7627" i="2"/>
  <c r="F7626" i="2"/>
  <c r="F7625" i="2"/>
  <c r="F7624" i="2"/>
  <c r="F7623" i="2"/>
  <c r="F7622" i="2"/>
  <c r="R7653" i="2"/>
  <c r="S7653" i="2" s="1"/>
  <c r="O7653" i="2"/>
  <c r="K7653" i="2"/>
  <c r="J7653" i="2"/>
  <c r="I7653" i="2"/>
  <c r="A7653" i="2" s="1"/>
  <c r="H7653" i="2"/>
  <c r="R7652" i="2"/>
  <c r="S7652" i="2" s="1"/>
  <c r="O7652" i="2"/>
  <c r="K7652" i="2"/>
  <c r="J7652" i="2"/>
  <c r="I7652" i="2"/>
  <c r="A7652" i="2" s="1"/>
  <c r="H7652" i="2"/>
  <c r="R7651" i="2"/>
  <c r="S7651" i="2" s="1"/>
  <c r="O7651" i="2"/>
  <c r="K7651" i="2"/>
  <c r="J7651" i="2"/>
  <c r="I7651" i="2"/>
  <c r="A7651" i="2" s="1"/>
  <c r="H7651" i="2"/>
  <c r="R7650" i="2"/>
  <c r="S7650" i="2" s="1"/>
  <c r="O7650" i="2"/>
  <c r="K7650" i="2"/>
  <c r="J7650" i="2"/>
  <c r="I7650" i="2"/>
  <c r="A7650" i="2" s="1"/>
  <c r="H7650" i="2"/>
  <c r="R7649" i="2"/>
  <c r="S7649" i="2" s="1"/>
  <c r="O7649" i="2"/>
  <c r="K7649" i="2"/>
  <c r="J7649" i="2"/>
  <c r="I7649" i="2"/>
  <c r="A7649" i="2" s="1"/>
  <c r="H7649" i="2"/>
  <c r="R7648" i="2"/>
  <c r="S7648" i="2" s="1"/>
  <c r="O7648" i="2"/>
  <c r="K7648" i="2"/>
  <c r="J7648" i="2"/>
  <c r="I7648" i="2"/>
  <c r="A7648" i="2" s="1"/>
  <c r="H7648" i="2"/>
  <c r="R7647" i="2"/>
  <c r="S7647" i="2" s="1"/>
  <c r="O7647" i="2"/>
  <c r="K7647" i="2"/>
  <c r="J7647" i="2"/>
  <c r="I7647" i="2"/>
  <c r="A7647" i="2" s="1"/>
  <c r="H7647" i="2"/>
  <c r="R7646" i="2"/>
  <c r="S7646" i="2" s="1"/>
  <c r="O7646" i="2"/>
  <c r="K7646" i="2"/>
  <c r="J7646" i="2"/>
  <c r="I7646" i="2"/>
  <c r="A7646" i="2" s="1"/>
  <c r="H7646" i="2"/>
  <c r="R7645" i="2"/>
  <c r="S7645" i="2" s="1"/>
  <c r="O7645" i="2"/>
  <c r="K7645" i="2"/>
  <c r="J7645" i="2"/>
  <c r="I7645" i="2"/>
  <c r="A7645" i="2" s="1"/>
  <c r="H7645" i="2"/>
  <c r="R7644" i="2"/>
  <c r="S7644" i="2" s="1"/>
  <c r="O7644" i="2"/>
  <c r="K7644" i="2"/>
  <c r="J7644" i="2"/>
  <c r="I7644" i="2"/>
  <c r="A7644" i="2" s="1"/>
  <c r="H7644" i="2"/>
  <c r="R7643" i="2"/>
  <c r="S7643" i="2" s="1"/>
  <c r="O7643" i="2"/>
  <c r="K7643" i="2"/>
  <c r="J7643" i="2"/>
  <c r="I7643" i="2"/>
  <c r="A7643" i="2" s="1"/>
  <c r="H7643" i="2"/>
  <c r="R7642" i="2"/>
  <c r="S7642" i="2" s="1"/>
  <c r="O7642" i="2"/>
  <c r="K7642" i="2"/>
  <c r="J7642" i="2"/>
  <c r="I7642" i="2"/>
  <c r="A7642" i="2" s="1"/>
  <c r="H7642" i="2"/>
  <c r="R7641" i="2"/>
  <c r="S7641" i="2" s="1"/>
  <c r="O7641" i="2"/>
  <c r="K7641" i="2"/>
  <c r="J7641" i="2"/>
  <c r="I7641" i="2"/>
  <c r="A7641" i="2" s="1"/>
  <c r="H7641" i="2"/>
  <c r="R7640" i="2"/>
  <c r="S7640" i="2" s="1"/>
  <c r="O7640" i="2"/>
  <c r="K7640" i="2"/>
  <c r="J7640" i="2"/>
  <c r="I7640" i="2"/>
  <c r="A7640" i="2" s="1"/>
  <c r="H7640" i="2"/>
  <c r="R7639" i="2"/>
  <c r="S7639" i="2" s="1"/>
  <c r="O7639" i="2"/>
  <c r="K7639" i="2"/>
  <c r="J7639" i="2"/>
  <c r="I7639" i="2"/>
  <c r="A7639" i="2" s="1"/>
  <c r="H7639" i="2"/>
  <c r="R7638" i="2"/>
  <c r="S7638" i="2" s="1"/>
  <c r="O7638" i="2"/>
  <c r="K7638" i="2"/>
  <c r="J7638" i="2"/>
  <c r="I7638" i="2"/>
  <c r="A7638" i="2" s="1"/>
  <c r="H7638" i="2"/>
  <c r="R7637" i="2"/>
  <c r="S7637" i="2" s="1"/>
  <c r="O7637" i="2"/>
  <c r="K7637" i="2"/>
  <c r="J7637" i="2"/>
  <c r="I7637" i="2"/>
  <c r="A7637" i="2" s="1"/>
  <c r="H7637" i="2"/>
  <c r="R7636" i="2"/>
  <c r="S7636" i="2" s="1"/>
  <c r="O7636" i="2"/>
  <c r="K7636" i="2"/>
  <c r="J7636" i="2"/>
  <c r="I7636" i="2"/>
  <c r="A7636" i="2" s="1"/>
  <c r="H7636" i="2"/>
  <c r="R7635" i="2"/>
  <c r="S7635" i="2" s="1"/>
  <c r="O7635" i="2"/>
  <c r="K7635" i="2"/>
  <c r="J7635" i="2"/>
  <c r="I7635" i="2"/>
  <c r="A7635" i="2" s="1"/>
  <c r="H7635" i="2"/>
  <c r="R7634" i="2"/>
  <c r="S7634" i="2" s="1"/>
  <c r="O7634" i="2"/>
  <c r="K7634" i="2"/>
  <c r="J7634" i="2"/>
  <c r="I7634" i="2"/>
  <c r="A7634" i="2" s="1"/>
  <c r="H7634" i="2"/>
  <c r="R7633" i="2"/>
  <c r="S7633" i="2" s="1"/>
  <c r="O7633" i="2"/>
  <c r="K7633" i="2"/>
  <c r="J7633" i="2"/>
  <c r="I7633" i="2"/>
  <c r="A7633" i="2" s="1"/>
  <c r="H7633" i="2"/>
  <c r="R7632" i="2"/>
  <c r="S7632" i="2" s="1"/>
  <c r="O7632" i="2"/>
  <c r="K7632" i="2"/>
  <c r="J7632" i="2"/>
  <c r="I7632" i="2"/>
  <c r="A7632" i="2" s="1"/>
  <c r="H7632" i="2"/>
  <c r="R7631" i="2"/>
  <c r="S7631" i="2" s="1"/>
  <c r="O7631" i="2"/>
  <c r="K7631" i="2"/>
  <c r="J7631" i="2"/>
  <c r="I7631" i="2"/>
  <c r="A7631" i="2" s="1"/>
  <c r="H7631" i="2"/>
  <c r="R7630" i="2"/>
  <c r="S7630" i="2" s="1"/>
  <c r="O7630" i="2"/>
  <c r="K7630" i="2"/>
  <c r="J7630" i="2"/>
  <c r="I7630" i="2"/>
  <c r="A7630" i="2" s="1"/>
  <c r="H7630" i="2"/>
  <c r="R7629" i="2"/>
  <c r="S7629" i="2" s="1"/>
  <c r="O7629" i="2"/>
  <c r="K7629" i="2"/>
  <c r="J7629" i="2"/>
  <c r="I7629" i="2"/>
  <c r="A7629" i="2" s="1"/>
  <c r="H7629" i="2"/>
  <c r="R7628" i="2"/>
  <c r="S7628" i="2" s="1"/>
  <c r="O7628" i="2"/>
  <c r="K7628" i="2"/>
  <c r="J7628" i="2"/>
  <c r="I7628" i="2"/>
  <c r="A7628" i="2" s="1"/>
  <c r="H7628" i="2"/>
  <c r="R7627" i="2"/>
  <c r="S7627" i="2" s="1"/>
  <c r="O7627" i="2"/>
  <c r="K7627" i="2"/>
  <c r="J7627" i="2"/>
  <c r="I7627" i="2"/>
  <c r="A7627" i="2" s="1"/>
  <c r="H7627" i="2"/>
  <c r="R7626" i="2"/>
  <c r="S7626" i="2" s="1"/>
  <c r="O7626" i="2"/>
  <c r="K7626" i="2"/>
  <c r="J7626" i="2"/>
  <c r="I7626" i="2"/>
  <c r="A7626" i="2" s="1"/>
  <c r="H7626" i="2"/>
  <c r="R7625" i="2"/>
  <c r="S7625" i="2" s="1"/>
  <c r="O7625" i="2"/>
  <c r="K7625" i="2"/>
  <c r="J7625" i="2"/>
  <c r="I7625" i="2"/>
  <c r="A7625" i="2" s="1"/>
  <c r="H7625" i="2"/>
  <c r="R7624" i="2"/>
  <c r="S7624" i="2" s="1"/>
  <c r="O7624" i="2"/>
  <c r="K7624" i="2"/>
  <c r="J7624" i="2"/>
  <c r="I7624" i="2"/>
  <c r="A7624" i="2" s="1"/>
  <c r="H7624" i="2"/>
  <c r="R7623" i="2"/>
  <c r="S7623" i="2" s="1"/>
  <c r="O7623" i="2"/>
  <c r="K7623" i="2"/>
  <c r="J7623" i="2"/>
  <c r="I7623" i="2"/>
  <c r="A7623" i="2" s="1"/>
  <c r="H7623" i="2"/>
  <c r="R7622" i="2"/>
  <c r="S7622" i="2" s="1"/>
  <c r="O7622" i="2"/>
  <c r="K7622" i="2"/>
  <c r="J7622" i="2"/>
  <c r="I7622" i="2"/>
  <c r="A7622" i="2" s="1"/>
  <c r="H7622" i="2"/>
  <c r="P7732" i="2" l="1"/>
  <c r="P7718" i="2"/>
  <c r="P7724" i="2"/>
  <c r="P7747" i="2"/>
  <c r="P7725" i="2"/>
  <c r="P7748" i="2"/>
  <c r="P7721" i="2"/>
  <c r="P7720" i="2"/>
  <c r="P7736" i="2"/>
  <c r="P7746" i="2"/>
  <c r="P7734" i="2"/>
  <c r="P7719" i="2"/>
  <c r="P7730" i="2"/>
  <c r="P7723" i="2"/>
  <c r="P7726" i="2"/>
  <c r="P7741" i="2"/>
  <c r="P7749" i="2"/>
  <c r="P7744" i="2"/>
  <c r="P7728" i="2"/>
  <c r="P7738" i="2"/>
  <c r="P7729" i="2"/>
  <c r="P7739" i="2"/>
  <c r="P7743" i="2"/>
  <c r="P7722" i="2"/>
  <c r="P7740" i="2"/>
  <c r="P7745" i="2"/>
  <c r="P7727" i="2"/>
  <c r="P7733" i="2"/>
  <c r="P7731" i="2"/>
  <c r="P7735" i="2"/>
  <c r="P7737" i="2"/>
  <c r="N7622" i="2"/>
  <c r="N7624" i="2"/>
  <c r="N7626" i="2"/>
  <c r="N7628" i="2"/>
  <c r="N7630" i="2"/>
  <c r="N7632" i="2"/>
  <c r="N7634" i="2"/>
  <c r="N7636" i="2"/>
  <c r="N7638" i="2"/>
  <c r="N7640" i="2"/>
  <c r="N7642" i="2"/>
  <c r="N7644" i="2"/>
  <c r="N7646" i="2"/>
  <c r="N7648" i="2"/>
  <c r="N7650" i="2"/>
  <c r="N7652" i="2"/>
  <c r="N7655" i="2"/>
  <c r="N7657" i="2"/>
  <c r="N7659" i="2"/>
  <c r="N7661" i="2"/>
  <c r="N7663" i="2"/>
  <c r="N7665" i="2"/>
  <c r="N7667" i="2"/>
  <c r="N7669" i="2"/>
  <c r="N7671" i="2"/>
  <c r="N7675" i="2"/>
  <c r="N7677" i="2"/>
  <c r="N7679" i="2"/>
  <c r="N7681" i="2"/>
  <c r="N7683" i="2"/>
  <c r="N7685" i="2"/>
  <c r="N7673" i="2"/>
  <c r="M7688" i="2"/>
  <c r="L7696" i="2"/>
  <c r="N7658" i="2"/>
  <c r="N7662" i="2"/>
  <c r="N7664" i="2"/>
  <c r="N7666" i="2"/>
  <c r="N7670" i="2"/>
  <c r="N7674" i="2"/>
  <c r="N7676" i="2"/>
  <c r="N7678" i="2"/>
  <c r="N7682" i="2"/>
  <c r="N7684" i="2"/>
  <c r="N7654" i="2"/>
  <c r="N7660" i="2"/>
  <c r="N7672" i="2"/>
  <c r="N7625" i="2"/>
  <c r="N7629" i="2"/>
  <c r="N7637" i="2"/>
  <c r="N7647" i="2"/>
  <c r="N7623" i="2"/>
  <c r="N7627" i="2"/>
  <c r="N7631" i="2"/>
  <c r="N7633" i="2"/>
  <c r="N7635" i="2"/>
  <c r="N7639" i="2"/>
  <c r="N7641" i="2"/>
  <c r="N7643" i="2"/>
  <c r="N7645" i="2"/>
  <c r="N7649" i="2"/>
  <c r="N7651" i="2"/>
  <c r="N7653" i="2"/>
  <c r="N7716" i="2"/>
  <c r="N7692" i="2"/>
  <c r="N7704" i="2"/>
  <c r="N7687" i="2"/>
  <c r="N7689" i="2"/>
  <c r="N7691" i="2"/>
  <c r="N7693" i="2"/>
  <c r="N7695" i="2"/>
  <c r="N7697" i="2"/>
  <c r="N7699" i="2"/>
  <c r="N7701" i="2"/>
  <c r="N7703" i="2"/>
  <c r="N7705" i="2"/>
  <c r="N7707" i="2"/>
  <c r="N7709" i="2"/>
  <c r="N7711" i="2"/>
  <c r="N7713" i="2"/>
  <c r="N7715" i="2"/>
  <c r="N7717" i="2"/>
  <c r="N7686" i="2"/>
  <c r="N7688" i="2"/>
  <c r="N7690" i="2"/>
  <c r="N7694" i="2"/>
  <c r="N7696" i="2"/>
  <c r="N7698" i="2"/>
  <c r="N7700" i="2"/>
  <c r="N7702" i="2"/>
  <c r="N7706" i="2"/>
  <c r="N7708" i="2"/>
  <c r="N7710" i="2"/>
  <c r="N7712" i="2"/>
  <c r="N7714" i="2"/>
  <c r="N7656" i="2"/>
  <c r="N7668" i="2"/>
  <c r="N7680" i="2"/>
  <c r="L7687" i="2"/>
  <c r="M7695" i="2"/>
  <c r="M7697" i="2"/>
  <c r="M7691" i="2"/>
  <c r="M7701" i="2"/>
  <c r="M7705" i="2"/>
  <c r="L7711" i="2"/>
  <c r="M7713" i="2"/>
  <c r="M7717" i="2"/>
  <c r="L7697" i="2"/>
  <c r="L7690" i="2"/>
  <c r="M7694" i="2"/>
  <c r="L7688" i="2"/>
  <c r="L7694" i="2"/>
  <c r="M7704" i="2"/>
  <c r="M7706" i="2"/>
  <c r="M7714" i="2"/>
  <c r="M7716" i="2"/>
  <c r="L7691" i="2"/>
  <c r="Q7694" i="2"/>
  <c r="M7698" i="2"/>
  <c r="M7700" i="2"/>
  <c r="Q7711" i="2"/>
  <c r="L7693" i="2"/>
  <c r="Q7700" i="2"/>
  <c r="L7706" i="2"/>
  <c r="M7708" i="2"/>
  <c r="M7710" i="2"/>
  <c r="Q7691" i="2"/>
  <c r="Q7706" i="2"/>
  <c r="Q7710" i="2"/>
  <c r="Q7688" i="2"/>
  <c r="M7692" i="2"/>
  <c r="Q7697" i="2"/>
  <c r="L7701" i="2"/>
  <c r="Q7701" i="2"/>
  <c r="Q7705" i="2"/>
  <c r="M7707" i="2"/>
  <c r="M7709" i="2"/>
  <c r="M7711" i="2"/>
  <c r="M7687" i="2"/>
  <c r="M7690" i="2"/>
  <c r="M7693" i="2"/>
  <c r="M7696" i="2"/>
  <c r="P7696" i="2" s="1"/>
  <c r="Q7699" i="2"/>
  <c r="Q7709" i="2"/>
  <c r="Q7716" i="2"/>
  <c r="Q7687" i="2"/>
  <c r="Q7690" i="2"/>
  <c r="Q7693" i="2"/>
  <c r="Q7696" i="2"/>
  <c r="M7703" i="2"/>
  <c r="L7686" i="2"/>
  <c r="L7689" i="2"/>
  <c r="L7692" i="2"/>
  <c r="L7695" i="2"/>
  <c r="L7698" i="2"/>
  <c r="L7703" i="2"/>
  <c r="L7713" i="2"/>
  <c r="M7715" i="2"/>
  <c r="M7686" i="2"/>
  <c r="M7689" i="2"/>
  <c r="Q7703" i="2"/>
  <c r="L7708" i="2"/>
  <c r="Q7713" i="2"/>
  <c r="Q7686" i="2"/>
  <c r="Q7689" i="2"/>
  <c r="Q7692" i="2"/>
  <c r="Q7695" i="2"/>
  <c r="Q7698" i="2"/>
  <c r="L7705" i="2"/>
  <c r="Q7708" i="2"/>
  <c r="L7715" i="2"/>
  <c r="L7700" i="2"/>
  <c r="M7702" i="2"/>
  <c r="L7710" i="2"/>
  <c r="M7712" i="2"/>
  <c r="Q7715" i="2"/>
  <c r="Q7717" i="2"/>
  <c r="L7702" i="2"/>
  <c r="L7712" i="2"/>
  <c r="M7699" i="2"/>
  <c r="Q7702" i="2"/>
  <c r="L7707" i="2"/>
  <c r="Q7712" i="2"/>
  <c r="L7704" i="2"/>
  <c r="Q7707" i="2"/>
  <c r="L7714" i="2"/>
  <c r="L7699" i="2"/>
  <c r="Q7704" i="2"/>
  <c r="L7709" i="2"/>
  <c r="Q7714" i="2"/>
  <c r="L7716" i="2"/>
  <c r="L7717" i="2"/>
  <c r="L7647" i="2"/>
  <c r="L7651" i="2"/>
  <c r="M7681" i="2"/>
  <c r="M7653" i="2"/>
  <c r="L7623" i="2"/>
  <c r="M7657" i="2"/>
  <c r="M7661" i="2"/>
  <c r="M7665" i="2"/>
  <c r="M7675" i="2"/>
  <c r="L7650" i="2"/>
  <c r="M7669" i="2"/>
  <c r="Q7644" i="2"/>
  <c r="Q7657" i="2"/>
  <c r="Q7661" i="2"/>
  <c r="Q7665" i="2"/>
  <c r="Q7669" i="2"/>
  <c r="L7627" i="2"/>
  <c r="L7639" i="2"/>
  <c r="M7660" i="2"/>
  <c r="M7664" i="2"/>
  <c r="L7643" i="2"/>
  <c r="M7656" i="2"/>
  <c r="M7668" i="2"/>
  <c r="M7672" i="2"/>
  <c r="M7679" i="2"/>
  <c r="L7634" i="2"/>
  <c r="Q7639" i="2"/>
  <c r="Q7651" i="2"/>
  <c r="Q7654" i="2"/>
  <c r="Q7658" i="2"/>
  <c r="Q7662" i="2"/>
  <c r="Q7666" i="2"/>
  <c r="Q7670" i="2"/>
  <c r="L7676" i="2"/>
  <c r="Q7677" i="2"/>
  <c r="Q7683" i="2"/>
  <c r="Q7673" i="2"/>
  <c r="M7676" i="2"/>
  <c r="L7660" i="2"/>
  <c r="L7664" i="2"/>
  <c r="L7668" i="2"/>
  <c r="L7672" i="2"/>
  <c r="M7680" i="2"/>
  <c r="Q7684" i="2"/>
  <c r="L7622" i="2"/>
  <c r="L7638" i="2"/>
  <c r="L7656" i="2"/>
  <c r="L7626" i="2"/>
  <c r="L7642" i="2"/>
  <c r="Q7652" i="2"/>
  <c r="M7655" i="2"/>
  <c r="M7659" i="2"/>
  <c r="M7663" i="2"/>
  <c r="M7667" i="2"/>
  <c r="M7671" i="2"/>
  <c r="Q7675" i="2"/>
  <c r="Q7676" i="2"/>
  <c r="Q7679" i="2"/>
  <c r="Q7680" i="2"/>
  <c r="Q7682" i="2"/>
  <c r="M7685" i="2"/>
  <c r="Q7648" i="2"/>
  <c r="L7631" i="2"/>
  <c r="Q7643" i="2"/>
  <c r="L7630" i="2"/>
  <c r="L7635" i="2"/>
  <c r="Q7640" i="2"/>
  <c r="L7646" i="2"/>
  <c r="Q7647" i="2"/>
  <c r="Q7655" i="2"/>
  <c r="Q7656" i="2"/>
  <c r="Q7659" i="2"/>
  <c r="Q7660" i="2"/>
  <c r="Q7663" i="2"/>
  <c r="Q7664" i="2"/>
  <c r="Q7667" i="2"/>
  <c r="Q7668" i="2"/>
  <c r="Q7671" i="2"/>
  <c r="Q7672" i="2"/>
  <c r="Q7674" i="2"/>
  <c r="M7677" i="2"/>
  <c r="Q7678" i="2"/>
  <c r="Q7681" i="2"/>
  <c r="L7684" i="2"/>
  <c r="L7680" i="2"/>
  <c r="M7683" i="2"/>
  <c r="M7684" i="2"/>
  <c r="L7657" i="2"/>
  <c r="L7661" i="2"/>
  <c r="L7665" i="2"/>
  <c r="L7669" i="2"/>
  <c r="L7673" i="2"/>
  <c r="L7677" i="2"/>
  <c r="L7681" i="2"/>
  <c r="L7685" i="2"/>
  <c r="L7625" i="2"/>
  <c r="L7629" i="2"/>
  <c r="L7633" i="2"/>
  <c r="L7637" i="2"/>
  <c r="Q7638" i="2"/>
  <c r="L7641" i="2"/>
  <c r="Q7642" i="2"/>
  <c r="L7645" i="2"/>
  <c r="Q7646" i="2"/>
  <c r="L7649" i="2"/>
  <c r="Q7650" i="2"/>
  <c r="L7653" i="2"/>
  <c r="L7654" i="2"/>
  <c r="L7658" i="2"/>
  <c r="L7662" i="2"/>
  <c r="L7666" i="2"/>
  <c r="L7670" i="2"/>
  <c r="M7673" i="2"/>
  <c r="L7674" i="2"/>
  <c r="L7678" i="2"/>
  <c r="L7682" i="2"/>
  <c r="L7624" i="2"/>
  <c r="L7628" i="2"/>
  <c r="L7632" i="2"/>
  <c r="L7636" i="2"/>
  <c r="L7640" i="2"/>
  <c r="Q7641" i="2"/>
  <c r="L7644" i="2"/>
  <c r="Q7645" i="2"/>
  <c r="L7648" i="2"/>
  <c r="Q7649" i="2"/>
  <c r="L7652" i="2"/>
  <c r="Q7653" i="2"/>
  <c r="M7654" i="2"/>
  <c r="L7655" i="2"/>
  <c r="M7658" i="2"/>
  <c r="L7659" i="2"/>
  <c r="M7662" i="2"/>
  <c r="L7663" i="2"/>
  <c r="M7666" i="2"/>
  <c r="L7667" i="2"/>
  <c r="M7670" i="2"/>
  <c r="L7671" i="2"/>
  <c r="M7674" i="2"/>
  <c r="L7675" i="2"/>
  <c r="M7678" i="2"/>
  <c r="L7679" i="2"/>
  <c r="M7682" i="2"/>
  <c r="L7683" i="2"/>
  <c r="Q7685" i="2"/>
  <c r="M7622" i="2"/>
  <c r="Q7622" i="2"/>
  <c r="M7623" i="2"/>
  <c r="Q7623" i="2"/>
  <c r="M7624" i="2"/>
  <c r="Q7624" i="2"/>
  <c r="M7625" i="2"/>
  <c r="Q7625" i="2"/>
  <c r="M7626" i="2"/>
  <c r="Q7626" i="2"/>
  <c r="M7627" i="2"/>
  <c r="Q7627" i="2"/>
  <c r="M7628" i="2"/>
  <c r="Q7628" i="2"/>
  <c r="M7629" i="2"/>
  <c r="Q7629" i="2"/>
  <c r="M7630" i="2"/>
  <c r="Q7630" i="2"/>
  <c r="M7631" i="2"/>
  <c r="Q7631" i="2"/>
  <c r="M7632" i="2"/>
  <c r="Q7632" i="2"/>
  <c r="M7633" i="2"/>
  <c r="Q7633" i="2"/>
  <c r="M7634" i="2"/>
  <c r="Q7634" i="2"/>
  <c r="M7635" i="2"/>
  <c r="Q7635" i="2"/>
  <c r="M7636" i="2"/>
  <c r="Q7636" i="2"/>
  <c r="M7637" i="2"/>
  <c r="Q7637" i="2"/>
  <c r="M7638" i="2"/>
  <c r="M7639" i="2"/>
  <c r="M7640" i="2"/>
  <c r="M7641" i="2"/>
  <c r="M7642" i="2"/>
  <c r="M7643" i="2"/>
  <c r="M7644" i="2"/>
  <c r="M7645" i="2"/>
  <c r="M7646" i="2"/>
  <c r="M7647" i="2"/>
  <c r="M7648" i="2"/>
  <c r="M7649" i="2"/>
  <c r="M7650" i="2"/>
  <c r="M7651" i="2"/>
  <c r="M7652" i="2"/>
  <c r="I3" i="2"/>
  <c r="J3" i="2"/>
  <c r="K3" i="2"/>
  <c r="O3" i="2"/>
  <c r="R3" i="2"/>
  <c r="S3" i="2" s="1"/>
  <c r="I4" i="2"/>
  <c r="J4" i="2"/>
  <c r="K4" i="2"/>
  <c r="O4" i="2"/>
  <c r="R4" i="2"/>
  <c r="S4" i="2" s="1"/>
  <c r="I5" i="2"/>
  <c r="J5" i="2"/>
  <c r="K5" i="2"/>
  <c r="O5" i="2"/>
  <c r="R5" i="2"/>
  <c r="S5" i="2" s="1"/>
  <c r="I6" i="2"/>
  <c r="J6" i="2"/>
  <c r="K6" i="2"/>
  <c r="O6" i="2"/>
  <c r="R6" i="2"/>
  <c r="S6" i="2" s="1"/>
  <c r="I7" i="2"/>
  <c r="J7" i="2"/>
  <c r="K7" i="2"/>
  <c r="O7" i="2"/>
  <c r="R7" i="2"/>
  <c r="S7" i="2" s="1"/>
  <c r="I8" i="2"/>
  <c r="J8" i="2"/>
  <c r="K8" i="2"/>
  <c r="O8" i="2"/>
  <c r="R8" i="2"/>
  <c r="S8" i="2" s="1"/>
  <c r="I9" i="2"/>
  <c r="J9" i="2"/>
  <c r="K9" i="2"/>
  <c r="O9" i="2"/>
  <c r="R9" i="2"/>
  <c r="S9" i="2" s="1"/>
  <c r="I10" i="2"/>
  <c r="J10" i="2"/>
  <c r="K10" i="2"/>
  <c r="O10" i="2"/>
  <c r="R10" i="2"/>
  <c r="S10" i="2" s="1"/>
  <c r="I11" i="2"/>
  <c r="J11" i="2"/>
  <c r="K11" i="2"/>
  <c r="O11" i="2"/>
  <c r="R11" i="2"/>
  <c r="S11" i="2" s="1"/>
  <c r="I12" i="2"/>
  <c r="J12" i="2"/>
  <c r="K12" i="2"/>
  <c r="O12" i="2"/>
  <c r="R12" i="2"/>
  <c r="S12" i="2" s="1"/>
  <c r="I13" i="2"/>
  <c r="J13" i="2"/>
  <c r="K13" i="2"/>
  <c r="O13" i="2"/>
  <c r="R13" i="2"/>
  <c r="S13" i="2" s="1"/>
  <c r="I14" i="2"/>
  <c r="J14" i="2"/>
  <c r="K14" i="2"/>
  <c r="O14" i="2"/>
  <c r="R14" i="2"/>
  <c r="S14" i="2" s="1"/>
  <c r="I15" i="2"/>
  <c r="J15" i="2"/>
  <c r="K15" i="2"/>
  <c r="O15" i="2"/>
  <c r="R15" i="2"/>
  <c r="S15" i="2" s="1"/>
  <c r="I16" i="2"/>
  <c r="J16" i="2"/>
  <c r="K16" i="2"/>
  <c r="O16" i="2"/>
  <c r="R16" i="2"/>
  <c r="S16" i="2" s="1"/>
  <c r="I17" i="2"/>
  <c r="J17" i="2"/>
  <c r="K17" i="2"/>
  <c r="O17" i="2"/>
  <c r="R17" i="2"/>
  <c r="S17" i="2" s="1"/>
  <c r="I18" i="2"/>
  <c r="J18" i="2"/>
  <c r="K18" i="2"/>
  <c r="O18" i="2"/>
  <c r="R18" i="2"/>
  <c r="S18" i="2" s="1"/>
  <c r="I19" i="2"/>
  <c r="J19" i="2"/>
  <c r="K19" i="2"/>
  <c r="O19" i="2"/>
  <c r="R19" i="2"/>
  <c r="S19" i="2" s="1"/>
  <c r="I20" i="2"/>
  <c r="J20" i="2"/>
  <c r="K20" i="2"/>
  <c r="O20" i="2"/>
  <c r="R20" i="2"/>
  <c r="S20" i="2" s="1"/>
  <c r="I21" i="2"/>
  <c r="J21" i="2"/>
  <c r="K21" i="2"/>
  <c r="O21" i="2"/>
  <c r="R21" i="2"/>
  <c r="S21" i="2" s="1"/>
  <c r="I22" i="2"/>
  <c r="J22" i="2"/>
  <c r="K22" i="2"/>
  <c r="O22" i="2"/>
  <c r="R22" i="2"/>
  <c r="S22" i="2" s="1"/>
  <c r="I23" i="2"/>
  <c r="J23" i="2"/>
  <c r="K23" i="2"/>
  <c r="O23" i="2"/>
  <c r="R23" i="2"/>
  <c r="S23" i="2" s="1"/>
  <c r="I24" i="2"/>
  <c r="J24" i="2"/>
  <c r="K24" i="2"/>
  <c r="O24" i="2"/>
  <c r="R24" i="2"/>
  <c r="S24" i="2" s="1"/>
  <c r="I25" i="2"/>
  <c r="J25" i="2"/>
  <c r="K25" i="2"/>
  <c r="O25" i="2"/>
  <c r="R25" i="2"/>
  <c r="S25" i="2" s="1"/>
  <c r="I26" i="2"/>
  <c r="J26" i="2"/>
  <c r="K26" i="2"/>
  <c r="O26" i="2"/>
  <c r="R26" i="2"/>
  <c r="S26" i="2" s="1"/>
  <c r="I27" i="2"/>
  <c r="J27" i="2"/>
  <c r="K27" i="2"/>
  <c r="O27" i="2"/>
  <c r="R27" i="2"/>
  <c r="S27" i="2" s="1"/>
  <c r="I28" i="2"/>
  <c r="J28" i="2"/>
  <c r="K28" i="2"/>
  <c r="O28" i="2"/>
  <c r="R28" i="2"/>
  <c r="S28" i="2" s="1"/>
  <c r="I29" i="2"/>
  <c r="J29" i="2"/>
  <c r="K29" i="2"/>
  <c r="O29" i="2"/>
  <c r="R29" i="2"/>
  <c r="S29" i="2" s="1"/>
  <c r="I30" i="2"/>
  <c r="J30" i="2"/>
  <c r="K30" i="2"/>
  <c r="O30" i="2"/>
  <c r="R30" i="2"/>
  <c r="S30" i="2" s="1"/>
  <c r="I31" i="2"/>
  <c r="J31" i="2"/>
  <c r="K31" i="2"/>
  <c r="O31" i="2"/>
  <c r="R31" i="2"/>
  <c r="S31" i="2" s="1"/>
  <c r="I32" i="2"/>
  <c r="J32" i="2"/>
  <c r="K32" i="2"/>
  <c r="O32" i="2"/>
  <c r="R32" i="2"/>
  <c r="S32" i="2" s="1"/>
  <c r="I33" i="2"/>
  <c r="J33" i="2"/>
  <c r="K33" i="2"/>
  <c r="O33" i="2"/>
  <c r="R33" i="2"/>
  <c r="S33" i="2" s="1"/>
  <c r="I34" i="2"/>
  <c r="J34" i="2"/>
  <c r="K34" i="2"/>
  <c r="O34" i="2"/>
  <c r="R34" i="2"/>
  <c r="S34" i="2" s="1"/>
  <c r="I35" i="2"/>
  <c r="J35" i="2"/>
  <c r="K35" i="2"/>
  <c r="O35" i="2"/>
  <c r="R35" i="2"/>
  <c r="S35" i="2" s="1"/>
  <c r="I36" i="2"/>
  <c r="J36" i="2"/>
  <c r="K36" i="2"/>
  <c r="O36" i="2"/>
  <c r="R36" i="2"/>
  <c r="S36" i="2" s="1"/>
  <c r="I37" i="2"/>
  <c r="J37" i="2"/>
  <c r="K37" i="2"/>
  <c r="O37" i="2"/>
  <c r="R37" i="2"/>
  <c r="S37" i="2" s="1"/>
  <c r="I38" i="2"/>
  <c r="J38" i="2"/>
  <c r="K38" i="2"/>
  <c r="O38" i="2"/>
  <c r="R38" i="2"/>
  <c r="S38" i="2" s="1"/>
  <c r="I39" i="2"/>
  <c r="J39" i="2"/>
  <c r="K39" i="2"/>
  <c r="O39" i="2"/>
  <c r="R39" i="2"/>
  <c r="S39" i="2" s="1"/>
  <c r="I40" i="2"/>
  <c r="J40" i="2"/>
  <c r="K40" i="2"/>
  <c r="O40" i="2"/>
  <c r="R40" i="2"/>
  <c r="S40" i="2" s="1"/>
  <c r="I41" i="2"/>
  <c r="J41" i="2"/>
  <c r="K41" i="2"/>
  <c r="O41" i="2"/>
  <c r="R41" i="2"/>
  <c r="S41" i="2" s="1"/>
  <c r="I42" i="2"/>
  <c r="J42" i="2"/>
  <c r="K42" i="2"/>
  <c r="O42" i="2"/>
  <c r="R42" i="2"/>
  <c r="S42" i="2" s="1"/>
  <c r="I43" i="2"/>
  <c r="J43" i="2"/>
  <c r="K43" i="2"/>
  <c r="O43" i="2"/>
  <c r="R43" i="2"/>
  <c r="S43" i="2" s="1"/>
  <c r="I44" i="2"/>
  <c r="J44" i="2"/>
  <c r="K44" i="2"/>
  <c r="O44" i="2"/>
  <c r="R44" i="2"/>
  <c r="S44" i="2" s="1"/>
  <c r="I45" i="2"/>
  <c r="J45" i="2"/>
  <c r="K45" i="2"/>
  <c r="O45" i="2"/>
  <c r="R45" i="2"/>
  <c r="S45" i="2" s="1"/>
  <c r="I46" i="2"/>
  <c r="J46" i="2"/>
  <c r="K46" i="2"/>
  <c r="O46" i="2"/>
  <c r="R46" i="2"/>
  <c r="S46" i="2" s="1"/>
  <c r="I47" i="2"/>
  <c r="J47" i="2"/>
  <c r="K47" i="2"/>
  <c r="O47" i="2"/>
  <c r="R47" i="2"/>
  <c r="S47" i="2" s="1"/>
  <c r="I48" i="2"/>
  <c r="J48" i="2"/>
  <c r="K48" i="2"/>
  <c r="O48" i="2"/>
  <c r="R48" i="2"/>
  <c r="S48" i="2" s="1"/>
  <c r="I49" i="2"/>
  <c r="J49" i="2"/>
  <c r="K49" i="2"/>
  <c r="O49" i="2"/>
  <c r="R49" i="2"/>
  <c r="S49" i="2" s="1"/>
  <c r="I50" i="2"/>
  <c r="J50" i="2"/>
  <c r="K50" i="2"/>
  <c r="O50" i="2"/>
  <c r="R50" i="2"/>
  <c r="S50" i="2" s="1"/>
  <c r="I51" i="2"/>
  <c r="J51" i="2"/>
  <c r="K51" i="2"/>
  <c r="O51" i="2"/>
  <c r="R51" i="2"/>
  <c r="S51" i="2" s="1"/>
  <c r="I52" i="2"/>
  <c r="J52" i="2"/>
  <c r="K52" i="2"/>
  <c r="O52" i="2"/>
  <c r="R52" i="2"/>
  <c r="S52" i="2" s="1"/>
  <c r="I53" i="2"/>
  <c r="J53" i="2"/>
  <c r="K53" i="2"/>
  <c r="O53" i="2"/>
  <c r="R53" i="2"/>
  <c r="S53" i="2" s="1"/>
  <c r="I54" i="2"/>
  <c r="J54" i="2"/>
  <c r="K54" i="2"/>
  <c r="O54" i="2"/>
  <c r="R54" i="2"/>
  <c r="S54" i="2" s="1"/>
  <c r="I55" i="2"/>
  <c r="J55" i="2"/>
  <c r="K55" i="2"/>
  <c r="O55" i="2"/>
  <c r="R55" i="2"/>
  <c r="S55" i="2" s="1"/>
  <c r="I56" i="2"/>
  <c r="J56" i="2"/>
  <c r="K56" i="2"/>
  <c r="O56" i="2"/>
  <c r="R56" i="2"/>
  <c r="S56" i="2" s="1"/>
  <c r="I57" i="2"/>
  <c r="J57" i="2"/>
  <c r="K57" i="2"/>
  <c r="O57" i="2"/>
  <c r="R57" i="2"/>
  <c r="S57" i="2" s="1"/>
  <c r="I58" i="2"/>
  <c r="J58" i="2"/>
  <c r="K58" i="2"/>
  <c r="O58" i="2"/>
  <c r="R58" i="2"/>
  <c r="S58" i="2" s="1"/>
  <c r="I59" i="2"/>
  <c r="J59" i="2"/>
  <c r="K59" i="2"/>
  <c r="O59" i="2"/>
  <c r="R59" i="2"/>
  <c r="S59" i="2" s="1"/>
  <c r="I60" i="2"/>
  <c r="J60" i="2"/>
  <c r="K60" i="2"/>
  <c r="O60" i="2"/>
  <c r="R60" i="2"/>
  <c r="S60" i="2" s="1"/>
  <c r="I61" i="2"/>
  <c r="J61" i="2"/>
  <c r="K61" i="2"/>
  <c r="O61" i="2"/>
  <c r="R61" i="2"/>
  <c r="S61" i="2" s="1"/>
  <c r="I62" i="2"/>
  <c r="J62" i="2"/>
  <c r="K62" i="2"/>
  <c r="O62" i="2"/>
  <c r="R62" i="2"/>
  <c r="S62" i="2" s="1"/>
  <c r="I63" i="2"/>
  <c r="J63" i="2"/>
  <c r="K63" i="2"/>
  <c r="O63" i="2"/>
  <c r="R63" i="2"/>
  <c r="S63" i="2" s="1"/>
  <c r="I64" i="2"/>
  <c r="J64" i="2"/>
  <c r="K64" i="2"/>
  <c r="O64" i="2"/>
  <c r="R64" i="2"/>
  <c r="S64" i="2" s="1"/>
  <c r="I65" i="2"/>
  <c r="J65" i="2"/>
  <c r="K65" i="2"/>
  <c r="O65" i="2"/>
  <c r="R65" i="2"/>
  <c r="S65" i="2" s="1"/>
  <c r="I66" i="2"/>
  <c r="J66" i="2"/>
  <c r="K66" i="2"/>
  <c r="O66" i="2"/>
  <c r="R66" i="2"/>
  <c r="S66" i="2" s="1"/>
  <c r="I67" i="2"/>
  <c r="J67" i="2"/>
  <c r="K67" i="2"/>
  <c r="O67" i="2"/>
  <c r="R67" i="2"/>
  <c r="S67" i="2" s="1"/>
  <c r="I68" i="2"/>
  <c r="J68" i="2"/>
  <c r="K68" i="2"/>
  <c r="O68" i="2"/>
  <c r="R68" i="2"/>
  <c r="S68" i="2" s="1"/>
  <c r="I69" i="2"/>
  <c r="J69" i="2"/>
  <c r="K69" i="2"/>
  <c r="O69" i="2"/>
  <c r="R69" i="2"/>
  <c r="S69" i="2" s="1"/>
  <c r="I70" i="2"/>
  <c r="J70" i="2"/>
  <c r="K70" i="2"/>
  <c r="O70" i="2"/>
  <c r="R70" i="2"/>
  <c r="S70" i="2" s="1"/>
  <c r="I71" i="2"/>
  <c r="J71" i="2"/>
  <c r="K71" i="2"/>
  <c r="O71" i="2"/>
  <c r="R71" i="2"/>
  <c r="S71" i="2" s="1"/>
  <c r="I72" i="2"/>
  <c r="J72" i="2"/>
  <c r="K72" i="2"/>
  <c r="O72" i="2"/>
  <c r="R72" i="2"/>
  <c r="S72" i="2" s="1"/>
  <c r="I73" i="2"/>
  <c r="J73" i="2"/>
  <c r="K73" i="2"/>
  <c r="O73" i="2"/>
  <c r="R73" i="2"/>
  <c r="S73" i="2" s="1"/>
  <c r="I74" i="2"/>
  <c r="J74" i="2"/>
  <c r="K74" i="2"/>
  <c r="O74" i="2"/>
  <c r="R74" i="2"/>
  <c r="S74" i="2" s="1"/>
  <c r="I75" i="2"/>
  <c r="J75" i="2"/>
  <c r="K75" i="2"/>
  <c r="O75" i="2"/>
  <c r="R75" i="2"/>
  <c r="S75" i="2" s="1"/>
  <c r="I76" i="2"/>
  <c r="J76" i="2"/>
  <c r="K76" i="2"/>
  <c r="O76" i="2"/>
  <c r="R76" i="2"/>
  <c r="S76" i="2" s="1"/>
  <c r="I77" i="2"/>
  <c r="J77" i="2"/>
  <c r="K77" i="2"/>
  <c r="O77" i="2"/>
  <c r="R77" i="2"/>
  <c r="S77" i="2" s="1"/>
  <c r="I78" i="2"/>
  <c r="J78" i="2"/>
  <c r="K78" i="2"/>
  <c r="O78" i="2"/>
  <c r="R78" i="2"/>
  <c r="S78" i="2" s="1"/>
  <c r="I79" i="2"/>
  <c r="J79" i="2"/>
  <c r="K79" i="2"/>
  <c r="O79" i="2"/>
  <c r="R79" i="2"/>
  <c r="S79" i="2" s="1"/>
  <c r="I80" i="2"/>
  <c r="J80" i="2"/>
  <c r="K80" i="2"/>
  <c r="O80" i="2"/>
  <c r="R80" i="2"/>
  <c r="S80" i="2" s="1"/>
  <c r="I81" i="2"/>
  <c r="J81" i="2"/>
  <c r="K81" i="2"/>
  <c r="O81" i="2"/>
  <c r="R81" i="2"/>
  <c r="S81" i="2" s="1"/>
  <c r="I82" i="2"/>
  <c r="J82" i="2"/>
  <c r="K82" i="2"/>
  <c r="O82" i="2"/>
  <c r="R82" i="2"/>
  <c r="S82" i="2" s="1"/>
  <c r="I83" i="2"/>
  <c r="J83" i="2"/>
  <c r="K83" i="2"/>
  <c r="O83" i="2"/>
  <c r="R83" i="2"/>
  <c r="S83" i="2" s="1"/>
  <c r="I84" i="2"/>
  <c r="J84" i="2"/>
  <c r="K84" i="2"/>
  <c r="O84" i="2"/>
  <c r="R84" i="2"/>
  <c r="S84" i="2" s="1"/>
  <c r="I85" i="2"/>
  <c r="J85" i="2"/>
  <c r="K85" i="2"/>
  <c r="O85" i="2"/>
  <c r="R85" i="2"/>
  <c r="S85" i="2" s="1"/>
  <c r="I86" i="2"/>
  <c r="J86" i="2"/>
  <c r="K86" i="2"/>
  <c r="O86" i="2"/>
  <c r="R86" i="2"/>
  <c r="S86" i="2" s="1"/>
  <c r="I87" i="2"/>
  <c r="J87" i="2"/>
  <c r="K87" i="2"/>
  <c r="O87" i="2"/>
  <c r="R87" i="2"/>
  <c r="S87" i="2" s="1"/>
  <c r="I88" i="2"/>
  <c r="J88" i="2"/>
  <c r="K88" i="2"/>
  <c r="O88" i="2"/>
  <c r="R88" i="2"/>
  <c r="S88" i="2" s="1"/>
  <c r="I89" i="2"/>
  <c r="J89" i="2"/>
  <c r="K89" i="2"/>
  <c r="O89" i="2"/>
  <c r="R89" i="2"/>
  <c r="S89" i="2" s="1"/>
  <c r="I90" i="2"/>
  <c r="J90" i="2"/>
  <c r="K90" i="2"/>
  <c r="O90" i="2"/>
  <c r="R90" i="2"/>
  <c r="S90" i="2" s="1"/>
  <c r="I91" i="2"/>
  <c r="J91" i="2"/>
  <c r="K91" i="2"/>
  <c r="O91" i="2"/>
  <c r="R91" i="2"/>
  <c r="S91" i="2" s="1"/>
  <c r="I92" i="2"/>
  <c r="J92" i="2"/>
  <c r="K92" i="2"/>
  <c r="O92" i="2"/>
  <c r="R92" i="2"/>
  <c r="S92" i="2" s="1"/>
  <c r="I93" i="2"/>
  <c r="J93" i="2"/>
  <c r="K93" i="2"/>
  <c r="O93" i="2"/>
  <c r="R93" i="2"/>
  <c r="S93" i="2" s="1"/>
  <c r="I94" i="2"/>
  <c r="J94" i="2"/>
  <c r="K94" i="2"/>
  <c r="O94" i="2"/>
  <c r="R94" i="2"/>
  <c r="S94" i="2" s="1"/>
  <c r="I95" i="2"/>
  <c r="J95" i="2"/>
  <c r="K95" i="2"/>
  <c r="O95" i="2"/>
  <c r="R95" i="2"/>
  <c r="S95" i="2" s="1"/>
  <c r="I96" i="2"/>
  <c r="J96" i="2"/>
  <c r="K96" i="2"/>
  <c r="O96" i="2"/>
  <c r="R96" i="2"/>
  <c r="S96" i="2" s="1"/>
  <c r="I97" i="2"/>
  <c r="J97" i="2"/>
  <c r="K97" i="2"/>
  <c r="O97" i="2"/>
  <c r="R97" i="2"/>
  <c r="S97" i="2" s="1"/>
  <c r="I98" i="2"/>
  <c r="J98" i="2"/>
  <c r="K98" i="2"/>
  <c r="O98" i="2"/>
  <c r="R98" i="2"/>
  <c r="S98" i="2" s="1"/>
  <c r="I99" i="2"/>
  <c r="J99" i="2"/>
  <c r="K99" i="2"/>
  <c r="O99" i="2"/>
  <c r="R99" i="2"/>
  <c r="S99" i="2" s="1"/>
  <c r="I100" i="2"/>
  <c r="J100" i="2"/>
  <c r="K100" i="2"/>
  <c r="O100" i="2"/>
  <c r="R100" i="2"/>
  <c r="S100" i="2" s="1"/>
  <c r="I101" i="2"/>
  <c r="J101" i="2"/>
  <c r="K101" i="2"/>
  <c r="O101" i="2"/>
  <c r="R101" i="2"/>
  <c r="S101" i="2" s="1"/>
  <c r="I102" i="2"/>
  <c r="J102" i="2"/>
  <c r="K102" i="2"/>
  <c r="O102" i="2"/>
  <c r="R102" i="2"/>
  <c r="S102" i="2" s="1"/>
  <c r="I103" i="2"/>
  <c r="J103" i="2"/>
  <c r="K103" i="2"/>
  <c r="O103" i="2"/>
  <c r="R103" i="2"/>
  <c r="S103" i="2" s="1"/>
  <c r="I104" i="2"/>
  <c r="J104" i="2"/>
  <c r="K104" i="2"/>
  <c r="O104" i="2"/>
  <c r="R104" i="2"/>
  <c r="S104" i="2" s="1"/>
  <c r="I105" i="2"/>
  <c r="J105" i="2"/>
  <c r="K105" i="2"/>
  <c r="O105" i="2"/>
  <c r="R105" i="2"/>
  <c r="S105" i="2" s="1"/>
  <c r="I106" i="2"/>
  <c r="J106" i="2"/>
  <c r="K106" i="2"/>
  <c r="O106" i="2"/>
  <c r="R106" i="2"/>
  <c r="S106" i="2" s="1"/>
  <c r="I107" i="2"/>
  <c r="J107" i="2"/>
  <c r="K107" i="2"/>
  <c r="O107" i="2"/>
  <c r="R107" i="2"/>
  <c r="S107" i="2" s="1"/>
  <c r="I108" i="2"/>
  <c r="J108" i="2"/>
  <c r="K108" i="2"/>
  <c r="O108" i="2"/>
  <c r="R108" i="2"/>
  <c r="S108" i="2" s="1"/>
  <c r="I109" i="2"/>
  <c r="J109" i="2"/>
  <c r="K109" i="2"/>
  <c r="O109" i="2"/>
  <c r="R109" i="2"/>
  <c r="S109" i="2" s="1"/>
  <c r="I110" i="2"/>
  <c r="J110" i="2"/>
  <c r="K110" i="2"/>
  <c r="O110" i="2"/>
  <c r="R110" i="2"/>
  <c r="S110" i="2" s="1"/>
  <c r="I111" i="2"/>
  <c r="J111" i="2"/>
  <c r="K111" i="2"/>
  <c r="O111" i="2"/>
  <c r="R111" i="2"/>
  <c r="S111" i="2" s="1"/>
  <c r="I112" i="2"/>
  <c r="J112" i="2"/>
  <c r="K112" i="2"/>
  <c r="O112" i="2"/>
  <c r="R112" i="2"/>
  <c r="S112" i="2" s="1"/>
  <c r="I113" i="2"/>
  <c r="J113" i="2"/>
  <c r="K113" i="2"/>
  <c r="O113" i="2"/>
  <c r="R113" i="2"/>
  <c r="S113" i="2" s="1"/>
  <c r="I114" i="2"/>
  <c r="J114" i="2"/>
  <c r="K114" i="2"/>
  <c r="O114" i="2"/>
  <c r="R114" i="2"/>
  <c r="S114" i="2" s="1"/>
  <c r="I115" i="2"/>
  <c r="J115" i="2"/>
  <c r="K115" i="2"/>
  <c r="O115" i="2"/>
  <c r="R115" i="2"/>
  <c r="S115" i="2" s="1"/>
  <c r="I116" i="2"/>
  <c r="J116" i="2"/>
  <c r="K116" i="2"/>
  <c r="O116" i="2"/>
  <c r="R116" i="2"/>
  <c r="S116" i="2" s="1"/>
  <c r="I117" i="2"/>
  <c r="J117" i="2"/>
  <c r="K117" i="2"/>
  <c r="O117" i="2"/>
  <c r="R117" i="2"/>
  <c r="S117" i="2" s="1"/>
  <c r="I118" i="2"/>
  <c r="J118" i="2"/>
  <c r="K118" i="2"/>
  <c r="O118" i="2"/>
  <c r="R118" i="2"/>
  <c r="S118" i="2" s="1"/>
  <c r="I119" i="2"/>
  <c r="J119" i="2"/>
  <c r="K119" i="2"/>
  <c r="O119" i="2"/>
  <c r="R119" i="2"/>
  <c r="S119" i="2" s="1"/>
  <c r="I120" i="2"/>
  <c r="J120" i="2"/>
  <c r="K120" i="2"/>
  <c r="O120" i="2"/>
  <c r="R120" i="2"/>
  <c r="S120" i="2" s="1"/>
  <c r="I121" i="2"/>
  <c r="J121" i="2"/>
  <c r="K121" i="2"/>
  <c r="O121" i="2"/>
  <c r="R121" i="2"/>
  <c r="S121" i="2" s="1"/>
  <c r="I122" i="2"/>
  <c r="J122" i="2"/>
  <c r="K122" i="2"/>
  <c r="O122" i="2"/>
  <c r="R122" i="2"/>
  <c r="S122" i="2" s="1"/>
  <c r="I123" i="2"/>
  <c r="J123" i="2"/>
  <c r="K123" i="2"/>
  <c r="O123" i="2"/>
  <c r="R123" i="2"/>
  <c r="S123" i="2" s="1"/>
  <c r="I124" i="2"/>
  <c r="J124" i="2"/>
  <c r="K124" i="2"/>
  <c r="O124" i="2"/>
  <c r="R124" i="2"/>
  <c r="S124" i="2" s="1"/>
  <c r="I125" i="2"/>
  <c r="J125" i="2"/>
  <c r="K125" i="2"/>
  <c r="O125" i="2"/>
  <c r="R125" i="2"/>
  <c r="S125" i="2" s="1"/>
  <c r="I126" i="2"/>
  <c r="J126" i="2"/>
  <c r="K126" i="2"/>
  <c r="O126" i="2"/>
  <c r="R126" i="2"/>
  <c r="S126" i="2" s="1"/>
  <c r="I127" i="2"/>
  <c r="J127" i="2"/>
  <c r="K127" i="2"/>
  <c r="O127" i="2"/>
  <c r="R127" i="2"/>
  <c r="S127" i="2" s="1"/>
  <c r="I128" i="2"/>
  <c r="J128" i="2"/>
  <c r="K128" i="2"/>
  <c r="O128" i="2"/>
  <c r="R128" i="2"/>
  <c r="S128" i="2" s="1"/>
  <c r="I129" i="2"/>
  <c r="J129" i="2"/>
  <c r="K129" i="2"/>
  <c r="O129" i="2"/>
  <c r="R129" i="2"/>
  <c r="S129" i="2" s="1"/>
  <c r="I130" i="2"/>
  <c r="J130" i="2"/>
  <c r="K130" i="2"/>
  <c r="O130" i="2"/>
  <c r="R130" i="2"/>
  <c r="S130" i="2" s="1"/>
  <c r="I131" i="2"/>
  <c r="J131" i="2"/>
  <c r="K131" i="2"/>
  <c r="O131" i="2"/>
  <c r="R131" i="2"/>
  <c r="S131" i="2" s="1"/>
  <c r="I132" i="2"/>
  <c r="J132" i="2"/>
  <c r="K132" i="2"/>
  <c r="O132" i="2"/>
  <c r="R132" i="2"/>
  <c r="S132" i="2" s="1"/>
  <c r="I133" i="2"/>
  <c r="J133" i="2"/>
  <c r="K133" i="2"/>
  <c r="O133" i="2"/>
  <c r="R133" i="2"/>
  <c r="S133" i="2" s="1"/>
  <c r="I134" i="2"/>
  <c r="J134" i="2"/>
  <c r="K134" i="2"/>
  <c r="O134" i="2"/>
  <c r="R134" i="2"/>
  <c r="S134" i="2" s="1"/>
  <c r="I135" i="2"/>
  <c r="J135" i="2"/>
  <c r="K135" i="2"/>
  <c r="O135" i="2"/>
  <c r="R135" i="2"/>
  <c r="S135" i="2" s="1"/>
  <c r="I136" i="2"/>
  <c r="J136" i="2"/>
  <c r="K136" i="2"/>
  <c r="O136" i="2"/>
  <c r="R136" i="2"/>
  <c r="S136" i="2" s="1"/>
  <c r="I137" i="2"/>
  <c r="J137" i="2"/>
  <c r="K137" i="2"/>
  <c r="O137" i="2"/>
  <c r="R137" i="2"/>
  <c r="S137" i="2" s="1"/>
  <c r="I138" i="2"/>
  <c r="J138" i="2"/>
  <c r="K138" i="2"/>
  <c r="O138" i="2"/>
  <c r="R138" i="2"/>
  <c r="S138" i="2" s="1"/>
  <c r="I139" i="2"/>
  <c r="J139" i="2"/>
  <c r="K139" i="2"/>
  <c r="O139" i="2"/>
  <c r="R139" i="2"/>
  <c r="S139" i="2" s="1"/>
  <c r="I140" i="2"/>
  <c r="J140" i="2"/>
  <c r="K140" i="2"/>
  <c r="O140" i="2"/>
  <c r="R140" i="2"/>
  <c r="S140" i="2" s="1"/>
  <c r="I141" i="2"/>
  <c r="J141" i="2"/>
  <c r="K141" i="2"/>
  <c r="O141" i="2"/>
  <c r="R141" i="2"/>
  <c r="S141" i="2" s="1"/>
  <c r="I142" i="2"/>
  <c r="J142" i="2"/>
  <c r="K142" i="2"/>
  <c r="O142" i="2"/>
  <c r="R142" i="2"/>
  <c r="S142" i="2" s="1"/>
  <c r="I143" i="2"/>
  <c r="J143" i="2"/>
  <c r="K143" i="2"/>
  <c r="O143" i="2"/>
  <c r="R143" i="2"/>
  <c r="S143" i="2" s="1"/>
  <c r="I144" i="2"/>
  <c r="J144" i="2"/>
  <c r="K144" i="2"/>
  <c r="O144" i="2"/>
  <c r="R144" i="2"/>
  <c r="S144" i="2" s="1"/>
  <c r="I145" i="2"/>
  <c r="J145" i="2"/>
  <c r="K145" i="2"/>
  <c r="O145" i="2"/>
  <c r="R145" i="2"/>
  <c r="S145" i="2" s="1"/>
  <c r="I146" i="2"/>
  <c r="J146" i="2"/>
  <c r="K146" i="2"/>
  <c r="O146" i="2"/>
  <c r="R146" i="2"/>
  <c r="S146" i="2" s="1"/>
  <c r="I147" i="2"/>
  <c r="J147" i="2"/>
  <c r="K147" i="2"/>
  <c r="O147" i="2"/>
  <c r="R147" i="2"/>
  <c r="S147" i="2" s="1"/>
  <c r="I148" i="2"/>
  <c r="J148" i="2"/>
  <c r="K148" i="2"/>
  <c r="O148" i="2"/>
  <c r="R148" i="2"/>
  <c r="S148" i="2" s="1"/>
  <c r="I149" i="2"/>
  <c r="J149" i="2"/>
  <c r="K149" i="2"/>
  <c r="O149" i="2"/>
  <c r="R149" i="2"/>
  <c r="S149" i="2" s="1"/>
  <c r="I150" i="2"/>
  <c r="J150" i="2"/>
  <c r="K150" i="2"/>
  <c r="O150" i="2"/>
  <c r="R150" i="2"/>
  <c r="S150" i="2" s="1"/>
  <c r="I151" i="2"/>
  <c r="J151" i="2"/>
  <c r="K151" i="2"/>
  <c r="O151" i="2"/>
  <c r="R151" i="2"/>
  <c r="S151" i="2" s="1"/>
  <c r="I152" i="2"/>
  <c r="J152" i="2"/>
  <c r="K152" i="2"/>
  <c r="O152" i="2"/>
  <c r="R152" i="2"/>
  <c r="S152" i="2" s="1"/>
  <c r="I153" i="2"/>
  <c r="J153" i="2"/>
  <c r="K153" i="2"/>
  <c r="O153" i="2"/>
  <c r="R153" i="2"/>
  <c r="S153" i="2" s="1"/>
  <c r="I154" i="2"/>
  <c r="J154" i="2"/>
  <c r="K154" i="2"/>
  <c r="O154" i="2"/>
  <c r="R154" i="2"/>
  <c r="S154" i="2" s="1"/>
  <c r="I155" i="2"/>
  <c r="J155" i="2"/>
  <c r="K155" i="2"/>
  <c r="O155" i="2"/>
  <c r="R155" i="2"/>
  <c r="S155" i="2" s="1"/>
  <c r="I156" i="2"/>
  <c r="J156" i="2"/>
  <c r="K156" i="2"/>
  <c r="O156" i="2"/>
  <c r="R156" i="2"/>
  <c r="S156" i="2" s="1"/>
  <c r="I157" i="2"/>
  <c r="J157" i="2"/>
  <c r="K157" i="2"/>
  <c r="O157" i="2"/>
  <c r="R157" i="2"/>
  <c r="S157" i="2" s="1"/>
  <c r="I158" i="2"/>
  <c r="J158" i="2"/>
  <c r="K158" i="2"/>
  <c r="O158" i="2"/>
  <c r="R158" i="2"/>
  <c r="S158" i="2" s="1"/>
  <c r="I159" i="2"/>
  <c r="J159" i="2"/>
  <c r="K159" i="2"/>
  <c r="O159" i="2"/>
  <c r="R159" i="2"/>
  <c r="S159" i="2" s="1"/>
  <c r="I160" i="2"/>
  <c r="J160" i="2"/>
  <c r="K160" i="2"/>
  <c r="O160" i="2"/>
  <c r="R160" i="2"/>
  <c r="S160" i="2" s="1"/>
  <c r="I161" i="2"/>
  <c r="J161" i="2"/>
  <c r="K161" i="2"/>
  <c r="O161" i="2"/>
  <c r="R161" i="2"/>
  <c r="S161" i="2" s="1"/>
  <c r="I162" i="2"/>
  <c r="J162" i="2"/>
  <c r="K162" i="2"/>
  <c r="O162" i="2"/>
  <c r="R162" i="2"/>
  <c r="S162" i="2" s="1"/>
  <c r="I163" i="2"/>
  <c r="J163" i="2"/>
  <c r="K163" i="2"/>
  <c r="O163" i="2"/>
  <c r="R163" i="2"/>
  <c r="S163" i="2" s="1"/>
  <c r="I164" i="2"/>
  <c r="J164" i="2"/>
  <c r="K164" i="2"/>
  <c r="O164" i="2"/>
  <c r="R164" i="2"/>
  <c r="S164" i="2" s="1"/>
  <c r="I165" i="2"/>
  <c r="J165" i="2"/>
  <c r="K165" i="2"/>
  <c r="O165" i="2"/>
  <c r="R165" i="2"/>
  <c r="S165" i="2" s="1"/>
  <c r="I166" i="2"/>
  <c r="J166" i="2"/>
  <c r="K166" i="2"/>
  <c r="O166" i="2"/>
  <c r="R166" i="2"/>
  <c r="S166" i="2" s="1"/>
  <c r="I167" i="2"/>
  <c r="J167" i="2"/>
  <c r="K167" i="2"/>
  <c r="O167" i="2"/>
  <c r="R167" i="2"/>
  <c r="S167" i="2" s="1"/>
  <c r="I168" i="2"/>
  <c r="J168" i="2"/>
  <c r="K168" i="2"/>
  <c r="O168" i="2"/>
  <c r="R168" i="2"/>
  <c r="S168" i="2" s="1"/>
  <c r="I169" i="2"/>
  <c r="J169" i="2"/>
  <c r="K169" i="2"/>
  <c r="O169" i="2"/>
  <c r="R169" i="2"/>
  <c r="S169" i="2" s="1"/>
  <c r="I170" i="2"/>
  <c r="J170" i="2"/>
  <c r="K170" i="2"/>
  <c r="O170" i="2"/>
  <c r="R170" i="2"/>
  <c r="S170" i="2" s="1"/>
  <c r="I171" i="2"/>
  <c r="J171" i="2"/>
  <c r="K171" i="2"/>
  <c r="O171" i="2"/>
  <c r="R171" i="2"/>
  <c r="S171" i="2" s="1"/>
  <c r="I172" i="2"/>
  <c r="J172" i="2"/>
  <c r="K172" i="2"/>
  <c r="O172" i="2"/>
  <c r="R172" i="2"/>
  <c r="S172" i="2" s="1"/>
  <c r="I173" i="2"/>
  <c r="J173" i="2"/>
  <c r="K173" i="2"/>
  <c r="O173" i="2"/>
  <c r="R173" i="2"/>
  <c r="S173" i="2" s="1"/>
  <c r="I174" i="2"/>
  <c r="J174" i="2"/>
  <c r="K174" i="2"/>
  <c r="O174" i="2"/>
  <c r="R174" i="2"/>
  <c r="S174" i="2" s="1"/>
  <c r="I175" i="2"/>
  <c r="J175" i="2"/>
  <c r="K175" i="2"/>
  <c r="O175" i="2"/>
  <c r="R175" i="2"/>
  <c r="S175" i="2" s="1"/>
  <c r="I176" i="2"/>
  <c r="J176" i="2"/>
  <c r="K176" i="2"/>
  <c r="O176" i="2"/>
  <c r="R176" i="2"/>
  <c r="S176" i="2" s="1"/>
  <c r="I177" i="2"/>
  <c r="J177" i="2"/>
  <c r="K177" i="2"/>
  <c r="O177" i="2"/>
  <c r="R177" i="2"/>
  <c r="S177" i="2" s="1"/>
  <c r="I178" i="2"/>
  <c r="J178" i="2"/>
  <c r="K178" i="2"/>
  <c r="O178" i="2"/>
  <c r="R178" i="2"/>
  <c r="S178" i="2" s="1"/>
  <c r="I179" i="2"/>
  <c r="J179" i="2"/>
  <c r="K179" i="2"/>
  <c r="O179" i="2"/>
  <c r="R179" i="2"/>
  <c r="S179" i="2" s="1"/>
  <c r="I180" i="2"/>
  <c r="J180" i="2"/>
  <c r="K180" i="2"/>
  <c r="O180" i="2"/>
  <c r="R180" i="2"/>
  <c r="S180" i="2" s="1"/>
  <c r="I181" i="2"/>
  <c r="J181" i="2"/>
  <c r="K181" i="2"/>
  <c r="O181" i="2"/>
  <c r="R181" i="2"/>
  <c r="S181" i="2" s="1"/>
  <c r="I182" i="2"/>
  <c r="J182" i="2"/>
  <c r="K182" i="2"/>
  <c r="O182" i="2"/>
  <c r="R182" i="2"/>
  <c r="S182" i="2" s="1"/>
  <c r="I183" i="2"/>
  <c r="J183" i="2"/>
  <c r="K183" i="2"/>
  <c r="O183" i="2"/>
  <c r="R183" i="2"/>
  <c r="S183" i="2" s="1"/>
  <c r="I184" i="2"/>
  <c r="J184" i="2"/>
  <c r="K184" i="2"/>
  <c r="O184" i="2"/>
  <c r="R184" i="2"/>
  <c r="S184" i="2" s="1"/>
  <c r="I185" i="2"/>
  <c r="J185" i="2"/>
  <c r="K185" i="2"/>
  <c r="O185" i="2"/>
  <c r="R185" i="2"/>
  <c r="S185" i="2" s="1"/>
  <c r="I186" i="2"/>
  <c r="J186" i="2"/>
  <c r="K186" i="2"/>
  <c r="O186" i="2"/>
  <c r="R186" i="2"/>
  <c r="S186" i="2" s="1"/>
  <c r="I187" i="2"/>
  <c r="J187" i="2"/>
  <c r="K187" i="2"/>
  <c r="O187" i="2"/>
  <c r="R187" i="2"/>
  <c r="S187" i="2" s="1"/>
  <c r="I188" i="2"/>
  <c r="J188" i="2"/>
  <c r="K188" i="2"/>
  <c r="O188" i="2"/>
  <c r="R188" i="2"/>
  <c r="S188" i="2" s="1"/>
  <c r="I189" i="2"/>
  <c r="J189" i="2"/>
  <c r="K189" i="2"/>
  <c r="O189" i="2"/>
  <c r="R189" i="2"/>
  <c r="S189" i="2" s="1"/>
  <c r="I190" i="2"/>
  <c r="J190" i="2"/>
  <c r="K190" i="2"/>
  <c r="O190" i="2"/>
  <c r="R190" i="2"/>
  <c r="S190" i="2" s="1"/>
  <c r="I191" i="2"/>
  <c r="J191" i="2"/>
  <c r="K191" i="2"/>
  <c r="O191" i="2"/>
  <c r="R191" i="2"/>
  <c r="S191" i="2" s="1"/>
  <c r="I192" i="2"/>
  <c r="J192" i="2"/>
  <c r="K192" i="2"/>
  <c r="O192" i="2"/>
  <c r="R192" i="2"/>
  <c r="S192" i="2" s="1"/>
  <c r="I193" i="2"/>
  <c r="J193" i="2"/>
  <c r="K193" i="2"/>
  <c r="O193" i="2"/>
  <c r="R193" i="2"/>
  <c r="S193" i="2" s="1"/>
  <c r="I194" i="2"/>
  <c r="J194" i="2"/>
  <c r="K194" i="2"/>
  <c r="O194" i="2"/>
  <c r="R194" i="2"/>
  <c r="S194" i="2" s="1"/>
  <c r="I195" i="2"/>
  <c r="J195" i="2"/>
  <c r="K195" i="2"/>
  <c r="O195" i="2"/>
  <c r="R195" i="2"/>
  <c r="S195" i="2" s="1"/>
  <c r="I196" i="2"/>
  <c r="J196" i="2"/>
  <c r="K196" i="2"/>
  <c r="O196" i="2"/>
  <c r="R196" i="2"/>
  <c r="S196" i="2" s="1"/>
  <c r="I197" i="2"/>
  <c r="J197" i="2"/>
  <c r="K197" i="2"/>
  <c r="O197" i="2"/>
  <c r="R197" i="2"/>
  <c r="S197" i="2" s="1"/>
  <c r="I198" i="2"/>
  <c r="J198" i="2"/>
  <c r="K198" i="2"/>
  <c r="O198" i="2"/>
  <c r="R198" i="2"/>
  <c r="S198" i="2" s="1"/>
  <c r="I199" i="2"/>
  <c r="J199" i="2"/>
  <c r="K199" i="2"/>
  <c r="O199" i="2"/>
  <c r="R199" i="2"/>
  <c r="S199" i="2" s="1"/>
  <c r="I200" i="2"/>
  <c r="J200" i="2"/>
  <c r="K200" i="2"/>
  <c r="O200" i="2"/>
  <c r="R200" i="2"/>
  <c r="S200" i="2" s="1"/>
  <c r="I201" i="2"/>
  <c r="J201" i="2"/>
  <c r="K201" i="2"/>
  <c r="O201" i="2"/>
  <c r="R201" i="2"/>
  <c r="S201" i="2" s="1"/>
  <c r="I202" i="2"/>
  <c r="J202" i="2"/>
  <c r="K202" i="2"/>
  <c r="O202" i="2"/>
  <c r="R202" i="2"/>
  <c r="S202" i="2" s="1"/>
  <c r="I203" i="2"/>
  <c r="J203" i="2"/>
  <c r="K203" i="2"/>
  <c r="O203" i="2"/>
  <c r="R203" i="2"/>
  <c r="S203" i="2" s="1"/>
  <c r="I204" i="2"/>
  <c r="J204" i="2"/>
  <c r="K204" i="2"/>
  <c r="O204" i="2"/>
  <c r="R204" i="2"/>
  <c r="S204" i="2" s="1"/>
  <c r="I205" i="2"/>
  <c r="J205" i="2"/>
  <c r="K205" i="2"/>
  <c r="O205" i="2"/>
  <c r="R205" i="2"/>
  <c r="S205" i="2" s="1"/>
  <c r="I206" i="2"/>
  <c r="J206" i="2"/>
  <c r="K206" i="2"/>
  <c r="O206" i="2"/>
  <c r="R206" i="2"/>
  <c r="S206" i="2" s="1"/>
  <c r="I207" i="2"/>
  <c r="J207" i="2"/>
  <c r="K207" i="2"/>
  <c r="O207" i="2"/>
  <c r="R207" i="2"/>
  <c r="S207" i="2" s="1"/>
  <c r="I208" i="2"/>
  <c r="J208" i="2"/>
  <c r="K208" i="2"/>
  <c r="O208" i="2"/>
  <c r="R208" i="2"/>
  <c r="S208" i="2" s="1"/>
  <c r="I209" i="2"/>
  <c r="J209" i="2"/>
  <c r="K209" i="2"/>
  <c r="O209" i="2"/>
  <c r="R209" i="2"/>
  <c r="S209" i="2" s="1"/>
  <c r="I210" i="2"/>
  <c r="J210" i="2"/>
  <c r="K210" i="2"/>
  <c r="O210" i="2"/>
  <c r="R210" i="2"/>
  <c r="S210" i="2" s="1"/>
  <c r="I211" i="2"/>
  <c r="J211" i="2"/>
  <c r="K211" i="2"/>
  <c r="O211" i="2"/>
  <c r="R211" i="2"/>
  <c r="S211" i="2" s="1"/>
  <c r="I212" i="2"/>
  <c r="J212" i="2"/>
  <c r="K212" i="2"/>
  <c r="O212" i="2"/>
  <c r="R212" i="2"/>
  <c r="S212" i="2" s="1"/>
  <c r="I213" i="2"/>
  <c r="J213" i="2"/>
  <c r="K213" i="2"/>
  <c r="O213" i="2"/>
  <c r="R213" i="2"/>
  <c r="S213" i="2" s="1"/>
  <c r="I214" i="2"/>
  <c r="J214" i="2"/>
  <c r="K214" i="2"/>
  <c r="O214" i="2"/>
  <c r="R214" i="2"/>
  <c r="S214" i="2" s="1"/>
  <c r="I215" i="2"/>
  <c r="J215" i="2"/>
  <c r="K215" i="2"/>
  <c r="O215" i="2"/>
  <c r="R215" i="2"/>
  <c r="S215" i="2" s="1"/>
  <c r="I216" i="2"/>
  <c r="J216" i="2"/>
  <c r="K216" i="2"/>
  <c r="O216" i="2"/>
  <c r="R216" i="2"/>
  <c r="S216" i="2" s="1"/>
  <c r="I217" i="2"/>
  <c r="J217" i="2"/>
  <c r="K217" i="2"/>
  <c r="O217" i="2"/>
  <c r="R217" i="2"/>
  <c r="S217" i="2" s="1"/>
  <c r="I218" i="2"/>
  <c r="J218" i="2"/>
  <c r="K218" i="2"/>
  <c r="O218" i="2"/>
  <c r="R218" i="2"/>
  <c r="S218" i="2" s="1"/>
  <c r="I219" i="2"/>
  <c r="J219" i="2"/>
  <c r="K219" i="2"/>
  <c r="O219" i="2"/>
  <c r="R219" i="2"/>
  <c r="S219" i="2" s="1"/>
  <c r="I220" i="2"/>
  <c r="J220" i="2"/>
  <c r="K220" i="2"/>
  <c r="O220" i="2"/>
  <c r="R220" i="2"/>
  <c r="S220" i="2" s="1"/>
  <c r="I221" i="2"/>
  <c r="J221" i="2"/>
  <c r="K221" i="2"/>
  <c r="O221" i="2"/>
  <c r="R221" i="2"/>
  <c r="S221" i="2" s="1"/>
  <c r="I222" i="2"/>
  <c r="J222" i="2"/>
  <c r="K222" i="2"/>
  <c r="O222" i="2"/>
  <c r="R222" i="2"/>
  <c r="S222" i="2" s="1"/>
  <c r="I223" i="2"/>
  <c r="J223" i="2"/>
  <c r="K223" i="2"/>
  <c r="O223" i="2"/>
  <c r="R223" i="2"/>
  <c r="S223" i="2" s="1"/>
  <c r="I224" i="2"/>
  <c r="J224" i="2"/>
  <c r="K224" i="2"/>
  <c r="O224" i="2"/>
  <c r="R224" i="2"/>
  <c r="S224" i="2" s="1"/>
  <c r="I225" i="2"/>
  <c r="J225" i="2"/>
  <c r="K225" i="2"/>
  <c r="O225" i="2"/>
  <c r="R225" i="2"/>
  <c r="S225" i="2" s="1"/>
  <c r="I226" i="2"/>
  <c r="J226" i="2"/>
  <c r="K226" i="2"/>
  <c r="O226" i="2"/>
  <c r="R226" i="2"/>
  <c r="S226" i="2" s="1"/>
  <c r="I227" i="2"/>
  <c r="J227" i="2"/>
  <c r="K227" i="2"/>
  <c r="O227" i="2"/>
  <c r="R227" i="2"/>
  <c r="S227" i="2" s="1"/>
  <c r="I228" i="2"/>
  <c r="J228" i="2"/>
  <c r="K228" i="2"/>
  <c r="O228" i="2"/>
  <c r="R228" i="2"/>
  <c r="S228" i="2" s="1"/>
  <c r="I229" i="2"/>
  <c r="J229" i="2"/>
  <c r="K229" i="2"/>
  <c r="O229" i="2"/>
  <c r="R229" i="2"/>
  <c r="S229" i="2" s="1"/>
  <c r="I230" i="2"/>
  <c r="J230" i="2"/>
  <c r="K230" i="2"/>
  <c r="O230" i="2"/>
  <c r="R230" i="2"/>
  <c r="S230" i="2" s="1"/>
  <c r="I231" i="2"/>
  <c r="J231" i="2"/>
  <c r="K231" i="2"/>
  <c r="O231" i="2"/>
  <c r="R231" i="2"/>
  <c r="S231" i="2" s="1"/>
  <c r="I232" i="2"/>
  <c r="J232" i="2"/>
  <c r="K232" i="2"/>
  <c r="O232" i="2"/>
  <c r="R232" i="2"/>
  <c r="S232" i="2" s="1"/>
  <c r="I233" i="2"/>
  <c r="J233" i="2"/>
  <c r="K233" i="2"/>
  <c r="O233" i="2"/>
  <c r="R233" i="2"/>
  <c r="S233" i="2" s="1"/>
  <c r="I234" i="2"/>
  <c r="J234" i="2"/>
  <c r="K234" i="2"/>
  <c r="O234" i="2"/>
  <c r="R234" i="2"/>
  <c r="S234" i="2" s="1"/>
  <c r="I235" i="2"/>
  <c r="J235" i="2"/>
  <c r="K235" i="2"/>
  <c r="O235" i="2"/>
  <c r="R235" i="2"/>
  <c r="S235" i="2" s="1"/>
  <c r="I236" i="2"/>
  <c r="J236" i="2"/>
  <c r="K236" i="2"/>
  <c r="O236" i="2"/>
  <c r="R236" i="2"/>
  <c r="S236" i="2" s="1"/>
  <c r="I237" i="2"/>
  <c r="J237" i="2"/>
  <c r="K237" i="2"/>
  <c r="O237" i="2"/>
  <c r="R237" i="2"/>
  <c r="S237" i="2" s="1"/>
  <c r="I238" i="2"/>
  <c r="J238" i="2"/>
  <c r="K238" i="2"/>
  <c r="O238" i="2"/>
  <c r="R238" i="2"/>
  <c r="S238" i="2" s="1"/>
  <c r="I239" i="2"/>
  <c r="J239" i="2"/>
  <c r="K239" i="2"/>
  <c r="O239" i="2"/>
  <c r="R239" i="2"/>
  <c r="S239" i="2" s="1"/>
  <c r="I240" i="2"/>
  <c r="J240" i="2"/>
  <c r="K240" i="2"/>
  <c r="O240" i="2"/>
  <c r="R240" i="2"/>
  <c r="S240" i="2" s="1"/>
  <c r="I241" i="2"/>
  <c r="J241" i="2"/>
  <c r="K241" i="2"/>
  <c r="O241" i="2"/>
  <c r="R241" i="2"/>
  <c r="S241" i="2" s="1"/>
  <c r="I242" i="2"/>
  <c r="J242" i="2"/>
  <c r="K242" i="2"/>
  <c r="O242" i="2"/>
  <c r="R242" i="2"/>
  <c r="S242" i="2" s="1"/>
  <c r="I243" i="2"/>
  <c r="J243" i="2"/>
  <c r="K243" i="2"/>
  <c r="O243" i="2"/>
  <c r="R243" i="2"/>
  <c r="S243" i="2" s="1"/>
  <c r="I244" i="2"/>
  <c r="J244" i="2"/>
  <c r="K244" i="2"/>
  <c r="O244" i="2"/>
  <c r="R244" i="2"/>
  <c r="S244" i="2" s="1"/>
  <c r="I245" i="2"/>
  <c r="J245" i="2"/>
  <c r="K245" i="2"/>
  <c r="O245" i="2"/>
  <c r="R245" i="2"/>
  <c r="S245" i="2" s="1"/>
  <c r="I246" i="2"/>
  <c r="J246" i="2"/>
  <c r="K246" i="2"/>
  <c r="O246" i="2"/>
  <c r="R246" i="2"/>
  <c r="S246" i="2" s="1"/>
  <c r="I247" i="2"/>
  <c r="J247" i="2"/>
  <c r="K247" i="2"/>
  <c r="O247" i="2"/>
  <c r="R247" i="2"/>
  <c r="S247" i="2" s="1"/>
  <c r="I248" i="2"/>
  <c r="J248" i="2"/>
  <c r="K248" i="2"/>
  <c r="O248" i="2"/>
  <c r="R248" i="2"/>
  <c r="S248" i="2" s="1"/>
  <c r="I249" i="2"/>
  <c r="J249" i="2"/>
  <c r="K249" i="2"/>
  <c r="O249" i="2"/>
  <c r="R249" i="2"/>
  <c r="S249" i="2" s="1"/>
  <c r="I250" i="2"/>
  <c r="J250" i="2"/>
  <c r="K250" i="2"/>
  <c r="O250" i="2"/>
  <c r="R250" i="2"/>
  <c r="S250" i="2" s="1"/>
  <c r="I251" i="2"/>
  <c r="J251" i="2"/>
  <c r="K251" i="2"/>
  <c r="O251" i="2"/>
  <c r="R251" i="2"/>
  <c r="S251" i="2" s="1"/>
  <c r="I252" i="2"/>
  <c r="J252" i="2"/>
  <c r="K252" i="2"/>
  <c r="O252" i="2"/>
  <c r="R252" i="2"/>
  <c r="S252" i="2" s="1"/>
  <c r="I253" i="2"/>
  <c r="J253" i="2"/>
  <c r="K253" i="2"/>
  <c r="O253" i="2"/>
  <c r="R253" i="2"/>
  <c r="S253" i="2" s="1"/>
  <c r="I254" i="2"/>
  <c r="J254" i="2"/>
  <c r="K254" i="2"/>
  <c r="O254" i="2"/>
  <c r="R254" i="2"/>
  <c r="S254" i="2" s="1"/>
  <c r="I255" i="2"/>
  <c r="J255" i="2"/>
  <c r="K255" i="2"/>
  <c r="O255" i="2"/>
  <c r="R255" i="2"/>
  <c r="S255" i="2" s="1"/>
  <c r="I256" i="2"/>
  <c r="J256" i="2"/>
  <c r="K256" i="2"/>
  <c r="O256" i="2"/>
  <c r="R256" i="2"/>
  <c r="S256" i="2" s="1"/>
  <c r="I257" i="2"/>
  <c r="J257" i="2"/>
  <c r="K257" i="2"/>
  <c r="O257" i="2"/>
  <c r="R257" i="2"/>
  <c r="S257" i="2" s="1"/>
  <c r="I258" i="2"/>
  <c r="J258" i="2"/>
  <c r="K258" i="2"/>
  <c r="O258" i="2"/>
  <c r="R258" i="2"/>
  <c r="S258" i="2" s="1"/>
  <c r="I259" i="2"/>
  <c r="J259" i="2"/>
  <c r="K259" i="2"/>
  <c r="O259" i="2"/>
  <c r="R259" i="2"/>
  <c r="S259" i="2" s="1"/>
  <c r="I260" i="2"/>
  <c r="J260" i="2"/>
  <c r="K260" i="2"/>
  <c r="O260" i="2"/>
  <c r="R260" i="2"/>
  <c r="S260" i="2" s="1"/>
  <c r="I261" i="2"/>
  <c r="J261" i="2"/>
  <c r="K261" i="2"/>
  <c r="O261" i="2"/>
  <c r="R261" i="2"/>
  <c r="S261" i="2" s="1"/>
  <c r="I262" i="2"/>
  <c r="J262" i="2"/>
  <c r="K262" i="2"/>
  <c r="O262" i="2"/>
  <c r="R262" i="2"/>
  <c r="S262" i="2" s="1"/>
  <c r="I263" i="2"/>
  <c r="J263" i="2"/>
  <c r="K263" i="2"/>
  <c r="O263" i="2"/>
  <c r="R263" i="2"/>
  <c r="S263" i="2" s="1"/>
  <c r="I264" i="2"/>
  <c r="J264" i="2"/>
  <c r="K264" i="2"/>
  <c r="O264" i="2"/>
  <c r="R264" i="2"/>
  <c r="S264" i="2" s="1"/>
  <c r="I265" i="2"/>
  <c r="J265" i="2"/>
  <c r="K265" i="2"/>
  <c r="O265" i="2"/>
  <c r="R265" i="2"/>
  <c r="S265" i="2" s="1"/>
  <c r="I266" i="2"/>
  <c r="J266" i="2"/>
  <c r="K266" i="2"/>
  <c r="O266" i="2"/>
  <c r="R266" i="2"/>
  <c r="S266" i="2" s="1"/>
  <c r="I267" i="2"/>
  <c r="J267" i="2"/>
  <c r="K267" i="2"/>
  <c r="O267" i="2"/>
  <c r="R267" i="2"/>
  <c r="S267" i="2" s="1"/>
  <c r="I268" i="2"/>
  <c r="J268" i="2"/>
  <c r="K268" i="2"/>
  <c r="O268" i="2"/>
  <c r="R268" i="2"/>
  <c r="S268" i="2" s="1"/>
  <c r="I269" i="2"/>
  <c r="J269" i="2"/>
  <c r="K269" i="2"/>
  <c r="O269" i="2"/>
  <c r="R269" i="2"/>
  <c r="S269" i="2" s="1"/>
  <c r="I270" i="2"/>
  <c r="J270" i="2"/>
  <c r="K270" i="2"/>
  <c r="O270" i="2"/>
  <c r="R270" i="2"/>
  <c r="S270" i="2" s="1"/>
  <c r="I271" i="2"/>
  <c r="J271" i="2"/>
  <c r="K271" i="2"/>
  <c r="O271" i="2"/>
  <c r="R271" i="2"/>
  <c r="S271" i="2" s="1"/>
  <c r="I272" i="2"/>
  <c r="J272" i="2"/>
  <c r="K272" i="2"/>
  <c r="O272" i="2"/>
  <c r="R272" i="2"/>
  <c r="S272" i="2" s="1"/>
  <c r="I273" i="2"/>
  <c r="J273" i="2"/>
  <c r="K273" i="2"/>
  <c r="O273" i="2"/>
  <c r="R273" i="2"/>
  <c r="S273" i="2" s="1"/>
  <c r="I274" i="2"/>
  <c r="J274" i="2"/>
  <c r="K274" i="2"/>
  <c r="O274" i="2"/>
  <c r="R274" i="2"/>
  <c r="S274" i="2" s="1"/>
  <c r="I275" i="2"/>
  <c r="J275" i="2"/>
  <c r="K275" i="2"/>
  <c r="O275" i="2"/>
  <c r="R275" i="2"/>
  <c r="S275" i="2" s="1"/>
  <c r="I276" i="2"/>
  <c r="J276" i="2"/>
  <c r="K276" i="2"/>
  <c r="O276" i="2"/>
  <c r="R276" i="2"/>
  <c r="S276" i="2" s="1"/>
  <c r="I277" i="2"/>
  <c r="J277" i="2"/>
  <c r="K277" i="2"/>
  <c r="O277" i="2"/>
  <c r="R277" i="2"/>
  <c r="S277" i="2" s="1"/>
  <c r="I278" i="2"/>
  <c r="J278" i="2"/>
  <c r="K278" i="2"/>
  <c r="O278" i="2"/>
  <c r="R278" i="2"/>
  <c r="S278" i="2" s="1"/>
  <c r="I279" i="2"/>
  <c r="J279" i="2"/>
  <c r="K279" i="2"/>
  <c r="O279" i="2"/>
  <c r="R279" i="2"/>
  <c r="S279" i="2" s="1"/>
  <c r="I280" i="2"/>
  <c r="J280" i="2"/>
  <c r="K280" i="2"/>
  <c r="O280" i="2"/>
  <c r="R280" i="2"/>
  <c r="S280" i="2" s="1"/>
  <c r="I281" i="2"/>
  <c r="J281" i="2"/>
  <c r="K281" i="2"/>
  <c r="O281" i="2"/>
  <c r="R281" i="2"/>
  <c r="S281" i="2" s="1"/>
  <c r="I282" i="2"/>
  <c r="J282" i="2"/>
  <c r="K282" i="2"/>
  <c r="O282" i="2"/>
  <c r="R282" i="2"/>
  <c r="S282" i="2" s="1"/>
  <c r="I283" i="2"/>
  <c r="J283" i="2"/>
  <c r="K283" i="2"/>
  <c r="O283" i="2"/>
  <c r="R283" i="2"/>
  <c r="S283" i="2" s="1"/>
  <c r="I284" i="2"/>
  <c r="J284" i="2"/>
  <c r="K284" i="2"/>
  <c r="O284" i="2"/>
  <c r="R284" i="2"/>
  <c r="S284" i="2" s="1"/>
  <c r="I285" i="2"/>
  <c r="J285" i="2"/>
  <c r="K285" i="2"/>
  <c r="O285" i="2"/>
  <c r="R285" i="2"/>
  <c r="S285" i="2" s="1"/>
  <c r="I286" i="2"/>
  <c r="J286" i="2"/>
  <c r="K286" i="2"/>
  <c r="O286" i="2"/>
  <c r="R286" i="2"/>
  <c r="S286" i="2" s="1"/>
  <c r="I287" i="2"/>
  <c r="J287" i="2"/>
  <c r="K287" i="2"/>
  <c r="O287" i="2"/>
  <c r="R287" i="2"/>
  <c r="S287" i="2" s="1"/>
  <c r="I288" i="2"/>
  <c r="J288" i="2"/>
  <c r="K288" i="2"/>
  <c r="O288" i="2"/>
  <c r="R288" i="2"/>
  <c r="S288" i="2" s="1"/>
  <c r="I289" i="2"/>
  <c r="J289" i="2"/>
  <c r="K289" i="2"/>
  <c r="O289" i="2"/>
  <c r="R289" i="2"/>
  <c r="S289" i="2" s="1"/>
  <c r="I290" i="2"/>
  <c r="J290" i="2"/>
  <c r="K290" i="2"/>
  <c r="O290" i="2"/>
  <c r="R290" i="2"/>
  <c r="S290" i="2" s="1"/>
  <c r="I291" i="2"/>
  <c r="J291" i="2"/>
  <c r="K291" i="2"/>
  <c r="O291" i="2"/>
  <c r="R291" i="2"/>
  <c r="S291" i="2" s="1"/>
  <c r="I292" i="2"/>
  <c r="J292" i="2"/>
  <c r="K292" i="2"/>
  <c r="O292" i="2"/>
  <c r="R292" i="2"/>
  <c r="S292" i="2" s="1"/>
  <c r="I293" i="2"/>
  <c r="J293" i="2"/>
  <c r="K293" i="2"/>
  <c r="O293" i="2"/>
  <c r="R293" i="2"/>
  <c r="S293" i="2" s="1"/>
  <c r="I294" i="2"/>
  <c r="J294" i="2"/>
  <c r="K294" i="2"/>
  <c r="O294" i="2"/>
  <c r="R294" i="2"/>
  <c r="S294" i="2" s="1"/>
  <c r="I295" i="2"/>
  <c r="J295" i="2"/>
  <c r="K295" i="2"/>
  <c r="O295" i="2"/>
  <c r="R295" i="2"/>
  <c r="S295" i="2" s="1"/>
  <c r="I296" i="2"/>
  <c r="J296" i="2"/>
  <c r="K296" i="2"/>
  <c r="O296" i="2"/>
  <c r="R296" i="2"/>
  <c r="S296" i="2" s="1"/>
  <c r="I297" i="2"/>
  <c r="J297" i="2"/>
  <c r="K297" i="2"/>
  <c r="O297" i="2"/>
  <c r="R297" i="2"/>
  <c r="S297" i="2" s="1"/>
  <c r="I298" i="2"/>
  <c r="J298" i="2"/>
  <c r="K298" i="2"/>
  <c r="O298" i="2"/>
  <c r="R298" i="2"/>
  <c r="S298" i="2" s="1"/>
  <c r="I299" i="2"/>
  <c r="J299" i="2"/>
  <c r="K299" i="2"/>
  <c r="O299" i="2"/>
  <c r="R299" i="2"/>
  <c r="S299" i="2" s="1"/>
  <c r="I300" i="2"/>
  <c r="J300" i="2"/>
  <c r="K300" i="2"/>
  <c r="O300" i="2"/>
  <c r="R300" i="2"/>
  <c r="S300" i="2" s="1"/>
  <c r="I301" i="2"/>
  <c r="J301" i="2"/>
  <c r="K301" i="2"/>
  <c r="O301" i="2"/>
  <c r="R301" i="2"/>
  <c r="S301" i="2" s="1"/>
  <c r="I302" i="2"/>
  <c r="J302" i="2"/>
  <c r="K302" i="2"/>
  <c r="O302" i="2"/>
  <c r="R302" i="2"/>
  <c r="S302" i="2" s="1"/>
  <c r="I303" i="2"/>
  <c r="J303" i="2"/>
  <c r="K303" i="2"/>
  <c r="O303" i="2"/>
  <c r="R303" i="2"/>
  <c r="S303" i="2" s="1"/>
  <c r="I304" i="2"/>
  <c r="J304" i="2"/>
  <c r="K304" i="2"/>
  <c r="O304" i="2"/>
  <c r="R304" i="2"/>
  <c r="S304" i="2" s="1"/>
  <c r="I305" i="2"/>
  <c r="J305" i="2"/>
  <c r="K305" i="2"/>
  <c r="O305" i="2"/>
  <c r="R305" i="2"/>
  <c r="S305" i="2" s="1"/>
  <c r="I306" i="2"/>
  <c r="J306" i="2"/>
  <c r="K306" i="2"/>
  <c r="O306" i="2"/>
  <c r="R306" i="2"/>
  <c r="S306" i="2" s="1"/>
  <c r="I307" i="2"/>
  <c r="J307" i="2"/>
  <c r="K307" i="2"/>
  <c r="O307" i="2"/>
  <c r="R307" i="2"/>
  <c r="S307" i="2" s="1"/>
  <c r="I308" i="2"/>
  <c r="J308" i="2"/>
  <c r="K308" i="2"/>
  <c r="O308" i="2"/>
  <c r="R308" i="2"/>
  <c r="S308" i="2" s="1"/>
  <c r="I309" i="2"/>
  <c r="J309" i="2"/>
  <c r="K309" i="2"/>
  <c r="O309" i="2"/>
  <c r="R309" i="2"/>
  <c r="S309" i="2" s="1"/>
  <c r="I310" i="2"/>
  <c r="J310" i="2"/>
  <c r="K310" i="2"/>
  <c r="O310" i="2"/>
  <c r="R310" i="2"/>
  <c r="S310" i="2" s="1"/>
  <c r="I311" i="2"/>
  <c r="J311" i="2"/>
  <c r="K311" i="2"/>
  <c r="O311" i="2"/>
  <c r="R311" i="2"/>
  <c r="S311" i="2" s="1"/>
  <c r="I312" i="2"/>
  <c r="J312" i="2"/>
  <c r="K312" i="2"/>
  <c r="O312" i="2"/>
  <c r="R312" i="2"/>
  <c r="S312" i="2" s="1"/>
  <c r="I313" i="2"/>
  <c r="J313" i="2"/>
  <c r="K313" i="2"/>
  <c r="O313" i="2"/>
  <c r="R313" i="2"/>
  <c r="S313" i="2" s="1"/>
  <c r="I314" i="2"/>
  <c r="J314" i="2"/>
  <c r="K314" i="2"/>
  <c r="O314" i="2"/>
  <c r="R314" i="2"/>
  <c r="S314" i="2" s="1"/>
  <c r="I315" i="2"/>
  <c r="J315" i="2"/>
  <c r="K315" i="2"/>
  <c r="O315" i="2"/>
  <c r="R315" i="2"/>
  <c r="S315" i="2" s="1"/>
  <c r="I316" i="2"/>
  <c r="J316" i="2"/>
  <c r="K316" i="2"/>
  <c r="O316" i="2"/>
  <c r="R316" i="2"/>
  <c r="S316" i="2" s="1"/>
  <c r="I317" i="2"/>
  <c r="J317" i="2"/>
  <c r="K317" i="2"/>
  <c r="O317" i="2"/>
  <c r="R317" i="2"/>
  <c r="S317" i="2" s="1"/>
  <c r="I318" i="2"/>
  <c r="J318" i="2"/>
  <c r="K318" i="2"/>
  <c r="O318" i="2"/>
  <c r="R318" i="2"/>
  <c r="S318" i="2" s="1"/>
  <c r="I319" i="2"/>
  <c r="J319" i="2"/>
  <c r="K319" i="2"/>
  <c r="O319" i="2"/>
  <c r="R319" i="2"/>
  <c r="S319" i="2" s="1"/>
  <c r="I320" i="2"/>
  <c r="J320" i="2"/>
  <c r="K320" i="2"/>
  <c r="O320" i="2"/>
  <c r="R320" i="2"/>
  <c r="S320" i="2" s="1"/>
  <c r="I321" i="2"/>
  <c r="J321" i="2"/>
  <c r="K321" i="2"/>
  <c r="O321" i="2"/>
  <c r="R321" i="2"/>
  <c r="S321" i="2" s="1"/>
  <c r="I322" i="2"/>
  <c r="J322" i="2"/>
  <c r="K322" i="2"/>
  <c r="O322" i="2"/>
  <c r="R322" i="2"/>
  <c r="S322" i="2" s="1"/>
  <c r="I323" i="2"/>
  <c r="J323" i="2"/>
  <c r="K323" i="2"/>
  <c r="O323" i="2"/>
  <c r="R323" i="2"/>
  <c r="S323" i="2" s="1"/>
  <c r="I324" i="2"/>
  <c r="J324" i="2"/>
  <c r="K324" i="2"/>
  <c r="O324" i="2"/>
  <c r="R324" i="2"/>
  <c r="S324" i="2" s="1"/>
  <c r="I325" i="2"/>
  <c r="J325" i="2"/>
  <c r="K325" i="2"/>
  <c r="O325" i="2"/>
  <c r="R325" i="2"/>
  <c r="S325" i="2" s="1"/>
  <c r="I326" i="2"/>
  <c r="J326" i="2"/>
  <c r="K326" i="2"/>
  <c r="O326" i="2"/>
  <c r="R326" i="2"/>
  <c r="S326" i="2" s="1"/>
  <c r="I327" i="2"/>
  <c r="J327" i="2"/>
  <c r="K327" i="2"/>
  <c r="O327" i="2"/>
  <c r="R327" i="2"/>
  <c r="S327" i="2" s="1"/>
  <c r="I328" i="2"/>
  <c r="J328" i="2"/>
  <c r="K328" i="2"/>
  <c r="O328" i="2"/>
  <c r="R328" i="2"/>
  <c r="S328" i="2" s="1"/>
  <c r="I329" i="2"/>
  <c r="J329" i="2"/>
  <c r="K329" i="2"/>
  <c r="O329" i="2"/>
  <c r="R329" i="2"/>
  <c r="S329" i="2" s="1"/>
  <c r="I330" i="2"/>
  <c r="J330" i="2"/>
  <c r="K330" i="2"/>
  <c r="O330" i="2"/>
  <c r="R330" i="2"/>
  <c r="S330" i="2" s="1"/>
  <c r="I331" i="2"/>
  <c r="J331" i="2"/>
  <c r="K331" i="2"/>
  <c r="O331" i="2"/>
  <c r="R331" i="2"/>
  <c r="S331" i="2" s="1"/>
  <c r="I332" i="2"/>
  <c r="J332" i="2"/>
  <c r="K332" i="2"/>
  <c r="O332" i="2"/>
  <c r="R332" i="2"/>
  <c r="S332" i="2" s="1"/>
  <c r="I333" i="2"/>
  <c r="J333" i="2"/>
  <c r="K333" i="2"/>
  <c r="O333" i="2"/>
  <c r="R333" i="2"/>
  <c r="S333" i="2" s="1"/>
  <c r="I334" i="2"/>
  <c r="J334" i="2"/>
  <c r="K334" i="2"/>
  <c r="O334" i="2"/>
  <c r="R334" i="2"/>
  <c r="S334" i="2" s="1"/>
  <c r="I335" i="2"/>
  <c r="J335" i="2"/>
  <c r="K335" i="2"/>
  <c r="O335" i="2"/>
  <c r="R335" i="2"/>
  <c r="S335" i="2" s="1"/>
  <c r="I336" i="2"/>
  <c r="J336" i="2"/>
  <c r="K336" i="2"/>
  <c r="O336" i="2"/>
  <c r="R336" i="2"/>
  <c r="S336" i="2" s="1"/>
  <c r="I337" i="2"/>
  <c r="J337" i="2"/>
  <c r="K337" i="2"/>
  <c r="O337" i="2"/>
  <c r="R337" i="2"/>
  <c r="S337" i="2" s="1"/>
  <c r="I338" i="2"/>
  <c r="J338" i="2"/>
  <c r="K338" i="2"/>
  <c r="O338" i="2"/>
  <c r="R338" i="2"/>
  <c r="S338" i="2" s="1"/>
  <c r="I339" i="2"/>
  <c r="J339" i="2"/>
  <c r="K339" i="2"/>
  <c r="O339" i="2"/>
  <c r="R339" i="2"/>
  <c r="S339" i="2" s="1"/>
  <c r="I340" i="2"/>
  <c r="J340" i="2"/>
  <c r="K340" i="2"/>
  <c r="O340" i="2"/>
  <c r="R340" i="2"/>
  <c r="S340" i="2" s="1"/>
  <c r="I341" i="2"/>
  <c r="J341" i="2"/>
  <c r="K341" i="2"/>
  <c r="O341" i="2"/>
  <c r="R341" i="2"/>
  <c r="S341" i="2" s="1"/>
  <c r="I342" i="2"/>
  <c r="J342" i="2"/>
  <c r="K342" i="2"/>
  <c r="O342" i="2"/>
  <c r="R342" i="2"/>
  <c r="S342" i="2" s="1"/>
  <c r="I343" i="2"/>
  <c r="J343" i="2"/>
  <c r="K343" i="2"/>
  <c r="O343" i="2"/>
  <c r="R343" i="2"/>
  <c r="S343" i="2" s="1"/>
  <c r="I344" i="2"/>
  <c r="J344" i="2"/>
  <c r="K344" i="2"/>
  <c r="O344" i="2"/>
  <c r="R344" i="2"/>
  <c r="S344" i="2" s="1"/>
  <c r="I345" i="2"/>
  <c r="J345" i="2"/>
  <c r="K345" i="2"/>
  <c r="O345" i="2"/>
  <c r="R345" i="2"/>
  <c r="S345" i="2" s="1"/>
  <c r="I346" i="2"/>
  <c r="J346" i="2"/>
  <c r="K346" i="2"/>
  <c r="O346" i="2"/>
  <c r="R346" i="2"/>
  <c r="S346" i="2" s="1"/>
  <c r="I347" i="2"/>
  <c r="J347" i="2"/>
  <c r="K347" i="2"/>
  <c r="O347" i="2"/>
  <c r="R347" i="2"/>
  <c r="S347" i="2" s="1"/>
  <c r="I348" i="2"/>
  <c r="J348" i="2"/>
  <c r="K348" i="2"/>
  <c r="O348" i="2"/>
  <c r="R348" i="2"/>
  <c r="S348" i="2" s="1"/>
  <c r="I349" i="2"/>
  <c r="J349" i="2"/>
  <c r="K349" i="2"/>
  <c r="O349" i="2"/>
  <c r="R349" i="2"/>
  <c r="S349" i="2" s="1"/>
  <c r="I350" i="2"/>
  <c r="J350" i="2"/>
  <c r="K350" i="2"/>
  <c r="O350" i="2"/>
  <c r="R350" i="2"/>
  <c r="S350" i="2" s="1"/>
  <c r="I351" i="2"/>
  <c r="J351" i="2"/>
  <c r="K351" i="2"/>
  <c r="O351" i="2"/>
  <c r="R351" i="2"/>
  <c r="S351" i="2" s="1"/>
  <c r="I352" i="2"/>
  <c r="J352" i="2"/>
  <c r="K352" i="2"/>
  <c r="O352" i="2"/>
  <c r="R352" i="2"/>
  <c r="S352" i="2" s="1"/>
  <c r="I353" i="2"/>
  <c r="J353" i="2"/>
  <c r="K353" i="2"/>
  <c r="O353" i="2"/>
  <c r="R353" i="2"/>
  <c r="S353" i="2" s="1"/>
  <c r="I354" i="2"/>
  <c r="J354" i="2"/>
  <c r="K354" i="2"/>
  <c r="O354" i="2"/>
  <c r="R354" i="2"/>
  <c r="S354" i="2" s="1"/>
  <c r="I355" i="2"/>
  <c r="J355" i="2"/>
  <c r="K355" i="2"/>
  <c r="O355" i="2"/>
  <c r="R355" i="2"/>
  <c r="S355" i="2" s="1"/>
  <c r="I356" i="2"/>
  <c r="J356" i="2"/>
  <c r="K356" i="2"/>
  <c r="O356" i="2"/>
  <c r="R356" i="2"/>
  <c r="S356" i="2" s="1"/>
  <c r="I357" i="2"/>
  <c r="J357" i="2"/>
  <c r="K357" i="2"/>
  <c r="O357" i="2"/>
  <c r="R357" i="2"/>
  <c r="S357" i="2" s="1"/>
  <c r="I358" i="2"/>
  <c r="J358" i="2"/>
  <c r="K358" i="2"/>
  <c r="O358" i="2"/>
  <c r="R358" i="2"/>
  <c r="S358" i="2" s="1"/>
  <c r="I359" i="2"/>
  <c r="J359" i="2"/>
  <c r="K359" i="2"/>
  <c r="O359" i="2"/>
  <c r="R359" i="2"/>
  <c r="S359" i="2" s="1"/>
  <c r="I360" i="2"/>
  <c r="J360" i="2"/>
  <c r="K360" i="2"/>
  <c r="O360" i="2"/>
  <c r="R360" i="2"/>
  <c r="S360" i="2" s="1"/>
  <c r="I361" i="2"/>
  <c r="J361" i="2"/>
  <c r="K361" i="2"/>
  <c r="O361" i="2"/>
  <c r="R361" i="2"/>
  <c r="S361" i="2" s="1"/>
  <c r="I362" i="2"/>
  <c r="J362" i="2"/>
  <c r="K362" i="2"/>
  <c r="O362" i="2"/>
  <c r="R362" i="2"/>
  <c r="S362" i="2" s="1"/>
  <c r="I363" i="2"/>
  <c r="J363" i="2"/>
  <c r="K363" i="2"/>
  <c r="O363" i="2"/>
  <c r="R363" i="2"/>
  <c r="S363" i="2" s="1"/>
  <c r="I364" i="2"/>
  <c r="J364" i="2"/>
  <c r="K364" i="2"/>
  <c r="O364" i="2"/>
  <c r="R364" i="2"/>
  <c r="S364" i="2" s="1"/>
  <c r="I365" i="2"/>
  <c r="J365" i="2"/>
  <c r="K365" i="2"/>
  <c r="O365" i="2"/>
  <c r="R365" i="2"/>
  <c r="S365" i="2" s="1"/>
  <c r="I366" i="2"/>
  <c r="J366" i="2"/>
  <c r="K366" i="2"/>
  <c r="O366" i="2"/>
  <c r="R366" i="2"/>
  <c r="S366" i="2" s="1"/>
  <c r="I367" i="2"/>
  <c r="J367" i="2"/>
  <c r="K367" i="2"/>
  <c r="O367" i="2"/>
  <c r="R367" i="2"/>
  <c r="S367" i="2" s="1"/>
  <c r="I368" i="2"/>
  <c r="J368" i="2"/>
  <c r="K368" i="2"/>
  <c r="O368" i="2"/>
  <c r="R368" i="2"/>
  <c r="S368" i="2" s="1"/>
  <c r="I369" i="2"/>
  <c r="J369" i="2"/>
  <c r="K369" i="2"/>
  <c r="O369" i="2"/>
  <c r="R369" i="2"/>
  <c r="S369" i="2" s="1"/>
  <c r="I370" i="2"/>
  <c r="J370" i="2"/>
  <c r="K370" i="2"/>
  <c r="O370" i="2"/>
  <c r="R370" i="2"/>
  <c r="S370" i="2" s="1"/>
  <c r="I371" i="2"/>
  <c r="J371" i="2"/>
  <c r="K371" i="2"/>
  <c r="O371" i="2"/>
  <c r="R371" i="2"/>
  <c r="S371" i="2" s="1"/>
  <c r="I372" i="2"/>
  <c r="J372" i="2"/>
  <c r="K372" i="2"/>
  <c r="O372" i="2"/>
  <c r="R372" i="2"/>
  <c r="S372" i="2" s="1"/>
  <c r="I373" i="2"/>
  <c r="J373" i="2"/>
  <c r="K373" i="2"/>
  <c r="O373" i="2"/>
  <c r="R373" i="2"/>
  <c r="S373" i="2" s="1"/>
  <c r="I374" i="2"/>
  <c r="J374" i="2"/>
  <c r="K374" i="2"/>
  <c r="O374" i="2"/>
  <c r="R374" i="2"/>
  <c r="S374" i="2" s="1"/>
  <c r="I375" i="2"/>
  <c r="J375" i="2"/>
  <c r="K375" i="2"/>
  <c r="O375" i="2"/>
  <c r="R375" i="2"/>
  <c r="S375" i="2" s="1"/>
  <c r="I376" i="2"/>
  <c r="J376" i="2"/>
  <c r="K376" i="2"/>
  <c r="O376" i="2"/>
  <c r="R376" i="2"/>
  <c r="S376" i="2" s="1"/>
  <c r="I377" i="2"/>
  <c r="J377" i="2"/>
  <c r="K377" i="2"/>
  <c r="O377" i="2"/>
  <c r="R377" i="2"/>
  <c r="S377" i="2" s="1"/>
  <c r="I378" i="2"/>
  <c r="J378" i="2"/>
  <c r="K378" i="2"/>
  <c r="O378" i="2"/>
  <c r="R378" i="2"/>
  <c r="S378" i="2" s="1"/>
  <c r="I379" i="2"/>
  <c r="J379" i="2"/>
  <c r="K379" i="2"/>
  <c r="O379" i="2"/>
  <c r="R379" i="2"/>
  <c r="S379" i="2" s="1"/>
  <c r="I380" i="2"/>
  <c r="J380" i="2"/>
  <c r="K380" i="2"/>
  <c r="O380" i="2"/>
  <c r="R380" i="2"/>
  <c r="S380" i="2" s="1"/>
  <c r="I381" i="2"/>
  <c r="J381" i="2"/>
  <c r="K381" i="2"/>
  <c r="O381" i="2"/>
  <c r="R381" i="2"/>
  <c r="S381" i="2" s="1"/>
  <c r="I382" i="2"/>
  <c r="J382" i="2"/>
  <c r="K382" i="2"/>
  <c r="O382" i="2"/>
  <c r="R382" i="2"/>
  <c r="S382" i="2" s="1"/>
  <c r="I383" i="2"/>
  <c r="J383" i="2"/>
  <c r="K383" i="2"/>
  <c r="O383" i="2"/>
  <c r="R383" i="2"/>
  <c r="S383" i="2" s="1"/>
  <c r="I384" i="2"/>
  <c r="J384" i="2"/>
  <c r="K384" i="2"/>
  <c r="O384" i="2"/>
  <c r="R384" i="2"/>
  <c r="S384" i="2" s="1"/>
  <c r="I385" i="2"/>
  <c r="J385" i="2"/>
  <c r="K385" i="2"/>
  <c r="O385" i="2"/>
  <c r="R385" i="2"/>
  <c r="S385" i="2" s="1"/>
  <c r="I386" i="2"/>
  <c r="J386" i="2"/>
  <c r="K386" i="2"/>
  <c r="O386" i="2"/>
  <c r="R386" i="2"/>
  <c r="S386" i="2" s="1"/>
  <c r="I387" i="2"/>
  <c r="J387" i="2"/>
  <c r="K387" i="2"/>
  <c r="O387" i="2"/>
  <c r="R387" i="2"/>
  <c r="S387" i="2" s="1"/>
  <c r="I388" i="2"/>
  <c r="J388" i="2"/>
  <c r="K388" i="2"/>
  <c r="O388" i="2"/>
  <c r="R388" i="2"/>
  <c r="S388" i="2" s="1"/>
  <c r="I389" i="2"/>
  <c r="J389" i="2"/>
  <c r="K389" i="2"/>
  <c r="O389" i="2"/>
  <c r="R389" i="2"/>
  <c r="S389" i="2" s="1"/>
  <c r="I390" i="2"/>
  <c r="J390" i="2"/>
  <c r="K390" i="2"/>
  <c r="O390" i="2"/>
  <c r="R390" i="2"/>
  <c r="S390" i="2" s="1"/>
  <c r="I391" i="2"/>
  <c r="J391" i="2"/>
  <c r="K391" i="2"/>
  <c r="O391" i="2"/>
  <c r="R391" i="2"/>
  <c r="S391" i="2" s="1"/>
  <c r="I392" i="2"/>
  <c r="J392" i="2"/>
  <c r="K392" i="2"/>
  <c r="O392" i="2"/>
  <c r="R392" i="2"/>
  <c r="S392" i="2" s="1"/>
  <c r="I393" i="2"/>
  <c r="J393" i="2"/>
  <c r="K393" i="2"/>
  <c r="O393" i="2"/>
  <c r="R393" i="2"/>
  <c r="S393" i="2" s="1"/>
  <c r="I394" i="2"/>
  <c r="J394" i="2"/>
  <c r="K394" i="2"/>
  <c r="O394" i="2"/>
  <c r="R394" i="2"/>
  <c r="S394" i="2" s="1"/>
  <c r="I395" i="2"/>
  <c r="J395" i="2"/>
  <c r="K395" i="2"/>
  <c r="O395" i="2"/>
  <c r="R395" i="2"/>
  <c r="S395" i="2" s="1"/>
  <c r="I396" i="2"/>
  <c r="J396" i="2"/>
  <c r="K396" i="2"/>
  <c r="O396" i="2"/>
  <c r="R396" i="2"/>
  <c r="S396" i="2" s="1"/>
  <c r="I397" i="2"/>
  <c r="J397" i="2"/>
  <c r="K397" i="2"/>
  <c r="O397" i="2"/>
  <c r="R397" i="2"/>
  <c r="S397" i="2" s="1"/>
  <c r="I398" i="2"/>
  <c r="J398" i="2"/>
  <c r="K398" i="2"/>
  <c r="O398" i="2"/>
  <c r="R398" i="2"/>
  <c r="S398" i="2" s="1"/>
  <c r="I399" i="2"/>
  <c r="J399" i="2"/>
  <c r="K399" i="2"/>
  <c r="O399" i="2"/>
  <c r="R399" i="2"/>
  <c r="S399" i="2" s="1"/>
  <c r="I400" i="2"/>
  <c r="J400" i="2"/>
  <c r="K400" i="2"/>
  <c r="O400" i="2"/>
  <c r="R400" i="2"/>
  <c r="S400" i="2" s="1"/>
  <c r="I401" i="2"/>
  <c r="J401" i="2"/>
  <c r="K401" i="2"/>
  <c r="O401" i="2"/>
  <c r="R401" i="2"/>
  <c r="S401" i="2" s="1"/>
  <c r="I402" i="2"/>
  <c r="J402" i="2"/>
  <c r="K402" i="2"/>
  <c r="O402" i="2"/>
  <c r="R402" i="2"/>
  <c r="S402" i="2" s="1"/>
  <c r="I403" i="2"/>
  <c r="J403" i="2"/>
  <c r="K403" i="2"/>
  <c r="O403" i="2"/>
  <c r="R403" i="2"/>
  <c r="S403" i="2" s="1"/>
  <c r="I404" i="2"/>
  <c r="J404" i="2"/>
  <c r="K404" i="2"/>
  <c r="O404" i="2"/>
  <c r="R404" i="2"/>
  <c r="S404" i="2" s="1"/>
  <c r="I405" i="2"/>
  <c r="J405" i="2"/>
  <c r="K405" i="2"/>
  <c r="O405" i="2"/>
  <c r="R405" i="2"/>
  <c r="S405" i="2" s="1"/>
  <c r="I406" i="2"/>
  <c r="J406" i="2"/>
  <c r="K406" i="2"/>
  <c r="O406" i="2"/>
  <c r="R406" i="2"/>
  <c r="S406" i="2" s="1"/>
  <c r="I407" i="2"/>
  <c r="J407" i="2"/>
  <c r="K407" i="2"/>
  <c r="O407" i="2"/>
  <c r="R407" i="2"/>
  <c r="S407" i="2" s="1"/>
  <c r="I408" i="2"/>
  <c r="J408" i="2"/>
  <c r="K408" i="2"/>
  <c r="O408" i="2"/>
  <c r="R408" i="2"/>
  <c r="S408" i="2" s="1"/>
  <c r="I409" i="2"/>
  <c r="J409" i="2"/>
  <c r="K409" i="2"/>
  <c r="O409" i="2"/>
  <c r="R409" i="2"/>
  <c r="S409" i="2" s="1"/>
  <c r="I410" i="2"/>
  <c r="J410" i="2"/>
  <c r="K410" i="2"/>
  <c r="O410" i="2"/>
  <c r="R410" i="2"/>
  <c r="S410" i="2" s="1"/>
  <c r="I411" i="2"/>
  <c r="J411" i="2"/>
  <c r="K411" i="2"/>
  <c r="O411" i="2"/>
  <c r="R411" i="2"/>
  <c r="S411" i="2" s="1"/>
  <c r="I412" i="2"/>
  <c r="J412" i="2"/>
  <c r="K412" i="2"/>
  <c r="O412" i="2"/>
  <c r="R412" i="2"/>
  <c r="S412" i="2" s="1"/>
  <c r="I413" i="2"/>
  <c r="J413" i="2"/>
  <c r="K413" i="2"/>
  <c r="O413" i="2"/>
  <c r="R413" i="2"/>
  <c r="S413" i="2" s="1"/>
  <c r="I414" i="2"/>
  <c r="J414" i="2"/>
  <c r="K414" i="2"/>
  <c r="O414" i="2"/>
  <c r="R414" i="2"/>
  <c r="S414" i="2" s="1"/>
  <c r="I415" i="2"/>
  <c r="J415" i="2"/>
  <c r="K415" i="2"/>
  <c r="O415" i="2"/>
  <c r="R415" i="2"/>
  <c r="S415" i="2" s="1"/>
  <c r="I416" i="2"/>
  <c r="J416" i="2"/>
  <c r="K416" i="2"/>
  <c r="O416" i="2"/>
  <c r="R416" i="2"/>
  <c r="S416" i="2" s="1"/>
  <c r="I417" i="2"/>
  <c r="J417" i="2"/>
  <c r="K417" i="2"/>
  <c r="O417" i="2"/>
  <c r="R417" i="2"/>
  <c r="S417" i="2" s="1"/>
  <c r="I418" i="2"/>
  <c r="J418" i="2"/>
  <c r="K418" i="2"/>
  <c r="O418" i="2"/>
  <c r="R418" i="2"/>
  <c r="S418" i="2" s="1"/>
  <c r="I419" i="2"/>
  <c r="J419" i="2"/>
  <c r="K419" i="2"/>
  <c r="O419" i="2"/>
  <c r="R419" i="2"/>
  <c r="S419" i="2" s="1"/>
  <c r="I420" i="2"/>
  <c r="J420" i="2"/>
  <c r="K420" i="2"/>
  <c r="O420" i="2"/>
  <c r="R420" i="2"/>
  <c r="S420" i="2" s="1"/>
  <c r="I421" i="2"/>
  <c r="J421" i="2"/>
  <c r="K421" i="2"/>
  <c r="O421" i="2"/>
  <c r="R421" i="2"/>
  <c r="S421" i="2" s="1"/>
  <c r="I422" i="2"/>
  <c r="J422" i="2"/>
  <c r="K422" i="2"/>
  <c r="O422" i="2"/>
  <c r="R422" i="2"/>
  <c r="S422" i="2" s="1"/>
  <c r="I423" i="2"/>
  <c r="J423" i="2"/>
  <c r="K423" i="2"/>
  <c r="O423" i="2"/>
  <c r="R423" i="2"/>
  <c r="S423" i="2" s="1"/>
  <c r="I424" i="2"/>
  <c r="J424" i="2"/>
  <c r="K424" i="2"/>
  <c r="O424" i="2"/>
  <c r="R424" i="2"/>
  <c r="S424" i="2" s="1"/>
  <c r="I425" i="2"/>
  <c r="J425" i="2"/>
  <c r="K425" i="2"/>
  <c r="O425" i="2"/>
  <c r="R425" i="2"/>
  <c r="S425" i="2" s="1"/>
  <c r="I426" i="2"/>
  <c r="J426" i="2"/>
  <c r="K426" i="2"/>
  <c r="O426" i="2"/>
  <c r="R426" i="2"/>
  <c r="S426" i="2" s="1"/>
  <c r="I427" i="2"/>
  <c r="J427" i="2"/>
  <c r="K427" i="2"/>
  <c r="O427" i="2"/>
  <c r="R427" i="2"/>
  <c r="S427" i="2" s="1"/>
  <c r="I428" i="2"/>
  <c r="J428" i="2"/>
  <c r="K428" i="2"/>
  <c r="O428" i="2"/>
  <c r="R428" i="2"/>
  <c r="S428" i="2" s="1"/>
  <c r="I429" i="2"/>
  <c r="J429" i="2"/>
  <c r="K429" i="2"/>
  <c r="O429" i="2"/>
  <c r="R429" i="2"/>
  <c r="S429" i="2" s="1"/>
  <c r="I430" i="2"/>
  <c r="J430" i="2"/>
  <c r="K430" i="2"/>
  <c r="O430" i="2"/>
  <c r="R430" i="2"/>
  <c r="S430" i="2" s="1"/>
  <c r="I431" i="2"/>
  <c r="J431" i="2"/>
  <c r="K431" i="2"/>
  <c r="O431" i="2"/>
  <c r="R431" i="2"/>
  <c r="S431" i="2" s="1"/>
  <c r="I432" i="2"/>
  <c r="J432" i="2"/>
  <c r="K432" i="2"/>
  <c r="O432" i="2"/>
  <c r="R432" i="2"/>
  <c r="S432" i="2" s="1"/>
  <c r="I433" i="2"/>
  <c r="J433" i="2"/>
  <c r="K433" i="2"/>
  <c r="O433" i="2"/>
  <c r="R433" i="2"/>
  <c r="S433" i="2" s="1"/>
  <c r="I434" i="2"/>
  <c r="J434" i="2"/>
  <c r="K434" i="2"/>
  <c r="O434" i="2"/>
  <c r="R434" i="2"/>
  <c r="S434" i="2" s="1"/>
  <c r="I435" i="2"/>
  <c r="J435" i="2"/>
  <c r="K435" i="2"/>
  <c r="O435" i="2"/>
  <c r="R435" i="2"/>
  <c r="S435" i="2" s="1"/>
  <c r="I436" i="2"/>
  <c r="J436" i="2"/>
  <c r="K436" i="2"/>
  <c r="O436" i="2"/>
  <c r="R436" i="2"/>
  <c r="S436" i="2" s="1"/>
  <c r="I437" i="2"/>
  <c r="J437" i="2"/>
  <c r="K437" i="2"/>
  <c r="O437" i="2"/>
  <c r="R437" i="2"/>
  <c r="S437" i="2" s="1"/>
  <c r="I438" i="2"/>
  <c r="J438" i="2"/>
  <c r="K438" i="2"/>
  <c r="O438" i="2"/>
  <c r="R438" i="2"/>
  <c r="S438" i="2" s="1"/>
  <c r="I439" i="2"/>
  <c r="J439" i="2"/>
  <c r="K439" i="2"/>
  <c r="O439" i="2"/>
  <c r="R439" i="2"/>
  <c r="S439" i="2" s="1"/>
  <c r="I440" i="2"/>
  <c r="J440" i="2"/>
  <c r="K440" i="2"/>
  <c r="O440" i="2"/>
  <c r="R440" i="2"/>
  <c r="S440" i="2" s="1"/>
  <c r="I441" i="2"/>
  <c r="J441" i="2"/>
  <c r="K441" i="2"/>
  <c r="O441" i="2"/>
  <c r="R441" i="2"/>
  <c r="S441" i="2" s="1"/>
  <c r="I442" i="2"/>
  <c r="J442" i="2"/>
  <c r="K442" i="2"/>
  <c r="O442" i="2"/>
  <c r="R442" i="2"/>
  <c r="S442" i="2" s="1"/>
  <c r="I443" i="2"/>
  <c r="J443" i="2"/>
  <c r="K443" i="2"/>
  <c r="O443" i="2"/>
  <c r="R443" i="2"/>
  <c r="S443" i="2" s="1"/>
  <c r="I444" i="2"/>
  <c r="J444" i="2"/>
  <c r="K444" i="2"/>
  <c r="O444" i="2"/>
  <c r="R444" i="2"/>
  <c r="S444" i="2" s="1"/>
  <c r="I445" i="2"/>
  <c r="J445" i="2"/>
  <c r="K445" i="2"/>
  <c r="O445" i="2"/>
  <c r="R445" i="2"/>
  <c r="S445" i="2" s="1"/>
  <c r="I446" i="2"/>
  <c r="J446" i="2"/>
  <c r="K446" i="2"/>
  <c r="O446" i="2"/>
  <c r="R446" i="2"/>
  <c r="S446" i="2" s="1"/>
  <c r="I447" i="2"/>
  <c r="J447" i="2"/>
  <c r="K447" i="2"/>
  <c r="O447" i="2"/>
  <c r="R447" i="2"/>
  <c r="S447" i="2" s="1"/>
  <c r="I448" i="2"/>
  <c r="J448" i="2"/>
  <c r="K448" i="2"/>
  <c r="O448" i="2"/>
  <c r="R448" i="2"/>
  <c r="S448" i="2" s="1"/>
  <c r="I449" i="2"/>
  <c r="J449" i="2"/>
  <c r="K449" i="2"/>
  <c r="O449" i="2"/>
  <c r="R449" i="2"/>
  <c r="S449" i="2" s="1"/>
  <c r="I450" i="2"/>
  <c r="J450" i="2"/>
  <c r="K450" i="2"/>
  <c r="O450" i="2"/>
  <c r="R450" i="2"/>
  <c r="S450" i="2" s="1"/>
  <c r="I451" i="2"/>
  <c r="J451" i="2"/>
  <c r="K451" i="2"/>
  <c r="O451" i="2"/>
  <c r="R451" i="2"/>
  <c r="S451" i="2" s="1"/>
  <c r="I452" i="2"/>
  <c r="J452" i="2"/>
  <c r="K452" i="2"/>
  <c r="O452" i="2"/>
  <c r="R452" i="2"/>
  <c r="S452" i="2" s="1"/>
  <c r="I453" i="2"/>
  <c r="J453" i="2"/>
  <c r="K453" i="2"/>
  <c r="O453" i="2"/>
  <c r="R453" i="2"/>
  <c r="S453" i="2" s="1"/>
  <c r="I454" i="2"/>
  <c r="J454" i="2"/>
  <c r="K454" i="2"/>
  <c r="O454" i="2"/>
  <c r="R454" i="2"/>
  <c r="S454" i="2" s="1"/>
  <c r="I455" i="2"/>
  <c r="J455" i="2"/>
  <c r="K455" i="2"/>
  <c r="O455" i="2"/>
  <c r="R455" i="2"/>
  <c r="S455" i="2" s="1"/>
  <c r="I456" i="2"/>
  <c r="J456" i="2"/>
  <c r="K456" i="2"/>
  <c r="O456" i="2"/>
  <c r="R456" i="2"/>
  <c r="S456" i="2" s="1"/>
  <c r="I457" i="2"/>
  <c r="J457" i="2"/>
  <c r="K457" i="2"/>
  <c r="O457" i="2"/>
  <c r="R457" i="2"/>
  <c r="S457" i="2" s="1"/>
  <c r="I458" i="2"/>
  <c r="J458" i="2"/>
  <c r="K458" i="2"/>
  <c r="O458" i="2"/>
  <c r="R458" i="2"/>
  <c r="S458" i="2" s="1"/>
  <c r="I459" i="2"/>
  <c r="J459" i="2"/>
  <c r="K459" i="2"/>
  <c r="O459" i="2"/>
  <c r="R459" i="2"/>
  <c r="S459" i="2" s="1"/>
  <c r="I460" i="2"/>
  <c r="J460" i="2"/>
  <c r="K460" i="2"/>
  <c r="O460" i="2"/>
  <c r="R460" i="2"/>
  <c r="S460" i="2" s="1"/>
  <c r="I461" i="2"/>
  <c r="J461" i="2"/>
  <c r="K461" i="2"/>
  <c r="O461" i="2"/>
  <c r="R461" i="2"/>
  <c r="S461" i="2" s="1"/>
  <c r="I462" i="2"/>
  <c r="J462" i="2"/>
  <c r="K462" i="2"/>
  <c r="O462" i="2"/>
  <c r="R462" i="2"/>
  <c r="S462" i="2" s="1"/>
  <c r="I463" i="2"/>
  <c r="J463" i="2"/>
  <c r="K463" i="2"/>
  <c r="O463" i="2"/>
  <c r="R463" i="2"/>
  <c r="S463" i="2" s="1"/>
  <c r="I464" i="2"/>
  <c r="J464" i="2"/>
  <c r="K464" i="2"/>
  <c r="O464" i="2"/>
  <c r="R464" i="2"/>
  <c r="S464" i="2" s="1"/>
  <c r="I465" i="2"/>
  <c r="J465" i="2"/>
  <c r="K465" i="2"/>
  <c r="O465" i="2"/>
  <c r="R465" i="2"/>
  <c r="S465" i="2" s="1"/>
  <c r="I466" i="2"/>
  <c r="J466" i="2"/>
  <c r="K466" i="2"/>
  <c r="O466" i="2"/>
  <c r="R466" i="2"/>
  <c r="S466" i="2" s="1"/>
  <c r="I467" i="2"/>
  <c r="J467" i="2"/>
  <c r="K467" i="2"/>
  <c r="O467" i="2"/>
  <c r="R467" i="2"/>
  <c r="S467" i="2" s="1"/>
  <c r="I468" i="2"/>
  <c r="J468" i="2"/>
  <c r="K468" i="2"/>
  <c r="O468" i="2"/>
  <c r="R468" i="2"/>
  <c r="S468" i="2" s="1"/>
  <c r="I469" i="2"/>
  <c r="J469" i="2"/>
  <c r="K469" i="2"/>
  <c r="O469" i="2"/>
  <c r="R469" i="2"/>
  <c r="S469" i="2" s="1"/>
  <c r="I470" i="2"/>
  <c r="J470" i="2"/>
  <c r="K470" i="2"/>
  <c r="O470" i="2"/>
  <c r="R470" i="2"/>
  <c r="S470" i="2" s="1"/>
  <c r="I471" i="2"/>
  <c r="J471" i="2"/>
  <c r="K471" i="2"/>
  <c r="O471" i="2"/>
  <c r="R471" i="2"/>
  <c r="S471" i="2" s="1"/>
  <c r="I472" i="2"/>
  <c r="J472" i="2"/>
  <c r="K472" i="2"/>
  <c r="O472" i="2"/>
  <c r="R472" i="2"/>
  <c r="S472" i="2" s="1"/>
  <c r="I473" i="2"/>
  <c r="J473" i="2"/>
  <c r="K473" i="2"/>
  <c r="O473" i="2"/>
  <c r="R473" i="2"/>
  <c r="S473" i="2" s="1"/>
  <c r="I474" i="2"/>
  <c r="J474" i="2"/>
  <c r="K474" i="2"/>
  <c r="O474" i="2"/>
  <c r="R474" i="2"/>
  <c r="S474" i="2" s="1"/>
  <c r="I475" i="2"/>
  <c r="J475" i="2"/>
  <c r="K475" i="2"/>
  <c r="O475" i="2"/>
  <c r="R475" i="2"/>
  <c r="S475" i="2" s="1"/>
  <c r="I476" i="2"/>
  <c r="J476" i="2"/>
  <c r="K476" i="2"/>
  <c r="O476" i="2"/>
  <c r="R476" i="2"/>
  <c r="S476" i="2" s="1"/>
  <c r="I477" i="2"/>
  <c r="J477" i="2"/>
  <c r="K477" i="2"/>
  <c r="O477" i="2"/>
  <c r="R477" i="2"/>
  <c r="S477" i="2" s="1"/>
  <c r="I478" i="2"/>
  <c r="J478" i="2"/>
  <c r="K478" i="2"/>
  <c r="O478" i="2"/>
  <c r="R478" i="2"/>
  <c r="S478" i="2" s="1"/>
  <c r="I479" i="2"/>
  <c r="J479" i="2"/>
  <c r="K479" i="2"/>
  <c r="O479" i="2"/>
  <c r="R479" i="2"/>
  <c r="S479" i="2" s="1"/>
  <c r="I480" i="2"/>
  <c r="J480" i="2"/>
  <c r="K480" i="2"/>
  <c r="O480" i="2"/>
  <c r="R480" i="2"/>
  <c r="S480" i="2" s="1"/>
  <c r="I481" i="2"/>
  <c r="J481" i="2"/>
  <c r="K481" i="2"/>
  <c r="O481" i="2"/>
  <c r="R481" i="2"/>
  <c r="S481" i="2" s="1"/>
  <c r="I482" i="2"/>
  <c r="J482" i="2"/>
  <c r="K482" i="2"/>
  <c r="O482" i="2"/>
  <c r="R482" i="2"/>
  <c r="S482" i="2" s="1"/>
  <c r="I483" i="2"/>
  <c r="J483" i="2"/>
  <c r="K483" i="2"/>
  <c r="O483" i="2"/>
  <c r="R483" i="2"/>
  <c r="S483" i="2" s="1"/>
  <c r="I484" i="2"/>
  <c r="J484" i="2"/>
  <c r="K484" i="2"/>
  <c r="O484" i="2"/>
  <c r="R484" i="2"/>
  <c r="S484" i="2" s="1"/>
  <c r="I485" i="2"/>
  <c r="J485" i="2"/>
  <c r="K485" i="2"/>
  <c r="O485" i="2"/>
  <c r="R485" i="2"/>
  <c r="S485" i="2" s="1"/>
  <c r="I486" i="2"/>
  <c r="J486" i="2"/>
  <c r="K486" i="2"/>
  <c r="O486" i="2"/>
  <c r="R486" i="2"/>
  <c r="S486" i="2" s="1"/>
  <c r="I487" i="2"/>
  <c r="J487" i="2"/>
  <c r="K487" i="2"/>
  <c r="O487" i="2"/>
  <c r="R487" i="2"/>
  <c r="S487" i="2" s="1"/>
  <c r="I488" i="2"/>
  <c r="J488" i="2"/>
  <c r="K488" i="2"/>
  <c r="O488" i="2"/>
  <c r="R488" i="2"/>
  <c r="S488" i="2" s="1"/>
  <c r="I489" i="2"/>
  <c r="J489" i="2"/>
  <c r="K489" i="2"/>
  <c r="O489" i="2"/>
  <c r="R489" i="2"/>
  <c r="S489" i="2" s="1"/>
  <c r="I490" i="2"/>
  <c r="J490" i="2"/>
  <c r="K490" i="2"/>
  <c r="O490" i="2"/>
  <c r="R490" i="2"/>
  <c r="S490" i="2" s="1"/>
  <c r="I491" i="2"/>
  <c r="J491" i="2"/>
  <c r="K491" i="2"/>
  <c r="O491" i="2"/>
  <c r="R491" i="2"/>
  <c r="S491" i="2" s="1"/>
  <c r="I492" i="2"/>
  <c r="J492" i="2"/>
  <c r="K492" i="2"/>
  <c r="O492" i="2"/>
  <c r="R492" i="2"/>
  <c r="S492" i="2" s="1"/>
  <c r="I493" i="2"/>
  <c r="J493" i="2"/>
  <c r="K493" i="2"/>
  <c r="O493" i="2"/>
  <c r="R493" i="2"/>
  <c r="S493" i="2" s="1"/>
  <c r="I494" i="2"/>
  <c r="J494" i="2"/>
  <c r="K494" i="2"/>
  <c r="O494" i="2"/>
  <c r="R494" i="2"/>
  <c r="S494" i="2" s="1"/>
  <c r="I495" i="2"/>
  <c r="J495" i="2"/>
  <c r="K495" i="2"/>
  <c r="O495" i="2"/>
  <c r="R495" i="2"/>
  <c r="S495" i="2" s="1"/>
  <c r="I496" i="2"/>
  <c r="J496" i="2"/>
  <c r="K496" i="2"/>
  <c r="O496" i="2"/>
  <c r="R496" i="2"/>
  <c r="S496" i="2" s="1"/>
  <c r="I497" i="2"/>
  <c r="J497" i="2"/>
  <c r="K497" i="2"/>
  <c r="O497" i="2"/>
  <c r="R497" i="2"/>
  <c r="S497" i="2" s="1"/>
  <c r="I498" i="2"/>
  <c r="J498" i="2"/>
  <c r="K498" i="2"/>
  <c r="O498" i="2"/>
  <c r="R498" i="2"/>
  <c r="S498" i="2" s="1"/>
  <c r="I499" i="2"/>
  <c r="J499" i="2"/>
  <c r="K499" i="2"/>
  <c r="O499" i="2"/>
  <c r="R499" i="2"/>
  <c r="S499" i="2" s="1"/>
  <c r="I500" i="2"/>
  <c r="J500" i="2"/>
  <c r="K500" i="2"/>
  <c r="O500" i="2"/>
  <c r="R500" i="2"/>
  <c r="S500" i="2" s="1"/>
  <c r="I501" i="2"/>
  <c r="J501" i="2"/>
  <c r="K501" i="2"/>
  <c r="O501" i="2"/>
  <c r="R501" i="2"/>
  <c r="S501" i="2" s="1"/>
  <c r="I502" i="2"/>
  <c r="J502" i="2"/>
  <c r="K502" i="2"/>
  <c r="O502" i="2"/>
  <c r="R502" i="2"/>
  <c r="S502" i="2" s="1"/>
  <c r="I503" i="2"/>
  <c r="J503" i="2"/>
  <c r="K503" i="2"/>
  <c r="O503" i="2"/>
  <c r="R503" i="2"/>
  <c r="S503" i="2" s="1"/>
  <c r="I504" i="2"/>
  <c r="J504" i="2"/>
  <c r="K504" i="2"/>
  <c r="O504" i="2"/>
  <c r="R504" i="2"/>
  <c r="S504" i="2" s="1"/>
  <c r="I505" i="2"/>
  <c r="J505" i="2"/>
  <c r="K505" i="2"/>
  <c r="O505" i="2"/>
  <c r="R505" i="2"/>
  <c r="S505" i="2" s="1"/>
  <c r="I506" i="2"/>
  <c r="J506" i="2"/>
  <c r="K506" i="2"/>
  <c r="O506" i="2"/>
  <c r="R506" i="2"/>
  <c r="S506" i="2" s="1"/>
  <c r="I507" i="2"/>
  <c r="J507" i="2"/>
  <c r="K507" i="2"/>
  <c r="O507" i="2"/>
  <c r="R507" i="2"/>
  <c r="S507" i="2" s="1"/>
  <c r="I508" i="2"/>
  <c r="J508" i="2"/>
  <c r="K508" i="2"/>
  <c r="O508" i="2"/>
  <c r="R508" i="2"/>
  <c r="S508" i="2" s="1"/>
  <c r="I509" i="2"/>
  <c r="J509" i="2"/>
  <c r="K509" i="2"/>
  <c r="O509" i="2"/>
  <c r="R509" i="2"/>
  <c r="S509" i="2" s="1"/>
  <c r="I510" i="2"/>
  <c r="J510" i="2"/>
  <c r="K510" i="2"/>
  <c r="O510" i="2"/>
  <c r="R510" i="2"/>
  <c r="S510" i="2" s="1"/>
  <c r="I511" i="2"/>
  <c r="J511" i="2"/>
  <c r="K511" i="2"/>
  <c r="O511" i="2"/>
  <c r="R511" i="2"/>
  <c r="S511" i="2" s="1"/>
  <c r="I512" i="2"/>
  <c r="J512" i="2"/>
  <c r="K512" i="2"/>
  <c r="O512" i="2"/>
  <c r="R512" i="2"/>
  <c r="S512" i="2" s="1"/>
  <c r="I513" i="2"/>
  <c r="J513" i="2"/>
  <c r="K513" i="2"/>
  <c r="O513" i="2"/>
  <c r="R513" i="2"/>
  <c r="S513" i="2" s="1"/>
  <c r="I514" i="2"/>
  <c r="J514" i="2"/>
  <c r="K514" i="2"/>
  <c r="O514" i="2"/>
  <c r="R514" i="2"/>
  <c r="S514" i="2" s="1"/>
  <c r="I515" i="2"/>
  <c r="J515" i="2"/>
  <c r="K515" i="2"/>
  <c r="O515" i="2"/>
  <c r="R515" i="2"/>
  <c r="S515" i="2" s="1"/>
  <c r="I516" i="2"/>
  <c r="J516" i="2"/>
  <c r="K516" i="2"/>
  <c r="O516" i="2"/>
  <c r="R516" i="2"/>
  <c r="S516" i="2" s="1"/>
  <c r="I517" i="2"/>
  <c r="J517" i="2"/>
  <c r="K517" i="2"/>
  <c r="O517" i="2"/>
  <c r="R517" i="2"/>
  <c r="S517" i="2" s="1"/>
  <c r="I518" i="2"/>
  <c r="J518" i="2"/>
  <c r="K518" i="2"/>
  <c r="O518" i="2"/>
  <c r="R518" i="2"/>
  <c r="S518" i="2" s="1"/>
  <c r="I519" i="2"/>
  <c r="J519" i="2"/>
  <c r="K519" i="2"/>
  <c r="O519" i="2"/>
  <c r="R519" i="2"/>
  <c r="S519" i="2" s="1"/>
  <c r="I520" i="2"/>
  <c r="J520" i="2"/>
  <c r="K520" i="2"/>
  <c r="O520" i="2"/>
  <c r="R520" i="2"/>
  <c r="S520" i="2" s="1"/>
  <c r="I521" i="2"/>
  <c r="J521" i="2"/>
  <c r="K521" i="2"/>
  <c r="O521" i="2"/>
  <c r="R521" i="2"/>
  <c r="S521" i="2" s="1"/>
  <c r="I522" i="2"/>
  <c r="J522" i="2"/>
  <c r="K522" i="2"/>
  <c r="O522" i="2"/>
  <c r="R522" i="2"/>
  <c r="S522" i="2" s="1"/>
  <c r="I523" i="2"/>
  <c r="J523" i="2"/>
  <c r="K523" i="2"/>
  <c r="O523" i="2"/>
  <c r="R523" i="2"/>
  <c r="S523" i="2" s="1"/>
  <c r="I524" i="2"/>
  <c r="J524" i="2"/>
  <c r="K524" i="2"/>
  <c r="O524" i="2"/>
  <c r="R524" i="2"/>
  <c r="S524" i="2" s="1"/>
  <c r="I525" i="2"/>
  <c r="J525" i="2"/>
  <c r="K525" i="2"/>
  <c r="O525" i="2"/>
  <c r="R525" i="2"/>
  <c r="S525" i="2" s="1"/>
  <c r="I526" i="2"/>
  <c r="J526" i="2"/>
  <c r="K526" i="2"/>
  <c r="O526" i="2"/>
  <c r="R526" i="2"/>
  <c r="S526" i="2" s="1"/>
  <c r="I527" i="2"/>
  <c r="J527" i="2"/>
  <c r="K527" i="2"/>
  <c r="O527" i="2"/>
  <c r="R527" i="2"/>
  <c r="S527" i="2" s="1"/>
  <c r="I528" i="2"/>
  <c r="J528" i="2"/>
  <c r="K528" i="2"/>
  <c r="O528" i="2"/>
  <c r="R528" i="2"/>
  <c r="S528" i="2" s="1"/>
  <c r="I529" i="2"/>
  <c r="J529" i="2"/>
  <c r="K529" i="2"/>
  <c r="O529" i="2"/>
  <c r="R529" i="2"/>
  <c r="S529" i="2" s="1"/>
  <c r="I530" i="2"/>
  <c r="J530" i="2"/>
  <c r="K530" i="2"/>
  <c r="O530" i="2"/>
  <c r="R530" i="2"/>
  <c r="S530" i="2" s="1"/>
  <c r="I531" i="2"/>
  <c r="J531" i="2"/>
  <c r="K531" i="2"/>
  <c r="O531" i="2"/>
  <c r="R531" i="2"/>
  <c r="S531" i="2" s="1"/>
  <c r="I532" i="2"/>
  <c r="J532" i="2"/>
  <c r="K532" i="2"/>
  <c r="O532" i="2"/>
  <c r="R532" i="2"/>
  <c r="S532" i="2" s="1"/>
  <c r="I533" i="2"/>
  <c r="J533" i="2"/>
  <c r="K533" i="2"/>
  <c r="O533" i="2"/>
  <c r="R533" i="2"/>
  <c r="S533" i="2" s="1"/>
  <c r="I534" i="2"/>
  <c r="J534" i="2"/>
  <c r="K534" i="2"/>
  <c r="O534" i="2"/>
  <c r="R534" i="2"/>
  <c r="S534" i="2" s="1"/>
  <c r="I535" i="2"/>
  <c r="J535" i="2"/>
  <c r="K535" i="2"/>
  <c r="O535" i="2"/>
  <c r="R535" i="2"/>
  <c r="S535" i="2" s="1"/>
  <c r="I536" i="2"/>
  <c r="J536" i="2"/>
  <c r="K536" i="2"/>
  <c r="O536" i="2"/>
  <c r="R536" i="2"/>
  <c r="S536" i="2" s="1"/>
  <c r="I537" i="2"/>
  <c r="J537" i="2"/>
  <c r="K537" i="2"/>
  <c r="O537" i="2"/>
  <c r="R537" i="2"/>
  <c r="S537" i="2" s="1"/>
  <c r="I538" i="2"/>
  <c r="J538" i="2"/>
  <c r="K538" i="2"/>
  <c r="O538" i="2"/>
  <c r="R538" i="2"/>
  <c r="S538" i="2" s="1"/>
  <c r="I539" i="2"/>
  <c r="J539" i="2"/>
  <c r="K539" i="2"/>
  <c r="O539" i="2"/>
  <c r="R539" i="2"/>
  <c r="S539" i="2" s="1"/>
  <c r="I540" i="2"/>
  <c r="J540" i="2"/>
  <c r="K540" i="2"/>
  <c r="O540" i="2"/>
  <c r="R540" i="2"/>
  <c r="S540" i="2" s="1"/>
  <c r="I541" i="2"/>
  <c r="J541" i="2"/>
  <c r="K541" i="2"/>
  <c r="O541" i="2"/>
  <c r="R541" i="2"/>
  <c r="S541" i="2" s="1"/>
  <c r="I542" i="2"/>
  <c r="J542" i="2"/>
  <c r="K542" i="2"/>
  <c r="O542" i="2"/>
  <c r="R542" i="2"/>
  <c r="S542" i="2" s="1"/>
  <c r="I543" i="2"/>
  <c r="J543" i="2"/>
  <c r="K543" i="2"/>
  <c r="O543" i="2"/>
  <c r="R543" i="2"/>
  <c r="S543" i="2" s="1"/>
  <c r="I544" i="2"/>
  <c r="J544" i="2"/>
  <c r="K544" i="2"/>
  <c r="O544" i="2"/>
  <c r="R544" i="2"/>
  <c r="S544" i="2" s="1"/>
  <c r="I545" i="2"/>
  <c r="J545" i="2"/>
  <c r="K545" i="2"/>
  <c r="O545" i="2"/>
  <c r="R545" i="2"/>
  <c r="S545" i="2" s="1"/>
  <c r="I546" i="2"/>
  <c r="J546" i="2"/>
  <c r="K546" i="2"/>
  <c r="O546" i="2"/>
  <c r="R546" i="2"/>
  <c r="S546" i="2" s="1"/>
  <c r="I547" i="2"/>
  <c r="J547" i="2"/>
  <c r="K547" i="2"/>
  <c r="O547" i="2"/>
  <c r="R547" i="2"/>
  <c r="S547" i="2" s="1"/>
  <c r="I548" i="2"/>
  <c r="J548" i="2"/>
  <c r="K548" i="2"/>
  <c r="O548" i="2"/>
  <c r="R548" i="2"/>
  <c r="S548" i="2" s="1"/>
  <c r="I549" i="2"/>
  <c r="J549" i="2"/>
  <c r="K549" i="2"/>
  <c r="O549" i="2"/>
  <c r="R549" i="2"/>
  <c r="S549" i="2" s="1"/>
  <c r="I550" i="2"/>
  <c r="J550" i="2"/>
  <c r="K550" i="2"/>
  <c r="O550" i="2"/>
  <c r="R550" i="2"/>
  <c r="S550" i="2" s="1"/>
  <c r="I551" i="2"/>
  <c r="J551" i="2"/>
  <c r="K551" i="2"/>
  <c r="O551" i="2"/>
  <c r="R551" i="2"/>
  <c r="S551" i="2" s="1"/>
  <c r="I552" i="2"/>
  <c r="J552" i="2"/>
  <c r="K552" i="2"/>
  <c r="O552" i="2"/>
  <c r="R552" i="2"/>
  <c r="S552" i="2" s="1"/>
  <c r="I553" i="2"/>
  <c r="J553" i="2"/>
  <c r="K553" i="2"/>
  <c r="O553" i="2"/>
  <c r="R553" i="2"/>
  <c r="S553" i="2" s="1"/>
  <c r="I554" i="2"/>
  <c r="J554" i="2"/>
  <c r="K554" i="2"/>
  <c r="O554" i="2"/>
  <c r="R554" i="2"/>
  <c r="S554" i="2" s="1"/>
  <c r="I555" i="2"/>
  <c r="J555" i="2"/>
  <c r="K555" i="2"/>
  <c r="O555" i="2"/>
  <c r="R555" i="2"/>
  <c r="S555" i="2" s="1"/>
  <c r="I556" i="2"/>
  <c r="J556" i="2"/>
  <c r="K556" i="2"/>
  <c r="O556" i="2"/>
  <c r="R556" i="2"/>
  <c r="S556" i="2" s="1"/>
  <c r="I557" i="2"/>
  <c r="J557" i="2"/>
  <c r="K557" i="2"/>
  <c r="O557" i="2"/>
  <c r="R557" i="2"/>
  <c r="S557" i="2" s="1"/>
  <c r="I558" i="2"/>
  <c r="J558" i="2"/>
  <c r="K558" i="2"/>
  <c r="O558" i="2"/>
  <c r="R558" i="2"/>
  <c r="S558" i="2" s="1"/>
  <c r="I559" i="2"/>
  <c r="J559" i="2"/>
  <c r="K559" i="2"/>
  <c r="O559" i="2"/>
  <c r="R559" i="2"/>
  <c r="S559" i="2" s="1"/>
  <c r="I560" i="2"/>
  <c r="J560" i="2"/>
  <c r="K560" i="2"/>
  <c r="O560" i="2"/>
  <c r="R560" i="2"/>
  <c r="S560" i="2" s="1"/>
  <c r="I561" i="2"/>
  <c r="J561" i="2"/>
  <c r="K561" i="2"/>
  <c r="O561" i="2"/>
  <c r="R561" i="2"/>
  <c r="S561" i="2" s="1"/>
  <c r="I562" i="2"/>
  <c r="J562" i="2"/>
  <c r="K562" i="2"/>
  <c r="O562" i="2"/>
  <c r="R562" i="2"/>
  <c r="S562" i="2" s="1"/>
  <c r="I563" i="2"/>
  <c r="J563" i="2"/>
  <c r="K563" i="2"/>
  <c r="O563" i="2"/>
  <c r="R563" i="2"/>
  <c r="S563" i="2" s="1"/>
  <c r="I564" i="2"/>
  <c r="J564" i="2"/>
  <c r="K564" i="2"/>
  <c r="O564" i="2"/>
  <c r="R564" i="2"/>
  <c r="S564" i="2" s="1"/>
  <c r="I565" i="2"/>
  <c r="J565" i="2"/>
  <c r="K565" i="2"/>
  <c r="O565" i="2"/>
  <c r="R565" i="2"/>
  <c r="S565" i="2" s="1"/>
  <c r="I566" i="2"/>
  <c r="J566" i="2"/>
  <c r="K566" i="2"/>
  <c r="O566" i="2"/>
  <c r="R566" i="2"/>
  <c r="S566" i="2" s="1"/>
  <c r="I567" i="2"/>
  <c r="J567" i="2"/>
  <c r="K567" i="2"/>
  <c r="O567" i="2"/>
  <c r="R567" i="2"/>
  <c r="S567" i="2" s="1"/>
  <c r="I568" i="2"/>
  <c r="J568" i="2"/>
  <c r="K568" i="2"/>
  <c r="O568" i="2"/>
  <c r="R568" i="2"/>
  <c r="S568" i="2" s="1"/>
  <c r="I569" i="2"/>
  <c r="J569" i="2"/>
  <c r="K569" i="2"/>
  <c r="O569" i="2"/>
  <c r="R569" i="2"/>
  <c r="S569" i="2" s="1"/>
  <c r="I570" i="2"/>
  <c r="J570" i="2"/>
  <c r="K570" i="2"/>
  <c r="O570" i="2"/>
  <c r="R570" i="2"/>
  <c r="S570" i="2" s="1"/>
  <c r="I571" i="2"/>
  <c r="J571" i="2"/>
  <c r="K571" i="2"/>
  <c r="O571" i="2"/>
  <c r="R571" i="2"/>
  <c r="S571" i="2" s="1"/>
  <c r="I572" i="2"/>
  <c r="J572" i="2"/>
  <c r="K572" i="2"/>
  <c r="O572" i="2"/>
  <c r="R572" i="2"/>
  <c r="S572" i="2" s="1"/>
  <c r="I573" i="2"/>
  <c r="J573" i="2"/>
  <c r="K573" i="2"/>
  <c r="O573" i="2"/>
  <c r="R573" i="2"/>
  <c r="S573" i="2" s="1"/>
  <c r="I574" i="2"/>
  <c r="J574" i="2"/>
  <c r="K574" i="2"/>
  <c r="O574" i="2"/>
  <c r="R574" i="2"/>
  <c r="S574" i="2" s="1"/>
  <c r="I575" i="2"/>
  <c r="J575" i="2"/>
  <c r="K575" i="2"/>
  <c r="O575" i="2"/>
  <c r="R575" i="2"/>
  <c r="S575" i="2" s="1"/>
  <c r="I576" i="2"/>
  <c r="J576" i="2"/>
  <c r="K576" i="2"/>
  <c r="O576" i="2"/>
  <c r="R576" i="2"/>
  <c r="S576" i="2" s="1"/>
  <c r="I577" i="2"/>
  <c r="J577" i="2"/>
  <c r="K577" i="2"/>
  <c r="O577" i="2"/>
  <c r="R577" i="2"/>
  <c r="S577" i="2" s="1"/>
  <c r="I578" i="2"/>
  <c r="J578" i="2"/>
  <c r="K578" i="2"/>
  <c r="O578" i="2"/>
  <c r="R578" i="2"/>
  <c r="S578" i="2" s="1"/>
  <c r="I579" i="2"/>
  <c r="J579" i="2"/>
  <c r="K579" i="2"/>
  <c r="O579" i="2"/>
  <c r="R579" i="2"/>
  <c r="S579" i="2" s="1"/>
  <c r="I580" i="2"/>
  <c r="J580" i="2"/>
  <c r="K580" i="2"/>
  <c r="O580" i="2"/>
  <c r="R580" i="2"/>
  <c r="S580" i="2" s="1"/>
  <c r="I581" i="2"/>
  <c r="J581" i="2"/>
  <c r="K581" i="2"/>
  <c r="O581" i="2"/>
  <c r="R581" i="2"/>
  <c r="S581" i="2" s="1"/>
  <c r="I582" i="2"/>
  <c r="J582" i="2"/>
  <c r="K582" i="2"/>
  <c r="O582" i="2"/>
  <c r="R582" i="2"/>
  <c r="S582" i="2" s="1"/>
  <c r="I583" i="2"/>
  <c r="J583" i="2"/>
  <c r="K583" i="2"/>
  <c r="O583" i="2"/>
  <c r="R583" i="2"/>
  <c r="S583" i="2" s="1"/>
  <c r="I584" i="2"/>
  <c r="J584" i="2"/>
  <c r="K584" i="2"/>
  <c r="O584" i="2"/>
  <c r="R584" i="2"/>
  <c r="S584" i="2" s="1"/>
  <c r="I585" i="2"/>
  <c r="J585" i="2"/>
  <c r="K585" i="2"/>
  <c r="O585" i="2"/>
  <c r="R585" i="2"/>
  <c r="S585" i="2" s="1"/>
  <c r="I586" i="2"/>
  <c r="J586" i="2"/>
  <c r="K586" i="2"/>
  <c r="O586" i="2"/>
  <c r="R586" i="2"/>
  <c r="S586" i="2" s="1"/>
  <c r="I587" i="2"/>
  <c r="J587" i="2"/>
  <c r="K587" i="2"/>
  <c r="O587" i="2"/>
  <c r="R587" i="2"/>
  <c r="S587" i="2" s="1"/>
  <c r="I588" i="2"/>
  <c r="J588" i="2"/>
  <c r="K588" i="2"/>
  <c r="O588" i="2"/>
  <c r="R588" i="2"/>
  <c r="S588" i="2" s="1"/>
  <c r="I589" i="2"/>
  <c r="J589" i="2"/>
  <c r="K589" i="2"/>
  <c r="O589" i="2"/>
  <c r="R589" i="2"/>
  <c r="S589" i="2" s="1"/>
  <c r="I590" i="2"/>
  <c r="J590" i="2"/>
  <c r="K590" i="2"/>
  <c r="O590" i="2"/>
  <c r="R590" i="2"/>
  <c r="S590" i="2" s="1"/>
  <c r="I591" i="2"/>
  <c r="J591" i="2"/>
  <c r="K591" i="2"/>
  <c r="O591" i="2"/>
  <c r="R591" i="2"/>
  <c r="S591" i="2" s="1"/>
  <c r="I592" i="2"/>
  <c r="J592" i="2"/>
  <c r="K592" i="2"/>
  <c r="O592" i="2"/>
  <c r="R592" i="2"/>
  <c r="S592" i="2" s="1"/>
  <c r="I593" i="2"/>
  <c r="J593" i="2"/>
  <c r="K593" i="2"/>
  <c r="O593" i="2"/>
  <c r="R593" i="2"/>
  <c r="S593" i="2" s="1"/>
  <c r="I594" i="2"/>
  <c r="J594" i="2"/>
  <c r="K594" i="2"/>
  <c r="O594" i="2"/>
  <c r="R594" i="2"/>
  <c r="S594" i="2" s="1"/>
  <c r="I595" i="2"/>
  <c r="J595" i="2"/>
  <c r="K595" i="2"/>
  <c r="O595" i="2"/>
  <c r="R595" i="2"/>
  <c r="S595" i="2" s="1"/>
  <c r="I596" i="2"/>
  <c r="J596" i="2"/>
  <c r="K596" i="2"/>
  <c r="O596" i="2"/>
  <c r="R596" i="2"/>
  <c r="S596" i="2" s="1"/>
  <c r="I597" i="2"/>
  <c r="J597" i="2"/>
  <c r="K597" i="2"/>
  <c r="O597" i="2"/>
  <c r="R597" i="2"/>
  <c r="S597" i="2" s="1"/>
  <c r="I598" i="2"/>
  <c r="J598" i="2"/>
  <c r="K598" i="2"/>
  <c r="O598" i="2"/>
  <c r="R598" i="2"/>
  <c r="S598" i="2" s="1"/>
  <c r="I599" i="2"/>
  <c r="J599" i="2"/>
  <c r="K599" i="2"/>
  <c r="O599" i="2"/>
  <c r="R599" i="2"/>
  <c r="S599" i="2" s="1"/>
  <c r="I600" i="2"/>
  <c r="J600" i="2"/>
  <c r="K600" i="2"/>
  <c r="O600" i="2"/>
  <c r="R600" i="2"/>
  <c r="S600" i="2" s="1"/>
  <c r="I601" i="2"/>
  <c r="J601" i="2"/>
  <c r="K601" i="2"/>
  <c r="O601" i="2"/>
  <c r="R601" i="2"/>
  <c r="S601" i="2" s="1"/>
  <c r="I602" i="2"/>
  <c r="J602" i="2"/>
  <c r="K602" i="2"/>
  <c r="O602" i="2"/>
  <c r="R602" i="2"/>
  <c r="S602" i="2" s="1"/>
  <c r="I603" i="2"/>
  <c r="J603" i="2"/>
  <c r="K603" i="2"/>
  <c r="O603" i="2"/>
  <c r="R603" i="2"/>
  <c r="S603" i="2" s="1"/>
  <c r="I604" i="2"/>
  <c r="J604" i="2"/>
  <c r="K604" i="2"/>
  <c r="O604" i="2"/>
  <c r="R604" i="2"/>
  <c r="S604" i="2" s="1"/>
  <c r="I605" i="2"/>
  <c r="J605" i="2"/>
  <c r="K605" i="2"/>
  <c r="O605" i="2"/>
  <c r="R605" i="2"/>
  <c r="S605" i="2" s="1"/>
  <c r="I606" i="2"/>
  <c r="J606" i="2"/>
  <c r="K606" i="2"/>
  <c r="O606" i="2"/>
  <c r="R606" i="2"/>
  <c r="S606" i="2" s="1"/>
  <c r="I607" i="2"/>
  <c r="J607" i="2"/>
  <c r="K607" i="2"/>
  <c r="O607" i="2"/>
  <c r="R607" i="2"/>
  <c r="S607" i="2" s="1"/>
  <c r="I608" i="2"/>
  <c r="J608" i="2"/>
  <c r="K608" i="2"/>
  <c r="O608" i="2"/>
  <c r="R608" i="2"/>
  <c r="S608" i="2" s="1"/>
  <c r="I609" i="2"/>
  <c r="J609" i="2"/>
  <c r="K609" i="2"/>
  <c r="O609" i="2"/>
  <c r="R609" i="2"/>
  <c r="S609" i="2" s="1"/>
  <c r="I610" i="2"/>
  <c r="J610" i="2"/>
  <c r="K610" i="2"/>
  <c r="O610" i="2"/>
  <c r="R610" i="2"/>
  <c r="S610" i="2" s="1"/>
  <c r="I611" i="2"/>
  <c r="J611" i="2"/>
  <c r="K611" i="2"/>
  <c r="O611" i="2"/>
  <c r="R611" i="2"/>
  <c r="S611" i="2" s="1"/>
  <c r="I612" i="2"/>
  <c r="J612" i="2"/>
  <c r="K612" i="2"/>
  <c r="O612" i="2"/>
  <c r="R612" i="2"/>
  <c r="S612" i="2" s="1"/>
  <c r="I613" i="2"/>
  <c r="J613" i="2"/>
  <c r="K613" i="2"/>
  <c r="O613" i="2"/>
  <c r="R613" i="2"/>
  <c r="S613" i="2" s="1"/>
  <c r="I614" i="2"/>
  <c r="J614" i="2"/>
  <c r="K614" i="2"/>
  <c r="O614" i="2"/>
  <c r="R614" i="2"/>
  <c r="S614" i="2" s="1"/>
  <c r="I615" i="2"/>
  <c r="J615" i="2"/>
  <c r="K615" i="2"/>
  <c r="O615" i="2"/>
  <c r="R615" i="2"/>
  <c r="S615" i="2" s="1"/>
  <c r="I616" i="2"/>
  <c r="J616" i="2"/>
  <c r="K616" i="2"/>
  <c r="O616" i="2"/>
  <c r="R616" i="2"/>
  <c r="S616" i="2" s="1"/>
  <c r="I617" i="2"/>
  <c r="J617" i="2"/>
  <c r="K617" i="2"/>
  <c r="O617" i="2"/>
  <c r="R617" i="2"/>
  <c r="S617" i="2" s="1"/>
  <c r="I618" i="2"/>
  <c r="J618" i="2"/>
  <c r="K618" i="2"/>
  <c r="O618" i="2"/>
  <c r="R618" i="2"/>
  <c r="S618" i="2" s="1"/>
  <c r="I619" i="2"/>
  <c r="J619" i="2"/>
  <c r="K619" i="2"/>
  <c r="O619" i="2"/>
  <c r="R619" i="2"/>
  <c r="S619" i="2" s="1"/>
  <c r="I620" i="2"/>
  <c r="J620" i="2"/>
  <c r="K620" i="2"/>
  <c r="O620" i="2"/>
  <c r="R620" i="2"/>
  <c r="S620" i="2" s="1"/>
  <c r="I621" i="2"/>
  <c r="J621" i="2"/>
  <c r="K621" i="2"/>
  <c r="O621" i="2"/>
  <c r="R621" i="2"/>
  <c r="S621" i="2" s="1"/>
  <c r="I622" i="2"/>
  <c r="J622" i="2"/>
  <c r="K622" i="2"/>
  <c r="O622" i="2"/>
  <c r="R622" i="2"/>
  <c r="S622" i="2" s="1"/>
  <c r="I623" i="2"/>
  <c r="J623" i="2"/>
  <c r="K623" i="2"/>
  <c r="O623" i="2"/>
  <c r="R623" i="2"/>
  <c r="S623" i="2" s="1"/>
  <c r="I624" i="2"/>
  <c r="J624" i="2"/>
  <c r="K624" i="2"/>
  <c r="O624" i="2"/>
  <c r="R624" i="2"/>
  <c r="S624" i="2" s="1"/>
  <c r="I625" i="2"/>
  <c r="J625" i="2"/>
  <c r="K625" i="2"/>
  <c r="O625" i="2"/>
  <c r="R625" i="2"/>
  <c r="S625" i="2" s="1"/>
  <c r="I626" i="2"/>
  <c r="J626" i="2"/>
  <c r="K626" i="2"/>
  <c r="O626" i="2"/>
  <c r="R626" i="2"/>
  <c r="S626" i="2" s="1"/>
  <c r="I627" i="2"/>
  <c r="J627" i="2"/>
  <c r="K627" i="2"/>
  <c r="O627" i="2"/>
  <c r="R627" i="2"/>
  <c r="S627" i="2" s="1"/>
  <c r="I628" i="2"/>
  <c r="J628" i="2"/>
  <c r="K628" i="2"/>
  <c r="O628" i="2"/>
  <c r="R628" i="2"/>
  <c r="S628" i="2" s="1"/>
  <c r="I629" i="2"/>
  <c r="J629" i="2"/>
  <c r="K629" i="2"/>
  <c r="O629" i="2"/>
  <c r="R629" i="2"/>
  <c r="S629" i="2" s="1"/>
  <c r="I630" i="2"/>
  <c r="J630" i="2"/>
  <c r="K630" i="2"/>
  <c r="O630" i="2"/>
  <c r="R630" i="2"/>
  <c r="S630" i="2" s="1"/>
  <c r="I631" i="2"/>
  <c r="J631" i="2"/>
  <c r="K631" i="2"/>
  <c r="O631" i="2"/>
  <c r="R631" i="2"/>
  <c r="S631" i="2" s="1"/>
  <c r="I632" i="2"/>
  <c r="J632" i="2"/>
  <c r="K632" i="2"/>
  <c r="O632" i="2"/>
  <c r="R632" i="2"/>
  <c r="S632" i="2" s="1"/>
  <c r="I633" i="2"/>
  <c r="J633" i="2"/>
  <c r="K633" i="2"/>
  <c r="O633" i="2"/>
  <c r="R633" i="2"/>
  <c r="S633" i="2" s="1"/>
  <c r="I634" i="2"/>
  <c r="J634" i="2"/>
  <c r="K634" i="2"/>
  <c r="O634" i="2"/>
  <c r="R634" i="2"/>
  <c r="S634" i="2" s="1"/>
  <c r="I635" i="2"/>
  <c r="J635" i="2"/>
  <c r="K635" i="2"/>
  <c r="O635" i="2"/>
  <c r="R635" i="2"/>
  <c r="S635" i="2" s="1"/>
  <c r="I636" i="2"/>
  <c r="J636" i="2"/>
  <c r="K636" i="2"/>
  <c r="O636" i="2"/>
  <c r="R636" i="2"/>
  <c r="S636" i="2" s="1"/>
  <c r="I637" i="2"/>
  <c r="J637" i="2"/>
  <c r="K637" i="2"/>
  <c r="O637" i="2"/>
  <c r="R637" i="2"/>
  <c r="S637" i="2" s="1"/>
  <c r="I638" i="2"/>
  <c r="J638" i="2"/>
  <c r="K638" i="2"/>
  <c r="O638" i="2"/>
  <c r="R638" i="2"/>
  <c r="S638" i="2" s="1"/>
  <c r="I639" i="2"/>
  <c r="J639" i="2"/>
  <c r="K639" i="2"/>
  <c r="O639" i="2"/>
  <c r="R639" i="2"/>
  <c r="S639" i="2" s="1"/>
  <c r="I640" i="2"/>
  <c r="J640" i="2"/>
  <c r="K640" i="2"/>
  <c r="O640" i="2"/>
  <c r="R640" i="2"/>
  <c r="S640" i="2" s="1"/>
  <c r="I641" i="2"/>
  <c r="J641" i="2"/>
  <c r="K641" i="2"/>
  <c r="O641" i="2"/>
  <c r="R641" i="2"/>
  <c r="S641" i="2" s="1"/>
  <c r="I642" i="2"/>
  <c r="J642" i="2"/>
  <c r="K642" i="2"/>
  <c r="O642" i="2"/>
  <c r="R642" i="2"/>
  <c r="S642" i="2" s="1"/>
  <c r="I643" i="2"/>
  <c r="J643" i="2"/>
  <c r="K643" i="2"/>
  <c r="O643" i="2"/>
  <c r="R643" i="2"/>
  <c r="S643" i="2" s="1"/>
  <c r="I644" i="2"/>
  <c r="J644" i="2"/>
  <c r="K644" i="2"/>
  <c r="O644" i="2"/>
  <c r="R644" i="2"/>
  <c r="S644" i="2" s="1"/>
  <c r="I645" i="2"/>
  <c r="J645" i="2"/>
  <c r="K645" i="2"/>
  <c r="O645" i="2"/>
  <c r="R645" i="2"/>
  <c r="S645" i="2" s="1"/>
  <c r="I646" i="2"/>
  <c r="J646" i="2"/>
  <c r="K646" i="2"/>
  <c r="O646" i="2"/>
  <c r="R646" i="2"/>
  <c r="S646" i="2" s="1"/>
  <c r="I647" i="2"/>
  <c r="J647" i="2"/>
  <c r="K647" i="2"/>
  <c r="O647" i="2"/>
  <c r="R647" i="2"/>
  <c r="S647" i="2" s="1"/>
  <c r="I648" i="2"/>
  <c r="J648" i="2"/>
  <c r="K648" i="2"/>
  <c r="O648" i="2"/>
  <c r="R648" i="2"/>
  <c r="S648" i="2" s="1"/>
  <c r="I649" i="2"/>
  <c r="J649" i="2"/>
  <c r="K649" i="2"/>
  <c r="O649" i="2"/>
  <c r="R649" i="2"/>
  <c r="S649" i="2" s="1"/>
  <c r="I650" i="2"/>
  <c r="J650" i="2"/>
  <c r="K650" i="2"/>
  <c r="O650" i="2"/>
  <c r="R650" i="2"/>
  <c r="S650" i="2" s="1"/>
  <c r="I651" i="2"/>
  <c r="J651" i="2"/>
  <c r="K651" i="2"/>
  <c r="O651" i="2"/>
  <c r="R651" i="2"/>
  <c r="S651" i="2" s="1"/>
  <c r="I652" i="2"/>
  <c r="J652" i="2"/>
  <c r="K652" i="2"/>
  <c r="O652" i="2"/>
  <c r="R652" i="2"/>
  <c r="S652" i="2" s="1"/>
  <c r="I653" i="2"/>
  <c r="J653" i="2"/>
  <c r="K653" i="2"/>
  <c r="O653" i="2"/>
  <c r="R653" i="2"/>
  <c r="S653" i="2" s="1"/>
  <c r="I654" i="2"/>
  <c r="J654" i="2"/>
  <c r="K654" i="2"/>
  <c r="O654" i="2"/>
  <c r="R654" i="2"/>
  <c r="S654" i="2" s="1"/>
  <c r="I655" i="2"/>
  <c r="J655" i="2"/>
  <c r="K655" i="2"/>
  <c r="O655" i="2"/>
  <c r="R655" i="2"/>
  <c r="S655" i="2" s="1"/>
  <c r="I656" i="2"/>
  <c r="J656" i="2"/>
  <c r="K656" i="2"/>
  <c r="O656" i="2"/>
  <c r="R656" i="2"/>
  <c r="S656" i="2" s="1"/>
  <c r="I657" i="2"/>
  <c r="J657" i="2"/>
  <c r="K657" i="2"/>
  <c r="O657" i="2"/>
  <c r="R657" i="2"/>
  <c r="S657" i="2" s="1"/>
  <c r="I658" i="2"/>
  <c r="J658" i="2"/>
  <c r="K658" i="2"/>
  <c r="O658" i="2"/>
  <c r="R658" i="2"/>
  <c r="S658" i="2" s="1"/>
  <c r="I659" i="2"/>
  <c r="J659" i="2"/>
  <c r="K659" i="2"/>
  <c r="O659" i="2"/>
  <c r="R659" i="2"/>
  <c r="S659" i="2" s="1"/>
  <c r="I660" i="2"/>
  <c r="J660" i="2"/>
  <c r="K660" i="2"/>
  <c r="O660" i="2"/>
  <c r="R660" i="2"/>
  <c r="S660" i="2" s="1"/>
  <c r="I661" i="2"/>
  <c r="J661" i="2"/>
  <c r="K661" i="2"/>
  <c r="O661" i="2"/>
  <c r="R661" i="2"/>
  <c r="S661" i="2" s="1"/>
  <c r="I662" i="2"/>
  <c r="J662" i="2"/>
  <c r="K662" i="2"/>
  <c r="O662" i="2"/>
  <c r="R662" i="2"/>
  <c r="S662" i="2" s="1"/>
  <c r="I663" i="2"/>
  <c r="J663" i="2"/>
  <c r="K663" i="2"/>
  <c r="O663" i="2"/>
  <c r="R663" i="2"/>
  <c r="S663" i="2" s="1"/>
  <c r="I664" i="2"/>
  <c r="J664" i="2"/>
  <c r="K664" i="2"/>
  <c r="O664" i="2"/>
  <c r="R664" i="2"/>
  <c r="S664" i="2" s="1"/>
  <c r="I665" i="2"/>
  <c r="J665" i="2"/>
  <c r="K665" i="2"/>
  <c r="O665" i="2"/>
  <c r="R665" i="2"/>
  <c r="S665" i="2" s="1"/>
  <c r="I666" i="2"/>
  <c r="J666" i="2"/>
  <c r="K666" i="2"/>
  <c r="O666" i="2"/>
  <c r="R666" i="2"/>
  <c r="S666" i="2" s="1"/>
  <c r="I667" i="2"/>
  <c r="J667" i="2"/>
  <c r="K667" i="2"/>
  <c r="O667" i="2"/>
  <c r="R667" i="2"/>
  <c r="S667" i="2" s="1"/>
  <c r="I668" i="2"/>
  <c r="J668" i="2"/>
  <c r="K668" i="2"/>
  <c r="O668" i="2"/>
  <c r="R668" i="2"/>
  <c r="S668" i="2" s="1"/>
  <c r="I669" i="2"/>
  <c r="J669" i="2"/>
  <c r="K669" i="2"/>
  <c r="O669" i="2"/>
  <c r="R669" i="2"/>
  <c r="S669" i="2" s="1"/>
  <c r="I670" i="2"/>
  <c r="J670" i="2"/>
  <c r="K670" i="2"/>
  <c r="O670" i="2"/>
  <c r="R670" i="2"/>
  <c r="S670" i="2" s="1"/>
  <c r="I671" i="2"/>
  <c r="J671" i="2"/>
  <c r="K671" i="2"/>
  <c r="O671" i="2"/>
  <c r="R671" i="2"/>
  <c r="S671" i="2" s="1"/>
  <c r="I672" i="2"/>
  <c r="J672" i="2"/>
  <c r="K672" i="2"/>
  <c r="O672" i="2"/>
  <c r="R672" i="2"/>
  <c r="S672" i="2" s="1"/>
  <c r="I673" i="2"/>
  <c r="J673" i="2"/>
  <c r="K673" i="2"/>
  <c r="O673" i="2"/>
  <c r="R673" i="2"/>
  <c r="S673" i="2" s="1"/>
  <c r="I674" i="2"/>
  <c r="J674" i="2"/>
  <c r="K674" i="2"/>
  <c r="O674" i="2"/>
  <c r="R674" i="2"/>
  <c r="S674" i="2" s="1"/>
  <c r="I675" i="2"/>
  <c r="J675" i="2"/>
  <c r="K675" i="2"/>
  <c r="O675" i="2"/>
  <c r="R675" i="2"/>
  <c r="S675" i="2" s="1"/>
  <c r="I676" i="2"/>
  <c r="J676" i="2"/>
  <c r="K676" i="2"/>
  <c r="O676" i="2"/>
  <c r="R676" i="2"/>
  <c r="S676" i="2" s="1"/>
  <c r="I677" i="2"/>
  <c r="J677" i="2"/>
  <c r="K677" i="2"/>
  <c r="O677" i="2"/>
  <c r="R677" i="2"/>
  <c r="S677" i="2" s="1"/>
  <c r="I678" i="2"/>
  <c r="J678" i="2"/>
  <c r="K678" i="2"/>
  <c r="O678" i="2"/>
  <c r="R678" i="2"/>
  <c r="S678" i="2" s="1"/>
  <c r="I679" i="2"/>
  <c r="J679" i="2"/>
  <c r="K679" i="2"/>
  <c r="O679" i="2"/>
  <c r="R679" i="2"/>
  <c r="S679" i="2" s="1"/>
  <c r="I680" i="2"/>
  <c r="J680" i="2"/>
  <c r="K680" i="2"/>
  <c r="O680" i="2"/>
  <c r="R680" i="2"/>
  <c r="S680" i="2" s="1"/>
  <c r="I681" i="2"/>
  <c r="J681" i="2"/>
  <c r="K681" i="2"/>
  <c r="O681" i="2"/>
  <c r="R681" i="2"/>
  <c r="S681" i="2" s="1"/>
  <c r="I682" i="2"/>
  <c r="J682" i="2"/>
  <c r="K682" i="2"/>
  <c r="O682" i="2"/>
  <c r="R682" i="2"/>
  <c r="S682" i="2" s="1"/>
  <c r="I683" i="2"/>
  <c r="J683" i="2"/>
  <c r="K683" i="2"/>
  <c r="O683" i="2"/>
  <c r="R683" i="2"/>
  <c r="S683" i="2" s="1"/>
  <c r="I684" i="2"/>
  <c r="J684" i="2"/>
  <c r="K684" i="2"/>
  <c r="O684" i="2"/>
  <c r="R684" i="2"/>
  <c r="S684" i="2" s="1"/>
  <c r="I685" i="2"/>
  <c r="J685" i="2"/>
  <c r="K685" i="2"/>
  <c r="O685" i="2"/>
  <c r="R685" i="2"/>
  <c r="S685" i="2" s="1"/>
  <c r="I686" i="2"/>
  <c r="J686" i="2"/>
  <c r="K686" i="2"/>
  <c r="O686" i="2"/>
  <c r="R686" i="2"/>
  <c r="S686" i="2" s="1"/>
  <c r="I687" i="2"/>
  <c r="J687" i="2"/>
  <c r="K687" i="2"/>
  <c r="O687" i="2"/>
  <c r="R687" i="2"/>
  <c r="S687" i="2" s="1"/>
  <c r="I688" i="2"/>
  <c r="J688" i="2"/>
  <c r="K688" i="2"/>
  <c r="O688" i="2"/>
  <c r="R688" i="2"/>
  <c r="S688" i="2" s="1"/>
  <c r="I689" i="2"/>
  <c r="J689" i="2"/>
  <c r="K689" i="2"/>
  <c r="O689" i="2"/>
  <c r="R689" i="2"/>
  <c r="S689" i="2" s="1"/>
  <c r="I690" i="2"/>
  <c r="J690" i="2"/>
  <c r="K690" i="2"/>
  <c r="O690" i="2"/>
  <c r="R690" i="2"/>
  <c r="S690" i="2" s="1"/>
  <c r="I691" i="2"/>
  <c r="J691" i="2"/>
  <c r="K691" i="2"/>
  <c r="O691" i="2"/>
  <c r="R691" i="2"/>
  <c r="S691" i="2" s="1"/>
  <c r="I692" i="2"/>
  <c r="J692" i="2"/>
  <c r="K692" i="2"/>
  <c r="O692" i="2"/>
  <c r="R692" i="2"/>
  <c r="S692" i="2" s="1"/>
  <c r="I693" i="2"/>
  <c r="J693" i="2"/>
  <c r="K693" i="2"/>
  <c r="O693" i="2"/>
  <c r="R693" i="2"/>
  <c r="S693" i="2" s="1"/>
  <c r="I694" i="2"/>
  <c r="J694" i="2"/>
  <c r="K694" i="2"/>
  <c r="O694" i="2"/>
  <c r="R694" i="2"/>
  <c r="S694" i="2" s="1"/>
  <c r="I695" i="2"/>
  <c r="J695" i="2"/>
  <c r="K695" i="2"/>
  <c r="O695" i="2"/>
  <c r="R695" i="2"/>
  <c r="S695" i="2" s="1"/>
  <c r="I696" i="2"/>
  <c r="J696" i="2"/>
  <c r="K696" i="2"/>
  <c r="O696" i="2"/>
  <c r="R696" i="2"/>
  <c r="S696" i="2" s="1"/>
  <c r="I697" i="2"/>
  <c r="J697" i="2"/>
  <c r="K697" i="2"/>
  <c r="O697" i="2"/>
  <c r="R697" i="2"/>
  <c r="S697" i="2" s="1"/>
  <c r="I698" i="2"/>
  <c r="J698" i="2"/>
  <c r="K698" i="2"/>
  <c r="O698" i="2"/>
  <c r="R698" i="2"/>
  <c r="S698" i="2" s="1"/>
  <c r="I699" i="2"/>
  <c r="J699" i="2"/>
  <c r="K699" i="2"/>
  <c r="O699" i="2"/>
  <c r="R699" i="2"/>
  <c r="S699" i="2" s="1"/>
  <c r="I700" i="2"/>
  <c r="J700" i="2"/>
  <c r="K700" i="2"/>
  <c r="O700" i="2"/>
  <c r="R700" i="2"/>
  <c r="S700" i="2" s="1"/>
  <c r="I701" i="2"/>
  <c r="J701" i="2"/>
  <c r="K701" i="2"/>
  <c r="O701" i="2"/>
  <c r="R701" i="2"/>
  <c r="S701" i="2" s="1"/>
  <c r="I702" i="2"/>
  <c r="J702" i="2"/>
  <c r="K702" i="2"/>
  <c r="O702" i="2"/>
  <c r="R702" i="2"/>
  <c r="S702" i="2" s="1"/>
  <c r="I703" i="2"/>
  <c r="J703" i="2"/>
  <c r="K703" i="2"/>
  <c r="O703" i="2"/>
  <c r="R703" i="2"/>
  <c r="S703" i="2" s="1"/>
  <c r="I704" i="2"/>
  <c r="J704" i="2"/>
  <c r="K704" i="2"/>
  <c r="O704" i="2"/>
  <c r="R704" i="2"/>
  <c r="S704" i="2" s="1"/>
  <c r="I705" i="2"/>
  <c r="J705" i="2"/>
  <c r="K705" i="2"/>
  <c r="O705" i="2"/>
  <c r="R705" i="2"/>
  <c r="S705" i="2" s="1"/>
  <c r="I706" i="2"/>
  <c r="J706" i="2"/>
  <c r="K706" i="2"/>
  <c r="O706" i="2"/>
  <c r="R706" i="2"/>
  <c r="S706" i="2" s="1"/>
  <c r="I707" i="2"/>
  <c r="J707" i="2"/>
  <c r="K707" i="2"/>
  <c r="O707" i="2"/>
  <c r="R707" i="2"/>
  <c r="S707" i="2" s="1"/>
  <c r="I708" i="2"/>
  <c r="J708" i="2"/>
  <c r="K708" i="2"/>
  <c r="O708" i="2"/>
  <c r="R708" i="2"/>
  <c r="S708" i="2" s="1"/>
  <c r="I709" i="2"/>
  <c r="J709" i="2"/>
  <c r="K709" i="2"/>
  <c r="O709" i="2"/>
  <c r="R709" i="2"/>
  <c r="S709" i="2" s="1"/>
  <c r="I710" i="2"/>
  <c r="J710" i="2"/>
  <c r="K710" i="2"/>
  <c r="O710" i="2"/>
  <c r="R710" i="2"/>
  <c r="S710" i="2" s="1"/>
  <c r="I711" i="2"/>
  <c r="J711" i="2"/>
  <c r="K711" i="2"/>
  <c r="O711" i="2"/>
  <c r="R711" i="2"/>
  <c r="S711" i="2" s="1"/>
  <c r="I712" i="2"/>
  <c r="J712" i="2"/>
  <c r="K712" i="2"/>
  <c r="O712" i="2"/>
  <c r="R712" i="2"/>
  <c r="S712" i="2" s="1"/>
  <c r="I713" i="2"/>
  <c r="J713" i="2"/>
  <c r="K713" i="2"/>
  <c r="O713" i="2"/>
  <c r="R713" i="2"/>
  <c r="S713" i="2" s="1"/>
  <c r="I714" i="2"/>
  <c r="J714" i="2"/>
  <c r="K714" i="2"/>
  <c r="O714" i="2"/>
  <c r="R714" i="2"/>
  <c r="S714" i="2" s="1"/>
  <c r="I715" i="2"/>
  <c r="J715" i="2"/>
  <c r="K715" i="2"/>
  <c r="O715" i="2"/>
  <c r="R715" i="2"/>
  <c r="S715" i="2" s="1"/>
  <c r="I716" i="2"/>
  <c r="J716" i="2"/>
  <c r="K716" i="2"/>
  <c r="O716" i="2"/>
  <c r="R716" i="2"/>
  <c r="S716" i="2" s="1"/>
  <c r="I717" i="2"/>
  <c r="J717" i="2"/>
  <c r="K717" i="2"/>
  <c r="O717" i="2"/>
  <c r="R717" i="2"/>
  <c r="S717" i="2" s="1"/>
  <c r="I718" i="2"/>
  <c r="J718" i="2"/>
  <c r="K718" i="2"/>
  <c r="O718" i="2"/>
  <c r="R718" i="2"/>
  <c r="S718" i="2" s="1"/>
  <c r="I719" i="2"/>
  <c r="J719" i="2"/>
  <c r="K719" i="2"/>
  <c r="O719" i="2"/>
  <c r="R719" i="2"/>
  <c r="S719" i="2" s="1"/>
  <c r="I720" i="2"/>
  <c r="J720" i="2"/>
  <c r="K720" i="2"/>
  <c r="O720" i="2"/>
  <c r="R720" i="2"/>
  <c r="S720" i="2" s="1"/>
  <c r="I721" i="2"/>
  <c r="J721" i="2"/>
  <c r="K721" i="2"/>
  <c r="O721" i="2"/>
  <c r="R721" i="2"/>
  <c r="S721" i="2" s="1"/>
  <c r="I722" i="2"/>
  <c r="J722" i="2"/>
  <c r="K722" i="2"/>
  <c r="O722" i="2"/>
  <c r="R722" i="2"/>
  <c r="S722" i="2" s="1"/>
  <c r="I723" i="2"/>
  <c r="J723" i="2"/>
  <c r="K723" i="2"/>
  <c r="O723" i="2"/>
  <c r="R723" i="2"/>
  <c r="S723" i="2" s="1"/>
  <c r="I724" i="2"/>
  <c r="J724" i="2"/>
  <c r="K724" i="2"/>
  <c r="O724" i="2"/>
  <c r="R724" i="2"/>
  <c r="S724" i="2" s="1"/>
  <c r="I725" i="2"/>
  <c r="J725" i="2"/>
  <c r="K725" i="2"/>
  <c r="O725" i="2"/>
  <c r="R725" i="2"/>
  <c r="S725" i="2" s="1"/>
  <c r="I726" i="2"/>
  <c r="J726" i="2"/>
  <c r="K726" i="2"/>
  <c r="O726" i="2"/>
  <c r="R726" i="2"/>
  <c r="S726" i="2" s="1"/>
  <c r="I727" i="2"/>
  <c r="J727" i="2"/>
  <c r="K727" i="2"/>
  <c r="O727" i="2"/>
  <c r="R727" i="2"/>
  <c r="S727" i="2" s="1"/>
  <c r="I728" i="2"/>
  <c r="J728" i="2"/>
  <c r="K728" i="2"/>
  <c r="O728" i="2"/>
  <c r="R728" i="2"/>
  <c r="S728" i="2" s="1"/>
  <c r="I729" i="2"/>
  <c r="J729" i="2"/>
  <c r="K729" i="2"/>
  <c r="O729" i="2"/>
  <c r="R729" i="2"/>
  <c r="S729" i="2" s="1"/>
  <c r="I730" i="2"/>
  <c r="J730" i="2"/>
  <c r="K730" i="2"/>
  <c r="O730" i="2"/>
  <c r="R730" i="2"/>
  <c r="S730" i="2" s="1"/>
  <c r="I731" i="2"/>
  <c r="J731" i="2"/>
  <c r="K731" i="2"/>
  <c r="O731" i="2"/>
  <c r="R731" i="2"/>
  <c r="S731" i="2" s="1"/>
  <c r="I732" i="2"/>
  <c r="J732" i="2"/>
  <c r="K732" i="2"/>
  <c r="O732" i="2"/>
  <c r="R732" i="2"/>
  <c r="S732" i="2" s="1"/>
  <c r="I733" i="2"/>
  <c r="J733" i="2"/>
  <c r="K733" i="2"/>
  <c r="O733" i="2"/>
  <c r="R733" i="2"/>
  <c r="S733" i="2" s="1"/>
  <c r="I734" i="2"/>
  <c r="J734" i="2"/>
  <c r="K734" i="2"/>
  <c r="O734" i="2"/>
  <c r="R734" i="2"/>
  <c r="S734" i="2" s="1"/>
  <c r="I735" i="2"/>
  <c r="J735" i="2"/>
  <c r="K735" i="2"/>
  <c r="O735" i="2"/>
  <c r="R735" i="2"/>
  <c r="S735" i="2" s="1"/>
  <c r="I736" i="2"/>
  <c r="J736" i="2"/>
  <c r="K736" i="2"/>
  <c r="O736" i="2"/>
  <c r="R736" i="2"/>
  <c r="S736" i="2" s="1"/>
  <c r="I737" i="2"/>
  <c r="J737" i="2"/>
  <c r="K737" i="2"/>
  <c r="O737" i="2"/>
  <c r="R737" i="2"/>
  <c r="S737" i="2" s="1"/>
  <c r="I738" i="2"/>
  <c r="J738" i="2"/>
  <c r="K738" i="2"/>
  <c r="O738" i="2"/>
  <c r="R738" i="2"/>
  <c r="S738" i="2" s="1"/>
  <c r="I739" i="2"/>
  <c r="J739" i="2"/>
  <c r="K739" i="2"/>
  <c r="O739" i="2"/>
  <c r="R739" i="2"/>
  <c r="S739" i="2" s="1"/>
  <c r="I740" i="2"/>
  <c r="J740" i="2"/>
  <c r="K740" i="2"/>
  <c r="O740" i="2"/>
  <c r="R740" i="2"/>
  <c r="S740" i="2" s="1"/>
  <c r="I741" i="2"/>
  <c r="J741" i="2"/>
  <c r="K741" i="2"/>
  <c r="O741" i="2"/>
  <c r="R741" i="2"/>
  <c r="S741" i="2" s="1"/>
  <c r="I742" i="2"/>
  <c r="J742" i="2"/>
  <c r="K742" i="2"/>
  <c r="O742" i="2"/>
  <c r="R742" i="2"/>
  <c r="S742" i="2" s="1"/>
  <c r="I743" i="2"/>
  <c r="J743" i="2"/>
  <c r="K743" i="2"/>
  <c r="O743" i="2"/>
  <c r="R743" i="2"/>
  <c r="S743" i="2" s="1"/>
  <c r="I744" i="2"/>
  <c r="J744" i="2"/>
  <c r="K744" i="2"/>
  <c r="O744" i="2"/>
  <c r="R744" i="2"/>
  <c r="S744" i="2" s="1"/>
  <c r="I745" i="2"/>
  <c r="J745" i="2"/>
  <c r="K745" i="2"/>
  <c r="O745" i="2"/>
  <c r="R745" i="2"/>
  <c r="S745" i="2" s="1"/>
  <c r="I746" i="2"/>
  <c r="J746" i="2"/>
  <c r="K746" i="2"/>
  <c r="O746" i="2"/>
  <c r="R746" i="2"/>
  <c r="S746" i="2" s="1"/>
  <c r="I747" i="2"/>
  <c r="J747" i="2"/>
  <c r="K747" i="2"/>
  <c r="O747" i="2"/>
  <c r="R747" i="2"/>
  <c r="S747" i="2" s="1"/>
  <c r="I748" i="2"/>
  <c r="J748" i="2"/>
  <c r="K748" i="2"/>
  <c r="O748" i="2"/>
  <c r="R748" i="2"/>
  <c r="S748" i="2" s="1"/>
  <c r="I749" i="2"/>
  <c r="J749" i="2"/>
  <c r="K749" i="2"/>
  <c r="O749" i="2"/>
  <c r="R749" i="2"/>
  <c r="S749" i="2" s="1"/>
  <c r="I750" i="2"/>
  <c r="J750" i="2"/>
  <c r="K750" i="2"/>
  <c r="O750" i="2"/>
  <c r="R750" i="2"/>
  <c r="S750" i="2" s="1"/>
  <c r="I751" i="2"/>
  <c r="J751" i="2"/>
  <c r="K751" i="2"/>
  <c r="O751" i="2"/>
  <c r="R751" i="2"/>
  <c r="S751" i="2" s="1"/>
  <c r="I752" i="2"/>
  <c r="J752" i="2"/>
  <c r="K752" i="2"/>
  <c r="O752" i="2"/>
  <c r="R752" i="2"/>
  <c r="S752" i="2" s="1"/>
  <c r="I753" i="2"/>
  <c r="J753" i="2"/>
  <c r="K753" i="2"/>
  <c r="O753" i="2"/>
  <c r="R753" i="2"/>
  <c r="S753" i="2" s="1"/>
  <c r="I754" i="2"/>
  <c r="J754" i="2"/>
  <c r="K754" i="2"/>
  <c r="O754" i="2"/>
  <c r="R754" i="2"/>
  <c r="S754" i="2" s="1"/>
  <c r="I755" i="2"/>
  <c r="J755" i="2"/>
  <c r="K755" i="2"/>
  <c r="O755" i="2"/>
  <c r="R755" i="2"/>
  <c r="S755" i="2" s="1"/>
  <c r="I756" i="2"/>
  <c r="J756" i="2"/>
  <c r="K756" i="2"/>
  <c r="O756" i="2"/>
  <c r="R756" i="2"/>
  <c r="S756" i="2" s="1"/>
  <c r="I757" i="2"/>
  <c r="J757" i="2"/>
  <c r="K757" i="2"/>
  <c r="O757" i="2"/>
  <c r="R757" i="2"/>
  <c r="S757" i="2" s="1"/>
  <c r="I758" i="2"/>
  <c r="J758" i="2"/>
  <c r="K758" i="2"/>
  <c r="O758" i="2"/>
  <c r="R758" i="2"/>
  <c r="S758" i="2" s="1"/>
  <c r="I759" i="2"/>
  <c r="J759" i="2"/>
  <c r="K759" i="2"/>
  <c r="O759" i="2"/>
  <c r="R759" i="2"/>
  <c r="S759" i="2" s="1"/>
  <c r="I760" i="2"/>
  <c r="J760" i="2"/>
  <c r="K760" i="2"/>
  <c r="O760" i="2"/>
  <c r="R760" i="2"/>
  <c r="S760" i="2" s="1"/>
  <c r="I761" i="2"/>
  <c r="J761" i="2"/>
  <c r="K761" i="2"/>
  <c r="O761" i="2"/>
  <c r="R761" i="2"/>
  <c r="S761" i="2" s="1"/>
  <c r="I762" i="2"/>
  <c r="J762" i="2"/>
  <c r="K762" i="2"/>
  <c r="O762" i="2"/>
  <c r="R762" i="2"/>
  <c r="S762" i="2" s="1"/>
  <c r="I763" i="2"/>
  <c r="J763" i="2"/>
  <c r="K763" i="2"/>
  <c r="O763" i="2"/>
  <c r="R763" i="2"/>
  <c r="S763" i="2" s="1"/>
  <c r="I764" i="2"/>
  <c r="J764" i="2"/>
  <c r="K764" i="2"/>
  <c r="O764" i="2"/>
  <c r="R764" i="2"/>
  <c r="S764" i="2" s="1"/>
  <c r="I765" i="2"/>
  <c r="J765" i="2"/>
  <c r="K765" i="2"/>
  <c r="O765" i="2"/>
  <c r="R765" i="2"/>
  <c r="S765" i="2" s="1"/>
  <c r="I766" i="2"/>
  <c r="J766" i="2"/>
  <c r="K766" i="2"/>
  <c r="O766" i="2"/>
  <c r="R766" i="2"/>
  <c r="S766" i="2" s="1"/>
  <c r="I767" i="2"/>
  <c r="J767" i="2"/>
  <c r="K767" i="2"/>
  <c r="O767" i="2"/>
  <c r="R767" i="2"/>
  <c r="S767" i="2" s="1"/>
  <c r="I768" i="2"/>
  <c r="J768" i="2"/>
  <c r="K768" i="2"/>
  <c r="O768" i="2"/>
  <c r="R768" i="2"/>
  <c r="S768" i="2" s="1"/>
  <c r="I769" i="2"/>
  <c r="J769" i="2"/>
  <c r="K769" i="2"/>
  <c r="O769" i="2"/>
  <c r="R769" i="2"/>
  <c r="S769" i="2" s="1"/>
  <c r="I770" i="2"/>
  <c r="J770" i="2"/>
  <c r="K770" i="2"/>
  <c r="O770" i="2"/>
  <c r="R770" i="2"/>
  <c r="S770" i="2" s="1"/>
  <c r="I771" i="2"/>
  <c r="J771" i="2"/>
  <c r="K771" i="2"/>
  <c r="O771" i="2"/>
  <c r="R771" i="2"/>
  <c r="S771" i="2" s="1"/>
  <c r="I772" i="2"/>
  <c r="J772" i="2"/>
  <c r="K772" i="2"/>
  <c r="O772" i="2"/>
  <c r="R772" i="2"/>
  <c r="S772" i="2" s="1"/>
  <c r="I773" i="2"/>
  <c r="J773" i="2"/>
  <c r="K773" i="2"/>
  <c r="O773" i="2"/>
  <c r="R773" i="2"/>
  <c r="S773" i="2" s="1"/>
  <c r="I774" i="2"/>
  <c r="J774" i="2"/>
  <c r="K774" i="2"/>
  <c r="O774" i="2"/>
  <c r="R774" i="2"/>
  <c r="S774" i="2" s="1"/>
  <c r="I775" i="2"/>
  <c r="J775" i="2"/>
  <c r="K775" i="2"/>
  <c r="O775" i="2"/>
  <c r="R775" i="2"/>
  <c r="S775" i="2" s="1"/>
  <c r="I776" i="2"/>
  <c r="J776" i="2"/>
  <c r="K776" i="2"/>
  <c r="O776" i="2"/>
  <c r="R776" i="2"/>
  <c r="S776" i="2" s="1"/>
  <c r="I777" i="2"/>
  <c r="J777" i="2"/>
  <c r="K777" i="2"/>
  <c r="O777" i="2"/>
  <c r="R777" i="2"/>
  <c r="S777" i="2" s="1"/>
  <c r="I778" i="2"/>
  <c r="J778" i="2"/>
  <c r="K778" i="2"/>
  <c r="O778" i="2"/>
  <c r="R778" i="2"/>
  <c r="S778" i="2" s="1"/>
  <c r="I779" i="2"/>
  <c r="J779" i="2"/>
  <c r="K779" i="2"/>
  <c r="O779" i="2"/>
  <c r="R779" i="2"/>
  <c r="S779" i="2" s="1"/>
  <c r="I780" i="2"/>
  <c r="J780" i="2"/>
  <c r="K780" i="2"/>
  <c r="O780" i="2"/>
  <c r="R780" i="2"/>
  <c r="S780" i="2" s="1"/>
  <c r="I781" i="2"/>
  <c r="J781" i="2"/>
  <c r="K781" i="2"/>
  <c r="O781" i="2"/>
  <c r="R781" i="2"/>
  <c r="S781" i="2" s="1"/>
  <c r="I782" i="2"/>
  <c r="J782" i="2"/>
  <c r="K782" i="2"/>
  <c r="O782" i="2"/>
  <c r="R782" i="2"/>
  <c r="S782" i="2" s="1"/>
  <c r="I783" i="2"/>
  <c r="J783" i="2"/>
  <c r="K783" i="2"/>
  <c r="O783" i="2"/>
  <c r="R783" i="2"/>
  <c r="S783" i="2" s="1"/>
  <c r="I784" i="2"/>
  <c r="J784" i="2"/>
  <c r="K784" i="2"/>
  <c r="O784" i="2"/>
  <c r="R784" i="2"/>
  <c r="S784" i="2" s="1"/>
  <c r="I785" i="2"/>
  <c r="J785" i="2"/>
  <c r="K785" i="2"/>
  <c r="O785" i="2"/>
  <c r="R785" i="2"/>
  <c r="S785" i="2" s="1"/>
  <c r="I786" i="2"/>
  <c r="J786" i="2"/>
  <c r="K786" i="2"/>
  <c r="O786" i="2"/>
  <c r="R786" i="2"/>
  <c r="S786" i="2" s="1"/>
  <c r="I787" i="2"/>
  <c r="J787" i="2"/>
  <c r="K787" i="2"/>
  <c r="O787" i="2"/>
  <c r="R787" i="2"/>
  <c r="S787" i="2" s="1"/>
  <c r="I788" i="2"/>
  <c r="J788" i="2"/>
  <c r="K788" i="2"/>
  <c r="O788" i="2"/>
  <c r="R788" i="2"/>
  <c r="S788" i="2" s="1"/>
  <c r="I789" i="2"/>
  <c r="J789" i="2"/>
  <c r="K789" i="2"/>
  <c r="O789" i="2"/>
  <c r="R789" i="2"/>
  <c r="S789" i="2" s="1"/>
  <c r="I790" i="2"/>
  <c r="J790" i="2"/>
  <c r="K790" i="2"/>
  <c r="O790" i="2"/>
  <c r="R790" i="2"/>
  <c r="S790" i="2" s="1"/>
  <c r="I791" i="2"/>
  <c r="J791" i="2"/>
  <c r="K791" i="2"/>
  <c r="O791" i="2"/>
  <c r="R791" i="2"/>
  <c r="S791" i="2" s="1"/>
  <c r="I792" i="2"/>
  <c r="J792" i="2"/>
  <c r="K792" i="2"/>
  <c r="O792" i="2"/>
  <c r="R792" i="2"/>
  <c r="S792" i="2" s="1"/>
  <c r="I793" i="2"/>
  <c r="J793" i="2"/>
  <c r="K793" i="2"/>
  <c r="O793" i="2"/>
  <c r="R793" i="2"/>
  <c r="S793" i="2" s="1"/>
  <c r="I794" i="2"/>
  <c r="J794" i="2"/>
  <c r="K794" i="2"/>
  <c r="O794" i="2"/>
  <c r="R794" i="2"/>
  <c r="S794" i="2" s="1"/>
  <c r="I795" i="2"/>
  <c r="J795" i="2"/>
  <c r="K795" i="2"/>
  <c r="O795" i="2"/>
  <c r="R795" i="2"/>
  <c r="S795" i="2" s="1"/>
  <c r="I796" i="2"/>
  <c r="J796" i="2"/>
  <c r="K796" i="2"/>
  <c r="O796" i="2"/>
  <c r="R796" i="2"/>
  <c r="S796" i="2" s="1"/>
  <c r="I797" i="2"/>
  <c r="J797" i="2"/>
  <c r="K797" i="2"/>
  <c r="O797" i="2"/>
  <c r="R797" i="2"/>
  <c r="S797" i="2" s="1"/>
  <c r="I798" i="2"/>
  <c r="J798" i="2"/>
  <c r="K798" i="2"/>
  <c r="O798" i="2"/>
  <c r="R798" i="2"/>
  <c r="S798" i="2" s="1"/>
  <c r="I799" i="2"/>
  <c r="J799" i="2"/>
  <c r="K799" i="2"/>
  <c r="O799" i="2"/>
  <c r="R799" i="2"/>
  <c r="S799" i="2" s="1"/>
  <c r="I800" i="2"/>
  <c r="J800" i="2"/>
  <c r="K800" i="2"/>
  <c r="O800" i="2"/>
  <c r="R800" i="2"/>
  <c r="S800" i="2" s="1"/>
  <c r="I801" i="2"/>
  <c r="J801" i="2"/>
  <c r="K801" i="2"/>
  <c r="O801" i="2"/>
  <c r="R801" i="2"/>
  <c r="S801" i="2" s="1"/>
  <c r="I802" i="2"/>
  <c r="J802" i="2"/>
  <c r="K802" i="2"/>
  <c r="O802" i="2"/>
  <c r="R802" i="2"/>
  <c r="S802" i="2" s="1"/>
  <c r="I803" i="2"/>
  <c r="J803" i="2"/>
  <c r="K803" i="2"/>
  <c r="O803" i="2"/>
  <c r="R803" i="2"/>
  <c r="S803" i="2" s="1"/>
  <c r="I804" i="2"/>
  <c r="J804" i="2"/>
  <c r="K804" i="2"/>
  <c r="O804" i="2"/>
  <c r="R804" i="2"/>
  <c r="S804" i="2" s="1"/>
  <c r="I805" i="2"/>
  <c r="J805" i="2"/>
  <c r="K805" i="2"/>
  <c r="O805" i="2"/>
  <c r="R805" i="2"/>
  <c r="S805" i="2" s="1"/>
  <c r="I806" i="2"/>
  <c r="J806" i="2"/>
  <c r="K806" i="2"/>
  <c r="O806" i="2"/>
  <c r="R806" i="2"/>
  <c r="S806" i="2" s="1"/>
  <c r="I807" i="2"/>
  <c r="J807" i="2"/>
  <c r="K807" i="2"/>
  <c r="O807" i="2"/>
  <c r="R807" i="2"/>
  <c r="S807" i="2" s="1"/>
  <c r="I808" i="2"/>
  <c r="J808" i="2"/>
  <c r="K808" i="2"/>
  <c r="O808" i="2"/>
  <c r="R808" i="2"/>
  <c r="S808" i="2" s="1"/>
  <c r="I809" i="2"/>
  <c r="J809" i="2"/>
  <c r="K809" i="2"/>
  <c r="O809" i="2"/>
  <c r="R809" i="2"/>
  <c r="S809" i="2" s="1"/>
  <c r="I810" i="2"/>
  <c r="J810" i="2"/>
  <c r="K810" i="2"/>
  <c r="O810" i="2"/>
  <c r="R810" i="2"/>
  <c r="S810" i="2" s="1"/>
  <c r="I811" i="2"/>
  <c r="J811" i="2"/>
  <c r="K811" i="2"/>
  <c r="O811" i="2"/>
  <c r="R811" i="2"/>
  <c r="S811" i="2" s="1"/>
  <c r="I812" i="2"/>
  <c r="J812" i="2"/>
  <c r="K812" i="2"/>
  <c r="O812" i="2"/>
  <c r="R812" i="2"/>
  <c r="S812" i="2" s="1"/>
  <c r="I813" i="2"/>
  <c r="J813" i="2"/>
  <c r="K813" i="2"/>
  <c r="O813" i="2"/>
  <c r="R813" i="2"/>
  <c r="S813" i="2" s="1"/>
  <c r="I814" i="2"/>
  <c r="J814" i="2"/>
  <c r="K814" i="2"/>
  <c r="O814" i="2"/>
  <c r="R814" i="2"/>
  <c r="S814" i="2" s="1"/>
  <c r="I815" i="2"/>
  <c r="J815" i="2"/>
  <c r="K815" i="2"/>
  <c r="O815" i="2"/>
  <c r="R815" i="2"/>
  <c r="S815" i="2" s="1"/>
  <c r="I816" i="2"/>
  <c r="J816" i="2"/>
  <c r="K816" i="2"/>
  <c r="O816" i="2"/>
  <c r="R816" i="2"/>
  <c r="S816" i="2" s="1"/>
  <c r="I817" i="2"/>
  <c r="J817" i="2"/>
  <c r="K817" i="2"/>
  <c r="O817" i="2"/>
  <c r="R817" i="2"/>
  <c r="S817" i="2" s="1"/>
  <c r="I818" i="2"/>
  <c r="J818" i="2"/>
  <c r="K818" i="2"/>
  <c r="O818" i="2"/>
  <c r="R818" i="2"/>
  <c r="S818" i="2" s="1"/>
  <c r="I819" i="2"/>
  <c r="J819" i="2"/>
  <c r="K819" i="2"/>
  <c r="O819" i="2"/>
  <c r="R819" i="2"/>
  <c r="S819" i="2" s="1"/>
  <c r="I820" i="2"/>
  <c r="J820" i="2"/>
  <c r="K820" i="2"/>
  <c r="O820" i="2"/>
  <c r="R820" i="2"/>
  <c r="S820" i="2" s="1"/>
  <c r="I821" i="2"/>
  <c r="J821" i="2"/>
  <c r="K821" i="2"/>
  <c r="O821" i="2"/>
  <c r="R821" i="2"/>
  <c r="S821" i="2" s="1"/>
  <c r="I822" i="2"/>
  <c r="J822" i="2"/>
  <c r="K822" i="2"/>
  <c r="O822" i="2"/>
  <c r="R822" i="2"/>
  <c r="S822" i="2" s="1"/>
  <c r="I823" i="2"/>
  <c r="J823" i="2"/>
  <c r="K823" i="2"/>
  <c r="O823" i="2"/>
  <c r="R823" i="2"/>
  <c r="S823" i="2" s="1"/>
  <c r="I824" i="2"/>
  <c r="J824" i="2"/>
  <c r="K824" i="2"/>
  <c r="O824" i="2"/>
  <c r="R824" i="2"/>
  <c r="S824" i="2" s="1"/>
  <c r="I825" i="2"/>
  <c r="J825" i="2"/>
  <c r="K825" i="2"/>
  <c r="O825" i="2"/>
  <c r="R825" i="2"/>
  <c r="S825" i="2" s="1"/>
  <c r="I826" i="2"/>
  <c r="J826" i="2"/>
  <c r="K826" i="2"/>
  <c r="O826" i="2"/>
  <c r="R826" i="2"/>
  <c r="S826" i="2" s="1"/>
  <c r="I827" i="2"/>
  <c r="J827" i="2"/>
  <c r="K827" i="2"/>
  <c r="O827" i="2"/>
  <c r="R827" i="2"/>
  <c r="S827" i="2" s="1"/>
  <c r="I828" i="2"/>
  <c r="J828" i="2"/>
  <c r="K828" i="2"/>
  <c r="O828" i="2"/>
  <c r="R828" i="2"/>
  <c r="S828" i="2" s="1"/>
  <c r="I829" i="2"/>
  <c r="J829" i="2"/>
  <c r="K829" i="2"/>
  <c r="O829" i="2"/>
  <c r="R829" i="2"/>
  <c r="S829" i="2" s="1"/>
  <c r="I830" i="2"/>
  <c r="J830" i="2"/>
  <c r="K830" i="2"/>
  <c r="O830" i="2"/>
  <c r="R830" i="2"/>
  <c r="S830" i="2" s="1"/>
  <c r="I831" i="2"/>
  <c r="J831" i="2"/>
  <c r="K831" i="2"/>
  <c r="O831" i="2"/>
  <c r="R831" i="2"/>
  <c r="S831" i="2" s="1"/>
  <c r="I832" i="2"/>
  <c r="J832" i="2"/>
  <c r="K832" i="2"/>
  <c r="O832" i="2"/>
  <c r="R832" i="2"/>
  <c r="S832" i="2" s="1"/>
  <c r="I833" i="2"/>
  <c r="J833" i="2"/>
  <c r="K833" i="2"/>
  <c r="O833" i="2"/>
  <c r="R833" i="2"/>
  <c r="S833" i="2" s="1"/>
  <c r="I834" i="2"/>
  <c r="J834" i="2"/>
  <c r="K834" i="2"/>
  <c r="O834" i="2"/>
  <c r="R834" i="2"/>
  <c r="S834" i="2" s="1"/>
  <c r="I835" i="2"/>
  <c r="J835" i="2"/>
  <c r="K835" i="2"/>
  <c r="O835" i="2"/>
  <c r="R835" i="2"/>
  <c r="S835" i="2" s="1"/>
  <c r="I836" i="2"/>
  <c r="J836" i="2"/>
  <c r="K836" i="2"/>
  <c r="O836" i="2"/>
  <c r="R836" i="2"/>
  <c r="S836" i="2" s="1"/>
  <c r="I837" i="2"/>
  <c r="J837" i="2"/>
  <c r="K837" i="2"/>
  <c r="O837" i="2"/>
  <c r="R837" i="2"/>
  <c r="S837" i="2" s="1"/>
  <c r="I838" i="2"/>
  <c r="J838" i="2"/>
  <c r="K838" i="2"/>
  <c r="O838" i="2"/>
  <c r="R838" i="2"/>
  <c r="S838" i="2" s="1"/>
  <c r="I839" i="2"/>
  <c r="J839" i="2"/>
  <c r="K839" i="2"/>
  <c r="O839" i="2"/>
  <c r="R839" i="2"/>
  <c r="S839" i="2" s="1"/>
  <c r="I840" i="2"/>
  <c r="J840" i="2"/>
  <c r="K840" i="2"/>
  <c r="O840" i="2"/>
  <c r="R840" i="2"/>
  <c r="S840" i="2" s="1"/>
  <c r="I841" i="2"/>
  <c r="J841" i="2"/>
  <c r="K841" i="2"/>
  <c r="O841" i="2"/>
  <c r="R841" i="2"/>
  <c r="S841" i="2" s="1"/>
  <c r="I842" i="2"/>
  <c r="J842" i="2"/>
  <c r="K842" i="2"/>
  <c r="O842" i="2"/>
  <c r="R842" i="2"/>
  <c r="S842" i="2" s="1"/>
  <c r="I843" i="2"/>
  <c r="J843" i="2"/>
  <c r="K843" i="2"/>
  <c r="O843" i="2"/>
  <c r="R843" i="2"/>
  <c r="S843" i="2" s="1"/>
  <c r="I844" i="2"/>
  <c r="J844" i="2"/>
  <c r="K844" i="2"/>
  <c r="O844" i="2"/>
  <c r="R844" i="2"/>
  <c r="S844" i="2" s="1"/>
  <c r="I845" i="2"/>
  <c r="J845" i="2"/>
  <c r="K845" i="2"/>
  <c r="O845" i="2"/>
  <c r="R845" i="2"/>
  <c r="S845" i="2" s="1"/>
  <c r="I846" i="2"/>
  <c r="J846" i="2"/>
  <c r="K846" i="2"/>
  <c r="O846" i="2"/>
  <c r="R846" i="2"/>
  <c r="S846" i="2" s="1"/>
  <c r="I847" i="2"/>
  <c r="J847" i="2"/>
  <c r="K847" i="2"/>
  <c r="O847" i="2"/>
  <c r="R847" i="2"/>
  <c r="S847" i="2" s="1"/>
  <c r="I848" i="2"/>
  <c r="J848" i="2"/>
  <c r="K848" i="2"/>
  <c r="O848" i="2"/>
  <c r="R848" i="2"/>
  <c r="S848" i="2" s="1"/>
  <c r="I849" i="2"/>
  <c r="J849" i="2"/>
  <c r="K849" i="2"/>
  <c r="O849" i="2"/>
  <c r="R849" i="2"/>
  <c r="S849" i="2" s="1"/>
  <c r="I850" i="2"/>
  <c r="J850" i="2"/>
  <c r="K850" i="2"/>
  <c r="O850" i="2"/>
  <c r="R850" i="2"/>
  <c r="S850" i="2" s="1"/>
  <c r="I851" i="2"/>
  <c r="J851" i="2"/>
  <c r="K851" i="2"/>
  <c r="O851" i="2"/>
  <c r="R851" i="2"/>
  <c r="S851" i="2" s="1"/>
  <c r="I852" i="2"/>
  <c r="J852" i="2"/>
  <c r="K852" i="2"/>
  <c r="O852" i="2"/>
  <c r="R852" i="2"/>
  <c r="S852" i="2" s="1"/>
  <c r="I853" i="2"/>
  <c r="J853" i="2"/>
  <c r="K853" i="2"/>
  <c r="O853" i="2"/>
  <c r="R853" i="2"/>
  <c r="S853" i="2" s="1"/>
  <c r="I854" i="2"/>
  <c r="J854" i="2"/>
  <c r="K854" i="2"/>
  <c r="O854" i="2"/>
  <c r="R854" i="2"/>
  <c r="S854" i="2" s="1"/>
  <c r="I855" i="2"/>
  <c r="J855" i="2"/>
  <c r="K855" i="2"/>
  <c r="O855" i="2"/>
  <c r="R855" i="2"/>
  <c r="S855" i="2" s="1"/>
  <c r="I856" i="2"/>
  <c r="J856" i="2"/>
  <c r="K856" i="2"/>
  <c r="O856" i="2"/>
  <c r="R856" i="2"/>
  <c r="S856" i="2" s="1"/>
  <c r="I857" i="2"/>
  <c r="J857" i="2"/>
  <c r="K857" i="2"/>
  <c r="O857" i="2"/>
  <c r="R857" i="2"/>
  <c r="S857" i="2" s="1"/>
  <c r="I858" i="2"/>
  <c r="J858" i="2"/>
  <c r="K858" i="2"/>
  <c r="O858" i="2"/>
  <c r="R858" i="2"/>
  <c r="S858" i="2" s="1"/>
  <c r="I859" i="2"/>
  <c r="J859" i="2"/>
  <c r="K859" i="2"/>
  <c r="O859" i="2"/>
  <c r="R859" i="2"/>
  <c r="S859" i="2" s="1"/>
  <c r="I860" i="2"/>
  <c r="J860" i="2"/>
  <c r="K860" i="2"/>
  <c r="O860" i="2"/>
  <c r="R860" i="2"/>
  <c r="S860" i="2" s="1"/>
  <c r="I861" i="2"/>
  <c r="J861" i="2"/>
  <c r="K861" i="2"/>
  <c r="O861" i="2"/>
  <c r="R861" i="2"/>
  <c r="S861" i="2" s="1"/>
  <c r="I862" i="2"/>
  <c r="J862" i="2"/>
  <c r="K862" i="2"/>
  <c r="O862" i="2"/>
  <c r="R862" i="2"/>
  <c r="S862" i="2" s="1"/>
  <c r="I863" i="2"/>
  <c r="J863" i="2"/>
  <c r="K863" i="2"/>
  <c r="O863" i="2"/>
  <c r="R863" i="2"/>
  <c r="S863" i="2" s="1"/>
  <c r="I864" i="2"/>
  <c r="J864" i="2"/>
  <c r="K864" i="2"/>
  <c r="O864" i="2"/>
  <c r="R864" i="2"/>
  <c r="S864" i="2" s="1"/>
  <c r="I865" i="2"/>
  <c r="J865" i="2"/>
  <c r="K865" i="2"/>
  <c r="O865" i="2"/>
  <c r="R865" i="2"/>
  <c r="S865" i="2" s="1"/>
  <c r="I866" i="2"/>
  <c r="J866" i="2"/>
  <c r="K866" i="2"/>
  <c r="O866" i="2"/>
  <c r="R866" i="2"/>
  <c r="S866" i="2" s="1"/>
  <c r="I867" i="2"/>
  <c r="J867" i="2"/>
  <c r="K867" i="2"/>
  <c r="O867" i="2"/>
  <c r="R867" i="2"/>
  <c r="S867" i="2" s="1"/>
  <c r="I868" i="2"/>
  <c r="J868" i="2"/>
  <c r="K868" i="2"/>
  <c r="O868" i="2"/>
  <c r="R868" i="2"/>
  <c r="S868" i="2" s="1"/>
  <c r="I869" i="2"/>
  <c r="J869" i="2"/>
  <c r="K869" i="2"/>
  <c r="O869" i="2"/>
  <c r="R869" i="2"/>
  <c r="S869" i="2" s="1"/>
  <c r="I870" i="2"/>
  <c r="J870" i="2"/>
  <c r="K870" i="2"/>
  <c r="O870" i="2"/>
  <c r="R870" i="2"/>
  <c r="S870" i="2" s="1"/>
  <c r="I871" i="2"/>
  <c r="J871" i="2"/>
  <c r="K871" i="2"/>
  <c r="O871" i="2"/>
  <c r="R871" i="2"/>
  <c r="S871" i="2" s="1"/>
  <c r="I872" i="2"/>
  <c r="J872" i="2"/>
  <c r="K872" i="2"/>
  <c r="O872" i="2"/>
  <c r="R872" i="2"/>
  <c r="S872" i="2" s="1"/>
  <c r="I873" i="2"/>
  <c r="J873" i="2"/>
  <c r="K873" i="2"/>
  <c r="O873" i="2"/>
  <c r="R873" i="2"/>
  <c r="S873" i="2" s="1"/>
  <c r="I874" i="2"/>
  <c r="J874" i="2"/>
  <c r="K874" i="2"/>
  <c r="O874" i="2"/>
  <c r="R874" i="2"/>
  <c r="S874" i="2" s="1"/>
  <c r="I875" i="2"/>
  <c r="J875" i="2"/>
  <c r="K875" i="2"/>
  <c r="O875" i="2"/>
  <c r="R875" i="2"/>
  <c r="S875" i="2" s="1"/>
  <c r="I876" i="2"/>
  <c r="J876" i="2"/>
  <c r="K876" i="2"/>
  <c r="O876" i="2"/>
  <c r="R876" i="2"/>
  <c r="S876" i="2" s="1"/>
  <c r="I877" i="2"/>
  <c r="J877" i="2"/>
  <c r="K877" i="2"/>
  <c r="O877" i="2"/>
  <c r="R877" i="2"/>
  <c r="S877" i="2" s="1"/>
  <c r="I878" i="2"/>
  <c r="J878" i="2"/>
  <c r="K878" i="2"/>
  <c r="O878" i="2"/>
  <c r="R878" i="2"/>
  <c r="S878" i="2" s="1"/>
  <c r="I879" i="2"/>
  <c r="J879" i="2"/>
  <c r="K879" i="2"/>
  <c r="O879" i="2"/>
  <c r="R879" i="2"/>
  <c r="S879" i="2" s="1"/>
  <c r="I880" i="2"/>
  <c r="J880" i="2"/>
  <c r="K880" i="2"/>
  <c r="O880" i="2"/>
  <c r="R880" i="2"/>
  <c r="S880" i="2" s="1"/>
  <c r="I881" i="2"/>
  <c r="J881" i="2"/>
  <c r="K881" i="2"/>
  <c r="O881" i="2"/>
  <c r="R881" i="2"/>
  <c r="S881" i="2" s="1"/>
  <c r="I882" i="2"/>
  <c r="J882" i="2"/>
  <c r="K882" i="2"/>
  <c r="O882" i="2"/>
  <c r="R882" i="2"/>
  <c r="S882" i="2" s="1"/>
  <c r="I883" i="2"/>
  <c r="J883" i="2"/>
  <c r="K883" i="2"/>
  <c r="O883" i="2"/>
  <c r="R883" i="2"/>
  <c r="S883" i="2" s="1"/>
  <c r="I884" i="2"/>
  <c r="J884" i="2"/>
  <c r="K884" i="2"/>
  <c r="O884" i="2"/>
  <c r="R884" i="2"/>
  <c r="S884" i="2" s="1"/>
  <c r="I885" i="2"/>
  <c r="J885" i="2"/>
  <c r="K885" i="2"/>
  <c r="O885" i="2"/>
  <c r="R885" i="2"/>
  <c r="S885" i="2" s="1"/>
  <c r="I886" i="2"/>
  <c r="J886" i="2"/>
  <c r="K886" i="2"/>
  <c r="O886" i="2"/>
  <c r="R886" i="2"/>
  <c r="S886" i="2" s="1"/>
  <c r="I887" i="2"/>
  <c r="J887" i="2"/>
  <c r="K887" i="2"/>
  <c r="O887" i="2"/>
  <c r="R887" i="2"/>
  <c r="S887" i="2" s="1"/>
  <c r="I888" i="2"/>
  <c r="J888" i="2"/>
  <c r="K888" i="2"/>
  <c r="O888" i="2"/>
  <c r="R888" i="2"/>
  <c r="S888" i="2" s="1"/>
  <c r="I889" i="2"/>
  <c r="J889" i="2"/>
  <c r="K889" i="2"/>
  <c r="O889" i="2"/>
  <c r="R889" i="2"/>
  <c r="S889" i="2" s="1"/>
  <c r="I890" i="2"/>
  <c r="J890" i="2"/>
  <c r="K890" i="2"/>
  <c r="O890" i="2"/>
  <c r="R890" i="2"/>
  <c r="S890" i="2" s="1"/>
  <c r="I891" i="2"/>
  <c r="J891" i="2"/>
  <c r="K891" i="2"/>
  <c r="O891" i="2"/>
  <c r="R891" i="2"/>
  <c r="S891" i="2" s="1"/>
  <c r="I892" i="2"/>
  <c r="J892" i="2"/>
  <c r="K892" i="2"/>
  <c r="O892" i="2"/>
  <c r="R892" i="2"/>
  <c r="S892" i="2" s="1"/>
  <c r="I893" i="2"/>
  <c r="J893" i="2"/>
  <c r="K893" i="2"/>
  <c r="O893" i="2"/>
  <c r="R893" i="2"/>
  <c r="S893" i="2" s="1"/>
  <c r="I894" i="2"/>
  <c r="J894" i="2"/>
  <c r="K894" i="2"/>
  <c r="O894" i="2"/>
  <c r="R894" i="2"/>
  <c r="S894" i="2" s="1"/>
  <c r="I895" i="2"/>
  <c r="J895" i="2"/>
  <c r="K895" i="2"/>
  <c r="O895" i="2"/>
  <c r="R895" i="2"/>
  <c r="S895" i="2" s="1"/>
  <c r="I896" i="2"/>
  <c r="J896" i="2"/>
  <c r="K896" i="2"/>
  <c r="O896" i="2"/>
  <c r="R896" i="2"/>
  <c r="S896" i="2" s="1"/>
  <c r="I897" i="2"/>
  <c r="J897" i="2"/>
  <c r="K897" i="2"/>
  <c r="O897" i="2"/>
  <c r="R897" i="2"/>
  <c r="S897" i="2" s="1"/>
  <c r="I898" i="2"/>
  <c r="J898" i="2"/>
  <c r="K898" i="2"/>
  <c r="O898" i="2"/>
  <c r="R898" i="2"/>
  <c r="S898" i="2" s="1"/>
  <c r="I899" i="2"/>
  <c r="J899" i="2"/>
  <c r="K899" i="2"/>
  <c r="O899" i="2"/>
  <c r="R899" i="2"/>
  <c r="S899" i="2" s="1"/>
  <c r="I900" i="2"/>
  <c r="J900" i="2"/>
  <c r="K900" i="2"/>
  <c r="O900" i="2"/>
  <c r="R900" i="2"/>
  <c r="S900" i="2" s="1"/>
  <c r="I901" i="2"/>
  <c r="J901" i="2"/>
  <c r="K901" i="2"/>
  <c r="O901" i="2"/>
  <c r="R901" i="2"/>
  <c r="S901" i="2" s="1"/>
  <c r="I902" i="2"/>
  <c r="J902" i="2"/>
  <c r="K902" i="2"/>
  <c r="O902" i="2"/>
  <c r="R902" i="2"/>
  <c r="S902" i="2" s="1"/>
  <c r="I903" i="2"/>
  <c r="J903" i="2"/>
  <c r="K903" i="2"/>
  <c r="O903" i="2"/>
  <c r="R903" i="2"/>
  <c r="S903" i="2" s="1"/>
  <c r="I904" i="2"/>
  <c r="J904" i="2"/>
  <c r="K904" i="2"/>
  <c r="O904" i="2"/>
  <c r="R904" i="2"/>
  <c r="S904" i="2" s="1"/>
  <c r="I905" i="2"/>
  <c r="J905" i="2"/>
  <c r="K905" i="2"/>
  <c r="O905" i="2"/>
  <c r="R905" i="2"/>
  <c r="S905" i="2" s="1"/>
  <c r="I906" i="2"/>
  <c r="J906" i="2"/>
  <c r="K906" i="2"/>
  <c r="O906" i="2"/>
  <c r="R906" i="2"/>
  <c r="S906" i="2" s="1"/>
  <c r="I907" i="2"/>
  <c r="J907" i="2"/>
  <c r="K907" i="2"/>
  <c r="O907" i="2"/>
  <c r="R907" i="2"/>
  <c r="S907" i="2" s="1"/>
  <c r="I908" i="2"/>
  <c r="J908" i="2"/>
  <c r="K908" i="2"/>
  <c r="O908" i="2"/>
  <c r="R908" i="2"/>
  <c r="S908" i="2" s="1"/>
  <c r="I909" i="2"/>
  <c r="J909" i="2"/>
  <c r="K909" i="2"/>
  <c r="O909" i="2"/>
  <c r="R909" i="2"/>
  <c r="S909" i="2" s="1"/>
  <c r="I910" i="2"/>
  <c r="J910" i="2"/>
  <c r="K910" i="2"/>
  <c r="O910" i="2"/>
  <c r="R910" i="2"/>
  <c r="S910" i="2" s="1"/>
  <c r="I911" i="2"/>
  <c r="J911" i="2"/>
  <c r="K911" i="2"/>
  <c r="O911" i="2"/>
  <c r="R911" i="2"/>
  <c r="S911" i="2" s="1"/>
  <c r="I912" i="2"/>
  <c r="J912" i="2"/>
  <c r="K912" i="2"/>
  <c r="O912" i="2"/>
  <c r="R912" i="2"/>
  <c r="S912" i="2" s="1"/>
  <c r="I913" i="2"/>
  <c r="J913" i="2"/>
  <c r="K913" i="2"/>
  <c r="O913" i="2"/>
  <c r="R913" i="2"/>
  <c r="S913" i="2" s="1"/>
  <c r="I914" i="2"/>
  <c r="J914" i="2"/>
  <c r="K914" i="2"/>
  <c r="O914" i="2"/>
  <c r="R914" i="2"/>
  <c r="S914" i="2" s="1"/>
  <c r="I915" i="2"/>
  <c r="J915" i="2"/>
  <c r="K915" i="2"/>
  <c r="O915" i="2"/>
  <c r="R915" i="2"/>
  <c r="S915" i="2" s="1"/>
  <c r="I916" i="2"/>
  <c r="J916" i="2"/>
  <c r="K916" i="2"/>
  <c r="O916" i="2"/>
  <c r="R916" i="2"/>
  <c r="S916" i="2" s="1"/>
  <c r="I917" i="2"/>
  <c r="J917" i="2"/>
  <c r="K917" i="2"/>
  <c r="O917" i="2"/>
  <c r="R917" i="2"/>
  <c r="S917" i="2" s="1"/>
  <c r="I918" i="2"/>
  <c r="J918" i="2"/>
  <c r="K918" i="2"/>
  <c r="O918" i="2"/>
  <c r="R918" i="2"/>
  <c r="S918" i="2" s="1"/>
  <c r="I919" i="2"/>
  <c r="J919" i="2"/>
  <c r="K919" i="2"/>
  <c r="O919" i="2"/>
  <c r="R919" i="2"/>
  <c r="S919" i="2" s="1"/>
  <c r="I920" i="2"/>
  <c r="J920" i="2"/>
  <c r="K920" i="2"/>
  <c r="O920" i="2"/>
  <c r="R920" i="2"/>
  <c r="S920" i="2" s="1"/>
  <c r="I921" i="2"/>
  <c r="J921" i="2"/>
  <c r="K921" i="2"/>
  <c r="O921" i="2"/>
  <c r="R921" i="2"/>
  <c r="S921" i="2" s="1"/>
  <c r="I922" i="2"/>
  <c r="J922" i="2"/>
  <c r="K922" i="2"/>
  <c r="O922" i="2"/>
  <c r="R922" i="2"/>
  <c r="S922" i="2" s="1"/>
  <c r="I923" i="2"/>
  <c r="J923" i="2"/>
  <c r="K923" i="2"/>
  <c r="O923" i="2"/>
  <c r="R923" i="2"/>
  <c r="S923" i="2" s="1"/>
  <c r="I924" i="2"/>
  <c r="J924" i="2"/>
  <c r="K924" i="2"/>
  <c r="O924" i="2"/>
  <c r="R924" i="2"/>
  <c r="S924" i="2" s="1"/>
  <c r="I925" i="2"/>
  <c r="J925" i="2"/>
  <c r="K925" i="2"/>
  <c r="O925" i="2"/>
  <c r="R925" i="2"/>
  <c r="S925" i="2" s="1"/>
  <c r="I926" i="2"/>
  <c r="J926" i="2"/>
  <c r="K926" i="2"/>
  <c r="O926" i="2"/>
  <c r="R926" i="2"/>
  <c r="S926" i="2" s="1"/>
  <c r="I927" i="2"/>
  <c r="J927" i="2"/>
  <c r="K927" i="2"/>
  <c r="O927" i="2"/>
  <c r="R927" i="2"/>
  <c r="S927" i="2" s="1"/>
  <c r="I928" i="2"/>
  <c r="J928" i="2"/>
  <c r="K928" i="2"/>
  <c r="O928" i="2"/>
  <c r="R928" i="2"/>
  <c r="S928" i="2" s="1"/>
  <c r="I929" i="2"/>
  <c r="J929" i="2"/>
  <c r="K929" i="2"/>
  <c r="O929" i="2"/>
  <c r="R929" i="2"/>
  <c r="S929" i="2" s="1"/>
  <c r="I930" i="2"/>
  <c r="J930" i="2"/>
  <c r="K930" i="2"/>
  <c r="O930" i="2"/>
  <c r="R930" i="2"/>
  <c r="S930" i="2" s="1"/>
  <c r="I931" i="2"/>
  <c r="J931" i="2"/>
  <c r="K931" i="2"/>
  <c r="O931" i="2"/>
  <c r="R931" i="2"/>
  <c r="S931" i="2" s="1"/>
  <c r="I932" i="2"/>
  <c r="J932" i="2"/>
  <c r="K932" i="2"/>
  <c r="O932" i="2"/>
  <c r="R932" i="2"/>
  <c r="S932" i="2" s="1"/>
  <c r="I933" i="2"/>
  <c r="J933" i="2"/>
  <c r="K933" i="2"/>
  <c r="O933" i="2"/>
  <c r="R933" i="2"/>
  <c r="S933" i="2" s="1"/>
  <c r="I934" i="2"/>
  <c r="J934" i="2"/>
  <c r="K934" i="2"/>
  <c r="O934" i="2"/>
  <c r="R934" i="2"/>
  <c r="S934" i="2" s="1"/>
  <c r="I935" i="2"/>
  <c r="J935" i="2"/>
  <c r="K935" i="2"/>
  <c r="O935" i="2"/>
  <c r="R935" i="2"/>
  <c r="S935" i="2" s="1"/>
  <c r="I936" i="2"/>
  <c r="J936" i="2"/>
  <c r="K936" i="2"/>
  <c r="O936" i="2"/>
  <c r="R936" i="2"/>
  <c r="S936" i="2" s="1"/>
  <c r="I937" i="2"/>
  <c r="J937" i="2"/>
  <c r="K937" i="2"/>
  <c r="O937" i="2"/>
  <c r="R937" i="2"/>
  <c r="S937" i="2" s="1"/>
  <c r="I938" i="2"/>
  <c r="J938" i="2"/>
  <c r="K938" i="2"/>
  <c r="O938" i="2"/>
  <c r="R938" i="2"/>
  <c r="S938" i="2" s="1"/>
  <c r="I939" i="2"/>
  <c r="J939" i="2"/>
  <c r="K939" i="2"/>
  <c r="O939" i="2"/>
  <c r="R939" i="2"/>
  <c r="S939" i="2" s="1"/>
  <c r="I940" i="2"/>
  <c r="J940" i="2"/>
  <c r="K940" i="2"/>
  <c r="O940" i="2"/>
  <c r="R940" i="2"/>
  <c r="S940" i="2" s="1"/>
  <c r="I941" i="2"/>
  <c r="J941" i="2"/>
  <c r="K941" i="2"/>
  <c r="O941" i="2"/>
  <c r="R941" i="2"/>
  <c r="S941" i="2" s="1"/>
  <c r="I942" i="2"/>
  <c r="J942" i="2"/>
  <c r="K942" i="2"/>
  <c r="O942" i="2"/>
  <c r="R942" i="2"/>
  <c r="S942" i="2" s="1"/>
  <c r="I943" i="2"/>
  <c r="J943" i="2"/>
  <c r="K943" i="2"/>
  <c r="O943" i="2"/>
  <c r="R943" i="2"/>
  <c r="S943" i="2" s="1"/>
  <c r="I944" i="2"/>
  <c r="J944" i="2"/>
  <c r="K944" i="2"/>
  <c r="O944" i="2"/>
  <c r="R944" i="2"/>
  <c r="S944" i="2" s="1"/>
  <c r="I945" i="2"/>
  <c r="J945" i="2"/>
  <c r="K945" i="2"/>
  <c r="O945" i="2"/>
  <c r="R945" i="2"/>
  <c r="S945" i="2" s="1"/>
  <c r="I946" i="2"/>
  <c r="J946" i="2"/>
  <c r="K946" i="2"/>
  <c r="O946" i="2"/>
  <c r="R946" i="2"/>
  <c r="S946" i="2" s="1"/>
  <c r="I947" i="2"/>
  <c r="J947" i="2"/>
  <c r="K947" i="2"/>
  <c r="O947" i="2"/>
  <c r="R947" i="2"/>
  <c r="S947" i="2" s="1"/>
  <c r="I948" i="2"/>
  <c r="J948" i="2"/>
  <c r="K948" i="2"/>
  <c r="O948" i="2"/>
  <c r="R948" i="2"/>
  <c r="S948" i="2" s="1"/>
  <c r="I949" i="2"/>
  <c r="J949" i="2"/>
  <c r="K949" i="2"/>
  <c r="O949" i="2"/>
  <c r="R949" i="2"/>
  <c r="S949" i="2" s="1"/>
  <c r="I950" i="2"/>
  <c r="J950" i="2"/>
  <c r="K950" i="2"/>
  <c r="O950" i="2"/>
  <c r="R950" i="2"/>
  <c r="S950" i="2" s="1"/>
  <c r="I951" i="2"/>
  <c r="J951" i="2"/>
  <c r="K951" i="2"/>
  <c r="O951" i="2"/>
  <c r="R951" i="2"/>
  <c r="S951" i="2" s="1"/>
  <c r="I952" i="2"/>
  <c r="J952" i="2"/>
  <c r="K952" i="2"/>
  <c r="O952" i="2"/>
  <c r="R952" i="2"/>
  <c r="S952" i="2" s="1"/>
  <c r="I953" i="2"/>
  <c r="J953" i="2"/>
  <c r="K953" i="2"/>
  <c r="O953" i="2"/>
  <c r="R953" i="2"/>
  <c r="S953" i="2" s="1"/>
  <c r="I954" i="2"/>
  <c r="J954" i="2"/>
  <c r="K954" i="2"/>
  <c r="O954" i="2"/>
  <c r="R954" i="2"/>
  <c r="S954" i="2" s="1"/>
  <c r="I955" i="2"/>
  <c r="J955" i="2"/>
  <c r="K955" i="2"/>
  <c r="O955" i="2"/>
  <c r="R955" i="2"/>
  <c r="S955" i="2" s="1"/>
  <c r="I956" i="2"/>
  <c r="J956" i="2"/>
  <c r="K956" i="2"/>
  <c r="O956" i="2"/>
  <c r="R956" i="2"/>
  <c r="S956" i="2" s="1"/>
  <c r="I957" i="2"/>
  <c r="J957" i="2"/>
  <c r="K957" i="2"/>
  <c r="O957" i="2"/>
  <c r="R957" i="2"/>
  <c r="S957" i="2" s="1"/>
  <c r="I958" i="2"/>
  <c r="J958" i="2"/>
  <c r="K958" i="2"/>
  <c r="O958" i="2"/>
  <c r="R958" i="2"/>
  <c r="S958" i="2" s="1"/>
  <c r="I959" i="2"/>
  <c r="J959" i="2"/>
  <c r="K959" i="2"/>
  <c r="O959" i="2"/>
  <c r="R959" i="2"/>
  <c r="S959" i="2" s="1"/>
  <c r="I960" i="2"/>
  <c r="J960" i="2"/>
  <c r="K960" i="2"/>
  <c r="O960" i="2"/>
  <c r="R960" i="2"/>
  <c r="S960" i="2" s="1"/>
  <c r="I961" i="2"/>
  <c r="J961" i="2"/>
  <c r="K961" i="2"/>
  <c r="O961" i="2"/>
  <c r="R961" i="2"/>
  <c r="S961" i="2" s="1"/>
  <c r="I962" i="2"/>
  <c r="J962" i="2"/>
  <c r="K962" i="2"/>
  <c r="O962" i="2"/>
  <c r="R962" i="2"/>
  <c r="S962" i="2" s="1"/>
  <c r="I963" i="2"/>
  <c r="J963" i="2"/>
  <c r="K963" i="2"/>
  <c r="O963" i="2"/>
  <c r="R963" i="2"/>
  <c r="S963" i="2" s="1"/>
  <c r="I964" i="2"/>
  <c r="J964" i="2"/>
  <c r="K964" i="2"/>
  <c r="O964" i="2"/>
  <c r="R964" i="2"/>
  <c r="S964" i="2" s="1"/>
  <c r="I965" i="2"/>
  <c r="J965" i="2"/>
  <c r="K965" i="2"/>
  <c r="O965" i="2"/>
  <c r="R965" i="2"/>
  <c r="S965" i="2" s="1"/>
  <c r="I966" i="2"/>
  <c r="J966" i="2"/>
  <c r="K966" i="2"/>
  <c r="O966" i="2"/>
  <c r="R966" i="2"/>
  <c r="S966" i="2" s="1"/>
  <c r="I967" i="2"/>
  <c r="J967" i="2"/>
  <c r="K967" i="2"/>
  <c r="O967" i="2"/>
  <c r="R967" i="2"/>
  <c r="S967" i="2" s="1"/>
  <c r="I968" i="2"/>
  <c r="J968" i="2"/>
  <c r="K968" i="2"/>
  <c r="O968" i="2"/>
  <c r="R968" i="2"/>
  <c r="S968" i="2" s="1"/>
  <c r="I969" i="2"/>
  <c r="J969" i="2"/>
  <c r="K969" i="2"/>
  <c r="O969" i="2"/>
  <c r="R969" i="2"/>
  <c r="S969" i="2" s="1"/>
  <c r="I970" i="2"/>
  <c r="J970" i="2"/>
  <c r="K970" i="2"/>
  <c r="O970" i="2"/>
  <c r="R970" i="2"/>
  <c r="S970" i="2" s="1"/>
  <c r="I971" i="2"/>
  <c r="J971" i="2"/>
  <c r="K971" i="2"/>
  <c r="O971" i="2"/>
  <c r="R971" i="2"/>
  <c r="S971" i="2" s="1"/>
  <c r="I972" i="2"/>
  <c r="J972" i="2"/>
  <c r="K972" i="2"/>
  <c r="O972" i="2"/>
  <c r="R972" i="2"/>
  <c r="S972" i="2" s="1"/>
  <c r="I973" i="2"/>
  <c r="J973" i="2"/>
  <c r="K973" i="2"/>
  <c r="O973" i="2"/>
  <c r="R973" i="2"/>
  <c r="S973" i="2" s="1"/>
  <c r="I974" i="2"/>
  <c r="J974" i="2"/>
  <c r="K974" i="2"/>
  <c r="O974" i="2"/>
  <c r="R974" i="2"/>
  <c r="S974" i="2" s="1"/>
  <c r="I975" i="2"/>
  <c r="J975" i="2"/>
  <c r="K975" i="2"/>
  <c r="O975" i="2"/>
  <c r="R975" i="2"/>
  <c r="S975" i="2" s="1"/>
  <c r="I976" i="2"/>
  <c r="J976" i="2"/>
  <c r="K976" i="2"/>
  <c r="O976" i="2"/>
  <c r="R976" i="2"/>
  <c r="S976" i="2" s="1"/>
  <c r="I977" i="2"/>
  <c r="J977" i="2"/>
  <c r="K977" i="2"/>
  <c r="O977" i="2"/>
  <c r="R977" i="2"/>
  <c r="S977" i="2" s="1"/>
  <c r="I978" i="2"/>
  <c r="J978" i="2"/>
  <c r="K978" i="2"/>
  <c r="O978" i="2"/>
  <c r="R978" i="2"/>
  <c r="S978" i="2" s="1"/>
  <c r="I979" i="2"/>
  <c r="J979" i="2"/>
  <c r="K979" i="2"/>
  <c r="O979" i="2"/>
  <c r="R979" i="2"/>
  <c r="S979" i="2" s="1"/>
  <c r="I980" i="2"/>
  <c r="J980" i="2"/>
  <c r="K980" i="2"/>
  <c r="O980" i="2"/>
  <c r="R980" i="2"/>
  <c r="S980" i="2" s="1"/>
  <c r="I981" i="2"/>
  <c r="J981" i="2"/>
  <c r="K981" i="2"/>
  <c r="O981" i="2"/>
  <c r="R981" i="2"/>
  <c r="S981" i="2" s="1"/>
  <c r="I982" i="2"/>
  <c r="J982" i="2"/>
  <c r="K982" i="2"/>
  <c r="O982" i="2"/>
  <c r="R982" i="2"/>
  <c r="S982" i="2" s="1"/>
  <c r="I983" i="2"/>
  <c r="J983" i="2"/>
  <c r="K983" i="2"/>
  <c r="O983" i="2"/>
  <c r="R983" i="2"/>
  <c r="S983" i="2" s="1"/>
  <c r="I984" i="2"/>
  <c r="J984" i="2"/>
  <c r="K984" i="2"/>
  <c r="O984" i="2"/>
  <c r="R984" i="2"/>
  <c r="S984" i="2" s="1"/>
  <c r="I985" i="2"/>
  <c r="J985" i="2"/>
  <c r="K985" i="2"/>
  <c r="O985" i="2"/>
  <c r="R985" i="2"/>
  <c r="S985" i="2" s="1"/>
  <c r="I986" i="2"/>
  <c r="J986" i="2"/>
  <c r="K986" i="2"/>
  <c r="O986" i="2"/>
  <c r="R986" i="2"/>
  <c r="S986" i="2" s="1"/>
  <c r="I987" i="2"/>
  <c r="J987" i="2"/>
  <c r="K987" i="2"/>
  <c r="O987" i="2"/>
  <c r="R987" i="2"/>
  <c r="S987" i="2" s="1"/>
  <c r="I988" i="2"/>
  <c r="J988" i="2"/>
  <c r="K988" i="2"/>
  <c r="O988" i="2"/>
  <c r="R988" i="2"/>
  <c r="S988" i="2" s="1"/>
  <c r="I989" i="2"/>
  <c r="J989" i="2"/>
  <c r="K989" i="2"/>
  <c r="O989" i="2"/>
  <c r="R989" i="2"/>
  <c r="S989" i="2" s="1"/>
  <c r="I990" i="2"/>
  <c r="J990" i="2"/>
  <c r="K990" i="2"/>
  <c r="O990" i="2"/>
  <c r="R990" i="2"/>
  <c r="S990" i="2" s="1"/>
  <c r="I991" i="2"/>
  <c r="J991" i="2"/>
  <c r="K991" i="2"/>
  <c r="O991" i="2"/>
  <c r="R991" i="2"/>
  <c r="S991" i="2" s="1"/>
  <c r="I992" i="2"/>
  <c r="J992" i="2"/>
  <c r="K992" i="2"/>
  <c r="O992" i="2"/>
  <c r="R992" i="2"/>
  <c r="S992" i="2" s="1"/>
  <c r="I993" i="2"/>
  <c r="J993" i="2"/>
  <c r="K993" i="2"/>
  <c r="O993" i="2"/>
  <c r="R993" i="2"/>
  <c r="S993" i="2" s="1"/>
  <c r="I994" i="2"/>
  <c r="J994" i="2"/>
  <c r="K994" i="2"/>
  <c r="O994" i="2"/>
  <c r="R994" i="2"/>
  <c r="S994" i="2" s="1"/>
  <c r="I995" i="2"/>
  <c r="J995" i="2"/>
  <c r="K995" i="2"/>
  <c r="O995" i="2"/>
  <c r="R995" i="2"/>
  <c r="S995" i="2" s="1"/>
  <c r="I996" i="2"/>
  <c r="J996" i="2"/>
  <c r="K996" i="2"/>
  <c r="O996" i="2"/>
  <c r="R996" i="2"/>
  <c r="S996" i="2" s="1"/>
  <c r="I997" i="2"/>
  <c r="J997" i="2"/>
  <c r="K997" i="2"/>
  <c r="O997" i="2"/>
  <c r="R997" i="2"/>
  <c r="S997" i="2" s="1"/>
  <c r="I998" i="2"/>
  <c r="J998" i="2"/>
  <c r="K998" i="2"/>
  <c r="O998" i="2"/>
  <c r="R998" i="2"/>
  <c r="S998" i="2" s="1"/>
  <c r="I999" i="2"/>
  <c r="J999" i="2"/>
  <c r="K999" i="2"/>
  <c r="O999" i="2"/>
  <c r="R999" i="2"/>
  <c r="S999" i="2" s="1"/>
  <c r="I1000" i="2"/>
  <c r="J1000" i="2"/>
  <c r="K1000" i="2"/>
  <c r="O1000" i="2"/>
  <c r="R1000" i="2"/>
  <c r="S1000" i="2" s="1"/>
  <c r="I1001" i="2"/>
  <c r="J1001" i="2"/>
  <c r="K1001" i="2"/>
  <c r="O1001" i="2"/>
  <c r="R1001" i="2"/>
  <c r="S1001" i="2" s="1"/>
  <c r="I1002" i="2"/>
  <c r="J1002" i="2"/>
  <c r="K1002" i="2"/>
  <c r="O1002" i="2"/>
  <c r="R1002" i="2"/>
  <c r="S1002" i="2" s="1"/>
  <c r="I1003" i="2"/>
  <c r="J1003" i="2"/>
  <c r="K1003" i="2"/>
  <c r="O1003" i="2"/>
  <c r="R1003" i="2"/>
  <c r="S1003" i="2" s="1"/>
  <c r="I1004" i="2"/>
  <c r="J1004" i="2"/>
  <c r="K1004" i="2"/>
  <c r="O1004" i="2"/>
  <c r="R1004" i="2"/>
  <c r="S1004" i="2" s="1"/>
  <c r="I1005" i="2"/>
  <c r="J1005" i="2"/>
  <c r="K1005" i="2"/>
  <c r="O1005" i="2"/>
  <c r="R1005" i="2"/>
  <c r="S1005" i="2" s="1"/>
  <c r="I1006" i="2"/>
  <c r="J1006" i="2"/>
  <c r="K1006" i="2"/>
  <c r="O1006" i="2"/>
  <c r="R1006" i="2"/>
  <c r="S1006" i="2" s="1"/>
  <c r="I1007" i="2"/>
  <c r="J1007" i="2"/>
  <c r="K1007" i="2"/>
  <c r="O1007" i="2"/>
  <c r="R1007" i="2"/>
  <c r="S1007" i="2" s="1"/>
  <c r="I1008" i="2"/>
  <c r="J1008" i="2"/>
  <c r="K1008" i="2"/>
  <c r="O1008" i="2"/>
  <c r="R1008" i="2"/>
  <c r="S1008" i="2" s="1"/>
  <c r="I1009" i="2"/>
  <c r="J1009" i="2"/>
  <c r="K1009" i="2"/>
  <c r="O1009" i="2"/>
  <c r="R1009" i="2"/>
  <c r="S1009" i="2" s="1"/>
  <c r="I1010" i="2"/>
  <c r="J1010" i="2"/>
  <c r="K1010" i="2"/>
  <c r="O1010" i="2"/>
  <c r="R1010" i="2"/>
  <c r="S1010" i="2" s="1"/>
  <c r="I1011" i="2"/>
  <c r="J1011" i="2"/>
  <c r="K1011" i="2"/>
  <c r="O1011" i="2"/>
  <c r="R1011" i="2"/>
  <c r="S1011" i="2" s="1"/>
  <c r="I1012" i="2"/>
  <c r="J1012" i="2"/>
  <c r="K1012" i="2"/>
  <c r="O1012" i="2"/>
  <c r="R1012" i="2"/>
  <c r="S1012" i="2" s="1"/>
  <c r="I1013" i="2"/>
  <c r="J1013" i="2"/>
  <c r="K1013" i="2"/>
  <c r="O1013" i="2"/>
  <c r="R1013" i="2"/>
  <c r="S1013" i="2" s="1"/>
  <c r="I1014" i="2"/>
  <c r="J1014" i="2"/>
  <c r="K1014" i="2"/>
  <c r="O1014" i="2"/>
  <c r="R1014" i="2"/>
  <c r="S1014" i="2" s="1"/>
  <c r="I1015" i="2"/>
  <c r="J1015" i="2"/>
  <c r="K1015" i="2"/>
  <c r="O1015" i="2"/>
  <c r="R1015" i="2"/>
  <c r="S1015" i="2" s="1"/>
  <c r="I1016" i="2"/>
  <c r="J1016" i="2"/>
  <c r="K1016" i="2"/>
  <c r="O1016" i="2"/>
  <c r="R1016" i="2"/>
  <c r="S1016" i="2" s="1"/>
  <c r="I1017" i="2"/>
  <c r="J1017" i="2"/>
  <c r="K1017" i="2"/>
  <c r="O1017" i="2"/>
  <c r="R1017" i="2"/>
  <c r="S1017" i="2" s="1"/>
  <c r="I1018" i="2"/>
  <c r="J1018" i="2"/>
  <c r="K1018" i="2"/>
  <c r="O1018" i="2"/>
  <c r="R1018" i="2"/>
  <c r="S1018" i="2" s="1"/>
  <c r="I1019" i="2"/>
  <c r="J1019" i="2"/>
  <c r="K1019" i="2"/>
  <c r="O1019" i="2"/>
  <c r="R1019" i="2"/>
  <c r="S1019" i="2" s="1"/>
  <c r="I1020" i="2"/>
  <c r="J1020" i="2"/>
  <c r="K1020" i="2"/>
  <c r="O1020" i="2"/>
  <c r="R1020" i="2"/>
  <c r="S1020" i="2" s="1"/>
  <c r="I1021" i="2"/>
  <c r="J1021" i="2"/>
  <c r="K1021" i="2"/>
  <c r="O1021" i="2"/>
  <c r="R1021" i="2"/>
  <c r="S1021" i="2" s="1"/>
  <c r="I1022" i="2"/>
  <c r="J1022" i="2"/>
  <c r="K1022" i="2"/>
  <c r="O1022" i="2"/>
  <c r="R1022" i="2"/>
  <c r="S1022" i="2" s="1"/>
  <c r="I1023" i="2"/>
  <c r="J1023" i="2"/>
  <c r="K1023" i="2"/>
  <c r="O1023" i="2"/>
  <c r="R1023" i="2"/>
  <c r="S1023" i="2" s="1"/>
  <c r="I1024" i="2"/>
  <c r="J1024" i="2"/>
  <c r="K1024" i="2"/>
  <c r="O1024" i="2"/>
  <c r="R1024" i="2"/>
  <c r="S1024" i="2" s="1"/>
  <c r="I1025" i="2"/>
  <c r="J1025" i="2"/>
  <c r="K1025" i="2"/>
  <c r="O1025" i="2"/>
  <c r="R1025" i="2"/>
  <c r="S1025" i="2" s="1"/>
  <c r="I1026" i="2"/>
  <c r="J1026" i="2"/>
  <c r="K1026" i="2"/>
  <c r="O1026" i="2"/>
  <c r="R1026" i="2"/>
  <c r="S1026" i="2" s="1"/>
  <c r="I1027" i="2"/>
  <c r="J1027" i="2"/>
  <c r="K1027" i="2"/>
  <c r="O1027" i="2"/>
  <c r="R1027" i="2"/>
  <c r="S1027" i="2" s="1"/>
  <c r="I1028" i="2"/>
  <c r="J1028" i="2"/>
  <c r="K1028" i="2"/>
  <c r="O1028" i="2"/>
  <c r="R1028" i="2"/>
  <c r="S1028" i="2" s="1"/>
  <c r="I1029" i="2"/>
  <c r="J1029" i="2"/>
  <c r="K1029" i="2"/>
  <c r="O1029" i="2"/>
  <c r="R1029" i="2"/>
  <c r="S1029" i="2" s="1"/>
  <c r="I1030" i="2"/>
  <c r="J1030" i="2"/>
  <c r="K1030" i="2"/>
  <c r="O1030" i="2"/>
  <c r="R1030" i="2"/>
  <c r="S1030" i="2" s="1"/>
  <c r="I1031" i="2"/>
  <c r="J1031" i="2"/>
  <c r="K1031" i="2"/>
  <c r="O1031" i="2"/>
  <c r="R1031" i="2"/>
  <c r="S1031" i="2" s="1"/>
  <c r="I1032" i="2"/>
  <c r="J1032" i="2"/>
  <c r="K1032" i="2"/>
  <c r="O1032" i="2"/>
  <c r="R1032" i="2"/>
  <c r="S1032" i="2" s="1"/>
  <c r="I1033" i="2"/>
  <c r="J1033" i="2"/>
  <c r="K1033" i="2"/>
  <c r="O1033" i="2"/>
  <c r="R1033" i="2"/>
  <c r="S1033" i="2" s="1"/>
  <c r="I1034" i="2"/>
  <c r="J1034" i="2"/>
  <c r="K1034" i="2"/>
  <c r="O1034" i="2"/>
  <c r="R1034" i="2"/>
  <c r="S1034" i="2" s="1"/>
  <c r="I1035" i="2"/>
  <c r="J1035" i="2"/>
  <c r="K1035" i="2"/>
  <c r="O1035" i="2"/>
  <c r="R1035" i="2"/>
  <c r="S1035" i="2" s="1"/>
  <c r="I1036" i="2"/>
  <c r="J1036" i="2"/>
  <c r="K1036" i="2"/>
  <c r="O1036" i="2"/>
  <c r="R1036" i="2"/>
  <c r="S1036" i="2" s="1"/>
  <c r="I1037" i="2"/>
  <c r="J1037" i="2"/>
  <c r="K1037" i="2"/>
  <c r="O1037" i="2"/>
  <c r="R1037" i="2"/>
  <c r="S1037" i="2" s="1"/>
  <c r="I1038" i="2"/>
  <c r="J1038" i="2"/>
  <c r="K1038" i="2"/>
  <c r="O1038" i="2"/>
  <c r="R1038" i="2"/>
  <c r="S1038" i="2" s="1"/>
  <c r="I1039" i="2"/>
  <c r="J1039" i="2"/>
  <c r="K1039" i="2"/>
  <c r="O1039" i="2"/>
  <c r="R1039" i="2"/>
  <c r="S1039" i="2" s="1"/>
  <c r="I1040" i="2"/>
  <c r="J1040" i="2"/>
  <c r="K1040" i="2"/>
  <c r="O1040" i="2"/>
  <c r="R1040" i="2"/>
  <c r="S1040" i="2" s="1"/>
  <c r="I1041" i="2"/>
  <c r="J1041" i="2"/>
  <c r="K1041" i="2"/>
  <c r="O1041" i="2"/>
  <c r="R1041" i="2"/>
  <c r="S1041" i="2" s="1"/>
  <c r="I1042" i="2"/>
  <c r="J1042" i="2"/>
  <c r="K1042" i="2"/>
  <c r="O1042" i="2"/>
  <c r="R1042" i="2"/>
  <c r="S1042" i="2" s="1"/>
  <c r="I1043" i="2"/>
  <c r="J1043" i="2"/>
  <c r="K1043" i="2"/>
  <c r="O1043" i="2"/>
  <c r="R1043" i="2"/>
  <c r="S1043" i="2" s="1"/>
  <c r="I1044" i="2"/>
  <c r="J1044" i="2"/>
  <c r="K1044" i="2"/>
  <c r="O1044" i="2"/>
  <c r="R1044" i="2"/>
  <c r="S1044" i="2" s="1"/>
  <c r="I1045" i="2"/>
  <c r="J1045" i="2"/>
  <c r="K1045" i="2"/>
  <c r="O1045" i="2"/>
  <c r="R1045" i="2"/>
  <c r="S1045" i="2" s="1"/>
  <c r="I1046" i="2"/>
  <c r="J1046" i="2"/>
  <c r="K1046" i="2"/>
  <c r="O1046" i="2"/>
  <c r="R1046" i="2"/>
  <c r="S1046" i="2" s="1"/>
  <c r="I1047" i="2"/>
  <c r="J1047" i="2"/>
  <c r="K1047" i="2"/>
  <c r="O1047" i="2"/>
  <c r="R1047" i="2"/>
  <c r="S1047" i="2" s="1"/>
  <c r="I1048" i="2"/>
  <c r="J1048" i="2"/>
  <c r="K1048" i="2"/>
  <c r="O1048" i="2"/>
  <c r="R1048" i="2"/>
  <c r="S1048" i="2" s="1"/>
  <c r="I1049" i="2"/>
  <c r="J1049" i="2"/>
  <c r="K1049" i="2"/>
  <c r="O1049" i="2"/>
  <c r="R1049" i="2"/>
  <c r="S1049" i="2" s="1"/>
  <c r="I1050" i="2"/>
  <c r="J1050" i="2"/>
  <c r="K1050" i="2"/>
  <c r="O1050" i="2"/>
  <c r="R1050" i="2"/>
  <c r="S1050" i="2" s="1"/>
  <c r="I1051" i="2"/>
  <c r="J1051" i="2"/>
  <c r="K1051" i="2"/>
  <c r="O1051" i="2"/>
  <c r="R1051" i="2"/>
  <c r="S1051" i="2" s="1"/>
  <c r="I1052" i="2"/>
  <c r="J1052" i="2"/>
  <c r="K1052" i="2"/>
  <c r="O1052" i="2"/>
  <c r="R1052" i="2"/>
  <c r="S1052" i="2" s="1"/>
  <c r="I1053" i="2"/>
  <c r="J1053" i="2"/>
  <c r="K1053" i="2"/>
  <c r="O1053" i="2"/>
  <c r="R1053" i="2"/>
  <c r="S1053" i="2" s="1"/>
  <c r="I1054" i="2"/>
  <c r="J1054" i="2"/>
  <c r="K1054" i="2"/>
  <c r="O1054" i="2"/>
  <c r="R1054" i="2"/>
  <c r="S1054" i="2" s="1"/>
  <c r="I1055" i="2"/>
  <c r="J1055" i="2"/>
  <c r="K1055" i="2"/>
  <c r="O1055" i="2"/>
  <c r="R1055" i="2"/>
  <c r="S1055" i="2" s="1"/>
  <c r="I1056" i="2"/>
  <c r="J1056" i="2"/>
  <c r="K1056" i="2"/>
  <c r="O1056" i="2"/>
  <c r="R1056" i="2"/>
  <c r="S1056" i="2" s="1"/>
  <c r="I1057" i="2"/>
  <c r="J1057" i="2"/>
  <c r="K1057" i="2"/>
  <c r="O1057" i="2"/>
  <c r="R1057" i="2"/>
  <c r="S1057" i="2" s="1"/>
  <c r="I1058" i="2"/>
  <c r="J1058" i="2"/>
  <c r="K1058" i="2"/>
  <c r="O1058" i="2"/>
  <c r="R1058" i="2"/>
  <c r="S1058" i="2" s="1"/>
  <c r="I1059" i="2"/>
  <c r="J1059" i="2"/>
  <c r="K1059" i="2"/>
  <c r="O1059" i="2"/>
  <c r="R1059" i="2"/>
  <c r="S1059" i="2" s="1"/>
  <c r="I1060" i="2"/>
  <c r="J1060" i="2"/>
  <c r="K1060" i="2"/>
  <c r="O1060" i="2"/>
  <c r="R1060" i="2"/>
  <c r="S1060" i="2" s="1"/>
  <c r="I1061" i="2"/>
  <c r="J1061" i="2"/>
  <c r="K1061" i="2"/>
  <c r="O1061" i="2"/>
  <c r="R1061" i="2"/>
  <c r="S1061" i="2" s="1"/>
  <c r="I1062" i="2"/>
  <c r="J1062" i="2"/>
  <c r="K1062" i="2"/>
  <c r="O1062" i="2"/>
  <c r="R1062" i="2"/>
  <c r="S1062" i="2" s="1"/>
  <c r="I1063" i="2"/>
  <c r="J1063" i="2"/>
  <c r="K1063" i="2"/>
  <c r="O1063" i="2"/>
  <c r="R1063" i="2"/>
  <c r="S1063" i="2" s="1"/>
  <c r="I1064" i="2"/>
  <c r="J1064" i="2"/>
  <c r="K1064" i="2"/>
  <c r="O1064" i="2"/>
  <c r="R1064" i="2"/>
  <c r="S1064" i="2" s="1"/>
  <c r="I1065" i="2"/>
  <c r="J1065" i="2"/>
  <c r="K1065" i="2"/>
  <c r="O1065" i="2"/>
  <c r="R1065" i="2"/>
  <c r="S1065" i="2" s="1"/>
  <c r="I1066" i="2"/>
  <c r="J1066" i="2"/>
  <c r="K1066" i="2"/>
  <c r="O1066" i="2"/>
  <c r="R1066" i="2"/>
  <c r="S1066" i="2" s="1"/>
  <c r="I1067" i="2"/>
  <c r="J1067" i="2"/>
  <c r="K1067" i="2"/>
  <c r="O1067" i="2"/>
  <c r="R1067" i="2"/>
  <c r="S1067" i="2" s="1"/>
  <c r="I1068" i="2"/>
  <c r="J1068" i="2"/>
  <c r="K1068" i="2"/>
  <c r="O1068" i="2"/>
  <c r="R1068" i="2"/>
  <c r="S1068" i="2" s="1"/>
  <c r="I1069" i="2"/>
  <c r="J1069" i="2"/>
  <c r="K1069" i="2"/>
  <c r="O1069" i="2"/>
  <c r="R1069" i="2"/>
  <c r="S1069" i="2" s="1"/>
  <c r="I1070" i="2"/>
  <c r="J1070" i="2"/>
  <c r="K1070" i="2"/>
  <c r="O1070" i="2"/>
  <c r="R1070" i="2"/>
  <c r="S1070" i="2" s="1"/>
  <c r="I1071" i="2"/>
  <c r="J1071" i="2"/>
  <c r="K1071" i="2"/>
  <c r="O1071" i="2"/>
  <c r="R1071" i="2"/>
  <c r="S1071" i="2" s="1"/>
  <c r="I1072" i="2"/>
  <c r="J1072" i="2"/>
  <c r="K1072" i="2"/>
  <c r="O1072" i="2"/>
  <c r="R1072" i="2"/>
  <c r="S1072" i="2" s="1"/>
  <c r="I1073" i="2"/>
  <c r="J1073" i="2"/>
  <c r="K1073" i="2"/>
  <c r="O1073" i="2"/>
  <c r="R1073" i="2"/>
  <c r="S1073" i="2" s="1"/>
  <c r="I1074" i="2"/>
  <c r="J1074" i="2"/>
  <c r="K1074" i="2"/>
  <c r="O1074" i="2"/>
  <c r="R1074" i="2"/>
  <c r="S1074" i="2" s="1"/>
  <c r="I1075" i="2"/>
  <c r="J1075" i="2"/>
  <c r="K1075" i="2"/>
  <c r="O1075" i="2"/>
  <c r="R1075" i="2"/>
  <c r="S1075" i="2" s="1"/>
  <c r="I1076" i="2"/>
  <c r="J1076" i="2"/>
  <c r="K1076" i="2"/>
  <c r="O1076" i="2"/>
  <c r="R1076" i="2"/>
  <c r="S1076" i="2" s="1"/>
  <c r="I1077" i="2"/>
  <c r="J1077" i="2"/>
  <c r="K1077" i="2"/>
  <c r="O1077" i="2"/>
  <c r="R1077" i="2"/>
  <c r="S1077" i="2" s="1"/>
  <c r="I1078" i="2"/>
  <c r="J1078" i="2"/>
  <c r="K1078" i="2"/>
  <c r="O1078" i="2"/>
  <c r="R1078" i="2"/>
  <c r="S1078" i="2" s="1"/>
  <c r="I1079" i="2"/>
  <c r="J1079" i="2"/>
  <c r="K1079" i="2"/>
  <c r="O1079" i="2"/>
  <c r="R1079" i="2"/>
  <c r="S1079" i="2" s="1"/>
  <c r="I1080" i="2"/>
  <c r="J1080" i="2"/>
  <c r="K1080" i="2"/>
  <c r="O1080" i="2"/>
  <c r="R1080" i="2"/>
  <c r="S1080" i="2" s="1"/>
  <c r="I1081" i="2"/>
  <c r="J1081" i="2"/>
  <c r="K1081" i="2"/>
  <c r="O1081" i="2"/>
  <c r="R1081" i="2"/>
  <c r="S1081" i="2" s="1"/>
  <c r="I1082" i="2"/>
  <c r="J1082" i="2"/>
  <c r="K1082" i="2"/>
  <c r="O1082" i="2"/>
  <c r="R1082" i="2"/>
  <c r="S1082" i="2" s="1"/>
  <c r="I1083" i="2"/>
  <c r="J1083" i="2"/>
  <c r="K1083" i="2"/>
  <c r="O1083" i="2"/>
  <c r="R1083" i="2"/>
  <c r="S1083" i="2" s="1"/>
  <c r="I1084" i="2"/>
  <c r="J1084" i="2"/>
  <c r="K1084" i="2"/>
  <c r="O1084" i="2"/>
  <c r="R1084" i="2"/>
  <c r="S1084" i="2" s="1"/>
  <c r="I1085" i="2"/>
  <c r="J1085" i="2"/>
  <c r="K1085" i="2"/>
  <c r="O1085" i="2"/>
  <c r="R1085" i="2"/>
  <c r="S1085" i="2" s="1"/>
  <c r="I1086" i="2"/>
  <c r="J1086" i="2"/>
  <c r="K1086" i="2"/>
  <c r="O1086" i="2"/>
  <c r="R1086" i="2"/>
  <c r="S1086" i="2" s="1"/>
  <c r="I1087" i="2"/>
  <c r="J1087" i="2"/>
  <c r="K1087" i="2"/>
  <c r="O1087" i="2"/>
  <c r="R1087" i="2"/>
  <c r="S1087" i="2" s="1"/>
  <c r="I1088" i="2"/>
  <c r="J1088" i="2"/>
  <c r="K1088" i="2"/>
  <c r="O1088" i="2"/>
  <c r="R1088" i="2"/>
  <c r="S1088" i="2" s="1"/>
  <c r="I1089" i="2"/>
  <c r="J1089" i="2"/>
  <c r="K1089" i="2"/>
  <c r="O1089" i="2"/>
  <c r="R1089" i="2"/>
  <c r="S1089" i="2" s="1"/>
  <c r="I1090" i="2"/>
  <c r="J1090" i="2"/>
  <c r="K1090" i="2"/>
  <c r="O1090" i="2"/>
  <c r="R1090" i="2"/>
  <c r="S1090" i="2" s="1"/>
  <c r="I1091" i="2"/>
  <c r="J1091" i="2"/>
  <c r="K1091" i="2"/>
  <c r="O1091" i="2"/>
  <c r="R1091" i="2"/>
  <c r="S1091" i="2" s="1"/>
  <c r="I1092" i="2"/>
  <c r="J1092" i="2"/>
  <c r="K1092" i="2"/>
  <c r="O1092" i="2"/>
  <c r="R1092" i="2"/>
  <c r="S1092" i="2" s="1"/>
  <c r="I1093" i="2"/>
  <c r="J1093" i="2"/>
  <c r="K1093" i="2"/>
  <c r="O1093" i="2"/>
  <c r="R1093" i="2"/>
  <c r="S1093" i="2" s="1"/>
  <c r="I1094" i="2"/>
  <c r="J1094" i="2"/>
  <c r="K1094" i="2"/>
  <c r="O1094" i="2"/>
  <c r="R1094" i="2"/>
  <c r="S1094" i="2" s="1"/>
  <c r="I1095" i="2"/>
  <c r="J1095" i="2"/>
  <c r="K1095" i="2"/>
  <c r="O1095" i="2"/>
  <c r="R1095" i="2"/>
  <c r="S1095" i="2" s="1"/>
  <c r="I1096" i="2"/>
  <c r="J1096" i="2"/>
  <c r="K1096" i="2"/>
  <c r="O1096" i="2"/>
  <c r="R1096" i="2"/>
  <c r="S1096" i="2" s="1"/>
  <c r="I1097" i="2"/>
  <c r="J1097" i="2"/>
  <c r="K1097" i="2"/>
  <c r="O1097" i="2"/>
  <c r="R1097" i="2"/>
  <c r="S1097" i="2" s="1"/>
  <c r="I1098" i="2"/>
  <c r="J1098" i="2"/>
  <c r="K1098" i="2"/>
  <c r="O1098" i="2"/>
  <c r="R1098" i="2"/>
  <c r="S1098" i="2" s="1"/>
  <c r="I1099" i="2"/>
  <c r="J1099" i="2"/>
  <c r="K1099" i="2"/>
  <c r="O1099" i="2"/>
  <c r="R1099" i="2"/>
  <c r="S1099" i="2" s="1"/>
  <c r="I1100" i="2"/>
  <c r="J1100" i="2"/>
  <c r="K1100" i="2"/>
  <c r="O1100" i="2"/>
  <c r="R1100" i="2"/>
  <c r="S1100" i="2" s="1"/>
  <c r="I1101" i="2"/>
  <c r="J1101" i="2"/>
  <c r="K1101" i="2"/>
  <c r="O1101" i="2"/>
  <c r="R1101" i="2"/>
  <c r="S1101" i="2" s="1"/>
  <c r="I1102" i="2"/>
  <c r="J1102" i="2"/>
  <c r="K1102" i="2"/>
  <c r="O1102" i="2"/>
  <c r="R1102" i="2"/>
  <c r="S1102" i="2" s="1"/>
  <c r="I1103" i="2"/>
  <c r="J1103" i="2"/>
  <c r="K1103" i="2"/>
  <c r="O1103" i="2"/>
  <c r="R1103" i="2"/>
  <c r="S1103" i="2" s="1"/>
  <c r="I1104" i="2"/>
  <c r="J1104" i="2"/>
  <c r="K1104" i="2"/>
  <c r="O1104" i="2"/>
  <c r="R1104" i="2"/>
  <c r="S1104" i="2" s="1"/>
  <c r="I1105" i="2"/>
  <c r="J1105" i="2"/>
  <c r="K1105" i="2"/>
  <c r="O1105" i="2"/>
  <c r="R1105" i="2"/>
  <c r="S1105" i="2" s="1"/>
  <c r="I1106" i="2"/>
  <c r="J1106" i="2"/>
  <c r="K1106" i="2"/>
  <c r="O1106" i="2"/>
  <c r="R1106" i="2"/>
  <c r="S1106" i="2" s="1"/>
  <c r="I1107" i="2"/>
  <c r="J1107" i="2"/>
  <c r="K1107" i="2"/>
  <c r="O1107" i="2"/>
  <c r="R1107" i="2"/>
  <c r="S1107" i="2" s="1"/>
  <c r="I1108" i="2"/>
  <c r="J1108" i="2"/>
  <c r="K1108" i="2"/>
  <c r="O1108" i="2"/>
  <c r="R1108" i="2"/>
  <c r="S1108" i="2" s="1"/>
  <c r="I1109" i="2"/>
  <c r="J1109" i="2"/>
  <c r="K1109" i="2"/>
  <c r="O1109" i="2"/>
  <c r="R1109" i="2"/>
  <c r="S1109" i="2" s="1"/>
  <c r="I1110" i="2"/>
  <c r="J1110" i="2"/>
  <c r="K1110" i="2"/>
  <c r="O1110" i="2"/>
  <c r="R1110" i="2"/>
  <c r="S1110" i="2" s="1"/>
  <c r="I1111" i="2"/>
  <c r="J1111" i="2"/>
  <c r="K1111" i="2"/>
  <c r="O1111" i="2"/>
  <c r="R1111" i="2"/>
  <c r="S1111" i="2" s="1"/>
  <c r="I1112" i="2"/>
  <c r="J1112" i="2"/>
  <c r="K1112" i="2"/>
  <c r="O1112" i="2"/>
  <c r="R1112" i="2"/>
  <c r="S1112" i="2" s="1"/>
  <c r="I1113" i="2"/>
  <c r="J1113" i="2"/>
  <c r="K1113" i="2"/>
  <c r="O1113" i="2"/>
  <c r="R1113" i="2"/>
  <c r="S1113" i="2" s="1"/>
  <c r="I1114" i="2"/>
  <c r="J1114" i="2"/>
  <c r="K1114" i="2"/>
  <c r="O1114" i="2"/>
  <c r="R1114" i="2"/>
  <c r="S1114" i="2" s="1"/>
  <c r="I1115" i="2"/>
  <c r="J1115" i="2"/>
  <c r="K1115" i="2"/>
  <c r="O1115" i="2"/>
  <c r="R1115" i="2"/>
  <c r="S1115" i="2" s="1"/>
  <c r="I1116" i="2"/>
  <c r="J1116" i="2"/>
  <c r="K1116" i="2"/>
  <c r="O1116" i="2"/>
  <c r="R1116" i="2"/>
  <c r="S1116" i="2" s="1"/>
  <c r="I1117" i="2"/>
  <c r="J1117" i="2"/>
  <c r="K1117" i="2"/>
  <c r="O1117" i="2"/>
  <c r="R1117" i="2"/>
  <c r="S1117" i="2" s="1"/>
  <c r="I1118" i="2"/>
  <c r="J1118" i="2"/>
  <c r="K1118" i="2"/>
  <c r="O1118" i="2"/>
  <c r="R1118" i="2"/>
  <c r="S1118" i="2" s="1"/>
  <c r="I1119" i="2"/>
  <c r="J1119" i="2"/>
  <c r="K1119" i="2"/>
  <c r="O1119" i="2"/>
  <c r="R1119" i="2"/>
  <c r="S1119" i="2" s="1"/>
  <c r="I1120" i="2"/>
  <c r="J1120" i="2"/>
  <c r="K1120" i="2"/>
  <c r="O1120" i="2"/>
  <c r="R1120" i="2"/>
  <c r="S1120" i="2" s="1"/>
  <c r="I1121" i="2"/>
  <c r="J1121" i="2"/>
  <c r="K1121" i="2"/>
  <c r="O1121" i="2"/>
  <c r="R1121" i="2"/>
  <c r="S1121" i="2" s="1"/>
  <c r="I1122" i="2"/>
  <c r="J1122" i="2"/>
  <c r="K1122" i="2"/>
  <c r="O1122" i="2"/>
  <c r="R1122" i="2"/>
  <c r="S1122" i="2" s="1"/>
  <c r="I1123" i="2"/>
  <c r="J1123" i="2"/>
  <c r="K1123" i="2"/>
  <c r="O1123" i="2"/>
  <c r="R1123" i="2"/>
  <c r="S1123" i="2" s="1"/>
  <c r="I1124" i="2"/>
  <c r="J1124" i="2"/>
  <c r="K1124" i="2"/>
  <c r="O1124" i="2"/>
  <c r="R1124" i="2"/>
  <c r="S1124" i="2" s="1"/>
  <c r="I1125" i="2"/>
  <c r="J1125" i="2"/>
  <c r="K1125" i="2"/>
  <c r="O1125" i="2"/>
  <c r="R1125" i="2"/>
  <c r="S1125" i="2" s="1"/>
  <c r="I1126" i="2"/>
  <c r="J1126" i="2"/>
  <c r="K1126" i="2"/>
  <c r="O1126" i="2"/>
  <c r="R1126" i="2"/>
  <c r="S1126" i="2" s="1"/>
  <c r="I1127" i="2"/>
  <c r="J1127" i="2"/>
  <c r="K1127" i="2"/>
  <c r="O1127" i="2"/>
  <c r="R1127" i="2"/>
  <c r="S1127" i="2" s="1"/>
  <c r="I1128" i="2"/>
  <c r="J1128" i="2"/>
  <c r="K1128" i="2"/>
  <c r="O1128" i="2"/>
  <c r="R1128" i="2"/>
  <c r="S1128" i="2" s="1"/>
  <c r="I1129" i="2"/>
  <c r="J1129" i="2"/>
  <c r="K1129" i="2"/>
  <c r="O1129" i="2"/>
  <c r="R1129" i="2"/>
  <c r="S1129" i="2" s="1"/>
  <c r="I1130" i="2"/>
  <c r="J1130" i="2"/>
  <c r="K1130" i="2"/>
  <c r="O1130" i="2"/>
  <c r="R1130" i="2"/>
  <c r="S1130" i="2" s="1"/>
  <c r="I1131" i="2"/>
  <c r="J1131" i="2"/>
  <c r="K1131" i="2"/>
  <c r="O1131" i="2"/>
  <c r="R1131" i="2"/>
  <c r="S1131" i="2" s="1"/>
  <c r="I1132" i="2"/>
  <c r="J1132" i="2"/>
  <c r="K1132" i="2"/>
  <c r="O1132" i="2"/>
  <c r="R1132" i="2"/>
  <c r="S1132" i="2" s="1"/>
  <c r="I1133" i="2"/>
  <c r="J1133" i="2"/>
  <c r="K1133" i="2"/>
  <c r="O1133" i="2"/>
  <c r="R1133" i="2"/>
  <c r="S1133" i="2" s="1"/>
  <c r="I1134" i="2"/>
  <c r="J1134" i="2"/>
  <c r="K1134" i="2"/>
  <c r="O1134" i="2"/>
  <c r="R1134" i="2"/>
  <c r="S1134" i="2" s="1"/>
  <c r="I1135" i="2"/>
  <c r="J1135" i="2"/>
  <c r="K1135" i="2"/>
  <c r="O1135" i="2"/>
  <c r="R1135" i="2"/>
  <c r="S1135" i="2" s="1"/>
  <c r="I1136" i="2"/>
  <c r="J1136" i="2"/>
  <c r="K1136" i="2"/>
  <c r="O1136" i="2"/>
  <c r="R1136" i="2"/>
  <c r="S1136" i="2" s="1"/>
  <c r="I1137" i="2"/>
  <c r="J1137" i="2"/>
  <c r="K1137" i="2"/>
  <c r="O1137" i="2"/>
  <c r="R1137" i="2"/>
  <c r="S1137" i="2" s="1"/>
  <c r="I1138" i="2"/>
  <c r="J1138" i="2"/>
  <c r="K1138" i="2"/>
  <c r="O1138" i="2"/>
  <c r="R1138" i="2"/>
  <c r="S1138" i="2" s="1"/>
  <c r="I1139" i="2"/>
  <c r="J1139" i="2"/>
  <c r="K1139" i="2"/>
  <c r="O1139" i="2"/>
  <c r="R1139" i="2"/>
  <c r="S1139" i="2" s="1"/>
  <c r="I1140" i="2"/>
  <c r="J1140" i="2"/>
  <c r="K1140" i="2"/>
  <c r="O1140" i="2"/>
  <c r="R1140" i="2"/>
  <c r="S1140" i="2" s="1"/>
  <c r="I1141" i="2"/>
  <c r="J1141" i="2"/>
  <c r="K1141" i="2"/>
  <c r="O1141" i="2"/>
  <c r="R1141" i="2"/>
  <c r="S1141" i="2" s="1"/>
  <c r="I1142" i="2"/>
  <c r="J1142" i="2"/>
  <c r="K1142" i="2"/>
  <c r="O1142" i="2"/>
  <c r="R1142" i="2"/>
  <c r="S1142" i="2" s="1"/>
  <c r="I1143" i="2"/>
  <c r="J1143" i="2"/>
  <c r="K1143" i="2"/>
  <c r="O1143" i="2"/>
  <c r="R1143" i="2"/>
  <c r="S1143" i="2" s="1"/>
  <c r="I1144" i="2"/>
  <c r="J1144" i="2"/>
  <c r="K1144" i="2"/>
  <c r="O1144" i="2"/>
  <c r="R1144" i="2"/>
  <c r="S1144" i="2" s="1"/>
  <c r="I1145" i="2"/>
  <c r="J1145" i="2"/>
  <c r="K1145" i="2"/>
  <c r="O1145" i="2"/>
  <c r="R1145" i="2"/>
  <c r="S1145" i="2" s="1"/>
  <c r="I1146" i="2"/>
  <c r="J1146" i="2"/>
  <c r="K1146" i="2"/>
  <c r="O1146" i="2"/>
  <c r="R1146" i="2"/>
  <c r="S1146" i="2" s="1"/>
  <c r="I1147" i="2"/>
  <c r="J1147" i="2"/>
  <c r="K1147" i="2"/>
  <c r="O1147" i="2"/>
  <c r="R1147" i="2"/>
  <c r="S1147" i="2" s="1"/>
  <c r="I1148" i="2"/>
  <c r="J1148" i="2"/>
  <c r="K1148" i="2"/>
  <c r="O1148" i="2"/>
  <c r="R1148" i="2"/>
  <c r="S1148" i="2" s="1"/>
  <c r="I1149" i="2"/>
  <c r="J1149" i="2"/>
  <c r="K1149" i="2"/>
  <c r="O1149" i="2"/>
  <c r="R1149" i="2"/>
  <c r="S1149" i="2" s="1"/>
  <c r="I1150" i="2"/>
  <c r="J1150" i="2"/>
  <c r="K1150" i="2"/>
  <c r="O1150" i="2"/>
  <c r="R1150" i="2"/>
  <c r="S1150" i="2" s="1"/>
  <c r="I1151" i="2"/>
  <c r="J1151" i="2"/>
  <c r="K1151" i="2"/>
  <c r="O1151" i="2"/>
  <c r="R1151" i="2"/>
  <c r="S1151" i="2" s="1"/>
  <c r="I1152" i="2"/>
  <c r="J1152" i="2"/>
  <c r="K1152" i="2"/>
  <c r="O1152" i="2"/>
  <c r="R1152" i="2"/>
  <c r="S1152" i="2" s="1"/>
  <c r="I1153" i="2"/>
  <c r="J1153" i="2"/>
  <c r="K1153" i="2"/>
  <c r="O1153" i="2"/>
  <c r="R1153" i="2"/>
  <c r="S1153" i="2" s="1"/>
  <c r="I1154" i="2"/>
  <c r="J1154" i="2"/>
  <c r="K1154" i="2"/>
  <c r="O1154" i="2"/>
  <c r="R1154" i="2"/>
  <c r="S1154" i="2" s="1"/>
  <c r="I1155" i="2"/>
  <c r="J1155" i="2"/>
  <c r="K1155" i="2"/>
  <c r="O1155" i="2"/>
  <c r="R1155" i="2"/>
  <c r="S1155" i="2" s="1"/>
  <c r="I1156" i="2"/>
  <c r="J1156" i="2"/>
  <c r="K1156" i="2"/>
  <c r="O1156" i="2"/>
  <c r="R1156" i="2"/>
  <c r="S1156" i="2" s="1"/>
  <c r="I1157" i="2"/>
  <c r="J1157" i="2"/>
  <c r="K1157" i="2"/>
  <c r="O1157" i="2"/>
  <c r="R1157" i="2"/>
  <c r="S1157" i="2" s="1"/>
  <c r="I1158" i="2"/>
  <c r="J1158" i="2"/>
  <c r="K1158" i="2"/>
  <c r="O1158" i="2"/>
  <c r="R1158" i="2"/>
  <c r="S1158" i="2" s="1"/>
  <c r="I1159" i="2"/>
  <c r="J1159" i="2"/>
  <c r="K1159" i="2"/>
  <c r="O1159" i="2"/>
  <c r="R1159" i="2"/>
  <c r="S1159" i="2" s="1"/>
  <c r="I1160" i="2"/>
  <c r="J1160" i="2"/>
  <c r="K1160" i="2"/>
  <c r="O1160" i="2"/>
  <c r="R1160" i="2"/>
  <c r="S1160" i="2" s="1"/>
  <c r="I1161" i="2"/>
  <c r="J1161" i="2"/>
  <c r="K1161" i="2"/>
  <c r="O1161" i="2"/>
  <c r="R1161" i="2"/>
  <c r="S1161" i="2" s="1"/>
  <c r="I1162" i="2"/>
  <c r="J1162" i="2"/>
  <c r="K1162" i="2"/>
  <c r="O1162" i="2"/>
  <c r="R1162" i="2"/>
  <c r="S1162" i="2" s="1"/>
  <c r="I1163" i="2"/>
  <c r="J1163" i="2"/>
  <c r="K1163" i="2"/>
  <c r="O1163" i="2"/>
  <c r="R1163" i="2"/>
  <c r="S1163" i="2" s="1"/>
  <c r="I1164" i="2"/>
  <c r="J1164" i="2"/>
  <c r="K1164" i="2"/>
  <c r="O1164" i="2"/>
  <c r="R1164" i="2"/>
  <c r="S1164" i="2" s="1"/>
  <c r="I1165" i="2"/>
  <c r="J1165" i="2"/>
  <c r="K1165" i="2"/>
  <c r="O1165" i="2"/>
  <c r="R1165" i="2"/>
  <c r="S1165" i="2" s="1"/>
  <c r="I1166" i="2"/>
  <c r="J1166" i="2"/>
  <c r="K1166" i="2"/>
  <c r="O1166" i="2"/>
  <c r="R1166" i="2"/>
  <c r="S1166" i="2" s="1"/>
  <c r="I1167" i="2"/>
  <c r="J1167" i="2"/>
  <c r="K1167" i="2"/>
  <c r="O1167" i="2"/>
  <c r="R1167" i="2"/>
  <c r="S1167" i="2" s="1"/>
  <c r="I1168" i="2"/>
  <c r="J1168" i="2"/>
  <c r="K1168" i="2"/>
  <c r="O1168" i="2"/>
  <c r="R1168" i="2"/>
  <c r="S1168" i="2" s="1"/>
  <c r="I1169" i="2"/>
  <c r="J1169" i="2"/>
  <c r="K1169" i="2"/>
  <c r="O1169" i="2"/>
  <c r="R1169" i="2"/>
  <c r="S1169" i="2" s="1"/>
  <c r="I1170" i="2"/>
  <c r="J1170" i="2"/>
  <c r="K1170" i="2"/>
  <c r="O1170" i="2"/>
  <c r="R1170" i="2"/>
  <c r="S1170" i="2" s="1"/>
  <c r="I1171" i="2"/>
  <c r="J1171" i="2"/>
  <c r="K1171" i="2"/>
  <c r="O1171" i="2"/>
  <c r="R1171" i="2"/>
  <c r="S1171" i="2" s="1"/>
  <c r="I1172" i="2"/>
  <c r="J1172" i="2"/>
  <c r="K1172" i="2"/>
  <c r="O1172" i="2"/>
  <c r="R1172" i="2"/>
  <c r="S1172" i="2" s="1"/>
  <c r="I1173" i="2"/>
  <c r="J1173" i="2"/>
  <c r="K1173" i="2"/>
  <c r="O1173" i="2"/>
  <c r="R1173" i="2"/>
  <c r="S1173" i="2" s="1"/>
  <c r="I1174" i="2"/>
  <c r="J1174" i="2"/>
  <c r="K1174" i="2"/>
  <c r="O1174" i="2"/>
  <c r="R1174" i="2"/>
  <c r="S1174" i="2" s="1"/>
  <c r="I1175" i="2"/>
  <c r="J1175" i="2"/>
  <c r="K1175" i="2"/>
  <c r="O1175" i="2"/>
  <c r="R1175" i="2"/>
  <c r="S1175" i="2" s="1"/>
  <c r="I1176" i="2"/>
  <c r="J1176" i="2"/>
  <c r="K1176" i="2"/>
  <c r="O1176" i="2"/>
  <c r="R1176" i="2"/>
  <c r="S1176" i="2" s="1"/>
  <c r="I1177" i="2"/>
  <c r="J1177" i="2"/>
  <c r="K1177" i="2"/>
  <c r="O1177" i="2"/>
  <c r="R1177" i="2"/>
  <c r="S1177" i="2" s="1"/>
  <c r="I1178" i="2"/>
  <c r="J1178" i="2"/>
  <c r="K1178" i="2"/>
  <c r="O1178" i="2"/>
  <c r="R1178" i="2"/>
  <c r="S1178" i="2" s="1"/>
  <c r="I1179" i="2"/>
  <c r="J1179" i="2"/>
  <c r="K1179" i="2"/>
  <c r="O1179" i="2"/>
  <c r="R1179" i="2"/>
  <c r="S1179" i="2" s="1"/>
  <c r="I1180" i="2"/>
  <c r="J1180" i="2"/>
  <c r="K1180" i="2"/>
  <c r="O1180" i="2"/>
  <c r="R1180" i="2"/>
  <c r="S1180" i="2" s="1"/>
  <c r="I1181" i="2"/>
  <c r="J1181" i="2"/>
  <c r="K1181" i="2"/>
  <c r="O1181" i="2"/>
  <c r="R1181" i="2"/>
  <c r="S1181" i="2" s="1"/>
  <c r="I1182" i="2"/>
  <c r="J1182" i="2"/>
  <c r="K1182" i="2"/>
  <c r="O1182" i="2"/>
  <c r="R1182" i="2"/>
  <c r="S1182" i="2" s="1"/>
  <c r="I1183" i="2"/>
  <c r="J1183" i="2"/>
  <c r="K1183" i="2"/>
  <c r="O1183" i="2"/>
  <c r="R1183" i="2"/>
  <c r="S1183" i="2" s="1"/>
  <c r="I1184" i="2"/>
  <c r="J1184" i="2"/>
  <c r="K1184" i="2"/>
  <c r="O1184" i="2"/>
  <c r="R1184" i="2"/>
  <c r="S1184" i="2" s="1"/>
  <c r="I1185" i="2"/>
  <c r="J1185" i="2"/>
  <c r="K1185" i="2"/>
  <c r="O1185" i="2"/>
  <c r="R1185" i="2"/>
  <c r="S1185" i="2" s="1"/>
  <c r="I1186" i="2"/>
  <c r="J1186" i="2"/>
  <c r="K1186" i="2"/>
  <c r="O1186" i="2"/>
  <c r="R1186" i="2"/>
  <c r="S1186" i="2" s="1"/>
  <c r="I1187" i="2"/>
  <c r="J1187" i="2"/>
  <c r="K1187" i="2"/>
  <c r="O1187" i="2"/>
  <c r="R1187" i="2"/>
  <c r="S1187" i="2" s="1"/>
  <c r="I1188" i="2"/>
  <c r="J1188" i="2"/>
  <c r="K1188" i="2"/>
  <c r="O1188" i="2"/>
  <c r="R1188" i="2"/>
  <c r="S1188" i="2" s="1"/>
  <c r="I1189" i="2"/>
  <c r="J1189" i="2"/>
  <c r="K1189" i="2"/>
  <c r="O1189" i="2"/>
  <c r="R1189" i="2"/>
  <c r="S1189" i="2" s="1"/>
  <c r="I1190" i="2"/>
  <c r="J1190" i="2"/>
  <c r="K1190" i="2"/>
  <c r="O1190" i="2"/>
  <c r="R1190" i="2"/>
  <c r="S1190" i="2" s="1"/>
  <c r="I1191" i="2"/>
  <c r="J1191" i="2"/>
  <c r="K1191" i="2"/>
  <c r="O1191" i="2"/>
  <c r="R1191" i="2"/>
  <c r="S1191" i="2" s="1"/>
  <c r="I1192" i="2"/>
  <c r="J1192" i="2"/>
  <c r="K1192" i="2"/>
  <c r="O1192" i="2"/>
  <c r="R1192" i="2"/>
  <c r="S1192" i="2" s="1"/>
  <c r="I1193" i="2"/>
  <c r="J1193" i="2"/>
  <c r="K1193" i="2"/>
  <c r="O1193" i="2"/>
  <c r="R1193" i="2"/>
  <c r="S1193" i="2" s="1"/>
  <c r="I1194" i="2"/>
  <c r="J1194" i="2"/>
  <c r="K1194" i="2"/>
  <c r="O1194" i="2"/>
  <c r="R1194" i="2"/>
  <c r="S1194" i="2" s="1"/>
  <c r="I1195" i="2"/>
  <c r="J1195" i="2"/>
  <c r="K1195" i="2"/>
  <c r="O1195" i="2"/>
  <c r="R1195" i="2"/>
  <c r="S1195" i="2" s="1"/>
  <c r="I1196" i="2"/>
  <c r="J1196" i="2"/>
  <c r="K1196" i="2"/>
  <c r="O1196" i="2"/>
  <c r="R1196" i="2"/>
  <c r="S1196" i="2" s="1"/>
  <c r="I1197" i="2"/>
  <c r="J1197" i="2"/>
  <c r="K1197" i="2"/>
  <c r="O1197" i="2"/>
  <c r="R1197" i="2"/>
  <c r="S1197" i="2" s="1"/>
  <c r="I1198" i="2"/>
  <c r="J1198" i="2"/>
  <c r="K1198" i="2"/>
  <c r="O1198" i="2"/>
  <c r="R1198" i="2"/>
  <c r="S1198" i="2" s="1"/>
  <c r="I1199" i="2"/>
  <c r="J1199" i="2"/>
  <c r="K1199" i="2"/>
  <c r="O1199" i="2"/>
  <c r="R1199" i="2"/>
  <c r="S1199" i="2" s="1"/>
  <c r="I1200" i="2"/>
  <c r="J1200" i="2"/>
  <c r="K1200" i="2"/>
  <c r="O1200" i="2"/>
  <c r="R1200" i="2"/>
  <c r="S1200" i="2" s="1"/>
  <c r="I1201" i="2"/>
  <c r="J1201" i="2"/>
  <c r="K1201" i="2"/>
  <c r="O1201" i="2"/>
  <c r="R1201" i="2"/>
  <c r="S1201" i="2" s="1"/>
  <c r="I1202" i="2"/>
  <c r="J1202" i="2"/>
  <c r="K1202" i="2"/>
  <c r="O1202" i="2"/>
  <c r="R1202" i="2"/>
  <c r="S1202" i="2" s="1"/>
  <c r="I1203" i="2"/>
  <c r="J1203" i="2"/>
  <c r="K1203" i="2"/>
  <c r="O1203" i="2"/>
  <c r="R1203" i="2"/>
  <c r="S1203" i="2" s="1"/>
  <c r="I1204" i="2"/>
  <c r="J1204" i="2"/>
  <c r="K1204" i="2"/>
  <c r="O1204" i="2"/>
  <c r="R1204" i="2"/>
  <c r="S1204" i="2" s="1"/>
  <c r="I1205" i="2"/>
  <c r="J1205" i="2"/>
  <c r="K1205" i="2"/>
  <c r="O1205" i="2"/>
  <c r="R1205" i="2"/>
  <c r="S1205" i="2" s="1"/>
  <c r="I1206" i="2"/>
  <c r="J1206" i="2"/>
  <c r="K1206" i="2"/>
  <c r="O1206" i="2"/>
  <c r="R1206" i="2"/>
  <c r="S1206" i="2" s="1"/>
  <c r="I1207" i="2"/>
  <c r="J1207" i="2"/>
  <c r="K1207" i="2"/>
  <c r="O1207" i="2"/>
  <c r="R1207" i="2"/>
  <c r="S1207" i="2" s="1"/>
  <c r="I1208" i="2"/>
  <c r="J1208" i="2"/>
  <c r="K1208" i="2"/>
  <c r="O1208" i="2"/>
  <c r="R1208" i="2"/>
  <c r="S1208" i="2" s="1"/>
  <c r="I1209" i="2"/>
  <c r="J1209" i="2"/>
  <c r="K1209" i="2"/>
  <c r="O1209" i="2"/>
  <c r="R1209" i="2"/>
  <c r="S1209" i="2" s="1"/>
  <c r="I1210" i="2"/>
  <c r="J1210" i="2"/>
  <c r="K1210" i="2"/>
  <c r="O1210" i="2"/>
  <c r="R1210" i="2"/>
  <c r="S1210" i="2" s="1"/>
  <c r="I1211" i="2"/>
  <c r="J1211" i="2"/>
  <c r="K1211" i="2"/>
  <c r="O1211" i="2"/>
  <c r="R1211" i="2"/>
  <c r="S1211" i="2" s="1"/>
  <c r="I1212" i="2"/>
  <c r="J1212" i="2"/>
  <c r="K1212" i="2"/>
  <c r="O1212" i="2"/>
  <c r="R1212" i="2"/>
  <c r="S1212" i="2" s="1"/>
  <c r="I1213" i="2"/>
  <c r="J1213" i="2"/>
  <c r="K1213" i="2"/>
  <c r="O1213" i="2"/>
  <c r="R1213" i="2"/>
  <c r="S1213" i="2" s="1"/>
  <c r="I1214" i="2"/>
  <c r="J1214" i="2"/>
  <c r="K1214" i="2"/>
  <c r="O1214" i="2"/>
  <c r="R1214" i="2"/>
  <c r="S1214" i="2" s="1"/>
  <c r="I1215" i="2"/>
  <c r="J1215" i="2"/>
  <c r="K1215" i="2"/>
  <c r="O1215" i="2"/>
  <c r="R1215" i="2"/>
  <c r="S1215" i="2" s="1"/>
  <c r="I1216" i="2"/>
  <c r="J1216" i="2"/>
  <c r="K1216" i="2"/>
  <c r="O1216" i="2"/>
  <c r="R1216" i="2"/>
  <c r="S1216" i="2" s="1"/>
  <c r="I1217" i="2"/>
  <c r="J1217" i="2"/>
  <c r="K1217" i="2"/>
  <c r="O1217" i="2"/>
  <c r="R1217" i="2"/>
  <c r="S1217" i="2" s="1"/>
  <c r="I1218" i="2"/>
  <c r="J1218" i="2"/>
  <c r="K1218" i="2"/>
  <c r="O1218" i="2"/>
  <c r="R1218" i="2"/>
  <c r="S1218" i="2" s="1"/>
  <c r="I1219" i="2"/>
  <c r="J1219" i="2"/>
  <c r="K1219" i="2"/>
  <c r="O1219" i="2"/>
  <c r="R1219" i="2"/>
  <c r="S1219" i="2" s="1"/>
  <c r="I1220" i="2"/>
  <c r="J1220" i="2"/>
  <c r="K1220" i="2"/>
  <c r="O1220" i="2"/>
  <c r="R1220" i="2"/>
  <c r="S1220" i="2" s="1"/>
  <c r="I1221" i="2"/>
  <c r="J1221" i="2"/>
  <c r="K1221" i="2"/>
  <c r="O1221" i="2"/>
  <c r="R1221" i="2"/>
  <c r="S1221" i="2" s="1"/>
  <c r="I1222" i="2"/>
  <c r="J1222" i="2"/>
  <c r="K1222" i="2"/>
  <c r="O1222" i="2"/>
  <c r="R1222" i="2"/>
  <c r="S1222" i="2" s="1"/>
  <c r="I1223" i="2"/>
  <c r="J1223" i="2"/>
  <c r="K1223" i="2"/>
  <c r="O1223" i="2"/>
  <c r="R1223" i="2"/>
  <c r="S1223" i="2" s="1"/>
  <c r="I1224" i="2"/>
  <c r="J1224" i="2"/>
  <c r="K1224" i="2"/>
  <c r="O1224" i="2"/>
  <c r="R1224" i="2"/>
  <c r="S1224" i="2" s="1"/>
  <c r="I1225" i="2"/>
  <c r="J1225" i="2"/>
  <c r="K1225" i="2"/>
  <c r="O1225" i="2"/>
  <c r="R1225" i="2"/>
  <c r="S1225" i="2" s="1"/>
  <c r="I1226" i="2"/>
  <c r="J1226" i="2"/>
  <c r="K1226" i="2"/>
  <c r="O1226" i="2"/>
  <c r="R1226" i="2"/>
  <c r="S1226" i="2" s="1"/>
  <c r="I1227" i="2"/>
  <c r="J1227" i="2"/>
  <c r="K1227" i="2"/>
  <c r="O1227" i="2"/>
  <c r="R1227" i="2"/>
  <c r="S1227" i="2" s="1"/>
  <c r="I1228" i="2"/>
  <c r="J1228" i="2"/>
  <c r="K1228" i="2"/>
  <c r="O1228" i="2"/>
  <c r="R1228" i="2"/>
  <c r="S1228" i="2" s="1"/>
  <c r="I1229" i="2"/>
  <c r="J1229" i="2"/>
  <c r="K1229" i="2"/>
  <c r="O1229" i="2"/>
  <c r="R1229" i="2"/>
  <c r="S1229" i="2" s="1"/>
  <c r="I1230" i="2"/>
  <c r="J1230" i="2"/>
  <c r="K1230" i="2"/>
  <c r="O1230" i="2"/>
  <c r="R1230" i="2"/>
  <c r="S1230" i="2" s="1"/>
  <c r="I1231" i="2"/>
  <c r="J1231" i="2"/>
  <c r="K1231" i="2"/>
  <c r="O1231" i="2"/>
  <c r="R1231" i="2"/>
  <c r="S1231" i="2" s="1"/>
  <c r="I1232" i="2"/>
  <c r="J1232" i="2"/>
  <c r="K1232" i="2"/>
  <c r="O1232" i="2"/>
  <c r="R1232" i="2"/>
  <c r="S1232" i="2" s="1"/>
  <c r="I1233" i="2"/>
  <c r="J1233" i="2"/>
  <c r="K1233" i="2"/>
  <c r="O1233" i="2"/>
  <c r="R1233" i="2"/>
  <c r="S1233" i="2" s="1"/>
  <c r="I1234" i="2"/>
  <c r="J1234" i="2"/>
  <c r="K1234" i="2"/>
  <c r="O1234" i="2"/>
  <c r="R1234" i="2"/>
  <c r="S1234" i="2" s="1"/>
  <c r="I1235" i="2"/>
  <c r="J1235" i="2"/>
  <c r="K1235" i="2"/>
  <c r="O1235" i="2"/>
  <c r="R1235" i="2"/>
  <c r="S1235" i="2" s="1"/>
  <c r="I1236" i="2"/>
  <c r="J1236" i="2"/>
  <c r="K1236" i="2"/>
  <c r="O1236" i="2"/>
  <c r="R1236" i="2"/>
  <c r="S1236" i="2" s="1"/>
  <c r="I1237" i="2"/>
  <c r="J1237" i="2"/>
  <c r="K1237" i="2"/>
  <c r="O1237" i="2"/>
  <c r="R1237" i="2"/>
  <c r="S1237" i="2" s="1"/>
  <c r="I1238" i="2"/>
  <c r="J1238" i="2"/>
  <c r="K1238" i="2"/>
  <c r="O1238" i="2"/>
  <c r="R1238" i="2"/>
  <c r="S1238" i="2" s="1"/>
  <c r="I1239" i="2"/>
  <c r="J1239" i="2"/>
  <c r="K1239" i="2"/>
  <c r="O1239" i="2"/>
  <c r="R1239" i="2"/>
  <c r="S1239" i="2" s="1"/>
  <c r="I1240" i="2"/>
  <c r="J1240" i="2"/>
  <c r="K1240" i="2"/>
  <c r="O1240" i="2"/>
  <c r="R1240" i="2"/>
  <c r="S1240" i="2" s="1"/>
  <c r="I1241" i="2"/>
  <c r="J1241" i="2"/>
  <c r="K1241" i="2"/>
  <c r="O1241" i="2"/>
  <c r="R1241" i="2"/>
  <c r="S1241" i="2" s="1"/>
  <c r="I1242" i="2"/>
  <c r="J1242" i="2"/>
  <c r="K1242" i="2"/>
  <c r="O1242" i="2"/>
  <c r="R1242" i="2"/>
  <c r="S1242" i="2" s="1"/>
  <c r="I1243" i="2"/>
  <c r="J1243" i="2"/>
  <c r="K1243" i="2"/>
  <c r="O1243" i="2"/>
  <c r="R1243" i="2"/>
  <c r="S1243" i="2" s="1"/>
  <c r="I1244" i="2"/>
  <c r="J1244" i="2"/>
  <c r="K1244" i="2"/>
  <c r="O1244" i="2"/>
  <c r="R1244" i="2"/>
  <c r="S1244" i="2" s="1"/>
  <c r="I1245" i="2"/>
  <c r="J1245" i="2"/>
  <c r="K1245" i="2"/>
  <c r="O1245" i="2"/>
  <c r="R1245" i="2"/>
  <c r="S1245" i="2" s="1"/>
  <c r="I1246" i="2"/>
  <c r="J1246" i="2"/>
  <c r="K1246" i="2"/>
  <c r="O1246" i="2"/>
  <c r="R1246" i="2"/>
  <c r="S1246" i="2" s="1"/>
  <c r="I1247" i="2"/>
  <c r="J1247" i="2"/>
  <c r="K1247" i="2"/>
  <c r="O1247" i="2"/>
  <c r="R1247" i="2"/>
  <c r="S1247" i="2" s="1"/>
  <c r="I1248" i="2"/>
  <c r="J1248" i="2"/>
  <c r="K1248" i="2"/>
  <c r="O1248" i="2"/>
  <c r="R1248" i="2"/>
  <c r="S1248" i="2" s="1"/>
  <c r="I1249" i="2"/>
  <c r="J1249" i="2"/>
  <c r="K1249" i="2"/>
  <c r="O1249" i="2"/>
  <c r="R1249" i="2"/>
  <c r="S1249" i="2" s="1"/>
  <c r="I1250" i="2"/>
  <c r="J1250" i="2"/>
  <c r="K1250" i="2"/>
  <c r="O1250" i="2"/>
  <c r="R1250" i="2"/>
  <c r="S1250" i="2" s="1"/>
  <c r="I1251" i="2"/>
  <c r="J1251" i="2"/>
  <c r="K1251" i="2"/>
  <c r="O1251" i="2"/>
  <c r="R1251" i="2"/>
  <c r="S1251" i="2" s="1"/>
  <c r="I1252" i="2"/>
  <c r="J1252" i="2"/>
  <c r="K1252" i="2"/>
  <c r="O1252" i="2"/>
  <c r="R1252" i="2"/>
  <c r="S1252" i="2" s="1"/>
  <c r="I1253" i="2"/>
  <c r="J1253" i="2"/>
  <c r="K1253" i="2"/>
  <c r="O1253" i="2"/>
  <c r="R1253" i="2"/>
  <c r="S1253" i="2" s="1"/>
  <c r="I1254" i="2"/>
  <c r="J1254" i="2"/>
  <c r="K1254" i="2"/>
  <c r="O1254" i="2"/>
  <c r="R1254" i="2"/>
  <c r="S1254" i="2" s="1"/>
  <c r="I1255" i="2"/>
  <c r="J1255" i="2"/>
  <c r="K1255" i="2"/>
  <c r="O1255" i="2"/>
  <c r="R1255" i="2"/>
  <c r="S1255" i="2" s="1"/>
  <c r="I1256" i="2"/>
  <c r="J1256" i="2"/>
  <c r="K1256" i="2"/>
  <c r="O1256" i="2"/>
  <c r="R1256" i="2"/>
  <c r="S1256" i="2" s="1"/>
  <c r="I1257" i="2"/>
  <c r="J1257" i="2"/>
  <c r="K1257" i="2"/>
  <c r="O1257" i="2"/>
  <c r="R1257" i="2"/>
  <c r="S1257" i="2" s="1"/>
  <c r="I1258" i="2"/>
  <c r="J1258" i="2"/>
  <c r="K1258" i="2"/>
  <c r="O1258" i="2"/>
  <c r="R1258" i="2"/>
  <c r="S1258" i="2" s="1"/>
  <c r="I1259" i="2"/>
  <c r="J1259" i="2"/>
  <c r="K1259" i="2"/>
  <c r="O1259" i="2"/>
  <c r="R1259" i="2"/>
  <c r="S1259" i="2" s="1"/>
  <c r="I1260" i="2"/>
  <c r="J1260" i="2"/>
  <c r="K1260" i="2"/>
  <c r="O1260" i="2"/>
  <c r="R1260" i="2"/>
  <c r="S1260" i="2" s="1"/>
  <c r="I1261" i="2"/>
  <c r="J1261" i="2"/>
  <c r="K1261" i="2"/>
  <c r="O1261" i="2"/>
  <c r="R1261" i="2"/>
  <c r="S1261" i="2" s="1"/>
  <c r="I1262" i="2"/>
  <c r="J1262" i="2"/>
  <c r="K1262" i="2"/>
  <c r="O1262" i="2"/>
  <c r="R1262" i="2"/>
  <c r="S1262" i="2" s="1"/>
  <c r="I1263" i="2"/>
  <c r="J1263" i="2"/>
  <c r="K1263" i="2"/>
  <c r="O1263" i="2"/>
  <c r="R1263" i="2"/>
  <c r="S1263" i="2" s="1"/>
  <c r="I1264" i="2"/>
  <c r="J1264" i="2"/>
  <c r="K1264" i="2"/>
  <c r="O1264" i="2"/>
  <c r="R1264" i="2"/>
  <c r="S1264" i="2" s="1"/>
  <c r="I1265" i="2"/>
  <c r="J1265" i="2"/>
  <c r="K1265" i="2"/>
  <c r="O1265" i="2"/>
  <c r="R1265" i="2"/>
  <c r="S1265" i="2" s="1"/>
  <c r="I1266" i="2"/>
  <c r="J1266" i="2"/>
  <c r="K1266" i="2"/>
  <c r="O1266" i="2"/>
  <c r="R1266" i="2"/>
  <c r="S1266" i="2" s="1"/>
  <c r="I1267" i="2"/>
  <c r="J1267" i="2"/>
  <c r="K1267" i="2"/>
  <c r="O1267" i="2"/>
  <c r="R1267" i="2"/>
  <c r="S1267" i="2" s="1"/>
  <c r="I1268" i="2"/>
  <c r="J1268" i="2"/>
  <c r="K1268" i="2"/>
  <c r="O1268" i="2"/>
  <c r="R1268" i="2"/>
  <c r="S1268" i="2" s="1"/>
  <c r="I1269" i="2"/>
  <c r="J1269" i="2"/>
  <c r="K1269" i="2"/>
  <c r="O1269" i="2"/>
  <c r="R1269" i="2"/>
  <c r="S1269" i="2" s="1"/>
  <c r="I1270" i="2"/>
  <c r="J1270" i="2"/>
  <c r="K1270" i="2"/>
  <c r="O1270" i="2"/>
  <c r="R1270" i="2"/>
  <c r="S1270" i="2" s="1"/>
  <c r="I1271" i="2"/>
  <c r="J1271" i="2"/>
  <c r="K1271" i="2"/>
  <c r="O1271" i="2"/>
  <c r="R1271" i="2"/>
  <c r="S1271" i="2" s="1"/>
  <c r="I1272" i="2"/>
  <c r="J1272" i="2"/>
  <c r="K1272" i="2"/>
  <c r="O1272" i="2"/>
  <c r="R1272" i="2"/>
  <c r="S1272" i="2" s="1"/>
  <c r="I1273" i="2"/>
  <c r="J1273" i="2"/>
  <c r="K1273" i="2"/>
  <c r="O1273" i="2"/>
  <c r="R1273" i="2"/>
  <c r="S1273" i="2" s="1"/>
  <c r="I1274" i="2"/>
  <c r="J1274" i="2"/>
  <c r="K1274" i="2"/>
  <c r="O1274" i="2"/>
  <c r="R1274" i="2"/>
  <c r="S1274" i="2" s="1"/>
  <c r="I1275" i="2"/>
  <c r="J1275" i="2"/>
  <c r="K1275" i="2"/>
  <c r="O1275" i="2"/>
  <c r="R1275" i="2"/>
  <c r="S1275" i="2" s="1"/>
  <c r="I1276" i="2"/>
  <c r="J1276" i="2"/>
  <c r="K1276" i="2"/>
  <c r="O1276" i="2"/>
  <c r="R1276" i="2"/>
  <c r="S1276" i="2" s="1"/>
  <c r="I1277" i="2"/>
  <c r="J1277" i="2"/>
  <c r="K1277" i="2"/>
  <c r="O1277" i="2"/>
  <c r="R1277" i="2"/>
  <c r="S1277" i="2" s="1"/>
  <c r="I1278" i="2"/>
  <c r="J1278" i="2"/>
  <c r="K1278" i="2"/>
  <c r="O1278" i="2"/>
  <c r="R1278" i="2"/>
  <c r="S1278" i="2" s="1"/>
  <c r="I1279" i="2"/>
  <c r="J1279" i="2"/>
  <c r="K1279" i="2"/>
  <c r="O1279" i="2"/>
  <c r="R1279" i="2"/>
  <c r="S1279" i="2" s="1"/>
  <c r="I1280" i="2"/>
  <c r="J1280" i="2"/>
  <c r="K1280" i="2"/>
  <c r="O1280" i="2"/>
  <c r="R1280" i="2"/>
  <c r="S1280" i="2" s="1"/>
  <c r="I1281" i="2"/>
  <c r="J1281" i="2"/>
  <c r="K1281" i="2"/>
  <c r="O1281" i="2"/>
  <c r="R1281" i="2"/>
  <c r="S1281" i="2" s="1"/>
  <c r="I1282" i="2"/>
  <c r="J1282" i="2"/>
  <c r="K1282" i="2"/>
  <c r="O1282" i="2"/>
  <c r="R1282" i="2"/>
  <c r="S1282" i="2" s="1"/>
  <c r="I1283" i="2"/>
  <c r="J1283" i="2"/>
  <c r="K1283" i="2"/>
  <c r="O1283" i="2"/>
  <c r="R1283" i="2"/>
  <c r="S1283" i="2" s="1"/>
  <c r="I1284" i="2"/>
  <c r="J1284" i="2"/>
  <c r="K1284" i="2"/>
  <c r="O1284" i="2"/>
  <c r="R1284" i="2"/>
  <c r="S1284" i="2" s="1"/>
  <c r="I1285" i="2"/>
  <c r="J1285" i="2"/>
  <c r="K1285" i="2"/>
  <c r="O1285" i="2"/>
  <c r="R1285" i="2"/>
  <c r="S1285" i="2" s="1"/>
  <c r="I1286" i="2"/>
  <c r="J1286" i="2"/>
  <c r="K1286" i="2"/>
  <c r="O1286" i="2"/>
  <c r="R1286" i="2"/>
  <c r="S1286" i="2" s="1"/>
  <c r="I1287" i="2"/>
  <c r="J1287" i="2"/>
  <c r="K1287" i="2"/>
  <c r="O1287" i="2"/>
  <c r="R1287" i="2"/>
  <c r="S1287" i="2" s="1"/>
  <c r="I1288" i="2"/>
  <c r="J1288" i="2"/>
  <c r="K1288" i="2"/>
  <c r="O1288" i="2"/>
  <c r="R1288" i="2"/>
  <c r="S1288" i="2" s="1"/>
  <c r="I1289" i="2"/>
  <c r="J1289" i="2"/>
  <c r="K1289" i="2"/>
  <c r="O1289" i="2"/>
  <c r="R1289" i="2"/>
  <c r="S1289" i="2" s="1"/>
  <c r="I1290" i="2"/>
  <c r="J1290" i="2"/>
  <c r="K1290" i="2"/>
  <c r="O1290" i="2"/>
  <c r="R1290" i="2"/>
  <c r="S1290" i="2" s="1"/>
  <c r="I1291" i="2"/>
  <c r="J1291" i="2"/>
  <c r="K1291" i="2"/>
  <c r="O1291" i="2"/>
  <c r="R1291" i="2"/>
  <c r="S1291" i="2" s="1"/>
  <c r="I1292" i="2"/>
  <c r="J1292" i="2"/>
  <c r="K1292" i="2"/>
  <c r="O1292" i="2"/>
  <c r="R1292" i="2"/>
  <c r="S1292" i="2" s="1"/>
  <c r="I1293" i="2"/>
  <c r="J1293" i="2"/>
  <c r="K1293" i="2"/>
  <c r="O1293" i="2"/>
  <c r="R1293" i="2"/>
  <c r="S1293" i="2" s="1"/>
  <c r="I1294" i="2"/>
  <c r="J1294" i="2"/>
  <c r="K1294" i="2"/>
  <c r="O1294" i="2"/>
  <c r="R1294" i="2"/>
  <c r="S1294" i="2" s="1"/>
  <c r="I1295" i="2"/>
  <c r="J1295" i="2"/>
  <c r="K1295" i="2"/>
  <c r="O1295" i="2"/>
  <c r="R1295" i="2"/>
  <c r="S1295" i="2" s="1"/>
  <c r="I1296" i="2"/>
  <c r="J1296" i="2"/>
  <c r="K1296" i="2"/>
  <c r="O1296" i="2"/>
  <c r="R1296" i="2"/>
  <c r="S1296" i="2" s="1"/>
  <c r="I1297" i="2"/>
  <c r="J1297" i="2"/>
  <c r="K1297" i="2"/>
  <c r="O1297" i="2"/>
  <c r="R1297" i="2"/>
  <c r="S1297" i="2" s="1"/>
  <c r="I1298" i="2"/>
  <c r="J1298" i="2"/>
  <c r="K1298" i="2"/>
  <c r="O1298" i="2"/>
  <c r="R1298" i="2"/>
  <c r="S1298" i="2" s="1"/>
  <c r="I1299" i="2"/>
  <c r="J1299" i="2"/>
  <c r="K1299" i="2"/>
  <c r="O1299" i="2"/>
  <c r="R1299" i="2"/>
  <c r="S1299" i="2" s="1"/>
  <c r="I1300" i="2"/>
  <c r="J1300" i="2"/>
  <c r="K1300" i="2"/>
  <c r="O1300" i="2"/>
  <c r="R1300" i="2"/>
  <c r="S1300" i="2" s="1"/>
  <c r="I1301" i="2"/>
  <c r="J1301" i="2"/>
  <c r="K1301" i="2"/>
  <c r="O1301" i="2"/>
  <c r="R1301" i="2"/>
  <c r="S1301" i="2" s="1"/>
  <c r="I1302" i="2"/>
  <c r="J1302" i="2"/>
  <c r="K1302" i="2"/>
  <c r="O1302" i="2"/>
  <c r="R1302" i="2"/>
  <c r="S1302" i="2" s="1"/>
  <c r="I1303" i="2"/>
  <c r="J1303" i="2"/>
  <c r="K1303" i="2"/>
  <c r="O1303" i="2"/>
  <c r="R1303" i="2"/>
  <c r="S1303" i="2" s="1"/>
  <c r="I1304" i="2"/>
  <c r="J1304" i="2"/>
  <c r="K1304" i="2"/>
  <c r="O1304" i="2"/>
  <c r="R1304" i="2"/>
  <c r="S1304" i="2" s="1"/>
  <c r="I1305" i="2"/>
  <c r="J1305" i="2"/>
  <c r="K1305" i="2"/>
  <c r="O1305" i="2"/>
  <c r="R1305" i="2"/>
  <c r="S1305" i="2" s="1"/>
  <c r="I1306" i="2"/>
  <c r="J1306" i="2"/>
  <c r="K1306" i="2"/>
  <c r="O1306" i="2"/>
  <c r="R1306" i="2"/>
  <c r="S1306" i="2" s="1"/>
  <c r="I1307" i="2"/>
  <c r="J1307" i="2"/>
  <c r="K1307" i="2"/>
  <c r="O1307" i="2"/>
  <c r="R1307" i="2"/>
  <c r="S1307" i="2" s="1"/>
  <c r="I1308" i="2"/>
  <c r="J1308" i="2"/>
  <c r="K1308" i="2"/>
  <c r="O1308" i="2"/>
  <c r="R1308" i="2"/>
  <c r="S1308" i="2" s="1"/>
  <c r="I1309" i="2"/>
  <c r="J1309" i="2"/>
  <c r="K1309" i="2"/>
  <c r="O1309" i="2"/>
  <c r="R1309" i="2"/>
  <c r="S1309" i="2" s="1"/>
  <c r="I1310" i="2"/>
  <c r="J1310" i="2"/>
  <c r="K1310" i="2"/>
  <c r="O1310" i="2"/>
  <c r="R1310" i="2"/>
  <c r="S1310" i="2" s="1"/>
  <c r="I1311" i="2"/>
  <c r="J1311" i="2"/>
  <c r="K1311" i="2"/>
  <c r="O1311" i="2"/>
  <c r="R1311" i="2"/>
  <c r="S1311" i="2" s="1"/>
  <c r="I1312" i="2"/>
  <c r="J1312" i="2"/>
  <c r="K1312" i="2"/>
  <c r="O1312" i="2"/>
  <c r="R1312" i="2"/>
  <c r="S1312" i="2" s="1"/>
  <c r="I1313" i="2"/>
  <c r="J1313" i="2"/>
  <c r="K1313" i="2"/>
  <c r="O1313" i="2"/>
  <c r="R1313" i="2"/>
  <c r="S1313" i="2" s="1"/>
  <c r="I1314" i="2"/>
  <c r="J1314" i="2"/>
  <c r="K1314" i="2"/>
  <c r="O1314" i="2"/>
  <c r="R1314" i="2"/>
  <c r="S1314" i="2" s="1"/>
  <c r="I1315" i="2"/>
  <c r="J1315" i="2"/>
  <c r="K1315" i="2"/>
  <c r="O1315" i="2"/>
  <c r="R1315" i="2"/>
  <c r="S1315" i="2" s="1"/>
  <c r="I1316" i="2"/>
  <c r="J1316" i="2"/>
  <c r="K1316" i="2"/>
  <c r="O1316" i="2"/>
  <c r="R1316" i="2"/>
  <c r="S1316" i="2" s="1"/>
  <c r="I1317" i="2"/>
  <c r="J1317" i="2"/>
  <c r="K1317" i="2"/>
  <c r="O1317" i="2"/>
  <c r="R1317" i="2"/>
  <c r="S1317" i="2" s="1"/>
  <c r="I1318" i="2"/>
  <c r="J1318" i="2"/>
  <c r="K1318" i="2"/>
  <c r="O1318" i="2"/>
  <c r="R1318" i="2"/>
  <c r="S1318" i="2" s="1"/>
  <c r="I1319" i="2"/>
  <c r="J1319" i="2"/>
  <c r="K1319" i="2"/>
  <c r="O1319" i="2"/>
  <c r="R1319" i="2"/>
  <c r="S1319" i="2" s="1"/>
  <c r="I1320" i="2"/>
  <c r="J1320" i="2"/>
  <c r="K1320" i="2"/>
  <c r="O1320" i="2"/>
  <c r="R1320" i="2"/>
  <c r="S1320" i="2" s="1"/>
  <c r="I1321" i="2"/>
  <c r="J1321" i="2"/>
  <c r="K1321" i="2"/>
  <c r="O1321" i="2"/>
  <c r="R1321" i="2"/>
  <c r="S1321" i="2" s="1"/>
  <c r="I1322" i="2"/>
  <c r="J1322" i="2"/>
  <c r="K1322" i="2"/>
  <c r="O1322" i="2"/>
  <c r="R1322" i="2"/>
  <c r="S1322" i="2" s="1"/>
  <c r="I1323" i="2"/>
  <c r="J1323" i="2"/>
  <c r="K1323" i="2"/>
  <c r="O1323" i="2"/>
  <c r="R1323" i="2"/>
  <c r="S1323" i="2" s="1"/>
  <c r="I1324" i="2"/>
  <c r="J1324" i="2"/>
  <c r="K1324" i="2"/>
  <c r="O1324" i="2"/>
  <c r="R1324" i="2"/>
  <c r="S1324" i="2" s="1"/>
  <c r="I1325" i="2"/>
  <c r="J1325" i="2"/>
  <c r="K1325" i="2"/>
  <c r="O1325" i="2"/>
  <c r="R1325" i="2"/>
  <c r="S1325" i="2" s="1"/>
  <c r="I1326" i="2"/>
  <c r="J1326" i="2"/>
  <c r="K1326" i="2"/>
  <c r="O1326" i="2"/>
  <c r="R1326" i="2"/>
  <c r="S1326" i="2" s="1"/>
  <c r="I1327" i="2"/>
  <c r="J1327" i="2"/>
  <c r="K1327" i="2"/>
  <c r="O1327" i="2"/>
  <c r="R1327" i="2"/>
  <c r="S1327" i="2" s="1"/>
  <c r="I1328" i="2"/>
  <c r="J1328" i="2"/>
  <c r="K1328" i="2"/>
  <c r="O1328" i="2"/>
  <c r="R1328" i="2"/>
  <c r="S1328" i="2" s="1"/>
  <c r="I1329" i="2"/>
  <c r="J1329" i="2"/>
  <c r="K1329" i="2"/>
  <c r="O1329" i="2"/>
  <c r="R1329" i="2"/>
  <c r="S1329" i="2" s="1"/>
  <c r="I1330" i="2"/>
  <c r="J1330" i="2"/>
  <c r="K1330" i="2"/>
  <c r="O1330" i="2"/>
  <c r="R1330" i="2"/>
  <c r="S1330" i="2" s="1"/>
  <c r="I1331" i="2"/>
  <c r="J1331" i="2"/>
  <c r="K1331" i="2"/>
  <c r="O1331" i="2"/>
  <c r="R1331" i="2"/>
  <c r="S1331" i="2" s="1"/>
  <c r="I1332" i="2"/>
  <c r="J1332" i="2"/>
  <c r="K1332" i="2"/>
  <c r="O1332" i="2"/>
  <c r="R1332" i="2"/>
  <c r="S1332" i="2" s="1"/>
  <c r="I1333" i="2"/>
  <c r="J1333" i="2"/>
  <c r="K1333" i="2"/>
  <c r="O1333" i="2"/>
  <c r="R1333" i="2"/>
  <c r="S1333" i="2" s="1"/>
  <c r="I1334" i="2"/>
  <c r="J1334" i="2"/>
  <c r="K1334" i="2"/>
  <c r="O1334" i="2"/>
  <c r="R1334" i="2"/>
  <c r="S1334" i="2" s="1"/>
  <c r="I1335" i="2"/>
  <c r="J1335" i="2"/>
  <c r="K1335" i="2"/>
  <c r="O1335" i="2"/>
  <c r="R1335" i="2"/>
  <c r="S1335" i="2" s="1"/>
  <c r="I1336" i="2"/>
  <c r="J1336" i="2"/>
  <c r="K1336" i="2"/>
  <c r="O1336" i="2"/>
  <c r="R1336" i="2"/>
  <c r="S1336" i="2" s="1"/>
  <c r="I1337" i="2"/>
  <c r="J1337" i="2"/>
  <c r="K1337" i="2"/>
  <c r="O1337" i="2"/>
  <c r="R1337" i="2"/>
  <c r="S1337" i="2" s="1"/>
  <c r="I1338" i="2"/>
  <c r="J1338" i="2"/>
  <c r="K1338" i="2"/>
  <c r="O1338" i="2"/>
  <c r="R1338" i="2"/>
  <c r="S1338" i="2" s="1"/>
  <c r="I1339" i="2"/>
  <c r="J1339" i="2"/>
  <c r="K1339" i="2"/>
  <c r="O1339" i="2"/>
  <c r="R1339" i="2"/>
  <c r="S1339" i="2" s="1"/>
  <c r="I1340" i="2"/>
  <c r="J1340" i="2"/>
  <c r="K1340" i="2"/>
  <c r="O1340" i="2"/>
  <c r="R1340" i="2"/>
  <c r="S1340" i="2" s="1"/>
  <c r="I1341" i="2"/>
  <c r="J1341" i="2"/>
  <c r="K1341" i="2"/>
  <c r="O1341" i="2"/>
  <c r="R1341" i="2"/>
  <c r="S1341" i="2" s="1"/>
  <c r="I1342" i="2"/>
  <c r="J1342" i="2"/>
  <c r="K1342" i="2"/>
  <c r="O1342" i="2"/>
  <c r="R1342" i="2"/>
  <c r="S1342" i="2" s="1"/>
  <c r="I1343" i="2"/>
  <c r="J1343" i="2"/>
  <c r="K1343" i="2"/>
  <c r="O1343" i="2"/>
  <c r="R1343" i="2"/>
  <c r="S1343" i="2" s="1"/>
  <c r="I1344" i="2"/>
  <c r="J1344" i="2"/>
  <c r="K1344" i="2"/>
  <c r="O1344" i="2"/>
  <c r="R1344" i="2"/>
  <c r="S1344" i="2" s="1"/>
  <c r="I1345" i="2"/>
  <c r="J1345" i="2"/>
  <c r="K1345" i="2"/>
  <c r="O1345" i="2"/>
  <c r="R1345" i="2"/>
  <c r="S1345" i="2" s="1"/>
  <c r="I1346" i="2"/>
  <c r="J1346" i="2"/>
  <c r="K1346" i="2"/>
  <c r="O1346" i="2"/>
  <c r="R1346" i="2"/>
  <c r="S1346" i="2" s="1"/>
  <c r="I1347" i="2"/>
  <c r="J1347" i="2"/>
  <c r="K1347" i="2"/>
  <c r="O1347" i="2"/>
  <c r="R1347" i="2"/>
  <c r="S1347" i="2" s="1"/>
  <c r="I1348" i="2"/>
  <c r="J1348" i="2"/>
  <c r="K1348" i="2"/>
  <c r="O1348" i="2"/>
  <c r="R1348" i="2"/>
  <c r="S1348" i="2" s="1"/>
  <c r="I1349" i="2"/>
  <c r="J1349" i="2"/>
  <c r="K1349" i="2"/>
  <c r="O1349" i="2"/>
  <c r="R1349" i="2"/>
  <c r="S1349" i="2" s="1"/>
  <c r="I1350" i="2"/>
  <c r="J1350" i="2"/>
  <c r="K1350" i="2"/>
  <c r="O1350" i="2"/>
  <c r="R1350" i="2"/>
  <c r="S1350" i="2" s="1"/>
  <c r="I1351" i="2"/>
  <c r="J1351" i="2"/>
  <c r="K1351" i="2"/>
  <c r="O1351" i="2"/>
  <c r="R1351" i="2"/>
  <c r="S1351" i="2" s="1"/>
  <c r="I1352" i="2"/>
  <c r="J1352" i="2"/>
  <c r="K1352" i="2"/>
  <c r="O1352" i="2"/>
  <c r="R1352" i="2"/>
  <c r="S1352" i="2" s="1"/>
  <c r="I1353" i="2"/>
  <c r="J1353" i="2"/>
  <c r="K1353" i="2"/>
  <c r="O1353" i="2"/>
  <c r="R1353" i="2"/>
  <c r="S1353" i="2" s="1"/>
  <c r="I1354" i="2"/>
  <c r="J1354" i="2"/>
  <c r="K1354" i="2"/>
  <c r="O1354" i="2"/>
  <c r="R1354" i="2"/>
  <c r="S1354" i="2" s="1"/>
  <c r="I1355" i="2"/>
  <c r="J1355" i="2"/>
  <c r="K1355" i="2"/>
  <c r="O1355" i="2"/>
  <c r="R1355" i="2"/>
  <c r="S1355" i="2" s="1"/>
  <c r="I1356" i="2"/>
  <c r="J1356" i="2"/>
  <c r="K1356" i="2"/>
  <c r="O1356" i="2"/>
  <c r="R1356" i="2"/>
  <c r="S1356" i="2" s="1"/>
  <c r="I1357" i="2"/>
  <c r="J1357" i="2"/>
  <c r="K1357" i="2"/>
  <c r="O1357" i="2"/>
  <c r="R1357" i="2"/>
  <c r="S1357" i="2" s="1"/>
  <c r="I1358" i="2"/>
  <c r="J1358" i="2"/>
  <c r="K1358" i="2"/>
  <c r="O1358" i="2"/>
  <c r="R1358" i="2"/>
  <c r="S1358" i="2" s="1"/>
  <c r="I1359" i="2"/>
  <c r="J1359" i="2"/>
  <c r="K1359" i="2"/>
  <c r="O1359" i="2"/>
  <c r="R1359" i="2"/>
  <c r="S1359" i="2" s="1"/>
  <c r="I1360" i="2"/>
  <c r="J1360" i="2"/>
  <c r="K1360" i="2"/>
  <c r="O1360" i="2"/>
  <c r="R1360" i="2"/>
  <c r="S1360" i="2" s="1"/>
  <c r="I1361" i="2"/>
  <c r="J1361" i="2"/>
  <c r="K1361" i="2"/>
  <c r="O1361" i="2"/>
  <c r="R1361" i="2"/>
  <c r="S1361" i="2" s="1"/>
  <c r="I1362" i="2"/>
  <c r="J1362" i="2"/>
  <c r="K1362" i="2"/>
  <c r="O1362" i="2"/>
  <c r="R1362" i="2"/>
  <c r="S1362" i="2" s="1"/>
  <c r="I1363" i="2"/>
  <c r="J1363" i="2"/>
  <c r="K1363" i="2"/>
  <c r="O1363" i="2"/>
  <c r="R1363" i="2"/>
  <c r="S1363" i="2" s="1"/>
  <c r="I1364" i="2"/>
  <c r="J1364" i="2"/>
  <c r="K1364" i="2"/>
  <c r="O1364" i="2"/>
  <c r="R1364" i="2"/>
  <c r="S1364" i="2" s="1"/>
  <c r="I1365" i="2"/>
  <c r="J1365" i="2"/>
  <c r="K1365" i="2"/>
  <c r="O1365" i="2"/>
  <c r="R1365" i="2"/>
  <c r="S1365" i="2" s="1"/>
  <c r="I1366" i="2"/>
  <c r="J1366" i="2"/>
  <c r="K1366" i="2"/>
  <c r="O1366" i="2"/>
  <c r="R1366" i="2"/>
  <c r="S1366" i="2" s="1"/>
  <c r="I1367" i="2"/>
  <c r="J1367" i="2"/>
  <c r="K1367" i="2"/>
  <c r="O1367" i="2"/>
  <c r="R1367" i="2"/>
  <c r="S1367" i="2" s="1"/>
  <c r="I1368" i="2"/>
  <c r="J1368" i="2"/>
  <c r="K1368" i="2"/>
  <c r="O1368" i="2"/>
  <c r="R1368" i="2"/>
  <c r="S1368" i="2" s="1"/>
  <c r="I1369" i="2"/>
  <c r="J1369" i="2"/>
  <c r="K1369" i="2"/>
  <c r="O1369" i="2"/>
  <c r="R1369" i="2"/>
  <c r="S1369" i="2" s="1"/>
  <c r="I1370" i="2"/>
  <c r="J1370" i="2"/>
  <c r="K1370" i="2"/>
  <c r="O1370" i="2"/>
  <c r="R1370" i="2"/>
  <c r="S1370" i="2" s="1"/>
  <c r="I1371" i="2"/>
  <c r="J1371" i="2"/>
  <c r="K1371" i="2"/>
  <c r="O1371" i="2"/>
  <c r="R1371" i="2"/>
  <c r="S1371" i="2" s="1"/>
  <c r="I1372" i="2"/>
  <c r="J1372" i="2"/>
  <c r="K1372" i="2"/>
  <c r="O1372" i="2"/>
  <c r="R1372" i="2"/>
  <c r="S1372" i="2" s="1"/>
  <c r="I1373" i="2"/>
  <c r="J1373" i="2"/>
  <c r="K1373" i="2"/>
  <c r="O1373" i="2"/>
  <c r="R1373" i="2"/>
  <c r="S1373" i="2" s="1"/>
  <c r="I1374" i="2"/>
  <c r="J1374" i="2"/>
  <c r="K1374" i="2"/>
  <c r="O1374" i="2"/>
  <c r="R1374" i="2"/>
  <c r="S1374" i="2" s="1"/>
  <c r="I1375" i="2"/>
  <c r="J1375" i="2"/>
  <c r="K1375" i="2"/>
  <c r="O1375" i="2"/>
  <c r="R1375" i="2"/>
  <c r="S1375" i="2" s="1"/>
  <c r="I1376" i="2"/>
  <c r="J1376" i="2"/>
  <c r="K1376" i="2"/>
  <c r="O1376" i="2"/>
  <c r="R1376" i="2"/>
  <c r="S1376" i="2" s="1"/>
  <c r="I1377" i="2"/>
  <c r="J1377" i="2"/>
  <c r="K1377" i="2"/>
  <c r="O1377" i="2"/>
  <c r="R1377" i="2"/>
  <c r="S1377" i="2" s="1"/>
  <c r="I1378" i="2"/>
  <c r="J1378" i="2"/>
  <c r="K1378" i="2"/>
  <c r="O1378" i="2"/>
  <c r="R1378" i="2"/>
  <c r="S1378" i="2" s="1"/>
  <c r="I1379" i="2"/>
  <c r="J1379" i="2"/>
  <c r="K1379" i="2"/>
  <c r="O1379" i="2"/>
  <c r="R1379" i="2"/>
  <c r="S1379" i="2" s="1"/>
  <c r="I1380" i="2"/>
  <c r="J1380" i="2"/>
  <c r="K1380" i="2"/>
  <c r="O1380" i="2"/>
  <c r="R1380" i="2"/>
  <c r="S1380" i="2" s="1"/>
  <c r="I1381" i="2"/>
  <c r="J1381" i="2"/>
  <c r="K1381" i="2"/>
  <c r="O1381" i="2"/>
  <c r="R1381" i="2"/>
  <c r="S1381" i="2" s="1"/>
  <c r="I1382" i="2"/>
  <c r="J1382" i="2"/>
  <c r="K1382" i="2"/>
  <c r="O1382" i="2"/>
  <c r="R1382" i="2"/>
  <c r="S1382" i="2" s="1"/>
  <c r="I1383" i="2"/>
  <c r="J1383" i="2"/>
  <c r="K1383" i="2"/>
  <c r="O1383" i="2"/>
  <c r="R1383" i="2"/>
  <c r="S1383" i="2" s="1"/>
  <c r="I1384" i="2"/>
  <c r="J1384" i="2"/>
  <c r="K1384" i="2"/>
  <c r="O1384" i="2"/>
  <c r="R1384" i="2"/>
  <c r="S1384" i="2" s="1"/>
  <c r="I1385" i="2"/>
  <c r="J1385" i="2"/>
  <c r="K1385" i="2"/>
  <c r="O1385" i="2"/>
  <c r="R1385" i="2"/>
  <c r="S1385" i="2" s="1"/>
  <c r="I1386" i="2"/>
  <c r="J1386" i="2"/>
  <c r="K1386" i="2"/>
  <c r="O1386" i="2"/>
  <c r="R1386" i="2"/>
  <c r="S1386" i="2" s="1"/>
  <c r="I1387" i="2"/>
  <c r="J1387" i="2"/>
  <c r="K1387" i="2"/>
  <c r="O1387" i="2"/>
  <c r="R1387" i="2"/>
  <c r="S1387" i="2" s="1"/>
  <c r="I1388" i="2"/>
  <c r="J1388" i="2"/>
  <c r="K1388" i="2"/>
  <c r="O1388" i="2"/>
  <c r="R1388" i="2"/>
  <c r="S1388" i="2" s="1"/>
  <c r="I1389" i="2"/>
  <c r="J1389" i="2"/>
  <c r="K1389" i="2"/>
  <c r="O1389" i="2"/>
  <c r="R1389" i="2"/>
  <c r="S1389" i="2" s="1"/>
  <c r="I1390" i="2"/>
  <c r="J1390" i="2"/>
  <c r="K1390" i="2"/>
  <c r="O1390" i="2"/>
  <c r="R1390" i="2"/>
  <c r="S1390" i="2" s="1"/>
  <c r="I1391" i="2"/>
  <c r="J1391" i="2"/>
  <c r="K1391" i="2"/>
  <c r="O1391" i="2"/>
  <c r="R1391" i="2"/>
  <c r="S1391" i="2" s="1"/>
  <c r="I1392" i="2"/>
  <c r="J1392" i="2"/>
  <c r="K1392" i="2"/>
  <c r="O1392" i="2"/>
  <c r="R1392" i="2"/>
  <c r="S1392" i="2" s="1"/>
  <c r="I1393" i="2"/>
  <c r="J1393" i="2"/>
  <c r="K1393" i="2"/>
  <c r="O1393" i="2"/>
  <c r="R1393" i="2"/>
  <c r="S1393" i="2" s="1"/>
  <c r="I1394" i="2"/>
  <c r="J1394" i="2"/>
  <c r="K1394" i="2"/>
  <c r="O1394" i="2"/>
  <c r="R1394" i="2"/>
  <c r="S1394" i="2" s="1"/>
  <c r="I1395" i="2"/>
  <c r="J1395" i="2"/>
  <c r="K1395" i="2"/>
  <c r="O1395" i="2"/>
  <c r="R1395" i="2"/>
  <c r="S1395" i="2" s="1"/>
  <c r="I1396" i="2"/>
  <c r="J1396" i="2"/>
  <c r="K1396" i="2"/>
  <c r="O1396" i="2"/>
  <c r="R1396" i="2"/>
  <c r="S1396" i="2" s="1"/>
  <c r="I1397" i="2"/>
  <c r="J1397" i="2"/>
  <c r="K1397" i="2"/>
  <c r="O1397" i="2"/>
  <c r="R1397" i="2"/>
  <c r="S1397" i="2" s="1"/>
  <c r="I1398" i="2"/>
  <c r="J1398" i="2"/>
  <c r="K1398" i="2"/>
  <c r="O1398" i="2"/>
  <c r="R1398" i="2"/>
  <c r="S1398" i="2" s="1"/>
  <c r="I1399" i="2"/>
  <c r="J1399" i="2"/>
  <c r="K1399" i="2"/>
  <c r="O1399" i="2"/>
  <c r="R1399" i="2"/>
  <c r="S1399" i="2" s="1"/>
  <c r="I1400" i="2"/>
  <c r="J1400" i="2"/>
  <c r="K1400" i="2"/>
  <c r="O1400" i="2"/>
  <c r="R1400" i="2"/>
  <c r="S1400" i="2" s="1"/>
  <c r="I1401" i="2"/>
  <c r="J1401" i="2"/>
  <c r="K1401" i="2"/>
  <c r="O1401" i="2"/>
  <c r="R1401" i="2"/>
  <c r="S1401" i="2" s="1"/>
  <c r="I1402" i="2"/>
  <c r="J1402" i="2"/>
  <c r="K1402" i="2"/>
  <c r="O1402" i="2"/>
  <c r="R1402" i="2"/>
  <c r="S1402" i="2" s="1"/>
  <c r="I1403" i="2"/>
  <c r="J1403" i="2"/>
  <c r="K1403" i="2"/>
  <c r="O1403" i="2"/>
  <c r="R1403" i="2"/>
  <c r="S1403" i="2" s="1"/>
  <c r="I1404" i="2"/>
  <c r="J1404" i="2"/>
  <c r="K1404" i="2"/>
  <c r="O1404" i="2"/>
  <c r="R1404" i="2"/>
  <c r="S1404" i="2" s="1"/>
  <c r="I1405" i="2"/>
  <c r="J1405" i="2"/>
  <c r="K1405" i="2"/>
  <c r="O1405" i="2"/>
  <c r="R1405" i="2"/>
  <c r="S1405" i="2" s="1"/>
  <c r="I1406" i="2"/>
  <c r="J1406" i="2"/>
  <c r="K1406" i="2"/>
  <c r="O1406" i="2"/>
  <c r="R1406" i="2"/>
  <c r="S1406" i="2" s="1"/>
  <c r="I1407" i="2"/>
  <c r="J1407" i="2"/>
  <c r="K1407" i="2"/>
  <c r="O1407" i="2"/>
  <c r="R1407" i="2"/>
  <c r="S1407" i="2" s="1"/>
  <c r="I1408" i="2"/>
  <c r="J1408" i="2"/>
  <c r="K1408" i="2"/>
  <c r="O1408" i="2"/>
  <c r="R1408" i="2"/>
  <c r="S1408" i="2" s="1"/>
  <c r="I1409" i="2"/>
  <c r="J1409" i="2"/>
  <c r="K1409" i="2"/>
  <c r="O1409" i="2"/>
  <c r="R1409" i="2"/>
  <c r="S1409" i="2" s="1"/>
  <c r="I1410" i="2"/>
  <c r="J1410" i="2"/>
  <c r="K1410" i="2"/>
  <c r="O1410" i="2"/>
  <c r="R1410" i="2"/>
  <c r="S1410" i="2" s="1"/>
  <c r="I1411" i="2"/>
  <c r="J1411" i="2"/>
  <c r="K1411" i="2"/>
  <c r="O1411" i="2"/>
  <c r="R1411" i="2"/>
  <c r="S1411" i="2" s="1"/>
  <c r="I1412" i="2"/>
  <c r="J1412" i="2"/>
  <c r="K1412" i="2"/>
  <c r="O1412" i="2"/>
  <c r="R1412" i="2"/>
  <c r="S1412" i="2" s="1"/>
  <c r="I1413" i="2"/>
  <c r="J1413" i="2"/>
  <c r="K1413" i="2"/>
  <c r="O1413" i="2"/>
  <c r="R1413" i="2"/>
  <c r="S1413" i="2" s="1"/>
  <c r="I1414" i="2"/>
  <c r="J1414" i="2"/>
  <c r="K1414" i="2"/>
  <c r="O1414" i="2"/>
  <c r="R1414" i="2"/>
  <c r="S1414" i="2" s="1"/>
  <c r="I1415" i="2"/>
  <c r="J1415" i="2"/>
  <c r="K1415" i="2"/>
  <c r="O1415" i="2"/>
  <c r="R1415" i="2"/>
  <c r="S1415" i="2" s="1"/>
  <c r="I1416" i="2"/>
  <c r="J1416" i="2"/>
  <c r="K1416" i="2"/>
  <c r="O1416" i="2"/>
  <c r="R1416" i="2"/>
  <c r="S1416" i="2" s="1"/>
  <c r="I1417" i="2"/>
  <c r="J1417" i="2"/>
  <c r="K1417" i="2"/>
  <c r="O1417" i="2"/>
  <c r="R1417" i="2"/>
  <c r="S1417" i="2" s="1"/>
  <c r="I1418" i="2"/>
  <c r="J1418" i="2"/>
  <c r="K1418" i="2"/>
  <c r="O1418" i="2"/>
  <c r="R1418" i="2"/>
  <c r="S1418" i="2" s="1"/>
  <c r="I1419" i="2"/>
  <c r="J1419" i="2"/>
  <c r="K1419" i="2"/>
  <c r="O1419" i="2"/>
  <c r="R1419" i="2"/>
  <c r="S1419" i="2" s="1"/>
  <c r="I1420" i="2"/>
  <c r="J1420" i="2"/>
  <c r="K1420" i="2"/>
  <c r="O1420" i="2"/>
  <c r="R1420" i="2"/>
  <c r="S1420" i="2" s="1"/>
  <c r="I1421" i="2"/>
  <c r="J1421" i="2"/>
  <c r="K1421" i="2"/>
  <c r="O1421" i="2"/>
  <c r="R1421" i="2"/>
  <c r="S1421" i="2" s="1"/>
  <c r="I1422" i="2"/>
  <c r="J1422" i="2"/>
  <c r="K1422" i="2"/>
  <c r="O1422" i="2"/>
  <c r="R1422" i="2"/>
  <c r="S1422" i="2" s="1"/>
  <c r="I1423" i="2"/>
  <c r="J1423" i="2"/>
  <c r="K1423" i="2"/>
  <c r="O1423" i="2"/>
  <c r="R1423" i="2"/>
  <c r="S1423" i="2" s="1"/>
  <c r="I1424" i="2"/>
  <c r="J1424" i="2"/>
  <c r="K1424" i="2"/>
  <c r="O1424" i="2"/>
  <c r="R1424" i="2"/>
  <c r="S1424" i="2" s="1"/>
  <c r="I1425" i="2"/>
  <c r="J1425" i="2"/>
  <c r="K1425" i="2"/>
  <c r="O1425" i="2"/>
  <c r="R1425" i="2"/>
  <c r="S1425" i="2" s="1"/>
  <c r="I1426" i="2"/>
  <c r="J1426" i="2"/>
  <c r="K1426" i="2"/>
  <c r="O1426" i="2"/>
  <c r="R1426" i="2"/>
  <c r="S1426" i="2" s="1"/>
  <c r="I1427" i="2"/>
  <c r="J1427" i="2"/>
  <c r="K1427" i="2"/>
  <c r="O1427" i="2"/>
  <c r="R1427" i="2"/>
  <c r="S1427" i="2" s="1"/>
  <c r="I1428" i="2"/>
  <c r="J1428" i="2"/>
  <c r="K1428" i="2"/>
  <c r="O1428" i="2"/>
  <c r="R1428" i="2"/>
  <c r="S1428" i="2" s="1"/>
  <c r="I1429" i="2"/>
  <c r="J1429" i="2"/>
  <c r="K1429" i="2"/>
  <c r="O1429" i="2"/>
  <c r="R1429" i="2"/>
  <c r="S1429" i="2" s="1"/>
  <c r="I1430" i="2"/>
  <c r="J1430" i="2"/>
  <c r="K1430" i="2"/>
  <c r="O1430" i="2"/>
  <c r="R1430" i="2"/>
  <c r="S1430" i="2" s="1"/>
  <c r="I1431" i="2"/>
  <c r="J1431" i="2"/>
  <c r="K1431" i="2"/>
  <c r="O1431" i="2"/>
  <c r="R1431" i="2"/>
  <c r="S1431" i="2" s="1"/>
  <c r="I1432" i="2"/>
  <c r="J1432" i="2"/>
  <c r="K1432" i="2"/>
  <c r="O1432" i="2"/>
  <c r="R1432" i="2"/>
  <c r="S1432" i="2" s="1"/>
  <c r="I1433" i="2"/>
  <c r="J1433" i="2"/>
  <c r="K1433" i="2"/>
  <c r="O1433" i="2"/>
  <c r="R1433" i="2"/>
  <c r="S1433" i="2" s="1"/>
  <c r="I1434" i="2"/>
  <c r="J1434" i="2"/>
  <c r="K1434" i="2"/>
  <c r="O1434" i="2"/>
  <c r="R1434" i="2"/>
  <c r="S1434" i="2" s="1"/>
  <c r="I1435" i="2"/>
  <c r="J1435" i="2"/>
  <c r="K1435" i="2"/>
  <c r="O1435" i="2"/>
  <c r="R1435" i="2"/>
  <c r="S1435" i="2" s="1"/>
  <c r="I1436" i="2"/>
  <c r="J1436" i="2"/>
  <c r="K1436" i="2"/>
  <c r="O1436" i="2"/>
  <c r="R1436" i="2"/>
  <c r="S1436" i="2" s="1"/>
  <c r="I1437" i="2"/>
  <c r="J1437" i="2"/>
  <c r="K1437" i="2"/>
  <c r="O1437" i="2"/>
  <c r="R1437" i="2"/>
  <c r="S1437" i="2" s="1"/>
  <c r="I1438" i="2"/>
  <c r="J1438" i="2"/>
  <c r="K1438" i="2"/>
  <c r="O1438" i="2"/>
  <c r="R1438" i="2"/>
  <c r="S1438" i="2" s="1"/>
  <c r="I1439" i="2"/>
  <c r="J1439" i="2"/>
  <c r="K1439" i="2"/>
  <c r="O1439" i="2"/>
  <c r="R1439" i="2"/>
  <c r="S1439" i="2" s="1"/>
  <c r="I1440" i="2"/>
  <c r="J1440" i="2"/>
  <c r="K1440" i="2"/>
  <c r="O1440" i="2"/>
  <c r="R1440" i="2"/>
  <c r="S1440" i="2" s="1"/>
  <c r="I1441" i="2"/>
  <c r="J1441" i="2"/>
  <c r="K1441" i="2"/>
  <c r="O1441" i="2"/>
  <c r="R1441" i="2"/>
  <c r="S1441" i="2" s="1"/>
  <c r="I1442" i="2"/>
  <c r="J1442" i="2"/>
  <c r="K1442" i="2"/>
  <c r="O1442" i="2"/>
  <c r="R1442" i="2"/>
  <c r="S1442" i="2" s="1"/>
  <c r="I1443" i="2"/>
  <c r="J1443" i="2"/>
  <c r="K1443" i="2"/>
  <c r="O1443" i="2"/>
  <c r="R1443" i="2"/>
  <c r="S1443" i="2" s="1"/>
  <c r="I1444" i="2"/>
  <c r="J1444" i="2"/>
  <c r="K1444" i="2"/>
  <c r="O1444" i="2"/>
  <c r="R1444" i="2"/>
  <c r="S1444" i="2" s="1"/>
  <c r="I1445" i="2"/>
  <c r="J1445" i="2"/>
  <c r="K1445" i="2"/>
  <c r="O1445" i="2"/>
  <c r="R1445" i="2"/>
  <c r="S1445" i="2" s="1"/>
  <c r="I1446" i="2"/>
  <c r="J1446" i="2"/>
  <c r="K1446" i="2"/>
  <c r="O1446" i="2"/>
  <c r="R1446" i="2"/>
  <c r="S1446" i="2" s="1"/>
  <c r="I1447" i="2"/>
  <c r="J1447" i="2"/>
  <c r="K1447" i="2"/>
  <c r="O1447" i="2"/>
  <c r="R1447" i="2"/>
  <c r="S1447" i="2" s="1"/>
  <c r="I1448" i="2"/>
  <c r="J1448" i="2"/>
  <c r="K1448" i="2"/>
  <c r="O1448" i="2"/>
  <c r="R1448" i="2"/>
  <c r="S1448" i="2" s="1"/>
  <c r="I1449" i="2"/>
  <c r="J1449" i="2"/>
  <c r="K1449" i="2"/>
  <c r="O1449" i="2"/>
  <c r="R1449" i="2"/>
  <c r="S1449" i="2" s="1"/>
  <c r="I1450" i="2"/>
  <c r="J1450" i="2"/>
  <c r="K1450" i="2"/>
  <c r="O1450" i="2"/>
  <c r="R1450" i="2"/>
  <c r="S1450" i="2" s="1"/>
  <c r="I1451" i="2"/>
  <c r="J1451" i="2"/>
  <c r="K1451" i="2"/>
  <c r="O1451" i="2"/>
  <c r="R1451" i="2"/>
  <c r="S1451" i="2" s="1"/>
  <c r="I1452" i="2"/>
  <c r="J1452" i="2"/>
  <c r="K1452" i="2"/>
  <c r="O1452" i="2"/>
  <c r="R1452" i="2"/>
  <c r="S1452" i="2" s="1"/>
  <c r="I1453" i="2"/>
  <c r="J1453" i="2"/>
  <c r="K1453" i="2"/>
  <c r="O1453" i="2"/>
  <c r="R1453" i="2"/>
  <c r="S1453" i="2" s="1"/>
  <c r="I1454" i="2"/>
  <c r="J1454" i="2"/>
  <c r="K1454" i="2"/>
  <c r="O1454" i="2"/>
  <c r="R1454" i="2"/>
  <c r="S1454" i="2" s="1"/>
  <c r="I1455" i="2"/>
  <c r="J1455" i="2"/>
  <c r="K1455" i="2"/>
  <c r="O1455" i="2"/>
  <c r="R1455" i="2"/>
  <c r="S1455" i="2" s="1"/>
  <c r="I1456" i="2"/>
  <c r="J1456" i="2"/>
  <c r="K1456" i="2"/>
  <c r="O1456" i="2"/>
  <c r="R1456" i="2"/>
  <c r="S1456" i="2" s="1"/>
  <c r="I1457" i="2"/>
  <c r="J1457" i="2"/>
  <c r="K1457" i="2"/>
  <c r="O1457" i="2"/>
  <c r="R1457" i="2"/>
  <c r="S1457" i="2" s="1"/>
  <c r="I1458" i="2"/>
  <c r="J1458" i="2"/>
  <c r="K1458" i="2"/>
  <c r="O1458" i="2"/>
  <c r="R1458" i="2"/>
  <c r="S1458" i="2" s="1"/>
  <c r="I1459" i="2"/>
  <c r="J1459" i="2"/>
  <c r="K1459" i="2"/>
  <c r="O1459" i="2"/>
  <c r="R1459" i="2"/>
  <c r="S1459" i="2" s="1"/>
  <c r="I1460" i="2"/>
  <c r="J1460" i="2"/>
  <c r="K1460" i="2"/>
  <c r="O1460" i="2"/>
  <c r="R1460" i="2"/>
  <c r="S1460" i="2" s="1"/>
  <c r="I1461" i="2"/>
  <c r="J1461" i="2"/>
  <c r="K1461" i="2"/>
  <c r="O1461" i="2"/>
  <c r="R1461" i="2"/>
  <c r="S1461" i="2" s="1"/>
  <c r="I1462" i="2"/>
  <c r="J1462" i="2"/>
  <c r="K1462" i="2"/>
  <c r="O1462" i="2"/>
  <c r="R1462" i="2"/>
  <c r="S1462" i="2" s="1"/>
  <c r="I1463" i="2"/>
  <c r="J1463" i="2"/>
  <c r="K1463" i="2"/>
  <c r="O1463" i="2"/>
  <c r="R1463" i="2"/>
  <c r="S1463" i="2" s="1"/>
  <c r="I1464" i="2"/>
  <c r="J1464" i="2"/>
  <c r="K1464" i="2"/>
  <c r="O1464" i="2"/>
  <c r="R1464" i="2"/>
  <c r="S1464" i="2" s="1"/>
  <c r="I1465" i="2"/>
  <c r="J1465" i="2"/>
  <c r="K1465" i="2"/>
  <c r="O1465" i="2"/>
  <c r="R1465" i="2"/>
  <c r="S1465" i="2" s="1"/>
  <c r="I1466" i="2"/>
  <c r="J1466" i="2"/>
  <c r="K1466" i="2"/>
  <c r="O1466" i="2"/>
  <c r="R1466" i="2"/>
  <c r="S1466" i="2" s="1"/>
  <c r="I1467" i="2"/>
  <c r="J1467" i="2"/>
  <c r="K1467" i="2"/>
  <c r="O1467" i="2"/>
  <c r="R1467" i="2"/>
  <c r="S1467" i="2" s="1"/>
  <c r="I1468" i="2"/>
  <c r="J1468" i="2"/>
  <c r="K1468" i="2"/>
  <c r="O1468" i="2"/>
  <c r="R1468" i="2"/>
  <c r="S1468" i="2" s="1"/>
  <c r="I1469" i="2"/>
  <c r="J1469" i="2"/>
  <c r="K1469" i="2"/>
  <c r="O1469" i="2"/>
  <c r="R1469" i="2"/>
  <c r="S1469" i="2" s="1"/>
  <c r="I1470" i="2"/>
  <c r="J1470" i="2"/>
  <c r="K1470" i="2"/>
  <c r="O1470" i="2"/>
  <c r="R1470" i="2"/>
  <c r="S1470" i="2" s="1"/>
  <c r="I1471" i="2"/>
  <c r="J1471" i="2"/>
  <c r="K1471" i="2"/>
  <c r="O1471" i="2"/>
  <c r="R1471" i="2"/>
  <c r="S1471" i="2" s="1"/>
  <c r="I1472" i="2"/>
  <c r="J1472" i="2"/>
  <c r="K1472" i="2"/>
  <c r="O1472" i="2"/>
  <c r="R1472" i="2"/>
  <c r="S1472" i="2" s="1"/>
  <c r="I1473" i="2"/>
  <c r="J1473" i="2"/>
  <c r="K1473" i="2"/>
  <c r="O1473" i="2"/>
  <c r="R1473" i="2"/>
  <c r="S1473" i="2" s="1"/>
  <c r="I1474" i="2"/>
  <c r="J1474" i="2"/>
  <c r="K1474" i="2"/>
  <c r="O1474" i="2"/>
  <c r="R1474" i="2"/>
  <c r="S1474" i="2" s="1"/>
  <c r="I1475" i="2"/>
  <c r="J1475" i="2"/>
  <c r="K1475" i="2"/>
  <c r="O1475" i="2"/>
  <c r="R1475" i="2"/>
  <c r="S1475" i="2" s="1"/>
  <c r="I1476" i="2"/>
  <c r="J1476" i="2"/>
  <c r="K1476" i="2"/>
  <c r="O1476" i="2"/>
  <c r="R1476" i="2"/>
  <c r="S1476" i="2" s="1"/>
  <c r="I1477" i="2"/>
  <c r="J1477" i="2"/>
  <c r="K1477" i="2"/>
  <c r="O1477" i="2"/>
  <c r="R1477" i="2"/>
  <c r="S1477" i="2" s="1"/>
  <c r="I1478" i="2"/>
  <c r="J1478" i="2"/>
  <c r="K1478" i="2"/>
  <c r="O1478" i="2"/>
  <c r="R1478" i="2"/>
  <c r="S1478" i="2" s="1"/>
  <c r="I1479" i="2"/>
  <c r="J1479" i="2"/>
  <c r="K1479" i="2"/>
  <c r="O1479" i="2"/>
  <c r="R1479" i="2"/>
  <c r="S1479" i="2" s="1"/>
  <c r="I1480" i="2"/>
  <c r="J1480" i="2"/>
  <c r="K1480" i="2"/>
  <c r="O1480" i="2"/>
  <c r="R1480" i="2"/>
  <c r="S1480" i="2" s="1"/>
  <c r="I1481" i="2"/>
  <c r="J1481" i="2"/>
  <c r="K1481" i="2"/>
  <c r="O1481" i="2"/>
  <c r="R1481" i="2"/>
  <c r="S1481" i="2" s="1"/>
  <c r="I1482" i="2"/>
  <c r="J1482" i="2"/>
  <c r="K1482" i="2"/>
  <c r="O1482" i="2"/>
  <c r="R1482" i="2"/>
  <c r="S1482" i="2" s="1"/>
  <c r="I1483" i="2"/>
  <c r="J1483" i="2"/>
  <c r="K1483" i="2"/>
  <c r="O1483" i="2"/>
  <c r="R1483" i="2"/>
  <c r="S1483" i="2" s="1"/>
  <c r="I1484" i="2"/>
  <c r="J1484" i="2"/>
  <c r="K1484" i="2"/>
  <c r="O1484" i="2"/>
  <c r="R1484" i="2"/>
  <c r="S1484" i="2" s="1"/>
  <c r="I1485" i="2"/>
  <c r="J1485" i="2"/>
  <c r="K1485" i="2"/>
  <c r="O1485" i="2"/>
  <c r="R1485" i="2"/>
  <c r="S1485" i="2" s="1"/>
  <c r="I1486" i="2"/>
  <c r="J1486" i="2"/>
  <c r="K1486" i="2"/>
  <c r="O1486" i="2"/>
  <c r="R1486" i="2"/>
  <c r="S1486" i="2" s="1"/>
  <c r="I1487" i="2"/>
  <c r="J1487" i="2"/>
  <c r="K1487" i="2"/>
  <c r="O1487" i="2"/>
  <c r="R1487" i="2"/>
  <c r="S1487" i="2" s="1"/>
  <c r="I1488" i="2"/>
  <c r="J1488" i="2"/>
  <c r="K1488" i="2"/>
  <c r="O1488" i="2"/>
  <c r="R1488" i="2"/>
  <c r="S1488" i="2" s="1"/>
  <c r="I1489" i="2"/>
  <c r="J1489" i="2"/>
  <c r="K1489" i="2"/>
  <c r="O1489" i="2"/>
  <c r="R1489" i="2"/>
  <c r="S1489" i="2" s="1"/>
  <c r="I1490" i="2"/>
  <c r="J1490" i="2"/>
  <c r="K1490" i="2"/>
  <c r="O1490" i="2"/>
  <c r="R1490" i="2"/>
  <c r="S1490" i="2" s="1"/>
  <c r="I1491" i="2"/>
  <c r="J1491" i="2"/>
  <c r="K1491" i="2"/>
  <c r="O1491" i="2"/>
  <c r="R1491" i="2"/>
  <c r="S1491" i="2" s="1"/>
  <c r="I1492" i="2"/>
  <c r="J1492" i="2"/>
  <c r="K1492" i="2"/>
  <c r="O1492" i="2"/>
  <c r="R1492" i="2"/>
  <c r="S1492" i="2" s="1"/>
  <c r="I1493" i="2"/>
  <c r="J1493" i="2"/>
  <c r="K1493" i="2"/>
  <c r="O1493" i="2"/>
  <c r="R1493" i="2"/>
  <c r="S1493" i="2" s="1"/>
  <c r="I1494" i="2"/>
  <c r="J1494" i="2"/>
  <c r="K1494" i="2"/>
  <c r="O1494" i="2"/>
  <c r="R1494" i="2"/>
  <c r="S1494" i="2" s="1"/>
  <c r="I1495" i="2"/>
  <c r="J1495" i="2"/>
  <c r="K1495" i="2"/>
  <c r="O1495" i="2"/>
  <c r="R1495" i="2"/>
  <c r="S1495" i="2" s="1"/>
  <c r="I1496" i="2"/>
  <c r="J1496" i="2"/>
  <c r="K1496" i="2"/>
  <c r="O1496" i="2"/>
  <c r="R1496" i="2"/>
  <c r="S1496" i="2" s="1"/>
  <c r="I1497" i="2"/>
  <c r="J1497" i="2"/>
  <c r="K1497" i="2"/>
  <c r="O1497" i="2"/>
  <c r="R1497" i="2"/>
  <c r="S1497" i="2" s="1"/>
  <c r="I1498" i="2"/>
  <c r="J1498" i="2"/>
  <c r="K1498" i="2"/>
  <c r="O1498" i="2"/>
  <c r="R1498" i="2"/>
  <c r="S1498" i="2" s="1"/>
  <c r="I1499" i="2"/>
  <c r="J1499" i="2"/>
  <c r="K1499" i="2"/>
  <c r="O1499" i="2"/>
  <c r="R1499" i="2"/>
  <c r="S1499" i="2" s="1"/>
  <c r="I1500" i="2"/>
  <c r="J1500" i="2"/>
  <c r="K1500" i="2"/>
  <c r="O1500" i="2"/>
  <c r="R1500" i="2"/>
  <c r="S1500" i="2" s="1"/>
  <c r="I1501" i="2"/>
  <c r="J1501" i="2"/>
  <c r="K1501" i="2"/>
  <c r="O1501" i="2"/>
  <c r="R1501" i="2"/>
  <c r="S1501" i="2" s="1"/>
  <c r="I1502" i="2"/>
  <c r="J1502" i="2"/>
  <c r="K1502" i="2"/>
  <c r="O1502" i="2"/>
  <c r="R1502" i="2"/>
  <c r="S1502" i="2" s="1"/>
  <c r="I1503" i="2"/>
  <c r="J1503" i="2"/>
  <c r="K1503" i="2"/>
  <c r="O1503" i="2"/>
  <c r="R1503" i="2"/>
  <c r="S1503" i="2" s="1"/>
  <c r="I1504" i="2"/>
  <c r="J1504" i="2"/>
  <c r="K1504" i="2"/>
  <c r="O1504" i="2"/>
  <c r="R1504" i="2"/>
  <c r="S1504" i="2" s="1"/>
  <c r="I1505" i="2"/>
  <c r="J1505" i="2"/>
  <c r="K1505" i="2"/>
  <c r="O1505" i="2"/>
  <c r="R1505" i="2"/>
  <c r="S1505" i="2" s="1"/>
  <c r="I1506" i="2"/>
  <c r="J1506" i="2"/>
  <c r="K1506" i="2"/>
  <c r="O1506" i="2"/>
  <c r="R1506" i="2"/>
  <c r="S1506" i="2" s="1"/>
  <c r="I1507" i="2"/>
  <c r="J1507" i="2"/>
  <c r="K1507" i="2"/>
  <c r="O1507" i="2"/>
  <c r="R1507" i="2"/>
  <c r="S1507" i="2" s="1"/>
  <c r="I1508" i="2"/>
  <c r="J1508" i="2"/>
  <c r="K1508" i="2"/>
  <c r="O1508" i="2"/>
  <c r="R1508" i="2"/>
  <c r="S1508" i="2" s="1"/>
  <c r="I1509" i="2"/>
  <c r="J1509" i="2"/>
  <c r="K1509" i="2"/>
  <c r="O1509" i="2"/>
  <c r="R1509" i="2"/>
  <c r="S1509" i="2" s="1"/>
  <c r="I1510" i="2"/>
  <c r="J1510" i="2"/>
  <c r="K1510" i="2"/>
  <c r="O1510" i="2"/>
  <c r="R1510" i="2"/>
  <c r="S1510" i="2" s="1"/>
  <c r="I1511" i="2"/>
  <c r="J1511" i="2"/>
  <c r="K1511" i="2"/>
  <c r="O1511" i="2"/>
  <c r="R1511" i="2"/>
  <c r="S1511" i="2" s="1"/>
  <c r="I1512" i="2"/>
  <c r="J1512" i="2"/>
  <c r="K1512" i="2"/>
  <c r="O1512" i="2"/>
  <c r="R1512" i="2"/>
  <c r="S1512" i="2" s="1"/>
  <c r="I1513" i="2"/>
  <c r="J1513" i="2"/>
  <c r="K1513" i="2"/>
  <c r="O1513" i="2"/>
  <c r="R1513" i="2"/>
  <c r="S1513" i="2" s="1"/>
  <c r="I1514" i="2"/>
  <c r="J1514" i="2"/>
  <c r="K1514" i="2"/>
  <c r="O1514" i="2"/>
  <c r="R1514" i="2"/>
  <c r="S1514" i="2" s="1"/>
  <c r="I1515" i="2"/>
  <c r="J1515" i="2"/>
  <c r="K1515" i="2"/>
  <c r="O1515" i="2"/>
  <c r="R1515" i="2"/>
  <c r="S1515" i="2" s="1"/>
  <c r="I1516" i="2"/>
  <c r="J1516" i="2"/>
  <c r="K1516" i="2"/>
  <c r="O1516" i="2"/>
  <c r="R1516" i="2"/>
  <c r="S1516" i="2" s="1"/>
  <c r="I1517" i="2"/>
  <c r="J1517" i="2"/>
  <c r="K1517" i="2"/>
  <c r="O1517" i="2"/>
  <c r="R1517" i="2"/>
  <c r="S1517" i="2" s="1"/>
  <c r="I1518" i="2"/>
  <c r="J1518" i="2"/>
  <c r="K1518" i="2"/>
  <c r="O1518" i="2"/>
  <c r="R1518" i="2"/>
  <c r="S1518" i="2" s="1"/>
  <c r="I1519" i="2"/>
  <c r="J1519" i="2"/>
  <c r="K1519" i="2"/>
  <c r="O1519" i="2"/>
  <c r="R1519" i="2"/>
  <c r="S1519" i="2" s="1"/>
  <c r="I1520" i="2"/>
  <c r="J1520" i="2"/>
  <c r="K1520" i="2"/>
  <c r="O1520" i="2"/>
  <c r="R1520" i="2"/>
  <c r="S1520" i="2" s="1"/>
  <c r="I1521" i="2"/>
  <c r="J1521" i="2"/>
  <c r="K1521" i="2"/>
  <c r="O1521" i="2"/>
  <c r="R1521" i="2"/>
  <c r="S1521" i="2" s="1"/>
  <c r="I1522" i="2"/>
  <c r="J1522" i="2"/>
  <c r="K1522" i="2"/>
  <c r="O1522" i="2"/>
  <c r="R1522" i="2"/>
  <c r="S1522" i="2" s="1"/>
  <c r="I1523" i="2"/>
  <c r="J1523" i="2"/>
  <c r="K1523" i="2"/>
  <c r="O1523" i="2"/>
  <c r="R1523" i="2"/>
  <c r="S1523" i="2" s="1"/>
  <c r="I1524" i="2"/>
  <c r="J1524" i="2"/>
  <c r="K1524" i="2"/>
  <c r="O1524" i="2"/>
  <c r="R1524" i="2"/>
  <c r="S1524" i="2" s="1"/>
  <c r="I1525" i="2"/>
  <c r="J1525" i="2"/>
  <c r="K1525" i="2"/>
  <c r="O1525" i="2"/>
  <c r="R1525" i="2"/>
  <c r="S1525" i="2" s="1"/>
  <c r="I1526" i="2"/>
  <c r="J1526" i="2"/>
  <c r="K1526" i="2"/>
  <c r="O1526" i="2"/>
  <c r="R1526" i="2"/>
  <c r="S1526" i="2" s="1"/>
  <c r="I1527" i="2"/>
  <c r="J1527" i="2"/>
  <c r="K1527" i="2"/>
  <c r="O1527" i="2"/>
  <c r="R1527" i="2"/>
  <c r="S1527" i="2" s="1"/>
  <c r="I1528" i="2"/>
  <c r="J1528" i="2"/>
  <c r="K1528" i="2"/>
  <c r="O1528" i="2"/>
  <c r="R1528" i="2"/>
  <c r="S1528" i="2" s="1"/>
  <c r="I1529" i="2"/>
  <c r="J1529" i="2"/>
  <c r="K1529" i="2"/>
  <c r="O1529" i="2"/>
  <c r="R1529" i="2"/>
  <c r="S1529" i="2" s="1"/>
  <c r="I1530" i="2"/>
  <c r="J1530" i="2"/>
  <c r="K1530" i="2"/>
  <c r="O1530" i="2"/>
  <c r="R1530" i="2"/>
  <c r="S1530" i="2" s="1"/>
  <c r="I1531" i="2"/>
  <c r="J1531" i="2"/>
  <c r="K1531" i="2"/>
  <c r="O1531" i="2"/>
  <c r="R1531" i="2"/>
  <c r="S1531" i="2" s="1"/>
  <c r="I1532" i="2"/>
  <c r="J1532" i="2"/>
  <c r="K1532" i="2"/>
  <c r="O1532" i="2"/>
  <c r="R1532" i="2"/>
  <c r="S1532" i="2" s="1"/>
  <c r="I1533" i="2"/>
  <c r="J1533" i="2"/>
  <c r="K1533" i="2"/>
  <c r="O1533" i="2"/>
  <c r="R1533" i="2"/>
  <c r="S1533" i="2" s="1"/>
  <c r="I1534" i="2"/>
  <c r="J1534" i="2"/>
  <c r="K1534" i="2"/>
  <c r="O1534" i="2"/>
  <c r="R1534" i="2"/>
  <c r="S1534" i="2" s="1"/>
  <c r="I1535" i="2"/>
  <c r="J1535" i="2"/>
  <c r="K1535" i="2"/>
  <c r="O1535" i="2"/>
  <c r="R1535" i="2"/>
  <c r="S1535" i="2" s="1"/>
  <c r="I1536" i="2"/>
  <c r="J1536" i="2"/>
  <c r="K1536" i="2"/>
  <c r="O1536" i="2"/>
  <c r="R1536" i="2"/>
  <c r="S1536" i="2" s="1"/>
  <c r="I1537" i="2"/>
  <c r="J1537" i="2"/>
  <c r="K1537" i="2"/>
  <c r="O1537" i="2"/>
  <c r="R1537" i="2"/>
  <c r="S1537" i="2" s="1"/>
  <c r="I1538" i="2"/>
  <c r="J1538" i="2"/>
  <c r="K1538" i="2"/>
  <c r="O1538" i="2"/>
  <c r="R1538" i="2"/>
  <c r="S1538" i="2" s="1"/>
  <c r="I1539" i="2"/>
  <c r="J1539" i="2"/>
  <c r="K1539" i="2"/>
  <c r="O1539" i="2"/>
  <c r="R1539" i="2"/>
  <c r="S1539" i="2" s="1"/>
  <c r="I1540" i="2"/>
  <c r="J1540" i="2"/>
  <c r="K1540" i="2"/>
  <c r="O1540" i="2"/>
  <c r="R1540" i="2"/>
  <c r="S1540" i="2" s="1"/>
  <c r="I1541" i="2"/>
  <c r="J1541" i="2"/>
  <c r="K1541" i="2"/>
  <c r="O1541" i="2"/>
  <c r="R1541" i="2"/>
  <c r="S1541" i="2" s="1"/>
  <c r="I1542" i="2"/>
  <c r="J1542" i="2"/>
  <c r="K1542" i="2"/>
  <c r="O1542" i="2"/>
  <c r="R1542" i="2"/>
  <c r="S1542" i="2" s="1"/>
  <c r="I1543" i="2"/>
  <c r="J1543" i="2"/>
  <c r="K1543" i="2"/>
  <c r="O1543" i="2"/>
  <c r="R1543" i="2"/>
  <c r="S1543" i="2" s="1"/>
  <c r="I1544" i="2"/>
  <c r="J1544" i="2"/>
  <c r="K1544" i="2"/>
  <c r="O1544" i="2"/>
  <c r="R1544" i="2"/>
  <c r="S1544" i="2" s="1"/>
  <c r="I1545" i="2"/>
  <c r="J1545" i="2"/>
  <c r="K1545" i="2"/>
  <c r="O1545" i="2"/>
  <c r="R1545" i="2"/>
  <c r="S1545" i="2" s="1"/>
  <c r="I1546" i="2"/>
  <c r="J1546" i="2"/>
  <c r="K1546" i="2"/>
  <c r="O1546" i="2"/>
  <c r="R1546" i="2"/>
  <c r="S1546" i="2" s="1"/>
  <c r="I1547" i="2"/>
  <c r="J1547" i="2"/>
  <c r="K1547" i="2"/>
  <c r="O1547" i="2"/>
  <c r="R1547" i="2"/>
  <c r="S1547" i="2" s="1"/>
  <c r="I1548" i="2"/>
  <c r="J1548" i="2"/>
  <c r="K1548" i="2"/>
  <c r="O1548" i="2"/>
  <c r="R1548" i="2"/>
  <c r="S1548" i="2" s="1"/>
  <c r="I1549" i="2"/>
  <c r="J1549" i="2"/>
  <c r="K1549" i="2"/>
  <c r="O1549" i="2"/>
  <c r="R1549" i="2"/>
  <c r="S1549" i="2" s="1"/>
  <c r="I1550" i="2"/>
  <c r="J1550" i="2"/>
  <c r="K1550" i="2"/>
  <c r="O1550" i="2"/>
  <c r="R1550" i="2"/>
  <c r="S1550" i="2" s="1"/>
  <c r="I1551" i="2"/>
  <c r="J1551" i="2"/>
  <c r="K1551" i="2"/>
  <c r="O1551" i="2"/>
  <c r="R1551" i="2"/>
  <c r="S1551" i="2" s="1"/>
  <c r="I1552" i="2"/>
  <c r="J1552" i="2"/>
  <c r="K1552" i="2"/>
  <c r="O1552" i="2"/>
  <c r="R1552" i="2"/>
  <c r="S1552" i="2" s="1"/>
  <c r="I1553" i="2"/>
  <c r="J1553" i="2"/>
  <c r="K1553" i="2"/>
  <c r="O1553" i="2"/>
  <c r="R1553" i="2"/>
  <c r="S1553" i="2" s="1"/>
  <c r="I1554" i="2"/>
  <c r="J1554" i="2"/>
  <c r="K1554" i="2"/>
  <c r="O1554" i="2"/>
  <c r="R1554" i="2"/>
  <c r="S1554" i="2" s="1"/>
  <c r="I1555" i="2"/>
  <c r="J1555" i="2"/>
  <c r="K1555" i="2"/>
  <c r="O1555" i="2"/>
  <c r="R1555" i="2"/>
  <c r="S1555" i="2" s="1"/>
  <c r="I1556" i="2"/>
  <c r="J1556" i="2"/>
  <c r="K1556" i="2"/>
  <c r="O1556" i="2"/>
  <c r="R1556" i="2"/>
  <c r="S1556" i="2" s="1"/>
  <c r="I1557" i="2"/>
  <c r="J1557" i="2"/>
  <c r="K1557" i="2"/>
  <c r="O1557" i="2"/>
  <c r="R1557" i="2"/>
  <c r="S1557" i="2" s="1"/>
  <c r="I1558" i="2"/>
  <c r="J1558" i="2"/>
  <c r="K1558" i="2"/>
  <c r="O1558" i="2"/>
  <c r="R1558" i="2"/>
  <c r="S1558" i="2" s="1"/>
  <c r="I1559" i="2"/>
  <c r="J1559" i="2"/>
  <c r="K1559" i="2"/>
  <c r="O1559" i="2"/>
  <c r="R1559" i="2"/>
  <c r="S1559" i="2" s="1"/>
  <c r="I1560" i="2"/>
  <c r="J1560" i="2"/>
  <c r="K1560" i="2"/>
  <c r="O1560" i="2"/>
  <c r="R1560" i="2"/>
  <c r="S1560" i="2" s="1"/>
  <c r="I1561" i="2"/>
  <c r="J1561" i="2"/>
  <c r="K1561" i="2"/>
  <c r="O1561" i="2"/>
  <c r="R1561" i="2"/>
  <c r="S1561" i="2" s="1"/>
  <c r="I1562" i="2"/>
  <c r="J1562" i="2"/>
  <c r="K1562" i="2"/>
  <c r="O1562" i="2"/>
  <c r="R1562" i="2"/>
  <c r="S1562" i="2" s="1"/>
  <c r="I1563" i="2"/>
  <c r="J1563" i="2"/>
  <c r="K1563" i="2"/>
  <c r="O1563" i="2"/>
  <c r="R1563" i="2"/>
  <c r="S1563" i="2" s="1"/>
  <c r="I1564" i="2"/>
  <c r="J1564" i="2"/>
  <c r="K1564" i="2"/>
  <c r="O1564" i="2"/>
  <c r="R1564" i="2"/>
  <c r="S1564" i="2" s="1"/>
  <c r="I1565" i="2"/>
  <c r="J1565" i="2"/>
  <c r="K1565" i="2"/>
  <c r="O1565" i="2"/>
  <c r="R1565" i="2"/>
  <c r="S1565" i="2" s="1"/>
  <c r="I1566" i="2"/>
  <c r="J1566" i="2"/>
  <c r="K1566" i="2"/>
  <c r="O1566" i="2"/>
  <c r="R1566" i="2"/>
  <c r="S1566" i="2" s="1"/>
  <c r="I1567" i="2"/>
  <c r="J1567" i="2"/>
  <c r="K1567" i="2"/>
  <c r="O1567" i="2"/>
  <c r="R1567" i="2"/>
  <c r="S1567" i="2" s="1"/>
  <c r="I1568" i="2"/>
  <c r="J1568" i="2"/>
  <c r="K1568" i="2"/>
  <c r="O1568" i="2"/>
  <c r="R1568" i="2"/>
  <c r="S1568" i="2" s="1"/>
  <c r="I1569" i="2"/>
  <c r="J1569" i="2"/>
  <c r="K1569" i="2"/>
  <c r="O1569" i="2"/>
  <c r="R1569" i="2"/>
  <c r="S1569" i="2" s="1"/>
  <c r="I1570" i="2"/>
  <c r="J1570" i="2"/>
  <c r="K1570" i="2"/>
  <c r="O1570" i="2"/>
  <c r="R1570" i="2"/>
  <c r="S1570" i="2" s="1"/>
  <c r="I1571" i="2"/>
  <c r="J1571" i="2"/>
  <c r="K1571" i="2"/>
  <c r="O1571" i="2"/>
  <c r="R1571" i="2"/>
  <c r="S1571" i="2" s="1"/>
  <c r="I1572" i="2"/>
  <c r="J1572" i="2"/>
  <c r="K1572" i="2"/>
  <c r="O1572" i="2"/>
  <c r="R1572" i="2"/>
  <c r="S1572" i="2" s="1"/>
  <c r="I1573" i="2"/>
  <c r="J1573" i="2"/>
  <c r="K1573" i="2"/>
  <c r="O1573" i="2"/>
  <c r="R1573" i="2"/>
  <c r="S1573" i="2" s="1"/>
  <c r="I1574" i="2"/>
  <c r="J1574" i="2"/>
  <c r="K1574" i="2"/>
  <c r="O1574" i="2"/>
  <c r="R1574" i="2"/>
  <c r="S1574" i="2" s="1"/>
  <c r="I1575" i="2"/>
  <c r="J1575" i="2"/>
  <c r="K1575" i="2"/>
  <c r="O1575" i="2"/>
  <c r="R1575" i="2"/>
  <c r="S1575" i="2" s="1"/>
  <c r="I1576" i="2"/>
  <c r="J1576" i="2"/>
  <c r="K1576" i="2"/>
  <c r="O1576" i="2"/>
  <c r="R1576" i="2"/>
  <c r="S1576" i="2" s="1"/>
  <c r="I1577" i="2"/>
  <c r="J1577" i="2"/>
  <c r="K1577" i="2"/>
  <c r="O1577" i="2"/>
  <c r="R1577" i="2"/>
  <c r="S1577" i="2" s="1"/>
  <c r="I1578" i="2"/>
  <c r="J1578" i="2"/>
  <c r="K1578" i="2"/>
  <c r="O1578" i="2"/>
  <c r="R1578" i="2"/>
  <c r="S1578" i="2" s="1"/>
  <c r="I1579" i="2"/>
  <c r="J1579" i="2"/>
  <c r="K1579" i="2"/>
  <c r="O1579" i="2"/>
  <c r="R1579" i="2"/>
  <c r="S1579" i="2" s="1"/>
  <c r="I1580" i="2"/>
  <c r="J1580" i="2"/>
  <c r="K1580" i="2"/>
  <c r="O1580" i="2"/>
  <c r="R1580" i="2"/>
  <c r="S1580" i="2" s="1"/>
  <c r="I1581" i="2"/>
  <c r="J1581" i="2"/>
  <c r="K1581" i="2"/>
  <c r="O1581" i="2"/>
  <c r="R1581" i="2"/>
  <c r="S1581" i="2" s="1"/>
  <c r="I1582" i="2"/>
  <c r="J1582" i="2"/>
  <c r="K1582" i="2"/>
  <c r="O1582" i="2"/>
  <c r="R1582" i="2"/>
  <c r="S1582" i="2" s="1"/>
  <c r="I1583" i="2"/>
  <c r="J1583" i="2"/>
  <c r="K1583" i="2"/>
  <c r="O1583" i="2"/>
  <c r="R1583" i="2"/>
  <c r="S1583" i="2" s="1"/>
  <c r="I1584" i="2"/>
  <c r="J1584" i="2"/>
  <c r="K1584" i="2"/>
  <c r="O1584" i="2"/>
  <c r="R1584" i="2"/>
  <c r="S1584" i="2" s="1"/>
  <c r="I1585" i="2"/>
  <c r="J1585" i="2"/>
  <c r="K1585" i="2"/>
  <c r="O1585" i="2"/>
  <c r="R1585" i="2"/>
  <c r="S1585" i="2" s="1"/>
  <c r="I1586" i="2"/>
  <c r="J1586" i="2"/>
  <c r="K1586" i="2"/>
  <c r="O1586" i="2"/>
  <c r="R1586" i="2"/>
  <c r="S1586" i="2" s="1"/>
  <c r="I1587" i="2"/>
  <c r="J1587" i="2"/>
  <c r="K1587" i="2"/>
  <c r="O1587" i="2"/>
  <c r="R1587" i="2"/>
  <c r="S1587" i="2" s="1"/>
  <c r="I1588" i="2"/>
  <c r="J1588" i="2"/>
  <c r="K1588" i="2"/>
  <c r="O1588" i="2"/>
  <c r="R1588" i="2"/>
  <c r="S1588" i="2" s="1"/>
  <c r="I1589" i="2"/>
  <c r="J1589" i="2"/>
  <c r="K1589" i="2"/>
  <c r="O1589" i="2"/>
  <c r="R1589" i="2"/>
  <c r="S1589" i="2" s="1"/>
  <c r="I1590" i="2"/>
  <c r="J1590" i="2"/>
  <c r="K1590" i="2"/>
  <c r="O1590" i="2"/>
  <c r="R1590" i="2"/>
  <c r="S1590" i="2" s="1"/>
  <c r="I1591" i="2"/>
  <c r="J1591" i="2"/>
  <c r="K1591" i="2"/>
  <c r="O1591" i="2"/>
  <c r="R1591" i="2"/>
  <c r="S1591" i="2" s="1"/>
  <c r="I1592" i="2"/>
  <c r="J1592" i="2"/>
  <c r="K1592" i="2"/>
  <c r="O1592" i="2"/>
  <c r="R1592" i="2"/>
  <c r="S1592" i="2" s="1"/>
  <c r="I1593" i="2"/>
  <c r="J1593" i="2"/>
  <c r="K1593" i="2"/>
  <c r="O1593" i="2"/>
  <c r="R1593" i="2"/>
  <c r="S1593" i="2" s="1"/>
  <c r="I1594" i="2"/>
  <c r="J1594" i="2"/>
  <c r="K1594" i="2"/>
  <c r="O1594" i="2"/>
  <c r="R1594" i="2"/>
  <c r="S1594" i="2" s="1"/>
  <c r="I1595" i="2"/>
  <c r="J1595" i="2"/>
  <c r="K1595" i="2"/>
  <c r="O1595" i="2"/>
  <c r="R1595" i="2"/>
  <c r="S1595" i="2" s="1"/>
  <c r="I1596" i="2"/>
  <c r="J1596" i="2"/>
  <c r="K1596" i="2"/>
  <c r="O1596" i="2"/>
  <c r="R1596" i="2"/>
  <c r="S1596" i="2" s="1"/>
  <c r="I1597" i="2"/>
  <c r="J1597" i="2"/>
  <c r="K1597" i="2"/>
  <c r="O1597" i="2"/>
  <c r="R1597" i="2"/>
  <c r="S1597" i="2" s="1"/>
  <c r="I1598" i="2"/>
  <c r="J1598" i="2"/>
  <c r="K1598" i="2"/>
  <c r="O1598" i="2"/>
  <c r="R1598" i="2"/>
  <c r="S1598" i="2" s="1"/>
  <c r="I1599" i="2"/>
  <c r="J1599" i="2"/>
  <c r="K1599" i="2"/>
  <c r="O1599" i="2"/>
  <c r="R1599" i="2"/>
  <c r="S1599" i="2" s="1"/>
  <c r="I1600" i="2"/>
  <c r="J1600" i="2"/>
  <c r="K1600" i="2"/>
  <c r="O1600" i="2"/>
  <c r="R1600" i="2"/>
  <c r="S1600" i="2" s="1"/>
  <c r="I1601" i="2"/>
  <c r="J1601" i="2"/>
  <c r="K1601" i="2"/>
  <c r="O1601" i="2"/>
  <c r="R1601" i="2"/>
  <c r="S1601" i="2" s="1"/>
  <c r="I1602" i="2"/>
  <c r="J1602" i="2"/>
  <c r="K1602" i="2"/>
  <c r="O1602" i="2"/>
  <c r="R1602" i="2"/>
  <c r="S1602" i="2" s="1"/>
  <c r="I1603" i="2"/>
  <c r="J1603" i="2"/>
  <c r="K1603" i="2"/>
  <c r="O1603" i="2"/>
  <c r="R1603" i="2"/>
  <c r="S1603" i="2" s="1"/>
  <c r="I1604" i="2"/>
  <c r="J1604" i="2"/>
  <c r="K1604" i="2"/>
  <c r="O1604" i="2"/>
  <c r="R1604" i="2"/>
  <c r="S1604" i="2" s="1"/>
  <c r="I1605" i="2"/>
  <c r="J1605" i="2"/>
  <c r="K1605" i="2"/>
  <c r="O1605" i="2"/>
  <c r="R1605" i="2"/>
  <c r="S1605" i="2" s="1"/>
  <c r="I1606" i="2"/>
  <c r="J1606" i="2"/>
  <c r="K1606" i="2"/>
  <c r="O1606" i="2"/>
  <c r="R1606" i="2"/>
  <c r="S1606" i="2" s="1"/>
  <c r="I1607" i="2"/>
  <c r="J1607" i="2"/>
  <c r="K1607" i="2"/>
  <c r="O1607" i="2"/>
  <c r="R1607" i="2"/>
  <c r="S1607" i="2" s="1"/>
  <c r="I1608" i="2"/>
  <c r="J1608" i="2"/>
  <c r="K1608" i="2"/>
  <c r="O1608" i="2"/>
  <c r="R1608" i="2"/>
  <c r="S1608" i="2" s="1"/>
  <c r="I1609" i="2"/>
  <c r="J1609" i="2"/>
  <c r="K1609" i="2"/>
  <c r="O1609" i="2"/>
  <c r="R1609" i="2"/>
  <c r="S1609" i="2" s="1"/>
  <c r="I1610" i="2"/>
  <c r="J1610" i="2"/>
  <c r="K1610" i="2"/>
  <c r="O1610" i="2"/>
  <c r="R1610" i="2"/>
  <c r="S1610" i="2" s="1"/>
  <c r="I1611" i="2"/>
  <c r="J1611" i="2"/>
  <c r="K1611" i="2"/>
  <c r="O1611" i="2"/>
  <c r="R1611" i="2"/>
  <c r="S1611" i="2" s="1"/>
  <c r="I1612" i="2"/>
  <c r="J1612" i="2"/>
  <c r="K1612" i="2"/>
  <c r="O1612" i="2"/>
  <c r="R1612" i="2"/>
  <c r="S1612" i="2" s="1"/>
  <c r="I1613" i="2"/>
  <c r="J1613" i="2"/>
  <c r="K1613" i="2"/>
  <c r="O1613" i="2"/>
  <c r="R1613" i="2"/>
  <c r="S1613" i="2" s="1"/>
  <c r="I1614" i="2"/>
  <c r="J1614" i="2"/>
  <c r="K1614" i="2"/>
  <c r="O1614" i="2"/>
  <c r="R1614" i="2"/>
  <c r="S1614" i="2" s="1"/>
  <c r="I1615" i="2"/>
  <c r="J1615" i="2"/>
  <c r="K1615" i="2"/>
  <c r="O1615" i="2"/>
  <c r="R1615" i="2"/>
  <c r="S1615" i="2" s="1"/>
  <c r="I1616" i="2"/>
  <c r="J1616" i="2"/>
  <c r="K1616" i="2"/>
  <c r="O1616" i="2"/>
  <c r="R1616" i="2"/>
  <c r="S1616" i="2" s="1"/>
  <c r="I1617" i="2"/>
  <c r="J1617" i="2"/>
  <c r="K1617" i="2"/>
  <c r="O1617" i="2"/>
  <c r="R1617" i="2"/>
  <c r="S1617" i="2" s="1"/>
  <c r="I1618" i="2"/>
  <c r="J1618" i="2"/>
  <c r="K1618" i="2"/>
  <c r="O1618" i="2"/>
  <c r="R1618" i="2"/>
  <c r="S1618" i="2" s="1"/>
  <c r="I1619" i="2"/>
  <c r="J1619" i="2"/>
  <c r="K1619" i="2"/>
  <c r="O1619" i="2"/>
  <c r="R1619" i="2"/>
  <c r="S1619" i="2" s="1"/>
  <c r="I1620" i="2"/>
  <c r="J1620" i="2"/>
  <c r="K1620" i="2"/>
  <c r="O1620" i="2"/>
  <c r="R1620" i="2"/>
  <c r="S1620" i="2" s="1"/>
  <c r="I1621" i="2"/>
  <c r="J1621" i="2"/>
  <c r="K1621" i="2"/>
  <c r="O1621" i="2"/>
  <c r="R1621" i="2"/>
  <c r="S1621" i="2" s="1"/>
  <c r="I1622" i="2"/>
  <c r="J1622" i="2"/>
  <c r="K1622" i="2"/>
  <c r="O1622" i="2"/>
  <c r="R1622" i="2"/>
  <c r="S1622" i="2" s="1"/>
  <c r="I1623" i="2"/>
  <c r="J1623" i="2"/>
  <c r="K1623" i="2"/>
  <c r="O1623" i="2"/>
  <c r="R1623" i="2"/>
  <c r="S1623" i="2" s="1"/>
  <c r="I1624" i="2"/>
  <c r="J1624" i="2"/>
  <c r="K1624" i="2"/>
  <c r="O1624" i="2"/>
  <c r="R1624" i="2"/>
  <c r="S1624" i="2" s="1"/>
  <c r="I1625" i="2"/>
  <c r="J1625" i="2"/>
  <c r="K1625" i="2"/>
  <c r="O1625" i="2"/>
  <c r="R1625" i="2"/>
  <c r="S1625" i="2" s="1"/>
  <c r="I1626" i="2"/>
  <c r="J1626" i="2"/>
  <c r="K1626" i="2"/>
  <c r="O1626" i="2"/>
  <c r="R1626" i="2"/>
  <c r="S1626" i="2" s="1"/>
  <c r="I1627" i="2"/>
  <c r="J1627" i="2"/>
  <c r="K1627" i="2"/>
  <c r="O1627" i="2"/>
  <c r="R1627" i="2"/>
  <c r="S1627" i="2" s="1"/>
  <c r="I1628" i="2"/>
  <c r="J1628" i="2"/>
  <c r="K1628" i="2"/>
  <c r="O1628" i="2"/>
  <c r="R1628" i="2"/>
  <c r="S1628" i="2" s="1"/>
  <c r="I1629" i="2"/>
  <c r="J1629" i="2"/>
  <c r="K1629" i="2"/>
  <c r="O1629" i="2"/>
  <c r="R1629" i="2"/>
  <c r="S1629" i="2" s="1"/>
  <c r="I1630" i="2"/>
  <c r="J1630" i="2"/>
  <c r="K1630" i="2"/>
  <c r="O1630" i="2"/>
  <c r="R1630" i="2"/>
  <c r="S1630" i="2" s="1"/>
  <c r="I1631" i="2"/>
  <c r="J1631" i="2"/>
  <c r="K1631" i="2"/>
  <c r="O1631" i="2"/>
  <c r="R1631" i="2"/>
  <c r="S1631" i="2" s="1"/>
  <c r="I1632" i="2"/>
  <c r="J1632" i="2"/>
  <c r="K1632" i="2"/>
  <c r="O1632" i="2"/>
  <c r="R1632" i="2"/>
  <c r="S1632" i="2" s="1"/>
  <c r="I1633" i="2"/>
  <c r="J1633" i="2"/>
  <c r="K1633" i="2"/>
  <c r="O1633" i="2"/>
  <c r="R1633" i="2"/>
  <c r="S1633" i="2" s="1"/>
  <c r="I1634" i="2"/>
  <c r="J1634" i="2"/>
  <c r="K1634" i="2"/>
  <c r="O1634" i="2"/>
  <c r="R1634" i="2"/>
  <c r="S1634" i="2" s="1"/>
  <c r="I1635" i="2"/>
  <c r="J1635" i="2"/>
  <c r="K1635" i="2"/>
  <c r="O1635" i="2"/>
  <c r="R1635" i="2"/>
  <c r="S1635" i="2" s="1"/>
  <c r="I1636" i="2"/>
  <c r="J1636" i="2"/>
  <c r="K1636" i="2"/>
  <c r="O1636" i="2"/>
  <c r="R1636" i="2"/>
  <c r="S1636" i="2" s="1"/>
  <c r="I1637" i="2"/>
  <c r="J1637" i="2"/>
  <c r="K1637" i="2"/>
  <c r="O1637" i="2"/>
  <c r="R1637" i="2"/>
  <c r="S1637" i="2" s="1"/>
  <c r="I1638" i="2"/>
  <c r="J1638" i="2"/>
  <c r="K1638" i="2"/>
  <c r="O1638" i="2"/>
  <c r="R1638" i="2"/>
  <c r="S1638" i="2" s="1"/>
  <c r="I1639" i="2"/>
  <c r="J1639" i="2"/>
  <c r="K1639" i="2"/>
  <c r="O1639" i="2"/>
  <c r="R1639" i="2"/>
  <c r="S1639" i="2" s="1"/>
  <c r="I1640" i="2"/>
  <c r="J1640" i="2"/>
  <c r="K1640" i="2"/>
  <c r="O1640" i="2"/>
  <c r="R1640" i="2"/>
  <c r="S1640" i="2" s="1"/>
  <c r="I1641" i="2"/>
  <c r="J1641" i="2"/>
  <c r="K1641" i="2"/>
  <c r="O1641" i="2"/>
  <c r="R1641" i="2"/>
  <c r="S1641" i="2" s="1"/>
  <c r="I1642" i="2"/>
  <c r="J1642" i="2"/>
  <c r="K1642" i="2"/>
  <c r="O1642" i="2"/>
  <c r="R1642" i="2"/>
  <c r="S1642" i="2" s="1"/>
  <c r="I1643" i="2"/>
  <c r="J1643" i="2"/>
  <c r="K1643" i="2"/>
  <c r="O1643" i="2"/>
  <c r="R1643" i="2"/>
  <c r="S1643" i="2" s="1"/>
  <c r="I1644" i="2"/>
  <c r="J1644" i="2"/>
  <c r="K1644" i="2"/>
  <c r="O1644" i="2"/>
  <c r="R1644" i="2"/>
  <c r="S1644" i="2" s="1"/>
  <c r="I1645" i="2"/>
  <c r="J1645" i="2"/>
  <c r="K1645" i="2"/>
  <c r="O1645" i="2"/>
  <c r="R1645" i="2"/>
  <c r="S1645" i="2" s="1"/>
  <c r="I1646" i="2"/>
  <c r="J1646" i="2"/>
  <c r="K1646" i="2"/>
  <c r="O1646" i="2"/>
  <c r="R1646" i="2"/>
  <c r="S1646" i="2" s="1"/>
  <c r="I1647" i="2"/>
  <c r="J1647" i="2"/>
  <c r="K1647" i="2"/>
  <c r="O1647" i="2"/>
  <c r="R1647" i="2"/>
  <c r="S1647" i="2" s="1"/>
  <c r="I1648" i="2"/>
  <c r="J1648" i="2"/>
  <c r="K1648" i="2"/>
  <c r="O1648" i="2"/>
  <c r="R1648" i="2"/>
  <c r="S1648" i="2" s="1"/>
  <c r="I1649" i="2"/>
  <c r="J1649" i="2"/>
  <c r="K1649" i="2"/>
  <c r="O1649" i="2"/>
  <c r="R1649" i="2"/>
  <c r="S1649" i="2" s="1"/>
  <c r="I1650" i="2"/>
  <c r="J1650" i="2"/>
  <c r="K1650" i="2"/>
  <c r="O1650" i="2"/>
  <c r="R1650" i="2"/>
  <c r="S1650" i="2" s="1"/>
  <c r="I1651" i="2"/>
  <c r="J1651" i="2"/>
  <c r="K1651" i="2"/>
  <c r="O1651" i="2"/>
  <c r="R1651" i="2"/>
  <c r="S1651" i="2" s="1"/>
  <c r="I1652" i="2"/>
  <c r="J1652" i="2"/>
  <c r="K1652" i="2"/>
  <c r="O1652" i="2"/>
  <c r="R1652" i="2"/>
  <c r="S1652" i="2" s="1"/>
  <c r="I1653" i="2"/>
  <c r="J1653" i="2"/>
  <c r="K1653" i="2"/>
  <c r="O1653" i="2"/>
  <c r="R1653" i="2"/>
  <c r="S1653" i="2" s="1"/>
  <c r="I1654" i="2"/>
  <c r="J1654" i="2"/>
  <c r="K1654" i="2"/>
  <c r="O1654" i="2"/>
  <c r="R1654" i="2"/>
  <c r="S1654" i="2" s="1"/>
  <c r="I1655" i="2"/>
  <c r="J1655" i="2"/>
  <c r="K1655" i="2"/>
  <c r="O1655" i="2"/>
  <c r="R1655" i="2"/>
  <c r="S1655" i="2" s="1"/>
  <c r="I1656" i="2"/>
  <c r="J1656" i="2"/>
  <c r="K1656" i="2"/>
  <c r="O1656" i="2"/>
  <c r="R1656" i="2"/>
  <c r="S1656" i="2" s="1"/>
  <c r="I1657" i="2"/>
  <c r="J1657" i="2"/>
  <c r="K1657" i="2"/>
  <c r="O1657" i="2"/>
  <c r="R1657" i="2"/>
  <c r="S1657" i="2" s="1"/>
  <c r="I1658" i="2"/>
  <c r="J1658" i="2"/>
  <c r="K1658" i="2"/>
  <c r="O1658" i="2"/>
  <c r="R1658" i="2"/>
  <c r="S1658" i="2" s="1"/>
  <c r="I1659" i="2"/>
  <c r="J1659" i="2"/>
  <c r="K1659" i="2"/>
  <c r="O1659" i="2"/>
  <c r="R1659" i="2"/>
  <c r="S1659" i="2" s="1"/>
  <c r="I1660" i="2"/>
  <c r="J1660" i="2"/>
  <c r="K1660" i="2"/>
  <c r="O1660" i="2"/>
  <c r="R1660" i="2"/>
  <c r="S1660" i="2" s="1"/>
  <c r="I1661" i="2"/>
  <c r="J1661" i="2"/>
  <c r="K1661" i="2"/>
  <c r="O1661" i="2"/>
  <c r="R1661" i="2"/>
  <c r="S1661" i="2" s="1"/>
  <c r="I1662" i="2"/>
  <c r="J1662" i="2"/>
  <c r="K1662" i="2"/>
  <c r="O1662" i="2"/>
  <c r="R1662" i="2"/>
  <c r="S1662" i="2" s="1"/>
  <c r="I1663" i="2"/>
  <c r="J1663" i="2"/>
  <c r="K1663" i="2"/>
  <c r="O1663" i="2"/>
  <c r="R1663" i="2"/>
  <c r="S1663" i="2" s="1"/>
  <c r="I1664" i="2"/>
  <c r="J1664" i="2"/>
  <c r="K1664" i="2"/>
  <c r="O1664" i="2"/>
  <c r="R1664" i="2"/>
  <c r="S1664" i="2" s="1"/>
  <c r="I1665" i="2"/>
  <c r="J1665" i="2"/>
  <c r="K1665" i="2"/>
  <c r="O1665" i="2"/>
  <c r="R1665" i="2"/>
  <c r="S1665" i="2" s="1"/>
  <c r="I1666" i="2"/>
  <c r="J1666" i="2"/>
  <c r="K1666" i="2"/>
  <c r="O1666" i="2"/>
  <c r="R1666" i="2"/>
  <c r="S1666" i="2" s="1"/>
  <c r="I1667" i="2"/>
  <c r="J1667" i="2"/>
  <c r="K1667" i="2"/>
  <c r="O1667" i="2"/>
  <c r="R1667" i="2"/>
  <c r="S1667" i="2" s="1"/>
  <c r="I1668" i="2"/>
  <c r="J1668" i="2"/>
  <c r="K1668" i="2"/>
  <c r="O1668" i="2"/>
  <c r="R1668" i="2"/>
  <c r="S1668" i="2" s="1"/>
  <c r="I1669" i="2"/>
  <c r="J1669" i="2"/>
  <c r="K1669" i="2"/>
  <c r="O1669" i="2"/>
  <c r="R1669" i="2"/>
  <c r="S1669" i="2" s="1"/>
  <c r="I1670" i="2"/>
  <c r="J1670" i="2"/>
  <c r="K1670" i="2"/>
  <c r="O1670" i="2"/>
  <c r="R1670" i="2"/>
  <c r="S1670" i="2" s="1"/>
  <c r="I1671" i="2"/>
  <c r="J1671" i="2"/>
  <c r="K1671" i="2"/>
  <c r="O1671" i="2"/>
  <c r="R1671" i="2"/>
  <c r="S1671" i="2" s="1"/>
  <c r="I1672" i="2"/>
  <c r="J1672" i="2"/>
  <c r="K1672" i="2"/>
  <c r="O1672" i="2"/>
  <c r="R1672" i="2"/>
  <c r="S1672" i="2" s="1"/>
  <c r="I1673" i="2"/>
  <c r="J1673" i="2"/>
  <c r="K1673" i="2"/>
  <c r="O1673" i="2"/>
  <c r="R1673" i="2"/>
  <c r="S1673" i="2" s="1"/>
  <c r="I1674" i="2"/>
  <c r="J1674" i="2"/>
  <c r="K1674" i="2"/>
  <c r="O1674" i="2"/>
  <c r="R1674" i="2"/>
  <c r="S1674" i="2" s="1"/>
  <c r="I1675" i="2"/>
  <c r="J1675" i="2"/>
  <c r="K1675" i="2"/>
  <c r="O1675" i="2"/>
  <c r="R1675" i="2"/>
  <c r="S1675" i="2" s="1"/>
  <c r="I1676" i="2"/>
  <c r="J1676" i="2"/>
  <c r="K1676" i="2"/>
  <c r="O1676" i="2"/>
  <c r="R1676" i="2"/>
  <c r="S1676" i="2" s="1"/>
  <c r="I1677" i="2"/>
  <c r="J1677" i="2"/>
  <c r="K1677" i="2"/>
  <c r="O1677" i="2"/>
  <c r="R1677" i="2"/>
  <c r="S1677" i="2" s="1"/>
  <c r="I1678" i="2"/>
  <c r="J1678" i="2"/>
  <c r="K1678" i="2"/>
  <c r="O1678" i="2"/>
  <c r="R1678" i="2"/>
  <c r="S1678" i="2" s="1"/>
  <c r="I1679" i="2"/>
  <c r="J1679" i="2"/>
  <c r="K1679" i="2"/>
  <c r="O1679" i="2"/>
  <c r="R1679" i="2"/>
  <c r="S1679" i="2" s="1"/>
  <c r="I1680" i="2"/>
  <c r="J1680" i="2"/>
  <c r="K1680" i="2"/>
  <c r="O1680" i="2"/>
  <c r="R1680" i="2"/>
  <c r="S1680" i="2" s="1"/>
  <c r="I1681" i="2"/>
  <c r="J1681" i="2"/>
  <c r="K1681" i="2"/>
  <c r="O1681" i="2"/>
  <c r="R1681" i="2"/>
  <c r="S1681" i="2" s="1"/>
  <c r="I1682" i="2"/>
  <c r="J1682" i="2"/>
  <c r="K1682" i="2"/>
  <c r="O1682" i="2"/>
  <c r="R1682" i="2"/>
  <c r="S1682" i="2" s="1"/>
  <c r="I1683" i="2"/>
  <c r="J1683" i="2"/>
  <c r="K1683" i="2"/>
  <c r="O1683" i="2"/>
  <c r="R1683" i="2"/>
  <c r="S1683" i="2" s="1"/>
  <c r="I1684" i="2"/>
  <c r="J1684" i="2"/>
  <c r="K1684" i="2"/>
  <c r="O1684" i="2"/>
  <c r="R1684" i="2"/>
  <c r="S1684" i="2" s="1"/>
  <c r="I1685" i="2"/>
  <c r="J1685" i="2"/>
  <c r="K1685" i="2"/>
  <c r="O1685" i="2"/>
  <c r="R1685" i="2"/>
  <c r="S1685" i="2" s="1"/>
  <c r="I1686" i="2"/>
  <c r="J1686" i="2"/>
  <c r="K1686" i="2"/>
  <c r="O1686" i="2"/>
  <c r="R1686" i="2"/>
  <c r="S1686" i="2" s="1"/>
  <c r="I1687" i="2"/>
  <c r="J1687" i="2"/>
  <c r="K1687" i="2"/>
  <c r="O1687" i="2"/>
  <c r="R1687" i="2"/>
  <c r="S1687" i="2" s="1"/>
  <c r="I1688" i="2"/>
  <c r="J1688" i="2"/>
  <c r="K1688" i="2"/>
  <c r="O1688" i="2"/>
  <c r="R1688" i="2"/>
  <c r="S1688" i="2" s="1"/>
  <c r="I1689" i="2"/>
  <c r="J1689" i="2"/>
  <c r="K1689" i="2"/>
  <c r="O1689" i="2"/>
  <c r="R1689" i="2"/>
  <c r="S1689" i="2" s="1"/>
  <c r="I1690" i="2"/>
  <c r="J1690" i="2"/>
  <c r="K1690" i="2"/>
  <c r="O1690" i="2"/>
  <c r="R1690" i="2"/>
  <c r="S1690" i="2" s="1"/>
  <c r="I1691" i="2"/>
  <c r="J1691" i="2"/>
  <c r="K1691" i="2"/>
  <c r="O1691" i="2"/>
  <c r="R1691" i="2"/>
  <c r="S1691" i="2" s="1"/>
  <c r="I1692" i="2"/>
  <c r="J1692" i="2"/>
  <c r="K1692" i="2"/>
  <c r="O1692" i="2"/>
  <c r="R1692" i="2"/>
  <c r="S1692" i="2" s="1"/>
  <c r="I1693" i="2"/>
  <c r="J1693" i="2"/>
  <c r="K1693" i="2"/>
  <c r="O1693" i="2"/>
  <c r="R1693" i="2"/>
  <c r="S1693" i="2" s="1"/>
  <c r="I1694" i="2"/>
  <c r="J1694" i="2"/>
  <c r="K1694" i="2"/>
  <c r="O1694" i="2"/>
  <c r="R1694" i="2"/>
  <c r="S1694" i="2" s="1"/>
  <c r="I1695" i="2"/>
  <c r="J1695" i="2"/>
  <c r="K1695" i="2"/>
  <c r="O1695" i="2"/>
  <c r="R1695" i="2"/>
  <c r="S1695" i="2" s="1"/>
  <c r="I1696" i="2"/>
  <c r="J1696" i="2"/>
  <c r="K1696" i="2"/>
  <c r="O1696" i="2"/>
  <c r="R1696" i="2"/>
  <c r="S1696" i="2" s="1"/>
  <c r="I1697" i="2"/>
  <c r="J1697" i="2"/>
  <c r="K1697" i="2"/>
  <c r="O1697" i="2"/>
  <c r="R1697" i="2"/>
  <c r="S1697" i="2" s="1"/>
  <c r="I1698" i="2"/>
  <c r="J1698" i="2"/>
  <c r="K1698" i="2"/>
  <c r="O1698" i="2"/>
  <c r="R1698" i="2"/>
  <c r="S1698" i="2" s="1"/>
  <c r="I1699" i="2"/>
  <c r="J1699" i="2"/>
  <c r="K1699" i="2"/>
  <c r="O1699" i="2"/>
  <c r="R1699" i="2"/>
  <c r="S1699" i="2" s="1"/>
  <c r="I1700" i="2"/>
  <c r="J1700" i="2"/>
  <c r="K1700" i="2"/>
  <c r="O1700" i="2"/>
  <c r="R1700" i="2"/>
  <c r="S1700" i="2" s="1"/>
  <c r="I1701" i="2"/>
  <c r="J1701" i="2"/>
  <c r="K1701" i="2"/>
  <c r="O1701" i="2"/>
  <c r="R1701" i="2"/>
  <c r="S1701" i="2" s="1"/>
  <c r="I1702" i="2"/>
  <c r="J1702" i="2"/>
  <c r="K1702" i="2"/>
  <c r="O1702" i="2"/>
  <c r="R1702" i="2"/>
  <c r="S1702" i="2" s="1"/>
  <c r="I1703" i="2"/>
  <c r="J1703" i="2"/>
  <c r="K1703" i="2"/>
  <c r="O1703" i="2"/>
  <c r="R1703" i="2"/>
  <c r="S1703" i="2" s="1"/>
  <c r="I1704" i="2"/>
  <c r="J1704" i="2"/>
  <c r="K1704" i="2"/>
  <c r="O1704" i="2"/>
  <c r="R1704" i="2"/>
  <c r="S1704" i="2" s="1"/>
  <c r="I1705" i="2"/>
  <c r="J1705" i="2"/>
  <c r="K1705" i="2"/>
  <c r="O1705" i="2"/>
  <c r="R1705" i="2"/>
  <c r="S1705" i="2" s="1"/>
  <c r="I1706" i="2"/>
  <c r="J1706" i="2"/>
  <c r="K1706" i="2"/>
  <c r="O1706" i="2"/>
  <c r="R1706" i="2"/>
  <c r="S1706" i="2" s="1"/>
  <c r="I1707" i="2"/>
  <c r="J1707" i="2"/>
  <c r="K1707" i="2"/>
  <c r="O1707" i="2"/>
  <c r="R1707" i="2"/>
  <c r="S1707" i="2" s="1"/>
  <c r="I1708" i="2"/>
  <c r="J1708" i="2"/>
  <c r="K1708" i="2"/>
  <c r="O1708" i="2"/>
  <c r="R1708" i="2"/>
  <c r="S1708" i="2" s="1"/>
  <c r="I1709" i="2"/>
  <c r="J1709" i="2"/>
  <c r="K1709" i="2"/>
  <c r="O1709" i="2"/>
  <c r="R1709" i="2"/>
  <c r="S1709" i="2" s="1"/>
  <c r="I1710" i="2"/>
  <c r="J1710" i="2"/>
  <c r="K1710" i="2"/>
  <c r="O1710" i="2"/>
  <c r="R1710" i="2"/>
  <c r="S1710" i="2" s="1"/>
  <c r="I1711" i="2"/>
  <c r="J1711" i="2"/>
  <c r="K1711" i="2"/>
  <c r="O1711" i="2"/>
  <c r="R1711" i="2"/>
  <c r="S1711" i="2" s="1"/>
  <c r="I1712" i="2"/>
  <c r="J1712" i="2"/>
  <c r="K1712" i="2"/>
  <c r="O1712" i="2"/>
  <c r="R1712" i="2"/>
  <c r="S1712" i="2" s="1"/>
  <c r="I1713" i="2"/>
  <c r="J1713" i="2"/>
  <c r="K1713" i="2"/>
  <c r="O1713" i="2"/>
  <c r="R1713" i="2"/>
  <c r="S1713" i="2" s="1"/>
  <c r="I1714" i="2"/>
  <c r="J1714" i="2"/>
  <c r="K1714" i="2"/>
  <c r="O1714" i="2"/>
  <c r="R1714" i="2"/>
  <c r="S1714" i="2" s="1"/>
  <c r="I1715" i="2"/>
  <c r="J1715" i="2"/>
  <c r="K1715" i="2"/>
  <c r="O1715" i="2"/>
  <c r="R1715" i="2"/>
  <c r="S1715" i="2" s="1"/>
  <c r="I1716" i="2"/>
  <c r="J1716" i="2"/>
  <c r="K1716" i="2"/>
  <c r="O1716" i="2"/>
  <c r="R1716" i="2"/>
  <c r="S1716" i="2" s="1"/>
  <c r="I1717" i="2"/>
  <c r="J1717" i="2"/>
  <c r="K1717" i="2"/>
  <c r="O1717" i="2"/>
  <c r="R1717" i="2"/>
  <c r="S1717" i="2" s="1"/>
  <c r="I1718" i="2"/>
  <c r="J1718" i="2"/>
  <c r="K1718" i="2"/>
  <c r="O1718" i="2"/>
  <c r="R1718" i="2"/>
  <c r="S1718" i="2" s="1"/>
  <c r="I1719" i="2"/>
  <c r="J1719" i="2"/>
  <c r="K1719" i="2"/>
  <c r="O1719" i="2"/>
  <c r="R1719" i="2"/>
  <c r="S1719" i="2" s="1"/>
  <c r="I1720" i="2"/>
  <c r="J1720" i="2"/>
  <c r="K1720" i="2"/>
  <c r="O1720" i="2"/>
  <c r="R1720" i="2"/>
  <c r="S1720" i="2" s="1"/>
  <c r="I1721" i="2"/>
  <c r="J1721" i="2"/>
  <c r="K1721" i="2"/>
  <c r="O1721" i="2"/>
  <c r="R1721" i="2"/>
  <c r="S1721" i="2" s="1"/>
  <c r="I1722" i="2"/>
  <c r="J1722" i="2"/>
  <c r="K1722" i="2"/>
  <c r="O1722" i="2"/>
  <c r="R1722" i="2"/>
  <c r="S1722" i="2" s="1"/>
  <c r="I1723" i="2"/>
  <c r="J1723" i="2"/>
  <c r="K1723" i="2"/>
  <c r="O1723" i="2"/>
  <c r="R1723" i="2"/>
  <c r="S1723" i="2" s="1"/>
  <c r="I1724" i="2"/>
  <c r="J1724" i="2"/>
  <c r="K1724" i="2"/>
  <c r="O1724" i="2"/>
  <c r="R1724" i="2"/>
  <c r="S1724" i="2" s="1"/>
  <c r="I1725" i="2"/>
  <c r="J1725" i="2"/>
  <c r="K1725" i="2"/>
  <c r="O1725" i="2"/>
  <c r="R1725" i="2"/>
  <c r="S1725" i="2" s="1"/>
  <c r="I1726" i="2"/>
  <c r="J1726" i="2"/>
  <c r="K1726" i="2"/>
  <c r="O1726" i="2"/>
  <c r="R1726" i="2"/>
  <c r="S1726" i="2" s="1"/>
  <c r="I1727" i="2"/>
  <c r="J1727" i="2"/>
  <c r="K1727" i="2"/>
  <c r="O1727" i="2"/>
  <c r="R1727" i="2"/>
  <c r="S1727" i="2" s="1"/>
  <c r="I1728" i="2"/>
  <c r="J1728" i="2"/>
  <c r="K1728" i="2"/>
  <c r="O1728" i="2"/>
  <c r="R1728" i="2"/>
  <c r="S1728" i="2" s="1"/>
  <c r="I1729" i="2"/>
  <c r="J1729" i="2"/>
  <c r="K1729" i="2"/>
  <c r="O1729" i="2"/>
  <c r="R1729" i="2"/>
  <c r="S1729" i="2" s="1"/>
  <c r="I1730" i="2"/>
  <c r="J1730" i="2"/>
  <c r="K1730" i="2"/>
  <c r="O1730" i="2"/>
  <c r="R1730" i="2"/>
  <c r="S1730" i="2" s="1"/>
  <c r="I1731" i="2"/>
  <c r="J1731" i="2"/>
  <c r="K1731" i="2"/>
  <c r="O1731" i="2"/>
  <c r="R1731" i="2"/>
  <c r="S1731" i="2" s="1"/>
  <c r="I1732" i="2"/>
  <c r="J1732" i="2"/>
  <c r="K1732" i="2"/>
  <c r="O1732" i="2"/>
  <c r="R1732" i="2"/>
  <c r="S1732" i="2" s="1"/>
  <c r="I1733" i="2"/>
  <c r="J1733" i="2"/>
  <c r="K1733" i="2"/>
  <c r="O1733" i="2"/>
  <c r="R1733" i="2"/>
  <c r="S1733" i="2" s="1"/>
  <c r="I1734" i="2"/>
  <c r="J1734" i="2"/>
  <c r="K1734" i="2"/>
  <c r="O1734" i="2"/>
  <c r="R1734" i="2"/>
  <c r="S1734" i="2" s="1"/>
  <c r="I1735" i="2"/>
  <c r="J1735" i="2"/>
  <c r="K1735" i="2"/>
  <c r="O1735" i="2"/>
  <c r="R1735" i="2"/>
  <c r="S1735" i="2" s="1"/>
  <c r="I1736" i="2"/>
  <c r="J1736" i="2"/>
  <c r="K1736" i="2"/>
  <c r="O1736" i="2"/>
  <c r="R1736" i="2"/>
  <c r="S1736" i="2" s="1"/>
  <c r="I1737" i="2"/>
  <c r="J1737" i="2"/>
  <c r="K1737" i="2"/>
  <c r="O1737" i="2"/>
  <c r="R1737" i="2"/>
  <c r="S1737" i="2" s="1"/>
  <c r="I1738" i="2"/>
  <c r="J1738" i="2"/>
  <c r="K1738" i="2"/>
  <c r="O1738" i="2"/>
  <c r="R1738" i="2"/>
  <c r="S1738" i="2" s="1"/>
  <c r="I1739" i="2"/>
  <c r="J1739" i="2"/>
  <c r="K1739" i="2"/>
  <c r="O1739" i="2"/>
  <c r="R1739" i="2"/>
  <c r="S1739" i="2" s="1"/>
  <c r="I1740" i="2"/>
  <c r="J1740" i="2"/>
  <c r="K1740" i="2"/>
  <c r="O1740" i="2"/>
  <c r="R1740" i="2"/>
  <c r="S1740" i="2" s="1"/>
  <c r="I1741" i="2"/>
  <c r="J1741" i="2"/>
  <c r="K1741" i="2"/>
  <c r="O1741" i="2"/>
  <c r="R1741" i="2"/>
  <c r="S1741" i="2" s="1"/>
  <c r="I1742" i="2"/>
  <c r="J1742" i="2"/>
  <c r="K1742" i="2"/>
  <c r="O1742" i="2"/>
  <c r="R1742" i="2"/>
  <c r="S1742" i="2" s="1"/>
  <c r="I1743" i="2"/>
  <c r="J1743" i="2"/>
  <c r="K1743" i="2"/>
  <c r="O1743" i="2"/>
  <c r="R1743" i="2"/>
  <c r="S1743" i="2" s="1"/>
  <c r="I1744" i="2"/>
  <c r="J1744" i="2"/>
  <c r="K1744" i="2"/>
  <c r="O1744" i="2"/>
  <c r="R1744" i="2"/>
  <c r="S1744" i="2" s="1"/>
  <c r="I1745" i="2"/>
  <c r="J1745" i="2"/>
  <c r="K1745" i="2"/>
  <c r="O1745" i="2"/>
  <c r="R1745" i="2"/>
  <c r="S1745" i="2" s="1"/>
  <c r="I1746" i="2"/>
  <c r="J1746" i="2"/>
  <c r="K1746" i="2"/>
  <c r="O1746" i="2"/>
  <c r="R1746" i="2"/>
  <c r="S1746" i="2" s="1"/>
  <c r="I1747" i="2"/>
  <c r="J1747" i="2"/>
  <c r="K1747" i="2"/>
  <c r="O1747" i="2"/>
  <c r="R1747" i="2"/>
  <c r="S1747" i="2" s="1"/>
  <c r="I1748" i="2"/>
  <c r="J1748" i="2"/>
  <c r="K1748" i="2"/>
  <c r="O1748" i="2"/>
  <c r="R1748" i="2"/>
  <c r="S1748" i="2" s="1"/>
  <c r="I1749" i="2"/>
  <c r="J1749" i="2"/>
  <c r="K1749" i="2"/>
  <c r="O1749" i="2"/>
  <c r="R1749" i="2"/>
  <c r="S1749" i="2" s="1"/>
  <c r="I1750" i="2"/>
  <c r="J1750" i="2"/>
  <c r="K1750" i="2"/>
  <c r="O1750" i="2"/>
  <c r="R1750" i="2"/>
  <c r="S1750" i="2" s="1"/>
  <c r="I1751" i="2"/>
  <c r="J1751" i="2"/>
  <c r="K1751" i="2"/>
  <c r="O1751" i="2"/>
  <c r="R1751" i="2"/>
  <c r="S1751" i="2" s="1"/>
  <c r="I1752" i="2"/>
  <c r="J1752" i="2"/>
  <c r="K1752" i="2"/>
  <c r="O1752" i="2"/>
  <c r="R1752" i="2"/>
  <c r="S1752" i="2" s="1"/>
  <c r="I1753" i="2"/>
  <c r="J1753" i="2"/>
  <c r="K1753" i="2"/>
  <c r="O1753" i="2"/>
  <c r="R1753" i="2"/>
  <c r="S1753" i="2" s="1"/>
  <c r="I1754" i="2"/>
  <c r="J1754" i="2"/>
  <c r="K1754" i="2"/>
  <c r="O1754" i="2"/>
  <c r="R1754" i="2"/>
  <c r="S1754" i="2" s="1"/>
  <c r="I1755" i="2"/>
  <c r="J1755" i="2"/>
  <c r="K1755" i="2"/>
  <c r="O1755" i="2"/>
  <c r="R1755" i="2"/>
  <c r="S1755" i="2" s="1"/>
  <c r="I1756" i="2"/>
  <c r="J1756" i="2"/>
  <c r="K1756" i="2"/>
  <c r="O1756" i="2"/>
  <c r="R1756" i="2"/>
  <c r="S1756" i="2" s="1"/>
  <c r="I1757" i="2"/>
  <c r="J1757" i="2"/>
  <c r="K1757" i="2"/>
  <c r="O1757" i="2"/>
  <c r="R1757" i="2"/>
  <c r="S1757" i="2" s="1"/>
  <c r="I1758" i="2"/>
  <c r="J1758" i="2"/>
  <c r="K1758" i="2"/>
  <c r="O1758" i="2"/>
  <c r="R1758" i="2"/>
  <c r="S1758" i="2" s="1"/>
  <c r="I1759" i="2"/>
  <c r="J1759" i="2"/>
  <c r="K1759" i="2"/>
  <c r="O1759" i="2"/>
  <c r="R1759" i="2"/>
  <c r="S1759" i="2" s="1"/>
  <c r="I1760" i="2"/>
  <c r="J1760" i="2"/>
  <c r="K1760" i="2"/>
  <c r="O1760" i="2"/>
  <c r="R1760" i="2"/>
  <c r="S1760" i="2" s="1"/>
  <c r="I1761" i="2"/>
  <c r="J1761" i="2"/>
  <c r="K1761" i="2"/>
  <c r="O1761" i="2"/>
  <c r="R1761" i="2"/>
  <c r="S1761" i="2" s="1"/>
  <c r="I1762" i="2"/>
  <c r="J1762" i="2"/>
  <c r="K1762" i="2"/>
  <c r="O1762" i="2"/>
  <c r="R1762" i="2"/>
  <c r="S1762" i="2" s="1"/>
  <c r="I1763" i="2"/>
  <c r="J1763" i="2"/>
  <c r="K1763" i="2"/>
  <c r="R1763" i="2"/>
  <c r="S1763" i="2" s="1"/>
  <c r="I1764" i="2"/>
  <c r="J1764" i="2"/>
  <c r="K1764" i="2"/>
  <c r="R1764" i="2"/>
  <c r="S1764" i="2" s="1"/>
  <c r="I1765" i="2"/>
  <c r="J1765" i="2"/>
  <c r="K1765" i="2"/>
  <c r="O1765" i="2"/>
  <c r="R1765" i="2"/>
  <c r="S1765" i="2" s="1"/>
  <c r="I1766" i="2"/>
  <c r="J1766" i="2"/>
  <c r="K1766" i="2"/>
  <c r="O1766" i="2"/>
  <c r="R1766" i="2"/>
  <c r="S1766" i="2" s="1"/>
  <c r="I1767" i="2"/>
  <c r="J1767" i="2"/>
  <c r="K1767" i="2"/>
  <c r="O1767" i="2"/>
  <c r="R1767" i="2"/>
  <c r="S1767" i="2" s="1"/>
  <c r="I1768" i="2"/>
  <c r="J1768" i="2"/>
  <c r="K1768" i="2"/>
  <c r="O1768" i="2"/>
  <c r="R1768" i="2"/>
  <c r="S1768" i="2" s="1"/>
  <c r="I1769" i="2"/>
  <c r="J1769" i="2"/>
  <c r="K1769" i="2"/>
  <c r="R1769" i="2"/>
  <c r="S1769" i="2" s="1"/>
  <c r="I1770" i="2"/>
  <c r="J1770" i="2"/>
  <c r="K1770" i="2"/>
  <c r="O1770" i="2"/>
  <c r="R1770" i="2"/>
  <c r="S1770" i="2" s="1"/>
  <c r="I1771" i="2"/>
  <c r="J1771" i="2"/>
  <c r="K1771" i="2"/>
  <c r="O1771" i="2"/>
  <c r="R1771" i="2"/>
  <c r="S1771" i="2" s="1"/>
  <c r="I1772" i="2"/>
  <c r="J1772" i="2"/>
  <c r="K1772" i="2"/>
  <c r="R1772" i="2"/>
  <c r="S1772" i="2" s="1"/>
  <c r="I1773" i="2"/>
  <c r="J1773" i="2"/>
  <c r="K1773" i="2"/>
  <c r="O1773" i="2"/>
  <c r="R1773" i="2"/>
  <c r="S1773" i="2" s="1"/>
  <c r="I1774" i="2"/>
  <c r="J1774" i="2"/>
  <c r="K1774" i="2"/>
  <c r="O1774" i="2"/>
  <c r="R1774" i="2"/>
  <c r="S1774" i="2" s="1"/>
  <c r="I1775" i="2"/>
  <c r="J1775" i="2"/>
  <c r="K1775" i="2"/>
  <c r="O1775" i="2"/>
  <c r="R1775" i="2"/>
  <c r="S1775" i="2" s="1"/>
  <c r="I1776" i="2"/>
  <c r="J1776" i="2"/>
  <c r="K1776" i="2"/>
  <c r="O1776" i="2"/>
  <c r="R1776" i="2"/>
  <c r="S1776" i="2" s="1"/>
  <c r="I1777" i="2"/>
  <c r="J1777" i="2"/>
  <c r="K1777" i="2"/>
  <c r="O1777" i="2"/>
  <c r="R1777" i="2"/>
  <c r="S1777" i="2" s="1"/>
  <c r="I1778" i="2"/>
  <c r="J1778" i="2"/>
  <c r="K1778" i="2"/>
  <c r="O1778" i="2"/>
  <c r="R1778" i="2"/>
  <c r="S1778" i="2" s="1"/>
  <c r="I1779" i="2"/>
  <c r="J1779" i="2"/>
  <c r="K1779" i="2"/>
  <c r="O1779" i="2"/>
  <c r="R1779" i="2"/>
  <c r="S1779" i="2" s="1"/>
  <c r="I1780" i="2"/>
  <c r="J1780" i="2"/>
  <c r="K1780" i="2"/>
  <c r="O1780" i="2"/>
  <c r="R1780" i="2"/>
  <c r="S1780" i="2" s="1"/>
  <c r="I1781" i="2"/>
  <c r="J1781" i="2"/>
  <c r="K1781" i="2"/>
  <c r="O1781" i="2"/>
  <c r="R1781" i="2"/>
  <c r="S1781" i="2" s="1"/>
  <c r="I1782" i="2"/>
  <c r="J1782" i="2"/>
  <c r="K1782" i="2"/>
  <c r="O1782" i="2"/>
  <c r="R1782" i="2"/>
  <c r="S1782" i="2" s="1"/>
  <c r="I1783" i="2"/>
  <c r="J1783" i="2"/>
  <c r="K1783" i="2"/>
  <c r="O1783" i="2"/>
  <c r="R1783" i="2"/>
  <c r="S1783" i="2" s="1"/>
  <c r="I1784" i="2"/>
  <c r="J1784" i="2"/>
  <c r="K1784" i="2"/>
  <c r="O1784" i="2"/>
  <c r="R1784" i="2"/>
  <c r="S1784" i="2" s="1"/>
  <c r="I1785" i="2"/>
  <c r="J1785" i="2"/>
  <c r="K1785" i="2"/>
  <c r="O1785" i="2"/>
  <c r="R1785" i="2"/>
  <c r="S1785" i="2" s="1"/>
  <c r="I1786" i="2"/>
  <c r="J1786" i="2"/>
  <c r="K1786" i="2"/>
  <c r="O1786" i="2"/>
  <c r="R1786" i="2"/>
  <c r="S1786" i="2" s="1"/>
  <c r="I1787" i="2"/>
  <c r="J1787" i="2"/>
  <c r="K1787" i="2"/>
  <c r="O1787" i="2"/>
  <c r="R1787" i="2"/>
  <c r="S1787" i="2" s="1"/>
  <c r="I1788" i="2"/>
  <c r="J1788" i="2"/>
  <c r="K1788" i="2"/>
  <c r="O1788" i="2"/>
  <c r="R1788" i="2"/>
  <c r="S1788" i="2" s="1"/>
  <c r="I1789" i="2"/>
  <c r="J1789" i="2"/>
  <c r="K1789" i="2"/>
  <c r="O1789" i="2"/>
  <c r="R1789" i="2"/>
  <c r="S1789" i="2" s="1"/>
  <c r="I1790" i="2"/>
  <c r="J1790" i="2"/>
  <c r="K1790" i="2"/>
  <c r="O1790" i="2"/>
  <c r="R1790" i="2"/>
  <c r="S1790" i="2" s="1"/>
  <c r="I1791" i="2"/>
  <c r="J1791" i="2"/>
  <c r="K1791" i="2"/>
  <c r="O1791" i="2"/>
  <c r="R1791" i="2"/>
  <c r="S1791" i="2" s="1"/>
  <c r="I1792" i="2"/>
  <c r="J1792" i="2"/>
  <c r="K1792" i="2"/>
  <c r="R1792" i="2"/>
  <c r="S1792" i="2" s="1"/>
  <c r="I1793" i="2"/>
  <c r="J1793" i="2"/>
  <c r="K1793" i="2"/>
  <c r="R1793" i="2"/>
  <c r="S1793" i="2" s="1"/>
  <c r="I1794" i="2"/>
  <c r="J1794" i="2"/>
  <c r="K1794" i="2"/>
  <c r="R1794" i="2"/>
  <c r="S1794" i="2" s="1"/>
  <c r="I1795" i="2"/>
  <c r="J1795" i="2"/>
  <c r="K1795" i="2"/>
  <c r="O1795" i="2"/>
  <c r="R1795" i="2"/>
  <c r="S1795" i="2" s="1"/>
  <c r="I1796" i="2"/>
  <c r="J1796" i="2"/>
  <c r="K1796" i="2"/>
  <c r="O1796" i="2"/>
  <c r="R1796" i="2"/>
  <c r="S1796" i="2" s="1"/>
  <c r="I1797" i="2"/>
  <c r="J1797" i="2"/>
  <c r="K1797" i="2"/>
  <c r="O1797" i="2"/>
  <c r="R1797" i="2"/>
  <c r="S1797" i="2" s="1"/>
  <c r="I1798" i="2"/>
  <c r="J1798" i="2"/>
  <c r="K1798" i="2"/>
  <c r="O1798" i="2"/>
  <c r="R1798" i="2"/>
  <c r="S1798" i="2" s="1"/>
  <c r="I1799" i="2"/>
  <c r="J1799" i="2"/>
  <c r="K1799" i="2"/>
  <c r="O1799" i="2"/>
  <c r="R1799" i="2"/>
  <c r="S1799" i="2" s="1"/>
  <c r="I1800" i="2"/>
  <c r="J1800" i="2"/>
  <c r="K1800" i="2"/>
  <c r="O1800" i="2"/>
  <c r="R1800" i="2"/>
  <c r="S1800" i="2" s="1"/>
  <c r="I1801" i="2"/>
  <c r="J1801" i="2"/>
  <c r="K1801" i="2"/>
  <c r="R1801" i="2"/>
  <c r="S1801" i="2" s="1"/>
  <c r="I1802" i="2"/>
  <c r="J1802" i="2"/>
  <c r="K1802" i="2"/>
  <c r="R1802" i="2"/>
  <c r="S1802" i="2" s="1"/>
  <c r="I1803" i="2"/>
  <c r="J1803" i="2"/>
  <c r="K1803" i="2"/>
  <c r="O1803" i="2"/>
  <c r="R1803" i="2"/>
  <c r="S1803" i="2" s="1"/>
  <c r="I1804" i="2"/>
  <c r="J1804" i="2"/>
  <c r="K1804" i="2"/>
  <c r="O1804" i="2"/>
  <c r="R1804" i="2"/>
  <c r="S1804" i="2" s="1"/>
  <c r="I1805" i="2"/>
  <c r="J1805" i="2"/>
  <c r="K1805" i="2"/>
  <c r="O1805" i="2"/>
  <c r="R1805" i="2"/>
  <c r="S1805" i="2" s="1"/>
  <c r="I1806" i="2"/>
  <c r="J1806" i="2"/>
  <c r="K1806" i="2"/>
  <c r="O1806" i="2"/>
  <c r="R1806" i="2"/>
  <c r="S1806" i="2" s="1"/>
  <c r="I1807" i="2"/>
  <c r="J1807" i="2"/>
  <c r="K1807" i="2"/>
  <c r="O1807" i="2"/>
  <c r="R1807" i="2"/>
  <c r="S1807" i="2" s="1"/>
  <c r="I1808" i="2"/>
  <c r="J1808" i="2"/>
  <c r="K1808" i="2"/>
  <c r="O1808" i="2"/>
  <c r="R1808" i="2"/>
  <c r="S1808" i="2" s="1"/>
  <c r="I1809" i="2"/>
  <c r="J1809" i="2"/>
  <c r="K1809" i="2"/>
  <c r="O1809" i="2"/>
  <c r="R1809" i="2"/>
  <c r="S1809" i="2" s="1"/>
  <c r="I1810" i="2"/>
  <c r="J1810" i="2"/>
  <c r="K1810" i="2"/>
  <c r="O1810" i="2"/>
  <c r="R1810" i="2"/>
  <c r="S1810" i="2" s="1"/>
  <c r="I1811" i="2"/>
  <c r="J1811" i="2"/>
  <c r="K1811" i="2"/>
  <c r="O1811" i="2"/>
  <c r="R1811" i="2"/>
  <c r="S1811" i="2" s="1"/>
  <c r="I1812" i="2"/>
  <c r="J1812" i="2"/>
  <c r="K1812" i="2"/>
  <c r="O1812" i="2"/>
  <c r="R1812" i="2"/>
  <c r="S1812" i="2" s="1"/>
  <c r="I1813" i="2"/>
  <c r="J1813" i="2"/>
  <c r="K1813" i="2"/>
  <c r="O1813" i="2"/>
  <c r="R1813" i="2"/>
  <c r="S1813" i="2" s="1"/>
  <c r="I1814" i="2"/>
  <c r="J1814" i="2"/>
  <c r="K1814" i="2"/>
  <c r="O1814" i="2"/>
  <c r="R1814" i="2"/>
  <c r="S1814" i="2" s="1"/>
  <c r="I1815" i="2"/>
  <c r="J1815" i="2"/>
  <c r="K1815" i="2"/>
  <c r="O1815" i="2"/>
  <c r="R1815" i="2"/>
  <c r="S1815" i="2" s="1"/>
  <c r="I1816" i="2"/>
  <c r="J1816" i="2"/>
  <c r="K1816" i="2"/>
  <c r="O1816" i="2"/>
  <c r="R1816" i="2"/>
  <c r="S1816" i="2" s="1"/>
  <c r="I1817" i="2"/>
  <c r="J1817" i="2"/>
  <c r="K1817" i="2"/>
  <c r="O1817" i="2"/>
  <c r="R1817" i="2"/>
  <c r="S1817" i="2" s="1"/>
  <c r="I1818" i="2"/>
  <c r="J1818" i="2"/>
  <c r="K1818" i="2"/>
  <c r="O1818" i="2"/>
  <c r="R1818" i="2"/>
  <c r="S1818" i="2" s="1"/>
  <c r="I1819" i="2"/>
  <c r="J1819" i="2"/>
  <c r="K1819" i="2"/>
  <c r="O1819" i="2"/>
  <c r="R1819" i="2"/>
  <c r="S1819" i="2" s="1"/>
  <c r="I1820" i="2"/>
  <c r="J1820" i="2"/>
  <c r="K1820" i="2"/>
  <c r="O1820" i="2"/>
  <c r="R1820" i="2"/>
  <c r="S1820" i="2" s="1"/>
  <c r="I1821" i="2"/>
  <c r="J1821" i="2"/>
  <c r="K1821" i="2"/>
  <c r="O1821" i="2"/>
  <c r="R1821" i="2"/>
  <c r="S1821" i="2" s="1"/>
  <c r="I1822" i="2"/>
  <c r="J1822" i="2"/>
  <c r="K1822" i="2"/>
  <c r="O1822" i="2"/>
  <c r="R1822" i="2"/>
  <c r="S1822" i="2" s="1"/>
  <c r="I1823" i="2"/>
  <c r="J1823" i="2"/>
  <c r="K1823" i="2"/>
  <c r="O1823" i="2"/>
  <c r="R1823" i="2"/>
  <c r="S1823" i="2" s="1"/>
  <c r="I1824" i="2"/>
  <c r="J1824" i="2"/>
  <c r="K1824" i="2"/>
  <c r="O1824" i="2"/>
  <c r="R1824" i="2"/>
  <c r="S1824" i="2" s="1"/>
  <c r="I1825" i="2"/>
  <c r="J1825" i="2"/>
  <c r="K1825" i="2"/>
  <c r="R1825" i="2"/>
  <c r="S1825" i="2" s="1"/>
  <c r="I1826" i="2"/>
  <c r="J1826" i="2"/>
  <c r="K1826" i="2"/>
  <c r="O1826" i="2"/>
  <c r="R1826" i="2"/>
  <c r="S1826" i="2" s="1"/>
  <c r="I1827" i="2"/>
  <c r="J1827" i="2"/>
  <c r="K1827" i="2"/>
  <c r="O1827" i="2"/>
  <c r="R1827" i="2"/>
  <c r="S1827" i="2" s="1"/>
  <c r="I1828" i="2"/>
  <c r="J1828" i="2"/>
  <c r="K1828" i="2"/>
  <c r="O1828" i="2"/>
  <c r="R1828" i="2"/>
  <c r="S1828" i="2" s="1"/>
  <c r="I1829" i="2"/>
  <c r="J1829" i="2"/>
  <c r="K1829" i="2"/>
  <c r="O1829" i="2"/>
  <c r="R1829" i="2"/>
  <c r="S1829" i="2" s="1"/>
  <c r="I1830" i="2"/>
  <c r="J1830" i="2"/>
  <c r="K1830" i="2"/>
  <c r="O1830" i="2"/>
  <c r="R1830" i="2"/>
  <c r="S1830" i="2" s="1"/>
  <c r="I1831" i="2"/>
  <c r="J1831" i="2"/>
  <c r="K1831" i="2"/>
  <c r="R1831" i="2"/>
  <c r="S1831" i="2" s="1"/>
  <c r="I1832" i="2"/>
  <c r="J1832" i="2"/>
  <c r="K1832" i="2"/>
  <c r="O1832" i="2"/>
  <c r="R1832" i="2"/>
  <c r="S1832" i="2" s="1"/>
  <c r="I1833" i="2"/>
  <c r="J1833" i="2"/>
  <c r="K1833" i="2"/>
  <c r="O1833" i="2"/>
  <c r="R1833" i="2"/>
  <c r="S1833" i="2" s="1"/>
  <c r="I1834" i="2"/>
  <c r="J1834" i="2"/>
  <c r="K1834" i="2"/>
  <c r="O1834" i="2"/>
  <c r="R1834" i="2"/>
  <c r="S1834" i="2" s="1"/>
  <c r="I1835" i="2"/>
  <c r="J1835" i="2"/>
  <c r="K1835" i="2"/>
  <c r="O1835" i="2"/>
  <c r="R1835" i="2"/>
  <c r="S1835" i="2" s="1"/>
  <c r="I1836" i="2"/>
  <c r="J1836" i="2"/>
  <c r="K1836" i="2"/>
  <c r="O1836" i="2"/>
  <c r="R1836" i="2"/>
  <c r="S1836" i="2" s="1"/>
  <c r="I1837" i="2"/>
  <c r="J1837" i="2"/>
  <c r="K1837" i="2"/>
  <c r="O1837" i="2"/>
  <c r="R1837" i="2"/>
  <c r="S1837" i="2" s="1"/>
  <c r="I1838" i="2"/>
  <c r="J1838" i="2"/>
  <c r="K1838" i="2"/>
  <c r="O1838" i="2"/>
  <c r="R1838" i="2"/>
  <c r="S1838" i="2" s="1"/>
  <c r="I1839" i="2"/>
  <c r="J1839" i="2"/>
  <c r="K1839" i="2"/>
  <c r="O1839" i="2"/>
  <c r="R1839" i="2"/>
  <c r="S1839" i="2" s="1"/>
  <c r="I1840" i="2"/>
  <c r="J1840" i="2"/>
  <c r="K1840" i="2"/>
  <c r="O1840" i="2"/>
  <c r="R1840" i="2"/>
  <c r="S1840" i="2" s="1"/>
  <c r="I1841" i="2"/>
  <c r="J1841" i="2"/>
  <c r="K1841" i="2"/>
  <c r="O1841" i="2"/>
  <c r="R1841" i="2"/>
  <c r="S1841" i="2" s="1"/>
  <c r="I1842" i="2"/>
  <c r="J1842" i="2"/>
  <c r="K1842" i="2"/>
  <c r="O1842" i="2"/>
  <c r="R1842" i="2"/>
  <c r="S1842" i="2" s="1"/>
  <c r="I1843" i="2"/>
  <c r="J1843" i="2"/>
  <c r="K1843" i="2"/>
  <c r="O1843" i="2"/>
  <c r="R1843" i="2"/>
  <c r="S1843" i="2" s="1"/>
  <c r="I1844" i="2"/>
  <c r="J1844" i="2"/>
  <c r="K1844" i="2"/>
  <c r="O1844" i="2"/>
  <c r="R1844" i="2"/>
  <c r="S1844" i="2" s="1"/>
  <c r="I1845" i="2"/>
  <c r="J1845" i="2"/>
  <c r="K1845" i="2"/>
  <c r="O1845" i="2"/>
  <c r="R1845" i="2"/>
  <c r="S1845" i="2" s="1"/>
  <c r="I1846" i="2"/>
  <c r="J1846" i="2"/>
  <c r="K1846" i="2"/>
  <c r="R1846" i="2"/>
  <c r="S1846" i="2" s="1"/>
  <c r="I1847" i="2"/>
  <c r="J1847" i="2"/>
  <c r="K1847" i="2"/>
  <c r="O1847" i="2"/>
  <c r="R1847" i="2"/>
  <c r="S1847" i="2" s="1"/>
  <c r="I1848" i="2"/>
  <c r="J1848" i="2"/>
  <c r="K1848" i="2"/>
  <c r="O1848" i="2"/>
  <c r="R1848" i="2"/>
  <c r="S1848" i="2" s="1"/>
  <c r="I1849" i="2"/>
  <c r="J1849" i="2"/>
  <c r="K1849" i="2"/>
  <c r="O1849" i="2"/>
  <c r="R1849" i="2"/>
  <c r="S1849" i="2" s="1"/>
  <c r="I1850" i="2"/>
  <c r="J1850" i="2"/>
  <c r="K1850" i="2"/>
  <c r="O1850" i="2"/>
  <c r="R1850" i="2"/>
  <c r="S1850" i="2" s="1"/>
  <c r="I1851" i="2"/>
  <c r="J1851" i="2"/>
  <c r="K1851" i="2"/>
  <c r="O1851" i="2"/>
  <c r="R1851" i="2"/>
  <c r="S1851" i="2" s="1"/>
  <c r="I1852" i="2"/>
  <c r="J1852" i="2"/>
  <c r="K1852" i="2"/>
  <c r="O1852" i="2"/>
  <c r="R1852" i="2"/>
  <c r="S1852" i="2" s="1"/>
  <c r="I1853" i="2"/>
  <c r="J1853" i="2"/>
  <c r="K1853" i="2"/>
  <c r="O1853" i="2"/>
  <c r="R1853" i="2"/>
  <c r="S1853" i="2" s="1"/>
  <c r="I1854" i="2"/>
  <c r="J1854" i="2"/>
  <c r="K1854" i="2"/>
  <c r="O1854" i="2"/>
  <c r="R1854" i="2"/>
  <c r="S1854" i="2" s="1"/>
  <c r="I1855" i="2"/>
  <c r="J1855" i="2"/>
  <c r="K1855" i="2"/>
  <c r="R1855" i="2"/>
  <c r="S1855" i="2" s="1"/>
  <c r="I1856" i="2"/>
  <c r="J1856" i="2"/>
  <c r="K1856" i="2"/>
  <c r="R1856" i="2"/>
  <c r="S1856" i="2" s="1"/>
  <c r="I1857" i="2"/>
  <c r="J1857" i="2"/>
  <c r="K1857" i="2"/>
  <c r="O1857" i="2"/>
  <c r="R1857" i="2"/>
  <c r="S1857" i="2" s="1"/>
  <c r="I1858" i="2"/>
  <c r="J1858" i="2"/>
  <c r="K1858" i="2"/>
  <c r="O1858" i="2"/>
  <c r="R1858" i="2"/>
  <c r="S1858" i="2" s="1"/>
  <c r="I1859" i="2"/>
  <c r="J1859" i="2"/>
  <c r="K1859" i="2"/>
  <c r="O1859" i="2"/>
  <c r="R1859" i="2"/>
  <c r="S1859" i="2" s="1"/>
  <c r="I1860" i="2"/>
  <c r="J1860" i="2"/>
  <c r="K1860" i="2"/>
  <c r="O1860" i="2"/>
  <c r="R1860" i="2"/>
  <c r="S1860" i="2" s="1"/>
  <c r="I1861" i="2"/>
  <c r="J1861" i="2"/>
  <c r="K1861" i="2"/>
  <c r="O1861" i="2"/>
  <c r="R1861" i="2"/>
  <c r="S1861" i="2" s="1"/>
  <c r="I1862" i="2"/>
  <c r="J1862" i="2"/>
  <c r="K1862" i="2"/>
  <c r="R1862" i="2"/>
  <c r="S1862" i="2" s="1"/>
  <c r="I1863" i="2"/>
  <c r="J1863" i="2"/>
  <c r="K1863" i="2"/>
  <c r="O1863" i="2"/>
  <c r="R1863" i="2"/>
  <c r="S1863" i="2" s="1"/>
  <c r="I1864" i="2"/>
  <c r="J1864" i="2"/>
  <c r="K1864" i="2"/>
  <c r="O1864" i="2"/>
  <c r="R1864" i="2"/>
  <c r="S1864" i="2" s="1"/>
  <c r="I1865" i="2"/>
  <c r="J1865" i="2"/>
  <c r="K1865" i="2"/>
  <c r="O1865" i="2"/>
  <c r="R1865" i="2"/>
  <c r="S1865" i="2" s="1"/>
  <c r="I1866" i="2"/>
  <c r="J1866" i="2"/>
  <c r="K1866" i="2"/>
  <c r="O1866" i="2"/>
  <c r="R1866" i="2"/>
  <c r="S1866" i="2" s="1"/>
  <c r="I1867" i="2"/>
  <c r="J1867" i="2"/>
  <c r="K1867" i="2"/>
  <c r="O1867" i="2"/>
  <c r="R1867" i="2"/>
  <c r="S1867" i="2" s="1"/>
  <c r="I1868" i="2"/>
  <c r="J1868" i="2"/>
  <c r="K1868" i="2"/>
  <c r="O1868" i="2"/>
  <c r="R1868" i="2"/>
  <c r="S1868" i="2" s="1"/>
  <c r="I1869" i="2"/>
  <c r="J1869" i="2"/>
  <c r="K1869" i="2"/>
  <c r="O1869" i="2"/>
  <c r="R1869" i="2"/>
  <c r="S1869" i="2" s="1"/>
  <c r="I1870" i="2"/>
  <c r="J1870" i="2"/>
  <c r="K1870" i="2"/>
  <c r="O1870" i="2"/>
  <c r="R1870" i="2"/>
  <c r="S1870" i="2" s="1"/>
  <c r="I1871" i="2"/>
  <c r="J1871" i="2"/>
  <c r="K1871" i="2"/>
  <c r="O1871" i="2"/>
  <c r="R1871" i="2"/>
  <c r="S1871" i="2" s="1"/>
  <c r="I1872" i="2"/>
  <c r="J1872" i="2"/>
  <c r="K1872" i="2"/>
  <c r="O1872" i="2"/>
  <c r="R1872" i="2"/>
  <c r="S1872" i="2" s="1"/>
  <c r="I1873" i="2"/>
  <c r="J1873" i="2"/>
  <c r="K1873" i="2"/>
  <c r="O1873" i="2"/>
  <c r="R1873" i="2"/>
  <c r="S1873" i="2" s="1"/>
  <c r="I1874" i="2"/>
  <c r="J1874" i="2"/>
  <c r="K1874" i="2"/>
  <c r="O1874" i="2"/>
  <c r="R1874" i="2"/>
  <c r="S1874" i="2" s="1"/>
  <c r="I1875" i="2"/>
  <c r="J1875" i="2"/>
  <c r="K1875" i="2"/>
  <c r="O1875" i="2"/>
  <c r="R1875" i="2"/>
  <c r="S1875" i="2" s="1"/>
  <c r="I1876" i="2"/>
  <c r="J1876" i="2"/>
  <c r="K1876" i="2"/>
  <c r="O1876" i="2"/>
  <c r="R1876" i="2"/>
  <c r="S1876" i="2" s="1"/>
  <c r="I1877" i="2"/>
  <c r="J1877" i="2"/>
  <c r="K1877" i="2"/>
  <c r="R1877" i="2"/>
  <c r="S1877" i="2" s="1"/>
  <c r="I1878" i="2"/>
  <c r="J1878" i="2"/>
  <c r="K1878" i="2"/>
  <c r="O1878" i="2"/>
  <c r="R1878" i="2"/>
  <c r="S1878" i="2" s="1"/>
  <c r="I1879" i="2"/>
  <c r="J1879" i="2"/>
  <c r="K1879" i="2"/>
  <c r="O1879" i="2"/>
  <c r="R1879" i="2"/>
  <c r="S1879" i="2" s="1"/>
  <c r="I1880" i="2"/>
  <c r="J1880" i="2"/>
  <c r="K1880" i="2"/>
  <c r="O1880" i="2"/>
  <c r="R1880" i="2"/>
  <c r="S1880" i="2" s="1"/>
  <c r="I1881" i="2"/>
  <c r="J1881" i="2"/>
  <c r="K1881" i="2"/>
  <c r="O1881" i="2"/>
  <c r="R1881" i="2"/>
  <c r="S1881" i="2" s="1"/>
  <c r="I1882" i="2"/>
  <c r="J1882" i="2"/>
  <c r="K1882" i="2"/>
  <c r="O1882" i="2"/>
  <c r="R1882" i="2"/>
  <c r="S1882" i="2" s="1"/>
  <c r="I1883" i="2"/>
  <c r="J1883" i="2"/>
  <c r="K1883" i="2"/>
  <c r="O1883" i="2"/>
  <c r="R1883" i="2"/>
  <c r="S1883" i="2" s="1"/>
  <c r="I1884" i="2"/>
  <c r="J1884" i="2"/>
  <c r="K1884" i="2"/>
  <c r="O1884" i="2"/>
  <c r="R1884" i="2"/>
  <c r="S1884" i="2" s="1"/>
  <c r="I1885" i="2"/>
  <c r="J1885" i="2"/>
  <c r="K1885" i="2"/>
  <c r="O1885" i="2"/>
  <c r="R1885" i="2"/>
  <c r="S1885" i="2" s="1"/>
  <c r="I1886" i="2"/>
  <c r="J1886" i="2"/>
  <c r="K1886" i="2"/>
  <c r="R1886" i="2"/>
  <c r="S1886" i="2" s="1"/>
  <c r="I1887" i="2"/>
  <c r="J1887" i="2"/>
  <c r="K1887" i="2"/>
  <c r="R1887" i="2"/>
  <c r="S1887" i="2" s="1"/>
  <c r="I1888" i="2"/>
  <c r="J1888" i="2"/>
  <c r="K1888" i="2"/>
  <c r="O1888" i="2"/>
  <c r="R1888" i="2"/>
  <c r="S1888" i="2" s="1"/>
  <c r="I1889" i="2"/>
  <c r="J1889" i="2"/>
  <c r="K1889" i="2"/>
  <c r="O1889" i="2"/>
  <c r="R1889" i="2"/>
  <c r="S1889" i="2" s="1"/>
  <c r="I1890" i="2"/>
  <c r="J1890" i="2"/>
  <c r="K1890" i="2"/>
  <c r="O1890" i="2"/>
  <c r="R1890" i="2"/>
  <c r="S1890" i="2" s="1"/>
  <c r="I1891" i="2"/>
  <c r="J1891" i="2"/>
  <c r="K1891" i="2"/>
  <c r="O1891" i="2"/>
  <c r="R1891" i="2"/>
  <c r="S1891" i="2" s="1"/>
  <c r="I1892" i="2"/>
  <c r="J1892" i="2"/>
  <c r="K1892" i="2"/>
  <c r="O1892" i="2"/>
  <c r="R1892" i="2"/>
  <c r="S1892" i="2" s="1"/>
  <c r="I1893" i="2"/>
  <c r="J1893" i="2"/>
  <c r="K1893" i="2"/>
  <c r="R1893" i="2"/>
  <c r="S1893" i="2" s="1"/>
  <c r="I1894" i="2"/>
  <c r="J1894" i="2"/>
  <c r="K1894" i="2"/>
  <c r="O1894" i="2"/>
  <c r="R1894" i="2"/>
  <c r="S1894" i="2" s="1"/>
  <c r="I1895" i="2"/>
  <c r="J1895" i="2"/>
  <c r="K1895" i="2"/>
  <c r="O1895" i="2"/>
  <c r="R1895" i="2"/>
  <c r="S1895" i="2" s="1"/>
  <c r="I1896" i="2"/>
  <c r="J1896" i="2"/>
  <c r="K1896" i="2"/>
  <c r="O1896" i="2"/>
  <c r="R1896" i="2"/>
  <c r="S1896" i="2" s="1"/>
  <c r="I1897" i="2"/>
  <c r="J1897" i="2"/>
  <c r="K1897" i="2"/>
  <c r="O1897" i="2"/>
  <c r="R1897" i="2"/>
  <c r="S1897" i="2" s="1"/>
  <c r="I1898" i="2"/>
  <c r="J1898" i="2"/>
  <c r="K1898" i="2"/>
  <c r="O1898" i="2"/>
  <c r="R1898" i="2"/>
  <c r="S1898" i="2" s="1"/>
  <c r="I1899" i="2"/>
  <c r="J1899" i="2"/>
  <c r="K1899" i="2"/>
  <c r="O1899" i="2"/>
  <c r="R1899" i="2"/>
  <c r="S1899" i="2" s="1"/>
  <c r="I1900" i="2"/>
  <c r="J1900" i="2"/>
  <c r="K1900" i="2"/>
  <c r="O1900" i="2"/>
  <c r="R1900" i="2"/>
  <c r="S1900" i="2" s="1"/>
  <c r="I1901" i="2"/>
  <c r="J1901" i="2"/>
  <c r="K1901" i="2"/>
  <c r="O1901" i="2"/>
  <c r="R1901" i="2"/>
  <c r="S1901" i="2" s="1"/>
  <c r="I1902" i="2"/>
  <c r="J1902" i="2"/>
  <c r="K1902" i="2"/>
  <c r="O1902" i="2"/>
  <c r="R1902" i="2"/>
  <c r="S1902" i="2" s="1"/>
  <c r="I1903" i="2"/>
  <c r="J1903" i="2"/>
  <c r="K1903" i="2"/>
  <c r="O1903" i="2"/>
  <c r="R1903" i="2"/>
  <c r="S1903" i="2" s="1"/>
  <c r="I1904" i="2"/>
  <c r="J1904" i="2"/>
  <c r="K1904" i="2"/>
  <c r="O1904" i="2"/>
  <c r="R1904" i="2"/>
  <c r="S1904" i="2" s="1"/>
  <c r="I1905" i="2"/>
  <c r="J1905" i="2"/>
  <c r="K1905" i="2"/>
  <c r="O1905" i="2"/>
  <c r="R1905" i="2"/>
  <c r="S1905" i="2" s="1"/>
  <c r="I1906" i="2"/>
  <c r="J1906" i="2"/>
  <c r="K1906" i="2"/>
  <c r="O1906" i="2"/>
  <c r="R1906" i="2"/>
  <c r="S1906" i="2" s="1"/>
  <c r="I1907" i="2"/>
  <c r="J1907" i="2"/>
  <c r="K1907" i="2"/>
  <c r="O1907" i="2"/>
  <c r="R1907" i="2"/>
  <c r="S1907" i="2" s="1"/>
  <c r="I1908" i="2"/>
  <c r="J1908" i="2"/>
  <c r="K1908" i="2"/>
  <c r="O1908" i="2"/>
  <c r="R1908" i="2"/>
  <c r="S1908" i="2" s="1"/>
  <c r="I1909" i="2"/>
  <c r="J1909" i="2"/>
  <c r="K1909" i="2"/>
  <c r="O1909" i="2"/>
  <c r="R1909" i="2"/>
  <c r="S1909" i="2" s="1"/>
  <c r="I1910" i="2"/>
  <c r="J1910" i="2"/>
  <c r="K1910" i="2"/>
  <c r="O1910" i="2"/>
  <c r="R1910" i="2"/>
  <c r="S1910" i="2" s="1"/>
  <c r="I1911" i="2"/>
  <c r="J1911" i="2"/>
  <c r="K1911" i="2"/>
  <c r="O1911" i="2"/>
  <c r="R1911" i="2"/>
  <c r="S1911" i="2" s="1"/>
  <c r="I1912" i="2"/>
  <c r="J1912" i="2"/>
  <c r="K1912" i="2"/>
  <c r="O1912" i="2"/>
  <c r="R1912" i="2"/>
  <c r="S1912" i="2" s="1"/>
  <c r="I1913" i="2"/>
  <c r="J1913" i="2"/>
  <c r="K1913" i="2"/>
  <c r="O1913" i="2"/>
  <c r="R1913" i="2"/>
  <c r="S1913" i="2" s="1"/>
  <c r="I1914" i="2"/>
  <c r="J1914" i="2"/>
  <c r="K1914" i="2"/>
  <c r="O1914" i="2"/>
  <c r="R1914" i="2"/>
  <c r="S1914" i="2" s="1"/>
  <c r="I1915" i="2"/>
  <c r="J1915" i="2"/>
  <c r="K1915" i="2"/>
  <c r="O1915" i="2"/>
  <c r="R1915" i="2"/>
  <c r="S1915" i="2" s="1"/>
  <c r="I1916" i="2"/>
  <c r="J1916" i="2"/>
  <c r="K1916" i="2"/>
  <c r="O1916" i="2"/>
  <c r="R1916" i="2"/>
  <c r="S1916" i="2" s="1"/>
  <c r="I1917" i="2"/>
  <c r="J1917" i="2"/>
  <c r="K1917" i="2"/>
  <c r="O1917" i="2"/>
  <c r="R1917" i="2"/>
  <c r="S1917" i="2" s="1"/>
  <c r="I1918" i="2"/>
  <c r="J1918" i="2"/>
  <c r="K1918" i="2"/>
  <c r="O1918" i="2"/>
  <c r="R1918" i="2"/>
  <c r="S1918" i="2" s="1"/>
  <c r="I1919" i="2"/>
  <c r="J1919" i="2"/>
  <c r="K1919" i="2"/>
  <c r="O1919" i="2"/>
  <c r="R1919" i="2"/>
  <c r="S1919" i="2" s="1"/>
  <c r="I1920" i="2"/>
  <c r="J1920" i="2"/>
  <c r="K1920" i="2"/>
  <c r="O1920" i="2"/>
  <c r="R1920" i="2"/>
  <c r="S1920" i="2" s="1"/>
  <c r="I1921" i="2"/>
  <c r="J1921" i="2"/>
  <c r="K1921" i="2"/>
  <c r="O1921" i="2"/>
  <c r="R1921" i="2"/>
  <c r="S1921" i="2" s="1"/>
  <c r="I1922" i="2"/>
  <c r="J1922" i="2"/>
  <c r="K1922" i="2"/>
  <c r="O1922" i="2"/>
  <c r="R1922" i="2"/>
  <c r="S1922" i="2" s="1"/>
  <c r="I1923" i="2"/>
  <c r="J1923" i="2"/>
  <c r="K1923" i="2"/>
  <c r="O1923" i="2"/>
  <c r="R1923" i="2"/>
  <c r="S1923" i="2" s="1"/>
  <c r="I1924" i="2"/>
  <c r="J1924" i="2"/>
  <c r="K1924" i="2"/>
  <c r="R1924" i="2"/>
  <c r="S1924" i="2" s="1"/>
  <c r="I1925" i="2"/>
  <c r="J1925" i="2"/>
  <c r="K1925" i="2"/>
  <c r="R1925" i="2"/>
  <c r="S1925" i="2" s="1"/>
  <c r="I1926" i="2"/>
  <c r="J1926" i="2"/>
  <c r="K1926" i="2"/>
  <c r="O1926" i="2"/>
  <c r="R1926" i="2"/>
  <c r="S1926" i="2" s="1"/>
  <c r="I1927" i="2"/>
  <c r="J1927" i="2"/>
  <c r="K1927" i="2"/>
  <c r="O1927" i="2"/>
  <c r="R1927" i="2"/>
  <c r="S1927" i="2" s="1"/>
  <c r="I1928" i="2"/>
  <c r="J1928" i="2"/>
  <c r="K1928" i="2"/>
  <c r="O1928" i="2"/>
  <c r="R1928" i="2"/>
  <c r="S1928" i="2" s="1"/>
  <c r="I1929" i="2"/>
  <c r="J1929" i="2"/>
  <c r="K1929" i="2"/>
  <c r="O1929" i="2"/>
  <c r="R1929" i="2"/>
  <c r="S1929" i="2" s="1"/>
  <c r="I1930" i="2"/>
  <c r="J1930" i="2"/>
  <c r="K1930" i="2"/>
  <c r="O1930" i="2"/>
  <c r="R1930" i="2"/>
  <c r="S1930" i="2" s="1"/>
  <c r="I1931" i="2"/>
  <c r="J1931" i="2"/>
  <c r="K1931" i="2"/>
  <c r="O1931" i="2"/>
  <c r="R1931" i="2"/>
  <c r="S1931" i="2" s="1"/>
  <c r="I1932" i="2"/>
  <c r="J1932" i="2"/>
  <c r="K1932" i="2"/>
  <c r="O1932" i="2"/>
  <c r="R1932" i="2"/>
  <c r="S1932" i="2" s="1"/>
  <c r="I1933" i="2"/>
  <c r="J1933" i="2"/>
  <c r="K1933" i="2"/>
  <c r="O1933" i="2"/>
  <c r="R1933" i="2"/>
  <c r="S1933" i="2" s="1"/>
  <c r="I1934" i="2"/>
  <c r="J1934" i="2"/>
  <c r="K1934" i="2"/>
  <c r="O1934" i="2"/>
  <c r="R1934" i="2"/>
  <c r="S1934" i="2" s="1"/>
  <c r="I1935" i="2"/>
  <c r="J1935" i="2"/>
  <c r="K1935" i="2"/>
  <c r="O1935" i="2"/>
  <c r="R1935" i="2"/>
  <c r="S1935" i="2" s="1"/>
  <c r="I1936" i="2"/>
  <c r="J1936" i="2"/>
  <c r="K1936" i="2"/>
  <c r="O1936" i="2"/>
  <c r="R1936" i="2"/>
  <c r="S1936" i="2" s="1"/>
  <c r="I1937" i="2"/>
  <c r="J1937" i="2"/>
  <c r="K1937" i="2"/>
  <c r="O1937" i="2"/>
  <c r="R1937" i="2"/>
  <c r="S1937" i="2" s="1"/>
  <c r="I1938" i="2"/>
  <c r="J1938" i="2"/>
  <c r="K1938" i="2"/>
  <c r="O1938" i="2"/>
  <c r="R1938" i="2"/>
  <c r="S1938" i="2" s="1"/>
  <c r="I1939" i="2"/>
  <c r="J1939" i="2"/>
  <c r="K1939" i="2"/>
  <c r="O1939" i="2"/>
  <c r="R1939" i="2"/>
  <c r="S1939" i="2" s="1"/>
  <c r="I1940" i="2"/>
  <c r="J1940" i="2"/>
  <c r="K1940" i="2"/>
  <c r="O1940" i="2"/>
  <c r="R1940" i="2"/>
  <c r="S1940" i="2" s="1"/>
  <c r="I1941" i="2"/>
  <c r="J1941" i="2"/>
  <c r="K1941" i="2"/>
  <c r="O1941" i="2"/>
  <c r="R1941" i="2"/>
  <c r="S1941" i="2" s="1"/>
  <c r="I1942" i="2"/>
  <c r="J1942" i="2"/>
  <c r="K1942" i="2"/>
  <c r="O1942" i="2"/>
  <c r="R1942" i="2"/>
  <c r="S1942" i="2" s="1"/>
  <c r="I1943" i="2"/>
  <c r="J1943" i="2"/>
  <c r="K1943" i="2"/>
  <c r="O1943" i="2"/>
  <c r="R1943" i="2"/>
  <c r="S1943" i="2" s="1"/>
  <c r="I1944" i="2"/>
  <c r="J1944" i="2"/>
  <c r="K1944" i="2"/>
  <c r="O1944" i="2"/>
  <c r="R1944" i="2"/>
  <c r="S1944" i="2" s="1"/>
  <c r="I1945" i="2"/>
  <c r="J1945" i="2"/>
  <c r="K1945" i="2"/>
  <c r="R1945" i="2"/>
  <c r="S1945" i="2" s="1"/>
  <c r="I1946" i="2"/>
  <c r="J1946" i="2"/>
  <c r="K1946" i="2"/>
  <c r="O1946" i="2"/>
  <c r="R1946" i="2"/>
  <c r="S1946" i="2" s="1"/>
  <c r="I1947" i="2"/>
  <c r="J1947" i="2"/>
  <c r="K1947" i="2"/>
  <c r="O1947" i="2"/>
  <c r="R1947" i="2"/>
  <c r="S1947" i="2" s="1"/>
  <c r="I1948" i="2"/>
  <c r="J1948" i="2"/>
  <c r="K1948" i="2"/>
  <c r="R1948" i="2"/>
  <c r="S1948" i="2" s="1"/>
  <c r="I1949" i="2"/>
  <c r="J1949" i="2"/>
  <c r="K1949" i="2"/>
  <c r="O1949" i="2"/>
  <c r="R1949" i="2"/>
  <c r="S1949" i="2" s="1"/>
  <c r="I1950" i="2"/>
  <c r="J1950" i="2"/>
  <c r="K1950" i="2"/>
  <c r="O1950" i="2"/>
  <c r="R1950" i="2"/>
  <c r="S1950" i="2" s="1"/>
  <c r="I1951" i="2"/>
  <c r="J1951" i="2"/>
  <c r="K1951" i="2"/>
  <c r="O1951" i="2"/>
  <c r="R1951" i="2"/>
  <c r="S1951" i="2" s="1"/>
  <c r="I1952" i="2"/>
  <c r="J1952" i="2"/>
  <c r="K1952" i="2"/>
  <c r="O1952" i="2"/>
  <c r="R1952" i="2"/>
  <c r="S1952" i="2" s="1"/>
  <c r="I1953" i="2"/>
  <c r="J1953" i="2"/>
  <c r="K1953" i="2"/>
  <c r="O1953" i="2"/>
  <c r="R1953" i="2"/>
  <c r="S1953" i="2" s="1"/>
  <c r="I1954" i="2"/>
  <c r="J1954" i="2"/>
  <c r="K1954" i="2"/>
  <c r="O1954" i="2"/>
  <c r="R1954" i="2"/>
  <c r="S1954" i="2" s="1"/>
  <c r="I1955" i="2"/>
  <c r="J1955" i="2"/>
  <c r="K1955" i="2"/>
  <c r="O1955" i="2"/>
  <c r="R1955" i="2"/>
  <c r="S1955" i="2" s="1"/>
  <c r="I1956" i="2"/>
  <c r="J1956" i="2"/>
  <c r="K1956" i="2"/>
  <c r="O1956" i="2"/>
  <c r="R1956" i="2"/>
  <c r="S1956" i="2" s="1"/>
  <c r="I1957" i="2"/>
  <c r="J1957" i="2"/>
  <c r="K1957" i="2"/>
  <c r="O1957" i="2"/>
  <c r="R1957" i="2"/>
  <c r="S1957" i="2" s="1"/>
  <c r="I1958" i="2"/>
  <c r="J1958" i="2"/>
  <c r="K1958" i="2"/>
  <c r="O1958" i="2"/>
  <c r="R1958" i="2"/>
  <c r="S1958" i="2" s="1"/>
  <c r="I1959" i="2"/>
  <c r="J1959" i="2"/>
  <c r="K1959" i="2"/>
  <c r="O1959" i="2"/>
  <c r="R1959" i="2"/>
  <c r="S1959" i="2" s="1"/>
  <c r="I1960" i="2"/>
  <c r="J1960" i="2"/>
  <c r="K1960" i="2"/>
  <c r="O1960" i="2"/>
  <c r="R1960" i="2"/>
  <c r="S1960" i="2" s="1"/>
  <c r="I1961" i="2"/>
  <c r="J1961" i="2"/>
  <c r="K1961" i="2"/>
  <c r="O1961" i="2"/>
  <c r="R1961" i="2"/>
  <c r="S1961" i="2" s="1"/>
  <c r="I1962" i="2"/>
  <c r="J1962" i="2"/>
  <c r="K1962" i="2"/>
  <c r="O1962" i="2"/>
  <c r="R1962" i="2"/>
  <c r="S1962" i="2" s="1"/>
  <c r="I1963" i="2"/>
  <c r="J1963" i="2"/>
  <c r="K1963" i="2"/>
  <c r="O1963" i="2"/>
  <c r="R1963" i="2"/>
  <c r="S1963" i="2" s="1"/>
  <c r="I1964" i="2"/>
  <c r="J1964" i="2"/>
  <c r="K1964" i="2"/>
  <c r="O1964" i="2"/>
  <c r="R1964" i="2"/>
  <c r="S1964" i="2" s="1"/>
  <c r="I1965" i="2"/>
  <c r="J1965" i="2"/>
  <c r="K1965" i="2"/>
  <c r="O1965" i="2"/>
  <c r="R1965" i="2"/>
  <c r="S1965" i="2" s="1"/>
  <c r="I1966" i="2"/>
  <c r="J1966" i="2"/>
  <c r="K1966" i="2"/>
  <c r="O1966" i="2"/>
  <c r="R1966" i="2"/>
  <c r="S1966" i="2" s="1"/>
  <c r="I1967" i="2"/>
  <c r="J1967" i="2"/>
  <c r="K1967" i="2"/>
  <c r="O1967" i="2"/>
  <c r="R1967" i="2"/>
  <c r="S1967" i="2" s="1"/>
  <c r="I1968" i="2"/>
  <c r="J1968" i="2"/>
  <c r="K1968" i="2"/>
  <c r="O1968" i="2"/>
  <c r="R1968" i="2"/>
  <c r="S1968" i="2" s="1"/>
  <c r="I1969" i="2"/>
  <c r="J1969" i="2"/>
  <c r="K1969" i="2"/>
  <c r="O1969" i="2"/>
  <c r="R1969" i="2"/>
  <c r="S1969" i="2" s="1"/>
  <c r="I1970" i="2"/>
  <c r="J1970" i="2"/>
  <c r="K1970" i="2"/>
  <c r="O1970" i="2"/>
  <c r="R1970" i="2"/>
  <c r="S1970" i="2" s="1"/>
  <c r="I1971" i="2"/>
  <c r="J1971" i="2"/>
  <c r="K1971" i="2"/>
  <c r="O1971" i="2"/>
  <c r="R1971" i="2"/>
  <c r="S1971" i="2" s="1"/>
  <c r="I1972" i="2"/>
  <c r="J1972" i="2"/>
  <c r="K1972" i="2"/>
  <c r="O1972" i="2"/>
  <c r="R1972" i="2"/>
  <c r="S1972" i="2" s="1"/>
  <c r="I1973" i="2"/>
  <c r="J1973" i="2"/>
  <c r="K1973" i="2"/>
  <c r="O1973" i="2"/>
  <c r="R1973" i="2"/>
  <c r="S1973" i="2" s="1"/>
  <c r="I1974" i="2"/>
  <c r="J1974" i="2"/>
  <c r="K1974" i="2"/>
  <c r="O1974" i="2"/>
  <c r="R1974" i="2"/>
  <c r="S1974" i="2" s="1"/>
  <c r="I1975" i="2"/>
  <c r="J1975" i="2"/>
  <c r="K1975" i="2"/>
  <c r="O1975" i="2"/>
  <c r="R1975" i="2"/>
  <c r="S1975" i="2" s="1"/>
  <c r="I1976" i="2"/>
  <c r="J1976" i="2"/>
  <c r="K1976" i="2"/>
  <c r="R1976" i="2"/>
  <c r="S1976" i="2" s="1"/>
  <c r="I1977" i="2"/>
  <c r="J1977" i="2"/>
  <c r="K1977" i="2"/>
  <c r="O1977" i="2"/>
  <c r="R1977" i="2"/>
  <c r="S1977" i="2" s="1"/>
  <c r="I1978" i="2"/>
  <c r="J1978" i="2"/>
  <c r="K1978" i="2"/>
  <c r="R1978" i="2"/>
  <c r="S1978" i="2" s="1"/>
  <c r="I1979" i="2"/>
  <c r="J1979" i="2"/>
  <c r="K1979" i="2"/>
  <c r="R1979" i="2"/>
  <c r="S1979" i="2" s="1"/>
  <c r="I1980" i="2"/>
  <c r="J1980" i="2"/>
  <c r="K1980" i="2"/>
  <c r="R1980" i="2"/>
  <c r="S1980" i="2" s="1"/>
  <c r="I1981" i="2"/>
  <c r="J1981" i="2"/>
  <c r="K1981" i="2"/>
  <c r="O1981" i="2"/>
  <c r="R1981" i="2"/>
  <c r="S1981" i="2" s="1"/>
  <c r="I1982" i="2"/>
  <c r="J1982" i="2"/>
  <c r="K1982" i="2"/>
  <c r="O1982" i="2"/>
  <c r="R1982" i="2"/>
  <c r="S1982" i="2" s="1"/>
  <c r="I1983" i="2"/>
  <c r="J1983" i="2"/>
  <c r="K1983" i="2"/>
  <c r="O1983" i="2"/>
  <c r="R1983" i="2"/>
  <c r="S1983" i="2" s="1"/>
  <c r="I1984" i="2"/>
  <c r="J1984" i="2"/>
  <c r="K1984" i="2"/>
  <c r="O1984" i="2"/>
  <c r="R1984" i="2"/>
  <c r="S1984" i="2" s="1"/>
  <c r="I1985" i="2"/>
  <c r="J1985" i="2"/>
  <c r="K1985" i="2"/>
  <c r="O1985" i="2"/>
  <c r="R1985" i="2"/>
  <c r="S1985" i="2" s="1"/>
  <c r="I1986" i="2"/>
  <c r="J1986" i="2"/>
  <c r="K1986" i="2"/>
  <c r="R1986" i="2"/>
  <c r="S1986" i="2" s="1"/>
  <c r="I1987" i="2"/>
  <c r="J1987" i="2"/>
  <c r="K1987" i="2"/>
  <c r="O1987" i="2"/>
  <c r="R1987" i="2"/>
  <c r="S1987" i="2" s="1"/>
  <c r="I1988" i="2"/>
  <c r="J1988" i="2"/>
  <c r="K1988" i="2"/>
  <c r="O1988" i="2"/>
  <c r="R1988" i="2"/>
  <c r="S1988" i="2" s="1"/>
  <c r="I1989" i="2"/>
  <c r="J1989" i="2"/>
  <c r="K1989" i="2"/>
  <c r="O1989" i="2"/>
  <c r="R1989" i="2"/>
  <c r="S1989" i="2" s="1"/>
  <c r="I1990" i="2"/>
  <c r="J1990" i="2"/>
  <c r="K1990" i="2"/>
  <c r="O1990" i="2"/>
  <c r="R1990" i="2"/>
  <c r="S1990" i="2" s="1"/>
  <c r="I1991" i="2"/>
  <c r="J1991" i="2"/>
  <c r="K1991" i="2"/>
  <c r="O1991" i="2"/>
  <c r="R1991" i="2"/>
  <c r="S1991" i="2" s="1"/>
  <c r="I1992" i="2"/>
  <c r="J1992" i="2"/>
  <c r="K1992" i="2"/>
  <c r="O1992" i="2"/>
  <c r="R1992" i="2"/>
  <c r="S1992" i="2" s="1"/>
  <c r="I1993" i="2"/>
  <c r="J1993" i="2"/>
  <c r="K1993" i="2"/>
  <c r="O1993" i="2"/>
  <c r="R1993" i="2"/>
  <c r="S1993" i="2" s="1"/>
  <c r="I1994" i="2"/>
  <c r="J1994" i="2"/>
  <c r="K1994" i="2"/>
  <c r="O1994" i="2"/>
  <c r="R1994" i="2"/>
  <c r="S1994" i="2" s="1"/>
  <c r="I1995" i="2"/>
  <c r="J1995" i="2"/>
  <c r="K1995" i="2"/>
  <c r="O1995" i="2"/>
  <c r="R1995" i="2"/>
  <c r="S1995" i="2" s="1"/>
  <c r="I1996" i="2"/>
  <c r="J1996" i="2"/>
  <c r="K1996" i="2"/>
  <c r="O1996" i="2"/>
  <c r="R1996" i="2"/>
  <c r="S1996" i="2" s="1"/>
  <c r="I1997" i="2"/>
  <c r="J1997" i="2"/>
  <c r="K1997" i="2"/>
  <c r="O1997" i="2"/>
  <c r="R1997" i="2"/>
  <c r="S1997" i="2" s="1"/>
  <c r="I1998" i="2"/>
  <c r="J1998" i="2"/>
  <c r="K1998" i="2"/>
  <c r="O1998" i="2"/>
  <c r="R1998" i="2"/>
  <c r="S1998" i="2" s="1"/>
  <c r="I1999" i="2"/>
  <c r="J1999" i="2"/>
  <c r="K1999" i="2"/>
  <c r="O1999" i="2"/>
  <c r="R1999" i="2"/>
  <c r="S1999" i="2" s="1"/>
  <c r="I2000" i="2"/>
  <c r="J2000" i="2"/>
  <c r="K2000" i="2"/>
  <c r="O2000" i="2"/>
  <c r="R2000" i="2"/>
  <c r="S2000" i="2" s="1"/>
  <c r="I2001" i="2"/>
  <c r="J2001" i="2"/>
  <c r="K2001" i="2"/>
  <c r="R2001" i="2"/>
  <c r="S2001" i="2" s="1"/>
  <c r="I2002" i="2"/>
  <c r="J2002" i="2"/>
  <c r="K2002" i="2"/>
  <c r="O2002" i="2"/>
  <c r="R2002" i="2"/>
  <c r="S2002" i="2" s="1"/>
  <c r="I2003" i="2"/>
  <c r="J2003" i="2"/>
  <c r="K2003" i="2"/>
  <c r="O2003" i="2"/>
  <c r="R2003" i="2"/>
  <c r="S2003" i="2" s="1"/>
  <c r="I2004" i="2"/>
  <c r="J2004" i="2"/>
  <c r="K2004" i="2"/>
  <c r="O2004" i="2"/>
  <c r="R2004" i="2"/>
  <c r="S2004" i="2" s="1"/>
  <c r="I2005" i="2"/>
  <c r="J2005" i="2"/>
  <c r="K2005" i="2"/>
  <c r="O2005" i="2"/>
  <c r="R2005" i="2"/>
  <c r="S2005" i="2" s="1"/>
  <c r="I2006" i="2"/>
  <c r="J2006" i="2"/>
  <c r="K2006" i="2"/>
  <c r="O2006" i="2"/>
  <c r="R2006" i="2"/>
  <c r="S2006" i="2" s="1"/>
  <c r="I2007" i="2"/>
  <c r="J2007" i="2"/>
  <c r="K2007" i="2"/>
  <c r="R2007" i="2"/>
  <c r="S2007" i="2" s="1"/>
  <c r="I2008" i="2"/>
  <c r="J2008" i="2"/>
  <c r="K2008" i="2"/>
  <c r="O2008" i="2"/>
  <c r="R2008" i="2"/>
  <c r="S2008" i="2" s="1"/>
  <c r="I2009" i="2"/>
  <c r="J2009" i="2"/>
  <c r="K2009" i="2"/>
  <c r="O2009" i="2"/>
  <c r="R2009" i="2"/>
  <c r="S2009" i="2" s="1"/>
  <c r="I2010" i="2"/>
  <c r="J2010" i="2"/>
  <c r="K2010" i="2"/>
  <c r="R2010" i="2"/>
  <c r="S2010" i="2" s="1"/>
  <c r="I2011" i="2"/>
  <c r="J2011" i="2"/>
  <c r="K2011" i="2"/>
  <c r="O2011" i="2"/>
  <c r="R2011" i="2"/>
  <c r="S2011" i="2" s="1"/>
  <c r="I2012" i="2"/>
  <c r="J2012" i="2"/>
  <c r="K2012" i="2"/>
  <c r="O2012" i="2"/>
  <c r="R2012" i="2"/>
  <c r="S2012" i="2" s="1"/>
  <c r="I2013" i="2"/>
  <c r="J2013" i="2"/>
  <c r="K2013" i="2"/>
  <c r="O2013" i="2"/>
  <c r="R2013" i="2"/>
  <c r="S2013" i="2" s="1"/>
  <c r="I2014" i="2"/>
  <c r="J2014" i="2"/>
  <c r="K2014" i="2"/>
  <c r="O2014" i="2"/>
  <c r="R2014" i="2"/>
  <c r="S2014" i="2" s="1"/>
  <c r="I2015" i="2"/>
  <c r="J2015" i="2"/>
  <c r="K2015" i="2"/>
  <c r="O2015" i="2"/>
  <c r="R2015" i="2"/>
  <c r="S2015" i="2" s="1"/>
  <c r="I2016" i="2"/>
  <c r="J2016" i="2"/>
  <c r="K2016" i="2"/>
  <c r="O2016" i="2"/>
  <c r="R2016" i="2"/>
  <c r="S2016" i="2" s="1"/>
  <c r="I2017" i="2"/>
  <c r="J2017" i="2"/>
  <c r="K2017" i="2"/>
  <c r="O2017" i="2"/>
  <c r="R2017" i="2"/>
  <c r="S2017" i="2" s="1"/>
  <c r="I2018" i="2"/>
  <c r="J2018" i="2"/>
  <c r="K2018" i="2"/>
  <c r="O2018" i="2"/>
  <c r="R2018" i="2"/>
  <c r="S2018" i="2" s="1"/>
  <c r="I2019" i="2"/>
  <c r="J2019" i="2"/>
  <c r="K2019" i="2"/>
  <c r="O2019" i="2"/>
  <c r="R2019" i="2"/>
  <c r="S2019" i="2" s="1"/>
  <c r="I2020" i="2"/>
  <c r="J2020" i="2"/>
  <c r="K2020" i="2"/>
  <c r="O2020" i="2"/>
  <c r="R2020" i="2"/>
  <c r="S2020" i="2" s="1"/>
  <c r="I2021" i="2"/>
  <c r="J2021" i="2"/>
  <c r="K2021" i="2"/>
  <c r="O2021" i="2"/>
  <c r="R2021" i="2"/>
  <c r="S2021" i="2" s="1"/>
  <c r="I2022" i="2"/>
  <c r="J2022" i="2"/>
  <c r="K2022" i="2"/>
  <c r="O2022" i="2"/>
  <c r="R2022" i="2"/>
  <c r="S2022" i="2" s="1"/>
  <c r="I2023" i="2"/>
  <c r="J2023" i="2"/>
  <c r="K2023" i="2"/>
  <c r="O2023" i="2"/>
  <c r="R2023" i="2"/>
  <c r="S2023" i="2" s="1"/>
  <c r="I2024" i="2"/>
  <c r="J2024" i="2"/>
  <c r="K2024" i="2"/>
  <c r="O2024" i="2"/>
  <c r="R2024" i="2"/>
  <c r="S2024" i="2" s="1"/>
  <c r="I2025" i="2"/>
  <c r="J2025" i="2"/>
  <c r="K2025" i="2"/>
  <c r="O2025" i="2"/>
  <c r="R2025" i="2"/>
  <c r="S2025" i="2" s="1"/>
  <c r="I2026" i="2"/>
  <c r="J2026" i="2"/>
  <c r="K2026" i="2"/>
  <c r="O2026" i="2"/>
  <c r="R2026" i="2"/>
  <c r="S2026" i="2" s="1"/>
  <c r="I2027" i="2"/>
  <c r="J2027" i="2"/>
  <c r="K2027" i="2"/>
  <c r="R2027" i="2"/>
  <c r="S2027" i="2" s="1"/>
  <c r="I2028" i="2"/>
  <c r="J2028" i="2"/>
  <c r="K2028" i="2"/>
  <c r="O2028" i="2"/>
  <c r="R2028" i="2"/>
  <c r="S2028" i="2" s="1"/>
  <c r="I2029" i="2"/>
  <c r="J2029" i="2"/>
  <c r="K2029" i="2"/>
  <c r="O2029" i="2"/>
  <c r="R2029" i="2"/>
  <c r="S2029" i="2" s="1"/>
  <c r="I2030" i="2"/>
  <c r="J2030" i="2"/>
  <c r="K2030" i="2"/>
  <c r="O2030" i="2"/>
  <c r="R2030" i="2"/>
  <c r="S2030" i="2" s="1"/>
  <c r="I2031" i="2"/>
  <c r="J2031" i="2"/>
  <c r="K2031" i="2"/>
  <c r="O2031" i="2"/>
  <c r="R2031" i="2"/>
  <c r="S2031" i="2" s="1"/>
  <c r="I2032" i="2"/>
  <c r="J2032" i="2"/>
  <c r="K2032" i="2"/>
  <c r="O2032" i="2"/>
  <c r="R2032" i="2"/>
  <c r="S2032" i="2" s="1"/>
  <c r="I2033" i="2"/>
  <c r="J2033" i="2"/>
  <c r="K2033" i="2"/>
  <c r="O2033" i="2"/>
  <c r="R2033" i="2"/>
  <c r="S2033" i="2" s="1"/>
  <c r="I2034" i="2"/>
  <c r="J2034" i="2"/>
  <c r="K2034" i="2"/>
  <c r="O2034" i="2"/>
  <c r="R2034" i="2"/>
  <c r="S2034" i="2" s="1"/>
  <c r="I2035" i="2"/>
  <c r="J2035" i="2"/>
  <c r="K2035" i="2"/>
  <c r="O2035" i="2"/>
  <c r="R2035" i="2"/>
  <c r="S2035" i="2" s="1"/>
  <c r="I2036" i="2"/>
  <c r="J2036" i="2"/>
  <c r="K2036" i="2"/>
  <c r="O2036" i="2"/>
  <c r="R2036" i="2"/>
  <c r="S2036" i="2" s="1"/>
  <c r="I2037" i="2"/>
  <c r="J2037" i="2"/>
  <c r="K2037" i="2"/>
  <c r="O2037" i="2"/>
  <c r="R2037" i="2"/>
  <c r="S2037" i="2" s="1"/>
  <c r="I2038" i="2"/>
  <c r="J2038" i="2"/>
  <c r="K2038" i="2"/>
  <c r="O2038" i="2"/>
  <c r="R2038" i="2"/>
  <c r="S2038" i="2" s="1"/>
  <c r="I2039" i="2"/>
  <c r="J2039" i="2"/>
  <c r="K2039" i="2"/>
  <c r="O2039" i="2"/>
  <c r="R2039" i="2"/>
  <c r="S2039" i="2" s="1"/>
  <c r="I2040" i="2"/>
  <c r="J2040" i="2"/>
  <c r="K2040" i="2"/>
  <c r="O2040" i="2"/>
  <c r="R2040" i="2"/>
  <c r="S2040" i="2" s="1"/>
  <c r="I2041" i="2"/>
  <c r="J2041" i="2"/>
  <c r="K2041" i="2"/>
  <c r="O2041" i="2"/>
  <c r="R2041" i="2"/>
  <c r="S2041" i="2" s="1"/>
  <c r="I2042" i="2"/>
  <c r="J2042" i="2"/>
  <c r="K2042" i="2"/>
  <c r="O2042" i="2"/>
  <c r="R2042" i="2"/>
  <c r="S2042" i="2" s="1"/>
  <c r="I2043" i="2"/>
  <c r="J2043" i="2"/>
  <c r="K2043" i="2"/>
  <c r="O2043" i="2"/>
  <c r="R2043" i="2"/>
  <c r="S2043" i="2" s="1"/>
  <c r="I2044" i="2"/>
  <c r="J2044" i="2"/>
  <c r="K2044" i="2"/>
  <c r="O2044" i="2"/>
  <c r="R2044" i="2"/>
  <c r="S2044" i="2" s="1"/>
  <c r="I2045" i="2"/>
  <c r="J2045" i="2"/>
  <c r="K2045" i="2"/>
  <c r="O2045" i="2"/>
  <c r="R2045" i="2"/>
  <c r="S2045" i="2" s="1"/>
  <c r="I2046" i="2"/>
  <c r="J2046" i="2"/>
  <c r="K2046" i="2"/>
  <c r="O2046" i="2"/>
  <c r="R2046" i="2"/>
  <c r="S2046" i="2" s="1"/>
  <c r="I2047" i="2"/>
  <c r="J2047" i="2"/>
  <c r="K2047" i="2"/>
  <c r="O2047" i="2"/>
  <c r="R2047" i="2"/>
  <c r="S2047" i="2" s="1"/>
  <c r="I2048" i="2"/>
  <c r="J2048" i="2"/>
  <c r="K2048" i="2"/>
  <c r="R2048" i="2"/>
  <c r="S2048" i="2" s="1"/>
  <c r="I2049" i="2"/>
  <c r="J2049" i="2"/>
  <c r="K2049" i="2"/>
  <c r="O2049" i="2"/>
  <c r="R2049" i="2"/>
  <c r="S2049" i="2" s="1"/>
  <c r="I2050" i="2"/>
  <c r="J2050" i="2"/>
  <c r="K2050" i="2"/>
  <c r="O2050" i="2"/>
  <c r="R2050" i="2"/>
  <c r="S2050" i="2" s="1"/>
  <c r="I2051" i="2"/>
  <c r="J2051" i="2"/>
  <c r="K2051" i="2"/>
  <c r="O2051" i="2"/>
  <c r="R2051" i="2"/>
  <c r="S2051" i="2" s="1"/>
  <c r="I2052" i="2"/>
  <c r="J2052" i="2"/>
  <c r="K2052" i="2"/>
  <c r="O2052" i="2"/>
  <c r="R2052" i="2"/>
  <c r="S2052" i="2" s="1"/>
  <c r="I2053" i="2"/>
  <c r="J2053" i="2"/>
  <c r="K2053" i="2"/>
  <c r="O2053" i="2"/>
  <c r="R2053" i="2"/>
  <c r="S2053" i="2" s="1"/>
  <c r="I2054" i="2"/>
  <c r="J2054" i="2"/>
  <c r="K2054" i="2"/>
  <c r="O2054" i="2"/>
  <c r="R2054" i="2"/>
  <c r="S2054" i="2" s="1"/>
  <c r="I2055" i="2"/>
  <c r="J2055" i="2"/>
  <c r="K2055" i="2"/>
  <c r="O2055" i="2"/>
  <c r="R2055" i="2"/>
  <c r="S2055" i="2" s="1"/>
  <c r="I2056" i="2"/>
  <c r="J2056" i="2"/>
  <c r="K2056" i="2"/>
  <c r="O2056" i="2"/>
  <c r="R2056" i="2"/>
  <c r="S2056" i="2" s="1"/>
  <c r="I2057" i="2"/>
  <c r="J2057" i="2"/>
  <c r="K2057" i="2"/>
  <c r="O2057" i="2"/>
  <c r="R2057" i="2"/>
  <c r="S2057" i="2" s="1"/>
  <c r="I2058" i="2"/>
  <c r="J2058" i="2"/>
  <c r="K2058" i="2"/>
  <c r="O2058" i="2"/>
  <c r="R2058" i="2"/>
  <c r="S2058" i="2" s="1"/>
  <c r="I2059" i="2"/>
  <c r="J2059" i="2"/>
  <c r="K2059" i="2"/>
  <c r="O2059" i="2"/>
  <c r="R2059" i="2"/>
  <c r="S2059" i="2" s="1"/>
  <c r="I2060" i="2"/>
  <c r="J2060" i="2"/>
  <c r="K2060" i="2"/>
  <c r="O2060" i="2"/>
  <c r="R2060" i="2"/>
  <c r="S2060" i="2" s="1"/>
  <c r="I2061" i="2"/>
  <c r="J2061" i="2"/>
  <c r="K2061" i="2"/>
  <c r="O2061" i="2"/>
  <c r="R2061" i="2"/>
  <c r="S2061" i="2" s="1"/>
  <c r="I2062" i="2"/>
  <c r="J2062" i="2"/>
  <c r="K2062" i="2"/>
  <c r="O2062" i="2"/>
  <c r="R2062" i="2"/>
  <c r="S2062" i="2" s="1"/>
  <c r="I2063" i="2"/>
  <c r="J2063" i="2"/>
  <c r="K2063" i="2"/>
  <c r="O2063" i="2"/>
  <c r="R2063" i="2"/>
  <c r="S2063" i="2" s="1"/>
  <c r="I2064" i="2"/>
  <c r="J2064" i="2"/>
  <c r="K2064" i="2"/>
  <c r="O2064" i="2"/>
  <c r="R2064" i="2"/>
  <c r="S2064" i="2" s="1"/>
  <c r="I2065" i="2"/>
  <c r="J2065" i="2"/>
  <c r="K2065" i="2"/>
  <c r="O2065" i="2"/>
  <c r="R2065" i="2"/>
  <c r="S2065" i="2" s="1"/>
  <c r="I2066" i="2"/>
  <c r="J2066" i="2"/>
  <c r="K2066" i="2"/>
  <c r="O2066" i="2"/>
  <c r="R2066" i="2"/>
  <c r="S2066" i="2" s="1"/>
  <c r="I2067" i="2"/>
  <c r="J2067" i="2"/>
  <c r="K2067" i="2"/>
  <c r="O2067" i="2"/>
  <c r="R2067" i="2"/>
  <c r="S2067" i="2" s="1"/>
  <c r="I2068" i="2"/>
  <c r="J2068" i="2"/>
  <c r="K2068" i="2"/>
  <c r="O2068" i="2"/>
  <c r="R2068" i="2"/>
  <c r="S2068" i="2" s="1"/>
  <c r="I2069" i="2"/>
  <c r="J2069" i="2"/>
  <c r="K2069" i="2"/>
  <c r="O2069" i="2"/>
  <c r="R2069" i="2"/>
  <c r="S2069" i="2" s="1"/>
  <c r="I2070" i="2"/>
  <c r="J2070" i="2"/>
  <c r="K2070" i="2"/>
  <c r="O2070" i="2"/>
  <c r="R2070" i="2"/>
  <c r="S2070" i="2" s="1"/>
  <c r="I2071" i="2"/>
  <c r="J2071" i="2"/>
  <c r="K2071" i="2"/>
  <c r="O2071" i="2"/>
  <c r="R2071" i="2"/>
  <c r="S2071" i="2" s="1"/>
  <c r="I2072" i="2"/>
  <c r="J2072" i="2"/>
  <c r="K2072" i="2"/>
  <c r="O2072" i="2"/>
  <c r="R2072" i="2"/>
  <c r="S2072" i="2" s="1"/>
  <c r="I2073" i="2"/>
  <c r="J2073" i="2"/>
  <c r="K2073" i="2"/>
  <c r="O2073" i="2"/>
  <c r="R2073" i="2"/>
  <c r="S2073" i="2" s="1"/>
  <c r="I2074" i="2"/>
  <c r="J2074" i="2"/>
  <c r="K2074" i="2"/>
  <c r="O2074" i="2"/>
  <c r="R2074" i="2"/>
  <c r="S2074" i="2" s="1"/>
  <c r="I2075" i="2"/>
  <c r="J2075" i="2"/>
  <c r="K2075" i="2"/>
  <c r="O2075" i="2"/>
  <c r="R2075" i="2"/>
  <c r="S2075" i="2" s="1"/>
  <c r="I2076" i="2"/>
  <c r="J2076" i="2"/>
  <c r="K2076" i="2"/>
  <c r="O2076" i="2"/>
  <c r="R2076" i="2"/>
  <c r="S2076" i="2" s="1"/>
  <c r="I2077" i="2"/>
  <c r="J2077" i="2"/>
  <c r="K2077" i="2"/>
  <c r="O2077" i="2"/>
  <c r="R2077" i="2"/>
  <c r="S2077" i="2" s="1"/>
  <c r="I2078" i="2"/>
  <c r="J2078" i="2"/>
  <c r="K2078" i="2"/>
  <c r="O2078" i="2"/>
  <c r="R2078" i="2"/>
  <c r="S2078" i="2" s="1"/>
  <c r="I2079" i="2"/>
  <c r="J2079" i="2"/>
  <c r="K2079" i="2"/>
  <c r="O2079" i="2"/>
  <c r="R2079" i="2"/>
  <c r="S2079" i="2" s="1"/>
  <c r="I2080" i="2"/>
  <c r="J2080" i="2"/>
  <c r="K2080" i="2"/>
  <c r="O2080" i="2"/>
  <c r="R2080" i="2"/>
  <c r="S2080" i="2" s="1"/>
  <c r="I2081" i="2"/>
  <c r="J2081" i="2"/>
  <c r="K2081" i="2"/>
  <c r="O2081" i="2"/>
  <c r="R2081" i="2"/>
  <c r="S2081" i="2" s="1"/>
  <c r="I2082" i="2"/>
  <c r="J2082" i="2"/>
  <c r="K2082" i="2"/>
  <c r="O2082" i="2"/>
  <c r="R2082" i="2"/>
  <c r="S2082" i="2" s="1"/>
  <c r="I2083" i="2"/>
  <c r="J2083" i="2"/>
  <c r="K2083" i="2"/>
  <c r="O2083" i="2"/>
  <c r="R2083" i="2"/>
  <c r="S2083" i="2" s="1"/>
  <c r="I2084" i="2"/>
  <c r="J2084" i="2"/>
  <c r="K2084" i="2"/>
  <c r="O2084" i="2"/>
  <c r="R2084" i="2"/>
  <c r="S2084" i="2" s="1"/>
  <c r="I2085" i="2"/>
  <c r="J2085" i="2"/>
  <c r="K2085" i="2"/>
  <c r="O2085" i="2"/>
  <c r="R2085" i="2"/>
  <c r="S2085" i="2" s="1"/>
  <c r="I2086" i="2"/>
  <c r="J2086" i="2"/>
  <c r="K2086" i="2"/>
  <c r="O2086" i="2"/>
  <c r="R2086" i="2"/>
  <c r="S2086" i="2" s="1"/>
  <c r="I2087" i="2"/>
  <c r="J2087" i="2"/>
  <c r="K2087" i="2"/>
  <c r="O2087" i="2"/>
  <c r="R2087" i="2"/>
  <c r="S2087" i="2" s="1"/>
  <c r="I2088" i="2"/>
  <c r="J2088" i="2"/>
  <c r="K2088" i="2"/>
  <c r="O2088" i="2"/>
  <c r="R2088" i="2"/>
  <c r="S2088" i="2" s="1"/>
  <c r="I2089" i="2"/>
  <c r="J2089" i="2"/>
  <c r="K2089" i="2"/>
  <c r="O2089" i="2"/>
  <c r="R2089" i="2"/>
  <c r="S2089" i="2" s="1"/>
  <c r="I2090" i="2"/>
  <c r="J2090" i="2"/>
  <c r="K2090" i="2"/>
  <c r="O2090" i="2"/>
  <c r="R2090" i="2"/>
  <c r="S2090" i="2" s="1"/>
  <c r="I2091" i="2"/>
  <c r="J2091" i="2"/>
  <c r="K2091" i="2"/>
  <c r="O2091" i="2"/>
  <c r="R2091" i="2"/>
  <c r="S2091" i="2" s="1"/>
  <c r="I2092" i="2"/>
  <c r="J2092" i="2"/>
  <c r="K2092" i="2"/>
  <c r="O2092" i="2"/>
  <c r="R2092" i="2"/>
  <c r="S2092" i="2" s="1"/>
  <c r="I2093" i="2"/>
  <c r="J2093" i="2"/>
  <c r="K2093" i="2"/>
  <c r="O2093" i="2"/>
  <c r="R2093" i="2"/>
  <c r="S2093" i="2" s="1"/>
  <c r="I2094" i="2"/>
  <c r="J2094" i="2"/>
  <c r="K2094" i="2"/>
  <c r="O2094" i="2"/>
  <c r="R2094" i="2"/>
  <c r="S2094" i="2" s="1"/>
  <c r="I2095" i="2"/>
  <c r="J2095" i="2"/>
  <c r="K2095" i="2"/>
  <c r="O2095" i="2"/>
  <c r="R2095" i="2"/>
  <c r="S2095" i="2" s="1"/>
  <c r="I2096" i="2"/>
  <c r="J2096" i="2"/>
  <c r="K2096" i="2"/>
  <c r="O2096" i="2"/>
  <c r="R2096" i="2"/>
  <c r="S2096" i="2" s="1"/>
  <c r="I2097" i="2"/>
  <c r="J2097" i="2"/>
  <c r="K2097" i="2"/>
  <c r="O2097" i="2"/>
  <c r="R2097" i="2"/>
  <c r="S2097" i="2" s="1"/>
  <c r="I2098" i="2"/>
  <c r="J2098" i="2"/>
  <c r="K2098" i="2"/>
  <c r="O2098" i="2"/>
  <c r="R2098" i="2"/>
  <c r="S2098" i="2" s="1"/>
  <c r="I2099" i="2"/>
  <c r="J2099" i="2"/>
  <c r="K2099" i="2"/>
  <c r="O2099" i="2"/>
  <c r="R2099" i="2"/>
  <c r="S2099" i="2" s="1"/>
  <c r="I2100" i="2"/>
  <c r="J2100" i="2"/>
  <c r="K2100" i="2"/>
  <c r="O2100" i="2"/>
  <c r="R2100" i="2"/>
  <c r="S2100" i="2" s="1"/>
  <c r="I2101" i="2"/>
  <c r="J2101" i="2"/>
  <c r="K2101" i="2"/>
  <c r="O2101" i="2"/>
  <c r="R2101" i="2"/>
  <c r="S2101" i="2" s="1"/>
  <c r="I2102" i="2"/>
  <c r="J2102" i="2"/>
  <c r="K2102" i="2"/>
  <c r="O2102" i="2"/>
  <c r="R2102" i="2"/>
  <c r="S2102" i="2" s="1"/>
  <c r="I2103" i="2"/>
  <c r="J2103" i="2"/>
  <c r="K2103" i="2"/>
  <c r="O2103" i="2"/>
  <c r="R2103" i="2"/>
  <c r="S2103" i="2" s="1"/>
  <c r="I2104" i="2"/>
  <c r="J2104" i="2"/>
  <c r="K2104" i="2"/>
  <c r="O2104" i="2"/>
  <c r="R2104" i="2"/>
  <c r="S2104" i="2" s="1"/>
  <c r="I2105" i="2"/>
  <c r="J2105" i="2"/>
  <c r="K2105" i="2"/>
  <c r="O2105" i="2"/>
  <c r="R2105" i="2"/>
  <c r="S2105" i="2" s="1"/>
  <c r="I2106" i="2"/>
  <c r="J2106" i="2"/>
  <c r="K2106" i="2"/>
  <c r="O2106" i="2"/>
  <c r="R2106" i="2"/>
  <c r="S2106" i="2" s="1"/>
  <c r="I2107" i="2"/>
  <c r="J2107" i="2"/>
  <c r="K2107" i="2"/>
  <c r="O2107" i="2"/>
  <c r="R2107" i="2"/>
  <c r="S2107" i="2" s="1"/>
  <c r="I2108" i="2"/>
  <c r="J2108" i="2"/>
  <c r="K2108" i="2"/>
  <c r="O2108" i="2"/>
  <c r="R2108" i="2"/>
  <c r="S2108" i="2" s="1"/>
  <c r="I2109" i="2"/>
  <c r="J2109" i="2"/>
  <c r="K2109" i="2"/>
  <c r="O2109" i="2"/>
  <c r="R2109" i="2"/>
  <c r="S2109" i="2" s="1"/>
  <c r="I2110" i="2"/>
  <c r="J2110" i="2"/>
  <c r="K2110" i="2"/>
  <c r="O2110" i="2"/>
  <c r="R2110" i="2"/>
  <c r="S2110" i="2" s="1"/>
  <c r="I2111" i="2"/>
  <c r="J2111" i="2"/>
  <c r="K2111" i="2"/>
  <c r="O2111" i="2"/>
  <c r="R2111" i="2"/>
  <c r="S2111" i="2" s="1"/>
  <c r="I2112" i="2"/>
  <c r="J2112" i="2"/>
  <c r="K2112" i="2"/>
  <c r="O2112" i="2"/>
  <c r="R2112" i="2"/>
  <c r="S2112" i="2" s="1"/>
  <c r="I2113" i="2"/>
  <c r="J2113" i="2"/>
  <c r="K2113" i="2"/>
  <c r="O2113" i="2"/>
  <c r="R2113" i="2"/>
  <c r="S2113" i="2" s="1"/>
  <c r="I2114" i="2"/>
  <c r="J2114" i="2"/>
  <c r="K2114" i="2"/>
  <c r="O2114" i="2"/>
  <c r="R2114" i="2"/>
  <c r="S2114" i="2" s="1"/>
  <c r="I2115" i="2"/>
  <c r="J2115" i="2"/>
  <c r="K2115" i="2"/>
  <c r="O2115" i="2"/>
  <c r="R2115" i="2"/>
  <c r="S2115" i="2" s="1"/>
  <c r="I2116" i="2"/>
  <c r="J2116" i="2"/>
  <c r="K2116" i="2"/>
  <c r="O2116" i="2"/>
  <c r="R2116" i="2"/>
  <c r="S2116" i="2" s="1"/>
  <c r="I2117" i="2"/>
  <c r="J2117" i="2"/>
  <c r="K2117" i="2"/>
  <c r="O2117" i="2"/>
  <c r="R2117" i="2"/>
  <c r="S2117" i="2" s="1"/>
  <c r="I2118" i="2"/>
  <c r="J2118" i="2"/>
  <c r="K2118" i="2"/>
  <c r="O2118" i="2"/>
  <c r="R2118" i="2"/>
  <c r="S2118" i="2" s="1"/>
  <c r="I2119" i="2"/>
  <c r="J2119" i="2"/>
  <c r="K2119" i="2"/>
  <c r="O2119" i="2"/>
  <c r="R2119" i="2"/>
  <c r="S2119" i="2" s="1"/>
  <c r="I2120" i="2"/>
  <c r="J2120" i="2"/>
  <c r="K2120" i="2"/>
  <c r="O2120" i="2"/>
  <c r="R2120" i="2"/>
  <c r="S2120" i="2" s="1"/>
  <c r="I2121" i="2"/>
  <c r="J2121" i="2"/>
  <c r="K2121" i="2"/>
  <c r="O2121" i="2"/>
  <c r="R2121" i="2"/>
  <c r="S2121" i="2" s="1"/>
  <c r="I2122" i="2"/>
  <c r="J2122" i="2"/>
  <c r="K2122" i="2"/>
  <c r="O2122" i="2"/>
  <c r="R2122" i="2"/>
  <c r="S2122" i="2" s="1"/>
  <c r="I2123" i="2"/>
  <c r="J2123" i="2"/>
  <c r="K2123" i="2"/>
  <c r="O2123" i="2"/>
  <c r="R2123" i="2"/>
  <c r="S2123" i="2" s="1"/>
  <c r="I2124" i="2"/>
  <c r="J2124" i="2"/>
  <c r="K2124" i="2"/>
  <c r="O2124" i="2"/>
  <c r="R2124" i="2"/>
  <c r="S2124" i="2" s="1"/>
  <c r="I2125" i="2"/>
  <c r="J2125" i="2"/>
  <c r="K2125" i="2"/>
  <c r="O2125" i="2"/>
  <c r="R2125" i="2"/>
  <c r="S2125" i="2" s="1"/>
  <c r="I2126" i="2"/>
  <c r="J2126" i="2"/>
  <c r="K2126" i="2"/>
  <c r="O2126" i="2"/>
  <c r="R2126" i="2"/>
  <c r="S2126" i="2" s="1"/>
  <c r="I2127" i="2"/>
  <c r="J2127" i="2"/>
  <c r="K2127" i="2"/>
  <c r="O2127" i="2"/>
  <c r="R2127" i="2"/>
  <c r="S2127" i="2" s="1"/>
  <c r="I2128" i="2"/>
  <c r="J2128" i="2"/>
  <c r="K2128" i="2"/>
  <c r="O2128" i="2"/>
  <c r="R2128" i="2"/>
  <c r="S2128" i="2" s="1"/>
  <c r="I2129" i="2"/>
  <c r="J2129" i="2"/>
  <c r="K2129" i="2"/>
  <c r="O2129" i="2"/>
  <c r="R2129" i="2"/>
  <c r="S2129" i="2" s="1"/>
  <c r="I2130" i="2"/>
  <c r="J2130" i="2"/>
  <c r="K2130" i="2"/>
  <c r="O2130" i="2"/>
  <c r="R2130" i="2"/>
  <c r="S2130" i="2" s="1"/>
  <c r="I2131" i="2"/>
  <c r="J2131" i="2"/>
  <c r="K2131" i="2"/>
  <c r="O2131" i="2"/>
  <c r="R2131" i="2"/>
  <c r="S2131" i="2" s="1"/>
  <c r="I2132" i="2"/>
  <c r="J2132" i="2"/>
  <c r="K2132" i="2"/>
  <c r="O2132" i="2"/>
  <c r="R2132" i="2"/>
  <c r="S2132" i="2" s="1"/>
  <c r="I2133" i="2"/>
  <c r="J2133" i="2"/>
  <c r="K2133" i="2"/>
  <c r="O2133" i="2"/>
  <c r="R2133" i="2"/>
  <c r="S2133" i="2" s="1"/>
  <c r="I2134" i="2"/>
  <c r="J2134" i="2"/>
  <c r="K2134" i="2"/>
  <c r="O2134" i="2"/>
  <c r="R2134" i="2"/>
  <c r="S2134" i="2" s="1"/>
  <c r="I2135" i="2"/>
  <c r="J2135" i="2"/>
  <c r="K2135" i="2"/>
  <c r="O2135" i="2"/>
  <c r="R2135" i="2"/>
  <c r="S2135" i="2" s="1"/>
  <c r="I2136" i="2"/>
  <c r="J2136" i="2"/>
  <c r="K2136" i="2"/>
  <c r="O2136" i="2"/>
  <c r="R2136" i="2"/>
  <c r="S2136" i="2" s="1"/>
  <c r="I2137" i="2"/>
  <c r="J2137" i="2"/>
  <c r="K2137" i="2"/>
  <c r="O2137" i="2"/>
  <c r="R2137" i="2"/>
  <c r="S2137" i="2" s="1"/>
  <c r="I2138" i="2"/>
  <c r="J2138" i="2"/>
  <c r="K2138" i="2"/>
  <c r="O2138" i="2"/>
  <c r="R2138" i="2"/>
  <c r="S2138" i="2" s="1"/>
  <c r="I2139" i="2"/>
  <c r="J2139" i="2"/>
  <c r="K2139" i="2"/>
  <c r="O2139" i="2"/>
  <c r="R2139" i="2"/>
  <c r="S2139" i="2" s="1"/>
  <c r="I2140" i="2"/>
  <c r="J2140" i="2"/>
  <c r="K2140" i="2"/>
  <c r="O2140" i="2"/>
  <c r="R2140" i="2"/>
  <c r="S2140" i="2" s="1"/>
  <c r="I2141" i="2"/>
  <c r="J2141" i="2"/>
  <c r="K2141" i="2"/>
  <c r="O2141" i="2"/>
  <c r="R2141" i="2"/>
  <c r="S2141" i="2" s="1"/>
  <c r="I2142" i="2"/>
  <c r="J2142" i="2"/>
  <c r="K2142" i="2"/>
  <c r="O2142" i="2"/>
  <c r="R2142" i="2"/>
  <c r="S2142" i="2" s="1"/>
  <c r="I2143" i="2"/>
  <c r="J2143" i="2"/>
  <c r="K2143" i="2"/>
  <c r="O2143" i="2"/>
  <c r="R2143" i="2"/>
  <c r="S2143" i="2" s="1"/>
  <c r="I2144" i="2"/>
  <c r="J2144" i="2"/>
  <c r="K2144" i="2"/>
  <c r="O2144" i="2"/>
  <c r="R2144" i="2"/>
  <c r="S2144" i="2" s="1"/>
  <c r="I2145" i="2"/>
  <c r="J2145" i="2"/>
  <c r="K2145" i="2"/>
  <c r="O2145" i="2"/>
  <c r="R2145" i="2"/>
  <c r="S2145" i="2" s="1"/>
  <c r="I2146" i="2"/>
  <c r="J2146" i="2"/>
  <c r="K2146" i="2"/>
  <c r="O2146" i="2"/>
  <c r="R2146" i="2"/>
  <c r="S2146" i="2" s="1"/>
  <c r="I2147" i="2"/>
  <c r="J2147" i="2"/>
  <c r="K2147" i="2"/>
  <c r="O2147" i="2"/>
  <c r="R2147" i="2"/>
  <c r="S2147" i="2" s="1"/>
  <c r="I2148" i="2"/>
  <c r="J2148" i="2"/>
  <c r="K2148" i="2"/>
  <c r="O2148" i="2"/>
  <c r="R2148" i="2"/>
  <c r="S2148" i="2" s="1"/>
  <c r="I2149" i="2"/>
  <c r="J2149" i="2"/>
  <c r="K2149" i="2"/>
  <c r="O2149" i="2"/>
  <c r="R2149" i="2"/>
  <c r="S2149" i="2" s="1"/>
  <c r="I2150" i="2"/>
  <c r="J2150" i="2"/>
  <c r="K2150" i="2"/>
  <c r="O2150" i="2"/>
  <c r="R2150" i="2"/>
  <c r="S2150" i="2" s="1"/>
  <c r="I2151" i="2"/>
  <c r="J2151" i="2"/>
  <c r="K2151" i="2"/>
  <c r="O2151" i="2"/>
  <c r="R2151" i="2"/>
  <c r="S2151" i="2" s="1"/>
  <c r="I2152" i="2"/>
  <c r="J2152" i="2"/>
  <c r="K2152" i="2"/>
  <c r="O2152" i="2"/>
  <c r="R2152" i="2"/>
  <c r="S2152" i="2" s="1"/>
  <c r="I2153" i="2"/>
  <c r="J2153" i="2"/>
  <c r="K2153" i="2"/>
  <c r="O2153" i="2"/>
  <c r="R2153" i="2"/>
  <c r="S2153" i="2" s="1"/>
  <c r="I2154" i="2"/>
  <c r="J2154" i="2"/>
  <c r="K2154" i="2"/>
  <c r="O2154" i="2"/>
  <c r="R2154" i="2"/>
  <c r="S2154" i="2" s="1"/>
  <c r="I2155" i="2"/>
  <c r="J2155" i="2"/>
  <c r="K2155" i="2"/>
  <c r="O2155" i="2"/>
  <c r="R2155" i="2"/>
  <c r="S2155" i="2" s="1"/>
  <c r="I2156" i="2"/>
  <c r="J2156" i="2"/>
  <c r="K2156" i="2"/>
  <c r="O2156" i="2"/>
  <c r="R2156" i="2"/>
  <c r="S2156" i="2" s="1"/>
  <c r="I2157" i="2"/>
  <c r="J2157" i="2"/>
  <c r="K2157" i="2"/>
  <c r="O2157" i="2"/>
  <c r="R2157" i="2"/>
  <c r="S2157" i="2" s="1"/>
  <c r="I2158" i="2"/>
  <c r="J2158" i="2"/>
  <c r="K2158" i="2"/>
  <c r="O2158" i="2"/>
  <c r="R2158" i="2"/>
  <c r="S2158" i="2" s="1"/>
  <c r="I2159" i="2"/>
  <c r="J2159" i="2"/>
  <c r="K2159" i="2"/>
  <c r="O2159" i="2"/>
  <c r="R2159" i="2"/>
  <c r="S2159" i="2" s="1"/>
  <c r="I2160" i="2"/>
  <c r="J2160" i="2"/>
  <c r="K2160" i="2"/>
  <c r="O2160" i="2"/>
  <c r="R2160" i="2"/>
  <c r="S2160" i="2" s="1"/>
  <c r="I2161" i="2"/>
  <c r="J2161" i="2"/>
  <c r="K2161" i="2"/>
  <c r="O2161" i="2"/>
  <c r="R2161" i="2"/>
  <c r="S2161" i="2" s="1"/>
  <c r="I2162" i="2"/>
  <c r="J2162" i="2"/>
  <c r="K2162" i="2"/>
  <c r="O2162" i="2"/>
  <c r="R2162" i="2"/>
  <c r="S2162" i="2" s="1"/>
  <c r="I2163" i="2"/>
  <c r="J2163" i="2"/>
  <c r="K2163" i="2"/>
  <c r="O2163" i="2"/>
  <c r="R2163" i="2"/>
  <c r="S2163" i="2" s="1"/>
  <c r="I2164" i="2"/>
  <c r="J2164" i="2"/>
  <c r="K2164" i="2"/>
  <c r="O2164" i="2"/>
  <c r="R2164" i="2"/>
  <c r="S2164" i="2" s="1"/>
  <c r="I2165" i="2"/>
  <c r="J2165" i="2"/>
  <c r="K2165" i="2"/>
  <c r="O2165" i="2"/>
  <c r="R2165" i="2"/>
  <c r="S2165" i="2" s="1"/>
  <c r="I2166" i="2"/>
  <c r="J2166" i="2"/>
  <c r="K2166" i="2"/>
  <c r="O2166" i="2"/>
  <c r="R2166" i="2"/>
  <c r="S2166" i="2" s="1"/>
  <c r="I2167" i="2"/>
  <c r="J2167" i="2"/>
  <c r="K2167" i="2"/>
  <c r="O2167" i="2"/>
  <c r="R2167" i="2"/>
  <c r="S2167" i="2" s="1"/>
  <c r="I2168" i="2"/>
  <c r="J2168" i="2"/>
  <c r="K2168" i="2"/>
  <c r="O2168" i="2"/>
  <c r="R2168" i="2"/>
  <c r="S2168" i="2" s="1"/>
  <c r="I2169" i="2"/>
  <c r="J2169" i="2"/>
  <c r="K2169" i="2"/>
  <c r="O2169" i="2"/>
  <c r="R2169" i="2"/>
  <c r="S2169" i="2" s="1"/>
  <c r="I2170" i="2"/>
  <c r="J2170" i="2"/>
  <c r="K2170" i="2"/>
  <c r="O2170" i="2"/>
  <c r="R2170" i="2"/>
  <c r="S2170" i="2" s="1"/>
  <c r="I2171" i="2"/>
  <c r="J2171" i="2"/>
  <c r="K2171" i="2"/>
  <c r="O2171" i="2"/>
  <c r="R2171" i="2"/>
  <c r="S2171" i="2" s="1"/>
  <c r="I2172" i="2"/>
  <c r="J2172" i="2"/>
  <c r="K2172" i="2"/>
  <c r="O2172" i="2"/>
  <c r="R2172" i="2"/>
  <c r="S2172" i="2" s="1"/>
  <c r="I2173" i="2"/>
  <c r="J2173" i="2"/>
  <c r="K2173" i="2"/>
  <c r="O2173" i="2"/>
  <c r="R2173" i="2"/>
  <c r="S2173" i="2" s="1"/>
  <c r="I2174" i="2"/>
  <c r="J2174" i="2"/>
  <c r="K2174" i="2"/>
  <c r="O2174" i="2"/>
  <c r="R2174" i="2"/>
  <c r="S2174" i="2" s="1"/>
  <c r="I2175" i="2"/>
  <c r="J2175" i="2"/>
  <c r="K2175" i="2"/>
  <c r="O2175" i="2"/>
  <c r="R2175" i="2"/>
  <c r="S2175" i="2" s="1"/>
  <c r="I2176" i="2"/>
  <c r="J2176" i="2"/>
  <c r="K2176" i="2"/>
  <c r="O2176" i="2"/>
  <c r="R2176" i="2"/>
  <c r="S2176" i="2" s="1"/>
  <c r="I2177" i="2"/>
  <c r="J2177" i="2"/>
  <c r="K2177" i="2"/>
  <c r="O2177" i="2"/>
  <c r="R2177" i="2"/>
  <c r="S2177" i="2" s="1"/>
  <c r="I2178" i="2"/>
  <c r="J2178" i="2"/>
  <c r="K2178" i="2"/>
  <c r="O2178" i="2"/>
  <c r="R2178" i="2"/>
  <c r="S2178" i="2" s="1"/>
  <c r="I2179" i="2"/>
  <c r="J2179" i="2"/>
  <c r="K2179" i="2"/>
  <c r="O2179" i="2"/>
  <c r="R2179" i="2"/>
  <c r="S2179" i="2" s="1"/>
  <c r="I2180" i="2"/>
  <c r="J2180" i="2"/>
  <c r="K2180" i="2"/>
  <c r="O2180" i="2"/>
  <c r="R2180" i="2"/>
  <c r="S2180" i="2" s="1"/>
  <c r="I2181" i="2"/>
  <c r="J2181" i="2"/>
  <c r="K2181" i="2"/>
  <c r="O2181" i="2"/>
  <c r="R2181" i="2"/>
  <c r="S2181" i="2" s="1"/>
  <c r="I2182" i="2"/>
  <c r="J2182" i="2"/>
  <c r="K2182" i="2"/>
  <c r="O2182" i="2"/>
  <c r="R2182" i="2"/>
  <c r="S2182" i="2" s="1"/>
  <c r="I2183" i="2"/>
  <c r="J2183" i="2"/>
  <c r="K2183" i="2"/>
  <c r="O2183" i="2"/>
  <c r="R2183" i="2"/>
  <c r="S2183" i="2" s="1"/>
  <c r="I2184" i="2"/>
  <c r="J2184" i="2"/>
  <c r="K2184" i="2"/>
  <c r="O2184" i="2"/>
  <c r="R2184" i="2"/>
  <c r="S2184" i="2" s="1"/>
  <c r="I2185" i="2"/>
  <c r="J2185" i="2"/>
  <c r="K2185" i="2"/>
  <c r="O2185" i="2"/>
  <c r="R2185" i="2"/>
  <c r="S2185" i="2" s="1"/>
  <c r="I2186" i="2"/>
  <c r="J2186" i="2"/>
  <c r="K2186" i="2"/>
  <c r="O2186" i="2"/>
  <c r="R2186" i="2"/>
  <c r="S2186" i="2" s="1"/>
  <c r="I2187" i="2"/>
  <c r="J2187" i="2"/>
  <c r="K2187" i="2"/>
  <c r="O2187" i="2"/>
  <c r="R2187" i="2"/>
  <c r="S2187" i="2" s="1"/>
  <c r="I2188" i="2"/>
  <c r="J2188" i="2"/>
  <c r="K2188" i="2"/>
  <c r="O2188" i="2"/>
  <c r="R2188" i="2"/>
  <c r="S2188" i="2" s="1"/>
  <c r="I2189" i="2"/>
  <c r="J2189" i="2"/>
  <c r="K2189" i="2"/>
  <c r="O2189" i="2"/>
  <c r="R2189" i="2"/>
  <c r="S2189" i="2" s="1"/>
  <c r="I2190" i="2"/>
  <c r="J2190" i="2"/>
  <c r="K2190" i="2"/>
  <c r="O2190" i="2"/>
  <c r="R2190" i="2"/>
  <c r="S2190" i="2" s="1"/>
  <c r="I2191" i="2"/>
  <c r="J2191" i="2"/>
  <c r="K2191" i="2"/>
  <c r="O2191" i="2"/>
  <c r="R2191" i="2"/>
  <c r="S2191" i="2" s="1"/>
  <c r="I2192" i="2"/>
  <c r="J2192" i="2"/>
  <c r="K2192" i="2"/>
  <c r="O2192" i="2"/>
  <c r="R2192" i="2"/>
  <c r="S2192" i="2" s="1"/>
  <c r="I2193" i="2"/>
  <c r="J2193" i="2"/>
  <c r="K2193" i="2"/>
  <c r="O2193" i="2"/>
  <c r="R2193" i="2"/>
  <c r="S2193" i="2" s="1"/>
  <c r="I2194" i="2"/>
  <c r="J2194" i="2"/>
  <c r="K2194" i="2"/>
  <c r="O2194" i="2"/>
  <c r="R2194" i="2"/>
  <c r="S2194" i="2" s="1"/>
  <c r="I2195" i="2"/>
  <c r="J2195" i="2"/>
  <c r="K2195" i="2"/>
  <c r="O2195" i="2"/>
  <c r="R2195" i="2"/>
  <c r="S2195" i="2" s="1"/>
  <c r="I2196" i="2"/>
  <c r="J2196" i="2"/>
  <c r="K2196" i="2"/>
  <c r="O2196" i="2"/>
  <c r="R2196" i="2"/>
  <c r="S2196" i="2" s="1"/>
  <c r="I2197" i="2"/>
  <c r="J2197" i="2"/>
  <c r="K2197" i="2"/>
  <c r="O2197" i="2"/>
  <c r="R2197" i="2"/>
  <c r="S2197" i="2" s="1"/>
  <c r="I2198" i="2"/>
  <c r="J2198" i="2"/>
  <c r="K2198" i="2"/>
  <c r="O2198" i="2"/>
  <c r="R2198" i="2"/>
  <c r="S2198" i="2" s="1"/>
  <c r="I2199" i="2"/>
  <c r="J2199" i="2"/>
  <c r="K2199" i="2"/>
  <c r="O2199" i="2"/>
  <c r="R2199" i="2"/>
  <c r="S2199" i="2" s="1"/>
  <c r="I2200" i="2"/>
  <c r="J2200" i="2"/>
  <c r="K2200" i="2"/>
  <c r="O2200" i="2"/>
  <c r="R2200" i="2"/>
  <c r="S2200" i="2" s="1"/>
  <c r="I2201" i="2"/>
  <c r="J2201" i="2"/>
  <c r="K2201" i="2"/>
  <c r="O2201" i="2"/>
  <c r="R2201" i="2"/>
  <c r="S2201" i="2" s="1"/>
  <c r="I2202" i="2"/>
  <c r="J2202" i="2"/>
  <c r="K2202" i="2"/>
  <c r="O2202" i="2"/>
  <c r="R2202" i="2"/>
  <c r="S2202" i="2" s="1"/>
  <c r="I2203" i="2"/>
  <c r="J2203" i="2"/>
  <c r="K2203" i="2"/>
  <c r="O2203" i="2"/>
  <c r="R2203" i="2"/>
  <c r="S2203" i="2" s="1"/>
  <c r="I2204" i="2"/>
  <c r="J2204" i="2"/>
  <c r="K2204" i="2"/>
  <c r="O2204" i="2"/>
  <c r="R2204" i="2"/>
  <c r="S2204" i="2" s="1"/>
  <c r="I2205" i="2"/>
  <c r="J2205" i="2"/>
  <c r="K2205" i="2"/>
  <c r="O2205" i="2"/>
  <c r="R2205" i="2"/>
  <c r="S2205" i="2" s="1"/>
  <c r="I2206" i="2"/>
  <c r="J2206" i="2"/>
  <c r="K2206" i="2"/>
  <c r="O2206" i="2"/>
  <c r="R2206" i="2"/>
  <c r="S2206" i="2" s="1"/>
  <c r="I2207" i="2"/>
  <c r="J2207" i="2"/>
  <c r="K2207" i="2"/>
  <c r="O2207" i="2"/>
  <c r="R2207" i="2"/>
  <c r="S2207" i="2" s="1"/>
  <c r="I2208" i="2"/>
  <c r="J2208" i="2"/>
  <c r="K2208" i="2"/>
  <c r="O2208" i="2"/>
  <c r="R2208" i="2"/>
  <c r="S2208" i="2" s="1"/>
  <c r="I2209" i="2"/>
  <c r="J2209" i="2"/>
  <c r="K2209" i="2"/>
  <c r="O2209" i="2"/>
  <c r="R2209" i="2"/>
  <c r="S2209" i="2" s="1"/>
  <c r="I2210" i="2"/>
  <c r="J2210" i="2"/>
  <c r="K2210" i="2"/>
  <c r="O2210" i="2"/>
  <c r="R2210" i="2"/>
  <c r="S2210" i="2" s="1"/>
  <c r="I2211" i="2"/>
  <c r="J2211" i="2"/>
  <c r="K2211" i="2"/>
  <c r="O2211" i="2"/>
  <c r="R2211" i="2"/>
  <c r="S2211" i="2" s="1"/>
  <c r="I2212" i="2"/>
  <c r="J2212" i="2"/>
  <c r="K2212" i="2"/>
  <c r="O2212" i="2"/>
  <c r="R2212" i="2"/>
  <c r="S2212" i="2" s="1"/>
  <c r="I2213" i="2"/>
  <c r="J2213" i="2"/>
  <c r="K2213" i="2"/>
  <c r="O2213" i="2"/>
  <c r="R2213" i="2"/>
  <c r="S2213" i="2" s="1"/>
  <c r="I2214" i="2"/>
  <c r="J2214" i="2"/>
  <c r="K2214" i="2"/>
  <c r="O2214" i="2"/>
  <c r="R2214" i="2"/>
  <c r="S2214" i="2" s="1"/>
  <c r="I2215" i="2"/>
  <c r="J2215" i="2"/>
  <c r="K2215" i="2"/>
  <c r="O2215" i="2"/>
  <c r="R2215" i="2"/>
  <c r="S2215" i="2" s="1"/>
  <c r="I2216" i="2"/>
  <c r="J2216" i="2"/>
  <c r="K2216" i="2"/>
  <c r="O2216" i="2"/>
  <c r="R2216" i="2"/>
  <c r="S2216" i="2" s="1"/>
  <c r="I2217" i="2"/>
  <c r="J2217" i="2"/>
  <c r="K2217" i="2"/>
  <c r="O2217" i="2"/>
  <c r="R2217" i="2"/>
  <c r="S2217" i="2" s="1"/>
  <c r="I2218" i="2"/>
  <c r="J2218" i="2"/>
  <c r="K2218" i="2"/>
  <c r="O2218" i="2"/>
  <c r="R2218" i="2"/>
  <c r="S2218" i="2" s="1"/>
  <c r="I2219" i="2"/>
  <c r="J2219" i="2"/>
  <c r="K2219" i="2"/>
  <c r="O2219" i="2"/>
  <c r="R2219" i="2"/>
  <c r="S2219" i="2" s="1"/>
  <c r="I2220" i="2"/>
  <c r="J2220" i="2"/>
  <c r="K2220" i="2"/>
  <c r="O2220" i="2"/>
  <c r="R2220" i="2"/>
  <c r="S2220" i="2" s="1"/>
  <c r="I2221" i="2"/>
  <c r="J2221" i="2"/>
  <c r="K2221" i="2"/>
  <c r="O2221" i="2"/>
  <c r="R2221" i="2"/>
  <c r="S2221" i="2" s="1"/>
  <c r="I2222" i="2"/>
  <c r="J2222" i="2"/>
  <c r="K2222" i="2"/>
  <c r="O2222" i="2"/>
  <c r="R2222" i="2"/>
  <c r="S2222" i="2" s="1"/>
  <c r="I2223" i="2"/>
  <c r="J2223" i="2"/>
  <c r="K2223" i="2"/>
  <c r="O2223" i="2"/>
  <c r="R2223" i="2"/>
  <c r="S2223" i="2" s="1"/>
  <c r="I2224" i="2"/>
  <c r="J2224" i="2"/>
  <c r="K2224" i="2"/>
  <c r="O2224" i="2"/>
  <c r="R2224" i="2"/>
  <c r="S2224" i="2" s="1"/>
  <c r="I2225" i="2"/>
  <c r="J2225" i="2"/>
  <c r="K2225" i="2"/>
  <c r="O2225" i="2"/>
  <c r="R2225" i="2"/>
  <c r="S2225" i="2" s="1"/>
  <c r="I2226" i="2"/>
  <c r="J2226" i="2"/>
  <c r="K2226" i="2"/>
  <c r="O2226" i="2"/>
  <c r="R2226" i="2"/>
  <c r="S2226" i="2" s="1"/>
  <c r="I2227" i="2"/>
  <c r="J2227" i="2"/>
  <c r="K2227" i="2"/>
  <c r="O2227" i="2"/>
  <c r="R2227" i="2"/>
  <c r="S2227" i="2" s="1"/>
  <c r="I2228" i="2"/>
  <c r="J2228" i="2"/>
  <c r="K2228" i="2"/>
  <c r="O2228" i="2"/>
  <c r="R2228" i="2"/>
  <c r="S2228" i="2" s="1"/>
  <c r="I2229" i="2"/>
  <c r="J2229" i="2"/>
  <c r="K2229" i="2"/>
  <c r="O2229" i="2"/>
  <c r="R2229" i="2"/>
  <c r="S2229" i="2" s="1"/>
  <c r="I2230" i="2"/>
  <c r="J2230" i="2"/>
  <c r="K2230" i="2"/>
  <c r="O2230" i="2"/>
  <c r="R2230" i="2"/>
  <c r="S2230" i="2" s="1"/>
  <c r="I2231" i="2"/>
  <c r="J2231" i="2"/>
  <c r="K2231" i="2"/>
  <c r="O2231" i="2"/>
  <c r="R2231" i="2"/>
  <c r="S2231" i="2" s="1"/>
  <c r="I2232" i="2"/>
  <c r="J2232" i="2"/>
  <c r="K2232" i="2"/>
  <c r="O2232" i="2"/>
  <c r="R2232" i="2"/>
  <c r="S2232" i="2" s="1"/>
  <c r="I2233" i="2"/>
  <c r="J2233" i="2"/>
  <c r="K2233" i="2"/>
  <c r="O2233" i="2"/>
  <c r="R2233" i="2"/>
  <c r="S2233" i="2" s="1"/>
  <c r="I2234" i="2"/>
  <c r="J2234" i="2"/>
  <c r="K2234" i="2"/>
  <c r="O2234" i="2"/>
  <c r="R2234" i="2"/>
  <c r="S2234" i="2" s="1"/>
  <c r="I2235" i="2"/>
  <c r="J2235" i="2"/>
  <c r="K2235" i="2"/>
  <c r="O2235" i="2"/>
  <c r="R2235" i="2"/>
  <c r="S2235" i="2" s="1"/>
  <c r="I2236" i="2"/>
  <c r="J2236" i="2"/>
  <c r="K2236" i="2"/>
  <c r="O2236" i="2"/>
  <c r="R2236" i="2"/>
  <c r="S2236" i="2" s="1"/>
  <c r="I2237" i="2"/>
  <c r="J2237" i="2"/>
  <c r="K2237" i="2"/>
  <c r="O2237" i="2"/>
  <c r="R2237" i="2"/>
  <c r="S2237" i="2" s="1"/>
  <c r="I2238" i="2"/>
  <c r="J2238" i="2"/>
  <c r="K2238" i="2"/>
  <c r="O2238" i="2"/>
  <c r="R2238" i="2"/>
  <c r="S2238" i="2" s="1"/>
  <c r="I2239" i="2"/>
  <c r="J2239" i="2"/>
  <c r="K2239" i="2"/>
  <c r="O2239" i="2"/>
  <c r="R2239" i="2"/>
  <c r="S2239" i="2" s="1"/>
  <c r="I2240" i="2"/>
  <c r="J2240" i="2"/>
  <c r="K2240" i="2"/>
  <c r="O2240" i="2"/>
  <c r="R2240" i="2"/>
  <c r="S2240" i="2" s="1"/>
  <c r="I2241" i="2"/>
  <c r="J2241" i="2"/>
  <c r="K2241" i="2"/>
  <c r="O2241" i="2"/>
  <c r="R2241" i="2"/>
  <c r="S2241" i="2" s="1"/>
  <c r="I2242" i="2"/>
  <c r="J2242" i="2"/>
  <c r="K2242" i="2"/>
  <c r="O2242" i="2"/>
  <c r="R2242" i="2"/>
  <c r="S2242" i="2" s="1"/>
  <c r="I2243" i="2"/>
  <c r="J2243" i="2"/>
  <c r="K2243" i="2"/>
  <c r="O2243" i="2"/>
  <c r="R2243" i="2"/>
  <c r="S2243" i="2" s="1"/>
  <c r="I2244" i="2"/>
  <c r="J2244" i="2"/>
  <c r="K2244" i="2"/>
  <c r="O2244" i="2"/>
  <c r="R2244" i="2"/>
  <c r="S2244" i="2" s="1"/>
  <c r="I2245" i="2"/>
  <c r="J2245" i="2"/>
  <c r="K2245" i="2"/>
  <c r="O2245" i="2"/>
  <c r="R2245" i="2"/>
  <c r="S2245" i="2" s="1"/>
  <c r="I2246" i="2"/>
  <c r="J2246" i="2"/>
  <c r="K2246" i="2"/>
  <c r="O2246" i="2"/>
  <c r="R2246" i="2"/>
  <c r="S2246" i="2" s="1"/>
  <c r="I2247" i="2"/>
  <c r="J2247" i="2"/>
  <c r="K2247" i="2"/>
  <c r="O2247" i="2"/>
  <c r="R2247" i="2"/>
  <c r="S2247" i="2" s="1"/>
  <c r="I2248" i="2"/>
  <c r="J2248" i="2"/>
  <c r="K2248" i="2"/>
  <c r="O2248" i="2"/>
  <c r="R2248" i="2"/>
  <c r="S2248" i="2" s="1"/>
  <c r="I2249" i="2"/>
  <c r="J2249" i="2"/>
  <c r="K2249" i="2"/>
  <c r="O2249" i="2"/>
  <c r="R2249" i="2"/>
  <c r="S2249" i="2" s="1"/>
  <c r="I2250" i="2"/>
  <c r="J2250" i="2"/>
  <c r="K2250" i="2"/>
  <c r="O2250" i="2"/>
  <c r="R2250" i="2"/>
  <c r="S2250" i="2" s="1"/>
  <c r="I2251" i="2"/>
  <c r="J2251" i="2"/>
  <c r="K2251" i="2"/>
  <c r="O2251" i="2"/>
  <c r="R2251" i="2"/>
  <c r="S2251" i="2" s="1"/>
  <c r="I2252" i="2"/>
  <c r="J2252" i="2"/>
  <c r="K2252" i="2"/>
  <c r="O2252" i="2"/>
  <c r="R2252" i="2"/>
  <c r="S2252" i="2" s="1"/>
  <c r="I2253" i="2"/>
  <c r="J2253" i="2"/>
  <c r="K2253" i="2"/>
  <c r="O2253" i="2"/>
  <c r="R2253" i="2"/>
  <c r="S2253" i="2" s="1"/>
  <c r="I2254" i="2"/>
  <c r="J2254" i="2"/>
  <c r="K2254" i="2"/>
  <c r="O2254" i="2"/>
  <c r="R2254" i="2"/>
  <c r="S2254" i="2" s="1"/>
  <c r="I2255" i="2"/>
  <c r="J2255" i="2"/>
  <c r="K2255" i="2"/>
  <c r="O2255" i="2"/>
  <c r="R2255" i="2"/>
  <c r="S2255" i="2" s="1"/>
  <c r="I2256" i="2"/>
  <c r="J2256" i="2"/>
  <c r="K2256" i="2"/>
  <c r="O2256" i="2"/>
  <c r="R2256" i="2"/>
  <c r="S2256" i="2" s="1"/>
  <c r="I2257" i="2"/>
  <c r="J2257" i="2"/>
  <c r="K2257" i="2"/>
  <c r="O2257" i="2"/>
  <c r="R2257" i="2"/>
  <c r="S2257" i="2" s="1"/>
  <c r="I2258" i="2"/>
  <c r="J2258" i="2"/>
  <c r="K2258" i="2"/>
  <c r="O2258" i="2"/>
  <c r="R2258" i="2"/>
  <c r="S2258" i="2" s="1"/>
  <c r="I2259" i="2"/>
  <c r="J2259" i="2"/>
  <c r="K2259" i="2"/>
  <c r="O2259" i="2"/>
  <c r="R2259" i="2"/>
  <c r="S2259" i="2" s="1"/>
  <c r="I2260" i="2"/>
  <c r="J2260" i="2"/>
  <c r="K2260" i="2"/>
  <c r="O2260" i="2"/>
  <c r="R2260" i="2"/>
  <c r="S2260" i="2" s="1"/>
  <c r="I2261" i="2"/>
  <c r="J2261" i="2"/>
  <c r="K2261" i="2"/>
  <c r="O2261" i="2"/>
  <c r="R2261" i="2"/>
  <c r="S2261" i="2" s="1"/>
  <c r="I2262" i="2"/>
  <c r="J2262" i="2"/>
  <c r="K2262" i="2"/>
  <c r="O2262" i="2"/>
  <c r="R2262" i="2"/>
  <c r="S2262" i="2" s="1"/>
  <c r="I2263" i="2"/>
  <c r="J2263" i="2"/>
  <c r="K2263" i="2"/>
  <c r="O2263" i="2"/>
  <c r="R2263" i="2"/>
  <c r="S2263" i="2" s="1"/>
  <c r="I2264" i="2"/>
  <c r="J2264" i="2"/>
  <c r="K2264" i="2"/>
  <c r="O2264" i="2"/>
  <c r="R2264" i="2"/>
  <c r="S2264" i="2" s="1"/>
  <c r="I2265" i="2"/>
  <c r="J2265" i="2"/>
  <c r="K2265" i="2"/>
  <c r="O2265" i="2"/>
  <c r="R2265" i="2"/>
  <c r="S2265" i="2" s="1"/>
  <c r="I2266" i="2"/>
  <c r="J2266" i="2"/>
  <c r="K2266" i="2"/>
  <c r="O2266" i="2"/>
  <c r="R2266" i="2"/>
  <c r="S2266" i="2" s="1"/>
  <c r="I2267" i="2"/>
  <c r="J2267" i="2"/>
  <c r="K2267" i="2"/>
  <c r="O2267" i="2"/>
  <c r="R2267" i="2"/>
  <c r="S2267" i="2" s="1"/>
  <c r="I2268" i="2"/>
  <c r="J2268" i="2"/>
  <c r="K2268" i="2"/>
  <c r="O2268" i="2"/>
  <c r="R2268" i="2"/>
  <c r="S2268" i="2" s="1"/>
  <c r="I2269" i="2"/>
  <c r="J2269" i="2"/>
  <c r="K2269" i="2"/>
  <c r="O2269" i="2"/>
  <c r="R2269" i="2"/>
  <c r="S2269" i="2" s="1"/>
  <c r="I2270" i="2"/>
  <c r="J2270" i="2"/>
  <c r="K2270" i="2"/>
  <c r="O2270" i="2"/>
  <c r="R2270" i="2"/>
  <c r="S2270" i="2" s="1"/>
  <c r="I2271" i="2"/>
  <c r="J2271" i="2"/>
  <c r="K2271" i="2"/>
  <c r="O2271" i="2"/>
  <c r="R2271" i="2"/>
  <c r="S2271" i="2" s="1"/>
  <c r="I2272" i="2"/>
  <c r="J2272" i="2"/>
  <c r="K2272" i="2"/>
  <c r="O2272" i="2"/>
  <c r="R2272" i="2"/>
  <c r="S2272" i="2" s="1"/>
  <c r="I2273" i="2"/>
  <c r="J2273" i="2"/>
  <c r="K2273" i="2"/>
  <c r="O2273" i="2"/>
  <c r="R2273" i="2"/>
  <c r="S2273" i="2" s="1"/>
  <c r="I2274" i="2"/>
  <c r="J2274" i="2"/>
  <c r="K2274" i="2"/>
  <c r="O2274" i="2"/>
  <c r="R2274" i="2"/>
  <c r="S2274" i="2" s="1"/>
  <c r="I2275" i="2"/>
  <c r="J2275" i="2"/>
  <c r="K2275" i="2"/>
  <c r="O2275" i="2"/>
  <c r="R2275" i="2"/>
  <c r="S2275" i="2" s="1"/>
  <c r="I2276" i="2"/>
  <c r="J2276" i="2"/>
  <c r="K2276" i="2"/>
  <c r="O2276" i="2"/>
  <c r="R2276" i="2"/>
  <c r="S2276" i="2" s="1"/>
  <c r="I2277" i="2"/>
  <c r="J2277" i="2"/>
  <c r="K2277" i="2"/>
  <c r="O2277" i="2"/>
  <c r="R2277" i="2"/>
  <c r="S2277" i="2" s="1"/>
  <c r="I2278" i="2"/>
  <c r="J2278" i="2"/>
  <c r="K2278" i="2"/>
  <c r="O2278" i="2"/>
  <c r="R2278" i="2"/>
  <c r="S2278" i="2" s="1"/>
  <c r="I2279" i="2"/>
  <c r="J2279" i="2"/>
  <c r="K2279" i="2"/>
  <c r="O2279" i="2"/>
  <c r="R2279" i="2"/>
  <c r="S2279" i="2" s="1"/>
  <c r="I2280" i="2"/>
  <c r="J2280" i="2"/>
  <c r="K2280" i="2"/>
  <c r="O2280" i="2"/>
  <c r="R2280" i="2"/>
  <c r="S2280" i="2" s="1"/>
  <c r="I2281" i="2"/>
  <c r="J2281" i="2"/>
  <c r="K2281" i="2"/>
  <c r="O2281" i="2"/>
  <c r="R2281" i="2"/>
  <c r="S2281" i="2" s="1"/>
  <c r="I2282" i="2"/>
  <c r="J2282" i="2"/>
  <c r="K2282" i="2"/>
  <c r="O2282" i="2"/>
  <c r="R2282" i="2"/>
  <c r="S2282" i="2" s="1"/>
  <c r="I2283" i="2"/>
  <c r="J2283" i="2"/>
  <c r="K2283" i="2"/>
  <c r="O2283" i="2"/>
  <c r="R2283" i="2"/>
  <c r="S2283" i="2" s="1"/>
  <c r="I2284" i="2"/>
  <c r="J2284" i="2"/>
  <c r="K2284" i="2"/>
  <c r="O2284" i="2"/>
  <c r="R2284" i="2"/>
  <c r="S2284" i="2" s="1"/>
  <c r="I2285" i="2"/>
  <c r="J2285" i="2"/>
  <c r="K2285" i="2"/>
  <c r="O2285" i="2"/>
  <c r="R2285" i="2"/>
  <c r="S2285" i="2" s="1"/>
  <c r="I2286" i="2"/>
  <c r="J2286" i="2"/>
  <c r="K2286" i="2"/>
  <c r="O2286" i="2"/>
  <c r="R2286" i="2"/>
  <c r="S2286" i="2" s="1"/>
  <c r="I2287" i="2"/>
  <c r="J2287" i="2"/>
  <c r="K2287" i="2"/>
  <c r="O2287" i="2"/>
  <c r="R2287" i="2"/>
  <c r="S2287" i="2" s="1"/>
  <c r="I2288" i="2"/>
  <c r="J2288" i="2"/>
  <c r="K2288" i="2"/>
  <c r="O2288" i="2"/>
  <c r="R2288" i="2"/>
  <c r="S2288" i="2" s="1"/>
  <c r="I2289" i="2"/>
  <c r="J2289" i="2"/>
  <c r="K2289" i="2"/>
  <c r="O2289" i="2"/>
  <c r="R2289" i="2"/>
  <c r="S2289" i="2" s="1"/>
  <c r="I2290" i="2"/>
  <c r="J2290" i="2"/>
  <c r="K2290" i="2"/>
  <c r="O2290" i="2"/>
  <c r="R2290" i="2"/>
  <c r="S2290" i="2" s="1"/>
  <c r="I2291" i="2"/>
  <c r="J2291" i="2"/>
  <c r="K2291" i="2"/>
  <c r="O2291" i="2"/>
  <c r="R2291" i="2"/>
  <c r="S2291" i="2" s="1"/>
  <c r="I2292" i="2"/>
  <c r="J2292" i="2"/>
  <c r="K2292" i="2"/>
  <c r="O2292" i="2"/>
  <c r="R2292" i="2"/>
  <c r="S2292" i="2" s="1"/>
  <c r="I2293" i="2"/>
  <c r="J2293" i="2"/>
  <c r="K2293" i="2"/>
  <c r="O2293" i="2"/>
  <c r="R2293" i="2"/>
  <c r="S2293" i="2" s="1"/>
  <c r="I2294" i="2"/>
  <c r="J2294" i="2"/>
  <c r="K2294" i="2"/>
  <c r="O2294" i="2"/>
  <c r="R2294" i="2"/>
  <c r="S2294" i="2" s="1"/>
  <c r="I2295" i="2"/>
  <c r="J2295" i="2"/>
  <c r="K2295" i="2"/>
  <c r="O2295" i="2"/>
  <c r="R2295" i="2"/>
  <c r="S2295" i="2" s="1"/>
  <c r="I2296" i="2"/>
  <c r="J2296" i="2"/>
  <c r="K2296" i="2"/>
  <c r="O2296" i="2"/>
  <c r="R2296" i="2"/>
  <c r="S2296" i="2" s="1"/>
  <c r="I2297" i="2"/>
  <c r="J2297" i="2"/>
  <c r="K2297" i="2"/>
  <c r="O2297" i="2"/>
  <c r="R2297" i="2"/>
  <c r="S2297" i="2" s="1"/>
  <c r="I2298" i="2"/>
  <c r="J2298" i="2"/>
  <c r="K2298" i="2"/>
  <c r="O2298" i="2"/>
  <c r="R2298" i="2"/>
  <c r="S2298" i="2" s="1"/>
  <c r="I2299" i="2"/>
  <c r="J2299" i="2"/>
  <c r="K2299" i="2"/>
  <c r="O2299" i="2"/>
  <c r="R2299" i="2"/>
  <c r="S2299" i="2" s="1"/>
  <c r="I2300" i="2"/>
  <c r="J2300" i="2"/>
  <c r="K2300" i="2"/>
  <c r="O2300" i="2"/>
  <c r="R2300" i="2"/>
  <c r="S2300" i="2" s="1"/>
  <c r="I2301" i="2"/>
  <c r="J2301" i="2"/>
  <c r="K2301" i="2"/>
  <c r="O2301" i="2"/>
  <c r="R2301" i="2"/>
  <c r="S2301" i="2" s="1"/>
  <c r="I2302" i="2"/>
  <c r="J2302" i="2"/>
  <c r="K2302" i="2"/>
  <c r="O2302" i="2"/>
  <c r="R2302" i="2"/>
  <c r="S2302" i="2" s="1"/>
  <c r="I2303" i="2"/>
  <c r="J2303" i="2"/>
  <c r="K2303" i="2"/>
  <c r="O2303" i="2"/>
  <c r="R2303" i="2"/>
  <c r="S2303" i="2" s="1"/>
  <c r="I2304" i="2"/>
  <c r="J2304" i="2"/>
  <c r="K2304" i="2"/>
  <c r="O2304" i="2"/>
  <c r="R2304" i="2"/>
  <c r="S2304" i="2" s="1"/>
  <c r="I2305" i="2"/>
  <c r="J2305" i="2"/>
  <c r="K2305" i="2"/>
  <c r="O2305" i="2"/>
  <c r="R2305" i="2"/>
  <c r="S2305" i="2" s="1"/>
  <c r="I2306" i="2"/>
  <c r="J2306" i="2"/>
  <c r="K2306" i="2"/>
  <c r="O2306" i="2"/>
  <c r="R2306" i="2"/>
  <c r="S2306" i="2" s="1"/>
  <c r="I2307" i="2"/>
  <c r="J2307" i="2"/>
  <c r="K2307" i="2"/>
  <c r="O2307" i="2"/>
  <c r="R2307" i="2"/>
  <c r="S2307" i="2" s="1"/>
  <c r="I2308" i="2"/>
  <c r="J2308" i="2"/>
  <c r="K2308" i="2"/>
  <c r="O2308" i="2"/>
  <c r="R2308" i="2"/>
  <c r="S2308" i="2" s="1"/>
  <c r="I2309" i="2"/>
  <c r="J2309" i="2"/>
  <c r="K2309" i="2"/>
  <c r="O2309" i="2"/>
  <c r="R2309" i="2"/>
  <c r="S2309" i="2" s="1"/>
  <c r="I2310" i="2"/>
  <c r="J2310" i="2"/>
  <c r="K2310" i="2"/>
  <c r="O2310" i="2"/>
  <c r="R2310" i="2"/>
  <c r="S2310" i="2" s="1"/>
  <c r="I2311" i="2"/>
  <c r="J2311" i="2"/>
  <c r="K2311" i="2"/>
  <c r="O2311" i="2"/>
  <c r="R2311" i="2"/>
  <c r="S2311" i="2" s="1"/>
  <c r="I2312" i="2"/>
  <c r="J2312" i="2"/>
  <c r="K2312" i="2"/>
  <c r="O2312" i="2"/>
  <c r="R2312" i="2"/>
  <c r="S2312" i="2" s="1"/>
  <c r="I2313" i="2"/>
  <c r="J2313" i="2"/>
  <c r="K2313" i="2"/>
  <c r="O2313" i="2"/>
  <c r="R2313" i="2"/>
  <c r="S2313" i="2" s="1"/>
  <c r="I2314" i="2"/>
  <c r="J2314" i="2"/>
  <c r="K2314" i="2"/>
  <c r="O2314" i="2"/>
  <c r="R2314" i="2"/>
  <c r="S2314" i="2" s="1"/>
  <c r="I2315" i="2"/>
  <c r="J2315" i="2"/>
  <c r="K2315" i="2"/>
  <c r="O2315" i="2"/>
  <c r="R2315" i="2"/>
  <c r="S2315" i="2" s="1"/>
  <c r="I2316" i="2"/>
  <c r="J2316" i="2"/>
  <c r="K2316" i="2"/>
  <c r="O2316" i="2"/>
  <c r="R2316" i="2"/>
  <c r="S2316" i="2" s="1"/>
  <c r="I2317" i="2"/>
  <c r="J2317" i="2"/>
  <c r="K2317" i="2"/>
  <c r="O2317" i="2"/>
  <c r="R2317" i="2"/>
  <c r="S2317" i="2" s="1"/>
  <c r="I2318" i="2"/>
  <c r="J2318" i="2"/>
  <c r="K2318" i="2"/>
  <c r="O2318" i="2"/>
  <c r="R2318" i="2"/>
  <c r="S2318" i="2" s="1"/>
  <c r="I2319" i="2"/>
  <c r="J2319" i="2"/>
  <c r="K2319" i="2"/>
  <c r="O2319" i="2"/>
  <c r="R2319" i="2"/>
  <c r="S2319" i="2" s="1"/>
  <c r="I2320" i="2"/>
  <c r="J2320" i="2"/>
  <c r="K2320" i="2"/>
  <c r="O2320" i="2"/>
  <c r="R2320" i="2"/>
  <c r="S2320" i="2" s="1"/>
  <c r="I2321" i="2"/>
  <c r="J2321" i="2"/>
  <c r="K2321" i="2"/>
  <c r="O2321" i="2"/>
  <c r="R2321" i="2"/>
  <c r="S2321" i="2" s="1"/>
  <c r="I2322" i="2"/>
  <c r="J2322" i="2"/>
  <c r="K2322" i="2"/>
  <c r="O2322" i="2"/>
  <c r="R2322" i="2"/>
  <c r="S2322" i="2" s="1"/>
  <c r="I2323" i="2"/>
  <c r="J2323" i="2"/>
  <c r="K2323" i="2"/>
  <c r="O2323" i="2"/>
  <c r="R2323" i="2"/>
  <c r="S2323" i="2" s="1"/>
  <c r="I2324" i="2"/>
  <c r="J2324" i="2"/>
  <c r="K2324" i="2"/>
  <c r="O2324" i="2"/>
  <c r="R2324" i="2"/>
  <c r="S2324" i="2" s="1"/>
  <c r="I2325" i="2"/>
  <c r="J2325" i="2"/>
  <c r="K2325" i="2"/>
  <c r="O2325" i="2"/>
  <c r="R2325" i="2"/>
  <c r="S2325" i="2" s="1"/>
  <c r="I2326" i="2"/>
  <c r="J2326" i="2"/>
  <c r="K2326" i="2"/>
  <c r="O2326" i="2"/>
  <c r="R2326" i="2"/>
  <c r="S2326" i="2" s="1"/>
  <c r="I2327" i="2"/>
  <c r="J2327" i="2"/>
  <c r="K2327" i="2"/>
  <c r="O2327" i="2"/>
  <c r="R2327" i="2"/>
  <c r="S2327" i="2" s="1"/>
  <c r="I2328" i="2"/>
  <c r="J2328" i="2"/>
  <c r="K2328" i="2"/>
  <c r="O2328" i="2"/>
  <c r="R2328" i="2"/>
  <c r="S2328" i="2" s="1"/>
  <c r="I2329" i="2"/>
  <c r="J2329" i="2"/>
  <c r="K2329" i="2"/>
  <c r="O2329" i="2"/>
  <c r="R2329" i="2"/>
  <c r="S2329" i="2" s="1"/>
  <c r="I2330" i="2"/>
  <c r="J2330" i="2"/>
  <c r="K2330" i="2"/>
  <c r="O2330" i="2"/>
  <c r="R2330" i="2"/>
  <c r="S2330" i="2" s="1"/>
  <c r="I2331" i="2"/>
  <c r="J2331" i="2"/>
  <c r="K2331" i="2"/>
  <c r="O2331" i="2"/>
  <c r="R2331" i="2"/>
  <c r="S2331" i="2" s="1"/>
  <c r="I2332" i="2"/>
  <c r="J2332" i="2"/>
  <c r="K2332" i="2"/>
  <c r="O2332" i="2"/>
  <c r="R2332" i="2"/>
  <c r="S2332" i="2" s="1"/>
  <c r="I2333" i="2"/>
  <c r="J2333" i="2"/>
  <c r="K2333" i="2"/>
  <c r="O2333" i="2"/>
  <c r="R2333" i="2"/>
  <c r="S2333" i="2" s="1"/>
  <c r="I2334" i="2"/>
  <c r="J2334" i="2"/>
  <c r="K2334" i="2"/>
  <c r="O2334" i="2"/>
  <c r="R2334" i="2"/>
  <c r="S2334" i="2" s="1"/>
  <c r="I2335" i="2"/>
  <c r="J2335" i="2"/>
  <c r="K2335" i="2"/>
  <c r="O2335" i="2"/>
  <c r="R2335" i="2"/>
  <c r="S2335" i="2" s="1"/>
  <c r="I2336" i="2"/>
  <c r="J2336" i="2"/>
  <c r="K2336" i="2"/>
  <c r="O2336" i="2"/>
  <c r="R2336" i="2"/>
  <c r="S2336" i="2" s="1"/>
  <c r="I2337" i="2"/>
  <c r="J2337" i="2"/>
  <c r="K2337" i="2"/>
  <c r="O2337" i="2"/>
  <c r="R2337" i="2"/>
  <c r="S2337" i="2" s="1"/>
  <c r="I2338" i="2"/>
  <c r="J2338" i="2"/>
  <c r="K2338" i="2"/>
  <c r="O2338" i="2"/>
  <c r="R2338" i="2"/>
  <c r="S2338" i="2" s="1"/>
  <c r="I2339" i="2"/>
  <c r="J2339" i="2"/>
  <c r="K2339" i="2"/>
  <c r="O2339" i="2"/>
  <c r="R2339" i="2"/>
  <c r="S2339" i="2" s="1"/>
  <c r="I2340" i="2"/>
  <c r="J2340" i="2"/>
  <c r="K2340" i="2"/>
  <c r="O2340" i="2"/>
  <c r="R2340" i="2"/>
  <c r="S2340" i="2" s="1"/>
  <c r="I2341" i="2"/>
  <c r="J2341" i="2"/>
  <c r="K2341" i="2"/>
  <c r="O2341" i="2"/>
  <c r="R2341" i="2"/>
  <c r="S2341" i="2" s="1"/>
  <c r="I2342" i="2"/>
  <c r="J2342" i="2"/>
  <c r="K2342" i="2"/>
  <c r="O2342" i="2"/>
  <c r="R2342" i="2"/>
  <c r="S2342" i="2" s="1"/>
  <c r="I2343" i="2"/>
  <c r="J2343" i="2"/>
  <c r="K2343" i="2"/>
  <c r="O2343" i="2"/>
  <c r="R2343" i="2"/>
  <c r="S2343" i="2" s="1"/>
  <c r="I2344" i="2"/>
  <c r="J2344" i="2"/>
  <c r="K2344" i="2"/>
  <c r="O2344" i="2"/>
  <c r="R2344" i="2"/>
  <c r="S2344" i="2" s="1"/>
  <c r="I2345" i="2"/>
  <c r="J2345" i="2"/>
  <c r="K2345" i="2"/>
  <c r="O2345" i="2"/>
  <c r="R2345" i="2"/>
  <c r="S2345" i="2" s="1"/>
  <c r="I2346" i="2"/>
  <c r="J2346" i="2"/>
  <c r="K2346" i="2"/>
  <c r="O2346" i="2"/>
  <c r="R2346" i="2"/>
  <c r="S2346" i="2" s="1"/>
  <c r="I2347" i="2"/>
  <c r="J2347" i="2"/>
  <c r="K2347" i="2"/>
  <c r="O2347" i="2"/>
  <c r="R2347" i="2"/>
  <c r="S2347" i="2" s="1"/>
  <c r="I2348" i="2"/>
  <c r="J2348" i="2"/>
  <c r="K2348" i="2"/>
  <c r="O2348" i="2"/>
  <c r="R2348" i="2"/>
  <c r="S2348" i="2" s="1"/>
  <c r="I2349" i="2"/>
  <c r="J2349" i="2"/>
  <c r="K2349" i="2"/>
  <c r="O2349" i="2"/>
  <c r="R2349" i="2"/>
  <c r="S2349" i="2" s="1"/>
  <c r="I2350" i="2"/>
  <c r="J2350" i="2"/>
  <c r="K2350" i="2"/>
  <c r="O2350" i="2"/>
  <c r="R2350" i="2"/>
  <c r="S2350" i="2" s="1"/>
  <c r="I2351" i="2"/>
  <c r="J2351" i="2"/>
  <c r="K2351" i="2"/>
  <c r="O2351" i="2"/>
  <c r="R2351" i="2"/>
  <c r="S2351" i="2" s="1"/>
  <c r="I2352" i="2"/>
  <c r="J2352" i="2"/>
  <c r="K2352" i="2"/>
  <c r="O2352" i="2"/>
  <c r="R2352" i="2"/>
  <c r="S2352" i="2" s="1"/>
  <c r="I2353" i="2"/>
  <c r="J2353" i="2"/>
  <c r="K2353" i="2"/>
  <c r="O2353" i="2"/>
  <c r="R2353" i="2"/>
  <c r="S2353" i="2" s="1"/>
  <c r="I2354" i="2"/>
  <c r="J2354" i="2"/>
  <c r="K2354" i="2"/>
  <c r="O2354" i="2"/>
  <c r="R2354" i="2"/>
  <c r="S2354" i="2" s="1"/>
  <c r="I2355" i="2"/>
  <c r="J2355" i="2"/>
  <c r="K2355" i="2"/>
  <c r="O2355" i="2"/>
  <c r="R2355" i="2"/>
  <c r="S2355" i="2" s="1"/>
  <c r="I2356" i="2"/>
  <c r="J2356" i="2"/>
  <c r="K2356" i="2"/>
  <c r="O2356" i="2"/>
  <c r="R2356" i="2"/>
  <c r="S2356" i="2" s="1"/>
  <c r="I2357" i="2"/>
  <c r="J2357" i="2"/>
  <c r="K2357" i="2"/>
  <c r="O2357" i="2"/>
  <c r="R2357" i="2"/>
  <c r="S2357" i="2" s="1"/>
  <c r="I2358" i="2"/>
  <c r="J2358" i="2"/>
  <c r="K2358" i="2"/>
  <c r="O2358" i="2"/>
  <c r="R2358" i="2"/>
  <c r="S2358" i="2" s="1"/>
  <c r="I2359" i="2"/>
  <c r="J2359" i="2"/>
  <c r="K2359" i="2"/>
  <c r="O2359" i="2"/>
  <c r="R2359" i="2"/>
  <c r="S2359" i="2" s="1"/>
  <c r="I2360" i="2"/>
  <c r="J2360" i="2"/>
  <c r="K2360" i="2"/>
  <c r="O2360" i="2"/>
  <c r="R2360" i="2"/>
  <c r="S2360" i="2" s="1"/>
  <c r="I2361" i="2"/>
  <c r="J2361" i="2"/>
  <c r="K2361" i="2"/>
  <c r="O2361" i="2"/>
  <c r="R2361" i="2"/>
  <c r="S2361" i="2" s="1"/>
  <c r="I2362" i="2"/>
  <c r="J2362" i="2"/>
  <c r="K2362" i="2"/>
  <c r="O2362" i="2"/>
  <c r="R2362" i="2"/>
  <c r="S2362" i="2" s="1"/>
  <c r="I2363" i="2"/>
  <c r="J2363" i="2"/>
  <c r="K2363" i="2"/>
  <c r="O2363" i="2"/>
  <c r="R2363" i="2"/>
  <c r="S2363" i="2" s="1"/>
  <c r="I2364" i="2"/>
  <c r="J2364" i="2"/>
  <c r="K2364" i="2"/>
  <c r="O2364" i="2"/>
  <c r="R2364" i="2"/>
  <c r="S2364" i="2" s="1"/>
  <c r="I2365" i="2"/>
  <c r="J2365" i="2"/>
  <c r="K2365" i="2"/>
  <c r="O2365" i="2"/>
  <c r="R2365" i="2"/>
  <c r="S2365" i="2" s="1"/>
  <c r="I2366" i="2"/>
  <c r="J2366" i="2"/>
  <c r="K2366" i="2"/>
  <c r="O2366" i="2"/>
  <c r="R2366" i="2"/>
  <c r="S2366" i="2" s="1"/>
  <c r="I2367" i="2"/>
  <c r="J2367" i="2"/>
  <c r="K2367" i="2"/>
  <c r="O2367" i="2"/>
  <c r="R2367" i="2"/>
  <c r="S2367" i="2" s="1"/>
  <c r="I2368" i="2"/>
  <c r="J2368" i="2"/>
  <c r="K2368" i="2"/>
  <c r="O2368" i="2"/>
  <c r="R2368" i="2"/>
  <c r="S2368" i="2" s="1"/>
  <c r="I2369" i="2"/>
  <c r="J2369" i="2"/>
  <c r="K2369" i="2"/>
  <c r="O2369" i="2"/>
  <c r="R2369" i="2"/>
  <c r="S2369" i="2" s="1"/>
  <c r="I2370" i="2"/>
  <c r="J2370" i="2"/>
  <c r="K2370" i="2"/>
  <c r="O2370" i="2"/>
  <c r="R2370" i="2"/>
  <c r="S2370" i="2" s="1"/>
  <c r="I2371" i="2"/>
  <c r="J2371" i="2"/>
  <c r="K2371" i="2"/>
  <c r="O2371" i="2"/>
  <c r="R2371" i="2"/>
  <c r="S2371" i="2" s="1"/>
  <c r="I2372" i="2"/>
  <c r="J2372" i="2"/>
  <c r="K2372" i="2"/>
  <c r="O2372" i="2"/>
  <c r="R2372" i="2"/>
  <c r="S2372" i="2" s="1"/>
  <c r="I2373" i="2"/>
  <c r="J2373" i="2"/>
  <c r="K2373" i="2"/>
  <c r="O2373" i="2"/>
  <c r="R2373" i="2"/>
  <c r="S2373" i="2" s="1"/>
  <c r="I2374" i="2"/>
  <c r="J2374" i="2"/>
  <c r="K2374" i="2"/>
  <c r="O2374" i="2"/>
  <c r="R2374" i="2"/>
  <c r="S2374" i="2" s="1"/>
  <c r="I2375" i="2"/>
  <c r="J2375" i="2"/>
  <c r="K2375" i="2"/>
  <c r="O2375" i="2"/>
  <c r="R2375" i="2"/>
  <c r="S2375" i="2" s="1"/>
  <c r="I2376" i="2"/>
  <c r="J2376" i="2"/>
  <c r="K2376" i="2"/>
  <c r="O2376" i="2"/>
  <c r="R2376" i="2"/>
  <c r="S2376" i="2" s="1"/>
  <c r="I2377" i="2"/>
  <c r="J2377" i="2"/>
  <c r="K2377" i="2"/>
  <c r="O2377" i="2"/>
  <c r="R2377" i="2"/>
  <c r="S2377" i="2" s="1"/>
  <c r="I2378" i="2"/>
  <c r="J2378" i="2"/>
  <c r="K2378" i="2"/>
  <c r="O2378" i="2"/>
  <c r="R2378" i="2"/>
  <c r="S2378" i="2" s="1"/>
  <c r="I2379" i="2"/>
  <c r="J2379" i="2"/>
  <c r="K2379" i="2"/>
  <c r="O2379" i="2"/>
  <c r="R2379" i="2"/>
  <c r="S2379" i="2" s="1"/>
  <c r="I2380" i="2"/>
  <c r="J2380" i="2"/>
  <c r="K2380" i="2"/>
  <c r="O2380" i="2"/>
  <c r="R2380" i="2"/>
  <c r="S2380" i="2" s="1"/>
  <c r="I2381" i="2"/>
  <c r="J2381" i="2"/>
  <c r="K2381" i="2"/>
  <c r="O2381" i="2"/>
  <c r="R2381" i="2"/>
  <c r="S2381" i="2" s="1"/>
  <c r="I2382" i="2"/>
  <c r="J2382" i="2"/>
  <c r="K2382" i="2"/>
  <c r="O2382" i="2"/>
  <c r="R2382" i="2"/>
  <c r="S2382" i="2" s="1"/>
  <c r="I2383" i="2"/>
  <c r="J2383" i="2"/>
  <c r="K2383" i="2"/>
  <c r="O2383" i="2"/>
  <c r="R2383" i="2"/>
  <c r="S2383" i="2" s="1"/>
  <c r="I2384" i="2"/>
  <c r="J2384" i="2"/>
  <c r="K2384" i="2"/>
  <c r="O2384" i="2"/>
  <c r="R2384" i="2"/>
  <c r="S2384" i="2" s="1"/>
  <c r="I2385" i="2"/>
  <c r="J2385" i="2"/>
  <c r="K2385" i="2"/>
  <c r="O2385" i="2"/>
  <c r="R2385" i="2"/>
  <c r="S2385" i="2" s="1"/>
  <c r="I2386" i="2"/>
  <c r="J2386" i="2"/>
  <c r="K2386" i="2"/>
  <c r="O2386" i="2"/>
  <c r="R2386" i="2"/>
  <c r="S2386" i="2" s="1"/>
  <c r="I2387" i="2"/>
  <c r="J2387" i="2"/>
  <c r="K2387" i="2"/>
  <c r="O2387" i="2"/>
  <c r="R2387" i="2"/>
  <c r="S2387" i="2" s="1"/>
  <c r="I2388" i="2"/>
  <c r="J2388" i="2"/>
  <c r="K2388" i="2"/>
  <c r="O2388" i="2"/>
  <c r="R2388" i="2"/>
  <c r="S2388" i="2" s="1"/>
  <c r="I2389" i="2"/>
  <c r="J2389" i="2"/>
  <c r="K2389" i="2"/>
  <c r="O2389" i="2"/>
  <c r="R2389" i="2"/>
  <c r="S2389" i="2" s="1"/>
  <c r="I2390" i="2"/>
  <c r="J2390" i="2"/>
  <c r="K2390" i="2"/>
  <c r="O2390" i="2"/>
  <c r="R2390" i="2"/>
  <c r="S2390" i="2" s="1"/>
  <c r="I2391" i="2"/>
  <c r="J2391" i="2"/>
  <c r="K2391" i="2"/>
  <c r="O2391" i="2"/>
  <c r="R2391" i="2"/>
  <c r="S2391" i="2" s="1"/>
  <c r="I2392" i="2"/>
  <c r="J2392" i="2"/>
  <c r="K2392" i="2"/>
  <c r="O2392" i="2"/>
  <c r="R2392" i="2"/>
  <c r="S2392" i="2" s="1"/>
  <c r="I2393" i="2"/>
  <c r="J2393" i="2"/>
  <c r="K2393" i="2"/>
  <c r="O2393" i="2"/>
  <c r="R2393" i="2"/>
  <c r="S2393" i="2" s="1"/>
  <c r="I2394" i="2"/>
  <c r="J2394" i="2"/>
  <c r="K2394" i="2"/>
  <c r="O2394" i="2"/>
  <c r="R2394" i="2"/>
  <c r="S2394" i="2" s="1"/>
  <c r="I2395" i="2"/>
  <c r="J2395" i="2"/>
  <c r="K2395" i="2"/>
  <c r="O2395" i="2"/>
  <c r="R2395" i="2"/>
  <c r="S2395" i="2" s="1"/>
  <c r="I2396" i="2"/>
  <c r="J2396" i="2"/>
  <c r="K2396" i="2"/>
  <c r="O2396" i="2"/>
  <c r="R2396" i="2"/>
  <c r="S2396" i="2" s="1"/>
  <c r="I2397" i="2"/>
  <c r="J2397" i="2"/>
  <c r="K2397" i="2"/>
  <c r="O2397" i="2"/>
  <c r="R2397" i="2"/>
  <c r="S2397" i="2" s="1"/>
  <c r="I2398" i="2"/>
  <c r="J2398" i="2"/>
  <c r="K2398" i="2"/>
  <c r="O2398" i="2"/>
  <c r="R2398" i="2"/>
  <c r="S2398" i="2" s="1"/>
  <c r="I2399" i="2"/>
  <c r="J2399" i="2"/>
  <c r="K2399" i="2"/>
  <c r="O2399" i="2"/>
  <c r="R2399" i="2"/>
  <c r="S2399" i="2" s="1"/>
  <c r="I2400" i="2"/>
  <c r="J2400" i="2"/>
  <c r="K2400" i="2"/>
  <c r="O2400" i="2"/>
  <c r="R2400" i="2"/>
  <c r="S2400" i="2" s="1"/>
  <c r="I2401" i="2"/>
  <c r="J2401" i="2"/>
  <c r="K2401" i="2"/>
  <c r="O2401" i="2"/>
  <c r="R2401" i="2"/>
  <c r="S2401" i="2" s="1"/>
  <c r="I2402" i="2"/>
  <c r="J2402" i="2"/>
  <c r="K2402" i="2"/>
  <c r="O2402" i="2"/>
  <c r="R2402" i="2"/>
  <c r="S2402" i="2" s="1"/>
  <c r="I2403" i="2"/>
  <c r="J2403" i="2"/>
  <c r="K2403" i="2"/>
  <c r="O2403" i="2"/>
  <c r="R2403" i="2"/>
  <c r="S2403" i="2" s="1"/>
  <c r="I2404" i="2"/>
  <c r="J2404" i="2"/>
  <c r="K2404" i="2"/>
  <c r="O2404" i="2"/>
  <c r="R2404" i="2"/>
  <c r="S2404" i="2" s="1"/>
  <c r="I2405" i="2"/>
  <c r="J2405" i="2"/>
  <c r="K2405" i="2"/>
  <c r="O2405" i="2"/>
  <c r="R2405" i="2"/>
  <c r="S2405" i="2" s="1"/>
  <c r="I2406" i="2"/>
  <c r="J2406" i="2"/>
  <c r="K2406" i="2"/>
  <c r="O2406" i="2"/>
  <c r="R2406" i="2"/>
  <c r="S2406" i="2" s="1"/>
  <c r="I2407" i="2"/>
  <c r="J2407" i="2"/>
  <c r="K2407" i="2"/>
  <c r="O2407" i="2"/>
  <c r="R2407" i="2"/>
  <c r="S2407" i="2" s="1"/>
  <c r="I2408" i="2"/>
  <c r="J2408" i="2"/>
  <c r="K2408" i="2"/>
  <c r="O2408" i="2"/>
  <c r="R2408" i="2"/>
  <c r="S2408" i="2" s="1"/>
  <c r="I2409" i="2"/>
  <c r="J2409" i="2"/>
  <c r="K2409" i="2"/>
  <c r="O2409" i="2"/>
  <c r="R2409" i="2"/>
  <c r="S2409" i="2" s="1"/>
  <c r="I2410" i="2"/>
  <c r="J2410" i="2"/>
  <c r="K2410" i="2"/>
  <c r="O2410" i="2"/>
  <c r="R2410" i="2"/>
  <c r="S2410" i="2" s="1"/>
  <c r="I2411" i="2"/>
  <c r="J2411" i="2"/>
  <c r="K2411" i="2"/>
  <c r="O2411" i="2"/>
  <c r="R2411" i="2"/>
  <c r="S2411" i="2" s="1"/>
  <c r="I2412" i="2"/>
  <c r="J2412" i="2"/>
  <c r="K2412" i="2"/>
  <c r="O2412" i="2"/>
  <c r="R2412" i="2"/>
  <c r="S2412" i="2" s="1"/>
  <c r="I2413" i="2"/>
  <c r="J2413" i="2"/>
  <c r="K2413" i="2"/>
  <c r="O2413" i="2"/>
  <c r="R2413" i="2"/>
  <c r="S2413" i="2" s="1"/>
  <c r="I2414" i="2"/>
  <c r="J2414" i="2"/>
  <c r="K2414" i="2"/>
  <c r="O2414" i="2"/>
  <c r="R2414" i="2"/>
  <c r="S2414" i="2" s="1"/>
  <c r="I2415" i="2"/>
  <c r="J2415" i="2"/>
  <c r="K2415" i="2"/>
  <c r="O2415" i="2"/>
  <c r="R2415" i="2"/>
  <c r="S2415" i="2" s="1"/>
  <c r="I2416" i="2"/>
  <c r="J2416" i="2"/>
  <c r="K2416" i="2"/>
  <c r="O2416" i="2"/>
  <c r="R2416" i="2"/>
  <c r="S2416" i="2" s="1"/>
  <c r="I2417" i="2"/>
  <c r="J2417" i="2"/>
  <c r="K2417" i="2"/>
  <c r="O2417" i="2"/>
  <c r="R2417" i="2"/>
  <c r="S2417" i="2" s="1"/>
  <c r="I2418" i="2"/>
  <c r="J2418" i="2"/>
  <c r="K2418" i="2"/>
  <c r="O2418" i="2"/>
  <c r="R2418" i="2"/>
  <c r="S2418" i="2" s="1"/>
  <c r="I2419" i="2"/>
  <c r="J2419" i="2"/>
  <c r="K2419" i="2"/>
  <c r="O2419" i="2"/>
  <c r="R2419" i="2"/>
  <c r="S2419" i="2" s="1"/>
  <c r="I2420" i="2"/>
  <c r="J2420" i="2"/>
  <c r="K2420" i="2"/>
  <c r="O2420" i="2"/>
  <c r="R2420" i="2"/>
  <c r="S2420" i="2" s="1"/>
  <c r="I2421" i="2"/>
  <c r="J2421" i="2"/>
  <c r="K2421" i="2"/>
  <c r="O2421" i="2"/>
  <c r="R2421" i="2"/>
  <c r="S2421" i="2" s="1"/>
  <c r="I2422" i="2"/>
  <c r="J2422" i="2"/>
  <c r="K2422" i="2"/>
  <c r="O2422" i="2"/>
  <c r="R2422" i="2"/>
  <c r="S2422" i="2" s="1"/>
  <c r="I2423" i="2"/>
  <c r="J2423" i="2"/>
  <c r="K2423" i="2"/>
  <c r="O2423" i="2"/>
  <c r="R2423" i="2"/>
  <c r="S2423" i="2" s="1"/>
  <c r="I2424" i="2"/>
  <c r="J2424" i="2"/>
  <c r="K2424" i="2"/>
  <c r="O2424" i="2"/>
  <c r="R2424" i="2"/>
  <c r="S2424" i="2" s="1"/>
  <c r="I2425" i="2"/>
  <c r="J2425" i="2"/>
  <c r="K2425" i="2"/>
  <c r="O2425" i="2"/>
  <c r="R2425" i="2"/>
  <c r="S2425" i="2" s="1"/>
  <c r="I2426" i="2"/>
  <c r="J2426" i="2"/>
  <c r="K2426" i="2"/>
  <c r="O2426" i="2"/>
  <c r="R2426" i="2"/>
  <c r="S2426" i="2" s="1"/>
  <c r="I2427" i="2"/>
  <c r="J2427" i="2"/>
  <c r="K2427" i="2"/>
  <c r="O2427" i="2"/>
  <c r="R2427" i="2"/>
  <c r="S2427" i="2" s="1"/>
  <c r="I2428" i="2"/>
  <c r="J2428" i="2"/>
  <c r="K2428" i="2"/>
  <c r="O2428" i="2"/>
  <c r="R2428" i="2"/>
  <c r="S2428" i="2" s="1"/>
  <c r="I2429" i="2"/>
  <c r="J2429" i="2"/>
  <c r="K2429" i="2"/>
  <c r="O2429" i="2"/>
  <c r="R2429" i="2"/>
  <c r="S2429" i="2" s="1"/>
  <c r="I2430" i="2"/>
  <c r="J2430" i="2"/>
  <c r="K2430" i="2"/>
  <c r="O2430" i="2"/>
  <c r="R2430" i="2"/>
  <c r="S2430" i="2" s="1"/>
  <c r="I2431" i="2"/>
  <c r="J2431" i="2"/>
  <c r="K2431" i="2"/>
  <c r="O2431" i="2"/>
  <c r="R2431" i="2"/>
  <c r="S2431" i="2" s="1"/>
  <c r="I2432" i="2"/>
  <c r="J2432" i="2"/>
  <c r="K2432" i="2"/>
  <c r="O2432" i="2"/>
  <c r="R2432" i="2"/>
  <c r="S2432" i="2" s="1"/>
  <c r="I2433" i="2"/>
  <c r="J2433" i="2"/>
  <c r="K2433" i="2"/>
  <c r="O2433" i="2"/>
  <c r="R2433" i="2"/>
  <c r="S2433" i="2" s="1"/>
  <c r="I2434" i="2"/>
  <c r="J2434" i="2"/>
  <c r="K2434" i="2"/>
  <c r="O2434" i="2"/>
  <c r="R2434" i="2"/>
  <c r="S2434" i="2" s="1"/>
  <c r="I2435" i="2"/>
  <c r="J2435" i="2"/>
  <c r="K2435" i="2"/>
  <c r="O2435" i="2"/>
  <c r="R2435" i="2"/>
  <c r="S2435" i="2" s="1"/>
  <c r="I2436" i="2"/>
  <c r="J2436" i="2"/>
  <c r="K2436" i="2"/>
  <c r="O2436" i="2"/>
  <c r="R2436" i="2"/>
  <c r="S2436" i="2" s="1"/>
  <c r="I2437" i="2"/>
  <c r="J2437" i="2"/>
  <c r="K2437" i="2"/>
  <c r="O2437" i="2"/>
  <c r="R2437" i="2"/>
  <c r="S2437" i="2" s="1"/>
  <c r="I2438" i="2"/>
  <c r="J2438" i="2"/>
  <c r="K2438" i="2"/>
  <c r="O2438" i="2"/>
  <c r="R2438" i="2"/>
  <c r="S2438" i="2" s="1"/>
  <c r="I2439" i="2"/>
  <c r="J2439" i="2"/>
  <c r="K2439" i="2"/>
  <c r="O2439" i="2"/>
  <c r="R2439" i="2"/>
  <c r="S2439" i="2" s="1"/>
  <c r="I2440" i="2"/>
  <c r="J2440" i="2"/>
  <c r="K2440" i="2"/>
  <c r="O2440" i="2"/>
  <c r="R2440" i="2"/>
  <c r="S2440" i="2" s="1"/>
  <c r="I2441" i="2"/>
  <c r="J2441" i="2"/>
  <c r="K2441" i="2"/>
  <c r="O2441" i="2"/>
  <c r="R2441" i="2"/>
  <c r="S2441" i="2" s="1"/>
  <c r="I2442" i="2"/>
  <c r="J2442" i="2"/>
  <c r="K2442" i="2"/>
  <c r="O2442" i="2"/>
  <c r="R2442" i="2"/>
  <c r="S2442" i="2" s="1"/>
  <c r="I2443" i="2"/>
  <c r="J2443" i="2"/>
  <c r="K2443" i="2"/>
  <c r="O2443" i="2"/>
  <c r="R2443" i="2"/>
  <c r="S2443" i="2" s="1"/>
  <c r="I2444" i="2"/>
  <c r="J2444" i="2"/>
  <c r="K2444" i="2"/>
  <c r="O2444" i="2"/>
  <c r="R2444" i="2"/>
  <c r="S2444" i="2" s="1"/>
  <c r="I2445" i="2"/>
  <c r="J2445" i="2"/>
  <c r="K2445" i="2"/>
  <c r="O2445" i="2"/>
  <c r="R2445" i="2"/>
  <c r="S2445" i="2" s="1"/>
  <c r="I2446" i="2"/>
  <c r="J2446" i="2"/>
  <c r="K2446" i="2"/>
  <c r="O2446" i="2"/>
  <c r="R2446" i="2"/>
  <c r="S2446" i="2" s="1"/>
  <c r="I2447" i="2"/>
  <c r="J2447" i="2"/>
  <c r="K2447" i="2"/>
  <c r="O2447" i="2"/>
  <c r="R2447" i="2"/>
  <c r="S2447" i="2" s="1"/>
  <c r="I2448" i="2"/>
  <c r="J2448" i="2"/>
  <c r="K2448" i="2"/>
  <c r="O2448" i="2"/>
  <c r="R2448" i="2"/>
  <c r="S2448" i="2" s="1"/>
  <c r="I2449" i="2"/>
  <c r="J2449" i="2"/>
  <c r="K2449" i="2"/>
  <c r="O2449" i="2"/>
  <c r="R2449" i="2"/>
  <c r="S2449" i="2" s="1"/>
  <c r="I2450" i="2"/>
  <c r="J2450" i="2"/>
  <c r="K2450" i="2"/>
  <c r="O2450" i="2"/>
  <c r="R2450" i="2"/>
  <c r="S2450" i="2" s="1"/>
  <c r="I2451" i="2"/>
  <c r="J2451" i="2"/>
  <c r="K2451" i="2"/>
  <c r="O2451" i="2"/>
  <c r="R2451" i="2"/>
  <c r="S2451" i="2" s="1"/>
  <c r="I2452" i="2"/>
  <c r="J2452" i="2"/>
  <c r="K2452" i="2"/>
  <c r="O2452" i="2"/>
  <c r="R2452" i="2"/>
  <c r="S2452" i="2" s="1"/>
  <c r="I2453" i="2"/>
  <c r="J2453" i="2"/>
  <c r="K2453" i="2"/>
  <c r="O2453" i="2"/>
  <c r="R2453" i="2"/>
  <c r="S2453" i="2" s="1"/>
  <c r="I2454" i="2"/>
  <c r="J2454" i="2"/>
  <c r="K2454" i="2"/>
  <c r="O2454" i="2"/>
  <c r="R2454" i="2"/>
  <c r="S2454" i="2" s="1"/>
  <c r="I2455" i="2"/>
  <c r="J2455" i="2"/>
  <c r="K2455" i="2"/>
  <c r="O2455" i="2"/>
  <c r="R2455" i="2"/>
  <c r="S2455" i="2" s="1"/>
  <c r="I2456" i="2"/>
  <c r="J2456" i="2"/>
  <c r="K2456" i="2"/>
  <c r="O2456" i="2"/>
  <c r="R2456" i="2"/>
  <c r="S2456" i="2" s="1"/>
  <c r="I2457" i="2"/>
  <c r="J2457" i="2"/>
  <c r="K2457" i="2"/>
  <c r="O2457" i="2"/>
  <c r="R2457" i="2"/>
  <c r="S2457" i="2" s="1"/>
  <c r="I2458" i="2"/>
  <c r="J2458" i="2"/>
  <c r="K2458" i="2"/>
  <c r="O2458" i="2"/>
  <c r="R2458" i="2"/>
  <c r="S2458" i="2" s="1"/>
  <c r="I2459" i="2"/>
  <c r="J2459" i="2"/>
  <c r="K2459" i="2"/>
  <c r="O2459" i="2"/>
  <c r="R2459" i="2"/>
  <c r="S2459" i="2" s="1"/>
  <c r="I2460" i="2"/>
  <c r="J2460" i="2"/>
  <c r="K2460" i="2"/>
  <c r="O2460" i="2"/>
  <c r="R2460" i="2"/>
  <c r="S2460" i="2" s="1"/>
  <c r="I2461" i="2"/>
  <c r="J2461" i="2"/>
  <c r="K2461" i="2"/>
  <c r="O2461" i="2"/>
  <c r="R2461" i="2"/>
  <c r="S2461" i="2" s="1"/>
  <c r="I2462" i="2"/>
  <c r="J2462" i="2"/>
  <c r="K2462" i="2"/>
  <c r="O2462" i="2"/>
  <c r="R2462" i="2"/>
  <c r="S2462" i="2" s="1"/>
  <c r="I2463" i="2"/>
  <c r="J2463" i="2"/>
  <c r="K2463" i="2"/>
  <c r="O2463" i="2"/>
  <c r="R2463" i="2"/>
  <c r="S2463" i="2" s="1"/>
  <c r="I2464" i="2"/>
  <c r="J2464" i="2"/>
  <c r="K2464" i="2"/>
  <c r="O2464" i="2"/>
  <c r="R2464" i="2"/>
  <c r="S2464" i="2" s="1"/>
  <c r="I2465" i="2"/>
  <c r="J2465" i="2"/>
  <c r="K2465" i="2"/>
  <c r="O2465" i="2"/>
  <c r="R2465" i="2"/>
  <c r="S2465" i="2" s="1"/>
  <c r="I2466" i="2"/>
  <c r="J2466" i="2"/>
  <c r="K2466" i="2"/>
  <c r="O2466" i="2"/>
  <c r="R2466" i="2"/>
  <c r="S2466" i="2" s="1"/>
  <c r="I2467" i="2"/>
  <c r="J2467" i="2"/>
  <c r="K2467" i="2"/>
  <c r="O2467" i="2"/>
  <c r="R2467" i="2"/>
  <c r="S2467" i="2" s="1"/>
  <c r="I2468" i="2"/>
  <c r="J2468" i="2"/>
  <c r="K2468" i="2"/>
  <c r="O2468" i="2"/>
  <c r="R2468" i="2"/>
  <c r="S2468" i="2" s="1"/>
  <c r="I2469" i="2"/>
  <c r="J2469" i="2"/>
  <c r="K2469" i="2"/>
  <c r="O2469" i="2"/>
  <c r="R2469" i="2"/>
  <c r="S2469" i="2" s="1"/>
  <c r="I2470" i="2"/>
  <c r="J2470" i="2"/>
  <c r="K2470" i="2"/>
  <c r="O2470" i="2"/>
  <c r="R2470" i="2"/>
  <c r="S2470" i="2" s="1"/>
  <c r="I2471" i="2"/>
  <c r="J2471" i="2"/>
  <c r="K2471" i="2"/>
  <c r="O2471" i="2"/>
  <c r="R2471" i="2"/>
  <c r="S2471" i="2" s="1"/>
  <c r="I2472" i="2"/>
  <c r="J2472" i="2"/>
  <c r="K2472" i="2"/>
  <c r="O2472" i="2"/>
  <c r="R2472" i="2"/>
  <c r="S2472" i="2" s="1"/>
  <c r="I2473" i="2"/>
  <c r="J2473" i="2"/>
  <c r="K2473" i="2"/>
  <c r="O2473" i="2"/>
  <c r="R2473" i="2"/>
  <c r="S2473" i="2" s="1"/>
  <c r="I2474" i="2"/>
  <c r="J2474" i="2"/>
  <c r="K2474" i="2"/>
  <c r="O2474" i="2"/>
  <c r="R2474" i="2"/>
  <c r="S2474" i="2" s="1"/>
  <c r="I2475" i="2"/>
  <c r="J2475" i="2"/>
  <c r="K2475" i="2"/>
  <c r="O2475" i="2"/>
  <c r="R2475" i="2"/>
  <c r="S2475" i="2" s="1"/>
  <c r="I2476" i="2"/>
  <c r="J2476" i="2"/>
  <c r="K2476" i="2"/>
  <c r="O2476" i="2"/>
  <c r="R2476" i="2"/>
  <c r="S2476" i="2" s="1"/>
  <c r="I2477" i="2"/>
  <c r="J2477" i="2"/>
  <c r="K2477" i="2"/>
  <c r="O2477" i="2"/>
  <c r="R2477" i="2"/>
  <c r="S2477" i="2" s="1"/>
  <c r="I2478" i="2"/>
  <c r="J2478" i="2"/>
  <c r="K2478" i="2"/>
  <c r="O2478" i="2"/>
  <c r="R2478" i="2"/>
  <c r="S2478" i="2" s="1"/>
  <c r="I2479" i="2"/>
  <c r="J2479" i="2"/>
  <c r="K2479" i="2"/>
  <c r="O2479" i="2"/>
  <c r="R2479" i="2"/>
  <c r="S2479" i="2" s="1"/>
  <c r="I2480" i="2"/>
  <c r="J2480" i="2"/>
  <c r="K2480" i="2"/>
  <c r="O2480" i="2"/>
  <c r="R2480" i="2"/>
  <c r="S2480" i="2" s="1"/>
  <c r="I2481" i="2"/>
  <c r="J2481" i="2"/>
  <c r="K2481" i="2"/>
  <c r="O2481" i="2"/>
  <c r="R2481" i="2"/>
  <c r="S2481" i="2" s="1"/>
  <c r="I2482" i="2"/>
  <c r="J2482" i="2"/>
  <c r="K2482" i="2"/>
  <c r="O2482" i="2"/>
  <c r="R2482" i="2"/>
  <c r="S2482" i="2" s="1"/>
  <c r="I2483" i="2"/>
  <c r="J2483" i="2"/>
  <c r="K2483" i="2"/>
  <c r="O2483" i="2"/>
  <c r="R2483" i="2"/>
  <c r="S2483" i="2" s="1"/>
  <c r="I2484" i="2"/>
  <c r="J2484" i="2"/>
  <c r="K2484" i="2"/>
  <c r="O2484" i="2"/>
  <c r="R2484" i="2"/>
  <c r="S2484" i="2" s="1"/>
  <c r="I2485" i="2"/>
  <c r="J2485" i="2"/>
  <c r="K2485" i="2"/>
  <c r="O2485" i="2"/>
  <c r="R2485" i="2"/>
  <c r="S2485" i="2" s="1"/>
  <c r="I2486" i="2"/>
  <c r="J2486" i="2"/>
  <c r="K2486" i="2"/>
  <c r="O2486" i="2"/>
  <c r="R2486" i="2"/>
  <c r="S2486" i="2" s="1"/>
  <c r="I2487" i="2"/>
  <c r="J2487" i="2"/>
  <c r="K2487" i="2"/>
  <c r="O2487" i="2"/>
  <c r="R2487" i="2"/>
  <c r="S2487" i="2" s="1"/>
  <c r="I2488" i="2"/>
  <c r="J2488" i="2"/>
  <c r="K2488" i="2"/>
  <c r="O2488" i="2"/>
  <c r="R2488" i="2"/>
  <c r="S2488" i="2" s="1"/>
  <c r="I2489" i="2"/>
  <c r="J2489" i="2"/>
  <c r="K2489" i="2"/>
  <c r="O2489" i="2"/>
  <c r="R2489" i="2"/>
  <c r="S2489" i="2" s="1"/>
  <c r="I2490" i="2"/>
  <c r="J2490" i="2"/>
  <c r="K2490" i="2"/>
  <c r="O2490" i="2"/>
  <c r="R2490" i="2"/>
  <c r="S2490" i="2" s="1"/>
  <c r="I2491" i="2"/>
  <c r="J2491" i="2"/>
  <c r="K2491" i="2"/>
  <c r="O2491" i="2"/>
  <c r="R2491" i="2"/>
  <c r="S2491" i="2" s="1"/>
  <c r="I2492" i="2"/>
  <c r="J2492" i="2"/>
  <c r="K2492" i="2"/>
  <c r="O2492" i="2"/>
  <c r="R2492" i="2"/>
  <c r="S2492" i="2" s="1"/>
  <c r="I2493" i="2"/>
  <c r="J2493" i="2"/>
  <c r="K2493" i="2"/>
  <c r="O2493" i="2"/>
  <c r="R2493" i="2"/>
  <c r="S2493" i="2" s="1"/>
  <c r="I2494" i="2"/>
  <c r="J2494" i="2"/>
  <c r="K2494" i="2"/>
  <c r="O2494" i="2"/>
  <c r="R2494" i="2"/>
  <c r="S2494" i="2" s="1"/>
  <c r="I2495" i="2"/>
  <c r="J2495" i="2"/>
  <c r="K2495" i="2"/>
  <c r="O2495" i="2"/>
  <c r="R2495" i="2"/>
  <c r="S2495" i="2" s="1"/>
  <c r="I2496" i="2"/>
  <c r="J2496" i="2"/>
  <c r="K2496" i="2"/>
  <c r="O2496" i="2"/>
  <c r="R2496" i="2"/>
  <c r="S2496" i="2" s="1"/>
  <c r="I2497" i="2"/>
  <c r="J2497" i="2"/>
  <c r="K2497" i="2"/>
  <c r="O2497" i="2"/>
  <c r="R2497" i="2"/>
  <c r="S2497" i="2" s="1"/>
  <c r="I2498" i="2"/>
  <c r="J2498" i="2"/>
  <c r="K2498" i="2"/>
  <c r="O2498" i="2"/>
  <c r="R2498" i="2"/>
  <c r="S2498" i="2" s="1"/>
  <c r="I2499" i="2"/>
  <c r="J2499" i="2"/>
  <c r="K2499" i="2"/>
  <c r="O2499" i="2"/>
  <c r="R2499" i="2"/>
  <c r="S2499" i="2" s="1"/>
  <c r="I2500" i="2"/>
  <c r="J2500" i="2"/>
  <c r="K2500" i="2"/>
  <c r="O2500" i="2"/>
  <c r="R2500" i="2"/>
  <c r="S2500" i="2" s="1"/>
  <c r="I2501" i="2"/>
  <c r="J2501" i="2"/>
  <c r="K2501" i="2"/>
  <c r="O2501" i="2"/>
  <c r="R2501" i="2"/>
  <c r="S2501" i="2" s="1"/>
  <c r="I2502" i="2"/>
  <c r="J2502" i="2"/>
  <c r="K2502" i="2"/>
  <c r="O2502" i="2"/>
  <c r="R2502" i="2"/>
  <c r="S2502" i="2" s="1"/>
  <c r="I2503" i="2"/>
  <c r="J2503" i="2"/>
  <c r="K2503" i="2"/>
  <c r="O2503" i="2"/>
  <c r="R2503" i="2"/>
  <c r="S2503" i="2" s="1"/>
  <c r="I2504" i="2"/>
  <c r="J2504" i="2"/>
  <c r="K2504" i="2"/>
  <c r="O2504" i="2"/>
  <c r="R2504" i="2"/>
  <c r="S2504" i="2" s="1"/>
  <c r="I2505" i="2"/>
  <c r="J2505" i="2"/>
  <c r="K2505" i="2"/>
  <c r="O2505" i="2"/>
  <c r="R2505" i="2"/>
  <c r="S2505" i="2" s="1"/>
  <c r="I2506" i="2"/>
  <c r="J2506" i="2"/>
  <c r="K2506" i="2"/>
  <c r="O2506" i="2"/>
  <c r="R2506" i="2"/>
  <c r="S2506" i="2" s="1"/>
  <c r="I2507" i="2"/>
  <c r="J2507" i="2"/>
  <c r="K2507" i="2"/>
  <c r="O2507" i="2"/>
  <c r="R2507" i="2"/>
  <c r="S2507" i="2" s="1"/>
  <c r="I2508" i="2"/>
  <c r="J2508" i="2"/>
  <c r="K2508" i="2"/>
  <c r="O2508" i="2"/>
  <c r="R2508" i="2"/>
  <c r="S2508" i="2" s="1"/>
  <c r="I2509" i="2"/>
  <c r="J2509" i="2"/>
  <c r="K2509" i="2"/>
  <c r="O2509" i="2"/>
  <c r="R2509" i="2"/>
  <c r="S2509" i="2" s="1"/>
  <c r="I2510" i="2"/>
  <c r="J2510" i="2"/>
  <c r="K2510" i="2"/>
  <c r="O2510" i="2"/>
  <c r="R2510" i="2"/>
  <c r="S2510" i="2" s="1"/>
  <c r="I2511" i="2"/>
  <c r="J2511" i="2"/>
  <c r="K2511" i="2"/>
  <c r="O2511" i="2"/>
  <c r="R2511" i="2"/>
  <c r="S2511" i="2" s="1"/>
  <c r="I2512" i="2"/>
  <c r="J2512" i="2"/>
  <c r="K2512" i="2"/>
  <c r="O2512" i="2"/>
  <c r="R2512" i="2"/>
  <c r="S2512" i="2" s="1"/>
  <c r="I2513" i="2"/>
  <c r="J2513" i="2"/>
  <c r="K2513" i="2"/>
  <c r="O2513" i="2"/>
  <c r="R2513" i="2"/>
  <c r="S2513" i="2" s="1"/>
  <c r="I2514" i="2"/>
  <c r="J2514" i="2"/>
  <c r="K2514" i="2"/>
  <c r="O2514" i="2"/>
  <c r="R2514" i="2"/>
  <c r="S2514" i="2" s="1"/>
  <c r="I2515" i="2"/>
  <c r="J2515" i="2"/>
  <c r="K2515" i="2"/>
  <c r="O2515" i="2"/>
  <c r="R2515" i="2"/>
  <c r="S2515" i="2" s="1"/>
  <c r="I2516" i="2"/>
  <c r="J2516" i="2"/>
  <c r="K2516" i="2"/>
  <c r="O2516" i="2"/>
  <c r="R2516" i="2"/>
  <c r="S2516" i="2" s="1"/>
  <c r="I2517" i="2"/>
  <c r="J2517" i="2"/>
  <c r="K2517" i="2"/>
  <c r="O2517" i="2"/>
  <c r="R2517" i="2"/>
  <c r="S2517" i="2" s="1"/>
  <c r="I2518" i="2"/>
  <c r="J2518" i="2"/>
  <c r="K2518" i="2"/>
  <c r="O2518" i="2"/>
  <c r="R2518" i="2"/>
  <c r="S2518" i="2" s="1"/>
  <c r="I2519" i="2"/>
  <c r="J2519" i="2"/>
  <c r="K2519" i="2"/>
  <c r="O2519" i="2"/>
  <c r="R2519" i="2"/>
  <c r="S2519" i="2" s="1"/>
  <c r="I2520" i="2"/>
  <c r="J2520" i="2"/>
  <c r="K2520" i="2"/>
  <c r="O2520" i="2"/>
  <c r="R2520" i="2"/>
  <c r="S2520" i="2" s="1"/>
  <c r="I2521" i="2"/>
  <c r="J2521" i="2"/>
  <c r="K2521" i="2"/>
  <c r="O2521" i="2"/>
  <c r="R2521" i="2"/>
  <c r="S2521" i="2" s="1"/>
  <c r="I2522" i="2"/>
  <c r="J2522" i="2"/>
  <c r="K2522" i="2"/>
  <c r="O2522" i="2"/>
  <c r="R2522" i="2"/>
  <c r="S2522" i="2" s="1"/>
  <c r="I2523" i="2"/>
  <c r="J2523" i="2"/>
  <c r="K2523" i="2"/>
  <c r="O2523" i="2"/>
  <c r="R2523" i="2"/>
  <c r="S2523" i="2" s="1"/>
  <c r="I2524" i="2"/>
  <c r="J2524" i="2"/>
  <c r="K2524" i="2"/>
  <c r="O2524" i="2"/>
  <c r="R2524" i="2"/>
  <c r="S2524" i="2" s="1"/>
  <c r="I2525" i="2"/>
  <c r="J2525" i="2"/>
  <c r="K2525" i="2"/>
  <c r="O2525" i="2"/>
  <c r="R2525" i="2"/>
  <c r="S2525" i="2" s="1"/>
  <c r="I2526" i="2"/>
  <c r="J2526" i="2"/>
  <c r="K2526" i="2"/>
  <c r="O2526" i="2"/>
  <c r="R2526" i="2"/>
  <c r="S2526" i="2" s="1"/>
  <c r="I2527" i="2"/>
  <c r="J2527" i="2"/>
  <c r="K2527" i="2"/>
  <c r="O2527" i="2"/>
  <c r="R2527" i="2"/>
  <c r="S2527" i="2" s="1"/>
  <c r="I2528" i="2"/>
  <c r="J2528" i="2"/>
  <c r="K2528" i="2"/>
  <c r="O2528" i="2"/>
  <c r="R2528" i="2"/>
  <c r="S2528" i="2" s="1"/>
  <c r="I2529" i="2"/>
  <c r="J2529" i="2"/>
  <c r="K2529" i="2"/>
  <c r="O2529" i="2"/>
  <c r="R2529" i="2"/>
  <c r="S2529" i="2" s="1"/>
  <c r="I2530" i="2"/>
  <c r="J2530" i="2"/>
  <c r="K2530" i="2"/>
  <c r="O2530" i="2"/>
  <c r="R2530" i="2"/>
  <c r="S2530" i="2" s="1"/>
  <c r="I2531" i="2"/>
  <c r="J2531" i="2"/>
  <c r="K2531" i="2"/>
  <c r="O2531" i="2"/>
  <c r="R2531" i="2"/>
  <c r="S2531" i="2" s="1"/>
  <c r="I2532" i="2"/>
  <c r="J2532" i="2"/>
  <c r="K2532" i="2"/>
  <c r="O2532" i="2"/>
  <c r="R2532" i="2"/>
  <c r="S2532" i="2" s="1"/>
  <c r="I2533" i="2"/>
  <c r="J2533" i="2"/>
  <c r="K2533" i="2"/>
  <c r="O2533" i="2"/>
  <c r="R2533" i="2"/>
  <c r="S2533" i="2" s="1"/>
  <c r="I2534" i="2"/>
  <c r="J2534" i="2"/>
  <c r="K2534" i="2"/>
  <c r="O2534" i="2"/>
  <c r="R2534" i="2"/>
  <c r="S2534" i="2" s="1"/>
  <c r="I2535" i="2"/>
  <c r="J2535" i="2"/>
  <c r="K2535" i="2"/>
  <c r="O2535" i="2"/>
  <c r="R2535" i="2"/>
  <c r="S2535" i="2" s="1"/>
  <c r="I2536" i="2"/>
  <c r="J2536" i="2"/>
  <c r="K2536" i="2"/>
  <c r="O2536" i="2"/>
  <c r="R2536" i="2"/>
  <c r="S2536" i="2" s="1"/>
  <c r="I2537" i="2"/>
  <c r="J2537" i="2"/>
  <c r="K2537" i="2"/>
  <c r="O2537" i="2"/>
  <c r="R2537" i="2"/>
  <c r="S2537" i="2" s="1"/>
  <c r="I2538" i="2"/>
  <c r="J2538" i="2"/>
  <c r="K2538" i="2"/>
  <c r="O2538" i="2"/>
  <c r="R2538" i="2"/>
  <c r="S2538" i="2" s="1"/>
  <c r="I2539" i="2"/>
  <c r="J2539" i="2"/>
  <c r="K2539" i="2"/>
  <c r="O2539" i="2"/>
  <c r="R2539" i="2"/>
  <c r="S2539" i="2" s="1"/>
  <c r="I2540" i="2"/>
  <c r="J2540" i="2"/>
  <c r="K2540" i="2"/>
  <c r="O2540" i="2"/>
  <c r="R2540" i="2"/>
  <c r="S2540" i="2" s="1"/>
  <c r="I2541" i="2"/>
  <c r="J2541" i="2"/>
  <c r="K2541" i="2"/>
  <c r="O2541" i="2"/>
  <c r="R2541" i="2"/>
  <c r="S2541" i="2" s="1"/>
  <c r="I2542" i="2"/>
  <c r="J2542" i="2"/>
  <c r="K2542" i="2"/>
  <c r="O2542" i="2"/>
  <c r="R2542" i="2"/>
  <c r="S2542" i="2" s="1"/>
  <c r="I2543" i="2"/>
  <c r="J2543" i="2"/>
  <c r="K2543" i="2"/>
  <c r="O2543" i="2"/>
  <c r="R2543" i="2"/>
  <c r="S2543" i="2" s="1"/>
  <c r="I2544" i="2"/>
  <c r="J2544" i="2"/>
  <c r="K2544" i="2"/>
  <c r="O2544" i="2"/>
  <c r="R2544" i="2"/>
  <c r="S2544" i="2" s="1"/>
  <c r="I2545" i="2"/>
  <c r="J2545" i="2"/>
  <c r="K2545" i="2"/>
  <c r="O2545" i="2"/>
  <c r="R2545" i="2"/>
  <c r="S2545" i="2" s="1"/>
  <c r="I2546" i="2"/>
  <c r="J2546" i="2"/>
  <c r="K2546" i="2"/>
  <c r="O2546" i="2"/>
  <c r="R2546" i="2"/>
  <c r="S2546" i="2" s="1"/>
  <c r="I2547" i="2"/>
  <c r="J2547" i="2"/>
  <c r="K2547" i="2"/>
  <c r="O2547" i="2"/>
  <c r="R2547" i="2"/>
  <c r="S2547" i="2" s="1"/>
  <c r="I2548" i="2"/>
  <c r="J2548" i="2"/>
  <c r="K2548" i="2"/>
  <c r="O2548" i="2"/>
  <c r="R2548" i="2"/>
  <c r="S2548" i="2" s="1"/>
  <c r="I2549" i="2"/>
  <c r="J2549" i="2"/>
  <c r="K2549" i="2"/>
  <c r="O2549" i="2"/>
  <c r="R2549" i="2"/>
  <c r="S2549" i="2" s="1"/>
  <c r="I2550" i="2"/>
  <c r="J2550" i="2"/>
  <c r="K2550" i="2"/>
  <c r="O2550" i="2"/>
  <c r="R2550" i="2"/>
  <c r="S2550" i="2" s="1"/>
  <c r="I2551" i="2"/>
  <c r="J2551" i="2"/>
  <c r="K2551" i="2"/>
  <c r="O2551" i="2"/>
  <c r="R2551" i="2"/>
  <c r="S2551" i="2" s="1"/>
  <c r="I2552" i="2"/>
  <c r="J2552" i="2"/>
  <c r="K2552" i="2"/>
  <c r="O2552" i="2"/>
  <c r="R2552" i="2"/>
  <c r="S2552" i="2" s="1"/>
  <c r="I2553" i="2"/>
  <c r="J2553" i="2"/>
  <c r="K2553" i="2"/>
  <c r="O2553" i="2"/>
  <c r="R2553" i="2"/>
  <c r="S2553" i="2" s="1"/>
  <c r="I2554" i="2"/>
  <c r="J2554" i="2"/>
  <c r="K2554" i="2"/>
  <c r="O2554" i="2"/>
  <c r="R2554" i="2"/>
  <c r="S2554" i="2" s="1"/>
  <c r="I2555" i="2"/>
  <c r="J2555" i="2"/>
  <c r="K2555" i="2"/>
  <c r="O2555" i="2"/>
  <c r="R2555" i="2"/>
  <c r="S2555" i="2" s="1"/>
  <c r="I2556" i="2"/>
  <c r="J2556" i="2"/>
  <c r="K2556" i="2"/>
  <c r="O2556" i="2"/>
  <c r="R2556" i="2"/>
  <c r="S2556" i="2" s="1"/>
  <c r="I2557" i="2"/>
  <c r="J2557" i="2"/>
  <c r="K2557" i="2"/>
  <c r="O2557" i="2"/>
  <c r="R2557" i="2"/>
  <c r="S2557" i="2" s="1"/>
  <c r="I2558" i="2"/>
  <c r="J2558" i="2"/>
  <c r="K2558" i="2"/>
  <c r="O2558" i="2"/>
  <c r="R2558" i="2"/>
  <c r="S2558" i="2" s="1"/>
  <c r="I2559" i="2"/>
  <c r="J2559" i="2"/>
  <c r="K2559" i="2"/>
  <c r="O2559" i="2"/>
  <c r="R2559" i="2"/>
  <c r="S2559" i="2" s="1"/>
  <c r="I2560" i="2"/>
  <c r="J2560" i="2"/>
  <c r="K2560" i="2"/>
  <c r="O2560" i="2"/>
  <c r="R2560" i="2"/>
  <c r="S2560" i="2" s="1"/>
  <c r="I2561" i="2"/>
  <c r="J2561" i="2"/>
  <c r="K2561" i="2"/>
  <c r="O2561" i="2"/>
  <c r="R2561" i="2"/>
  <c r="S2561" i="2" s="1"/>
  <c r="I2562" i="2"/>
  <c r="J2562" i="2"/>
  <c r="K2562" i="2"/>
  <c r="O2562" i="2"/>
  <c r="R2562" i="2"/>
  <c r="S2562" i="2" s="1"/>
  <c r="I2563" i="2"/>
  <c r="J2563" i="2"/>
  <c r="K2563" i="2"/>
  <c r="O2563" i="2"/>
  <c r="R2563" i="2"/>
  <c r="S2563" i="2" s="1"/>
  <c r="I2564" i="2"/>
  <c r="J2564" i="2"/>
  <c r="K2564" i="2"/>
  <c r="O2564" i="2"/>
  <c r="R2564" i="2"/>
  <c r="S2564" i="2" s="1"/>
  <c r="I2565" i="2"/>
  <c r="J2565" i="2"/>
  <c r="K2565" i="2"/>
  <c r="O2565" i="2"/>
  <c r="R2565" i="2"/>
  <c r="S2565" i="2" s="1"/>
  <c r="I2566" i="2"/>
  <c r="J2566" i="2"/>
  <c r="K2566" i="2"/>
  <c r="O2566" i="2"/>
  <c r="R2566" i="2"/>
  <c r="S2566" i="2" s="1"/>
  <c r="I2567" i="2"/>
  <c r="J2567" i="2"/>
  <c r="K2567" i="2"/>
  <c r="O2567" i="2"/>
  <c r="R2567" i="2"/>
  <c r="S2567" i="2" s="1"/>
  <c r="I2568" i="2"/>
  <c r="J2568" i="2"/>
  <c r="K2568" i="2"/>
  <c r="O2568" i="2"/>
  <c r="R2568" i="2"/>
  <c r="S2568" i="2" s="1"/>
  <c r="I2569" i="2"/>
  <c r="J2569" i="2"/>
  <c r="K2569" i="2"/>
  <c r="O2569" i="2"/>
  <c r="R2569" i="2"/>
  <c r="S2569" i="2" s="1"/>
  <c r="I2570" i="2"/>
  <c r="J2570" i="2"/>
  <c r="K2570" i="2"/>
  <c r="O2570" i="2"/>
  <c r="R2570" i="2"/>
  <c r="S2570" i="2" s="1"/>
  <c r="I2571" i="2"/>
  <c r="J2571" i="2"/>
  <c r="K2571" i="2"/>
  <c r="O2571" i="2"/>
  <c r="R2571" i="2"/>
  <c r="S2571" i="2" s="1"/>
  <c r="I2572" i="2"/>
  <c r="J2572" i="2"/>
  <c r="K2572" i="2"/>
  <c r="O2572" i="2"/>
  <c r="R2572" i="2"/>
  <c r="S2572" i="2" s="1"/>
  <c r="I2573" i="2"/>
  <c r="J2573" i="2"/>
  <c r="K2573" i="2"/>
  <c r="O2573" i="2"/>
  <c r="R2573" i="2"/>
  <c r="S2573" i="2" s="1"/>
  <c r="I2574" i="2"/>
  <c r="J2574" i="2"/>
  <c r="K2574" i="2"/>
  <c r="O2574" i="2"/>
  <c r="R2574" i="2"/>
  <c r="S2574" i="2" s="1"/>
  <c r="I2575" i="2"/>
  <c r="J2575" i="2"/>
  <c r="K2575" i="2"/>
  <c r="O2575" i="2"/>
  <c r="R2575" i="2"/>
  <c r="S2575" i="2" s="1"/>
  <c r="I2576" i="2"/>
  <c r="J2576" i="2"/>
  <c r="K2576" i="2"/>
  <c r="O2576" i="2"/>
  <c r="R2576" i="2"/>
  <c r="S2576" i="2" s="1"/>
  <c r="I2577" i="2"/>
  <c r="J2577" i="2"/>
  <c r="K2577" i="2"/>
  <c r="O2577" i="2"/>
  <c r="R2577" i="2"/>
  <c r="S2577" i="2" s="1"/>
  <c r="I2578" i="2"/>
  <c r="J2578" i="2"/>
  <c r="K2578" i="2"/>
  <c r="O2578" i="2"/>
  <c r="R2578" i="2"/>
  <c r="S2578" i="2" s="1"/>
  <c r="I2579" i="2"/>
  <c r="J2579" i="2"/>
  <c r="K2579" i="2"/>
  <c r="O2579" i="2"/>
  <c r="R2579" i="2"/>
  <c r="S2579" i="2" s="1"/>
  <c r="I2580" i="2"/>
  <c r="J2580" i="2"/>
  <c r="K2580" i="2"/>
  <c r="O2580" i="2"/>
  <c r="R2580" i="2"/>
  <c r="S2580" i="2" s="1"/>
  <c r="I2581" i="2"/>
  <c r="J2581" i="2"/>
  <c r="K2581" i="2"/>
  <c r="O2581" i="2"/>
  <c r="R2581" i="2"/>
  <c r="S2581" i="2" s="1"/>
  <c r="I2582" i="2"/>
  <c r="J2582" i="2"/>
  <c r="K2582" i="2"/>
  <c r="O2582" i="2"/>
  <c r="R2582" i="2"/>
  <c r="S2582" i="2" s="1"/>
  <c r="I2583" i="2"/>
  <c r="J2583" i="2"/>
  <c r="K2583" i="2"/>
  <c r="O2583" i="2"/>
  <c r="R2583" i="2"/>
  <c r="S2583" i="2" s="1"/>
  <c r="I2584" i="2"/>
  <c r="J2584" i="2"/>
  <c r="K2584" i="2"/>
  <c r="O2584" i="2"/>
  <c r="R2584" i="2"/>
  <c r="S2584" i="2" s="1"/>
  <c r="I2585" i="2"/>
  <c r="J2585" i="2"/>
  <c r="K2585" i="2"/>
  <c r="O2585" i="2"/>
  <c r="R2585" i="2"/>
  <c r="S2585" i="2" s="1"/>
  <c r="I2586" i="2"/>
  <c r="J2586" i="2"/>
  <c r="K2586" i="2"/>
  <c r="O2586" i="2"/>
  <c r="R2586" i="2"/>
  <c r="S2586" i="2" s="1"/>
  <c r="I2587" i="2"/>
  <c r="J2587" i="2"/>
  <c r="K2587" i="2"/>
  <c r="O2587" i="2"/>
  <c r="R2587" i="2"/>
  <c r="S2587" i="2" s="1"/>
  <c r="I2588" i="2"/>
  <c r="J2588" i="2"/>
  <c r="K2588" i="2"/>
  <c r="O2588" i="2"/>
  <c r="R2588" i="2"/>
  <c r="S2588" i="2" s="1"/>
  <c r="I2589" i="2"/>
  <c r="J2589" i="2"/>
  <c r="K2589" i="2"/>
  <c r="O2589" i="2"/>
  <c r="R2589" i="2"/>
  <c r="S2589" i="2" s="1"/>
  <c r="I2590" i="2"/>
  <c r="J2590" i="2"/>
  <c r="K2590" i="2"/>
  <c r="O2590" i="2"/>
  <c r="R2590" i="2"/>
  <c r="S2590" i="2" s="1"/>
  <c r="I2591" i="2"/>
  <c r="J2591" i="2"/>
  <c r="K2591" i="2"/>
  <c r="O2591" i="2"/>
  <c r="R2591" i="2"/>
  <c r="S2591" i="2" s="1"/>
  <c r="I2592" i="2"/>
  <c r="J2592" i="2"/>
  <c r="K2592" i="2"/>
  <c r="O2592" i="2"/>
  <c r="R2592" i="2"/>
  <c r="S2592" i="2" s="1"/>
  <c r="I2593" i="2"/>
  <c r="J2593" i="2"/>
  <c r="K2593" i="2"/>
  <c r="O2593" i="2"/>
  <c r="R2593" i="2"/>
  <c r="S2593" i="2" s="1"/>
  <c r="I2594" i="2"/>
  <c r="J2594" i="2"/>
  <c r="K2594" i="2"/>
  <c r="O2594" i="2"/>
  <c r="R2594" i="2"/>
  <c r="S2594" i="2" s="1"/>
  <c r="I2595" i="2"/>
  <c r="J2595" i="2"/>
  <c r="K2595" i="2"/>
  <c r="O2595" i="2"/>
  <c r="R2595" i="2"/>
  <c r="S2595" i="2" s="1"/>
  <c r="I2596" i="2"/>
  <c r="J2596" i="2"/>
  <c r="K2596" i="2"/>
  <c r="O2596" i="2"/>
  <c r="R2596" i="2"/>
  <c r="S2596" i="2" s="1"/>
  <c r="I2597" i="2"/>
  <c r="J2597" i="2"/>
  <c r="K2597" i="2"/>
  <c r="O2597" i="2"/>
  <c r="R2597" i="2"/>
  <c r="S2597" i="2" s="1"/>
  <c r="I2598" i="2"/>
  <c r="J2598" i="2"/>
  <c r="K2598" i="2"/>
  <c r="O2598" i="2"/>
  <c r="R2598" i="2"/>
  <c r="S2598" i="2" s="1"/>
  <c r="I2599" i="2"/>
  <c r="J2599" i="2"/>
  <c r="K2599" i="2"/>
  <c r="O2599" i="2"/>
  <c r="R2599" i="2"/>
  <c r="S2599" i="2" s="1"/>
  <c r="I2600" i="2"/>
  <c r="J2600" i="2"/>
  <c r="K2600" i="2"/>
  <c r="O2600" i="2"/>
  <c r="R2600" i="2"/>
  <c r="S2600" i="2" s="1"/>
  <c r="I2601" i="2"/>
  <c r="J2601" i="2"/>
  <c r="K2601" i="2"/>
  <c r="O2601" i="2"/>
  <c r="R2601" i="2"/>
  <c r="S2601" i="2" s="1"/>
  <c r="I2602" i="2"/>
  <c r="J2602" i="2"/>
  <c r="K2602" i="2"/>
  <c r="O2602" i="2"/>
  <c r="R2602" i="2"/>
  <c r="S2602" i="2" s="1"/>
  <c r="I2603" i="2"/>
  <c r="J2603" i="2"/>
  <c r="K2603" i="2"/>
  <c r="O2603" i="2"/>
  <c r="R2603" i="2"/>
  <c r="S2603" i="2" s="1"/>
  <c r="I2604" i="2"/>
  <c r="J2604" i="2"/>
  <c r="K2604" i="2"/>
  <c r="O2604" i="2"/>
  <c r="R2604" i="2"/>
  <c r="S2604" i="2" s="1"/>
  <c r="I2605" i="2"/>
  <c r="J2605" i="2"/>
  <c r="K2605" i="2"/>
  <c r="O2605" i="2"/>
  <c r="R2605" i="2"/>
  <c r="S2605" i="2" s="1"/>
  <c r="I2606" i="2"/>
  <c r="J2606" i="2"/>
  <c r="K2606" i="2"/>
  <c r="O2606" i="2"/>
  <c r="R2606" i="2"/>
  <c r="S2606" i="2" s="1"/>
  <c r="I2607" i="2"/>
  <c r="J2607" i="2"/>
  <c r="K2607" i="2"/>
  <c r="O2607" i="2"/>
  <c r="R2607" i="2"/>
  <c r="S2607" i="2" s="1"/>
  <c r="I2608" i="2"/>
  <c r="J2608" i="2"/>
  <c r="K2608" i="2"/>
  <c r="O2608" i="2"/>
  <c r="R2608" i="2"/>
  <c r="S2608" i="2" s="1"/>
  <c r="I2609" i="2"/>
  <c r="J2609" i="2"/>
  <c r="K2609" i="2"/>
  <c r="O2609" i="2"/>
  <c r="R2609" i="2"/>
  <c r="S2609" i="2" s="1"/>
  <c r="I2610" i="2"/>
  <c r="J2610" i="2"/>
  <c r="K2610" i="2"/>
  <c r="O2610" i="2"/>
  <c r="R2610" i="2"/>
  <c r="S2610" i="2" s="1"/>
  <c r="I2611" i="2"/>
  <c r="J2611" i="2"/>
  <c r="K2611" i="2"/>
  <c r="O2611" i="2"/>
  <c r="R2611" i="2"/>
  <c r="S2611" i="2" s="1"/>
  <c r="I2612" i="2"/>
  <c r="J2612" i="2"/>
  <c r="K2612" i="2"/>
  <c r="O2612" i="2"/>
  <c r="R2612" i="2"/>
  <c r="S2612" i="2" s="1"/>
  <c r="I2613" i="2"/>
  <c r="J2613" i="2"/>
  <c r="K2613" i="2"/>
  <c r="O2613" i="2"/>
  <c r="R2613" i="2"/>
  <c r="S2613" i="2" s="1"/>
  <c r="I2614" i="2"/>
  <c r="J2614" i="2"/>
  <c r="K2614" i="2"/>
  <c r="O2614" i="2"/>
  <c r="R2614" i="2"/>
  <c r="S2614" i="2" s="1"/>
  <c r="I2615" i="2"/>
  <c r="J2615" i="2"/>
  <c r="K2615" i="2"/>
  <c r="O2615" i="2"/>
  <c r="R2615" i="2"/>
  <c r="S2615" i="2" s="1"/>
  <c r="I2616" i="2"/>
  <c r="J2616" i="2"/>
  <c r="K2616" i="2"/>
  <c r="O2616" i="2"/>
  <c r="R2616" i="2"/>
  <c r="S2616" i="2" s="1"/>
  <c r="I2617" i="2"/>
  <c r="J2617" i="2"/>
  <c r="K2617" i="2"/>
  <c r="O2617" i="2"/>
  <c r="R2617" i="2"/>
  <c r="S2617" i="2" s="1"/>
  <c r="I2618" i="2"/>
  <c r="J2618" i="2"/>
  <c r="K2618" i="2"/>
  <c r="O2618" i="2"/>
  <c r="R2618" i="2"/>
  <c r="S2618" i="2" s="1"/>
  <c r="I2619" i="2"/>
  <c r="J2619" i="2"/>
  <c r="K2619" i="2"/>
  <c r="O2619" i="2"/>
  <c r="R2619" i="2"/>
  <c r="S2619" i="2" s="1"/>
  <c r="I2620" i="2"/>
  <c r="J2620" i="2"/>
  <c r="K2620" i="2"/>
  <c r="O2620" i="2"/>
  <c r="R2620" i="2"/>
  <c r="S2620" i="2" s="1"/>
  <c r="I2621" i="2"/>
  <c r="J2621" i="2"/>
  <c r="K2621" i="2"/>
  <c r="O2621" i="2"/>
  <c r="R2621" i="2"/>
  <c r="S2621" i="2" s="1"/>
  <c r="I2622" i="2"/>
  <c r="J2622" i="2"/>
  <c r="K2622" i="2"/>
  <c r="O2622" i="2"/>
  <c r="R2622" i="2"/>
  <c r="S2622" i="2" s="1"/>
  <c r="I2623" i="2"/>
  <c r="J2623" i="2"/>
  <c r="K2623" i="2"/>
  <c r="O2623" i="2"/>
  <c r="R2623" i="2"/>
  <c r="S2623" i="2" s="1"/>
  <c r="I2624" i="2"/>
  <c r="J2624" i="2"/>
  <c r="K2624" i="2"/>
  <c r="O2624" i="2"/>
  <c r="R2624" i="2"/>
  <c r="S2624" i="2" s="1"/>
  <c r="I2625" i="2"/>
  <c r="J2625" i="2"/>
  <c r="K2625" i="2"/>
  <c r="O2625" i="2"/>
  <c r="R2625" i="2"/>
  <c r="S2625" i="2" s="1"/>
  <c r="I2626" i="2"/>
  <c r="J2626" i="2"/>
  <c r="K2626" i="2"/>
  <c r="O2626" i="2"/>
  <c r="R2626" i="2"/>
  <c r="S2626" i="2" s="1"/>
  <c r="I2627" i="2"/>
  <c r="J2627" i="2"/>
  <c r="K2627" i="2"/>
  <c r="O2627" i="2"/>
  <c r="R2627" i="2"/>
  <c r="S2627" i="2" s="1"/>
  <c r="I2628" i="2"/>
  <c r="J2628" i="2"/>
  <c r="K2628" i="2"/>
  <c r="O2628" i="2"/>
  <c r="R2628" i="2"/>
  <c r="S2628" i="2" s="1"/>
  <c r="I2629" i="2"/>
  <c r="J2629" i="2"/>
  <c r="K2629" i="2"/>
  <c r="O2629" i="2"/>
  <c r="R2629" i="2"/>
  <c r="S2629" i="2" s="1"/>
  <c r="I2630" i="2"/>
  <c r="J2630" i="2"/>
  <c r="K2630" i="2"/>
  <c r="O2630" i="2"/>
  <c r="R2630" i="2"/>
  <c r="S2630" i="2" s="1"/>
  <c r="I2631" i="2"/>
  <c r="J2631" i="2"/>
  <c r="K2631" i="2"/>
  <c r="O2631" i="2"/>
  <c r="R2631" i="2"/>
  <c r="S2631" i="2" s="1"/>
  <c r="I2632" i="2"/>
  <c r="J2632" i="2"/>
  <c r="K2632" i="2"/>
  <c r="O2632" i="2"/>
  <c r="R2632" i="2"/>
  <c r="S2632" i="2" s="1"/>
  <c r="I2633" i="2"/>
  <c r="J2633" i="2"/>
  <c r="K2633" i="2"/>
  <c r="O2633" i="2"/>
  <c r="R2633" i="2"/>
  <c r="S2633" i="2" s="1"/>
  <c r="I2634" i="2"/>
  <c r="J2634" i="2"/>
  <c r="K2634" i="2"/>
  <c r="O2634" i="2"/>
  <c r="R2634" i="2"/>
  <c r="S2634" i="2" s="1"/>
  <c r="I2635" i="2"/>
  <c r="J2635" i="2"/>
  <c r="K2635" i="2"/>
  <c r="O2635" i="2"/>
  <c r="R2635" i="2"/>
  <c r="S2635" i="2" s="1"/>
  <c r="I2636" i="2"/>
  <c r="J2636" i="2"/>
  <c r="K2636" i="2"/>
  <c r="O2636" i="2"/>
  <c r="R2636" i="2"/>
  <c r="S2636" i="2" s="1"/>
  <c r="I2637" i="2"/>
  <c r="J2637" i="2"/>
  <c r="K2637" i="2"/>
  <c r="O2637" i="2"/>
  <c r="R2637" i="2"/>
  <c r="S2637" i="2" s="1"/>
  <c r="I2638" i="2"/>
  <c r="J2638" i="2"/>
  <c r="K2638" i="2"/>
  <c r="O2638" i="2"/>
  <c r="R2638" i="2"/>
  <c r="S2638" i="2" s="1"/>
  <c r="I2639" i="2"/>
  <c r="J2639" i="2"/>
  <c r="K2639" i="2"/>
  <c r="O2639" i="2"/>
  <c r="R2639" i="2"/>
  <c r="S2639" i="2" s="1"/>
  <c r="I2640" i="2"/>
  <c r="J2640" i="2"/>
  <c r="K2640" i="2"/>
  <c r="O2640" i="2"/>
  <c r="R2640" i="2"/>
  <c r="S2640" i="2" s="1"/>
  <c r="I2641" i="2"/>
  <c r="J2641" i="2"/>
  <c r="K2641" i="2"/>
  <c r="O2641" i="2"/>
  <c r="R2641" i="2"/>
  <c r="S2641" i="2" s="1"/>
  <c r="I2642" i="2"/>
  <c r="J2642" i="2"/>
  <c r="K2642" i="2"/>
  <c r="O2642" i="2"/>
  <c r="R2642" i="2"/>
  <c r="S2642" i="2" s="1"/>
  <c r="I2643" i="2"/>
  <c r="J2643" i="2"/>
  <c r="K2643" i="2"/>
  <c r="O2643" i="2"/>
  <c r="R2643" i="2"/>
  <c r="S2643" i="2" s="1"/>
  <c r="I2644" i="2"/>
  <c r="J2644" i="2"/>
  <c r="K2644" i="2"/>
  <c r="O2644" i="2"/>
  <c r="R2644" i="2"/>
  <c r="S2644" i="2" s="1"/>
  <c r="I2645" i="2"/>
  <c r="J2645" i="2"/>
  <c r="K2645" i="2"/>
  <c r="O2645" i="2"/>
  <c r="R2645" i="2"/>
  <c r="S2645" i="2" s="1"/>
  <c r="I2646" i="2"/>
  <c r="J2646" i="2"/>
  <c r="K2646" i="2"/>
  <c r="O2646" i="2"/>
  <c r="R2646" i="2"/>
  <c r="S2646" i="2" s="1"/>
  <c r="I2647" i="2"/>
  <c r="J2647" i="2"/>
  <c r="K2647" i="2"/>
  <c r="O2647" i="2"/>
  <c r="R2647" i="2"/>
  <c r="S2647" i="2" s="1"/>
  <c r="I2648" i="2"/>
  <c r="J2648" i="2"/>
  <c r="K2648" i="2"/>
  <c r="O2648" i="2"/>
  <c r="R2648" i="2"/>
  <c r="S2648" i="2" s="1"/>
  <c r="I2649" i="2"/>
  <c r="J2649" i="2"/>
  <c r="K2649" i="2"/>
  <c r="O2649" i="2"/>
  <c r="R2649" i="2"/>
  <c r="S2649" i="2" s="1"/>
  <c r="I2650" i="2"/>
  <c r="J2650" i="2"/>
  <c r="K2650" i="2"/>
  <c r="O2650" i="2"/>
  <c r="R2650" i="2"/>
  <c r="S2650" i="2" s="1"/>
  <c r="I2651" i="2"/>
  <c r="J2651" i="2"/>
  <c r="K2651" i="2"/>
  <c r="O2651" i="2"/>
  <c r="R2651" i="2"/>
  <c r="S2651" i="2" s="1"/>
  <c r="I2652" i="2"/>
  <c r="J2652" i="2"/>
  <c r="K2652" i="2"/>
  <c r="O2652" i="2"/>
  <c r="R2652" i="2"/>
  <c r="S2652" i="2" s="1"/>
  <c r="I2653" i="2"/>
  <c r="J2653" i="2"/>
  <c r="K2653" i="2"/>
  <c r="O2653" i="2"/>
  <c r="R2653" i="2"/>
  <c r="S2653" i="2" s="1"/>
  <c r="I2654" i="2"/>
  <c r="J2654" i="2"/>
  <c r="K2654" i="2"/>
  <c r="O2654" i="2"/>
  <c r="R2654" i="2"/>
  <c r="S2654" i="2" s="1"/>
  <c r="I2655" i="2"/>
  <c r="J2655" i="2"/>
  <c r="K2655" i="2"/>
  <c r="O2655" i="2"/>
  <c r="R2655" i="2"/>
  <c r="S2655" i="2" s="1"/>
  <c r="I2656" i="2"/>
  <c r="J2656" i="2"/>
  <c r="K2656" i="2"/>
  <c r="O2656" i="2"/>
  <c r="R2656" i="2"/>
  <c r="S2656" i="2" s="1"/>
  <c r="I2657" i="2"/>
  <c r="J2657" i="2"/>
  <c r="K2657" i="2"/>
  <c r="O2657" i="2"/>
  <c r="R2657" i="2"/>
  <c r="S2657" i="2" s="1"/>
  <c r="I2658" i="2"/>
  <c r="J2658" i="2"/>
  <c r="K2658" i="2"/>
  <c r="O2658" i="2"/>
  <c r="R2658" i="2"/>
  <c r="S2658" i="2" s="1"/>
  <c r="I2659" i="2"/>
  <c r="J2659" i="2"/>
  <c r="K2659" i="2"/>
  <c r="O2659" i="2"/>
  <c r="R2659" i="2"/>
  <c r="S2659" i="2" s="1"/>
  <c r="I2660" i="2"/>
  <c r="J2660" i="2"/>
  <c r="K2660" i="2"/>
  <c r="O2660" i="2"/>
  <c r="R2660" i="2"/>
  <c r="S2660" i="2" s="1"/>
  <c r="I2661" i="2"/>
  <c r="J2661" i="2"/>
  <c r="K2661" i="2"/>
  <c r="O2661" i="2"/>
  <c r="R2661" i="2"/>
  <c r="S2661" i="2" s="1"/>
  <c r="I2662" i="2"/>
  <c r="J2662" i="2"/>
  <c r="K2662" i="2"/>
  <c r="O2662" i="2"/>
  <c r="R2662" i="2"/>
  <c r="S2662" i="2" s="1"/>
  <c r="I2663" i="2"/>
  <c r="J2663" i="2"/>
  <c r="K2663" i="2"/>
  <c r="O2663" i="2"/>
  <c r="R2663" i="2"/>
  <c r="S2663" i="2" s="1"/>
  <c r="I2664" i="2"/>
  <c r="J2664" i="2"/>
  <c r="K2664" i="2"/>
  <c r="O2664" i="2"/>
  <c r="R2664" i="2"/>
  <c r="S2664" i="2" s="1"/>
  <c r="I2665" i="2"/>
  <c r="J2665" i="2"/>
  <c r="K2665" i="2"/>
  <c r="O2665" i="2"/>
  <c r="R2665" i="2"/>
  <c r="S2665" i="2" s="1"/>
  <c r="I2666" i="2"/>
  <c r="J2666" i="2"/>
  <c r="K2666" i="2"/>
  <c r="O2666" i="2"/>
  <c r="R2666" i="2"/>
  <c r="S2666" i="2" s="1"/>
  <c r="I2667" i="2"/>
  <c r="J2667" i="2"/>
  <c r="K2667" i="2"/>
  <c r="O2667" i="2"/>
  <c r="R2667" i="2"/>
  <c r="S2667" i="2" s="1"/>
  <c r="I2668" i="2"/>
  <c r="J2668" i="2"/>
  <c r="K2668" i="2"/>
  <c r="O2668" i="2"/>
  <c r="R2668" i="2"/>
  <c r="S2668" i="2" s="1"/>
  <c r="I2669" i="2"/>
  <c r="J2669" i="2"/>
  <c r="K2669" i="2"/>
  <c r="O2669" i="2"/>
  <c r="R2669" i="2"/>
  <c r="S2669" i="2" s="1"/>
  <c r="I2670" i="2"/>
  <c r="J2670" i="2"/>
  <c r="K2670" i="2"/>
  <c r="O2670" i="2"/>
  <c r="R2670" i="2"/>
  <c r="S2670" i="2" s="1"/>
  <c r="I2671" i="2"/>
  <c r="J2671" i="2"/>
  <c r="K2671" i="2"/>
  <c r="O2671" i="2"/>
  <c r="R2671" i="2"/>
  <c r="S2671" i="2" s="1"/>
  <c r="I2672" i="2"/>
  <c r="J2672" i="2"/>
  <c r="K2672" i="2"/>
  <c r="O2672" i="2"/>
  <c r="R2672" i="2"/>
  <c r="S2672" i="2" s="1"/>
  <c r="I2673" i="2"/>
  <c r="J2673" i="2"/>
  <c r="K2673" i="2"/>
  <c r="O2673" i="2"/>
  <c r="R2673" i="2"/>
  <c r="S2673" i="2" s="1"/>
  <c r="I2674" i="2"/>
  <c r="J2674" i="2"/>
  <c r="K2674" i="2"/>
  <c r="O2674" i="2"/>
  <c r="R2674" i="2"/>
  <c r="S2674" i="2" s="1"/>
  <c r="I2675" i="2"/>
  <c r="J2675" i="2"/>
  <c r="K2675" i="2"/>
  <c r="O2675" i="2"/>
  <c r="R2675" i="2"/>
  <c r="S2675" i="2" s="1"/>
  <c r="I2676" i="2"/>
  <c r="J2676" i="2"/>
  <c r="K2676" i="2"/>
  <c r="O2676" i="2"/>
  <c r="R2676" i="2"/>
  <c r="S2676" i="2" s="1"/>
  <c r="I2677" i="2"/>
  <c r="J2677" i="2"/>
  <c r="K2677" i="2"/>
  <c r="O2677" i="2"/>
  <c r="R2677" i="2"/>
  <c r="S2677" i="2" s="1"/>
  <c r="I2678" i="2"/>
  <c r="J2678" i="2"/>
  <c r="K2678" i="2"/>
  <c r="O2678" i="2"/>
  <c r="R2678" i="2"/>
  <c r="S2678" i="2" s="1"/>
  <c r="I2679" i="2"/>
  <c r="J2679" i="2"/>
  <c r="K2679" i="2"/>
  <c r="O2679" i="2"/>
  <c r="R2679" i="2"/>
  <c r="S2679" i="2" s="1"/>
  <c r="I2680" i="2"/>
  <c r="J2680" i="2"/>
  <c r="K2680" i="2"/>
  <c r="O2680" i="2"/>
  <c r="R2680" i="2"/>
  <c r="S2680" i="2" s="1"/>
  <c r="I2681" i="2"/>
  <c r="J2681" i="2"/>
  <c r="K2681" i="2"/>
  <c r="O2681" i="2"/>
  <c r="R2681" i="2"/>
  <c r="S2681" i="2" s="1"/>
  <c r="I2682" i="2"/>
  <c r="J2682" i="2"/>
  <c r="K2682" i="2"/>
  <c r="O2682" i="2"/>
  <c r="R2682" i="2"/>
  <c r="S2682" i="2" s="1"/>
  <c r="I2683" i="2"/>
  <c r="J2683" i="2"/>
  <c r="K2683" i="2"/>
  <c r="O2683" i="2"/>
  <c r="R2683" i="2"/>
  <c r="S2683" i="2" s="1"/>
  <c r="I2684" i="2"/>
  <c r="J2684" i="2"/>
  <c r="K2684" i="2"/>
  <c r="O2684" i="2"/>
  <c r="R2684" i="2"/>
  <c r="S2684" i="2" s="1"/>
  <c r="I2685" i="2"/>
  <c r="J2685" i="2"/>
  <c r="K2685" i="2"/>
  <c r="O2685" i="2"/>
  <c r="R2685" i="2"/>
  <c r="S2685" i="2" s="1"/>
  <c r="I2686" i="2"/>
  <c r="J2686" i="2"/>
  <c r="K2686" i="2"/>
  <c r="O2686" i="2"/>
  <c r="R2686" i="2"/>
  <c r="S2686" i="2" s="1"/>
  <c r="I2687" i="2"/>
  <c r="J2687" i="2"/>
  <c r="K2687" i="2"/>
  <c r="O2687" i="2"/>
  <c r="R2687" i="2"/>
  <c r="S2687" i="2" s="1"/>
  <c r="I2688" i="2"/>
  <c r="J2688" i="2"/>
  <c r="K2688" i="2"/>
  <c r="O2688" i="2"/>
  <c r="R2688" i="2"/>
  <c r="S2688" i="2" s="1"/>
  <c r="I2689" i="2"/>
  <c r="J2689" i="2"/>
  <c r="K2689" i="2"/>
  <c r="O2689" i="2"/>
  <c r="R2689" i="2"/>
  <c r="S2689" i="2" s="1"/>
  <c r="I2690" i="2"/>
  <c r="J2690" i="2"/>
  <c r="K2690" i="2"/>
  <c r="O2690" i="2"/>
  <c r="R2690" i="2"/>
  <c r="S2690" i="2" s="1"/>
  <c r="I2691" i="2"/>
  <c r="J2691" i="2"/>
  <c r="K2691" i="2"/>
  <c r="O2691" i="2"/>
  <c r="R2691" i="2"/>
  <c r="S2691" i="2" s="1"/>
  <c r="I2692" i="2"/>
  <c r="J2692" i="2"/>
  <c r="K2692" i="2"/>
  <c r="O2692" i="2"/>
  <c r="R2692" i="2"/>
  <c r="S2692" i="2" s="1"/>
  <c r="I2693" i="2"/>
  <c r="J2693" i="2"/>
  <c r="K2693" i="2"/>
  <c r="O2693" i="2"/>
  <c r="R2693" i="2"/>
  <c r="S2693" i="2" s="1"/>
  <c r="I2694" i="2"/>
  <c r="J2694" i="2"/>
  <c r="K2694" i="2"/>
  <c r="O2694" i="2"/>
  <c r="R2694" i="2"/>
  <c r="S2694" i="2" s="1"/>
  <c r="I2695" i="2"/>
  <c r="J2695" i="2"/>
  <c r="K2695" i="2"/>
  <c r="O2695" i="2"/>
  <c r="R2695" i="2"/>
  <c r="S2695" i="2" s="1"/>
  <c r="I2696" i="2"/>
  <c r="J2696" i="2"/>
  <c r="K2696" i="2"/>
  <c r="O2696" i="2"/>
  <c r="R2696" i="2"/>
  <c r="S2696" i="2" s="1"/>
  <c r="I2697" i="2"/>
  <c r="J2697" i="2"/>
  <c r="K2697" i="2"/>
  <c r="O2697" i="2"/>
  <c r="R2697" i="2"/>
  <c r="S2697" i="2" s="1"/>
  <c r="I2698" i="2"/>
  <c r="J2698" i="2"/>
  <c r="K2698" i="2"/>
  <c r="O2698" i="2"/>
  <c r="R2698" i="2"/>
  <c r="S2698" i="2" s="1"/>
  <c r="I2699" i="2"/>
  <c r="J2699" i="2"/>
  <c r="K2699" i="2"/>
  <c r="O2699" i="2"/>
  <c r="R2699" i="2"/>
  <c r="S2699" i="2" s="1"/>
  <c r="I2700" i="2"/>
  <c r="J2700" i="2"/>
  <c r="K2700" i="2"/>
  <c r="O2700" i="2"/>
  <c r="R2700" i="2"/>
  <c r="S2700" i="2" s="1"/>
  <c r="I2701" i="2"/>
  <c r="J2701" i="2"/>
  <c r="K2701" i="2"/>
  <c r="O2701" i="2"/>
  <c r="R2701" i="2"/>
  <c r="S2701" i="2" s="1"/>
  <c r="I2702" i="2"/>
  <c r="J2702" i="2"/>
  <c r="K2702" i="2"/>
  <c r="O2702" i="2"/>
  <c r="R2702" i="2"/>
  <c r="S2702" i="2" s="1"/>
  <c r="I2703" i="2"/>
  <c r="J2703" i="2"/>
  <c r="K2703" i="2"/>
  <c r="O2703" i="2"/>
  <c r="R2703" i="2"/>
  <c r="S2703" i="2" s="1"/>
  <c r="I2704" i="2"/>
  <c r="J2704" i="2"/>
  <c r="K2704" i="2"/>
  <c r="O2704" i="2"/>
  <c r="R2704" i="2"/>
  <c r="S2704" i="2" s="1"/>
  <c r="I2705" i="2"/>
  <c r="J2705" i="2"/>
  <c r="K2705" i="2"/>
  <c r="O2705" i="2"/>
  <c r="R2705" i="2"/>
  <c r="S2705" i="2" s="1"/>
  <c r="I2706" i="2"/>
  <c r="J2706" i="2"/>
  <c r="K2706" i="2"/>
  <c r="O2706" i="2"/>
  <c r="R2706" i="2"/>
  <c r="S2706" i="2" s="1"/>
  <c r="I2707" i="2"/>
  <c r="J2707" i="2"/>
  <c r="K2707" i="2"/>
  <c r="O2707" i="2"/>
  <c r="R2707" i="2"/>
  <c r="S2707" i="2" s="1"/>
  <c r="I2708" i="2"/>
  <c r="J2708" i="2"/>
  <c r="K2708" i="2"/>
  <c r="O2708" i="2"/>
  <c r="R2708" i="2"/>
  <c r="S2708" i="2" s="1"/>
  <c r="I2709" i="2"/>
  <c r="J2709" i="2"/>
  <c r="K2709" i="2"/>
  <c r="O2709" i="2"/>
  <c r="R2709" i="2"/>
  <c r="S2709" i="2" s="1"/>
  <c r="I2710" i="2"/>
  <c r="J2710" i="2"/>
  <c r="K2710" i="2"/>
  <c r="O2710" i="2"/>
  <c r="R2710" i="2"/>
  <c r="S2710" i="2" s="1"/>
  <c r="I2711" i="2"/>
  <c r="J2711" i="2"/>
  <c r="K2711" i="2"/>
  <c r="O2711" i="2"/>
  <c r="R2711" i="2"/>
  <c r="S2711" i="2" s="1"/>
  <c r="I2712" i="2"/>
  <c r="J2712" i="2"/>
  <c r="K2712" i="2"/>
  <c r="O2712" i="2"/>
  <c r="R2712" i="2"/>
  <c r="S2712" i="2" s="1"/>
  <c r="I2713" i="2"/>
  <c r="J2713" i="2"/>
  <c r="K2713" i="2"/>
  <c r="O2713" i="2"/>
  <c r="R2713" i="2"/>
  <c r="S2713" i="2" s="1"/>
  <c r="I2714" i="2"/>
  <c r="J2714" i="2"/>
  <c r="K2714" i="2"/>
  <c r="O2714" i="2"/>
  <c r="R2714" i="2"/>
  <c r="S2714" i="2" s="1"/>
  <c r="I2715" i="2"/>
  <c r="J2715" i="2"/>
  <c r="K2715" i="2"/>
  <c r="O2715" i="2"/>
  <c r="R2715" i="2"/>
  <c r="S2715" i="2" s="1"/>
  <c r="I2716" i="2"/>
  <c r="J2716" i="2"/>
  <c r="K2716" i="2"/>
  <c r="O2716" i="2"/>
  <c r="R2716" i="2"/>
  <c r="S2716" i="2" s="1"/>
  <c r="I2717" i="2"/>
  <c r="J2717" i="2"/>
  <c r="K2717" i="2"/>
  <c r="O2717" i="2"/>
  <c r="R2717" i="2"/>
  <c r="S2717" i="2" s="1"/>
  <c r="I2718" i="2"/>
  <c r="J2718" i="2"/>
  <c r="K2718" i="2"/>
  <c r="O2718" i="2"/>
  <c r="R2718" i="2"/>
  <c r="S2718" i="2" s="1"/>
  <c r="I2719" i="2"/>
  <c r="J2719" i="2"/>
  <c r="K2719" i="2"/>
  <c r="O2719" i="2"/>
  <c r="R2719" i="2"/>
  <c r="S2719" i="2" s="1"/>
  <c r="I2720" i="2"/>
  <c r="J2720" i="2"/>
  <c r="K2720" i="2"/>
  <c r="O2720" i="2"/>
  <c r="R2720" i="2"/>
  <c r="S2720" i="2" s="1"/>
  <c r="I2721" i="2"/>
  <c r="J2721" i="2"/>
  <c r="K2721" i="2"/>
  <c r="O2721" i="2"/>
  <c r="R2721" i="2"/>
  <c r="S2721" i="2" s="1"/>
  <c r="I2722" i="2"/>
  <c r="J2722" i="2"/>
  <c r="K2722" i="2"/>
  <c r="O2722" i="2"/>
  <c r="R2722" i="2"/>
  <c r="S2722" i="2" s="1"/>
  <c r="I2723" i="2"/>
  <c r="J2723" i="2"/>
  <c r="K2723" i="2"/>
  <c r="O2723" i="2"/>
  <c r="R2723" i="2"/>
  <c r="S2723" i="2" s="1"/>
  <c r="I2724" i="2"/>
  <c r="J2724" i="2"/>
  <c r="K2724" i="2"/>
  <c r="O2724" i="2"/>
  <c r="R2724" i="2"/>
  <c r="S2724" i="2" s="1"/>
  <c r="I2725" i="2"/>
  <c r="J2725" i="2"/>
  <c r="K2725" i="2"/>
  <c r="O2725" i="2"/>
  <c r="R2725" i="2"/>
  <c r="S2725" i="2" s="1"/>
  <c r="I2726" i="2"/>
  <c r="J2726" i="2"/>
  <c r="K2726" i="2"/>
  <c r="O2726" i="2"/>
  <c r="R2726" i="2"/>
  <c r="S2726" i="2" s="1"/>
  <c r="I2727" i="2"/>
  <c r="J2727" i="2"/>
  <c r="K2727" i="2"/>
  <c r="O2727" i="2"/>
  <c r="R2727" i="2"/>
  <c r="S2727" i="2" s="1"/>
  <c r="I2728" i="2"/>
  <c r="J2728" i="2"/>
  <c r="K2728" i="2"/>
  <c r="O2728" i="2"/>
  <c r="R2728" i="2"/>
  <c r="S2728" i="2" s="1"/>
  <c r="I2729" i="2"/>
  <c r="J2729" i="2"/>
  <c r="K2729" i="2"/>
  <c r="O2729" i="2"/>
  <c r="R2729" i="2"/>
  <c r="S2729" i="2" s="1"/>
  <c r="I2730" i="2"/>
  <c r="J2730" i="2"/>
  <c r="K2730" i="2"/>
  <c r="O2730" i="2"/>
  <c r="R2730" i="2"/>
  <c r="S2730" i="2" s="1"/>
  <c r="I2731" i="2"/>
  <c r="J2731" i="2"/>
  <c r="K2731" i="2"/>
  <c r="O2731" i="2"/>
  <c r="R2731" i="2"/>
  <c r="S2731" i="2" s="1"/>
  <c r="I2732" i="2"/>
  <c r="J2732" i="2"/>
  <c r="K2732" i="2"/>
  <c r="O2732" i="2"/>
  <c r="R2732" i="2"/>
  <c r="S2732" i="2" s="1"/>
  <c r="I2733" i="2"/>
  <c r="J2733" i="2"/>
  <c r="K2733" i="2"/>
  <c r="O2733" i="2"/>
  <c r="R2733" i="2"/>
  <c r="S2733" i="2" s="1"/>
  <c r="I2734" i="2"/>
  <c r="J2734" i="2"/>
  <c r="K2734" i="2"/>
  <c r="O2734" i="2"/>
  <c r="R2734" i="2"/>
  <c r="S2734" i="2" s="1"/>
  <c r="I2735" i="2"/>
  <c r="J2735" i="2"/>
  <c r="K2735" i="2"/>
  <c r="O2735" i="2"/>
  <c r="R2735" i="2"/>
  <c r="S2735" i="2" s="1"/>
  <c r="I2736" i="2"/>
  <c r="J2736" i="2"/>
  <c r="K2736" i="2"/>
  <c r="O2736" i="2"/>
  <c r="R2736" i="2"/>
  <c r="S2736" i="2" s="1"/>
  <c r="I2737" i="2"/>
  <c r="J2737" i="2"/>
  <c r="K2737" i="2"/>
  <c r="O2737" i="2"/>
  <c r="R2737" i="2"/>
  <c r="S2737" i="2" s="1"/>
  <c r="I2738" i="2"/>
  <c r="J2738" i="2"/>
  <c r="K2738" i="2"/>
  <c r="O2738" i="2"/>
  <c r="R2738" i="2"/>
  <c r="S2738" i="2" s="1"/>
  <c r="I2739" i="2"/>
  <c r="J2739" i="2"/>
  <c r="K2739" i="2"/>
  <c r="O2739" i="2"/>
  <c r="R2739" i="2"/>
  <c r="S2739" i="2" s="1"/>
  <c r="I2740" i="2"/>
  <c r="J2740" i="2"/>
  <c r="K2740" i="2"/>
  <c r="O2740" i="2"/>
  <c r="R2740" i="2"/>
  <c r="S2740" i="2" s="1"/>
  <c r="I2741" i="2"/>
  <c r="J2741" i="2"/>
  <c r="K2741" i="2"/>
  <c r="O2741" i="2"/>
  <c r="R2741" i="2"/>
  <c r="S2741" i="2" s="1"/>
  <c r="I2742" i="2"/>
  <c r="J2742" i="2"/>
  <c r="K2742" i="2"/>
  <c r="O2742" i="2"/>
  <c r="R2742" i="2"/>
  <c r="S2742" i="2" s="1"/>
  <c r="I2743" i="2"/>
  <c r="J2743" i="2"/>
  <c r="K2743" i="2"/>
  <c r="O2743" i="2"/>
  <c r="R2743" i="2"/>
  <c r="S2743" i="2" s="1"/>
  <c r="I2744" i="2"/>
  <c r="J2744" i="2"/>
  <c r="K2744" i="2"/>
  <c r="O2744" i="2"/>
  <c r="R2744" i="2"/>
  <c r="S2744" i="2" s="1"/>
  <c r="I2745" i="2"/>
  <c r="J2745" i="2"/>
  <c r="K2745" i="2"/>
  <c r="O2745" i="2"/>
  <c r="R2745" i="2"/>
  <c r="S2745" i="2" s="1"/>
  <c r="I2746" i="2"/>
  <c r="J2746" i="2"/>
  <c r="K2746" i="2"/>
  <c r="O2746" i="2"/>
  <c r="R2746" i="2"/>
  <c r="S2746" i="2" s="1"/>
  <c r="I2747" i="2"/>
  <c r="J2747" i="2"/>
  <c r="K2747" i="2"/>
  <c r="O2747" i="2"/>
  <c r="R2747" i="2"/>
  <c r="S2747" i="2" s="1"/>
  <c r="I2748" i="2"/>
  <c r="J2748" i="2"/>
  <c r="K2748" i="2"/>
  <c r="O2748" i="2"/>
  <c r="R2748" i="2"/>
  <c r="S2748" i="2" s="1"/>
  <c r="I2749" i="2"/>
  <c r="J2749" i="2"/>
  <c r="K2749" i="2"/>
  <c r="O2749" i="2"/>
  <c r="R2749" i="2"/>
  <c r="S2749" i="2" s="1"/>
  <c r="I2750" i="2"/>
  <c r="J2750" i="2"/>
  <c r="K2750" i="2"/>
  <c r="O2750" i="2"/>
  <c r="R2750" i="2"/>
  <c r="S2750" i="2" s="1"/>
  <c r="I2751" i="2"/>
  <c r="J2751" i="2"/>
  <c r="K2751" i="2"/>
  <c r="O2751" i="2"/>
  <c r="R2751" i="2"/>
  <c r="S2751" i="2" s="1"/>
  <c r="I2752" i="2"/>
  <c r="J2752" i="2"/>
  <c r="K2752" i="2"/>
  <c r="O2752" i="2"/>
  <c r="R2752" i="2"/>
  <c r="S2752" i="2" s="1"/>
  <c r="I2753" i="2"/>
  <c r="J2753" i="2"/>
  <c r="K2753" i="2"/>
  <c r="O2753" i="2"/>
  <c r="R2753" i="2"/>
  <c r="S2753" i="2" s="1"/>
  <c r="I2754" i="2"/>
  <c r="J2754" i="2"/>
  <c r="K2754" i="2"/>
  <c r="O2754" i="2"/>
  <c r="R2754" i="2"/>
  <c r="S2754" i="2" s="1"/>
  <c r="I2755" i="2"/>
  <c r="J2755" i="2"/>
  <c r="K2755" i="2"/>
  <c r="O2755" i="2"/>
  <c r="R2755" i="2"/>
  <c r="S2755" i="2" s="1"/>
  <c r="I2756" i="2"/>
  <c r="J2756" i="2"/>
  <c r="K2756" i="2"/>
  <c r="O2756" i="2"/>
  <c r="R2756" i="2"/>
  <c r="S2756" i="2" s="1"/>
  <c r="I2757" i="2"/>
  <c r="J2757" i="2"/>
  <c r="K2757" i="2"/>
  <c r="O2757" i="2"/>
  <c r="R2757" i="2"/>
  <c r="S2757" i="2" s="1"/>
  <c r="I2758" i="2"/>
  <c r="J2758" i="2"/>
  <c r="K2758" i="2"/>
  <c r="O2758" i="2"/>
  <c r="R2758" i="2"/>
  <c r="S2758" i="2" s="1"/>
  <c r="I2759" i="2"/>
  <c r="J2759" i="2"/>
  <c r="K2759" i="2"/>
  <c r="O2759" i="2"/>
  <c r="R2759" i="2"/>
  <c r="S2759" i="2" s="1"/>
  <c r="I2760" i="2"/>
  <c r="J2760" i="2"/>
  <c r="K2760" i="2"/>
  <c r="O2760" i="2"/>
  <c r="R2760" i="2"/>
  <c r="S2760" i="2" s="1"/>
  <c r="I2761" i="2"/>
  <c r="J2761" i="2"/>
  <c r="K2761" i="2"/>
  <c r="O2761" i="2"/>
  <c r="R2761" i="2"/>
  <c r="S2761" i="2" s="1"/>
  <c r="I2762" i="2"/>
  <c r="J2762" i="2"/>
  <c r="K2762" i="2"/>
  <c r="O2762" i="2"/>
  <c r="R2762" i="2"/>
  <c r="S2762" i="2" s="1"/>
  <c r="I2763" i="2"/>
  <c r="J2763" i="2"/>
  <c r="K2763" i="2"/>
  <c r="O2763" i="2"/>
  <c r="R2763" i="2"/>
  <c r="S2763" i="2" s="1"/>
  <c r="I2764" i="2"/>
  <c r="J2764" i="2"/>
  <c r="K2764" i="2"/>
  <c r="O2764" i="2"/>
  <c r="R2764" i="2"/>
  <c r="S2764" i="2" s="1"/>
  <c r="I2765" i="2"/>
  <c r="J2765" i="2"/>
  <c r="K2765" i="2"/>
  <c r="O2765" i="2"/>
  <c r="R2765" i="2"/>
  <c r="S2765" i="2" s="1"/>
  <c r="I2766" i="2"/>
  <c r="J2766" i="2"/>
  <c r="K2766" i="2"/>
  <c r="O2766" i="2"/>
  <c r="R2766" i="2"/>
  <c r="S2766" i="2" s="1"/>
  <c r="I2767" i="2"/>
  <c r="J2767" i="2"/>
  <c r="K2767" i="2"/>
  <c r="O2767" i="2"/>
  <c r="R2767" i="2"/>
  <c r="S2767" i="2" s="1"/>
  <c r="I2768" i="2"/>
  <c r="J2768" i="2"/>
  <c r="K2768" i="2"/>
  <c r="O2768" i="2"/>
  <c r="R2768" i="2"/>
  <c r="S2768" i="2" s="1"/>
  <c r="I2769" i="2"/>
  <c r="J2769" i="2"/>
  <c r="K2769" i="2"/>
  <c r="O2769" i="2"/>
  <c r="R2769" i="2"/>
  <c r="S2769" i="2" s="1"/>
  <c r="I2770" i="2"/>
  <c r="J2770" i="2"/>
  <c r="K2770" i="2"/>
  <c r="O2770" i="2"/>
  <c r="R2770" i="2"/>
  <c r="S2770" i="2" s="1"/>
  <c r="I2771" i="2"/>
  <c r="J2771" i="2"/>
  <c r="K2771" i="2"/>
  <c r="O2771" i="2"/>
  <c r="R2771" i="2"/>
  <c r="S2771" i="2" s="1"/>
  <c r="I2772" i="2"/>
  <c r="J2772" i="2"/>
  <c r="K2772" i="2"/>
  <c r="O2772" i="2"/>
  <c r="R2772" i="2"/>
  <c r="S2772" i="2" s="1"/>
  <c r="I2773" i="2"/>
  <c r="J2773" i="2"/>
  <c r="K2773" i="2"/>
  <c r="O2773" i="2"/>
  <c r="R2773" i="2"/>
  <c r="S2773" i="2" s="1"/>
  <c r="I2774" i="2"/>
  <c r="J2774" i="2"/>
  <c r="K2774" i="2"/>
  <c r="O2774" i="2"/>
  <c r="R2774" i="2"/>
  <c r="S2774" i="2" s="1"/>
  <c r="I2775" i="2"/>
  <c r="J2775" i="2"/>
  <c r="K2775" i="2"/>
  <c r="O2775" i="2"/>
  <c r="R2775" i="2"/>
  <c r="S2775" i="2" s="1"/>
  <c r="I2776" i="2"/>
  <c r="J2776" i="2"/>
  <c r="K2776" i="2"/>
  <c r="O2776" i="2"/>
  <c r="R2776" i="2"/>
  <c r="S2776" i="2" s="1"/>
  <c r="I2777" i="2"/>
  <c r="J2777" i="2"/>
  <c r="K2777" i="2"/>
  <c r="O2777" i="2"/>
  <c r="R2777" i="2"/>
  <c r="S2777" i="2" s="1"/>
  <c r="I2778" i="2"/>
  <c r="J2778" i="2"/>
  <c r="K2778" i="2"/>
  <c r="O2778" i="2"/>
  <c r="R2778" i="2"/>
  <c r="S2778" i="2" s="1"/>
  <c r="I2779" i="2"/>
  <c r="J2779" i="2"/>
  <c r="K2779" i="2"/>
  <c r="O2779" i="2"/>
  <c r="R2779" i="2"/>
  <c r="S2779" i="2" s="1"/>
  <c r="I2780" i="2"/>
  <c r="J2780" i="2"/>
  <c r="K2780" i="2"/>
  <c r="O2780" i="2"/>
  <c r="R2780" i="2"/>
  <c r="S2780" i="2" s="1"/>
  <c r="I2781" i="2"/>
  <c r="J2781" i="2"/>
  <c r="K2781" i="2"/>
  <c r="O2781" i="2"/>
  <c r="R2781" i="2"/>
  <c r="S2781" i="2" s="1"/>
  <c r="I2782" i="2"/>
  <c r="J2782" i="2"/>
  <c r="K2782" i="2"/>
  <c r="O2782" i="2"/>
  <c r="R2782" i="2"/>
  <c r="S2782" i="2" s="1"/>
  <c r="I2783" i="2"/>
  <c r="J2783" i="2"/>
  <c r="K2783" i="2"/>
  <c r="O2783" i="2"/>
  <c r="R2783" i="2"/>
  <c r="S2783" i="2" s="1"/>
  <c r="I2784" i="2"/>
  <c r="J2784" i="2"/>
  <c r="K2784" i="2"/>
  <c r="O2784" i="2"/>
  <c r="R2784" i="2"/>
  <c r="S2784" i="2" s="1"/>
  <c r="I2785" i="2"/>
  <c r="J2785" i="2"/>
  <c r="K2785" i="2"/>
  <c r="O2785" i="2"/>
  <c r="R2785" i="2"/>
  <c r="S2785" i="2" s="1"/>
  <c r="I2786" i="2"/>
  <c r="J2786" i="2"/>
  <c r="K2786" i="2"/>
  <c r="O2786" i="2"/>
  <c r="R2786" i="2"/>
  <c r="S2786" i="2" s="1"/>
  <c r="I2787" i="2"/>
  <c r="J2787" i="2"/>
  <c r="K2787" i="2"/>
  <c r="O2787" i="2"/>
  <c r="R2787" i="2"/>
  <c r="S2787" i="2" s="1"/>
  <c r="I2788" i="2"/>
  <c r="J2788" i="2"/>
  <c r="K2788" i="2"/>
  <c r="O2788" i="2"/>
  <c r="R2788" i="2"/>
  <c r="S2788" i="2" s="1"/>
  <c r="I2789" i="2"/>
  <c r="J2789" i="2"/>
  <c r="K2789" i="2"/>
  <c r="O2789" i="2"/>
  <c r="R2789" i="2"/>
  <c r="S2789" i="2" s="1"/>
  <c r="I2790" i="2"/>
  <c r="J2790" i="2"/>
  <c r="K2790" i="2"/>
  <c r="O2790" i="2"/>
  <c r="R2790" i="2"/>
  <c r="S2790" i="2" s="1"/>
  <c r="I2791" i="2"/>
  <c r="J2791" i="2"/>
  <c r="K2791" i="2"/>
  <c r="O2791" i="2"/>
  <c r="R2791" i="2"/>
  <c r="S2791" i="2" s="1"/>
  <c r="I2792" i="2"/>
  <c r="J2792" i="2"/>
  <c r="K2792" i="2"/>
  <c r="O2792" i="2"/>
  <c r="R2792" i="2"/>
  <c r="S2792" i="2" s="1"/>
  <c r="I2793" i="2"/>
  <c r="J2793" i="2"/>
  <c r="K2793" i="2"/>
  <c r="O2793" i="2"/>
  <c r="R2793" i="2"/>
  <c r="S2793" i="2" s="1"/>
  <c r="I2794" i="2"/>
  <c r="J2794" i="2"/>
  <c r="K2794" i="2"/>
  <c r="O2794" i="2"/>
  <c r="R2794" i="2"/>
  <c r="S2794" i="2" s="1"/>
  <c r="I2795" i="2"/>
  <c r="J2795" i="2"/>
  <c r="K2795" i="2"/>
  <c r="O2795" i="2"/>
  <c r="R2795" i="2"/>
  <c r="S2795" i="2" s="1"/>
  <c r="I2796" i="2"/>
  <c r="J2796" i="2"/>
  <c r="K2796" i="2"/>
  <c r="O2796" i="2"/>
  <c r="R2796" i="2"/>
  <c r="S2796" i="2" s="1"/>
  <c r="I2797" i="2"/>
  <c r="J2797" i="2"/>
  <c r="K2797" i="2"/>
  <c r="O2797" i="2"/>
  <c r="R2797" i="2"/>
  <c r="S2797" i="2" s="1"/>
  <c r="I2798" i="2"/>
  <c r="J2798" i="2"/>
  <c r="K2798" i="2"/>
  <c r="O2798" i="2"/>
  <c r="R2798" i="2"/>
  <c r="S2798" i="2" s="1"/>
  <c r="I2799" i="2"/>
  <c r="J2799" i="2"/>
  <c r="K2799" i="2"/>
  <c r="O2799" i="2"/>
  <c r="R2799" i="2"/>
  <c r="S2799" i="2" s="1"/>
  <c r="I2800" i="2"/>
  <c r="J2800" i="2"/>
  <c r="K2800" i="2"/>
  <c r="O2800" i="2"/>
  <c r="R2800" i="2"/>
  <c r="S2800" i="2" s="1"/>
  <c r="I2801" i="2"/>
  <c r="J2801" i="2"/>
  <c r="K2801" i="2"/>
  <c r="O2801" i="2"/>
  <c r="R2801" i="2"/>
  <c r="S2801" i="2" s="1"/>
  <c r="I2802" i="2"/>
  <c r="J2802" i="2"/>
  <c r="K2802" i="2"/>
  <c r="O2802" i="2"/>
  <c r="R2802" i="2"/>
  <c r="S2802" i="2" s="1"/>
  <c r="I2803" i="2"/>
  <c r="J2803" i="2"/>
  <c r="K2803" i="2"/>
  <c r="O2803" i="2"/>
  <c r="R2803" i="2"/>
  <c r="S2803" i="2" s="1"/>
  <c r="I2804" i="2"/>
  <c r="J2804" i="2"/>
  <c r="K2804" i="2"/>
  <c r="O2804" i="2"/>
  <c r="R2804" i="2"/>
  <c r="S2804" i="2" s="1"/>
  <c r="I2805" i="2"/>
  <c r="J2805" i="2"/>
  <c r="K2805" i="2"/>
  <c r="O2805" i="2"/>
  <c r="R2805" i="2"/>
  <c r="S2805" i="2" s="1"/>
  <c r="I2806" i="2"/>
  <c r="J2806" i="2"/>
  <c r="K2806" i="2"/>
  <c r="O2806" i="2"/>
  <c r="R2806" i="2"/>
  <c r="S2806" i="2" s="1"/>
  <c r="I2807" i="2"/>
  <c r="J2807" i="2"/>
  <c r="K2807" i="2"/>
  <c r="O2807" i="2"/>
  <c r="R2807" i="2"/>
  <c r="S2807" i="2" s="1"/>
  <c r="I2808" i="2"/>
  <c r="J2808" i="2"/>
  <c r="K2808" i="2"/>
  <c r="O2808" i="2"/>
  <c r="R2808" i="2"/>
  <c r="S2808" i="2" s="1"/>
  <c r="I2809" i="2"/>
  <c r="J2809" i="2"/>
  <c r="K2809" i="2"/>
  <c r="O2809" i="2"/>
  <c r="R2809" i="2"/>
  <c r="S2809" i="2" s="1"/>
  <c r="I2810" i="2"/>
  <c r="J2810" i="2"/>
  <c r="K2810" i="2"/>
  <c r="O2810" i="2"/>
  <c r="R2810" i="2"/>
  <c r="S2810" i="2" s="1"/>
  <c r="I2811" i="2"/>
  <c r="J2811" i="2"/>
  <c r="K2811" i="2"/>
  <c r="O2811" i="2"/>
  <c r="R2811" i="2"/>
  <c r="S2811" i="2" s="1"/>
  <c r="I2812" i="2"/>
  <c r="J2812" i="2"/>
  <c r="K2812" i="2"/>
  <c r="O2812" i="2"/>
  <c r="R2812" i="2"/>
  <c r="S2812" i="2" s="1"/>
  <c r="I2813" i="2"/>
  <c r="J2813" i="2"/>
  <c r="K2813" i="2"/>
  <c r="O2813" i="2"/>
  <c r="R2813" i="2"/>
  <c r="S2813" i="2" s="1"/>
  <c r="I2814" i="2"/>
  <c r="J2814" i="2"/>
  <c r="K2814" i="2"/>
  <c r="O2814" i="2"/>
  <c r="R2814" i="2"/>
  <c r="S2814" i="2" s="1"/>
  <c r="I2815" i="2"/>
  <c r="J2815" i="2"/>
  <c r="K2815" i="2"/>
  <c r="O2815" i="2"/>
  <c r="R2815" i="2"/>
  <c r="S2815" i="2" s="1"/>
  <c r="I2816" i="2"/>
  <c r="J2816" i="2"/>
  <c r="K2816" i="2"/>
  <c r="O2816" i="2"/>
  <c r="R2816" i="2"/>
  <c r="S2816" i="2" s="1"/>
  <c r="I2817" i="2"/>
  <c r="J2817" i="2"/>
  <c r="K2817" i="2"/>
  <c r="O2817" i="2"/>
  <c r="R2817" i="2"/>
  <c r="S2817" i="2" s="1"/>
  <c r="I2818" i="2"/>
  <c r="J2818" i="2"/>
  <c r="K2818" i="2"/>
  <c r="O2818" i="2"/>
  <c r="R2818" i="2"/>
  <c r="S2818" i="2" s="1"/>
  <c r="I2819" i="2"/>
  <c r="J2819" i="2"/>
  <c r="K2819" i="2"/>
  <c r="O2819" i="2"/>
  <c r="R2819" i="2"/>
  <c r="S2819" i="2" s="1"/>
  <c r="I2820" i="2"/>
  <c r="J2820" i="2"/>
  <c r="K2820" i="2"/>
  <c r="O2820" i="2"/>
  <c r="R2820" i="2"/>
  <c r="S2820" i="2" s="1"/>
  <c r="I2821" i="2"/>
  <c r="J2821" i="2"/>
  <c r="K2821" i="2"/>
  <c r="O2821" i="2"/>
  <c r="R2821" i="2"/>
  <c r="S2821" i="2" s="1"/>
  <c r="I2822" i="2"/>
  <c r="J2822" i="2"/>
  <c r="K2822" i="2"/>
  <c r="O2822" i="2"/>
  <c r="R2822" i="2"/>
  <c r="S2822" i="2" s="1"/>
  <c r="I2823" i="2"/>
  <c r="J2823" i="2"/>
  <c r="K2823" i="2"/>
  <c r="O2823" i="2"/>
  <c r="R2823" i="2"/>
  <c r="S2823" i="2" s="1"/>
  <c r="I2824" i="2"/>
  <c r="J2824" i="2"/>
  <c r="K2824" i="2"/>
  <c r="O2824" i="2"/>
  <c r="R2824" i="2"/>
  <c r="S2824" i="2" s="1"/>
  <c r="I2825" i="2"/>
  <c r="J2825" i="2"/>
  <c r="K2825" i="2"/>
  <c r="O2825" i="2"/>
  <c r="R2825" i="2"/>
  <c r="S2825" i="2" s="1"/>
  <c r="I2826" i="2"/>
  <c r="J2826" i="2"/>
  <c r="K2826" i="2"/>
  <c r="O2826" i="2"/>
  <c r="R2826" i="2"/>
  <c r="S2826" i="2" s="1"/>
  <c r="I2827" i="2"/>
  <c r="J2827" i="2"/>
  <c r="K2827" i="2"/>
  <c r="O2827" i="2"/>
  <c r="R2827" i="2"/>
  <c r="S2827" i="2" s="1"/>
  <c r="I2828" i="2"/>
  <c r="J2828" i="2"/>
  <c r="K2828" i="2"/>
  <c r="O2828" i="2"/>
  <c r="R2828" i="2"/>
  <c r="S2828" i="2" s="1"/>
  <c r="I2829" i="2"/>
  <c r="J2829" i="2"/>
  <c r="K2829" i="2"/>
  <c r="O2829" i="2"/>
  <c r="R2829" i="2"/>
  <c r="S2829" i="2" s="1"/>
  <c r="I2830" i="2"/>
  <c r="J2830" i="2"/>
  <c r="K2830" i="2"/>
  <c r="O2830" i="2"/>
  <c r="R2830" i="2"/>
  <c r="S2830" i="2" s="1"/>
  <c r="I2831" i="2"/>
  <c r="J2831" i="2"/>
  <c r="K2831" i="2"/>
  <c r="O2831" i="2"/>
  <c r="R2831" i="2"/>
  <c r="S2831" i="2" s="1"/>
  <c r="I2832" i="2"/>
  <c r="J2832" i="2"/>
  <c r="K2832" i="2"/>
  <c r="O2832" i="2"/>
  <c r="R2832" i="2"/>
  <c r="S2832" i="2" s="1"/>
  <c r="I2833" i="2"/>
  <c r="J2833" i="2"/>
  <c r="K2833" i="2"/>
  <c r="O2833" i="2"/>
  <c r="R2833" i="2"/>
  <c r="S2833" i="2" s="1"/>
  <c r="I2834" i="2"/>
  <c r="J2834" i="2"/>
  <c r="K2834" i="2"/>
  <c r="O2834" i="2"/>
  <c r="R2834" i="2"/>
  <c r="S2834" i="2" s="1"/>
  <c r="I2835" i="2"/>
  <c r="J2835" i="2"/>
  <c r="K2835" i="2"/>
  <c r="O2835" i="2"/>
  <c r="R2835" i="2"/>
  <c r="S2835" i="2" s="1"/>
  <c r="I2836" i="2"/>
  <c r="J2836" i="2"/>
  <c r="K2836" i="2"/>
  <c r="O2836" i="2"/>
  <c r="R2836" i="2"/>
  <c r="S2836" i="2" s="1"/>
  <c r="I2837" i="2"/>
  <c r="J2837" i="2"/>
  <c r="K2837" i="2"/>
  <c r="O2837" i="2"/>
  <c r="R2837" i="2"/>
  <c r="S2837" i="2" s="1"/>
  <c r="I2838" i="2"/>
  <c r="J2838" i="2"/>
  <c r="K2838" i="2"/>
  <c r="O2838" i="2"/>
  <c r="R2838" i="2"/>
  <c r="S2838" i="2" s="1"/>
  <c r="I2839" i="2"/>
  <c r="J2839" i="2"/>
  <c r="K2839" i="2"/>
  <c r="O2839" i="2"/>
  <c r="R2839" i="2"/>
  <c r="S2839" i="2" s="1"/>
  <c r="I2840" i="2"/>
  <c r="J2840" i="2"/>
  <c r="K2840" i="2"/>
  <c r="O2840" i="2"/>
  <c r="R2840" i="2"/>
  <c r="S2840" i="2" s="1"/>
  <c r="I2841" i="2"/>
  <c r="J2841" i="2"/>
  <c r="K2841" i="2"/>
  <c r="O2841" i="2"/>
  <c r="R2841" i="2"/>
  <c r="S2841" i="2" s="1"/>
  <c r="I2842" i="2"/>
  <c r="J2842" i="2"/>
  <c r="K2842" i="2"/>
  <c r="O2842" i="2"/>
  <c r="R2842" i="2"/>
  <c r="S2842" i="2" s="1"/>
  <c r="I2843" i="2"/>
  <c r="J2843" i="2"/>
  <c r="K2843" i="2"/>
  <c r="O2843" i="2"/>
  <c r="R2843" i="2"/>
  <c r="S2843" i="2" s="1"/>
  <c r="I2844" i="2"/>
  <c r="J2844" i="2"/>
  <c r="K2844" i="2"/>
  <c r="O2844" i="2"/>
  <c r="R2844" i="2"/>
  <c r="S2844" i="2" s="1"/>
  <c r="I2845" i="2"/>
  <c r="J2845" i="2"/>
  <c r="K2845" i="2"/>
  <c r="O2845" i="2"/>
  <c r="R2845" i="2"/>
  <c r="S2845" i="2" s="1"/>
  <c r="I2846" i="2"/>
  <c r="J2846" i="2"/>
  <c r="K2846" i="2"/>
  <c r="O2846" i="2"/>
  <c r="R2846" i="2"/>
  <c r="S2846" i="2" s="1"/>
  <c r="I2847" i="2"/>
  <c r="J2847" i="2"/>
  <c r="K2847" i="2"/>
  <c r="O2847" i="2"/>
  <c r="R2847" i="2"/>
  <c r="S2847" i="2" s="1"/>
  <c r="I2848" i="2"/>
  <c r="J2848" i="2"/>
  <c r="K2848" i="2"/>
  <c r="O2848" i="2"/>
  <c r="R2848" i="2"/>
  <c r="S2848" i="2" s="1"/>
  <c r="I2849" i="2"/>
  <c r="J2849" i="2"/>
  <c r="K2849" i="2"/>
  <c r="O2849" i="2"/>
  <c r="R2849" i="2"/>
  <c r="S2849" i="2" s="1"/>
  <c r="I2850" i="2"/>
  <c r="J2850" i="2"/>
  <c r="K2850" i="2"/>
  <c r="O2850" i="2"/>
  <c r="R2850" i="2"/>
  <c r="S2850" i="2" s="1"/>
  <c r="I2851" i="2"/>
  <c r="J2851" i="2"/>
  <c r="K2851" i="2"/>
  <c r="O2851" i="2"/>
  <c r="R2851" i="2"/>
  <c r="S2851" i="2" s="1"/>
  <c r="I2852" i="2"/>
  <c r="J2852" i="2"/>
  <c r="K2852" i="2"/>
  <c r="O2852" i="2"/>
  <c r="R2852" i="2"/>
  <c r="S2852" i="2" s="1"/>
  <c r="I2853" i="2"/>
  <c r="J2853" i="2"/>
  <c r="K2853" i="2"/>
  <c r="O2853" i="2"/>
  <c r="R2853" i="2"/>
  <c r="S2853" i="2" s="1"/>
  <c r="I2854" i="2"/>
  <c r="J2854" i="2"/>
  <c r="K2854" i="2"/>
  <c r="O2854" i="2"/>
  <c r="R2854" i="2"/>
  <c r="S2854" i="2" s="1"/>
  <c r="I2855" i="2"/>
  <c r="J2855" i="2"/>
  <c r="K2855" i="2"/>
  <c r="O2855" i="2"/>
  <c r="R2855" i="2"/>
  <c r="S2855" i="2" s="1"/>
  <c r="I2856" i="2"/>
  <c r="J2856" i="2"/>
  <c r="K2856" i="2"/>
  <c r="O2856" i="2"/>
  <c r="R2856" i="2"/>
  <c r="S2856" i="2" s="1"/>
  <c r="I2857" i="2"/>
  <c r="J2857" i="2"/>
  <c r="K2857" i="2"/>
  <c r="O2857" i="2"/>
  <c r="R2857" i="2"/>
  <c r="S2857" i="2" s="1"/>
  <c r="I2858" i="2"/>
  <c r="J2858" i="2"/>
  <c r="K2858" i="2"/>
  <c r="O2858" i="2"/>
  <c r="R2858" i="2"/>
  <c r="S2858" i="2" s="1"/>
  <c r="I2859" i="2"/>
  <c r="J2859" i="2"/>
  <c r="K2859" i="2"/>
  <c r="O2859" i="2"/>
  <c r="R2859" i="2"/>
  <c r="S2859" i="2" s="1"/>
  <c r="I2860" i="2"/>
  <c r="J2860" i="2"/>
  <c r="K2860" i="2"/>
  <c r="O2860" i="2"/>
  <c r="R2860" i="2"/>
  <c r="S2860" i="2" s="1"/>
  <c r="I2861" i="2"/>
  <c r="J2861" i="2"/>
  <c r="K2861" i="2"/>
  <c r="O2861" i="2"/>
  <c r="R2861" i="2"/>
  <c r="S2861" i="2" s="1"/>
  <c r="I2862" i="2"/>
  <c r="J2862" i="2"/>
  <c r="K2862" i="2"/>
  <c r="O2862" i="2"/>
  <c r="R2862" i="2"/>
  <c r="S2862" i="2" s="1"/>
  <c r="I2863" i="2"/>
  <c r="J2863" i="2"/>
  <c r="K2863" i="2"/>
  <c r="O2863" i="2"/>
  <c r="R2863" i="2"/>
  <c r="S2863" i="2" s="1"/>
  <c r="I2864" i="2"/>
  <c r="J2864" i="2"/>
  <c r="K2864" i="2"/>
  <c r="O2864" i="2"/>
  <c r="R2864" i="2"/>
  <c r="S2864" i="2" s="1"/>
  <c r="I2865" i="2"/>
  <c r="J2865" i="2"/>
  <c r="K2865" i="2"/>
  <c r="O2865" i="2"/>
  <c r="R2865" i="2"/>
  <c r="S2865" i="2" s="1"/>
  <c r="I2866" i="2"/>
  <c r="J2866" i="2"/>
  <c r="K2866" i="2"/>
  <c r="O2866" i="2"/>
  <c r="R2866" i="2"/>
  <c r="S2866" i="2" s="1"/>
  <c r="I2867" i="2"/>
  <c r="J2867" i="2"/>
  <c r="K2867" i="2"/>
  <c r="O2867" i="2"/>
  <c r="R2867" i="2"/>
  <c r="S2867" i="2" s="1"/>
  <c r="I2868" i="2"/>
  <c r="J2868" i="2"/>
  <c r="K2868" i="2"/>
  <c r="O2868" i="2"/>
  <c r="R2868" i="2"/>
  <c r="S2868" i="2" s="1"/>
  <c r="I2869" i="2"/>
  <c r="J2869" i="2"/>
  <c r="K2869" i="2"/>
  <c r="O2869" i="2"/>
  <c r="R2869" i="2"/>
  <c r="S2869" i="2" s="1"/>
  <c r="I2870" i="2"/>
  <c r="J2870" i="2"/>
  <c r="K2870" i="2"/>
  <c r="O2870" i="2"/>
  <c r="R2870" i="2"/>
  <c r="S2870" i="2" s="1"/>
  <c r="I2871" i="2"/>
  <c r="J2871" i="2"/>
  <c r="K2871" i="2"/>
  <c r="O2871" i="2"/>
  <c r="R2871" i="2"/>
  <c r="S2871" i="2" s="1"/>
  <c r="I2872" i="2"/>
  <c r="J2872" i="2"/>
  <c r="K2872" i="2"/>
  <c r="O2872" i="2"/>
  <c r="R2872" i="2"/>
  <c r="S2872" i="2" s="1"/>
  <c r="I2873" i="2"/>
  <c r="J2873" i="2"/>
  <c r="K2873" i="2"/>
  <c r="O2873" i="2"/>
  <c r="R2873" i="2"/>
  <c r="S2873" i="2" s="1"/>
  <c r="I2874" i="2"/>
  <c r="J2874" i="2"/>
  <c r="K2874" i="2"/>
  <c r="O2874" i="2"/>
  <c r="R2874" i="2"/>
  <c r="S2874" i="2" s="1"/>
  <c r="I2875" i="2"/>
  <c r="J2875" i="2"/>
  <c r="K2875" i="2"/>
  <c r="O2875" i="2"/>
  <c r="R2875" i="2"/>
  <c r="S2875" i="2" s="1"/>
  <c r="I2876" i="2"/>
  <c r="J2876" i="2"/>
  <c r="K2876" i="2"/>
  <c r="O2876" i="2"/>
  <c r="R2876" i="2"/>
  <c r="S2876" i="2" s="1"/>
  <c r="I2877" i="2"/>
  <c r="J2877" i="2"/>
  <c r="K2877" i="2"/>
  <c r="O2877" i="2"/>
  <c r="R2877" i="2"/>
  <c r="S2877" i="2" s="1"/>
  <c r="I2878" i="2"/>
  <c r="J2878" i="2"/>
  <c r="K2878" i="2"/>
  <c r="O2878" i="2"/>
  <c r="R2878" i="2"/>
  <c r="S2878" i="2" s="1"/>
  <c r="I2879" i="2"/>
  <c r="J2879" i="2"/>
  <c r="K2879" i="2"/>
  <c r="O2879" i="2"/>
  <c r="R2879" i="2"/>
  <c r="S2879" i="2" s="1"/>
  <c r="I2880" i="2"/>
  <c r="J2880" i="2"/>
  <c r="K2880" i="2"/>
  <c r="O2880" i="2"/>
  <c r="R2880" i="2"/>
  <c r="S2880" i="2" s="1"/>
  <c r="I2881" i="2"/>
  <c r="J2881" i="2"/>
  <c r="K2881" i="2"/>
  <c r="O2881" i="2"/>
  <c r="R2881" i="2"/>
  <c r="S2881" i="2" s="1"/>
  <c r="I2882" i="2"/>
  <c r="J2882" i="2"/>
  <c r="K2882" i="2"/>
  <c r="O2882" i="2"/>
  <c r="R2882" i="2"/>
  <c r="S2882" i="2" s="1"/>
  <c r="I2883" i="2"/>
  <c r="J2883" i="2"/>
  <c r="K2883" i="2"/>
  <c r="O2883" i="2"/>
  <c r="R2883" i="2"/>
  <c r="S2883" i="2" s="1"/>
  <c r="I2884" i="2"/>
  <c r="J2884" i="2"/>
  <c r="K2884" i="2"/>
  <c r="O2884" i="2"/>
  <c r="R2884" i="2"/>
  <c r="S2884" i="2" s="1"/>
  <c r="I2885" i="2"/>
  <c r="J2885" i="2"/>
  <c r="K2885" i="2"/>
  <c r="O2885" i="2"/>
  <c r="R2885" i="2"/>
  <c r="S2885" i="2" s="1"/>
  <c r="I2886" i="2"/>
  <c r="J2886" i="2"/>
  <c r="K2886" i="2"/>
  <c r="O2886" i="2"/>
  <c r="R2886" i="2"/>
  <c r="S2886" i="2" s="1"/>
  <c r="I2887" i="2"/>
  <c r="J2887" i="2"/>
  <c r="K2887" i="2"/>
  <c r="O2887" i="2"/>
  <c r="R2887" i="2"/>
  <c r="S2887" i="2" s="1"/>
  <c r="I2888" i="2"/>
  <c r="J2888" i="2"/>
  <c r="K2888" i="2"/>
  <c r="O2888" i="2"/>
  <c r="R2888" i="2"/>
  <c r="S2888" i="2" s="1"/>
  <c r="I2889" i="2"/>
  <c r="J2889" i="2"/>
  <c r="K2889" i="2"/>
  <c r="O2889" i="2"/>
  <c r="R2889" i="2"/>
  <c r="S2889" i="2" s="1"/>
  <c r="I2890" i="2"/>
  <c r="J2890" i="2"/>
  <c r="K2890" i="2"/>
  <c r="O2890" i="2"/>
  <c r="R2890" i="2"/>
  <c r="S2890" i="2" s="1"/>
  <c r="I2891" i="2"/>
  <c r="J2891" i="2"/>
  <c r="K2891" i="2"/>
  <c r="O2891" i="2"/>
  <c r="R2891" i="2"/>
  <c r="S2891" i="2" s="1"/>
  <c r="I2892" i="2"/>
  <c r="J2892" i="2"/>
  <c r="K2892" i="2"/>
  <c r="O2892" i="2"/>
  <c r="R2892" i="2"/>
  <c r="S2892" i="2" s="1"/>
  <c r="I2893" i="2"/>
  <c r="J2893" i="2"/>
  <c r="K2893" i="2"/>
  <c r="O2893" i="2"/>
  <c r="R2893" i="2"/>
  <c r="S2893" i="2" s="1"/>
  <c r="I2894" i="2"/>
  <c r="J2894" i="2"/>
  <c r="K2894" i="2"/>
  <c r="O2894" i="2"/>
  <c r="R2894" i="2"/>
  <c r="S2894" i="2" s="1"/>
  <c r="I2895" i="2"/>
  <c r="J2895" i="2"/>
  <c r="K2895" i="2"/>
  <c r="O2895" i="2"/>
  <c r="R2895" i="2"/>
  <c r="S2895" i="2" s="1"/>
  <c r="I2896" i="2"/>
  <c r="J2896" i="2"/>
  <c r="K2896" i="2"/>
  <c r="O2896" i="2"/>
  <c r="R2896" i="2"/>
  <c r="S2896" i="2" s="1"/>
  <c r="I2897" i="2"/>
  <c r="J2897" i="2"/>
  <c r="K2897" i="2"/>
  <c r="O2897" i="2"/>
  <c r="R2897" i="2"/>
  <c r="S2897" i="2" s="1"/>
  <c r="I2898" i="2"/>
  <c r="J2898" i="2"/>
  <c r="K2898" i="2"/>
  <c r="O2898" i="2"/>
  <c r="R2898" i="2"/>
  <c r="S2898" i="2" s="1"/>
  <c r="I2899" i="2"/>
  <c r="J2899" i="2"/>
  <c r="K2899" i="2"/>
  <c r="O2899" i="2"/>
  <c r="R2899" i="2"/>
  <c r="S2899" i="2" s="1"/>
  <c r="I2900" i="2"/>
  <c r="J2900" i="2"/>
  <c r="K2900" i="2"/>
  <c r="O2900" i="2"/>
  <c r="R2900" i="2"/>
  <c r="S2900" i="2" s="1"/>
  <c r="I2901" i="2"/>
  <c r="J2901" i="2"/>
  <c r="K2901" i="2"/>
  <c r="O2901" i="2"/>
  <c r="R2901" i="2"/>
  <c r="S2901" i="2" s="1"/>
  <c r="I2902" i="2"/>
  <c r="J2902" i="2"/>
  <c r="K2902" i="2"/>
  <c r="O2902" i="2"/>
  <c r="R2902" i="2"/>
  <c r="S2902" i="2" s="1"/>
  <c r="I2903" i="2"/>
  <c r="J2903" i="2"/>
  <c r="K2903" i="2"/>
  <c r="O2903" i="2"/>
  <c r="R2903" i="2"/>
  <c r="S2903" i="2" s="1"/>
  <c r="I2904" i="2"/>
  <c r="J2904" i="2"/>
  <c r="K2904" i="2"/>
  <c r="O2904" i="2"/>
  <c r="R2904" i="2"/>
  <c r="S2904" i="2" s="1"/>
  <c r="I2905" i="2"/>
  <c r="J2905" i="2"/>
  <c r="K2905" i="2"/>
  <c r="O2905" i="2"/>
  <c r="R2905" i="2"/>
  <c r="S2905" i="2" s="1"/>
  <c r="I2906" i="2"/>
  <c r="J2906" i="2"/>
  <c r="K2906" i="2"/>
  <c r="O2906" i="2"/>
  <c r="R2906" i="2"/>
  <c r="S2906" i="2" s="1"/>
  <c r="I2907" i="2"/>
  <c r="J2907" i="2"/>
  <c r="K2907" i="2"/>
  <c r="O2907" i="2"/>
  <c r="R2907" i="2"/>
  <c r="S2907" i="2" s="1"/>
  <c r="I2908" i="2"/>
  <c r="J2908" i="2"/>
  <c r="K2908" i="2"/>
  <c r="O2908" i="2"/>
  <c r="R2908" i="2"/>
  <c r="S2908" i="2" s="1"/>
  <c r="I2909" i="2"/>
  <c r="J2909" i="2"/>
  <c r="K2909" i="2"/>
  <c r="O2909" i="2"/>
  <c r="R2909" i="2"/>
  <c r="S2909" i="2" s="1"/>
  <c r="I2910" i="2"/>
  <c r="J2910" i="2"/>
  <c r="K2910" i="2"/>
  <c r="O2910" i="2"/>
  <c r="R2910" i="2"/>
  <c r="S2910" i="2" s="1"/>
  <c r="I2911" i="2"/>
  <c r="J2911" i="2"/>
  <c r="K2911" i="2"/>
  <c r="O2911" i="2"/>
  <c r="R2911" i="2"/>
  <c r="S2911" i="2" s="1"/>
  <c r="I2912" i="2"/>
  <c r="J2912" i="2"/>
  <c r="K2912" i="2"/>
  <c r="O2912" i="2"/>
  <c r="R2912" i="2"/>
  <c r="S2912" i="2" s="1"/>
  <c r="I2913" i="2"/>
  <c r="J2913" i="2"/>
  <c r="K2913" i="2"/>
  <c r="O2913" i="2"/>
  <c r="R2913" i="2"/>
  <c r="S2913" i="2" s="1"/>
  <c r="I2914" i="2"/>
  <c r="J2914" i="2"/>
  <c r="K2914" i="2"/>
  <c r="O2914" i="2"/>
  <c r="R2914" i="2"/>
  <c r="S2914" i="2" s="1"/>
  <c r="I2915" i="2"/>
  <c r="J2915" i="2"/>
  <c r="K2915" i="2"/>
  <c r="O2915" i="2"/>
  <c r="R2915" i="2"/>
  <c r="S2915" i="2" s="1"/>
  <c r="I2916" i="2"/>
  <c r="J2916" i="2"/>
  <c r="K2916" i="2"/>
  <c r="O2916" i="2"/>
  <c r="R2916" i="2"/>
  <c r="S2916" i="2" s="1"/>
  <c r="I2917" i="2"/>
  <c r="J2917" i="2"/>
  <c r="K2917" i="2"/>
  <c r="O2917" i="2"/>
  <c r="R2917" i="2"/>
  <c r="S2917" i="2" s="1"/>
  <c r="I2918" i="2"/>
  <c r="J2918" i="2"/>
  <c r="K2918" i="2"/>
  <c r="O2918" i="2"/>
  <c r="R2918" i="2"/>
  <c r="S2918" i="2" s="1"/>
  <c r="I2919" i="2"/>
  <c r="J2919" i="2"/>
  <c r="K2919" i="2"/>
  <c r="O2919" i="2"/>
  <c r="R2919" i="2"/>
  <c r="S2919" i="2" s="1"/>
  <c r="I2920" i="2"/>
  <c r="J2920" i="2"/>
  <c r="K2920" i="2"/>
  <c r="O2920" i="2"/>
  <c r="R2920" i="2"/>
  <c r="S2920" i="2" s="1"/>
  <c r="I2921" i="2"/>
  <c r="J2921" i="2"/>
  <c r="K2921" i="2"/>
  <c r="O2921" i="2"/>
  <c r="R2921" i="2"/>
  <c r="S2921" i="2" s="1"/>
  <c r="I2922" i="2"/>
  <c r="J2922" i="2"/>
  <c r="K2922" i="2"/>
  <c r="O2922" i="2"/>
  <c r="R2922" i="2"/>
  <c r="S2922" i="2" s="1"/>
  <c r="I2923" i="2"/>
  <c r="J2923" i="2"/>
  <c r="K2923" i="2"/>
  <c r="O2923" i="2"/>
  <c r="R2923" i="2"/>
  <c r="S2923" i="2" s="1"/>
  <c r="I2924" i="2"/>
  <c r="J2924" i="2"/>
  <c r="K2924" i="2"/>
  <c r="O2924" i="2"/>
  <c r="R2924" i="2"/>
  <c r="S2924" i="2" s="1"/>
  <c r="I2925" i="2"/>
  <c r="J2925" i="2"/>
  <c r="K2925" i="2"/>
  <c r="O2925" i="2"/>
  <c r="R2925" i="2"/>
  <c r="S2925" i="2" s="1"/>
  <c r="I2926" i="2"/>
  <c r="J2926" i="2"/>
  <c r="K2926" i="2"/>
  <c r="O2926" i="2"/>
  <c r="R2926" i="2"/>
  <c r="S2926" i="2" s="1"/>
  <c r="I2927" i="2"/>
  <c r="J2927" i="2"/>
  <c r="K2927" i="2"/>
  <c r="O2927" i="2"/>
  <c r="R2927" i="2"/>
  <c r="S2927" i="2" s="1"/>
  <c r="I2928" i="2"/>
  <c r="J2928" i="2"/>
  <c r="K2928" i="2"/>
  <c r="O2928" i="2"/>
  <c r="R2928" i="2"/>
  <c r="S2928" i="2" s="1"/>
  <c r="I2929" i="2"/>
  <c r="J2929" i="2"/>
  <c r="K2929" i="2"/>
  <c r="O2929" i="2"/>
  <c r="R2929" i="2"/>
  <c r="S2929" i="2" s="1"/>
  <c r="I2930" i="2"/>
  <c r="J2930" i="2"/>
  <c r="K2930" i="2"/>
  <c r="O2930" i="2"/>
  <c r="R2930" i="2"/>
  <c r="S2930" i="2" s="1"/>
  <c r="I2931" i="2"/>
  <c r="J2931" i="2"/>
  <c r="K2931" i="2"/>
  <c r="O2931" i="2"/>
  <c r="R2931" i="2"/>
  <c r="S2931" i="2" s="1"/>
  <c r="I2932" i="2"/>
  <c r="J2932" i="2"/>
  <c r="K2932" i="2"/>
  <c r="O2932" i="2"/>
  <c r="R2932" i="2"/>
  <c r="S2932" i="2" s="1"/>
  <c r="I2933" i="2"/>
  <c r="J2933" i="2"/>
  <c r="K2933" i="2"/>
  <c r="O2933" i="2"/>
  <c r="R2933" i="2"/>
  <c r="S2933" i="2" s="1"/>
  <c r="I2934" i="2"/>
  <c r="J2934" i="2"/>
  <c r="K2934" i="2"/>
  <c r="O2934" i="2"/>
  <c r="R2934" i="2"/>
  <c r="S2934" i="2" s="1"/>
  <c r="I2935" i="2"/>
  <c r="J2935" i="2"/>
  <c r="K2935" i="2"/>
  <c r="O2935" i="2"/>
  <c r="R2935" i="2"/>
  <c r="S2935" i="2" s="1"/>
  <c r="I2936" i="2"/>
  <c r="J2936" i="2"/>
  <c r="K2936" i="2"/>
  <c r="O2936" i="2"/>
  <c r="R2936" i="2"/>
  <c r="S2936" i="2" s="1"/>
  <c r="I2937" i="2"/>
  <c r="J2937" i="2"/>
  <c r="K2937" i="2"/>
  <c r="O2937" i="2"/>
  <c r="R2937" i="2"/>
  <c r="S2937" i="2" s="1"/>
  <c r="I2938" i="2"/>
  <c r="J2938" i="2"/>
  <c r="K2938" i="2"/>
  <c r="O2938" i="2"/>
  <c r="R2938" i="2"/>
  <c r="S2938" i="2" s="1"/>
  <c r="I2939" i="2"/>
  <c r="J2939" i="2"/>
  <c r="K2939" i="2"/>
  <c r="O2939" i="2"/>
  <c r="R2939" i="2"/>
  <c r="S2939" i="2" s="1"/>
  <c r="I2940" i="2"/>
  <c r="J2940" i="2"/>
  <c r="K2940" i="2"/>
  <c r="O2940" i="2"/>
  <c r="R2940" i="2"/>
  <c r="S2940" i="2" s="1"/>
  <c r="I2941" i="2"/>
  <c r="J2941" i="2"/>
  <c r="K2941" i="2"/>
  <c r="O2941" i="2"/>
  <c r="R2941" i="2"/>
  <c r="S2941" i="2" s="1"/>
  <c r="I2942" i="2"/>
  <c r="J2942" i="2"/>
  <c r="K2942" i="2"/>
  <c r="O2942" i="2"/>
  <c r="R2942" i="2"/>
  <c r="S2942" i="2" s="1"/>
  <c r="I2943" i="2"/>
  <c r="J2943" i="2"/>
  <c r="K2943" i="2"/>
  <c r="O2943" i="2"/>
  <c r="R2943" i="2"/>
  <c r="S2943" i="2" s="1"/>
  <c r="I2944" i="2"/>
  <c r="J2944" i="2"/>
  <c r="K2944" i="2"/>
  <c r="O2944" i="2"/>
  <c r="R2944" i="2"/>
  <c r="S2944" i="2" s="1"/>
  <c r="I2945" i="2"/>
  <c r="J2945" i="2"/>
  <c r="K2945" i="2"/>
  <c r="O2945" i="2"/>
  <c r="R2945" i="2"/>
  <c r="S2945" i="2" s="1"/>
  <c r="I2946" i="2"/>
  <c r="J2946" i="2"/>
  <c r="K2946" i="2"/>
  <c r="O2946" i="2"/>
  <c r="R2946" i="2"/>
  <c r="S2946" i="2" s="1"/>
  <c r="I2947" i="2"/>
  <c r="J2947" i="2"/>
  <c r="K2947" i="2"/>
  <c r="O2947" i="2"/>
  <c r="R2947" i="2"/>
  <c r="S2947" i="2" s="1"/>
  <c r="I2948" i="2"/>
  <c r="J2948" i="2"/>
  <c r="K2948" i="2"/>
  <c r="O2948" i="2"/>
  <c r="R2948" i="2"/>
  <c r="S2948" i="2" s="1"/>
  <c r="I2949" i="2"/>
  <c r="J2949" i="2"/>
  <c r="K2949" i="2"/>
  <c r="O2949" i="2"/>
  <c r="R2949" i="2"/>
  <c r="S2949" i="2" s="1"/>
  <c r="I2950" i="2"/>
  <c r="J2950" i="2"/>
  <c r="K2950" i="2"/>
  <c r="O2950" i="2"/>
  <c r="R2950" i="2"/>
  <c r="S2950" i="2" s="1"/>
  <c r="I2951" i="2"/>
  <c r="J2951" i="2"/>
  <c r="K2951" i="2"/>
  <c r="O2951" i="2"/>
  <c r="R2951" i="2"/>
  <c r="S2951" i="2" s="1"/>
  <c r="I2952" i="2"/>
  <c r="J2952" i="2"/>
  <c r="K2952" i="2"/>
  <c r="O2952" i="2"/>
  <c r="R2952" i="2"/>
  <c r="S2952" i="2" s="1"/>
  <c r="I2953" i="2"/>
  <c r="J2953" i="2"/>
  <c r="K2953" i="2"/>
  <c r="O2953" i="2"/>
  <c r="R2953" i="2"/>
  <c r="S2953" i="2" s="1"/>
  <c r="I2954" i="2"/>
  <c r="J2954" i="2"/>
  <c r="K2954" i="2"/>
  <c r="O2954" i="2"/>
  <c r="R2954" i="2"/>
  <c r="S2954" i="2" s="1"/>
  <c r="I2955" i="2"/>
  <c r="J2955" i="2"/>
  <c r="K2955" i="2"/>
  <c r="O2955" i="2"/>
  <c r="R2955" i="2"/>
  <c r="S2955" i="2" s="1"/>
  <c r="I2956" i="2"/>
  <c r="J2956" i="2"/>
  <c r="K2956" i="2"/>
  <c r="O2956" i="2"/>
  <c r="R2956" i="2"/>
  <c r="S2956" i="2" s="1"/>
  <c r="I2957" i="2"/>
  <c r="J2957" i="2"/>
  <c r="K2957" i="2"/>
  <c r="O2957" i="2"/>
  <c r="R2957" i="2"/>
  <c r="S2957" i="2" s="1"/>
  <c r="I2958" i="2"/>
  <c r="J2958" i="2"/>
  <c r="K2958" i="2"/>
  <c r="O2958" i="2"/>
  <c r="R2958" i="2"/>
  <c r="S2958" i="2" s="1"/>
  <c r="I2959" i="2"/>
  <c r="J2959" i="2"/>
  <c r="K2959" i="2"/>
  <c r="O2959" i="2"/>
  <c r="R2959" i="2"/>
  <c r="S2959" i="2" s="1"/>
  <c r="I2960" i="2"/>
  <c r="J2960" i="2"/>
  <c r="K2960" i="2"/>
  <c r="O2960" i="2"/>
  <c r="R2960" i="2"/>
  <c r="S2960" i="2" s="1"/>
  <c r="I2961" i="2"/>
  <c r="J2961" i="2"/>
  <c r="K2961" i="2"/>
  <c r="O2961" i="2"/>
  <c r="R2961" i="2"/>
  <c r="S2961" i="2" s="1"/>
  <c r="I2962" i="2"/>
  <c r="J2962" i="2"/>
  <c r="K2962" i="2"/>
  <c r="O2962" i="2"/>
  <c r="R2962" i="2"/>
  <c r="S2962" i="2" s="1"/>
  <c r="I2963" i="2"/>
  <c r="J2963" i="2"/>
  <c r="K2963" i="2"/>
  <c r="O2963" i="2"/>
  <c r="R2963" i="2"/>
  <c r="S2963" i="2" s="1"/>
  <c r="I2964" i="2"/>
  <c r="J2964" i="2"/>
  <c r="K2964" i="2"/>
  <c r="O2964" i="2"/>
  <c r="R2964" i="2"/>
  <c r="S2964" i="2" s="1"/>
  <c r="I2965" i="2"/>
  <c r="J2965" i="2"/>
  <c r="K2965" i="2"/>
  <c r="O2965" i="2"/>
  <c r="R2965" i="2"/>
  <c r="S2965" i="2" s="1"/>
  <c r="I2966" i="2"/>
  <c r="J2966" i="2"/>
  <c r="K2966" i="2"/>
  <c r="O2966" i="2"/>
  <c r="R2966" i="2"/>
  <c r="S2966" i="2" s="1"/>
  <c r="I2967" i="2"/>
  <c r="J2967" i="2"/>
  <c r="K2967" i="2"/>
  <c r="O2967" i="2"/>
  <c r="R2967" i="2"/>
  <c r="S2967" i="2" s="1"/>
  <c r="I2968" i="2"/>
  <c r="J2968" i="2"/>
  <c r="K2968" i="2"/>
  <c r="O2968" i="2"/>
  <c r="R2968" i="2"/>
  <c r="S2968" i="2" s="1"/>
  <c r="I2969" i="2"/>
  <c r="J2969" i="2"/>
  <c r="K2969" i="2"/>
  <c r="O2969" i="2"/>
  <c r="R2969" i="2"/>
  <c r="S2969" i="2" s="1"/>
  <c r="I2970" i="2"/>
  <c r="J2970" i="2"/>
  <c r="K2970" i="2"/>
  <c r="O2970" i="2"/>
  <c r="R2970" i="2"/>
  <c r="S2970" i="2" s="1"/>
  <c r="I2971" i="2"/>
  <c r="J2971" i="2"/>
  <c r="K2971" i="2"/>
  <c r="O2971" i="2"/>
  <c r="R2971" i="2"/>
  <c r="S2971" i="2" s="1"/>
  <c r="I2972" i="2"/>
  <c r="J2972" i="2"/>
  <c r="K2972" i="2"/>
  <c r="O2972" i="2"/>
  <c r="R2972" i="2"/>
  <c r="S2972" i="2" s="1"/>
  <c r="I2973" i="2"/>
  <c r="J2973" i="2"/>
  <c r="K2973" i="2"/>
  <c r="O2973" i="2"/>
  <c r="R2973" i="2"/>
  <c r="S2973" i="2" s="1"/>
  <c r="I2974" i="2"/>
  <c r="J2974" i="2"/>
  <c r="K2974" i="2"/>
  <c r="O2974" i="2"/>
  <c r="R2974" i="2"/>
  <c r="S2974" i="2" s="1"/>
  <c r="I2975" i="2"/>
  <c r="J2975" i="2"/>
  <c r="K2975" i="2"/>
  <c r="O2975" i="2"/>
  <c r="R2975" i="2"/>
  <c r="S2975" i="2" s="1"/>
  <c r="I2976" i="2"/>
  <c r="J2976" i="2"/>
  <c r="K2976" i="2"/>
  <c r="O2976" i="2"/>
  <c r="R2976" i="2"/>
  <c r="S2976" i="2" s="1"/>
  <c r="I2977" i="2"/>
  <c r="J2977" i="2"/>
  <c r="K2977" i="2"/>
  <c r="O2977" i="2"/>
  <c r="R2977" i="2"/>
  <c r="S2977" i="2" s="1"/>
  <c r="I2978" i="2"/>
  <c r="J2978" i="2"/>
  <c r="K2978" i="2"/>
  <c r="O2978" i="2"/>
  <c r="R2978" i="2"/>
  <c r="S2978" i="2" s="1"/>
  <c r="I2979" i="2"/>
  <c r="J2979" i="2"/>
  <c r="K2979" i="2"/>
  <c r="O2979" i="2"/>
  <c r="R2979" i="2"/>
  <c r="S2979" i="2" s="1"/>
  <c r="I2980" i="2"/>
  <c r="J2980" i="2"/>
  <c r="K2980" i="2"/>
  <c r="O2980" i="2"/>
  <c r="R2980" i="2"/>
  <c r="S2980" i="2" s="1"/>
  <c r="I2981" i="2"/>
  <c r="J2981" i="2"/>
  <c r="K2981" i="2"/>
  <c r="O2981" i="2"/>
  <c r="R2981" i="2"/>
  <c r="S2981" i="2" s="1"/>
  <c r="I2982" i="2"/>
  <c r="J2982" i="2"/>
  <c r="K2982" i="2"/>
  <c r="O2982" i="2"/>
  <c r="R2982" i="2"/>
  <c r="S2982" i="2" s="1"/>
  <c r="I2983" i="2"/>
  <c r="J2983" i="2"/>
  <c r="K2983" i="2"/>
  <c r="O2983" i="2"/>
  <c r="R2983" i="2"/>
  <c r="S2983" i="2" s="1"/>
  <c r="I2984" i="2"/>
  <c r="J2984" i="2"/>
  <c r="K2984" i="2"/>
  <c r="O2984" i="2"/>
  <c r="R2984" i="2"/>
  <c r="S2984" i="2" s="1"/>
  <c r="I2985" i="2"/>
  <c r="J2985" i="2"/>
  <c r="K2985" i="2"/>
  <c r="O2985" i="2"/>
  <c r="R2985" i="2"/>
  <c r="S2985" i="2" s="1"/>
  <c r="I2986" i="2"/>
  <c r="J2986" i="2"/>
  <c r="K2986" i="2"/>
  <c r="O2986" i="2"/>
  <c r="R2986" i="2"/>
  <c r="S2986" i="2" s="1"/>
  <c r="I2987" i="2"/>
  <c r="J2987" i="2"/>
  <c r="K2987" i="2"/>
  <c r="O2987" i="2"/>
  <c r="R2987" i="2"/>
  <c r="S2987" i="2" s="1"/>
  <c r="I2988" i="2"/>
  <c r="J2988" i="2"/>
  <c r="K2988" i="2"/>
  <c r="O2988" i="2"/>
  <c r="R2988" i="2"/>
  <c r="S2988" i="2" s="1"/>
  <c r="I2989" i="2"/>
  <c r="J2989" i="2"/>
  <c r="K2989" i="2"/>
  <c r="O2989" i="2"/>
  <c r="R2989" i="2"/>
  <c r="S2989" i="2" s="1"/>
  <c r="I2990" i="2"/>
  <c r="J2990" i="2"/>
  <c r="K2990" i="2"/>
  <c r="O2990" i="2"/>
  <c r="R2990" i="2"/>
  <c r="S2990" i="2" s="1"/>
  <c r="I2991" i="2"/>
  <c r="J2991" i="2"/>
  <c r="K2991" i="2"/>
  <c r="O2991" i="2"/>
  <c r="R2991" i="2"/>
  <c r="S2991" i="2" s="1"/>
  <c r="I2992" i="2"/>
  <c r="J2992" i="2"/>
  <c r="K2992" i="2"/>
  <c r="O2992" i="2"/>
  <c r="R2992" i="2"/>
  <c r="S2992" i="2" s="1"/>
  <c r="I2993" i="2"/>
  <c r="J2993" i="2"/>
  <c r="K2993" i="2"/>
  <c r="O2993" i="2"/>
  <c r="R2993" i="2"/>
  <c r="S2993" i="2" s="1"/>
  <c r="I2994" i="2"/>
  <c r="J2994" i="2"/>
  <c r="K2994" i="2"/>
  <c r="O2994" i="2"/>
  <c r="R2994" i="2"/>
  <c r="S2994" i="2" s="1"/>
  <c r="I2995" i="2"/>
  <c r="J2995" i="2"/>
  <c r="K2995" i="2"/>
  <c r="O2995" i="2"/>
  <c r="R2995" i="2"/>
  <c r="S2995" i="2" s="1"/>
  <c r="I2996" i="2"/>
  <c r="J2996" i="2"/>
  <c r="K2996" i="2"/>
  <c r="O2996" i="2"/>
  <c r="R2996" i="2"/>
  <c r="S2996" i="2" s="1"/>
  <c r="I2997" i="2"/>
  <c r="J2997" i="2"/>
  <c r="K2997" i="2"/>
  <c r="O2997" i="2"/>
  <c r="R2997" i="2"/>
  <c r="S2997" i="2" s="1"/>
  <c r="I2998" i="2"/>
  <c r="J2998" i="2"/>
  <c r="K2998" i="2"/>
  <c r="O2998" i="2"/>
  <c r="R2998" i="2"/>
  <c r="S2998" i="2" s="1"/>
  <c r="I2999" i="2"/>
  <c r="J2999" i="2"/>
  <c r="K2999" i="2"/>
  <c r="O2999" i="2"/>
  <c r="R2999" i="2"/>
  <c r="S2999" i="2" s="1"/>
  <c r="I3000" i="2"/>
  <c r="J3000" i="2"/>
  <c r="K3000" i="2"/>
  <c r="O3000" i="2"/>
  <c r="R3000" i="2"/>
  <c r="S3000" i="2" s="1"/>
  <c r="I3001" i="2"/>
  <c r="J3001" i="2"/>
  <c r="K3001" i="2"/>
  <c r="O3001" i="2"/>
  <c r="R3001" i="2"/>
  <c r="S3001" i="2" s="1"/>
  <c r="I3002" i="2"/>
  <c r="J3002" i="2"/>
  <c r="K3002" i="2"/>
  <c r="O3002" i="2"/>
  <c r="R3002" i="2"/>
  <c r="S3002" i="2" s="1"/>
  <c r="I3003" i="2"/>
  <c r="J3003" i="2"/>
  <c r="K3003" i="2"/>
  <c r="O3003" i="2"/>
  <c r="R3003" i="2"/>
  <c r="S3003" i="2" s="1"/>
  <c r="I3004" i="2"/>
  <c r="J3004" i="2"/>
  <c r="K3004" i="2"/>
  <c r="O3004" i="2"/>
  <c r="R3004" i="2"/>
  <c r="S3004" i="2" s="1"/>
  <c r="I3005" i="2"/>
  <c r="J3005" i="2"/>
  <c r="K3005" i="2"/>
  <c r="O3005" i="2"/>
  <c r="R3005" i="2"/>
  <c r="S3005" i="2" s="1"/>
  <c r="I3006" i="2"/>
  <c r="J3006" i="2"/>
  <c r="K3006" i="2"/>
  <c r="O3006" i="2"/>
  <c r="R3006" i="2"/>
  <c r="S3006" i="2" s="1"/>
  <c r="I3007" i="2"/>
  <c r="J3007" i="2"/>
  <c r="K3007" i="2"/>
  <c r="O3007" i="2"/>
  <c r="R3007" i="2"/>
  <c r="S3007" i="2" s="1"/>
  <c r="I3008" i="2"/>
  <c r="J3008" i="2"/>
  <c r="K3008" i="2"/>
  <c r="O3008" i="2"/>
  <c r="R3008" i="2"/>
  <c r="S3008" i="2" s="1"/>
  <c r="I3009" i="2"/>
  <c r="J3009" i="2"/>
  <c r="K3009" i="2"/>
  <c r="O3009" i="2"/>
  <c r="R3009" i="2"/>
  <c r="S3009" i="2" s="1"/>
  <c r="I3010" i="2"/>
  <c r="J3010" i="2"/>
  <c r="K3010" i="2"/>
  <c r="O3010" i="2"/>
  <c r="R3010" i="2"/>
  <c r="S3010" i="2" s="1"/>
  <c r="I3011" i="2"/>
  <c r="J3011" i="2"/>
  <c r="K3011" i="2"/>
  <c r="O3011" i="2"/>
  <c r="R3011" i="2"/>
  <c r="S3011" i="2" s="1"/>
  <c r="I3012" i="2"/>
  <c r="J3012" i="2"/>
  <c r="K3012" i="2"/>
  <c r="O3012" i="2"/>
  <c r="R3012" i="2"/>
  <c r="S3012" i="2" s="1"/>
  <c r="I3013" i="2"/>
  <c r="J3013" i="2"/>
  <c r="K3013" i="2"/>
  <c r="O3013" i="2"/>
  <c r="R3013" i="2"/>
  <c r="S3013" i="2" s="1"/>
  <c r="I3014" i="2"/>
  <c r="J3014" i="2"/>
  <c r="K3014" i="2"/>
  <c r="O3014" i="2"/>
  <c r="R3014" i="2"/>
  <c r="S3014" i="2" s="1"/>
  <c r="I3015" i="2"/>
  <c r="J3015" i="2"/>
  <c r="K3015" i="2"/>
  <c r="O3015" i="2"/>
  <c r="R3015" i="2"/>
  <c r="S3015" i="2" s="1"/>
  <c r="I3016" i="2"/>
  <c r="J3016" i="2"/>
  <c r="K3016" i="2"/>
  <c r="O3016" i="2"/>
  <c r="R3016" i="2"/>
  <c r="S3016" i="2" s="1"/>
  <c r="I3017" i="2"/>
  <c r="J3017" i="2"/>
  <c r="K3017" i="2"/>
  <c r="O3017" i="2"/>
  <c r="R3017" i="2"/>
  <c r="S3017" i="2" s="1"/>
  <c r="I3018" i="2"/>
  <c r="J3018" i="2"/>
  <c r="K3018" i="2"/>
  <c r="O3018" i="2"/>
  <c r="R3018" i="2"/>
  <c r="S3018" i="2" s="1"/>
  <c r="I3019" i="2"/>
  <c r="J3019" i="2"/>
  <c r="K3019" i="2"/>
  <c r="O3019" i="2"/>
  <c r="R3019" i="2"/>
  <c r="S3019" i="2" s="1"/>
  <c r="I3020" i="2"/>
  <c r="J3020" i="2"/>
  <c r="K3020" i="2"/>
  <c r="O3020" i="2"/>
  <c r="R3020" i="2"/>
  <c r="S3020" i="2" s="1"/>
  <c r="I3021" i="2"/>
  <c r="J3021" i="2"/>
  <c r="K3021" i="2"/>
  <c r="O3021" i="2"/>
  <c r="R3021" i="2"/>
  <c r="S3021" i="2" s="1"/>
  <c r="I3022" i="2"/>
  <c r="J3022" i="2"/>
  <c r="K3022" i="2"/>
  <c r="O3022" i="2"/>
  <c r="R3022" i="2"/>
  <c r="S3022" i="2" s="1"/>
  <c r="I3023" i="2"/>
  <c r="J3023" i="2"/>
  <c r="K3023" i="2"/>
  <c r="O3023" i="2"/>
  <c r="R3023" i="2"/>
  <c r="S3023" i="2" s="1"/>
  <c r="I3024" i="2"/>
  <c r="J3024" i="2"/>
  <c r="K3024" i="2"/>
  <c r="O3024" i="2"/>
  <c r="R3024" i="2"/>
  <c r="S3024" i="2" s="1"/>
  <c r="I3025" i="2"/>
  <c r="J3025" i="2"/>
  <c r="K3025" i="2"/>
  <c r="O3025" i="2"/>
  <c r="R3025" i="2"/>
  <c r="S3025" i="2" s="1"/>
  <c r="I3026" i="2"/>
  <c r="J3026" i="2"/>
  <c r="K3026" i="2"/>
  <c r="O3026" i="2"/>
  <c r="R3026" i="2"/>
  <c r="S3026" i="2" s="1"/>
  <c r="I3027" i="2"/>
  <c r="J3027" i="2"/>
  <c r="K3027" i="2"/>
  <c r="O3027" i="2"/>
  <c r="R3027" i="2"/>
  <c r="S3027" i="2" s="1"/>
  <c r="I3028" i="2"/>
  <c r="J3028" i="2"/>
  <c r="K3028" i="2"/>
  <c r="O3028" i="2"/>
  <c r="R3028" i="2"/>
  <c r="S3028" i="2" s="1"/>
  <c r="I3029" i="2"/>
  <c r="J3029" i="2"/>
  <c r="K3029" i="2"/>
  <c r="O3029" i="2"/>
  <c r="R3029" i="2"/>
  <c r="S3029" i="2" s="1"/>
  <c r="I3030" i="2"/>
  <c r="J3030" i="2"/>
  <c r="K3030" i="2"/>
  <c r="O3030" i="2"/>
  <c r="R3030" i="2"/>
  <c r="S3030" i="2" s="1"/>
  <c r="I3031" i="2"/>
  <c r="J3031" i="2"/>
  <c r="K3031" i="2"/>
  <c r="O3031" i="2"/>
  <c r="R3031" i="2"/>
  <c r="S3031" i="2" s="1"/>
  <c r="I3032" i="2"/>
  <c r="J3032" i="2"/>
  <c r="K3032" i="2"/>
  <c r="O3032" i="2"/>
  <c r="R3032" i="2"/>
  <c r="S3032" i="2" s="1"/>
  <c r="I3033" i="2"/>
  <c r="J3033" i="2"/>
  <c r="K3033" i="2"/>
  <c r="O3033" i="2"/>
  <c r="R3033" i="2"/>
  <c r="S3033" i="2" s="1"/>
  <c r="I3034" i="2"/>
  <c r="J3034" i="2"/>
  <c r="K3034" i="2"/>
  <c r="O3034" i="2"/>
  <c r="R3034" i="2"/>
  <c r="S3034" i="2" s="1"/>
  <c r="I3035" i="2"/>
  <c r="J3035" i="2"/>
  <c r="K3035" i="2"/>
  <c r="O3035" i="2"/>
  <c r="R3035" i="2"/>
  <c r="S3035" i="2" s="1"/>
  <c r="I3036" i="2"/>
  <c r="J3036" i="2"/>
  <c r="K3036" i="2"/>
  <c r="O3036" i="2"/>
  <c r="R3036" i="2"/>
  <c r="S3036" i="2" s="1"/>
  <c r="I3037" i="2"/>
  <c r="J3037" i="2"/>
  <c r="K3037" i="2"/>
  <c r="O3037" i="2"/>
  <c r="R3037" i="2"/>
  <c r="S3037" i="2" s="1"/>
  <c r="I3038" i="2"/>
  <c r="J3038" i="2"/>
  <c r="K3038" i="2"/>
  <c r="O3038" i="2"/>
  <c r="R3038" i="2"/>
  <c r="S3038" i="2" s="1"/>
  <c r="I3039" i="2"/>
  <c r="J3039" i="2"/>
  <c r="K3039" i="2"/>
  <c r="O3039" i="2"/>
  <c r="R3039" i="2"/>
  <c r="S3039" i="2" s="1"/>
  <c r="I3040" i="2"/>
  <c r="J3040" i="2"/>
  <c r="K3040" i="2"/>
  <c r="O3040" i="2"/>
  <c r="R3040" i="2"/>
  <c r="S3040" i="2" s="1"/>
  <c r="I3041" i="2"/>
  <c r="J3041" i="2"/>
  <c r="K3041" i="2"/>
  <c r="O3041" i="2"/>
  <c r="R3041" i="2"/>
  <c r="S3041" i="2" s="1"/>
  <c r="I3042" i="2"/>
  <c r="J3042" i="2"/>
  <c r="K3042" i="2"/>
  <c r="O3042" i="2"/>
  <c r="R3042" i="2"/>
  <c r="S3042" i="2" s="1"/>
  <c r="I3043" i="2"/>
  <c r="J3043" i="2"/>
  <c r="K3043" i="2"/>
  <c r="O3043" i="2"/>
  <c r="R3043" i="2"/>
  <c r="S3043" i="2" s="1"/>
  <c r="I3044" i="2"/>
  <c r="J3044" i="2"/>
  <c r="K3044" i="2"/>
  <c r="O3044" i="2"/>
  <c r="R3044" i="2"/>
  <c r="S3044" i="2" s="1"/>
  <c r="I3045" i="2"/>
  <c r="J3045" i="2"/>
  <c r="K3045" i="2"/>
  <c r="O3045" i="2"/>
  <c r="R3045" i="2"/>
  <c r="S3045" i="2" s="1"/>
  <c r="I3046" i="2"/>
  <c r="J3046" i="2"/>
  <c r="K3046" i="2"/>
  <c r="O3046" i="2"/>
  <c r="R3046" i="2"/>
  <c r="S3046" i="2" s="1"/>
  <c r="I3047" i="2"/>
  <c r="J3047" i="2"/>
  <c r="K3047" i="2"/>
  <c r="O3047" i="2"/>
  <c r="R3047" i="2"/>
  <c r="S3047" i="2" s="1"/>
  <c r="I3048" i="2"/>
  <c r="J3048" i="2"/>
  <c r="K3048" i="2"/>
  <c r="O3048" i="2"/>
  <c r="R3048" i="2"/>
  <c r="S3048" i="2" s="1"/>
  <c r="I3049" i="2"/>
  <c r="J3049" i="2"/>
  <c r="K3049" i="2"/>
  <c r="O3049" i="2"/>
  <c r="R3049" i="2"/>
  <c r="S3049" i="2" s="1"/>
  <c r="I3050" i="2"/>
  <c r="J3050" i="2"/>
  <c r="K3050" i="2"/>
  <c r="O3050" i="2"/>
  <c r="R3050" i="2"/>
  <c r="S3050" i="2" s="1"/>
  <c r="I3051" i="2"/>
  <c r="J3051" i="2"/>
  <c r="K3051" i="2"/>
  <c r="O3051" i="2"/>
  <c r="R3051" i="2"/>
  <c r="S3051" i="2" s="1"/>
  <c r="I3052" i="2"/>
  <c r="J3052" i="2"/>
  <c r="K3052" i="2"/>
  <c r="O3052" i="2"/>
  <c r="R3052" i="2"/>
  <c r="S3052" i="2" s="1"/>
  <c r="I3053" i="2"/>
  <c r="J3053" i="2"/>
  <c r="K3053" i="2"/>
  <c r="O3053" i="2"/>
  <c r="R3053" i="2"/>
  <c r="S3053" i="2" s="1"/>
  <c r="I3054" i="2"/>
  <c r="J3054" i="2"/>
  <c r="K3054" i="2"/>
  <c r="O3054" i="2"/>
  <c r="R3054" i="2"/>
  <c r="S3054" i="2" s="1"/>
  <c r="I3055" i="2"/>
  <c r="J3055" i="2"/>
  <c r="K3055" i="2"/>
  <c r="O3055" i="2"/>
  <c r="R3055" i="2"/>
  <c r="S3055" i="2" s="1"/>
  <c r="I3056" i="2"/>
  <c r="J3056" i="2"/>
  <c r="K3056" i="2"/>
  <c r="O3056" i="2"/>
  <c r="R3056" i="2"/>
  <c r="S3056" i="2" s="1"/>
  <c r="I3057" i="2"/>
  <c r="J3057" i="2"/>
  <c r="K3057" i="2"/>
  <c r="O3057" i="2"/>
  <c r="R3057" i="2"/>
  <c r="S3057" i="2" s="1"/>
  <c r="I3058" i="2"/>
  <c r="J3058" i="2"/>
  <c r="K3058" i="2"/>
  <c r="O3058" i="2"/>
  <c r="R3058" i="2"/>
  <c r="S3058" i="2" s="1"/>
  <c r="I3059" i="2"/>
  <c r="J3059" i="2"/>
  <c r="K3059" i="2"/>
  <c r="O3059" i="2"/>
  <c r="R3059" i="2"/>
  <c r="S3059" i="2" s="1"/>
  <c r="I3060" i="2"/>
  <c r="J3060" i="2"/>
  <c r="K3060" i="2"/>
  <c r="O3060" i="2"/>
  <c r="R3060" i="2"/>
  <c r="S3060" i="2" s="1"/>
  <c r="I3061" i="2"/>
  <c r="J3061" i="2"/>
  <c r="K3061" i="2"/>
  <c r="O3061" i="2"/>
  <c r="R3061" i="2"/>
  <c r="S3061" i="2" s="1"/>
  <c r="I3062" i="2"/>
  <c r="J3062" i="2"/>
  <c r="K3062" i="2"/>
  <c r="O3062" i="2"/>
  <c r="R3062" i="2"/>
  <c r="S3062" i="2" s="1"/>
  <c r="I3063" i="2"/>
  <c r="J3063" i="2"/>
  <c r="K3063" i="2"/>
  <c r="O3063" i="2"/>
  <c r="R3063" i="2"/>
  <c r="S3063" i="2" s="1"/>
  <c r="I3064" i="2"/>
  <c r="J3064" i="2"/>
  <c r="K3064" i="2"/>
  <c r="O3064" i="2"/>
  <c r="R3064" i="2"/>
  <c r="S3064" i="2" s="1"/>
  <c r="I3065" i="2"/>
  <c r="J3065" i="2"/>
  <c r="K3065" i="2"/>
  <c r="O3065" i="2"/>
  <c r="R3065" i="2"/>
  <c r="S3065" i="2" s="1"/>
  <c r="I3066" i="2"/>
  <c r="J3066" i="2"/>
  <c r="K3066" i="2"/>
  <c r="O3066" i="2"/>
  <c r="R3066" i="2"/>
  <c r="S3066" i="2" s="1"/>
  <c r="I3067" i="2"/>
  <c r="J3067" i="2"/>
  <c r="K3067" i="2"/>
  <c r="O3067" i="2"/>
  <c r="R3067" i="2"/>
  <c r="S3067" i="2" s="1"/>
  <c r="I3068" i="2"/>
  <c r="J3068" i="2"/>
  <c r="K3068" i="2"/>
  <c r="O3068" i="2"/>
  <c r="R3068" i="2"/>
  <c r="S3068" i="2" s="1"/>
  <c r="I3069" i="2"/>
  <c r="J3069" i="2"/>
  <c r="K3069" i="2"/>
  <c r="O3069" i="2"/>
  <c r="R3069" i="2"/>
  <c r="S3069" i="2" s="1"/>
  <c r="I3070" i="2"/>
  <c r="J3070" i="2"/>
  <c r="K3070" i="2"/>
  <c r="O3070" i="2"/>
  <c r="R3070" i="2"/>
  <c r="S3070" i="2" s="1"/>
  <c r="I3071" i="2"/>
  <c r="J3071" i="2"/>
  <c r="K3071" i="2"/>
  <c r="O3071" i="2"/>
  <c r="R3071" i="2"/>
  <c r="S3071" i="2" s="1"/>
  <c r="I3072" i="2"/>
  <c r="J3072" i="2"/>
  <c r="K3072" i="2"/>
  <c r="O3072" i="2"/>
  <c r="R3072" i="2"/>
  <c r="S3072" i="2" s="1"/>
  <c r="I3073" i="2"/>
  <c r="J3073" i="2"/>
  <c r="K3073" i="2"/>
  <c r="O3073" i="2"/>
  <c r="R3073" i="2"/>
  <c r="S3073" i="2" s="1"/>
  <c r="I3074" i="2"/>
  <c r="J3074" i="2"/>
  <c r="K3074" i="2"/>
  <c r="O3074" i="2"/>
  <c r="R3074" i="2"/>
  <c r="S3074" i="2" s="1"/>
  <c r="I3075" i="2"/>
  <c r="J3075" i="2"/>
  <c r="K3075" i="2"/>
  <c r="O3075" i="2"/>
  <c r="R3075" i="2"/>
  <c r="S3075" i="2" s="1"/>
  <c r="I3076" i="2"/>
  <c r="J3076" i="2"/>
  <c r="K3076" i="2"/>
  <c r="O3076" i="2"/>
  <c r="R3076" i="2"/>
  <c r="S3076" i="2" s="1"/>
  <c r="I3077" i="2"/>
  <c r="J3077" i="2"/>
  <c r="K3077" i="2"/>
  <c r="O3077" i="2"/>
  <c r="R3077" i="2"/>
  <c r="S3077" i="2" s="1"/>
  <c r="I3078" i="2"/>
  <c r="J3078" i="2"/>
  <c r="K3078" i="2"/>
  <c r="O3078" i="2"/>
  <c r="R3078" i="2"/>
  <c r="S3078" i="2" s="1"/>
  <c r="I3079" i="2"/>
  <c r="J3079" i="2"/>
  <c r="K3079" i="2"/>
  <c r="O3079" i="2"/>
  <c r="R3079" i="2"/>
  <c r="S3079" i="2" s="1"/>
  <c r="I3080" i="2"/>
  <c r="J3080" i="2"/>
  <c r="K3080" i="2"/>
  <c r="O3080" i="2"/>
  <c r="R3080" i="2"/>
  <c r="S3080" i="2" s="1"/>
  <c r="I3081" i="2"/>
  <c r="J3081" i="2"/>
  <c r="K3081" i="2"/>
  <c r="O3081" i="2"/>
  <c r="R3081" i="2"/>
  <c r="S3081" i="2" s="1"/>
  <c r="I3082" i="2"/>
  <c r="J3082" i="2"/>
  <c r="K3082" i="2"/>
  <c r="O3082" i="2"/>
  <c r="R3082" i="2"/>
  <c r="S3082" i="2" s="1"/>
  <c r="I3083" i="2"/>
  <c r="J3083" i="2"/>
  <c r="K3083" i="2"/>
  <c r="O3083" i="2"/>
  <c r="R3083" i="2"/>
  <c r="S3083" i="2" s="1"/>
  <c r="I3084" i="2"/>
  <c r="J3084" i="2"/>
  <c r="K3084" i="2"/>
  <c r="O3084" i="2"/>
  <c r="R3084" i="2"/>
  <c r="S3084" i="2" s="1"/>
  <c r="I3085" i="2"/>
  <c r="J3085" i="2"/>
  <c r="K3085" i="2"/>
  <c r="O3085" i="2"/>
  <c r="R3085" i="2"/>
  <c r="S3085" i="2" s="1"/>
  <c r="I3086" i="2"/>
  <c r="J3086" i="2"/>
  <c r="K3086" i="2"/>
  <c r="O3086" i="2"/>
  <c r="R3086" i="2"/>
  <c r="S3086" i="2" s="1"/>
  <c r="I3087" i="2"/>
  <c r="J3087" i="2"/>
  <c r="K3087" i="2"/>
  <c r="O3087" i="2"/>
  <c r="R3087" i="2"/>
  <c r="S3087" i="2" s="1"/>
  <c r="I3088" i="2"/>
  <c r="J3088" i="2"/>
  <c r="K3088" i="2"/>
  <c r="O3088" i="2"/>
  <c r="R3088" i="2"/>
  <c r="S3088" i="2" s="1"/>
  <c r="I3089" i="2"/>
  <c r="J3089" i="2"/>
  <c r="K3089" i="2"/>
  <c r="O3089" i="2"/>
  <c r="R3089" i="2"/>
  <c r="S3089" i="2" s="1"/>
  <c r="I3090" i="2"/>
  <c r="J3090" i="2"/>
  <c r="K3090" i="2"/>
  <c r="O3090" i="2"/>
  <c r="R3090" i="2"/>
  <c r="S3090" i="2" s="1"/>
  <c r="I3091" i="2"/>
  <c r="J3091" i="2"/>
  <c r="K3091" i="2"/>
  <c r="O3091" i="2"/>
  <c r="R3091" i="2"/>
  <c r="S3091" i="2" s="1"/>
  <c r="I3092" i="2"/>
  <c r="J3092" i="2"/>
  <c r="K3092" i="2"/>
  <c r="O3092" i="2"/>
  <c r="R3092" i="2"/>
  <c r="S3092" i="2" s="1"/>
  <c r="I3093" i="2"/>
  <c r="J3093" i="2"/>
  <c r="K3093" i="2"/>
  <c r="O3093" i="2"/>
  <c r="R3093" i="2"/>
  <c r="S3093" i="2" s="1"/>
  <c r="I3094" i="2"/>
  <c r="J3094" i="2"/>
  <c r="K3094" i="2"/>
  <c r="O3094" i="2"/>
  <c r="R3094" i="2"/>
  <c r="S3094" i="2" s="1"/>
  <c r="I3095" i="2"/>
  <c r="J3095" i="2"/>
  <c r="K3095" i="2"/>
  <c r="O3095" i="2"/>
  <c r="R3095" i="2"/>
  <c r="S3095" i="2" s="1"/>
  <c r="I3096" i="2"/>
  <c r="J3096" i="2"/>
  <c r="K3096" i="2"/>
  <c r="O3096" i="2"/>
  <c r="R3096" i="2"/>
  <c r="S3096" i="2" s="1"/>
  <c r="I3097" i="2"/>
  <c r="J3097" i="2"/>
  <c r="K3097" i="2"/>
  <c r="O3097" i="2"/>
  <c r="R3097" i="2"/>
  <c r="S3097" i="2" s="1"/>
  <c r="I3098" i="2"/>
  <c r="J3098" i="2"/>
  <c r="K3098" i="2"/>
  <c r="O3098" i="2"/>
  <c r="R3098" i="2"/>
  <c r="S3098" i="2" s="1"/>
  <c r="I3099" i="2"/>
  <c r="J3099" i="2"/>
  <c r="K3099" i="2"/>
  <c r="O3099" i="2"/>
  <c r="R3099" i="2"/>
  <c r="S3099" i="2" s="1"/>
  <c r="I3100" i="2"/>
  <c r="J3100" i="2"/>
  <c r="K3100" i="2"/>
  <c r="O3100" i="2"/>
  <c r="R3100" i="2"/>
  <c r="S3100" i="2" s="1"/>
  <c r="I3101" i="2"/>
  <c r="J3101" i="2"/>
  <c r="K3101" i="2"/>
  <c r="O3101" i="2"/>
  <c r="R3101" i="2"/>
  <c r="S3101" i="2" s="1"/>
  <c r="I3102" i="2"/>
  <c r="J3102" i="2"/>
  <c r="K3102" i="2"/>
  <c r="O3102" i="2"/>
  <c r="R3102" i="2"/>
  <c r="S3102" i="2" s="1"/>
  <c r="I3103" i="2"/>
  <c r="J3103" i="2"/>
  <c r="K3103" i="2"/>
  <c r="O3103" i="2"/>
  <c r="R3103" i="2"/>
  <c r="S3103" i="2" s="1"/>
  <c r="I3104" i="2"/>
  <c r="J3104" i="2"/>
  <c r="K3104" i="2"/>
  <c r="O3104" i="2"/>
  <c r="R3104" i="2"/>
  <c r="S3104" i="2" s="1"/>
  <c r="I3105" i="2"/>
  <c r="J3105" i="2"/>
  <c r="K3105" i="2"/>
  <c r="O3105" i="2"/>
  <c r="R3105" i="2"/>
  <c r="S3105" i="2" s="1"/>
  <c r="I3106" i="2"/>
  <c r="J3106" i="2"/>
  <c r="K3106" i="2"/>
  <c r="O3106" i="2"/>
  <c r="R3106" i="2"/>
  <c r="S3106" i="2" s="1"/>
  <c r="I3107" i="2"/>
  <c r="J3107" i="2"/>
  <c r="K3107" i="2"/>
  <c r="O3107" i="2"/>
  <c r="R3107" i="2"/>
  <c r="S3107" i="2" s="1"/>
  <c r="I3108" i="2"/>
  <c r="J3108" i="2"/>
  <c r="K3108" i="2"/>
  <c r="O3108" i="2"/>
  <c r="R3108" i="2"/>
  <c r="S3108" i="2" s="1"/>
  <c r="I3109" i="2"/>
  <c r="J3109" i="2"/>
  <c r="K3109" i="2"/>
  <c r="O3109" i="2"/>
  <c r="R3109" i="2"/>
  <c r="S3109" i="2" s="1"/>
  <c r="I3110" i="2"/>
  <c r="J3110" i="2"/>
  <c r="K3110" i="2"/>
  <c r="O3110" i="2"/>
  <c r="R3110" i="2"/>
  <c r="S3110" i="2" s="1"/>
  <c r="I3111" i="2"/>
  <c r="J3111" i="2"/>
  <c r="K3111" i="2"/>
  <c r="O3111" i="2"/>
  <c r="R3111" i="2"/>
  <c r="S3111" i="2" s="1"/>
  <c r="I3112" i="2"/>
  <c r="J3112" i="2"/>
  <c r="K3112" i="2"/>
  <c r="O3112" i="2"/>
  <c r="R3112" i="2"/>
  <c r="S3112" i="2" s="1"/>
  <c r="I3113" i="2"/>
  <c r="J3113" i="2"/>
  <c r="K3113" i="2"/>
  <c r="O3113" i="2"/>
  <c r="R3113" i="2"/>
  <c r="S3113" i="2" s="1"/>
  <c r="I3114" i="2"/>
  <c r="J3114" i="2"/>
  <c r="K3114" i="2"/>
  <c r="O3114" i="2"/>
  <c r="R3114" i="2"/>
  <c r="S3114" i="2" s="1"/>
  <c r="I3115" i="2"/>
  <c r="J3115" i="2"/>
  <c r="K3115" i="2"/>
  <c r="O3115" i="2"/>
  <c r="R3115" i="2"/>
  <c r="S3115" i="2" s="1"/>
  <c r="I3116" i="2"/>
  <c r="J3116" i="2"/>
  <c r="K3116" i="2"/>
  <c r="O3116" i="2"/>
  <c r="R3116" i="2"/>
  <c r="S3116" i="2" s="1"/>
  <c r="I3117" i="2"/>
  <c r="J3117" i="2"/>
  <c r="K3117" i="2"/>
  <c r="O3117" i="2"/>
  <c r="R3117" i="2"/>
  <c r="S3117" i="2" s="1"/>
  <c r="I3118" i="2"/>
  <c r="J3118" i="2"/>
  <c r="K3118" i="2"/>
  <c r="O3118" i="2"/>
  <c r="R3118" i="2"/>
  <c r="S3118" i="2" s="1"/>
  <c r="I3119" i="2"/>
  <c r="J3119" i="2"/>
  <c r="K3119" i="2"/>
  <c r="O3119" i="2"/>
  <c r="R3119" i="2"/>
  <c r="S3119" i="2" s="1"/>
  <c r="I3120" i="2"/>
  <c r="J3120" i="2"/>
  <c r="K3120" i="2"/>
  <c r="O3120" i="2"/>
  <c r="R3120" i="2"/>
  <c r="S3120" i="2" s="1"/>
  <c r="I3121" i="2"/>
  <c r="J3121" i="2"/>
  <c r="K3121" i="2"/>
  <c r="O3121" i="2"/>
  <c r="R3121" i="2"/>
  <c r="S3121" i="2" s="1"/>
  <c r="I3122" i="2"/>
  <c r="J3122" i="2"/>
  <c r="K3122" i="2"/>
  <c r="O3122" i="2"/>
  <c r="R3122" i="2"/>
  <c r="S3122" i="2" s="1"/>
  <c r="I3123" i="2"/>
  <c r="J3123" i="2"/>
  <c r="K3123" i="2"/>
  <c r="O3123" i="2"/>
  <c r="R3123" i="2"/>
  <c r="S3123" i="2" s="1"/>
  <c r="I3124" i="2"/>
  <c r="J3124" i="2"/>
  <c r="K3124" i="2"/>
  <c r="O3124" i="2"/>
  <c r="R3124" i="2"/>
  <c r="S3124" i="2" s="1"/>
  <c r="I3125" i="2"/>
  <c r="J3125" i="2"/>
  <c r="K3125" i="2"/>
  <c r="O3125" i="2"/>
  <c r="R3125" i="2"/>
  <c r="S3125" i="2" s="1"/>
  <c r="I3126" i="2"/>
  <c r="J3126" i="2"/>
  <c r="K3126" i="2"/>
  <c r="O3126" i="2"/>
  <c r="R3126" i="2"/>
  <c r="S3126" i="2" s="1"/>
  <c r="I3127" i="2"/>
  <c r="J3127" i="2"/>
  <c r="K3127" i="2"/>
  <c r="O3127" i="2"/>
  <c r="R3127" i="2"/>
  <c r="S3127" i="2" s="1"/>
  <c r="I3128" i="2"/>
  <c r="J3128" i="2"/>
  <c r="K3128" i="2"/>
  <c r="O3128" i="2"/>
  <c r="R3128" i="2"/>
  <c r="S3128" i="2" s="1"/>
  <c r="I3129" i="2"/>
  <c r="J3129" i="2"/>
  <c r="K3129" i="2"/>
  <c r="O3129" i="2"/>
  <c r="R3129" i="2"/>
  <c r="S3129" i="2" s="1"/>
  <c r="I3130" i="2"/>
  <c r="J3130" i="2"/>
  <c r="K3130" i="2"/>
  <c r="O3130" i="2"/>
  <c r="R3130" i="2"/>
  <c r="S3130" i="2" s="1"/>
  <c r="I3131" i="2"/>
  <c r="J3131" i="2"/>
  <c r="K3131" i="2"/>
  <c r="O3131" i="2"/>
  <c r="R3131" i="2"/>
  <c r="S3131" i="2" s="1"/>
  <c r="I3132" i="2"/>
  <c r="J3132" i="2"/>
  <c r="K3132" i="2"/>
  <c r="O3132" i="2"/>
  <c r="R3132" i="2"/>
  <c r="S3132" i="2" s="1"/>
  <c r="I3133" i="2"/>
  <c r="J3133" i="2"/>
  <c r="K3133" i="2"/>
  <c r="O3133" i="2"/>
  <c r="R3133" i="2"/>
  <c r="S3133" i="2" s="1"/>
  <c r="I3134" i="2"/>
  <c r="J3134" i="2"/>
  <c r="K3134" i="2"/>
  <c r="O3134" i="2"/>
  <c r="R3134" i="2"/>
  <c r="S3134" i="2" s="1"/>
  <c r="I3135" i="2"/>
  <c r="J3135" i="2"/>
  <c r="K3135" i="2"/>
  <c r="O3135" i="2"/>
  <c r="R3135" i="2"/>
  <c r="S3135" i="2" s="1"/>
  <c r="I3136" i="2"/>
  <c r="J3136" i="2"/>
  <c r="K3136" i="2"/>
  <c r="O3136" i="2"/>
  <c r="R3136" i="2"/>
  <c r="S3136" i="2" s="1"/>
  <c r="I3137" i="2"/>
  <c r="J3137" i="2"/>
  <c r="K3137" i="2"/>
  <c r="O3137" i="2"/>
  <c r="R3137" i="2"/>
  <c r="S3137" i="2" s="1"/>
  <c r="I3138" i="2"/>
  <c r="J3138" i="2"/>
  <c r="K3138" i="2"/>
  <c r="O3138" i="2"/>
  <c r="R3138" i="2"/>
  <c r="S3138" i="2" s="1"/>
  <c r="I3139" i="2"/>
  <c r="J3139" i="2"/>
  <c r="K3139" i="2"/>
  <c r="O3139" i="2"/>
  <c r="R3139" i="2"/>
  <c r="S3139" i="2" s="1"/>
  <c r="I3140" i="2"/>
  <c r="J3140" i="2"/>
  <c r="K3140" i="2"/>
  <c r="O3140" i="2"/>
  <c r="R3140" i="2"/>
  <c r="S3140" i="2" s="1"/>
  <c r="I3141" i="2"/>
  <c r="J3141" i="2"/>
  <c r="K3141" i="2"/>
  <c r="O3141" i="2"/>
  <c r="R3141" i="2"/>
  <c r="S3141" i="2" s="1"/>
  <c r="I3142" i="2"/>
  <c r="J3142" i="2"/>
  <c r="K3142" i="2"/>
  <c r="O3142" i="2"/>
  <c r="R3142" i="2"/>
  <c r="S3142" i="2" s="1"/>
  <c r="I3143" i="2"/>
  <c r="J3143" i="2"/>
  <c r="K3143" i="2"/>
  <c r="O3143" i="2"/>
  <c r="R3143" i="2"/>
  <c r="S3143" i="2" s="1"/>
  <c r="I3144" i="2"/>
  <c r="J3144" i="2"/>
  <c r="K3144" i="2"/>
  <c r="O3144" i="2"/>
  <c r="R3144" i="2"/>
  <c r="S3144" i="2" s="1"/>
  <c r="I3145" i="2"/>
  <c r="J3145" i="2"/>
  <c r="K3145" i="2"/>
  <c r="O3145" i="2"/>
  <c r="R3145" i="2"/>
  <c r="S3145" i="2" s="1"/>
  <c r="I3146" i="2"/>
  <c r="J3146" i="2"/>
  <c r="K3146" i="2"/>
  <c r="O3146" i="2"/>
  <c r="R3146" i="2"/>
  <c r="S3146" i="2" s="1"/>
  <c r="I3147" i="2"/>
  <c r="J3147" i="2"/>
  <c r="K3147" i="2"/>
  <c r="O3147" i="2"/>
  <c r="R3147" i="2"/>
  <c r="S3147" i="2" s="1"/>
  <c r="I3148" i="2"/>
  <c r="J3148" i="2"/>
  <c r="K3148" i="2"/>
  <c r="O3148" i="2"/>
  <c r="R3148" i="2"/>
  <c r="S3148" i="2" s="1"/>
  <c r="I3149" i="2"/>
  <c r="J3149" i="2"/>
  <c r="K3149" i="2"/>
  <c r="O3149" i="2"/>
  <c r="R3149" i="2"/>
  <c r="S3149" i="2" s="1"/>
  <c r="I3150" i="2"/>
  <c r="J3150" i="2"/>
  <c r="K3150" i="2"/>
  <c r="O3150" i="2"/>
  <c r="R3150" i="2"/>
  <c r="S3150" i="2" s="1"/>
  <c r="I3151" i="2"/>
  <c r="J3151" i="2"/>
  <c r="K3151" i="2"/>
  <c r="O3151" i="2"/>
  <c r="R3151" i="2"/>
  <c r="S3151" i="2" s="1"/>
  <c r="I3152" i="2"/>
  <c r="J3152" i="2"/>
  <c r="K3152" i="2"/>
  <c r="O3152" i="2"/>
  <c r="R3152" i="2"/>
  <c r="S3152" i="2" s="1"/>
  <c r="I3153" i="2"/>
  <c r="J3153" i="2"/>
  <c r="K3153" i="2"/>
  <c r="O3153" i="2"/>
  <c r="R3153" i="2"/>
  <c r="S3153" i="2" s="1"/>
  <c r="I3154" i="2"/>
  <c r="J3154" i="2"/>
  <c r="K3154" i="2"/>
  <c r="O3154" i="2"/>
  <c r="R3154" i="2"/>
  <c r="S3154" i="2" s="1"/>
  <c r="I3155" i="2"/>
  <c r="J3155" i="2"/>
  <c r="K3155" i="2"/>
  <c r="O3155" i="2"/>
  <c r="R3155" i="2"/>
  <c r="S3155" i="2" s="1"/>
  <c r="I3156" i="2"/>
  <c r="J3156" i="2"/>
  <c r="K3156" i="2"/>
  <c r="O3156" i="2"/>
  <c r="R3156" i="2"/>
  <c r="S3156" i="2" s="1"/>
  <c r="I3157" i="2"/>
  <c r="J3157" i="2"/>
  <c r="K3157" i="2"/>
  <c r="O3157" i="2"/>
  <c r="R3157" i="2"/>
  <c r="S3157" i="2" s="1"/>
  <c r="I3158" i="2"/>
  <c r="J3158" i="2"/>
  <c r="K3158" i="2"/>
  <c r="O3158" i="2"/>
  <c r="R3158" i="2"/>
  <c r="S3158" i="2" s="1"/>
  <c r="I3159" i="2"/>
  <c r="J3159" i="2"/>
  <c r="K3159" i="2"/>
  <c r="O3159" i="2"/>
  <c r="R3159" i="2"/>
  <c r="S3159" i="2" s="1"/>
  <c r="I3160" i="2"/>
  <c r="J3160" i="2"/>
  <c r="K3160" i="2"/>
  <c r="O3160" i="2"/>
  <c r="R3160" i="2"/>
  <c r="S3160" i="2" s="1"/>
  <c r="I3161" i="2"/>
  <c r="J3161" i="2"/>
  <c r="K3161" i="2"/>
  <c r="O3161" i="2"/>
  <c r="R3161" i="2"/>
  <c r="S3161" i="2" s="1"/>
  <c r="I3162" i="2"/>
  <c r="J3162" i="2"/>
  <c r="K3162" i="2"/>
  <c r="O3162" i="2"/>
  <c r="R3162" i="2"/>
  <c r="S3162" i="2" s="1"/>
  <c r="I3163" i="2"/>
  <c r="J3163" i="2"/>
  <c r="K3163" i="2"/>
  <c r="O3163" i="2"/>
  <c r="R3163" i="2"/>
  <c r="S3163" i="2" s="1"/>
  <c r="I3164" i="2"/>
  <c r="J3164" i="2"/>
  <c r="K3164" i="2"/>
  <c r="O3164" i="2"/>
  <c r="R3164" i="2"/>
  <c r="S3164" i="2" s="1"/>
  <c r="I3165" i="2"/>
  <c r="J3165" i="2"/>
  <c r="K3165" i="2"/>
  <c r="O3165" i="2"/>
  <c r="R3165" i="2"/>
  <c r="S3165" i="2" s="1"/>
  <c r="I3166" i="2"/>
  <c r="J3166" i="2"/>
  <c r="K3166" i="2"/>
  <c r="O3166" i="2"/>
  <c r="R3166" i="2"/>
  <c r="S3166" i="2" s="1"/>
  <c r="I3167" i="2"/>
  <c r="J3167" i="2"/>
  <c r="K3167" i="2"/>
  <c r="O3167" i="2"/>
  <c r="R3167" i="2"/>
  <c r="S3167" i="2" s="1"/>
  <c r="I3168" i="2"/>
  <c r="J3168" i="2"/>
  <c r="K3168" i="2"/>
  <c r="O3168" i="2"/>
  <c r="R3168" i="2"/>
  <c r="S3168" i="2" s="1"/>
  <c r="I3169" i="2"/>
  <c r="J3169" i="2"/>
  <c r="K3169" i="2"/>
  <c r="O3169" i="2"/>
  <c r="R3169" i="2"/>
  <c r="S3169" i="2" s="1"/>
  <c r="I3170" i="2"/>
  <c r="J3170" i="2"/>
  <c r="K3170" i="2"/>
  <c r="O3170" i="2"/>
  <c r="R3170" i="2"/>
  <c r="S3170" i="2" s="1"/>
  <c r="I3171" i="2"/>
  <c r="J3171" i="2"/>
  <c r="K3171" i="2"/>
  <c r="O3171" i="2"/>
  <c r="R3171" i="2"/>
  <c r="S3171" i="2" s="1"/>
  <c r="I3172" i="2"/>
  <c r="J3172" i="2"/>
  <c r="K3172" i="2"/>
  <c r="O3172" i="2"/>
  <c r="R3172" i="2"/>
  <c r="S3172" i="2" s="1"/>
  <c r="I3173" i="2"/>
  <c r="J3173" i="2"/>
  <c r="K3173" i="2"/>
  <c r="O3173" i="2"/>
  <c r="R3173" i="2"/>
  <c r="S3173" i="2" s="1"/>
  <c r="I3174" i="2"/>
  <c r="J3174" i="2"/>
  <c r="K3174" i="2"/>
  <c r="O3174" i="2"/>
  <c r="R3174" i="2"/>
  <c r="S3174" i="2" s="1"/>
  <c r="I3175" i="2"/>
  <c r="J3175" i="2"/>
  <c r="K3175" i="2"/>
  <c r="O3175" i="2"/>
  <c r="R3175" i="2"/>
  <c r="S3175" i="2" s="1"/>
  <c r="I3176" i="2"/>
  <c r="J3176" i="2"/>
  <c r="K3176" i="2"/>
  <c r="O3176" i="2"/>
  <c r="R3176" i="2"/>
  <c r="S3176" i="2" s="1"/>
  <c r="I3177" i="2"/>
  <c r="J3177" i="2"/>
  <c r="K3177" i="2"/>
  <c r="O3177" i="2"/>
  <c r="R3177" i="2"/>
  <c r="S3177" i="2" s="1"/>
  <c r="I3178" i="2"/>
  <c r="J3178" i="2"/>
  <c r="K3178" i="2"/>
  <c r="O3178" i="2"/>
  <c r="R3178" i="2"/>
  <c r="S3178" i="2" s="1"/>
  <c r="I3179" i="2"/>
  <c r="J3179" i="2"/>
  <c r="K3179" i="2"/>
  <c r="O3179" i="2"/>
  <c r="R3179" i="2"/>
  <c r="S3179" i="2" s="1"/>
  <c r="I3180" i="2"/>
  <c r="J3180" i="2"/>
  <c r="K3180" i="2"/>
  <c r="O3180" i="2"/>
  <c r="R3180" i="2"/>
  <c r="S3180" i="2" s="1"/>
  <c r="I3181" i="2"/>
  <c r="J3181" i="2"/>
  <c r="K3181" i="2"/>
  <c r="O3181" i="2"/>
  <c r="R3181" i="2"/>
  <c r="S3181" i="2" s="1"/>
  <c r="I3182" i="2"/>
  <c r="J3182" i="2"/>
  <c r="K3182" i="2"/>
  <c r="O3182" i="2"/>
  <c r="R3182" i="2"/>
  <c r="S3182" i="2" s="1"/>
  <c r="I3183" i="2"/>
  <c r="J3183" i="2"/>
  <c r="K3183" i="2"/>
  <c r="O3183" i="2"/>
  <c r="R3183" i="2"/>
  <c r="S3183" i="2" s="1"/>
  <c r="I3184" i="2"/>
  <c r="J3184" i="2"/>
  <c r="K3184" i="2"/>
  <c r="O3184" i="2"/>
  <c r="R3184" i="2"/>
  <c r="S3184" i="2" s="1"/>
  <c r="I3185" i="2"/>
  <c r="J3185" i="2"/>
  <c r="K3185" i="2"/>
  <c r="O3185" i="2"/>
  <c r="R3185" i="2"/>
  <c r="S3185" i="2" s="1"/>
  <c r="I3186" i="2"/>
  <c r="J3186" i="2"/>
  <c r="K3186" i="2"/>
  <c r="O3186" i="2"/>
  <c r="R3186" i="2"/>
  <c r="S3186" i="2" s="1"/>
  <c r="I3187" i="2"/>
  <c r="J3187" i="2"/>
  <c r="K3187" i="2"/>
  <c r="O3187" i="2"/>
  <c r="R3187" i="2"/>
  <c r="S3187" i="2" s="1"/>
  <c r="I3188" i="2"/>
  <c r="J3188" i="2"/>
  <c r="K3188" i="2"/>
  <c r="O3188" i="2"/>
  <c r="R3188" i="2"/>
  <c r="S3188" i="2" s="1"/>
  <c r="I3189" i="2"/>
  <c r="J3189" i="2"/>
  <c r="K3189" i="2"/>
  <c r="O3189" i="2"/>
  <c r="R3189" i="2"/>
  <c r="S3189" i="2" s="1"/>
  <c r="I3190" i="2"/>
  <c r="J3190" i="2"/>
  <c r="K3190" i="2"/>
  <c r="O3190" i="2"/>
  <c r="R3190" i="2"/>
  <c r="S3190" i="2" s="1"/>
  <c r="I3191" i="2"/>
  <c r="J3191" i="2"/>
  <c r="K3191" i="2"/>
  <c r="O3191" i="2"/>
  <c r="R3191" i="2"/>
  <c r="S3191" i="2" s="1"/>
  <c r="I3192" i="2"/>
  <c r="J3192" i="2"/>
  <c r="K3192" i="2"/>
  <c r="O3192" i="2"/>
  <c r="R3192" i="2"/>
  <c r="S3192" i="2" s="1"/>
  <c r="I3193" i="2"/>
  <c r="J3193" i="2"/>
  <c r="K3193" i="2"/>
  <c r="O3193" i="2"/>
  <c r="R3193" i="2"/>
  <c r="S3193" i="2" s="1"/>
  <c r="I3194" i="2"/>
  <c r="J3194" i="2"/>
  <c r="K3194" i="2"/>
  <c r="O3194" i="2"/>
  <c r="R3194" i="2"/>
  <c r="S3194" i="2" s="1"/>
  <c r="I3195" i="2"/>
  <c r="J3195" i="2"/>
  <c r="K3195" i="2"/>
  <c r="O3195" i="2"/>
  <c r="R3195" i="2"/>
  <c r="S3195" i="2" s="1"/>
  <c r="I3196" i="2"/>
  <c r="J3196" i="2"/>
  <c r="K3196" i="2"/>
  <c r="O3196" i="2"/>
  <c r="R3196" i="2"/>
  <c r="S3196" i="2" s="1"/>
  <c r="I3197" i="2"/>
  <c r="J3197" i="2"/>
  <c r="K3197" i="2"/>
  <c r="O3197" i="2"/>
  <c r="R3197" i="2"/>
  <c r="S3197" i="2" s="1"/>
  <c r="I3198" i="2"/>
  <c r="J3198" i="2"/>
  <c r="K3198" i="2"/>
  <c r="O3198" i="2"/>
  <c r="R3198" i="2"/>
  <c r="S3198" i="2" s="1"/>
  <c r="I3199" i="2"/>
  <c r="J3199" i="2"/>
  <c r="K3199" i="2"/>
  <c r="O3199" i="2"/>
  <c r="R3199" i="2"/>
  <c r="S3199" i="2" s="1"/>
  <c r="I3200" i="2"/>
  <c r="J3200" i="2"/>
  <c r="K3200" i="2"/>
  <c r="O3200" i="2"/>
  <c r="R3200" i="2"/>
  <c r="S3200" i="2" s="1"/>
  <c r="I3201" i="2"/>
  <c r="J3201" i="2"/>
  <c r="K3201" i="2"/>
  <c r="O3201" i="2"/>
  <c r="R3201" i="2"/>
  <c r="S3201" i="2" s="1"/>
  <c r="I3202" i="2"/>
  <c r="J3202" i="2"/>
  <c r="K3202" i="2"/>
  <c r="O3202" i="2"/>
  <c r="R3202" i="2"/>
  <c r="S3202" i="2" s="1"/>
  <c r="I3203" i="2"/>
  <c r="J3203" i="2"/>
  <c r="K3203" i="2"/>
  <c r="O3203" i="2"/>
  <c r="R3203" i="2"/>
  <c r="S3203" i="2" s="1"/>
  <c r="I3204" i="2"/>
  <c r="J3204" i="2"/>
  <c r="K3204" i="2"/>
  <c r="O3204" i="2"/>
  <c r="R3204" i="2"/>
  <c r="S3204" i="2" s="1"/>
  <c r="I3205" i="2"/>
  <c r="J3205" i="2"/>
  <c r="K3205" i="2"/>
  <c r="O3205" i="2"/>
  <c r="R3205" i="2"/>
  <c r="S3205" i="2" s="1"/>
  <c r="I3206" i="2"/>
  <c r="J3206" i="2"/>
  <c r="K3206" i="2"/>
  <c r="O3206" i="2"/>
  <c r="R3206" i="2"/>
  <c r="S3206" i="2" s="1"/>
  <c r="I3207" i="2"/>
  <c r="J3207" i="2"/>
  <c r="K3207" i="2"/>
  <c r="O3207" i="2"/>
  <c r="R3207" i="2"/>
  <c r="S3207" i="2" s="1"/>
  <c r="I3208" i="2"/>
  <c r="J3208" i="2"/>
  <c r="K3208" i="2"/>
  <c r="O3208" i="2"/>
  <c r="R3208" i="2"/>
  <c r="S3208" i="2" s="1"/>
  <c r="I3209" i="2"/>
  <c r="J3209" i="2"/>
  <c r="K3209" i="2"/>
  <c r="O3209" i="2"/>
  <c r="R3209" i="2"/>
  <c r="S3209" i="2" s="1"/>
  <c r="I3210" i="2"/>
  <c r="J3210" i="2"/>
  <c r="K3210" i="2"/>
  <c r="O3210" i="2"/>
  <c r="R3210" i="2"/>
  <c r="S3210" i="2" s="1"/>
  <c r="I3211" i="2"/>
  <c r="J3211" i="2"/>
  <c r="K3211" i="2"/>
  <c r="O3211" i="2"/>
  <c r="R3211" i="2"/>
  <c r="S3211" i="2" s="1"/>
  <c r="I3212" i="2"/>
  <c r="J3212" i="2"/>
  <c r="K3212" i="2"/>
  <c r="O3212" i="2"/>
  <c r="R3212" i="2"/>
  <c r="S3212" i="2" s="1"/>
  <c r="I3213" i="2"/>
  <c r="J3213" i="2"/>
  <c r="K3213" i="2"/>
  <c r="O3213" i="2"/>
  <c r="R3213" i="2"/>
  <c r="S3213" i="2" s="1"/>
  <c r="I3214" i="2"/>
  <c r="J3214" i="2"/>
  <c r="K3214" i="2"/>
  <c r="O3214" i="2"/>
  <c r="R3214" i="2"/>
  <c r="S3214" i="2" s="1"/>
  <c r="I3215" i="2"/>
  <c r="J3215" i="2"/>
  <c r="K3215" i="2"/>
  <c r="O3215" i="2"/>
  <c r="R3215" i="2"/>
  <c r="S3215" i="2" s="1"/>
  <c r="I3216" i="2"/>
  <c r="J3216" i="2"/>
  <c r="K3216" i="2"/>
  <c r="O3216" i="2"/>
  <c r="R3216" i="2"/>
  <c r="S3216" i="2" s="1"/>
  <c r="I3217" i="2"/>
  <c r="J3217" i="2"/>
  <c r="K3217" i="2"/>
  <c r="O3217" i="2"/>
  <c r="R3217" i="2"/>
  <c r="S3217" i="2" s="1"/>
  <c r="I3218" i="2"/>
  <c r="J3218" i="2"/>
  <c r="K3218" i="2"/>
  <c r="O3218" i="2"/>
  <c r="R3218" i="2"/>
  <c r="S3218" i="2" s="1"/>
  <c r="I3219" i="2"/>
  <c r="J3219" i="2"/>
  <c r="K3219" i="2"/>
  <c r="O3219" i="2"/>
  <c r="R3219" i="2"/>
  <c r="S3219" i="2" s="1"/>
  <c r="I3220" i="2"/>
  <c r="J3220" i="2"/>
  <c r="K3220" i="2"/>
  <c r="O3220" i="2"/>
  <c r="R3220" i="2"/>
  <c r="S3220" i="2" s="1"/>
  <c r="I3221" i="2"/>
  <c r="J3221" i="2"/>
  <c r="K3221" i="2"/>
  <c r="O3221" i="2"/>
  <c r="R3221" i="2"/>
  <c r="S3221" i="2" s="1"/>
  <c r="I3222" i="2"/>
  <c r="J3222" i="2"/>
  <c r="K3222" i="2"/>
  <c r="O3222" i="2"/>
  <c r="R3222" i="2"/>
  <c r="S3222" i="2" s="1"/>
  <c r="I3223" i="2"/>
  <c r="J3223" i="2"/>
  <c r="K3223" i="2"/>
  <c r="O3223" i="2"/>
  <c r="R3223" i="2"/>
  <c r="S3223" i="2" s="1"/>
  <c r="I3224" i="2"/>
  <c r="J3224" i="2"/>
  <c r="K3224" i="2"/>
  <c r="O3224" i="2"/>
  <c r="R3224" i="2"/>
  <c r="S3224" i="2" s="1"/>
  <c r="I3225" i="2"/>
  <c r="J3225" i="2"/>
  <c r="K3225" i="2"/>
  <c r="O3225" i="2"/>
  <c r="R3225" i="2"/>
  <c r="S3225" i="2" s="1"/>
  <c r="I3226" i="2"/>
  <c r="J3226" i="2"/>
  <c r="K3226" i="2"/>
  <c r="O3226" i="2"/>
  <c r="R3226" i="2"/>
  <c r="S3226" i="2" s="1"/>
  <c r="I3227" i="2"/>
  <c r="J3227" i="2"/>
  <c r="K3227" i="2"/>
  <c r="O3227" i="2"/>
  <c r="R3227" i="2"/>
  <c r="S3227" i="2" s="1"/>
  <c r="I3228" i="2"/>
  <c r="J3228" i="2"/>
  <c r="K3228" i="2"/>
  <c r="O3228" i="2"/>
  <c r="R3228" i="2"/>
  <c r="S3228" i="2" s="1"/>
  <c r="I3229" i="2"/>
  <c r="J3229" i="2"/>
  <c r="K3229" i="2"/>
  <c r="O3229" i="2"/>
  <c r="R3229" i="2"/>
  <c r="S3229" i="2" s="1"/>
  <c r="I3230" i="2"/>
  <c r="J3230" i="2"/>
  <c r="K3230" i="2"/>
  <c r="O3230" i="2"/>
  <c r="R3230" i="2"/>
  <c r="S3230" i="2" s="1"/>
  <c r="I3231" i="2"/>
  <c r="J3231" i="2"/>
  <c r="K3231" i="2"/>
  <c r="O3231" i="2"/>
  <c r="R3231" i="2"/>
  <c r="S3231" i="2" s="1"/>
  <c r="I3232" i="2"/>
  <c r="J3232" i="2"/>
  <c r="K3232" i="2"/>
  <c r="O3232" i="2"/>
  <c r="R3232" i="2"/>
  <c r="S3232" i="2" s="1"/>
  <c r="I3233" i="2"/>
  <c r="J3233" i="2"/>
  <c r="K3233" i="2"/>
  <c r="O3233" i="2"/>
  <c r="R3233" i="2"/>
  <c r="S3233" i="2" s="1"/>
  <c r="I3234" i="2"/>
  <c r="J3234" i="2"/>
  <c r="K3234" i="2"/>
  <c r="O3234" i="2"/>
  <c r="R3234" i="2"/>
  <c r="S3234" i="2" s="1"/>
  <c r="I3235" i="2"/>
  <c r="J3235" i="2"/>
  <c r="K3235" i="2"/>
  <c r="O3235" i="2"/>
  <c r="R3235" i="2"/>
  <c r="S3235" i="2" s="1"/>
  <c r="I3236" i="2"/>
  <c r="J3236" i="2"/>
  <c r="K3236" i="2"/>
  <c r="O3236" i="2"/>
  <c r="R3236" i="2"/>
  <c r="S3236" i="2" s="1"/>
  <c r="I3237" i="2"/>
  <c r="J3237" i="2"/>
  <c r="K3237" i="2"/>
  <c r="O3237" i="2"/>
  <c r="R3237" i="2"/>
  <c r="S3237" i="2" s="1"/>
  <c r="I3238" i="2"/>
  <c r="J3238" i="2"/>
  <c r="K3238" i="2"/>
  <c r="O3238" i="2"/>
  <c r="R3238" i="2"/>
  <c r="S3238" i="2" s="1"/>
  <c r="I3239" i="2"/>
  <c r="J3239" i="2"/>
  <c r="K3239" i="2"/>
  <c r="O3239" i="2"/>
  <c r="R3239" i="2"/>
  <c r="S3239" i="2" s="1"/>
  <c r="I3240" i="2"/>
  <c r="J3240" i="2"/>
  <c r="K3240" i="2"/>
  <c r="O3240" i="2"/>
  <c r="R3240" i="2"/>
  <c r="S3240" i="2" s="1"/>
  <c r="I3241" i="2"/>
  <c r="J3241" i="2"/>
  <c r="K3241" i="2"/>
  <c r="O3241" i="2"/>
  <c r="R3241" i="2"/>
  <c r="S3241" i="2" s="1"/>
  <c r="I3242" i="2"/>
  <c r="J3242" i="2"/>
  <c r="K3242" i="2"/>
  <c r="O3242" i="2"/>
  <c r="R3242" i="2"/>
  <c r="S3242" i="2" s="1"/>
  <c r="I3243" i="2"/>
  <c r="J3243" i="2"/>
  <c r="K3243" i="2"/>
  <c r="O3243" i="2"/>
  <c r="R3243" i="2"/>
  <c r="S3243" i="2" s="1"/>
  <c r="I3244" i="2"/>
  <c r="J3244" i="2"/>
  <c r="K3244" i="2"/>
  <c r="O3244" i="2"/>
  <c r="R3244" i="2"/>
  <c r="S3244" i="2" s="1"/>
  <c r="I3245" i="2"/>
  <c r="J3245" i="2"/>
  <c r="K3245" i="2"/>
  <c r="O3245" i="2"/>
  <c r="R3245" i="2"/>
  <c r="S3245" i="2" s="1"/>
  <c r="I3246" i="2"/>
  <c r="J3246" i="2"/>
  <c r="K3246" i="2"/>
  <c r="O3246" i="2"/>
  <c r="R3246" i="2"/>
  <c r="S3246" i="2" s="1"/>
  <c r="I3247" i="2"/>
  <c r="J3247" i="2"/>
  <c r="K3247" i="2"/>
  <c r="O3247" i="2"/>
  <c r="R3247" i="2"/>
  <c r="S3247" i="2" s="1"/>
  <c r="I3248" i="2"/>
  <c r="J3248" i="2"/>
  <c r="K3248" i="2"/>
  <c r="O3248" i="2"/>
  <c r="R3248" i="2"/>
  <c r="S3248" i="2" s="1"/>
  <c r="I3249" i="2"/>
  <c r="J3249" i="2"/>
  <c r="K3249" i="2"/>
  <c r="O3249" i="2"/>
  <c r="R3249" i="2"/>
  <c r="S3249" i="2" s="1"/>
  <c r="I3250" i="2"/>
  <c r="J3250" i="2"/>
  <c r="K3250" i="2"/>
  <c r="O3250" i="2"/>
  <c r="R3250" i="2"/>
  <c r="S3250" i="2" s="1"/>
  <c r="I3251" i="2"/>
  <c r="J3251" i="2"/>
  <c r="K3251" i="2"/>
  <c r="O3251" i="2"/>
  <c r="R3251" i="2"/>
  <c r="S3251" i="2" s="1"/>
  <c r="I3252" i="2"/>
  <c r="J3252" i="2"/>
  <c r="K3252" i="2"/>
  <c r="O3252" i="2"/>
  <c r="R3252" i="2"/>
  <c r="S3252" i="2" s="1"/>
  <c r="I3253" i="2"/>
  <c r="J3253" i="2"/>
  <c r="K3253" i="2"/>
  <c r="O3253" i="2"/>
  <c r="R3253" i="2"/>
  <c r="S3253" i="2" s="1"/>
  <c r="I3254" i="2"/>
  <c r="J3254" i="2"/>
  <c r="K3254" i="2"/>
  <c r="O3254" i="2"/>
  <c r="R3254" i="2"/>
  <c r="S3254" i="2" s="1"/>
  <c r="I3255" i="2"/>
  <c r="J3255" i="2"/>
  <c r="K3255" i="2"/>
  <c r="O3255" i="2"/>
  <c r="R3255" i="2"/>
  <c r="S3255" i="2" s="1"/>
  <c r="I3256" i="2"/>
  <c r="J3256" i="2"/>
  <c r="K3256" i="2"/>
  <c r="O3256" i="2"/>
  <c r="R3256" i="2"/>
  <c r="S3256" i="2" s="1"/>
  <c r="I3257" i="2"/>
  <c r="J3257" i="2"/>
  <c r="K3257" i="2"/>
  <c r="O3257" i="2"/>
  <c r="R3257" i="2"/>
  <c r="S3257" i="2" s="1"/>
  <c r="I3258" i="2"/>
  <c r="J3258" i="2"/>
  <c r="K3258" i="2"/>
  <c r="O3258" i="2"/>
  <c r="R3258" i="2"/>
  <c r="S3258" i="2" s="1"/>
  <c r="I3259" i="2"/>
  <c r="J3259" i="2"/>
  <c r="K3259" i="2"/>
  <c r="O3259" i="2"/>
  <c r="R3259" i="2"/>
  <c r="S3259" i="2" s="1"/>
  <c r="I3260" i="2"/>
  <c r="J3260" i="2"/>
  <c r="K3260" i="2"/>
  <c r="O3260" i="2"/>
  <c r="R3260" i="2"/>
  <c r="S3260" i="2" s="1"/>
  <c r="I3261" i="2"/>
  <c r="J3261" i="2"/>
  <c r="K3261" i="2"/>
  <c r="O3261" i="2"/>
  <c r="R3261" i="2"/>
  <c r="S3261" i="2" s="1"/>
  <c r="I3262" i="2"/>
  <c r="J3262" i="2"/>
  <c r="K3262" i="2"/>
  <c r="O3262" i="2"/>
  <c r="R3262" i="2"/>
  <c r="S3262" i="2" s="1"/>
  <c r="I3263" i="2"/>
  <c r="J3263" i="2"/>
  <c r="K3263" i="2"/>
  <c r="O3263" i="2"/>
  <c r="R3263" i="2"/>
  <c r="S3263" i="2" s="1"/>
  <c r="I3264" i="2"/>
  <c r="J3264" i="2"/>
  <c r="K3264" i="2"/>
  <c r="O3264" i="2"/>
  <c r="R3264" i="2"/>
  <c r="S3264" i="2" s="1"/>
  <c r="I3265" i="2"/>
  <c r="J3265" i="2"/>
  <c r="K3265" i="2"/>
  <c r="O3265" i="2"/>
  <c r="R3265" i="2"/>
  <c r="S3265" i="2" s="1"/>
  <c r="I3266" i="2"/>
  <c r="J3266" i="2"/>
  <c r="K3266" i="2"/>
  <c r="O3266" i="2"/>
  <c r="R3266" i="2"/>
  <c r="S3266" i="2" s="1"/>
  <c r="I3267" i="2"/>
  <c r="J3267" i="2"/>
  <c r="K3267" i="2"/>
  <c r="O3267" i="2"/>
  <c r="R3267" i="2"/>
  <c r="S3267" i="2" s="1"/>
  <c r="I3268" i="2"/>
  <c r="J3268" i="2"/>
  <c r="K3268" i="2"/>
  <c r="O3268" i="2"/>
  <c r="R3268" i="2"/>
  <c r="S3268" i="2" s="1"/>
  <c r="I3269" i="2"/>
  <c r="J3269" i="2"/>
  <c r="K3269" i="2"/>
  <c r="O3269" i="2"/>
  <c r="R3269" i="2"/>
  <c r="S3269" i="2" s="1"/>
  <c r="I3270" i="2"/>
  <c r="J3270" i="2"/>
  <c r="K3270" i="2"/>
  <c r="O3270" i="2"/>
  <c r="R3270" i="2"/>
  <c r="S3270" i="2" s="1"/>
  <c r="I3271" i="2"/>
  <c r="J3271" i="2"/>
  <c r="K3271" i="2"/>
  <c r="O3271" i="2"/>
  <c r="R3271" i="2"/>
  <c r="S3271" i="2" s="1"/>
  <c r="I3272" i="2"/>
  <c r="J3272" i="2"/>
  <c r="K3272" i="2"/>
  <c r="O3272" i="2"/>
  <c r="R3272" i="2"/>
  <c r="S3272" i="2" s="1"/>
  <c r="I3273" i="2"/>
  <c r="J3273" i="2"/>
  <c r="K3273" i="2"/>
  <c r="O3273" i="2"/>
  <c r="R3273" i="2"/>
  <c r="S3273" i="2" s="1"/>
  <c r="I3274" i="2"/>
  <c r="J3274" i="2"/>
  <c r="K3274" i="2"/>
  <c r="O3274" i="2"/>
  <c r="R3274" i="2"/>
  <c r="S3274" i="2" s="1"/>
  <c r="I3275" i="2"/>
  <c r="J3275" i="2"/>
  <c r="K3275" i="2"/>
  <c r="O3275" i="2"/>
  <c r="R3275" i="2"/>
  <c r="S3275" i="2" s="1"/>
  <c r="I3276" i="2"/>
  <c r="J3276" i="2"/>
  <c r="K3276" i="2"/>
  <c r="O3276" i="2"/>
  <c r="R3276" i="2"/>
  <c r="S3276" i="2" s="1"/>
  <c r="I3277" i="2"/>
  <c r="J3277" i="2"/>
  <c r="K3277" i="2"/>
  <c r="O3277" i="2"/>
  <c r="R3277" i="2"/>
  <c r="S3277" i="2" s="1"/>
  <c r="I3278" i="2"/>
  <c r="J3278" i="2"/>
  <c r="K3278" i="2"/>
  <c r="O3278" i="2"/>
  <c r="R3278" i="2"/>
  <c r="S3278" i="2" s="1"/>
  <c r="I3279" i="2"/>
  <c r="J3279" i="2"/>
  <c r="K3279" i="2"/>
  <c r="O3279" i="2"/>
  <c r="R3279" i="2"/>
  <c r="S3279" i="2" s="1"/>
  <c r="I3280" i="2"/>
  <c r="J3280" i="2"/>
  <c r="K3280" i="2"/>
  <c r="O3280" i="2"/>
  <c r="R3280" i="2"/>
  <c r="S3280" i="2" s="1"/>
  <c r="I3281" i="2"/>
  <c r="J3281" i="2"/>
  <c r="K3281" i="2"/>
  <c r="O3281" i="2"/>
  <c r="R3281" i="2"/>
  <c r="S3281" i="2" s="1"/>
  <c r="I3282" i="2"/>
  <c r="J3282" i="2"/>
  <c r="K3282" i="2"/>
  <c r="O3282" i="2"/>
  <c r="R3282" i="2"/>
  <c r="S3282" i="2" s="1"/>
  <c r="I3283" i="2"/>
  <c r="J3283" i="2"/>
  <c r="K3283" i="2"/>
  <c r="O3283" i="2"/>
  <c r="R3283" i="2"/>
  <c r="S3283" i="2" s="1"/>
  <c r="I3284" i="2"/>
  <c r="J3284" i="2"/>
  <c r="K3284" i="2"/>
  <c r="O3284" i="2"/>
  <c r="R3284" i="2"/>
  <c r="S3284" i="2" s="1"/>
  <c r="I3285" i="2"/>
  <c r="J3285" i="2"/>
  <c r="K3285" i="2"/>
  <c r="O3285" i="2"/>
  <c r="R3285" i="2"/>
  <c r="S3285" i="2" s="1"/>
  <c r="I3286" i="2"/>
  <c r="J3286" i="2"/>
  <c r="K3286" i="2"/>
  <c r="O3286" i="2"/>
  <c r="R3286" i="2"/>
  <c r="S3286" i="2" s="1"/>
  <c r="I3287" i="2"/>
  <c r="J3287" i="2"/>
  <c r="K3287" i="2"/>
  <c r="O3287" i="2"/>
  <c r="R3287" i="2"/>
  <c r="S3287" i="2" s="1"/>
  <c r="I3288" i="2"/>
  <c r="J3288" i="2"/>
  <c r="K3288" i="2"/>
  <c r="O3288" i="2"/>
  <c r="R3288" i="2"/>
  <c r="S3288" i="2" s="1"/>
  <c r="I3289" i="2"/>
  <c r="J3289" i="2"/>
  <c r="K3289" i="2"/>
  <c r="O3289" i="2"/>
  <c r="R3289" i="2"/>
  <c r="S3289" i="2" s="1"/>
  <c r="I3290" i="2"/>
  <c r="J3290" i="2"/>
  <c r="K3290" i="2"/>
  <c r="O3290" i="2"/>
  <c r="R3290" i="2"/>
  <c r="S3290" i="2" s="1"/>
  <c r="I3291" i="2"/>
  <c r="J3291" i="2"/>
  <c r="K3291" i="2"/>
  <c r="O3291" i="2"/>
  <c r="R3291" i="2"/>
  <c r="S3291" i="2" s="1"/>
  <c r="I3292" i="2"/>
  <c r="J3292" i="2"/>
  <c r="K3292" i="2"/>
  <c r="O3292" i="2"/>
  <c r="R3292" i="2"/>
  <c r="S3292" i="2" s="1"/>
  <c r="I3293" i="2"/>
  <c r="J3293" i="2"/>
  <c r="K3293" i="2"/>
  <c r="O3293" i="2"/>
  <c r="R3293" i="2"/>
  <c r="S3293" i="2" s="1"/>
  <c r="I3294" i="2"/>
  <c r="J3294" i="2"/>
  <c r="K3294" i="2"/>
  <c r="O3294" i="2"/>
  <c r="R3294" i="2"/>
  <c r="S3294" i="2" s="1"/>
  <c r="I3295" i="2"/>
  <c r="J3295" i="2"/>
  <c r="K3295" i="2"/>
  <c r="O3295" i="2"/>
  <c r="R3295" i="2"/>
  <c r="S3295" i="2" s="1"/>
  <c r="I3296" i="2"/>
  <c r="J3296" i="2"/>
  <c r="K3296" i="2"/>
  <c r="O3296" i="2"/>
  <c r="R3296" i="2"/>
  <c r="S3296" i="2" s="1"/>
  <c r="I3297" i="2"/>
  <c r="J3297" i="2"/>
  <c r="K3297" i="2"/>
  <c r="O3297" i="2"/>
  <c r="R3297" i="2"/>
  <c r="S3297" i="2" s="1"/>
  <c r="I3298" i="2"/>
  <c r="J3298" i="2"/>
  <c r="K3298" i="2"/>
  <c r="O3298" i="2"/>
  <c r="R3298" i="2"/>
  <c r="S3298" i="2" s="1"/>
  <c r="I3299" i="2"/>
  <c r="J3299" i="2"/>
  <c r="K3299" i="2"/>
  <c r="O3299" i="2"/>
  <c r="R3299" i="2"/>
  <c r="S3299" i="2" s="1"/>
  <c r="I3300" i="2"/>
  <c r="J3300" i="2"/>
  <c r="K3300" i="2"/>
  <c r="O3300" i="2"/>
  <c r="R3300" i="2"/>
  <c r="S3300" i="2" s="1"/>
  <c r="I3301" i="2"/>
  <c r="J3301" i="2"/>
  <c r="K3301" i="2"/>
  <c r="O3301" i="2"/>
  <c r="R3301" i="2"/>
  <c r="S3301" i="2" s="1"/>
  <c r="I3302" i="2"/>
  <c r="J3302" i="2"/>
  <c r="K3302" i="2"/>
  <c r="O3302" i="2"/>
  <c r="R3302" i="2"/>
  <c r="S3302" i="2" s="1"/>
  <c r="I3303" i="2"/>
  <c r="J3303" i="2"/>
  <c r="K3303" i="2"/>
  <c r="O3303" i="2"/>
  <c r="R3303" i="2"/>
  <c r="S3303" i="2" s="1"/>
  <c r="I3304" i="2"/>
  <c r="J3304" i="2"/>
  <c r="K3304" i="2"/>
  <c r="O3304" i="2"/>
  <c r="R3304" i="2"/>
  <c r="S3304" i="2" s="1"/>
  <c r="I3305" i="2"/>
  <c r="J3305" i="2"/>
  <c r="K3305" i="2"/>
  <c r="O3305" i="2"/>
  <c r="R3305" i="2"/>
  <c r="S3305" i="2" s="1"/>
  <c r="I3306" i="2"/>
  <c r="J3306" i="2"/>
  <c r="K3306" i="2"/>
  <c r="O3306" i="2"/>
  <c r="R3306" i="2"/>
  <c r="S3306" i="2" s="1"/>
  <c r="I3307" i="2"/>
  <c r="J3307" i="2"/>
  <c r="K3307" i="2"/>
  <c r="O3307" i="2"/>
  <c r="R3307" i="2"/>
  <c r="S3307" i="2" s="1"/>
  <c r="I3308" i="2"/>
  <c r="J3308" i="2"/>
  <c r="K3308" i="2"/>
  <c r="O3308" i="2"/>
  <c r="R3308" i="2"/>
  <c r="S3308" i="2" s="1"/>
  <c r="I3309" i="2"/>
  <c r="J3309" i="2"/>
  <c r="K3309" i="2"/>
  <c r="O3309" i="2"/>
  <c r="R3309" i="2"/>
  <c r="S3309" i="2" s="1"/>
  <c r="I3310" i="2"/>
  <c r="J3310" i="2"/>
  <c r="K3310" i="2"/>
  <c r="O3310" i="2"/>
  <c r="R3310" i="2"/>
  <c r="S3310" i="2" s="1"/>
  <c r="I3311" i="2"/>
  <c r="J3311" i="2"/>
  <c r="K3311" i="2"/>
  <c r="O3311" i="2"/>
  <c r="R3311" i="2"/>
  <c r="S3311" i="2" s="1"/>
  <c r="I3312" i="2"/>
  <c r="J3312" i="2"/>
  <c r="K3312" i="2"/>
  <c r="O3312" i="2"/>
  <c r="R3312" i="2"/>
  <c r="S3312" i="2" s="1"/>
  <c r="I3313" i="2"/>
  <c r="J3313" i="2"/>
  <c r="K3313" i="2"/>
  <c r="O3313" i="2"/>
  <c r="R3313" i="2"/>
  <c r="S3313" i="2" s="1"/>
  <c r="I3314" i="2"/>
  <c r="J3314" i="2"/>
  <c r="K3314" i="2"/>
  <c r="O3314" i="2"/>
  <c r="R3314" i="2"/>
  <c r="S3314" i="2" s="1"/>
  <c r="I3315" i="2"/>
  <c r="J3315" i="2"/>
  <c r="K3315" i="2"/>
  <c r="O3315" i="2"/>
  <c r="R3315" i="2"/>
  <c r="S3315" i="2" s="1"/>
  <c r="I3316" i="2"/>
  <c r="J3316" i="2"/>
  <c r="K3316" i="2"/>
  <c r="O3316" i="2"/>
  <c r="R3316" i="2"/>
  <c r="S3316" i="2" s="1"/>
  <c r="I3317" i="2"/>
  <c r="J3317" i="2"/>
  <c r="K3317" i="2"/>
  <c r="O3317" i="2"/>
  <c r="R3317" i="2"/>
  <c r="S3317" i="2" s="1"/>
  <c r="I3318" i="2"/>
  <c r="J3318" i="2"/>
  <c r="K3318" i="2"/>
  <c r="O3318" i="2"/>
  <c r="R3318" i="2"/>
  <c r="S3318" i="2" s="1"/>
  <c r="I3319" i="2"/>
  <c r="J3319" i="2"/>
  <c r="K3319" i="2"/>
  <c r="O3319" i="2"/>
  <c r="R3319" i="2"/>
  <c r="S3319" i="2" s="1"/>
  <c r="I3320" i="2"/>
  <c r="J3320" i="2"/>
  <c r="K3320" i="2"/>
  <c r="O3320" i="2"/>
  <c r="R3320" i="2"/>
  <c r="S3320" i="2" s="1"/>
  <c r="I3321" i="2"/>
  <c r="J3321" i="2"/>
  <c r="K3321" i="2"/>
  <c r="O3321" i="2"/>
  <c r="R3321" i="2"/>
  <c r="S3321" i="2" s="1"/>
  <c r="I3322" i="2"/>
  <c r="J3322" i="2"/>
  <c r="K3322" i="2"/>
  <c r="O3322" i="2"/>
  <c r="R3322" i="2"/>
  <c r="S3322" i="2" s="1"/>
  <c r="I3323" i="2"/>
  <c r="J3323" i="2"/>
  <c r="K3323" i="2"/>
  <c r="O3323" i="2"/>
  <c r="R3323" i="2"/>
  <c r="S3323" i="2" s="1"/>
  <c r="I3324" i="2"/>
  <c r="J3324" i="2"/>
  <c r="K3324" i="2"/>
  <c r="O3324" i="2"/>
  <c r="R3324" i="2"/>
  <c r="S3324" i="2" s="1"/>
  <c r="I3325" i="2"/>
  <c r="J3325" i="2"/>
  <c r="K3325" i="2"/>
  <c r="O3325" i="2"/>
  <c r="R3325" i="2"/>
  <c r="S3325" i="2" s="1"/>
  <c r="I3326" i="2"/>
  <c r="J3326" i="2"/>
  <c r="K3326" i="2"/>
  <c r="O3326" i="2"/>
  <c r="R3326" i="2"/>
  <c r="S3326" i="2" s="1"/>
  <c r="I3327" i="2"/>
  <c r="J3327" i="2"/>
  <c r="K3327" i="2"/>
  <c r="O3327" i="2"/>
  <c r="R3327" i="2"/>
  <c r="S3327" i="2" s="1"/>
  <c r="I3328" i="2"/>
  <c r="J3328" i="2"/>
  <c r="K3328" i="2"/>
  <c r="O3328" i="2"/>
  <c r="R3328" i="2"/>
  <c r="S3328" i="2" s="1"/>
  <c r="I3329" i="2"/>
  <c r="J3329" i="2"/>
  <c r="K3329" i="2"/>
  <c r="O3329" i="2"/>
  <c r="R3329" i="2"/>
  <c r="S3329" i="2" s="1"/>
  <c r="I3330" i="2"/>
  <c r="J3330" i="2"/>
  <c r="K3330" i="2"/>
  <c r="O3330" i="2"/>
  <c r="R3330" i="2"/>
  <c r="S3330" i="2" s="1"/>
  <c r="I3331" i="2"/>
  <c r="J3331" i="2"/>
  <c r="K3331" i="2"/>
  <c r="O3331" i="2"/>
  <c r="R3331" i="2"/>
  <c r="S3331" i="2" s="1"/>
  <c r="I3332" i="2"/>
  <c r="J3332" i="2"/>
  <c r="K3332" i="2"/>
  <c r="O3332" i="2"/>
  <c r="R3332" i="2"/>
  <c r="S3332" i="2" s="1"/>
  <c r="I3333" i="2"/>
  <c r="J3333" i="2"/>
  <c r="K3333" i="2"/>
  <c r="O3333" i="2"/>
  <c r="R3333" i="2"/>
  <c r="S3333" i="2" s="1"/>
  <c r="I3334" i="2"/>
  <c r="J3334" i="2"/>
  <c r="K3334" i="2"/>
  <c r="O3334" i="2"/>
  <c r="R3334" i="2"/>
  <c r="S3334" i="2" s="1"/>
  <c r="I3335" i="2"/>
  <c r="J3335" i="2"/>
  <c r="K3335" i="2"/>
  <c r="O3335" i="2"/>
  <c r="R3335" i="2"/>
  <c r="S3335" i="2" s="1"/>
  <c r="I3336" i="2"/>
  <c r="J3336" i="2"/>
  <c r="K3336" i="2"/>
  <c r="O3336" i="2"/>
  <c r="R3336" i="2"/>
  <c r="S3336" i="2" s="1"/>
  <c r="I3337" i="2"/>
  <c r="J3337" i="2"/>
  <c r="K3337" i="2"/>
  <c r="O3337" i="2"/>
  <c r="R3337" i="2"/>
  <c r="S3337" i="2" s="1"/>
  <c r="I3338" i="2"/>
  <c r="J3338" i="2"/>
  <c r="K3338" i="2"/>
  <c r="O3338" i="2"/>
  <c r="R3338" i="2"/>
  <c r="S3338" i="2" s="1"/>
  <c r="I3339" i="2"/>
  <c r="J3339" i="2"/>
  <c r="K3339" i="2"/>
  <c r="O3339" i="2"/>
  <c r="R3339" i="2"/>
  <c r="S3339" i="2" s="1"/>
  <c r="I3340" i="2"/>
  <c r="J3340" i="2"/>
  <c r="K3340" i="2"/>
  <c r="O3340" i="2"/>
  <c r="R3340" i="2"/>
  <c r="S3340" i="2" s="1"/>
  <c r="I3341" i="2"/>
  <c r="J3341" i="2"/>
  <c r="K3341" i="2"/>
  <c r="O3341" i="2"/>
  <c r="R3341" i="2"/>
  <c r="S3341" i="2" s="1"/>
  <c r="I3342" i="2"/>
  <c r="J3342" i="2"/>
  <c r="K3342" i="2"/>
  <c r="O3342" i="2"/>
  <c r="R3342" i="2"/>
  <c r="S3342" i="2" s="1"/>
  <c r="I3343" i="2"/>
  <c r="J3343" i="2"/>
  <c r="K3343" i="2"/>
  <c r="O3343" i="2"/>
  <c r="R3343" i="2"/>
  <c r="S3343" i="2" s="1"/>
  <c r="I3344" i="2"/>
  <c r="J3344" i="2"/>
  <c r="K3344" i="2"/>
  <c r="O3344" i="2"/>
  <c r="R3344" i="2"/>
  <c r="S3344" i="2" s="1"/>
  <c r="I3345" i="2"/>
  <c r="J3345" i="2"/>
  <c r="K3345" i="2"/>
  <c r="O3345" i="2"/>
  <c r="R3345" i="2"/>
  <c r="S3345" i="2" s="1"/>
  <c r="I3346" i="2"/>
  <c r="J3346" i="2"/>
  <c r="K3346" i="2"/>
  <c r="O3346" i="2"/>
  <c r="R3346" i="2"/>
  <c r="S3346" i="2" s="1"/>
  <c r="I3347" i="2"/>
  <c r="J3347" i="2"/>
  <c r="K3347" i="2"/>
  <c r="O3347" i="2"/>
  <c r="R3347" i="2"/>
  <c r="S3347" i="2" s="1"/>
  <c r="I3348" i="2"/>
  <c r="J3348" i="2"/>
  <c r="K3348" i="2"/>
  <c r="O3348" i="2"/>
  <c r="R3348" i="2"/>
  <c r="S3348" i="2" s="1"/>
  <c r="I3349" i="2"/>
  <c r="J3349" i="2"/>
  <c r="K3349" i="2"/>
  <c r="O3349" i="2"/>
  <c r="R3349" i="2"/>
  <c r="S3349" i="2" s="1"/>
  <c r="I3350" i="2"/>
  <c r="J3350" i="2"/>
  <c r="K3350" i="2"/>
  <c r="O3350" i="2"/>
  <c r="R3350" i="2"/>
  <c r="S3350" i="2" s="1"/>
  <c r="I3351" i="2"/>
  <c r="J3351" i="2"/>
  <c r="K3351" i="2"/>
  <c r="O3351" i="2"/>
  <c r="R3351" i="2"/>
  <c r="S3351" i="2" s="1"/>
  <c r="I3352" i="2"/>
  <c r="J3352" i="2"/>
  <c r="K3352" i="2"/>
  <c r="O3352" i="2"/>
  <c r="R3352" i="2"/>
  <c r="S3352" i="2" s="1"/>
  <c r="I3353" i="2"/>
  <c r="J3353" i="2"/>
  <c r="K3353" i="2"/>
  <c r="O3353" i="2"/>
  <c r="R3353" i="2"/>
  <c r="S3353" i="2" s="1"/>
  <c r="I3354" i="2"/>
  <c r="J3354" i="2"/>
  <c r="K3354" i="2"/>
  <c r="O3354" i="2"/>
  <c r="R3354" i="2"/>
  <c r="S3354" i="2" s="1"/>
  <c r="I3355" i="2"/>
  <c r="J3355" i="2"/>
  <c r="K3355" i="2"/>
  <c r="O3355" i="2"/>
  <c r="R3355" i="2"/>
  <c r="S3355" i="2" s="1"/>
  <c r="I3356" i="2"/>
  <c r="J3356" i="2"/>
  <c r="K3356" i="2"/>
  <c r="O3356" i="2"/>
  <c r="R3356" i="2"/>
  <c r="S3356" i="2" s="1"/>
  <c r="I3357" i="2"/>
  <c r="J3357" i="2"/>
  <c r="K3357" i="2"/>
  <c r="O3357" i="2"/>
  <c r="R3357" i="2"/>
  <c r="S3357" i="2" s="1"/>
  <c r="I3358" i="2"/>
  <c r="J3358" i="2"/>
  <c r="K3358" i="2"/>
  <c r="O3358" i="2"/>
  <c r="R3358" i="2"/>
  <c r="S3358" i="2" s="1"/>
  <c r="I3359" i="2"/>
  <c r="J3359" i="2"/>
  <c r="K3359" i="2"/>
  <c r="O3359" i="2"/>
  <c r="R3359" i="2"/>
  <c r="S3359" i="2" s="1"/>
  <c r="I3360" i="2"/>
  <c r="J3360" i="2"/>
  <c r="K3360" i="2"/>
  <c r="O3360" i="2"/>
  <c r="R3360" i="2"/>
  <c r="S3360" i="2" s="1"/>
  <c r="I3361" i="2"/>
  <c r="J3361" i="2"/>
  <c r="K3361" i="2"/>
  <c r="O3361" i="2"/>
  <c r="R3361" i="2"/>
  <c r="S3361" i="2" s="1"/>
  <c r="I3362" i="2"/>
  <c r="J3362" i="2"/>
  <c r="K3362" i="2"/>
  <c r="O3362" i="2"/>
  <c r="R3362" i="2"/>
  <c r="S3362" i="2" s="1"/>
  <c r="I3363" i="2"/>
  <c r="J3363" i="2"/>
  <c r="K3363" i="2"/>
  <c r="O3363" i="2"/>
  <c r="R3363" i="2"/>
  <c r="S3363" i="2" s="1"/>
  <c r="I3364" i="2"/>
  <c r="J3364" i="2"/>
  <c r="K3364" i="2"/>
  <c r="O3364" i="2"/>
  <c r="R3364" i="2"/>
  <c r="S3364" i="2" s="1"/>
  <c r="I3365" i="2"/>
  <c r="J3365" i="2"/>
  <c r="K3365" i="2"/>
  <c r="O3365" i="2"/>
  <c r="R3365" i="2"/>
  <c r="S3365" i="2" s="1"/>
  <c r="I3366" i="2"/>
  <c r="J3366" i="2"/>
  <c r="K3366" i="2"/>
  <c r="O3366" i="2"/>
  <c r="R3366" i="2"/>
  <c r="S3366" i="2" s="1"/>
  <c r="I3367" i="2"/>
  <c r="J3367" i="2"/>
  <c r="K3367" i="2"/>
  <c r="O3367" i="2"/>
  <c r="R3367" i="2"/>
  <c r="S3367" i="2" s="1"/>
  <c r="I3368" i="2"/>
  <c r="J3368" i="2"/>
  <c r="K3368" i="2"/>
  <c r="O3368" i="2"/>
  <c r="R3368" i="2"/>
  <c r="S3368" i="2" s="1"/>
  <c r="I3369" i="2"/>
  <c r="J3369" i="2"/>
  <c r="K3369" i="2"/>
  <c r="O3369" i="2"/>
  <c r="R3369" i="2"/>
  <c r="S3369" i="2" s="1"/>
  <c r="I3370" i="2"/>
  <c r="J3370" i="2"/>
  <c r="K3370" i="2"/>
  <c r="O3370" i="2"/>
  <c r="R3370" i="2"/>
  <c r="S3370" i="2" s="1"/>
  <c r="I3371" i="2"/>
  <c r="J3371" i="2"/>
  <c r="K3371" i="2"/>
  <c r="O3371" i="2"/>
  <c r="R3371" i="2"/>
  <c r="S3371" i="2" s="1"/>
  <c r="I3372" i="2"/>
  <c r="J3372" i="2"/>
  <c r="K3372" i="2"/>
  <c r="O3372" i="2"/>
  <c r="R3372" i="2"/>
  <c r="S3372" i="2" s="1"/>
  <c r="I3373" i="2"/>
  <c r="J3373" i="2"/>
  <c r="K3373" i="2"/>
  <c r="O3373" i="2"/>
  <c r="R3373" i="2"/>
  <c r="S3373" i="2" s="1"/>
  <c r="I3374" i="2"/>
  <c r="J3374" i="2"/>
  <c r="K3374" i="2"/>
  <c r="O3374" i="2"/>
  <c r="R3374" i="2"/>
  <c r="S3374" i="2" s="1"/>
  <c r="I3375" i="2"/>
  <c r="J3375" i="2"/>
  <c r="K3375" i="2"/>
  <c r="O3375" i="2"/>
  <c r="R3375" i="2"/>
  <c r="S3375" i="2" s="1"/>
  <c r="I3376" i="2"/>
  <c r="J3376" i="2"/>
  <c r="K3376" i="2"/>
  <c r="O3376" i="2"/>
  <c r="R3376" i="2"/>
  <c r="S3376" i="2" s="1"/>
  <c r="I3377" i="2"/>
  <c r="J3377" i="2"/>
  <c r="K3377" i="2"/>
  <c r="O3377" i="2"/>
  <c r="R3377" i="2"/>
  <c r="S3377" i="2" s="1"/>
  <c r="I3378" i="2"/>
  <c r="J3378" i="2"/>
  <c r="K3378" i="2"/>
  <c r="O3378" i="2"/>
  <c r="R3378" i="2"/>
  <c r="S3378" i="2" s="1"/>
  <c r="I3379" i="2"/>
  <c r="J3379" i="2"/>
  <c r="K3379" i="2"/>
  <c r="O3379" i="2"/>
  <c r="R3379" i="2"/>
  <c r="S3379" i="2" s="1"/>
  <c r="I3380" i="2"/>
  <c r="J3380" i="2"/>
  <c r="K3380" i="2"/>
  <c r="O3380" i="2"/>
  <c r="R3380" i="2"/>
  <c r="S3380" i="2" s="1"/>
  <c r="I3381" i="2"/>
  <c r="J3381" i="2"/>
  <c r="K3381" i="2"/>
  <c r="O3381" i="2"/>
  <c r="R3381" i="2"/>
  <c r="S3381" i="2" s="1"/>
  <c r="I3382" i="2"/>
  <c r="J3382" i="2"/>
  <c r="K3382" i="2"/>
  <c r="O3382" i="2"/>
  <c r="R3382" i="2"/>
  <c r="S3382" i="2" s="1"/>
  <c r="I3383" i="2"/>
  <c r="J3383" i="2"/>
  <c r="K3383" i="2"/>
  <c r="O3383" i="2"/>
  <c r="R3383" i="2"/>
  <c r="S3383" i="2" s="1"/>
  <c r="I3384" i="2"/>
  <c r="J3384" i="2"/>
  <c r="K3384" i="2"/>
  <c r="O3384" i="2"/>
  <c r="R3384" i="2"/>
  <c r="S3384" i="2" s="1"/>
  <c r="I3385" i="2"/>
  <c r="J3385" i="2"/>
  <c r="K3385" i="2"/>
  <c r="O3385" i="2"/>
  <c r="R3385" i="2"/>
  <c r="S3385" i="2" s="1"/>
  <c r="I3386" i="2"/>
  <c r="J3386" i="2"/>
  <c r="K3386" i="2"/>
  <c r="O3386" i="2"/>
  <c r="R3386" i="2"/>
  <c r="S3386" i="2" s="1"/>
  <c r="I3387" i="2"/>
  <c r="J3387" i="2"/>
  <c r="K3387" i="2"/>
  <c r="O3387" i="2"/>
  <c r="R3387" i="2"/>
  <c r="S3387" i="2" s="1"/>
  <c r="I3388" i="2"/>
  <c r="J3388" i="2"/>
  <c r="K3388" i="2"/>
  <c r="O3388" i="2"/>
  <c r="R3388" i="2"/>
  <c r="S3388" i="2" s="1"/>
  <c r="I3389" i="2"/>
  <c r="J3389" i="2"/>
  <c r="K3389" i="2"/>
  <c r="O3389" i="2"/>
  <c r="R3389" i="2"/>
  <c r="S3389" i="2" s="1"/>
  <c r="I3390" i="2"/>
  <c r="J3390" i="2"/>
  <c r="K3390" i="2"/>
  <c r="O3390" i="2"/>
  <c r="R3390" i="2"/>
  <c r="S3390" i="2" s="1"/>
  <c r="I3391" i="2"/>
  <c r="J3391" i="2"/>
  <c r="K3391" i="2"/>
  <c r="O3391" i="2"/>
  <c r="R3391" i="2"/>
  <c r="S3391" i="2" s="1"/>
  <c r="I3392" i="2"/>
  <c r="J3392" i="2"/>
  <c r="K3392" i="2"/>
  <c r="O3392" i="2"/>
  <c r="R3392" i="2"/>
  <c r="S3392" i="2" s="1"/>
  <c r="I3393" i="2"/>
  <c r="J3393" i="2"/>
  <c r="K3393" i="2"/>
  <c r="O3393" i="2"/>
  <c r="R3393" i="2"/>
  <c r="S3393" i="2" s="1"/>
  <c r="I3394" i="2"/>
  <c r="J3394" i="2"/>
  <c r="K3394" i="2"/>
  <c r="O3394" i="2"/>
  <c r="R3394" i="2"/>
  <c r="S3394" i="2" s="1"/>
  <c r="I3395" i="2"/>
  <c r="J3395" i="2"/>
  <c r="K3395" i="2"/>
  <c r="O3395" i="2"/>
  <c r="R3395" i="2"/>
  <c r="S3395" i="2" s="1"/>
  <c r="I3396" i="2"/>
  <c r="J3396" i="2"/>
  <c r="K3396" i="2"/>
  <c r="O3396" i="2"/>
  <c r="R3396" i="2"/>
  <c r="S3396" i="2" s="1"/>
  <c r="I3397" i="2"/>
  <c r="J3397" i="2"/>
  <c r="K3397" i="2"/>
  <c r="O3397" i="2"/>
  <c r="R3397" i="2"/>
  <c r="S3397" i="2" s="1"/>
  <c r="I3398" i="2"/>
  <c r="J3398" i="2"/>
  <c r="K3398" i="2"/>
  <c r="O3398" i="2"/>
  <c r="R3398" i="2"/>
  <c r="S3398" i="2" s="1"/>
  <c r="I3399" i="2"/>
  <c r="J3399" i="2"/>
  <c r="K3399" i="2"/>
  <c r="O3399" i="2"/>
  <c r="R3399" i="2"/>
  <c r="S3399" i="2" s="1"/>
  <c r="I3400" i="2"/>
  <c r="J3400" i="2"/>
  <c r="K3400" i="2"/>
  <c r="O3400" i="2"/>
  <c r="R3400" i="2"/>
  <c r="S3400" i="2" s="1"/>
  <c r="I3401" i="2"/>
  <c r="J3401" i="2"/>
  <c r="K3401" i="2"/>
  <c r="O3401" i="2"/>
  <c r="R3401" i="2"/>
  <c r="S3401" i="2" s="1"/>
  <c r="I3402" i="2"/>
  <c r="J3402" i="2"/>
  <c r="K3402" i="2"/>
  <c r="O3402" i="2"/>
  <c r="R3402" i="2"/>
  <c r="S3402" i="2" s="1"/>
  <c r="I3403" i="2"/>
  <c r="J3403" i="2"/>
  <c r="K3403" i="2"/>
  <c r="O3403" i="2"/>
  <c r="R3403" i="2"/>
  <c r="S3403" i="2" s="1"/>
  <c r="I3404" i="2"/>
  <c r="J3404" i="2"/>
  <c r="K3404" i="2"/>
  <c r="O3404" i="2"/>
  <c r="R3404" i="2"/>
  <c r="S3404" i="2" s="1"/>
  <c r="I3405" i="2"/>
  <c r="J3405" i="2"/>
  <c r="K3405" i="2"/>
  <c r="O3405" i="2"/>
  <c r="R3405" i="2"/>
  <c r="S3405" i="2" s="1"/>
  <c r="I3406" i="2"/>
  <c r="J3406" i="2"/>
  <c r="K3406" i="2"/>
  <c r="O3406" i="2"/>
  <c r="R3406" i="2"/>
  <c r="S3406" i="2" s="1"/>
  <c r="I3407" i="2"/>
  <c r="J3407" i="2"/>
  <c r="K3407" i="2"/>
  <c r="O3407" i="2"/>
  <c r="R3407" i="2"/>
  <c r="S3407" i="2" s="1"/>
  <c r="I3408" i="2"/>
  <c r="J3408" i="2"/>
  <c r="K3408" i="2"/>
  <c r="O3408" i="2"/>
  <c r="R3408" i="2"/>
  <c r="S3408" i="2" s="1"/>
  <c r="I3409" i="2"/>
  <c r="J3409" i="2"/>
  <c r="K3409" i="2"/>
  <c r="O3409" i="2"/>
  <c r="R3409" i="2"/>
  <c r="S3409" i="2" s="1"/>
  <c r="I3410" i="2"/>
  <c r="J3410" i="2"/>
  <c r="K3410" i="2"/>
  <c r="O3410" i="2"/>
  <c r="R3410" i="2"/>
  <c r="S3410" i="2" s="1"/>
  <c r="I3411" i="2"/>
  <c r="J3411" i="2"/>
  <c r="K3411" i="2"/>
  <c r="O3411" i="2"/>
  <c r="R3411" i="2"/>
  <c r="S3411" i="2" s="1"/>
  <c r="I3412" i="2"/>
  <c r="J3412" i="2"/>
  <c r="K3412" i="2"/>
  <c r="O3412" i="2"/>
  <c r="R3412" i="2"/>
  <c r="S3412" i="2" s="1"/>
  <c r="I3413" i="2"/>
  <c r="J3413" i="2"/>
  <c r="K3413" i="2"/>
  <c r="O3413" i="2"/>
  <c r="R3413" i="2"/>
  <c r="S3413" i="2" s="1"/>
  <c r="I3414" i="2"/>
  <c r="J3414" i="2"/>
  <c r="K3414" i="2"/>
  <c r="O3414" i="2"/>
  <c r="R3414" i="2"/>
  <c r="S3414" i="2" s="1"/>
  <c r="I3415" i="2"/>
  <c r="J3415" i="2"/>
  <c r="K3415" i="2"/>
  <c r="O3415" i="2"/>
  <c r="R3415" i="2"/>
  <c r="S3415" i="2" s="1"/>
  <c r="I3416" i="2"/>
  <c r="J3416" i="2"/>
  <c r="K3416" i="2"/>
  <c r="O3416" i="2"/>
  <c r="R3416" i="2"/>
  <c r="S3416" i="2" s="1"/>
  <c r="I3417" i="2"/>
  <c r="J3417" i="2"/>
  <c r="K3417" i="2"/>
  <c r="O3417" i="2"/>
  <c r="R3417" i="2"/>
  <c r="S3417" i="2" s="1"/>
  <c r="I3418" i="2"/>
  <c r="J3418" i="2"/>
  <c r="K3418" i="2"/>
  <c r="O3418" i="2"/>
  <c r="R3418" i="2"/>
  <c r="S3418" i="2" s="1"/>
  <c r="I3419" i="2"/>
  <c r="J3419" i="2"/>
  <c r="K3419" i="2"/>
  <c r="O3419" i="2"/>
  <c r="R3419" i="2"/>
  <c r="S3419" i="2" s="1"/>
  <c r="I3420" i="2"/>
  <c r="J3420" i="2"/>
  <c r="K3420" i="2"/>
  <c r="O3420" i="2"/>
  <c r="R3420" i="2"/>
  <c r="S3420" i="2" s="1"/>
  <c r="I3421" i="2"/>
  <c r="J3421" i="2"/>
  <c r="K3421" i="2"/>
  <c r="O3421" i="2"/>
  <c r="R3421" i="2"/>
  <c r="S3421" i="2" s="1"/>
  <c r="I3422" i="2"/>
  <c r="J3422" i="2"/>
  <c r="K3422" i="2"/>
  <c r="O3422" i="2"/>
  <c r="R3422" i="2"/>
  <c r="S3422" i="2" s="1"/>
  <c r="I3423" i="2"/>
  <c r="J3423" i="2"/>
  <c r="K3423" i="2"/>
  <c r="O3423" i="2"/>
  <c r="R3423" i="2"/>
  <c r="S3423" i="2" s="1"/>
  <c r="I3424" i="2"/>
  <c r="J3424" i="2"/>
  <c r="K3424" i="2"/>
  <c r="O3424" i="2"/>
  <c r="R3424" i="2"/>
  <c r="S3424" i="2" s="1"/>
  <c r="I3425" i="2"/>
  <c r="J3425" i="2"/>
  <c r="K3425" i="2"/>
  <c r="O3425" i="2"/>
  <c r="R3425" i="2"/>
  <c r="S3425" i="2" s="1"/>
  <c r="I3426" i="2"/>
  <c r="J3426" i="2"/>
  <c r="K3426" i="2"/>
  <c r="O3426" i="2"/>
  <c r="R3426" i="2"/>
  <c r="S3426" i="2" s="1"/>
  <c r="I3427" i="2"/>
  <c r="J3427" i="2"/>
  <c r="K3427" i="2"/>
  <c r="O3427" i="2"/>
  <c r="R3427" i="2"/>
  <c r="S3427" i="2" s="1"/>
  <c r="I3428" i="2"/>
  <c r="J3428" i="2"/>
  <c r="K3428" i="2"/>
  <c r="O3428" i="2"/>
  <c r="R3428" i="2"/>
  <c r="S3428" i="2" s="1"/>
  <c r="I3429" i="2"/>
  <c r="J3429" i="2"/>
  <c r="K3429" i="2"/>
  <c r="O3429" i="2"/>
  <c r="R3429" i="2"/>
  <c r="S3429" i="2" s="1"/>
  <c r="I3430" i="2"/>
  <c r="J3430" i="2"/>
  <c r="K3430" i="2"/>
  <c r="O3430" i="2"/>
  <c r="R3430" i="2"/>
  <c r="S3430" i="2" s="1"/>
  <c r="I3431" i="2"/>
  <c r="J3431" i="2"/>
  <c r="K3431" i="2"/>
  <c r="O3431" i="2"/>
  <c r="R3431" i="2"/>
  <c r="S3431" i="2" s="1"/>
  <c r="I3432" i="2"/>
  <c r="J3432" i="2"/>
  <c r="K3432" i="2"/>
  <c r="O3432" i="2"/>
  <c r="R3432" i="2"/>
  <c r="S3432" i="2" s="1"/>
  <c r="I3433" i="2"/>
  <c r="J3433" i="2"/>
  <c r="K3433" i="2"/>
  <c r="O3433" i="2"/>
  <c r="R3433" i="2"/>
  <c r="S3433" i="2" s="1"/>
  <c r="I3434" i="2"/>
  <c r="J3434" i="2"/>
  <c r="K3434" i="2"/>
  <c r="O3434" i="2"/>
  <c r="R3434" i="2"/>
  <c r="S3434" i="2" s="1"/>
  <c r="I3435" i="2"/>
  <c r="J3435" i="2"/>
  <c r="K3435" i="2"/>
  <c r="O3435" i="2"/>
  <c r="R3435" i="2"/>
  <c r="S3435" i="2" s="1"/>
  <c r="I3436" i="2"/>
  <c r="J3436" i="2"/>
  <c r="K3436" i="2"/>
  <c r="O3436" i="2"/>
  <c r="R3436" i="2"/>
  <c r="S3436" i="2" s="1"/>
  <c r="I3437" i="2"/>
  <c r="J3437" i="2"/>
  <c r="K3437" i="2"/>
  <c r="O3437" i="2"/>
  <c r="R3437" i="2"/>
  <c r="S3437" i="2" s="1"/>
  <c r="I3438" i="2"/>
  <c r="J3438" i="2"/>
  <c r="K3438" i="2"/>
  <c r="O3438" i="2"/>
  <c r="R3438" i="2"/>
  <c r="S3438" i="2" s="1"/>
  <c r="I3439" i="2"/>
  <c r="J3439" i="2"/>
  <c r="K3439" i="2"/>
  <c r="O3439" i="2"/>
  <c r="R3439" i="2"/>
  <c r="S3439" i="2" s="1"/>
  <c r="I3440" i="2"/>
  <c r="J3440" i="2"/>
  <c r="K3440" i="2"/>
  <c r="O3440" i="2"/>
  <c r="R3440" i="2"/>
  <c r="S3440" i="2" s="1"/>
  <c r="I3441" i="2"/>
  <c r="J3441" i="2"/>
  <c r="K3441" i="2"/>
  <c r="O3441" i="2"/>
  <c r="R3441" i="2"/>
  <c r="S3441" i="2" s="1"/>
  <c r="I3442" i="2"/>
  <c r="J3442" i="2"/>
  <c r="K3442" i="2"/>
  <c r="O3442" i="2"/>
  <c r="R3442" i="2"/>
  <c r="S3442" i="2" s="1"/>
  <c r="I3443" i="2"/>
  <c r="J3443" i="2"/>
  <c r="K3443" i="2"/>
  <c r="O3443" i="2"/>
  <c r="R3443" i="2"/>
  <c r="S3443" i="2" s="1"/>
  <c r="I3444" i="2"/>
  <c r="J3444" i="2"/>
  <c r="K3444" i="2"/>
  <c r="O3444" i="2"/>
  <c r="R3444" i="2"/>
  <c r="S3444" i="2" s="1"/>
  <c r="I3445" i="2"/>
  <c r="J3445" i="2"/>
  <c r="K3445" i="2"/>
  <c r="O3445" i="2"/>
  <c r="R3445" i="2"/>
  <c r="S3445" i="2" s="1"/>
  <c r="I3446" i="2"/>
  <c r="J3446" i="2"/>
  <c r="K3446" i="2"/>
  <c r="O3446" i="2"/>
  <c r="R3446" i="2"/>
  <c r="S3446" i="2" s="1"/>
  <c r="I3447" i="2"/>
  <c r="J3447" i="2"/>
  <c r="K3447" i="2"/>
  <c r="O3447" i="2"/>
  <c r="R3447" i="2"/>
  <c r="S3447" i="2" s="1"/>
  <c r="I3448" i="2"/>
  <c r="J3448" i="2"/>
  <c r="K3448" i="2"/>
  <c r="O3448" i="2"/>
  <c r="R3448" i="2"/>
  <c r="S3448" i="2" s="1"/>
  <c r="I3449" i="2"/>
  <c r="J3449" i="2"/>
  <c r="K3449" i="2"/>
  <c r="O3449" i="2"/>
  <c r="R3449" i="2"/>
  <c r="S3449" i="2" s="1"/>
  <c r="I3450" i="2"/>
  <c r="J3450" i="2"/>
  <c r="K3450" i="2"/>
  <c r="O3450" i="2"/>
  <c r="R3450" i="2"/>
  <c r="S3450" i="2" s="1"/>
  <c r="I3451" i="2"/>
  <c r="J3451" i="2"/>
  <c r="K3451" i="2"/>
  <c r="O3451" i="2"/>
  <c r="R3451" i="2"/>
  <c r="S3451" i="2" s="1"/>
  <c r="I3452" i="2"/>
  <c r="J3452" i="2"/>
  <c r="K3452" i="2"/>
  <c r="O3452" i="2"/>
  <c r="R3452" i="2"/>
  <c r="S3452" i="2" s="1"/>
  <c r="I3453" i="2"/>
  <c r="J3453" i="2"/>
  <c r="K3453" i="2"/>
  <c r="O3453" i="2"/>
  <c r="R3453" i="2"/>
  <c r="S3453" i="2" s="1"/>
  <c r="I3454" i="2"/>
  <c r="J3454" i="2"/>
  <c r="K3454" i="2"/>
  <c r="O3454" i="2"/>
  <c r="R3454" i="2"/>
  <c r="S3454" i="2" s="1"/>
  <c r="I3455" i="2"/>
  <c r="J3455" i="2"/>
  <c r="K3455" i="2"/>
  <c r="O3455" i="2"/>
  <c r="R3455" i="2"/>
  <c r="S3455" i="2" s="1"/>
  <c r="I3456" i="2"/>
  <c r="J3456" i="2"/>
  <c r="K3456" i="2"/>
  <c r="O3456" i="2"/>
  <c r="R3456" i="2"/>
  <c r="S3456" i="2" s="1"/>
  <c r="I3457" i="2"/>
  <c r="J3457" i="2"/>
  <c r="K3457" i="2"/>
  <c r="O3457" i="2"/>
  <c r="R3457" i="2"/>
  <c r="S3457" i="2" s="1"/>
  <c r="I3458" i="2"/>
  <c r="J3458" i="2"/>
  <c r="K3458" i="2"/>
  <c r="O3458" i="2"/>
  <c r="R3458" i="2"/>
  <c r="S3458" i="2" s="1"/>
  <c r="I3459" i="2"/>
  <c r="J3459" i="2"/>
  <c r="K3459" i="2"/>
  <c r="O3459" i="2"/>
  <c r="R3459" i="2"/>
  <c r="S3459" i="2" s="1"/>
  <c r="I3460" i="2"/>
  <c r="J3460" i="2"/>
  <c r="K3460" i="2"/>
  <c r="O3460" i="2"/>
  <c r="R3460" i="2"/>
  <c r="S3460" i="2" s="1"/>
  <c r="I3461" i="2"/>
  <c r="J3461" i="2"/>
  <c r="K3461" i="2"/>
  <c r="O3461" i="2"/>
  <c r="R3461" i="2"/>
  <c r="S3461" i="2" s="1"/>
  <c r="I3462" i="2"/>
  <c r="J3462" i="2"/>
  <c r="K3462" i="2"/>
  <c r="O3462" i="2"/>
  <c r="R3462" i="2"/>
  <c r="S3462" i="2" s="1"/>
  <c r="I3463" i="2"/>
  <c r="J3463" i="2"/>
  <c r="K3463" i="2"/>
  <c r="O3463" i="2"/>
  <c r="R3463" i="2"/>
  <c r="S3463" i="2" s="1"/>
  <c r="I3464" i="2"/>
  <c r="J3464" i="2"/>
  <c r="K3464" i="2"/>
  <c r="O3464" i="2"/>
  <c r="R3464" i="2"/>
  <c r="S3464" i="2" s="1"/>
  <c r="I3465" i="2"/>
  <c r="J3465" i="2"/>
  <c r="K3465" i="2"/>
  <c r="O3465" i="2"/>
  <c r="R3465" i="2"/>
  <c r="S3465" i="2" s="1"/>
  <c r="I3466" i="2"/>
  <c r="J3466" i="2"/>
  <c r="K3466" i="2"/>
  <c r="O3466" i="2"/>
  <c r="R3466" i="2"/>
  <c r="S3466" i="2" s="1"/>
  <c r="I3467" i="2"/>
  <c r="J3467" i="2"/>
  <c r="K3467" i="2"/>
  <c r="O3467" i="2"/>
  <c r="R3467" i="2"/>
  <c r="S3467" i="2" s="1"/>
  <c r="I3468" i="2"/>
  <c r="J3468" i="2"/>
  <c r="K3468" i="2"/>
  <c r="O3468" i="2"/>
  <c r="R3468" i="2"/>
  <c r="S3468" i="2" s="1"/>
  <c r="I3469" i="2"/>
  <c r="J3469" i="2"/>
  <c r="K3469" i="2"/>
  <c r="O3469" i="2"/>
  <c r="R3469" i="2"/>
  <c r="S3469" i="2" s="1"/>
  <c r="I3470" i="2"/>
  <c r="J3470" i="2"/>
  <c r="K3470" i="2"/>
  <c r="O3470" i="2"/>
  <c r="R3470" i="2"/>
  <c r="S3470" i="2" s="1"/>
  <c r="I3471" i="2"/>
  <c r="J3471" i="2"/>
  <c r="K3471" i="2"/>
  <c r="O3471" i="2"/>
  <c r="R3471" i="2"/>
  <c r="S3471" i="2" s="1"/>
  <c r="I3472" i="2"/>
  <c r="J3472" i="2"/>
  <c r="K3472" i="2"/>
  <c r="O3472" i="2"/>
  <c r="R3472" i="2"/>
  <c r="S3472" i="2" s="1"/>
  <c r="I3473" i="2"/>
  <c r="J3473" i="2"/>
  <c r="K3473" i="2"/>
  <c r="O3473" i="2"/>
  <c r="R3473" i="2"/>
  <c r="S3473" i="2" s="1"/>
  <c r="I3474" i="2"/>
  <c r="J3474" i="2"/>
  <c r="K3474" i="2"/>
  <c r="O3474" i="2"/>
  <c r="R3474" i="2"/>
  <c r="S3474" i="2" s="1"/>
  <c r="I3475" i="2"/>
  <c r="J3475" i="2"/>
  <c r="K3475" i="2"/>
  <c r="O3475" i="2"/>
  <c r="R3475" i="2"/>
  <c r="S3475" i="2" s="1"/>
  <c r="I3476" i="2"/>
  <c r="J3476" i="2"/>
  <c r="K3476" i="2"/>
  <c r="O3476" i="2"/>
  <c r="R3476" i="2"/>
  <c r="S3476" i="2" s="1"/>
  <c r="I3477" i="2"/>
  <c r="J3477" i="2"/>
  <c r="K3477" i="2"/>
  <c r="O3477" i="2"/>
  <c r="R3477" i="2"/>
  <c r="S3477" i="2" s="1"/>
  <c r="I3478" i="2"/>
  <c r="J3478" i="2"/>
  <c r="K3478" i="2"/>
  <c r="O3478" i="2"/>
  <c r="R3478" i="2"/>
  <c r="S3478" i="2" s="1"/>
  <c r="I3479" i="2"/>
  <c r="J3479" i="2"/>
  <c r="K3479" i="2"/>
  <c r="O3479" i="2"/>
  <c r="R3479" i="2"/>
  <c r="S3479" i="2" s="1"/>
  <c r="I3480" i="2"/>
  <c r="J3480" i="2"/>
  <c r="K3480" i="2"/>
  <c r="O3480" i="2"/>
  <c r="R3480" i="2"/>
  <c r="S3480" i="2" s="1"/>
  <c r="I3481" i="2"/>
  <c r="J3481" i="2"/>
  <c r="K3481" i="2"/>
  <c r="O3481" i="2"/>
  <c r="R3481" i="2"/>
  <c r="S3481" i="2" s="1"/>
  <c r="I3482" i="2"/>
  <c r="J3482" i="2"/>
  <c r="K3482" i="2"/>
  <c r="O3482" i="2"/>
  <c r="R3482" i="2"/>
  <c r="S3482" i="2" s="1"/>
  <c r="I3483" i="2"/>
  <c r="J3483" i="2"/>
  <c r="K3483" i="2"/>
  <c r="O3483" i="2"/>
  <c r="R3483" i="2"/>
  <c r="S3483" i="2" s="1"/>
  <c r="I3484" i="2"/>
  <c r="J3484" i="2"/>
  <c r="K3484" i="2"/>
  <c r="O3484" i="2"/>
  <c r="R3484" i="2"/>
  <c r="S3484" i="2" s="1"/>
  <c r="I3485" i="2"/>
  <c r="J3485" i="2"/>
  <c r="K3485" i="2"/>
  <c r="O3485" i="2"/>
  <c r="R3485" i="2"/>
  <c r="S3485" i="2" s="1"/>
  <c r="I3486" i="2"/>
  <c r="J3486" i="2"/>
  <c r="K3486" i="2"/>
  <c r="O3486" i="2"/>
  <c r="R3486" i="2"/>
  <c r="S3486" i="2" s="1"/>
  <c r="I3487" i="2"/>
  <c r="J3487" i="2"/>
  <c r="K3487" i="2"/>
  <c r="O3487" i="2"/>
  <c r="R3487" i="2"/>
  <c r="S3487" i="2" s="1"/>
  <c r="I3488" i="2"/>
  <c r="J3488" i="2"/>
  <c r="K3488" i="2"/>
  <c r="O3488" i="2"/>
  <c r="R3488" i="2"/>
  <c r="S3488" i="2" s="1"/>
  <c r="I3489" i="2"/>
  <c r="J3489" i="2"/>
  <c r="K3489" i="2"/>
  <c r="O3489" i="2"/>
  <c r="R3489" i="2"/>
  <c r="S3489" i="2" s="1"/>
  <c r="I3490" i="2"/>
  <c r="J3490" i="2"/>
  <c r="K3490" i="2"/>
  <c r="O3490" i="2"/>
  <c r="R3490" i="2"/>
  <c r="S3490" i="2" s="1"/>
  <c r="I3491" i="2"/>
  <c r="J3491" i="2"/>
  <c r="K3491" i="2"/>
  <c r="O3491" i="2"/>
  <c r="R3491" i="2"/>
  <c r="S3491" i="2" s="1"/>
  <c r="I3492" i="2"/>
  <c r="J3492" i="2"/>
  <c r="K3492" i="2"/>
  <c r="O3492" i="2"/>
  <c r="R3492" i="2"/>
  <c r="S3492" i="2" s="1"/>
  <c r="I3493" i="2"/>
  <c r="J3493" i="2"/>
  <c r="K3493" i="2"/>
  <c r="O3493" i="2"/>
  <c r="R3493" i="2"/>
  <c r="S3493" i="2" s="1"/>
  <c r="I3494" i="2"/>
  <c r="J3494" i="2"/>
  <c r="K3494" i="2"/>
  <c r="O3494" i="2"/>
  <c r="R3494" i="2"/>
  <c r="S3494" i="2" s="1"/>
  <c r="I3495" i="2"/>
  <c r="J3495" i="2"/>
  <c r="K3495" i="2"/>
  <c r="O3495" i="2"/>
  <c r="R3495" i="2"/>
  <c r="S3495" i="2" s="1"/>
  <c r="I3496" i="2"/>
  <c r="J3496" i="2"/>
  <c r="K3496" i="2"/>
  <c r="O3496" i="2"/>
  <c r="R3496" i="2"/>
  <c r="S3496" i="2" s="1"/>
  <c r="I3497" i="2"/>
  <c r="J3497" i="2"/>
  <c r="K3497" i="2"/>
  <c r="O3497" i="2"/>
  <c r="R3497" i="2"/>
  <c r="S3497" i="2" s="1"/>
  <c r="I3498" i="2"/>
  <c r="J3498" i="2"/>
  <c r="K3498" i="2"/>
  <c r="O3498" i="2"/>
  <c r="R3498" i="2"/>
  <c r="S3498" i="2" s="1"/>
  <c r="I3499" i="2"/>
  <c r="J3499" i="2"/>
  <c r="K3499" i="2"/>
  <c r="O3499" i="2"/>
  <c r="R3499" i="2"/>
  <c r="S3499" i="2" s="1"/>
  <c r="I3500" i="2"/>
  <c r="J3500" i="2"/>
  <c r="K3500" i="2"/>
  <c r="O3500" i="2"/>
  <c r="R3500" i="2"/>
  <c r="S3500" i="2" s="1"/>
  <c r="I3501" i="2"/>
  <c r="J3501" i="2"/>
  <c r="K3501" i="2"/>
  <c r="O3501" i="2"/>
  <c r="R3501" i="2"/>
  <c r="S3501" i="2" s="1"/>
  <c r="I3502" i="2"/>
  <c r="J3502" i="2"/>
  <c r="K3502" i="2"/>
  <c r="O3502" i="2"/>
  <c r="R3502" i="2"/>
  <c r="S3502" i="2" s="1"/>
  <c r="I3503" i="2"/>
  <c r="J3503" i="2"/>
  <c r="K3503" i="2"/>
  <c r="O3503" i="2"/>
  <c r="R3503" i="2"/>
  <c r="S3503" i="2" s="1"/>
  <c r="I3504" i="2"/>
  <c r="J3504" i="2"/>
  <c r="K3504" i="2"/>
  <c r="O3504" i="2"/>
  <c r="R3504" i="2"/>
  <c r="S3504" i="2" s="1"/>
  <c r="I3505" i="2"/>
  <c r="J3505" i="2"/>
  <c r="K3505" i="2"/>
  <c r="O3505" i="2"/>
  <c r="R3505" i="2"/>
  <c r="S3505" i="2" s="1"/>
  <c r="I3506" i="2"/>
  <c r="J3506" i="2"/>
  <c r="K3506" i="2"/>
  <c r="O3506" i="2"/>
  <c r="R3506" i="2"/>
  <c r="S3506" i="2" s="1"/>
  <c r="I3507" i="2"/>
  <c r="J3507" i="2"/>
  <c r="K3507" i="2"/>
  <c r="O3507" i="2"/>
  <c r="R3507" i="2"/>
  <c r="S3507" i="2" s="1"/>
  <c r="I3508" i="2"/>
  <c r="J3508" i="2"/>
  <c r="K3508" i="2"/>
  <c r="O3508" i="2"/>
  <c r="R3508" i="2"/>
  <c r="S3508" i="2" s="1"/>
  <c r="I3509" i="2"/>
  <c r="J3509" i="2"/>
  <c r="K3509" i="2"/>
  <c r="O3509" i="2"/>
  <c r="R3509" i="2"/>
  <c r="S3509" i="2" s="1"/>
  <c r="I3510" i="2"/>
  <c r="J3510" i="2"/>
  <c r="K3510" i="2"/>
  <c r="O3510" i="2"/>
  <c r="R3510" i="2"/>
  <c r="S3510" i="2" s="1"/>
  <c r="I3511" i="2"/>
  <c r="J3511" i="2"/>
  <c r="K3511" i="2"/>
  <c r="O3511" i="2"/>
  <c r="R3511" i="2"/>
  <c r="S3511" i="2" s="1"/>
  <c r="I3512" i="2"/>
  <c r="J3512" i="2"/>
  <c r="K3512" i="2"/>
  <c r="O3512" i="2"/>
  <c r="R3512" i="2"/>
  <c r="S3512" i="2" s="1"/>
  <c r="I3513" i="2"/>
  <c r="J3513" i="2"/>
  <c r="K3513" i="2"/>
  <c r="O3513" i="2"/>
  <c r="R3513" i="2"/>
  <c r="S3513" i="2" s="1"/>
  <c r="I3514" i="2"/>
  <c r="J3514" i="2"/>
  <c r="K3514" i="2"/>
  <c r="O3514" i="2"/>
  <c r="R3514" i="2"/>
  <c r="S3514" i="2" s="1"/>
  <c r="I3515" i="2"/>
  <c r="J3515" i="2"/>
  <c r="K3515" i="2"/>
  <c r="O3515" i="2"/>
  <c r="R3515" i="2"/>
  <c r="S3515" i="2" s="1"/>
  <c r="I3516" i="2"/>
  <c r="J3516" i="2"/>
  <c r="K3516" i="2"/>
  <c r="O3516" i="2"/>
  <c r="R3516" i="2"/>
  <c r="S3516" i="2" s="1"/>
  <c r="I3517" i="2"/>
  <c r="J3517" i="2"/>
  <c r="K3517" i="2"/>
  <c r="O3517" i="2"/>
  <c r="R3517" i="2"/>
  <c r="S3517" i="2" s="1"/>
  <c r="I3518" i="2"/>
  <c r="J3518" i="2"/>
  <c r="K3518" i="2"/>
  <c r="O3518" i="2"/>
  <c r="R3518" i="2"/>
  <c r="S3518" i="2" s="1"/>
  <c r="I3519" i="2"/>
  <c r="J3519" i="2"/>
  <c r="K3519" i="2"/>
  <c r="O3519" i="2"/>
  <c r="R3519" i="2"/>
  <c r="S3519" i="2" s="1"/>
  <c r="I3520" i="2"/>
  <c r="J3520" i="2"/>
  <c r="K3520" i="2"/>
  <c r="O3520" i="2"/>
  <c r="R3520" i="2"/>
  <c r="S3520" i="2" s="1"/>
  <c r="I3521" i="2"/>
  <c r="J3521" i="2"/>
  <c r="K3521" i="2"/>
  <c r="O3521" i="2"/>
  <c r="R3521" i="2"/>
  <c r="S3521" i="2" s="1"/>
  <c r="I3522" i="2"/>
  <c r="J3522" i="2"/>
  <c r="K3522" i="2"/>
  <c r="O3522" i="2"/>
  <c r="R3522" i="2"/>
  <c r="S3522" i="2" s="1"/>
  <c r="I3523" i="2"/>
  <c r="J3523" i="2"/>
  <c r="K3523" i="2"/>
  <c r="O3523" i="2"/>
  <c r="R3523" i="2"/>
  <c r="S3523" i="2" s="1"/>
  <c r="I3524" i="2"/>
  <c r="J3524" i="2"/>
  <c r="K3524" i="2"/>
  <c r="O3524" i="2"/>
  <c r="R3524" i="2"/>
  <c r="S3524" i="2" s="1"/>
  <c r="I3525" i="2"/>
  <c r="J3525" i="2"/>
  <c r="K3525" i="2"/>
  <c r="O3525" i="2"/>
  <c r="R3525" i="2"/>
  <c r="S3525" i="2" s="1"/>
  <c r="I3526" i="2"/>
  <c r="J3526" i="2"/>
  <c r="K3526" i="2"/>
  <c r="O3526" i="2"/>
  <c r="R3526" i="2"/>
  <c r="S3526" i="2" s="1"/>
  <c r="I3527" i="2"/>
  <c r="J3527" i="2"/>
  <c r="K3527" i="2"/>
  <c r="O3527" i="2"/>
  <c r="R3527" i="2"/>
  <c r="S3527" i="2" s="1"/>
  <c r="I3528" i="2"/>
  <c r="J3528" i="2"/>
  <c r="K3528" i="2"/>
  <c r="O3528" i="2"/>
  <c r="R3528" i="2"/>
  <c r="S3528" i="2" s="1"/>
  <c r="I3529" i="2"/>
  <c r="J3529" i="2"/>
  <c r="K3529" i="2"/>
  <c r="O3529" i="2"/>
  <c r="R3529" i="2"/>
  <c r="S3529" i="2" s="1"/>
  <c r="I3530" i="2"/>
  <c r="J3530" i="2"/>
  <c r="K3530" i="2"/>
  <c r="O3530" i="2"/>
  <c r="R3530" i="2"/>
  <c r="S3530" i="2" s="1"/>
  <c r="I3531" i="2"/>
  <c r="J3531" i="2"/>
  <c r="K3531" i="2"/>
  <c r="O3531" i="2"/>
  <c r="R3531" i="2"/>
  <c r="S3531" i="2" s="1"/>
  <c r="I3532" i="2"/>
  <c r="J3532" i="2"/>
  <c r="K3532" i="2"/>
  <c r="O3532" i="2"/>
  <c r="R3532" i="2"/>
  <c r="S3532" i="2" s="1"/>
  <c r="I3533" i="2"/>
  <c r="J3533" i="2"/>
  <c r="K3533" i="2"/>
  <c r="O3533" i="2"/>
  <c r="R3533" i="2"/>
  <c r="S3533" i="2" s="1"/>
  <c r="I3534" i="2"/>
  <c r="J3534" i="2"/>
  <c r="K3534" i="2"/>
  <c r="O3534" i="2"/>
  <c r="R3534" i="2"/>
  <c r="S3534" i="2" s="1"/>
  <c r="I3535" i="2"/>
  <c r="J3535" i="2"/>
  <c r="K3535" i="2"/>
  <c r="O3535" i="2"/>
  <c r="R3535" i="2"/>
  <c r="S3535" i="2" s="1"/>
  <c r="I3536" i="2"/>
  <c r="J3536" i="2"/>
  <c r="K3536" i="2"/>
  <c r="O3536" i="2"/>
  <c r="R3536" i="2"/>
  <c r="S3536" i="2" s="1"/>
  <c r="I3537" i="2"/>
  <c r="J3537" i="2"/>
  <c r="K3537" i="2"/>
  <c r="O3537" i="2"/>
  <c r="R3537" i="2"/>
  <c r="S3537" i="2" s="1"/>
  <c r="I3538" i="2"/>
  <c r="J3538" i="2"/>
  <c r="K3538" i="2"/>
  <c r="O3538" i="2"/>
  <c r="R3538" i="2"/>
  <c r="S3538" i="2" s="1"/>
  <c r="I3539" i="2"/>
  <c r="J3539" i="2"/>
  <c r="K3539" i="2"/>
  <c r="O3539" i="2"/>
  <c r="R3539" i="2"/>
  <c r="S3539" i="2" s="1"/>
  <c r="I3540" i="2"/>
  <c r="J3540" i="2"/>
  <c r="K3540" i="2"/>
  <c r="O3540" i="2"/>
  <c r="R3540" i="2"/>
  <c r="S3540" i="2" s="1"/>
  <c r="I3541" i="2"/>
  <c r="J3541" i="2"/>
  <c r="K3541" i="2"/>
  <c r="O3541" i="2"/>
  <c r="R3541" i="2"/>
  <c r="S3541" i="2" s="1"/>
  <c r="I3542" i="2"/>
  <c r="J3542" i="2"/>
  <c r="K3542" i="2"/>
  <c r="O3542" i="2"/>
  <c r="R3542" i="2"/>
  <c r="S3542" i="2" s="1"/>
  <c r="I3543" i="2"/>
  <c r="J3543" i="2"/>
  <c r="K3543" i="2"/>
  <c r="O3543" i="2"/>
  <c r="R3543" i="2"/>
  <c r="S3543" i="2" s="1"/>
  <c r="I3544" i="2"/>
  <c r="J3544" i="2"/>
  <c r="K3544" i="2"/>
  <c r="O3544" i="2"/>
  <c r="R3544" i="2"/>
  <c r="S3544" i="2" s="1"/>
  <c r="I3545" i="2"/>
  <c r="J3545" i="2"/>
  <c r="K3545" i="2"/>
  <c r="O3545" i="2"/>
  <c r="R3545" i="2"/>
  <c r="S3545" i="2" s="1"/>
  <c r="I3546" i="2"/>
  <c r="J3546" i="2"/>
  <c r="K3546" i="2"/>
  <c r="O3546" i="2"/>
  <c r="R3546" i="2"/>
  <c r="S3546" i="2" s="1"/>
  <c r="I3547" i="2"/>
  <c r="J3547" i="2"/>
  <c r="K3547" i="2"/>
  <c r="O3547" i="2"/>
  <c r="R3547" i="2"/>
  <c r="S3547" i="2" s="1"/>
  <c r="I3548" i="2"/>
  <c r="J3548" i="2"/>
  <c r="K3548" i="2"/>
  <c r="O3548" i="2"/>
  <c r="R3548" i="2"/>
  <c r="S3548" i="2" s="1"/>
  <c r="I3549" i="2"/>
  <c r="J3549" i="2"/>
  <c r="K3549" i="2"/>
  <c r="O3549" i="2"/>
  <c r="R3549" i="2"/>
  <c r="S3549" i="2" s="1"/>
  <c r="I3550" i="2"/>
  <c r="J3550" i="2"/>
  <c r="K3550" i="2"/>
  <c r="O3550" i="2"/>
  <c r="R3550" i="2"/>
  <c r="S3550" i="2" s="1"/>
  <c r="I3551" i="2"/>
  <c r="J3551" i="2"/>
  <c r="K3551" i="2"/>
  <c r="O3551" i="2"/>
  <c r="R3551" i="2"/>
  <c r="S3551" i="2" s="1"/>
  <c r="I3552" i="2"/>
  <c r="J3552" i="2"/>
  <c r="K3552" i="2"/>
  <c r="O3552" i="2"/>
  <c r="R3552" i="2"/>
  <c r="S3552" i="2" s="1"/>
  <c r="I3553" i="2"/>
  <c r="J3553" i="2"/>
  <c r="K3553" i="2"/>
  <c r="O3553" i="2"/>
  <c r="R3553" i="2"/>
  <c r="S3553" i="2" s="1"/>
  <c r="I3554" i="2"/>
  <c r="J3554" i="2"/>
  <c r="K3554" i="2"/>
  <c r="O3554" i="2"/>
  <c r="R3554" i="2"/>
  <c r="S3554" i="2" s="1"/>
  <c r="I3555" i="2"/>
  <c r="J3555" i="2"/>
  <c r="K3555" i="2"/>
  <c r="O3555" i="2"/>
  <c r="R3555" i="2"/>
  <c r="S3555" i="2" s="1"/>
  <c r="I3556" i="2"/>
  <c r="J3556" i="2"/>
  <c r="K3556" i="2"/>
  <c r="O3556" i="2"/>
  <c r="R3556" i="2"/>
  <c r="S3556" i="2" s="1"/>
  <c r="I3557" i="2"/>
  <c r="J3557" i="2"/>
  <c r="K3557" i="2"/>
  <c r="O3557" i="2"/>
  <c r="R3557" i="2"/>
  <c r="S3557" i="2" s="1"/>
  <c r="I3558" i="2"/>
  <c r="J3558" i="2"/>
  <c r="K3558" i="2"/>
  <c r="O3558" i="2"/>
  <c r="R3558" i="2"/>
  <c r="S3558" i="2" s="1"/>
  <c r="I3559" i="2"/>
  <c r="J3559" i="2"/>
  <c r="K3559" i="2"/>
  <c r="O3559" i="2"/>
  <c r="R3559" i="2"/>
  <c r="S3559" i="2" s="1"/>
  <c r="I3560" i="2"/>
  <c r="J3560" i="2"/>
  <c r="K3560" i="2"/>
  <c r="O3560" i="2"/>
  <c r="R3560" i="2"/>
  <c r="S3560" i="2" s="1"/>
  <c r="I3561" i="2"/>
  <c r="J3561" i="2"/>
  <c r="K3561" i="2"/>
  <c r="O3561" i="2"/>
  <c r="R3561" i="2"/>
  <c r="S3561" i="2" s="1"/>
  <c r="I3562" i="2"/>
  <c r="J3562" i="2"/>
  <c r="K3562" i="2"/>
  <c r="O3562" i="2"/>
  <c r="R3562" i="2"/>
  <c r="S3562" i="2" s="1"/>
  <c r="I3563" i="2"/>
  <c r="J3563" i="2"/>
  <c r="K3563" i="2"/>
  <c r="O3563" i="2"/>
  <c r="R3563" i="2"/>
  <c r="S3563" i="2" s="1"/>
  <c r="I3564" i="2"/>
  <c r="J3564" i="2"/>
  <c r="K3564" i="2"/>
  <c r="O3564" i="2"/>
  <c r="R3564" i="2"/>
  <c r="S3564" i="2" s="1"/>
  <c r="I3565" i="2"/>
  <c r="J3565" i="2"/>
  <c r="K3565" i="2"/>
  <c r="O3565" i="2"/>
  <c r="R3565" i="2"/>
  <c r="S3565" i="2" s="1"/>
  <c r="I3566" i="2"/>
  <c r="J3566" i="2"/>
  <c r="K3566" i="2"/>
  <c r="O3566" i="2"/>
  <c r="R3566" i="2"/>
  <c r="S3566" i="2" s="1"/>
  <c r="I3567" i="2"/>
  <c r="J3567" i="2"/>
  <c r="K3567" i="2"/>
  <c r="O3567" i="2"/>
  <c r="R3567" i="2"/>
  <c r="S3567" i="2" s="1"/>
  <c r="I3568" i="2"/>
  <c r="J3568" i="2"/>
  <c r="K3568" i="2"/>
  <c r="O3568" i="2"/>
  <c r="R3568" i="2"/>
  <c r="S3568" i="2" s="1"/>
  <c r="I3569" i="2"/>
  <c r="J3569" i="2"/>
  <c r="K3569" i="2"/>
  <c r="O3569" i="2"/>
  <c r="R3569" i="2"/>
  <c r="S3569" i="2" s="1"/>
  <c r="I3570" i="2"/>
  <c r="J3570" i="2"/>
  <c r="K3570" i="2"/>
  <c r="O3570" i="2"/>
  <c r="R3570" i="2"/>
  <c r="S3570" i="2" s="1"/>
  <c r="I3571" i="2"/>
  <c r="J3571" i="2"/>
  <c r="K3571" i="2"/>
  <c r="O3571" i="2"/>
  <c r="R3571" i="2"/>
  <c r="S3571" i="2" s="1"/>
  <c r="I3572" i="2"/>
  <c r="J3572" i="2"/>
  <c r="K3572" i="2"/>
  <c r="O3572" i="2"/>
  <c r="R3572" i="2"/>
  <c r="S3572" i="2" s="1"/>
  <c r="I3573" i="2"/>
  <c r="J3573" i="2"/>
  <c r="K3573" i="2"/>
  <c r="O3573" i="2"/>
  <c r="R3573" i="2"/>
  <c r="S3573" i="2" s="1"/>
  <c r="I3574" i="2"/>
  <c r="J3574" i="2"/>
  <c r="K3574" i="2"/>
  <c r="O3574" i="2"/>
  <c r="R3574" i="2"/>
  <c r="S3574" i="2" s="1"/>
  <c r="I3575" i="2"/>
  <c r="J3575" i="2"/>
  <c r="K3575" i="2"/>
  <c r="O3575" i="2"/>
  <c r="R3575" i="2"/>
  <c r="S3575" i="2" s="1"/>
  <c r="I3576" i="2"/>
  <c r="J3576" i="2"/>
  <c r="K3576" i="2"/>
  <c r="O3576" i="2"/>
  <c r="R3576" i="2"/>
  <c r="S3576" i="2" s="1"/>
  <c r="I3577" i="2"/>
  <c r="J3577" i="2"/>
  <c r="K3577" i="2"/>
  <c r="O3577" i="2"/>
  <c r="R3577" i="2"/>
  <c r="S3577" i="2" s="1"/>
  <c r="I3578" i="2"/>
  <c r="J3578" i="2"/>
  <c r="K3578" i="2"/>
  <c r="O3578" i="2"/>
  <c r="R3578" i="2"/>
  <c r="S3578" i="2" s="1"/>
  <c r="I3579" i="2"/>
  <c r="J3579" i="2"/>
  <c r="K3579" i="2"/>
  <c r="O3579" i="2"/>
  <c r="R3579" i="2"/>
  <c r="S3579" i="2" s="1"/>
  <c r="I3580" i="2"/>
  <c r="J3580" i="2"/>
  <c r="K3580" i="2"/>
  <c r="O3580" i="2"/>
  <c r="R3580" i="2"/>
  <c r="S3580" i="2" s="1"/>
  <c r="I3581" i="2"/>
  <c r="J3581" i="2"/>
  <c r="K3581" i="2"/>
  <c r="O3581" i="2"/>
  <c r="R3581" i="2"/>
  <c r="S3581" i="2" s="1"/>
  <c r="I3582" i="2"/>
  <c r="J3582" i="2"/>
  <c r="K3582" i="2"/>
  <c r="O3582" i="2"/>
  <c r="R3582" i="2"/>
  <c r="S3582" i="2" s="1"/>
  <c r="I3583" i="2"/>
  <c r="J3583" i="2"/>
  <c r="K3583" i="2"/>
  <c r="O3583" i="2"/>
  <c r="R3583" i="2"/>
  <c r="S3583" i="2" s="1"/>
  <c r="I3584" i="2"/>
  <c r="J3584" i="2"/>
  <c r="K3584" i="2"/>
  <c r="O3584" i="2"/>
  <c r="R3584" i="2"/>
  <c r="S3584" i="2" s="1"/>
  <c r="I3585" i="2"/>
  <c r="J3585" i="2"/>
  <c r="K3585" i="2"/>
  <c r="O3585" i="2"/>
  <c r="R3585" i="2"/>
  <c r="S3585" i="2" s="1"/>
  <c r="I3586" i="2"/>
  <c r="J3586" i="2"/>
  <c r="K3586" i="2"/>
  <c r="O3586" i="2"/>
  <c r="R3586" i="2"/>
  <c r="S3586" i="2" s="1"/>
  <c r="I3587" i="2"/>
  <c r="J3587" i="2"/>
  <c r="K3587" i="2"/>
  <c r="O3587" i="2"/>
  <c r="R3587" i="2"/>
  <c r="S3587" i="2" s="1"/>
  <c r="I3588" i="2"/>
  <c r="J3588" i="2"/>
  <c r="K3588" i="2"/>
  <c r="O3588" i="2"/>
  <c r="R3588" i="2"/>
  <c r="S3588" i="2" s="1"/>
  <c r="I3589" i="2"/>
  <c r="J3589" i="2"/>
  <c r="K3589" i="2"/>
  <c r="O3589" i="2"/>
  <c r="R3589" i="2"/>
  <c r="S3589" i="2" s="1"/>
  <c r="I3590" i="2"/>
  <c r="J3590" i="2"/>
  <c r="K3590" i="2"/>
  <c r="O3590" i="2"/>
  <c r="R3590" i="2"/>
  <c r="S3590" i="2" s="1"/>
  <c r="I3591" i="2"/>
  <c r="J3591" i="2"/>
  <c r="K3591" i="2"/>
  <c r="O3591" i="2"/>
  <c r="R3591" i="2"/>
  <c r="S3591" i="2" s="1"/>
  <c r="I3592" i="2"/>
  <c r="J3592" i="2"/>
  <c r="K3592" i="2"/>
  <c r="O3592" i="2"/>
  <c r="R3592" i="2"/>
  <c r="S3592" i="2" s="1"/>
  <c r="I3593" i="2"/>
  <c r="J3593" i="2"/>
  <c r="K3593" i="2"/>
  <c r="O3593" i="2"/>
  <c r="R3593" i="2"/>
  <c r="S3593" i="2" s="1"/>
  <c r="I3594" i="2"/>
  <c r="J3594" i="2"/>
  <c r="K3594" i="2"/>
  <c r="O3594" i="2"/>
  <c r="R3594" i="2"/>
  <c r="S3594" i="2" s="1"/>
  <c r="I3595" i="2"/>
  <c r="J3595" i="2"/>
  <c r="K3595" i="2"/>
  <c r="O3595" i="2"/>
  <c r="R3595" i="2"/>
  <c r="S3595" i="2" s="1"/>
  <c r="I3596" i="2"/>
  <c r="J3596" i="2"/>
  <c r="K3596" i="2"/>
  <c r="O3596" i="2"/>
  <c r="R3596" i="2"/>
  <c r="S3596" i="2" s="1"/>
  <c r="I3597" i="2"/>
  <c r="J3597" i="2"/>
  <c r="K3597" i="2"/>
  <c r="O3597" i="2"/>
  <c r="R3597" i="2"/>
  <c r="S3597" i="2" s="1"/>
  <c r="I3598" i="2"/>
  <c r="J3598" i="2"/>
  <c r="K3598" i="2"/>
  <c r="O3598" i="2"/>
  <c r="R3598" i="2"/>
  <c r="S3598" i="2" s="1"/>
  <c r="I3599" i="2"/>
  <c r="J3599" i="2"/>
  <c r="K3599" i="2"/>
  <c r="O3599" i="2"/>
  <c r="R3599" i="2"/>
  <c r="S3599" i="2" s="1"/>
  <c r="I3600" i="2"/>
  <c r="J3600" i="2"/>
  <c r="K3600" i="2"/>
  <c r="O3600" i="2"/>
  <c r="R3600" i="2"/>
  <c r="S3600" i="2" s="1"/>
  <c r="I3601" i="2"/>
  <c r="J3601" i="2"/>
  <c r="K3601" i="2"/>
  <c r="O3601" i="2"/>
  <c r="R3601" i="2"/>
  <c r="S3601" i="2" s="1"/>
  <c r="I3602" i="2"/>
  <c r="J3602" i="2"/>
  <c r="K3602" i="2"/>
  <c r="O3602" i="2"/>
  <c r="R3602" i="2"/>
  <c r="S3602" i="2" s="1"/>
  <c r="I3603" i="2"/>
  <c r="J3603" i="2"/>
  <c r="K3603" i="2"/>
  <c r="O3603" i="2"/>
  <c r="R3603" i="2"/>
  <c r="S3603" i="2" s="1"/>
  <c r="I3604" i="2"/>
  <c r="J3604" i="2"/>
  <c r="K3604" i="2"/>
  <c r="O3604" i="2"/>
  <c r="R3604" i="2"/>
  <c r="S3604" i="2" s="1"/>
  <c r="I3605" i="2"/>
  <c r="J3605" i="2"/>
  <c r="K3605" i="2"/>
  <c r="O3605" i="2"/>
  <c r="R3605" i="2"/>
  <c r="S3605" i="2" s="1"/>
  <c r="I3606" i="2"/>
  <c r="J3606" i="2"/>
  <c r="K3606" i="2"/>
  <c r="O3606" i="2"/>
  <c r="R3606" i="2"/>
  <c r="S3606" i="2" s="1"/>
  <c r="I3607" i="2"/>
  <c r="J3607" i="2"/>
  <c r="K3607" i="2"/>
  <c r="O3607" i="2"/>
  <c r="R3607" i="2"/>
  <c r="S3607" i="2" s="1"/>
  <c r="I3608" i="2"/>
  <c r="J3608" i="2"/>
  <c r="K3608" i="2"/>
  <c r="O3608" i="2"/>
  <c r="R3608" i="2"/>
  <c r="S3608" i="2" s="1"/>
  <c r="I3609" i="2"/>
  <c r="J3609" i="2"/>
  <c r="K3609" i="2"/>
  <c r="O3609" i="2"/>
  <c r="R3609" i="2"/>
  <c r="S3609" i="2" s="1"/>
  <c r="I3610" i="2"/>
  <c r="J3610" i="2"/>
  <c r="K3610" i="2"/>
  <c r="O3610" i="2"/>
  <c r="R3610" i="2"/>
  <c r="S3610" i="2" s="1"/>
  <c r="I3611" i="2"/>
  <c r="J3611" i="2"/>
  <c r="K3611" i="2"/>
  <c r="O3611" i="2"/>
  <c r="R3611" i="2"/>
  <c r="S3611" i="2" s="1"/>
  <c r="I3612" i="2"/>
  <c r="J3612" i="2"/>
  <c r="K3612" i="2"/>
  <c r="O3612" i="2"/>
  <c r="R3612" i="2"/>
  <c r="S3612" i="2" s="1"/>
  <c r="I3613" i="2"/>
  <c r="J3613" i="2"/>
  <c r="K3613" i="2"/>
  <c r="O3613" i="2"/>
  <c r="R3613" i="2"/>
  <c r="S3613" i="2" s="1"/>
  <c r="I3614" i="2"/>
  <c r="J3614" i="2"/>
  <c r="K3614" i="2"/>
  <c r="O3614" i="2"/>
  <c r="R3614" i="2"/>
  <c r="S3614" i="2" s="1"/>
  <c r="I3615" i="2"/>
  <c r="J3615" i="2"/>
  <c r="K3615" i="2"/>
  <c r="O3615" i="2"/>
  <c r="R3615" i="2"/>
  <c r="S3615" i="2" s="1"/>
  <c r="I3616" i="2"/>
  <c r="J3616" i="2"/>
  <c r="K3616" i="2"/>
  <c r="O3616" i="2"/>
  <c r="R3616" i="2"/>
  <c r="S3616" i="2" s="1"/>
  <c r="I3617" i="2"/>
  <c r="J3617" i="2"/>
  <c r="K3617" i="2"/>
  <c r="O3617" i="2"/>
  <c r="R3617" i="2"/>
  <c r="S3617" i="2" s="1"/>
  <c r="I3618" i="2"/>
  <c r="J3618" i="2"/>
  <c r="K3618" i="2"/>
  <c r="O3618" i="2"/>
  <c r="R3618" i="2"/>
  <c r="S3618" i="2" s="1"/>
  <c r="I3619" i="2"/>
  <c r="J3619" i="2"/>
  <c r="K3619" i="2"/>
  <c r="O3619" i="2"/>
  <c r="R3619" i="2"/>
  <c r="S3619" i="2" s="1"/>
  <c r="I3620" i="2"/>
  <c r="J3620" i="2"/>
  <c r="K3620" i="2"/>
  <c r="O3620" i="2"/>
  <c r="R3620" i="2"/>
  <c r="S3620" i="2" s="1"/>
  <c r="I3621" i="2"/>
  <c r="J3621" i="2"/>
  <c r="K3621" i="2"/>
  <c r="O3621" i="2"/>
  <c r="R3621" i="2"/>
  <c r="S3621" i="2" s="1"/>
  <c r="I3622" i="2"/>
  <c r="J3622" i="2"/>
  <c r="K3622" i="2"/>
  <c r="O3622" i="2"/>
  <c r="R3622" i="2"/>
  <c r="S3622" i="2" s="1"/>
  <c r="I3623" i="2"/>
  <c r="J3623" i="2"/>
  <c r="K3623" i="2"/>
  <c r="O3623" i="2"/>
  <c r="R3623" i="2"/>
  <c r="S3623" i="2" s="1"/>
  <c r="I3624" i="2"/>
  <c r="J3624" i="2"/>
  <c r="K3624" i="2"/>
  <c r="O3624" i="2"/>
  <c r="R3624" i="2"/>
  <c r="S3624" i="2" s="1"/>
  <c r="I3625" i="2"/>
  <c r="J3625" i="2"/>
  <c r="K3625" i="2"/>
  <c r="O3625" i="2"/>
  <c r="R3625" i="2"/>
  <c r="S3625" i="2" s="1"/>
  <c r="I3626" i="2"/>
  <c r="J3626" i="2"/>
  <c r="K3626" i="2"/>
  <c r="O3626" i="2"/>
  <c r="R3626" i="2"/>
  <c r="S3626" i="2" s="1"/>
  <c r="I3627" i="2"/>
  <c r="J3627" i="2"/>
  <c r="K3627" i="2"/>
  <c r="R3627" i="2"/>
  <c r="S3627" i="2" s="1"/>
  <c r="I3628" i="2"/>
  <c r="J3628" i="2"/>
  <c r="K3628" i="2"/>
  <c r="R3628" i="2"/>
  <c r="S3628" i="2" s="1"/>
  <c r="I3629" i="2"/>
  <c r="J3629" i="2"/>
  <c r="K3629" i="2"/>
  <c r="O3629" i="2"/>
  <c r="R3629" i="2"/>
  <c r="S3629" i="2" s="1"/>
  <c r="I3630" i="2"/>
  <c r="J3630" i="2"/>
  <c r="K3630" i="2"/>
  <c r="O3630" i="2"/>
  <c r="R3630" i="2"/>
  <c r="S3630" i="2" s="1"/>
  <c r="I3631" i="2"/>
  <c r="J3631" i="2"/>
  <c r="K3631" i="2"/>
  <c r="O3631" i="2"/>
  <c r="R3631" i="2"/>
  <c r="S3631" i="2" s="1"/>
  <c r="I3632" i="2"/>
  <c r="J3632" i="2"/>
  <c r="K3632" i="2"/>
  <c r="O3632" i="2"/>
  <c r="R3632" i="2"/>
  <c r="S3632" i="2" s="1"/>
  <c r="I3633" i="2"/>
  <c r="J3633" i="2"/>
  <c r="K3633" i="2"/>
  <c r="O3633" i="2"/>
  <c r="R3633" i="2"/>
  <c r="S3633" i="2" s="1"/>
  <c r="I3634" i="2"/>
  <c r="J3634" i="2"/>
  <c r="K3634" i="2"/>
  <c r="O3634" i="2"/>
  <c r="R3634" i="2"/>
  <c r="S3634" i="2" s="1"/>
  <c r="I3635" i="2"/>
  <c r="J3635" i="2"/>
  <c r="K3635" i="2"/>
  <c r="O3635" i="2"/>
  <c r="R3635" i="2"/>
  <c r="S3635" i="2" s="1"/>
  <c r="I3636" i="2"/>
  <c r="J3636" i="2"/>
  <c r="K3636" i="2"/>
  <c r="O3636" i="2"/>
  <c r="R3636" i="2"/>
  <c r="S3636" i="2" s="1"/>
  <c r="I3637" i="2"/>
  <c r="J3637" i="2"/>
  <c r="K3637" i="2"/>
  <c r="R3637" i="2"/>
  <c r="S3637" i="2" s="1"/>
  <c r="I3638" i="2"/>
  <c r="J3638" i="2"/>
  <c r="K3638" i="2"/>
  <c r="O3638" i="2"/>
  <c r="R3638" i="2"/>
  <c r="S3638" i="2" s="1"/>
  <c r="I3639" i="2"/>
  <c r="J3639" i="2"/>
  <c r="K3639" i="2"/>
  <c r="O3639" i="2"/>
  <c r="R3639" i="2"/>
  <c r="S3639" i="2" s="1"/>
  <c r="I3640" i="2"/>
  <c r="J3640" i="2"/>
  <c r="K3640" i="2"/>
  <c r="O3640" i="2"/>
  <c r="R3640" i="2"/>
  <c r="S3640" i="2" s="1"/>
  <c r="I3641" i="2"/>
  <c r="J3641" i="2"/>
  <c r="K3641" i="2"/>
  <c r="O3641" i="2"/>
  <c r="R3641" i="2"/>
  <c r="S3641" i="2" s="1"/>
  <c r="I3642" i="2"/>
  <c r="J3642" i="2"/>
  <c r="K3642" i="2"/>
  <c r="O3642" i="2"/>
  <c r="R3642" i="2"/>
  <c r="S3642" i="2" s="1"/>
  <c r="I3643" i="2"/>
  <c r="J3643" i="2"/>
  <c r="K3643" i="2"/>
  <c r="O3643" i="2"/>
  <c r="R3643" i="2"/>
  <c r="S3643" i="2" s="1"/>
  <c r="I3644" i="2"/>
  <c r="J3644" i="2"/>
  <c r="K3644" i="2"/>
  <c r="O3644" i="2"/>
  <c r="R3644" i="2"/>
  <c r="S3644" i="2" s="1"/>
  <c r="I3645" i="2"/>
  <c r="J3645" i="2"/>
  <c r="K3645" i="2"/>
  <c r="O3645" i="2"/>
  <c r="R3645" i="2"/>
  <c r="S3645" i="2" s="1"/>
  <c r="I3646" i="2"/>
  <c r="J3646" i="2"/>
  <c r="K3646" i="2"/>
  <c r="O3646" i="2"/>
  <c r="R3646" i="2"/>
  <c r="S3646" i="2" s="1"/>
  <c r="I3647" i="2"/>
  <c r="J3647" i="2"/>
  <c r="K3647" i="2"/>
  <c r="O3647" i="2"/>
  <c r="R3647" i="2"/>
  <c r="S3647" i="2" s="1"/>
  <c r="I3648" i="2"/>
  <c r="J3648" i="2"/>
  <c r="K3648" i="2"/>
  <c r="O3648" i="2"/>
  <c r="R3648" i="2"/>
  <c r="S3648" i="2" s="1"/>
  <c r="I3649" i="2"/>
  <c r="J3649" i="2"/>
  <c r="K3649" i="2"/>
  <c r="O3649" i="2"/>
  <c r="R3649" i="2"/>
  <c r="S3649" i="2" s="1"/>
  <c r="I3650" i="2"/>
  <c r="J3650" i="2"/>
  <c r="K3650" i="2"/>
  <c r="O3650" i="2"/>
  <c r="R3650" i="2"/>
  <c r="S3650" i="2" s="1"/>
  <c r="I3651" i="2"/>
  <c r="J3651" i="2"/>
  <c r="K3651" i="2"/>
  <c r="O3651" i="2"/>
  <c r="R3651" i="2"/>
  <c r="S3651" i="2" s="1"/>
  <c r="I3652" i="2"/>
  <c r="J3652" i="2"/>
  <c r="K3652" i="2"/>
  <c r="O3652" i="2"/>
  <c r="R3652" i="2"/>
  <c r="S3652" i="2" s="1"/>
  <c r="I3653" i="2"/>
  <c r="J3653" i="2"/>
  <c r="K3653" i="2"/>
  <c r="O3653" i="2"/>
  <c r="R3653" i="2"/>
  <c r="S3653" i="2" s="1"/>
  <c r="I3654" i="2"/>
  <c r="J3654" i="2"/>
  <c r="K3654" i="2"/>
  <c r="O3654" i="2"/>
  <c r="R3654" i="2"/>
  <c r="S3654" i="2" s="1"/>
  <c r="I3655" i="2"/>
  <c r="J3655" i="2"/>
  <c r="K3655" i="2"/>
  <c r="O3655" i="2"/>
  <c r="R3655" i="2"/>
  <c r="S3655" i="2" s="1"/>
  <c r="I3656" i="2"/>
  <c r="J3656" i="2"/>
  <c r="K3656" i="2"/>
  <c r="O3656" i="2"/>
  <c r="R3656" i="2"/>
  <c r="S3656" i="2" s="1"/>
  <c r="I3657" i="2"/>
  <c r="J3657" i="2"/>
  <c r="K3657" i="2"/>
  <c r="O3657" i="2"/>
  <c r="R3657" i="2"/>
  <c r="S3657" i="2" s="1"/>
  <c r="I3658" i="2"/>
  <c r="J3658" i="2"/>
  <c r="K3658" i="2"/>
  <c r="O3658" i="2"/>
  <c r="R3658" i="2"/>
  <c r="S3658" i="2" s="1"/>
  <c r="I3659" i="2"/>
  <c r="J3659" i="2"/>
  <c r="K3659" i="2"/>
  <c r="O3659" i="2"/>
  <c r="R3659" i="2"/>
  <c r="S3659" i="2" s="1"/>
  <c r="I3660" i="2"/>
  <c r="J3660" i="2"/>
  <c r="K3660" i="2"/>
  <c r="O3660" i="2"/>
  <c r="R3660" i="2"/>
  <c r="S3660" i="2" s="1"/>
  <c r="I3661" i="2"/>
  <c r="J3661" i="2"/>
  <c r="K3661" i="2"/>
  <c r="O3661" i="2"/>
  <c r="R3661" i="2"/>
  <c r="S3661" i="2" s="1"/>
  <c r="I3662" i="2"/>
  <c r="J3662" i="2"/>
  <c r="K3662" i="2"/>
  <c r="O3662" i="2"/>
  <c r="R3662" i="2"/>
  <c r="S3662" i="2" s="1"/>
  <c r="I3663" i="2"/>
  <c r="J3663" i="2"/>
  <c r="K3663" i="2"/>
  <c r="O3663" i="2"/>
  <c r="R3663" i="2"/>
  <c r="S3663" i="2" s="1"/>
  <c r="I3664" i="2"/>
  <c r="J3664" i="2"/>
  <c r="K3664" i="2"/>
  <c r="O3664" i="2"/>
  <c r="R3664" i="2"/>
  <c r="S3664" i="2" s="1"/>
  <c r="I3665" i="2"/>
  <c r="J3665" i="2"/>
  <c r="K3665" i="2"/>
  <c r="O3665" i="2"/>
  <c r="R3665" i="2"/>
  <c r="S3665" i="2" s="1"/>
  <c r="I3666" i="2"/>
  <c r="J3666" i="2"/>
  <c r="K3666" i="2"/>
  <c r="O3666" i="2"/>
  <c r="R3666" i="2"/>
  <c r="S3666" i="2" s="1"/>
  <c r="I3667" i="2"/>
  <c r="J3667" i="2"/>
  <c r="K3667" i="2"/>
  <c r="O3667" i="2"/>
  <c r="R3667" i="2"/>
  <c r="S3667" i="2" s="1"/>
  <c r="I3668" i="2"/>
  <c r="J3668" i="2"/>
  <c r="K3668" i="2"/>
  <c r="O3668" i="2"/>
  <c r="R3668" i="2"/>
  <c r="S3668" i="2" s="1"/>
  <c r="I3669" i="2"/>
  <c r="J3669" i="2"/>
  <c r="K3669" i="2"/>
  <c r="O3669" i="2"/>
  <c r="R3669" i="2"/>
  <c r="S3669" i="2" s="1"/>
  <c r="I3670" i="2"/>
  <c r="J3670" i="2"/>
  <c r="K3670" i="2"/>
  <c r="O3670" i="2"/>
  <c r="R3670" i="2"/>
  <c r="S3670" i="2" s="1"/>
  <c r="I3671" i="2"/>
  <c r="J3671" i="2"/>
  <c r="K3671" i="2"/>
  <c r="O3671" i="2"/>
  <c r="R3671" i="2"/>
  <c r="S3671" i="2" s="1"/>
  <c r="I3672" i="2"/>
  <c r="J3672" i="2"/>
  <c r="K3672" i="2"/>
  <c r="O3672" i="2"/>
  <c r="R3672" i="2"/>
  <c r="S3672" i="2" s="1"/>
  <c r="I3673" i="2"/>
  <c r="J3673" i="2"/>
  <c r="K3673" i="2"/>
  <c r="O3673" i="2"/>
  <c r="R3673" i="2"/>
  <c r="S3673" i="2" s="1"/>
  <c r="I3674" i="2"/>
  <c r="J3674" i="2"/>
  <c r="K3674" i="2"/>
  <c r="O3674" i="2"/>
  <c r="R3674" i="2"/>
  <c r="S3674" i="2" s="1"/>
  <c r="I3675" i="2"/>
  <c r="J3675" i="2"/>
  <c r="K3675" i="2"/>
  <c r="O3675" i="2"/>
  <c r="R3675" i="2"/>
  <c r="S3675" i="2" s="1"/>
  <c r="I3676" i="2"/>
  <c r="J3676" i="2"/>
  <c r="K3676" i="2"/>
  <c r="O3676" i="2"/>
  <c r="R3676" i="2"/>
  <c r="S3676" i="2" s="1"/>
  <c r="I3677" i="2"/>
  <c r="J3677" i="2"/>
  <c r="K3677" i="2"/>
  <c r="O3677" i="2"/>
  <c r="R3677" i="2"/>
  <c r="S3677" i="2" s="1"/>
  <c r="I3678" i="2"/>
  <c r="J3678" i="2"/>
  <c r="K3678" i="2"/>
  <c r="O3678" i="2"/>
  <c r="R3678" i="2"/>
  <c r="S3678" i="2" s="1"/>
  <c r="I3679" i="2"/>
  <c r="J3679" i="2"/>
  <c r="K3679" i="2"/>
  <c r="O3679" i="2"/>
  <c r="R3679" i="2"/>
  <c r="S3679" i="2" s="1"/>
  <c r="I3680" i="2"/>
  <c r="J3680" i="2"/>
  <c r="K3680" i="2"/>
  <c r="O3680" i="2"/>
  <c r="R3680" i="2"/>
  <c r="S3680" i="2" s="1"/>
  <c r="I3681" i="2"/>
  <c r="J3681" i="2"/>
  <c r="K3681" i="2"/>
  <c r="O3681" i="2"/>
  <c r="R3681" i="2"/>
  <c r="S3681" i="2" s="1"/>
  <c r="I3682" i="2"/>
  <c r="J3682" i="2"/>
  <c r="K3682" i="2"/>
  <c r="O3682" i="2"/>
  <c r="R3682" i="2"/>
  <c r="S3682" i="2" s="1"/>
  <c r="I3683" i="2"/>
  <c r="J3683" i="2"/>
  <c r="K3683" i="2"/>
  <c r="O3683" i="2"/>
  <c r="R3683" i="2"/>
  <c r="S3683" i="2" s="1"/>
  <c r="I3684" i="2"/>
  <c r="J3684" i="2"/>
  <c r="K3684" i="2"/>
  <c r="O3684" i="2"/>
  <c r="R3684" i="2"/>
  <c r="S3684" i="2" s="1"/>
  <c r="I3685" i="2"/>
  <c r="J3685" i="2"/>
  <c r="K3685" i="2"/>
  <c r="O3685" i="2"/>
  <c r="R3685" i="2"/>
  <c r="S3685" i="2" s="1"/>
  <c r="I3686" i="2"/>
  <c r="J3686" i="2"/>
  <c r="K3686" i="2"/>
  <c r="O3686" i="2"/>
  <c r="R3686" i="2"/>
  <c r="S3686" i="2" s="1"/>
  <c r="I3687" i="2"/>
  <c r="J3687" i="2"/>
  <c r="K3687" i="2"/>
  <c r="O3687" i="2"/>
  <c r="R3687" i="2"/>
  <c r="S3687" i="2" s="1"/>
  <c r="I3688" i="2"/>
  <c r="J3688" i="2"/>
  <c r="K3688" i="2"/>
  <c r="O3688" i="2"/>
  <c r="R3688" i="2"/>
  <c r="S3688" i="2" s="1"/>
  <c r="I3689" i="2"/>
  <c r="J3689" i="2"/>
  <c r="K3689" i="2"/>
  <c r="O3689" i="2"/>
  <c r="R3689" i="2"/>
  <c r="S3689" i="2" s="1"/>
  <c r="I3690" i="2"/>
  <c r="J3690" i="2"/>
  <c r="K3690" i="2"/>
  <c r="O3690" i="2"/>
  <c r="R3690" i="2"/>
  <c r="S3690" i="2" s="1"/>
  <c r="I3691" i="2"/>
  <c r="J3691" i="2"/>
  <c r="K3691" i="2"/>
  <c r="O3691" i="2"/>
  <c r="R3691" i="2"/>
  <c r="S3691" i="2" s="1"/>
  <c r="I3692" i="2"/>
  <c r="J3692" i="2"/>
  <c r="K3692" i="2"/>
  <c r="O3692" i="2"/>
  <c r="R3692" i="2"/>
  <c r="S3692" i="2" s="1"/>
  <c r="I3693" i="2"/>
  <c r="J3693" i="2"/>
  <c r="K3693" i="2"/>
  <c r="O3693" i="2"/>
  <c r="R3693" i="2"/>
  <c r="S3693" i="2" s="1"/>
  <c r="I3694" i="2"/>
  <c r="J3694" i="2"/>
  <c r="K3694" i="2"/>
  <c r="O3694" i="2"/>
  <c r="R3694" i="2"/>
  <c r="S3694" i="2" s="1"/>
  <c r="I3695" i="2"/>
  <c r="J3695" i="2"/>
  <c r="K3695" i="2"/>
  <c r="O3695" i="2"/>
  <c r="R3695" i="2"/>
  <c r="S3695" i="2" s="1"/>
  <c r="I3696" i="2"/>
  <c r="J3696" i="2"/>
  <c r="K3696" i="2"/>
  <c r="O3696" i="2"/>
  <c r="R3696" i="2"/>
  <c r="S3696" i="2" s="1"/>
  <c r="I3697" i="2"/>
  <c r="J3697" i="2"/>
  <c r="K3697" i="2"/>
  <c r="O3697" i="2"/>
  <c r="R3697" i="2"/>
  <c r="S3697" i="2" s="1"/>
  <c r="I3698" i="2"/>
  <c r="J3698" i="2"/>
  <c r="K3698" i="2"/>
  <c r="O3698" i="2"/>
  <c r="R3698" i="2"/>
  <c r="S3698" i="2" s="1"/>
  <c r="I3699" i="2"/>
  <c r="J3699" i="2"/>
  <c r="K3699" i="2"/>
  <c r="O3699" i="2"/>
  <c r="R3699" i="2"/>
  <c r="S3699" i="2" s="1"/>
  <c r="I3700" i="2"/>
  <c r="J3700" i="2"/>
  <c r="K3700" i="2"/>
  <c r="O3700" i="2"/>
  <c r="R3700" i="2"/>
  <c r="S3700" i="2" s="1"/>
  <c r="I3701" i="2"/>
  <c r="J3701" i="2"/>
  <c r="K3701" i="2"/>
  <c r="O3701" i="2"/>
  <c r="R3701" i="2"/>
  <c r="S3701" i="2" s="1"/>
  <c r="I3702" i="2"/>
  <c r="J3702" i="2"/>
  <c r="K3702" i="2"/>
  <c r="O3702" i="2"/>
  <c r="R3702" i="2"/>
  <c r="S3702" i="2" s="1"/>
  <c r="I3703" i="2"/>
  <c r="J3703" i="2"/>
  <c r="K3703" i="2"/>
  <c r="O3703" i="2"/>
  <c r="R3703" i="2"/>
  <c r="S3703" i="2" s="1"/>
  <c r="I3704" i="2"/>
  <c r="J3704" i="2"/>
  <c r="K3704" i="2"/>
  <c r="O3704" i="2"/>
  <c r="R3704" i="2"/>
  <c r="S3704" i="2" s="1"/>
  <c r="I3705" i="2"/>
  <c r="J3705" i="2"/>
  <c r="K3705" i="2"/>
  <c r="O3705" i="2"/>
  <c r="R3705" i="2"/>
  <c r="S3705" i="2" s="1"/>
  <c r="I3706" i="2"/>
  <c r="J3706" i="2"/>
  <c r="K3706" i="2"/>
  <c r="O3706" i="2"/>
  <c r="R3706" i="2"/>
  <c r="S3706" i="2" s="1"/>
  <c r="I3707" i="2"/>
  <c r="J3707" i="2"/>
  <c r="K3707" i="2"/>
  <c r="O3707" i="2"/>
  <c r="R3707" i="2"/>
  <c r="S3707" i="2" s="1"/>
  <c r="I3708" i="2"/>
  <c r="J3708" i="2"/>
  <c r="K3708" i="2"/>
  <c r="O3708" i="2"/>
  <c r="R3708" i="2"/>
  <c r="S3708" i="2" s="1"/>
  <c r="I3709" i="2"/>
  <c r="J3709" i="2"/>
  <c r="K3709" i="2"/>
  <c r="O3709" i="2"/>
  <c r="R3709" i="2"/>
  <c r="S3709" i="2" s="1"/>
  <c r="I3710" i="2"/>
  <c r="J3710" i="2"/>
  <c r="K3710" i="2"/>
  <c r="O3710" i="2"/>
  <c r="R3710" i="2"/>
  <c r="S3710" i="2" s="1"/>
  <c r="I3711" i="2"/>
  <c r="J3711" i="2"/>
  <c r="K3711" i="2"/>
  <c r="O3711" i="2"/>
  <c r="R3711" i="2"/>
  <c r="S3711" i="2" s="1"/>
  <c r="I3712" i="2"/>
  <c r="J3712" i="2"/>
  <c r="K3712" i="2"/>
  <c r="O3712" i="2"/>
  <c r="R3712" i="2"/>
  <c r="S3712" i="2" s="1"/>
  <c r="I3713" i="2"/>
  <c r="J3713" i="2"/>
  <c r="K3713" i="2"/>
  <c r="O3713" i="2"/>
  <c r="R3713" i="2"/>
  <c r="S3713" i="2" s="1"/>
  <c r="I3714" i="2"/>
  <c r="J3714" i="2"/>
  <c r="K3714" i="2"/>
  <c r="O3714" i="2"/>
  <c r="R3714" i="2"/>
  <c r="S3714" i="2" s="1"/>
  <c r="I3715" i="2"/>
  <c r="J3715" i="2"/>
  <c r="K3715" i="2"/>
  <c r="O3715" i="2"/>
  <c r="R3715" i="2"/>
  <c r="S3715" i="2" s="1"/>
  <c r="I3716" i="2"/>
  <c r="J3716" i="2"/>
  <c r="K3716" i="2"/>
  <c r="O3716" i="2"/>
  <c r="R3716" i="2"/>
  <c r="S3716" i="2" s="1"/>
  <c r="I3717" i="2"/>
  <c r="J3717" i="2"/>
  <c r="K3717" i="2"/>
  <c r="O3717" i="2"/>
  <c r="R3717" i="2"/>
  <c r="S3717" i="2" s="1"/>
  <c r="I3718" i="2"/>
  <c r="J3718" i="2"/>
  <c r="K3718" i="2"/>
  <c r="O3718" i="2"/>
  <c r="R3718" i="2"/>
  <c r="S3718" i="2" s="1"/>
  <c r="I3719" i="2"/>
  <c r="J3719" i="2"/>
  <c r="K3719" i="2"/>
  <c r="O3719" i="2"/>
  <c r="R3719" i="2"/>
  <c r="S3719" i="2" s="1"/>
  <c r="I3720" i="2"/>
  <c r="J3720" i="2"/>
  <c r="K3720" i="2"/>
  <c r="O3720" i="2"/>
  <c r="R3720" i="2"/>
  <c r="S3720" i="2" s="1"/>
  <c r="I3721" i="2"/>
  <c r="J3721" i="2"/>
  <c r="K3721" i="2"/>
  <c r="O3721" i="2"/>
  <c r="R3721" i="2"/>
  <c r="S3721" i="2" s="1"/>
  <c r="I3722" i="2"/>
  <c r="J3722" i="2"/>
  <c r="K3722" i="2"/>
  <c r="O3722" i="2"/>
  <c r="R3722" i="2"/>
  <c r="S3722" i="2" s="1"/>
  <c r="I3723" i="2"/>
  <c r="J3723" i="2"/>
  <c r="K3723" i="2"/>
  <c r="O3723" i="2"/>
  <c r="R3723" i="2"/>
  <c r="S3723" i="2" s="1"/>
  <c r="I3724" i="2"/>
  <c r="J3724" i="2"/>
  <c r="K3724" i="2"/>
  <c r="O3724" i="2"/>
  <c r="R3724" i="2"/>
  <c r="S3724" i="2" s="1"/>
  <c r="I3725" i="2"/>
  <c r="J3725" i="2"/>
  <c r="K3725" i="2"/>
  <c r="O3725" i="2"/>
  <c r="R3725" i="2"/>
  <c r="S3725" i="2" s="1"/>
  <c r="I3726" i="2"/>
  <c r="J3726" i="2"/>
  <c r="K3726" i="2"/>
  <c r="O3726" i="2"/>
  <c r="R3726" i="2"/>
  <c r="S3726" i="2" s="1"/>
  <c r="I3727" i="2"/>
  <c r="J3727" i="2"/>
  <c r="K3727" i="2"/>
  <c r="O3727" i="2"/>
  <c r="R3727" i="2"/>
  <c r="S3727" i="2" s="1"/>
  <c r="I3728" i="2"/>
  <c r="J3728" i="2"/>
  <c r="K3728" i="2"/>
  <c r="O3728" i="2"/>
  <c r="R3728" i="2"/>
  <c r="S3728" i="2" s="1"/>
  <c r="I3729" i="2"/>
  <c r="J3729" i="2"/>
  <c r="K3729" i="2"/>
  <c r="O3729" i="2"/>
  <c r="R3729" i="2"/>
  <c r="S3729" i="2" s="1"/>
  <c r="I3730" i="2"/>
  <c r="J3730" i="2"/>
  <c r="K3730" i="2"/>
  <c r="O3730" i="2"/>
  <c r="R3730" i="2"/>
  <c r="S3730" i="2" s="1"/>
  <c r="I3731" i="2"/>
  <c r="J3731" i="2"/>
  <c r="K3731" i="2"/>
  <c r="O3731" i="2"/>
  <c r="R3731" i="2"/>
  <c r="S3731" i="2" s="1"/>
  <c r="I3732" i="2"/>
  <c r="J3732" i="2"/>
  <c r="K3732" i="2"/>
  <c r="O3732" i="2"/>
  <c r="R3732" i="2"/>
  <c r="S3732" i="2" s="1"/>
  <c r="I3733" i="2"/>
  <c r="J3733" i="2"/>
  <c r="K3733" i="2"/>
  <c r="O3733" i="2"/>
  <c r="R3733" i="2"/>
  <c r="S3733" i="2" s="1"/>
  <c r="I3734" i="2"/>
  <c r="J3734" i="2"/>
  <c r="K3734" i="2"/>
  <c r="O3734" i="2"/>
  <c r="R3734" i="2"/>
  <c r="S3734" i="2" s="1"/>
  <c r="I3735" i="2"/>
  <c r="J3735" i="2"/>
  <c r="K3735" i="2"/>
  <c r="O3735" i="2"/>
  <c r="R3735" i="2"/>
  <c r="S3735" i="2" s="1"/>
  <c r="I3736" i="2"/>
  <c r="J3736" i="2"/>
  <c r="K3736" i="2"/>
  <c r="O3736" i="2"/>
  <c r="R3736" i="2"/>
  <c r="S3736" i="2" s="1"/>
  <c r="I3737" i="2"/>
  <c r="J3737" i="2"/>
  <c r="K3737" i="2"/>
  <c r="O3737" i="2"/>
  <c r="R3737" i="2"/>
  <c r="S3737" i="2" s="1"/>
  <c r="I3738" i="2"/>
  <c r="J3738" i="2"/>
  <c r="K3738" i="2"/>
  <c r="O3738" i="2"/>
  <c r="R3738" i="2"/>
  <c r="S3738" i="2" s="1"/>
  <c r="I3739" i="2"/>
  <c r="J3739" i="2"/>
  <c r="K3739" i="2"/>
  <c r="O3739" i="2"/>
  <c r="R3739" i="2"/>
  <c r="S3739" i="2" s="1"/>
  <c r="I3740" i="2"/>
  <c r="J3740" i="2"/>
  <c r="K3740" i="2"/>
  <c r="O3740" i="2"/>
  <c r="R3740" i="2"/>
  <c r="S3740" i="2" s="1"/>
  <c r="I3741" i="2"/>
  <c r="J3741" i="2"/>
  <c r="K3741" i="2"/>
  <c r="O3741" i="2"/>
  <c r="R3741" i="2"/>
  <c r="S3741" i="2" s="1"/>
  <c r="I3742" i="2"/>
  <c r="J3742" i="2"/>
  <c r="K3742" i="2"/>
  <c r="O3742" i="2"/>
  <c r="R3742" i="2"/>
  <c r="S3742" i="2" s="1"/>
  <c r="I3743" i="2"/>
  <c r="J3743" i="2"/>
  <c r="K3743" i="2"/>
  <c r="O3743" i="2"/>
  <c r="R3743" i="2"/>
  <c r="S3743" i="2" s="1"/>
  <c r="I3744" i="2"/>
  <c r="J3744" i="2"/>
  <c r="K3744" i="2"/>
  <c r="O3744" i="2"/>
  <c r="R3744" i="2"/>
  <c r="S3744" i="2" s="1"/>
  <c r="I3745" i="2"/>
  <c r="J3745" i="2"/>
  <c r="K3745" i="2"/>
  <c r="O3745" i="2"/>
  <c r="R3745" i="2"/>
  <c r="S3745" i="2" s="1"/>
  <c r="I3746" i="2"/>
  <c r="J3746" i="2"/>
  <c r="K3746" i="2"/>
  <c r="O3746" i="2"/>
  <c r="R3746" i="2"/>
  <c r="S3746" i="2" s="1"/>
  <c r="I3747" i="2"/>
  <c r="J3747" i="2"/>
  <c r="K3747" i="2"/>
  <c r="O3747" i="2"/>
  <c r="R3747" i="2"/>
  <c r="S3747" i="2" s="1"/>
  <c r="I3748" i="2"/>
  <c r="J3748" i="2"/>
  <c r="K3748" i="2"/>
  <c r="O3748" i="2"/>
  <c r="R3748" i="2"/>
  <c r="S3748" i="2" s="1"/>
  <c r="I3749" i="2"/>
  <c r="J3749" i="2"/>
  <c r="K3749" i="2"/>
  <c r="O3749" i="2"/>
  <c r="R3749" i="2"/>
  <c r="S3749" i="2" s="1"/>
  <c r="I3750" i="2"/>
  <c r="J3750" i="2"/>
  <c r="K3750" i="2"/>
  <c r="O3750" i="2"/>
  <c r="R3750" i="2"/>
  <c r="S3750" i="2" s="1"/>
  <c r="I3751" i="2"/>
  <c r="J3751" i="2"/>
  <c r="K3751" i="2"/>
  <c r="O3751" i="2"/>
  <c r="R3751" i="2"/>
  <c r="S3751" i="2" s="1"/>
  <c r="I3752" i="2"/>
  <c r="J3752" i="2"/>
  <c r="K3752" i="2"/>
  <c r="O3752" i="2"/>
  <c r="R3752" i="2"/>
  <c r="S3752" i="2" s="1"/>
  <c r="I3753" i="2"/>
  <c r="J3753" i="2"/>
  <c r="K3753" i="2"/>
  <c r="O3753" i="2"/>
  <c r="R3753" i="2"/>
  <c r="S3753" i="2" s="1"/>
  <c r="I3754" i="2"/>
  <c r="J3754" i="2"/>
  <c r="K3754" i="2"/>
  <c r="O3754" i="2"/>
  <c r="R3754" i="2"/>
  <c r="S3754" i="2" s="1"/>
  <c r="I3755" i="2"/>
  <c r="J3755" i="2"/>
  <c r="K3755" i="2"/>
  <c r="O3755" i="2"/>
  <c r="R3755" i="2"/>
  <c r="S3755" i="2" s="1"/>
  <c r="I3756" i="2"/>
  <c r="J3756" i="2"/>
  <c r="K3756" i="2"/>
  <c r="O3756" i="2"/>
  <c r="R3756" i="2"/>
  <c r="S3756" i="2" s="1"/>
  <c r="I3757" i="2"/>
  <c r="J3757" i="2"/>
  <c r="K3757" i="2"/>
  <c r="O3757" i="2"/>
  <c r="R3757" i="2"/>
  <c r="S3757" i="2" s="1"/>
  <c r="I3758" i="2"/>
  <c r="J3758" i="2"/>
  <c r="K3758" i="2"/>
  <c r="O3758" i="2"/>
  <c r="R3758" i="2"/>
  <c r="S3758" i="2" s="1"/>
  <c r="I3759" i="2"/>
  <c r="J3759" i="2"/>
  <c r="K3759" i="2"/>
  <c r="O3759" i="2"/>
  <c r="R3759" i="2"/>
  <c r="S3759" i="2" s="1"/>
  <c r="I3760" i="2"/>
  <c r="J3760" i="2"/>
  <c r="K3760" i="2"/>
  <c r="O3760" i="2"/>
  <c r="R3760" i="2"/>
  <c r="S3760" i="2" s="1"/>
  <c r="I3761" i="2"/>
  <c r="J3761" i="2"/>
  <c r="K3761" i="2"/>
  <c r="O3761" i="2"/>
  <c r="R3761" i="2"/>
  <c r="S3761" i="2" s="1"/>
  <c r="I3762" i="2"/>
  <c r="J3762" i="2"/>
  <c r="K3762" i="2"/>
  <c r="O3762" i="2"/>
  <c r="R3762" i="2"/>
  <c r="S3762" i="2" s="1"/>
  <c r="I3763" i="2"/>
  <c r="J3763" i="2"/>
  <c r="K3763" i="2"/>
  <c r="O3763" i="2"/>
  <c r="R3763" i="2"/>
  <c r="S3763" i="2" s="1"/>
  <c r="I3764" i="2"/>
  <c r="J3764" i="2"/>
  <c r="K3764" i="2"/>
  <c r="O3764" i="2"/>
  <c r="R3764" i="2"/>
  <c r="S3764" i="2" s="1"/>
  <c r="I3765" i="2"/>
  <c r="J3765" i="2"/>
  <c r="K3765" i="2"/>
  <c r="O3765" i="2"/>
  <c r="R3765" i="2"/>
  <c r="S3765" i="2" s="1"/>
  <c r="I3766" i="2"/>
  <c r="J3766" i="2"/>
  <c r="K3766" i="2"/>
  <c r="O3766" i="2"/>
  <c r="R3766" i="2"/>
  <c r="S3766" i="2" s="1"/>
  <c r="I3767" i="2"/>
  <c r="J3767" i="2"/>
  <c r="K3767" i="2"/>
  <c r="O3767" i="2"/>
  <c r="R3767" i="2"/>
  <c r="S3767" i="2" s="1"/>
  <c r="I3768" i="2"/>
  <c r="J3768" i="2"/>
  <c r="K3768" i="2"/>
  <c r="O3768" i="2"/>
  <c r="R3768" i="2"/>
  <c r="S3768" i="2" s="1"/>
  <c r="I3769" i="2"/>
  <c r="J3769" i="2"/>
  <c r="K3769" i="2"/>
  <c r="O3769" i="2"/>
  <c r="R3769" i="2"/>
  <c r="S3769" i="2" s="1"/>
  <c r="I3770" i="2"/>
  <c r="J3770" i="2"/>
  <c r="K3770" i="2"/>
  <c r="O3770" i="2"/>
  <c r="R3770" i="2"/>
  <c r="S3770" i="2" s="1"/>
  <c r="I3771" i="2"/>
  <c r="J3771" i="2"/>
  <c r="K3771" i="2"/>
  <c r="O3771" i="2"/>
  <c r="R3771" i="2"/>
  <c r="S3771" i="2" s="1"/>
  <c r="I3772" i="2"/>
  <c r="J3772" i="2"/>
  <c r="K3772" i="2"/>
  <c r="O3772" i="2"/>
  <c r="R3772" i="2"/>
  <c r="S3772" i="2" s="1"/>
  <c r="I3773" i="2"/>
  <c r="J3773" i="2"/>
  <c r="K3773" i="2"/>
  <c r="O3773" i="2"/>
  <c r="R3773" i="2"/>
  <c r="S3773" i="2" s="1"/>
  <c r="I3774" i="2"/>
  <c r="J3774" i="2"/>
  <c r="K3774" i="2"/>
  <c r="O3774" i="2"/>
  <c r="R3774" i="2"/>
  <c r="S3774" i="2" s="1"/>
  <c r="I3775" i="2"/>
  <c r="J3775" i="2"/>
  <c r="K3775" i="2"/>
  <c r="O3775" i="2"/>
  <c r="R3775" i="2"/>
  <c r="S3775" i="2" s="1"/>
  <c r="I3776" i="2"/>
  <c r="J3776" i="2"/>
  <c r="K3776" i="2"/>
  <c r="O3776" i="2"/>
  <c r="R3776" i="2"/>
  <c r="S3776" i="2" s="1"/>
  <c r="I3777" i="2"/>
  <c r="J3777" i="2"/>
  <c r="K3777" i="2"/>
  <c r="O3777" i="2"/>
  <c r="R3777" i="2"/>
  <c r="S3777" i="2" s="1"/>
  <c r="I3778" i="2"/>
  <c r="J3778" i="2"/>
  <c r="K3778" i="2"/>
  <c r="O3778" i="2"/>
  <c r="R3778" i="2"/>
  <c r="S3778" i="2" s="1"/>
  <c r="I3779" i="2"/>
  <c r="J3779" i="2"/>
  <c r="K3779" i="2"/>
  <c r="O3779" i="2"/>
  <c r="R3779" i="2"/>
  <c r="S3779" i="2" s="1"/>
  <c r="I3780" i="2"/>
  <c r="J3780" i="2"/>
  <c r="K3780" i="2"/>
  <c r="O3780" i="2"/>
  <c r="R3780" i="2"/>
  <c r="S3780" i="2" s="1"/>
  <c r="I3781" i="2"/>
  <c r="J3781" i="2"/>
  <c r="K3781" i="2"/>
  <c r="O3781" i="2"/>
  <c r="R3781" i="2"/>
  <c r="S3781" i="2" s="1"/>
  <c r="I3782" i="2"/>
  <c r="J3782" i="2"/>
  <c r="K3782" i="2"/>
  <c r="O3782" i="2"/>
  <c r="R3782" i="2"/>
  <c r="S3782" i="2" s="1"/>
  <c r="I3783" i="2"/>
  <c r="J3783" i="2"/>
  <c r="K3783" i="2"/>
  <c r="O3783" i="2"/>
  <c r="R3783" i="2"/>
  <c r="S3783" i="2" s="1"/>
  <c r="I3784" i="2"/>
  <c r="J3784" i="2"/>
  <c r="K3784" i="2"/>
  <c r="O3784" i="2"/>
  <c r="R3784" i="2"/>
  <c r="S3784" i="2" s="1"/>
  <c r="I3785" i="2"/>
  <c r="J3785" i="2"/>
  <c r="K3785" i="2"/>
  <c r="O3785" i="2"/>
  <c r="R3785" i="2"/>
  <c r="S3785" i="2" s="1"/>
  <c r="I3786" i="2"/>
  <c r="J3786" i="2"/>
  <c r="K3786" i="2"/>
  <c r="O3786" i="2"/>
  <c r="R3786" i="2"/>
  <c r="S3786" i="2" s="1"/>
  <c r="I3787" i="2"/>
  <c r="J3787" i="2"/>
  <c r="K3787" i="2"/>
  <c r="O3787" i="2"/>
  <c r="R3787" i="2"/>
  <c r="S3787" i="2" s="1"/>
  <c r="I3788" i="2"/>
  <c r="J3788" i="2"/>
  <c r="K3788" i="2"/>
  <c r="O3788" i="2"/>
  <c r="R3788" i="2"/>
  <c r="S3788" i="2" s="1"/>
  <c r="I3789" i="2"/>
  <c r="J3789" i="2"/>
  <c r="K3789" i="2"/>
  <c r="O3789" i="2"/>
  <c r="R3789" i="2"/>
  <c r="S3789" i="2" s="1"/>
  <c r="I3790" i="2"/>
  <c r="J3790" i="2"/>
  <c r="K3790" i="2"/>
  <c r="O3790" i="2"/>
  <c r="R3790" i="2"/>
  <c r="S3790" i="2" s="1"/>
  <c r="I3791" i="2"/>
  <c r="J3791" i="2"/>
  <c r="K3791" i="2"/>
  <c r="O3791" i="2"/>
  <c r="R3791" i="2"/>
  <c r="S3791" i="2" s="1"/>
  <c r="I3792" i="2"/>
  <c r="J3792" i="2"/>
  <c r="K3792" i="2"/>
  <c r="O3792" i="2"/>
  <c r="R3792" i="2"/>
  <c r="S3792" i="2" s="1"/>
  <c r="I3793" i="2"/>
  <c r="J3793" i="2"/>
  <c r="K3793" i="2"/>
  <c r="O3793" i="2"/>
  <c r="R3793" i="2"/>
  <c r="S3793" i="2" s="1"/>
  <c r="I3794" i="2"/>
  <c r="J3794" i="2"/>
  <c r="K3794" i="2"/>
  <c r="O3794" i="2"/>
  <c r="R3794" i="2"/>
  <c r="S3794" i="2" s="1"/>
  <c r="I3795" i="2"/>
  <c r="J3795" i="2"/>
  <c r="K3795" i="2"/>
  <c r="O3795" i="2"/>
  <c r="R3795" i="2"/>
  <c r="S3795" i="2" s="1"/>
  <c r="I3796" i="2"/>
  <c r="J3796" i="2"/>
  <c r="K3796" i="2"/>
  <c r="O3796" i="2"/>
  <c r="R3796" i="2"/>
  <c r="S3796" i="2" s="1"/>
  <c r="I3797" i="2"/>
  <c r="J3797" i="2"/>
  <c r="K3797" i="2"/>
  <c r="O3797" i="2"/>
  <c r="R3797" i="2"/>
  <c r="S3797" i="2" s="1"/>
  <c r="I3798" i="2"/>
  <c r="J3798" i="2"/>
  <c r="K3798" i="2"/>
  <c r="O3798" i="2"/>
  <c r="R3798" i="2"/>
  <c r="S3798" i="2" s="1"/>
  <c r="I3799" i="2"/>
  <c r="J3799" i="2"/>
  <c r="K3799" i="2"/>
  <c r="O3799" i="2"/>
  <c r="R3799" i="2"/>
  <c r="S3799" i="2" s="1"/>
  <c r="I3800" i="2"/>
  <c r="J3800" i="2"/>
  <c r="K3800" i="2"/>
  <c r="O3800" i="2"/>
  <c r="R3800" i="2"/>
  <c r="S3800" i="2" s="1"/>
  <c r="I3801" i="2"/>
  <c r="J3801" i="2"/>
  <c r="K3801" i="2"/>
  <c r="O3801" i="2"/>
  <c r="R3801" i="2"/>
  <c r="S3801" i="2" s="1"/>
  <c r="I3802" i="2"/>
  <c r="J3802" i="2"/>
  <c r="K3802" i="2"/>
  <c r="O3802" i="2"/>
  <c r="R3802" i="2"/>
  <c r="S3802" i="2" s="1"/>
  <c r="I3803" i="2"/>
  <c r="J3803" i="2"/>
  <c r="K3803" i="2"/>
  <c r="O3803" i="2"/>
  <c r="R3803" i="2"/>
  <c r="S3803" i="2" s="1"/>
  <c r="I3804" i="2"/>
  <c r="J3804" i="2"/>
  <c r="K3804" i="2"/>
  <c r="O3804" i="2"/>
  <c r="R3804" i="2"/>
  <c r="S3804" i="2" s="1"/>
  <c r="I3805" i="2"/>
  <c r="J3805" i="2"/>
  <c r="K3805" i="2"/>
  <c r="O3805" i="2"/>
  <c r="R3805" i="2"/>
  <c r="S3805" i="2" s="1"/>
  <c r="I3806" i="2"/>
  <c r="J3806" i="2"/>
  <c r="K3806" i="2"/>
  <c r="O3806" i="2"/>
  <c r="R3806" i="2"/>
  <c r="S3806" i="2" s="1"/>
  <c r="I3807" i="2"/>
  <c r="J3807" i="2"/>
  <c r="K3807" i="2"/>
  <c r="O3807" i="2"/>
  <c r="R3807" i="2"/>
  <c r="S3807" i="2" s="1"/>
  <c r="I3808" i="2"/>
  <c r="J3808" i="2"/>
  <c r="K3808" i="2"/>
  <c r="O3808" i="2"/>
  <c r="R3808" i="2"/>
  <c r="S3808" i="2" s="1"/>
  <c r="I3809" i="2"/>
  <c r="J3809" i="2"/>
  <c r="K3809" i="2"/>
  <c r="O3809" i="2"/>
  <c r="R3809" i="2"/>
  <c r="S3809" i="2" s="1"/>
  <c r="I3810" i="2"/>
  <c r="J3810" i="2"/>
  <c r="K3810" i="2"/>
  <c r="O3810" i="2"/>
  <c r="R3810" i="2"/>
  <c r="S3810" i="2" s="1"/>
  <c r="I3811" i="2"/>
  <c r="J3811" i="2"/>
  <c r="K3811" i="2"/>
  <c r="O3811" i="2"/>
  <c r="R3811" i="2"/>
  <c r="S3811" i="2" s="1"/>
  <c r="I3812" i="2"/>
  <c r="J3812" i="2"/>
  <c r="K3812" i="2"/>
  <c r="O3812" i="2"/>
  <c r="R3812" i="2"/>
  <c r="S3812" i="2" s="1"/>
  <c r="I3813" i="2"/>
  <c r="J3813" i="2"/>
  <c r="K3813" i="2"/>
  <c r="O3813" i="2"/>
  <c r="R3813" i="2"/>
  <c r="S3813" i="2" s="1"/>
  <c r="I3814" i="2"/>
  <c r="J3814" i="2"/>
  <c r="K3814" i="2"/>
  <c r="O3814" i="2"/>
  <c r="R3814" i="2"/>
  <c r="S3814" i="2" s="1"/>
  <c r="I3815" i="2"/>
  <c r="J3815" i="2"/>
  <c r="K3815" i="2"/>
  <c r="O3815" i="2"/>
  <c r="R3815" i="2"/>
  <c r="S3815" i="2" s="1"/>
  <c r="I3816" i="2"/>
  <c r="J3816" i="2"/>
  <c r="K3816" i="2"/>
  <c r="O3816" i="2"/>
  <c r="R3816" i="2"/>
  <c r="S3816" i="2" s="1"/>
  <c r="I3817" i="2"/>
  <c r="J3817" i="2"/>
  <c r="K3817" i="2"/>
  <c r="O3817" i="2"/>
  <c r="R3817" i="2"/>
  <c r="S3817" i="2" s="1"/>
  <c r="I3818" i="2"/>
  <c r="J3818" i="2"/>
  <c r="K3818" i="2"/>
  <c r="O3818" i="2"/>
  <c r="R3818" i="2"/>
  <c r="S3818" i="2" s="1"/>
  <c r="I3819" i="2"/>
  <c r="J3819" i="2"/>
  <c r="K3819" i="2"/>
  <c r="O3819" i="2"/>
  <c r="R3819" i="2"/>
  <c r="S3819" i="2" s="1"/>
  <c r="I3820" i="2"/>
  <c r="J3820" i="2"/>
  <c r="K3820" i="2"/>
  <c r="O3820" i="2"/>
  <c r="R3820" i="2"/>
  <c r="S3820" i="2" s="1"/>
  <c r="I3821" i="2"/>
  <c r="J3821" i="2"/>
  <c r="K3821" i="2"/>
  <c r="O3821" i="2"/>
  <c r="R3821" i="2"/>
  <c r="S3821" i="2" s="1"/>
  <c r="I3822" i="2"/>
  <c r="J3822" i="2"/>
  <c r="K3822" i="2"/>
  <c r="O3822" i="2"/>
  <c r="R3822" i="2"/>
  <c r="S3822" i="2" s="1"/>
  <c r="I3823" i="2"/>
  <c r="J3823" i="2"/>
  <c r="K3823" i="2"/>
  <c r="O3823" i="2"/>
  <c r="R3823" i="2"/>
  <c r="S3823" i="2" s="1"/>
  <c r="I3824" i="2"/>
  <c r="J3824" i="2"/>
  <c r="K3824" i="2"/>
  <c r="O3824" i="2"/>
  <c r="R3824" i="2"/>
  <c r="S3824" i="2" s="1"/>
  <c r="I3825" i="2"/>
  <c r="J3825" i="2"/>
  <c r="K3825" i="2"/>
  <c r="O3825" i="2"/>
  <c r="R3825" i="2"/>
  <c r="S3825" i="2" s="1"/>
  <c r="I3826" i="2"/>
  <c r="J3826" i="2"/>
  <c r="K3826" i="2"/>
  <c r="O3826" i="2"/>
  <c r="R3826" i="2"/>
  <c r="S3826" i="2" s="1"/>
  <c r="I3827" i="2"/>
  <c r="J3827" i="2"/>
  <c r="K3827" i="2"/>
  <c r="O3827" i="2"/>
  <c r="R3827" i="2"/>
  <c r="S3827" i="2" s="1"/>
  <c r="I3828" i="2"/>
  <c r="J3828" i="2"/>
  <c r="K3828" i="2"/>
  <c r="O3828" i="2"/>
  <c r="R3828" i="2"/>
  <c r="S3828" i="2" s="1"/>
  <c r="I3829" i="2"/>
  <c r="J3829" i="2"/>
  <c r="K3829" i="2"/>
  <c r="O3829" i="2"/>
  <c r="R3829" i="2"/>
  <c r="S3829" i="2" s="1"/>
  <c r="I3830" i="2"/>
  <c r="J3830" i="2"/>
  <c r="K3830" i="2"/>
  <c r="O3830" i="2"/>
  <c r="R3830" i="2"/>
  <c r="S3830" i="2" s="1"/>
  <c r="I3831" i="2"/>
  <c r="J3831" i="2"/>
  <c r="K3831" i="2"/>
  <c r="O3831" i="2"/>
  <c r="R3831" i="2"/>
  <c r="S3831" i="2" s="1"/>
  <c r="I3832" i="2"/>
  <c r="J3832" i="2"/>
  <c r="K3832" i="2"/>
  <c r="O3832" i="2"/>
  <c r="R3832" i="2"/>
  <c r="S3832" i="2" s="1"/>
  <c r="I3833" i="2"/>
  <c r="J3833" i="2"/>
  <c r="K3833" i="2"/>
  <c r="O3833" i="2"/>
  <c r="R3833" i="2"/>
  <c r="S3833" i="2" s="1"/>
  <c r="I3834" i="2"/>
  <c r="J3834" i="2"/>
  <c r="K3834" i="2"/>
  <c r="O3834" i="2"/>
  <c r="R3834" i="2"/>
  <c r="S3834" i="2" s="1"/>
  <c r="I3835" i="2"/>
  <c r="J3835" i="2"/>
  <c r="K3835" i="2"/>
  <c r="O3835" i="2"/>
  <c r="R3835" i="2"/>
  <c r="S3835" i="2" s="1"/>
  <c r="I3836" i="2"/>
  <c r="J3836" i="2"/>
  <c r="K3836" i="2"/>
  <c r="O3836" i="2"/>
  <c r="R3836" i="2"/>
  <c r="S3836" i="2" s="1"/>
  <c r="I3837" i="2"/>
  <c r="J3837" i="2"/>
  <c r="K3837" i="2"/>
  <c r="O3837" i="2"/>
  <c r="R3837" i="2"/>
  <c r="S3837" i="2" s="1"/>
  <c r="I3838" i="2"/>
  <c r="J3838" i="2"/>
  <c r="K3838" i="2"/>
  <c r="O3838" i="2"/>
  <c r="R3838" i="2"/>
  <c r="S3838" i="2" s="1"/>
  <c r="I3839" i="2"/>
  <c r="J3839" i="2"/>
  <c r="K3839" i="2"/>
  <c r="O3839" i="2"/>
  <c r="R3839" i="2"/>
  <c r="S3839" i="2" s="1"/>
  <c r="I3840" i="2"/>
  <c r="J3840" i="2"/>
  <c r="K3840" i="2"/>
  <c r="O3840" i="2"/>
  <c r="R3840" i="2"/>
  <c r="S3840" i="2" s="1"/>
  <c r="I3841" i="2"/>
  <c r="J3841" i="2"/>
  <c r="K3841" i="2"/>
  <c r="O3841" i="2"/>
  <c r="R3841" i="2"/>
  <c r="S3841" i="2" s="1"/>
  <c r="I3842" i="2"/>
  <c r="J3842" i="2"/>
  <c r="K3842" i="2"/>
  <c r="O3842" i="2"/>
  <c r="R3842" i="2"/>
  <c r="S3842" i="2" s="1"/>
  <c r="I3843" i="2"/>
  <c r="J3843" i="2"/>
  <c r="K3843" i="2"/>
  <c r="O3843" i="2"/>
  <c r="R3843" i="2"/>
  <c r="S3843" i="2" s="1"/>
  <c r="I3844" i="2"/>
  <c r="J3844" i="2"/>
  <c r="K3844" i="2"/>
  <c r="O3844" i="2"/>
  <c r="R3844" i="2"/>
  <c r="S3844" i="2" s="1"/>
  <c r="I3845" i="2"/>
  <c r="J3845" i="2"/>
  <c r="K3845" i="2"/>
  <c r="O3845" i="2"/>
  <c r="R3845" i="2"/>
  <c r="S3845" i="2" s="1"/>
  <c r="I3846" i="2"/>
  <c r="J3846" i="2"/>
  <c r="K3846" i="2"/>
  <c r="O3846" i="2"/>
  <c r="R3846" i="2"/>
  <c r="S3846" i="2" s="1"/>
  <c r="I3847" i="2"/>
  <c r="J3847" i="2"/>
  <c r="K3847" i="2"/>
  <c r="O3847" i="2"/>
  <c r="R3847" i="2"/>
  <c r="S3847" i="2" s="1"/>
  <c r="I3848" i="2"/>
  <c r="J3848" i="2"/>
  <c r="K3848" i="2"/>
  <c r="O3848" i="2"/>
  <c r="R3848" i="2"/>
  <c r="S3848" i="2" s="1"/>
  <c r="I3849" i="2"/>
  <c r="J3849" i="2"/>
  <c r="K3849" i="2"/>
  <c r="O3849" i="2"/>
  <c r="R3849" i="2"/>
  <c r="S3849" i="2" s="1"/>
  <c r="I3850" i="2"/>
  <c r="J3850" i="2"/>
  <c r="K3850" i="2"/>
  <c r="O3850" i="2"/>
  <c r="R3850" i="2"/>
  <c r="S3850" i="2" s="1"/>
  <c r="I3851" i="2"/>
  <c r="J3851" i="2"/>
  <c r="K3851" i="2"/>
  <c r="O3851" i="2"/>
  <c r="R3851" i="2"/>
  <c r="S3851" i="2" s="1"/>
  <c r="I3852" i="2"/>
  <c r="J3852" i="2"/>
  <c r="K3852" i="2"/>
  <c r="O3852" i="2"/>
  <c r="R3852" i="2"/>
  <c r="S3852" i="2" s="1"/>
  <c r="I3853" i="2"/>
  <c r="J3853" i="2"/>
  <c r="K3853" i="2"/>
  <c r="O3853" i="2"/>
  <c r="R3853" i="2"/>
  <c r="S3853" i="2" s="1"/>
  <c r="I3854" i="2"/>
  <c r="J3854" i="2"/>
  <c r="K3854" i="2"/>
  <c r="O3854" i="2"/>
  <c r="R3854" i="2"/>
  <c r="S3854" i="2" s="1"/>
  <c r="I3855" i="2"/>
  <c r="J3855" i="2"/>
  <c r="K3855" i="2"/>
  <c r="O3855" i="2"/>
  <c r="R3855" i="2"/>
  <c r="S3855" i="2" s="1"/>
  <c r="I3856" i="2"/>
  <c r="J3856" i="2"/>
  <c r="K3856" i="2"/>
  <c r="O3856" i="2"/>
  <c r="R3856" i="2"/>
  <c r="S3856" i="2" s="1"/>
  <c r="I3857" i="2"/>
  <c r="J3857" i="2"/>
  <c r="K3857" i="2"/>
  <c r="O3857" i="2"/>
  <c r="R3857" i="2"/>
  <c r="S3857" i="2" s="1"/>
  <c r="I3858" i="2"/>
  <c r="J3858" i="2"/>
  <c r="K3858" i="2"/>
  <c r="O3858" i="2"/>
  <c r="R3858" i="2"/>
  <c r="S3858" i="2" s="1"/>
  <c r="I3859" i="2"/>
  <c r="J3859" i="2"/>
  <c r="K3859" i="2"/>
  <c r="O3859" i="2"/>
  <c r="R3859" i="2"/>
  <c r="S3859" i="2" s="1"/>
  <c r="I3860" i="2"/>
  <c r="J3860" i="2"/>
  <c r="K3860" i="2"/>
  <c r="O3860" i="2"/>
  <c r="R3860" i="2"/>
  <c r="S3860" i="2" s="1"/>
  <c r="I3861" i="2"/>
  <c r="J3861" i="2"/>
  <c r="K3861" i="2"/>
  <c r="O3861" i="2"/>
  <c r="R3861" i="2"/>
  <c r="S3861" i="2" s="1"/>
  <c r="I3862" i="2"/>
  <c r="J3862" i="2"/>
  <c r="K3862" i="2"/>
  <c r="O3862" i="2"/>
  <c r="R3862" i="2"/>
  <c r="S3862" i="2" s="1"/>
  <c r="I3863" i="2"/>
  <c r="J3863" i="2"/>
  <c r="K3863" i="2"/>
  <c r="O3863" i="2"/>
  <c r="R3863" i="2"/>
  <c r="S3863" i="2" s="1"/>
  <c r="I3864" i="2"/>
  <c r="J3864" i="2"/>
  <c r="K3864" i="2"/>
  <c r="O3864" i="2"/>
  <c r="R3864" i="2"/>
  <c r="S3864" i="2" s="1"/>
  <c r="I3865" i="2"/>
  <c r="J3865" i="2"/>
  <c r="K3865" i="2"/>
  <c r="O3865" i="2"/>
  <c r="R3865" i="2"/>
  <c r="S3865" i="2" s="1"/>
  <c r="I3866" i="2"/>
  <c r="J3866" i="2"/>
  <c r="K3866" i="2"/>
  <c r="O3866" i="2"/>
  <c r="R3866" i="2"/>
  <c r="S3866" i="2" s="1"/>
  <c r="I3867" i="2"/>
  <c r="J3867" i="2"/>
  <c r="K3867" i="2"/>
  <c r="O3867" i="2"/>
  <c r="R3867" i="2"/>
  <c r="S3867" i="2" s="1"/>
  <c r="I3868" i="2"/>
  <c r="J3868" i="2"/>
  <c r="K3868" i="2"/>
  <c r="O3868" i="2"/>
  <c r="R3868" i="2"/>
  <c r="S3868" i="2" s="1"/>
  <c r="I3869" i="2"/>
  <c r="J3869" i="2"/>
  <c r="K3869" i="2"/>
  <c r="O3869" i="2"/>
  <c r="R3869" i="2"/>
  <c r="S3869" i="2" s="1"/>
  <c r="I3870" i="2"/>
  <c r="J3870" i="2"/>
  <c r="K3870" i="2"/>
  <c r="O3870" i="2"/>
  <c r="R3870" i="2"/>
  <c r="S3870" i="2" s="1"/>
  <c r="I3871" i="2"/>
  <c r="J3871" i="2"/>
  <c r="K3871" i="2"/>
  <c r="O3871" i="2"/>
  <c r="R3871" i="2"/>
  <c r="S3871" i="2" s="1"/>
  <c r="I3872" i="2"/>
  <c r="J3872" i="2"/>
  <c r="K3872" i="2"/>
  <c r="O3872" i="2"/>
  <c r="R3872" i="2"/>
  <c r="S3872" i="2" s="1"/>
  <c r="I3873" i="2"/>
  <c r="J3873" i="2"/>
  <c r="K3873" i="2"/>
  <c r="O3873" i="2"/>
  <c r="R3873" i="2"/>
  <c r="S3873" i="2" s="1"/>
  <c r="I3874" i="2"/>
  <c r="J3874" i="2"/>
  <c r="K3874" i="2"/>
  <c r="O3874" i="2"/>
  <c r="R3874" i="2"/>
  <c r="S3874" i="2" s="1"/>
  <c r="I3875" i="2"/>
  <c r="J3875" i="2"/>
  <c r="K3875" i="2"/>
  <c r="O3875" i="2"/>
  <c r="R3875" i="2"/>
  <c r="S3875" i="2" s="1"/>
  <c r="I3876" i="2"/>
  <c r="J3876" i="2"/>
  <c r="K3876" i="2"/>
  <c r="O3876" i="2"/>
  <c r="R3876" i="2"/>
  <c r="S3876" i="2" s="1"/>
  <c r="I3877" i="2"/>
  <c r="J3877" i="2"/>
  <c r="K3877" i="2"/>
  <c r="O3877" i="2"/>
  <c r="R3877" i="2"/>
  <c r="S3877" i="2" s="1"/>
  <c r="I3878" i="2"/>
  <c r="J3878" i="2"/>
  <c r="K3878" i="2"/>
  <c r="O3878" i="2"/>
  <c r="R3878" i="2"/>
  <c r="S3878" i="2" s="1"/>
  <c r="I3879" i="2"/>
  <c r="J3879" i="2"/>
  <c r="K3879" i="2"/>
  <c r="O3879" i="2"/>
  <c r="R3879" i="2"/>
  <c r="S3879" i="2" s="1"/>
  <c r="I3880" i="2"/>
  <c r="J3880" i="2"/>
  <c r="K3880" i="2"/>
  <c r="O3880" i="2"/>
  <c r="R3880" i="2"/>
  <c r="S3880" i="2" s="1"/>
  <c r="I3881" i="2"/>
  <c r="J3881" i="2"/>
  <c r="K3881" i="2"/>
  <c r="O3881" i="2"/>
  <c r="R3881" i="2"/>
  <c r="S3881" i="2" s="1"/>
  <c r="I3882" i="2"/>
  <c r="J3882" i="2"/>
  <c r="K3882" i="2"/>
  <c r="O3882" i="2"/>
  <c r="R3882" i="2"/>
  <c r="S3882" i="2" s="1"/>
  <c r="I3883" i="2"/>
  <c r="J3883" i="2"/>
  <c r="K3883" i="2"/>
  <c r="O3883" i="2"/>
  <c r="R3883" i="2"/>
  <c r="S3883" i="2" s="1"/>
  <c r="I3884" i="2"/>
  <c r="J3884" i="2"/>
  <c r="K3884" i="2"/>
  <c r="O3884" i="2"/>
  <c r="R3884" i="2"/>
  <c r="S3884" i="2" s="1"/>
  <c r="I3885" i="2"/>
  <c r="J3885" i="2"/>
  <c r="K3885" i="2"/>
  <c r="O3885" i="2"/>
  <c r="R3885" i="2"/>
  <c r="S3885" i="2" s="1"/>
  <c r="I3886" i="2"/>
  <c r="J3886" i="2"/>
  <c r="K3886" i="2"/>
  <c r="O3886" i="2"/>
  <c r="R3886" i="2"/>
  <c r="S3886" i="2" s="1"/>
  <c r="I3887" i="2"/>
  <c r="J3887" i="2"/>
  <c r="K3887" i="2"/>
  <c r="O3887" i="2"/>
  <c r="R3887" i="2"/>
  <c r="S3887" i="2" s="1"/>
  <c r="I3888" i="2"/>
  <c r="J3888" i="2"/>
  <c r="K3888" i="2"/>
  <c r="O3888" i="2"/>
  <c r="R3888" i="2"/>
  <c r="S3888" i="2" s="1"/>
  <c r="I3889" i="2"/>
  <c r="J3889" i="2"/>
  <c r="K3889" i="2"/>
  <c r="O3889" i="2"/>
  <c r="R3889" i="2"/>
  <c r="S3889" i="2" s="1"/>
  <c r="I3890" i="2"/>
  <c r="J3890" i="2"/>
  <c r="K3890" i="2"/>
  <c r="O3890" i="2"/>
  <c r="R3890" i="2"/>
  <c r="S3890" i="2" s="1"/>
  <c r="I3891" i="2"/>
  <c r="J3891" i="2"/>
  <c r="K3891" i="2"/>
  <c r="O3891" i="2"/>
  <c r="R3891" i="2"/>
  <c r="S3891" i="2" s="1"/>
  <c r="I3892" i="2"/>
  <c r="J3892" i="2"/>
  <c r="K3892" i="2"/>
  <c r="O3892" i="2"/>
  <c r="R3892" i="2"/>
  <c r="S3892" i="2" s="1"/>
  <c r="I3893" i="2"/>
  <c r="J3893" i="2"/>
  <c r="K3893" i="2"/>
  <c r="O3893" i="2"/>
  <c r="R3893" i="2"/>
  <c r="S3893" i="2" s="1"/>
  <c r="I3894" i="2"/>
  <c r="J3894" i="2"/>
  <c r="K3894" i="2"/>
  <c r="O3894" i="2"/>
  <c r="R3894" i="2"/>
  <c r="S3894" i="2" s="1"/>
  <c r="I3895" i="2"/>
  <c r="J3895" i="2"/>
  <c r="K3895" i="2"/>
  <c r="O3895" i="2"/>
  <c r="R3895" i="2"/>
  <c r="S3895" i="2" s="1"/>
  <c r="I3896" i="2"/>
  <c r="J3896" i="2"/>
  <c r="K3896" i="2"/>
  <c r="O3896" i="2"/>
  <c r="R3896" i="2"/>
  <c r="S3896" i="2" s="1"/>
  <c r="I3897" i="2"/>
  <c r="J3897" i="2"/>
  <c r="K3897" i="2"/>
  <c r="O3897" i="2"/>
  <c r="R3897" i="2"/>
  <c r="S3897" i="2" s="1"/>
  <c r="I3898" i="2"/>
  <c r="J3898" i="2"/>
  <c r="K3898" i="2"/>
  <c r="O3898" i="2"/>
  <c r="R3898" i="2"/>
  <c r="S3898" i="2" s="1"/>
  <c r="I3899" i="2"/>
  <c r="J3899" i="2"/>
  <c r="K3899" i="2"/>
  <c r="O3899" i="2"/>
  <c r="R3899" i="2"/>
  <c r="S3899" i="2" s="1"/>
  <c r="I3900" i="2"/>
  <c r="J3900" i="2"/>
  <c r="K3900" i="2"/>
  <c r="O3900" i="2"/>
  <c r="R3900" i="2"/>
  <c r="S3900" i="2" s="1"/>
  <c r="I3901" i="2"/>
  <c r="J3901" i="2"/>
  <c r="K3901" i="2"/>
  <c r="O3901" i="2"/>
  <c r="R3901" i="2"/>
  <c r="S3901" i="2" s="1"/>
  <c r="I3902" i="2"/>
  <c r="J3902" i="2"/>
  <c r="K3902" i="2"/>
  <c r="O3902" i="2"/>
  <c r="R3902" i="2"/>
  <c r="S3902" i="2" s="1"/>
  <c r="I3903" i="2"/>
  <c r="J3903" i="2"/>
  <c r="K3903" i="2"/>
  <c r="O3903" i="2"/>
  <c r="R3903" i="2"/>
  <c r="S3903" i="2" s="1"/>
  <c r="I3904" i="2"/>
  <c r="J3904" i="2"/>
  <c r="K3904" i="2"/>
  <c r="O3904" i="2"/>
  <c r="R3904" i="2"/>
  <c r="S3904" i="2" s="1"/>
  <c r="I3905" i="2"/>
  <c r="J3905" i="2"/>
  <c r="K3905" i="2"/>
  <c r="O3905" i="2"/>
  <c r="R3905" i="2"/>
  <c r="S3905" i="2" s="1"/>
  <c r="I3906" i="2"/>
  <c r="J3906" i="2"/>
  <c r="K3906" i="2"/>
  <c r="O3906" i="2"/>
  <c r="R3906" i="2"/>
  <c r="S3906" i="2" s="1"/>
  <c r="I3907" i="2"/>
  <c r="J3907" i="2"/>
  <c r="K3907" i="2"/>
  <c r="O3907" i="2"/>
  <c r="R3907" i="2"/>
  <c r="S3907" i="2" s="1"/>
  <c r="I3908" i="2"/>
  <c r="J3908" i="2"/>
  <c r="K3908" i="2"/>
  <c r="O3908" i="2"/>
  <c r="R3908" i="2"/>
  <c r="S3908" i="2" s="1"/>
  <c r="I3909" i="2"/>
  <c r="J3909" i="2"/>
  <c r="K3909" i="2"/>
  <c r="O3909" i="2"/>
  <c r="R3909" i="2"/>
  <c r="S3909" i="2" s="1"/>
  <c r="I3910" i="2"/>
  <c r="J3910" i="2"/>
  <c r="K3910" i="2"/>
  <c r="O3910" i="2"/>
  <c r="R3910" i="2"/>
  <c r="S3910" i="2" s="1"/>
  <c r="I3911" i="2"/>
  <c r="J3911" i="2"/>
  <c r="K3911" i="2"/>
  <c r="O3911" i="2"/>
  <c r="R3911" i="2"/>
  <c r="S3911" i="2" s="1"/>
  <c r="I3912" i="2"/>
  <c r="J3912" i="2"/>
  <c r="K3912" i="2"/>
  <c r="O3912" i="2"/>
  <c r="R3912" i="2"/>
  <c r="S3912" i="2" s="1"/>
  <c r="I3913" i="2"/>
  <c r="J3913" i="2"/>
  <c r="K3913" i="2"/>
  <c r="O3913" i="2"/>
  <c r="R3913" i="2"/>
  <c r="S3913" i="2" s="1"/>
  <c r="I3914" i="2"/>
  <c r="J3914" i="2"/>
  <c r="K3914" i="2"/>
  <c r="O3914" i="2"/>
  <c r="R3914" i="2"/>
  <c r="S3914" i="2" s="1"/>
  <c r="I3915" i="2"/>
  <c r="J3915" i="2"/>
  <c r="K3915" i="2"/>
  <c r="O3915" i="2"/>
  <c r="R3915" i="2"/>
  <c r="S3915" i="2" s="1"/>
  <c r="I3916" i="2"/>
  <c r="J3916" i="2"/>
  <c r="K3916" i="2"/>
  <c r="O3916" i="2"/>
  <c r="R3916" i="2"/>
  <c r="S3916" i="2" s="1"/>
  <c r="I3917" i="2"/>
  <c r="J3917" i="2"/>
  <c r="K3917" i="2"/>
  <c r="O3917" i="2"/>
  <c r="R3917" i="2"/>
  <c r="S3917" i="2" s="1"/>
  <c r="I3918" i="2"/>
  <c r="J3918" i="2"/>
  <c r="K3918" i="2"/>
  <c r="O3918" i="2"/>
  <c r="R3918" i="2"/>
  <c r="S3918" i="2" s="1"/>
  <c r="I3919" i="2"/>
  <c r="J3919" i="2"/>
  <c r="K3919" i="2"/>
  <c r="O3919" i="2"/>
  <c r="R3919" i="2"/>
  <c r="S3919" i="2" s="1"/>
  <c r="I3920" i="2"/>
  <c r="J3920" i="2"/>
  <c r="K3920" i="2"/>
  <c r="O3920" i="2"/>
  <c r="R3920" i="2"/>
  <c r="S3920" i="2" s="1"/>
  <c r="I3921" i="2"/>
  <c r="J3921" i="2"/>
  <c r="K3921" i="2"/>
  <c r="O3921" i="2"/>
  <c r="R3921" i="2"/>
  <c r="S3921" i="2" s="1"/>
  <c r="I3922" i="2"/>
  <c r="J3922" i="2"/>
  <c r="K3922" i="2"/>
  <c r="O3922" i="2"/>
  <c r="R3922" i="2"/>
  <c r="S3922" i="2" s="1"/>
  <c r="I3923" i="2"/>
  <c r="J3923" i="2"/>
  <c r="K3923" i="2"/>
  <c r="O3923" i="2"/>
  <c r="R3923" i="2"/>
  <c r="S3923" i="2" s="1"/>
  <c r="I3924" i="2"/>
  <c r="J3924" i="2"/>
  <c r="K3924" i="2"/>
  <c r="O3924" i="2"/>
  <c r="R3924" i="2"/>
  <c r="S3924" i="2" s="1"/>
  <c r="I3925" i="2"/>
  <c r="J3925" i="2"/>
  <c r="K3925" i="2"/>
  <c r="O3925" i="2"/>
  <c r="R3925" i="2"/>
  <c r="S3925" i="2" s="1"/>
  <c r="I3926" i="2"/>
  <c r="J3926" i="2"/>
  <c r="K3926" i="2"/>
  <c r="O3926" i="2"/>
  <c r="R3926" i="2"/>
  <c r="S3926" i="2" s="1"/>
  <c r="I3927" i="2"/>
  <c r="J3927" i="2"/>
  <c r="K3927" i="2"/>
  <c r="O3927" i="2"/>
  <c r="R3927" i="2"/>
  <c r="S3927" i="2" s="1"/>
  <c r="I3928" i="2"/>
  <c r="J3928" i="2"/>
  <c r="K3928" i="2"/>
  <c r="O3928" i="2"/>
  <c r="R3928" i="2"/>
  <c r="S3928" i="2" s="1"/>
  <c r="I3929" i="2"/>
  <c r="J3929" i="2"/>
  <c r="K3929" i="2"/>
  <c r="O3929" i="2"/>
  <c r="R3929" i="2"/>
  <c r="S3929" i="2" s="1"/>
  <c r="I3930" i="2"/>
  <c r="J3930" i="2"/>
  <c r="K3930" i="2"/>
  <c r="O3930" i="2"/>
  <c r="R3930" i="2"/>
  <c r="S3930" i="2" s="1"/>
  <c r="I3931" i="2"/>
  <c r="J3931" i="2"/>
  <c r="K3931" i="2"/>
  <c r="O3931" i="2"/>
  <c r="R3931" i="2"/>
  <c r="S3931" i="2" s="1"/>
  <c r="I3932" i="2"/>
  <c r="J3932" i="2"/>
  <c r="K3932" i="2"/>
  <c r="O3932" i="2"/>
  <c r="R3932" i="2"/>
  <c r="S3932" i="2" s="1"/>
  <c r="I3933" i="2"/>
  <c r="J3933" i="2"/>
  <c r="K3933" i="2"/>
  <c r="O3933" i="2"/>
  <c r="R3933" i="2"/>
  <c r="S3933" i="2" s="1"/>
  <c r="I3934" i="2"/>
  <c r="J3934" i="2"/>
  <c r="K3934" i="2"/>
  <c r="O3934" i="2"/>
  <c r="R3934" i="2"/>
  <c r="S3934" i="2" s="1"/>
  <c r="I3935" i="2"/>
  <c r="J3935" i="2"/>
  <c r="K3935" i="2"/>
  <c r="O3935" i="2"/>
  <c r="R3935" i="2"/>
  <c r="S3935" i="2" s="1"/>
  <c r="I3936" i="2"/>
  <c r="J3936" i="2"/>
  <c r="K3936" i="2"/>
  <c r="O3936" i="2"/>
  <c r="R3936" i="2"/>
  <c r="S3936" i="2" s="1"/>
  <c r="I3937" i="2"/>
  <c r="J3937" i="2"/>
  <c r="K3937" i="2"/>
  <c r="O3937" i="2"/>
  <c r="R3937" i="2"/>
  <c r="S3937" i="2" s="1"/>
  <c r="I3938" i="2"/>
  <c r="J3938" i="2"/>
  <c r="K3938" i="2"/>
  <c r="O3938" i="2"/>
  <c r="R3938" i="2"/>
  <c r="S3938" i="2" s="1"/>
  <c r="I3939" i="2"/>
  <c r="J3939" i="2"/>
  <c r="K3939" i="2"/>
  <c r="O3939" i="2"/>
  <c r="R3939" i="2"/>
  <c r="S3939" i="2" s="1"/>
  <c r="I3940" i="2"/>
  <c r="J3940" i="2"/>
  <c r="K3940" i="2"/>
  <c r="O3940" i="2"/>
  <c r="R3940" i="2"/>
  <c r="S3940" i="2" s="1"/>
  <c r="I3941" i="2"/>
  <c r="J3941" i="2"/>
  <c r="K3941" i="2"/>
  <c r="O3941" i="2"/>
  <c r="R3941" i="2"/>
  <c r="S3941" i="2" s="1"/>
  <c r="I3942" i="2"/>
  <c r="J3942" i="2"/>
  <c r="K3942" i="2"/>
  <c r="O3942" i="2"/>
  <c r="R3942" i="2"/>
  <c r="S3942" i="2" s="1"/>
  <c r="I3943" i="2"/>
  <c r="J3943" i="2"/>
  <c r="K3943" i="2"/>
  <c r="O3943" i="2"/>
  <c r="R3943" i="2"/>
  <c r="S3943" i="2" s="1"/>
  <c r="I3944" i="2"/>
  <c r="J3944" i="2"/>
  <c r="K3944" i="2"/>
  <c r="O3944" i="2"/>
  <c r="R3944" i="2"/>
  <c r="S3944" i="2" s="1"/>
  <c r="I3945" i="2"/>
  <c r="J3945" i="2"/>
  <c r="K3945" i="2"/>
  <c r="O3945" i="2"/>
  <c r="R3945" i="2"/>
  <c r="S3945" i="2" s="1"/>
  <c r="I3946" i="2"/>
  <c r="J3946" i="2"/>
  <c r="K3946" i="2"/>
  <c r="O3946" i="2"/>
  <c r="R3946" i="2"/>
  <c r="S3946" i="2" s="1"/>
  <c r="I3947" i="2"/>
  <c r="J3947" i="2"/>
  <c r="K3947" i="2"/>
  <c r="O3947" i="2"/>
  <c r="R3947" i="2"/>
  <c r="S3947" i="2" s="1"/>
  <c r="I3948" i="2"/>
  <c r="J3948" i="2"/>
  <c r="K3948" i="2"/>
  <c r="O3948" i="2"/>
  <c r="R3948" i="2"/>
  <c r="S3948" i="2" s="1"/>
  <c r="I3949" i="2"/>
  <c r="J3949" i="2"/>
  <c r="K3949" i="2"/>
  <c r="O3949" i="2"/>
  <c r="R3949" i="2"/>
  <c r="S3949" i="2" s="1"/>
  <c r="I3950" i="2"/>
  <c r="J3950" i="2"/>
  <c r="K3950" i="2"/>
  <c r="O3950" i="2"/>
  <c r="R3950" i="2"/>
  <c r="S3950" i="2" s="1"/>
  <c r="I3951" i="2"/>
  <c r="J3951" i="2"/>
  <c r="K3951" i="2"/>
  <c r="O3951" i="2"/>
  <c r="R3951" i="2"/>
  <c r="S3951" i="2" s="1"/>
  <c r="I3952" i="2"/>
  <c r="J3952" i="2"/>
  <c r="K3952" i="2"/>
  <c r="O3952" i="2"/>
  <c r="R3952" i="2"/>
  <c r="S3952" i="2" s="1"/>
  <c r="I3953" i="2"/>
  <c r="J3953" i="2"/>
  <c r="K3953" i="2"/>
  <c r="O3953" i="2"/>
  <c r="R3953" i="2"/>
  <c r="S3953" i="2" s="1"/>
  <c r="I3954" i="2"/>
  <c r="J3954" i="2"/>
  <c r="K3954" i="2"/>
  <c r="O3954" i="2"/>
  <c r="R3954" i="2"/>
  <c r="S3954" i="2" s="1"/>
  <c r="I3955" i="2"/>
  <c r="J3955" i="2"/>
  <c r="K3955" i="2"/>
  <c r="O3955" i="2"/>
  <c r="R3955" i="2"/>
  <c r="S3955" i="2" s="1"/>
  <c r="I3956" i="2"/>
  <c r="J3956" i="2"/>
  <c r="K3956" i="2"/>
  <c r="O3956" i="2"/>
  <c r="R3956" i="2"/>
  <c r="S3956" i="2" s="1"/>
  <c r="I3957" i="2"/>
  <c r="J3957" i="2"/>
  <c r="K3957" i="2"/>
  <c r="O3957" i="2"/>
  <c r="R3957" i="2"/>
  <c r="S3957" i="2" s="1"/>
  <c r="I3958" i="2"/>
  <c r="J3958" i="2"/>
  <c r="K3958" i="2"/>
  <c r="O3958" i="2"/>
  <c r="R3958" i="2"/>
  <c r="S3958" i="2" s="1"/>
  <c r="I3959" i="2"/>
  <c r="J3959" i="2"/>
  <c r="K3959" i="2"/>
  <c r="O3959" i="2"/>
  <c r="R3959" i="2"/>
  <c r="S3959" i="2" s="1"/>
  <c r="I3960" i="2"/>
  <c r="J3960" i="2"/>
  <c r="K3960" i="2"/>
  <c r="O3960" i="2"/>
  <c r="R3960" i="2"/>
  <c r="S3960" i="2" s="1"/>
  <c r="I3961" i="2"/>
  <c r="J3961" i="2"/>
  <c r="K3961" i="2"/>
  <c r="O3961" i="2"/>
  <c r="R3961" i="2"/>
  <c r="S3961" i="2" s="1"/>
  <c r="I3962" i="2"/>
  <c r="J3962" i="2"/>
  <c r="K3962" i="2"/>
  <c r="O3962" i="2"/>
  <c r="R3962" i="2"/>
  <c r="S3962" i="2" s="1"/>
  <c r="I3963" i="2"/>
  <c r="J3963" i="2"/>
  <c r="K3963" i="2"/>
  <c r="O3963" i="2"/>
  <c r="R3963" i="2"/>
  <c r="S3963" i="2" s="1"/>
  <c r="I3964" i="2"/>
  <c r="J3964" i="2"/>
  <c r="K3964" i="2"/>
  <c r="O3964" i="2"/>
  <c r="R3964" i="2"/>
  <c r="S3964" i="2" s="1"/>
  <c r="I3965" i="2"/>
  <c r="J3965" i="2"/>
  <c r="K3965" i="2"/>
  <c r="O3965" i="2"/>
  <c r="R3965" i="2"/>
  <c r="S3965" i="2" s="1"/>
  <c r="I3966" i="2"/>
  <c r="J3966" i="2"/>
  <c r="K3966" i="2"/>
  <c r="O3966" i="2"/>
  <c r="R3966" i="2"/>
  <c r="S3966" i="2" s="1"/>
  <c r="I3967" i="2"/>
  <c r="J3967" i="2"/>
  <c r="K3967" i="2"/>
  <c r="O3967" i="2"/>
  <c r="R3967" i="2"/>
  <c r="S3967" i="2" s="1"/>
  <c r="I3968" i="2"/>
  <c r="J3968" i="2"/>
  <c r="K3968" i="2"/>
  <c r="O3968" i="2"/>
  <c r="R3968" i="2"/>
  <c r="S3968" i="2" s="1"/>
  <c r="I3969" i="2"/>
  <c r="J3969" i="2"/>
  <c r="K3969" i="2"/>
  <c r="O3969" i="2"/>
  <c r="R3969" i="2"/>
  <c r="S3969" i="2" s="1"/>
  <c r="I3970" i="2"/>
  <c r="J3970" i="2"/>
  <c r="K3970" i="2"/>
  <c r="O3970" i="2"/>
  <c r="R3970" i="2"/>
  <c r="S3970" i="2" s="1"/>
  <c r="I3971" i="2"/>
  <c r="J3971" i="2"/>
  <c r="K3971" i="2"/>
  <c r="O3971" i="2"/>
  <c r="R3971" i="2"/>
  <c r="S3971" i="2" s="1"/>
  <c r="I3972" i="2"/>
  <c r="J3972" i="2"/>
  <c r="K3972" i="2"/>
  <c r="O3972" i="2"/>
  <c r="R3972" i="2"/>
  <c r="S3972" i="2" s="1"/>
  <c r="I3973" i="2"/>
  <c r="J3973" i="2"/>
  <c r="K3973" i="2"/>
  <c r="O3973" i="2"/>
  <c r="R3973" i="2"/>
  <c r="S3973" i="2" s="1"/>
  <c r="I3974" i="2"/>
  <c r="J3974" i="2"/>
  <c r="K3974" i="2"/>
  <c r="O3974" i="2"/>
  <c r="R3974" i="2"/>
  <c r="S3974" i="2" s="1"/>
  <c r="I3975" i="2"/>
  <c r="J3975" i="2"/>
  <c r="K3975" i="2"/>
  <c r="O3975" i="2"/>
  <c r="R3975" i="2"/>
  <c r="S3975" i="2" s="1"/>
  <c r="I3976" i="2"/>
  <c r="J3976" i="2"/>
  <c r="K3976" i="2"/>
  <c r="O3976" i="2"/>
  <c r="R3976" i="2"/>
  <c r="S3976" i="2" s="1"/>
  <c r="I3977" i="2"/>
  <c r="J3977" i="2"/>
  <c r="K3977" i="2"/>
  <c r="O3977" i="2"/>
  <c r="R3977" i="2"/>
  <c r="S3977" i="2" s="1"/>
  <c r="I3978" i="2"/>
  <c r="J3978" i="2"/>
  <c r="K3978" i="2"/>
  <c r="O3978" i="2"/>
  <c r="R3978" i="2"/>
  <c r="S3978" i="2" s="1"/>
  <c r="I3979" i="2"/>
  <c r="J3979" i="2"/>
  <c r="K3979" i="2"/>
  <c r="O3979" i="2"/>
  <c r="R3979" i="2"/>
  <c r="S3979" i="2" s="1"/>
  <c r="I3980" i="2"/>
  <c r="J3980" i="2"/>
  <c r="K3980" i="2"/>
  <c r="O3980" i="2"/>
  <c r="R3980" i="2"/>
  <c r="S3980" i="2" s="1"/>
  <c r="I3981" i="2"/>
  <c r="J3981" i="2"/>
  <c r="K3981" i="2"/>
  <c r="O3981" i="2"/>
  <c r="R3981" i="2"/>
  <c r="S3981" i="2" s="1"/>
  <c r="I3982" i="2"/>
  <c r="J3982" i="2"/>
  <c r="K3982" i="2"/>
  <c r="O3982" i="2"/>
  <c r="R3982" i="2"/>
  <c r="S3982" i="2" s="1"/>
  <c r="I3983" i="2"/>
  <c r="J3983" i="2"/>
  <c r="K3983" i="2"/>
  <c r="O3983" i="2"/>
  <c r="R3983" i="2"/>
  <c r="S3983" i="2" s="1"/>
  <c r="I3984" i="2"/>
  <c r="J3984" i="2"/>
  <c r="K3984" i="2"/>
  <c r="O3984" i="2"/>
  <c r="R3984" i="2"/>
  <c r="S3984" i="2" s="1"/>
  <c r="I3985" i="2"/>
  <c r="J3985" i="2"/>
  <c r="K3985" i="2"/>
  <c r="O3985" i="2"/>
  <c r="R3985" i="2"/>
  <c r="S3985" i="2" s="1"/>
  <c r="I3986" i="2"/>
  <c r="J3986" i="2"/>
  <c r="K3986" i="2"/>
  <c r="O3986" i="2"/>
  <c r="R3986" i="2"/>
  <c r="S3986" i="2" s="1"/>
  <c r="I3987" i="2"/>
  <c r="J3987" i="2"/>
  <c r="K3987" i="2"/>
  <c r="O3987" i="2"/>
  <c r="R3987" i="2"/>
  <c r="S3987" i="2" s="1"/>
  <c r="I3988" i="2"/>
  <c r="J3988" i="2"/>
  <c r="K3988" i="2"/>
  <c r="O3988" i="2"/>
  <c r="R3988" i="2"/>
  <c r="S3988" i="2" s="1"/>
  <c r="I3989" i="2"/>
  <c r="J3989" i="2"/>
  <c r="K3989" i="2"/>
  <c r="O3989" i="2"/>
  <c r="R3989" i="2"/>
  <c r="S3989" i="2" s="1"/>
  <c r="I3990" i="2"/>
  <c r="J3990" i="2"/>
  <c r="K3990" i="2"/>
  <c r="O3990" i="2"/>
  <c r="R3990" i="2"/>
  <c r="S3990" i="2" s="1"/>
  <c r="I3991" i="2"/>
  <c r="J3991" i="2"/>
  <c r="K3991" i="2"/>
  <c r="O3991" i="2"/>
  <c r="R3991" i="2"/>
  <c r="S3991" i="2" s="1"/>
  <c r="I3992" i="2"/>
  <c r="J3992" i="2"/>
  <c r="K3992" i="2"/>
  <c r="O3992" i="2"/>
  <c r="R3992" i="2"/>
  <c r="S3992" i="2" s="1"/>
  <c r="I3993" i="2"/>
  <c r="J3993" i="2"/>
  <c r="K3993" i="2"/>
  <c r="O3993" i="2"/>
  <c r="R3993" i="2"/>
  <c r="S3993" i="2" s="1"/>
  <c r="I3994" i="2"/>
  <c r="J3994" i="2"/>
  <c r="K3994" i="2"/>
  <c r="O3994" i="2"/>
  <c r="R3994" i="2"/>
  <c r="S3994" i="2" s="1"/>
  <c r="I3995" i="2"/>
  <c r="J3995" i="2"/>
  <c r="K3995" i="2"/>
  <c r="O3995" i="2"/>
  <c r="R3995" i="2"/>
  <c r="S3995" i="2" s="1"/>
  <c r="I3996" i="2"/>
  <c r="J3996" i="2"/>
  <c r="K3996" i="2"/>
  <c r="O3996" i="2"/>
  <c r="R3996" i="2"/>
  <c r="S3996" i="2" s="1"/>
  <c r="I3997" i="2"/>
  <c r="J3997" i="2"/>
  <c r="K3997" i="2"/>
  <c r="O3997" i="2"/>
  <c r="R3997" i="2"/>
  <c r="S3997" i="2" s="1"/>
  <c r="I3998" i="2"/>
  <c r="J3998" i="2"/>
  <c r="K3998" i="2"/>
  <c r="O3998" i="2"/>
  <c r="R3998" i="2"/>
  <c r="S3998" i="2" s="1"/>
  <c r="I3999" i="2"/>
  <c r="J3999" i="2"/>
  <c r="K3999" i="2"/>
  <c r="O3999" i="2"/>
  <c r="R3999" i="2"/>
  <c r="S3999" i="2" s="1"/>
  <c r="I4000" i="2"/>
  <c r="J4000" i="2"/>
  <c r="K4000" i="2"/>
  <c r="O4000" i="2"/>
  <c r="R4000" i="2"/>
  <c r="S4000" i="2" s="1"/>
  <c r="I4001" i="2"/>
  <c r="J4001" i="2"/>
  <c r="K4001" i="2"/>
  <c r="O4001" i="2"/>
  <c r="R4001" i="2"/>
  <c r="S4001" i="2" s="1"/>
  <c r="I4002" i="2"/>
  <c r="J4002" i="2"/>
  <c r="K4002" i="2"/>
  <c r="O4002" i="2"/>
  <c r="R4002" i="2"/>
  <c r="S4002" i="2" s="1"/>
  <c r="I4003" i="2"/>
  <c r="J4003" i="2"/>
  <c r="K4003" i="2"/>
  <c r="O4003" i="2"/>
  <c r="R4003" i="2"/>
  <c r="S4003" i="2" s="1"/>
  <c r="I4004" i="2"/>
  <c r="J4004" i="2"/>
  <c r="K4004" i="2"/>
  <c r="O4004" i="2"/>
  <c r="R4004" i="2"/>
  <c r="S4004" i="2" s="1"/>
  <c r="I4005" i="2"/>
  <c r="J4005" i="2"/>
  <c r="K4005" i="2"/>
  <c r="O4005" i="2"/>
  <c r="R4005" i="2"/>
  <c r="S4005" i="2" s="1"/>
  <c r="I4006" i="2"/>
  <c r="J4006" i="2"/>
  <c r="K4006" i="2"/>
  <c r="O4006" i="2"/>
  <c r="R4006" i="2"/>
  <c r="S4006" i="2" s="1"/>
  <c r="I4007" i="2"/>
  <c r="J4007" i="2"/>
  <c r="K4007" i="2"/>
  <c r="O4007" i="2"/>
  <c r="R4007" i="2"/>
  <c r="S4007" i="2" s="1"/>
  <c r="I4008" i="2"/>
  <c r="J4008" i="2"/>
  <c r="K4008" i="2"/>
  <c r="O4008" i="2"/>
  <c r="R4008" i="2"/>
  <c r="S4008" i="2" s="1"/>
  <c r="I4009" i="2"/>
  <c r="J4009" i="2"/>
  <c r="K4009" i="2"/>
  <c r="O4009" i="2"/>
  <c r="R4009" i="2"/>
  <c r="S4009" i="2" s="1"/>
  <c r="I4010" i="2"/>
  <c r="J4010" i="2"/>
  <c r="K4010" i="2"/>
  <c r="O4010" i="2"/>
  <c r="R4010" i="2"/>
  <c r="S4010" i="2" s="1"/>
  <c r="I4011" i="2"/>
  <c r="J4011" i="2"/>
  <c r="K4011" i="2"/>
  <c r="O4011" i="2"/>
  <c r="R4011" i="2"/>
  <c r="S4011" i="2" s="1"/>
  <c r="I4012" i="2"/>
  <c r="J4012" i="2"/>
  <c r="K4012" i="2"/>
  <c r="O4012" i="2"/>
  <c r="R4012" i="2"/>
  <c r="S4012" i="2" s="1"/>
  <c r="I4013" i="2"/>
  <c r="J4013" i="2"/>
  <c r="K4013" i="2"/>
  <c r="O4013" i="2"/>
  <c r="R4013" i="2"/>
  <c r="S4013" i="2" s="1"/>
  <c r="I4014" i="2"/>
  <c r="J4014" i="2"/>
  <c r="K4014" i="2"/>
  <c r="O4014" i="2"/>
  <c r="R4014" i="2"/>
  <c r="S4014" i="2" s="1"/>
  <c r="I4015" i="2"/>
  <c r="J4015" i="2"/>
  <c r="K4015" i="2"/>
  <c r="O4015" i="2"/>
  <c r="R4015" i="2"/>
  <c r="S4015" i="2" s="1"/>
  <c r="I4016" i="2"/>
  <c r="J4016" i="2"/>
  <c r="K4016" i="2"/>
  <c r="O4016" i="2"/>
  <c r="R4016" i="2"/>
  <c r="S4016" i="2" s="1"/>
  <c r="I4017" i="2"/>
  <c r="J4017" i="2"/>
  <c r="K4017" i="2"/>
  <c r="O4017" i="2"/>
  <c r="R4017" i="2"/>
  <c r="S4017" i="2" s="1"/>
  <c r="I4018" i="2"/>
  <c r="J4018" i="2"/>
  <c r="K4018" i="2"/>
  <c r="O4018" i="2"/>
  <c r="R4018" i="2"/>
  <c r="S4018" i="2" s="1"/>
  <c r="I4019" i="2"/>
  <c r="J4019" i="2"/>
  <c r="K4019" i="2"/>
  <c r="O4019" i="2"/>
  <c r="R4019" i="2"/>
  <c r="S4019" i="2" s="1"/>
  <c r="I4020" i="2"/>
  <c r="J4020" i="2"/>
  <c r="K4020" i="2"/>
  <c r="O4020" i="2"/>
  <c r="R4020" i="2"/>
  <c r="S4020" i="2" s="1"/>
  <c r="I4021" i="2"/>
  <c r="J4021" i="2"/>
  <c r="K4021" i="2"/>
  <c r="O4021" i="2"/>
  <c r="R4021" i="2"/>
  <c r="S4021" i="2" s="1"/>
  <c r="I4022" i="2"/>
  <c r="J4022" i="2"/>
  <c r="K4022" i="2"/>
  <c r="O4022" i="2"/>
  <c r="R4022" i="2"/>
  <c r="S4022" i="2" s="1"/>
  <c r="I4023" i="2"/>
  <c r="J4023" i="2"/>
  <c r="K4023" i="2"/>
  <c r="O4023" i="2"/>
  <c r="R4023" i="2"/>
  <c r="S4023" i="2" s="1"/>
  <c r="I4024" i="2"/>
  <c r="J4024" i="2"/>
  <c r="K4024" i="2"/>
  <c r="O4024" i="2"/>
  <c r="R4024" i="2"/>
  <c r="S4024" i="2" s="1"/>
  <c r="I4025" i="2"/>
  <c r="J4025" i="2"/>
  <c r="K4025" i="2"/>
  <c r="O4025" i="2"/>
  <c r="R4025" i="2"/>
  <c r="S4025" i="2" s="1"/>
  <c r="I4026" i="2"/>
  <c r="J4026" i="2"/>
  <c r="K4026" i="2"/>
  <c r="O4026" i="2"/>
  <c r="R4026" i="2"/>
  <c r="S4026" i="2" s="1"/>
  <c r="I4027" i="2"/>
  <c r="J4027" i="2"/>
  <c r="K4027" i="2"/>
  <c r="O4027" i="2"/>
  <c r="R4027" i="2"/>
  <c r="S4027" i="2" s="1"/>
  <c r="I4028" i="2"/>
  <c r="J4028" i="2"/>
  <c r="K4028" i="2"/>
  <c r="O4028" i="2"/>
  <c r="R4028" i="2"/>
  <c r="S4028" i="2" s="1"/>
  <c r="I4029" i="2"/>
  <c r="J4029" i="2"/>
  <c r="K4029" i="2"/>
  <c r="O4029" i="2"/>
  <c r="R4029" i="2"/>
  <c r="S4029" i="2" s="1"/>
  <c r="I4030" i="2"/>
  <c r="J4030" i="2"/>
  <c r="K4030" i="2"/>
  <c r="O4030" i="2"/>
  <c r="R4030" i="2"/>
  <c r="S4030" i="2" s="1"/>
  <c r="I4031" i="2"/>
  <c r="J4031" i="2"/>
  <c r="K4031" i="2"/>
  <c r="O4031" i="2"/>
  <c r="R4031" i="2"/>
  <c r="S4031" i="2" s="1"/>
  <c r="I4032" i="2"/>
  <c r="J4032" i="2"/>
  <c r="K4032" i="2"/>
  <c r="O4032" i="2"/>
  <c r="R4032" i="2"/>
  <c r="S4032" i="2" s="1"/>
  <c r="I4033" i="2"/>
  <c r="J4033" i="2"/>
  <c r="K4033" i="2"/>
  <c r="O4033" i="2"/>
  <c r="R4033" i="2"/>
  <c r="S4033" i="2" s="1"/>
  <c r="I4034" i="2"/>
  <c r="J4034" i="2"/>
  <c r="K4034" i="2"/>
  <c r="O4034" i="2"/>
  <c r="R4034" i="2"/>
  <c r="S4034" i="2" s="1"/>
  <c r="I4035" i="2"/>
  <c r="J4035" i="2"/>
  <c r="K4035" i="2"/>
  <c r="O4035" i="2"/>
  <c r="R4035" i="2"/>
  <c r="S4035" i="2" s="1"/>
  <c r="I4036" i="2"/>
  <c r="J4036" i="2"/>
  <c r="K4036" i="2"/>
  <c r="O4036" i="2"/>
  <c r="R4036" i="2"/>
  <c r="S4036" i="2" s="1"/>
  <c r="I4037" i="2"/>
  <c r="J4037" i="2"/>
  <c r="K4037" i="2"/>
  <c r="O4037" i="2"/>
  <c r="R4037" i="2"/>
  <c r="S4037" i="2" s="1"/>
  <c r="I4038" i="2"/>
  <c r="J4038" i="2"/>
  <c r="K4038" i="2"/>
  <c r="O4038" i="2"/>
  <c r="R4038" i="2"/>
  <c r="S4038" i="2" s="1"/>
  <c r="I4039" i="2"/>
  <c r="J4039" i="2"/>
  <c r="K4039" i="2"/>
  <c r="O4039" i="2"/>
  <c r="R4039" i="2"/>
  <c r="S4039" i="2" s="1"/>
  <c r="I4040" i="2"/>
  <c r="J4040" i="2"/>
  <c r="K4040" i="2"/>
  <c r="O4040" i="2"/>
  <c r="R4040" i="2"/>
  <c r="S4040" i="2" s="1"/>
  <c r="I4041" i="2"/>
  <c r="J4041" i="2"/>
  <c r="K4041" i="2"/>
  <c r="O4041" i="2"/>
  <c r="R4041" i="2"/>
  <c r="S4041" i="2" s="1"/>
  <c r="I4042" i="2"/>
  <c r="J4042" i="2"/>
  <c r="K4042" i="2"/>
  <c r="O4042" i="2"/>
  <c r="R4042" i="2"/>
  <c r="S4042" i="2" s="1"/>
  <c r="I4043" i="2"/>
  <c r="J4043" i="2"/>
  <c r="K4043" i="2"/>
  <c r="O4043" i="2"/>
  <c r="R4043" i="2"/>
  <c r="S4043" i="2" s="1"/>
  <c r="I4044" i="2"/>
  <c r="J4044" i="2"/>
  <c r="K4044" i="2"/>
  <c r="O4044" i="2"/>
  <c r="R4044" i="2"/>
  <c r="S4044" i="2" s="1"/>
  <c r="I4045" i="2"/>
  <c r="J4045" i="2"/>
  <c r="K4045" i="2"/>
  <c r="O4045" i="2"/>
  <c r="R4045" i="2"/>
  <c r="S4045" i="2" s="1"/>
  <c r="I4046" i="2"/>
  <c r="J4046" i="2"/>
  <c r="K4046" i="2"/>
  <c r="O4046" i="2"/>
  <c r="R4046" i="2"/>
  <c r="S4046" i="2" s="1"/>
  <c r="I4047" i="2"/>
  <c r="J4047" i="2"/>
  <c r="K4047" i="2"/>
  <c r="O4047" i="2"/>
  <c r="R4047" i="2"/>
  <c r="S4047" i="2" s="1"/>
  <c r="I4048" i="2"/>
  <c r="J4048" i="2"/>
  <c r="K4048" i="2"/>
  <c r="O4048" i="2"/>
  <c r="R4048" i="2"/>
  <c r="S4048" i="2" s="1"/>
  <c r="I4049" i="2"/>
  <c r="J4049" i="2"/>
  <c r="K4049" i="2"/>
  <c r="O4049" i="2"/>
  <c r="R4049" i="2"/>
  <c r="S4049" i="2" s="1"/>
  <c r="I4050" i="2"/>
  <c r="J4050" i="2"/>
  <c r="K4050" i="2"/>
  <c r="O4050" i="2"/>
  <c r="R4050" i="2"/>
  <c r="S4050" i="2" s="1"/>
  <c r="I4051" i="2"/>
  <c r="J4051" i="2"/>
  <c r="K4051" i="2"/>
  <c r="O4051" i="2"/>
  <c r="R4051" i="2"/>
  <c r="S4051" i="2" s="1"/>
  <c r="I4052" i="2"/>
  <c r="J4052" i="2"/>
  <c r="K4052" i="2"/>
  <c r="O4052" i="2"/>
  <c r="R4052" i="2"/>
  <c r="S4052" i="2" s="1"/>
  <c r="I4053" i="2"/>
  <c r="J4053" i="2"/>
  <c r="K4053" i="2"/>
  <c r="O4053" i="2"/>
  <c r="R4053" i="2"/>
  <c r="S4053" i="2" s="1"/>
  <c r="I4054" i="2"/>
  <c r="J4054" i="2"/>
  <c r="K4054" i="2"/>
  <c r="O4054" i="2"/>
  <c r="R4054" i="2"/>
  <c r="S4054" i="2" s="1"/>
  <c r="I4055" i="2"/>
  <c r="J4055" i="2"/>
  <c r="K4055" i="2"/>
  <c r="O4055" i="2"/>
  <c r="R4055" i="2"/>
  <c r="S4055" i="2" s="1"/>
  <c r="I4056" i="2"/>
  <c r="J4056" i="2"/>
  <c r="K4056" i="2"/>
  <c r="O4056" i="2"/>
  <c r="R4056" i="2"/>
  <c r="S4056" i="2" s="1"/>
  <c r="I4057" i="2"/>
  <c r="J4057" i="2"/>
  <c r="K4057" i="2"/>
  <c r="O4057" i="2"/>
  <c r="R4057" i="2"/>
  <c r="S4057" i="2" s="1"/>
  <c r="I4058" i="2"/>
  <c r="J4058" i="2"/>
  <c r="K4058" i="2"/>
  <c r="O4058" i="2"/>
  <c r="R4058" i="2"/>
  <c r="S4058" i="2" s="1"/>
  <c r="I4059" i="2"/>
  <c r="J4059" i="2"/>
  <c r="K4059" i="2"/>
  <c r="O4059" i="2"/>
  <c r="R4059" i="2"/>
  <c r="S4059" i="2" s="1"/>
  <c r="I4060" i="2"/>
  <c r="J4060" i="2"/>
  <c r="K4060" i="2"/>
  <c r="O4060" i="2"/>
  <c r="R4060" i="2"/>
  <c r="S4060" i="2" s="1"/>
  <c r="I4061" i="2"/>
  <c r="J4061" i="2"/>
  <c r="K4061" i="2"/>
  <c r="O4061" i="2"/>
  <c r="R4061" i="2"/>
  <c r="S4061" i="2" s="1"/>
  <c r="I4062" i="2"/>
  <c r="J4062" i="2"/>
  <c r="K4062" i="2"/>
  <c r="O4062" i="2"/>
  <c r="R4062" i="2"/>
  <c r="S4062" i="2" s="1"/>
  <c r="I4063" i="2"/>
  <c r="J4063" i="2"/>
  <c r="K4063" i="2"/>
  <c r="O4063" i="2"/>
  <c r="R4063" i="2"/>
  <c r="S4063" i="2" s="1"/>
  <c r="I4064" i="2"/>
  <c r="J4064" i="2"/>
  <c r="K4064" i="2"/>
  <c r="O4064" i="2"/>
  <c r="R4064" i="2"/>
  <c r="S4064" i="2" s="1"/>
  <c r="I4065" i="2"/>
  <c r="J4065" i="2"/>
  <c r="K4065" i="2"/>
  <c r="O4065" i="2"/>
  <c r="R4065" i="2"/>
  <c r="S4065" i="2" s="1"/>
  <c r="I4066" i="2"/>
  <c r="J4066" i="2"/>
  <c r="K4066" i="2"/>
  <c r="O4066" i="2"/>
  <c r="R4066" i="2"/>
  <c r="S4066" i="2" s="1"/>
  <c r="I4067" i="2"/>
  <c r="J4067" i="2"/>
  <c r="K4067" i="2"/>
  <c r="O4067" i="2"/>
  <c r="R4067" i="2"/>
  <c r="S4067" i="2" s="1"/>
  <c r="I4068" i="2"/>
  <c r="J4068" i="2"/>
  <c r="K4068" i="2"/>
  <c r="O4068" i="2"/>
  <c r="R4068" i="2"/>
  <c r="S4068" i="2" s="1"/>
  <c r="I4069" i="2"/>
  <c r="J4069" i="2"/>
  <c r="K4069" i="2"/>
  <c r="O4069" i="2"/>
  <c r="R4069" i="2"/>
  <c r="S4069" i="2" s="1"/>
  <c r="I4070" i="2"/>
  <c r="J4070" i="2"/>
  <c r="K4070" i="2"/>
  <c r="O4070" i="2"/>
  <c r="R4070" i="2"/>
  <c r="S4070" i="2" s="1"/>
  <c r="I4071" i="2"/>
  <c r="J4071" i="2"/>
  <c r="K4071" i="2"/>
  <c r="O4071" i="2"/>
  <c r="R4071" i="2"/>
  <c r="S4071" i="2" s="1"/>
  <c r="I4072" i="2"/>
  <c r="J4072" i="2"/>
  <c r="K4072" i="2"/>
  <c r="O4072" i="2"/>
  <c r="R4072" i="2"/>
  <c r="S4072" i="2" s="1"/>
  <c r="I4073" i="2"/>
  <c r="J4073" i="2"/>
  <c r="K4073" i="2"/>
  <c r="O4073" i="2"/>
  <c r="R4073" i="2"/>
  <c r="S4073" i="2" s="1"/>
  <c r="I4074" i="2"/>
  <c r="J4074" i="2"/>
  <c r="K4074" i="2"/>
  <c r="O4074" i="2"/>
  <c r="R4074" i="2"/>
  <c r="S4074" i="2" s="1"/>
  <c r="I4075" i="2"/>
  <c r="J4075" i="2"/>
  <c r="K4075" i="2"/>
  <c r="O4075" i="2"/>
  <c r="R4075" i="2"/>
  <c r="S4075" i="2" s="1"/>
  <c r="I4076" i="2"/>
  <c r="J4076" i="2"/>
  <c r="K4076" i="2"/>
  <c r="O4076" i="2"/>
  <c r="R4076" i="2"/>
  <c r="S4076" i="2" s="1"/>
  <c r="I4077" i="2"/>
  <c r="J4077" i="2"/>
  <c r="K4077" i="2"/>
  <c r="O4077" i="2"/>
  <c r="R4077" i="2"/>
  <c r="S4077" i="2" s="1"/>
  <c r="I4078" i="2"/>
  <c r="J4078" i="2"/>
  <c r="K4078" i="2"/>
  <c r="O4078" i="2"/>
  <c r="R4078" i="2"/>
  <c r="S4078" i="2" s="1"/>
  <c r="I4079" i="2"/>
  <c r="J4079" i="2"/>
  <c r="K4079" i="2"/>
  <c r="O4079" i="2"/>
  <c r="R4079" i="2"/>
  <c r="S4079" i="2" s="1"/>
  <c r="I4080" i="2"/>
  <c r="J4080" i="2"/>
  <c r="K4080" i="2"/>
  <c r="O4080" i="2"/>
  <c r="R4080" i="2"/>
  <c r="S4080" i="2" s="1"/>
  <c r="I4081" i="2"/>
  <c r="J4081" i="2"/>
  <c r="K4081" i="2"/>
  <c r="O4081" i="2"/>
  <c r="R4081" i="2"/>
  <c r="S4081" i="2" s="1"/>
  <c r="I4082" i="2"/>
  <c r="J4082" i="2"/>
  <c r="K4082" i="2"/>
  <c r="O4082" i="2"/>
  <c r="R4082" i="2"/>
  <c r="S4082" i="2" s="1"/>
  <c r="I4083" i="2"/>
  <c r="J4083" i="2"/>
  <c r="K4083" i="2"/>
  <c r="O4083" i="2"/>
  <c r="R4083" i="2"/>
  <c r="S4083" i="2" s="1"/>
  <c r="I4084" i="2"/>
  <c r="J4084" i="2"/>
  <c r="K4084" i="2"/>
  <c r="O4084" i="2"/>
  <c r="R4084" i="2"/>
  <c r="S4084" i="2" s="1"/>
  <c r="I4085" i="2"/>
  <c r="J4085" i="2"/>
  <c r="K4085" i="2"/>
  <c r="O4085" i="2"/>
  <c r="R4085" i="2"/>
  <c r="S4085" i="2" s="1"/>
  <c r="I4086" i="2"/>
  <c r="J4086" i="2"/>
  <c r="K4086" i="2"/>
  <c r="O4086" i="2"/>
  <c r="R4086" i="2"/>
  <c r="S4086" i="2" s="1"/>
  <c r="I4087" i="2"/>
  <c r="J4087" i="2"/>
  <c r="K4087" i="2"/>
  <c r="O4087" i="2"/>
  <c r="R4087" i="2"/>
  <c r="S4087" i="2" s="1"/>
  <c r="I4088" i="2"/>
  <c r="J4088" i="2"/>
  <c r="K4088" i="2"/>
  <c r="O4088" i="2"/>
  <c r="R4088" i="2"/>
  <c r="S4088" i="2" s="1"/>
  <c r="I4089" i="2"/>
  <c r="J4089" i="2"/>
  <c r="K4089" i="2"/>
  <c r="O4089" i="2"/>
  <c r="R4089" i="2"/>
  <c r="S4089" i="2" s="1"/>
  <c r="I4090" i="2"/>
  <c r="J4090" i="2"/>
  <c r="K4090" i="2"/>
  <c r="O4090" i="2"/>
  <c r="R4090" i="2"/>
  <c r="S4090" i="2" s="1"/>
  <c r="I4091" i="2"/>
  <c r="J4091" i="2"/>
  <c r="K4091" i="2"/>
  <c r="O4091" i="2"/>
  <c r="R4091" i="2"/>
  <c r="S4091" i="2" s="1"/>
  <c r="I4092" i="2"/>
  <c r="J4092" i="2"/>
  <c r="K4092" i="2"/>
  <c r="O4092" i="2"/>
  <c r="R4092" i="2"/>
  <c r="S4092" i="2" s="1"/>
  <c r="I4093" i="2"/>
  <c r="J4093" i="2"/>
  <c r="K4093" i="2"/>
  <c r="O4093" i="2"/>
  <c r="R4093" i="2"/>
  <c r="S4093" i="2" s="1"/>
  <c r="I4094" i="2"/>
  <c r="J4094" i="2"/>
  <c r="K4094" i="2"/>
  <c r="O4094" i="2"/>
  <c r="R4094" i="2"/>
  <c r="S4094" i="2" s="1"/>
  <c r="I4095" i="2"/>
  <c r="J4095" i="2"/>
  <c r="K4095" i="2"/>
  <c r="O4095" i="2"/>
  <c r="R4095" i="2"/>
  <c r="S4095" i="2" s="1"/>
  <c r="I4096" i="2"/>
  <c r="J4096" i="2"/>
  <c r="K4096" i="2"/>
  <c r="O4096" i="2"/>
  <c r="R4096" i="2"/>
  <c r="S4096" i="2" s="1"/>
  <c r="I4097" i="2"/>
  <c r="J4097" i="2"/>
  <c r="K4097" i="2"/>
  <c r="O4097" i="2"/>
  <c r="R4097" i="2"/>
  <c r="S4097" i="2" s="1"/>
  <c r="I4098" i="2"/>
  <c r="J4098" i="2"/>
  <c r="K4098" i="2"/>
  <c r="O4098" i="2"/>
  <c r="R4098" i="2"/>
  <c r="S4098" i="2" s="1"/>
  <c r="I4099" i="2"/>
  <c r="J4099" i="2"/>
  <c r="K4099" i="2"/>
  <c r="O4099" i="2"/>
  <c r="R4099" i="2"/>
  <c r="S4099" i="2" s="1"/>
  <c r="I4100" i="2"/>
  <c r="J4100" i="2"/>
  <c r="K4100" i="2"/>
  <c r="O4100" i="2"/>
  <c r="R4100" i="2"/>
  <c r="S4100" i="2" s="1"/>
  <c r="I4101" i="2"/>
  <c r="J4101" i="2"/>
  <c r="K4101" i="2"/>
  <c r="O4101" i="2"/>
  <c r="R4101" i="2"/>
  <c r="S4101" i="2" s="1"/>
  <c r="I4102" i="2"/>
  <c r="J4102" i="2"/>
  <c r="K4102" i="2"/>
  <c r="O4102" i="2"/>
  <c r="R4102" i="2"/>
  <c r="S4102" i="2" s="1"/>
  <c r="I4103" i="2"/>
  <c r="J4103" i="2"/>
  <c r="K4103" i="2"/>
  <c r="O4103" i="2"/>
  <c r="R4103" i="2"/>
  <c r="S4103" i="2" s="1"/>
  <c r="I4104" i="2"/>
  <c r="J4104" i="2"/>
  <c r="K4104" i="2"/>
  <c r="O4104" i="2"/>
  <c r="R4104" i="2"/>
  <c r="S4104" i="2" s="1"/>
  <c r="I4105" i="2"/>
  <c r="J4105" i="2"/>
  <c r="K4105" i="2"/>
  <c r="O4105" i="2"/>
  <c r="R4105" i="2"/>
  <c r="S4105" i="2" s="1"/>
  <c r="I4106" i="2"/>
  <c r="J4106" i="2"/>
  <c r="K4106" i="2"/>
  <c r="O4106" i="2"/>
  <c r="R4106" i="2"/>
  <c r="S4106" i="2" s="1"/>
  <c r="I4107" i="2"/>
  <c r="J4107" i="2"/>
  <c r="K4107" i="2"/>
  <c r="O4107" i="2"/>
  <c r="R4107" i="2"/>
  <c r="S4107" i="2" s="1"/>
  <c r="I4108" i="2"/>
  <c r="J4108" i="2"/>
  <c r="K4108" i="2"/>
  <c r="O4108" i="2"/>
  <c r="R4108" i="2"/>
  <c r="S4108" i="2" s="1"/>
  <c r="I4109" i="2"/>
  <c r="J4109" i="2"/>
  <c r="K4109" i="2"/>
  <c r="O4109" i="2"/>
  <c r="R4109" i="2"/>
  <c r="S4109" i="2" s="1"/>
  <c r="I4110" i="2"/>
  <c r="J4110" i="2"/>
  <c r="K4110" i="2"/>
  <c r="O4110" i="2"/>
  <c r="R4110" i="2"/>
  <c r="S4110" i="2" s="1"/>
  <c r="I4111" i="2"/>
  <c r="J4111" i="2"/>
  <c r="K4111" i="2"/>
  <c r="O4111" i="2"/>
  <c r="R4111" i="2"/>
  <c r="S4111" i="2" s="1"/>
  <c r="I4112" i="2"/>
  <c r="J4112" i="2"/>
  <c r="K4112" i="2"/>
  <c r="O4112" i="2"/>
  <c r="R4112" i="2"/>
  <c r="S4112" i="2" s="1"/>
  <c r="I4113" i="2"/>
  <c r="J4113" i="2"/>
  <c r="K4113" i="2"/>
  <c r="O4113" i="2"/>
  <c r="R4113" i="2"/>
  <c r="S4113" i="2" s="1"/>
  <c r="I4114" i="2"/>
  <c r="J4114" i="2"/>
  <c r="K4114" i="2"/>
  <c r="O4114" i="2"/>
  <c r="R4114" i="2"/>
  <c r="S4114" i="2" s="1"/>
  <c r="I4115" i="2"/>
  <c r="J4115" i="2"/>
  <c r="K4115" i="2"/>
  <c r="O4115" i="2"/>
  <c r="R4115" i="2"/>
  <c r="S4115" i="2" s="1"/>
  <c r="I4116" i="2"/>
  <c r="J4116" i="2"/>
  <c r="K4116" i="2"/>
  <c r="O4116" i="2"/>
  <c r="R4116" i="2"/>
  <c r="S4116" i="2" s="1"/>
  <c r="I4117" i="2"/>
  <c r="J4117" i="2"/>
  <c r="K4117" i="2"/>
  <c r="O4117" i="2"/>
  <c r="R4117" i="2"/>
  <c r="S4117" i="2" s="1"/>
  <c r="I4118" i="2"/>
  <c r="J4118" i="2"/>
  <c r="K4118" i="2"/>
  <c r="O4118" i="2"/>
  <c r="R4118" i="2"/>
  <c r="S4118" i="2" s="1"/>
  <c r="I4119" i="2"/>
  <c r="J4119" i="2"/>
  <c r="K4119" i="2"/>
  <c r="O4119" i="2"/>
  <c r="R4119" i="2"/>
  <c r="S4119" i="2" s="1"/>
  <c r="I4120" i="2"/>
  <c r="J4120" i="2"/>
  <c r="K4120" i="2"/>
  <c r="O4120" i="2"/>
  <c r="R4120" i="2"/>
  <c r="S4120" i="2" s="1"/>
  <c r="I4121" i="2"/>
  <c r="J4121" i="2"/>
  <c r="K4121" i="2"/>
  <c r="O4121" i="2"/>
  <c r="R4121" i="2"/>
  <c r="S4121" i="2" s="1"/>
  <c r="I4122" i="2"/>
  <c r="J4122" i="2"/>
  <c r="K4122" i="2"/>
  <c r="O4122" i="2"/>
  <c r="R4122" i="2"/>
  <c r="S4122" i="2" s="1"/>
  <c r="I4123" i="2"/>
  <c r="J4123" i="2"/>
  <c r="K4123" i="2"/>
  <c r="O4123" i="2"/>
  <c r="R4123" i="2"/>
  <c r="S4123" i="2" s="1"/>
  <c r="I4124" i="2"/>
  <c r="J4124" i="2"/>
  <c r="K4124" i="2"/>
  <c r="O4124" i="2"/>
  <c r="R4124" i="2"/>
  <c r="S4124" i="2" s="1"/>
  <c r="I4125" i="2"/>
  <c r="J4125" i="2"/>
  <c r="K4125" i="2"/>
  <c r="O4125" i="2"/>
  <c r="R4125" i="2"/>
  <c r="S4125" i="2" s="1"/>
  <c r="I4126" i="2"/>
  <c r="J4126" i="2"/>
  <c r="K4126" i="2"/>
  <c r="O4126" i="2"/>
  <c r="R4126" i="2"/>
  <c r="S4126" i="2" s="1"/>
  <c r="I4127" i="2"/>
  <c r="J4127" i="2"/>
  <c r="K4127" i="2"/>
  <c r="O4127" i="2"/>
  <c r="R4127" i="2"/>
  <c r="S4127" i="2" s="1"/>
  <c r="I4128" i="2"/>
  <c r="J4128" i="2"/>
  <c r="K4128" i="2"/>
  <c r="O4128" i="2"/>
  <c r="R4128" i="2"/>
  <c r="S4128" i="2" s="1"/>
  <c r="I4129" i="2"/>
  <c r="J4129" i="2"/>
  <c r="K4129" i="2"/>
  <c r="O4129" i="2"/>
  <c r="R4129" i="2"/>
  <c r="S4129" i="2" s="1"/>
  <c r="I4130" i="2"/>
  <c r="J4130" i="2"/>
  <c r="K4130" i="2"/>
  <c r="O4130" i="2"/>
  <c r="R4130" i="2"/>
  <c r="S4130" i="2" s="1"/>
  <c r="I4131" i="2"/>
  <c r="J4131" i="2"/>
  <c r="K4131" i="2"/>
  <c r="O4131" i="2"/>
  <c r="R4131" i="2"/>
  <c r="S4131" i="2" s="1"/>
  <c r="I4132" i="2"/>
  <c r="J4132" i="2"/>
  <c r="K4132" i="2"/>
  <c r="O4132" i="2"/>
  <c r="R4132" i="2"/>
  <c r="S4132" i="2" s="1"/>
  <c r="I4133" i="2"/>
  <c r="J4133" i="2"/>
  <c r="K4133" i="2"/>
  <c r="O4133" i="2"/>
  <c r="R4133" i="2"/>
  <c r="S4133" i="2" s="1"/>
  <c r="I4134" i="2"/>
  <c r="J4134" i="2"/>
  <c r="K4134" i="2"/>
  <c r="O4134" i="2"/>
  <c r="R4134" i="2"/>
  <c r="S4134" i="2" s="1"/>
  <c r="I4135" i="2"/>
  <c r="J4135" i="2"/>
  <c r="K4135" i="2"/>
  <c r="O4135" i="2"/>
  <c r="R4135" i="2"/>
  <c r="S4135" i="2" s="1"/>
  <c r="I4136" i="2"/>
  <c r="J4136" i="2"/>
  <c r="K4136" i="2"/>
  <c r="O4136" i="2"/>
  <c r="R4136" i="2"/>
  <c r="S4136" i="2" s="1"/>
  <c r="I4137" i="2"/>
  <c r="J4137" i="2"/>
  <c r="K4137" i="2"/>
  <c r="O4137" i="2"/>
  <c r="R4137" i="2"/>
  <c r="S4137" i="2" s="1"/>
  <c r="I4138" i="2"/>
  <c r="J4138" i="2"/>
  <c r="K4138" i="2"/>
  <c r="O4138" i="2"/>
  <c r="R4138" i="2"/>
  <c r="S4138" i="2" s="1"/>
  <c r="I4139" i="2"/>
  <c r="J4139" i="2"/>
  <c r="K4139" i="2"/>
  <c r="O4139" i="2"/>
  <c r="R4139" i="2"/>
  <c r="S4139" i="2" s="1"/>
  <c r="I4140" i="2"/>
  <c r="J4140" i="2"/>
  <c r="K4140" i="2"/>
  <c r="O4140" i="2"/>
  <c r="R4140" i="2"/>
  <c r="S4140" i="2" s="1"/>
  <c r="I4141" i="2"/>
  <c r="J4141" i="2"/>
  <c r="K4141" i="2"/>
  <c r="O4141" i="2"/>
  <c r="R4141" i="2"/>
  <c r="S4141" i="2" s="1"/>
  <c r="I4142" i="2"/>
  <c r="J4142" i="2"/>
  <c r="K4142" i="2"/>
  <c r="O4142" i="2"/>
  <c r="R4142" i="2"/>
  <c r="S4142" i="2" s="1"/>
  <c r="I4143" i="2"/>
  <c r="J4143" i="2"/>
  <c r="K4143" i="2"/>
  <c r="O4143" i="2"/>
  <c r="R4143" i="2"/>
  <c r="S4143" i="2" s="1"/>
  <c r="I4144" i="2"/>
  <c r="J4144" i="2"/>
  <c r="K4144" i="2"/>
  <c r="O4144" i="2"/>
  <c r="R4144" i="2"/>
  <c r="S4144" i="2" s="1"/>
  <c r="I4145" i="2"/>
  <c r="J4145" i="2"/>
  <c r="K4145" i="2"/>
  <c r="O4145" i="2"/>
  <c r="R4145" i="2"/>
  <c r="S4145" i="2" s="1"/>
  <c r="I4146" i="2"/>
  <c r="J4146" i="2"/>
  <c r="K4146" i="2"/>
  <c r="O4146" i="2"/>
  <c r="R4146" i="2"/>
  <c r="S4146" i="2" s="1"/>
  <c r="I4147" i="2"/>
  <c r="J4147" i="2"/>
  <c r="K4147" i="2"/>
  <c r="O4147" i="2"/>
  <c r="R4147" i="2"/>
  <c r="S4147" i="2" s="1"/>
  <c r="I4148" i="2"/>
  <c r="J4148" i="2"/>
  <c r="K4148" i="2"/>
  <c r="O4148" i="2"/>
  <c r="R4148" i="2"/>
  <c r="S4148" i="2" s="1"/>
  <c r="I4149" i="2"/>
  <c r="J4149" i="2"/>
  <c r="K4149" i="2"/>
  <c r="O4149" i="2"/>
  <c r="R4149" i="2"/>
  <c r="S4149" i="2" s="1"/>
  <c r="I4150" i="2"/>
  <c r="J4150" i="2"/>
  <c r="K4150" i="2"/>
  <c r="O4150" i="2"/>
  <c r="R4150" i="2"/>
  <c r="S4150" i="2" s="1"/>
  <c r="I4151" i="2"/>
  <c r="J4151" i="2"/>
  <c r="K4151" i="2"/>
  <c r="O4151" i="2"/>
  <c r="R4151" i="2"/>
  <c r="S4151" i="2" s="1"/>
  <c r="I4152" i="2"/>
  <c r="J4152" i="2"/>
  <c r="K4152" i="2"/>
  <c r="O4152" i="2"/>
  <c r="R4152" i="2"/>
  <c r="S4152" i="2" s="1"/>
  <c r="I4153" i="2"/>
  <c r="J4153" i="2"/>
  <c r="K4153" i="2"/>
  <c r="O4153" i="2"/>
  <c r="R4153" i="2"/>
  <c r="S4153" i="2" s="1"/>
  <c r="I4154" i="2"/>
  <c r="J4154" i="2"/>
  <c r="K4154" i="2"/>
  <c r="O4154" i="2"/>
  <c r="R4154" i="2"/>
  <c r="S4154" i="2" s="1"/>
  <c r="I4155" i="2"/>
  <c r="J4155" i="2"/>
  <c r="K4155" i="2"/>
  <c r="O4155" i="2"/>
  <c r="R4155" i="2"/>
  <c r="S4155" i="2" s="1"/>
  <c r="I4156" i="2"/>
  <c r="J4156" i="2"/>
  <c r="K4156" i="2"/>
  <c r="O4156" i="2"/>
  <c r="R4156" i="2"/>
  <c r="S4156" i="2" s="1"/>
  <c r="I4157" i="2"/>
  <c r="J4157" i="2"/>
  <c r="K4157" i="2"/>
  <c r="O4157" i="2"/>
  <c r="R4157" i="2"/>
  <c r="S4157" i="2" s="1"/>
  <c r="I4158" i="2"/>
  <c r="J4158" i="2"/>
  <c r="K4158" i="2"/>
  <c r="O4158" i="2"/>
  <c r="R4158" i="2"/>
  <c r="S4158" i="2" s="1"/>
  <c r="I4159" i="2"/>
  <c r="J4159" i="2"/>
  <c r="K4159" i="2"/>
  <c r="O4159" i="2"/>
  <c r="R4159" i="2"/>
  <c r="S4159" i="2" s="1"/>
  <c r="I4160" i="2"/>
  <c r="J4160" i="2"/>
  <c r="K4160" i="2"/>
  <c r="O4160" i="2"/>
  <c r="R4160" i="2"/>
  <c r="S4160" i="2" s="1"/>
  <c r="I4161" i="2"/>
  <c r="J4161" i="2"/>
  <c r="K4161" i="2"/>
  <c r="O4161" i="2"/>
  <c r="R4161" i="2"/>
  <c r="S4161" i="2" s="1"/>
  <c r="I4162" i="2"/>
  <c r="J4162" i="2"/>
  <c r="K4162" i="2"/>
  <c r="O4162" i="2"/>
  <c r="R4162" i="2"/>
  <c r="S4162" i="2" s="1"/>
  <c r="I4163" i="2"/>
  <c r="J4163" i="2"/>
  <c r="K4163" i="2"/>
  <c r="O4163" i="2"/>
  <c r="R4163" i="2"/>
  <c r="S4163" i="2" s="1"/>
  <c r="I4164" i="2"/>
  <c r="J4164" i="2"/>
  <c r="K4164" i="2"/>
  <c r="O4164" i="2"/>
  <c r="R4164" i="2"/>
  <c r="S4164" i="2" s="1"/>
  <c r="I4165" i="2"/>
  <c r="J4165" i="2"/>
  <c r="K4165" i="2"/>
  <c r="O4165" i="2"/>
  <c r="R4165" i="2"/>
  <c r="S4165" i="2" s="1"/>
  <c r="I4166" i="2"/>
  <c r="J4166" i="2"/>
  <c r="K4166" i="2"/>
  <c r="O4166" i="2"/>
  <c r="R4166" i="2"/>
  <c r="S4166" i="2" s="1"/>
  <c r="I4167" i="2"/>
  <c r="J4167" i="2"/>
  <c r="K4167" i="2"/>
  <c r="O4167" i="2"/>
  <c r="R4167" i="2"/>
  <c r="S4167" i="2" s="1"/>
  <c r="I4168" i="2"/>
  <c r="J4168" i="2"/>
  <c r="K4168" i="2"/>
  <c r="O4168" i="2"/>
  <c r="R4168" i="2"/>
  <c r="S4168" i="2" s="1"/>
  <c r="I4169" i="2"/>
  <c r="J4169" i="2"/>
  <c r="K4169" i="2"/>
  <c r="O4169" i="2"/>
  <c r="R4169" i="2"/>
  <c r="S4169" i="2" s="1"/>
  <c r="I4170" i="2"/>
  <c r="J4170" i="2"/>
  <c r="K4170" i="2"/>
  <c r="O4170" i="2"/>
  <c r="R4170" i="2"/>
  <c r="S4170" i="2" s="1"/>
  <c r="I4171" i="2"/>
  <c r="J4171" i="2"/>
  <c r="K4171" i="2"/>
  <c r="O4171" i="2"/>
  <c r="R4171" i="2"/>
  <c r="S4171" i="2" s="1"/>
  <c r="I4172" i="2"/>
  <c r="J4172" i="2"/>
  <c r="K4172" i="2"/>
  <c r="O4172" i="2"/>
  <c r="R4172" i="2"/>
  <c r="S4172" i="2" s="1"/>
  <c r="I4173" i="2"/>
  <c r="J4173" i="2"/>
  <c r="K4173" i="2"/>
  <c r="O4173" i="2"/>
  <c r="R4173" i="2"/>
  <c r="S4173" i="2" s="1"/>
  <c r="I4174" i="2"/>
  <c r="J4174" i="2"/>
  <c r="K4174" i="2"/>
  <c r="O4174" i="2"/>
  <c r="R4174" i="2"/>
  <c r="S4174" i="2" s="1"/>
  <c r="I4175" i="2"/>
  <c r="J4175" i="2"/>
  <c r="K4175" i="2"/>
  <c r="O4175" i="2"/>
  <c r="R4175" i="2"/>
  <c r="S4175" i="2" s="1"/>
  <c r="I4176" i="2"/>
  <c r="J4176" i="2"/>
  <c r="K4176" i="2"/>
  <c r="O4176" i="2"/>
  <c r="R4176" i="2"/>
  <c r="S4176" i="2" s="1"/>
  <c r="I4177" i="2"/>
  <c r="J4177" i="2"/>
  <c r="K4177" i="2"/>
  <c r="O4177" i="2"/>
  <c r="R4177" i="2"/>
  <c r="S4177" i="2" s="1"/>
  <c r="I4178" i="2"/>
  <c r="J4178" i="2"/>
  <c r="K4178" i="2"/>
  <c r="O4178" i="2"/>
  <c r="R4178" i="2"/>
  <c r="S4178" i="2" s="1"/>
  <c r="I4179" i="2"/>
  <c r="J4179" i="2"/>
  <c r="K4179" i="2"/>
  <c r="O4179" i="2"/>
  <c r="R4179" i="2"/>
  <c r="S4179" i="2" s="1"/>
  <c r="I4180" i="2"/>
  <c r="J4180" i="2"/>
  <c r="K4180" i="2"/>
  <c r="O4180" i="2"/>
  <c r="R4180" i="2"/>
  <c r="S4180" i="2" s="1"/>
  <c r="I4181" i="2"/>
  <c r="J4181" i="2"/>
  <c r="K4181" i="2"/>
  <c r="O4181" i="2"/>
  <c r="R4181" i="2"/>
  <c r="S4181" i="2" s="1"/>
  <c r="I4182" i="2"/>
  <c r="J4182" i="2"/>
  <c r="K4182" i="2"/>
  <c r="O4182" i="2"/>
  <c r="R4182" i="2"/>
  <c r="S4182" i="2" s="1"/>
  <c r="I4183" i="2"/>
  <c r="J4183" i="2"/>
  <c r="K4183" i="2"/>
  <c r="O4183" i="2"/>
  <c r="R4183" i="2"/>
  <c r="S4183" i="2" s="1"/>
  <c r="I4184" i="2"/>
  <c r="J4184" i="2"/>
  <c r="K4184" i="2"/>
  <c r="O4184" i="2"/>
  <c r="R4184" i="2"/>
  <c r="S4184" i="2" s="1"/>
  <c r="I4185" i="2"/>
  <c r="J4185" i="2"/>
  <c r="K4185" i="2"/>
  <c r="O4185" i="2"/>
  <c r="R4185" i="2"/>
  <c r="S4185" i="2" s="1"/>
  <c r="I4186" i="2"/>
  <c r="J4186" i="2"/>
  <c r="K4186" i="2"/>
  <c r="O4186" i="2"/>
  <c r="R4186" i="2"/>
  <c r="S4186" i="2" s="1"/>
  <c r="I4187" i="2"/>
  <c r="J4187" i="2"/>
  <c r="K4187" i="2"/>
  <c r="O4187" i="2"/>
  <c r="R4187" i="2"/>
  <c r="S4187" i="2" s="1"/>
  <c r="I4188" i="2"/>
  <c r="J4188" i="2"/>
  <c r="K4188" i="2"/>
  <c r="O4188" i="2"/>
  <c r="R4188" i="2"/>
  <c r="S4188" i="2" s="1"/>
  <c r="I4189" i="2"/>
  <c r="J4189" i="2"/>
  <c r="K4189" i="2"/>
  <c r="O4189" i="2"/>
  <c r="R4189" i="2"/>
  <c r="S4189" i="2" s="1"/>
  <c r="I4190" i="2"/>
  <c r="J4190" i="2"/>
  <c r="K4190" i="2"/>
  <c r="O4190" i="2"/>
  <c r="R4190" i="2"/>
  <c r="S4190" i="2" s="1"/>
  <c r="I4191" i="2"/>
  <c r="J4191" i="2"/>
  <c r="K4191" i="2"/>
  <c r="O4191" i="2"/>
  <c r="R4191" i="2"/>
  <c r="S4191" i="2" s="1"/>
  <c r="I4192" i="2"/>
  <c r="J4192" i="2"/>
  <c r="K4192" i="2"/>
  <c r="O4192" i="2"/>
  <c r="R4192" i="2"/>
  <c r="S4192" i="2" s="1"/>
  <c r="I4193" i="2"/>
  <c r="J4193" i="2"/>
  <c r="K4193" i="2"/>
  <c r="O4193" i="2"/>
  <c r="R4193" i="2"/>
  <c r="S4193" i="2" s="1"/>
  <c r="I4194" i="2"/>
  <c r="J4194" i="2"/>
  <c r="K4194" i="2"/>
  <c r="O4194" i="2"/>
  <c r="R4194" i="2"/>
  <c r="S4194" i="2" s="1"/>
  <c r="I4195" i="2"/>
  <c r="J4195" i="2"/>
  <c r="K4195" i="2"/>
  <c r="O4195" i="2"/>
  <c r="R4195" i="2"/>
  <c r="S4195" i="2" s="1"/>
  <c r="I4196" i="2"/>
  <c r="J4196" i="2"/>
  <c r="K4196" i="2"/>
  <c r="O4196" i="2"/>
  <c r="R4196" i="2"/>
  <c r="S4196" i="2" s="1"/>
  <c r="I4197" i="2"/>
  <c r="J4197" i="2"/>
  <c r="K4197" i="2"/>
  <c r="O4197" i="2"/>
  <c r="R4197" i="2"/>
  <c r="S4197" i="2" s="1"/>
  <c r="I4198" i="2"/>
  <c r="J4198" i="2"/>
  <c r="K4198" i="2"/>
  <c r="O4198" i="2"/>
  <c r="R4198" i="2"/>
  <c r="S4198" i="2" s="1"/>
  <c r="I4199" i="2"/>
  <c r="J4199" i="2"/>
  <c r="K4199" i="2"/>
  <c r="O4199" i="2"/>
  <c r="R4199" i="2"/>
  <c r="S4199" i="2" s="1"/>
  <c r="I4200" i="2"/>
  <c r="J4200" i="2"/>
  <c r="K4200" i="2"/>
  <c r="O4200" i="2"/>
  <c r="R4200" i="2"/>
  <c r="S4200" i="2" s="1"/>
  <c r="I4201" i="2"/>
  <c r="J4201" i="2"/>
  <c r="K4201" i="2"/>
  <c r="O4201" i="2"/>
  <c r="R4201" i="2"/>
  <c r="S4201" i="2" s="1"/>
  <c r="I4202" i="2"/>
  <c r="J4202" i="2"/>
  <c r="K4202" i="2"/>
  <c r="O4202" i="2"/>
  <c r="R4202" i="2"/>
  <c r="S4202" i="2" s="1"/>
  <c r="I4203" i="2"/>
  <c r="J4203" i="2"/>
  <c r="K4203" i="2"/>
  <c r="O4203" i="2"/>
  <c r="R4203" i="2"/>
  <c r="S4203" i="2" s="1"/>
  <c r="I4204" i="2"/>
  <c r="J4204" i="2"/>
  <c r="K4204" i="2"/>
  <c r="O4204" i="2"/>
  <c r="R4204" i="2"/>
  <c r="S4204" i="2" s="1"/>
  <c r="I4205" i="2"/>
  <c r="J4205" i="2"/>
  <c r="K4205" i="2"/>
  <c r="O4205" i="2"/>
  <c r="R4205" i="2"/>
  <c r="S4205" i="2" s="1"/>
  <c r="I4206" i="2"/>
  <c r="J4206" i="2"/>
  <c r="K4206" i="2"/>
  <c r="O4206" i="2"/>
  <c r="R4206" i="2"/>
  <c r="S4206" i="2" s="1"/>
  <c r="I4207" i="2"/>
  <c r="J4207" i="2"/>
  <c r="K4207" i="2"/>
  <c r="O4207" i="2"/>
  <c r="R4207" i="2"/>
  <c r="S4207" i="2" s="1"/>
  <c r="I4208" i="2"/>
  <c r="J4208" i="2"/>
  <c r="K4208" i="2"/>
  <c r="O4208" i="2"/>
  <c r="R4208" i="2"/>
  <c r="S4208" i="2" s="1"/>
  <c r="I4209" i="2"/>
  <c r="J4209" i="2"/>
  <c r="K4209" i="2"/>
  <c r="O4209" i="2"/>
  <c r="R4209" i="2"/>
  <c r="S4209" i="2" s="1"/>
  <c r="I4210" i="2"/>
  <c r="J4210" i="2"/>
  <c r="K4210" i="2"/>
  <c r="O4210" i="2"/>
  <c r="R4210" i="2"/>
  <c r="S4210" i="2" s="1"/>
  <c r="I4211" i="2"/>
  <c r="J4211" i="2"/>
  <c r="K4211" i="2"/>
  <c r="O4211" i="2"/>
  <c r="R4211" i="2"/>
  <c r="S4211" i="2" s="1"/>
  <c r="I4212" i="2"/>
  <c r="J4212" i="2"/>
  <c r="K4212" i="2"/>
  <c r="O4212" i="2"/>
  <c r="R4212" i="2"/>
  <c r="S4212" i="2" s="1"/>
  <c r="I4213" i="2"/>
  <c r="J4213" i="2"/>
  <c r="K4213" i="2"/>
  <c r="O4213" i="2"/>
  <c r="R4213" i="2"/>
  <c r="S4213" i="2" s="1"/>
  <c r="I4214" i="2"/>
  <c r="J4214" i="2"/>
  <c r="K4214" i="2"/>
  <c r="O4214" i="2"/>
  <c r="R4214" i="2"/>
  <c r="S4214" i="2" s="1"/>
  <c r="I4215" i="2"/>
  <c r="J4215" i="2"/>
  <c r="K4215" i="2"/>
  <c r="O4215" i="2"/>
  <c r="R4215" i="2"/>
  <c r="S4215" i="2" s="1"/>
  <c r="I4216" i="2"/>
  <c r="J4216" i="2"/>
  <c r="K4216" i="2"/>
  <c r="O4216" i="2"/>
  <c r="R4216" i="2"/>
  <c r="S4216" i="2" s="1"/>
  <c r="I4217" i="2"/>
  <c r="J4217" i="2"/>
  <c r="K4217" i="2"/>
  <c r="O4217" i="2"/>
  <c r="R4217" i="2"/>
  <c r="S4217" i="2" s="1"/>
  <c r="I4218" i="2"/>
  <c r="J4218" i="2"/>
  <c r="K4218" i="2"/>
  <c r="O4218" i="2"/>
  <c r="R4218" i="2"/>
  <c r="S4218" i="2" s="1"/>
  <c r="I4219" i="2"/>
  <c r="J4219" i="2"/>
  <c r="K4219" i="2"/>
  <c r="O4219" i="2"/>
  <c r="R4219" i="2"/>
  <c r="S4219" i="2" s="1"/>
  <c r="I4220" i="2"/>
  <c r="J4220" i="2"/>
  <c r="K4220" i="2"/>
  <c r="O4220" i="2"/>
  <c r="R4220" i="2"/>
  <c r="S4220" i="2" s="1"/>
  <c r="I4221" i="2"/>
  <c r="J4221" i="2"/>
  <c r="K4221" i="2"/>
  <c r="O4221" i="2"/>
  <c r="R4221" i="2"/>
  <c r="S4221" i="2" s="1"/>
  <c r="I4222" i="2"/>
  <c r="J4222" i="2"/>
  <c r="K4222" i="2"/>
  <c r="O4222" i="2"/>
  <c r="R4222" i="2"/>
  <c r="S4222" i="2" s="1"/>
  <c r="I4223" i="2"/>
  <c r="J4223" i="2"/>
  <c r="K4223" i="2"/>
  <c r="O4223" i="2"/>
  <c r="R4223" i="2"/>
  <c r="S4223" i="2" s="1"/>
  <c r="I4224" i="2"/>
  <c r="J4224" i="2"/>
  <c r="K4224" i="2"/>
  <c r="O4224" i="2"/>
  <c r="R4224" i="2"/>
  <c r="S4224" i="2" s="1"/>
  <c r="I4225" i="2"/>
  <c r="J4225" i="2"/>
  <c r="K4225" i="2"/>
  <c r="O4225" i="2"/>
  <c r="R4225" i="2"/>
  <c r="S4225" i="2" s="1"/>
  <c r="I4226" i="2"/>
  <c r="J4226" i="2"/>
  <c r="K4226" i="2"/>
  <c r="O4226" i="2"/>
  <c r="R4226" i="2"/>
  <c r="S4226" i="2" s="1"/>
  <c r="I4227" i="2"/>
  <c r="J4227" i="2"/>
  <c r="K4227" i="2"/>
  <c r="O4227" i="2"/>
  <c r="R4227" i="2"/>
  <c r="S4227" i="2" s="1"/>
  <c r="I4228" i="2"/>
  <c r="J4228" i="2"/>
  <c r="K4228" i="2"/>
  <c r="O4228" i="2"/>
  <c r="R4228" i="2"/>
  <c r="S4228" i="2" s="1"/>
  <c r="I4229" i="2"/>
  <c r="J4229" i="2"/>
  <c r="K4229" i="2"/>
  <c r="O4229" i="2"/>
  <c r="R4229" i="2"/>
  <c r="S4229" i="2" s="1"/>
  <c r="I4230" i="2"/>
  <c r="J4230" i="2"/>
  <c r="K4230" i="2"/>
  <c r="O4230" i="2"/>
  <c r="R4230" i="2"/>
  <c r="S4230" i="2" s="1"/>
  <c r="I4231" i="2"/>
  <c r="J4231" i="2"/>
  <c r="K4231" i="2"/>
  <c r="O4231" i="2"/>
  <c r="R4231" i="2"/>
  <c r="S4231" i="2" s="1"/>
  <c r="I4232" i="2"/>
  <c r="J4232" i="2"/>
  <c r="K4232" i="2"/>
  <c r="O4232" i="2"/>
  <c r="R4232" i="2"/>
  <c r="S4232" i="2" s="1"/>
  <c r="I4233" i="2"/>
  <c r="J4233" i="2"/>
  <c r="K4233" i="2"/>
  <c r="O4233" i="2"/>
  <c r="R4233" i="2"/>
  <c r="S4233" i="2" s="1"/>
  <c r="I4234" i="2"/>
  <c r="J4234" i="2"/>
  <c r="K4234" i="2"/>
  <c r="O4234" i="2"/>
  <c r="R4234" i="2"/>
  <c r="S4234" i="2" s="1"/>
  <c r="I4235" i="2"/>
  <c r="J4235" i="2"/>
  <c r="K4235" i="2"/>
  <c r="O4235" i="2"/>
  <c r="R4235" i="2"/>
  <c r="S4235" i="2" s="1"/>
  <c r="I4236" i="2"/>
  <c r="J4236" i="2"/>
  <c r="K4236" i="2"/>
  <c r="O4236" i="2"/>
  <c r="R4236" i="2"/>
  <c r="S4236" i="2" s="1"/>
  <c r="I4237" i="2"/>
  <c r="J4237" i="2"/>
  <c r="K4237" i="2"/>
  <c r="O4237" i="2"/>
  <c r="R4237" i="2"/>
  <c r="S4237" i="2" s="1"/>
  <c r="I4238" i="2"/>
  <c r="J4238" i="2"/>
  <c r="K4238" i="2"/>
  <c r="O4238" i="2"/>
  <c r="R4238" i="2"/>
  <c r="S4238" i="2" s="1"/>
  <c r="I4239" i="2"/>
  <c r="J4239" i="2"/>
  <c r="K4239" i="2"/>
  <c r="O4239" i="2"/>
  <c r="R4239" i="2"/>
  <c r="S4239" i="2" s="1"/>
  <c r="I4240" i="2"/>
  <c r="J4240" i="2"/>
  <c r="K4240" i="2"/>
  <c r="O4240" i="2"/>
  <c r="R4240" i="2"/>
  <c r="S4240" i="2" s="1"/>
  <c r="I4241" i="2"/>
  <c r="J4241" i="2"/>
  <c r="K4241" i="2"/>
  <c r="O4241" i="2"/>
  <c r="R4241" i="2"/>
  <c r="S4241" i="2" s="1"/>
  <c r="I4242" i="2"/>
  <c r="J4242" i="2"/>
  <c r="K4242" i="2"/>
  <c r="O4242" i="2"/>
  <c r="R4242" i="2"/>
  <c r="S4242" i="2" s="1"/>
  <c r="I4243" i="2"/>
  <c r="J4243" i="2"/>
  <c r="K4243" i="2"/>
  <c r="O4243" i="2"/>
  <c r="R4243" i="2"/>
  <c r="S4243" i="2" s="1"/>
  <c r="I4244" i="2"/>
  <c r="J4244" i="2"/>
  <c r="K4244" i="2"/>
  <c r="O4244" i="2"/>
  <c r="R4244" i="2"/>
  <c r="S4244" i="2" s="1"/>
  <c r="I4245" i="2"/>
  <c r="J4245" i="2"/>
  <c r="K4245" i="2"/>
  <c r="O4245" i="2"/>
  <c r="R4245" i="2"/>
  <c r="S4245" i="2" s="1"/>
  <c r="I4246" i="2"/>
  <c r="J4246" i="2"/>
  <c r="K4246" i="2"/>
  <c r="O4246" i="2"/>
  <c r="R4246" i="2"/>
  <c r="S4246" i="2" s="1"/>
  <c r="I4247" i="2"/>
  <c r="J4247" i="2"/>
  <c r="K4247" i="2"/>
  <c r="O4247" i="2"/>
  <c r="R4247" i="2"/>
  <c r="S4247" i="2" s="1"/>
  <c r="I4248" i="2"/>
  <c r="J4248" i="2"/>
  <c r="K4248" i="2"/>
  <c r="O4248" i="2"/>
  <c r="R4248" i="2"/>
  <c r="S4248" i="2" s="1"/>
  <c r="I4249" i="2"/>
  <c r="J4249" i="2"/>
  <c r="K4249" i="2"/>
  <c r="O4249" i="2"/>
  <c r="R4249" i="2"/>
  <c r="S4249" i="2" s="1"/>
  <c r="I4250" i="2"/>
  <c r="J4250" i="2"/>
  <c r="K4250" i="2"/>
  <c r="O4250" i="2"/>
  <c r="R4250" i="2"/>
  <c r="S4250" i="2" s="1"/>
  <c r="I4251" i="2"/>
  <c r="J4251" i="2"/>
  <c r="K4251" i="2"/>
  <c r="O4251" i="2"/>
  <c r="R4251" i="2"/>
  <c r="S4251" i="2" s="1"/>
  <c r="I4252" i="2"/>
  <c r="J4252" i="2"/>
  <c r="K4252" i="2"/>
  <c r="O4252" i="2"/>
  <c r="R4252" i="2"/>
  <c r="S4252" i="2" s="1"/>
  <c r="I4253" i="2"/>
  <c r="J4253" i="2"/>
  <c r="K4253" i="2"/>
  <c r="O4253" i="2"/>
  <c r="R4253" i="2"/>
  <c r="S4253" i="2" s="1"/>
  <c r="I4254" i="2"/>
  <c r="J4254" i="2"/>
  <c r="K4254" i="2"/>
  <c r="O4254" i="2"/>
  <c r="R4254" i="2"/>
  <c r="S4254" i="2" s="1"/>
  <c r="I4255" i="2"/>
  <c r="J4255" i="2"/>
  <c r="K4255" i="2"/>
  <c r="O4255" i="2"/>
  <c r="R4255" i="2"/>
  <c r="S4255" i="2" s="1"/>
  <c r="I4256" i="2"/>
  <c r="J4256" i="2"/>
  <c r="K4256" i="2"/>
  <c r="O4256" i="2"/>
  <c r="R4256" i="2"/>
  <c r="S4256" i="2" s="1"/>
  <c r="I4257" i="2"/>
  <c r="J4257" i="2"/>
  <c r="K4257" i="2"/>
  <c r="O4257" i="2"/>
  <c r="R4257" i="2"/>
  <c r="S4257" i="2" s="1"/>
  <c r="I4258" i="2"/>
  <c r="J4258" i="2"/>
  <c r="K4258" i="2"/>
  <c r="O4258" i="2"/>
  <c r="R4258" i="2"/>
  <c r="S4258" i="2" s="1"/>
  <c r="I4259" i="2"/>
  <c r="J4259" i="2"/>
  <c r="K4259" i="2"/>
  <c r="O4259" i="2"/>
  <c r="R4259" i="2"/>
  <c r="S4259" i="2" s="1"/>
  <c r="I4260" i="2"/>
  <c r="J4260" i="2"/>
  <c r="K4260" i="2"/>
  <c r="O4260" i="2"/>
  <c r="R4260" i="2"/>
  <c r="S4260" i="2" s="1"/>
  <c r="I4261" i="2"/>
  <c r="J4261" i="2"/>
  <c r="K4261" i="2"/>
  <c r="O4261" i="2"/>
  <c r="R4261" i="2"/>
  <c r="S4261" i="2" s="1"/>
  <c r="I4262" i="2"/>
  <c r="J4262" i="2"/>
  <c r="K4262" i="2"/>
  <c r="O4262" i="2"/>
  <c r="R4262" i="2"/>
  <c r="S4262" i="2" s="1"/>
  <c r="I4263" i="2"/>
  <c r="J4263" i="2"/>
  <c r="K4263" i="2"/>
  <c r="O4263" i="2"/>
  <c r="R4263" i="2"/>
  <c r="S4263" i="2" s="1"/>
  <c r="I4264" i="2"/>
  <c r="J4264" i="2"/>
  <c r="K4264" i="2"/>
  <c r="O4264" i="2"/>
  <c r="R4264" i="2"/>
  <c r="S4264" i="2" s="1"/>
  <c r="I4265" i="2"/>
  <c r="J4265" i="2"/>
  <c r="K4265" i="2"/>
  <c r="O4265" i="2"/>
  <c r="R4265" i="2"/>
  <c r="S4265" i="2" s="1"/>
  <c r="I4266" i="2"/>
  <c r="J4266" i="2"/>
  <c r="K4266" i="2"/>
  <c r="O4266" i="2"/>
  <c r="R4266" i="2"/>
  <c r="S4266" i="2" s="1"/>
  <c r="I4267" i="2"/>
  <c r="J4267" i="2"/>
  <c r="K4267" i="2"/>
  <c r="O4267" i="2"/>
  <c r="R4267" i="2"/>
  <c r="S4267" i="2" s="1"/>
  <c r="I4268" i="2"/>
  <c r="J4268" i="2"/>
  <c r="K4268" i="2"/>
  <c r="O4268" i="2"/>
  <c r="R4268" i="2"/>
  <c r="S4268" i="2" s="1"/>
  <c r="I4269" i="2"/>
  <c r="J4269" i="2"/>
  <c r="K4269" i="2"/>
  <c r="O4269" i="2"/>
  <c r="R4269" i="2"/>
  <c r="S4269" i="2" s="1"/>
  <c r="I4270" i="2"/>
  <c r="J4270" i="2"/>
  <c r="K4270" i="2"/>
  <c r="O4270" i="2"/>
  <c r="R4270" i="2"/>
  <c r="S4270" i="2" s="1"/>
  <c r="I4271" i="2"/>
  <c r="J4271" i="2"/>
  <c r="K4271" i="2"/>
  <c r="O4271" i="2"/>
  <c r="R4271" i="2"/>
  <c r="S4271" i="2" s="1"/>
  <c r="I4272" i="2"/>
  <c r="J4272" i="2"/>
  <c r="K4272" i="2"/>
  <c r="O4272" i="2"/>
  <c r="R4272" i="2"/>
  <c r="S4272" i="2" s="1"/>
  <c r="I4273" i="2"/>
  <c r="J4273" i="2"/>
  <c r="K4273" i="2"/>
  <c r="O4273" i="2"/>
  <c r="R4273" i="2"/>
  <c r="S4273" i="2" s="1"/>
  <c r="I4274" i="2"/>
  <c r="J4274" i="2"/>
  <c r="K4274" i="2"/>
  <c r="O4274" i="2"/>
  <c r="R4274" i="2"/>
  <c r="S4274" i="2" s="1"/>
  <c r="I4275" i="2"/>
  <c r="J4275" i="2"/>
  <c r="K4275" i="2"/>
  <c r="O4275" i="2"/>
  <c r="R4275" i="2"/>
  <c r="S4275" i="2" s="1"/>
  <c r="I4276" i="2"/>
  <c r="J4276" i="2"/>
  <c r="K4276" i="2"/>
  <c r="O4276" i="2"/>
  <c r="R4276" i="2"/>
  <c r="S4276" i="2" s="1"/>
  <c r="I4277" i="2"/>
  <c r="J4277" i="2"/>
  <c r="K4277" i="2"/>
  <c r="O4277" i="2"/>
  <c r="R4277" i="2"/>
  <c r="S4277" i="2" s="1"/>
  <c r="I4278" i="2"/>
  <c r="J4278" i="2"/>
  <c r="K4278" i="2"/>
  <c r="O4278" i="2"/>
  <c r="R4278" i="2"/>
  <c r="S4278" i="2" s="1"/>
  <c r="I4279" i="2"/>
  <c r="J4279" i="2"/>
  <c r="K4279" i="2"/>
  <c r="O4279" i="2"/>
  <c r="R4279" i="2"/>
  <c r="S4279" i="2" s="1"/>
  <c r="I4280" i="2"/>
  <c r="J4280" i="2"/>
  <c r="K4280" i="2"/>
  <c r="O4280" i="2"/>
  <c r="R4280" i="2"/>
  <c r="S4280" i="2" s="1"/>
  <c r="I4281" i="2"/>
  <c r="J4281" i="2"/>
  <c r="K4281" i="2"/>
  <c r="O4281" i="2"/>
  <c r="R4281" i="2"/>
  <c r="S4281" i="2" s="1"/>
  <c r="I4282" i="2"/>
  <c r="J4282" i="2"/>
  <c r="K4282" i="2"/>
  <c r="O4282" i="2"/>
  <c r="R4282" i="2"/>
  <c r="S4282" i="2" s="1"/>
  <c r="I4283" i="2"/>
  <c r="J4283" i="2"/>
  <c r="K4283" i="2"/>
  <c r="O4283" i="2"/>
  <c r="R4283" i="2"/>
  <c r="S4283" i="2" s="1"/>
  <c r="I4284" i="2"/>
  <c r="J4284" i="2"/>
  <c r="K4284" i="2"/>
  <c r="O4284" i="2"/>
  <c r="R4284" i="2"/>
  <c r="S4284" i="2" s="1"/>
  <c r="I4285" i="2"/>
  <c r="J4285" i="2"/>
  <c r="K4285" i="2"/>
  <c r="O4285" i="2"/>
  <c r="R4285" i="2"/>
  <c r="S4285" i="2" s="1"/>
  <c r="I4286" i="2"/>
  <c r="J4286" i="2"/>
  <c r="K4286" i="2"/>
  <c r="O4286" i="2"/>
  <c r="R4286" i="2"/>
  <c r="S4286" i="2" s="1"/>
  <c r="I4287" i="2"/>
  <c r="J4287" i="2"/>
  <c r="K4287" i="2"/>
  <c r="O4287" i="2"/>
  <c r="R4287" i="2"/>
  <c r="S4287" i="2" s="1"/>
  <c r="I4288" i="2"/>
  <c r="J4288" i="2"/>
  <c r="K4288" i="2"/>
  <c r="O4288" i="2"/>
  <c r="R4288" i="2"/>
  <c r="S4288" i="2" s="1"/>
  <c r="I4289" i="2"/>
  <c r="J4289" i="2"/>
  <c r="K4289" i="2"/>
  <c r="O4289" i="2"/>
  <c r="R4289" i="2"/>
  <c r="S4289" i="2" s="1"/>
  <c r="I4290" i="2"/>
  <c r="J4290" i="2"/>
  <c r="K4290" i="2"/>
  <c r="O4290" i="2"/>
  <c r="R4290" i="2"/>
  <c r="S4290" i="2" s="1"/>
  <c r="I4291" i="2"/>
  <c r="J4291" i="2"/>
  <c r="K4291" i="2"/>
  <c r="O4291" i="2"/>
  <c r="R4291" i="2"/>
  <c r="S4291" i="2" s="1"/>
  <c r="I4292" i="2"/>
  <c r="J4292" i="2"/>
  <c r="K4292" i="2"/>
  <c r="O4292" i="2"/>
  <c r="R4292" i="2"/>
  <c r="S4292" i="2" s="1"/>
  <c r="I4293" i="2"/>
  <c r="J4293" i="2"/>
  <c r="K4293" i="2"/>
  <c r="O4293" i="2"/>
  <c r="R4293" i="2"/>
  <c r="S4293" i="2" s="1"/>
  <c r="I4294" i="2"/>
  <c r="J4294" i="2"/>
  <c r="K4294" i="2"/>
  <c r="O4294" i="2"/>
  <c r="R4294" i="2"/>
  <c r="S4294" i="2" s="1"/>
  <c r="I4295" i="2"/>
  <c r="J4295" i="2"/>
  <c r="K4295" i="2"/>
  <c r="O4295" i="2"/>
  <c r="R4295" i="2"/>
  <c r="S4295" i="2" s="1"/>
  <c r="I4296" i="2"/>
  <c r="J4296" i="2"/>
  <c r="K4296" i="2"/>
  <c r="O4296" i="2"/>
  <c r="R4296" i="2"/>
  <c r="S4296" i="2" s="1"/>
  <c r="I4297" i="2"/>
  <c r="J4297" i="2"/>
  <c r="K4297" i="2"/>
  <c r="O4297" i="2"/>
  <c r="R4297" i="2"/>
  <c r="S4297" i="2" s="1"/>
  <c r="I4298" i="2"/>
  <c r="J4298" i="2"/>
  <c r="K4298" i="2"/>
  <c r="O4298" i="2"/>
  <c r="R4298" i="2"/>
  <c r="S4298" i="2" s="1"/>
  <c r="I4299" i="2"/>
  <c r="J4299" i="2"/>
  <c r="K4299" i="2"/>
  <c r="O4299" i="2"/>
  <c r="R4299" i="2"/>
  <c r="S4299" i="2" s="1"/>
  <c r="I4300" i="2"/>
  <c r="J4300" i="2"/>
  <c r="K4300" i="2"/>
  <c r="O4300" i="2"/>
  <c r="R4300" i="2"/>
  <c r="S4300" i="2" s="1"/>
  <c r="I4301" i="2"/>
  <c r="J4301" i="2"/>
  <c r="K4301" i="2"/>
  <c r="O4301" i="2"/>
  <c r="R4301" i="2"/>
  <c r="S4301" i="2" s="1"/>
  <c r="I4302" i="2"/>
  <c r="J4302" i="2"/>
  <c r="K4302" i="2"/>
  <c r="O4302" i="2"/>
  <c r="R4302" i="2"/>
  <c r="S4302" i="2" s="1"/>
  <c r="I4303" i="2"/>
  <c r="J4303" i="2"/>
  <c r="K4303" i="2"/>
  <c r="O4303" i="2"/>
  <c r="R4303" i="2"/>
  <c r="S4303" i="2" s="1"/>
  <c r="I4304" i="2"/>
  <c r="J4304" i="2"/>
  <c r="K4304" i="2"/>
  <c r="O4304" i="2"/>
  <c r="R4304" i="2"/>
  <c r="S4304" i="2" s="1"/>
  <c r="I4305" i="2"/>
  <c r="J4305" i="2"/>
  <c r="K4305" i="2"/>
  <c r="O4305" i="2"/>
  <c r="R4305" i="2"/>
  <c r="S4305" i="2" s="1"/>
  <c r="I4306" i="2"/>
  <c r="J4306" i="2"/>
  <c r="K4306" i="2"/>
  <c r="O4306" i="2"/>
  <c r="R4306" i="2"/>
  <c r="S4306" i="2" s="1"/>
  <c r="I4307" i="2"/>
  <c r="J4307" i="2"/>
  <c r="K4307" i="2"/>
  <c r="O4307" i="2"/>
  <c r="R4307" i="2"/>
  <c r="S4307" i="2" s="1"/>
  <c r="I4308" i="2"/>
  <c r="J4308" i="2"/>
  <c r="K4308" i="2"/>
  <c r="O4308" i="2"/>
  <c r="R4308" i="2"/>
  <c r="S4308" i="2" s="1"/>
  <c r="I4309" i="2"/>
  <c r="J4309" i="2"/>
  <c r="K4309" i="2"/>
  <c r="O4309" i="2"/>
  <c r="R4309" i="2"/>
  <c r="S4309" i="2" s="1"/>
  <c r="I4310" i="2"/>
  <c r="J4310" i="2"/>
  <c r="K4310" i="2"/>
  <c r="O4310" i="2"/>
  <c r="R4310" i="2"/>
  <c r="S4310" i="2" s="1"/>
  <c r="I4311" i="2"/>
  <c r="J4311" i="2"/>
  <c r="K4311" i="2"/>
  <c r="O4311" i="2"/>
  <c r="R4311" i="2"/>
  <c r="S4311" i="2" s="1"/>
  <c r="I4312" i="2"/>
  <c r="J4312" i="2"/>
  <c r="K4312" i="2"/>
  <c r="O4312" i="2"/>
  <c r="R4312" i="2"/>
  <c r="S4312" i="2" s="1"/>
  <c r="I4313" i="2"/>
  <c r="J4313" i="2"/>
  <c r="K4313" i="2"/>
  <c r="O4313" i="2"/>
  <c r="R4313" i="2"/>
  <c r="S4313" i="2" s="1"/>
  <c r="I4314" i="2"/>
  <c r="J4314" i="2"/>
  <c r="K4314" i="2"/>
  <c r="O4314" i="2"/>
  <c r="R4314" i="2"/>
  <c r="S4314" i="2" s="1"/>
  <c r="I4315" i="2"/>
  <c r="J4315" i="2"/>
  <c r="K4315" i="2"/>
  <c r="O4315" i="2"/>
  <c r="R4315" i="2"/>
  <c r="S4315" i="2" s="1"/>
  <c r="I4316" i="2"/>
  <c r="J4316" i="2"/>
  <c r="K4316" i="2"/>
  <c r="O4316" i="2"/>
  <c r="R4316" i="2"/>
  <c r="S4316" i="2" s="1"/>
  <c r="I4317" i="2"/>
  <c r="J4317" i="2"/>
  <c r="K4317" i="2"/>
  <c r="O4317" i="2"/>
  <c r="R4317" i="2"/>
  <c r="S4317" i="2" s="1"/>
  <c r="I4318" i="2"/>
  <c r="J4318" i="2"/>
  <c r="K4318" i="2"/>
  <c r="O4318" i="2"/>
  <c r="R4318" i="2"/>
  <c r="S4318" i="2" s="1"/>
  <c r="I4319" i="2"/>
  <c r="J4319" i="2"/>
  <c r="K4319" i="2"/>
  <c r="O4319" i="2"/>
  <c r="R4319" i="2"/>
  <c r="S4319" i="2" s="1"/>
  <c r="I4320" i="2"/>
  <c r="J4320" i="2"/>
  <c r="K4320" i="2"/>
  <c r="O4320" i="2"/>
  <c r="R4320" i="2"/>
  <c r="S4320" i="2" s="1"/>
  <c r="I4321" i="2"/>
  <c r="J4321" i="2"/>
  <c r="K4321" i="2"/>
  <c r="O4321" i="2"/>
  <c r="R4321" i="2"/>
  <c r="S4321" i="2" s="1"/>
  <c r="I4322" i="2"/>
  <c r="J4322" i="2"/>
  <c r="K4322" i="2"/>
  <c r="O4322" i="2"/>
  <c r="R4322" i="2"/>
  <c r="S4322" i="2" s="1"/>
  <c r="I4323" i="2"/>
  <c r="J4323" i="2"/>
  <c r="K4323" i="2"/>
  <c r="O4323" i="2"/>
  <c r="R4323" i="2"/>
  <c r="S4323" i="2" s="1"/>
  <c r="I4324" i="2"/>
  <c r="J4324" i="2"/>
  <c r="K4324" i="2"/>
  <c r="O4324" i="2"/>
  <c r="R4324" i="2"/>
  <c r="S4324" i="2" s="1"/>
  <c r="I4325" i="2"/>
  <c r="J4325" i="2"/>
  <c r="K4325" i="2"/>
  <c r="O4325" i="2"/>
  <c r="R4325" i="2"/>
  <c r="S4325" i="2" s="1"/>
  <c r="I4326" i="2"/>
  <c r="J4326" i="2"/>
  <c r="K4326" i="2"/>
  <c r="O4326" i="2"/>
  <c r="R4326" i="2"/>
  <c r="S4326" i="2" s="1"/>
  <c r="I4327" i="2"/>
  <c r="J4327" i="2"/>
  <c r="K4327" i="2"/>
  <c r="O4327" i="2"/>
  <c r="R4327" i="2"/>
  <c r="S4327" i="2" s="1"/>
  <c r="I4328" i="2"/>
  <c r="J4328" i="2"/>
  <c r="K4328" i="2"/>
  <c r="O4328" i="2"/>
  <c r="R4328" i="2"/>
  <c r="S4328" i="2" s="1"/>
  <c r="I4329" i="2"/>
  <c r="J4329" i="2"/>
  <c r="K4329" i="2"/>
  <c r="O4329" i="2"/>
  <c r="R4329" i="2"/>
  <c r="S4329" i="2" s="1"/>
  <c r="I4330" i="2"/>
  <c r="J4330" i="2"/>
  <c r="K4330" i="2"/>
  <c r="O4330" i="2"/>
  <c r="R4330" i="2"/>
  <c r="S4330" i="2" s="1"/>
  <c r="I4331" i="2"/>
  <c r="J4331" i="2"/>
  <c r="K4331" i="2"/>
  <c r="O4331" i="2"/>
  <c r="R4331" i="2"/>
  <c r="S4331" i="2" s="1"/>
  <c r="I4332" i="2"/>
  <c r="J4332" i="2"/>
  <c r="K4332" i="2"/>
  <c r="O4332" i="2"/>
  <c r="R4332" i="2"/>
  <c r="S4332" i="2" s="1"/>
  <c r="I4333" i="2"/>
  <c r="J4333" i="2"/>
  <c r="K4333" i="2"/>
  <c r="O4333" i="2"/>
  <c r="R4333" i="2"/>
  <c r="S4333" i="2" s="1"/>
  <c r="I4334" i="2"/>
  <c r="J4334" i="2"/>
  <c r="K4334" i="2"/>
  <c r="O4334" i="2"/>
  <c r="R4334" i="2"/>
  <c r="S4334" i="2" s="1"/>
  <c r="I4335" i="2"/>
  <c r="J4335" i="2"/>
  <c r="K4335" i="2"/>
  <c r="O4335" i="2"/>
  <c r="R4335" i="2"/>
  <c r="S4335" i="2" s="1"/>
  <c r="I4336" i="2"/>
  <c r="J4336" i="2"/>
  <c r="K4336" i="2"/>
  <c r="O4336" i="2"/>
  <c r="R4336" i="2"/>
  <c r="S4336" i="2" s="1"/>
  <c r="I4337" i="2"/>
  <c r="J4337" i="2"/>
  <c r="K4337" i="2"/>
  <c r="O4337" i="2"/>
  <c r="R4337" i="2"/>
  <c r="S4337" i="2" s="1"/>
  <c r="I4338" i="2"/>
  <c r="J4338" i="2"/>
  <c r="K4338" i="2"/>
  <c r="O4338" i="2"/>
  <c r="R4338" i="2"/>
  <c r="S4338" i="2" s="1"/>
  <c r="I4339" i="2"/>
  <c r="J4339" i="2"/>
  <c r="K4339" i="2"/>
  <c r="O4339" i="2"/>
  <c r="R4339" i="2"/>
  <c r="S4339" i="2" s="1"/>
  <c r="I4340" i="2"/>
  <c r="J4340" i="2"/>
  <c r="K4340" i="2"/>
  <c r="O4340" i="2"/>
  <c r="R4340" i="2"/>
  <c r="S4340" i="2" s="1"/>
  <c r="I4341" i="2"/>
  <c r="J4341" i="2"/>
  <c r="K4341" i="2"/>
  <c r="O4341" i="2"/>
  <c r="R4341" i="2"/>
  <c r="S4341" i="2" s="1"/>
  <c r="I4342" i="2"/>
  <c r="J4342" i="2"/>
  <c r="K4342" i="2"/>
  <c r="O4342" i="2"/>
  <c r="R4342" i="2"/>
  <c r="S4342" i="2" s="1"/>
  <c r="I4343" i="2"/>
  <c r="J4343" i="2"/>
  <c r="K4343" i="2"/>
  <c r="O4343" i="2"/>
  <c r="R4343" i="2"/>
  <c r="S4343" i="2" s="1"/>
  <c r="I4344" i="2"/>
  <c r="J4344" i="2"/>
  <c r="K4344" i="2"/>
  <c r="O4344" i="2"/>
  <c r="R4344" i="2"/>
  <c r="S4344" i="2" s="1"/>
  <c r="I4345" i="2"/>
  <c r="J4345" i="2"/>
  <c r="K4345" i="2"/>
  <c r="O4345" i="2"/>
  <c r="R4345" i="2"/>
  <c r="S4345" i="2" s="1"/>
  <c r="I4346" i="2"/>
  <c r="J4346" i="2"/>
  <c r="K4346" i="2"/>
  <c r="O4346" i="2"/>
  <c r="R4346" i="2"/>
  <c r="S4346" i="2" s="1"/>
  <c r="I4347" i="2"/>
  <c r="J4347" i="2"/>
  <c r="K4347" i="2"/>
  <c r="O4347" i="2"/>
  <c r="R4347" i="2"/>
  <c r="S4347" i="2" s="1"/>
  <c r="I4348" i="2"/>
  <c r="J4348" i="2"/>
  <c r="K4348" i="2"/>
  <c r="O4348" i="2"/>
  <c r="R4348" i="2"/>
  <c r="S4348" i="2" s="1"/>
  <c r="I4349" i="2"/>
  <c r="J4349" i="2"/>
  <c r="K4349" i="2"/>
  <c r="O4349" i="2"/>
  <c r="R4349" i="2"/>
  <c r="S4349" i="2" s="1"/>
  <c r="I4350" i="2"/>
  <c r="J4350" i="2"/>
  <c r="K4350" i="2"/>
  <c r="O4350" i="2"/>
  <c r="R4350" i="2"/>
  <c r="S4350" i="2" s="1"/>
  <c r="I4351" i="2"/>
  <c r="J4351" i="2"/>
  <c r="K4351" i="2"/>
  <c r="O4351" i="2"/>
  <c r="R4351" i="2"/>
  <c r="S4351" i="2" s="1"/>
  <c r="I4352" i="2"/>
  <c r="J4352" i="2"/>
  <c r="K4352" i="2"/>
  <c r="O4352" i="2"/>
  <c r="R4352" i="2"/>
  <c r="S4352" i="2" s="1"/>
  <c r="I4353" i="2"/>
  <c r="J4353" i="2"/>
  <c r="K4353" i="2"/>
  <c r="O4353" i="2"/>
  <c r="R4353" i="2"/>
  <c r="S4353" i="2" s="1"/>
  <c r="I4354" i="2"/>
  <c r="J4354" i="2"/>
  <c r="K4354" i="2"/>
  <c r="O4354" i="2"/>
  <c r="R4354" i="2"/>
  <c r="S4354" i="2" s="1"/>
  <c r="I4355" i="2"/>
  <c r="J4355" i="2"/>
  <c r="K4355" i="2"/>
  <c r="O4355" i="2"/>
  <c r="R4355" i="2"/>
  <c r="S4355" i="2" s="1"/>
  <c r="I4356" i="2"/>
  <c r="J4356" i="2"/>
  <c r="K4356" i="2"/>
  <c r="O4356" i="2"/>
  <c r="R4356" i="2"/>
  <c r="S4356" i="2" s="1"/>
  <c r="I4357" i="2"/>
  <c r="J4357" i="2"/>
  <c r="K4357" i="2"/>
  <c r="O4357" i="2"/>
  <c r="R4357" i="2"/>
  <c r="S4357" i="2" s="1"/>
  <c r="I4358" i="2"/>
  <c r="J4358" i="2"/>
  <c r="K4358" i="2"/>
  <c r="O4358" i="2"/>
  <c r="R4358" i="2"/>
  <c r="S4358" i="2" s="1"/>
  <c r="I4359" i="2"/>
  <c r="J4359" i="2"/>
  <c r="K4359" i="2"/>
  <c r="O4359" i="2"/>
  <c r="R4359" i="2"/>
  <c r="S4359" i="2" s="1"/>
  <c r="I4360" i="2"/>
  <c r="J4360" i="2"/>
  <c r="K4360" i="2"/>
  <c r="O4360" i="2"/>
  <c r="R4360" i="2"/>
  <c r="S4360" i="2" s="1"/>
  <c r="I4361" i="2"/>
  <c r="J4361" i="2"/>
  <c r="K4361" i="2"/>
  <c r="O4361" i="2"/>
  <c r="R4361" i="2"/>
  <c r="S4361" i="2" s="1"/>
  <c r="I4362" i="2"/>
  <c r="J4362" i="2"/>
  <c r="K4362" i="2"/>
  <c r="O4362" i="2"/>
  <c r="R4362" i="2"/>
  <c r="S4362" i="2" s="1"/>
  <c r="I4363" i="2"/>
  <c r="J4363" i="2"/>
  <c r="K4363" i="2"/>
  <c r="O4363" i="2"/>
  <c r="R4363" i="2"/>
  <c r="S4363" i="2" s="1"/>
  <c r="I4364" i="2"/>
  <c r="J4364" i="2"/>
  <c r="K4364" i="2"/>
  <c r="O4364" i="2"/>
  <c r="R4364" i="2"/>
  <c r="S4364" i="2" s="1"/>
  <c r="I4365" i="2"/>
  <c r="J4365" i="2"/>
  <c r="K4365" i="2"/>
  <c r="O4365" i="2"/>
  <c r="R4365" i="2"/>
  <c r="S4365" i="2" s="1"/>
  <c r="I4366" i="2"/>
  <c r="J4366" i="2"/>
  <c r="K4366" i="2"/>
  <c r="O4366" i="2"/>
  <c r="R4366" i="2"/>
  <c r="S4366" i="2" s="1"/>
  <c r="I4367" i="2"/>
  <c r="J4367" i="2"/>
  <c r="K4367" i="2"/>
  <c r="O4367" i="2"/>
  <c r="R4367" i="2"/>
  <c r="S4367" i="2" s="1"/>
  <c r="I4368" i="2"/>
  <c r="J4368" i="2"/>
  <c r="K4368" i="2"/>
  <c r="O4368" i="2"/>
  <c r="R4368" i="2"/>
  <c r="S4368" i="2" s="1"/>
  <c r="I4369" i="2"/>
  <c r="J4369" i="2"/>
  <c r="K4369" i="2"/>
  <c r="O4369" i="2"/>
  <c r="R4369" i="2"/>
  <c r="S4369" i="2" s="1"/>
  <c r="I4370" i="2"/>
  <c r="J4370" i="2"/>
  <c r="K4370" i="2"/>
  <c r="O4370" i="2"/>
  <c r="R4370" i="2"/>
  <c r="S4370" i="2" s="1"/>
  <c r="I4371" i="2"/>
  <c r="J4371" i="2"/>
  <c r="K4371" i="2"/>
  <c r="O4371" i="2"/>
  <c r="R4371" i="2"/>
  <c r="S4371" i="2" s="1"/>
  <c r="I4372" i="2"/>
  <c r="J4372" i="2"/>
  <c r="K4372" i="2"/>
  <c r="O4372" i="2"/>
  <c r="R4372" i="2"/>
  <c r="S4372" i="2" s="1"/>
  <c r="I4373" i="2"/>
  <c r="J4373" i="2"/>
  <c r="K4373" i="2"/>
  <c r="O4373" i="2"/>
  <c r="R4373" i="2"/>
  <c r="S4373" i="2" s="1"/>
  <c r="I4374" i="2"/>
  <c r="J4374" i="2"/>
  <c r="K4374" i="2"/>
  <c r="O4374" i="2"/>
  <c r="R4374" i="2"/>
  <c r="S4374" i="2" s="1"/>
  <c r="I4375" i="2"/>
  <c r="J4375" i="2"/>
  <c r="K4375" i="2"/>
  <c r="O4375" i="2"/>
  <c r="R4375" i="2"/>
  <c r="S4375" i="2" s="1"/>
  <c r="I4376" i="2"/>
  <c r="J4376" i="2"/>
  <c r="K4376" i="2"/>
  <c r="O4376" i="2"/>
  <c r="R4376" i="2"/>
  <c r="S4376" i="2" s="1"/>
  <c r="I4377" i="2"/>
  <c r="J4377" i="2"/>
  <c r="K4377" i="2"/>
  <c r="O4377" i="2"/>
  <c r="R4377" i="2"/>
  <c r="S4377" i="2" s="1"/>
  <c r="I4378" i="2"/>
  <c r="J4378" i="2"/>
  <c r="K4378" i="2"/>
  <c r="O4378" i="2"/>
  <c r="R4378" i="2"/>
  <c r="S4378" i="2" s="1"/>
  <c r="I4379" i="2"/>
  <c r="J4379" i="2"/>
  <c r="K4379" i="2"/>
  <c r="O4379" i="2"/>
  <c r="R4379" i="2"/>
  <c r="S4379" i="2" s="1"/>
  <c r="I4380" i="2"/>
  <c r="J4380" i="2"/>
  <c r="K4380" i="2"/>
  <c r="O4380" i="2"/>
  <c r="R4380" i="2"/>
  <c r="S4380" i="2" s="1"/>
  <c r="I4381" i="2"/>
  <c r="J4381" i="2"/>
  <c r="K4381" i="2"/>
  <c r="O4381" i="2"/>
  <c r="R4381" i="2"/>
  <c r="S4381" i="2" s="1"/>
  <c r="I4382" i="2"/>
  <c r="J4382" i="2"/>
  <c r="K4382" i="2"/>
  <c r="O4382" i="2"/>
  <c r="R4382" i="2"/>
  <c r="S4382" i="2" s="1"/>
  <c r="I4383" i="2"/>
  <c r="J4383" i="2"/>
  <c r="K4383" i="2"/>
  <c r="O4383" i="2"/>
  <c r="R4383" i="2"/>
  <c r="S4383" i="2" s="1"/>
  <c r="I4384" i="2"/>
  <c r="J4384" i="2"/>
  <c r="K4384" i="2"/>
  <c r="O4384" i="2"/>
  <c r="R4384" i="2"/>
  <c r="S4384" i="2" s="1"/>
  <c r="I4385" i="2"/>
  <c r="J4385" i="2"/>
  <c r="K4385" i="2"/>
  <c r="O4385" i="2"/>
  <c r="R4385" i="2"/>
  <c r="S4385" i="2" s="1"/>
  <c r="I4386" i="2"/>
  <c r="J4386" i="2"/>
  <c r="K4386" i="2"/>
  <c r="O4386" i="2"/>
  <c r="R4386" i="2"/>
  <c r="S4386" i="2" s="1"/>
  <c r="I4387" i="2"/>
  <c r="J4387" i="2"/>
  <c r="K4387" i="2"/>
  <c r="O4387" i="2"/>
  <c r="R4387" i="2"/>
  <c r="S4387" i="2" s="1"/>
  <c r="I4388" i="2"/>
  <c r="J4388" i="2"/>
  <c r="K4388" i="2"/>
  <c r="O4388" i="2"/>
  <c r="R4388" i="2"/>
  <c r="S4388" i="2" s="1"/>
  <c r="I4389" i="2"/>
  <c r="J4389" i="2"/>
  <c r="K4389" i="2"/>
  <c r="O4389" i="2"/>
  <c r="R4389" i="2"/>
  <c r="S4389" i="2" s="1"/>
  <c r="I4390" i="2"/>
  <c r="J4390" i="2"/>
  <c r="K4390" i="2"/>
  <c r="O4390" i="2"/>
  <c r="R4390" i="2"/>
  <c r="S4390" i="2" s="1"/>
  <c r="I4391" i="2"/>
  <c r="J4391" i="2"/>
  <c r="K4391" i="2"/>
  <c r="O4391" i="2"/>
  <c r="R4391" i="2"/>
  <c r="S4391" i="2" s="1"/>
  <c r="I4392" i="2"/>
  <c r="J4392" i="2"/>
  <c r="K4392" i="2"/>
  <c r="O4392" i="2"/>
  <c r="R4392" i="2"/>
  <c r="S4392" i="2" s="1"/>
  <c r="I4393" i="2"/>
  <c r="J4393" i="2"/>
  <c r="K4393" i="2"/>
  <c r="O4393" i="2"/>
  <c r="R4393" i="2"/>
  <c r="S4393" i="2" s="1"/>
  <c r="I4394" i="2"/>
  <c r="J4394" i="2"/>
  <c r="K4394" i="2"/>
  <c r="O4394" i="2"/>
  <c r="R4394" i="2"/>
  <c r="S4394" i="2" s="1"/>
  <c r="I4395" i="2"/>
  <c r="J4395" i="2"/>
  <c r="K4395" i="2"/>
  <c r="O4395" i="2"/>
  <c r="R4395" i="2"/>
  <c r="S4395" i="2" s="1"/>
  <c r="I4396" i="2"/>
  <c r="J4396" i="2"/>
  <c r="K4396" i="2"/>
  <c r="O4396" i="2"/>
  <c r="R4396" i="2"/>
  <c r="S4396" i="2" s="1"/>
  <c r="I4397" i="2"/>
  <c r="J4397" i="2"/>
  <c r="K4397" i="2"/>
  <c r="O4397" i="2"/>
  <c r="R4397" i="2"/>
  <c r="S4397" i="2" s="1"/>
  <c r="I4398" i="2"/>
  <c r="J4398" i="2"/>
  <c r="K4398" i="2"/>
  <c r="O4398" i="2"/>
  <c r="R4398" i="2"/>
  <c r="S4398" i="2" s="1"/>
  <c r="I4399" i="2"/>
  <c r="J4399" i="2"/>
  <c r="K4399" i="2"/>
  <c r="O4399" i="2"/>
  <c r="R4399" i="2"/>
  <c r="S4399" i="2" s="1"/>
  <c r="I4400" i="2"/>
  <c r="J4400" i="2"/>
  <c r="K4400" i="2"/>
  <c r="O4400" i="2"/>
  <c r="R4400" i="2"/>
  <c r="S4400" i="2" s="1"/>
  <c r="I4401" i="2"/>
  <c r="J4401" i="2"/>
  <c r="K4401" i="2"/>
  <c r="O4401" i="2"/>
  <c r="R4401" i="2"/>
  <c r="S4401" i="2" s="1"/>
  <c r="I4402" i="2"/>
  <c r="J4402" i="2"/>
  <c r="K4402" i="2"/>
  <c r="O4402" i="2"/>
  <c r="R4402" i="2"/>
  <c r="S4402" i="2" s="1"/>
  <c r="I4403" i="2"/>
  <c r="J4403" i="2"/>
  <c r="K4403" i="2"/>
  <c r="O4403" i="2"/>
  <c r="R4403" i="2"/>
  <c r="S4403" i="2" s="1"/>
  <c r="I4404" i="2"/>
  <c r="J4404" i="2"/>
  <c r="K4404" i="2"/>
  <c r="O4404" i="2"/>
  <c r="R4404" i="2"/>
  <c r="S4404" i="2" s="1"/>
  <c r="I4405" i="2"/>
  <c r="J4405" i="2"/>
  <c r="K4405" i="2"/>
  <c r="O4405" i="2"/>
  <c r="R4405" i="2"/>
  <c r="S4405" i="2" s="1"/>
  <c r="I4406" i="2"/>
  <c r="J4406" i="2"/>
  <c r="K4406" i="2"/>
  <c r="O4406" i="2"/>
  <c r="R4406" i="2"/>
  <c r="S4406" i="2" s="1"/>
  <c r="I4407" i="2"/>
  <c r="J4407" i="2"/>
  <c r="K4407" i="2"/>
  <c r="O4407" i="2"/>
  <c r="R4407" i="2"/>
  <c r="S4407" i="2" s="1"/>
  <c r="I4408" i="2"/>
  <c r="J4408" i="2"/>
  <c r="K4408" i="2"/>
  <c r="O4408" i="2"/>
  <c r="R4408" i="2"/>
  <c r="S4408" i="2" s="1"/>
  <c r="I4409" i="2"/>
  <c r="J4409" i="2"/>
  <c r="K4409" i="2"/>
  <c r="O4409" i="2"/>
  <c r="R4409" i="2"/>
  <c r="S4409" i="2" s="1"/>
  <c r="I4410" i="2"/>
  <c r="J4410" i="2"/>
  <c r="K4410" i="2"/>
  <c r="O4410" i="2"/>
  <c r="R4410" i="2"/>
  <c r="S4410" i="2" s="1"/>
  <c r="I4411" i="2"/>
  <c r="J4411" i="2"/>
  <c r="K4411" i="2"/>
  <c r="O4411" i="2"/>
  <c r="R4411" i="2"/>
  <c r="S4411" i="2" s="1"/>
  <c r="I4412" i="2"/>
  <c r="J4412" i="2"/>
  <c r="K4412" i="2"/>
  <c r="O4412" i="2"/>
  <c r="R4412" i="2"/>
  <c r="S4412" i="2" s="1"/>
  <c r="I4413" i="2"/>
  <c r="J4413" i="2"/>
  <c r="K4413" i="2"/>
  <c r="O4413" i="2"/>
  <c r="R4413" i="2"/>
  <c r="S4413" i="2" s="1"/>
  <c r="I4414" i="2"/>
  <c r="J4414" i="2"/>
  <c r="K4414" i="2"/>
  <c r="O4414" i="2"/>
  <c r="R4414" i="2"/>
  <c r="S4414" i="2" s="1"/>
  <c r="I4415" i="2"/>
  <c r="J4415" i="2"/>
  <c r="K4415" i="2"/>
  <c r="O4415" i="2"/>
  <c r="R4415" i="2"/>
  <c r="S4415" i="2" s="1"/>
  <c r="I4416" i="2"/>
  <c r="J4416" i="2"/>
  <c r="K4416" i="2"/>
  <c r="O4416" i="2"/>
  <c r="R4416" i="2"/>
  <c r="S4416" i="2" s="1"/>
  <c r="I4417" i="2"/>
  <c r="J4417" i="2"/>
  <c r="K4417" i="2"/>
  <c r="O4417" i="2"/>
  <c r="R4417" i="2"/>
  <c r="S4417" i="2" s="1"/>
  <c r="I4418" i="2"/>
  <c r="J4418" i="2"/>
  <c r="K4418" i="2"/>
  <c r="O4418" i="2"/>
  <c r="R4418" i="2"/>
  <c r="S4418" i="2" s="1"/>
  <c r="I4419" i="2"/>
  <c r="J4419" i="2"/>
  <c r="K4419" i="2"/>
  <c r="O4419" i="2"/>
  <c r="R4419" i="2"/>
  <c r="S4419" i="2" s="1"/>
  <c r="I4420" i="2"/>
  <c r="J4420" i="2"/>
  <c r="K4420" i="2"/>
  <c r="O4420" i="2"/>
  <c r="R4420" i="2"/>
  <c r="S4420" i="2" s="1"/>
  <c r="I4421" i="2"/>
  <c r="J4421" i="2"/>
  <c r="K4421" i="2"/>
  <c r="O4421" i="2"/>
  <c r="R4421" i="2"/>
  <c r="S4421" i="2" s="1"/>
  <c r="I4422" i="2"/>
  <c r="J4422" i="2"/>
  <c r="K4422" i="2"/>
  <c r="O4422" i="2"/>
  <c r="R4422" i="2"/>
  <c r="S4422" i="2" s="1"/>
  <c r="I4423" i="2"/>
  <c r="J4423" i="2"/>
  <c r="K4423" i="2"/>
  <c r="O4423" i="2"/>
  <c r="R4423" i="2"/>
  <c r="S4423" i="2" s="1"/>
  <c r="I4424" i="2"/>
  <c r="J4424" i="2"/>
  <c r="K4424" i="2"/>
  <c r="O4424" i="2"/>
  <c r="R4424" i="2"/>
  <c r="S4424" i="2" s="1"/>
  <c r="I4425" i="2"/>
  <c r="J4425" i="2"/>
  <c r="K4425" i="2"/>
  <c r="O4425" i="2"/>
  <c r="R4425" i="2"/>
  <c r="S4425" i="2" s="1"/>
  <c r="I4426" i="2"/>
  <c r="J4426" i="2"/>
  <c r="K4426" i="2"/>
  <c r="O4426" i="2"/>
  <c r="R4426" i="2"/>
  <c r="S4426" i="2" s="1"/>
  <c r="I4427" i="2"/>
  <c r="J4427" i="2"/>
  <c r="K4427" i="2"/>
  <c r="O4427" i="2"/>
  <c r="R4427" i="2"/>
  <c r="S4427" i="2" s="1"/>
  <c r="I4428" i="2"/>
  <c r="J4428" i="2"/>
  <c r="K4428" i="2"/>
  <c r="O4428" i="2"/>
  <c r="R4428" i="2"/>
  <c r="S4428" i="2" s="1"/>
  <c r="I4429" i="2"/>
  <c r="J4429" i="2"/>
  <c r="K4429" i="2"/>
  <c r="O4429" i="2"/>
  <c r="R4429" i="2"/>
  <c r="S4429" i="2" s="1"/>
  <c r="I4430" i="2"/>
  <c r="J4430" i="2"/>
  <c r="K4430" i="2"/>
  <c r="O4430" i="2"/>
  <c r="R4430" i="2"/>
  <c r="S4430" i="2" s="1"/>
  <c r="I4431" i="2"/>
  <c r="J4431" i="2"/>
  <c r="K4431" i="2"/>
  <c r="O4431" i="2"/>
  <c r="R4431" i="2"/>
  <c r="S4431" i="2" s="1"/>
  <c r="I4432" i="2"/>
  <c r="J4432" i="2"/>
  <c r="K4432" i="2"/>
  <c r="O4432" i="2"/>
  <c r="R4432" i="2"/>
  <c r="S4432" i="2" s="1"/>
  <c r="I4433" i="2"/>
  <c r="J4433" i="2"/>
  <c r="K4433" i="2"/>
  <c r="O4433" i="2"/>
  <c r="R4433" i="2"/>
  <c r="S4433" i="2" s="1"/>
  <c r="I4434" i="2"/>
  <c r="J4434" i="2"/>
  <c r="K4434" i="2"/>
  <c r="O4434" i="2"/>
  <c r="R4434" i="2"/>
  <c r="S4434" i="2" s="1"/>
  <c r="I4435" i="2"/>
  <c r="J4435" i="2"/>
  <c r="K4435" i="2"/>
  <c r="O4435" i="2"/>
  <c r="R4435" i="2"/>
  <c r="S4435" i="2" s="1"/>
  <c r="I4436" i="2"/>
  <c r="J4436" i="2"/>
  <c r="K4436" i="2"/>
  <c r="O4436" i="2"/>
  <c r="R4436" i="2"/>
  <c r="S4436" i="2" s="1"/>
  <c r="I4437" i="2"/>
  <c r="J4437" i="2"/>
  <c r="K4437" i="2"/>
  <c r="O4437" i="2"/>
  <c r="R4437" i="2"/>
  <c r="S4437" i="2" s="1"/>
  <c r="I4438" i="2"/>
  <c r="J4438" i="2"/>
  <c r="K4438" i="2"/>
  <c r="O4438" i="2"/>
  <c r="R4438" i="2"/>
  <c r="S4438" i="2" s="1"/>
  <c r="I4439" i="2"/>
  <c r="J4439" i="2"/>
  <c r="K4439" i="2"/>
  <c r="O4439" i="2"/>
  <c r="R4439" i="2"/>
  <c r="S4439" i="2" s="1"/>
  <c r="I4440" i="2"/>
  <c r="J4440" i="2"/>
  <c r="K4440" i="2"/>
  <c r="O4440" i="2"/>
  <c r="R4440" i="2"/>
  <c r="S4440" i="2" s="1"/>
  <c r="I4441" i="2"/>
  <c r="J4441" i="2"/>
  <c r="K4441" i="2"/>
  <c r="O4441" i="2"/>
  <c r="R4441" i="2"/>
  <c r="S4441" i="2" s="1"/>
  <c r="I4442" i="2"/>
  <c r="J4442" i="2"/>
  <c r="K4442" i="2"/>
  <c r="O4442" i="2"/>
  <c r="R4442" i="2"/>
  <c r="S4442" i="2" s="1"/>
  <c r="I4443" i="2"/>
  <c r="J4443" i="2"/>
  <c r="K4443" i="2"/>
  <c r="O4443" i="2"/>
  <c r="R4443" i="2"/>
  <c r="S4443" i="2" s="1"/>
  <c r="I4444" i="2"/>
  <c r="J4444" i="2"/>
  <c r="K4444" i="2"/>
  <c r="O4444" i="2"/>
  <c r="R4444" i="2"/>
  <c r="S4444" i="2" s="1"/>
  <c r="I4445" i="2"/>
  <c r="J4445" i="2"/>
  <c r="K4445" i="2"/>
  <c r="O4445" i="2"/>
  <c r="R4445" i="2"/>
  <c r="S4445" i="2" s="1"/>
  <c r="I4446" i="2"/>
  <c r="J4446" i="2"/>
  <c r="K4446" i="2"/>
  <c r="O4446" i="2"/>
  <c r="R4446" i="2"/>
  <c r="S4446" i="2" s="1"/>
  <c r="I4447" i="2"/>
  <c r="J4447" i="2"/>
  <c r="K4447" i="2"/>
  <c r="O4447" i="2"/>
  <c r="R4447" i="2"/>
  <c r="S4447" i="2" s="1"/>
  <c r="I4448" i="2"/>
  <c r="J4448" i="2"/>
  <c r="K4448" i="2"/>
  <c r="O4448" i="2"/>
  <c r="R4448" i="2"/>
  <c r="S4448" i="2" s="1"/>
  <c r="I4449" i="2"/>
  <c r="J4449" i="2"/>
  <c r="K4449" i="2"/>
  <c r="O4449" i="2"/>
  <c r="R4449" i="2"/>
  <c r="S4449" i="2" s="1"/>
  <c r="I4450" i="2"/>
  <c r="J4450" i="2"/>
  <c r="K4450" i="2"/>
  <c r="O4450" i="2"/>
  <c r="R4450" i="2"/>
  <c r="S4450" i="2" s="1"/>
  <c r="I4451" i="2"/>
  <c r="J4451" i="2"/>
  <c r="K4451" i="2"/>
  <c r="O4451" i="2"/>
  <c r="R4451" i="2"/>
  <c r="S4451" i="2" s="1"/>
  <c r="I4452" i="2"/>
  <c r="J4452" i="2"/>
  <c r="K4452" i="2"/>
  <c r="O4452" i="2"/>
  <c r="R4452" i="2"/>
  <c r="S4452" i="2" s="1"/>
  <c r="I4453" i="2"/>
  <c r="J4453" i="2"/>
  <c r="K4453" i="2"/>
  <c r="O4453" i="2"/>
  <c r="R4453" i="2"/>
  <c r="S4453" i="2" s="1"/>
  <c r="I4454" i="2"/>
  <c r="J4454" i="2"/>
  <c r="K4454" i="2"/>
  <c r="O4454" i="2"/>
  <c r="R4454" i="2"/>
  <c r="S4454" i="2" s="1"/>
  <c r="I4455" i="2"/>
  <c r="J4455" i="2"/>
  <c r="K4455" i="2"/>
  <c r="O4455" i="2"/>
  <c r="R4455" i="2"/>
  <c r="S4455" i="2" s="1"/>
  <c r="I4456" i="2"/>
  <c r="J4456" i="2"/>
  <c r="K4456" i="2"/>
  <c r="O4456" i="2"/>
  <c r="R4456" i="2"/>
  <c r="S4456" i="2" s="1"/>
  <c r="I4457" i="2"/>
  <c r="J4457" i="2"/>
  <c r="K4457" i="2"/>
  <c r="O4457" i="2"/>
  <c r="R4457" i="2"/>
  <c r="S4457" i="2" s="1"/>
  <c r="I4458" i="2"/>
  <c r="J4458" i="2"/>
  <c r="K4458" i="2"/>
  <c r="O4458" i="2"/>
  <c r="R4458" i="2"/>
  <c r="S4458" i="2" s="1"/>
  <c r="I4459" i="2"/>
  <c r="J4459" i="2"/>
  <c r="K4459" i="2"/>
  <c r="O4459" i="2"/>
  <c r="R4459" i="2"/>
  <c r="S4459" i="2" s="1"/>
  <c r="I4460" i="2"/>
  <c r="J4460" i="2"/>
  <c r="K4460" i="2"/>
  <c r="O4460" i="2"/>
  <c r="R4460" i="2"/>
  <c r="S4460" i="2" s="1"/>
  <c r="I4461" i="2"/>
  <c r="J4461" i="2"/>
  <c r="K4461" i="2"/>
  <c r="O4461" i="2"/>
  <c r="R4461" i="2"/>
  <c r="S4461" i="2" s="1"/>
  <c r="I4462" i="2"/>
  <c r="J4462" i="2"/>
  <c r="K4462" i="2"/>
  <c r="O4462" i="2"/>
  <c r="R4462" i="2"/>
  <c r="S4462" i="2" s="1"/>
  <c r="I4463" i="2"/>
  <c r="J4463" i="2"/>
  <c r="K4463" i="2"/>
  <c r="O4463" i="2"/>
  <c r="R4463" i="2"/>
  <c r="S4463" i="2" s="1"/>
  <c r="I4464" i="2"/>
  <c r="J4464" i="2"/>
  <c r="K4464" i="2"/>
  <c r="O4464" i="2"/>
  <c r="R4464" i="2"/>
  <c r="S4464" i="2" s="1"/>
  <c r="I4465" i="2"/>
  <c r="J4465" i="2"/>
  <c r="K4465" i="2"/>
  <c r="O4465" i="2"/>
  <c r="R4465" i="2"/>
  <c r="S4465" i="2" s="1"/>
  <c r="I4466" i="2"/>
  <c r="J4466" i="2"/>
  <c r="K4466" i="2"/>
  <c r="O4466" i="2"/>
  <c r="R4466" i="2"/>
  <c r="S4466" i="2" s="1"/>
  <c r="I4467" i="2"/>
  <c r="J4467" i="2"/>
  <c r="K4467" i="2"/>
  <c r="O4467" i="2"/>
  <c r="R4467" i="2"/>
  <c r="S4467" i="2" s="1"/>
  <c r="I4468" i="2"/>
  <c r="J4468" i="2"/>
  <c r="K4468" i="2"/>
  <c r="O4468" i="2"/>
  <c r="R4468" i="2"/>
  <c r="S4468" i="2" s="1"/>
  <c r="I4469" i="2"/>
  <c r="J4469" i="2"/>
  <c r="K4469" i="2"/>
  <c r="O4469" i="2"/>
  <c r="R4469" i="2"/>
  <c r="S4469" i="2" s="1"/>
  <c r="I4470" i="2"/>
  <c r="J4470" i="2"/>
  <c r="K4470" i="2"/>
  <c r="O4470" i="2"/>
  <c r="R4470" i="2"/>
  <c r="S4470" i="2" s="1"/>
  <c r="I4471" i="2"/>
  <c r="J4471" i="2"/>
  <c r="K4471" i="2"/>
  <c r="O4471" i="2"/>
  <c r="R4471" i="2"/>
  <c r="S4471" i="2" s="1"/>
  <c r="I4472" i="2"/>
  <c r="J4472" i="2"/>
  <c r="K4472" i="2"/>
  <c r="O4472" i="2"/>
  <c r="R4472" i="2"/>
  <c r="S4472" i="2" s="1"/>
  <c r="I4473" i="2"/>
  <c r="J4473" i="2"/>
  <c r="K4473" i="2"/>
  <c r="O4473" i="2"/>
  <c r="R4473" i="2"/>
  <c r="S4473" i="2" s="1"/>
  <c r="I4474" i="2"/>
  <c r="J4474" i="2"/>
  <c r="K4474" i="2"/>
  <c r="O4474" i="2"/>
  <c r="R4474" i="2"/>
  <c r="S4474" i="2" s="1"/>
  <c r="I4475" i="2"/>
  <c r="J4475" i="2"/>
  <c r="K4475" i="2"/>
  <c r="O4475" i="2"/>
  <c r="R4475" i="2"/>
  <c r="S4475" i="2" s="1"/>
  <c r="I4476" i="2"/>
  <c r="J4476" i="2"/>
  <c r="K4476" i="2"/>
  <c r="O4476" i="2"/>
  <c r="R4476" i="2"/>
  <c r="S4476" i="2" s="1"/>
  <c r="I4477" i="2"/>
  <c r="J4477" i="2"/>
  <c r="K4477" i="2"/>
  <c r="O4477" i="2"/>
  <c r="R4477" i="2"/>
  <c r="S4477" i="2" s="1"/>
  <c r="I4478" i="2"/>
  <c r="J4478" i="2"/>
  <c r="K4478" i="2"/>
  <c r="O4478" i="2"/>
  <c r="R4478" i="2"/>
  <c r="S4478" i="2" s="1"/>
  <c r="I4479" i="2"/>
  <c r="J4479" i="2"/>
  <c r="K4479" i="2"/>
  <c r="O4479" i="2"/>
  <c r="R4479" i="2"/>
  <c r="S4479" i="2" s="1"/>
  <c r="I4480" i="2"/>
  <c r="J4480" i="2"/>
  <c r="K4480" i="2"/>
  <c r="O4480" i="2"/>
  <c r="R4480" i="2"/>
  <c r="S4480" i="2" s="1"/>
  <c r="I4481" i="2"/>
  <c r="J4481" i="2"/>
  <c r="K4481" i="2"/>
  <c r="O4481" i="2"/>
  <c r="R4481" i="2"/>
  <c r="S4481" i="2" s="1"/>
  <c r="I4482" i="2"/>
  <c r="J4482" i="2"/>
  <c r="K4482" i="2"/>
  <c r="O4482" i="2"/>
  <c r="R4482" i="2"/>
  <c r="S4482" i="2" s="1"/>
  <c r="I4483" i="2"/>
  <c r="J4483" i="2"/>
  <c r="K4483" i="2"/>
  <c r="O4483" i="2"/>
  <c r="R4483" i="2"/>
  <c r="S4483" i="2" s="1"/>
  <c r="I4484" i="2"/>
  <c r="J4484" i="2"/>
  <c r="K4484" i="2"/>
  <c r="O4484" i="2"/>
  <c r="R4484" i="2"/>
  <c r="S4484" i="2" s="1"/>
  <c r="I4485" i="2"/>
  <c r="J4485" i="2"/>
  <c r="K4485" i="2"/>
  <c r="O4485" i="2"/>
  <c r="R4485" i="2"/>
  <c r="S4485" i="2" s="1"/>
  <c r="I4486" i="2"/>
  <c r="J4486" i="2"/>
  <c r="K4486" i="2"/>
  <c r="O4486" i="2"/>
  <c r="R4486" i="2"/>
  <c r="S4486" i="2" s="1"/>
  <c r="I4487" i="2"/>
  <c r="J4487" i="2"/>
  <c r="K4487" i="2"/>
  <c r="O4487" i="2"/>
  <c r="R4487" i="2"/>
  <c r="S4487" i="2" s="1"/>
  <c r="I4488" i="2"/>
  <c r="J4488" i="2"/>
  <c r="K4488" i="2"/>
  <c r="O4488" i="2"/>
  <c r="R4488" i="2"/>
  <c r="S4488" i="2" s="1"/>
  <c r="I4489" i="2"/>
  <c r="J4489" i="2"/>
  <c r="K4489" i="2"/>
  <c r="O4489" i="2"/>
  <c r="R4489" i="2"/>
  <c r="S4489" i="2" s="1"/>
  <c r="I4490" i="2"/>
  <c r="J4490" i="2"/>
  <c r="K4490" i="2"/>
  <c r="O4490" i="2"/>
  <c r="R4490" i="2"/>
  <c r="S4490" i="2" s="1"/>
  <c r="I4491" i="2"/>
  <c r="J4491" i="2"/>
  <c r="K4491" i="2"/>
  <c r="O4491" i="2"/>
  <c r="R4491" i="2"/>
  <c r="S4491" i="2" s="1"/>
  <c r="I4492" i="2"/>
  <c r="J4492" i="2"/>
  <c r="K4492" i="2"/>
  <c r="O4492" i="2"/>
  <c r="R4492" i="2"/>
  <c r="S4492" i="2" s="1"/>
  <c r="I4493" i="2"/>
  <c r="J4493" i="2"/>
  <c r="K4493" i="2"/>
  <c r="O4493" i="2"/>
  <c r="R4493" i="2"/>
  <c r="S4493" i="2" s="1"/>
  <c r="I4494" i="2"/>
  <c r="J4494" i="2"/>
  <c r="K4494" i="2"/>
  <c r="O4494" i="2"/>
  <c r="R4494" i="2"/>
  <c r="S4494" i="2" s="1"/>
  <c r="I4495" i="2"/>
  <c r="J4495" i="2"/>
  <c r="K4495" i="2"/>
  <c r="O4495" i="2"/>
  <c r="R4495" i="2"/>
  <c r="S4495" i="2" s="1"/>
  <c r="I4496" i="2"/>
  <c r="J4496" i="2"/>
  <c r="K4496" i="2"/>
  <c r="O4496" i="2"/>
  <c r="R4496" i="2"/>
  <c r="S4496" i="2" s="1"/>
  <c r="I4497" i="2"/>
  <c r="J4497" i="2"/>
  <c r="K4497" i="2"/>
  <c r="O4497" i="2"/>
  <c r="R4497" i="2"/>
  <c r="S4497" i="2" s="1"/>
  <c r="I4498" i="2"/>
  <c r="J4498" i="2"/>
  <c r="K4498" i="2"/>
  <c r="O4498" i="2"/>
  <c r="R4498" i="2"/>
  <c r="S4498" i="2" s="1"/>
  <c r="I4499" i="2"/>
  <c r="J4499" i="2"/>
  <c r="K4499" i="2"/>
  <c r="O4499" i="2"/>
  <c r="R4499" i="2"/>
  <c r="S4499" i="2" s="1"/>
  <c r="I4500" i="2"/>
  <c r="J4500" i="2"/>
  <c r="K4500" i="2"/>
  <c r="O4500" i="2"/>
  <c r="R4500" i="2"/>
  <c r="S4500" i="2" s="1"/>
  <c r="I4501" i="2"/>
  <c r="J4501" i="2"/>
  <c r="K4501" i="2"/>
  <c r="O4501" i="2"/>
  <c r="R4501" i="2"/>
  <c r="S4501" i="2" s="1"/>
  <c r="I4502" i="2"/>
  <c r="J4502" i="2"/>
  <c r="K4502" i="2"/>
  <c r="O4502" i="2"/>
  <c r="R4502" i="2"/>
  <c r="S4502" i="2" s="1"/>
  <c r="I4503" i="2"/>
  <c r="J4503" i="2"/>
  <c r="K4503" i="2"/>
  <c r="O4503" i="2"/>
  <c r="R4503" i="2"/>
  <c r="S4503" i="2" s="1"/>
  <c r="I4504" i="2"/>
  <c r="J4504" i="2"/>
  <c r="K4504" i="2"/>
  <c r="O4504" i="2"/>
  <c r="R4504" i="2"/>
  <c r="S4504" i="2" s="1"/>
  <c r="I4505" i="2"/>
  <c r="J4505" i="2"/>
  <c r="K4505" i="2"/>
  <c r="O4505" i="2"/>
  <c r="R4505" i="2"/>
  <c r="S4505" i="2" s="1"/>
  <c r="I4506" i="2"/>
  <c r="J4506" i="2"/>
  <c r="K4506" i="2"/>
  <c r="O4506" i="2"/>
  <c r="R4506" i="2"/>
  <c r="S4506" i="2" s="1"/>
  <c r="I4507" i="2"/>
  <c r="J4507" i="2"/>
  <c r="K4507" i="2"/>
  <c r="O4507" i="2"/>
  <c r="R4507" i="2"/>
  <c r="S4507" i="2" s="1"/>
  <c r="I4508" i="2"/>
  <c r="J4508" i="2"/>
  <c r="K4508" i="2"/>
  <c r="O4508" i="2"/>
  <c r="R4508" i="2"/>
  <c r="S4508" i="2" s="1"/>
  <c r="I4509" i="2"/>
  <c r="J4509" i="2"/>
  <c r="K4509" i="2"/>
  <c r="O4509" i="2"/>
  <c r="R4509" i="2"/>
  <c r="S4509" i="2" s="1"/>
  <c r="I4510" i="2"/>
  <c r="J4510" i="2"/>
  <c r="K4510" i="2"/>
  <c r="O4510" i="2"/>
  <c r="R4510" i="2"/>
  <c r="S4510" i="2" s="1"/>
  <c r="I4511" i="2"/>
  <c r="J4511" i="2"/>
  <c r="K4511" i="2"/>
  <c r="O4511" i="2"/>
  <c r="R4511" i="2"/>
  <c r="S4511" i="2" s="1"/>
  <c r="I4512" i="2"/>
  <c r="J4512" i="2"/>
  <c r="K4512" i="2"/>
  <c r="O4512" i="2"/>
  <c r="R4512" i="2"/>
  <c r="S4512" i="2" s="1"/>
  <c r="I4513" i="2"/>
  <c r="J4513" i="2"/>
  <c r="K4513" i="2"/>
  <c r="O4513" i="2"/>
  <c r="R4513" i="2"/>
  <c r="S4513" i="2" s="1"/>
  <c r="I4514" i="2"/>
  <c r="J4514" i="2"/>
  <c r="K4514" i="2"/>
  <c r="O4514" i="2"/>
  <c r="R4514" i="2"/>
  <c r="S4514" i="2" s="1"/>
  <c r="I4515" i="2"/>
  <c r="J4515" i="2"/>
  <c r="K4515" i="2"/>
  <c r="O4515" i="2"/>
  <c r="R4515" i="2"/>
  <c r="S4515" i="2" s="1"/>
  <c r="I4516" i="2"/>
  <c r="J4516" i="2"/>
  <c r="K4516" i="2"/>
  <c r="O4516" i="2"/>
  <c r="R4516" i="2"/>
  <c r="S4516" i="2" s="1"/>
  <c r="I4517" i="2"/>
  <c r="J4517" i="2"/>
  <c r="K4517" i="2"/>
  <c r="O4517" i="2"/>
  <c r="R4517" i="2"/>
  <c r="S4517" i="2" s="1"/>
  <c r="I4518" i="2"/>
  <c r="J4518" i="2"/>
  <c r="K4518" i="2"/>
  <c r="O4518" i="2"/>
  <c r="R4518" i="2"/>
  <c r="S4518" i="2" s="1"/>
  <c r="I4519" i="2"/>
  <c r="J4519" i="2"/>
  <c r="K4519" i="2"/>
  <c r="O4519" i="2"/>
  <c r="R4519" i="2"/>
  <c r="S4519" i="2" s="1"/>
  <c r="I4520" i="2"/>
  <c r="J4520" i="2"/>
  <c r="K4520" i="2"/>
  <c r="O4520" i="2"/>
  <c r="R4520" i="2"/>
  <c r="S4520" i="2" s="1"/>
  <c r="I4521" i="2"/>
  <c r="J4521" i="2"/>
  <c r="K4521" i="2"/>
  <c r="O4521" i="2"/>
  <c r="R4521" i="2"/>
  <c r="S4521" i="2" s="1"/>
  <c r="I4522" i="2"/>
  <c r="J4522" i="2"/>
  <c r="K4522" i="2"/>
  <c r="O4522" i="2"/>
  <c r="R4522" i="2"/>
  <c r="S4522" i="2" s="1"/>
  <c r="I4523" i="2"/>
  <c r="J4523" i="2"/>
  <c r="K4523" i="2"/>
  <c r="O4523" i="2"/>
  <c r="R4523" i="2"/>
  <c r="S4523" i="2" s="1"/>
  <c r="I4524" i="2"/>
  <c r="J4524" i="2"/>
  <c r="K4524" i="2"/>
  <c r="O4524" i="2"/>
  <c r="R4524" i="2"/>
  <c r="S4524" i="2" s="1"/>
  <c r="I4525" i="2"/>
  <c r="J4525" i="2"/>
  <c r="K4525" i="2"/>
  <c r="O4525" i="2"/>
  <c r="R4525" i="2"/>
  <c r="S4525" i="2" s="1"/>
  <c r="I4526" i="2"/>
  <c r="J4526" i="2"/>
  <c r="K4526" i="2"/>
  <c r="O4526" i="2"/>
  <c r="R4526" i="2"/>
  <c r="S4526" i="2" s="1"/>
  <c r="I4527" i="2"/>
  <c r="J4527" i="2"/>
  <c r="K4527" i="2"/>
  <c r="O4527" i="2"/>
  <c r="R4527" i="2"/>
  <c r="S4527" i="2" s="1"/>
  <c r="I4528" i="2"/>
  <c r="J4528" i="2"/>
  <c r="K4528" i="2"/>
  <c r="O4528" i="2"/>
  <c r="R4528" i="2"/>
  <c r="S4528" i="2" s="1"/>
  <c r="I4529" i="2"/>
  <c r="J4529" i="2"/>
  <c r="K4529" i="2"/>
  <c r="O4529" i="2"/>
  <c r="R4529" i="2"/>
  <c r="S4529" i="2" s="1"/>
  <c r="I4530" i="2"/>
  <c r="J4530" i="2"/>
  <c r="K4530" i="2"/>
  <c r="O4530" i="2"/>
  <c r="R4530" i="2"/>
  <c r="S4530" i="2" s="1"/>
  <c r="I4531" i="2"/>
  <c r="J4531" i="2"/>
  <c r="K4531" i="2"/>
  <c r="O4531" i="2"/>
  <c r="R4531" i="2"/>
  <c r="S4531" i="2" s="1"/>
  <c r="I4532" i="2"/>
  <c r="J4532" i="2"/>
  <c r="K4532" i="2"/>
  <c r="O4532" i="2"/>
  <c r="R4532" i="2"/>
  <c r="S4532" i="2" s="1"/>
  <c r="I4533" i="2"/>
  <c r="J4533" i="2"/>
  <c r="K4533" i="2"/>
  <c r="O4533" i="2"/>
  <c r="R4533" i="2"/>
  <c r="S4533" i="2" s="1"/>
  <c r="I4534" i="2"/>
  <c r="J4534" i="2"/>
  <c r="K4534" i="2"/>
  <c r="O4534" i="2"/>
  <c r="R4534" i="2"/>
  <c r="S4534" i="2" s="1"/>
  <c r="I4535" i="2"/>
  <c r="J4535" i="2"/>
  <c r="K4535" i="2"/>
  <c r="O4535" i="2"/>
  <c r="R4535" i="2"/>
  <c r="S4535" i="2" s="1"/>
  <c r="I4536" i="2"/>
  <c r="J4536" i="2"/>
  <c r="K4536" i="2"/>
  <c r="O4536" i="2"/>
  <c r="R4536" i="2"/>
  <c r="S4536" i="2" s="1"/>
  <c r="I4537" i="2"/>
  <c r="J4537" i="2"/>
  <c r="K4537" i="2"/>
  <c r="O4537" i="2"/>
  <c r="R4537" i="2"/>
  <c r="S4537" i="2" s="1"/>
  <c r="I4538" i="2"/>
  <c r="J4538" i="2"/>
  <c r="K4538" i="2"/>
  <c r="O4538" i="2"/>
  <c r="R4538" i="2"/>
  <c r="S4538" i="2" s="1"/>
  <c r="I4539" i="2"/>
  <c r="J4539" i="2"/>
  <c r="K4539" i="2"/>
  <c r="O4539" i="2"/>
  <c r="R4539" i="2"/>
  <c r="S4539" i="2" s="1"/>
  <c r="I4540" i="2"/>
  <c r="J4540" i="2"/>
  <c r="K4540" i="2"/>
  <c r="O4540" i="2"/>
  <c r="R4540" i="2"/>
  <c r="S4540" i="2" s="1"/>
  <c r="I4541" i="2"/>
  <c r="J4541" i="2"/>
  <c r="K4541" i="2"/>
  <c r="O4541" i="2"/>
  <c r="R4541" i="2"/>
  <c r="S4541" i="2" s="1"/>
  <c r="I4542" i="2"/>
  <c r="J4542" i="2"/>
  <c r="K4542" i="2"/>
  <c r="O4542" i="2"/>
  <c r="R4542" i="2"/>
  <c r="S4542" i="2" s="1"/>
  <c r="I4543" i="2"/>
  <c r="J4543" i="2"/>
  <c r="K4543" i="2"/>
  <c r="O4543" i="2"/>
  <c r="R4543" i="2"/>
  <c r="S4543" i="2" s="1"/>
  <c r="I4544" i="2"/>
  <c r="J4544" i="2"/>
  <c r="K4544" i="2"/>
  <c r="O4544" i="2"/>
  <c r="R4544" i="2"/>
  <c r="S4544" i="2" s="1"/>
  <c r="I4545" i="2"/>
  <c r="J4545" i="2"/>
  <c r="K4545" i="2"/>
  <c r="O4545" i="2"/>
  <c r="R4545" i="2"/>
  <c r="S4545" i="2" s="1"/>
  <c r="I4546" i="2"/>
  <c r="J4546" i="2"/>
  <c r="K4546" i="2"/>
  <c r="O4546" i="2"/>
  <c r="R4546" i="2"/>
  <c r="S4546" i="2" s="1"/>
  <c r="I4547" i="2"/>
  <c r="J4547" i="2"/>
  <c r="K4547" i="2"/>
  <c r="O4547" i="2"/>
  <c r="R4547" i="2"/>
  <c r="S4547" i="2" s="1"/>
  <c r="I4548" i="2"/>
  <c r="J4548" i="2"/>
  <c r="K4548" i="2"/>
  <c r="O4548" i="2"/>
  <c r="R4548" i="2"/>
  <c r="S4548" i="2" s="1"/>
  <c r="I4549" i="2"/>
  <c r="J4549" i="2"/>
  <c r="K4549" i="2"/>
  <c r="O4549" i="2"/>
  <c r="R4549" i="2"/>
  <c r="S4549" i="2" s="1"/>
  <c r="I4550" i="2"/>
  <c r="J4550" i="2"/>
  <c r="K4550" i="2"/>
  <c r="O4550" i="2"/>
  <c r="R4550" i="2"/>
  <c r="S4550" i="2" s="1"/>
  <c r="I4551" i="2"/>
  <c r="J4551" i="2"/>
  <c r="K4551" i="2"/>
  <c r="O4551" i="2"/>
  <c r="R4551" i="2"/>
  <c r="S4551" i="2" s="1"/>
  <c r="I4552" i="2"/>
  <c r="J4552" i="2"/>
  <c r="K4552" i="2"/>
  <c r="O4552" i="2"/>
  <c r="R4552" i="2"/>
  <c r="S4552" i="2" s="1"/>
  <c r="I4553" i="2"/>
  <c r="J4553" i="2"/>
  <c r="K4553" i="2"/>
  <c r="O4553" i="2"/>
  <c r="R4553" i="2"/>
  <c r="S4553" i="2" s="1"/>
  <c r="I4554" i="2"/>
  <c r="J4554" i="2"/>
  <c r="K4554" i="2"/>
  <c r="O4554" i="2"/>
  <c r="R4554" i="2"/>
  <c r="S4554" i="2" s="1"/>
  <c r="I4555" i="2"/>
  <c r="J4555" i="2"/>
  <c r="K4555" i="2"/>
  <c r="O4555" i="2"/>
  <c r="R4555" i="2"/>
  <c r="S4555" i="2" s="1"/>
  <c r="I4556" i="2"/>
  <c r="J4556" i="2"/>
  <c r="K4556" i="2"/>
  <c r="O4556" i="2"/>
  <c r="R4556" i="2"/>
  <c r="S4556" i="2" s="1"/>
  <c r="I4557" i="2"/>
  <c r="J4557" i="2"/>
  <c r="K4557" i="2"/>
  <c r="O4557" i="2"/>
  <c r="R4557" i="2"/>
  <c r="S4557" i="2" s="1"/>
  <c r="I4558" i="2"/>
  <c r="J4558" i="2"/>
  <c r="K4558" i="2"/>
  <c r="O4558" i="2"/>
  <c r="R4558" i="2"/>
  <c r="S4558" i="2" s="1"/>
  <c r="I4559" i="2"/>
  <c r="J4559" i="2"/>
  <c r="K4559" i="2"/>
  <c r="O4559" i="2"/>
  <c r="R4559" i="2"/>
  <c r="S4559" i="2" s="1"/>
  <c r="I4560" i="2"/>
  <c r="J4560" i="2"/>
  <c r="K4560" i="2"/>
  <c r="O4560" i="2"/>
  <c r="R4560" i="2"/>
  <c r="S4560" i="2" s="1"/>
  <c r="I4561" i="2"/>
  <c r="J4561" i="2"/>
  <c r="K4561" i="2"/>
  <c r="O4561" i="2"/>
  <c r="R4561" i="2"/>
  <c r="S4561" i="2" s="1"/>
  <c r="I4562" i="2"/>
  <c r="J4562" i="2"/>
  <c r="K4562" i="2"/>
  <c r="O4562" i="2"/>
  <c r="R4562" i="2"/>
  <c r="S4562" i="2" s="1"/>
  <c r="I4563" i="2"/>
  <c r="J4563" i="2"/>
  <c r="K4563" i="2"/>
  <c r="O4563" i="2"/>
  <c r="R4563" i="2"/>
  <c r="S4563" i="2" s="1"/>
  <c r="I4564" i="2"/>
  <c r="J4564" i="2"/>
  <c r="K4564" i="2"/>
  <c r="O4564" i="2"/>
  <c r="R4564" i="2"/>
  <c r="S4564" i="2" s="1"/>
  <c r="I4565" i="2"/>
  <c r="J4565" i="2"/>
  <c r="K4565" i="2"/>
  <c r="O4565" i="2"/>
  <c r="R4565" i="2"/>
  <c r="S4565" i="2" s="1"/>
  <c r="I4566" i="2"/>
  <c r="J4566" i="2"/>
  <c r="K4566" i="2"/>
  <c r="O4566" i="2"/>
  <c r="R4566" i="2"/>
  <c r="S4566" i="2" s="1"/>
  <c r="I4567" i="2"/>
  <c r="J4567" i="2"/>
  <c r="K4567" i="2"/>
  <c r="O4567" i="2"/>
  <c r="R4567" i="2"/>
  <c r="S4567" i="2" s="1"/>
  <c r="I4568" i="2"/>
  <c r="J4568" i="2"/>
  <c r="K4568" i="2"/>
  <c r="O4568" i="2"/>
  <c r="R4568" i="2"/>
  <c r="S4568" i="2" s="1"/>
  <c r="I4569" i="2"/>
  <c r="J4569" i="2"/>
  <c r="K4569" i="2"/>
  <c r="O4569" i="2"/>
  <c r="R4569" i="2"/>
  <c r="S4569" i="2" s="1"/>
  <c r="I4570" i="2"/>
  <c r="J4570" i="2"/>
  <c r="K4570" i="2"/>
  <c r="O4570" i="2"/>
  <c r="R4570" i="2"/>
  <c r="S4570" i="2" s="1"/>
  <c r="I4571" i="2"/>
  <c r="J4571" i="2"/>
  <c r="K4571" i="2"/>
  <c r="O4571" i="2"/>
  <c r="R4571" i="2"/>
  <c r="S4571" i="2" s="1"/>
  <c r="I4572" i="2"/>
  <c r="J4572" i="2"/>
  <c r="K4572" i="2"/>
  <c r="O4572" i="2"/>
  <c r="R4572" i="2"/>
  <c r="S4572" i="2" s="1"/>
  <c r="I4573" i="2"/>
  <c r="J4573" i="2"/>
  <c r="K4573" i="2"/>
  <c r="O4573" i="2"/>
  <c r="R4573" i="2"/>
  <c r="S4573" i="2" s="1"/>
  <c r="I4574" i="2"/>
  <c r="J4574" i="2"/>
  <c r="K4574" i="2"/>
  <c r="O4574" i="2"/>
  <c r="R4574" i="2"/>
  <c r="S4574" i="2" s="1"/>
  <c r="I4575" i="2"/>
  <c r="J4575" i="2"/>
  <c r="K4575" i="2"/>
  <c r="O4575" i="2"/>
  <c r="R4575" i="2"/>
  <c r="S4575" i="2" s="1"/>
  <c r="I4576" i="2"/>
  <c r="J4576" i="2"/>
  <c r="K4576" i="2"/>
  <c r="O4576" i="2"/>
  <c r="R4576" i="2"/>
  <c r="S4576" i="2" s="1"/>
  <c r="I4577" i="2"/>
  <c r="J4577" i="2"/>
  <c r="K4577" i="2"/>
  <c r="O4577" i="2"/>
  <c r="R4577" i="2"/>
  <c r="S4577" i="2" s="1"/>
  <c r="I4578" i="2"/>
  <c r="J4578" i="2"/>
  <c r="K4578" i="2"/>
  <c r="O4578" i="2"/>
  <c r="R4578" i="2"/>
  <c r="S4578" i="2" s="1"/>
  <c r="I4579" i="2"/>
  <c r="J4579" i="2"/>
  <c r="K4579" i="2"/>
  <c r="O4579" i="2"/>
  <c r="R4579" i="2"/>
  <c r="S4579" i="2" s="1"/>
  <c r="I4580" i="2"/>
  <c r="J4580" i="2"/>
  <c r="K4580" i="2"/>
  <c r="O4580" i="2"/>
  <c r="R4580" i="2"/>
  <c r="S4580" i="2" s="1"/>
  <c r="I4581" i="2"/>
  <c r="J4581" i="2"/>
  <c r="K4581" i="2"/>
  <c r="O4581" i="2"/>
  <c r="R4581" i="2"/>
  <c r="S4581" i="2" s="1"/>
  <c r="I4582" i="2"/>
  <c r="J4582" i="2"/>
  <c r="K4582" i="2"/>
  <c r="O4582" i="2"/>
  <c r="R4582" i="2"/>
  <c r="S4582" i="2" s="1"/>
  <c r="I4583" i="2"/>
  <c r="J4583" i="2"/>
  <c r="K4583" i="2"/>
  <c r="O4583" i="2"/>
  <c r="R4583" i="2"/>
  <c r="S4583" i="2" s="1"/>
  <c r="I4584" i="2"/>
  <c r="J4584" i="2"/>
  <c r="K4584" i="2"/>
  <c r="O4584" i="2"/>
  <c r="R4584" i="2"/>
  <c r="S4584" i="2" s="1"/>
  <c r="I4585" i="2"/>
  <c r="J4585" i="2"/>
  <c r="K4585" i="2"/>
  <c r="O4585" i="2"/>
  <c r="R4585" i="2"/>
  <c r="S4585" i="2" s="1"/>
  <c r="I4586" i="2"/>
  <c r="J4586" i="2"/>
  <c r="K4586" i="2"/>
  <c r="O4586" i="2"/>
  <c r="R4586" i="2"/>
  <c r="S4586" i="2" s="1"/>
  <c r="I4587" i="2"/>
  <c r="J4587" i="2"/>
  <c r="K4587" i="2"/>
  <c r="O4587" i="2"/>
  <c r="R4587" i="2"/>
  <c r="S4587" i="2" s="1"/>
  <c r="I4588" i="2"/>
  <c r="J4588" i="2"/>
  <c r="K4588" i="2"/>
  <c r="O4588" i="2"/>
  <c r="R4588" i="2"/>
  <c r="S4588" i="2" s="1"/>
  <c r="I4589" i="2"/>
  <c r="J4589" i="2"/>
  <c r="K4589" i="2"/>
  <c r="O4589" i="2"/>
  <c r="R4589" i="2"/>
  <c r="S4589" i="2" s="1"/>
  <c r="I4590" i="2"/>
  <c r="J4590" i="2"/>
  <c r="K4590" i="2"/>
  <c r="O4590" i="2"/>
  <c r="R4590" i="2"/>
  <c r="S4590" i="2" s="1"/>
  <c r="I4591" i="2"/>
  <c r="J4591" i="2"/>
  <c r="K4591" i="2"/>
  <c r="O4591" i="2"/>
  <c r="R4591" i="2"/>
  <c r="S4591" i="2" s="1"/>
  <c r="I4592" i="2"/>
  <c r="J4592" i="2"/>
  <c r="K4592" i="2"/>
  <c r="O4592" i="2"/>
  <c r="R4592" i="2"/>
  <c r="S4592" i="2" s="1"/>
  <c r="I4593" i="2"/>
  <c r="J4593" i="2"/>
  <c r="K4593" i="2"/>
  <c r="O4593" i="2"/>
  <c r="R4593" i="2"/>
  <c r="S4593" i="2" s="1"/>
  <c r="I4594" i="2"/>
  <c r="J4594" i="2"/>
  <c r="K4594" i="2"/>
  <c r="O4594" i="2"/>
  <c r="R4594" i="2"/>
  <c r="S4594" i="2" s="1"/>
  <c r="I4595" i="2"/>
  <c r="J4595" i="2"/>
  <c r="K4595" i="2"/>
  <c r="O4595" i="2"/>
  <c r="R4595" i="2"/>
  <c r="S4595" i="2" s="1"/>
  <c r="I4596" i="2"/>
  <c r="J4596" i="2"/>
  <c r="K4596" i="2"/>
  <c r="O4596" i="2"/>
  <c r="R4596" i="2"/>
  <c r="S4596" i="2" s="1"/>
  <c r="I4597" i="2"/>
  <c r="J4597" i="2"/>
  <c r="K4597" i="2"/>
  <c r="O4597" i="2"/>
  <c r="R4597" i="2"/>
  <c r="S4597" i="2" s="1"/>
  <c r="I4598" i="2"/>
  <c r="J4598" i="2"/>
  <c r="K4598" i="2"/>
  <c r="O4598" i="2"/>
  <c r="R4598" i="2"/>
  <c r="S4598" i="2" s="1"/>
  <c r="I4599" i="2"/>
  <c r="J4599" i="2"/>
  <c r="K4599" i="2"/>
  <c r="O4599" i="2"/>
  <c r="R4599" i="2"/>
  <c r="S4599" i="2" s="1"/>
  <c r="I4600" i="2"/>
  <c r="J4600" i="2"/>
  <c r="K4600" i="2"/>
  <c r="O4600" i="2"/>
  <c r="R4600" i="2"/>
  <c r="S4600" i="2" s="1"/>
  <c r="I4601" i="2"/>
  <c r="J4601" i="2"/>
  <c r="K4601" i="2"/>
  <c r="O4601" i="2"/>
  <c r="R4601" i="2"/>
  <c r="S4601" i="2" s="1"/>
  <c r="I4602" i="2"/>
  <c r="J4602" i="2"/>
  <c r="K4602" i="2"/>
  <c r="O4602" i="2"/>
  <c r="R4602" i="2"/>
  <c r="S4602" i="2" s="1"/>
  <c r="I4603" i="2"/>
  <c r="J4603" i="2"/>
  <c r="K4603" i="2"/>
  <c r="O4603" i="2"/>
  <c r="R4603" i="2"/>
  <c r="S4603" i="2" s="1"/>
  <c r="I4604" i="2"/>
  <c r="J4604" i="2"/>
  <c r="K4604" i="2"/>
  <c r="O4604" i="2"/>
  <c r="R4604" i="2"/>
  <c r="S4604" i="2" s="1"/>
  <c r="I4605" i="2"/>
  <c r="J4605" i="2"/>
  <c r="K4605" i="2"/>
  <c r="O4605" i="2"/>
  <c r="R4605" i="2"/>
  <c r="S4605" i="2" s="1"/>
  <c r="I4606" i="2"/>
  <c r="J4606" i="2"/>
  <c r="K4606" i="2"/>
  <c r="O4606" i="2"/>
  <c r="R4606" i="2"/>
  <c r="S4606" i="2" s="1"/>
  <c r="I4607" i="2"/>
  <c r="J4607" i="2"/>
  <c r="K4607" i="2"/>
  <c r="O4607" i="2"/>
  <c r="R4607" i="2"/>
  <c r="S4607" i="2" s="1"/>
  <c r="I4608" i="2"/>
  <c r="J4608" i="2"/>
  <c r="K4608" i="2"/>
  <c r="O4608" i="2"/>
  <c r="R4608" i="2"/>
  <c r="S4608" i="2" s="1"/>
  <c r="I4609" i="2"/>
  <c r="J4609" i="2"/>
  <c r="K4609" i="2"/>
  <c r="O4609" i="2"/>
  <c r="R4609" i="2"/>
  <c r="S4609" i="2" s="1"/>
  <c r="I4610" i="2"/>
  <c r="J4610" i="2"/>
  <c r="K4610" i="2"/>
  <c r="O4610" i="2"/>
  <c r="R4610" i="2"/>
  <c r="S4610" i="2" s="1"/>
  <c r="I4611" i="2"/>
  <c r="J4611" i="2"/>
  <c r="K4611" i="2"/>
  <c r="O4611" i="2"/>
  <c r="R4611" i="2"/>
  <c r="S4611" i="2" s="1"/>
  <c r="I4612" i="2"/>
  <c r="J4612" i="2"/>
  <c r="K4612" i="2"/>
  <c r="O4612" i="2"/>
  <c r="R4612" i="2"/>
  <c r="S4612" i="2" s="1"/>
  <c r="I4613" i="2"/>
  <c r="J4613" i="2"/>
  <c r="K4613" i="2"/>
  <c r="O4613" i="2"/>
  <c r="R4613" i="2"/>
  <c r="S4613" i="2" s="1"/>
  <c r="I4614" i="2"/>
  <c r="J4614" i="2"/>
  <c r="K4614" i="2"/>
  <c r="O4614" i="2"/>
  <c r="R4614" i="2"/>
  <c r="S4614" i="2" s="1"/>
  <c r="I4615" i="2"/>
  <c r="J4615" i="2"/>
  <c r="K4615" i="2"/>
  <c r="O4615" i="2"/>
  <c r="R4615" i="2"/>
  <c r="S4615" i="2" s="1"/>
  <c r="I4616" i="2"/>
  <c r="J4616" i="2"/>
  <c r="K4616" i="2"/>
  <c r="O4616" i="2"/>
  <c r="R4616" i="2"/>
  <c r="S4616" i="2" s="1"/>
  <c r="I4617" i="2"/>
  <c r="J4617" i="2"/>
  <c r="K4617" i="2"/>
  <c r="O4617" i="2"/>
  <c r="R4617" i="2"/>
  <c r="S4617" i="2" s="1"/>
  <c r="I4618" i="2"/>
  <c r="J4618" i="2"/>
  <c r="K4618" i="2"/>
  <c r="O4618" i="2"/>
  <c r="R4618" i="2"/>
  <c r="S4618" i="2" s="1"/>
  <c r="I4619" i="2"/>
  <c r="J4619" i="2"/>
  <c r="K4619" i="2"/>
  <c r="O4619" i="2"/>
  <c r="R4619" i="2"/>
  <c r="S4619" i="2" s="1"/>
  <c r="I4620" i="2"/>
  <c r="J4620" i="2"/>
  <c r="K4620" i="2"/>
  <c r="O4620" i="2"/>
  <c r="R4620" i="2"/>
  <c r="S4620" i="2" s="1"/>
  <c r="I4621" i="2"/>
  <c r="J4621" i="2"/>
  <c r="K4621" i="2"/>
  <c r="O4621" i="2"/>
  <c r="R4621" i="2"/>
  <c r="S4621" i="2" s="1"/>
  <c r="I4622" i="2"/>
  <c r="J4622" i="2"/>
  <c r="K4622" i="2"/>
  <c r="O4622" i="2"/>
  <c r="R4622" i="2"/>
  <c r="S4622" i="2" s="1"/>
  <c r="I4623" i="2"/>
  <c r="J4623" i="2"/>
  <c r="K4623" i="2"/>
  <c r="O4623" i="2"/>
  <c r="R4623" i="2"/>
  <c r="S4623" i="2" s="1"/>
  <c r="I4624" i="2"/>
  <c r="J4624" i="2"/>
  <c r="K4624" i="2"/>
  <c r="O4624" i="2"/>
  <c r="R4624" i="2"/>
  <c r="S4624" i="2" s="1"/>
  <c r="I4625" i="2"/>
  <c r="J4625" i="2"/>
  <c r="K4625" i="2"/>
  <c r="O4625" i="2"/>
  <c r="R4625" i="2"/>
  <c r="S4625" i="2" s="1"/>
  <c r="I4626" i="2"/>
  <c r="J4626" i="2"/>
  <c r="K4626" i="2"/>
  <c r="O4626" i="2"/>
  <c r="R4626" i="2"/>
  <c r="S4626" i="2" s="1"/>
  <c r="I4627" i="2"/>
  <c r="J4627" i="2"/>
  <c r="K4627" i="2"/>
  <c r="O4627" i="2"/>
  <c r="R4627" i="2"/>
  <c r="S4627" i="2" s="1"/>
  <c r="I4628" i="2"/>
  <c r="J4628" i="2"/>
  <c r="K4628" i="2"/>
  <c r="O4628" i="2"/>
  <c r="R4628" i="2"/>
  <c r="S4628" i="2" s="1"/>
  <c r="I4629" i="2"/>
  <c r="J4629" i="2"/>
  <c r="K4629" i="2"/>
  <c r="O4629" i="2"/>
  <c r="R4629" i="2"/>
  <c r="S4629" i="2" s="1"/>
  <c r="I4630" i="2"/>
  <c r="J4630" i="2"/>
  <c r="K4630" i="2"/>
  <c r="O4630" i="2"/>
  <c r="R4630" i="2"/>
  <c r="S4630" i="2" s="1"/>
  <c r="I4631" i="2"/>
  <c r="J4631" i="2"/>
  <c r="K4631" i="2"/>
  <c r="O4631" i="2"/>
  <c r="R4631" i="2"/>
  <c r="S4631" i="2" s="1"/>
  <c r="I4632" i="2"/>
  <c r="J4632" i="2"/>
  <c r="K4632" i="2"/>
  <c r="O4632" i="2"/>
  <c r="R4632" i="2"/>
  <c r="S4632" i="2" s="1"/>
  <c r="I4633" i="2"/>
  <c r="J4633" i="2"/>
  <c r="K4633" i="2"/>
  <c r="O4633" i="2"/>
  <c r="R4633" i="2"/>
  <c r="S4633" i="2" s="1"/>
  <c r="I4634" i="2"/>
  <c r="J4634" i="2"/>
  <c r="K4634" i="2"/>
  <c r="O4634" i="2"/>
  <c r="R4634" i="2"/>
  <c r="S4634" i="2" s="1"/>
  <c r="I4635" i="2"/>
  <c r="J4635" i="2"/>
  <c r="K4635" i="2"/>
  <c r="O4635" i="2"/>
  <c r="R4635" i="2"/>
  <c r="S4635" i="2" s="1"/>
  <c r="I4636" i="2"/>
  <c r="J4636" i="2"/>
  <c r="K4636" i="2"/>
  <c r="O4636" i="2"/>
  <c r="R4636" i="2"/>
  <c r="S4636" i="2" s="1"/>
  <c r="I4637" i="2"/>
  <c r="J4637" i="2"/>
  <c r="K4637" i="2"/>
  <c r="O4637" i="2"/>
  <c r="R4637" i="2"/>
  <c r="S4637" i="2" s="1"/>
  <c r="I4638" i="2"/>
  <c r="J4638" i="2"/>
  <c r="K4638" i="2"/>
  <c r="O4638" i="2"/>
  <c r="R4638" i="2"/>
  <c r="S4638" i="2" s="1"/>
  <c r="I4639" i="2"/>
  <c r="J4639" i="2"/>
  <c r="K4639" i="2"/>
  <c r="O4639" i="2"/>
  <c r="R4639" i="2"/>
  <c r="S4639" i="2" s="1"/>
  <c r="I4640" i="2"/>
  <c r="J4640" i="2"/>
  <c r="K4640" i="2"/>
  <c r="O4640" i="2"/>
  <c r="R4640" i="2"/>
  <c r="S4640" i="2" s="1"/>
  <c r="I4641" i="2"/>
  <c r="J4641" i="2"/>
  <c r="K4641" i="2"/>
  <c r="O4641" i="2"/>
  <c r="R4641" i="2"/>
  <c r="S4641" i="2" s="1"/>
  <c r="I4642" i="2"/>
  <c r="J4642" i="2"/>
  <c r="K4642" i="2"/>
  <c r="O4642" i="2"/>
  <c r="R4642" i="2"/>
  <c r="S4642" i="2" s="1"/>
  <c r="I4643" i="2"/>
  <c r="J4643" i="2"/>
  <c r="K4643" i="2"/>
  <c r="O4643" i="2"/>
  <c r="R4643" i="2"/>
  <c r="S4643" i="2" s="1"/>
  <c r="I4644" i="2"/>
  <c r="J4644" i="2"/>
  <c r="K4644" i="2"/>
  <c r="O4644" i="2"/>
  <c r="R4644" i="2"/>
  <c r="S4644" i="2" s="1"/>
  <c r="I4645" i="2"/>
  <c r="J4645" i="2"/>
  <c r="K4645" i="2"/>
  <c r="O4645" i="2"/>
  <c r="R4645" i="2"/>
  <c r="S4645" i="2" s="1"/>
  <c r="I4646" i="2"/>
  <c r="J4646" i="2"/>
  <c r="K4646" i="2"/>
  <c r="O4646" i="2"/>
  <c r="R4646" i="2"/>
  <c r="S4646" i="2" s="1"/>
  <c r="I4647" i="2"/>
  <c r="J4647" i="2"/>
  <c r="K4647" i="2"/>
  <c r="O4647" i="2"/>
  <c r="R4647" i="2"/>
  <c r="S4647" i="2" s="1"/>
  <c r="I4648" i="2"/>
  <c r="J4648" i="2"/>
  <c r="K4648" i="2"/>
  <c r="O4648" i="2"/>
  <c r="R4648" i="2"/>
  <c r="S4648" i="2" s="1"/>
  <c r="I4649" i="2"/>
  <c r="J4649" i="2"/>
  <c r="K4649" i="2"/>
  <c r="O4649" i="2"/>
  <c r="R4649" i="2"/>
  <c r="S4649" i="2" s="1"/>
  <c r="I4650" i="2"/>
  <c r="J4650" i="2"/>
  <c r="K4650" i="2"/>
  <c r="O4650" i="2"/>
  <c r="R4650" i="2"/>
  <c r="S4650" i="2" s="1"/>
  <c r="I4651" i="2"/>
  <c r="J4651" i="2"/>
  <c r="K4651" i="2"/>
  <c r="O4651" i="2"/>
  <c r="R4651" i="2"/>
  <c r="S4651" i="2" s="1"/>
  <c r="I4652" i="2"/>
  <c r="J4652" i="2"/>
  <c r="K4652" i="2"/>
  <c r="O4652" i="2"/>
  <c r="R4652" i="2"/>
  <c r="S4652" i="2" s="1"/>
  <c r="I4653" i="2"/>
  <c r="J4653" i="2"/>
  <c r="K4653" i="2"/>
  <c r="O4653" i="2"/>
  <c r="R4653" i="2"/>
  <c r="S4653" i="2" s="1"/>
  <c r="I4654" i="2"/>
  <c r="J4654" i="2"/>
  <c r="K4654" i="2"/>
  <c r="O4654" i="2"/>
  <c r="R4654" i="2"/>
  <c r="S4654" i="2" s="1"/>
  <c r="I4655" i="2"/>
  <c r="J4655" i="2"/>
  <c r="K4655" i="2"/>
  <c r="O4655" i="2"/>
  <c r="R4655" i="2"/>
  <c r="S4655" i="2" s="1"/>
  <c r="I4656" i="2"/>
  <c r="J4656" i="2"/>
  <c r="K4656" i="2"/>
  <c r="O4656" i="2"/>
  <c r="R4656" i="2"/>
  <c r="S4656" i="2" s="1"/>
  <c r="I4657" i="2"/>
  <c r="J4657" i="2"/>
  <c r="K4657" i="2"/>
  <c r="O4657" i="2"/>
  <c r="R4657" i="2"/>
  <c r="S4657" i="2" s="1"/>
  <c r="I4658" i="2"/>
  <c r="J4658" i="2"/>
  <c r="K4658" i="2"/>
  <c r="O4658" i="2"/>
  <c r="R4658" i="2"/>
  <c r="S4658" i="2" s="1"/>
  <c r="I4659" i="2"/>
  <c r="J4659" i="2"/>
  <c r="K4659" i="2"/>
  <c r="O4659" i="2"/>
  <c r="R4659" i="2"/>
  <c r="S4659" i="2" s="1"/>
  <c r="I4660" i="2"/>
  <c r="J4660" i="2"/>
  <c r="K4660" i="2"/>
  <c r="O4660" i="2"/>
  <c r="R4660" i="2"/>
  <c r="S4660" i="2" s="1"/>
  <c r="I4661" i="2"/>
  <c r="J4661" i="2"/>
  <c r="K4661" i="2"/>
  <c r="O4661" i="2"/>
  <c r="R4661" i="2"/>
  <c r="S4661" i="2" s="1"/>
  <c r="I4662" i="2"/>
  <c r="J4662" i="2"/>
  <c r="K4662" i="2"/>
  <c r="O4662" i="2"/>
  <c r="R4662" i="2"/>
  <c r="S4662" i="2" s="1"/>
  <c r="I4663" i="2"/>
  <c r="J4663" i="2"/>
  <c r="K4663" i="2"/>
  <c r="O4663" i="2"/>
  <c r="R4663" i="2"/>
  <c r="S4663" i="2" s="1"/>
  <c r="I4664" i="2"/>
  <c r="J4664" i="2"/>
  <c r="K4664" i="2"/>
  <c r="O4664" i="2"/>
  <c r="R4664" i="2"/>
  <c r="S4664" i="2" s="1"/>
  <c r="I4665" i="2"/>
  <c r="J4665" i="2"/>
  <c r="K4665" i="2"/>
  <c r="O4665" i="2"/>
  <c r="R4665" i="2"/>
  <c r="S4665" i="2" s="1"/>
  <c r="I4666" i="2"/>
  <c r="J4666" i="2"/>
  <c r="K4666" i="2"/>
  <c r="O4666" i="2"/>
  <c r="R4666" i="2"/>
  <c r="S4666" i="2" s="1"/>
  <c r="I4667" i="2"/>
  <c r="J4667" i="2"/>
  <c r="K4667" i="2"/>
  <c r="O4667" i="2"/>
  <c r="R4667" i="2"/>
  <c r="S4667" i="2" s="1"/>
  <c r="I4668" i="2"/>
  <c r="J4668" i="2"/>
  <c r="K4668" i="2"/>
  <c r="O4668" i="2"/>
  <c r="R4668" i="2"/>
  <c r="S4668" i="2" s="1"/>
  <c r="I4669" i="2"/>
  <c r="J4669" i="2"/>
  <c r="K4669" i="2"/>
  <c r="O4669" i="2"/>
  <c r="R4669" i="2"/>
  <c r="S4669" i="2" s="1"/>
  <c r="I4670" i="2"/>
  <c r="J4670" i="2"/>
  <c r="K4670" i="2"/>
  <c r="O4670" i="2"/>
  <c r="R4670" i="2"/>
  <c r="S4670" i="2" s="1"/>
  <c r="I4671" i="2"/>
  <c r="J4671" i="2"/>
  <c r="K4671" i="2"/>
  <c r="O4671" i="2"/>
  <c r="R4671" i="2"/>
  <c r="S4671" i="2" s="1"/>
  <c r="I4672" i="2"/>
  <c r="J4672" i="2"/>
  <c r="K4672" i="2"/>
  <c r="O4672" i="2"/>
  <c r="R4672" i="2"/>
  <c r="S4672" i="2" s="1"/>
  <c r="I4673" i="2"/>
  <c r="J4673" i="2"/>
  <c r="K4673" i="2"/>
  <c r="O4673" i="2"/>
  <c r="R4673" i="2"/>
  <c r="S4673" i="2" s="1"/>
  <c r="I4674" i="2"/>
  <c r="J4674" i="2"/>
  <c r="K4674" i="2"/>
  <c r="O4674" i="2"/>
  <c r="R4674" i="2"/>
  <c r="S4674" i="2" s="1"/>
  <c r="I4675" i="2"/>
  <c r="J4675" i="2"/>
  <c r="K4675" i="2"/>
  <c r="O4675" i="2"/>
  <c r="R4675" i="2"/>
  <c r="S4675" i="2" s="1"/>
  <c r="I4676" i="2"/>
  <c r="J4676" i="2"/>
  <c r="K4676" i="2"/>
  <c r="O4676" i="2"/>
  <c r="R4676" i="2"/>
  <c r="S4676" i="2" s="1"/>
  <c r="I4677" i="2"/>
  <c r="J4677" i="2"/>
  <c r="K4677" i="2"/>
  <c r="O4677" i="2"/>
  <c r="R4677" i="2"/>
  <c r="S4677" i="2" s="1"/>
  <c r="I4678" i="2"/>
  <c r="J4678" i="2"/>
  <c r="K4678" i="2"/>
  <c r="O4678" i="2"/>
  <c r="R4678" i="2"/>
  <c r="S4678" i="2" s="1"/>
  <c r="I4679" i="2"/>
  <c r="J4679" i="2"/>
  <c r="K4679" i="2"/>
  <c r="O4679" i="2"/>
  <c r="R4679" i="2"/>
  <c r="S4679" i="2" s="1"/>
  <c r="I4680" i="2"/>
  <c r="J4680" i="2"/>
  <c r="K4680" i="2"/>
  <c r="O4680" i="2"/>
  <c r="R4680" i="2"/>
  <c r="S4680" i="2" s="1"/>
  <c r="I4681" i="2"/>
  <c r="J4681" i="2"/>
  <c r="K4681" i="2"/>
  <c r="O4681" i="2"/>
  <c r="R4681" i="2"/>
  <c r="S4681" i="2" s="1"/>
  <c r="I4682" i="2"/>
  <c r="J4682" i="2"/>
  <c r="K4682" i="2"/>
  <c r="O4682" i="2"/>
  <c r="R4682" i="2"/>
  <c r="S4682" i="2" s="1"/>
  <c r="I4683" i="2"/>
  <c r="J4683" i="2"/>
  <c r="K4683" i="2"/>
  <c r="O4683" i="2"/>
  <c r="R4683" i="2"/>
  <c r="S4683" i="2" s="1"/>
  <c r="I4684" i="2"/>
  <c r="J4684" i="2"/>
  <c r="K4684" i="2"/>
  <c r="O4684" i="2"/>
  <c r="R4684" i="2"/>
  <c r="S4684" i="2" s="1"/>
  <c r="I4685" i="2"/>
  <c r="J4685" i="2"/>
  <c r="K4685" i="2"/>
  <c r="O4685" i="2"/>
  <c r="R4685" i="2"/>
  <c r="S4685" i="2" s="1"/>
  <c r="I4686" i="2"/>
  <c r="J4686" i="2"/>
  <c r="K4686" i="2"/>
  <c r="O4686" i="2"/>
  <c r="R4686" i="2"/>
  <c r="S4686" i="2" s="1"/>
  <c r="I4687" i="2"/>
  <c r="J4687" i="2"/>
  <c r="K4687" i="2"/>
  <c r="O4687" i="2"/>
  <c r="R4687" i="2"/>
  <c r="S4687" i="2" s="1"/>
  <c r="I4688" i="2"/>
  <c r="J4688" i="2"/>
  <c r="K4688" i="2"/>
  <c r="O4688" i="2"/>
  <c r="R4688" i="2"/>
  <c r="S4688" i="2" s="1"/>
  <c r="I4689" i="2"/>
  <c r="J4689" i="2"/>
  <c r="K4689" i="2"/>
  <c r="O4689" i="2"/>
  <c r="R4689" i="2"/>
  <c r="S4689" i="2" s="1"/>
  <c r="I4690" i="2"/>
  <c r="J4690" i="2"/>
  <c r="K4690" i="2"/>
  <c r="O4690" i="2"/>
  <c r="R4690" i="2"/>
  <c r="S4690" i="2" s="1"/>
  <c r="I4691" i="2"/>
  <c r="J4691" i="2"/>
  <c r="K4691" i="2"/>
  <c r="O4691" i="2"/>
  <c r="R4691" i="2"/>
  <c r="S4691" i="2" s="1"/>
  <c r="I4692" i="2"/>
  <c r="J4692" i="2"/>
  <c r="K4692" i="2"/>
  <c r="O4692" i="2"/>
  <c r="R4692" i="2"/>
  <c r="S4692" i="2" s="1"/>
  <c r="I4693" i="2"/>
  <c r="J4693" i="2"/>
  <c r="K4693" i="2"/>
  <c r="O4693" i="2"/>
  <c r="R4693" i="2"/>
  <c r="S4693" i="2" s="1"/>
  <c r="I4694" i="2"/>
  <c r="J4694" i="2"/>
  <c r="K4694" i="2"/>
  <c r="O4694" i="2"/>
  <c r="R4694" i="2"/>
  <c r="S4694" i="2" s="1"/>
  <c r="I4695" i="2"/>
  <c r="J4695" i="2"/>
  <c r="K4695" i="2"/>
  <c r="O4695" i="2"/>
  <c r="R4695" i="2"/>
  <c r="S4695" i="2" s="1"/>
  <c r="I4696" i="2"/>
  <c r="J4696" i="2"/>
  <c r="K4696" i="2"/>
  <c r="O4696" i="2"/>
  <c r="R4696" i="2"/>
  <c r="S4696" i="2" s="1"/>
  <c r="I4697" i="2"/>
  <c r="J4697" i="2"/>
  <c r="K4697" i="2"/>
  <c r="O4697" i="2"/>
  <c r="R4697" i="2"/>
  <c r="S4697" i="2" s="1"/>
  <c r="I4698" i="2"/>
  <c r="J4698" i="2"/>
  <c r="K4698" i="2"/>
  <c r="O4698" i="2"/>
  <c r="R4698" i="2"/>
  <c r="S4698" i="2" s="1"/>
  <c r="I4699" i="2"/>
  <c r="J4699" i="2"/>
  <c r="K4699" i="2"/>
  <c r="O4699" i="2"/>
  <c r="R4699" i="2"/>
  <c r="S4699" i="2" s="1"/>
  <c r="I4700" i="2"/>
  <c r="J4700" i="2"/>
  <c r="K4700" i="2"/>
  <c r="O4700" i="2"/>
  <c r="R4700" i="2"/>
  <c r="S4700" i="2" s="1"/>
  <c r="I4701" i="2"/>
  <c r="J4701" i="2"/>
  <c r="K4701" i="2"/>
  <c r="O4701" i="2"/>
  <c r="R4701" i="2"/>
  <c r="S4701" i="2" s="1"/>
  <c r="I4702" i="2"/>
  <c r="J4702" i="2"/>
  <c r="K4702" i="2"/>
  <c r="O4702" i="2"/>
  <c r="R4702" i="2"/>
  <c r="S4702" i="2" s="1"/>
  <c r="I4703" i="2"/>
  <c r="J4703" i="2"/>
  <c r="K4703" i="2"/>
  <c r="O4703" i="2"/>
  <c r="R4703" i="2"/>
  <c r="S4703" i="2" s="1"/>
  <c r="I4704" i="2"/>
  <c r="J4704" i="2"/>
  <c r="K4704" i="2"/>
  <c r="O4704" i="2"/>
  <c r="R4704" i="2"/>
  <c r="S4704" i="2" s="1"/>
  <c r="I4705" i="2"/>
  <c r="J4705" i="2"/>
  <c r="K4705" i="2"/>
  <c r="O4705" i="2"/>
  <c r="R4705" i="2"/>
  <c r="S4705" i="2" s="1"/>
  <c r="I4706" i="2"/>
  <c r="J4706" i="2"/>
  <c r="K4706" i="2"/>
  <c r="O4706" i="2"/>
  <c r="R4706" i="2"/>
  <c r="S4706" i="2" s="1"/>
  <c r="I4707" i="2"/>
  <c r="J4707" i="2"/>
  <c r="K4707" i="2"/>
  <c r="O4707" i="2"/>
  <c r="R4707" i="2"/>
  <c r="S4707" i="2" s="1"/>
  <c r="I4708" i="2"/>
  <c r="J4708" i="2"/>
  <c r="K4708" i="2"/>
  <c r="O4708" i="2"/>
  <c r="R4708" i="2"/>
  <c r="S4708" i="2" s="1"/>
  <c r="I4709" i="2"/>
  <c r="J4709" i="2"/>
  <c r="K4709" i="2"/>
  <c r="O4709" i="2"/>
  <c r="R4709" i="2"/>
  <c r="S4709" i="2" s="1"/>
  <c r="I4710" i="2"/>
  <c r="J4710" i="2"/>
  <c r="K4710" i="2"/>
  <c r="O4710" i="2"/>
  <c r="R4710" i="2"/>
  <c r="S4710" i="2" s="1"/>
  <c r="I4711" i="2"/>
  <c r="J4711" i="2"/>
  <c r="K4711" i="2"/>
  <c r="O4711" i="2"/>
  <c r="R4711" i="2"/>
  <c r="S4711" i="2" s="1"/>
  <c r="I4712" i="2"/>
  <c r="J4712" i="2"/>
  <c r="K4712" i="2"/>
  <c r="O4712" i="2"/>
  <c r="R4712" i="2"/>
  <c r="S4712" i="2" s="1"/>
  <c r="I4713" i="2"/>
  <c r="J4713" i="2"/>
  <c r="K4713" i="2"/>
  <c r="O4713" i="2"/>
  <c r="R4713" i="2"/>
  <c r="S4713" i="2" s="1"/>
  <c r="I4714" i="2"/>
  <c r="J4714" i="2"/>
  <c r="K4714" i="2"/>
  <c r="O4714" i="2"/>
  <c r="R4714" i="2"/>
  <c r="S4714" i="2" s="1"/>
  <c r="I4715" i="2"/>
  <c r="J4715" i="2"/>
  <c r="K4715" i="2"/>
  <c r="O4715" i="2"/>
  <c r="R4715" i="2"/>
  <c r="S4715" i="2" s="1"/>
  <c r="I4716" i="2"/>
  <c r="J4716" i="2"/>
  <c r="K4716" i="2"/>
  <c r="O4716" i="2"/>
  <c r="R4716" i="2"/>
  <c r="S4716" i="2" s="1"/>
  <c r="I4717" i="2"/>
  <c r="J4717" i="2"/>
  <c r="K4717" i="2"/>
  <c r="O4717" i="2"/>
  <c r="R4717" i="2"/>
  <c r="S4717" i="2" s="1"/>
  <c r="I4718" i="2"/>
  <c r="J4718" i="2"/>
  <c r="K4718" i="2"/>
  <c r="O4718" i="2"/>
  <c r="R4718" i="2"/>
  <c r="S4718" i="2" s="1"/>
  <c r="I4719" i="2"/>
  <c r="J4719" i="2"/>
  <c r="K4719" i="2"/>
  <c r="O4719" i="2"/>
  <c r="R4719" i="2"/>
  <c r="S4719" i="2" s="1"/>
  <c r="I4720" i="2"/>
  <c r="J4720" i="2"/>
  <c r="K4720" i="2"/>
  <c r="O4720" i="2"/>
  <c r="R4720" i="2"/>
  <c r="S4720" i="2" s="1"/>
  <c r="I4721" i="2"/>
  <c r="J4721" i="2"/>
  <c r="K4721" i="2"/>
  <c r="O4721" i="2"/>
  <c r="R4721" i="2"/>
  <c r="S4721" i="2" s="1"/>
  <c r="I4722" i="2"/>
  <c r="J4722" i="2"/>
  <c r="K4722" i="2"/>
  <c r="O4722" i="2"/>
  <c r="R4722" i="2"/>
  <c r="S4722" i="2" s="1"/>
  <c r="I4723" i="2"/>
  <c r="J4723" i="2"/>
  <c r="K4723" i="2"/>
  <c r="O4723" i="2"/>
  <c r="R4723" i="2"/>
  <c r="S4723" i="2" s="1"/>
  <c r="I4724" i="2"/>
  <c r="J4724" i="2"/>
  <c r="K4724" i="2"/>
  <c r="O4724" i="2"/>
  <c r="R4724" i="2"/>
  <c r="S4724" i="2" s="1"/>
  <c r="I4725" i="2"/>
  <c r="J4725" i="2"/>
  <c r="K4725" i="2"/>
  <c r="O4725" i="2"/>
  <c r="R4725" i="2"/>
  <c r="S4725" i="2" s="1"/>
  <c r="I4726" i="2"/>
  <c r="J4726" i="2"/>
  <c r="K4726" i="2"/>
  <c r="O4726" i="2"/>
  <c r="R4726" i="2"/>
  <c r="S4726" i="2" s="1"/>
  <c r="I4727" i="2"/>
  <c r="J4727" i="2"/>
  <c r="K4727" i="2"/>
  <c r="O4727" i="2"/>
  <c r="R4727" i="2"/>
  <c r="S4727" i="2" s="1"/>
  <c r="I4728" i="2"/>
  <c r="J4728" i="2"/>
  <c r="K4728" i="2"/>
  <c r="O4728" i="2"/>
  <c r="R4728" i="2"/>
  <c r="S4728" i="2" s="1"/>
  <c r="I4729" i="2"/>
  <c r="J4729" i="2"/>
  <c r="K4729" i="2"/>
  <c r="O4729" i="2"/>
  <c r="R4729" i="2"/>
  <c r="S4729" i="2" s="1"/>
  <c r="I4730" i="2"/>
  <c r="J4730" i="2"/>
  <c r="K4730" i="2"/>
  <c r="O4730" i="2"/>
  <c r="R4730" i="2"/>
  <c r="S4730" i="2" s="1"/>
  <c r="I4731" i="2"/>
  <c r="J4731" i="2"/>
  <c r="K4731" i="2"/>
  <c r="O4731" i="2"/>
  <c r="R4731" i="2"/>
  <c r="S4731" i="2" s="1"/>
  <c r="I4732" i="2"/>
  <c r="J4732" i="2"/>
  <c r="K4732" i="2"/>
  <c r="O4732" i="2"/>
  <c r="R4732" i="2"/>
  <c r="S4732" i="2" s="1"/>
  <c r="I4733" i="2"/>
  <c r="J4733" i="2"/>
  <c r="K4733" i="2"/>
  <c r="O4733" i="2"/>
  <c r="R4733" i="2"/>
  <c r="S4733" i="2" s="1"/>
  <c r="I4734" i="2"/>
  <c r="J4734" i="2"/>
  <c r="K4734" i="2"/>
  <c r="O4734" i="2"/>
  <c r="R4734" i="2"/>
  <c r="S4734" i="2" s="1"/>
  <c r="I4735" i="2"/>
  <c r="J4735" i="2"/>
  <c r="K4735" i="2"/>
  <c r="O4735" i="2"/>
  <c r="R4735" i="2"/>
  <c r="S4735" i="2" s="1"/>
  <c r="I4736" i="2"/>
  <c r="J4736" i="2"/>
  <c r="K4736" i="2"/>
  <c r="O4736" i="2"/>
  <c r="R4736" i="2"/>
  <c r="S4736" i="2" s="1"/>
  <c r="I4737" i="2"/>
  <c r="J4737" i="2"/>
  <c r="K4737" i="2"/>
  <c r="O4737" i="2"/>
  <c r="R4737" i="2"/>
  <c r="S4737" i="2" s="1"/>
  <c r="I4738" i="2"/>
  <c r="J4738" i="2"/>
  <c r="K4738" i="2"/>
  <c r="O4738" i="2"/>
  <c r="R4738" i="2"/>
  <c r="S4738" i="2" s="1"/>
  <c r="I4739" i="2"/>
  <c r="J4739" i="2"/>
  <c r="K4739" i="2"/>
  <c r="O4739" i="2"/>
  <c r="R4739" i="2"/>
  <c r="S4739" i="2" s="1"/>
  <c r="I4740" i="2"/>
  <c r="J4740" i="2"/>
  <c r="K4740" i="2"/>
  <c r="O4740" i="2"/>
  <c r="R4740" i="2"/>
  <c r="S4740" i="2" s="1"/>
  <c r="I4741" i="2"/>
  <c r="J4741" i="2"/>
  <c r="K4741" i="2"/>
  <c r="O4741" i="2"/>
  <c r="R4741" i="2"/>
  <c r="S4741" i="2" s="1"/>
  <c r="I4742" i="2"/>
  <c r="J4742" i="2"/>
  <c r="K4742" i="2"/>
  <c r="O4742" i="2"/>
  <c r="R4742" i="2"/>
  <c r="S4742" i="2" s="1"/>
  <c r="I4743" i="2"/>
  <c r="J4743" i="2"/>
  <c r="K4743" i="2"/>
  <c r="O4743" i="2"/>
  <c r="R4743" i="2"/>
  <c r="S4743" i="2" s="1"/>
  <c r="I4744" i="2"/>
  <c r="J4744" i="2"/>
  <c r="K4744" i="2"/>
  <c r="O4744" i="2"/>
  <c r="R4744" i="2"/>
  <c r="S4744" i="2" s="1"/>
  <c r="I4745" i="2"/>
  <c r="J4745" i="2"/>
  <c r="K4745" i="2"/>
  <c r="O4745" i="2"/>
  <c r="R4745" i="2"/>
  <c r="S4745" i="2" s="1"/>
  <c r="I4746" i="2"/>
  <c r="J4746" i="2"/>
  <c r="K4746" i="2"/>
  <c r="O4746" i="2"/>
  <c r="R4746" i="2"/>
  <c r="S4746" i="2" s="1"/>
  <c r="I4747" i="2"/>
  <c r="J4747" i="2"/>
  <c r="K4747" i="2"/>
  <c r="O4747" i="2"/>
  <c r="R4747" i="2"/>
  <c r="S4747" i="2" s="1"/>
  <c r="I4748" i="2"/>
  <c r="J4748" i="2"/>
  <c r="K4748" i="2"/>
  <c r="O4748" i="2"/>
  <c r="R4748" i="2"/>
  <c r="S4748" i="2" s="1"/>
  <c r="I4749" i="2"/>
  <c r="J4749" i="2"/>
  <c r="K4749" i="2"/>
  <c r="O4749" i="2"/>
  <c r="R4749" i="2"/>
  <c r="S4749" i="2" s="1"/>
  <c r="I4750" i="2"/>
  <c r="J4750" i="2"/>
  <c r="K4750" i="2"/>
  <c r="O4750" i="2"/>
  <c r="R4750" i="2"/>
  <c r="S4750" i="2" s="1"/>
  <c r="I4751" i="2"/>
  <c r="J4751" i="2"/>
  <c r="K4751" i="2"/>
  <c r="O4751" i="2"/>
  <c r="R4751" i="2"/>
  <c r="S4751" i="2" s="1"/>
  <c r="I4752" i="2"/>
  <c r="J4752" i="2"/>
  <c r="K4752" i="2"/>
  <c r="O4752" i="2"/>
  <c r="R4752" i="2"/>
  <c r="S4752" i="2" s="1"/>
  <c r="I4753" i="2"/>
  <c r="J4753" i="2"/>
  <c r="K4753" i="2"/>
  <c r="O4753" i="2"/>
  <c r="R4753" i="2"/>
  <c r="S4753" i="2" s="1"/>
  <c r="I4754" i="2"/>
  <c r="J4754" i="2"/>
  <c r="K4754" i="2"/>
  <c r="O4754" i="2"/>
  <c r="R4754" i="2"/>
  <c r="S4754" i="2" s="1"/>
  <c r="I4755" i="2"/>
  <c r="J4755" i="2"/>
  <c r="K4755" i="2"/>
  <c r="O4755" i="2"/>
  <c r="R4755" i="2"/>
  <c r="S4755" i="2" s="1"/>
  <c r="I4756" i="2"/>
  <c r="J4756" i="2"/>
  <c r="K4756" i="2"/>
  <c r="O4756" i="2"/>
  <c r="R4756" i="2"/>
  <c r="S4756" i="2" s="1"/>
  <c r="I4757" i="2"/>
  <c r="J4757" i="2"/>
  <c r="K4757" i="2"/>
  <c r="O4757" i="2"/>
  <c r="R4757" i="2"/>
  <c r="S4757" i="2" s="1"/>
  <c r="I4758" i="2"/>
  <c r="J4758" i="2"/>
  <c r="K4758" i="2"/>
  <c r="O4758" i="2"/>
  <c r="R4758" i="2"/>
  <c r="S4758" i="2" s="1"/>
  <c r="I4759" i="2"/>
  <c r="J4759" i="2"/>
  <c r="K4759" i="2"/>
  <c r="O4759" i="2"/>
  <c r="R4759" i="2"/>
  <c r="S4759" i="2" s="1"/>
  <c r="I4760" i="2"/>
  <c r="J4760" i="2"/>
  <c r="K4760" i="2"/>
  <c r="O4760" i="2"/>
  <c r="R4760" i="2"/>
  <c r="S4760" i="2" s="1"/>
  <c r="I4761" i="2"/>
  <c r="J4761" i="2"/>
  <c r="K4761" i="2"/>
  <c r="O4761" i="2"/>
  <c r="R4761" i="2"/>
  <c r="S4761" i="2" s="1"/>
  <c r="I4762" i="2"/>
  <c r="J4762" i="2"/>
  <c r="K4762" i="2"/>
  <c r="O4762" i="2"/>
  <c r="R4762" i="2"/>
  <c r="S4762" i="2" s="1"/>
  <c r="I4763" i="2"/>
  <c r="J4763" i="2"/>
  <c r="K4763" i="2"/>
  <c r="O4763" i="2"/>
  <c r="R4763" i="2"/>
  <c r="S4763" i="2" s="1"/>
  <c r="I4764" i="2"/>
  <c r="J4764" i="2"/>
  <c r="K4764" i="2"/>
  <c r="O4764" i="2"/>
  <c r="R4764" i="2"/>
  <c r="S4764" i="2" s="1"/>
  <c r="I4765" i="2"/>
  <c r="J4765" i="2"/>
  <c r="K4765" i="2"/>
  <c r="O4765" i="2"/>
  <c r="R4765" i="2"/>
  <c r="S4765" i="2" s="1"/>
  <c r="I4766" i="2"/>
  <c r="J4766" i="2"/>
  <c r="K4766" i="2"/>
  <c r="O4766" i="2"/>
  <c r="R4766" i="2"/>
  <c r="S4766" i="2" s="1"/>
  <c r="I4767" i="2"/>
  <c r="J4767" i="2"/>
  <c r="K4767" i="2"/>
  <c r="O4767" i="2"/>
  <c r="R4767" i="2"/>
  <c r="S4767" i="2" s="1"/>
  <c r="I4768" i="2"/>
  <c r="J4768" i="2"/>
  <c r="K4768" i="2"/>
  <c r="O4768" i="2"/>
  <c r="R4768" i="2"/>
  <c r="S4768" i="2" s="1"/>
  <c r="I4769" i="2"/>
  <c r="J4769" i="2"/>
  <c r="K4769" i="2"/>
  <c r="O4769" i="2"/>
  <c r="R4769" i="2"/>
  <c r="S4769" i="2" s="1"/>
  <c r="I4770" i="2"/>
  <c r="J4770" i="2"/>
  <c r="K4770" i="2"/>
  <c r="O4770" i="2"/>
  <c r="R4770" i="2"/>
  <c r="S4770" i="2" s="1"/>
  <c r="I4771" i="2"/>
  <c r="J4771" i="2"/>
  <c r="K4771" i="2"/>
  <c r="O4771" i="2"/>
  <c r="R4771" i="2"/>
  <c r="S4771" i="2" s="1"/>
  <c r="I4772" i="2"/>
  <c r="J4772" i="2"/>
  <c r="K4772" i="2"/>
  <c r="O4772" i="2"/>
  <c r="R4772" i="2"/>
  <c r="S4772" i="2" s="1"/>
  <c r="I4773" i="2"/>
  <c r="J4773" i="2"/>
  <c r="K4773" i="2"/>
  <c r="O4773" i="2"/>
  <c r="R4773" i="2"/>
  <c r="S4773" i="2" s="1"/>
  <c r="I4774" i="2"/>
  <c r="J4774" i="2"/>
  <c r="K4774" i="2"/>
  <c r="O4774" i="2"/>
  <c r="R4774" i="2"/>
  <c r="S4774" i="2" s="1"/>
  <c r="I4775" i="2"/>
  <c r="J4775" i="2"/>
  <c r="K4775" i="2"/>
  <c r="O4775" i="2"/>
  <c r="R4775" i="2"/>
  <c r="S4775" i="2" s="1"/>
  <c r="I4776" i="2"/>
  <c r="J4776" i="2"/>
  <c r="K4776" i="2"/>
  <c r="O4776" i="2"/>
  <c r="R4776" i="2"/>
  <c r="S4776" i="2" s="1"/>
  <c r="I4777" i="2"/>
  <c r="J4777" i="2"/>
  <c r="K4777" i="2"/>
  <c r="O4777" i="2"/>
  <c r="R4777" i="2"/>
  <c r="S4777" i="2" s="1"/>
  <c r="I4778" i="2"/>
  <c r="J4778" i="2"/>
  <c r="K4778" i="2"/>
  <c r="O4778" i="2"/>
  <c r="R4778" i="2"/>
  <c r="S4778" i="2" s="1"/>
  <c r="I4779" i="2"/>
  <c r="J4779" i="2"/>
  <c r="K4779" i="2"/>
  <c r="O4779" i="2"/>
  <c r="R4779" i="2"/>
  <c r="S4779" i="2" s="1"/>
  <c r="I4780" i="2"/>
  <c r="J4780" i="2"/>
  <c r="K4780" i="2"/>
  <c r="O4780" i="2"/>
  <c r="R4780" i="2"/>
  <c r="S4780" i="2" s="1"/>
  <c r="I4781" i="2"/>
  <c r="J4781" i="2"/>
  <c r="K4781" i="2"/>
  <c r="O4781" i="2"/>
  <c r="R4781" i="2"/>
  <c r="S4781" i="2" s="1"/>
  <c r="I4782" i="2"/>
  <c r="J4782" i="2"/>
  <c r="K4782" i="2"/>
  <c r="O4782" i="2"/>
  <c r="R4782" i="2"/>
  <c r="S4782" i="2" s="1"/>
  <c r="I4783" i="2"/>
  <c r="J4783" i="2"/>
  <c r="K4783" i="2"/>
  <c r="O4783" i="2"/>
  <c r="R4783" i="2"/>
  <c r="S4783" i="2" s="1"/>
  <c r="I4784" i="2"/>
  <c r="J4784" i="2"/>
  <c r="K4784" i="2"/>
  <c r="O4784" i="2"/>
  <c r="R4784" i="2"/>
  <c r="S4784" i="2" s="1"/>
  <c r="I4785" i="2"/>
  <c r="J4785" i="2"/>
  <c r="K4785" i="2"/>
  <c r="O4785" i="2"/>
  <c r="R4785" i="2"/>
  <c r="S4785" i="2" s="1"/>
  <c r="I4786" i="2"/>
  <c r="J4786" i="2"/>
  <c r="K4786" i="2"/>
  <c r="O4786" i="2"/>
  <c r="R4786" i="2"/>
  <c r="S4786" i="2" s="1"/>
  <c r="I4787" i="2"/>
  <c r="J4787" i="2"/>
  <c r="K4787" i="2"/>
  <c r="O4787" i="2"/>
  <c r="R4787" i="2"/>
  <c r="S4787" i="2" s="1"/>
  <c r="I4788" i="2"/>
  <c r="J4788" i="2"/>
  <c r="K4788" i="2"/>
  <c r="O4788" i="2"/>
  <c r="R4788" i="2"/>
  <c r="S4788" i="2" s="1"/>
  <c r="I4789" i="2"/>
  <c r="J4789" i="2"/>
  <c r="K4789" i="2"/>
  <c r="O4789" i="2"/>
  <c r="R4789" i="2"/>
  <c r="S4789" i="2" s="1"/>
  <c r="I4790" i="2"/>
  <c r="J4790" i="2"/>
  <c r="K4790" i="2"/>
  <c r="O4790" i="2"/>
  <c r="R4790" i="2"/>
  <c r="S4790" i="2" s="1"/>
  <c r="I4791" i="2"/>
  <c r="J4791" i="2"/>
  <c r="K4791" i="2"/>
  <c r="O4791" i="2"/>
  <c r="R4791" i="2"/>
  <c r="S4791" i="2" s="1"/>
  <c r="I4792" i="2"/>
  <c r="J4792" i="2"/>
  <c r="K4792" i="2"/>
  <c r="O4792" i="2"/>
  <c r="R4792" i="2"/>
  <c r="S4792" i="2" s="1"/>
  <c r="I4793" i="2"/>
  <c r="J4793" i="2"/>
  <c r="K4793" i="2"/>
  <c r="O4793" i="2"/>
  <c r="R4793" i="2"/>
  <c r="S4793" i="2" s="1"/>
  <c r="I4794" i="2"/>
  <c r="J4794" i="2"/>
  <c r="K4794" i="2"/>
  <c r="O4794" i="2"/>
  <c r="R4794" i="2"/>
  <c r="S4794" i="2" s="1"/>
  <c r="I4795" i="2"/>
  <c r="J4795" i="2"/>
  <c r="K4795" i="2"/>
  <c r="O4795" i="2"/>
  <c r="R4795" i="2"/>
  <c r="S4795" i="2" s="1"/>
  <c r="I4796" i="2"/>
  <c r="J4796" i="2"/>
  <c r="K4796" i="2"/>
  <c r="O4796" i="2"/>
  <c r="R4796" i="2"/>
  <c r="S4796" i="2" s="1"/>
  <c r="I4797" i="2"/>
  <c r="J4797" i="2"/>
  <c r="K4797" i="2"/>
  <c r="O4797" i="2"/>
  <c r="R4797" i="2"/>
  <c r="S4797" i="2" s="1"/>
  <c r="I4798" i="2"/>
  <c r="J4798" i="2"/>
  <c r="K4798" i="2"/>
  <c r="O4798" i="2"/>
  <c r="R4798" i="2"/>
  <c r="S4798" i="2" s="1"/>
  <c r="I4799" i="2"/>
  <c r="J4799" i="2"/>
  <c r="K4799" i="2"/>
  <c r="O4799" i="2"/>
  <c r="R4799" i="2"/>
  <c r="S4799" i="2" s="1"/>
  <c r="I4800" i="2"/>
  <c r="J4800" i="2"/>
  <c r="K4800" i="2"/>
  <c r="O4800" i="2"/>
  <c r="R4800" i="2"/>
  <c r="S4800" i="2" s="1"/>
  <c r="I4801" i="2"/>
  <c r="J4801" i="2"/>
  <c r="K4801" i="2"/>
  <c r="O4801" i="2"/>
  <c r="R4801" i="2"/>
  <c r="S4801" i="2" s="1"/>
  <c r="I4802" i="2"/>
  <c r="J4802" i="2"/>
  <c r="K4802" i="2"/>
  <c r="O4802" i="2"/>
  <c r="R4802" i="2"/>
  <c r="S4802" i="2" s="1"/>
  <c r="I4803" i="2"/>
  <c r="J4803" i="2"/>
  <c r="K4803" i="2"/>
  <c r="O4803" i="2"/>
  <c r="R4803" i="2"/>
  <c r="S4803" i="2" s="1"/>
  <c r="I4804" i="2"/>
  <c r="J4804" i="2"/>
  <c r="K4804" i="2"/>
  <c r="O4804" i="2"/>
  <c r="R4804" i="2"/>
  <c r="S4804" i="2" s="1"/>
  <c r="I4805" i="2"/>
  <c r="J4805" i="2"/>
  <c r="K4805" i="2"/>
  <c r="O4805" i="2"/>
  <c r="R4805" i="2"/>
  <c r="S4805" i="2" s="1"/>
  <c r="I4806" i="2"/>
  <c r="J4806" i="2"/>
  <c r="K4806" i="2"/>
  <c r="O4806" i="2"/>
  <c r="R4806" i="2"/>
  <c r="S4806" i="2" s="1"/>
  <c r="I4807" i="2"/>
  <c r="J4807" i="2"/>
  <c r="K4807" i="2"/>
  <c r="O4807" i="2"/>
  <c r="R4807" i="2"/>
  <c r="S4807" i="2" s="1"/>
  <c r="I4808" i="2"/>
  <c r="J4808" i="2"/>
  <c r="K4808" i="2"/>
  <c r="O4808" i="2"/>
  <c r="R4808" i="2"/>
  <c r="S4808" i="2" s="1"/>
  <c r="I4809" i="2"/>
  <c r="J4809" i="2"/>
  <c r="K4809" i="2"/>
  <c r="O4809" i="2"/>
  <c r="R4809" i="2"/>
  <c r="S4809" i="2" s="1"/>
  <c r="I4810" i="2"/>
  <c r="J4810" i="2"/>
  <c r="K4810" i="2"/>
  <c r="O4810" i="2"/>
  <c r="R4810" i="2"/>
  <c r="S4810" i="2" s="1"/>
  <c r="I4811" i="2"/>
  <c r="J4811" i="2"/>
  <c r="K4811" i="2"/>
  <c r="O4811" i="2"/>
  <c r="R4811" i="2"/>
  <c r="S4811" i="2" s="1"/>
  <c r="I4812" i="2"/>
  <c r="J4812" i="2"/>
  <c r="K4812" i="2"/>
  <c r="O4812" i="2"/>
  <c r="R4812" i="2"/>
  <c r="S4812" i="2" s="1"/>
  <c r="I4813" i="2"/>
  <c r="J4813" i="2"/>
  <c r="K4813" i="2"/>
  <c r="O4813" i="2"/>
  <c r="R4813" i="2"/>
  <c r="S4813" i="2" s="1"/>
  <c r="I4814" i="2"/>
  <c r="J4814" i="2"/>
  <c r="K4814" i="2"/>
  <c r="O4814" i="2"/>
  <c r="R4814" i="2"/>
  <c r="S4814" i="2" s="1"/>
  <c r="I4815" i="2"/>
  <c r="J4815" i="2"/>
  <c r="K4815" i="2"/>
  <c r="O4815" i="2"/>
  <c r="R4815" i="2"/>
  <c r="S4815" i="2" s="1"/>
  <c r="I4816" i="2"/>
  <c r="J4816" i="2"/>
  <c r="K4816" i="2"/>
  <c r="O4816" i="2"/>
  <c r="R4816" i="2"/>
  <c r="S4816" i="2" s="1"/>
  <c r="I4817" i="2"/>
  <c r="J4817" i="2"/>
  <c r="K4817" i="2"/>
  <c r="O4817" i="2"/>
  <c r="R4817" i="2"/>
  <c r="S4817" i="2" s="1"/>
  <c r="I4818" i="2"/>
  <c r="J4818" i="2"/>
  <c r="K4818" i="2"/>
  <c r="O4818" i="2"/>
  <c r="R4818" i="2"/>
  <c r="S4818" i="2" s="1"/>
  <c r="I4819" i="2"/>
  <c r="J4819" i="2"/>
  <c r="K4819" i="2"/>
  <c r="O4819" i="2"/>
  <c r="R4819" i="2"/>
  <c r="S4819" i="2" s="1"/>
  <c r="I4820" i="2"/>
  <c r="J4820" i="2"/>
  <c r="K4820" i="2"/>
  <c r="O4820" i="2"/>
  <c r="R4820" i="2"/>
  <c r="S4820" i="2" s="1"/>
  <c r="I4821" i="2"/>
  <c r="J4821" i="2"/>
  <c r="K4821" i="2"/>
  <c r="O4821" i="2"/>
  <c r="R4821" i="2"/>
  <c r="S4821" i="2" s="1"/>
  <c r="I4822" i="2"/>
  <c r="J4822" i="2"/>
  <c r="K4822" i="2"/>
  <c r="O4822" i="2"/>
  <c r="R4822" i="2"/>
  <c r="S4822" i="2" s="1"/>
  <c r="I4823" i="2"/>
  <c r="J4823" i="2"/>
  <c r="K4823" i="2"/>
  <c r="O4823" i="2"/>
  <c r="R4823" i="2"/>
  <c r="S4823" i="2" s="1"/>
  <c r="I4824" i="2"/>
  <c r="J4824" i="2"/>
  <c r="K4824" i="2"/>
  <c r="O4824" i="2"/>
  <c r="R4824" i="2"/>
  <c r="S4824" i="2" s="1"/>
  <c r="I4825" i="2"/>
  <c r="J4825" i="2"/>
  <c r="K4825" i="2"/>
  <c r="O4825" i="2"/>
  <c r="R4825" i="2"/>
  <c r="S4825" i="2" s="1"/>
  <c r="I4826" i="2"/>
  <c r="J4826" i="2"/>
  <c r="K4826" i="2"/>
  <c r="O4826" i="2"/>
  <c r="R4826" i="2"/>
  <c r="S4826" i="2" s="1"/>
  <c r="I4827" i="2"/>
  <c r="J4827" i="2"/>
  <c r="K4827" i="2"/>
  <c r="O4827" i="2"/>
  <c r="R4827" i="2"/>
  <c r="S4827" i="2" s="1"/>
  <c r="I4828" i="2"/>
  <c r="J4828" i="2"/>
  <c r="K4828" i="2"/>
  <c r="O4828" i="2"/>
  <c r="R4828" i="2"/>
  <c r="S4828" i="2" s="1"/>
  <c r="I4829" i="2"/>
  <c r="J4829" i="2"/>
  <c r="K4829" i="2"/>
  <c r="O4829" i="2"/>
  <c r="R4829" i="2"/>
  <c r="S4829" i="2" s="1"/>
  <c r="I4830" i="2"/>
  <c r="J4830" i="2"/>
  <c r="K4830" i="2"/>
  <c r="O4830" i="2"/>
  <c r="R4830" i="2"/>
  <c r="S4830" i="2" s="1"/>
  <c r="I4831" i="2"/>
  <c r="J4831" i="2"/>
  <c r="K4831" i="2"/>
  <c r="O4831" i="2"/>
  <c r="R4831" i="2"/>
  <c r="S4831" i="2" s="1"/>
  <c r="I4832" i="2"/>
  <c r="J4832" i="2"/>
  <c r="K4832" i="2"/>
  <c r="O4832" i="2"/>
  <c r="R4832" i="2"/>
  <c r="S4832" i="2" s="1"/>
  <c r="I4833" i="2"/>
  <c r="J4833" i="2"/>
  <c r="K4833" i="2"/>
  <c r="O4833" i="2"/>
  <c r="R4833" i="2"/>
  <c r="S4833" i="2" s="1"/>
  <c r="I4834" i="2"/>
  <c r="J4834" i="2"/>
  <c r="K4834" i="2"/>
  <c r="O4834" i="2"/>
  <c r="R4834" i="2"/>
  <c r="S4834" i="2" s="1"/>
  <c r="I4835" i="2"/>
  <c r="J4835" i="2"/>
  <c r="K4835" i="2"/>
  <c r="O4835" i="2"/>
  <c r="R4835" i="2"/>
  <c r="S4835" i="2" s="1"/>
  <c r="I4836" i="2"/>
  <c r="J4836" i="2"/>
  <c r="K4836" i="2"/>
  <c r="O4836" i="2"/>
  <c r="R4836" i="2"/>
  <c r="S4836" i="2" s="1"/>
  <c r="I4837" i="2"/>
  <c r="J4837" i="2"/>
  <c r="K4837" i="2"/>
  <c r="O4837" i="2"/>
  <c r="R4837" i="2"/>
  <c r="S4837" i="2" s="1"/>
  <c r="I4838" i="2"/>
  <c r="J4838" i="2"/>
  <c r="K4838" i="2"/>
  <c r="O4838" i="2"/>
  <c r="R4838" i="2"/>
  <c r="S4838" i="2" s="1"/>
  <c r="I4839" i="2"/>
  <c r="J4839" i="2"/>
  <c r="K4839" i="2"/>
  <c r="O4839" i="2"/>
  <c r="R4839" i="2"/>
  <c r="S4839" i="2" s="1"/>
  <c r="I4840" i="2"/>
  <c r="J4840" i="2"/>
  <c r="K4840" i="2"/>
  <c r="O4840" i="2"/>
  <c r="R4840" i="2"/>
  <c r="S4840" i="2" s="1"/>
  <c r="I4841" i="2"/>
  <c r="J4841" i="2"/>
  <c r="K4841" i="2"/>
  <c r="O4841" i="2"/>
  <c r="R4841" i="2"/>
  <c r="S4841" i="2" s="1"/>
  <c r="I4842" i="2"/>
  <c r="J4842" i="2"/>
  <c r="K4842" i="2"/>
  <c r="O4842" i="2"/>
  <c r="R4842" i="2"/>
  <c r="S4842" i="2" s="1"/>
  <c r="I4843" i="2"/>
  <c r="J4843" i="2"/>
  <c r="K4843" i="2"/>
  <c r="O4843" i="2"/>
  <c r="R4843" i="2"/>
  <c r="S4843" i="2" s="1"/>
  <c r="I4844" i="2"/>
  <c r="J4844" i="2"/>
  <c r="K4844" i="2"/>
  <c r="O4844" i="2"/>
  <c r="R4844" i="2"/>
  <c r="S4844" i="2" s="1"/>
  <c r="I4845" i="2"/>
  <c r="J4845" i="2"/>
  <c r="K4845" i="2"/>
  <c r="O4845" i="2"/>
  <c r="R4845" i="2"/>
  <c r="S4845" i="2" s="1"/>
  <c r="I4846" i="2"/>
  <c r="J4846" i="2"/>
  <c r="K4846" i="2"/>
  <c r="O4846" i="2"/>
  <c r="R4846" i="2"/>
  <c r="S4846" i="2" s="1"/>
  <c r="I4847" i="2"/>
  <c r="J4847" i="2"/>
  <c r="K4847" i="2"/>
  <c r="O4847" i="2"/>
  <c r="R4847" i="2"/>
  <c r="S4847" i="2" s="1"/>
  <c r="I4848" i="2"/>
  <c r="J4848" i="2"/>
  <c r="K4848" i="2"/>
  <c r="O4848" i="2"/>
  <c r="R4848" i="2"/>
  <c r="S4848" i="2" s="1"/>
  <c r="I4849" i="2"/>
  <c r="J4849" i="2"/>
  <c r="K4849" i="2"/>
  <c r="O4849" i="2"/>
  <c r="R4849" i="2"/>
  <c r="S4849" i="2" s="1"/>
  <c r="I4850" i="2"/>
  <c r="J4850" i="2"/>
  <c r="K4850" i="2"/>
  <c r="O4850" i="2"/>
  <c r="R4850" i="2"/>
  <c r="S4850" i="2" s="1"/>
  <c r="I4851" i="2"/>
  <c r="J4851" i="2"/>
  <c r="K4851" i="2"/>
  <c r="O4851" i="2"/>
  <c r="R4851" i="2"/>
  <c r="S4851" i="2" s="1"/>
  <c r="I4852" i="2"/>
  <c r="J4852" i="2"/>
  <c r="K4852" i="2"/>
  <c r="O4852" i="2"/>
  <c r="R4852" i="2"/>
  <c r="S4852" i="2" s="1"/>
  <c r="I4853" i="2"/>
  <c r="J4853" i="2"/>
  <c r="K4853" i="2"/>
  <c r="O4853" i="2"/>
  <c r="R4853" i="2"/>
  <c r="S4853" i="2" s="1"/>
  <c r="I4854" i="2"/>
  <c r="J4854" i="2"/>
  <c r="K4854" i="2"/>
  <c r="O4854" i="2"/>
  <c r="R4854" i="2"/>
  <c r="S4854" i="2" s="1"/>
  <c r="I4855" i="2"/>
  <c r="J4855" i="2"/>
  <c r="K4855" i="2"/>
  <c r="O4855" i="2"/>
  <c r="R4855" i="2"/>
  <c r="S4855" i="2" s="1"/>
  <c r="I4856" i="2"/>
  <c r="J4856" i="2"/>
  <c r="K4856" i="2"/>
  <c r="O4856" i="2"/>
  <c r="R4856" i="2"/>
  <c r="S4856" i="2" s="1"/>
  <c r="I4857" i="2"/>
  <c r="J4857" i="2"/>
  <c r="K4857" i="2"/>
  <c r="O4857" i="2"/>
  <c r="R4857" i="2"/>
  <c r="S4857" i="2" s="1"/>
  <c r="I4858" i="2"/>
  <c r="J4858" i="2"/>
  <c r="K4858" i="2"/>
  <c r="O4858" i="2"/>
  <c r="R4858" i="2"/>
  <c r="S4858" i="2" s="1"/>
  <c r="I4859" i="2"/>
  <c r="J4859" i="2"/>
  <c r="K4859" i="2"/>
  <c r="O4859" i="2"/>
  <c r="R4859" i="2"/>
  <c r="S4859" i="2" s="1"/>
  <c r="I4860" i="2"/>
  <c r="J4860" i="2"/>
  <c r="K4860" i="2"/>
  <c r="O4860" i="2"/>
  <c r="R4860" i="2"/>
  <c r="S4860" i="2" s="1"/>
  <c r="I4861" i="2"/>
  <c r="J4861" i="2"/>
  <c r="K4861" i="2"/>
  <c r="O4861" i="2"/>
  <c r="R4861" i="2"/>
  <c r="S4861" i="2" s="1"/>
  <c r="I4862" i="2"/>
  <c r="J4862" i="2"/>
  <c r="K4862" i="2"/>
  <c r="O4862" i="2"/>
  <c r="R4862" i="2"/>
  <c r="S4862" i="2" s="1"/>
  <c r="I4863" i="2"/>
  <c r="J4863" i="2"/>
  <c r="K4863" i="2"/>
  <c r="O4863" i="2"/>
  <c r="R4863" i="2"/>
  <c r="S4863" i="2" s="1"/>
  <c r="I4864" i="2"/>
  <c r="J4864" i="2"/>
  <c r="K4864" i="2"/>
  <c r="O4864" i="2"/>
  <c r="R4864" i="2"/>
  <c r="S4864" i="2" s="1"/>
  <c r="I4865" i="2"/>
  <c r="J4865" i="2"/>
  <c r="K4865" i="2"/>
  <c r="O4865" i="2"/>
  <c r="R4865" i="2"/>
  <c r="S4865" i="2" s="1"/>
  <c r="I4866" i="2"/>
  <c r="J4866" i="2"/>
  <c r="K4866" i="2"/>
  <c r="O4866" i="2"/>
  <c r="R4866" i="2"/>
  <c r="S4866" i="2" s="1"/>
  <c r="I4867" i="2"/>
  <c r="J4867" i="2"/>
  <c r="K4867" i="2"/>
  <c r="O4867" i="2"/>
  <c r="R4867" i="2"/>
  <c r="S4867" i="2" s="1"/>
  <c r="I4868" i="2"/>
  <c r="J4868" i="2"/>
  <c r="K4868" i="2"/>
  <c r="O4868" i="2"/>
  <c r="R4868" i="2"/>
  <c r="S4868" i="2" s="1"/>
  <c r="I4869" i="2"/>
  <c r="J4869" i="2"/>
  <c r="K4869" i="2"/>
  <c r="O4869" i="2"/>
  <c r="R4869" i="2"/>
  <c r="S4869" i="2" s="1"/>
  <c r="I4870" i="2"/>
  <c r="J4870" i="2"/>
  <c r="K4870" i="2"/>
  <c r="O4870" i="2"/>
  <c r="R4870" i="2"/>
  <c r="S4870" i="2" s="1"/>
  <c r="I4871" i="2"/>
  <c r="J4871" i="2"/>
  <c r="K4871" i="2"/>
  <c r="O4871" i="2"/>
  <c r="R4871" i="2"/>
  <c r="S4871" i="2" s="1"/>
  <c r="I4872" i="2"/>
  <c r="J4872" i="2"/>
  <c r="K4872" i="2"/>
  <c r="O4872" i="2"/>
  <c r="R4872" i="2"/>
  <c r="S4872" i="2" s="1"/>
  <c r="I4873" i="2"/>
  <c r="J4873" i="2"/>
  <c r="K4873" i="2"/>
  <c r="O4873" i="2"/>
  <c r="R4873" i="2"/>
  <c r="S4873" i="2" s="1"/>
  <c r="I4874" i="2"/>
  <c r="J4874" i="2"/>
  <c r="K4874" i="2"/>
  <c r="O4874" i="2"/>
  <c r="R4874" i="2"/>
  <c r="S4874" i="2" s="1"/>
  <c r="I4875" i="2"/>
  <c r="J4875" i="2"/>
  <c r="K4875" i="2"/>
  <c r="O4875" i="2"/>
  <c r="R4875" i="2"/>
  <c r="S4875" i="2" s="1"/>
  <c r="I4876" i="2"/>
  <c r="J4876" i="2"/>
  <c r="K4876" i="2"/>
  <c r="O4876" i="2"/>
  <c r="R4876" i="2"/>
  <c r="S4876" i="2" s="1"/>
  <c r="I4877" i="2"/>
  <c r="J4877" i="2"/>
  <c r="K4877" i="2"/>
  <c r="O4877" i="2"/>
  <c r="R4877" i="2"/>
  <c r="S4877" i="2" s="1"/>
  <c r="I4878" i="2"/>
  <c r="J4878" i="2"/>
  <c r="K4878" i="2"/>
  <c r="O4878" i="2"/>
  <c r="R4878" i="2"/>
  <c r="S4878" i="2" s="1"/>
  <c r="I4879" i="2"/>
  <c r="J4879" i="2"/>
  <c r="K4879" i="2"/>
  <c r="O4879" i="2"/>
  <c r="R4879" i="2"/>
  <c r="S4879" i="2" s="1"/>
  <c r="I4880" i="2"/>
  <c r="J4880" i="2"/>
  <c r="K4880" i="2"/>
  <c r="O4880" i="2"/>
  <c r="R4880" i="2"/>
  <c r="S4880" i="2" s="1"/>
  <c r="I4881" i="2"/>
  <c r="J4881" i="2"/>
  <c r="K4881" i="2"/>
  <c r="O4881" i="2"/>
  <c r="R4881" i="2"/>
  <c r="S4881" i="2" s="1"/>
  <c r="I4882" i="2"/>
  <c r="J4882" i="2"/>
  <c r="K4882" i="2"/>
  <c r="O4882" i="2"/>
  <c r="R4882" i="2"/>
  <c r="S4882" i="2" s="1"/>
  <c r="I4883" i="2"/>
  <c r="J4883" i="2"/>
  <c r="K4883" i="2"/>
  <c r="O4883" i="2"/>
  <c r="R4883" i="2"/>
  <c r="S4883" i="2" s="1"/>
  <c r="I4884" i="2"/>
  <c r="J4884" i="2"/>
  <c r="K4884" i="2"/>
  <c r="O4884" i="2"/>
  <c r="R4884" i="2"/>
  <c r="S4884" i="2" s="1"/>
  <c r="I4885" i="2"/>
  <c r="J4885" i="2"/>
  <c r="K4885" i="2"/>
  <c r="O4885" i="2"/>
  <c r="R4885" i="2"/>
  <c r="S4885" i="2" s="1"/>
  <c r="I4886" i="2"/>
  <c r="J4886" i="2"/>
  <c r="K4886" i="2"/>
  <c r="O4886" i="2"/>
  <c r="R4886" i="2"/>
  <c r="S4886" i="2" s="1"/>
  <c r="I4887" i="2"/>
  <c r="J4887" i="2"/>
  <c r="K4887" i="2"/>
  <c r="O4887" i="2"/>
  <c r="R4887" i="2"/>
  <c r="S4887" i="2" s="1"/>
  <c r="I4888" i="2"/>
  <c r="J4888" i="2"/>
  <c r="K4888" i="2"/>
  <c r="O4888" i="2"/>
  <c r="R4888" i="2"/>
  <c r="S4888" i="2" s="1"/>
  <c r="I4889" i="2"/>
  <c r="J4889" i="2"/>
  <c r="K4889" i="2"/>
  <c r="O4889" i="2"/>
  <c r="R4889" i="2"/>
  <c r="S4889" i="2" s="1"/>
  <c r="I4890" i="2"/>
  <c r="J4890" i="2"/>
  <c r="K4890" i="2"/>
  <c r="O4890" i="2"/>
  <c r="R4890" i="2"/>
  <c r="S4890" i="2" s="1"/>
  <c r="I4891" i="2"/>
  <c r="J4891" i="2"/>
  <c r="K4891" i="2"/>
  <c r="O4891" i="2"/>
  <c r="R4891" i="2"/>
  <c r="S4891" i="2" s="1"/>
  <c r="I4892" i="2"/>
  <c r="J4892" i="2"/>
  <c r="K4892" i="2"/>
  <c r="O4892" i="2"/>
  <c r="R4892" i="2"/>
  <c r="S4892" i="2" s="1"/>
  <c r="I4893" i="2"/>
  <c r="J4893" i="2"/>
  <c r="K4893" i="2"/>
  <c r="O4893" i="2"/>
  <c r="R4893" i="2"/>
  <c r="S4893" i="2" s="1"/>
  <c r="I4894" i="2"/>
  <c r="J4894" i="2"/>
  <c r="K4894" i="2"/>
  <c r="O4894" i="2"/>
  <c r="R4894" i="2"/>
  <c r="S4894" i="2" s="1"/>
  <c r="I4895" i="2"/>
  <c r="J4895" i="2"/>
  <c r="K4895" i="2"/>
  <c r="O4895" i="2"/>
  <c r="R4895" i="2"/>
  <c r="S4895" i="2" s="1"/>
  <c r="I4896" i="2"/>
  <c r="J4896" i="2"/>
  <c r="K4896" i="2"/>
  <c r="O4896" i="2"/>
  <c r="R4896" i="2"/>
  <c r="S4896" i="2" s="1"/>
  <c r="I4897" i="2"/>
  <c r="J4897" i="2"/>
  <c r="K4897" i="2"/>
  <c r="O4897" i="2"/>
  <c r="R4897" i="2"/>
  <c r="S4897" i="2" s="1"/>
  <c r="I4898" i="2"/>
  <c r="J4898" i="2"/>
  <c r="K4898" i="2"/>
  <c r="O4898" i="2"/>
  <c r="R4898" i="2"/>
  <c r="S4898" i="2" s="1"/>
  <c r="I4899" i="2"/>
  <c r="J4899" i="2"/>
  <c r="K4899" i="2"/>
  <c r="O4899" i="2"/>
  <c r="R4899" i="2"/>
  <c r="S4899" i="2" s="1"/>
  <c r="I4900" i="2"/>
  <c r="J4900" i="2"/>
  <c r="K4900" i="2"/>
  <c r="O4900" i="2"/>
  <c r="R4900" i="2"/>
  <c r="S4900" i="2" s="1"/>
  <c r="I4901" i="2"/>
  <c r="J4901" i="2"/>
  <c r="K4901" i="2"/>
  <c r="O4901" i="2"/>
  <c r="R4901" i="2"/>
  <c r="S4901" i="2" s="1"/>
  <c r="I4902" i="2"/>
  <c r="J4902" i="2"/>
  <c r="K4902" i="2"/>
  <c r="O4902" i="2"/>
  <c r="R4902" i="2"/>
  <c r="S4902" i="2" s="1"/>
  <c r="I4903" i="2"/>
  <c r="J4903" i="2"/>
  <c r="K4903" i="2"/>
  <c r="O4903" i="2"/>
  <c r="R4903" i="2"/>
  <c r="S4903" i="2" s="1"/>
  <c r="I4904" i="2"/>
  <c r="J4904" i="2"/>
  <c r="K4904" i="2"/>
  <c r="O4904" i="2"/>
  <c r="R4904" i="2"/>
  <c r="S4904" i="2" s="1"/>
  <c r="I4905" i="2"/>
  <c r="J4905" i="2"/>
  <c r="K4905" i="2"/>
  <c r="O4905" i="2"/>
  <c r="R4905" i="2"/>
  <c r="S4905" i="2" s="1"/>
  <c r="I4906" i="2"/>
  <c r="J4906" i="2"/>
  <c r="K4906" i="2"/>
  <c r="O4906" i="2"/>
  <c r="R4906" i="2"/>
  <c r="S4906" i="2" s="1"/>
  <c r="I4907" i="2"/>
  <c r="J4907" i="2"/>
  <c r="K4907" i="2"/>
  <c r="O4907" i="2"/>
  <c r="R4907" i="2"/>
  <c r="S4907" i="2" s="1"/>
  <c r="I4908" i="2"/>
  <c r="J4908" i="2"/>
  <c r="K4908" i="2"/>
  <c r="O4908" i="2"/>
  <c r="R4908" i="2"/>
  <c r="S4908" i="2" s="1"/>
  <c r="I4909" i="2"/>
  <c r="J4909" i="2"/>
  <c r="K4909" i="2"/>
  <c r="O4909" i="2"/>
  <c r="R4909" i="2"/>
  <c r="S4909" i="2" s="1"/>
  <c r="I4910" i="2"/>
  <c r="J4910" i="2"/>
  <c r="K4910" i="2"/>
  <c r="O4910" i="2"/>
  <c r="R4910" i="2"/>
  <c r="S4910" i="2" s="1"/>
  <c r="I4911" i="2"/>
  <c r="J4911" i="2"/>
  <c r="K4911" i="2"/>
  <c r="O4911" i="2"/>
  <c r="R4911" i="2"/>
  <c r="S4911" i="2" s="1"/>
  <c r="I4912" i="2"/>
  <c r="J4912" i="2"/>
  <c r="K4912" i="2"/>
  <c r="O4912" i="2"/>
  <c r="R4912" i="2"/>
  <c r="S4912" i="2" s="1"/>
  <c r="I4913" i="2"/>
  <c r="J4913" i="2"/>
  <c r="K4913" i="2"/>
  <c r="O4913" i="2"/>
  <c r="R4913" i="2"/>
  <c r="S4913" i="2" s="1"/>
  <c r="I4914" i="2"/>
  <c r="J4914" i="2"/>
  <c r="K4914" i="2"/>
  <c r="O4914" i="2"/>
  <c r="R4914" i="2"/>
  <c r="S4914" i="2" s="1"/>
  <c r="I4915" i="2"/>
  <c r="J4915" i="2"/>
  <c r="K4915" i="2"/>
  <c r="O4915" i="2"/>
  <c r="R4915" i="2"/>
  <c r="S4915" i="2" s="1"/>
  <c r="I4916" i="2"/>
  <c r="J4916" i="2"/>
  <c r="K4916" i="2"/>
  <c r="O4916" i="2"/>
  <c r="R4916" i="2"/>
  <c r="S4916" i="2" s="1"/>
  <c r="I4917" i="2"/>
  <c r="J4917" i="2"/>
  <c r="K4917" i="2"/>
  <c r="O4917" i="2"/>
  <c r="R4917" i="2"/>
  <c r="S4917" i="2" s="1"/>
  <c r="I4918" i="2"/>
  <c r="J4918" i="2"/>
  <c r="K4918" i="2"/>
  <c r="O4918" i="2"/>
  <c r="R4918" i="2"/>
  <c r="S4918" i="2" s="1"/>
  <c r="I4919" i="2"/>
  <c r="J4919" i="2"/>
  <c r="K4919" i="2"/>
  <c r="O4919" i="2"/>
  <c r="R4919" i="2"/>
  <c r="S4919" i="2" s="1"/>
  <c r="I4920" i="2"/>
  <c r="J4920" i="2"/>
  <c r="K4920" i="2"/>
  <c r="O4920" i="2"/>
  <c r="R4920" i="2"/>
  <c r="S4920" i="2" s="1"/>
  <c r="I4921" i="2"/>
  <c r="J4921" i="2"/>
  <c r="K4921" i="2"/>
  <c r="O4921" i="2"/>
  <c r="R4921" i="2"/>
  <c r="S4921" i="2" s="1"/>
  <c r="I4922" i="2"/>
  <c r="J4922" i="2"/>
  <c r="K4922" i="2"/>
  <c r="O4922" i="2"/>
  <c r="R4922" i="2"/>
  <c r="S4922" i="2" s="1"/>
  <c r="I4923" i="2"/>
  <c r="J4923" i="2"/>
  <c r="K4923" i="2"/>
  <c r="O4923" i="2"/>
  <c r="R4923" i="2"/>
  <c r="S4923" i="2" s="1"/>
  <c r="I4924" i="2"/>
  <c r="J4924" i="2"/>
  <c r="K4924" i="2"/>
  <c r="O4924" i="2"/>
  <c r="R4924" i="2"/>
  <c r="S4924" i="2" s="1"/>
  <c r="I4925" i="2"/>
  <c r="J4925" i="2"/>
  <c r="K4925" i="2"/>
  <c r="O4925" i="2"/>
  <c r="R4925" i="2"/>
  <c r="S4925" i="2" s="1"/>
  <c r="I4926" i="2"/>
  <c r="J4926" i="2"/>
  <c r="K4926" i="2"/>
  <c r="O4926" i="2"/>
  <c r="R4926" i="2"/>
  <c r="S4926" i="2" s="1"/>
  <c r="I4927" i="2"/>
  <c r="J4927" i="2"/>
  <c r="K4927" i="2"/>
  <c r="O4927" i="2"/>
  <c r="R4927" i="2"/>
  <c r="S4927" i="2" s="1"/>
  <c r="I4928" i="2"/>
  <c r="J4928" i="2"/>
  <c r="K4928" i="2"/>
  <c r="O4928" i="2"/>
  <c r="R4928" i="2"/>
  <c r="S4928" i="2" s="1"/>
  <c r="I4929" i="2"/>
  <c r="J4929" i="2"/>
  <c r="K4929" i="2"/>
  <c r="O4929" i="2"/>
  <c r="R4929" i="2"/>
  <c r="S4929" i="2" s="1"/>
  <c r="I4930" i="2"/>
  <c r="J4930" i="2"/>
  <c r="K4930" i="2"/>
  <c r="O4930" i="2"/>
  <c r="R4930" i="2"/>
  <c r="S4930" i="2" s="1"/>
  <c r="I4931" i="2"/>
  <c r="J4931" i="2"/>
  <c r="K4931" i="2"/>
  <c r="O4931" i="2"/>
  <c r="R4931" i="2"/>
  <c r="S4931" i="2" s="1"/>
  <c r="I4932" i="2"/>
  <c r="J4932" i="2"/>
  <c r="K4932" i="2"/>
  <c r="O4932" i="2"/>
  <c r="R4932" i="2"/>
  <c r="S4932" i="2" s="1"/>
  <c r="I4933" i="2"/>
  <c r="J4933" i="2"/>
  <c r="K4933" i="2"/>
  <c r="O4933" i="2"/>
  <c r="R4933" i="2"/>
  <c r="S4933" i="2" s="1"/>
  <c r="I4934" i="2"/>
  <c r="J4934" i="2"/>
  <c r="K4934" i="2"/>
  <c r="O4934" i="2"/>
  <c r="R4934" i="2"/>
  <c r="S4934" i="2" s="1"/>
  <c r="I4935" i="2"/>
  <c r="J4935" i="2"/>
  <c r="K4935" i="2"/>
  <c r="O4935" i="2"/>
  <c r="R4935" i="2"/>
  <c r="S4935" i="2" s="1"/>
  <c r="I4936" i="2"/>
  <c r="J4936" i="2"/>
  <c r="K4936" i="2"/>
  <c r="O4936" i="2"/>
  <c r="R4936" i="2"/>
  <c r="S4936" i="2" s="1"/>
  <c r="I4937" i="2"/>
  <c r="J4937" i="2"/>
  <c r="K4937" i="2"/>
  <c r="O4937" i="2"/>
  <c r="R4937" i="2"/>
  <c r="S4937" i="2" s="1"/>
  <c r="I4938" i="2"/>
  <c r="J4938" i="2"/>
  <c r="K4938" i="2"/>
  <c r="O4938" i="2"/>
  <c r="R4938" i="2"/>
  <c r="S4938" i="2" s="1"/>
  <c r="I4939" i="2"/>
  <c r="J4939" i="2"/>
  <c r="K4939" i="2"/>
  <c r="O4939" i="2"/>
  <c r="R4939" i="2"/>
  <c r="S4939" i="2" s="1"/>
  <c r="I4940" i="2"/>
  <c r="J4940" i="2"/>
  <c r="K4940" i="2"/>
  <c r="O4940" i="2"/>
  <c r="R4940" i="2"/>
  <c r="S4940" i="2" s="1"/>
  <c r="I4941" i="2"/>
  <c r="J4941" i="2"/>
  <c r="K4941" i="2"/>
  <c r="O4941" i="2"/>
  <c r="R4941" i="2"/>
  <c r="S4941" i="2" s="1"/>
  <c r="I4942" i="2"/>
  <c r="J4942" i="2"/>
  <c r="K4942" i="2"/>
  <c r="O4942" i="2"/>
  <c r="R4942" i="2"/>
  <c r="S4942" i="2" s="1"/>
  <c r="I4943" i="2"/>
  <c r="J4943" i="2"/>
  <c r="K4943" i="2"/>
  <c r="O4943" i="2"/>
  <c r="R4943" i="2"/>
  <c r="S4943" i="2" s="1"/>
  <c r="I4944" i="2"/>
  <c r="J4944" i="2"/>
  <c r="K4944" i="2"/>
  <c r="O4944" i="2"/>
  <c r="R4944" i="2"/>
  <c r="S4944" i="2" s="1"/>
  <c r="I4945" i="2"/>
  <c r="J4945" i="2"/>
  <c r="K4945" i="2"/>
  <c r="O4945" i="2"/>
  <c r="R4945" i="2"/>
  <c r="S4945" i="2" s="1"/>
  <c r="I4946" i="2"/>
  <c r="J4946" i="2"/>
  <c r="K4946" i="2"/>
  <c r="O4946" i="2"/>
  <c r="R4946" i="2"/>
  <c r="S4946" i="2" s="1"/>
  <c r="I4947" i="2"/>
  <c r="J4947" i="2"/>
  <c r="K4947" i="2"/>
  <c r="O4947" i="2"/>
  <c r="R4947" i="2"/>
  <c r="S4947" i="2" s="1"/>
  <c r="I4948" i="2"/>
  <c r="J4948" i="2"/>
  <c r="K4948" i="2"/>
  <c r="O4948" i="2"/>
  <c r="R4948" i="2"/>
  <c r="S4948" i="2" s="1"/>
  <c r="I4949" i="2"/>
  <c r="J4949" i="2"/>
  <c r="K4949" i="2"/>
  <c r="O4949" i="2"/>
  <c r="R4949" i="2"/>
  <c r="S4949" i="2" s="1"/>
  <c r="I4950" i="2"/>
  <c r="J4950" i="2"/>
  <c r="K4950" i="2"/>
  <c r="O4950" i="2"/>
  <c r="R4950" i="2"/>
  <c r="S4950" i="2" s="1"/>
  <c r="I4951" i="2"/>
  <c r="J4951" i="2"/>
  <c r="K4951" i="2"/>
  <c r="O4951" i="2"/>
  <c r="R4951" i="2"/>
  <c r="S4951" i="2" s="1"/>
  <c r="I4952" i="2"/>
  <c r="J4952" i="2"/>
  <c r="K4952" i="2"/>
  <c r="O4952" i="2"/>
  <c r="R4952" i="2"/>
  <c r="S4952" i="2" s="1"/>
  <c r="I4953" i="2"/>
  <c r="J4953" i="2"/>
  <c r="K4953" i="2"/>
  <c r="O4953" i="2"/>
  <c r="R4953" i="2"/>
  <c r="S4953" i="2" s="1"/>
  <c r="I4954" i="2"/>
  <c r="J4954" i="2"/>
  <c r="K4954" i="2"/>
  <c r="O4954" i="2"/>
  <c r="R4954" i="2"/>
  <c r="S4954" i="2" s="1"/>
  <c r="I4955" i="2"/>
  <c r="J4955" i="2"/>
  <c r="K4955" i="2"/>
  <c r="O4955" i="2"/>
  <c r="R4955" i="2"/>
  <c r="S4955" i="2" s="1"/>
  <c r="I4956" i="2"/>
  <c r="J4956" i="2"/>
  <c r="K4956" i="2"/>
  <c r="O4956" i="2"/>
  <c r="R4956" i="2"/>
  <c r="S4956" i="2" s="1"/>
  <c r="I4957" i="2"/>
  <c r="J4957" i="2"/>
  <c r="K4957" i="2"/>
  <c r="O4957" i="2"/>
  <c r="R4957" i="2"/>
  <c r="S4957" i="2" s="1"/>
  <c r="I4958" i="2"/>
  <c r="J4958" i="2"/>
  <c r="K4958" i="2"/>
  <c r="O4958" i="2"/>
  <c r="R4958" i="2"/>
  <c r="S4958" i="2" s="1"/>
  <c r="I4959" i="2"/>
  <c r="J4959" i="2"/>
  <c r="K4959" i="2"/>
  <c r="O4959" i="2"/>
  <c r="R4959" i="2"/>
  <c r="S4959" i="2" s="1"/>
  <c r="I4960" i="2"/>
  <c r="J4960" i="2"/>
  <c r="K4960" i="2"/>
  <c r="O4960" i="2"/>
  <c r="R4960" i="2"/>
  <c r="S4960" i="2" s="1"/>
  <c r="I4961" i="2"/>
  <c r="J4961" i="2"/>
  <c r="K4961" i="2"/>
  <c r="O4961" i="2"/>
  <c r="R4961" i="2"/>
  <c r="S4961" i="2" s="1"/>
  <c r="I4962" i="2"/>
  <c r="J4962" i="2"/>
  <c r="K4962" i="2"/>
  <c r="O4962" i="2"/>
  <c r="R4962" i="2"/>
  <c r="S4962" i="2" s="1"/>
  <c r="I4963" i="2"/>
  <c r="J4963" i="2"/>
  <c r="K4963" i="2"/>
  <c r="O4963" i="2"/>
  <c r="R4963" i="2"/>
  <c r="S4963" i="2" s="1"/>
  <c r="I4964" i="2"/>
  <c r="J4964" i="2"/>
  <c r="K4964" i="2"/>
  <c r="O4964" i="2"/>
  <c r="R4964" i="2"/>
  <c r="S4964" i="2" s="1"/>
  <c r="I4965" i="2"/>
  <c r="J4965" i="2"/>
  <c r="K4965" i="2"/>
  <c r="O4965" i="2"/>
  <c r="R4965" i="2"/>
  <c r="S4965" i="2" s="1"/>
  <c r="I4966" i="2"/>
  <c r="J4966" i="2"/>
  <c r="K4966" i="2"/>
  <c r="O4966" i="2"/>
  <c r="R4966" i="2"/>
  <c r="S4966" i="2" s="1"/>
  <c r="I4967" i="2"/>
  <c r="J4967" i="2"/>
  <c r="K4967" i="2"/>
  <c r="O4967" i="2"/>
  <c r="R4967" i="2"/>
  <c r="S4967" i="2" s="1"/>
  <c r="I4968" i="2"/>
  <c r="J4968" i="2"/>
  <c r="K4968" i="2"/>
  <c r="O4968" i="2"/>
  <c r="R4968" i="2"/>
  <c r="S4968" i="2" s="1"/>
  <c r="I4969" i="2"/>
  <c r="J4969" i="2"/>
  <c r="K4969" i="2"/>
  <c r="O4969" i="2"/>
  <c r="R4969" i="2"/>
  <c r="S4969" i="2" s="1"/>
  <c r="I4970" i="2"/>
  <c r="J4970" i="2"/>
  <c r="K4970" i="2"/>
  <c r="O4970" i="2"/>
  <c r="R4970" i="2"/>
  <c r="S4970" i="2" s="1"/>
  <c r="I4971" i="2"/>
  <c r="J4971" i="2"/>
  <c r="K4971" i="2"/>
  <c r="O4971" i="2"/>
  <c r="R4971" i="2"/>
  <c r="S4971" i="2" s="1"/>
  <c r="I4972" i="2"/>
  <c r="J4972" i="2"/>
  <c r="K4972" i="2"/>
  <c r="O4972" i="2"/>
  <c r="R4972" i="2"/>
  <c r="S4972" i="2" s="1"/>
  <c r="I4973" i="2"/>
  <c r="J4973" i="2"/>
  <c r="K4973" i="2"/>
  <c r="O4973" i="2"/>
  <c r="R4973" i="2"/>
  <c r="S4973" i="2" s="1"/>
  <c r="I4974" i="2"/>
  <c r="J4974" i="2"/>
  <c r="K4974" i="2"/>
  <c r="O4974" i="2"/>
  <c r="R4974" i="2"/>
  <c r="S4974" i="2" s="1"/>
  <c r="I4975" i="2"/>
  <c r="J4975" i="2"/>
  <c r="K4975" i="2"/>
  <c r="O4975" i="2"/>
  <c r="R4975" i="2"/>
  <c r="S4975" i="2" s="1"/>
  <c r="I4976" i="2"/>
  <c r="J4976" i="2"/>
  <c r="K4976" i="2"/>
  <c r="O4976" i="2"/>
  <c r="R4976" i="2"/>
  <c r="S4976" i="2" s="1"/>
  <c r="I4977" i="2"/>
  <c r="J4977" i="2"/>
  <c r="K4977" i="2"/>
  <c r="O4977" i="2"/>
  <c r="R4977" i="2"/>
  <c r="S4977" i="2" s="1"/>
  <c r="I4978" i="2"/>
  <c r="J4978" i="2"/>
  <c r="K4978" i="2"/>
  <c r="O4978" i="2"/>
  <c r="R4978" i="2"/>
  <c r="S4978" i="2" s="1"/>
  <c r="I4979" i="2"/>
  <c r="J4979" i="2"/>
  <c r="K4979" i="2"/>
  <c r="O4979" i="2"/>
  <c r="R4979" i="2"/>
  <c r="S4979" i="2" s="1"/>
  <c r="I4980" i="2"/>
  <c r="J4980" i="2"/>
  <c r="K4980" i="2"/>
  <c r="O4980" i="2"/>
  <c r="R4980" i="2"/>
  <c r="S4980" i="2" s="1"/>
  <c r="I4981" i="2"/>
  <c r="J4981" i="2"/>
  <c r="K4981" i="2"/>
  <c r="O4981" i="2"/>
  <c r="R4981" i="2"/>
  <c r="S4981" i="2" s="1"/>
  <c r="I4982" i="2"/>
  <c r="J4982" i="2"/>
  <c r="K4982" i="2"/>
  <c r="O4982" i="2"/>
  <c r="R4982" i="2"/>
  <c r="S4982" i="2" s="1"/>
  <c r="I4983" i="2"/>
  <c r="J4983" i="2"/>
  <c r="K4983" i="2"/>
  <c r="O4983" i="2"/>
  <c r="R4983" i="2"/>
  <c r="S4983" i="2" s="1"/>
  <c r="I4984" i="2"/>
  <c r="J4984" i="2"/>
  <c r="K4984" i="2"/>
  <c r="O4984" i="2"/>
  <c r="R4984" i="2"/>
  <c r="S4984" i="2" s="1"/>
  <c r="I4985" i="2"/>
  <c r="J4985" i="2"/>
  <c r="K4985" i="2"/>
  <c r="O4985" i="2"/>
  <c r="R4985" i="2"/>
  <c r="S4985" i="2" s="1"/>
  <c r="I4986" i="2"/>
  <c r="J4986" i="2"/>
  <c r="K4986" i="2"/>
  <c r="O4986" i="2"/>
  <c r="R4986" i="2"/>
  <c r="S4986" i="2" s="1"/>
  <c r="I4987" i="2"/>
  <c r="J4987" i="2"/>
  <c r="K4987" i="2"/>
  <c r="O4987" i="2"/>
  <c r="R4987" i="2"/>
  <c r="S4987" i="2" s="1"/>
  <c r="I4988" i="2"/>
  <c r="J4988" i="2"/>
  <c r="K4988" i="2"/>
  <c r="O4988" i="2"/>
  <c r="R4988" i="2"/>
  <c r="S4988" i="2" s="1"/>
  <c r="I4989" i="2"/>
  <c r="J4989" i="2"/>
  <c r="K4989" i="2"/>
  <c r="O4989" i="2"/>
  <c r="R4989" i="2"/>
  <c r="S4989" i="2" s="1"/>
  <c r="I4990" i="2"/>
  <c r="J4990" i="2"/>
  <c r="K4990" i="2"/>
  <c r="O4990" i="2"/>
  <c r="R4990" i="2"/>
  <c r="S4990" i="2" s="1"/>
  <c r="I4991" i="2"/>
  <c r="J4991" i="2"/>
  <c r="K4991" i="2"/>
  <c r="O4991" i="2"/>
  <c r="R4991" i="2"/>
  <c r="S4991" i="2" s="1"/>
  <c r="I4992" i="2"/>
  <c r="J4992" i="2"/>
  <c r="K4992" i="2"/>
  <c r="O4992" i="2"/>
  <c r="R4992" i="2"/>
  <c r="S4992" i="2" s="1"/>
  <c r="I4993" i="2"/>
  <c r="J4993" i="2"/>
  <c r="K4993" i="2"/>
  <c r="O4993" i="2"/>
  <c r="R4993" i="2"/>
  <c r="S4993" i="2" s="1"/>
  <c r="I4994" i="2"/>
  <c r="J4994" i="2"/>
  <c r="K4994" i="2"/>
  <c r="O4994" i="2"/>
  <c r="R4994" i="2"/>
  <c r="S4994" i="2" s="1"/>
  <c r="I4995" i="2"/>
  <c r="J4995" i="2"/>
  <c r="K4995" i="2"/>
  <c r="O4995" i="2"/>
  <c r="R4995" i="2"/>
  <c r="S4995" i="2" s="1"/>
  <c r="I4996" i="2"/>
  <c r="J4996" i="2"/>
  <c r="K4996" i="2"/>
  <c r="O4996" i="2"/>
  <c r="R4996" i="2"/>
  <c r="S4996" i="2" s="1"/>
  <c r="I4997" i="2"/>
  <c r="J4997" i="2"/>
  <c r="K4997" i="2"/>
  <c r="O4997" i="2"/>
  <c r="R4997" i="2"/>
  <c r="S4997" i="2" s="1"/>
  <c r="I4998" i="2"/>
  <c r="J4998" i="2"/>
  <c r="K4998" i="2"/>
  <c r="O4998" i="2"/>
  <c r="R4998" i="2"/>
  <c r="S4998" i="2" s="1"/>
  <c r="I4999" i="2"/>
  <c r="J4999" i="2"/>
  <c r="K4999" i="2"/>
  <c r="O4999" i="2"/>
  <c r="R4999" i="2"/>
  <c r="S4999" i="2" s="1"/>
  <c r="I5000" i="2"/>
  <c r="J5000" i="2"/>
  <c r="K5000" i="2"/>
  <c r="O5000" i="2"/>
  <c r="R5000" i="2"/>
  <c r="S5000" i="2" s="1"/>
  <c r="I5001" i="2"/>
  <c r="J5001" i="2"/>
  <c r="K5001" i="2"/>
  <c r="O5001" i="2"/>
  <c r="R5001" i="2"/>
  <c r="S5001" i="2" s="1"/>
  <c r="I5002" i="2"/>
  <c r="J5002" i="2"/>
  <c r="K5002" i="2"/>
  <c r="O5002" i="2"/>
  <c r="R5002" i="2"/>
  <c r="S5002" i="2" s="1"/>
  <c r="I5003" i="2"/>
  <c r="J5003" i="2"/>
  <c r="K5003" i="2"/>
  <c r="O5003" i="2"/>
  <c r="R5003" i="2"/>
  <c r="S5003" i="2" s="1"/>
  <c r="I5004" i="2"/>
  <c r="J5004" i="2"/>
  <c r="K5004" i="2"/>
  <c r="O5004" i="2"/>
  <c r="R5004" i="2"/>
  <c r="S5004" i="2" s="1"/>
  <c r="I5005" i="2"/>
  <c r="J5005" i="2"/>
  <c r="K5005" i="2"/>
  <c r="O5005" i="2"/>
  <c r="R5005" i="2"/>
  <c r="S5005" i="2" s="1"/>
  <c r="I5006" i="2"/>
  <c r="J5006" i="2"/>
  <c r="K5006" i="2"/>
  <c r="O5006" i="2"/>
  <c r="R5006" i="2"/>
  <c r="S5006" i="2" s="1"/>
  <c r="I5007" i="2"/>
  <c r="J5007" i="2"/>
  <c r="K5007" i="2"/>
  <c r="O5007" i="2"/>
  <c r="R5007" i="2"/>
  <c r="S5007" i="2" s="1"/>
  <c r="I5008" i="2"/>
  <c r="J5008" i="2"/>
  <c r="K5008" i="2"/>
  <c r="O5008" i="2"/>
  <c r="R5008" i="2"/>
  <c r="S5008" i="2" s="1"/>
  <c r="I5009" i="2"/>
  <c r="J5009" i="2"/>
  <c r="K5009" i="2"/>
  <c r="O5009" i="2"/>
  <c r="R5009" i="2"/>
  <c r="S5009" i="2" s="1"/>
  <c r="I5010" i="2"/>
  <c r="J5010" i="2"/>
  <c r="K5010" i="2"/>
  <c r="O5010" i="2"/>
  <c r="R5010" i="2"/>
  <c r="S5010" i="2" s="1"/>
  <c r="I5011" i="2"/>
  <c r="J5011" i="2"/>
  <c r="K5011" i="2"/>
  <c r="O5011" i="2"/>
  <c r="R5011" i="2"/>
  <c r="S5011" i="2" s="1"/>
  <c r="I5012" i="2"/>
  <c r="J5012" i="2"/>
  <c r="K5012" i="2"/>
  <c r="O5012" i="2"/>
  <c r="R5012" i="2"/>
  <c r="S5012" i="2" s="1"/>
  <c r="I5013" i="2"/>
  <c r="J5013" i="2"/>
  <c r="K5013" i="2"/>
  <c r="O5013" i="2"/>
  <c r="R5013" i="2"/>
  <c r="S5013" i="2" s="1"/>
  <c r="I5014" i="2"/>
  <c r="J5014" i="2"/>
  <c r="K5014" i="2"/>
  <c r="O5014" i="2"/>
  <c r="R5014" i="2"/>
  <c r="S5014" i="2" s="1"/>
  <c r="I5015" i="2"/>
  <c r="J5015" i="2"/>
  <c r="K5015" i="2"/>
  <c r="O5015" i="2"/>
  <c r="R5015" i="2"/>
  <c r="S5015" i="2" s="1"/>
  <c r="I5016" i="2"/>
  <c r="J5016" i="2"/>
  <c r="K5016" i="2"/>
  <c r="O5016" i="2"/>
  <c r="R5016" i="2"/>
  <c r="S5016" i="2" s="1"/>
  <c r="I5017" i="2"/>
  <c r="J5017" i="2"/>
  <c r="K5017" i="2"/>
  <c r="O5017" i="2"/>
  <c r="R5017" i="2"/>
  <c r="S5017" i="2" s="1"/>
  <c r="I5018" i="2"/>
  <c r="J5018" i="2"/>
  <c r="K5018" i="2"/>
  <c r="O5018" i="2"/>
  <c r="R5018" i="2"/>
  <c r="S5018" i="2" s="1"/>
  <c r="I5019" i="2"/>
  <c r="J5019" i="2"/>
  <c r="K5019" i="2"/>
  <c r="O5019" i="2"/>
  <c r="R5019" i="2"/>
  <c r="S5019" i="2" s="1"/>
  <c r="I5020" i="2"/>
  <c r="J5020" i="2"/>
  <c r="K5020" i="2"/>
  <c r="O5020" i="2"/>
  <c r="R5020" i="2"/>
  <c r="S5020" i="2" s="1"/>
  <c r="I5021" i="2"/>
  <c r="J5021" i="2"/>
  <c r="K5021" i="2"/>
  <c r="O5021" i="2"/>
  <c r="R5021" i="2"/>
  <c r="S5021" i="2" s="1"/>
  <c r="I5022" i="2"/>
  <c r="J5022" i="2"/>
  <c r="K5022" i="2"/>
  <c r="O5022" i="2"/>
  <c r="R5022" i="2"/>
  <c r="S5022" i="2" s="1"/>
  <c r="I5023" i="2"/>
  <c r="J5023" i="2"/>
  <c r="K5023" i="2"/>
  <c r="O5023" i="2"/>
  <c r="R5023" i="2"/>
  <c r="S5023" i="2" s="1"/>
  <c r="I5024" i="2"/>
  <c r="J5024" i="2"/>
  <c r="K5024" i="2"/>
  <c r="O5024" i="2"/>
  <c r="R5024" i="2"/>
  <c r="S5024" i="2" s="1"/>
  <c r="I5025" i="2"/>
  <c r="J5025" i="2"/>
  <c r="K5025" i="2"/>
  <c r="O5025" i="2"/>
  <c r="R5025" i="2"/>
  <c r="S5025" i="2" s="1"/>
  <c r="I5026" i="2"/>
  <c r="J5026" i="2"/>
  <c r="K5026" i="2"/>
  <c r="O5026" i="2"/>
  <c r="R5026" i="2"/>
  <c r="S5026" i="2" s="1"/>
  <c r="I5027" i="2"/>
  <c r="J5027" i="2"/>
  <c r="K5027" i="2"/>
  <c r="O5027" i="2"/>
  <c r="R5027" i="2"/>
  <c r="S5027" i="2" s="1"/>
  <c r="I5028" i="2"/>
  <c r="J5028" i="2"/>
  <c r="K5028" i="2"/>
  <c r="O5028" i="2"/>
  <c r="R5028" i="2"/>
  <c r="S5028" i="2" s="1"/>
  <c r="I5029" i="2"/>
  <c r="J5029" i="2"/>
  <c r="K5029" i="2"/>
  <c r="O5029" i="2"/>
  <c r="R5029" i="2"/>
  <c r="S5029" i="2" s="1"/>
  <c r="I5030" i="2"/>
  <c r="J5030" i="2"/>
  <c r="K5030" i="2"/>
  <c r="O5030" i="2"/>
  <c r="R5030" i="2"/>
  <c r="S5030" i="2" s="1"/>
  <c r="I5031" i="2"/>
  <c r="J5031" i="2"/>
  <c r="K5031" i="2"/>
  <c r="O5031" i="2"/>
  <c r="R5031" i="2"/>
  <c r="S5031" i="2" s="1"/>
  <c r="I5032" i="2"/>
  <c r="J5032" i="2"/>
  <c r="K5032" i="2"/>
  <c r="O5032" i="2"/>
  <c r="R5032" i="2"/>
  <c r="S5032" i="2" s="1"/>
  <c r="I5033" i="2"/>
  <c r="J5033" i="2"/>
  <c r="K5033" i="2"/>
  <c r="O5033" i="2"/>
  <c r="R5033" i="2"/>
  <c r="S5033" i="2" s="1"/>
  <c r="I5034" i="2"/>
  <c r="J5034" i="2"/>
  <c r="K5034" i="2"/>
  <c r="O5034" i="2"/>
  <c r="R5034" i="2"/>
  <c r="S5034" i="2" s="1"/>
  <c r="I5035" i="2"/>
  <c r="J5035" i="2"/>
  <c r="K5035" i="2"/>
  <c r="O5035" i="2"/>
  <c r="R5035" i="2"/>
  <c r="S5035" i="2" s="1"/>
  <c r="I5036" i="2"/>
  <c r="J5036" i="2"/>
  <c r="K5036" i="2"/>
  <c r="O5036" i="2"/>
  <c r="R5036" i="2"/>
  <c r="S5036" i="2" s="1"/>
  <c r="I5037" i="2"/>
  <c r="J5037" i="2"/>
  <c r="K5037" i="2"/>
  <c r="O5037" i="2"/>
  <c r="R5037" i="2"/>
  <c r="S5037" i="2" s="1"/>
  <c r="I5038" i="2"/>
  <c r="J5038" i="2"/>
  <c r="K5038" i="2"/>
  <c r="O5038" i="2"/>
  <c r="R5038" i="2"/>
  <c r="S5038" i="2" s="1"/>
  <c r="I5039" i="2"/>
  <c r="J5039" i="2"/>
  <c r="K5039" i="2"/>
  <c r="O5039" i="2"/>
  <c r="R5039" i="2"/>
  <c r="S5039" i="2" s="1"/>
  <c r="I5040" i="2"/>
  <c r="J5040" i="2"/>
  <c r="K5040" i="2"/>
  <c r="O5040" i="2"/>
  <c r="R5040" i="2"/>
  <c r="S5040" i="2" s="1"/>
  <c r="I5041" i="2"/>
  <c r="J5041" i="2"/>
  <c r="K5041" i="2"/>
  <c r="O5041" i="2"/>
  <c r="R5041" i="2"/>
  <c r="S5041" i="2" s="1"/>
  <c r="I5042" i="2"/>
  <c r="J5042" i="2"/>
  <c r="K5042" i="2"/>
  <c r="O5042" i="2"/>
  <c r="R5042" i="2"/>
  <c r="S5042" i="2" s="1"/>
  <c r="I5043" i="2"/>
  <c r="J5043" i="2"/>
  <c r="K5043" i="2"/>
  <c r="O5043" i="2"/>
  <c r="R5043" i="2"/>
  <c r="S5043" i="2" s="1"/>
  <c r="I5044" i="2"/>
  <c r="J5044" i="2"/>
  <c r="K5044" i="2"/>
  <c r="O5044" i="2"/>
  <c r="R5044" i="2"/>
  <c r="S5044" i="2" s="1"/>
  <c r="I5045" i="2"/>
  <c r="J5045" i="2"/>
  <c r="K5045" i="2"/>
  <c r="O5045" i="2"/>
  <c r="R5045" i="2"/>
  <c r="S5045" i="2" s="1"/>
  <c r="I5046" i="2"/>
  <c r="J5046" i="2"/>
  <c r="K5046" i="2"/>
  <c r="O5046" i="2"/>
  <c r="R5046" i="2"/>
  <c r="S5046" i="2" s="1"/>
  <c r="I5047" i="2"/>
  <c r="J5047" i="2"/>
  <c r="K5047" i="2"/>
  <c r="O5047" i="2"/>
  <c r="R5047" i="2"/>
  <c r="S5047" i="2" s="1"/>
  <c r="I5048" i="2"/>
  <c r="J5048" i="2"/>
  <c r="K5048" i="2"/>
  <c r="O5048" i="2"/>
  <c r="R5048" i="2"/>
  <c r="S5048" i="2" s="1"/>
  <c r="I5049" i="2"/>
  <c r="J5049" i="2"/>
  <c r="K5049" i="2"/>
  <c r="O5049" i="2"/>
  <c r="R5049" i="2"/>
  <c r="S5049" i="2" s="1"/>
  <c r="I5050" i="2"/>
  <c r="J5050" i="2"/>
  <c r="K5050" i="2"/>
  <c r="O5050" i="2"/>
  <c r="R5050" i="2"/>
  <c r="S5050" i="2" s="1"/>
  <c r="I5051" i="2"/>
  <c r="J5051" i="2"/>
  <c r="K5051" i="2"/>
  <c r="O5051" i="2"/>
  <c r="R5051" i="2"/>
  <c r="S5051" i="2" s="1"/>
  <c r="I5052" i="2"/>
  <c r="J5052" i="2"/>
  <c r="K5052" i="2"/>
  <c r="O5052" i="2"/>
  <c r="R5052" i="2"/>
  <c r="S5052" i="2" s="1"/>
  <c r="I5053" i="2"/>
  <c r="J5053" i="2"/>
  <c r="K5053" i="2"/>
  <c r="O5053" i="2"/>
  <c r="R5053" i="2"/>
  <c r="S5053" i="2" s="1"/>
  <c r="I5054" i="2"/>
  <c r="J5054" i="2"/>
  <c r="K5054" i="2"/>
  <c r="O5054" i="2"/>
  <c r="R5054" i="2"/>
  <c r="S5054" i="2" s="1"/>
  <c r="I5055" i="2"/>
  <c r="J5055" i="2"/>
  <c r="K5055" i="2"/>
  <c r="O5055" i="2"/>
  <c r="R5055" i="2"/>
  <c r="S5055" i="2" s="1"/>
  <c r="I5056" i="2"/>
  <c r="J5056" i="2"/>
  <c r="K5056" i="2"/>
  <c r="O5056" i="2"/>
  <c r="R5056" i="2"/>
  <c r="S5056" i="2" s="1"/>
  <c r="I5057" i="2"/>
  <c r="J5057" i="2"/>
  <c r="K5057" i="2"/>
  <c r="O5057" i="2"/>
  <c r="R5057" i="2"/>
  <c r="S5057" i="2" s="1"/>
  <c r="I5058" i="2"/>
  <c r="J5058" i="2"/>
  <c r="K5058" i="2"/>
  <c r="O5058" i="2"/>
  <c r="R5058" i="2"/>
  <c r="S5058" i="2" s="1"/>
  <c r="I5059" i="2"/>
  <c r="J5059" i="2"/>
  <c r="K5059" i="2"/>
  <c r="O5059" i="2"/>
  <c r="R5059" i="2"/>
  <c r="S5059" i="2" s="1"/>
  <c r="I5060" i="2"/>
  <c r="J5060" i="2"/>
  <c r="K5060" i="2"/>
  <c r="O5060" i="2"/>
  <c r="R5060" i="2"/>
  <c r="S5060" i="2" s="1"/>
  <c r="I5061" i="2"/>
  <c r="J5061" i="2"/>
  <c r="K5061" i="2"/>
  <c r="O5061" i="2"/>
  <c r="R5061" i="2"/>
  <c r="S5061" i="2" s="1"/>
  <c r="I5062" i="2"/>
  <c r="J5062" i="2"/>
  <c r="K5062" i="2"/>
  <c r="O5062" i="2"/>
  <c r="R5062" i="2"/>
  <c r="S5062" i="2" s="1"/>
  <c r="I5063" i="2"/>
  <c r="J5063" i="2"/>
  <c r="K5063" i="2"/>
  <c r="O5063" i="2"/>
  <c r="R5063" i="2"/>
  <c r="S5063" i="2" s="1"/>
  <c r="I5064" i="2"/>
  <c r="J5064" i="2"/>
  <c r="K5064" i="2"/>
  <c r="O5064" i="2"/>
  <c r="R5064" i="2"/>
  <c r="S5064" i="2" s="1"/>
  <c r="I5065" i="2"/>
  <c r="J5065" i="2"/>
  <c r="K5065" i="2"/>
  <c r="O5065" i="2"/>
  <c r="R5065" i="2"/>
  <c r="S5065" i="2" s="1"/>
  <c r="I5066" i="2"/>
  <c r="J5066" i="2"/>
  <c r="K5066" i="2"/>
  <c r="O5066" i="2"/>
  <c r="R5066" i="2"/>
  <c r="S5066" i="2" s="1"/>
  <c r="I5067" i="2"/>
  <c r="J5067" i="2"/>
  <c r="K5067" i="2"/>
  <c r="O5067" i="2"/>
  <c r="R5067" i="2"/>
  <c r="S5067" i="2" s="1"/>
  <c r="I5068" i="2"/>
  <c r="J5068" i="2"/>
  <c r="K5068" i="2"/>
  <c r="O5068" i="2"/>
  <c r="R5068" i="2"/>
  <c r="S5068" i="2" s="1"/>
  <c r="I5069" i="2"/>
  <c r="J5069" i="2"/>
  <c r="K5069" i="2"/>
  <c r="O5069" i="2"/>
  <c r="R5069" i="2"/>
  <c r="S5069" i="2" s="1"/>
  <c r="I5070" i="2"/>
  <c r="J5070" i="2"/>
  <c r="K5070" i="2"/>
  <c r="O5070" i="2"/>
  <c r="R5070" i="2"/>
  <c r="S5070" i="2" s="1"/>
  <c r="I5071" i="2"/>
  <c r="J5071" i="2"/>
  <c r="K5071" i="2"/>
  <c r="O5071" i="2"/>
  <c r="R5071" i="2"/>
  <c r="S5071" i="2" s="1"/>
  <c r="I5072" i="2"/>
  <c r="J5072" i="2"/>
  <c r="K5072" i="2"/>
  <c r="O5072" i="2"/>
  <c r="R5072" i="2"/>
  <c r="S5072" i="2" s="1"/>
  <c r="I5073" i="2"/>
  <c r="J5073" i="2"/>
  <c r="K5073" i="2"/>
  <c r="O5073" i="2"/>
  <c r="R5073" i="2"/>
  <c r="S5073" i="2" s="1"/>
  <c r="I5074" i="2"/>
  <c r="J5074" i="2"/>
  <c r="K5074" i="2"/>
  <c r="O5074" i="2"/>
  <c r="R5074" i="2"/>
  <c r="S5074" i="2" s="1"/>
  <c r="I5075" i="2"/>
  <c r="J5075" i="2"/>
  <c r="K5075" i="2"/>
  <c r="O5075" i="2"/>
  <c r="R5075" i="2"/>
  <c r="S5075" i="2" s="1"/>
  <c r="I5076" i="2"/>
  <c r="J5076" i="2"/>
  <c r="K5076" i="2"/>
  <c r="O5076" i="2"/>
  <c r="R5076" i="2"/>
  <c r="S5076" i="2" s="1"/>
  <c r="I5077" i="2"/>
  <c r="J5077" i="2"/>
  <c r="K5077" i="2"/>
  <c r="O5077" i="2"/>
  <c r="R5077" i="2"/>
  <c r="S5077" i="2" s="1"/>
  <c r="I5078" i="2"/>
  <c r="J5078" i="2"/>
  <c r="K5078" i="2"/>
  <c r="O5078" i="2"/>
  <c r="R5078" i="2"/>
  <c r="S5078" i="2" s="1"/>
  <c r="I5079" i="2"/>
  <c r="J5079" i="2"/>
  <c r="K5079" i="2"/>
  <c r="O5079" i="2"/>
  <c r="R5079" i="2"/>
  <c r="S5079" i="2" s="1"/>
  <c r="I5080" i="2"/>
  <c r="J5080" i="2"/>
  <c r="K5080" i="2"/>
  <c r="O5080" i="2"/>
  <c r="R5080" i="2"/>
  <c r="S5080" i="2" s="1"/>
  <c r="I5081" i="2"/>
  <c r="J5081" i="2"/>
  <c r="K5081" i="2"/>
  <c r="O5081" i="2"/>
  <c r="R5081" i="2"/>
  <c r="S5081" i="2" s="1"/>
  <c r="I5082" i="2"/>
  <c r="J5082" i="2"/>
  <c r="K5082" i="2"/>
  <c r="O5082" i="2"/>
  <c r="R5082" i="2"/>
  <c r="S5082" i="2" s="1"/>
  <c r="I5083" i="2"/>
  <c r="J5083" i="2"/>
  <c r="K5083" i="2"/>
  <c r="O5083" i="2"/>
  <c r="R5083" i="2"/>
  <c r="S5083" i="2" s="1"/>
  <c r="I5084" i="2"/>
  <c r="J5084" i="2"/>
  <c r="K5084" i="2"/>
  <c r="O5084" i="2"/>
  <c r="R5084" i="2"/>
  <c r="S5084" i="2" s="1"/>
  <c r="I5085" i="2"/>
  <c r="J5085" i="2"/>
  <c r="K5085" i="2"/>
  <c r="O5085" i="2"/>
  <c r="R5085" i="2"/>
  <c r="S5085" i="2" s="1"/>
  <c r="I5086" i="2"/>
  <c r="J5086" i="2"/>
  <c r="K5086" i="2"/>
  <c r="O5086" i="2"/>
  <c r="R5086" i="2"/>
  <c r="S5086" i="2" s="1"/>
  <c r="I5087" i="2"/>
  <c r="J5087" i="2"/>
  <c r="K5087" i="2"/>
  <c r="O5087" i="2"/>
  <c r="R5087" i="2"/>
  <c r="S5087" i="2" s="1"/>
  <c r="I5088" i="2"/>
  <c r="J5088" i="2"/>
  <c r="K5088" i="2"/>
  <c r="O5088" i="2"/>
  <c r="R5088" i="2"/>
  <c r="S5088" i="2" s="1"/>
  <c r="I5089" i="2"/>
  <c r="J5089" i="2"/>
  <c r="K5089" i="2"/>
  <c r="O5089" i="2"/>
  <c r="R5089" i="2"/>
  <c r="S5089" i="2" s="1"/>
  <c r="I5090" i="2"/>
  <c r="J5090" i="2"/>
  <c r="K5090" i="2"/>
  <c r="O5090" i="2"/>
  <c r="R5090" i="2"/>
  <c r="S5090" i="2" s="1"/>
  <c r="I5091" i="2"/>
  <c r="J5091" i="2"/>
  <c r="K5091" i="2"/>
  <c r="O5091" i="2"/>
  <c r="R5091" i="2"/>
  <c r="S5091" i="2" s="1"/>
  <c r="I5092" i="2"/>
  <c r="J5092" i="2"/>
  <c r="K5092" i="2"/>
  <c r="O5092" i="2"/>
  <c r="R5092" i="2"/>
  <c r="S5092" i="2" s="1"/>
  <c r="I5093" i="2"/>
  <c r="J5093" i="2"/>
  <c r="K5093" i="2"/>
  <c r="O5093" i="2"/>
  <c r="R5093" i="2"/>
  <c r="S5093" i="2" s="1"/>
  <c r="I5094" i="2"/>
  <c r="J5094" i="2"/>
  <c r="K5094" i="2"/>
  <c r="O5094" i="2"/>
  <c r="R5094" i="2"/>
  <c r="S5094" i="2" s="1"/>
  <c r="I5095" i="2"/>
  <c r="J5095" i="2"/>
  <c r="K5095" i="2"/>
  <c r="O5095" i="2"/>
  <c r="R5095" i="2"/>
  <c r="S5095" i="2" s="1"/>
  <c r="I5096" i="2"/>
  <c r="J5096" i="2"/>
  <c r="K5096" i="2"/>
  <c r="O5096" i="2"/>
  <c r="R5096" i="2"/>
  <c r="S5096" i="2" s="1"/>
  <c r="I5097" i="2"/>
  <c r="J5097" i="2"/>
  <c r="K5097" i="2"/>
  <c r="O5097" i="2"/>
  <c r="R5097" i="2"/>
  <c r="S5097" i="2" s="1"/>
  <c r="I5098" i="2"/>
  <c r="J5098" i="2"/>
  <c r="K5098" i="2"/>
  <c r="O5098" i="2"/>
  <c r="R5098" i="2"/>
  <c r="S5098" i="2" s="1"/>
  <c r="I5099" i="2"/>
  <c r="J5099" i="2"/>
  <c r="K5099" i="2"/>
  <c r="O5099" i="2"/>
  <c r="R5099" i="2"/>
  <c r="S5099" i="2" s="1"/>
  <c r="I5100" i="2"/>
  <c r="J5100" i="2"/>
  <c r="K5100" i="2"/>
  <c r="O5100" i="2"/>
  <c r="R5100" i="2"/>
  <c r="S5100" i="2" s="1"/>
  <c r="I5101" i="2"/>
  <c r="J5101" i="2"/>
  <c r="K5101" i="2"/>
  <c r="O5101" i="2"/>
  <c r="R5101" i="2"/>
  <c r="S5101" i="2" s="1"/>
  <c r="I5102" i="2"/>
  <c r="J5102" i="2"/>
  <c r="K5102" i="2"/>
  <c r="O5102" i="2"/>
  <c r="R5102" i="2"/>
  <c r="S5102" i="2" s="1"/>
  <c r="I5103" i="2"/>
  <c r="J5103" i="2"/>
  <c r="K5103" i="2"/>
  <c r="O5103" i="2"/>
  <c r="R5103" i="2"/>
  <c r="S5103" i="2" s="1"/>
  <c r="I5104" i="2"/>
  <c r="J5104" i="2"/>
  <c r="K5104" i="2"/>
  <c r="O5104" i="2"/>
  <c r="R5104" i="2"/>
  <c r="S5104" i="2" s="1"/>
  <c r="I5105" i="2"/>
  <c r="J5105" i="2"/>
  <c r="K5105" i="2"/>
  <c r="O5105" i="2"/>
  <c r="R5105" i="2"/>
  <c r="S5105" i="2" s="1"/>
  <c r="I5106" i="2"/>
  <c r="J5106" i="2"/>
  <c r="K5106" i="2"/>
  <c r="O5106" i="2"/>
  <c r="R5106" i="2"/>
  <c r="S5106" i="2" s="1"/>
  <c r="I5107" i="2"/>
  <c r="J5107" i="2"/>
  <c r="K5107" i="2"/>
  <c r="O5107" i="2"/>
  <c r="R5107" i="2"/>
  <c r="S5107" i="2" s="1"/>
  <c r="I5108" i="2"/>
  <c r="J5108" i="2"/>
  <c r="K5108" i="2"/>
  <c r="O5108" i="2"/>
  <c r="R5108" i="2"/>
  <c r="S5108" i="2" s="1"/>
  <c r="I5109" i="2"/>
  <c r="J5109" i="2"/>
  <c r="K5109" i="2"/>
  <c r="O5109" i="2"/>
  <c r="R5109" i="2"/>
  <c r="S5109" i="2" s="1"/>
  <c r="I5110" i="2"/>
  <c r="J5110" i="2"/>
  <c r="K5110" i="2"/>
  <c r="O5110" i="2"/>
  <c r="R5110" i="2"/>
  <c r="S5110" i="2" s="1"/>
  <c r="I5111" i="2"/>
  <c r="J5111" i="2"/>
  <c r="K5111" i="2"/>
  <c r="O5111" i="2"/>
  <c r="R5111" i="2"/>
  <c r="S5111" i="2" s="1"/>
  <c r="I5112" i="2"/>
  <c r="J5112" i="2"/>
  <c r="K5112" i="2"/>
  <c r="O5112" i="2"/>
  <c r="R5112" i="2"/>
  <c r="S5112" i="2" s="1"/>
  <c r="I5113" i="2"/>
  <c r="J5113" i="2"/>
  <c r="K5113" i="2"/>
  <c r="O5113" i="2"/>
  <c r="R5113" i="2"/>
  <c r="S5113" i="2" s="1"/>
  <c r="I5114" i="2"/>
  <c r="J5114" i="2"/>
  <c r="K5114" i="2"/>
  <c r="O5114" i="2"/>
  <c r="R5114" i="2"/>
  <c r="S5114" i="2" s="1"/>
  <c r="I5115" i="2"/>
  <c r="J5115" i="2"/>
  <c r="K5115" i="2"/>
  <c r="O5115" i="2"/>
  <c r="R5115" i="2"/>
  <c r="S5115" i="2" s="1"/>
  <c r="I5116" i="2"/>
  <c r="J5116" i="2"/>
  <c r="K5116" i="2"/>
  <c r="O5116" i="2"/>
  <c r="R5116" i="2"/>
  <c r="S5116" i="2" s="1"/>
  <c r="I5117" i="2"/>
  <c r="J5117" i="2"/>
  <c r="K5117" i="2"/>
  <c r="O5117" i="2"/>
  <c r="R5117" i="2"/>
  <c r="S5117" i="2" s="1"/>
  <c r="I5118" i="2"/>
  <c r="J5118" i="2"/>
  <c r="K5118" i="2"/>
  <c r="O5118" i="2"/>
  <c r="R5118" i="2"/>
  <c r="S5118" i="2" s="1"/>
  <c r="I5119" i="2"/>
  <c r="J5119" i="2"/>
  <c r="K5119" i="2"/>
  <c r="O5119" i="2"/>
  <c r="R5119" i="2"/>
  <c r="S5119" i="2" s="1"/>
  <c r="I5120" i="2"/>
  <c r="J5120" i="2"/>
  <c r="K5120" i="2"/>
  <c r="O5120" i="2"/>
  <c r="R5120" i="2"/>
  <c r="S5120" i="2" s="1"/>
  <c r="I5121" i="2"/>
  <c r="J5121" i="2"/>
  <c r="K5121" i="2"/>
  <c r="O5121" i="2"/>
  <c r="R5121" i="2"/>
  <c r="S5121" i="2" s="1"/>
  <c r="I5122" i="2"/>
  <c r="J5122" i="2"/>
  <c r="K5122" i="2"/>
  <c r="O5122" i="2"/>
  <c r="R5122" i="2"/>
  <c r="S5122" i="2" s="1"/>
  <c r="I5123" i="2"/>
  <c r="J5123" i="2"/>
  <c r="K5123" i="2"/>
  <c r="O5123" i="2"/>
  <c r="R5123" i="2"/>
  <c r="S5123" i="2" s="1"/>
  <c r="I5124" i="2"/>
  <c r="J5124" i="2"/>
  <c r="K5124" i="2"/>
  <c r="O5124" i="2"/>
  <c r="R5124" i="2"/>
  <c r="S5124" i="2" s="1"/>
  <c r="I5125" i="2"/>
  <c r="J5125" i="2"/>
  <c r="K5125" i="2"/>
  <c r="O5125" i="2"/>
  <c r="R5125" i="2"/>
  <c r="S5125" i="2" s="1"/>
  <c r="I5126" i="2"/>
  <c r="J5126" i="2"/>
  <c r="K5126" i="2"/>
  <c r="O5126" i="2"/>
  <c r="R5126" i="2"/>
  <c r="S5126" i="2" s="1"/>
  <c r="I5127" i="2"/>
  <c r="J5127" i="2"/>
  <c r="K5127" i="2"/>
  <c r="O5127" i="2"/>
  <c r="R5127" i="2"/>
  <c r="S5127" i="2" s="1"/>
  <c r="I5128" i="2"/>
  <c r="J5128" i="2"/>
  <c r="K5128" i="2"/>
  <c r="O5128" i="2"/>
  <c r="R5128" i="2"/>
  <c r="S5128" i="2" s="1"/>
  <c r="I5129" i="2"/>
  <c r="J5129" i="2"/>
  <c r="K5129" i="2"/>
  <c r="O5129" i="2"/>
  <c r="R5129" i="2"/>
  <c r="S5129" i="2" s="1"/>
  <c r="I5130" i="2"/>
  <c r="J5130" i="2"/>
  <c r="K5130" i="2"/>
  <c r="O5130" i="2"/>
  <c r="R5130" i="2"/>
  <c r="S5130" i="2" s="1"/>
  <c r="I5131" i="2"/>
  <c r="J5131" i="2"/>
  <c r="K5131" i="2"/>
  <c r="O5131" i="2"/>
  <c r="R5131" i="2"/>
  <c r="S5131" i="2" s="1"/>
  <c r="I5132" i="2"/>
  <c r="J5132" i="2"/>
  <c r="K5132" i="2"/>
  <c r="O5132" i="2"/>
  <c r="R5132" i="2"/>
  <c r="S5132" i="2" s="1"/>
  <c r="I5133" i="2"/>
  <c r="J5133" i="2"/>
  <c r="K5133" i="2"/>
  <c r="O5133" i="2"/>
  <c r="R5133" i="2"/>
  <c r="S5133" i="2" s="1"/>
  <c r="I5134" i="2"/>
  <c r="J5134" i="2"/>
  <c r="K5134" i="2"/>
  <c r="O5134" i="2"/>
  <c r="R5134" i="2"/>
  <c r="S5134" i="2" s="1"/>
  <c r="I5135" i="2"/>
  <c r="J5135" i="2"/>
  <c r="K5135" i="2"/>
  <c r="O5135" i="2"/>
  <c r="R5135" i="2"/>
  <c r="S5135" i="2" s="1"/>
  <c r="I5136" i="2"/>
  <c r="J5136" i="2"/>
  <c r="K5136" i="2"/>
  <c r="O5136" i="2"/>
  <c r="R5136" i="2"/>
  <c r="S5136" i="2" s="1"/>
  <c r="I5137" i="2"/>
  <c r="J5137" i="2"/>
  <c r="K5137" i="2"/>
  <c r="O5137" i="2"/>
  <c r="R5137" i="2"/>
  <c r="S5137" i="2" s="1"/>
  <c r="I5138" i="2"/>
  <c r="J5138" i="2"/>
  <c r="K5138" i="2"/>
  <c r="O5138" i="2"/>
  <c r="R5138" i="2"/>
  <c r="S5138" i="2" s="1"/>
  <c r="I5139" i="2"/>
  <c r="J5139" i="2"/>
  <c r="K5139" i="2"/>
  <c r="O5139" i="2"/>
  <c r="R5139" i="2"/>
  <c r="S5139" i="2" s="1"/>
  <c r="I5140" i="2"/>
  <c r="J5140" i="2"/>
  <c r="K5140" i="2"/>
  <c r="O5140" i="2"/>
  <c r="R5140" i="2"/>
  <c r="S5140" i="2" s="1"/>
  <c r="I5141" i="2"/>
  <c r="J5141" i="2"/>
  <c r="K5141" i="2"/>
  <c r="O5141" i="2"/>
  <c r="R5141" i="2"/>
  <c r="S5141" i="2" s="1"/>
  <c r="I5142" i="2"/>
  <c r="J5142" i="2"/>
  <c r="K5142" i="2"/>
  <c r="O5142" i="2"/>
  <c r="R5142" i="2"/>
  <c r="S5142" i="2" s="1"/>
  <c r="I5143" i="2"/>
  <c r="J5143" i="2"/>
  <c r="K5143" i="2"/>
  <c r="O5143" i="2"/>
  <c r="R5143" i="2"/>
  <c r="S5143" i="2" s="1"/>
  <c r="I5144" i="2"/>
  <c r="J5144" i="2"/>
  <c r="K5144" i="2"/>
  <c r="O5144" i="2"/>
  <c r="R5144" i="2"/>
  <c r="S5144" i="2" s="1"/>
  <c r="I5145" i="2"/>
  <c r="J5145" i="2"/>
  <c r="K5145" i="2"/>
  <c r="O5145" i="2"/>
  <c r="R5145" i="2"/>
  <c r="S5145" i="2" s="1"/>
  <c r="I5146" i="2"/>
  <c r="J5146" i="2"/>
  <c r="K5146" i="2"/>
  <c r="O5146" i="2"/>
  <c r="R5146" i="2"/>
  <c r="S5146" i="2" s="1"/>
  <c r="I5147" i="2"/>
  <c r="J5147" i="2"/>
  <c r="K5147" i="2"/>
  <c r="O5147" i="2"/>
  <c r="R5147" i="2"/>
  <c r="S5147" i="2" s="1"/>
  <c r="I5148" i="2"/>
  <c r="J5148" i="2"/>
  <c r="K5148" i="2"/>
  <c r="O5148" i="2"/>
  <c r="R5148" i="2"/>
  <c r="S5148" i="2" s="1"/>
  <c r="I5149" i="2"/>
  <c r="J5149" i="2"/>
  <c r="K5149" i="2"/>
  <c r="O5149" i="2"/>
  <c r="R5149" i="2"/>
  <c r="S5149" i="2" s="1"/>
  <c r="I5150" i="2"/>
  <c r="J5150" i="2"/>
  <c r="K5150" i="2"/>
  <c r="O5150" i="2"/>
  <c r="R5150" i="2"/>
  <c r="S5150" i="2" s="1"/>
  <c r="I5151" i="2"/>
  <c r="J5151" i="2"/>
  <c r="K5151" i="2"/>
  <c r="O5151" i="2"/>
  <c r="R5151" i="2"/>
  <c r="S5151" i="2" s="1"/>
  <c r="I5152" i="2"/>
  <c r="J5152" i="2"/>
  <c r="K5152" i="2"/>
  <c r="O5152" i="2"/>
  <c r="R5152" i="2"/>
  <c r="S5152" i="2" s="1"/>
  <c r="I5153" i="2"/>
  <c r="J5153" i="2"/>
  <c r="K5153" i="2"/>
  <c r="O5153" i="2"/>
  <c r="R5153" i="2"/>
  <c r="S5153" i="2" s="1"/>
  <c r="I5154" i="2"/>
  <c r="J5154" i="2"/>
  <c r="K5154" i="2"/>
  <c r="O5154" i="2"/>
  <c r="R5154" i="2"/>
  <c r="S5154" i="2" s="1"/>
  <c r="I5155" i="2"/>
  <c r="J5155" i="2"/>
  <c r="K5155" i="2"/>
  <c r="O5155" i="2"/>
  <c r="R5155" i="2"/>
  <c r="S5155" i="2" s="1"/>
  <c r="I5156" i="2"/>
  <c r="J5156" i="2"/>
  <c r="K5156" i="2"/>
  <c r="O5156" i="2"/>
  <c r="R5156" i="2"/>
  <c r="S5156" i="2" s="1"/>
  <c r="I5157" i="2"/>
  <c r="J5157" i="2"/>
  <c r="K5157" i="2"/>
  <c r="O5157" i="2"/>
  <c r="R5157" i="2"/>
  <c r="S5157" i="2" s="1"/>
  <c r="I5158" i="2"/>
  <c r="J5158" i="2"/>
  <c r="K5158" i="2"/>
  <c r="O5158" i="2"/>
  <c r="R5158" i="2"/>
  <c r="S5158" i="2" s="1"/>
  <c r="I5159" i="2"/>
  <c r="J5159" i="2"/>
  <c r="K5159" i="2"/>
  <c r="O5159" i="2"/>
  <c r="R5159" i="2"/>
  <c r="S5159" i="2" s="1"/>
  <c r="I5160" i="2"/>
  <c r="J5160" i="2"/>
  <c r="K5160" i="2"/>
  <c r="O5160" i="2"/>
  <c r="R5160" i="2"/>
  <c r="S5160" i="2" s="1"/>
  <c r="I5161" i="2"/>
  <c r="J5161" i="2"/>
  <c r="K5161" i="2"/>
  <c r="O5161" i="2"/>
  <c r="R5161" i="2"/>
  <c r="S5161" i="2" s="1"/>
  <c r="I5162" i="2"/>
  <c r="J5162" i="2"/>
  <c r="K5162" i="2"/>
  <c r="O5162" i="2"/>
  <c r="R5162" i="2"/>
  <c r="S5162" i="2" s="1"/>
  <c r="I5163" i="2"/>
  <c r="J5163" i="2"/>
  <c r="K5163" i="2"/>
  <c r="O5163" i="2"/>
  <c r="R5163" i="2"/>
  <c r="S5163" i="2" s="1"/>
  <c r="I5164" i="2"/>
  <c r="J5164" i="2"/>
  <c r="K5164" i="2"/>
  <c r="O5164" i="2"/>
  <c r="R5164" i="2"/>
  <c r="S5164" i="2" s="1"/>
  <c r="I5165" i="2"/>
  <c r="J5165" i="2"/>
  <c r="K5165" i="2"/>
  <c r="O5165" i="2"/>
  <c r="R5165" i="2"/>
  <c r="S5165" i="2" s="1"/>
  <c r="I5166" i="2"/>
  <c r="J5166" i="2"/>
  <c r="K5166" i="2"/>
  <c r="O5166" i="2"/>
  <c r="R5166" i="2"/>
  <c r="S5166" i="2" s="1"/>
  <c r="I5167" i="2"/>
  <c r="J5167" i="2"/>
  <c r="K5167" i="2"/>
  <c r="O5167" i="2"/>
  <c r="R5167" i="2"/>
  <c r="S5167" i="2" s="1"/>
  <c r="I5168" i="2"/>
  <c r="J5168" i="2"/>
  <c r="K5168" i="2"/>
  <c r="O5168" i="2"/>
  <c r="R5168" i="2"/>
  <c r="S5168" i="2" s="1"/>
  <c r="I5169" i="2"/>
  <c r="J5169" i="2"/>
  <c r="K5169" i="2"/>
  <c r="O5169" i="2"/>
  <c r="R5169" i="2"/>
  <c r="S5169" i="2" s="1"/>
  <c r="I5170" i="2"/>
  <c r="J5170" i="2"/>
  <c r="K5170" i="2"/>
  <c r="O5170" i="2"/>
  <c r="R5170" i="2"/>
  <c r="S5170" i="2" s="1"/>
  <c r="I5171" i="2"/>
  <c r="J5171" i="2"/>
  <c r="K5171" i="2"/>
  <c r="O5171" i="2"/>
  <c r="R5171" i="2"/>
  <c r="S5171" i="2" s="1"/>
  <c r="I5172" i="2"/>
  <c r="J5172" i="2"/>
  <c r="K5172" i="2"/>
  <c r="O5172" i="2"/>
  <c r="R5172" i="2"/>
  <c r="S5172" i="2" s="1"/>
  <c r="I5173" i="2"/>
  <c r="J5173" i="2"/>
  <c r="K5173" i="2"/>
  <c r="O5173" i="2"/>
  <c r="R5173" i="2"/>
  <c r="S5173" i="2" s="1"/>
  <c r="I5174" i="2"/>
  <c r="J5174" i="2"/>
  <c r="K5174" i="2"/>
  <c r="O5174" i="2"/>
  <c r="R5174" i="2"/>
  <c r="S5174" i="2" s="1"/>
  <c r="I5175" i="2"/>
  <c r="J5175" i="2"/>
  <c r="K5175" i="2"/>
  <c r="O5175" i="2"/>
  <c r="R5175" i="2"/>
  <c r="S5175" i="2" s="1"/>
  <c r="I5176" i="2"/>
  <c r="J5176" i="2"/>
  <c r="K5176" i="2"/>
  <c r="O5176" i="2"/>
  <c r="R5176" i="2"/>
  <c r="S5176" i="2" s="1"/>
  <c r="I5177" i="2"/>
  <c r="J5177" i="2"/>
  <c r="K5177" i="2"/>
  <c r="O5177" i="2"/>
  <c r="R5177" i="2"/>
  <c r="S5177" i="2" s="1"/>
  <c r="I5178" i="2"/>
  <c r="J5178" i="2"/>
  <c r="K5178" i="2"/>
  <c r="O5178" i="2"/>
  <c r="R5178" i="2"/>
  <c r="S5178" i="2" s="1"/>
  <c r="I5179" i="2"/>
  <c r="J5179" i="2"/>
  <c r="K5179" i="2"/>
  <c r="O5179" i="2"/>
  <c r="R5179" i="2"/>
  <c r="S5179" i="2" s="1"/>
  <c r="I5180" i="2"/>
  <c r="J5180" i="2"/>
  <c r="K5180" i="2"/>
  <c r="O5180" i="2"/>
  <c r="R5180" i="2"/>
  <c r="S5180" i="2" s="1"/>
  <c r="I5181" i="2"/>
  <c r="J5181" i="2"/>
  <c r="K5181" i="2"/>
  <c r="O5181" i="2"/>
  <c r="R5181" i="2"/>
  <c r="S5181" i="2" s="1"/>
  <c r="I5182" i="2"/>
  <c r="J5182" i="2"/>
  <c r="K5182" i="2"/>
  <c r="O5182" i="2"/>
  <c r="R5182" i="2"/>
  <c r="S5182" i="2" s="1"/>
  <c r="I5183" i="2"/>
  <c r="J5183" i="2"/>
  <c r="K5183" i="2"/>
  <c r="O5183" i="2"/>
  <c r="R5183" i="2"/>
  <c r="S5183" i="2" s="1"/>
  <c r="I5184" i="2"/>
  <c r="J5184" i="2"/>
  <c r="K5184" i="2"/>
  <c r="O5184" i="2"/>
  <c r="R5184" i="2"/>
  <c r="S5184" i="2" s="1"/>
  <c r="I5185" i="2"/>
  <c r="J5185" i="2"/>
  <c r="K5185" i="2"/>
  <c r="O5185" i="2"/>
  <c r="R5185" i="2"/>
  <c r="S5185" i="2" s="1"/>
  <c r="I5186" i="2"/>
  <c r="J5186" i="2"/>
  <c r="K5186" i="2"/>
  <c r="O5186" i="2"/>
  <c r="R5186" i="2"/>
  <c r="S5186" i="2" s="1"/>
  <c r="I5187" i="2"/>
  <c r="J5187" i="2"/>
  <c r="K5187" i="2"/>
  <c r="O5187" i="2"/>
  <c r="R5187" i="2"/>
  <c r="S5187" i="2" s="1"/>
  <c r="I5188" i="2"/>
  <c r="J5188" i="2"/>
  <c r="K5188" i="2"/>
  <c r="O5188" i="2"/>
  <c r="R5188" i="2"/>
  <c r="S5188" i="2" s="1"/>
  <c r="I5189" i="2"/>
  <c r="J5189" i="2"/>
  <c r="K5189" i="2"/>
  <c r="O5189" i="2"/>
  <c r="R5189" i="2"/>
  <c r="S5189" i="2" s="1"/>
  <c r="I5190" i="2"/>
  <c r="J5190" i="2"/>
  <c r="K5190" i="2"/>
  <c r="O5190" i="2"/>
  <c r="R5190" i="2"/>
  <c r="S5190" i="2" s="1"/>
  <c r="I5191" i="2"/>
  <c r="J5191" i="2"/>
  <c r="K5191" i="2"/>
  <c r="O5191" i="2"/>
  <c r="R5191" i="2"/>
  <c r="S5191" i="2" s="1"/>
  <c r="I5192" i="2"/>
  <c r="J5192" i="2"/>
  <c r="K5192" i="2"/>
  <c r="O5192" i="2"/>
  <c r="R5192" i="2"/>
  <c r="S5192" i="2" s="1"/>
  <c r="I5193" i="2"/>
  <c r="J5193" i="2"/>
  <c r="K5193" i="2"/>
  <c r="O5193" i="2"/>
  <c r="R5193" i="2"/>
  <c r="S5193" i="2" s="1"/>
  <c r="I5194" i="2"/>
  <c r="J5194" i="2"/>
  <c r="K5194" i="2"/>
  <c r="O5194" i="2"/>
  <c r="R5194" i="2"/>
  <c r="S5194" i="2" s="1"/>
  <c r="I5195" i="2"/>
  <c r="J5195" i="2"/>
  <c r="K5195" i="2"/>
  <c r="O5195" i="2"/>
  <c r="R5195" i="2"/>
  <c r="S5195" i="2" s="1"/>
  <c r="I5196" i="2"/>
  <c r="J5196" i="2"/>
  <c r="K5196" i="2"/>
  <c r="O5196" i="2"/>
  <c r="R5196" i="2"/>
  <c r="S5196" i="2" s="1"/>
  <c r="I5197" i="2"/>
  <c r="J5197" i="2"/>
  <c r="K5197" i="2"/>
  <c r="O5197" i="2"/>
  <c r="R5197" i="2"/>
  <c r="S5197" i="2" s="1"/>
  <c r="I5198" i="2"/>
  <c r="J5198" i="2"/>
  <c r="K5198" i="2"/>
  <c r="O5198" i="2"/>
  <c r="R5198" i="2"/>
  <c r="S5198" i="2" s="1"/>
  <c r="I5199" i="2"/>
  <c r="J5199" i="2"/>
  <c r="K5199" i="2"/>
  <c r="O5199" i="2"/>
  <c r="R5199" i="2"/>
  <c r="S5199" i="2" s="1"/>
  <c r="I5200" i="2"/>
  <c r="J5200" i="2"/>
  <c r="K5200" i="2"/>
  <c r="O5200" i="2"/>
  <c r="R5200" i="2"/>
  <c r="S5200" i="2" s="1"/>
  <c r="I5201" i="2"/>
  <c r="J5201" i="2"/>
  <c r="K5201" i="2"/>
  <c r="O5201" i="2"/>
  <c r="R5201" i="2"/>
  <c r="S5201" i="2" s="1"/>
  <c r="I5202" i="2"/>
  <c r="J5202" i="2"/>
  <c r="K5202" i="2"/>
  <c r="O5202" i="2"/>
  <c r="R5202" i="2"/>
  <c r="S5202" i="2" s="1"/>
  <c r="I5203" i="2"/>
  <c r="J5203" i="2"/>
  <c r="K5203" i="2"/>
  <c r="O5203" i="2"/>
  <c r="R5203" i="2"/>
  <c r="S5203" i="2" s="1"/>
  <c r="I5204" i="2"/>
  <c r="J5204" i="2"/>
  <c r="K5204" i="2"/>
  <c r="O5204" i="2"/>
  <c r="R5204" i="2"/>
  <c r="S5204" i="2" s="1"/>
  <c r="I5205" i="2"/>
  <c r="J5205" i="2"/>
  <c r="K5205" i="2"/>
  <c r="O5205" i="2"/>
  <c r="R5205" i="2"/>
  <c r="S5205" i="2" s="1"/>
  <c r="I5206" i="2"/>
  <c r="J5206" i="2"/>
  <c r="K5206" i="2"/>
  <c r="O5206" i="2"/>
  <c r="R5206" i="2"/>
  <c r="S5206" i="2" s="1"/>
  <c r="I5207" i="2"/>
  <c r="J5207" i="2"/>
  <c r="K5207" i="2"/>
  <c r="O5207" i="2"/>
  <c r="R5207" i="2"/>
  <c r="S5207" i="2" s="1"/>
  <c r="I5208" i="2"/>
  <c r="J5208" i="2"/>
  <c r="K5208" i="2"/>
  <c r="O5208" i="2"/>
  <c r="R5208" i="2"/>
  <c r="S5208" i="2" s="1"/>
  <c r="I5209" i="2"/>
  <c r="J5209" i="2"/>
  <c r="K5209" i="2"/>
  <c r="O5209" i="2"/>
  <c r="R5209" i="2"/>
  <c r="S5209" i="2" s="1"/>
  <c r="I5210" i="2"/>
  <c r="J5210" i="2"/>
  <c r="K5210" i="2"/>
  <c r="O5210" i="2"/>
  <c r="R5210" i="2"/>
  <c r="S5210" i="2" s="1"/>
  <c r="I5211" i="2"/>
  <c r="J5211" i="2"/>
  <c r="K5211" i="2"/>
  <c r="O5211" i="2"/>
  <c r="R5211" i="2"/>
  <c r="S5211" i="2" s="1"/>
  <c r="I5212" i="2"/>
  <c r="J5212" i="2"/>
  <c r="K5212" i="2"/>
  <c r="O5212" i="2"/>
  <c r="R5212" i="2"/>
  <c r="S5212" i="2" s="1"/>
  <c r="I5213" i="2"/>
  <c r="J5213" i="2"/>
  <c r="K5213" i="2"/>
  <c r="O5213" i="2"/>
  <c r="R5213" i="2"/>
  <c r="S5213" i="2" s="1"/>
  <c r="I5214" i="2"/>
  <c r="J5214" i="2"/>
  <c r="K5214" i="2"/>
  <c r="O5214" i="2"/>
  <c r="R5214" i="2"/>
  <c r="S5214" i="2" s="1"/>
  <c r="I5215" i="2"/>
  <c r="J5215" i="2"/>
  <c r="K5215" i="2"/>
  <c r="O5215" i="2"/>
  <c r="R5215" i="2"/>
  <c r="S5215" i="2" s="1"/>
  <c r="I5216" i="2"/>
  <c r="J5216" i="2"/>
  <c r="K5216" i="2"/>
  <c r="O5216" i="2"/>
  <c r="R5216" i="2"/>
  <c r="S5216" i="2" s="1"/>
  <c r="I5217" i="2"/>
  <c r="J5217" i="2"/>
  <c r="K5217" i="2"/>
  <c r="O5217" i="2"/>
  <c r="R5217" i="2"/>
  <c r="S5217" i="2" s="1"/>
  <c r="I5218" i="2"/>
  <c r="J5218" i="2"/>
  <c r="K5218" i="2"/>
  <c r="O5218" i="2"/>
  <c r="R5218" i="2"/>
  <c r="S5218" i="2" s="1"/>
  <c r="I5219" i="2"/>
  <c r="J5219" i="2"/>
  <c r="K5219" i="2"/>
  <c r="O5219" i="2"/>
  <c r="R5219" i="2"/>
  <c r="S5219" i="2" s="1"/>
  <c r="I5220" i="2"/>
  <c r="J5220" i="2"/>
  <c r="K5220" i="2"/>
  <c r="O5220" i="2"/>
  <c r="R5220" i="2"/>
  <c r="S5220" i="2" s="1"/>
  <c r="I5221" i="2"/>
  <c r="J5221" i="2"/>
  <c r="K5221" i="2"/>
  <c r="O5221" i="2"/>
  <c r="R5221" i="2"/>
  <c r="S5221" i="2" s="1"/>
  <c r="I5222" i="2"/>
  <c r="J5222" i="2"/>
  <c r="K5222" i="2"/>
  <c r="O5222" i="2"/>
  <c r="R5222" i="2"/>
  <c r="S5222" i="2" s="1"/>
  <c r="I5223" i="2"/>
  <c r="J5223" i="2"/>
  <c r="K5223" i="2"/>
  <c r="O5223" i="2"/>
  <c r="R5223" i="2"/>
  <c r="S5223" i="2" s="1"/>
  <c r="I5224" i="2"/>
  <c r="J5224" i="2"/>
  <c r="K5224" i="2"/>
  <c r="O5224" i="2"/>
  <c r="R5224" i="2"/>
  <c r="S5224" i="2" s="1"/>
  <c r="I5225" i="2"/>
  <c r="J5225" i="2"/>
  <c r="K5225" i="2"/>
  <c r="O5225" i="2"/>
  <c r="R5225" i="2"/>
  <c r="S5225" i="2" s="1"/>
  <c r="I5226" i="2"/>
  <c r="J5226" i="2"/>
  <c r="K5226" i="2"/>
  <c r="O5226" i="2"/>
  <c r="R5226" i="2"/>
  <c r="S5226" i="2" s="1"/>
  <c r="I5227" i="2"/>
  <c r="J5227" i="2"/>
  <c r="K5227" i="2"/>
  <c r="O5227" i="2"/>
  <c r="R5227" i="2"/>
  <c r="S5227" i="2" s="1"/>
  <c r="I5228" i="2"/>
  <c r="J5228" i="2"/>
  <c r="K5228" i="2"/>
  <c r="O5228" i="2"/>
  <c r="R5228" i="2"/>
  <c r="S5228" i="2" s="1"/>
  <c r="I5229" i="2"/>
  <c r="J5229" i="2"/>
  <c r="K5229" i="2"/>
  <c r="O5229" i="2"/>
  <c r="R5229" i="2"/>
  <c r="S5229" i="2" s="1"/>
  <c r="I5230" i="2"/>
  <c r="J5230" i="2"/>
  <c r="K5230" i="2"/>
  <c r="O5230" i="2"/>
  <c r="R5230" i="2"/>
  <c r="S5230" i="2" s="1"/>
  <c r="I5231" i="2"/>
  <c r="J5231" i="2"/>
  <c r="K5231" i="2"/>
  <c r="O5231" i="2"/>
  <c r="R5231" i="2"/>
  <c r="S5231" i="2" s="1"/>
  <c r="I5232" i="2"/>
  <c r="J5232" i="2"/>
  <c r="K5232" i="2"/>
  <c r="O5232" i="2"/>
  <c r="R5232" i="2"/>
  <c r="S5232" i="2" s="1"/>
  <c r="I5233" i="2"/>
  <c r="J5233" i="2"/>
  <c r="K5233" i="2"/>
  <c r="O5233" i="2"/>
  <c r="R5233" i="2"/>
  <c r="S5233" i="2" s="1"/>
  <c r="I5234" i="2"/>
  <c r="J5234" i="2"/>
  <c r="K5234" i="2"/>
  <c r="O5234" i="2"/>
  <c r="R5234" i="2"/>
  <c r="S5234" i="2" s="1"/>
  <c r="I5235" i="2"/>
  <c r="J5235" i="2"/>
  <c r="K5235" i="2"/>
  <c r="O5235" i="2"/>
  <c r="R5235" i="2"/>
  <c r="S5235" i="2" s="1"/>
  <c r="I5236" i="2"/>
  <c r="J5236" i="2"/>
  <c r="K5236" i="2"/>
  <c r="O5236" i="2"/>
  <c r="R5236" i="2"/>
  <c r="S5236" i="2" s="1"/>
  <c r="I5237" i="2"/>
  <c r="J5237" i="2"/>
  <c r="K5237" i="2"/>
  <c r="O5237" i="2"/>
  <c r="R5237" i="2"/>
  <c r="S5237" i="2" s="1"/>
  <c r="I5238" i="2"/>
  <c r="J5238" i="2"/>
  <c r="K5238" i="2"/>
  <c r="O5238" i="2"/>
  <c r="R5238" i="2"/>
  <c r="S5238" i="2" s="1"/>
  <c r="I5239" i="2"/>
  <c r="J5239" i="2"/>
  <c r="K5239" i="2"/>
  <c r="O5239" i="2"/>
  <c r="R5239" i="2"/>
  <c r="S5239" i="2" s="1"/>
  <c r="I5240" i="2"/>
  <c r="J5240" i="2"/>
  <c r="K5240" i="2"/>
  <c r="O5240" i="2"/>
  <c r="R5240" i="2"/>
  <c r="S5240" i="2" s="1"/>
  <c r="I5241" i="2"/>
  <c r="J5241" i="2"/>
  <c r="K5241" i="2"/>
  <c r="O5241" i="2"/>
  <c r="R5241" i="2"/>
  <c r="S5241" i="2" s="1"/>
  <c r="I5242" i="2"/>
  <c r="J5242" i="2"/>
  <c r="K5242" i="2"/>
  <c r="O5242" i="2"/>
  <c r="R5242" i="2"/>
  <c r="S5242" i="2" s="1"/>
  <c r="I5243" i="2"/>
  <c r="J5243" i="2"/>
  <c r="K5243" i="2"/>
  <c r="O5243" i="2"/>
  <c r="R5243" i="2"/>
  <c r="S5243" i="2" s="1"/>
  <c r="I5244" i="2"/>
  <c r="J5244" i="2"/>
  <c r="K5244" i="2"/>
  <c r="O5244" i="2"/>
  <c r="R5244" i="2"/>
  <c r="S5244" i="2" s="1"/>
  <c r="I5245" i="2"/>
  <c r="J5245" i="2"/>
  <c r="K5245" i="2"/>
  <c r="O5245" i="2"/>
  <c r="R5245" i="2"/>
  <c r="S5245" i="2" s="1"/>
  <c r="I5246" i="2"/>
  <c r="J5246" i="2"/>
  <c r="K5246" i="2"/>
  <c r="O5246" i="2"/>
  <c r="R5246" i="2"/>
  <c r="S5246" i="2" s="1"/>
  <c r="I5247" i="2"/>
  <c r="J5247" i="2"/>
  <c r="K5247" i="2"/>
  <c r="O5247" i="2"/>
  <c r="R5247" i="2"/>
  <c r="S5247" i="2" s="1"/>
  <c r="I5248" i="2"/>
  <c r="J5248" i="2"/>
  <c r="K5248" i="2"/>
  <c r="O5248" i="2"/>
  <c r="R5248" i="2"/>
  <c r="S5248" i="2" s="1"/>
  <c r="I5249" i="2"/>
  <c r="J5249" i="2"/>
  <c r="K5249" i="2"/>
  <c r="O5249" i="2"/>
  <c r="R5249" i="2"/>
  <c r="S5249" i="2" s="1"/>
  <c r="I5250" i="2"/>
  <c r="J5250" i="2"/>
  <c r="K5250" i="2"/>
  <c r="O5250" i="2"/>
  <c r="R5250" i="2"/>
  <c r="S5250" i="2" s="1"/>
  <c r="I5251" i="2"/>
  <c r="J5251" i="2"/>
  <c r="K5251" i="2"/>
  <c r="O5251" i="2"/>
  <c r="R5251" i="2"/>
  <c r="S5251" i="2" s="1"/>
  <c r="I5252" i="2"/>
  <c r="J5252" i="2"/>
  <c r="K5252" i="2"/>
  <c r="O5252" i="2"/>
  <c r="R5252" i="2"/>
  <c r="S5252" i="2" s="1"/>
  <c r="I5253" i="2"/>
  <c r="J5253" i="2"/>
  <c r="K5253" i="2"/>
  <c r="O5253" i="2"/>
  <c r="R5253" i="2"/>
  <c r="S5253" i="2" s="1"/>
  <c r="I5254" i="2"/>
  <c r="J5254" i="2"/>
  <c r="K5254" i="2"/>
  <c r="O5254" i="2"/>
  <c r="R5254" i="2"/>
  <c r="S5254" i="2" s="1"/>
  <c r="I5255" i="2"/>
  <c r="J5255" i="2"/>
  <c r="K5255" i="2"/>
  <c r="O5255" i="2"/>
  <c r="R5255" i="2"/>
  <c r="S5255" i="2" s="1"/>
  <c r="I5256" i="2"/>
  <c r="J5256" i="2"/>
  <c r="K5256" i="2"/>
  <c r="O5256" i="2"/>
  <c r="R5256" i="2"/>
  <c r="S5256" i="2" s="1"/>
  <c r="I5257" i="2"/>
  <c r="J5257" i="2"/>
  <c r="K5257" i="2"/>
  <c r="O5257" i="2"/>
  <c r="R5257" i="2"/>
  <c r="S5257" i="2" s="1"/>
  <c r="I5258" i="2"/>
  <c r="J5258" i="2"/>
  <c r="K5258" i="2"/>
  <c r="O5258" i="2"/>
  <c r="R5258" i="2"/>
  <c r="S5258" i="2" s="1"/>
  <c r="I5259" i="2"/>
  <c r="J5259" i="2"/>
  <c r="K5259" i="2"/>
  <c r="O5259" i="2"/>
  <c r="R5259" i="2"/>
  <c r="S5259" i="2" s="1"/>
  <c r="I5260" i="2"/>
  <c r="J5260" i="2"/>
  <c r="K5260" i="2"/>
  <c r="O5260" i="2"/>
  <c r="R5260" i="2"/>
  <c r="S5260" i="2" s="1"/>
  <c r="I5261" i="2"/>
  <c r="J5261" i="2"/>
  <c r="K5261" i="2"/>
  <c r="O5261" i="2"/>
  <c r="R5261" i="2"/>
  <c r="S5261" i="2" s="1"/>
  <c r="I5262" i="2"/>
  <c r="J5262" i="2"/>
  <c r="K5262" i="2"/>
  <c r="O5262" i="2"/>
  <c r="R5262" i="2"/>
  <c r="S5262" i="2" s="1"/>
  <c r="I5263" i="2"/>
  <c r="J5263" i="2"/>
  <c r="K5263" i="2"/>
  <c r="O5263" i="2"/>
  <c r="R5263" i="2"/>
  <c r="S5263" i="2" s="1"/>
  <c r="I5264" i="2"/>
  <c r="J5264" i="2"/>
  <c r="K5264" i="2"/>
  <c r="O5264" i="2"/>
  <c r="R5264" i="2"/>
  <c r="S5264" i="2" s="1"/>
  <c r="I5265" i="2"/>
  <c r="J5265" i="2"/>
  <c r="K5265" i="2"/>
  <c r="O5265" i="2"/>
  <c r="R5265" i="2"/>
  <c r="S5265" i="2" s="1"/>
  <c r="I5266" i="2"/>
  <c r="J5266" i="2"/>
  <c r="K5266" i="2"/>
  <c r="O5266" i="2"/>
  <c r="R5266" i="2"/>
  <c r="S5266" i="2" s="1"/>
  <c r="I5267" i="2"/>
  <c r="J5267" i="2"/>
  <c r="K5267" i="2"/>
  <c r="O5267" i="2"/>
  <c r="R5267" i="2"/>
  <c r="S5267" i="2" s="1"/>
  <c r="I5268" i="2"/>
  <c r="J5268" i="2"/>
  <c r="K5268" i="2"/>
  <c r="O5268" i="2"/>
  <c r="R5268" i="2"/>
  <c r="S5268" i="2" s="1"/>
  <c r="I5269" i="2"/>
  <c r="J5269" i="2"/>
  <c r="K5269" i="2"/>
  <c r="O5269" i="2"/>
  <c r="R5269" i="2"/>
  <c r="S5269" i="2" s="1"/>
  <c r="I5270" i="2"/>
  <c r="J5270" i="2"/>
  <c r="K5270" i="2"/>
  <c r="O5270" i="2"/>
  <c r="R5270" i="2"/>
  <c r="S5270" i="2" s="1"/>
  <c r="I5271" i="2"/>
  <c r="J5271" i="2"/>
  <c r="K5271" i="2"/>
  <c r="O5271" i="2"/>
  <c r="R5271" i="2"/>
  <c r="S5271" i="2" s="1"/>
  <c r="I5272" i="2"/>
  <c r="J5272" i="2"/>
  <c r="K5272" i="2"/>
  <c r="O5272" i="2"/>
  <c r="R5272" i="2"/>
  <c r="S5272" i="2" s="1"/>
  <c r="I5273" i="2"/>
  <c r="J5273" i="2"/>
  <c r="K5273" i="2"/>
  <c r="O5273" i="2"/>
  <c r="R5273" i="2"/>
  <c r="S5273" i="2" s="1"/>
  <c r="I5274" i="2"/>
  <c r="J5274" i="2"/>
  <c r="K5274" i="2"/>
  <c r="O5274" i="2"/>
  <c r="R5274" i="2"/>
  <c r="S5274" i="2" s="1"/>
  <c r="I5275" i="2"/>
  <c r="J5275" i="2"/>
  <c r="K5275" i="2"/>
  <c r="O5275" i="2"/>
  <c r="R5275" i="2"/>
  <c r="S5275" i="2" s="1"/>
  <c r="I5276" i="2"/>
  <c r="J5276" i="2"/>
  <c r="K5276" i="2"/>
  <c r="O5276" i="2"/>
  <c r="R5276" i="2"/>
  <c r="S5276" i="2" s="1"/>
  <c r="I5277" i="2"/>
  <c r="J5277" i="2"/>
  <c r="K5277" i="2"/>
  <c r="O5277" i="2"/>
  <c r="R5277" i="2"/>
  <c r="S5277" i="2" s="1"/>
  <c r="I5278" i="2"/>
  <c r="J5278" i="2"/>
  <c r="K5278" i="2"/>
  <c r="O5278" i="2"/>
  <c r="R5278" i="2"/>
  <c r="S5278" i="2" s="1"/>
  <c r="I5279" i="2"/>
  <c r="J5279" i="2"/>
  <c r="K5279" i="2"/>
  <c r="O5279" i="2"/>
  <c r="R5279" i="2"/>
  <c r="S5279" i="2" s="1"/>
  <c r="I5280" i="2"/>
  <c r="J5280" i="2"/>
  <c r="K5280" i="2"/>
  <c r="O5280" i="2"/>
  <c r="R5280" i="2"/>
  <c r="S5280" i="2" s="1"/>
  <c r="I5281" i="2"/>
  <c r="J5281" i="2"/>
  <c r="K5281" i="2"/>
  <c r="O5281" i="2"/>
  <c r="R5281" i="2"/>
  <c r="S5281" i="2" s="1"/>
  <c r="I5282" i="2"/>
  <c r="J5282" i="2"/>
  <c r="K5282" i="2"/>
  <c r="O5282" i="2"/>
  <c r="R5282" i="2"/>
  <c r="S5282" i="2" s="1"/>
  <c r="I5283" i="2"/>
  <c r="J5283" i="2"/>
  <c r="K5283" i="2"/>
  <c r="O5283" i="2"/>
  <c r="R5283" i="2"/>
  <c r="S5283" i="2" s="1"/>
  <c r="I5284" i="2"/>
  <c r="J5284" i="2"/>
  <c r="K5284" i="2"/>
  <c r="O5284" i="2"/>
  <c r="R5284" i="2"/>
  <c r="S5284" i="2" s="1"/>
  <c r="I5285" i="2"/>
  <c r="J5285" i="2"/>
  <c r="K5285" i="2"/>
  <c r="O5285" i="2"/>
  <c r="R5285" i="2"/>
  <c r="S5285" i="2" s="1"/>
  <c r="I5286" i="2"/>
  <c r="J5286" i="2"/>
  <c r="K5286" i="2"/>
  <c r="O5286" i="2"/>
  <c r="R5286" i="2"/>
  <c r="S5286" i="2" s="1"/>
  <c r="I5287" i="2"/>
  <c r="J5287" i="2"/>
  <c r="K5287" i="2"/>
  <c r="O5287" i="2"/>
  <c r="R5287" i="2"/>
  <c r="S5287" i="2" s="1"/>
  <c r="I5288" i="2"/>
  <c r="J5288" i="2"/>
  <c r="K5288" i="2"/>
  <c r="O5288" i="2"/>
  <c r="R5288" i="2"/>
  <c r="S5288" i="2" s="1"/>
  <c r="I5289" i="2"/>
  <c r="J5289" i="2"/>
  <c r="K5289" i="2"/>
  <c r="O5289" i="2"/>
  <c r="R5289" i="2"/>
  <c r="S5289" i="2" s="1"/>
  <c r="I5290" i="2"/>
  <c r="J5290" i="2"/>
  <c r="K5290" i="2"/>
  <c r="O5290" i="2"/>
  <c r="R5290" i="2"/>
  <c r="S5290" i="2" s="1"/>
  <c r="I5291" i="2"/>
  <c r="J5291" i="2"/>
  <c r="K5291" i="2"/>
  <c r="O5291" i="2"/>
  <c r="R5291" i="2"/>
  <c r="S5291" i="2" s="1"/>
  <c r="I5292" i="2"/>
  <c r="J5292" i="2"/>
  <c r="K5292" i="2"/>
  <c r="O5292" i="2"/>
  <c r="R5292" i="2"/>
  <c r="S5292" i="2" s="1"/>
  <c r="I5293" i="2"/>
  <c r="J5293" i="2"/>
  <c r="K5293" i="2"/>
  <c r="O5293" i="2"/>
  <c r="R5293" i="2"/>
  <c r="S5293" i="2" s="1"/>
  <c r="I5294" i="2"/>
  <c r="J5294" i="2"/>
  <c r="K5294" i="2"/>
  <c r="O5294" i="2"/>
  <c r="R5294" i="2"/>
  <c r="S5294" i="2" s="1"/>
  <c r="I5295" i="2"/>
  <c r="J5295" i="2"/>
  <c r="K5295" i="2"/>
  <c r="O5295" i="2"/>
  <c r="R5295" i="2"/>
  <c r="S5295" i="2" s="1"/>
  <c r="I5296" i="2"/>
  <c r="J5296" i="2"/>
  <c r="K5296" i="2"/>
  <c r="O5296" i="2"/>
  <c r="R5296" i="2"/>
  <c r="S5296" i="2" s="1"/>
  <c r="I5297" i="2"/>
  <c r="J5297" i="2"/>
  <c r="K5297" i="2"/>
  <c r="O5297" i="2"/>
  <c r="R5297" i="2"/>
  <c r="S5297" i="2" s="1"/>
  <c r="I5298" i="2"/>
  <c r="J5298" i="2"/>
  <c r="K5298" i="2"/>
  <c r="O5298" i="2"/>
  <c r="R5298" i="2"/>
  <c r="S5298" i="2" s="1"/>
  <c r="I5299" i="2"/>
  <c r="J5299" i="2"/>
  <c r="K5299" i="2"/>
  <c r="O5299" i="2"/>
  <c r="R5299" i="2"/>
  <c r="S5299" i="2" s="1"/>
  <c r="I5300" i="2"/>
  <c r="J5300" i="2"/>
  <c r="K5300" i="2"/>
  <c r="O5300" i="2"/>
  <c r="R5300" i="2"/>
  <c r="S5300" i="2" s="1"/>
  <c r="I5301" i="2"/>
  <c r="J5301" i="2"/>
  <c r="K5301" i="2"/>
  <c r="O5301" i="2"/>
  <c r="R5301" i="2"/>
  <c r="S5301" i="2" s="1"/>
  <c r="I5302" i="2"/>
  <c r="J5302" i="2"/>
  <c r="K5302" i="2"/>
  <c r="O5302" i="2"/>
  <c r="R5302" i="2"/>
  <c r="S5302" i="2" s="1"/>
  <c r="I5303" i="2"/>
  <c r="J5303" i="2"/>
  <c r="K5303" i="2"/>
  <c r="O5303" i="2"/>
  <c r="R5303" i="2"/>
  <c r="S5303" i="2" s="1"/>
  <c r="I5304" i="2"/>
  <c r="J5304" i="2"/>
  <c r="K5304" i="2"/>
  <c r="O5304" i="2"/>
  <c r="R5304" i="2"/>
  <c r="S5304" i="2" s="1"/>
  <c r="I5305" i="2"/>
  <c r="J5305" i="2"/>
  <c r="K5305" i="2"/>
  <c r="O5305" i="2"/>
  <c r="R5305" i="2"/>
  <c r="S5305" i="2" s="1"/>
  <c r="I5306" i="2"/>
  <c r="J5306" i="2"/>
  <c r="K5306" i="2"/>
  <c r="O5306" i="2"/>
  <c r="R5306" i="2"/>
  <c r="S5306" i="2" s="1"/>
  <c r="I5307" i="2"/>
  <c r="J5307" i="2"/>
  <c r="K5307" i="2"/>
  <c r="O5307" i="2"/>
  <c r="R5307" i="2"/>
  <c r="S5307" i="2" s="1"/>
  <c r="I5308" i="2"/>
  <c r="J5308" i="2"/>
  <c r="K5308" i="2"/>
  <c r="O5308" i="2"/>
  <c r="R5308" i="2"/>
  <c r="S5308" i="2" s="1"/>
  <c r="I5309" i="2"/>
  <c r="J5309" i="2"/>
  <c r="K5309" i="2"/>
  <c r="O5309" i="2"/>
  <c r="R5309" i="2"/>
  <c r="S5309" i="2" s="1"/>
  <c r="I5310" i="2"/>
  <c r="J5310" i="2"/>
  <c r="K5310" i="2"/>
  <c r="O5310" i="2"/>
  <c r="R5310" i="2"/>
  <c r="S5310" i="2" s="1"/>
  <c r="I5311" i="2"/>
  <c r="J5311" i="2"/>
  <c r="K5311" i="2"/>
  <c r="O5311" i="2"/>
  <c r="R5311" i="2"/>
  <c r="S5311" i="2" s="1"/>
  <c r="I5312" i="2"/>
  <c r="J5312" i="2"/>
  <c r="K5312" i="2"/>
  <c r="O5312" i="2"/>
  <c r="R5312" i="2"/>
  <c r="S5312" i="2" s="1"/>
  <c r="I5313" i="2"/>
  <c r="J5313" i="2"/>
  <c r="K5313" i="2"/>
  <c r="O5313" i="2"/>
  <c r="R5313" i="2"/>
  <c r="S5313" i="2" s="1"/>
  <c r="I5314" i="2"/>
  <c r="J5314" i="2"/>
  <c r="K5314" i="2"/>
  <c r="O5314" i="2"/>
  <c r="R5314" i="2"/>
  <c r="S5314" i="2" s="1"/>
  <c r="I5315" i="2"/>
  <c r="J5315" i="2"/>
  <c r="K5315" i="2"/>
  <c r="O5315" i="2"/>
  <c r="R5315" i="2"/>
  <c r="S5315" i="2" s="1"/>
  <c r="I5316" i="2"/>
  <c r="J5316" i="2"/>
  <c r="K5316" i="2"/>
  <c r="O5316" i="2"/>
  <c r="R5316" i="2"/>
  <c r="S5316" i="2" s="1"/>
  <c r="I5317" i="2"/>
  <c r="J5317" i="2"/>
  <c r="K5317" i="2"/>
  <c r="O5317" i="2"/>
  <c r="R5317" i="2"/>
  <c r="S5317" i="2" s="1"/>
  <c r="I5318" i="2"/>
  <c r="J5318" i="2"/>
  <c r="K5318" i="2"/>
  <c r="O5318" i="2"/>
  <c r="R5318" i="2"/>
  <c r="S5318" i="2" s="1"/>
  <c r="I5319" i="2"/>
  <c r="J5319" i="2"/>
  <c r="K5319" i="2"/>
  <c r="O5319" i="2"/>
  <c r="R5319" i="2"/>
  <c r="S5319" i="2" s="1"/>
  <c r="I5320" i="2"/>
  <c r="J5320" i="2"/>
  <c r="K5320" i="2"/>
  <c r="O5320" i="2"/>
  <c r="R5320" i="2"/>
  <c r="S5320" i="2" s="1"/>
  <c r="I5321" i="2"/>
  <c r="J5321" i="2"/>
  <c r="K5321" i="2"/>
  <c r="O5321" i="2"/>
  <c r="R5321" i="2"/>
  <c r="S5321" i="2" s="1"/>
  <c r="I5322" i="2"/>
  <c r="J5322" i="2"/>
  <c r="K5322" i="2"/>
  <c r="O5322" i="2"/>
  <c r="R5322" i="2"/>
  <c r="S5322" i="2" s="1"/>
  <c r="I5323" i="2"/>
  <c r="J5323" i="2"/>
  <c r="K5323" i="2"/>
  <c r="O5323" i="2"/>
  <c r="R5323" i="2"/>
  <c r="S5323" i="2" s="1"/>
  <c r="I5324" i="2"/>
  <c r="J5324" i="2"/>
  <c r="K5324" i="2"/>
  <c r="O5324" i="2"/>
  <c r="R5324" i="2"/>
  <c r="S5324" i="2" s="1"/>
  <c r="I5325" i="2"/>
  <c r="J5325" i="2"/>
  <c r="K5325" i="2"/>
  <c r="O5325" i="2"/>
  <c r="R5325" i="2"/>
  <c r="S5325" i="2" s="1"/>
  <c r="I5326" i="2"/>
  <c r="J5326" i="2"/>
  <c r="K5326" i="2"/>
  <c r="O5326" i="2"/>
  <c r="R5326" i="2"/>
  <c r="S5326" i="2" s="1"/>
  <c r="I5327" i="2"/>
  <c r="J5327" i="2"/>
  <c r="K5327" i="2"/>
  <c r="O5327" i="2"/>
  <c r="R5327" i="2"/>
  <c r="S5327" i="2" s="1"/>
  <c r="I5328" i="2"/>
  <c r="J5328" i="2"/>
  <c r="K5328" i="2"/>
  <c r="O5328" i="2"/>
  <c r="R5328" i="2"/>
  <c r="S5328" i="2" s="1"/>
  <c r="I5329" i="2"/>
  <c r="J5329" i="2"/>
  <c r="K5329" i="2"/>
  <c r="O5329" i="2"/>
  <c r="R5329" i="2"/>
  <c r="S5329" i="2" s="1"/>
  <c r="I5330" i="2"/>
  <c r="J5330" i="2"/>
  <c r="K5330" i="2"/>
  <c r="O5330" i="2"/>
  <c r="R5330" i="2"/>
  <c r="S5330" i="2" s="1"/>
  <c r="I5331" i="2"/>
  <c r="J5331" i="2"/>
  <c r="K5331" i="2"/>
  <c r="O5331" i="2"/>
  <c r="R5331" i="2"/>
  <c r="S5331" i="2" s="1"/>
  <c r="I5332" i="2"/>
  <c r="J5332" i="2"/>
  <c r="K5332" i="2"/>
  <c r="O5332" i="2"/>
  <c r="R5332" i="2"/>
  <c r="S5332" i="2" s="1"/>
  <c r="I5333" i="2"/>
  <c r="J5333" i="2"/>
  <c r="K5333" i="2"/>
  <c r="O5333" i="2"/>
  <c r="R5333" i="2"/>
  <c r="S5333" i="2" s="1"/>
  <c r="I5334" i="2"/>
  <c r="J5334" i="2"/>
  <c r="K5334" i="2"/>
  <c r="O5334" i="2"/>
  <c r="R5334" i="2"/>
  <c r="S5334" i="2" s="1"/>
  <c r="I5335" i="2"/>
  <c r="J5335" i="2"/>
  <c r="K5335" i="2"/>
  <c r="O5335" i="2"/>
  <c r="R5335" i="2"/>
  <c r="S5335" i="2" s="1"/>
  <c r="I5336" i="2"/>
  <c r="J5336" i="2"/>
  <c r="K5336" i="2"/>
  <c r="O5336" i="2"/>
  <c r="R5336" i="2"/>
  <c r="S5336" i="2" s="1"/>
  <c r="I5337" i="2"/>
  <c r="J5337" i="2"/>
  <c r="K5337" i="2"/>
  <c r="O5337" i="2"/>
  <c r="R5337" i="2"/>
  <c r="S5337" i="2" s="1"/>
  <c r="I5338" i="2"/>
  <c r="J5338" i="2"/>
  <c r="K5338" i="2"/>
  <c r="O5338" i="2"/>
  <c r="R5338" i="2"/>
  <c r="S5338" i="2" s="1"/>
  <c r="I5339" i="2"/>
  <c r="J5339" i="2"/>
  <c r="K5339" i="2"/>
  <c r="O5339" i="2"/>
  <c r="R5339" i="2"/>
  <c r="S5339" i="2" s="1"/>
  <c r="I5340" i="2"/>
  <c r="J5340" i="2"/>
  <c r="K5340" i="2"/>
  <c r="O5340" i="2"/>
  <c r="R5340" i="2"/>
  <c r="S5340" i="2" s="1"/>
  <c r="I5341" i="2"/>
  <c r="J5341" i="2"/>
  <c r="K5341" i="2"/>
  <c r="O5341" i="2"/>
  <c r="R5341" i="2"/>
  <c r="S5341" i="2" s="1"/>
  <c r="I5342" i="2"/>
  <c r="J5342" i="2"/>
  <c r="K5342" i="2"/>
  <c r="O5342" i="2"/>
  <c r="R5342" i="2"/>
  <c r="S5342" i="2" s="1"/>
  <c r="I5343" i="2"/>
  <c r="J5343" i="2"/>
  <c r="K5343" i="2"/>
  <c r="O5343" i="2"/>
  <c r="R5343" i="2"/>
  <c r="S5343" i="2" s="1"/>
  <c r="I5344" i="2"/>
  <c r="J5344" i="2"/>
  <c r="K5344" i="2"/>
  <c r="O5344" i="2"/>
  <c r="R5344" i="2"/>
  <c r="S5344" i="2" s="1"/>
  <c r="I5345" i="2"/>
  <c r="J5345" i="2"/>
  <c r="K5345" i="2"/>
  <c r="O5345" i="2"/>
  <c r="R5345" i="2"/>
  <c r="S5345" i="2" s="1"/>
  <c r="I5346" i="2"/>
  <c r="J5346" i="2"/>
  <c r="K5346" i="2"/>
  <c r="O5346" i="2"/>
  <c r="R5346" i="2"/>
  <c r="S5346" i="2" s="1"/>
  <c r="I5347" i="2"/>
  <c r="J5347" i="2"/>
  <c r="K5347" i="2"/>
  <c r="O5347" i="2"/>
  <c r="R5347" i="2"/>
  <c r="S5347" i="2" s="1"/>
  <c r="I5348" i="2"/>
  <c r="J5348" i="2"/>
  <c r="K5348" i="2"/>
  <c r="O5348" i="2"/>
  <c r="R5348" i="2"/>
  <c r="S5348" i="2" s="1"/>
  <c r="I5349" i="2"/>
  <c r="J5349" i="2"/>
  <c r="K5349" i="2"/>
  <c r="O5349" i="2"/>
  <c r="R5349" i="2"/>
  <c r="S5349" i="2" s="1"/>
  <c r="I5350" i="2"/>
  <c r="J5350" i="2"/>
  <c r="K5350" i="2"/>
  <c r="O5350" i="2"/>
  <c r="R5350" i="2"/>
  <c r="S5350" i="2" s="1"/>
  <c r="I5351" i="2"/>
  <c r="J5351" i="2"/>
  <c r="K5351" i="2"/>
  <c r="O5351" i="2"/>
  <c r="R5351" i="2"/>
  <c r="S5351" i="2" s="1"/>
  <c r="I5352" i="2"/>
  <c r="J5352" i="2"/>
  <c r="K5352" i="2"/>
  <c r="O5352" i="2"/>
  <c r="R5352" i="2"/>
  <c r="S5352" i="2" s="1"/>
  <c r="I5353" i="2"/>
  <c r="J5353" i="2"/>
  <c r="K5353" i="2"/>
  <c r="O5353" i="2"/>
  <c r="R5353" i="2"/>
  <c r="S5353" i="2" s="1"/>
  <c r="I5354" i="2"/>
  <c r="J5354" i="2"/>
  <c r="K5354" i="2"/>
  <c r="O5354" i="2"/>
  <c r="R5354" i="2"/>
  <c r="S5354" i="2" s="1"/>
  <c r="I5355" i="2"/>
  <c r="J5355" i="2"/>
  <c r="K5355" i="2"/>
  <c r="O5355" i="2"/>
  <c r="R5355" i="2"/>
  <c r="S5355" i="2" s="1"/>
  <c r="I5356" i="2"/>
  <c r="J5356" i="2"/>
  <c r="K5356" i="2"/>
  <c r="O5356" i="2"/>
  <c r="R5356" i="2"/>
  <c r="S5356" i="2" s="1"/>
  <c r="I5357" i="2"/>
  <c r="J5357" i="2"/>
  <c r="K5357" i="2"/>
  <c r="O5357" i="2"/>
  <c r="R5357" i="2"/>
  <c r="S5357" i="2" s="1"/>
  <c r="I5358" i="2"/>
  <c r="J5358" i="2"/>
  <c r="K5358" i="2"/>
  <c r="O5358" i="2"/>
  <c r="R5358" i="2"/>
  <c r="S5358" i="2" s="1"/>
  <c r="I5359" i="2"/>
  <c r="J5359" i="2"/>
  <c r="K5359" i="2"/>
  <c r="O5359" i="2"/>
  <c r="R5359" i="2"/>
  <c r="S5359" i="2" s="1"/>
  <c r="I5360" i="2"/>
  <c r="J5360" i="2"/>
  <c r="K5360" i="2"/>
  <c r="O5360" i="2"/>
  <c r="R5360" i="2"/>
  <c r="S5360" i="2" s="1"/>
  <c r="I5361" i="2"/>
  <c r="J5361" i="2"/>
  <c r="K5361" i="2"/>
  <c r="O5361" i="2"/>
  <c r="R5361" i="2"/>
  <c r="S5361" i="2" s="1"/>
  <c r="I5362" i="2"/>
  <c r="J5362" i="2"/>
  <c r="K5362" i="2"/>
  <c r="O5362" i="2"/>
  <c r="R5362" i="2"/>
  <c r="S5362" i="2" s="1"/>
  <c r="I5363" i="2"/>
  <c r="J5363" i="2"/>
  <c r="K5363" i="2"/>
  <c r="O5363" i="2"/>
  <c r="R5363" i="2"/>
  <c r="S5363" i="2" s="1"/>
  <c r="I5364" i="2"/>
  <c r="J5364" i="2"/>
  <c r="K5364" i="2"/>
  <c r="O5364" i="2"/>
  <c r="R5364" i="2"/>
  <c r="S5364" i="2" s="1"/>
  <c r="I5365" i="2"/>
  <c r="J5365" i="2"/>
  <c r="K5365" i="2"/>
  <c r="O5365" i="2"/>
  <c r="R5365" i="2"/>
  <c r="S5365" i="2" s="1"/>
  <c r="I5366" i="2"/>
  <c r="J5366" i="2"/>
  <c r="K5366" i="2"/>
  <c r="O5366" i="2"/>
  <c r="R5366" i="2"/>
  <c r="S5366" i="2" s="1"/>
  <c r="I5367" i="2"/>
  <c r="J5367" i="2"/>
  <c r="K5367" i="2"/>
  <c r="O5367" i="2"/>
  <c r="R5367" i="2"/>
  <c r="S5367" i="2" s="1"/>
  <c r="I5368" i="2"/>
  <c r="J5368" i="2"/>
  <c r="K5368" i="2"/>
  <c r="O5368" i="2"/>
  <c r="R5368" i="2"/>
  <c r="S5368" i="2" s="1"/>
  <c r="I5369" i="2"/>
  <c r="J5369" i="2"/>
  <c r="K5369" i="2"/>
  <c r="O5369" i="2"/>
  <c r="R5369" i="2"/>
  <c r="S5369" i="2" s="1"/>
  <c r="I5370" i="2"/>
  <c r="J5370" i="2"/>
  <c r="K5370" i="2"/>
  <c r="O5370" i="2"/>
  <c r="R5370" i="2"/>
  <c r="S5370" i="2" s="1"/>
  <c r="I5371" i="2"/>
  <c r="J5371" i="2"/>
  <c r="K5371" i="2"/>
  <c r="O5371" i="2"/>
  <c r="R5371" i="2"/>
  <c r="S5371" i="2" s="1"/>
  <c r="I5372" i="2"/>
  <c r="J5372" i="2"/>
  <c r="K5372" i="2"/>
  <c r="O5372" i="2"/>
  <c r="R5372" i="2"/>
  <c r="S5372" i="2" s="1"/>
  <c r="I5373" i="2"/>
  <c r="J5373" i="2"/>
  <c r="K5373" i="2"/>
  <c r="O5373" i="2"/>
  <c r="R5373" i="2"/>
  <c r="S5373" i="2" s="1"/>
  <c r="I5374" i="2"/>
  <c r="J5374" i="2"/>
  <c r="K5374" i="2"/>
  <c r="O5374" i="2"/>
  <c r="R5374" i="2"/>
  <c r="S5374" i="2" s="1"/>
  <c r="I5375" i="2"/>
  <c r="J5375" i="2"/>
  <c r="K5375" i="2"/>
  <c r="O5375" i="2"/>
  <c r="R5375" i="2"/>
  <c r="S5375" i="2" s="1"/>
  <c r="I5376" i="2"/>
  <c r="J5376" i="2"/>
  <c r="K5376" i="2"/>
  <c r="O5376" i="2"/>
  <c r="R5376" i="2"/>
  <c r="S5376" i="2" s="1"/>
  <c r="I5377" i="2"/>
  <c r="J5377" i="2"/>
  <c r="K5377" i="2"/>
  <c r="O5377" i="2"/>
  <c r="R5377" i="2"/>
  <c r="S5377" i="2" s="1"/>
  <c r="I5378" i="2"/>
  <c r="J5378" i="2"/>
  <c r="K5378" i="2"/>
  <c r="O5378" i="2"/>
  <c r="R5378" i="2"/>
  <c r="S5378" i="2" s="1"/>
  <c r="I5379" i="2"/>
  <c r="J5379" i="2"/>
  <c r="K5379" i="2"/>
  <c r="O5379" i="2"/>
  <c r="R5379" i="2"/>
  <c r="S5379" i="2" s="1"/>
  <c r="I5380" i="2"/>
  <c r="J5380" i="2"/>
  <c r="K5380" i="2"/>
  <c r="O5380" i="2"/>
  <c r="R5380" i="2"/>
  <c r="S5380" i="2" s="1"/>
  <c r="I5381" i="2"/>
  <c r="J5381" i="2"/>
  <c r="K5381" i="2"/>
  <c r="O5381" i="2"/>
  <c r="R5381" i="2"/>
  <c r="S5381" i="2" s="1"/>
  <c r="I5382" i="2"/>
  <c r="J5382" i="2"/>
  <c r="K5382" i="2"/>
  <c r="O5382" i="2"/>
  <c r="R5382" i="2"/>
  <c r="S5382" i="2" s="1"/>
  <c r="I5383" i="2"/>
  <c r="J5383" i="2"/>
  <c r="K5383" i="2"/>
  <c r="O5383" i="2"/>
  <c r="R5383" i="2"/>
  <c r="S5383" i="2" s="1"/>
  <c r="I5384" i="2"/>
  <c r="J5384" i="2"/>
  <c r="K5384" i="2"/>
  <c r="O5384" i="2"/>
  <c r="R5384" i="2"/>
  <c r="S5384" i="2" s="1"/>
  <c r="I5385" i="2"/>
  <c r="J5385" i="2"/>
  <c r="K5385" i="2"/>
  <c r="O5385" i="2"/>
  <c r="R5385" i="2"/>
  <c r="S5385" i="2" s="1"/>
  <c r="I5386" i="2"/>
  <c r="J5386" i="2"/>
  <c r="K5386" i="2"/>
  <c r="O5386" i="2"/>
  <c r="R5386" i="2"/>
  <c r="S5386" i="2" s="1"/>
  <c r="I5387" i="2"/>
  <c r="J5387" i="2"/>
  <c r="K5387" i="2"/>
  <c r="O5387" i="2"/>
  <c r="R5387" i="2"/>
  <c r="S5387" i="2" s="1"/>
  <c r="I5388" i="2"/>
  <c r="J5388" i="2"/>
  <c r="K5388" i="2"/>
  <c r="O5388" i="2"/>
  <c r="R5388" i="2"/>
  <c r="S5388" i="2" s="1"/>
  <c r="I5389" i="2"/>
  <c r="J5389" i="2"/>
  <c r="K5389" i="2"/>
  <c r="O5389" i="2"/>
  <c r="R5389" i="2"/>
  <c r="S5389" i="2" s="1"/>
  <c r="I5390" i="2"/>
  <c r="J5390" i="2"/>
  <c r="K5390" i="2"/>
  <c r="O5390" i="2"/>
  <c r="R5390" i="2"/>
  <c r="S5390" i="2" s="1"/>
  <c r="I5391" i="2"/>
  <c r="J5391" i="2"/>
  <c r="K5391" i="2"/>
  <c r="O5391" i="2"/>
  <c r="R5391" i="2"/>
  <c r="S5391" i="2" s="1"/>
  <c r="I5392" i="2"/>
  <c r="J5392" i="2"/>
  <c r="K5392" i="2"/>
  <c r="O5392" i="2"/>
  <c r="R5392" i="2"/>
  <c r="S5392" i="2" s="1"/>
  <c r="I5393" i="2"/>
  <c r="J5393" i="2"/>
  <c r="K5393" i="2"/>
  <c r="O5393" i="2"/>
  <c r="R5393" i="2"/>
  <c r="S5393" i="2" s="1"/>
  <c r="I5394" i="2"/>
  <c r="J5394" i="2"/>
  <c r="K5394" i="2"/>
  <c r="O5394" i="2"/>
  <c r="R5394" i="2"/>
  <c r="S5394" i="2" s="1"/>
  <c r="I5395" i="2"/>
  <c r="J5395" i="2"/>
  <c r="K5395" i="2"/>
  <c r="O5395" i="2"/>
  <c r="R5395" i="2"/>
  <c r="S5395" i="2" s="1"/>
  <c r="I5396" i="2"/>
  <c r="J5396" i="2"/>
  <c r="K5396" i="2"/>
  <c r="O5396" i="2"/>
  <c r="R5396" i="2"/>
  <c r="S5396" i="2" s="1"/>
  <c r="I5397" i="2"/>
  <c r="J5397" i="2"/>
  <c r="K5397" i="2"/>
  <c r="O5397" i="2"/>
  <c r="R5397" i="2"/>
  <c r="S5397" i="2" s="1"/>
  <c r="I5398" i="2"/>
  <c r="J5398" i="2"/>
  <c r="K5398" i="2"/>
  <c r="O5398" i="2"/>
  <c r="R5398" i="2"/>
  <c r="S5398" i="2" s="1"/>
  <c r="I5399" i="2"/>
  <c r="J5399" i="2"/>
  <c r="K5399" i="2"/>
  <c r="O5399" i="2"/>
  <c r="R5399" i="2"/>
  <c r="S5399" i="2" s="1"/>
  <c r="I5400" i="2"/>
  <c r="J5400" i="2"/>
  <c r="K5400" i="2"/>
  <c r="O5400" i="2"/>
  <c r="R5400" i="2"/>
  <c r="S5400" i="2" s="1"/>
  <c r="I5401" i="2"/>
  <c r="J5401" i="2"/>
  <c r="K5401" i="2"/>
  <c r="O5401" i="2"/>
  <c r="R5401" i="2"/>
  <c r="S5401" i="2" s="1"/>
  <c r="I5402" i="2"/>
  <c r="J5402" i="2"/>
  <c r="K5402" i="2"/>
  <c r="O5402" i="2"/>
  <c r="R5402" i="2"/>
  <c r="S5402" i="2" s="1"/>
  <c r="I5403" i="2"/>
  <c r="J5403" i="2"/>
  <c r="K5403" i="2"/>
  <c r="O5403" i="2"/>
  <c r="R5403" i="2"/>
  <c r="S5403" i="2" s="1"/>
  <c r="I5404" i="2"/>
  <c r="J5404" i="2"/>
  <c r="K5404" i="2"/>
  <c r="O5404" i="2"/>
  <c r="R5404" i="2"/>
  <c r="S5404" i="2" s="1"/>
  <c r="I5405" i="2"/>
  <c r="J5405" i="2"/>
  <c r="K5405" i="2"/>
  <c r="O5405" i="2"/>
  <c r="R5405" i="2"/>
  <c r="S5405" i="2" s="1"/>
  <c r="I5406" i="2"/>
  <c r="J5406" i="2"/>
  <c r="K5406" i="2"/>
  <c r="O5406" i="2"/>
  <c r="R5406" i="2"/>
  <c r="S5406" i="2" s="1"/>
  <c r="I5407" i="2"/>
  <c r="J5407" i="2"/>
  <c r="K5407" i="2"/>
  <c r="O5407" i="2"/>
  <c r="R5407" i="2"/>
  <c r="S5407" i="2" s="1"/>
  <c r="I5408" i="2"/>
  <c r="J5408" i="2"/>
  <c r="K5408" i="2"/>
  <c r="O5408" i="2"/>
  <c r="R5408" i="2"/>
  <c r="S5408" i="2" s="1"/>
  <c r="I5409" i="2"/>
  <c r="J5409" i="2"/>
  <c r="K5409" i="2"/>
  <c r="O5409" i="2"/>
  <c r="R5409" i="2"/>
  <c r="S5409" i="2" s="1"/>
  <c r="I5410" i="2"/>
  <c r="J5410" i="2"/>
  <c r="K5410" i="2"/>
  <c r="O5410" i="2"/>
  <c r="R5410" i="2"/>
  <c r="S5410" i="2" s="1"/>
  <c r="I5411" i="2"/>
  <c r="J5411" i="2"/>
  <c r="K5411" i="2"/>
  <c r="O5411" i="2"/>
  <c r="R5411" i="2"/>
  <c r="S5411" i="2" s="1"/>
  <c r="I5412" i="2"/>
  <c r="J5412" i="2"/>
  <c r="K5412" i="2"/>
  <c r="O5412" i="2"/>
  <c r="R5412" i="2"/>
  <c r="S5412" i="2" s="1"/>
  <c r="I5413" i="2"/>
  <c r="J5413" i="2"/>
  <c r="K5413" i="2"/>
  <c r="O5413" i="2"/>
  <c r="R5413" i="2"/>
  <c r="S5413" i="2" s="1"/>
  <c r="I5414" i="2"/>
  <c r="J5414" i="2"/>
  <c r="K5414" i="2"/>
  <c r="O5414" i="2"/>
  <c r="R5414" i="2"/>
  <c r="S5414" i="2" s="1"/>
  <c r="I5415" i="2"/>
  <c r="J5415" i="2"/>
  <c r="K5415" i="2"/>
  <c r="O5415" i="2"/>
  <c r="R5415" i="2"/>
  <c r="S5415" i="2" s="1"/>
  <c r="I5416" i="2"/>
  <c r="J5416" i="2"/>
  <c r="K5416" i="2"/>
  <c r="O5416" i="2"/>
  <c r="R5416" i="2"/>
  <c r="S5416" i="2" s="1"/>
  <c r="I5417" i="2"/>
  <c r="J5417" i="2"/>
  <c r="K5417" i="2"/>
  <c r="O5417" i="2"/>
  <c r="R5417" i="2"/>
  <c r="S5417" i="2" s="1"/>
  <c r="I5418" i="2"/>
  <c r="J5418" i="2"/>
  <c r="K5418" i="2"/>
  <c r="O5418" i="2"/>
  <c r="R5418" i="2"/>
  <c r="S5418" i="2" s="1"/>
  <c r="I5419" i="2"/>
  <c r="J5419" i="2"/>
  <c r="K5419" i="2"/>
  <c r="O5419" i="2"/>
  <c r="R5419" i="2"/>
  <c r="S5419" i="2" s="1"/>
  <c r="I5420" i="2"/>
  <c r="J5420" i="2"/>
  <c r="K5420" i="2"/>
  <c r="O5420" i="2"/>
  <c r="R5420" i="2"/>
  <c r="S5420" i="2" s="1"/>
  <c r="I5421" i="2"/>
  <c r="J5421" i="2"/>
  <c r="K5421" i="2"/>
  <c r="O5421" i="2"/>
  <c r="R5421" i="2"/>
  <c r="S5421" i="2" s="1"/>
  <c r="I5422" i="2"/>
  <c r="J5422" i="2"/>
  <c r="K5422" i="2"/>
  <c r="O5422" i="2"/>
  <c r="R5422" i="2"/>
  <c r="S5422" i="2" s="1"/>
  <c r="I5423" i="2"/>
  <c r="J5423" i="2"/>
  <c r="K5423" i="2"/>
  <c r="O5423" i="2"/>
  <c r="R5423" i="2"/>
  <c r="S5423" i="2" s="1"/>
  <c r="I5424" i="2"/>
  <c r="J5424" i="2"/>
  <c r="K5424" i="2"/>
  <c r="O5424" i="2"/>
  <c r="R5424" i="2"/>
  <c r="S5424" i="2" s="1"/>
  <c r="I5425" i="2"/>
  <c r="J5425" i="2"/>
  <c r="K5425" i="2"/>
  <c r="O5425" i="2"/>
  <c r="R5425" i="2"/>
  <c r="S5425" i="2" s="1"/>
  <c r="I5426" i="2"/>
  <c r="J5426" i="2"/>
  <c r="K5426" i="2"/>
  <c r="O5426" i="2"/>
  <c r="R5426" i="2"/>
  <c r="S5426" i="2" s="1"/>
  <c r="I5427" i="2"/>
  <c r="J5427" i="2"/>
  <c r="K5427" i="2"/>
  <c r="O5427" i="2"/>
  <c r="R5427" i="2"/>
  <c r="S5427" i="2" s="1"/>
  <c r="I5428" i="2"/>
  <c r="J5428" i="2"/>
  <c r="K5428" i="2"/>
  <c r="O5428" i="2"/>
  <c r="R5428" i="2"/>
  <c r="S5428" i="2" s="1"/>
  <c r="I5429" i="2"/>
  <c r="J5429" i="2"/>
  <c r="K5429" i="2"/>
  <c r="O5429" i="2"/>
  <c r="R5429" i="2"/>
  <c r="S5429" i="2" s="1"/>
  <c r="I5430" i="2"/>
  <c r="J5430" i="2"/>
  <c r="K5430" i="2"/>
  <c r="O5430" i="2"/>
  <c r="R5430" i="2"/>
  <c r="S5430" i="2" s="1"/>
  <c r="I5431" i="2"/>
  <c r="J5431" i="2"/>
  <c r="K5431" i="2"/>
  <c r="O5431" i="2"/>
  <c r="R5431" i="2"/>
  <c r="S5431" i="2" s="1"/>
  <c r="I5432" i="2"/>
  <c r="J5432" i="2"/>
  <c r="K5432" i="2"/>
  <c r="O5432" i="2"/>
  <c r="R5432" i="2"/>
  <c r="S5432" i="2" s="1"/>
  <c r="I5433" i="2"/>
  <c r="J5433" i="2"/>
  <c r="K5433" i="2"/>
  <c r="O5433" i="2"/>
  <c r="R5433" i="2"/>
  <c r="S5433" i="2" s="1"/>
  <c r="I5434" i="2"/>
  <c r="J5434" i="2"/>
  <c r="K5434" i="2"/>
  <c r="O5434" i="2"/>
  <c r="R5434" i="2"/>
  <c r="S5434" i="2" s="1"/>
  <c r="I5435" i="2"/>
  <c r="J5435" i="2"/>
  <c r="K5435" i="2"/>
  <c r="O5435" i="2"/>
  <c r="R5435" i="2"/>
  <c r="S5435" i="2" s="1"/>
  <c r="I5436" i="2"/>
  <c r="J5436" i="2"/>
  <c r="K5436" i="2"/>
  <c r="O5436" i="2"/>
  <c r="R5436" i="2"/>
  <c r="S5436" i="2" s="1"/>
  <c r="I5437" i="2"/>
  <c r="J5437" i="2"/>
  <c r="K5437" i="2"/>
  <c r="O5437" i="2"/>
  <c r="R5437" i="2"/>
  <c r="S5437" i="2" s="1"/>
  <c r="I5438" i="2"/>
  <c r="J5438" i="2"/>
  <c r="K5438" i="2"/>
  <c r="O5438" i="2"/>
  <c r="R5438" i="2"/>
  <c r="S5438" i="2" s="1"/>
  <c r="I5439" i="2"/>
  <c r="J5439" i="2"/>
  <c r="K5439" i="2"/>
  <c r="O5439" i="2"/>
  <c r="R5439" i="2"/>
  <c r="S5439" i="2" s="1"/>
  <c r="I5440" i="2"/>
  <c r="J5440" i="2"/>
  <c r="K5440" i="2"/>
  <c r="O5440" i="2"/>
  <c r="R5440" i="2"/>
  <c r="S5440" i="2" s="1"/>
  <c r="I5441" i="2"/>
  <c r="J5441" i="2"/>
  <c r="K5441" i="2"/>
  <c r="O5441" i="2"/>
  <c r="R5441" i="2"/>
  <c r="S5441" i="2" s="1"/>
  <c r="I5442" i="2"/>
  <c r="J5442" i="2"/>
  <c r="K5442" i="2"/>
  <c r="O5442" i="2"/>
  <c r="R5442" i="2"/>
  <c r="S5442" i="2" s="1"/>
  <c r="I5443" i="2"/>
  <c r="J5443" i="2"/>
  <c r="K5443" i="2"/>
  <c r="O5443" i="2"/>
  <c r="R5443" i="2"/>
  <c r="S5443" i="2" s="1"/>
  <c r="I5444" i="2"/>
  <c r="J5444" i="2"/>
  <c r="K5444" i="2"/>
  <c r="O5444" i="2"/>
  <c r="R5444" i="2"/>
  <c r="S5444" i="2" s="1"/>
  <c r="I5445" i="2"/>
  <c r="J5445" i="2"/>
  <c r="K5445" i="2"/>
  <c r="O5445" i="2"/>
  <c r="R5445" i="2"/>
  <c r="S5445" i="2" s="1"/>
  <c r="I5446" i="2"/>
  <c r="J5446" i="2"/>
  <c r="K5446" i="2"/>
  <c r="O5446" i="2"/>
  <c r="R5446" i="2"/>
  <c r="S5446" i="2" s="1"/>
  <c r="I5447" i="2"/>
  <c r="J5447" i="2"/>
  <c r="K5447" i="2"/>
  <c r="O5447" i="2"/>
  <c r="R5447" i="2"/>
  <c r="S5447" i="2" s="1"/>
  <c r="I5448" i="2"/>
  <c r="J5448" i="2"/>
  <c r="K5448" i="2"/>
  <c r="O5448" i="2"/>
  <c r="R5448" i="2"/>
  <c r="S5448" i="2" s="1"/>
  <c r="I5449" i="2"/>
  <c r="J5449" i="2"/>
  <c r="K5449" i="2"/>
  <c r="O5449" i="2"/>
  <c r="R5449" i="2"/>
  <c r="S5449" i="2" s="1"/>
  <c r="I5450" i="2"/>
  <c r="J5450" i="2"/>
  <c r="K5450" i="2"/>
  <c r="O5450" i="2"/>
  <c r="R5450" i="2"/>
  <c r="S5450" i="2" s="1"/>
  <c r="I5451" i="2"/>
  <c r="J5451" i="2"/>
  <c r="K5451" i="2"/>
  <c r="O5451" i="2"/>
  <c r="R5451" i="2"/>
  <c r="S5451" i="2" s="1"/>
  <c r="I5452" i="2"/>
  <c r="J5452" i="2"/>
  <c r="K5452" i="2"/>
  <c r="O5452" i="2"/>
  <c r="R5452" i="2"/>
  <c r="S5452" i="2" s="1"/>
  <c r="I5453" i="2"/>
  <c r="J5453" i="2"/>
  <c r="K5453" i="2"/>
  <c r="O5453" i="2"/>
  <c r="R5453" i="2"/>
  <c r="S5453" i="2" s="1"/>
  <c r="I5454" i="2"/>
  <c r="J5454" i="2"/>
  <c r="K5454" i="2"/>
  <c r="O5454" i="2"/>
  <c r="R5454" i="2"/>
  <c r="S5454" i="2" s="1"/>
  <c r="I5455" i="2"/>
  <c r="J5455" i="2"/>
  <c r="K5455" i="2"/>
  <c r="O5455" i="2"/>
  <c r="R5455" i="2"/>
  <c r="S5455" i="2" s="1"/>
  <c r="I5456" i="2"/>
  <c r="J5456" i="2"/>
  <c r="K5456" i="2"/>
  <c r="O5456" i="2"/>
  <c r="R5456" i="2"/>
  <c r="S5456" i="2" s="1"/>
  <c r="I5457" i="2"/>
  <c r="J5457" i="2"/>
  <c r="K5457" i="2"/>
  <c r="O5457" i="2"/>
  <c r="R5457" i="2"/>
  <c r="S5457" i="2" s="1"/>
  <c r="I5458" i="2"/>
  <c r="J5458" i="2"/>
  <c r="K5458" i="2"/>
  <c r="O5458" i="2"/>
  <c r="R5458" i="2"/>
  <c r="S5458" i="2" s="1"/>
  <c r="I5459" i="2"/>
  <c r="J5459" i="2"/>
  <c r="K5459" i="2"/>
  <c r="O5459" i="2"/>
  <c r="R5459" i="2"/>
  <c r="S5459" i="2" s="1"/>
  <c r="I5460" i="2"/>
  <c r="J5460" i="2"/>
  <c r="K5460" i="2"/>
  <c r="O5460" i="2"/>
  <c r="R5460" i="2"/>
  <c r="S5460" i="2" s="1"/>
  <c r="I5461" i="2"/>
  <c r="J5461" i="2"/>
  <c r="K5461" i="2"/>
  <c r="O5461" i="2"/>
  <c r="R5461" i="2"/>
  <c r="S5461" i="2" s="1"/>
  <c r="I5462" i="2"/>
  <c r="J5462" i="2"/>
  <c r="K5462" i="2"/>
  <c r="O5462" i="2"/>
  <c r="R5462" i="2"/>
  <c r="S5462" i="2" s="1"/>
  <c r="I5463" i="2"/>
  <c r="J5463" i="2"/>
  <c r="K5463" i="2"/>
  <c r="O5463" i="2"/>
  <c r="R5463" i="2"/>
  <c r="S5463" i="2" s="1"/>
  <c r="I5464" i="2"/>
  <c r="J5464" i="2"/>
  <c r="K5464" i="2"/>
  <c r="O5464" i="2"/>
  <c r="R5464" i="2"/>
  <c r="S5464" i="2" s="1"/>
  <c r="I5465" i="2"/>
  <c r="J5465" i="2"/>
  <c r="K5465" i="2"/>
  <c r="O5465" i="2"/>
  <c r="R5465" i="2"/>
  <c r="S5465" i="2" s="1"/>
  <c r="I5466" i="2"/>
  <c r="J5466" i="2"/>
  <c r="K5466" i="2"/>
  <c r="O5466" i="2"/>
  <c r="R5466" i="2"/>
  <c r="S5466" i="2" s="1"/>
  <c r="I5467" i="2"/>
  <c r="J5467" i="2"/>
  <c r="K5467" i="2"/>
  <c r="O5467" i="2"/>
  <c r="R5467" i="2"/>
  <c r="S5467" i="2" s="1"/>
  <c r="I5468" i="2"/>
  <c r="J5468" i="2"/>
  <c r="K5468" i="2"/>
  <c r="O5468" i="2"/>
  <c r="R5468" i="2"/>
  <c r="S5468" i="2" s="1"/>
  <c r="I5469" i="2"/>
  <c r="J5469" i="2"/>
  <c r="K5469" i="2"/>
  <c r="O5469" i="2"/>
  <c r="R5469" i="2"/>
  <c r="S5469" i="2" s="1"/>
  <c r="I5470" i="2"/>
  <c r="J5470" i="2"/>
  <c r="K5470" i="2"/>
  <c r="O5470" i="2"/>
  <c r="R5470" i="2"/>
  <c r="S5470" i="2" s="1"/>
  <c r="I5471" i="2"/>
  <c r="J5471" i="2"/>
  <c r="K5471" i="2"/>
  <c r="O5471" i="2"/>
  <c r="R5471" i="2"/>
  <c r="S5471" i="2" s="1"/>
  <c r="I5472" i="2"/>
  <c r="J5472" i="2"/>
  <c r="K5472" i="2"/>
  <c r="O5472" i="2"/>
  <c r="R5472" i="2"/>
  <c r="S5472" i="2" s="1"/>
  <c r="I5473" i="2"/>
  <c r="J5473" i="2"/>
  <c r="K5473" i="2"/>
  <c r="O5473" i="2"/>
  <c r="R5473" i="2"/>
  <c r="S5473" i="2" s="1"/>
  <c r="I5474" i="2"/>
  <c r="J5474" i="2"/>
  <c r="K5474" i="2"/>
  <c r="O5474" i="2"/>
  <c r="R5474" i="2"/>
  <c r="S5474" i="2" s="1"/>
  <c r="I5475" i="2"/>
  <c r="J5475" i="2"/>
  <c r="K5475" i="2"/>
  <c r="O5475" i="2"/>
  <c r="R5475" i="2"/>
  <c r="S5475" i="2" s="1"/>
  <c r="I5476" i="2"/>
  <c r="J5476" i="2"/>
  <c r="K5476" i="2"/>
  <c r="O5476" i="2"/>
  <c r="R5476" i="2"/>
  <c r="S5476" i="2" s="1"/>
  <c r="I5477" i="2"/>
  <c r="J5477" i="2"/>
  <c r="K5477" i="2"/>
  <c r="O5477" i="2"/>
  <c r="R5477" i="2"/>
  <c r="S5477" i="2" s="1"/>
  <c r="I5478" i="2"/>
  <c r="J5478" i="2"/>
  <c r="K5478" i="2"/>
  <c r="O5478" i="2"/>
  <c r="R5478" i="2"/>
  <c r="S5478" i="2" s="1"/>
  <c r="I5479" i="2"/>
  <c r="J5479" i="2"/>
  <c r="K5479" i="2"/>
  <c r="O5479" i="2"/>
  <c r="R5479" i="2"/>
  <c r="S5479" i="2" s="1"/>
  <c r="I5480" i="2"/>
  <c r="J5480" i="2"/>
  <c r="K5480" i="2"/>
  <c r="O5480" i="2"/>
  <c r="R5480" i="2"/>
  <c r="S5480" i="2" s="1"/>
  <c r="I5481" i="2"/>
  <c r="J5481" i="2"/>
  <c r="K5481" i="2"/>
  <c r="O5481" i="2"/>
  <c r="R5481" i="2"/>
  <c r="S5481" i="2" s="1"/>
  <c r="I5482" i="2"/>
  <c r="J5482" i="2"/>
  <c r="K5482" i="2"/>
  <c r="O5482" i="2"/>
  <c r="R5482" i="2"/>
  <c r="S5482" i="2" s="1"/>
  <c r="I5483" i="2"/>
  <c r="J5483" i="2"/>
  <c r="K5483" i="2"/>
  <c r="O5483" i="2"/>
  <c r="R5483" i="2"/>
  <c r="S5483" i="2" s="1"/>
  <c r="I5484" i="2"/>
  <c r="J5484" i="2"/>
  <c r="K5484" i="2"/>
  <c r="O5484" i="2"/>
  <c r="R5484" i="2"/>
  <c r="S5484" i="2" s="1"/>
  <c r="I5485" i="2"/>
  <c r="J5485" i="2"/>
  <c r="K5485" i="2"/>
  <c r="O5485" i="2"/>
  <c r="R5485" i="2"/>
  <c r="S5485" i="2" s="1"/>
  <c r="I5486" i="2"/>
  <c r="J5486" i="2"/>
  <c r="K5486" i="2"/>
  <c r="O5486" i="2"/>
  <c r="R5486" i="2"/>
  <c r="S5486" i="2" s="1"/>
  <c r="I5487" i="2"/>
  <c r="J5487" i="2"/>
  <c r="K5487" i="2"/>
  <c r="O5487" i="2"/>
  <c r="R5487" i="2"/>
  <c r="S5487" i="2" s="1"/>
  <c r="I5488" i="2"/>
  <c r="J5488" i="2"/>
  <c r="K5488" i="2"/>
  <c r="O5488" i="2"/>
  <c r="R5488" i="2"/>
  <c r="S5488" i="2" s="1"/>
  <c r="I5489" i="2"/>
  <c r="J5489" i="2"/>
  <c r="K5489" i="2"/>
  <c r="O5489" i="2"/>
  <c r="R5489" i="2"/>
  <c r="S5489" i="2" s="1"/>
  <c r="I5490" i="2"/>
  <c r="J5490" i="2"/>
  <c r="K5490" i="2"/>
  <c r="O5490" i="2"/>
  <c r="R5490" i="2"/>
  <c r="S5490" i="2" s="1"/>
  <c r="I5491" i="2"/>
  <c r="J5491" i="2"/>
  <c r="K5491" i="2"/>
  <c r="O5491" i="2"/>
  <c r="R5491" i="2"/>
  <c r="S5491" i="2" s="1"/>
  <c r="I5492" i="2"/>
  <c r="J5492" i="2"/>
  <c r="K5492" i="2"/>
  <c r="O5492" i="2"/>
  <c r="R5492" i="2"/>
  <c r="S5492" i="2" s="1"/>
  <c r="I5493" i="2"/>
  <c r="J5493" i="2"/>
  <c r="K5493" i="2"/>
  <c r="O5493" i="2"/>
  <c r="R5493" i="2"/>
  <c r="S5493" i="2" s="1"/>
  <c r="I5494" i="2"/>
  <c r="J5494" i="2"/>
  <c r="K5494" i="2"/>
  <c r="O5494" i="2"/>
  <c r="R5494" i="2"/>
  <c r="S5494" i="2" s="1"/>
  <c r="I5495" i="2"/>
  <c r="J5495" i="2"/>
  <c r="K5495" i="2"/>
  <c r="O5495" i="2"/>
  <c r="R5495" i="2"/>
  <c r="S5495" i="2" s="1"/>
  <c r="I5496" i="2"/>
  <c r="J5496" i="2"/>
  <c r="K5496" i="2"/>
  <c r="O5496" i="2"/>
  <c r="R5496" i="2"/>
  <c r="S5496" i="2" s="1"/>
  <c r="I5497" i="2"/>
  <c r="J5497" i="2"/>
  <c r="K5497" i="2"/>
  <c r="O5497" i="2"/>
  <c r="R5497" i="2"/>
  <c r="S5497" i="2" s="1"/>
  <c r="I5498" i="2"/>
  <c r="J5498" i="2"/>
  <c r="K5498" i="2"/>
  <c r="O5498" i="2"/>
  <c r="R5498" i="2"/>
  <c r="S5498" i="2" s="1"/>
  <c r="I5499" i="2"/>
  <c r="J5499" i="2"/>
  <c r="K5499" i="2"/>
  <c r="O5499" i="2"/>
  <c r="R5499" i="2"/>
  <c r="S5499" i="2" s="1"/>
  <c r="I5500" i="2"/>
  <c r="J5500" i="2"/>
  <c r="K5500" i="2"/>
  <c r="O5500" i="2"/>
  <c r="R5500" i="2"/>
  <c r="S5500" i="2" s="1"/>
  <c r="I5501" i="2"/>
  <c r="J5501" i="2"/>
  <c r="K5501" i="2"/>
  <c r="O5501" i="2"/>
  <c r="R5501" i="2"/>
  <c r="S5501" i="2" s="1"/>
  <c r="I5502" i="2"/>
  <c r="J5502" i="2"/>
  <c r="K5502" i="2"/>
  <c r="O5502" i="2"/>
  <c r="R5502" i="2"/>
  <c r="S5502" i="2" s="1"/>
  <c r="I5503" i="2"/>
  <c r="J5503" i="2"/>
  <c r="K5503" i="2"/>
  <c r="O5503" i="2"/>
  <c r="R5503" i="2"/>
  <c r="S5503" i="2" s="1"/>
  <c r="I5504" i="2"/>
  <c r="J5504" i="2"/>
  <c r="K5504" i="2"/>
  <c r="O5504" i="2"/>
  <c r="R5504" i="2"/>
  <c r="S5504" i="2" s="1"/>
  <c r="I5505" i="2"/>
  <c r="J5505" i="2"/>
  <c r="K5505" i="2"/>
  <c r="O5505" i="2"/>
  <c r="R5505" i="2"/>
  <c r="S5505" i="2" s="1"/>
  <c r="I5506" i="2"/>
  <c r="J5506" i="2"/>
  <c r="K5506" i="2"/>
  <c r="O5506" i="2"/>
  <c r="R5506" i="2"/>
  <c r="S5506" i="2" s="1"/>
  <c r="I5507" i="2"/>
  <c r="J5507" i="2"/>
  <c r="K5507" i="2"/>
  <c r="O5507" i="2"/>
  <c r="R5507" i="2"/>
  <c r="S5507" i="2" s="1"/>
  <c r="I5508" i="2"/>
  <c r="J5508" i="2"/>
  <c r="K5508" i="2"/>
  <c r="O5508" i="2"/>
  <c r="R5508" i="2"/>
  <c r="S5508" i="2" s="1"/>
  <c r="I5509" i="2"/>
  <c r="J5509" i="2"/>
  <c r="K5509" i="2"/>
  <c r="O5509" i="2"/>
  <c r="R5509" i="2"/>
  <c r="S5509" i="2" s="1"/>
  <c r="I5510" i="2"/>
  <c r="J5510" i="2"/>
  <c r="K5510" i="2"/>
  <c r="O5510" i="2"/>
  <c r="R5510" i="2"/>
  <c r="S5510" i="2" s="1"/>
  <c r="I5511" i="2"/>
  <c r="J5511" i="2"/>
  <c r="K5511" i="2"/>
  <c r="O5511" i="2"/>
  <c r="R5511" i="2"/>
  <c r="S5511" i="2" s="1"/>
  <c r="I5512" i="2"/>
  <c r="J5512" i="2"/>
  <c r="K5512" i="2"/>
  <c r="O5512" i="2"/>
  <c r="R5512" i="2"/>
  <c r="S5512" i="2" s="1"/>
  <c r="I5513" i="2"/>
  <c r="J5513" i="2"/>
  <c r="K5513" i="2"/>
  <c r="O5513" i="2"/>
  <c r="R5513" i="2"/>
  <c r="S5513" i="2" s="1"/>
  <c r="I5514" i="2"/>
  <c r="J5514" i="2"/>
  <c r="K5514" i="2"/>
  <c r="O5514" i="2"/>
  <c r="R5514" i="2"/>
  <c r="S5514" i="2" s="1"/>
  <c r="I5515" i="2"/>
  <c r="J5515" i="2"/>
  <c r="K5515" i="2"/>
  <c r="O5515" i="2"/>
  <c r="R5515" i="2"/>
  <c r="S5515" i="2" s="1"/>
  <c r="I5516" i="2"/>
  <c r="J5516" i="2"/>
  <c r="K5516" i="2"/>
  <c r="O5516" i="2"/>
  <c r="R5516" i="2"/>
  <c r="S5516" i="2" s="1"/>
  <c r="I5517" i="2"/>
  <c r="J5517" i="2"/>
  <c r="K5517" i="2"/>
  <c r="O5517" i="2"/>
  <c r="R5517" i="2"/>
  <c r="S5517" i="2" s="1"/>
  <c r="I5518" i="2"/>
  <c r="J5518" i="2"/>
  <c r="K5518" i="2"/>
  <c r="O5518" i="2"/>
  <c r="R5518" i="2"/>
  <c r="S5518" i="2" s="1"/>
  <c r="I5519" i="2"/>
  <c r="J5519" i="2"/>
  <c r="K5519" i="2"/>
  <c r="O5519" i="2"/>
  <c r="R5519" i="2"/>
  <c r="S5519" i="2" s="1"/>
  <c r="I5520" i="2"/>
  <c r="J5520" i="2"/>
  <c r="K5520" i="2"/>
  <c r="O5520" i="2"/>
  <c r="R5520" i="2"/>
  <c r="S5520" i="2" s="1"/>
  <c r="I5521" i="2"/>
  <c r="J5521" i="2"/>
  <c r="K5521" i="2"/>
  <c r="O5521" i="2"/>
  <c r="R5521" i="2"/>
  <c r="S5521" i="2" s="1"/>
  <c r="I5522" i="2"/>
  <c r="J5522" i="2"/>
  <c r="K5522" i="2"/>
  <c r="O5522" i="2"/>
  <c r="R5522" i="2"/>
  <c r="S5522" i="2" s="1"/>
  <c r="I5523" i="2"/>
  <c r="J5523" i="2"/>
  <c r="K5523" i="2"/>
  <c r="O5523" i="2"/>
  <c r="R5523" i="2"/>
  <c r="S5523" i="2" s="1"/>
  <c r="I5524" i="2"/>
  <c r="J5524" i="2"/>
  <c r="K5524" i="2"/>
  <c r="O5524" i="2"/>
  <c r="R5524" i="2"/>
  <c r="S5524" i="2" s="1"/>
  <c r="I5525" i="2"/>
  <c r="J5525" i="2"/>
  <c r="K5525" i="2"/>
  <c r="O5525" i="2"/>
  <c r="R5525" i="2"/>
  <c r="S5525" i="2" s="1"/>
  <c r="I5526" i="2"/>
  <c r="J5526" i="2"/>
  <c r="K5526" i="2"/>
  <c r="O5526" i="2"/>
  <c r="R5526" i="2"/>
  <c r="S5526" i="2" s="1"/>
  <c r="I5527" i="2"/>
  <c r="J5527" i="2"/>
  <c r="K5527" i="2"/>
  <c r="O5527" i="2"/>
  <c r="R5527" i="2"/>
  <c r="S5527" i="2" s="1"/>
  <c r="I5528" i="2"/>
  <c r="J5528" i="2"/>
  <c r="K5528" i="2"/>
  <c r="O5528" i="2"/>
  <c r="R5528" i="2"/>
  <c r="S5528" i="2" s="1"/>
  <c r="I5529" i="2"/>
  <c r="J5529" i="2"/>
  <c r="K5529" i="2"/>
  <c r="O5529" i="2"/>
  <c r="R5529" i="2"/>
  <c r="S5529" i="2" s="1"/>
  <c r="I5530" i="2"/>
  <c r="J5530" i="2"/>
  <c r="K5530" i="2"/>
  <c r="O5530" i="2"/>
  <c r="R5530" i="2"/>
  <c r="S5530" i="2" s="1"/>
  <c r="I5531" i="2"/>
  <c r="J5531" i="2"/>
  <c r="K5531" i="2"/>
  <c r="O5531" i="2"/>
  <c r="R5531" i="2"/>
  <c r="S5531" i="2" s="1"/>
  <c r="I5532" i="2"/>
  <c r="J5532" i="2"/>
  <c r="K5532" i="2"/>
  <c r="O5532" i="2"/>
  <c r="R5532" i="2"/>
  <c r="S5532" i="2" s="1"/>
  <c r="I5533" i="2"/>
  <c r="J5533" i="2"/>
  <c r="K5533" i="2"/>
  <c r="O5533" i="2"/>
  <c r="R5533" i="2"/>
  <c r="S5533" i="2" s="1"/>
  <c r="I5534" i="2"/>
  <c r="J5534" i="2"/>
  <c r="K5534" i="2"/>
  <c r="O5534" i="2"/>
  <c r="R5534" i="2"/>
  <c r="S5534" i="2" s="1"/>
  <c r="I5535" i="2"/>
  <c r="J5535" i="2"/>
  <c r="K5535" i="2"/>
  <c r="O5535" i="2"/>
  <c r="R5535" i="2"/>
  <c r="S5535" i="2" s="1"/>
  <c r="I5536" i="2"/>
  <c r="J5536" i="2"/>
  <c r="K5536" i="2"/>
  <c r="O5536" i="2"/>
  <c r="R5536" i="2"/>
  <c r="S5536" i="2" s="1"/>
  <c r="I5537" i="2"/>
  <c r="J5537" i="2"/>
  <c r="K5537" i="2"/>
  <c r="O5537" i="2"/>
  <c r="R5537" i="2"/>
  <c r="S5537" i="2" s="1"/>
  <c r="I5538" i="2"/>
  <c r="J5538" i="2"/>
  <c r="K5538" i="2"/>
  <c r="O5538" i="2"/>
  <c r="R5538" i="2"/>
  <c r="S5538" i="2" s="1"/>
  <c r="I5539" i="2"/>
  <c r="J5539" i="2"/>
  <c r="K5539" i="2"/>
  <c r="O5539" i="2"/>
  <c r="R5539" i="2"/>
  <c r="S5539" i="2" s="1"/>
  <c r="I5540" i="2"/>
  <c r="J5540" i="2"/>
  <c r="K5540" i="2"/>
  <c r="O5540" i="2"/>
  <c r="R5540" i="2"/>
  <c r="S5540" i="2" s="1"/>
  <c r="I5541" i="2"/>
  <c r="J5541" i="2"/>
  <c r="K5541" i="2"/>
  <c r="O5541" i="2"/>
  <c r="R5541" i="2"/>
  <c r="S5541" i="2" s="1"/>
  <c r="I5542" i="2"/>
  <c r="J5542" i="2"/>
  <c r="K5542" i="2"/>
  <c r="O5542" i="2"/>
  <c r="R5542" i="2"/>
  <c r="S5542" i="2" s="1"/>
  <c r="I5543" i="2"/>
  <c r="J5543" i="2"/>
  <c r="K5543" i="2"/>
  <c r="O5543" i="2"/>
  <c r="R5543" i="2"/>
  <c r="S5543" i="2" s="1"/>
  <c r="I5544" i="2"/>
  <c r="J5544" i="2"/>
  <c r="K5544" i="2"/>
  <c r="O5544" i="2"/>
  <c r="R5544" i="2"/>
  <c r="S5544" i="2" s="1"/>
  <c r="I5545" i="2"/>
  <c r="J5545" i="2"/>
  <c r="K5545" i="2"/>
  <c r="O5545" i="2"/>
  <c r="R5545" i="2"/>
  <c r="S5545" i="2" s="1"/>
  <c r="I5546" i="2"/>
  <c r="J5546" i="2"/>
  <c r="K5546" i="2"/>
  <c r="O5546" i="2"/>
  <c r="R5546" i="2"/>
  <c r="S5546" i="2" s="1"/>
  <c r="I5547" i="2"/>
  <c r="J5547" i="2"/>
  <c r="K5547" i="2"/>
  <c r="O5547" i="2"/>
  <c r="R5547" i="2"/>
  <c r="S5547" i="2" s="1"/>
  <c r="I5548" i="2"/>
  <c r="J5548" i="2"/>
  <c r="K5548" i="2"/>
  <c r="O5548" i="2"/>
  <c r="R5548" i="2"/>
  <c r="S5548" i="2" s="1"/>
  <c r="I5549" i="2"/>
  <c r="J5549" i="2"/>
  <c r="K5549" i="2"/>
  <c r="O5549" i="2"/>
  <c r="R5549" i="2"/>
  <c r="S5549" i="2" s="1"/>
  <c r="I5550" i="2"/>
  <c r="J5550" i="2"/>
  <c r="K5550" i="2"/>
  <c r="O5550" i="2"/>
  <c r="R5550" i="2"/>
  <c r="S5550" i="2" s="1"/>
  <c r="I5551" i="2"/>
  <c r="J5551" i="2"/>
  <c r="K5551" i="2"/>
  <c r="O5551" i="2"/>
  <c r="R5551" i="2"/>
  <c r="S5551" i="2" s="1"/>
  <c r="I5552" i="2"/>
  <c r="J5552" i="2"/>
  <c r="K5552" i="2"/>
  <c r="O5552" i="2"/>
  <c r="R5552" i="2"/>
  <c r="S5552" i="2" s="1"/>
  <c r="I5553" i="2"/>
  <c r="J5553" i="2"/>
  <c r="K5553" i="2"/>
  <c r="O5553" i="2"/>
  <c r="R5553" i="2"/>
  <c r="S5553" i="2" s="1"/>
  <c r="I5554" i="2"/>
  <c r="J5554" i="2"/>
  <c r="K5554" i="2"/>
  <c r="O5554" i="2"/>
  <c r="R5554" i="2"/>
  <c r="S5554" i="2" s="1"/>
  <c r="I5555" i="2"/>
  <c r="J5555" i="2"/>
  <c r="K5555" i="2"/>
  <c r="O5555" i="2"/>
  <c r="R5555" i="2"/>
  <c r="S5555" i="2" s="1"/>
  <c r="I5556" i="2"/>
  <c r="J5556" i="2"/>
  <c r="K5556" i="2"/>
  <c r="O5556" i="2"/>
  <c r="R5556" i="2"/>
  <c r="S5556" i="2" s="1"/>
  <c r="I5557" i="2"/>
  <c r="J5557" i="2"/>
  <c r="K5557" i="2"/>
  <c r="O5557" i="2"/>
  <c r="R5557" i="2"/>
  <c r="S5557" i="2" s="1"/>
  <c r="I5558" i="2"/>
  <c r="J5558" i="2"/>
  <c r="K5558" i="2"/>
  <c r="O5558" i="2"/>
  <c r="R5558" i="2"/>
  <c r="S5558" i="2" s="1"/>
  <c r="I5559" i="2"/>
  <c r="J5559" i="2"/>
  <c r="K5559" i="2"/>
  <c r="O5559" i="2"/>
  <c r="R5559" i="2"/>
  <c r="S5559" i="2" s="1"/>
  <c r="I5560" i="2"/>
  <c r="J5560" i="2"/>
  <c r="K5560" i="2"/>
  <c r="O5560" i="2"/>
  <c r="R5560" i="2"/>
  <c r="S5560" i="2" s="1"/>
  <c r="I5561" i="2"/>
  <c r="J5561" i="2"/>
  <c r="K5561" i="2"/>
  <c r="O5561" i="2"/>
  <c r="R5561" i="2"/>
  <c r="S5561" i="2" s="1"/>
  <c r="I5562" i="2"/>
  <c r="J5562" i="2"/>
  <c r="K5562" i="2"/>
  <c r="O5562" i="2"/>
  <c r="R5562" i="2"/>
  <c r="S5562" i="2" s="1"/>
  <c r="I5563" i="2"/>
  <c r="J5563" i="2"/>
  <c r="K5563" i="2"/>
  <c r="O5563" i="2"/>
  <c r="R5563" i="2"/>
  <c r="S5563" i="2" s="1"/>
  <c r="I5564" i="2"/>
  <c r="J5564" i="2"/>
  <c r="K5564" i="2"/>
  <c r="O5564" i="2"/>
  <c r="R5564" i="2"/>
  <c r="S5564" i="2" s="1"/>
  <c r="I5565" i="2"/>
  <c r="J5565" i="2"/>
  <c r="K5565" i="2"/>
  <c r="O5565" i="2"/>
  <c r="R5565" i="2"/>
  <c r="S5565" i="2" s="1"/>
  <c r="I5566" i="2"/>
  <c r="J5566" i="2"/>
  <c r="K5566" i="2"/>
  <c r="O5566" i="2"/>
  <c r="R5566" i="2"/>
  <c r="S5566" i="2" s="1"/>
  <c r="I5567" i="2"/>
  <c r="J5567" i="2"/>
  <c r="K5567" i="2"/>
  <c r="O5567" i="2"/>
  <c r="R5567" i="2"/>
  <c r="S5567" i="2" s="1"/>
  <c r="I5568" i="2"/>
  <c r="J5568" i="2"/>
  <c r="K5568" i="2"/>
  <c r="O5568" i="2"/>
  <c r="R5568" i="2"/>
  <c r="S5568" i="2" s="1"/>
  <c r="I5569" i="2"/>
  <c r="J5569" i="2"/>
  <c r="K5569" i="2"/>
  <c r="O5569" i="2"/>
  <c r="R5569" i="2"/>
  <c r="S5569" i="2" s="1"/>
  <c r="I5570" i="2"/>
  <c r="J5570" i="2"/>
  <c r="K5570" i="2"/>
  <c r="O5570" i="2"/>
  <c r="R5570" i="2"/>
  <c r="S5570" i="2" s="1"/>
  <c r="I5571" i="2"/>
  <c r="J5571" i="2"/>
  <c r="K5571" i="2"/>
  <c r="O5571" i="2"/>
  <c r="R5571" i="2"/>
  <c r="S5571" i="2" s="1"/>
  <c r="I5572" i="2"/>
  <c r="J5572" i="2"/>
  <c r="K5572" i="2"/>
  <c r="O5572" i="2"/>
  <c r="R5572" i="2"/>
  <c r="S5572" i="2" s="1"/>
  <c r="I5573" i="2"/>
  <c r="J5573" i="2"/>
  <c r="K5573" i="2"/>
  <c r="O5573" i="2"/>
  <c r="R5573" i="2"/>
  <c r="S5573" i="2" s="1"/>
  <c r="I5574" i="2"/>
  <c r="J5574" i="2"/>
  <c r="K5574" i="2"/>
  <c r="O5574" i="2"/>
  <c r="R5574" i="2"/>
  <c r="S5574" i="2" s="1"/>
  <c r="I5575" i="2"/>
  <c r="J5575" i="2"/>
  <c r="K5575" i="2"/>
  <c r="O5575" i="2"/>
  <c r="R5575" i="2"/>
  <c r="S5575" i="2" s="1"/>
  <c r="I5576" i="2"/>
  <c r="J5576" i="2"/>
  <c r="K5576" i="2"/>
  <c r="O5576" i="2"/>
  <c r="R5576" i="2"/>
  <c r="S5576" i="2" s="1"/>
  <c r="I5577" i="2"/>
  <c r="J5577" i="2"/>
  <c r="K5577" i="2"/>
  <c r="O5577" i="2"/>
  <c r="R5577" i="2"/>
  <c r="S5577" i="2" s="1"/>
  <c r="I5578" i="2"/>
  <c r="J5578" i="2"/>
  <c r="K5578" i="2"/>
  <c r="O5578" i="2"/>
  <c r="R5578" i="2"/>
  <c r="S5578" i="2" s="1"/>
  <c r="I5579" i="2"/>
  <c r="J5579" i="2"/>
  <c r="K5579" i="2"/>
  <c r="O5579" i="2"/>
  <c r="R5579" i="2"/>
  <c r="S5579" i="2" s="1"/>
  <c r="I5580" i="2"/>
  <c r="J5580" i="2"/>
  <c r="K5580" i="2"/>
  <c r="O5580" i="2"/>
  <c r="R5580" i="2"/>
  <c r="S5580" i="2" s="1"/>
  <c r="I5581" i="2"/>
  <c r="J5581" i="2"/>
  <c r="K5581" i="2"/>
  <c r="O5581" i="2"/>
  <c r="R5581" i="2"/>
  <c r="S5581" i="2" s="1"/>
  <c r="I5582" i="2"/>
  <c r="J5582" i="2"/>
  <c r="K5582" i="2"/>
  <c r="O5582" i="2"/>
  <c r="R5582" i="2"/>
  <c r="S5582" i="2" s="1"/>
  <c r="I5583" i="2"/>
  <c r="J5583" i="2"/>
  <c r="K5583" i="2"/>
  <c r="O5583" i="2"/>
  <c r="R5583" i="2"/>
  <c r="S5583" i="2" s="1"/>
  <c r="I5584" i="2"/>
  <c r="J5584" i="2"/>
  <c r="K5584" i="2"/>
  <c r="O5584" i="2"/>
  <c r="R5584" i="2"/>
  <c r="S5584" i="2" s="1"/>
  <c r="I5585" i="2"/>
  <c r="J5585" i="2"/>
  <c r="K5585" i="2"/>
  <c r="O5585" i="2"/>
  <c r="R5585" i="2"/>
  <c r="S5585" i="2" s="1"/>
  <c r="I5586" i="2"/>
  <c r="J5586" i="2"/>
  <c r="K5586" i="2"/>
  <c r="O5586" i="2"/>
  <c r="R5586" i="2"/>
  <c r="S5586" i="2" s="1"/>
  <c r="I5587" i="2"/>
  <c r="J5587" i="2"/>
  <c r="K5587" i="2"/>
  <c r="O5587" i="2"/>
  <c r="R5587" i="2"/>
  <c r="S5587" i="2" s="1"/>
  <c r="I5588" i="2"/>
  <c r="J5588" i="2"/>
  <c r="K5588" i="2"/>
  <c r="O5588" i="2"/>
  <c r="R5588" i="2"/>
  <c r="S5588" i="2" s="1"/>
  <c r="I5589" i="2"/>
  <c r="J5589" i="2"/>
  <c r="K5589" i="2"/>
  <c r="O5589" i="2"/>
  <c r="R5589" i="2"/>
  <c r="S5589" i="2" s="1"/>
  <c r="I5590" i="2"/>
  <c r="J5590" i="2"/>
  <c r="K5590" i="2"/>
  <c r="O5590" i="2"/>
  <c r="R5590" i="2"/>
  <c r="S5590" i="2" s="1"/>
  <c r="I5591" i="2"/>
  <c r="J5591" i="2"/>
  <c r="K5591" i="2"/>
  <c r="O5591" i="2"/>
  <c r="R5591" i="2"/>
  <c r="S5591" i="2" s="1"/>
  <c r="I5592" i="2"/>
  <c r="J5592" i="2"/>
  <c r="K5592" i="2"/>
  <c r="O5592" i="2"/>
  <c r="R5592" i="2"/>
  <c r="S5592" i="2" s="1"/>
  <c r="I5593" i="2"/>
  <c r="J5593" i="2"/>
  <c r="K5593" i="2"/>
  <c r="O5593" i="2"/>
  <c r="R5593" i="2"/>
  <c r="S5593" i="2" s="1"/>
  <c r="I5594" i="2"/>
  <c r="J5594" i="2"/>
  <c r="K5594" i="2"/>
  <c r="O5594" i="2"/>
  <c r="R5594" i="2"/>
  <c r="S5594" i="2" s="1"/>
  <c r="I5595" i="2"/>
  <c r="J5595" i="2"/>
  <c r="K5595" i="2"/>
  <c r="O5595" i="2"/>
  <c r="R5595" i="2"/>
  <c r="S5595" i="2" s="1"/>
  <c r="I5596" i="2"/>
  <c r="J5596" i="2"/>
  <c r="K5596" i="2"/>
  <c r="O5596" i="2"/>
  <c r="R5596" i="2"/>
  <c r="S5596" i="2" s="1"/>
  <c r="I5597" i="2"/>
  <c r="J5597" i="2"/>
  <c r="K5597" i="2"/>
  <c r="O5597" i="2"/>
  <c r="R5597" i="2"/>
  <c r="S5597" i="2" s="1"/>
  <c r="I5598" i="2"/>
  <c r="J5598" i="2"/>
  <c r="K5598" i="2"/>
  <c r="O5598" i="2"/>
  <c r="R5598" i="2"/>
  <c r="S5598" i="2" s="1"/>
  <c r="I5599" i="2"/>
  <c r="J5599" i="2"/>
  <c r="K5599" i="2"/>
  <c r="O5599" i="2"/>
  <c r="R5599" i="2"/>
  <c r="S5599" i="2" s="1"/>
  <c r="I5600" i="2"/>
  <c r="J5600" i="2"/>
  <c r="K5600" i="2"/>
  <c r="O5600" i="2"/>
  <c r="R5600" i="2"/>
  <c r="S5600" i="2" s="1"/>
  <c r="I5601" i="2"/>
  <c r="J5601" i="2"/>
  <c r="K5601" i="2"/>
  <c r="O5601" i="2"/>
  <c r="R5601" i="2"/>
  <c r="S5601" i="2" s="1"/>
  <c r="I5602" i="2"/>
  <c r="J5602" i="2"/>
  <c r="K5602" i="2"/>
  <c r="O5602" i="2"/>
  <c r="R5602" i="2"/>
  <c r="S5602" i="2" s="1"/>
  <c r="I5603" i="2"/>
  <c r="J5603" i="2"/>
  <c r="K5603" i="2"/>
  <c r="O5603" i="2"/>
  <c r="R5603" i="2"/>
  <c r="S5603" i="2" s="1"/>
  <c r="I5604" i="2"/>
  <c r="J5604" i="2"/>
  <c r="K5604" i="2"/>
  <c r="O5604" i="2"/>
  <c r="R5604" i="2"/>
  <c r="S5604" i="2" s="1"/>
  <c r="I5605" i="2"/>
  <c r="J5605" i="2"/>
  <c r="K5605" i="2"/>
  <c r="O5605" i="2"/>
  <c r="R5605" i="2"/>
  <c r="S5605" i="2" s="1"/>
  <c r="I5606" i="2"/>
  <c r="J5606" i="2"/>
  <c r="K5606" i="2"/>
  <c r="O5606" i="2"/>
  <c r="R5606" i="2"/>
  <c r="S5606" i="2" s="1"/>
  <c r="I5607" i="2"/>
  <c r="J5607" i="2"/>
  <c r="K5607" i="2"/>
  <c r="O5607" i="2"/>
  <c r="R5607" i="2"/>
  <c r="S5607" i="2" s="1"/>
  <c r="I5608" i="2"/>
  <c r="J5608" i="2"/>
  <c r="K5608" i="2"/>
  <c r="O5608" i="2"/>
  <c r="R5608" i="2"/>
  <c r="S5608" i="2" s="1"/>
  <c r="I5609" i="2"/>
  <c r="J5609" i="2"/>
  <c r="K5609" i="2"/>
  <c r="O5609" i="2"/>
  <c r="R5609" i="2"/>
  <c r="S5609" i="2" s="1"/>
  <c r="I5610" i="2"/>
  <c r="J5610" i="2"/>
  <c r="K5610" i="2"/>
  <c r="O5610" i="2"/>
  <c r="R5610" i="2"/>
  <c r="S5610" i="2" s="1"/>
  <c r="I5611" i="2"/>
  <c r="J5611" i="2"/>
  <c r="K5611" i="2"/>
  <c r="O5611" i="2"/>
  <c r="R5611" i="2"/>
  <c r="S5611" i="2" s="1"/>
  <c r="I5612" i="2"/>
  <c r="J5612" i="2"/>
  <c r="K5612" i="2"/>
  <c r="O5612" i="2"/>
  <c r="R5612" i="2"/>
  <c r="S5612" i="2" s="1"/>
  <c r="I5613" i="2"/>
  <c r="J5613" i="2"/>
  <c r="K5613" i="2"/>
  <c r="O5613" i="2"/>
  <c r="R5613" i="2"/>
  <c r="S5613" i="2" s="1"/>
  <c r="I5614" i="2"/>
  <c r="J5614" i="2"/>
  <c r="K5614" i="2"/>
  <c r="O5614" i="2"/>
  <c r="R5614" i="2"/>
  <c r="S5614" i="2" s="1"/>
  <c r="I5615" i="2"/>
  <c r="J5615" i="2"/>
  <c r="K5615" i="2"/>
  <c r="O5615" i="2"/>
  <c r="R5615" i="2"/>
  <c r="S5615" i="2" s="1"/>
  <c r="I5616" i="2"/>
  <c r="J5616" i="2"/>
  <c r="K5616" i="2"/>
  <c r="O5616" i="2"/>
  <c r="R5616" i="2"/>
  <c r="S5616" i="2" s="1"/>
  <c r="I5617" i="2"/>
  <c r="J5617" i="2"/>
  <c r="K5617" i="2"/>
  <c r="O5617" i="2"/>
  <c r="R5617" i="2"/>
  <c r="S5617" i="2" s="1"/>
  <c r="I5618" i="2"/>
  <c r="J5618" i="2"/>
  <c r="K5618" i="2"/>
  <c r="O5618" i="2"/>
  <c r="R5618" i="2"/>
  <c r="S5618" i="2" s="1"/>
  <c r="I5619" i="2"/>
  <c r="J5619" i="2"/>
  <c r="K5619" i="2"/>
  <c r="O5619" i="2"/>
  <c r="R5619" i="2"/>
  <c r="S5619" i="2" s="1"/>
  <c r="I5620" i="2"/>
  <c r="J5620" i="2"/>
  <c r="K5620" i="2"/>
  <c r="O5620" i="2"/>
  <c r="R5620" i="2"/>
  <c r="S5620" i="2" s="1"/>
  <c r="I5621" i="2"/>
  <c r="J5621" i="2"/>
  <c r="K5621" i="2"/>
  <c r="O5621" i="2"/>
  <c r="R5621" i="2"/>
  <c r="S5621" i="2" s="1"/>
  <c r="I5622" i="2"/>
  <c r="J5622" i="2"/>
  <c r="K5622" i="2"/>
  <c r="O5622" i="2"/>
  <c r="R5622" i="2"/>
  <c r="S5622" i="2" s="1"/>
  <c r="I5623" i="2"/>
  <c r="J5623" i="2"/>
  <c r="K5623" i="2"/>
  <c r="O5623" i="2"/>
  <c r="R5623" i="2"/>
  <c r="S5623" i="2" s="1"/>
  <c r="I5624" i="2"/>
  <c r="J5624" i="2"/>
  <c r="K5624" i="2"/>
  <c r="O5624" i="2"/>
  <c r="R5624" i="2"/>
  <c r="S5624" i="2" s="1"/>
  <c r="I5625" i="2"/>
  <c r="J5625" i="2"/>
  <c r="K5625" i="2"/>
  <c r="O5625" i="2"/>
  <c r="R5625" i="2"/>
  <c r="S5625" i="2" s="1"/>
  <c r="I5626" i="2"/>
  <c r="J5626" i="2"/>
  <c r="K5626" i="2"/>
  <c r="O5626" i="2"/>
  <c r="R5626" i="2"/>
  <c r="S5626" i="2" s="1"/>
  <c r="I5627" i="2"/>
  <c r="J5627" i="2"/>
  <c r="K5627" i="2"/>
  <c r="O5627" i="2"/>
  <c r="R5627" i="2"/>
  <c r="S5627" i="2" s="1"/>
  <c r="I5628" i="2"/>
  <c r="J5628" i="2"/>
  <c r="K5628" i="2"/>
  <c r="O5628" i="2"/>
  <c r="R5628" i="2"/>
  <c r="S5628" i="2" s="1"/>
  <c r="I5629" i="2"/>
  <c r="J5629" i="2"/>
  <c r="K5629" i="2"/>
  <c r="O5629" i="2"/>
  <c r="R5629" i="2"/>
  <c r="S5629" i="2" s="1"/>
  <c r="I5630" i="2"/>
  <c r="J5630" i="2"/>
  <c r="K5630" i="2"/>
  <c r="O5630" i="2"/>
  <c r="R5630" i="2"/>
  <c r="S5630" i="2" s="1"/>
  <c r="I5631" i="2"/>
  <c r="J5631" i="2"/>
  <c r="K5631" i="2"/>
  <c r="O5631" i="2"/>
  <c r="R5631" i="2"/>
  <c r="S5631" i="2" s="1"/>
  <c r="I5632" i="2"/>
  <c r="J5632" i="2"/>
  <c r="K5632" i="2"/>
  <c r="O5632" i="2"/>
  <c r="R5632" i="2"/>
  <c r="S5632" i="2" s="1"/>
  <c r="I5633" i="2"/>
  <c r="J5633" i="2"/>
  <c r="K5633" i="2"/>
  <c r="O5633" i="2"/>
  <c r="R5633" i="2"/>
  <c r="S5633" i="2" s="1"/>
  <c r="I5634" i="2"/>
  <c r="J5634" i="2"/>
  <c r="K5634" i="2"/>
  <c r="O5634" i="2"/>
  <c r="R5634" i="2"/>
  <c r="S5634" i="2" s="1"/>
  <c r="I5635" i="2"/>
  <c r="J5635" i="2"/>
  <c r="K5635" i="2"/>
  <c r="O5635" i="2"/>
  <c r="R5635" i="2"/>
  <c r="S5635" i="2" s="1"/>
  <c r="I5636" i="2"/>
  <c r="J5636" i="2"/>
  <c r="K5636" i="2"/>
  <c r="O5636" i="2"/>
  <c r="R5636" i="2"/>
  <c r="S5636" i="2" s="1"/>
  <c r="I5637" i="2"/>
  <c r="J5637" i="2"/>
  <c r="K5637" i="2"/>
  <c r="O5637" i="2"/>
  <c r="R5637" i="2"/>
  <c r="S5637" i="2" s="1"/>
  <c r="I5638" i="2"/>
  <c r="J5638" i="2"/>
  <c r="K5638" i="2"/>
  <c r="O5638" i="2"/>
  <c r="R5638" i="2"/>
  <c r="S5638" i="2" s="1"/>
  <c r="I5639" i="2"/>
  <c r="J5639" i="2"/>
  <c r="K5639" i="2"/>
  <c r="O5639" i="2"/>
  <c r="R5639" i="2"/>
  <c r="S5639" i="2" s="1"/>
  <c r="I5640" i="2"/>
  <c r="J5640" i="2"/>
  <c r="K5640" i="2"/>
  <c r="O5640" i="2"/>
  <c r="R5640" i="2"/>
  <c r="S5640" i="2" s="1"/>
  <c r="I5641" i="2"/>
  <c r="J5641" i="2"/>
  <c r="K5641" i="2"/>
  <c r="O5641" i="2"/>
  <c r="R5641" i="2"/>
  <c r="S5641" i="2" s="1"/>
  <c r="I5642" i="2"/>
  <c r="J5642" i="2"/>
  <c r="K5642" i="2"/>
  <c r="O5642" i="2"/>
  <c r="R5642" i="2"/>
  <c r="S5642" i="2" s="1"/>
  <c r="I5643" i="2"/>
  <c r="J5643" i="2"/>
  <c r="K5643" i="2"/>
  <c r="O5643" i="2"/>
  <c r="R5643" i="2"/>
  <c r="S5643" i="2" s="1"/>
  <c r="I5644" i="2"/>
  <c r="J5644" i="2"/>
  <c r="K5644" i="2"/>
  <c r="O5644" i="2"/>
  <c r="R5644" i="2"/>
  <c r="S5644" i="2" s="1"/>
  <c r="I5645" i="2"/>
  <c r="J5645" i="2"/>
  <c r="K5645" i="2"/>
  <c r="O5645" i="2"/>
  <c r="R5645" i="2"/>
  <c r="S5645" i="2" s="1"/>
  <c r="I5646" i="2"/>
  <c r="J5646" i="2"/>
  <c r="K5646" i="2"/>
  <c r="O5646" i="2"/>
  <c r="R5646" i="2"/>
  <c r="S5646" i="2" s="1"/>
  <c r="I5647" i="2"/>
  <c r="J5647" i="2"/>
  <c r="K5647" i="2"/>
  <c r="O5647" i="2"/>
  <c r="R5647" i="2"/>
  <c r="S5647" i="2" s="1"/>
  <c r="I5648" i="2"/>
  <c r="J5648" i="2"/>
  <c r="K5648" i="2"/>
  <c r="O5648" i="2"/>
  <c r="R5648" i="2"/>
  <c r="S5648" i="2" s="1"/>
  <c r="I5649" i="2"/>
  <c r="J5649" i="2"/>
  <c r="K5649" i="2"/>
  <c r="O5649" i="2"/>
  <c r="R5649" i="2"/>
  <c r="S5649" i="2" s="1"/>
  <c r="I5650" i="2"/>
  <c r="J5650" i="2"/>
  <c r="K5650" i="2"/>
  <c r="O5650" i="2"/>
  <c r="R5650" i="2"/>
  <c r="S5650" i="2" s="1"/>
  <c r="I5651" i="2"/>
  <c r="J5651" i="2"/>
  <c r="K5651" i="2"/>
  <c r="O5651" i="2"/>
  <c r="R5651" i="2"/>
  <c r="S5651" i="2" s="1"/>
  <c r="I5652" i="2"/>
  <c r="J5652" i="2"/>
  <c r="K5652" i="2"/>
  <c r="O5652" i="2"/>
  <c r="R5652" i="2"/>
  <c r="S5652" i="2" s="1"/>
  <c r="I5653" i="2"/>
  <c r="J5653" i="2"/>
  <c r="K5653" i="2"/>
  <c r="O5653" i="2"/>
  <c r="R5653" i="2"/>
  <c r="S5653" i="2" s="1"/>
  <c r="I5654" i="2"/>
  <c r="J5654" i="2"/>
  <c r="K5654" i="2"/>
  <c r="O5654" i="2"/>
  <c r="R5654" i="2"/>
  <c r="S5654" i="2" s="1"/>
  <c r="I5655" i="2"/>
  <c r="J5655" i="2"/>
  <c r="K5655" i="2"/>
  <c r="O5655" i="2"/>
  <c r="R5655" i="2"/>
  <c r="S5655" i="2" s="1"/>
  <c r="I5656" i="2"/>
  <c r="J5656" i="2"/>
  <c r="K5656" i="2"/>
  <c r="O5656" i="2"/>
  <c r="R5656" i="2"/>
  <c r="S5656" i="2" s="1"/>
  <c r="I5657" i="2"/>
  <c r="J5657" i="2"/>
  <c r="K5657" i="2"/>
  <c r="O5657" i="2"/>
  <c r="R5657" i="2"/>
  <c r="S5657" i="2" s="1"/>
  <c r="I5658" i="2"/>
  <c r="J5658" i="2"/>
  <c r="K5658" i="2"/>
  <c r="O5658" i="2"/>
  <c r="R5658" i="2"/>
  <c r="S5658" i="2" s="1"/>
  <c r="I5659" i="2"/>
  <c r="J5659" i="2"/>
  <c r="K5659" i="2"/>
  <c r="O5659" i="2"/>
  <c r="R5659" i="2"/>
  <c r="S5659" i="2" s="1"/>
  <c r="I5660" i="2"/>
  <c r="J5660" i="2"/>
  <c r="K5660" i="2"/>
  <c r="O5660" i="2"/>
  <c r="R5660" i="2"/>
  <c r="S5660" i="2" s="1"/>
  <c r="I5661" i="2"/>
  <c r="J5661" i="2"/>
  <c r="K5661" i="2"/>
  <c r="O5661" i="2"/>
  <c r="R5661" i="2"/>
  <c r="S5661" i="2" s="1"/>
  <c r="I5662" i="2"/>
  <c r="J5662" i="2"/>
  <c r="K5662" i="2"/>
  <c r="O5662" i="2"/>
  <c r="R5662" i="2"/>
  <c r="S5662" i="2" s="1"/>
  <c r="I5663" i="2"/>
  <c r="J5663" i="2"/>
  <c r="K5663" i="2"/>
  <c r="O5663" i="2"/>
  <c r="R5663" i="2"/>
  <c r="S5663" i="2" s="1"/>
  <c r="I5664" i="2"/>
  <c r="J5664" i="2"/>
  <c r="K5664" i="2"/>
  <c r="O5664" i="2"/>
  <c r="R5664" i="2"/>
  <c r="S5664" i="2" s="1"/>
  <c r="I5665" i="2"/>
  <c r="J5665" i="2"/>
  <c r="K5665" i="2"/>
  <c r="O5665" i="2"/>
  <c r="R5665" i="2"/>
  <c r="S5665" i="2" s="1"/>
  <c r="I5666" i="2"/>
  <c r="J5666" i="2"/>
  <c r="K5666" i="2"/>
  <c r="O5666" i="2"/>
  <c r="R5666" i="2"/>
  <c r="S5666" i="2" s="1"/>
  <c r="I5667" i="2"/>
  <c r="J5667" i="2"/>
  <c r="K5667" i="2"/>
  <c r="O5667" i="2"/>
  <c r="R5667" i="2"/>
  <c r="S5667" i="2" s="1"/>
  <c r="I5668" i="2"/>
  <c r="J5668" i="2"/>
  <c r="K5668" i="2"/>
  <c r="O5668" i="2"/>
  <c r="R5668" i="2"/>
  <c r="S5668" i="2" s="1"/>
  <c r="I5669" i="2"/>
  <c r="J5669" i="2"/>
  <c r="K5669" i="2"/>
  <c r="O5669" i="2"/>
  <c r="R5669" i="2"/>
  <c r="S5669" i="2" s="1"/>
  <c r="I5670" i="2"/>
  <c r="J5670" i="2"/>
  <c r="K5670" i="2"/>
  <c r="O5670" i="2"/>
  <c r="R5670" i="2"/>
  <c r="S5670" i="2" s="1"/>
  <c r="I5671" i="2"/>
  <c r="J5671" i="2"/>
  <c r="K5671" i="2"/>
  <c r="O5671" i="2"/>
  <c r="R5671" i="2"/>
  <c r="S5671" i="2" s="1"/>
  <c r="I5672" i="2"/>
  <c r="J5672" i="2"/>
  <c r="K5672" i="2"/>
  <c r="O5672" i="2"/>
  <c r="R5672" i="2"/>
  <c r="S5672" i="2" s="1"/>
  <c r="I5673" i="2"/>
  <c r="J5673" i="2"/>
  <c r="K5673" i="2"/>
  <c r="O5673" i="2"/>
  <c r="R5673" i="2"/>
  <c r="S5673" i="2" s="1"/>
  <c r="I5674" i="2"/>
  <c r="J5674" i="2"/>
  <c r="K5674" i="2"/>
  <c r="O5674" i="2"/>
  <c r="R5674" i="2"/>
  <c r="S5674" i="2" s="1"/>
  <c r="I5675" i="2"/>
  <c r="J5675" i="2"/>
  <c r="K5675" i="2"/>
  <c r="O5675" i="2"/>
  <c r="R5675" i="2"/>
  <c r="S5675" i="2" s="1"/>
  <c r="I5676" i="2"/>
  <c r="J5676" i="2"/>
  <c r="K5676" i="2"/>
  <c r="O5676" i="2"/>
  <c r="R5676" i="2"/>
  <c r="S5676" i="2" s="1"/>
  <c r="I5677" i="2"/>
  <c r="J5677" i="2"/>
  <c r="K5677" i="2"/>
  <c r="O5677" i="2"/>
  <c r="R5677" i="2"/>
  <c r="S5677" i="2" s="1"/>
  <c r="I5678" i="2"/>
  <c r="J5678" i="2"/>
  <c r="K5678" i="2"/>
  <c r="O5678" i="2"/>
  <c r="R5678" i="2"/>
  <c r="S5678" i="2" s="1"/>
  <c r="I5679" i="2"/>
  <c r="J5679" i="2"/>
  <c r="K5679" i="2"/>
  <c r="O5679" i="2"/>
  <c r="R5679" i="2"/>
  <c r="S5679" i="2" s="1"/>
  <c r="I5680" i="2"/>
  <c r="J5680" i="2"/>
  <c r="K5680" i="2"/>
  <c r="O5680" i="2"/>
  <c r="R5680" i="2"/>
  <c r="S5680" i="2" s="1"/>
  <c r="I5681" i="2"/>
  <c r="J5681" i="2"/>
  <c r="K5681" i="2"/>
  <c r="O5681" i="2"/>
  <c r="R5681" i="2"/>
  <c r="S5681" i="2" s="1"/>
  <c r="I5682" i="2"/>
  <c r="J5682" i="2"/>
  <c r="K5682" i="2"/>
  <c r="O5682" i="2"/>
  <c r="R5682" i="2"/>
  <c r="S5682" i="2" s="1"/>
  <c r="I5683" i="2"/>
  <c r="J5683" i="2"/>
  <c r="K5683" i="2"/>
  <c r="O5683" i="2"/>
  <c r="R5683" i="2"/>
  <c r="S5683" i="2" s="1"/>
  <c r="I5684" i="2"/>
  <c r="J5684" i="2"/>
  <c r="K5684" i="2"/>
  <c r="O5684" i="2"/>
  <c r="R5684" i="2"/>
  <c r="S5684" i="2" s="1"/>
  <c r="I5685" i="2"/>
  <c r="J5685" i="2"/>
  <c r="K5685" i="2"/>
  <c r="O5685" i="2"/>
  <c r="R5685" i="2"/>
  <c r="S5685" i="2" s="1"/>
  <c r="I5686" i="2"/>
  <c r="J5686" i="2"/>
  <c r="K5686" i="2"/>
  <c r="O5686" i="2"/>
  <c r="R5686" i="2"/>
  <c r="S5686" i="2" s="1"/>
  <c r="I5687" i="2"/>
  <c r="J5687" i="2"/>
  <c r="K5687" i="2"/>
  <c r="O5687" i="2"/>
  <c r="R5687" i="2"/>
  <c r="S5687" i="2" s="1"/>
  <c r="I5688" i="2"/>
  <c r="J5688" i="2"/>
  <c r="K5688" i="2"/>
  <c r="O5688" i="2"/>
  <c r="R5688" i="2"/>
  <c r="S5688" i="2" s="1"/>
  <c r="I5689" i="2"/>
  <c r="J5689" i="2"/>
  <c r="K5689" i="2"/>
  <c r="O5689" i="2"/>
  <c r="R5689" i="2"/>
  <c r="S5689" i="2" s="1"/>
  <c r="I5690" i="2"/>
  <c r="J5690" i="2"/>
  <c r="K5690" i="2"/>
  <c r="O5690" i="2"/>
  <c r="R5690" i="2"/>
  <c r="S5690" i="2" s="1"/>
  <c r="I5691" i="2"/>
  <c r="J5691" i="2"/>
  <c r="K5691" i="2"/>
  <c r="O5691" i="2"/>
  <c r="R5691" i="2"/>
  <c r="S5691" i="2" s="1"/>
  <c r="I5692" i="2"/>
  <c r="J5692" i="2"/>
  <c r="K5692" i="2"/>
  <c r="O5692" i="2"/>
  <c r="R5692" i="2"/>
  <c r="S5692" i="2" s="1"/>
  <c r="I5693" i="2"/>
  <c r="J5693" i="2"/>
  <c r="K5693" i="2"/>
  <c r="O5693" i="2"/>
  <c r="R5693" i="2"/>
  <c r="S5693" i="2" s="1"/>
  <c r="I5694" i="2"/>
  <c r="J5694" i="2"/>
  <c r="K5694" i="2"/>
  <c r="O5694" i="2"/>
  <c r="R5694" i="2"/>
  <c r="S5694" i="2" s="1"/>
  <c r="I5695" i="2"/>
  <c r="J5695" i="2"/>
  <c r="K5695" i="2"/>
  <c r="O5695" i="2"/>
  <c r="R5695" i="2"/>
  <c r="S5695" i="2" s="1"/>
  <c r="I5696" i="2"/>
  <c r="J5696" i="2"/>
  <c r="K5696" i="2"/>
  <c r="O5696" i="2"/>
  <c r="R5696" i="2"/>
  <c r="S5696" i="2" s="1"/>
  <c r="I5697" i="2"/>
  <c r="J5697" i="2"/>
  <c r="K5697" i="2"/>
  <c r="O5697" i="2"/>
  <c r="R5697" i="2"/>
  <c r="S5697" i="2" s="1"/>
  <c r="I5698" i="2"/>
  <c r="J5698" i="2"/>
  <c r="K5698" i="2"/>
  <c r="O5698" i="2"/>
  <c r="R5698" i="2"/>
  <c r="S5698" i="2" s="1"/>
  <c r="I5699" i="2"/>
  <c r="J5699" i="2"/>
  <c r="K5699" i="2"/>
  <c r="O5699" i="2"/>
  <c r="R5699" i="2"/>
  <c r="S5699" i="2" s="1"/>
  <c r="I5700" i="2"/>
  <c r="J5700" i="2"/>
  <c r="K5700" i="2"/>
  <c r="O5700" i="2"/>
  <c r="R5700" i="2"/>
  <c r="S5700" i="2" s="1"/>
  <c r="I5701" i="2"/>
  <c r="J5701" i="2"/>
  <c r="K5701" i="2"/>
  <c r="O5701" i="2"/>
  <c r="R5701" i="2"/>
  <c r="S5701" i="2" s="1"/>
  <c r="I5702" i="2"/>
  <c r="J5702" i="2"/>
  <c r="K5702" i="2"/>
  <c r="O5702" i="2"/>
  <c r="R5702" i="2"/>
  <c r="S5702" i="2" s="1"/>
  <c r="I5703" i="2"/>
  <c r="J5703" i="2"/>
  <c r="K5703" i="2"/>
  <c r="O5703" i="2"/>
  <c r="R5703" i="2"/>
  <c r="S5703" i="2" s="1"/>
  <c r="I5704" i="2"/>
  <c r="J5704" i="2"/>
  <c r="K5704" i="2"/>
  <c r="O5704" i="2"/>
  <c r="R5704" i="2"/>
  <c r="S5704" i="2" s="1"/>
  <c r="I5705" i="2"/>
  <c r="J5705" i="2"/>
  <c r="K5705" i="2"/>
  <c r="O5705" i="2"/>
  <c r="R5705" i="2"/>
  <c r="S5705" i="2" s="1"/>
  <c r="I5706" i="2"/>
  <c r="J5706" i="2"/>
  <c r="K5706" i="2"/>
  <c r="O5706" i="2"/>
  <c r="R5706" i="2"/>
  <c r="S5706" i="2" s="1"/>
  <c r="I5707" i="2"/>
  <c r="J5707" i="2"/>
  <c r="K5707" i="2"/>
  <c r="O5707" i="2"/>
  <c r="R5707" i="2"/>
  <c r="S5707" i="2" s="1"/>
  <c r="I5708" i="2"/>
  <c r="J5708" i="2"/>
  <c r="K5708" i="2"/>
  <c r="O5708" i="2"/>
  <c r="R5708" i="2"/>
  <c r="S5708" i="2" s="1"/>
  <c r="I5709" i="2"/>
  <c r="J5709" i="2"/>
  <c r="K5709" i="2"/>
  <c r="O5709" i="2"/>
  <c r="R5709" i="2"/>
  <c r="S5709" i="2" s="1"/>
  <c r="I5710" i="2"/>
  <c r="J5710" i="2"/>
  <c r="K5710" i="2"/>
  <c r="O5710" i="2"/>
  <c r="R5710" i="2"/>
  <c r="S5710" i="2" s="1"/>
  <c r="I5711" i="2"/>
  <c r="J5711" i="2"/>
  <c r="K5711" i="2"/>
  <c r="O5711" i="2"/>
  <c r="R5711" i="2"/>
  <c r="S5711" i="2" s="1"/>
  <c r="I5712" i="2"/>
  <c r="J5712" i="2"/>
  <c r="K5712" i="2"/>
  <c r="O5712" i="2"/>
  <c r="R5712" i="2"/>
  <c r="S5712" i="2" s="1"/>
  <c r="I5713" i="2"/>
  <c r="J5713" i="2"/>
  <c r="K5713" i="2"/>
  <c r="O5713" i="2"/>
  <c r="R5713" i="2"/>
  <c r="S5713" i="2" s="1"/>
  <c r="I5714" i="2"/>
  <c r="J5714" i="2"/>
  <c r="K5714" i="2"/>
  <c r="O5714" i="2"/>
  <c r="R5714" i="2"/>
  <c r="S5714" i="2" s="1"/>
  <c r="I5715" i="2"/>
  <c r="J5715" i="2"/>
  <c r="K5715" i="2"/>
  <c r="O5715" i="2"/>
  <c r="R5715" i="2"/>
  <c r="S5715" i="2" s="1"/>
  <c r="I5716" i="2"/>
  <c r="J5716" i="2"/>
  <c r="K5716" i="2"/>
  <c r="O5716" i="2"/>
  <c r="R5716" i="2"/>
  <c r="S5716" i="2" s="1"/>
  <c r="I5717" i="2"/>
  <c r="J5717" i="2"/>
  <c r="K5717" i="2"/>
  <c r="O5717" i="2"/>
  <c r="R5717" i="2"/>
  <c r="S5717" i="2" s="1"/>
  <c r="I5718" i="2"/>
  <c r="J5718" i="2"/>
  <c r="K5718" i="2"/>
  <c r="O5718" i="2"/>
  <c r="R5718" i="2"/>
  <c r="S5718" i="2" s="1"/>
  <c r="I5719" i="2"/>
  <c r="J5719" i="2"/>
  <c r="K5719" i="2"/>
  <c r="O5719" i="2"/>
  <c r="R5719" i="2"/>
  <c r="S5719" i="2" s="1"/>
  <c r="I5720" i="2"/>
  <c r="J5720" i="2"/>
  <c r="K5720" i="2"/>
  <c r="O5720" i="2"/>
  <c r="R5720" i="2"/>
  <c r="S5720" i="2" s="1"/>
  <c r="I5721" i="2"/>
  <c r="J5721" i="2"/>
  <c r="K5721" i="2"/>
  <c r="O5721" i="2"/>
  <c r="R5721" i="2"/>
  <c r="S5721" i="2" s="1"/>
  <c r="I5722" i="2"/>
  <c r="J5722" i="2"/>
  <c r="K5722" i="2"/>
  <c r="O5722" i="2"/>
  <c r="R5722" i="2"/>
  <c r="S5722" i="2" s="1"/>
  <c r="I5723" i="2"/>
  <c r="J5723" i="2"/>
  <c r="K5723" i="2"/>
  <c r="O5723" i="2"/>
  <c r="R5723" i="2"/>
  <c r="S5723" i="2" s="1"/>
  <c r="I5724" i="2"/>
  <c r="J5724" i="2"/>
  <c r="K5724" i="2"/>
  <c r="O5724" i="2"/>
  <c r="R5724" i="2"/>
  <c r="S5724" i="2" s="1"/>
  <c r="I5725" i="2"/>
  <c r="J5725" i="2"/>
  <c r="K5725" i="2"/>
  <c r="O5725" i="2"/>
  <c r="R5725" i="2"/>
  <c r="S5725" i="2" s="1"/>
  <c r="I5726" i="2"/>
  <c r="J5726" i="2"/>
  <c r="K5726" i="2"/>
  <c r="O5726" i="2"/>
  <c r="R5726" i="2"/>
  <c r="S5726" i="2" s="1"/>
  <c r="I5727" i="2"/>
  <c r="J5727" i="2"/>
  <c r="K5727" i="2"/>
  <c r="O5727" i="2"/>
  <c r="R5727" i="2"/>
  <c r="S5727" i="2" s="1"/>
  <c r="I5728" i="2"/>
  <c r="J5728" i="2"/>
  <c r="K5728" i="2"/>
  <c r="O5728" i="2"/>
  <c r="R5728" i="2"/>
  <c r="S5728" i="2" s="1"/>
  <c r="I5729" i="2"/>
  <c r="J5729" i="2"/>
  <c r="K5729" i="2"/>
  <c r="O5729" i="2"/>
  <c r="R5729" i="2"/>
  <c r="S5729" i="2" s="1"/>
  <c r="I5730" i="2"/>
  <c r="J5730" i="2"/>
  <c r="K5730" i="2"/>
  <c r="O5730" i="2"/>
  <c r="R5730" i="2"/>
  <c r="S5730" i="2" s="1"/>
  <c r="I5731" i="2"/>
  <c r="J5731" i="2"/>
  <c r="K5731" i="2"/>
  <c r="O5731" i="2"/>
  <c r="R5731" i="2"/>
  <c r="S5731" i="2" s="1"/>
  <c r="I5732" i="2"/>
  <c r="J5732" i="2"/>
  <c r="K5732" i="2"/>
  <c r="O5732" i="2"/>
  <c r="R5732" i="2"/>
  <c r="S5732" i="2" s="1"/>
  <c r="I5733" i="2"/>
  <c r="J5733" i="2"/>
  <c r="K5733" i="2"/>
  <c r="O5733" i="2"/>
  <c r="R5733" i="2"/>
  <c r="S5733" i="2" s="1"/>
  <c r="I5734" i="2"/>
  <c r="J5734" i="2"/>
  <c r="K5734" i="2"/>
  <c r="O5734" i="2"/>
  <c r="R5734" i="2"/>
  <c r="S5734" i="2" s="1"/>
  <c r="I5735" i="2"/>
  <c r="J5735" i="2"/>
  <c r="K5735" i="2"/>
  <c r="O5735" i="2"/>
  <c r="R5735" i="2"/>
  <c r="S5735" i="2" s="1"/>
  <c r="I5736" i="2"/>
  <c r="J5736" i="2"/>
  <c r="K5736" i="2"/>
  <c r="O5736" i="2"/>
  <c r="R5736" i="2"/>
  <c r="S5736" i="2" s="1"/>
  <c r="I5737" i="2"/>
  <c r="J5737" i="2"/>
  <c r="K5737" i="2"/>
  <c r="O5737" i="2"/>
  <c r="R5737" i="2"/>
  <c r="S5737" i="2" s="1"/>
  <c r="I5738" i="2"/>
  <c r="J5738" i="2"/>
  <c r="K5738" i="2"/>
  <c r="O5738" i="2"/>
  <c r="R5738" i="2"/>
  <c r="S5738" i="2" s="1"/>
  <c r="I5739" i="2"/>
  <c r="J5739" i="2"/>
  <c r="K5739" i="2"/>
  <c r="O5739" i="2"/>
  <c r="R5739" i="2"/>
  <c r="S5739" i="2" s="1"/>
  <c r="I5740" i="2"/>
  <c r="J5740" i="2"/>
  <c r="K5740" i="2"/>
  <c r="O5740" i="2"/>
  <c r="R5740" i="2"/>
  <c r="S5740" i="2" s="1"/>
  <c r="I5741" i="2"/>
  <c r="J5741" i="2"/>
  <c r="K5741" i="2"/>
  <c r="O5741" i="2"/>
  <c r="R5741" i="2"/>
  <c r="S5741" i="2" s="1"/>
  <c r="I5742" i="2"/>
  <c r="J5742" i="2"/>
  <c r="K5742" i="2"/>
  <c r="O5742" i="2"/>
  <c r="R5742" i="2"/>
  <c r="S5742" i="2" s="1"/>
  <c r="I5743" i="2"/>
  <c r="J5743" i="2"/>
  <c r="K5743" i="2"/>
  <c r="O5743" i="2"/>
  <c r="R5743" i="2"/>
  <c r="S5743" i="2" s="1"/>
  <c r="I5744" i="2"/>
  <c r="J5744" i="2"/>
  <c r="K5744" i="2"/>
  <c r="O5744" i="2"/>
  <c r="R5744" i="2"/>
  <c r="S5744" i="2" s="1"/>
  <c r="I5745" i="2"/>
  <c r="J5745" i="2"/>
  <c r="K5745" i="2"/>
  <c r="O5745" i="2"/>
  <c r="R5745" i="2"/>
  <c r="S5745" i="2" s="1"/>
  <c r="I5746" i="2"/>
  <c r="J5746" i="2"/>
  <c r="K5746" i="2"/>
  <c r="O5746" i="2"/>
  <c r="R5746" i="2"/>
  <c r="S5746" i="2" s="1"/>
  <c r="I5747" i="2"/>
  <c r="J5747" i="2"/>
  <c r="K5747" i="2"/>
  <c r="O5747" i="2"/>
  <c r="R5747" i="2"/>
  <c r="S5747" i="2" s="1"/>
  <c r="I5748" i="2"/>
  <c r="J5748" i="2"/>
  <c r="K5748" i="2"/>
  <c r="O5748" i="2"/>
  <c r="R5748" i="2"/>
  <c r="S5748" i="2" s="1"/>
  <c r="I5749" i="2"/>
  <c r="J5749" i="2"/>
  <c r="K5749" i="2"/>
  <c r="O5749" i="2"/>
  <c r="R5749" i="2"/>
  <c r="S5749" i="2" s="1"/>
  <c r="I5750" i="2"/>
  <c r="J5750" i="2"/>
  <c r="K5750" i="2"/>
  <c r="O5750" i="2"/>
  <c r="R5750" i="2"/>
  <c r="S5750" i="2" s="1"/>
  <c r="I5751" i="2"/>
  <c r="J5751" i="2"/>
  <c r="K5751" i="2"/>
  <c r="O5751" i="2"/>
  <c r="R5751" i="2"/>
  <c r="S5751" i="2" s="1"/>
  <c r="I5752" i="2"/>
  <c r="J5752" i="2"/>
  <c r="K5752" i="2"/>
  <c r="O5752" i="2"/>
  <c r="R5752" i="2"/>
  <c r="S5752" i="2" s="1"/>
  <c r="I5753" i="2"/>
  <c r="J5753" i="2"/>
  <c r="K5753" i="2"/>
  <c r="O5753" i="2"/>
  <c r="R5753" i="2"/>
  <c r="S5753" i="2" s="1"/>
  <c r="I5754" i="2"/>
  <c r="J5754" i="2"/>
  <c r="K5754" i="2"/>
  <c r="O5754" i="2"/>
  <c r="R5754" i="2"/>
  <c r="S5754" i="2" s="1"/>
  <c r="I5755" i="2"/>
  <c r="J5755" i="2"/>
  <c r="K5755" i="2"/>
  <c r="O5755" i="2"/>
  <c r="R5755" i="2"/>
  <c r="S5755" i="2" s="1"/>
  <c r="I5756" i="2"/>
  <c r="J5756" i="2"/>
  <c r="K5756" i="2"/>
  <c r="O5756" i="2"/>
  <c r="R5756" i="2"/>
  <c r="S5756" i="2" s="1"/>
  <c r="I5757" i="2"/>
  <c r="J5757" i="2"/>
  <c r="K5757" i="2"/>
  <c r="O5757" i="2"/>
  <c r="R5757" i="2"/>
  <c r="S5757" i="2" s="1"/>
  <c r="I5758" i="2"/>
  <c r="J5758" i="2"/>
  <c r="K5758" i="2"/>
  <c r="O5758" i="2"/>
  <c r="R5758" i="2"/>
  <c r="S5758" i="2" s="1"/>
  <c r="I5759" i="2"/>
  <c r="J5759" i="2"/>
  <c r="K5759" i="2"/>
  <c r="O5759" i="2"/>
  <c r="R5759" i="2"/>
  <c r="S5759" i="2" s="1"/>
  <c r="I5760" i="2"/>
  <c r="J5760" i="2"/>
  <c r="K5760" i="2"/>
  <c r="O5760" i="2"/>
  <c r="R5760" i="2"/>
  <c r="S5760" i="2" s="1"/>
  <c r="I5761" i="2"/>
  <c r="J5761" i="2"/>
  <c r="K5761" i="2"/>
  <c r="O5761" i="2"/>
  <c r="R5761" i="2"/>
  <c r="S5761" i="2" s="1"/>
  <c r="I5762" i="2"/>
  <c r="J5762" i="2"/>
  <c r="K5762" i="2"/>
  <c r="O5762" i="2"/>
  <c r="R5762" i="2"/>
  <c r="S5762" i="2" s="1"/>
  <c r="I5763" i="2"/>
  <c r="J5763" i="2"/>
  <c r="K5763" i="2"/>
  <c r="O5763" i="2"/>
  <c r="R5763" i="2"/>
  <c r="S5763" i="2" s="1"/>
  <c r="I5764" i="2"/>
  <c r="J5764" i="2"/>
  <c r="K5764" i="2"/>
  <c r="O5764" i="2"/>
  <c r="R5764" i="2"/>
  <c r="S5764" i="2" s="1"/>
  <c r="I5765" i="2"/>
  <c r="J5765" i="2"/>
  <c r="K5765" i="2"/>
  <c r="O5765" i="2"/>
  <c r="R5765" i="2"/>
  <c r="S5765" i="2" s="1"/>
  <c r="I5766" i="2"/>
  <c r="J5766" i="2"/>
  <c r="K5766" i="2"/>
  <c r="O5766" i="2"/>
  <c r="R5766" i="2"/>
  <c r="S5766" i="2" s="1"/>
  <c r="I5767" i="2"/>
  <c r="J5767" i="2"/>
  <c r="K5767" i="2"/>
  <c r="O5767" i="2"/>
  <c r="R5767" i="2"/>
  <c r="S5767" i="2" s="1"/>
  <c r="I5768" i="2"/>
  <c r="J5768" i="2"/>
  <c r="K5768" i="2"/>
  <c r="O5768" i="2"/>
  <c r="R5768" i="2"/>
  <c r="S5768" i="2" s="1"/>
  <c r="I5769" i="2"/>
  <c r="J5769" i="2"/>
  <c r="K5769" i="2"/>
  <c r="O5769" i="2"/>
  <c r="R5769" i="2"/>
  <c r="S5769" i="2" s="1"/>
  <c r="I5770" i="2"/>
  <c r="J5770" i="2"/>
  <c r="K5770" i="2"/>
  <c r="O5770" i="2"/>
  <c r="R5770" i="2"/>
  <c r="S5770" i="2" s="1"/>
  <c r="I5771" i="2"/>
  <c r="J5771" i="2"/>
  <c r="K5771" i="2"/>
  <c r="O5771" i="2"/>
  <c r="R5771" i="2"/>
  <c r="S5771" i="2" s="1"/>
  <c r="I5772" i="2"/>
  <c r="J5772" i="2"/>
  <c r="K5772" i="2"/>
  <c r="O5772" i="2"/>
  <c r="R5772" i="2"/>
  <c r="S5772" i="2" s="1"/>
  <c r="I5773" i="2"/>
  <c r="J5773" i="2"/>
  <c r="K5773" i="2"/>
  <c r="O5773" i="2"/>
  <c r="R5773" i="2"/>
  <c r="S5773" i="2" s="1"/>
  <c r="I5774" i="2"/>
  <c r="J5774" i="2"/>
  <c r="K5774" i="2"/>
  <c r="O5774" i="2"/>
  <c r="R5774" i="2"/>
  <c r="S5774" i="2" s="1"/>
  <c r="I5775" i="2"/>
  <c r="J5775" i="2"/>
  <c r="K5775" i="2"/>
  <c r="O5775" i="2"/>
  <c r="R5775" i="2"/>
  <c r="S5775" i="2" s="1"/>
  <c r="I5776" i="2"/>
  <c r="J5776" i="2"/>
  <c r="K5776" i="2"/>
  <c r="O5776" i="2"/>
  <c r="R5776" i="2"/>
  <c r="S5776" i="2" s="1"/>
  <c r="I5777" i="2"/>
  <c r="J5777" i="2"/>
  <c r="K5777" i="2"/>
  <c r="O5777" i="2"/>
  <c r="R5777" i="2"/>
  <c r="S5777" i="2" s="1"/>
  <c r="I5778" i="2"/>
  <c r="J5778" i="2"/>
  <c r="K5778" i="2"/>
  <c r="O5778" i="2"/>
  <c r="R5778" i="2"/>
  <c r="S5778" i="2" s="1"/>
  <c r="I5779" i="2"/>
  <c r="J5779" i="2"/>
  <c r="K5779" i="2"/>
  <c r="O5779" i="2"/>
  <c r="R5779" i="2"/>
  <c r="S5779" i="2" s="1"/>
  <c r="I5780" i="2"/>
  <c r="J5780" i="2"/>
  <c r="K5780" i="2"/>
  <c r="O5780" i="2"/>
  <c r="R5780" i="2"/>
  <c r="S5780" i="2" s="1"/>
  <c r="I5781" i="2"/>
  <c r="J5781" i="2"/>
  <c r="K5781" i="2"/>
  <c r="O5781" i="2"/>
  <c r="R5781" i="2"/>
  <c r="S5781" i="2" s="1"/>
  <c r="I5782" i="2"/>
  <c r="J5782" i="2"/>
  <c r="K5782" i="2"/>
  <c r="O5782" i="2"/>
  <c r="R5782" i="2"/>
  <c r="S5782" i="2" s="1"/>
  <c r="I5783" i="2"/>
  <c r="J5783" i="2"/>
  <c r="K5783" i="2"/>
  <c r="O5783" i="2"/>
  <c r="R5783" i="2"/>
  <c r="S5783" i="2" s="1"/>
  <c r="I5784" i="2"/>
  <c r="J5784" i="2"/>
  <c r="K5784" i="2"/>
  <c r="O5784" i="2"/>
  <c r="R5784" i="2"/>
  <c r="S5784" i="2" s="1"/>
  <c r="I5785" i="2"/>
  <c r="J5785" i="2"/>
  <c r="K5785" i="2"/>
  <c r="O5785" i="2"/>
  <c r="R5785" i="2"/>
  <c r="S5785" i="2" s="1"/>
  <c r="I5786" i="2"/>
  <c r="J5786" i="2"/>
  <c r="K5786" i="2"/>
  <c r="O5786" i="2"/>
  <c r="R5786" i="2"/>
  <c r="S5786" i="2" s="1"/>
  <c r="I5787" i="2"/>
  <c r="J5787" i="2"/>
  <c r="K5787" i="2"/>
  <c r="O5787" i="2"/>
  <c r="R5787" i="2"/>
  <c r="S5787" i="2" s="1"/>
  <c r="I5788" i="2"/>
  <c r="J5788" i="2"/>
  <c r="K5788" i="2"/>
  <c r="O5788" i="2"/>
  <c r="R5788" i="2"/>
  <c r="S5788" i="2" s="1"/>
  <c r="I5789" i="2"/>
  <c r="J5789" i="2"/>
  <c r="K5789" i="2"/>
  <c r="O5789" i="2"/>
  <c r="R5789" i="2"/>
  <c r="S5789" i="2" s="1"/>
  <c r="I5790" i="2"/>
  <c r="J5790" i="2"/>
  <c r="K5790" i="2"/>
  <c r="O5790" i="2"/>
  <c r="R5790" i="2"/>
  <c r="S5790" i="2" s="1"/>
  <c r="I5791" i="2"/>
  <c r="J5791" i="2"/>
  <c r="K5791" i="2"/>
  <c r="O5791" i="2"/>
  <c r="R5791" i="2"/>
  <c r="S5791" i="2" s="1"/>
  <c r="I5792" i="2"/>
  <c r="J5792" i="2"/>
  <c r="K5792" i="2"/>
  <c r="O5792" i="2"/>
  <c r="R5792" i="2"/>
  <c r="S5792" i="2" s="1"/>
  <c r="I5793" i="2"/>
  <c r="J5793" i="2"/>
  <c r="K5793" i="2"/>
  <c r="O5793" i="2"/>
  <c r="R5793" i="2"/>
  <c r="S5793" i="2" s="1"/>
  <c r="I5794" i="2"/>
  <c r="J5794" i="2"/>
  <c r="K5794" i="2"/>
  <c r="O5794" i="2"/>
  <c r="R5794" i="2"/>
  <c r="S5794" i="2" s="1"/>
  <c r="I5795" i="2"/>
  <c r="J5795" i="2"/>
  <c r="K5795" i="2"/>
  <c r="O5795" i="2"/>
  <c r="R5795" i="2"/>
  <c r="S5795" i="2" s="1"/>
  <c r="I5796" i="2"/>
  <c r="J5796" i="2"/>
  <c r="K5796" i="2"/>
  <c r="O5796" i="2"/>
  <c r="R5796" i="2"/>
  <c r="S5796" i="2" s="1"/>
  <c r="I5797" i="2"/>
  <c r="J5797" i="2"/>
  <c r="K5797" i="2"/>
  <c r="O5797" i="2"/>
  <c r="R5797" i="2"/>
  <c r="S5797" i="2" s="1"/>
  <c r="I5798" i="2"/>
  <c r="J5798" i="2"/>
  <c r="K5798" i="2"/>
  <c r="O5798" i="2"/>
  <c r="R5798" i="2"/>
  <c r="S5798" i="2" s="1"/>
  <c r="I5799" i="2"/>
  <c r="J5799" i="2"/>
  <c r="K5799" i="2"/>
  <c r="O5799" i="2"/>
  <c r="R5799" i="2"/>
  <c r="S5799" i="2" s="1"/>
  <c r="I5800" i="2"/>
  <c r="J5800" i="2"/>
  <c r="K5800" i="2"/>
  <c r="O5800" i="2"/>
  <c r="R5800" i="2"/>
  <c r="S5800" i="2" s="1"/>
  <c r="I5801" i="2"/>
  <c r="J5801" i="2"/>
  <c r="K5801" i="2"/>
  <c r="O5801" i="2"/>
  <c r="R5801" i="2"/>
  <c r="S5801" i="2" s="1"/>
  <c r="I5802" i="2"/>
  <c r="J5802" i="2"/>
  <c r="K5802" i="2"/>
  <c r="O5802" i="2"/>
  <c r="R5802" i="2"/>
  <c r="S5802" i="2" s="1"/>
  <c r="I5803" i="2"/>
  <c r="J5803" i="2"/>
  <c r="K5803" i="2"/>
  <c r="O5803" i="2"/>
  <c r="R5803" i="2"/>
  <c r="S5803" i="2" s="1"/>
  <c r="I5804" i="2"/>
  <c r="J5804" i="2"/>
  <c r="K5804" i="2"/>
  <c r="O5804" i="2"/>
  <c r="R5804" i="2"/>
  <c r="S5804" i="2" s="1"/>
  <c r="I5805" i="2"/>
  <c r="J5805" i="2"/>
  <c r="K5805" i="2"/>
  <c r="O5805" i="2"/>
  <c r="R5805" i="2"/>
  <c r="S5805" i="2" s="1"/>
  <c r="I5806" i="2"/>
  <c r="J5806" i="2"/>
  <c r="K5806" i="2"/>
  <c r="O5806" i="2"/>
  <c r="R5806" i="2"/>
  <c r="S5806" i="2" s="1"/>
  <c r="I5807" i="2"/>
  <c r="J5807" i="2"/>
  <c r="K5807" i="2"/>
  <c r="O5807" i="2"/>
  <c r="R5807" i="2"/>
  <c r="S5807" i="2" s="1"/>
  <c r="I5808" i="2"/>
  <c r="J5808" i="2"/>
  <c r="K5808" i="2"/>
  <c r="O5808" i="2"/>
  <c r="R5808" i="2"/>
  <c r="S5808" i="2" s="1"/>
  <c r="I5809" i="2"/>
  <c r="J5809" i="2"/>
  <c r="K5809" i="2"/>
  <c r="O5809" i="2"/>
  <c r="R5809" i="2"/>
  <c r="S5809" i="2" s="1"/>
  <c r="I5810" i="2"/>
  <c r="J5810" i="2"/>
  <c r="K5810" i="2"/>
  <c r="O5810" i="2"/>
  <c r="R5810" i="2"/>
  <c r="S5810" i="2" s="1"/>
  <c r="I5811" i="2"/>
  <c r="J5811" i="2"/>
  <c r="K5811" i="2"/>
  <c r="O5811" i="2"/>
  <c r="R5811" i="2"/>
  <c r="S5811" i="2" s="1"/>
  <c r="I5812" i="2"/>
  <c r="J5812" i="2"/>
  <c r="K5812" i="2"/>
  <c r="O5812" i="2"/>
  <c r="R5812" i="2"/>
  <c r="S5812" i="2" s="1"/>
  <c r="I5813" i="2"/>
  <c r="J5813" i="2"/>
  <c r="K5813" i="2"/>
  <c r="O5813" i="2"/>
  <c r="R5813" i="2"/>
  <c r="S5813" i="2" s="1"/>
  <c r="I5814" i="2"/>
  <c r="J5814" i="2"/>
  <c r="K5814" i="2"/>
  <c r="O5814" i="2"/>
  <c r="R5814" i="2"/>
  <c r="S5814" i="2" s="1"/>
  <c r="I5815" i="2"/>
  <c r="J5815" i="2"/>
  <c r="K5815" i="2"/>
  <c r="O5815" i="2"/>
  <c r="R5815" i="2"/>
  <c r="S5815" i="2" s="1"/>
  <c r="I5816" i="2"/>
  <c r="J5816" i="2"/>
  <c r="K5816" i="2"/>
  <c r="O5816" i="2"/>
  <c r="R5816" i="2"/>
  <c r="S5816" i="2" s="1"/>
  <c r="I5817" i="2"/>
  <c r="J5817" i="2"/>
  <c r="K5817" i="2"/>
  <c r="O5817" i="2"/>
  <c r="R5817" i="2"/>
  <c r="S5817" i="2" s="1"/>
  <c r="I5818" i="2"/>
  <c r="J5818" i="2"/>
  <c r="K5818" i="2"/>
  <c r="O5818" i="2"/>
  <c r="R5818" i="2"/>
  <c r="S5818" i="2" s="1"/>
  <c r="I5819" i="2"/>
  <c r="J5819" i="2"/>
  <c r="K5819" i="2"/>
  <c r="O5819" i="2"/>
  <c r="R5819" i="2"/>
  <c r="S5819" i="2" s="1"/>
  <c r="I5820" i="2"/>
  <c r="J5820" i="2"/>
  <c r="K5820" i="2"/>
  <c r="O5820" i="2"/>
  <c r="R5820" i="2"/>
  <c r="S5820" i="2" s="1"/>
  <c r="I5821" i="2"/>
  <c r="J5821" i="2"/>
  <c r="K5821" i="2"/>
  <c r="O5821" i="2"/>
  <c r="R5821" i="2"/>
  <c r="S5821" i="2" s="1"/>
  <c r="I5822" i="2"/>
  <c r="J5822" i="2"/>
  <c r="K5822" i="2"/>
  <c r="O5822" i="2"/>
  <c r="R5822" i="2"/>
  <c r="S5822" i="2" s="1"/>
  <c r="I5823" i="2"/>
  <c r="J5823" i="2"/>
  <c r="K5823" i="2"/>
  <c r="O5823" i="2"/>
  <c r="R5823" i="2"/>
  <c r="S5823" i="2" s="1"/>
  <c r="I5824" i="2"/>
  <c r="J5824" i="2"/>
  <c r="K5824" i="2"/>
  <c r="O5824" i="2"/>
  <c r="R5824" i="2"/>
  <c r="S5824" i="2" s="1"/>
  <c r="I5825" i="2"/>
  <c r="J5825" i="2"/>
  <c r="K5825" i="2"/>
  <c r="O5825" i="2"/>
  <c r="R5825" i="2"/>
  <c r="S5825" i="2" s="1"/>
  <c r="I5826" i="2"/>
  <c r="J5826" i="2"/>
  <c r="K5826" i="2"/>
  <c r="O5826" i="2"/>
  <c r="R5826" i="2"/>
  <c r="S5826" i="2" s="1"/>
  <c r="I5827" i="2"/>
  <c r="J5827" i="2"/>
  <c r="K5827" i="2"/>
  <c r="O5827" i="2"/>
  <c r="R5827" i="2"/>
  <c r="S5827" i="2" s="1"/>
  <c r="I5828" i="2"/>
  <c r="J5828" i="2"/>
  <c r="K5828" i="2"/>
  <c r="O5828" i="2"/>
  <c r="R5828" i="2"/>
  <c r="S5828" i="2" s="1"/>
  <c r="I5829" i="2"/>
  <c r="J5829" i="2"/>
  <c r="K5829" i="2"/>
  <c r="O5829" i="2"/>
  <c r="R5829" i="2"/>
  <c r="S5829" i="2" s="1"/>
  <c r="I5830" i="2"/>
  <c r="J5830" i="2"/>
  <c r="K5830" i="2"/>
  <c r="O5830" i="2"/>
  <c r="R5830" i="2"/>
  <c r="S5830" i="2" s="1"/>
  <c r="I5831" i="2"/>
  <c r="J5831" i="2"/>
  <c r="K5831" i="2"/>
  <c r="O5831" i="2"/>
  <c r="R5831" i="2"/>
  <c r="S5831" i="2" s="1"/>
  <c r="I5832" i="2"/>
  <c r="J5832" i="2"/>
  <c r="K5832" i="2"/>
  <c r="O5832" i="2"/>
  <c r="R5832" i="2"/>
  <c r="S5832" i="2" s="1"/>
  <c r="I5833" i="2"/>
  <c r="J5833" i="2"/>
  <c r="K5833" i="2"/>
  <c r="O5833" i="2"/>
  <c r="R5833" i="2"/>
  <c r="S5833" i="2" s="1"/>
  <c r="I5834" i="2"/>
  <c r="J5834" i="2"/>
  <c r="K5834" i="2"/>
  <c r="O5834" i="2"/>
  <c r="R5834" i="2"/>
  <c r="S5834" i="2" s="1"/>
  <c r="I5835" i="2"/>
  <c r="J5835" i="2"/>
  <c r="K5835" i="2"/>
  <c r="O5835" i="2"/>
  <c r="R5835" i="2"/>
  <c r="S5835" i="2" s="1"/>
  <c r="I5836" i="2"/>
  <c r="J5836" i="2"/>
  <c r="K5836" i="2"/>
  <c r="O5836" i="2"/>
  <c r="R5836" i="2"/>
  <c r="S5836" i="2" s="1"/>
  <c r="I5837" i="2"/>
  <c r="J5837" i="2"/>
  <c r="K5837" i="2"/>
  <c r="O5837" i="2"/>
  <c r="R5837" i="2"/>
  <c r="S5837" i="2" s="1"/>
  <c r="I5838" i="2"/>
  <c r="J5838" i="2"/>
  <c r="K5838" i="2"/>
  <c r="O5838" i="2"/>
  <c r="R5838" i="2"/>
  <c r="S5838" i="2" s="1"/>
  <c r="I5839" i="2"/>
  <c r="J5839" i="2"/>
  <c r="K5839" i="2"/>
  <c r="O5839" i="2"/>
  <c r="R5839" i="2"/>
  <c r="S5839" i="2" s="1"/>
  <c r="I5840" i="2"/>
  <c r="J5840" i="2"/>
  <c r="K5840" i="2"/>
  <c r="O5840" i="2"/>
  <c r="R5840" i="2"/>
  <c r="S5840" i="2" s="1"/>
  <c r="I5841" i="2"/>
  <c r="J5841" i="2"/>
  <c r="K5841" i="2"/>
  <c r="O5841" i="2"/>
  <c r="R5841" i="2"/>
  <c r="S5841" i="2" s="1"/>
  <c r="I5842" i="2"/>
  <c r="J5842" i="2"/>
  <c r="K5842" i="2"/>
  <c r="O5842" i="2"/>
  <c r="R5842" i="2"/>
  <c r="S5842" i="2" s="1"/>
  <c r="I5843" i="2"/>
  <c r="J5843" i="2"/>
  <c r="K5843" i="2"/>
  <c r="O5843" i="2"/>
  <c r="R5843" i="2"/>
  <c r="S5843" i="2" s="1"/>
  <c r="I5844" i="2"/>
  <c r="J5844" i="2"/>
  <c r="K5844" i="2"/>
  <c r="O5844" i="2"/>
  <c r="R5844" i="2"/>
  <c r="S5844" i="2" s="1"/>
  <c r="I5845" i="2"/>
  <c r="J5845" i="2"/>
  <c r="K5845" i="2"/>
  <c r="O5845" i="2"/>
  <c r="R5845" i="2"/>
  <c r="S5845" i="2" s="1"/>
  <c r="I5846" i="2"/>
  <c r="J5846" i="2"/>
  <c r="K5846" i="2"/>
  <c r="O5846" i="2"/>
  <c r="R5846" i="2"/>
  <c r="S5846" i="2" s="1"/>
  <c r="I5847" i="2"/>
  <c r="J5847" i="2"/>
  <c r="K5847" i="2"/>
  <c r="O5847" i="2"/>
  <c r="R5847" i="2"/>
  <c r="S5847" i="2" s="1"/>
  <c r="I5848" i="2"/>
  <c r="J5848" i="2"/>
  <c r="K5848" i="2"/>
  <c r="O5848" i="2"/>
  <c r="R5848" i="2"/>
  <c r="S5848" i="2" s="1"/>
  <c r="I5849" i="2"/>
  <c r="J5849" i="2"/>
  <c r="K5849" i="2"/>
  <c r="O5849" i="2"/>
  <c r="R5849" i="2"/>
  <c r="S5849" i="2" s="1"/>
  <c r="I5850" i="2"/>
  <c r="J5850" i="2"/>
  <c r="K5850" i="2"/>
  <c r="O5850" i="2"/>
  <c r="R5850" i="2"/>
  <c r="S5850" i="2" s="1"/>
  <c r="I5851" i="2"/>
  <c r="J5851" i="2"/>
  <c r="K5851" i="2"/>
  <c r="O5851" i="2"/>
  <c r="R5851" i="2"/>
  <c r="S5851" i="2" s="1"/>
  <c r="I5852" i="2"/>
  <c r="J5852" i="2"/>
  <c r="K5852" i="2"/>
  <c r="O5852" i="2"/>
  <c r="R5852" i="2"/>
  <c r="S5852" i="2" s="1"/>
  <c r="I5853" i="2"/>
  <c r="J5853" i="2"/>
  <c r="K5853" i="2"/>
  <c r="O5853" i="2"/>
  <c r="R5853" i="2"/>
  <c r="S5853" i="2" s="1"/>
  <c r="I5854" i="2"/>
  <c r="J5854" i="2"/>
  <c r="K5854" i="2"/>
  <c r="O5854" i="2"/>
  <c r="R5854" i="2"/>
  <c r="S5854" i="2" s="1"/>
  <c r="I5855" i="2"/>
  <c r="J5855" i="2"/>
  <c r="K5855" i="2"/>
  <c r="O5855" i="2"/>
  <c r="R5855" i="2"/>
  <c r="S5855" i="2" s="1"/>
  <c r="I5856" i="2"/>
  <c r="J5856" i="2"/>
  <c r="K5856" i="2"/>
  <c r="O5856" i="2"/>
  <c r="R5856" i="2"/>
  <c r="S5856" i="2" s="1"/>
  <c r="I5857" i="2"/>
  <c r="J5857" i="2"/>
  <c r="K5857" i="2"/>
  <c r="O5857" i="2"/>
  <c r="R5857" i="2"/>
  <c r="S5857" i="2" s="1"/>
  <c r="I5858" i="2"/>
  <c r="J5858" i="2"/>
  <c r="K5858" i="2"/>
  <c r="O5858" i="2"/>
  <c r="R5858" i="2"/>
  <c r="S5858" i="2" s="1"/>
  <c r="I5859" i="2"/>
  <c r="J5859" i="2"/>
  <c r="K5859" i="2"/>
  <c r="O5859" i="2"/>
  <c r="R5859" i="2"/>
  <c r="S5859" i="2" s="1"/>
  <c r="I5860" i="2"/>
  <c r="J5860" i="2"/>
  <c r="K5860" i="2"/>
  <c r="O5860" i="2"/>
  <c r="R5860" i="2"/>
  <c r="S5860" i="2" s="1"/>
  <c r="I5861" i="2"/>
  <c r="J5861" i="2"/>
  <c r="K5861" i="2"/>
  <c r="O5861" i="2"/>
  <c r="R5861" i="2"/>
  <c r="S5861" i="2" s="1"/>
  <c r="I5862" i="2"/>
  <c r="J5862" i="2"/>
  <c r="K5862" i="2"/>
  <c r="O5862" i="2"/>
  <c r="R5862" i="2"/>
  <c r="S5862" i="2" s="1"/>
  <c r="I5863" i="2"/>
  <c r="J5863" i="2"/>
  <c r="K5863" i="2"/>
  <c r="O5863" i="2"/>
  <c r="R5863" i="2"/>
  <c r="S5863" i="2" s="1"/>
  <c r="I5864" i="2"/>
  <c r="J5864" i="2"/>
  <c r="K5864" i="2"/>
  <c r="O5864" i="2"/>
  <c r="R5864" i="2"/>
  <c r="S5864" i="2" s="1"/>
  <c r="I5865" i="2"/>
  <c r="J5865" i="2"/>
  <c r="K5865" i="2"/>
  <c r="O5865" i="2"/>
  <c r="R5865" i="2"/>
  <c r="S5865" i="2" s="1"/>
  <c r="I5866" i="2"/>
  <c r="J5866" i="2"/>
  <c r="K5866" i="2"/>
  <c r="O5866" i="2"/>
  <c r="R5866" i="2"/>
  <c r="S5866" i="2" s="1"/>
  <c r="I5867" i="2"/>
  <c r="J5867" i="2"/>
  <c r="K5867" i="2"/>
  <c r="O5867" i="2"/>
  <c r="R5867" i="2"/>
  <c r="S5867" i="2" s="1"/>
  <c r="I5868" i="2"/>
  <c r="J5868" i="2"/>
  <c r="K5868" i="2"/>
  <c r="O5868" i="2"/>
  <c r="R5868" i="2"/>
  <c r="S5868" i="2" s="1"/>
  <c r="I5869" i="2"/>
  <c r="J5869" i="2"/>
  <c r="K5869" i="2"/>
  <c r="O5869" i="2"/>
  <c r="R5869" i="2"/>
  <c r="S5869" i="2" s="1"/>
  <c r="I5870" i="2"/>
  <c r="J5870" i="2"/>
  <c r="K5870" i="2"/>
  <c r="O5870" i="2"/>
  <c r="R5870" i="2"/>
  <c r="S5870" i="2" s="1"/>
  <c r="I5871" i="2"/>
  <c r="J5871" i="2"/>
  <c r="K5871" i="2"/>
  <c r="O5871" i="2"/>
  <c r="R5871" i="2"/>
  <c r="S5871" i="2" s="1"/>
  <c r="I5872" i="2"/>
  <c r="J5872" i="2"/>
  <c r="K5872" i="2"/>
  <c r="O5872" i="2"/>
  <c r="R5872" i="2"/>
  <c r="S5872" i="2" s="1"/>
  <c r="I5873" i="2"/>
  <c r="J5873" i="2"/>
  <c r="K5873" i="2"/>
  <c r="O5873" i="2"/>
  <c r="R5873" i="2"/>
  <c r="S5873" i="2" s="1"/>
  <c r="I5874" i="2"/>
  <c r="J5874" i="2"/>
  <c r="K5874" i="2"/>
  <c r="O5874" i="2"/>
  <c r="R5874" i="2"/>
  <c r="S5874" i="2" s="1"/>
  <c r="I5875" i="2"/>
  <c r="J5875" i="2"/>
  <c r="K5875" i="2"/>
  <c r="O5875" i="2"/>
  <c r="R5875" i="2"/>
  <c r="S5875" i="2" s="1"/>
  <c r="I5876" i="2"/>
  <c r="J5876" i="2"/>
  <c r="K5876" i="2"/>
  <c r="O5876" i="2"/>
  <c r="R5876" i="2"/>
  <c r="S5876" i="2" s="1"/>
  <c r="I5877" i="2"/>
  <c r="J5877" i="2"/>
  <c r="K5877" i="2"/>
  <c r="O5877" i="2"/>
  <c r="R5877" i="2"/>
  <c r="S5877" i="2" s="1"/>
  <c r="I5878" i="2"/>
  <c r="J5878" i="2"/>
  <c r="K5878" i="2"/>
  <c r="O5878" i="2"/>
  <c r="R5878" i="2"/>
  <c r="S5878" i="2" s="1"/>
  <c r="I5879" i="2"/>
  <c r="J5879" i="2"/>
  <c r="K5879" i="2"/>
  <c r="O5879" i="2"/>
  <c r="R5879" i="2"/>
  <c r="S5879" i="2" s="1"/>
  <c r="I5880" i="2"/>
  <c r="J5880" i="2"/>
  <c r="K5880" i="2"/>
  <c r="O5880" i="2"/>
  <c r="R5880" i="2"/>
  <c r="S5880" i="2" s="1"/>
  <c r="I5881" i="2"/>
  <c r="J5881" i="2"/>
  <c r="K5881" i="2"/>
  <c r="O5881" i="2"/>
  <c r="R5881" i="2"/>
  <c r="S5881" i="2" s="1"/>
  <c r="I5882" i="2"/>
  <c r="J5882" i="2"/>
  <c r="K5882" i="2"/>
  <c r="O5882" i="2"/>
  <c r="R5882" i="2"/>
  <c r="S5882" i="2" s="1"/>
  <c r="I5883" i="2"/>
  <c r="J5883" i="2"/>
  <c r="K5883" i="2"/>
  <c r="O5883" i="2"/>
  <c r="R5883" i="2"/>
  <c r="S5883" i="2" s="1"/>
  <c r="I5884" i="2"/>
  <c r="J5884" i="2"/>
  <c r="K5884" i="2"/>
  <c r="O5884" i="2"/>
  <c r="R5884" i="2"/>
  <c r="S5884" i="2" s="1"/>
  <c r="I5885" i="2"/>
  <c r="J5885" i="2"/>
  <c r="K5885" i="2"/>
  <c r="O5885" i="2"/>
  <c r="R5885" i="2"/>
  <c r="S5885" i="2" s="1"/>
  <c r="I5886" i="2"/>
  <c r="J5886" i="2"/>
  <c r="K5886" i="2"/>
  <c r="O5886" i="2"/>
  <c r="R5886" i="2"/>
  <c r="S5886" i="2" s="1"/>
  <c r="I5887" i="2"/>
  <c r="J5887" i="2"/>
  <c r="K5887" i="2"/>
  <c r="O5887" i="2"/>
  <c r="R5887" i="2"/>
  <c r="S5887" i="2" s="1"/>
  <c r="I5888" i="2"/>
  <c r="J5888" i="2"/>
  <c r="K5888" i="2"/>
  <c r="O5888" i="2"/>
  <c r="R5888" i="2"/>
  <c r="S5888" i="2" s="1"/>
  <c r="I5889" i="2"/>
  <c r="J5889" i="2"/>
  <c r="K5889" i="2"/>
  <c r="O5889" i="2"/>
  <c r="R5889" i="2"/>
  <c r="S5889" i="2" s="1"/>
  <c r="I5890" i="2"/>
  <c r="J5890" i="2"/>
  <c r="K5890" i="2"/>
  <c r="O5890" i="2"/>
  <c r="R5890" i="2"/>
  <c r="S5890" i="2" s="1"/>
  <c r="I5891" i="2"/>
  <c r="J5891" i="2"/>
  <c r="K5891" i="2"/>
  <c r="O5891" i="2"/>
  <c r="R5891" i="2"/>
  <c r="S5891" i="2" s="1"/>
  <c r="I5892" i="2"/>
  <c r="J5892" i="2"/>
  <c r="K5892" i="2"/>
  <c r="O5892" i="2"/>
  <c r="R5892" i="2"/>
  <c r="S5892" i="2" s="1"/>
  <c r="I5893" i="2"/>
  <c r="J5893" i="2"/>
  <c r="K5893" i="2"/>
  <c r="O5893" i="2"/>
  <c r="R5893" i="2"/>
  <c r="S5893" i="2" s="1"/>
  <c r="I5894" i="2"/>
  <c r="J5894" i="2"/>
  <c r="K5894" i="2"/>
  <c r="O5894" i="2"/>
  <c r="R5894" i="2"/>
  <c r="S5894" i="2" s="1"/>
  <c r="I5895" i="2"/>
  <c r="J5895" i="2"/>
  <c r="K5895" i="2"/>
  <c r="O5895" i="2"/>
  <c r="R5895" i="2"/>
  <c r="S5895" i="2" s="1"/>
  <c r="I5896" i="2"/>
  <c r="J5896" i="2"/>
  <c r="K5896" i="2"/>
  <c r="O5896" i="2"/>
  <c r="R5896" i="2"/>
  <c r="S5896" i="2" s="1"/>
  <c r="I5897" i="2"/>
  <c r="J5897" i="2"/>
  <c r="K5897" i="2"/>
  <c r="O5897" i="2"/>
  <c r="R5897" i="2"/>
  <c r="S5897" i="2" s="1"/>
  <c r="I5898" i="2"/>
  <c r="J5898" i="2"/>
  <c r="K5898" i="2"/>
  <c r="O5898" i="2"/>
  <c r="R5898" i="2"/>
  <c r="S5898" i="2" s="1"/>
  <c r="I5899" i="2"/>
  <c r="J5899" i="2"/>
  <c r="K5899" i="2"/>
  <c r="O5899" i="2"/>
  <c r="R5899" i="2"/>
  <c r="S5899" i="2" s="1"/>
  <c r="I5900" i="2"/>
  <c r="J5900" i="2"/>
  <c r="K5900" i="2"/>
  <c r="O5900" i="2"/>
  <c r="R5900" i="2"/>
  <c r="S5900" i="2" s="1"/>
  <c r="I5901" i="2"/>
  <c r="J5901" i="2"/>
  <c r="K5901" i="2"/>
  <c r="O5901" i="2"/>
  <c r="R5901" i="2"/>
  <c r="S5901" i="2" s="1"/>
  <c r="I5902" i="2"/>
  <c r="J5902" i="2"/>
  <c r="K5902" i="2"/>
  <c r="O5902" i="2"/>
  <c r="R5902" i="2"/>
  <c r="S5902" i="2" s="1"/>
  <c r="I5903" i="2"/>
  <c r="J5903" i="2"/>
  <c r="K5903" i="2"/>
  <c r="O5903" i="2"/>
  <c r="R5903" i="2"/>
  <c r="S5903" i="2" s="1"/>
  <c r="I5904" i="2"/>
  <c r="J5904" i="2"/>
  <c r="K5904" i="2"/>
  <c r="O5904" i="2"/>
  <c r="R5904" i="2"/>
  <c r="S5904" i="2" s="1"/>
  <c r="I5905" i="2"/>
  <c r="J5905" i="2"/>
  <c r="K5905" i="2"/>
  <c r="O5905" i="2"/>
  <c r="R5905" i="2"/>
  <c r="S5905" i="2" s="1"/>
  <c r="I5906" i="2"/>
  <c r="J5906" i="2"/>
  <c r="K5906" i="2"/>
  <c r="O5906" i="2"/>
  <c r="R5906" i="2"/>
  <c r="S5906" i="2" s="1"/>
  <c r="I5907" i="2"/>
  <c r="J5907" i="2"/>
  <c r="K5907" i="2"/>
  <c r="O5907" i="2"/>
  <c r="R5907" i="2"/>
  <c r="S5907" i="2" s="1"/>
  <c r="I5908" i="2"/>
  <c r="J5908" i="2"/>
  <c r="K5908" i="2"/>
  <c r="O5908" i="2"/>
  <c r="R5908" i="2"/>
  <c r="S5908" i="2" s="1"/>
  <c r="I5909" i="2"/>
  <c r="J5909" i="2"/>
  <c r="K5909" i="2"/>
  <c r="O5909" i="2"/>
  <c r="R5909" i="2"/>
  <c r="S5909" i="2" s="1"/>
  <c r="I5910" i="2"/>
  <c r="J5910" i="2"/>
  <c r="K5910" i="2"/>
  <c r="O5910" i="2"/>
  <c r="R5910" i="2"/>
  <c r="S5910" i="2" s="1"/>
  <c r="I5911" i="2"/>
  <c r="J5911" i="2"/>
  <c r="K5911" i="2"/>
  <c r="O5911" i="2"/>
  <c r="R5911" i="2"/>
  <c r="S5911" i="2" s="1"/>
  <c r="I5912" i="2"/>
  <c r="J5912" i="2"/>
  <c r="K5912" i="2"/>
  <c r="O5912" i="2"/>
  <c r="R5912" i="2"/>
  <c r="S5912" i="2" s="1"/>
  <c r="I5913" i="2"/>
  <c r="J5913" i="2"/>
  <c r="K5913" i="2"/>
  <c r="O5913" i="2"/>
  <c r="R5913" i="2"/>
  <c r="S5913" i="2" s="1"/>
  <c r="I5914" i="2"/>
  <c r="J5914" i="2"/>
  <c r="K5914" i="2"/>
  <c r="O5914" i="2"/>
  <c r="R5914" i="2"/>
  <c r="S5914" i="2" s="1"/>
  <c r="I5915" i="2"/>
  <c r="J5915" i="2"/>
  <c r="K5915" i="2"/>
  <c r="O5915" i="2"/>
  <c r="R5915" i="2"/>
  <c r="S5915" i="2" s="1"/>
  <c r="I5916" i="2"/>
  <c r="J5916" i="2"/>
  <c r="K5916" i="2"/>
  <c r="O5916" i="2"/>
  <c r="R5916" i="2"/>
  <c r="S5916" i="2" s="1"/>
  <c r="I5917" i="2"/>
  <c r="J5917" i="2"/>
  <c r="K5917" i="2"/>
  <c r="O5917" i="2"/>
  <c r="R5917" i="2"/>
  <c r="S5917" i="2" s="1"/>
  <c r="I5918" i="2"/>
  <c r="J5918" i="2"/>
  <c r="K5918" i="2"/>
  <c r="O5918" i="2"/>
  <c r="R5918" i="2"/>
  <c r="S5918" i="2" s="1"/>
  <c r="I5919" i="2"/>
  <c r="J5919" i="2"/>
  <c r="K5919" i="2"/>
  <c r="O5919" i="2"/>
  <c r="R5919" i="2"/>
  <c r="S5919" i="2" s="1"/>
  <c r="I5920" i="2"/>
  <c r="J5920" i="2"/>
  <c r="K5920" i="2"/>
  <c r="O5920" i="2"/>
  <c r="R5920" i="2"/>
  <c r="S5920" i="2" s="1"/>
  <c r="I5921" i="2"/>
  <c r="J5921" i="2"/>
  <c r="K5921" i="2"/>
  <c r="O5921" i="2"/>
  <c r="R5921" i="2"/>
  <c r="S5921" i="2" s="1"/>
  <c r="I5922" i="2"/>
  <c r="J5922" i="2"/>
  <c r="K5922" i="2"/>
  <c r="O5922" i="2"/>
  <c r="R5922" i="2"/>
  <c r="S5922" i="2" s="1"/>
  <c r="I5923" i="2"/>
  <c r="J5923" i="2"/>
  <c r="K5923" i="2"/>
  <c r="O5923" i="2"/>
  <c r="R5923" i="2"/>
  <c r="S5923" i="2" s="1"/>
  <c r="I5924" i="2"/>
  <c r="J5924" i="2"/>
  <c r="K5924" i="2"/>
  <c r="O5924" i="2"/>
  <c r="R5924" i="2"/>
  <c r="S5924" i="2" s="1"/>
  <c r="I5925" i="2"/>
  <c r="J5925" i="2"/>
  <c r="K5925" i="2"/>
  <c r="O5925" i="2"/>
  <c r="R5925" i="2"/>
  <c r="S5925" i="2" s="1"/>
  <c r="I5926" i="2"/>
  <c r="J5926" i="2"/>
  <c r="K5926" i="2"/>
  <c r="O5926" i="2"/>
  <c r="R5926" i="2"/>
  <c r="S5926" i="2" s="1"/>
  <c r="I5927" i="2"/>
  <c r="J5927" i="2"/>
  <c r="K5927" i="2"/>
  <c r="O5927" i="2"/>
  <c r="R5927" i="2"/>
  <c r="S5927" i="2" s="1"/>
  <c r="I5928" i="2"/>
  <c r="J5928" i="2"/>
  <c r="K5928" i="2"/>
  <c r="O5928" i="2"/>
  <c r="R5928" i="2"/>
  <c r="S5928" i="2" s="1"/>
  <c r="I5929" i="2"/>
  <c r="J5929" i="2"/>
  <c r="K5929" i="2"/>
  <c r="O5929" i="2"/>
  <c r="R5929" i="2"/>
  <c r="S5929" i="2" s="1"/>
  <c r="I5930" i="2"/>
  <c r="J5930" i="2"/>
  <c r="K5930" i="2"/>
  <c r="O5930" i="2"/>
  <c r="R5930" i="2"/>
  <c r="S5930" i="2" s="1"/>
  <c r="I5931" i="2"/>
  <c r="J5931" i="2"/>
  <c r="K5931" i="2"/>
  <c r="O5931" i="2"/>
  <c r="R5931" i="2"/>
  <c r="S5931" i="2" s="1"/>
  <c r="I5932" i="2"/>
  <c r="J5932" i="2"/>
  <c r="K5932" i="2"/>
  <c r="O5932" i="2"/>
  <c r="R5932" i="2"/>
  <c r="S5932" i="2" s="1"/>
  <c r="I5933" i="2"/>
  <c r="J5933" i="2"/>
  <c r="K5933" i="2"/>
  <c r="O5933" i="2"/>
  <c r="R5933" i="2"/>
  <c r="S5933" i="2" s="1"/>
  <c r="I5934" i="2"/>
  <c r="J5934" i="2"/>
  <c r="K5934" i="2"/>
  <c r="O5934" i="2"/>
  <c r="R5934" i="2"/>
  <c r="S5934" i="2" s="1"/>
  <c r="I5935" i="2"/>
  <c r="J5935" i="2"/>
  <c r="K5935" i="2"/>
  <c r="O5935" i="2"/>
  <c r="R5935" i="2"/>
  <c r="S5935" i="2" s="1"/>
  <c r="I5936" i="2"/>
  <c r="J5936" i="2"/>
  <c r="K5936" i="2"/>
  <c r="O5936" i="2"/>
  <c r="R5936" i="2"/>
  <c r="S5936" i="2" s="1"/>
  <c r="I5937" i="2"/>
  <c r="J5937" i="2"/>
  <c r="K5937" i="2"/>
  <c r="O5937" i="2"/>
  <c r="R5937" i="2"/>
  <c r="S5937" i="2" s="1"/>
  <c r="I5938" i="2"/>
  <c r="J5938" i="2"/>
  <c r="K5938" i="2"/>
  <c r="O5938" i="2"/>
  <c r="R5938" i="2"/>
  <c r="S5938" i="2" s="1"/>
  <c r="I5939" i="2"/>
  <c r="J5939" i="2"/>
  <c r="K5939" i="2"/>
  <c r="O5939" i="2"/>
  <c r="R5939" i="2"/>
  <c r="S5939" i="2" s="1"/>
  <c r="I5940" i="2"/>
  <c r="J5940" i="2"/>
  <c r="K5940" i="2"/>
  <c r="O5940" i="2"/>
  <c r="R5940" i="2"/>
  <c r="S5940" i="2" s="1"/>
  <c r="I5941" i="2"/>
  <c r="J5941" i="2"/>
  <c r="K5941" i="2"/>
  <c r="O5941" i="2"/>
  <c r="R5941" i="2"/>
  <c r="S5941" i="2" s="1"/>
  <c r="I5942" i="2"/>
  <c r="J5942" i="2"/>
  <c r="K5942" i="2"/>
  <c r="O5942" i="2"/>
  <c r="R5942" i="2"/>
  <c r="S5942" i="2" s="1"/>
  <c r="I5943" i="2"/>
  <c r="J5943" i="2"/>
  <c r="K5943" i="2"/>
  <c r="O5943" i="2"/>
  <c r="R5943" i="2"/>
  <c r="S5943" i="2" s="1"/>
  <c r="I5944" i="2"/>
  <c r="J5944" i="2"/>
  <c r="K5944" i="2"/>
  <c r="O5944" i="2"/>
  <c r="R5944" i="2"/>
  <c r="S5944" i="2" s="1"/>
  <c r="I5945" i="2"/>
  <c r="J5945" i="2"/>
  <c r="K5945" i="2"/>
  <c r="O5945" i="2"/>
  <c r="R5945" i="2"/>
  <c r="S5945" i="2" s="1"/>
  <c r="I5946" i="2"/>
  <c r="J5946" i="2"/>
  <c r="K5946" i="2"/>
  <c r="O5946" i="2"/>
  <c r="R5946" i="2"/>
  <c r="S5946" i="2" s="1"/>
  <c r="I5947" i="2"/>
  <c r="J5947" i="2"/>
  <c r="K5947" i="2"/>
  <c r="O5947" i="2"/>
  <c r="R5947" i="2"/>
  <c r="S5947" i="2" s="1"/>
  <c r="I5948" i="2"/>
  <c r="J5948" i="2"/>
  <c r="K5948" i="2"/>
  <c r="O5948" i="2"/>
  <c r="R5948" i="2"/>
  <c r="S5948" i="2" s="1"/>
  <c r="I5949" i="2"/>
  <c r="J5949" i="2"/>
  <c r="K5949" i="2"/>
  <c r="O5949" i="2"/>
  <c r="R5949" i="2"/>
  <c r="S5949" i="2" s="1"/>
  <c r="I5950" i="2"/>
  <c r="J5950" i="2"/>
  <c r="K5950" i="2"/>
  <c r="O5950" i="2"/>
  <c r="R5950" i="2"/>
  <c r="S5950" i="2" s="1"/>
  <c r="I5951" i="2"/>
  <c r="J5951" i="2"/>
  <c r="K5951" i="2"/>
  <c r="O5951" i="2"/>
  <c r="R5951" i="2"/>
  <c r="S5951" i="2" s="1"/>
  <c r="I5952" i="2"/>
  <c r="J5952" i="2"/>
  <c r="K5952" i="2"/>
  <c r="O5952" i="2"/>
  <c r="R5952" i="2"/>
  <c r="S5952" i="2" s="1"/>
  <c r="I5953" i="2"/>
  <c r="J5953" i="2"/>
  <c r="K5953" i="2"/>
  <c r="O5953" i="2"/>
  <c r="R5953" i="2"/>
  <c r="S5953" i="2" s="1"/>
  <c r="I5954" i="2"/>
  <c r="J5954" i="2"/>
  <c r="K5954" i="2"/>
  <c r="O5954" i="2"/>
  <c r="R5954" i="2"/>
  <c r="S5954" i="2" s="1"/>
  <c r="I5955" i="2"/>
  <c r="J5955" i="2"/>
  <c r="K5955" i="2"/>
  <c r="O5955" i="2"/>
  <c r="R5955" i="2"/>
  <c r="S5955" i="2" s="1"/>
  <c r="I5956" i="2"/>
  <c r="J5956" i="2"/>
  <c r="K5956" i="2"/>
  <c r="O5956" i="2"/>
  <c r="R5956" i="2"/>
  <c r="S5956" i="2" s="1"/>
  <c r="I5957" i="2"/>
  <c r="J5957" i="2"/>
  <c r="K5957" i="2"/>
  <c r="O5957" i="2"/>
  <c r="R5957" i="2"/>
  <c r="S5957" i="2" s="1"/>
  <c r="I5958" i="2"/>
  <c r="J5958" i="2"/>
  <c r="K5958" i="2"/>
  <c r="O5958" i="2"/>
  <c r="R5958" i="2"/>
  <c r="S5958" i="2" s="1"/>
  <c r="I5959" i="2"/>
  <c r="J5959" i="2"/>
  <c r="K5959" i="2"/>
  <c r="O5959" i="2"/>
  <c r="R5959" i="2"/>
  <c r="S5959" i="2" s="1"/>
  <c r="I5960" i="2"/>
  <c r="J5960" i="2"/>
  <c r="K5960" i="2"/>
  <c r="O5960" i="2"/>
  <c r="R5960" i="2"/>
  <c r="S5960" i="2" s="1"/>
  <c r="I5961" i="2"/>
  <c r="J5961" i="2"/>
  <c r="K5961" i="2"/>
  <c r="O5961" i="2"/>
  <c r="R5961" i="2"/>
  <c r="S5961" i="2" s="1"/>
  <c r="I5962" i="2"/>
  <c r="J5962" i="2"/>
  <c r="K5962" i="2"/>
  <c r="O5962" i="2"/>
  <c r="R5962" i="2"/>
  <c r="S5962" i="2" s="1"/>
  <c r="I5963" i="2"/>
  <c r="J5963" i="2"/>
  <c r="K5963" i="2"/>
  <c r="O5963" i="2"/>
  <c r="R5963" i="2"/>
  <c r="S5963" i="2" s="1"/>
  <c r="I5964" i="2"/>
  <c r="J5964" i="2"/>
  <c r="K5964" i="2"/>
  <c r="O5964" i="2"/>
  <c r="R5964" i="2"/>
  <c r="S5964" i="2" s="1"/>
  <c r="I5965" i="2"/>
  <c r="J5965" i="2"/>
  <c r="K5965" i="2"/>
  <c r="O5965" i="2"/>
  <c r="R5965" i="2"/>
  <c r="S5965" i="2" s="1"/>
  <c r="I5966" i="2"/>
  <c r="J5966" i="2"/>
  <c r="K5966" i="2"/>
  <c r="O5966" i="2"/>
  <c r="R5966" i="2"/>
  <c r="S5966" i="2" s="1"/>
  <c r="I5967" i="2"/>
  <c r="J5967" i="2"/>
  <c r="K5967" i="2"/>
  <c r="O5967" i="2"/>
  <c r="R5967" i="2"/>
  <c r="S5967" i="2" s="1"/>
  <c r="I5968" i="2"/>
  <c r="J5968" i="2"/>
  <c r="K5968" i="2"/>
  <c r="O5968" i="2"/>
  <c r="R5968" i="2"/>
  <c r="S5968" i="2" s="1"/>
  <c r="I5969" i="2"/>
  <c r="J5969" i="2"/>
  <c r="K5969" i="2"/>
  <c r="O5969" i="2"/>
  <c r="R5969" i="2"/>
  <c r="S5969" i="2" s="1"/>
  <c r="I5970" i="2"/>
  <c r="J5970" i="2"/>
  <c r="K5970" i="2"/>
  <c r="O5970" i="2"/>
  <c r="R5970" i="2"/>
  <c r="S5970" i="2" s="1"/>
  <c r="I5971" i="2"/>
  <c r="J5971" i="2"/>
  <c r="K5971" i="2"/>
  <c r="O5971" i="2"/>
  <c r="R5971" i="2"/>
  <c r="S5971" i="2" s="1"/>
  <c r="I5972" i="2"/>
  <c r="J5972" i="2"/>
  <c r="K5972" i="2"/>
  <c r="O5972" i="2"/>
  <c r="R5972" i="2"/>
  <c r="S5972" i="2" s="1"/>
  <c r="I5973" i="2"/>
  <c r="J5973" i="2"/>
  <c r="K5973" i="2"/>
  <c r="O5973" i="2"/>
  <c r="R5973" i="2"/>
  <c r="S5973" i="2" s="1"/>
  <c r="I5974" i="2"/>
  <c r="J5974" i="2"/>
  <c r="K5974" i="2"/>
  <c r="O5974" i="2"/>
  <c r="R5974" i="2"/>
  <c r="S5974" i="2" s="1"/>
  <c r="I5975" i="2"/>
  <c r="J5975" i="2"/>
  <c r="K5975" i="2"/>
  <c r="O5975" i="2"/>
  <c r="R5975" i="2"/>
  <c r="S5975" i="2" s="1"/>
  <c r="I5976" i="2"/>
  <c r="J5976" i="2"/>
  <c r="K5976" i="2"/>
  <c r="O5976" i="2"/>
  <c r="R5976" i="2"/>
  <c r="S5976" i="2" s="1"/>
  <c r="I5977" i="2"/>
  <c r="J5977" i="2"/>
  <c r="K5977" i="2"/>
  <c r="O5977" i="2"/>
  <c r="R5977" i="2"/>
  <c r="S5977" i="2" s="1"/>
  <c r="I5978" i="2"/>
  <c r="J5978" i="2"/>
  <c r="K5978" i="2"/>
  <c r="O5978" i="2"/>
  <c r="R5978" i="2"/>
  <c r="S5978" i="2" s="1"/>
  <c r="I5979" i="2"/>
  <c r="J5979" i="2"/>
  <c r="K5979" i="2"/>
  <c r="O5979" i="2"/>
  <c r="R5979" i="2"/>
  <c r="S5979" i="2" s="1"/>
  <c r="I5980" i="2"/>
  <c r="J5980" i="2"/>
  <c r="K5980" i="2"/>
  <c r="O5980" i="2"/>
  <c r="R5980" i="2"/>
  <c r="S5980" i="2" s="1"/>
  <c r="I5981" i="2"/>
  <c r="J5981" i="2"/>
  <c r="K5981" i="2"/>
  <c r="O5981" i="2"/>
  <c r="R5981" i="2"/>
  <c r="S5981" i="2" s="1"/>
  <c r="I5982" i="2"/>
  <c r="J5982" i="2"/>
  <c r="K5982" i="2"/>
  <c r="O5982" i="2"/>
  <c r="R5982" i="2"/>
  <c r="S5982" i="2" s="1"/>
  <c r="I5983" i="2"/>
  <c r="J5983" i="2"/>
  <c r="K5983" i="2"/>
  <c r="O5983" i="2"/>
  <c r="R5983" i="2"/>
  <c r="S5983" i="2" s="1"/>
  <c r="I5984" i="2"/>
  <c r="J5984" i="2"/>
  <c r="K5984" i="2"/>
  <c r="O5984" i="2"/>
  <c r="R5984" i="2"/>
  <c r="S5984" i="2" s="1"/>
  <c r="I5985" i="2"/>
  <c r="J5985" i="2"/>
  <c r="K5985" i="2"/>
  <c r="O5985" i="2"/>
  <c r="R5985" i="2"/>
  <c r="S5985" i="2" s="1"/>
  <c r="I5986" i="2"/>
  <c r="J5986" i="2"/>
  <c r="K5986" i="2"/>
  <c r="O5986" i="2"/>
  <c r="R5986" i="2"/>
  <c r="S5986" i="2" s="1"/>
  <c r="I5987" i="2"/>
  <c r="J5987" i="2"/>
  <c r="K5987" i="2"/>
  <c r="O5987" i="2"/>
  <c r="R5987" i="2"/>
  <c r="S5987" i="2" s="1"/>
  <c r="I5988" i="2"/>
  <c r="J5988" i="2"/>
  <c r="K5988" i="2"/>
  <c r="O5988" i="2"/>
  <c r="R5988" i="2"/>
  <c r="S5988" i="2" s="1"/>
  <c r="I5989" i="2"/>
  <c r="J5989" i="2"/>
  <c r="K5989" i="2"/>
  <c r="O5989" i="2"/>
  <c r="R5989" i="2"/>
  <c r="S5989" i="2" s="1"/>
  <c r="I5990" i="2"/>
  <c r="J5990" i="2"/>
  <c r="K5990" i="2"/>
  <c r="O5990" i="2"/>
  <c r="R5990" i="2"/>
  <c r="S5990" i="2" s="1"/>
  <c r="I5991" i="2"/>
  <c r="J5991" i="2"/>
  <c r="K5991" i="2"/>
  <c r="O5991" i="2"/>
  <c r="R5991" i="2"/>
  <c r="S5991" i="2" s="1"/>
  <c r="I5992" i="2"/>
  <c r="J5992" i="2"/>
  <c r="K5992" i="2"/>
  <c r="O5992" i="2"/>
  <c r="R5992" i="2"/>
  <c r="S5992" i="2" s="1"/>
  <c r="I5993" i="2"/>
  <c r="J5993" i="2"/>
  <c r="K5993" i="2"/>
  <c r="O5993" i="2"/>
  <c r="R5993" i="2"/>
  <c r="S5993" i="2" s="1"/>
  <c r="I5994" i="2"/>
  <c r="J5994" i="2"/>
  <c r="K5994" i="2"/>
  <c r="O5994" i="2"/>
  <c r="R5994" i="2"/>
  <c r="S5994" i="2" s="1"/>
  <c r="I5995" i="2"/>
  <c r="J5995" i="2"/>
  <c r="K5995" i="2"/>
  <c r="O5995" i="2"/>
  <c r="R5995" i="2"/>
  <c r="S5995" i="2" s="1"/>
  <c r="I5996" i="2"/>
  <c r="J5996" i="2"/>
  <c r="K5996" i="2"/>
  <c r="O5996" i="2"/>
  <c r="R5996" i="2"/>
  <c r="S5996" i="2" s="1"/>
  <c r="I5997" i="2"/>
  <c r="J5997" i="2"/>
  <c r="K5997" i="2"/>
  <c r="O5997" i="2"/>
  <c r="R5997" i="2"/>
  <c r="S5997" i="2" s="1"/>
  <c r="I5998" i="2"/>
  <c r="J5998" i="2"/>
  <c r="K5998" i="2"/>
  <c r="O5998" i="2"/>
  <c r="R5998" i="2"/>
  <c r="S5998" i="2" s="1"/>
  <c r="I5999" i="2"/>
  <c r="J5999" i="2"/>
  <c r="K5999" i="2"/>
  <c r="O5999" i="2"/>
  <c r="R5999" i="2"/>
  <c r="S5999" i="2" s="1"/>
  <c r="I6000" i="2"/>
  <c r="J6000" i="2"/>
  <c r="K6000" i="2"/>
  <c r="O6000" i="2"/>
  <c r="R6000" i="2"/>
  <c r="S6000" i="2" s="1"/>
  <c r="I6001" i="2"/>
  <c r="J6001" i="2"/>
  <c r="K6001" i="2"/>
  <c r="O6001" i="2"/>
  <c r="R6001" i="2"/>
  <c r="S6001" i="2" s="1"/>
  <c r="I6002" i="2"/>
  <c r="J6002" i="2"/>
  <c r="K6002" i="2"/>
  <c r="O6002" i="2"/>
  <c r="R6002" i="2"/>
  <c r="S6002" i="2" s="1"/>
  <c r="I6003" i="2"/>
  <c r="J6003" i="2"/>
  <c r="K6003" i="2"/>
  <c r="O6003" i="2"/>
  <c r="R6003" i="2"/>
  <c r="S6003" i="2" s="1"/>
  <c r="I6004" i="2"/>
  <c r="J6004" i="2"/>
  <c r="K6004" i="2"/>
  <c r="O6004" i="2"/>
  <c r="R6004" i="2"/>
  <c r="S6004" i="2" s="1"/>
  <c r="I6005" i="2"/>
  <c r="J6005" i="2"/>
  <c r="K6005" i="2"/>
  <c r="O6005" i="2"/>
  <c r="R6005" i="2"/>
  <c r="S6005" i="2" s="1"/>
  <c r="I6006" i="2"/>
  <c r="J6006" i="2"/>
  <c r="K6006" i="2"/>
  <c r="O6006" i="2"/>
  <c r="R6006" i="2"/>
  <c r="S6006" i="2" s="1"/>
  <c r="I6007" i="2"/>
  <c r="J6007" i="2"/>
  <c r="K6007" i="2"/>
  <c r="O6007" i="2"/>
  <c r="R6007" i="2"/>
  <c r="S6007" i="2" s="1"/>
  <c r="I6008" i="2"/>
  <c r="J6008" i="2"/>
  <c r="K6008" i="2"/>
  <c r="O6008" i="2"/>
  <c r="R6008" i="2"/>
  <c r="S6008" i="2" s="1"/>
  <c r="I6009" i="2"/>
  <c r="J6009" i="2"/>
  <c r="K6009" i="2"/>
  <c r="O6009" i="2"/>
  <c r="R6009" i="2"/>
  <c r="S6009" i="2" s="1"/>
  <c r="I6010" i="2"/>
  <c r="J6010" i="2"/>
  <c r="K6010" i="2"/>
  <c r="O6010" i="2"/>
  <c r="R6010" i="2"/>
  <c r="S6010" i="2" s="1"/>
  <c r="I6011" i="2"/>
  <c r="J6011" i="2"/>
  <c r="K6011" i="2"/>
  <c r="O6011" i="2"/>
  <c r="R6011" i="2"/>
  <c r="S6011" i="2" s="1"/>
  <c r="I6012" i="2"/>
  <c r="J6012" i="2"/>
  <c r="K6012" i="2"/>
  <c r="O6012" i="2"/>
  <c r="R6012" i="2"/>
  <c r="S6012" i="2" s="1"/>
  <c r="I6013" i="2"/>
  <c r="J6013" i="2"/>
  <c r="K6013" i="2"/>
  <c r="O6013" i="2"/>
  <c r="R6013" i="2"/>
  <c r="S6013" i="2" s="1"/>
  <c r="I6014" i="2"/>
  <c r="J6014" i="2"/>
  <c r="K6014" i="2"/>
  <c r="O6014" i="2"/>
  <c r="R6014" i="2"/>
  <c r="S6014" i="2" s="1"/>
  <c r="I6015" i="2"/>
  <c r="J6015" i="2"/>
  <c r="K6015" i="2"/>
  <c r="O6015" i="2"/>
  <c r="R6015" i="2"/>
  <c r="S6015" i="2" s="1"/>
  <c r="I6016" i="2"/>
  <c r="J6016" i="2"/>
  <c r="K6016" i="2"/>
  <c r="O6016" i="2"/>
  <c r="R6016" i="2"/>
  <c r="S6016" i="2" s="1"/>
  <c r="I6017" i="2"/>
  <c r="J6017" i="2"/>
  <c r="K6017" i="2"/>
  <c r="O6017" i="2"/>
  <c r="R6017" i="2"/>
  <c r="S6017" i="2" s="1"/>
  <c r="I6018" i="2"/>
  <c r="J6018" i="2"/>
  <c r="K6018" i="2"/>
  <c r="O6018" i="2"/>
  <c r="R6018" i="2"/>
  <c r="S6018" i="2" s="1"/>
  <c r="I6019" i="2"/>
  <c r="J6019" i="2"/>
  <c r="K6019" i="2"/>
  <c r="O6019" i="2"/>
  <c r="R6019" i="2"/>
  <c r="S6019" i="2" s="1"/>
  <c r="I6020" i="2"/>
  <c r="J6020" i="2"/>
  <c r="K6020" i="2"/>
  <c r="O6020" i="2"/>
  <c r="R6020" i="2"/>
  <c r="S6020" i="2" s="1"/>
  <c r="I6021" i="2"/>
  <c r="J6021" i="2"/>
  <c r="K6021" i="2"/>
  <c r="O6021" i="2"/>
  <c r="R6021" i="2"/>
  <c r="S6021" i="2" s="1"/>
  <c r="I6022" i="2"/>
  <c r="J6022" i="2"/>
  <c r="K6022" i="2"/>
  <c r="O6022" i="2"/>
  <c r="R6022" i="2"/>
  <c r="S6022" i="2" s="1"/>
  <c r="I6023" i="2"/>
  <c r="J6023" i="2"/>
  <c r="K6023" i="2"/>
  <c r="O6023" i="2"/>
  <c r="R6023" i="2"/>
  <c r="S6023" i="2" s="1"/>
  <c r="I6024" i="2"/>
  <c r="J6024" i="2"/>
  <c r="K6024" i="2"/>
  <c r="O6024" i="2"/>
  <c r="R6024" i="2"/>
  <c r="S6024" i="2" s="1"/>
  <c r="I6025" i="2"/>
  <c r="J6025" i="2"/>
  <c r="K6025" i="2"/>
  <c r="O6025" i="2"/>
  <c r="R6025" i="2"/>
  <c r="S6025" i="2" s="1"/>
  <c r="I6026" i="2"/>
  <c r="J6026" i="2"/>
  <c r="K6026" i="2"/>
  <c r="O6026" i="2"/>
  <c r="R6026" i="2"/>
  <c r="S6026" i="2" s="1"/>
  <c r="I6027" i="2"/>
  <c r="J6027" i="2"/>
  <c r="K6027" i="2"/>
  <c r="O6027" i="2"/>
  <c r="R6027" i="2"/>
  <c r="S6027" i="2" s="1"/>
  <c r="I6028" i="2"/>
  <c r="J6028" i="2"/>
  <c r="K6028" i="2"/>
  <c r="O6028" i="2"/>
  <c r="R6028" i="2"/>
  <c r="S6028" i="2" s="1"/>
  <c r="I6029" i="2"/>
  <c r="J6029" i="2"/>
  <c r="K6029" i="2"/>
  <c r="O6029" i="2"/>
  <c r="R6029" i="2"/>
  <c r="S6029" i="2" s="1"/>
  <c r="I6030" i="2"/>
  <c r="J6030" i="2"/>
  <c r="K6030" i="2"/>
  <c r="O6030" i="2"/>
  <c r="R6030" i="2"/>
  <c r="S6030" i="2" s="1"/>
  <c r="I6031" i="2"/>
  <c r="J6031" i="2"/>
  <c r="K6031" i="2"/>
  <c r="O6031" i="2"/>
  <c r="R6031" i="2"/>
  <c r="S6031" i="2" s="1"/>
  <c r="I6032" i="2"/>
  <c r="J6032" i="2"/>
  <c r="K6032" i="2"/>
  <c r="O6032" i="2"/>
  <c r="R6032" i="2"/>
  <c r="S6032" i="2" s="1"/>
  <c r="I6033" i="2"/>
  <c r="J6033" i="2"/>
  <c r="K6033" i="2"/>
  <c r="O6033" i="2"/>
  <c r="R6033" i="2"/>
  <c r="S6033" i="2" s="1"/>
  <c r="I6034" i="2"/>
  <c r="J6034" i="2"/>
  <c r="K6034" i="2"/>
  <c r="O6034" i="2"/>
  <c r="R6034" i="2"/>
  <c r="S6034" i="2" s="1"/>
  <c r="I6035" i="2"/>
  <c r="J6035" i="2"/>
  <c r="K6035" i="2"/>
  <c r="O6035" i="2"/>
  <c r="R6035" i="2"/>
  <c r="S6035" i="2" s="1"/>
  <c r="I6036" i="2"/>
  <c r="J6036" i="2"/>
  <c r="K6036" i="2"/>
  <c r="O6036" i="2"/>
  <c r="R6036" i="2"/>
  <c r="S6036" i="2" s="1"/>
  <c r="I6037" i="2"/>
  <c r="J6037" i="2"/>
  <c r="K6037" i="2"/>
  <c r="O6037" i="2"/>
  <c r="R6037" i="2"/>
  <c r="S6037" i="2" s="1"/>
  <c r="I6038" i="2"/>
  <c r="J6038" i="2"/>
  <c r="K6038" i="2"/>
  <c r="O6038" i="2"/>
  <c r="R6038" i="2"/>
  <c r="S6038" i="2" s="1"/>
  <c r="I6039" i="2"/>
  <c r="J6039" i="2"/>
  <c r="K6039" i="2"/>
  <c r="O6039" i="2"/>
  <c r="R6039" i="2"/>
  <c r="S6039" i="2" s="1"/>
  <c r="I6040" i="2"/>
  <c r="J6040" i="2"/>
  <c r="K6040" i="2"/>
  <c r="O6040" i="2"/>
  <c r="R6040" i="2"/>
  <c r="S6040" i="2" s="1"/>
  <c r="I6041" i="2"/>
  <c r="J6041" i="2"/>
  <c r="K6041" i="2"/>
  <c r="O6041" i="2"/>
  <c r="R6041" i="2"/>
  <c r="S6041" i="2" s="1"/>
  <c r="I6042" i="2"/>
  <c r="J6042" i="2"/>
  <c r="K6042" i="2"/>
  <c r="O6042" i="2"/>
  <c r="R6042" i="2"/>
  <c r="S6042" i="2" s="1"/>
  <c r="I6043" i="2"/>
  <c r="J6043" i="2"/>
  <c r="K6043" i="2"/>
  <c r="O6043" i="2"/>
  <c r="R6043" i="2"/>
  <c r="S6043" i="2" s="1"/>
  <c r="I6044" i="2"/>
  <c r="J6044" i="2"/>
  <c r="K6044" i="2"/>
  <c r="O6044" i="2"/>
  <c r="R6044" i="2"/>
  <c r="S6044" i="2" s="1"/>
  <c r="I6045" i="2"/>
  <c r="J6045" i="2"/>
  <c r="K6045" i="2"/>
  <c r="O6045" i="2"/>
  <c r="R6045" i="2"/>
  <c r="S6045" i="2" s="1"/>
  <c r="I6046" i="2"/>
  <c r="J6046" i="2"/>
  <c r="K6046" i="2"/>
  <c r="O6046" i="2"/>
  <c r="R6046" i="2"/>
  <c r="S6046" i="2" s="1"/>
  <c r="I6047" i="2"/>
  <c r="J6047" i="2"/>
  <c r="K6047" i="2"/>
  <c r="O6047" i="2"/>
  <c r="R6047" i="2"/>
  <c r="S6047" i="2" s="1"/>
  <c r="I6048" i="2"/>
  <c r="J6048" i="2"/>
  <c r="K6048" i="2"/>
  <c r="O6048" i="2"/>
  <c r="R6048" i="2"/>
  <c r="S6048" i="2" s="1"/>
  <c r="I6049" i="2"/>
  <c r="J6049" i="2"/>
  <c r="K6049" i="2"/>
  <c r="O6049" i="2"/>
  <c r="R6049" i="2"/>
  <c r="S6049" i="2" s="1"/>
  <c r="I6050" i="2"/>
  <c r="J6050" i="2"/>
  <c r="K6050" i="2"/>
  <c r="O6050" i="2"/>
  <c r="R6050" i="2"/>
  <c r="S6050" i="2" s="1"/>
  <c r="I6051" i="2"/>
  <c r="J6051" i="2"/>
  <c r="K6051" i="2"/>
  <c r="O6051" i="2"/>
  <c r="R6051" i="2"/>
  <c r="S6051" i="2" s="1"/>
  <c r="I6052" i="2"/>
  <c r="J6052" i="2"/>
  <c r="K6052" i="2"/>
  <c r="O6052" i="2"/>
  <c r="R6052" i="2"/>
  <c r="S6052" i="2" s="1"/>
  <c r="I6053" i="2"/>
  <c r="J6053" i="2"/>
  <c r="K6053" i="2"/>
  <c r="O6053" i="2"/>
  <c r="R6053" i="2"/>
  <c r="S6053" i="2" s="1"/>
  <c r="I6054" i="2"/>
  <c r="J6054" i="2"/>
  <c r="K6054" i="2"/>
  <c r="O6054" i="2"/>
  <c r="R6054" i="2"/>
  <c r="S6054" i="2" s="1"/>
  <c r="I6055" i="2"/>
  <c r="J6055" i="2"/>
  <c r="K6055" i="2"/>
  <c r="O6055" i="2"/>
  <c r="R6055" i="2"/>
  <c r="S6055" i="2" s="1"/>
  <c r="I6056" i="2"/>
  <c r="J6056" i="2"/>
  <c r="K6056" i="2"/>
  <c r="O6056" i="2"/>
  <c r="R6056" i="2"/>
  <c r="S6056" i="2" s="1"/>
  <c r="I6057" i="2"/>
  <c r="J6057" i="2"/>
  <c r="K6057" i="2"/>
  <c r="O6057" i="2"/>
  <c r="R6057" i="2"/>
  <c r="S6057" i="2" s="1"/>
  <c r="I6058" i="2"/>
  <c r="J6058" i="2"/>
  <c r="K6058" i="2"/>
  <c r="O6058" i="2"/>
  <c r="R6058" i="2"/>
  <c r="S6058" i="2" s="1"/>
  <c r="I6059" i="2"/>
  <c r="J6059" i="2"/>
  <c r="K6059" i="2"/>
  <c r="O6059" i="2"/>
  <c r="R6059" i="2"/>
  <c r="S6059" i="2" s="1"/>
  <c r="I6060" i="2"/>
  <c r="J6060" i="2"/>
  <c r="K6060" i="2"/>
  <c r="O6060" i="2"/>
  <c r="R6060" i="2"/>
  <c r="S6060" i="2" s="1"/>
  <c r="I6061" i="2"/>
  <c r="J6061" i="2"/>
  <c r="K6061" i="2"/>
  <c r="O6061" i="2"/>
  <c r="R6061" i="2"/>
  <c r="S6061" i="2" s="1"/>
  <c r="I6062" i="2"/>
  <c r="J6062" i="2"/>
  <c r="K6062" i="2"/>
  <c r="O6062" i="2"/>
  <c r="R6062" i="2"/>
  <c r="S6062" i="2" s="1"/>
  <c r="I6063" i="2"/>
  <c r="J6063" i="2"/>
  <c r="K6063" i="2"/>
  <c r="O6063" i="2"/>
  <c r="R6063" i="2"/>
  <c r="S6063" i="2" s="1"/>
  <c r="I6064" i="2"/>
  <c r="J6064" i="2"/>
  <c r="K6064" i="2"/>
  <c r="O6064" i="2"/>
  <c r="R6064" i="2"/>
  <c r="S6064" i="2" s="1"/>
  <c r="I6065" i="2"/>
  <c r="J6065" i="2"/>
  <c r="K6065" i="2"/>
  <c r="O6065" i="2"/>
  <c r="R6065" i="2"/>
  <c r="S6065" i="2" s="1"/>
  <c r="I6066" i="2"/>
  <c r="J6066" i="2"/>
  <c r="K6066" i="2"/>
  <c r="O6066" i="2"/>
  <c r="R6066" i="2"/>
  <c r="S6066" i="2" s="1"/>
  <c r="I6067" i="2"/>
  <c r="J6067" i="2"/>
  <c r="K6067" i="2"/>
  <c r="O6067" i="2"/>
  <c r="R6067" i="2"/>
  <c r="S6067" i="2" s="1"/>
  <c r="I6068" i="2"/>
  <c r="J6068" i="2"/>
  <c r="K6068" i="2"/>
  <c r="O6068" i="2"/>
  <c r="R6068" i="2"/>
  <c r="S6068" i="2" s="1"/>
  <c r="I6069" i="2"/>
  <c r="J6069" i="2"/>
  <c r="K6069" i="2"/>
  <c r="O6069" i="2"/>
  <c r="R6069" i="2"/>
  <c r="S6069" i="2" s="1"/>
  <c r="I6070" i="2"/>
  <c r="J6070" i="2"/>
  <c r="K6070" i="2"/>
  <c r="O6070" i="2"/>
  <c r="R6070" i="2"/>
  <c r="S6070" i="2" s="1"/>
  <c r="I6071" i="2"/>
  <c r="J6071" i="2"/>
  <c r="K6071" i="2"/>
  <c r="O6071" i="2"/>
  <c r="R6071" i="2"/>
  <c r="S6071" i="2" s="1"/>
  <c r="I6072" i="2"/>
  <c r="J6072" i="2"/>
  <c r="K6072" i="2"/>
  <c r="O6072" i="2"/>
  <c r="R6072" i="2"/>
  <c r="S6072" i="2" s="1"/>
  <c r="I6073" i="2"/>
  <c r="J6073" i="2"/>
  <c r="K6073" i="2"/>
  <c r="O6073" i="2"/>
  <c r="R6073" i="2"/>
  <c r="S6073" i="2" s="1"/>
  <c r="I6074" i="2"/>
  <c r="J6074" i="2"/>
  <c r="K6074" i="2"/>
  <c r="O6074" i="2"/>
  <c r="R6074" i="2"/>
  <c r="S6074" i="2" s="1"/>
  <c r="I6075" i="2"/>
  <c r="J6075" i="2"/>
  <c r="K6075" i="2"/>
  <c r="O6075" i="2"/>
  <c r="R6075" i="2"/>
  <c r="S6075" i="2" s="1"/>
  <c r="I6076" i="2"/>
  <c r="J6076" i="2"/>
  <c r="K6076" i="2"/>
  <c r="O6076" i="2"/>
  <c r="R6076" i="2"/>
  <c r="S6076" i="2" s="1"/>
  <c r="I6077" i="2"/>
  <c r="J6077" i="2"/>
  <c r="K6077" i="2"/>
  <c r="O6077" i="2"/>
  <c r="R6077" i="2"/>
  <c r="S6077" i="2" s="1"/>
  <c r="I6078" i="2"/>
  <c r="J6078" i="2"/>
  <c r="K6078" i="2"/>
  <c r="O6078" i="2"/>
  <c r="R6078" i="2"/>
  <c r="S6078" i="2" s="1"/>
  <c r="I6079" i="2"/>
  <c r="J6079" i="2"/>
  <c r="K6079" i="2"/>
  <c r="O6079" i="2"/>
  <c r="R6079" i="2"/>
  <c r="S6079" i="2" s="1"/>
  <c r="I6080" i="2"/>
  <c r="J6080" i="2"/>
  <c r="K6080" i="2"/>
  <c r="O6080" i="2"/>
  <c r="R6080" i="2"/>
  <c r="S6080" i="2" s="1"/>
  <c r="I6081" i="2"/>
  <c r="J6081" i="2"/>
  <c r="K6081" i="2"/>
  <c r="O6081" i="2"/>
  <c r="R6081" i="2"/>
  <c r="S6081" i="2" s="1"/>
  <c r="I6082" i="2"/>
  <c r="J6082" i="2"/>
  <c r="K6082" i="2"/>
  <c r="O6082" i="2"/>
  <c r="R6082" i="2"/>
  <c r="S6082" i="2" s="1"/>
  <c r="I6083" i="2"/>
  <c r="J6083" i="2"/>
  <c r="K6083" i="2"/>
  <c r="O6083" i="2"/>
  <c r="R6083" i="2"/>
  <c r="S6083" i="2" s="1"/>
  <c r="I6084" i="2"/>
  <c r="J6084" i="2"/>
  <c r="K6084" i="2"/>
  <c r="O6084" i="2"/>
  <c r="R6084" i="2"/>
  <c r="S6084" i="2" s="1"/>
  <c r="I6085" i="2"/>
  <c r="J6085" i="2"/>
  <c r="K6085" i="2"/>
  <c r="O6085" i="2"/>
  <c r="R6085" i="2"/>
  <c r="S6085" i="2" s="1"/>
  <c r="I6086" i="2"/>
  <c r="J6086" i="2"/>
  <c r="K6086" i="2"/>
  <c r="O6086" i="2"/>
  <c r="R6086" i="2"/>
  <c r="S6086" i="2" s="1"/>
  <c r="I6087" i="2"/>
  <c r="J6087" i="2"/>
  <c r="K6087" i="2"/>
  <c r="O6087" i="2"/>
  <c r="R6087" i="2"/>
  <c r="S6087" i="2" s="1"/>
  <c r="I6088" i="2"/>
  <c r="J6088" i="2"/>
  <c r="K6088" i="2"/>
  <c r="O6088" i="2"/>
  <c r="R6088" i="2"/>
  <c r="S6088" i="2" s="1"/>
  <c r="I6089" i="2"/>
  <c r="J6089" i="2"/>
  <c r="K6089" i="2"/>
  <c r="O6089" i="2"/>
  <c r="R6089" i="2"/>
  <c r="S6089" i="2" s="1"/>
  <c r="I6090" i="2"/>
  <c r="J6090" i="2"/>
  <c r="K6090" i="2"/>
  <c r="O6090" i="2"/>
  <c r="R6090" i="2"/>
  <c r="S6090" i="2" s="1"/>
  <c r="I6091" i="2"/>
  <c r="J6091" i="2"/>
  <c r="K6091" i="2"/>
  <c r="O6091" i="2"/>
  <c r="R6091" i="2"/>
  <c r="S6091" i="2" s="1"/>
  <c r="I6092" i="2"/>
  <c r="J6092" i="2"/>
  <c r="K6092" i="2"/>
  <c r="O6092" i="2"/>
  <c r="R6092" i="2"/>
  <c r="S6092" i="2" s="1"/>
  <c r="I6093" i="2"/>
  <c r="J6093" i="2"/>
  <c r="K6093" i="2"/>
  <c r="O6093" i="2"/>
  <c r="R6093" i="2"/>
  <c r="S6093" i="2" s="1"/>
  <c r="I6094" i="2"/>
  <c r="J6094" i="2"/>
  <c r="K6094" i="2"/>
  <c r="O6094" i="2"/>
  <c r="R6094" i="2"/>
  <c r="S6094" i="2" s="1"/>
  <c r="I6095" i="2"/>
  <c r="J6095" i="2"/>
  <c r="K6095" i="2"/>
  <c r="O6095" i="2"/>
  <c r="R6095" i="2"/>
  <c r="S6095" i="2" s="1"/>
  <c r="I6096" i="2"/>
  <c r="J6096" i="2"/>
  <c r="K6096" i="2"/>
  <c r="O6096" i="2"/>
  <c r="R6096" i="2"/>
  <c r="S6096" i="2" s="1"/>
  <c r="I6097" i="2"/>
  <c r="J6097" i="2"/>
  <c r="K6097" i="2"/>
  <c r="O6097" i="2"/>
  <c r="R6097" i="2"/>
  <c r="S6097" i="2" s="1"/>
  <c r="I6098" i="2"/>
  <c r="J6098" i="2"/>
  <c r="K6098" i="2"/>
  <c r="O6098" i="2"/>
  <c r="R6098" i="2"/>
  <c r="S6098" i="2" s="1"/>
  <c r="I6099" i="2"/>
  <c r="J6099" i="2"/>
  <c r="K6099" i="2"/>
  <c r="O6099" i="2"/>
  <c r="R6099" i="2"/>
  <c r="S6099" i="2" s="1"/>
  <c r="I6100" i="2"/>
  <c r="J6100" i="2"/>
  <c r="K6100" i="2"/>
  <c r="O6100" i="2"/>
  <c r="R6100" i="2"/>
  <c r="S6100" i="2" s="1"/>
  <c r="I6101" i="2"/>
  <c r="J6101" i="2"/>
  <c r="K6101" i="2"/>
  <c r="O6101" i="2"/>
  <c r="R6101" i="2"/>
  <c r="S6101" i="2" s="1"/>
  <c r="I6102" i="2"/>
  <c r="J6102" i="2"/>
  <c r="K6102" i="2"/>
  <c r="O6102" i="2"/>
  <c r="R6102" i="2"/>
  <c r="S6102" i="2" s="1"/>
  <c r="I6103" i="2"/>
  <c r="J6103" i="2"/>
  <c r="K6103" i="2"/>
  <c r="O6103" i="2"/>
  <c r="R6103" i="2"/>
  <c r="S6103" i="2" s="1"/>
  <c r="I6104" i="2"/>
  <c r="J6104" i="2"/>
  <c r="K6104" i="2"/>
  <c r="O6104" i="2"/>
  <c r="R6104" i="2"/>
  <c r="S6104" i="2" s="1"/>
  <c r="I6105" i="2"/>
  <c r="J6105" i="2"/>
  <c r="K6105" i="2"/>
  <c r="O6105" i="2"/>
  <c r="R6105" i="2"/>
  <c r="S6105" i="2" s="1"/>
  <c r="I6106" i="2"/>
  <c r="J6106" i="2"/>
  <c r="K6106" i="2"/>
  <c r="O6106" i="2"/>
  <c r="R6106" i="2"/>
  <c r="S6106" i="2" s="1"/>
  <c r="I6107" i="2"/>
  <c r="J6107" i="2"/>
  <c r="K6107" i="2"/>
  <c r="O6107" i="2"/>
  <c r="R6107" i="2"/>
  <c r="S6107" i="2" s="1"/>
  <c r="I6108" i="2"/>
  <c r="J6108" i="2"/>
  <c r="K6108" i="2"/>
  <c r="O6108" i="2"/>
  <c r="R6108" i="2"/>
  <c r="S6108" i="2" s="1"/>
  <c r="I6109" i="2"/>
  <c r="J6109" i="2"/>
  <c r="K6109" i="2"/>
  <c r="O6109" i="2"/>
  <c r="R6109" i="2"/>
  <c r="S6109" i="2" s="1"/>
  <c r="I6110" i="2"/>
  <c r="J6110" i="2"/>
  <c r="K6110" i="2"/>
  <c r="O6110" i="2"/>
  <c r="R6110" i="2"/>
  <c r="S6110" i="2" s="1"/>
  <c r="I6111" i="2"/>
  <c r="J6111" i="2"/>
  <c r="K6111" i="2"/>
  <c r="O6111" i="2"/>
  <c r="R6111" i="2"/>
  <c r="S6111" i="2" s="1"/>
  <c r="I6112" i="2"/>
  <c r="J6112" i="2"/>
  <c r="K6112" i="2"/>
  <c r="O6112" i="2"/>
  <c r="R6112" i="2"/>
  <c r="S6112" i="2" s="1"/>
  <c r="I6113" i="2"/>
  <c r="J6113" i="2"/>
  <c r="K6113" i="2"/>
  <c r="O6113" i="2"/>
  <c r="R6113" i="2"/>
  <c r="S6113" i="2" s="1"/>
  <c r="I6114" i="2"/>
  <c r="J6114" i="2"/>
  <c r="K6114" i="2"/>
  <c r="O6114" i="2"/>
  <c r="R6114" i="2"/>
  <c r="S6114" i="2" s="1"/>
  <c r="I6115" i="2"/>
  <c r="J6115" i="2"/>
  <c r="K6115" i="2"/>
  <c r="O6115" i="2"/>
  <c r="R6115" i="2"/>
  <c r="S6115" i="2" s="1"/>
  <c r="I6116" i="2"/>
  <c r="J6116" i="2"/>
  <c r="K6116" i="2"/>
  <c r="O6116" i="2"/>
  <c r="R6116" i="2"/>
  <c r="S6116" i="2" s="1"/>
  <c r="I6117" i="2"/>
  <c r="J6117" i="2"/>
  <c r="K6117" i="2"/>
  <c r="O6117" i="2"/>
  <c r="R6117" i="2"/>
  <c r="S6117" i="2" s="1"/>
  <c r="I6118" i="2"/>
  <c r="J6118" i="2"/>
  <c r="K6118" i="2"/>
  <c r="O6118" i="2"/>
  <c r="R6118" i="2"/>
  <c r="S6118" i="2" s="1"/>
  <c r="I6119" i="2"/>
  <c r="J6119" i="2"/>
  <c r="K6119" i="2"/>
  <c r="O6119" i="2"/>
  <c r="R6119" i="2"/>
  <c r="S6119" i="2" s="1"/>
  <c r="I6120" i="2"/>
  <c r="J6120" i="2"/>
  <c r="K6120" i="2"/>
  <c r="O6120" i="2"/>
  <c r="R6120" i="2"/>
  <c r="S6120" i="2" s="1"/>
  <c r="I6121" i="2"/>
  <c r="J6121" i="2"/>
  <c r="K6121" i="2"/>
  <c r="O6121" i="2"/>
  <c r="R6121" i="2"/>
  <c r="S6121" i="2" s="1"/>
  <c r="I6122" i="2"/>
  <c r="J6122" i="2"/>
  <c r="K6122" i="2"/>
  <c r="O6122" i="2"/>
  <c r="R6122" i="2"/>
  <c r="S6122" i="2" s="1"/>
  <c r="I6123" i="2"/>
  <c r="J6123" i="2"/>
  <c r="K6123" i="2"/>
  <c r="O6123" i="2"/>
  <c r="R6123" i="2"/>
  <c r="S6123" i="2" s="1"/>
  <c r="I6124" i="2"/>
  <c r="J6124" i="2"/>
  <c r="K6124" i="2"/>
  <c r="O6124" i="2"/>
  <c r="R6124" i="2"/>
  <c r="S6124" i="2" s="1"/>
  <c r="I6125" i="2"/>
  <c r="J6125" i="2"/>
  <c r="K6125" i="2"/>
  <c r="O6125" i="2"/>
  <c r="R6125" i="2"/>
  <c r="S6125" i="2" s="1"/>
  <c r="I6126" i="2"/>
  <c r="J6126" i="2"/>
  <c r="K6126" i="2"/>
  <c r="O6126" i="2"/>
  <c r="R6126" i="2"/>
  <c r="S6126" i="2" s="1"/>
  <c r="I6127" i="2"/>
  <c r="J6127" i="2"/>
  <c r="K6127" i="2"/>
  <c r="O6127" i="2"/>
  <c r="R6127" i="2"/>
  <c r="S6127" i="2" s="1"/>
  <c r="I6128" i="2"/>
  <c r="J6128" i="2"/>
  <c r="K6128" i="2"/>
  <c r="O6128" i="2"/>
  <c r="R6128" i="2"/>
  <c r="S6128" i="2" s="1"/>
  <c r="I6129" i="2"/>
  <c r="J6129" i="2"/>
  <c r="K6129" i="2"/>
  <c r="O6129" i="2"/>
  <c r="R6129" i="2"/>
  <c r="S6129" i="2" s="1"/>
  <c r="I6130" i="2"/>
  <c r="J6130" i="2"/>
  <c r="K6130" i="2"/>
  <c r="O6130" i="2"/>
  <c r="R6130" i="2"/>
  <c r="S6130" i="2" s="1"/>
  <c r="I6131" i="2"/>
  <c r="J6131" i="2"/>
  <c r="K6131" i="2"/>
  <c r="O6131" i="2"/>
  <c r="R6131" i="2"/>
  <c r="S6131" i="2" s="1"/>
  <c r="I6132" i="2"/>
  <c r="J6132" i="2"/>
  <c r="K6132" i="2"/>
  <c r="O6132" i="2"/>
  <c r="R6132" i="2"/>
  <c r="S6132" i="2" s="1"/>
  <c r="I6133" i="2"/>
  <c r="J6133" i="2"/>
  <c r="K6133" i="2"/>
  <c r="O6133" i="2"/>
  <c r="R6133" i="2"/>
  <c r="S6133" i="2" s="1"/>
  <c r="I6134" i="2"/>
  <c r="J6134" i="2"/>
  <c r="K6134" i="2"/>
  <c r="O6134" i="2"/>
  <c r="R6134" i="2"/>
  <c r="S6134" i="2" s="1"/>
  <c r="I6135" i="2"/>
  <c r="J6135" i="2"/>
  <c r="K6135" i="2"/>
  <c r="O6135" i="2"/>
  <c r="R6135" i="2"/>
  <c r="S6135" i="2" s="1"/>
  <c r="I6136" i="2"/>
  <c r="J6136" i="2"/>
  <c r="K6136" i="2"/>
  <c r="O6136" i="2"/>
  <c r="R6136" i="2"/>
  <c r="S6136" i="2" s="1"/>
  <c r="I6137" i="2"/>
  <c r="J6137" i="2"/>
  <c r="K6137" i="2"/>
  <c r="O6137" i="2"/>
  <c r="R6137" i="2"/>
  <c r="S6137" i="2" s="1"/>
  <c r="I6138" i="2"/>
  <c r="J6138" i="2"/>
  <c r="K6138" i="2"/>
  <c r="O6138" i="2"/>
  <c r="R6138" i="2"/>
  <c r="S6138" i="2" s="1"/>
  <c r="I6139" i="2"/>
  <c r="J6139" i="2"/>
  <c r="K6139" i="2"/>
  <c r="O6139" i="2"/>
  <c r="R6139" i="2"/>
  <c r="S6139" i="2" s="1"/>
  <c r="I6140" i="2"/>
  <c r="J6140" i="2"/>
  <c r="K6140" i="2"/>
  <c r="O6140" i="2"/>
  <c r="R6140" i="2"/>
  <c r="S6140" i="2" s="1"/>
  <c r="I6141" i="2"/>
  <c r="J6141" i="2"/>
  <c r="K6141" i="2"/>
  <c r="O6141" i="2"/>
  <c r="R6141" i="2"/>
  <c r="S6141" i="2" s="1"/>
  <c r="I6142" i="2"/>
  <c r="J6142" i="2"/>
  <c r="K6142" i="2"/>
  <c r="O6142" i="2"/>
  <c r="R6142" i="2"/>
  <c r="S6142" i="2" s="1"/>
  <c r="I6143" i="2"/>
  <c r="J6143" i="2"/>
  <c r="K6143" i="2"/>
  <c r="O6143" i="2"/>
  <c r="R6143" i="2"/>
  <c r="S6143" i="2" s="1"/>
  <c r="I6144" i="2"/>
  <c r="J6144" i="2"/>
  <c r="K6144" i="2"/>
  <c r="O6144" i="2"/>
  <c r="R6144" i="2"/>
  <c r="S6144" i="2" s="1"/>
  <c r="I6145" i="2"/>
  <c r="J6145" i="2"/>
  <c r="K6145" i="2"/>
  <c r="O6145" i="2"/>
  <c r="R6145" i="2"/>
  <c r="S6145" i="2" s="1"/>
  <c r="I6146" i="2"/>
  <c r="J6146" i="2"/>
  <c r="K6146" i="2"/>
  <c r="O6146" i="2"/>
  <c r="R6146" i="2"/>
  <c r="S6146" i="2" s="1"/>
  <c r="I6147" i="2"/>
  <c r="J6147" i="2"/>
  <c r="K6147" i="2"/>
  <c r="O6147" i="2"/>
  <c r="R6147" i="2"/>
  <c r="S6147" i="2" s="1"/>
  <c r="I6148" i="2"/>
  <c r="J6148" i="2"/>
  <c r="K6148" i="2"/>
  <c r="O6148" i="2"/>
  <c r="R6148" i="2"/>
  <c r="S6148" i="2" s="1"/>
  <c r="I6149" i="2"/>
  <c r="J6149" i="2"/>
  <c r="K6149" i="2"/>
  <c r="O6149" i="2"/>
  <c r="R6149" i="2"/>
  <c r="S6149" i="2" s="1"/>
  <c r="I6150" i="2"/>
  <c r="J6150" i="2"/>
  <c r="K6150" i="2"/>
  <c r="O6150" i="2"/>
  <c r="R6150" i="2"/>
  <c r="S6150" i="2" s="1"/>
  <c r="I6151" i="2"/>
  <c r="J6151" i="2"/>
  <c r="K6151" i="2"/>
  <c r="O6151" i="2"/>
  <c r="R6151" i="2"/>
  <c r="S6151" i="2" s="1"/>
  <c r="I6152" i="2"/>
  <c r="J6152" i="2"/>
  <c r="K6152" i="2"/>
  <c r="O6152" i="2"/>
  <c r="R6152" i="2"/>
  <c r="S6152" i="2" s="1"/>
  <c r="I6153" i="2"/>
  <c r="J6153" i="2"/>
  <c r="K6153" i="2"/>
  <c r="O6153" i="2"/>
  <c r="R6153" i="2"/>
  <c r="S6153" i="2" s="1"/>
  <c r="I6154" i="2"/>
  <c r="J6154" i="2"/>
  <c r="K6154" i="2"/>
  <c r="O6154" i="2"/>
  <c r="R6154" i="2"/>
  <c r="S6154" i="2" s="1"/>
  <c r="I6155" i="2"/>
  <c r="J6155" i="2"/>
  <c r="K6155" i="2"/>
  <c r="O6155" i="2"/>
  <c r="R6155" i="2"/>
  <c r="S6155" i="2" s="1"/>
  <c r="I6156" i="2"/>
  <c r="J6156" i="2"/>
  <c r="K6156" i="2"/>
  <c r="O6156" i="2"/>
  <c r="R6156" i="2"/>
  <c r="S6156" i="2" s="1"/>
  <c r="I6157" i="2"/>
  <c r="J6157" i="2"/>
  <c r="K6157" i="2"/>
  <c r="O6157" i="2"/>
  <c r="R6157" i="2"/>
  <c r="S6157" i="2" s="1"/>
  <c r="I6158" i="2"/>
  <c r="J6158" i="2"/>
  <c r="K6158" i="2"/>
  <c r="O6158" i="2"/>
  <c r="R6158" i="2"/>
  <c r="S6158" i="2" s="1"/>
  <c r="I6159" i="2"/>
  <c r="J6159" i="2"/>
  <c r="K6159" i="2"/>
  <c r="O6159" i="2"/>
  <c r="R6159" i="2"/>
  <c r="S6159" i="2" s="1"/>
  <c r="I6160" i="2"/>
  <c r="J6160" i="2"/>
  <c r="K6160" i="2"/>
  <c r="O6160" i="2"/>
  <c r="R6160" i="2"/>
  <c r="S6160" i="2" s="1"/>
  <c r="I6161" i="2"/>
  <c r="J6161" i="2"/>
  <c r="K6161" i="2"/>
  <c r="O6161" i="2"/>
  <c r="R6161" i="2"/>
  <c r="S6161" i="2" s="1"/>
  <c r="I6162" i="2"/>
  <c r="J6162" i="2"/>
  <c r="K6162" i="2"/>
  <c r="O6162" i="2"/>
  <c r="R6162" i="2"/>
  <c r="S6162" i="2" s="1"/>
  <c r="I6163" i="2"/>
  <c r="J6163" i="2"/>
  <c r="K6163" i="2"/>
  <c r="O6163" i="2"/>
  <c r="R6163" i="2"/>
  <c r="S6163" i="2" s="1"/>
  <c r="I6164" i="2"/>
  <c r="J6164" i="2"/>
  <c r="K6164" i="2"/>
  <c r="O6164" i="2"/>
  <c r="R6164" i="2"/>
  <c r="S6164" i="2" s="1"/>
  <c r="I6165" i="2"/>
  <c r="J6165" i="2"/>
  <c r="K6165" i="2"/>
  <c r="O6165" i="2"/>
  <c r="R6165" i="2"/>
  <c r="S6165" i="2" s="1"/>
  <c r="I6166" i="2"/>
  <c r="J6166" i="2"/>
  <c r="K6166" i="2"/>
  <c r="O6166" i="2"/>
  <c r="R6166" i="2"/>
  <c r="S6166" i="2" s="1"/>
  <c r="I6167" i="2"/>
  <c r="J6167" i="2"/>
  <c r="K6167" i="2"/>
  <c r="O6167" i="2"/>
  <c r="R6167" i="2"/>
  <c r="S6167" i="2" s="1"/>
  <c r="I6168" i="2"/>
  <c r="J6168" i="2"/>
  <c r="K6168" i="2"/>
  <c r="O6168" i="2"/>
  <c r="R6168" i="2"/>
  <c r="S6168" i="2" s="1"/>
  <c r="I6169" i="2"/>
  <c r="J6169" i="2"/>
  <c r="K6169" i="2"/>
  <c r="O6169" i="2"/>
  <c r="R6169" i="2"/>
  <c r="S6169" i="2" s="1"/>
  <c r="I6170" i="2"/>
  <c r="J6170" i="2"/>
  <c r="K6170" i="2"/>
  <c r="O6170" i="2"/>
  <c r="R6170" i="2"/>
  <c r="S6170" i="2" s="1"/>
  <c r="I6171" i="2"/>
  <c r="J6171" i="2"/>
  <c r="K6171" i="2"/>
  <c r="O6171" i="2"/>
  <c r="R6171" i="2"/>
  <c r="S6171" i="2" s="1"/>
  <c r="I6172" i="2"/>
  <c r="J6172" i="2"/>
  <c r="K6172" i="2"/>
  <c r="O6172" i="2"/>
  <c r="R6172" i="2"/>
  <c r="S6172" i="2" s="1"/>
  <c r="I6173" i="2"/>
  <c r="J6173" i="2"/>
  <c r="K6173" i="2"/>
  <c r="O6173" i="2"/>
  <c r="R6173" i="2"/>
  <c r="S6173" i="2" s="1"/>
  <c r="I6174" i="2"/>
  <c r="J6174" i="2"/>
  <c r="K6174" i="2"/>
  <c r="O6174" i="2"/>
  <c r="R6174" i="2"/>
  <c r="S6174" i="2" s="1"/>
  <c r="I6175" i="2"/>
  <c r="J6175" i="2"/>
  <c r="K6175" i="2"/>
  <c r="O6175" i="2"/>
  <c r="R6175" i="2"/>
  <c r="S6175" i="2" s="1"/>
  <c r="I6176" i="2"/>
  <c r="J6176" i="2"/>
  <c r="K6176" i="2"/>
  <c r="O6176" i="2"/>
  <c r="R6176" i="2"/>
  <c r="S6176" i="2" s="1"/>
  <c r="I6177" i="2"/>
  <c r="J6177" i="2"/>
  <c r="K6177" i="2"/>
  <c r="O6177" i="2"/>
  <c r="R6177" i="2"/>
  <c r="S6177" i="2" s="1"/>
  <c r="I6178" i="2"/>
  <c r="J6178" i="2"/>
  <c r="K6178" i="2"/>
  <c r="O6178" i="2"/>
  <c r="R6178" i="2"/>
  <c r="S6178" i="2" s="1"/>
  <c r="I6179" i="2"/>
  <c r="J6179" i="2"/>
  <c r="K6179" i="2"/>
  <c r="O6179" i="2"/>
  <c r="R6179" i="2"/>
  <c r="S6179" i="2" s="1"/>
  <c r="I6180" i="2"/>
  <c r="J6180" i="2"/>
  <c r="K6180" i="2"/>
  <c r="O6180" i="2"/>
  <c r="R6180" i="2"/>
  <c r="S6180" i="2" s="1"/>
  <c r="I6181" i="2"/>
  <c r="J6181" i="2"/>
  <c r="K6181" i="2"/>
  <c r="O6181" i="2"/>
  <c r="R6181" i="2"/>
  <c r="S6181" i="2" s="1"/>
  <c r="I6182" i="2"/>
  <c r="J6182" i="2"/>
  <c r="K6182" i="2"/>
  <c r="O6182" i="2"/>
  <c r="R6182" i="2"/>
  <c r="S6182" i="2" s="1"/>
  <c r="I6183" i="2"/>
  <c r="J6183" i="2"/>
  <c r="K6183" i="2"/>
  <c r="O6183" i="2"/>
  <c r="R6183" i="2"/>
  <c r="S6183" i="2" s="1"/>
  <c r="I6184" i="2"/>
  <c r="J6184" i="2"/>
  <c r="K6184" i="2"/>
  <c r="O6184" i="2"/>
  <c r="R6184" i="2"/>
  <c r="S6184" i="2" s="1"/>
  <c r="I6185" i="2"/>
  <c r="J6185" i="2"/>
  <c r="K6185" i="2"/>
  <c r="O6185" i="2"/>
  <c r="R6185" i="2"/>
  <c r="S6185" i="2" s="1"/>
  <c r="I6186" i="2"/>
  <c r="J6186" i="2"/>
  <c r="K6186" i="2"/>
  <c r="O6186" i="2"/>
  <c r="R6186" i="2"/>
  <c r="S6186" i="2" s="1"/>
  <c r="I6187" i="2"/>
  <c r="J6187" i="2"/>
  <c r="K6187" i="2"/>
  <c r="O6187" i="2"/>
  <c r="R6187" i="2"/>
  <c r="S6187" i="2" s="1"/>
  <c r="I6188" i="2"/>
  <c r="J6188" i="2"/>
  <c r="K6188" i="2"/>
  <c r="O6188" i="2"/>
  <c r="R6188" i="2"/>
  <c r="S6188" i="2" s="1"/>
  <c r="I6189" i="2"/>
  <c r="J6189" i="2"/>
  <c r="K6189" i="2"/>
  <c r="O6189" i="2"/>
  <c r="R6189" i="2"/>
  <c r="S6189" i="2" s="1"/>
  <c r="I6190" i="2"/>
  <c r="J6190" i="2"/>
  <c r="K6190" i="2"/>
  <c r="O6190" i="2"/>
  <c r="R6190" i="2"/>
  <c r="S6190" i="2" s="1"/>
  <c r="I6191" i="2"/>
  <c r="J6191" i="2"/>
  <c r="K6191" i="2"/>
  <c r="O6191" i="2"/>
  <c r="R6191" i="2"/>
  <c r="S6191" i="2" s="1"/>
  <c r="I6192" i="2"/>
  <c r="J6192" i="2"/>
  <c r="K6192" i="2"/>
  <c r="O6192" i="2"/>
  <c r="R6192" i="2"/>
  <c r="S6192" i="2" s="1"/>
  <c r="I6193" i="2"/>
  <c r="J6193" i="2"/>
  <c r="K6193" i="2"/>
  <c r="O6193" i="2"/>
  <c r="R6193" i="2"/>
  <c r="S6193" i="2" s="1"/>
  <c r="I6194" i="2"/>
  <c r="J6194" i="2"/>
  <c r="K6194" i="2"/>
  <c r="O6194" i="2"/>
  <c r="R6194" i="2"/>
  <c r="S6194" i="2" s="1"/>
  <c r="I6195" i="2"/>
  <c r="J6195" i="2"/>
  <c r="K6195" i="2"/>
  <c r="O6195" i="2"/>
  <c r="R6195" i="2"/>
  <c r="S6195" i="2" s="1"/>
  <c r="I6196" i="2"/>
  <c r="J6196" i="2"/>
  <c r="K6196" i="2"/>
  <c r="O6196" i="2"/>
  <c r="R6196" i="2"/>
  <c r="S6196" i="2" s="1"/>
  <c r="I6197" i="2"/>
  <c r="J6197" i="2"/>
  <c r="K6197" i="2"/>
  <c r="O6197" i="2"/>
  <c r="R6197" i="2"/>
  <c r="S6197" i="2" s="1"/>
  <c r="I6198" i="2"/>
  <c r="J6198" i="2"/>
  <c r="K6198" i="2"/>
  <c r="O6198" i="2"/>
  <c r="R6198" i="2"/>
  <c r="S6198" i="2" s="1"/>
  <c r="I6199" i="2"/>
  <c r="J6199" i="2"/>
  <c r="K6199" i="2"/>
  <c r="O6199" i="2"/>
  <c r="R6199" i="2"/>
  <c r="S6199" i="2" s="1"/>
  <c r="I6200" i="2"/>
  <c r="J6200" i="2"/>
  <c r="K6200" i="2"/>
  <c r="O6200" i="2"/>
  <c r="R6200" i="2"/>
  <c r="S6200" i="2" s="1"/>
  <c r="I6201" i="2"/>
  <c r="J6201" i="2"/>
  <c r="K6201" i="2"/>
  <c r="O6201" i="2"/>
  <c r="R6201" i="2"/>
  <c r="S6201" i="2" s="1"/>
  <c r="I6202" i="2"/>
  <c r="J6202" i="2"/>
  <c r="K6202" i="2"/>
  <c r="O6202" i="2"/>
  <c r="R6202" i="2"/>
  <c r="S6202" i="2" s="1"/>
  <c r="I6203" i="2"/>
  <c r="J6203" i="2"/>
  <c r="K6203" i="2"/>
  <c r="O6203" i="2"/>
  <c r="R6203" i="2"/>
  <c r="S6203" i="2" s="1"/>
  <c r="I6204" i="2"/>
  <c r="J6204" i="2"/>
  <c r="K6204" i="2"/>
  <c r="O6204" i="2"/>
  <c r="R6204" i="2"/>
  <c r="S6204" i="2" s="1"/>
  <c r="I6205" i="2"/>
  <c r="J6205" i="2"/>
  <c r="K6205" i="2"/>
  <c r="O6205" i="2"/>
  <c r="R6205" i="2"/>
  <c r="S6205" i="2" s="1"/>
  <c r="I6206" i="2"/>
  <c r="J6206" i="2"/>
  <c r="K6206" i="2"/>
  <c r="O6206" i="2"/>
  <c r="R6206" i="2"/>
  <c r="S6206" i="2" s="1"/>
  <c r="I6207" i="2"/>
  <c r="J6207" i="2"/>
  <c r="K6207" i="2"/>
  <c r="O6207" i="2"/>
  <c r="R6207" i="2"/>
  <c r="S6207" i="2" s="1"/>
  <c r="I6208" i="2"/>
  <c r="J6208" i="2"/>
  <c r="K6208" i="2"/>
  <c r="O6208" i="2"/>
  <c r="R6208" i="2"/>
  <c r="S6208" i="2" s="1"/>
  <c r="I6209" i="2"/>
  <c r="J6209" i="2"/>
  <c r="K6209" i="2"/>
  <c r="O6209" i="2"/>
  <c r="R6209" i="2"/>
  <c r="S6209" i="2" s="1"/>
  <c r="I6210" i="2"/>
  <c r="J6210" i="2"/>
  <c r="K6210" i="2"/>
  <c r="O6210" i="2"/>
  <c r="R6210" i="2"/>
  <c r="S6210" i="2" s="1"/>
  <c r="I6211" i="2"/>
  <c r="J6211" i="2"/>
  <c r="K6211" i="2"/>
  <c r="O6211" i="2"/>
  <c r="R6211" i="2"/>
  <c r="S6211" i="2" s="1"/>
  <c r="I6212" i="2"/>
  <c r="J6212" i="2"/>
  <c r="K6212" i="2"/>
  <c r="O6212" i="2"/>
  <c r="R6212" i="2"/>
  <c r="S6212" i="2" s="1"/>
  <c r="I6213" i="2"/>
  <c r="J6213" i="2"/>
  <c r="K6213" i="2"/>
  <c r="O6213" i="2"/>
  <c r="R6213" i="2"/>
  <c r="S6213" i="2" s="1"/>
  <c r="I6214" i="2"/>
  <c r="J6214" i="2"/>
  <c r="K6214" i="2"/>
  <c r="O6214" i="2"/>
  <c r="R6214" i="2"/>
  <c r="S6214" i="2" s="1"/>
  <c r="I6215" i="2"/>
  <c r="J6215" i="2"/>
  <c r="K6215" i="2"/>
  <c r="O6215" i="2"/>
  <c r="R6215" i="2"/>
  <c r="S6215" i="2" s="1"/>
  <c r="I6216" i="2"/>
  <c r="J6216" i="2"/>
  <c r="K6216" i="2"/>
  <c r="O6216" i="2"/>
  <c r="R6216" i="2"/>
  <c r="S6216" i="2" s="1"/>
  <c r="I6217" i="2"/>
  <c r="J6217" i="2"/>
  <c r="K6217" i="2"/>
  <c r="O6217" i="2"/>
  <c r="R6217" i="2"/>
  <c r="S6217" i="2" s="1"/>
  <c r="I6218" i="2"/>
  <c r="J6218" i="2"/>
  <c r="K6218" i="2"/>
  <c r="O6218" i="2"/>
  <c r="R6218" i="2"/>
  <c r="S6218" i="2" s="1"/>
  <c r="I6219" i="2"/>
  <c r="J6219" i="2"/>
  <c r="K6219" i="2"/>
  <c r="O6219" i="2"/>
  <c r="R6219" i="2"/>
  <c r="S6219" i="2" s="1"/>
  <c r="I6220" i="2"/>
  <c r="J6220" i="2"/>
  <c r="K6220" i="2"/>
  <c r="O6220" i="2"/>
  <c r="R6220" i="2"/>
  <c r="S6220" i="2" s="1"/>
  <c r="I6221" i="2"/>
  <c r="J6221" i="2"/>
  <c r="K6221" i="2"/>
  <c r="O6221" i="2"/>
  <c r="R6221" i="2"/>
  <c r="S6221" i="2" s="1"/>
  <c r="I6222" i="2"/>
  <c r="J6222" i="2"/>
  <c r="K6222" i="2"/>
  <c r="O6222" i="2"/>
  <c r="R6222" i="2"/>
  <c r="S6222" i="2" s="1"/>
  <c r="I6223" i="2"/>
  <c r="J6223" i="2"/>
  <c r="K6223" i="2"/>
  <c r="O6223" i="2"/>
  <c r="R6223" i="2"/>
  <c r="S6223" i="2" s="1"/>
  <c r="I6224" i="2"/>
  <c r="J6224" i="2"/>
  <c r="K6224" i="2"/>
  <c r="O6224" i="2"/>
  <c r="R6224" i="2"/>
  <c r="S6224" i="2" s="1"/>
  <c r="I6225" i="2"/>
  <c r="J6225" i="2"/>
  <c r="K6225" i="2"/>
  <c r="O6225" i="2"/>
  <c r="R6225" i="2"/>
  <c r="S6225" i="2" s="1"/>
  <c r="I6226" i="2"/>
  <c r="J6226" i="2"/>
  <c r="K6226" i="2"/>
  <c r="O6226" i="2"/>
  <c r="R6226" i="2"/>
  <c r="S6226" i="2" s="1"/>
  <c r="I6227" i="2"/>
  <c r="J6227" i="2"/>
  <c r="K6227" i="2"/>
  <c r="O6227" i="2"/>
  <c r="R6227" i="2"/>
  <c r="S6227" i="2" s="1"/>
  <c r="I6228" i="2"/>
  <c r="J6228" i="2"/>
  <c r="K6228" i="2"/>
  <c r="O6228" i="2"/>
  <c r="R6228" i="2"/>
  <c r="S6228" i="2" s="1"/>
  <c r="I6229" i="2"/>
  <c r="J6229" i="2"/>
  <c r="K6229" i="2"/>
  <c r="O6229" i="2"/>
  <c r="R6229" i="2"/>
  <c r="S6229" i="2" s="1"/>
  <c r="I6230" i="2"/>
  <c r="J6230" i="2"/>
  <c r="K6230" i="2"/>
  <c r="O6230" i="2"/>
  <c r="R6230" i="2"/>
  <c r="S6230" i="2" s="1"/>
  <c r="I6231" i="2"/>
  <c r="J6231" i="2"/>
  <c r="K6231" i="2"/>
  <c r="O6231" i="2"/>
  <c r="R6231" i="2"/>
  <c r="S6231" i="2" s="1"/>
  <c r="I6232" i="2"/>
  <c r="J6232" i="2"/>
  <c r="K6232" i="2"/>
  <c r="O6232" i="2"/>
  <c r="R6232" i="2"/>
  <c r="S6232" i="2" s="1"/>
  <c r="I6233" i="2"/>
  <c r="J6233" i="2"/>
  <c r="K6233" i="2"/>
  <c r="O6233" i="2"/>
  <c r="R6233" i="2"/>
  <c r="S6233" i="2" s="1"/>
  <c r="I6234" i="2"/>
  <c r="J6234" i="2"/>
  <c r="K6234" i="2"/>
  <c r="O6234" i="2"/>
  <c r="R6234" i="2"/>
  <c r="S6234" i="2" s="1"/>
  <c r="I6235" i="2"/>
  <c r="J6235" i="2"/>
  <c r="K6235" i="2"/>
  <c r="O6235" i="2"/>
  <c r="R6235" i="2"/>
  <c r="S6235" i="2" s="1"/>
  <c r="I6236" i="2"/>
  <c r="J6236" i="2"/>
  <c r="K6236" i="2"/>
  <c r="O6236" i="2"/>
  <c r="R6236" i="2"/>
  <c r="S6236" i="2" s="1"/>
  <c r="I6237" i="2"/>
  <c r="J6237" i="2"/>
  <c r="K6237" i="2"/>
  <c r="O6237" i="2"/>
  <c r="R6237" i="2"/>
  <c r="S6237" i="2" s="1"/>
  <c r="I6238" i="2"/>
  <c r="J6238" i="2"/>
  <c r="K6238" i="2"/>
  <c r="O6238" i="2"/>
  <c r="R6238" i="2"/>
  <c r="S6238" i="2" s="1"/>
  <c r="I6239" i="2"/>
  <c r="J6239" i="2"/>
  <c r="K6239" i="2"/>
  <c r="O6239" i="2"/>
  <c r="R6239" i="2"/>
  <c r="S6239" i="2" s="1"/>
  <c r="I6240" i="2"/>
  <c r="J6240" i="2"/>
  <c r="K6240" i="2"/>
  <c r="O6240" i="2"/>
  <c r="R6240" i="2"/>
  <c r="S6240" i="2" s="1"/>
  <c r="I6241" i="2"/>
  <c r="J6241" i="2"/>
  <c r="K6241" i="2"/>
  <c r="O6241" i="2"/>
  <c r="R6241" i="2"/>
  <c r="S6241" i="2" s="1"/>
  <c r="I6242" i="2"/>
  <c r="J6242" i="2"/>
  <c r="K6242" i="2"/>
  <c r="O6242" i="2"/>
  <c r="R6242" i="2"/>
  <c r="S6242" i="2" s="1"/>
  <c r="I6243" i="2"/>
  <c r="J6243" i="2"/>
  <c r="K6243" i="2"/>
  <c r="O6243" i="2"/>
  <c r="R6243" i="2"/>
  <c r="S6243" i="2" s="1"/>
  <c r="I6244" i="2"/>
  <c r="J6244" i="2"/>
  <c r="K6244" i="2"/>
  <c r="O6244" i="2"/>
  <c r="R6244" i="2"/>
  <c r="S6244" i="2" s="1"/>
  <c r="I6245" i="2"/>
  <c r="J6245" i="2"/>
  <c r="K6245" i="2"/>
  <c r="O6245" i="2"/>
  <c r="R6245" i="2"/>
  <c r="S6245" i="2" s="1"/>
  <c r="I6246" i="2"/>
  <c r="J6246" i="2"/>
  <c r="K6246" i="2"/>
  <c r="O6246" i="2"/>
  <c r="R6246" i="2"/>
  <c r="S6246" i="2" s="1"/>
  <c r="I6247" i="2"/>
  <c r="J6247" i="2"/>
  <c r="K6247" i="2"/>
  <c r="O6247" i="2"/>
  <c r="R6247" i="2"/>
  <c r="S6247" i="2" s="1"/>
  <c r="I6248" i="2"/>
  <c r="J6248" i="2"/>
  <c r="K6248" i="2"/>
  <c r="O6248" i="2"/>
  <c r="R6248" i="2"/>
  <c r="S6248" i="2" s="1"/>
  <c r="I6249" i="2"/>
  <c r="J6249" i="2"/>
  <c r="K6249" i="2"/>
  <c r="O6249" i="2"/>
  <c r="R6249" i="2"/>
  <c r="S6249" i="2" s="1"/>
  <c r="I6250" i="2"/>
  <c r="J6250" i="2"/>
  <c r="K6250" i="2"/>
  <c r="O6250" i="2"/>
  <c r="R6250" i="2"/>
  <c r="S6250" i="2" s="1"/>
  <c r="I6251" i="2"/>
  <c r="J6251" i="2"/>
  <c r="K6251" i="2"/>
  <c r="O6251" i="2"/>
  <c r="R6251" i="2"/>
  <c r="S6251" i="2" s="1"/>
  <c r="I6252" i="2"/>
  <c r="J6252" i="2"/>
  <c r="K6252" i="2"/>
  <c r="O6252" i="2"/>
  <c r="R6252" i="2"/>
  <c r="S6252" i="2" s="1"/>
  <c r="I6253" i="2"/>
  <c r="J6253" i="2"/>
  <c r="K6253" i="2"/>
  <c r="O6253" i="2"/>
  <c r="R6253" i="2"/>
  <c r="S6253" i="2" s="1"/>
  <c r="I6254" i="2"/>
  <c r="J6254" i="2"/>
  <c r="K6254" i="2"/>
  <c r="O6254" i="2"/>
  <c r="R6254" i="2"/>
  <c r="S6254" i="2" s="1"/>
  <c r="I6255" i="2"/>
  <c r="J6255" i="2"/>
  <c r="K6255" i="2"/>
  <c r="O6255" i="2"/>
  <c r="R6255" i="2"/>
  <c r="S6255" i="2" s="1"/>
  <c r="I6256" i="2"/>
  <c r="J6256" i="2"/>
  <c r="K6256" i="2"/>
  <c r="O6256" i="2"/>
  <c r="R6256" i="2"/>
  <c r="S6256" i="2" s="1"/>
  <c r="I6257" i="2"/>
  <c r="J6257" i="2"/>
  <c r="K6257" i="2"/>
  <c r="O6257" i="2"/>
  <c r="R6257" i="2"/>
  <c r="S6257" i="2" s="1"/>
  <c r="I6258" i="2"/>
  <c r="J6258" i="2"/>
  <c r="K6258" i="2"/>
  <c r="O6258" i="2"/>
  <c r="R6258" i="2"/>
  <c r="S6258" i="2" s="1"/>
  <c r="I6259" i="2"/>
  <c r="J6259" i="2"/>
  <c r="K6259" i="2"/>
  <c r="O6259" i="2"/>
  <c r="R6259" i="2"/>
  <c r="S6259" i="2" s="1"/>
  <c r="I6260" i="2"/>
  <c r="J6260" i="2"/>
  <c r="K6260" i="2"/>
  <c r="O6260" i="2"/>
  <c r="R6260" i="2"/>
  <c r="S6260" i="2" s="1"/>
  <c r="I6261" i="2"/>
  <c r="J6261" i="2"/>
  <c r="K6261" i="2"/>
  <c r="O6261" i="2"/>
  <c r="R6261" i="2"/>
  <c r="S6261" i="2" s="1"/>
  <c r="I6262" i="2"/>
  <c r="J6262" i="2"/>
  <c r="K6262" i="2"/>
  <c r="O6262" i="2"/>
  <c r="R6262" i="2"/>
  <c r="S6262" i="2" s="1"/>
  <c r="I6263" i="2"/>
  <c r="J6263" i="2"/>
  <c r="K6263" i="2"/>
  <c r="O6263" i="2"/>
  <c r="R6263" i="2"/>
  <c r="S6263" i="2" s="1"/>
  <c r="I6264" i="2"/>
  <c r="J6264" i="2"/>
  <c r="K6264" i="2"/>
  <c r="O6264" i="2"/>
  <c r="R6264" i="2"/>
  <c r="S6264" i="2" s="1"/>
  <c r="I6265" i="2"/>
  <c r="J6265" i="2"/>
  <c r="K6265" i="2"/>
  <c r="O6265" i="2"/>
  <c r="R6265" i="2"/>
  <c r="S6265" i="2" s="1"/>
  <c r="I6266" i="2"/>
  <c r="J6266" i="2"/>
  <c r="K6266" i="2"/>
  <c r="O6266" i="2"/>
  <c r="R6266" i="2"/>
  <c r="S6266" i="2" s="1"/>
  <c r="I6267" i="2"/>
  <c r="J6267" i="2"/>
  <c r="K6267" i="2"/>
  <c r="O6267" i="2"/>
  <c r="R6267" i="2"/>
  <c r="S6267" i="2" s="1"/>
  <c r="I6268" i="2"/>
  <c r="J6268" i="2"/>
  <c r="K6268" i="2"/>
  <c r="O6268" i="2"/>
  <c r="R6268" i="2"/>
  <c r="S6268" i="2" s="1"/>
  <c r="I6269" i="2"/>
  <c r="J6269" i="2"/>
  <c r="K6269" i="2"/>
  <c r="O6269" i="2"/>
  <c r="R6269" i="2"/>
  <c r="S6269" i="2" s="1"/>
  <c r="I6270" i="2"/>
  <c r="J6270" i="2"/>
  <c r="K6270" i="2"/>
  <c r="O6270" i="2"/>
  <c r="R6270" i="2"/>
  <c r="S6270" i="2" s="1"/>
  <c r="I6271" i="2"/>
  <c r="J6271" i="2"/>
  <c r="K6271" i="2"/>
  <c r="O6271" i="2"/>
  <c r="R6271" i="2"/>
  <c r="S6271" i="2" s="1"/>
  <c r="I6272" i="2"/>
  <c r="J6272" i="2"/>
  <c r="K6272" i="2"/>
  <c r="O6272" i="2"/>
  <c r="R6272" i="2"/>
  <c r="S6272" i="2" s="1"/>
  <c r="I6273" i="2"/>
  <c r="J6273" i="2"/>
  <c r="K6273" i="2"/>
  <c r="O6273" i="2"/>
  <c r="R6273" i="2"/>
  <c r="S6273" i="2" s="1"/>
  <c r="I6274" i="2"/>
  <c r="J6274" i="2"/>
  <c r="K6274" i="2"/>
  <c r="O6274" i="2"/>
  <c r="R6274" i="2"/>
  <c r="S6274" i="2" s="1"/>
  <c r="I6275" i="2"/>
  <c r="J6275" i="2"/>
  <c r="K6275" i="2"/>
  <c r="O6275" i="2"/>
  <c r="R6275" i="2"/>
  <c r="S6275" i="2" s="1"/>
  <c r="I6276" i="2"/>
  <c r="J6276" i="2"/>
  <c r="K6276" i="2"/>
  <c r="O6276" i="2"/>
  <c r="R6276" i="2"/>
  <c r="S6276" i="2" s="1"/>
  <c r="I6277" i="2"/>
  <c r="J6277" i="2"/>
  <c r="K6277" i="2"/>
  <c r="O6277" i="2"/>
  <c r="R6277" i="2"/>
  <c r="S6277" i="2" s="1"/>
  <c r="I6278" i="2"/>
  <c r="J6278" i="2"/>
  <c r="K6278" i="2"/>
  <c r="O6278" i="2"/>
  <c r="R6278" i="2"/>
  <c r="S6278" i="2" s="1"/>
  <c r="I6279" i="2"/>
  <c r="J6279" i="2"/>
  <c r="K6279" i="2"/>
  <c r="O6279" i="2"/>
  <c r="R6279" i="2"/>
  <c r="S6279" i="2" s="1"/>
  <c r="I6280" i="2"/>
  <c r="J6280" i="2"/>
  <c r="K6280" i="2"/>
  <c r="O6280" i="2"/>
  <c r="R6280" i="2"/>
  <c r="S6280" i="2" s="1"/>
  <c r="I6281" i="2"/>
  <c r="J6281" i="2"/>
  <c r="K6281" i="2"/>
  <c r="O6281" i="2"/>
  <c r="R6281" i="2"/>
  <c r="S6281" i="2" s="1"/>
  <c r="I6282" i="2"/>
  <c r="J6282" i="2"/>
  <c r="K6282" i="2"/>
  <c r="O6282" i="2"/>
  <c r="R6282" i="2"/>
  <c r="S6282" i="2" s="1"/>
  <c r="I6283" i="2"/>
  <c r="J6283" i="2"/>
  <c r="K6283" i="2"/>
  <c r="O6283" i="2"/>
  <c r="R6283" i="2"/>
  <c r="S6283" i="2" s="1"/>
  <c r="I6284" i="2"/>
  <c r="J6284" i="2"/>
  <c r="K6284" i="2"/>
  <c r="O6284" i="2"/>
  <c r="R6284" i="2"/>
  <c r="S6284" i="2" s="1"/>
  <c r="I6285" i="2"/>
  <c r="J6285" i="2"/>
  <c r="K6285" i="2"/>
  <c r="O6285" i="2"/>
  <c r="R6285" i="2"/>
  <c r="S6285" i="2" s="1"/>
  <c r="I6286" i="2"/>
  <c r="J6286" i="2"/>
  <c r="K6286" i="2"/>
  <c r="O6286" i="2"/>
  <c r="R6286" i="2"/>
  <c r="S6286" i="2" s="1"/>
  <c r="I6287" i="2"/>
  <c r="J6287" i="2"/>
  <c r="K6287" i="2"/>
  <c r="O6287" i="2"/>
  <c r="R6287" i="2"/>
  <c r="S6287" i="2" s="1"/>
  <c r="I6288" i="2"/>
  <c r="J6288" i="2"/>
  <c r="K6288" i="2"/>
  <c r="O6288" i="2"/>
  <c r="R6288" i="2"/>
  <c r="S6288" i="2" s="1"/>
  <c r="I6289" i="2"/>
  <c r="J6289" i="2"/>
  <c r="K6289" i="2"/>
  <c r="O6289" i="2"/>
  <c r="R6289" i="2"/>
  <c r="S6289" i="2" s="1"/>
  <c r="I6290" i="2"/>
  <c r="J6290" i="2"/>
  <c r="K6290" i="2"/>
  <c r="O6290" i="2"/>
  <c r="R6290" i="2"/>
  <c r="S6290" i="2" s="1"/>
  <c r="I6291" i="2"/>
  <c r="J6291" i="2"/>
  <c r="K6291" i="2"/>
  <c r="O6291" i="2"/>
  <c r="R6291" i="2"/>
  <c r="S6291" i="2" s="1"/>
  <c r="I6292" i="2"/>
  <c r="J6292" i="2"/>
  <c r="K6292" i="2"/>
  <c r="O6292" i="2"/>
  <c r="R6292" i="2"/>
  <c r="S6292" i="2" s="1"/>
  <c r="I6293" i="2"/>
  <c r="J6293" i="2"/>
  <c r="K6293" i="2"/>
  <c r="O6293" i="2"/>
  <c r="R6293" i="2"/>
  <c r="S6293" i="2" s="1"/>
  <c r="I6294" i="2"/>
  <c r="J6294" i="2"/>
  <c r="K6294" i="2"/>
  <c r="O6294" i="2"/>
  <c r="R6294" i="2"/>
  <c r="S6294" i="2" s="1"/>
  <c r="I6295" i="2"/>
  <c r="J6295" i="2"/>
  <c r="K6295" i="2"/>
  <c r="O6295" i="2"/>
  <c r="R6295" i="2"/>
  <c r="S6295" i="2" s="1"/>
  <c r="I6296" i="2"/>
  <c r="J6296" i="2"/>
  <c r="K6296" i="2"/>
  <c r="O6296" i="2"/>
  <c r="R6296" i="2"/>
  <c r="S6296" i="2" s="1"/>
  <c r="I6297" i="2"/>
  <c r="J6297" i="2"/>
  <c r="K6297" i="2"/>
  <c r="O6297" i="2"/>
  <c r="R6297" i="2"/>
  <c r="S6297" i="2" s="1"/>
  <c r="I6298" i="2"/>
  <c r="J6298" i="2"/>
  <c r="K6298" i="2"/>
  <c r="O6298" i="2"/>
  <c r="R6298" i="2"/>
  <c r="S6298" i="2" s="1"/>
  <c r="I6299" i="2"/>
  <c r="J6299" i="2"/>
  <c r="K6299" i="2"/>
  <c r="O6299" i="2"/>
  <c r="R6299" i="2"/>
  <c r="S6299" i="2" s="1"/>
  <c r="I6300" i="2"/>
  <c r="J6300" i="2"/>
  <c r="K6300" i="2"/>
  <c r="O6300" i="2"/>
  <c r="R6300" i="2"/>
  <c r="S6300" i="2" s="1"/>
  <c r="I6301" i="2"/>
  <c r="J6301" i="2"/>
  <c r="K6301" i="2"/>
  <c r="O6301" i="2"/>
  <c r="R6301" i="2"/>
  <c r="S6301" i="2" s="1"/>
  <c r="I6302" i="2"/>
  <c r="J6302" i="2"/>
  <c r="K6302" i="2"/>
  <c r="O6302" i="2"/>
  <c r="R6302" i="2"/>
  <c r="S6302" i="2" s="1"/>
  <c r="I6303" i="2"/>
  <c r="J6303" i="2"/>
  <c r="K6303" i="2"/>
  <c r="O6303" i="2"/>
  <c r="R6303" i="2"/>
  <c r="S6303" i="2" s="1"/>
  <c r="I6304" i="2"/>
  <c r="J6304" i="2"/>
  <c r="K6304" i="2"/>
  <c r="O6304" i="2"/>
  <c r="R6304" i="2"/>
  <c r="S6304" i="2" s="1"/>
  <c r="I6305" i="2"/>
  <c r="J6305" i="2"/>
  <c r="K6305" i="2"/>
  <c r="O6305" i="2"/>
  <c r="R6305" i="2"/>
  <c r="S6305" i="2" s="1"/>
  <c r="I6306" i="2"/>
  <c r="J6306" i="2"/>
  <c r="K6306" i="2"/>
  <c r="O6306" i="2"/>
  <c r="R6306" i="2"/>
  <c r="S6306" i="2" s="1"/>
  <c r="I6307" i="2"/>
  <c r="J6307" i="2"/>
  <c r="K6307" i="2"/>
  <c r="O6307" i="2"/>
  <c r="R6307" i="2"/>
  <c r="S6307" i="2" s="1"/>
  <c r="I6308" i="2"/>
  <c r="J6308" i="2"/>
  <c r="K6308" i="2"/>
  <c r="O6308" i="2"/>
  <c r="R6308" i="2"/>
  <c r="S6308" i="2" s="1"/>
  <c r="I6309" i="2"/>
  <c r="J6309" i="2"/>
  <c r="K6309" i="2"/>
  <c r="O6309" i="2"/>
  <c r="R6309" i="2"/>
  <c r="S6309" i="2" s="1"/>
  <c r="I6310" i="2"/>
  <c r="J6310" i="2"/>
  <c r="K6310" i="2"/>
  <c r="O6310" i="2"/>
  <c r="R6310" i="2"/>
  <c r="S6310" i="2" s="1"/>
  <c r="I6311" i="2"/>
  <c r="J6311" i="2"/>
  <c r="K6311" i="2"/>
  <c r="O6311" i="2"/>
  <c r="R6311" i="2"/>
  <c r="S6311" i="2" s="1"/>
  <c r="I6312" i="2"/>
  <c r="J6312" i="2"/>
  <c r="K6312" i="2"/>
  <c r="O6312" i="2"/>
  <c r="R6312" i="2"/>
  <c r="S6312" i="2" s="1"/>
  <c r="I6313" i="2"/>
  <c r="J6313" i="2"/>
  <c r="K6313" i="2"/>
  <c r="O6313" i="2"/>
  <c r="R6313" i="2"/>
  <c r="S6313" i="2" s="1"/>
  <c r="I6314" i="2"/>
  <c r="J6314" i="2"/>
  <c r="K6314" i="2"/>
  <c r="O6314" i="2"/>
  <c r="R6314" i="2"/>
  <c r="S6314" i="2" s="1"/>
  <c r="I6315" i="2"/>
  <c r="J6315" i="2"/>
  <c r="K6315" i="2"/>
  <c r="O6315" i="2"/>
  <c r="R6315" i="2"/>
  <c r="S6315" i="2" s="1"/>
  <c r="I6316" i="2"/>
  <c r="J6316" i="2"/>
  <c r="K6316" i="2"/>
  <c r="O6316" i="2"/>
  <c r="R6316" i="2"/>
  <c r="S6316" i="2" s="1"/>
  <c r="I6317" i="2"/>
  <c r="J6317" i="2"/>
  <c r="K6317" i="2"/>
  <c r="O6317" i="2"/>
  <c r="R6317" i="2"/>
  <c r="S6317" i="2" s="1"/>
  <c r="I6318" i="2"/>
  <c r="J6318" i="2"/>
  <c r="K6318" i="2"/>
  <c r="O6318" i="2"/>
  <c r="R6318" i="2"/>
  <c r="S6318" i="2" s="1"/>
  <c r="I6319" i="2"/>
  <c r="J6319" i="2"/>
  <c r="K6319" i="2"/>
  <c r="O6319" i="2"/>
  <c r="R6319" i="2"/>
  <c r="S6319" i="2" s="1"/>
  <c r="I6320" i="2"/>
  <c r="J6320" i="2"/>
  <c r="K6320" i="2"/>
  <c r="O6320" i="2"/>
  <c r="R6320" i="2"/>
  <c r="S6320" i="2" s="1"/>
  <c r="I6321" i="2"/>
  <c r="J6321" i="2"/>
  <c r="K6321" i="2"/>
  <c r="O6321" i="2"/>
  <c r="R6321" i="2"/>
  <c r="S6321" i="2" s="1"/>
  <c r="I6322" i="2"/>
  <c r="J6322" i="2"/>
  <c r="K6322" i="2"/>
  <c r="O6322" i="2"/>
  <c r="R6322" i="2"/>
  <c r="S6322" i="2" s="1"/>
  <c r="I6323" i="2"/>
  <c r="J6323" i="2"/>
  <c r="K6323" i="2"/>
  <c r="O6323" i="2"/>
  <c r="R6323" i="2"/>
  <c r="S6323" i="2" s="1"/>
  <c r="I6324" i="2"/>
  <c r="J6324" i="2"/>
  <c r="K6324" i="2"/>
  <c r="O6324" i="2"/>
  <c r="R6324" i="2"/>
  <c r="S6324" i="2" s="1"/>
  <c r="I6325" i="2"/>
  <c r="J6325" i="2"/>
  <c r="K6325" i="2"/>
  <c r="O6325" i="2"/>
  <c r="R6325" i="2"/>
  <c r="S6325" i="2" s="1"/>
  <c r="I6326" i="2"/>
  <c r="J6326" i="2"/>
  <c r="K6326" i="2"/>
  <c r="O6326" i="2"/>
  <c r="R6326" i="2"/>
  <c r="S6326" i="2" s="1"/>
  <c r="I6327" i="2"/>
  <c r="J6327" i="2"/>
  <c r="K6327" i="2"/>
  <c r="O6327" i="2"/>
  <c r="R6327" i="2"/>
  <c r="S6327" i="2" s="1"/>
  <c r="I6328" i="2"/>
  <c r="J6328" i="2"/>
  <c r="K6328" i="2"/>
  <c r="O6328" i="2"/>
  <c r="R6328" i="2"/>
  <c r="S6328" i="2" s="1"/>
  <c r="I6329" i="2"/>
  <c r="J6329" i="2"/>
  <c r="K6329" i="2"/>
  <c r="O6329" i="2"/>
  <c r="R6329" i="2"/>
  <c r="S6329" i="2" s="1"/>
  <c r="I6330" i="2"/>
  <c r="J6330" i="2"/>
  <c r="K6330" i="2"/>
  <c r="O6330" i="2"/>
  <c r="R6330" i="2"/>
  <c r="S6330" i="2" s="1"/>
  <c r="I6331" i="2"/>
  <c r="J6331" i="2"/>
  <c r="K6331" i="2"/>
  <c r="O6331" i="2"/>
  <c r="R6331" i="2"/>
  <c r="S6331" i="2" s="1"/>
  <c r="I6332" i="2"/>
  <c r="J6332" i="2"/>
  <c r="K6332" i="2"/>
  <c r="O6332" i="2"/>
  <c r="R6332" i="2"/>
  <c r="S6332" i="2" s="1"/>
  <c r="I6333" i="2"/>
  <c r="J6333" i="2"/>
  <c r="K6333" i="2"/>
  <c r="O6333" i="2"/>
  <c r="R6333" i="2"/>
  <c r="S6333" i="2" s="1"/>
  <c r="I6334" i="2"/>
  <c r="J6334" i="2"/>
  <c r="K6334" i="2"/>
  <c r="O6334" i="2"/>
  <c r="R6334" i="2"/>
  <c r="S6334" i="2" s="1"/>
  <c r="I6335" i="2"/>
  <c r="J6335" i="2"/>
  <c r="K6335" i="2"/>
  <c r="O6335" i="2"/>
  <c r="R6335" i="2"/>
  <c r="S6335" i="2" s="1"/>
  <c r="I6336" i="2"/>
  <c r="J6336" i="2"/>
  <c r="K6336" i="2"/>
  <c r="O6336" i="2"/>
  <c r="R6336" i="2"/>
  <c r="S6336" i="2" s="1"/>
  <c r="I6337" i="2"/>
  <c r="J6337" i="2"/>
  <c r="K6337" i="2"/>
  <c r="O6337" i="2"/>
  <c r="R6337" i="2"/>
  <c r="S6337" i="2" s="1"/>
  <c r="I6338" i="2"/>
  <c r="J6338" i="2"/>
  <c r="K6338" i="2"/>
  <c r="O6338" i="2"/>
  <c r="R6338" i="2"/>
  <c r="S6338" i="2" s="1"/>
  <c r="I6339" i="2"/>
  <c r="J6339" i="2"/>
  <c r="K6339" i="2"/>
  <c r="O6339" i="2"/>
  <c r="R6339" i="2"/>
  <c r="S6339" i="2" s="1"/>
  <c r="I6340" i="2"/>
  <c r="J6340" i="2"/>
  <c r="K6340" i="2"/>
  <c r="O6340" i="2"/>
  <c r="R6340" i="2"/>
  <c r="S6340" i="2" s="1"/>
  <c r="I6341" i="2"/>
  <c r="J6341" i="2"/>
  <c r="K6341" i="2"/>
  <c r="O6341" i="2"/>
  <c r="R6341" i="2"/>
  <c r="S6341" i="2" s="1"/>
  <c r="I6342" i="2"/>
  <c r="J6342" i="2"/>
  <c r="K6342" i="2"/>
  <c r="O6342" i="2"/>
  <c r="R6342" i="2"/>
  <c r="S6342" i="2" s="1"/>
  <c r="I6343" i="2"/>
  <c r="J6343" i="2"/>
  <c r="K6343" i="2"/>
  <c r="O6343" i="2"/>
  <c r="R6343" i="2"/>
  <c r="S6343" i="2" s="1"/>
  <c r="I6344" i="2"/>
  <c r="J6344" i="2"/>
  <c r="K6344" i="2"/>
  <c r="O6344" i="2"/>
  <c r="R6344" i="2"/>
  <c r="S6344" i="2" s="1"/>
  <c r="I6345" i="2"/>
  <c r="J6345" i="2"/>
  <c r="K6345" i="2"/>
  <c r="O6345" i="2"/>
  <c r="R6345" i="2"/>
  <c r="S6345" i="2" s="1"/>
  <c r="I6346" i="2"/>
  <c r="J6346" i="2"/>
  <c r="K6346" i="2"/>
  <c r="O6346" i="2"/>
  <c r="R6346" i="2"/>
  <c r="S6346" i="2" s="1"/>
  <c r="I6347" i="2"/>
  <c r="J6347" i="2"/>
  <c r="K6347" i="2"/>
  <c r="O6347" i="2"/>
  <c r="R6347" i="2"/>
  <c r="S6347" i="2" s="1"/>
  <c r="I6348" i="2"/>
  <c r="J6348" i="2"/>
  <c r="K6348" i="2"/>
  <c r="O6348" i="2"/>
  <c r="R6348" i="2"/>
  <c r="S6348" i="2" s="1"/>
  <c r="I6349" i="2"/>
  <c r="J6349" i="2"/>
  <c r="K6349" i="2"/>
  <c r="O6349" i="2"/>
  <c r="R6349" i="2"/>
  <c r="S6349" i="2" s="1"/>
  <c r="I6350" i="2"/>
  <c r="J6350" i="2"/>
  <c r="K6350" i="2"/>
  <c r="O6350" i="2"/>
  <c r="R6350" i="2"/>
  <c r="S6350" i="2" s="1"/>
  <c r="I6351" i="2"/>
  <c r="J6351" i="2"/>
  <c r="K6351" i="2"/>
  <c r="O6351" i="2"/>
  <c r="R6351" i="2"/>
  <c r="S6351" i="2" s="1"/>
  <c r="I6352" i="2"/>
  <c r="J6352" i="2"/>
  <c r="K6352" i="2"/>
  <c r="O6352" i="2"/>
  <c r="R6352" i="2"/>
  <c r="S6352" i="2" s="1"/>
  <c r="I6353" i="2"/>
  <c r="J6353" i="2"/>
  <c r="K6353" i="2"/>
  <c r="O6353" i="2"/>
  <c r="R6353" i="2"/>
  <c r="S6353" i="2" s="1"/>
  <c r="I6354" i="2"/>
  <c r="J6354" i="2"/>
  <c r="K6354" i="2"/>
  <c r="O6354" i="2"/>
  <c r="R6354" i="2"/>
  <c r="S6354" i="2" s="1"/>
  <c r="I6355" i="2"/>
  <c r="J6355" i="2"/>
  <c r="K6355" i="2"/>
  <c r="O6355" i="2"/>
  <c r="R6355" i="2"/>
  <c r="S6355" i="2" s="1"/>
  <c r="I6356" i="2"/>
  <c r="J6356" i="2"/>
  <c r="K6356" i="2"/>
  <c r="O6356" i="2"/>
  <c r="R6356" i="2"/>
  <c r="S6356" i="2" s="1"/>
  <c r="I6357" i="2"/>
  <c r="J6357" i="2"/>
  <c r="K6357" i="2"/>
  <c r="O6357" i="2"/>
  <c r="R6357" i="2"/>
  <c r="S6357" i="2" s="1"/>
  <c r="I6358" i="2"/>
  <c r="J6358" i="2"/>
  <c r="K6358" i="2"/>
  <c r="O6358" i="2"/>
  <c r="R6358" i="2"/>
  <c r="S6358" i="2" s="1"/>
  <c r="I6359" i="2"/>
  <c r="J6359" i="2"/>
  <c r="K6359" i="2"/>
  <c r="O6359" i="2"/>
  <c r="R6359" i="2"/>
  <c r="S6359" i="2" s="1"/>
  <c r="I6360" i="2"/>
  <c r="J6360" i="2"/>
  <c r="K6360" i="2"/>
  <c r="O6360" i="2"/>
  <c r="R6360" i="2"/>
  <c r="S6360" i="2" s="1"/>
  <c r="I6361" i="2"/>
  <c r="J6361" i="2"/>
  <c r="K6361" i="2"/>
  <c r="O6361" i="2"/>
  <c r="R6361" i="2"/>
  <c r="S6361" i="2" s="1"/>
  <c r="I6362" i="2"/>
  <c r="J6362" i="2"/>
  <c r="K6362" i="2"/>
  <c r="O6362" i="2"/>
  <c r="R6362" i="2"/>
  <c r="S6362" i="2" s="1"/>
  <c r="I6363" i="2"/>
  <c r="J6363" i="2"/>
  <c r="K6363" i="2"/>
  <c r="O6363" i="2"/>
  <c r="R6363" i="2"/>
  <c r="S6363" i="2" s="1"/>
  <c r="I6364" i="2"/>
  <c r="J6364" i="2"/>
  <c r="K6364" i="2"/>
  <c r="O6364" i="2"/>
  <c r="R6364" i="2"/>
  <c r="S6364" i="2" s="1"/>
  <c r="I6365" i="2"/>
  <c r="J6365" i="2"/>
  <c r="K6365" i="2"/>
  <c r="O6365" i="2"/>
  <c r="R6365" i="2"/>
  <c r="S6365" i="2" s="1"/>
  <c r="I6366" i="2"/>
  <c r="J6366" i="2"/>
  <c r="K6366" i="2"/>
  <c r="O6366" i="2"/>
  <c r="R6366" i="2"/>
  <c r="S6366" i="2" s="1"/>
  <c r="I6367" i="2"/>
  <c r="J6367" i="2"/>
  <c r="K6367" i="2"/>
  <c r="O6367" i="2"/>
  <c r="R6367" i="2"/>
  <c r="S6367" i="2" s="1"/>
  <c r="I6368" i="2"/>
  <c r="J6368" i="2"/>
  <c r="K6368" i="2"/>
  <c r="O6368" i="2"/>
  <c r="R6368" i="2"/>
  <c r="S6368" i="2" s="1"/>
  <c r="I6369" i="2"/>
  <c r="J6369" i="2"/>
  <c r="K6369" i="2"/>
  <c r="O6369" i="2"/>
  <c r="R6369" i="2"/>
  <c r="S6369" i="2" s="1"/>
  <c r="I6370" i="2"/>
  <c r="J6370" i="2"/>
  <c r="K6370" i="2"/>
  <c r="O6370" i="2"/>
  <c r="R6370" i="2"/>
  <c r="S6370" i="2" s="1"/>
  <c r="I6371" i="2"/>
  <c r="J6371" i="2"/>
  <c r="K6371" i="2"/>
  <c r="O6371" i="2"/>
  <c r="R6371" i="2"/>
  <c r="S6371" i="2" s="1"/>
  <c r="I6372" i="2"/>
  <c r="J6372" i="2"/>
  <c r="K6372" i="2"/>
  <c r="O6372" i="2"/>
  <c r="R6372" i="2"/>
  <c r="S6372" i="2" s="1"/>
  <c r="I6373" i="2"/>
  <c r="J6373" i="2"/>
  <c r="K6373" i="2"/>
  <c r="O6373" i="2"/>
  <c r="R6373" i="2"/>
  <c r="S6373" i="2" s="1"/>
  <c r="I6374" i="2"/>
  <c r="J6374" i="2"/>
  <c r="K6374" i="2"/>
  <c r="O6374" i="2"/>
  <c r="R6374" i="2"/>
  <c r="S6374" i="2" s="1"/>
  <c r="I6375" i="2"/>
  <c r="J6375" i="2"/>
  <c r="K6375" i="2"/>
  <c r="O6375" i="2"/>
  <c r="R6375" i="2"/>
  <c r="S6375" i="2" s="1"/>
  <c r="I6376" i="2"/>
  <c r="J6376" i="2"/>
  <c r="K6376" i="2"/>
  <c r="O6376" i="2"/>
  <c r="R6376" i="2"/>
  <c r="S6376" i="2" s="1"/>
  <c r="I6377" i="2"/>
  <c r="J6377" i="2"/>
  <c r="K6377" i="2"/>
  <c r="O6377" i="2"/>
  <c r="R6377" i="2"/>
  <c r="S6377" i="2" s="1"/>
  <c r="I6378" i="2"/>
  <c r="J6378" i="2"/>
  <c r="K6378" i="2"/>
  <c r="O6378" i="2"/>
  <c r="R6378" i="2"/>
  <c r="S6378" i="2" s="1"/>
  <c r="I6379" i="2"/>
  <c r="J6379" i="2"/>
  <c r="K6379" i="2"/>
  <c r="O6379" i="2"/>
  <c r="R6379" i="2"/>
  <c r="S6379" i="2" s="1"/>
  <c r="I6380" i="2"/>
  <c r="J6380" i="2"/>
  <c r="K6380" i="2"/>
  <c r="O6380" i="2"/>
  <c r="R6380" i="2"/>
  <c r="S6380" i="2" s="1"/>
  <c r="I6381" i="2"/>
  <c r="J6381" i="2"/>
  <c r="K6381" i="2"/>
  <c r="O6381" i="2"/>
  <c r="R6381" i="2"/>
  <c r="S6381" i="2" s="1"/>
  <c r="I6382" i="2"/>
  <c r="J6382" i="2"/>
  <c r="K6382" i="2"/>
  <c r="O6382" i="2"/>
  <c r="R6382" i="2"/>
  <c r="S6382" i="2" s="1"/>
  <c r="I6383" i="2"/>
  <c r="J6383" i="2"/>
  <c r="K6383" i="2"/>
  <c r="O6383" i="2"/>
  <c r="R6383" i="2"/>
  <c r="S6383" i="2" s="1"/>
  <c r="I6384" i="2"/>
  <c r="J6384" i="2"/>
  <c r="K6384" i="2"/>
  <c r="O6384" i="2"/>
  <c r="R6384" i="2"/>
  <c r="S6384" i="2" s="1"/>
  <c r="I6385" i="2"/>
  <c r="J6385" i="2"/>
  <c r="K6385" i="2"/>
  <c r="O6385" i="2"/>
  <c r="R6385" i="2"/>
  <c r="S6385" i="2" s="1"/>
  <c r="I6386" i="2"/>
  <c r="J6386" i="2"/>
  <c r="K6386" i="2"/>
  <c r="R6386" i="2"/>
  <c r="S6386" i="2" s="1"/>
  <c r="I6387" i="2"/>
  <c r="J6387" i="2"/>
  <c r="K6387" i="2"/>
  <c r="R6387" i="2"/>
  <c r="S6387" i="2" s="1"/>
  <c r="I6388" i="2"/>
  <c r="J6388" i="2"/>
  <c r="K6388" i="2"/>
  <c r="O6388" i="2"/>
  <c r="R6388" i="2"/>
  <c r="S6388" i="2" s="1"/>
  <c r="I6389" i="2"/>
  <c r="J6389" i="2"/>
  <c r="K6389" i="2"/>
  <c r="O6389" i="2"/>
  <c r="R6389" i="2"/>
  <c r="S6389" i="2" s="1"/>
  <c r="I6390" i="2"/>
  <c r="J6390" i="2"/>
  <c r="K6390" i="2"/>
  <c r="O6390" i="2"/>
  <c r="R6390" i="2"/>
  <c r="S6390" i="2" s="1"/>
  <c r="I6391" i="2"/>
  <c r="J6391" i="2"/>
  <c r="K6391" i="2"/>
  <c r="O6391" i="2"/>
  <c r="R6391" i="2"/>
  <c r="S6391" i="2" s="1"/>
  <c r="I6392" i="2"/>
  <c r="J6392" i="2"/>
  <c r="K6392" i="2"/>
  <c r="O6392" i="2"/>
  <c r="R6392" i="2"/>
  <c r="S6392" i="2" s="1"/>
  <c r="I6393" i="2"/>
  <c r="J6393" i="2"/>
  <c r="K6393" i="2"/>
  <c r="O6393" i="2"/>
  <c r="R6393" i="2"/>
  <c r="S6393" i="2" s="1"/>
  <c r="I6394" i="2"/>
  <c r="J6394" i="2"/>
  <c r="K6394" i="2"/>
  <c r="O6394" i="2"/>
  <c r="R6394" i="2"/>
  <c r="S6394" i="2" s="1"/>
  <c r="I6395" i="2"/>
  <c r="J6395" i="2"/>
  <c r="K6395" i="2"/>
  <c r="O6395" i="2"/>
  <c r="R6395" i="2"/>
  <c r="S6395" i="2" s="1"/>
  <c r="I6396" i="2"/>
  <c r="J6396" i="2"/>
  <c r="K6396" i="2"/>
  <c r="O6396" i="2"/>
  <c r="R6396" i="2"/>
  <c r="S6396" i="2" s="1"/>
  <c r="I6397" i="2"/>
  <c r="J6397" i="2"/>
  <c r="K6397" i="2"/>
  <c r="O6397" i="2"/>
  <c r="R6397" i="2"/>
  <c r="S6397" i="2" s="1"/>
  <c r="I6398" i="2"/>
  <c r="J6398" i="2"/>
  <c r="K6398" i="2"/>
  <c r="O6398" i="2"/>
  <c r="R6398" i="2"/>
  <c r="S6398" i="2" s="1"/>
  <c r="I6399" i="2"/>
  <c r="J6399" i="2"/>
  <c r="K6399" i="2"/>
  <c r="O6399" i="2"/>
  <c r="R6399" i="2"/>
  <c r="S6399" i="2" s="1"/>
  <c r="I6400" i="2"/>
  <c r="J6400" i="2"/>
  <c r="K6400" i="2"/>
  <c r="O6400" i="2"/>
  <c r="R6400" i="2"/>
  <c r="S6400" i="2" s="1"/>
  <c r="I6401" i="2"/>
  <c r="J6401" i="2"/>
  <c r="K6401" i="2"/>
  <c r="O6401" i="2"/>
  <c r="R6401" i="2"/>
  <c r="S6401" i="2" s="1"/>
  <c r="I6402" i="2"/>
  <c r="J6402" i="2"/>
  <c r="K6402" i="2"/>
  <c r="O6402" i="2"/>
  <c r="R6402" i="2"/>
  <c r="S6402" i="2" s="1"/>
  <c r="I6403" i="2"/>
  <c r="J6403" i="2"/>
  <c r="K6403" i="2"/>
  <c r="O6403" i="2"/>
  <c r="R6403" i="2"/>
  <c r="S6403" i="2" s="1"/>
  <c r="I6404" i="2"/>
  <c r="J6404" i="2"/>
  <c r="K6404" i="2"/>
  <c r="O6404" i="2"/>
  <c r="R6404" i="2"/>
  <c r="S6404" i="2" s="1"/>
  <c r="I6405" i="2"/>
  <c r="J6405" i="2"/>
  <c r="K6405" i="2"/>
  <c r="O6405" i="2"/>
  <c r="R6405" i="2"/>
  <c r="S6405" i="2" s="1"/>
  <c r="I6406" i="2"/>
  <c r="J6406" i="2"/>
  <c r="K6406" i="2"/>
  <c r="O6406" i="2"/>
  <c r="R6406" i="2"/>
  <c r="S6406" i="2" s="1"/>
  <c r="I6407" i="2"/>
  <c r="J6407" i="2"/>
  <c r="K6407" i="2"/>
  <c r="O6407" i="2"/>
  <c r="R6407" i="2"/>
  <c r="S6407" i="2" s="1"/>
  <c r="I6408" i="2"/>
  <c r="J6408" i="2"/>
  <c r="K6408" i="2"/>
  <c r="O6408" i="2"/>
  <c r="R6408" i="2"/>
  <c r="S6408" i="2" s="1"/>
  <c r="I6409" i="2"/>
  <c r="J6409" i="2"/>
  <c r="K6409" i="2"/>
  <c r="O6409" i="2"/>
  <c r="R6409" i="2"/>
  <c r="S6409" i="2" s="1"/>
  <c r="I6410" i="2"/>
  <c r="J6410" i="2"/>
  <c r="K6410" i="2"/>
  <c r="O6410" i="2"/>
  <c r="R6410" i="2"/>
  <c r="S6410" i="2" s="1"/>
  <c r="I6411" i="2"/>
  <c r="J6411" i="2"/>
  <c r="K6411" i="2"/>
  <c r="O6411" i="2"/>
  <c r="R6411" i="2"/>
  <c r="S6411" i="2" s="1"/>
  <c r="I6412" i="2"/>
  <c r="J6412" i="2"/>
  <c r="K6412" i="2"/>
  <c r="O6412" i="2"/>
  <c r="R6412" i="2"/>
  <c r="S6412" i="2" s="1"/>
  <c r="I6413" i="2"/>
  <c r="J6413" i="2"/>
  <c r="K6413" i="2"/>
  <c r="O6413" i="2"/>
  <c r="R6413" i="2"/>
  <c r="S6413" i="2" s="1"/>
  <c r="I6414" i="2"/>
  <c r="J6414" i="2"/>
  <c r="K6414" i="2"/>
  <c r="O6414" i="2"/>
  <c r="R6414" i="2"/>
  <c r="S6414" i="2" s="1"/>
  <c r="I6415" i="2"/>
  <c r="J6415" i="2"/>
  <c r="K6415" i="2"/>
  <c r="O6415" i="2"/>
  <c r="R6415" i="2"/>
  <c r="S6415" i="2" s="1"/>
  <c r="I6416" i="2"/>
  <c r="J6416" i="2"/>
  <c r="K6416" i="2"/>
  <c r="O6416" i="2"/>
  <c r="R6416" i="2"/>
  <c r="S6416" i="2" s="1"/>
  <c r="I6417" i="2"/>
  <c r="J6417" i="2"/>
  <c r="K6417" i="2"/>
  <c r="O6417" i="2"/>
  <c r="R6417" i="2"/>
  <c r="S6417" i="2" s="1"/>
  <c r="I6418" i="2"/>
  <c r="J6418" i="2"/>
  <c r="K6418" i="2"/>
  <c r="R6418" i="2"/>
  <c r="S6418" i="2" s="1"/>
  <c r="I6419" i="2"/>
  <c r="J6419" i="2"/>
  <c r="K6419" i="2"/>
  <c r="R6419" i="2"/>
  <c r="S6419" i="2" s="1"/>
  <c r="I6420" i="2"/>
  <c r="J6420" i="2"/>
  <c r="K6420" i="2"/>
  <c r="O6420" i="2"/>
  <c r="R6420" i="2"/>
  <c r="S6420" i="2" s="1"/>
  <c r="I6421" i="2"/>
  <c r="J6421" i="2"/>
  <c r="K6421" i="2"/>
  <c r="O6421" i="2"/>
  <c r="R6421" i="2"/>
  <c r="S6421" i="2" s="1"/>
  <c r="I6422" i="2"/>
  <c r="J6422" i="2"/>
  <c r="K6422" i="2"/>
  <c r="O6422" i="2"/>
  <c r="R6422" i="2"/>
  <c r="S6422" i="2" s="1"/>
  <c r="I6423" i="2"/>
  <c r="J6423" i="2"/>
  <c r="K6423" i="2"/>
  <c r="O6423" i="2"/>
  <c r="R6423" i="2"/>
  <c r="S6423" i="2" s="1"/>
  <c r="I6424" i="2"/>
  <c r="J6424" i="2"/>
  <c r="K6424" i="2"/>
  <c r="O6424" i="2"/>
  <c r="R6424" i="2"/>
  <c r="S6424" i="2" s="1"/>
  <c r="I6425" i="2"/>
  <c r="J6425" i="2"/>
  <c r="K6425" i="2"/>
  <c r="O6425" i="2"/>
  <c r="R6425" i="2"/>
  <c r="S6425" i="2" s="1"/>
  <c r="I6426" i="2"/>
  <c r="J6426" i="2"/>
  <c r="K6426" i="2"/>
  <c r="O6426" i="2"/>
  <c r="R6426" i="2"/>
  <c r="S6426" i="2" s="1"/>
  <c r="I6427" i="2"/>
  <c r="J6427" i="2"/>
  <c r="K6427" i="2"/>
  <c r="O6427" i="2"/>
  <c r="R6427" i="2"/>
  <c r="S6427" i="2" s="1"/>
  <c r="I6428" i="2"/>
  <c r="J6428" i="2"/>
  <c r="K6428" i="2"/>
  <c r="O6428" i="2"/>
  <c r="R6428" i="2"/>
  <c r="S6428" i="2" s="1"/>
  <c r="I6429" i="2"/>
  <c r="J6429" i="2"/>
  <c r="K6429" i="2"/>
  <c r="O6429" i="2"/>
  <c r="R6429" i="2"/>
  <c r="S6429" i="2" s="1"/>
  <c r="I6430" i="2"/>
  <c r="J6430" i="2"/>
  <c r="K6430" i="2"/>
  <c r="O6430" i="2"/>
  <c r="R6430" i="2"/>
  <c r="S6430" i="2" s="1"/>
  <c r="I6431" i="2"/>
  <c r="J6431" i="2"/>
  <c r="K6431" i="2"/>
  <c r="O6431" i="2"/>
  <c r="R6431" i="2"/>
  <c r="S6431" i="2" s="1"/>
  <c r="I6432" i="2"/>
  <c r="J6432" i="2"/>
  <c r="K6432" i="2"/>
  <c r="O6432" i="2"/>
  <c r="R6432" i="2"/>
  <c r="S6432" i="2" s="1"/>
  <c r="I6433" i="2"/>
  <c r="J6433" i="2"/>
  <c r="K6433" i="2"/>
  <c r="O6433" i="2"/>
  <c r="R6433" i="2"/>
  <c r="S6433" i="2" s="1"/>
  <c r="I6434" i="2"/>
  <c r="J6434" i="2"/>
  <c r="K6434" i="2"/>
  <c r="O6434" i="2"/>
  <c r="R6434" i="2"/>
  <c r="S6434" i="2" s="1"/>
  <c r="I6435" i="2"/>
  <c r="J6435" i="2"/>
  <c r="K6435" i="2"/>
  <c r="O6435" i="2"/>
  <c r="R6435" i="2"/>
  <c r="S6435" i="2" s="1"/>
  <c r="I6436" i="2"/>
  <c r="J6436" i="2"/>
  <c r="K6436" i="2"/>
  <c r="O6436" i="2"/>
  <c r="R6436" i="2"/>
  <c r="S6436" i="2" s="1"/>
  <c r="I6437" i="2"/>
  <c r="J6437" i="2"/>
  <c r="K6437" i="2"/>
  <c r="O6437" i="2"/>
  <c r="R6437" i="2"/>
  <c r="S6437" i="2" s="1"/>
  <c r="I6438" i="2"/>
  <c r="J6438" i="2"/>
  <c r="K6438" i="2"/>
  <c r="O6438" i="2"/>
  <c r="R6438" i="2"/>
  <c r="S6438" i="2" s="1"/>
  <c r="I6439" i="2"/>
  <c r="J6439" i="2"/>
  <c r="K6439" i="2"/>
  <c r="O6439" i="2"/>
  <c r="R6439" i="2"/>
  <c r="S6439" i="2" s="1"/>
  <c r="I6440" i="2"/>
  <c r="J6440" i="2"/>
  <c r="K6440" i="2"/>
  <c r="O6440" i="2"/>
  <c r="R6440" i="2"/>
  <c r="S6440" i="2" s="1"/>
  <c r="I6441" i="2"/>
  <c r="J6441" i="2"/>
  <c r="K6441" i="2"/>
  <c r="O6441" i="2"/>
  <c r="R6441" i="2"/>
  <c r="S6441" i="2" s="1"/>
  <c r="I6442" i="2"/>
  <c r="J6442" i="2"/>
  <c r="K6442" i="2"/>
  <c r="O6442" i="2"/>
  <c r="R6442" i="2"/>
  <c r="S6442" i="2" s="1"/>
  <c r="I6443" i="2"/>
  <c r="J6443" i="2"/>
  <c r="K6443" i="2"/>
  <c r="O6443" i="2"/>
  <c r="R6443" i="2"/>
  <c r="S6443" i="2" s="1"/>
  <c r="I6444" i="2"/>
  <c r="J6444" i="2"/>
  <c r="K6444" i="2"/>
  <c r="O6444" i="2"/>
  <c r="R6444" i="2"/>
  <c r="S6444" i="2" s="1"/>
  <c r="I6445" i="2"/>
  <c r="J6445" i="2"/>
  <c r="K6445" i="2"/>
  <c r="O6445" i="2"/>
  <c r="R6445" i="2"/>
  <c r="S6445" i="2" s="1"/>
  <c r="I6446" i="2"/>
  <c r="J6446" i="2"/>
  <c r="K6446" i="2"/>
  <c r="O6446" i="2"/>
  <c r="R6446" i="2"/>
  <c r="S6446" i="2" s="1"/>
  <c r="I6447" i="2"/>
  <c r="J6447" i="2"/>
  <c r="K6447" i="2"/>
  <c r="O6447" i="2"/>
  <c r="R6447" i="2"/>
  <c r="S6447" i="2" s="1"/>
  <c r="I6448" i="2"/>
  <c r="J6448" i="2"/>
  <c r="K6448" i="2"/>
  <c r="O6448" i="2"/>
  <c r="R6448" i="2"/>
  <c r="S6448" i="2" s="1"/>
  <c r="I6449" i="2"/>
  <c r="J6449" i="2"/>
  <c r="K6449" i="2"/>
  <c r="O6449" i="2"/>
  <c r="R6449" i="2"/>
  <c r="S6449" i="2" s="1"/>
  <c r="I6450" i="2"/>
  <c r="J6450" i="2"/>
  <c r="K6450" i="2"/>
  <c r="O6450" i="2"/>
  <c r="R6450" i="2"/>
  <c r="S6450" i="2" s="1"/>
  <c r="I6451" i="2"/>
  <c r="J6451" i="2"/>
  <c r="K6451" i="2"/>
  <c r="O6451" i="2"/>
  <c r="R6451" i="2"/>
  <c r="S6451" i="2" s="1"/>
  <c r="I6452" i="2"/>
  <c r="J6452" i="2"/>
  <c r="K6452" i="2"/>
  <c r="O6452" i="2"/>
  <c r="R6452" i="2"/>
  <c r="S6452" i="2" s="1"/>
  <c r="I6453" i="2"/>
  <c r="J6453" i="2"/>
  <c r="K6453" i="2"/>
  <c r="O6453" i="2"/>
  <c r="R6453" i="2"/>
  <c r="S6453" i="2" s="1"/>
  <c r="I6454" i="2"/>
  <c r="J6454" i="2"/>
  <c r="K6454" i="2"/>
  <c r="O6454" i="2"/>
  <c r="R6454" i="2"/>
  <c r="S6454" i="2" s="1"/>
  <c r="I6455" i="2"/>
  <c r="J6455" i="2"/>
  <c r="K6455" i="2"/>
  <c r="O6455" i="2"/>
  <c r="R6455" i="2"/>
  <c r="S6455" i="2" s="1"/>
  <c r="I6456" i="2"/>
  <c r="J6456" i="2"/>
  <c r="K6456" i="2"/>
  <c r="O6456" i="2"/>
  <c r="R6456" i="2"/>
  <c r="S6456" i="2" s="1"/>
  <c r="I6457" i="2"/>
  <c r="J6457" i="2"/>
  <c r="K6457" i="2"/>
  <c r="O6457" i="2"/>
  <c r="R6457" i="2"/>
  <c r="S6457" i="2" s="1"/>
  <c r="I6458" i="2"/>
  <c r="J6458" i="2"/>
  <c r="K6458" i="2"/>
  <c r="O6458" i="2"/>
  <c r="R6458" i="2"/>
  <c r="S6458" i="2" s="1"/>
  <c r="I6459" i="2"/>
  <c r="J6459" i="2"/>
  <c r="K6459" i="2"/>
  <c r="O6459" i="2"/>
  <c r="R6459" i="2"/>
  <c r="S6459" i="2" s="1"/>
  <c r="I6460" i="2"/>
  <c r="J6460" i="2"/>
  <c r="K6460" i="2"/>
  <c r="O6460" i="2"/>
  <c r="R6460" i="2"/>
  <c r="S6460" i="2" s="1"/>
  <c r="I6461" i="2"/>
  <c r="J6461" i="2"/>
  <c r="K6461" i="2"/>
  <c r="O6461" i="2"/>
  <c r="R6461" i="2"/>
  <c r="S6461" i="2" s="1"/>
  <c r="I6462" i="2"/>
  <c r="J6462" i="2"/>
  <c r="K6462" i="2"/>
  <c r="O6462" i="2"/>
  <c r="R6462" i="2"/>
  <c r="S6462" i="2" s="1"/>
  <c r="I6463" i="2"/>
  <c r="J6463" i="2"/>
  <c r="K6463" i="2"/>
  <c r="O6463" i="2"/>
  <c r="R6463" i="2"/>
  <c r="S6463" i="2" s="1"/>
  <c r="I6464" i="2"/>
  <c r="J6464" i="2"/>
  <c r="K6464" i="2"/>
  <c r="O6464" i="2"/>
  <c r="R6464" i="2"/>
  <c r="S6464" i="2" s="1"/>
  <c r="I6465" i="2"/>
  <c r="J6465" i="2"/>
  <c r="K6465" i="2"/>
  <c r="O6465" i="2"/>
  <c r="R6465" i="2"/>
  <c r="S6465" i="2" s="1"/>
  <c r="I6466" i="2"/>
  <c r="J6466" i="2"/>
  <c r="K6466" i="2"/>
  <c r="O6466" i="2"/>
  <c r="R6466" i="2"/>
  <c r="S6466" i="2" s="1"/>
  <c r="I6467" i="2"/>
  <c r="J6467" i="2"/>
  <c r="K6467" i="2"/>
  <c r="O6467" i="2"/>
  <c r="R6467" i="2"/>
  <c r="S6467" i="2" s="1"/>
  <c r="I6468" i="2"/>
  <c r="J6468" i="2"/>
  <c r="K6468" i="2"/>
  <c r="O6468" i="2"/>
  <c r="R6468" i="2"/>
  <c r="S6468" i="2" s="1"/>
  <c r="I6469" i="2"/>
  <c r="J6469" i="2"/>
  <c r="K6469" i="2"/>
  <c r="O6469" i="2"/>
  <c r="R6469" i="2"/>
  <c r="S6469" i="2" s="1"/>
  <c r="I6470" i="2"/>
  <c r="J6470" i="2"/>
  <c r="K6470" i="2"/>
  <c r="O6470" i="2"/>
  <c r="R6470" i="2"/>
  <c r="S6470" i="2" s="1"/>
  <c r="I6471" i="2"/>
  <c r="J6471" i="2"/>
  <c r="K6471" i="2"/>
  <c r="O6471" i="2"/>
  <c r="R6471" i="2"/>
  <c r="S6471" i="2" s="1"/>
  <c r="I6472" i="2"/>
  <c r="J6472" i="2"/>
  <c r="K6472" i="2"/>
  <c r="O6472" i="2"/>
  <c r="R6472" i="2"/>
  <c r="S6472" i="2" s="1"/>
  <c r="I6473" i="2"/>
  <c r="J6473" i="2"/>
  <c r="K6473" i="2"/>
  <c r="O6473" i="2"/>
  <c r="R6473" i="2"/>
  <c r="S6473" i="2" s="1"/>
  <c r="I6474" i="2"/>
  <c r="J6474" i="2"/>
  <c r="K6474" i="2"/>
  <c r="O6474" i="2"/>
  <c r="R6474" i="2"/>
  <c r="S6474" i="2" s="1"/>
  <c r="I6475" i="2"/>
  <c r="J6475" i="2"/>
  <c r="K6475" i="2"/>
  <c r="O6475" i="2"/>
  <c r="R6475" i="2"/>
  <c r="S6475" i="2" s="1"/>
  <c r="I6476" i="2"/>
  <c r="J6476" i="2"/>
  <c r="K6476" i="2"/>
  <c r="O6476" i="2"/>
  <c r="R6476" i="2"/>
  <c r="S6476" i="2" s="1"/>
  <c r="I6477" i="2"/>
  <c r="J6477" i="2"/>
  <c r="K6477" i="2"/>
  <c r="O6477" i="2"/>
  <c r="R6477" i="2"/>
  <c r="S6477" i="2" s="1"/>
  <c r="I6478" i="2"/>
  <c r="J6478" i="2"/>
  <c r="K6478" i="2"/>
  <c r="O6478" i="2"/>
  <c r="R6478" i="2"/>
  <c r="S6478" i="2" s="1"/>
  <c r="I6479" i="2"/>
  <c r="J6479" i="2"/>
  <c r="K6479" i="2"/>
  <c r="O6479" i="2"/>
  <c r="R6479" i="2"/>
  <c r="S6479" i="2" s="1"/>
  <c r="I6480" i="2"/>
  <c r="J6480" i="2"/>
  <c r="K6480" i="2"/>
  <c r="O6480" i="2"/>
  <c r="R6480" i="2"/>
  <c r="S6480" i="2" s="1"/>
  <c r="I6481" i="2"/>
  <c r="J6481" i="2"/>
  <c r="K6481" i="2"/>
  <c r="O6481" i="2"/>
  <c r="R6481" i="2"/>
  <c r="S6481" i="2" s="1"/>
  <c r="I6482" i="2"/>
  <c r="J6482" i="2"/>
  <c r="K6482" i="2"/>
  <c r="O6482" i="2"/>
  <c r="R6482" i="2"/>
  <c r="S6482" i="2" s="1"/>
  <c r="I6483" i="2"/>
  <c r="J6483" i="2"/>
  <c r="K6483" i="2"/>
  <c r="O6483" i="2"/>
  <c r="R6483" i="2"/>
  <c r="S6483" i="2" s="1"/>
  <c r="I6484" i="2"/>
  <c r="J6484" i="2"/>
  <c r="K6484" i="2"/>
  <c r="O6484" i="2"/>
  <c r="R6484" i="2"/>
  <c r="S6484" i="2" s="1"/>
  <c r="I6485" i="2"/>
  <c r="J6485" i="2"/>
  <c r="K6485" i="2"/>
  <c r="O6485" i="2"/>
  <c r="R6485" i="2"/>
  <c r="S6485" i="2" s="1"/>
  <c r="I6486" i="2"/>
  <c r="J6486" i="2"/>
  <c r="K6486" i="2"/>
  <c r="O6486" i="2"/>
  <c r="R6486" i="2"/>
  <c r="S6486" i="2" s="1"/>
  <c r="I6487" i="2"/>
  <c r="J6487" i="2"/>
  <c r="K6487" i="2"/>
  <c r="O6487" i="2"/>
  <c r="R6487" i="2"/>
  <c r="S6487" i="2" s="1"/>
  <c r="I6488" i="2"/>
  <c r="J6488" i="2"/>
  <c r="K6488" i="2"/>
  <c r="O6488" i="2"/>
  <c r="R6488" i="2"/>
  <c r="S6488" i="2" s="1"/>
  <c r="I6489" i="2"/>
  <c r="J6489" i="2"/>
  <c r="K6489" i="2"/>
  <c r="O6489" i="2"/>
  <c r="R6489" i="2"/>
  <c r="S6489" i="2" s="1"/>
  <c r="I6490" i="2"/>
  <c r="J6490" i="2"/>
  <c r="K6490" i="2"/>
  <c r="O6490" i="2"/>
  <c r="R6490" i="2"/>
  <c r="S6490" i="2" s="1"/>
  <c r="I6491" i="2"/>
  <c r="J6491" i="2"/>
  <c r="K6491" i="2"/>
  <c r="O6491" i="2"/>
  <c r="R6491" i="2"/>
  <c r="S6491" i="2" s="1"/>
  <c r="I6492" i="2"/>
  <c r="J6492" i="2"/>
  <c r="K6492" i="2"/>
  <c r="O6492" i="2"/>
  <c r="R6492" i="2"/>
  <c r="S6492" i="2" s="1"/>
  <c r="I6493" i="2"/>
  <c r="J6493" i="2"/>
  <c r="K6493" i="2"/>
  <c r="O6493" i="2"/>
  <c r="R6493" i="2"/>
  <c r="S6493" i="2" s="1"/>
  <c r="I6494" i="2"/>
  <c r="J6494" i="2"/>
  <c r="K6494" i="2"/>
  <c r="O6494" i="2"/>
  <c r="R6494" i="2"/>
  <c r="S6494" i="2" s="1"/>
  <c r="I6495" i="2"/>
  <c r="J6495" i="2"/>
  <c r="K6495" i="2"/>
  <c r="O6495" i="2"/>
  <c r="R6495" i="2"/>
  <c r="S6495" i="2" s="1"/>
  <c r="I6496" i="2"/>
  <c r="J6496" i="2"/>
  <c r="K6496" i="2"/>
  <c r="O6496" i="2"/>
  <c r="R6496" i="2"/>
  <c r="S6496" i="2" s="1"/>
  <c r="I6497" i="2"/>
  <c r="J6497" i="2"/>
  <c r="K6497" i="2"/>
  <c r="O6497" i="2"/>
  <c r="R6497" i="2"/>
  <c r="S6497" i="2" s="1"/>
  <c r="I6498" i="2"/>
  <c r="J6498" i="2"/>
  <c r="K6498" i="2"/>
  <c r="O6498" i="2"/>
  <c r="R6498" i="2"/>
  <c r="S6498" i="2" s="1"/>
  <c r="I6499" i="2"/>
  <c r="J6499" i="2"/>
  <c r="K6499" i="2"/>
  <c r="O6499" i="2"/>
  <c r="R6499" i="2"/>
  <c r="S6499" i="2" s="1"/>
  <c r="I6500" i="2"/>
  <c r="J6500" i="2"/>
  <c r="K6500" i="2"/>
  <c r="O6500" i="2"/>
  <c r="R6500" i="2"/>
  <c r="S6500" i="2" s="1"/>
  <c r="I6501" i="2"/>
  <c r="J6501" i="2"/>
  <c r="K6501" i="2"/>
  <c r="O6501" i="2"/>
  <c r="R6501" i="2"/>
  <c r="S6501" i="2" s="1"/>
  <c r="I6502" i="2"/>
  <c r="J6502" i="2"/>
  <c r="K6502" i="2"/>
  <c r="O6502" i="2"/>
  <c r="R6502" i="2"/>
  <c r="S6502" i="2" s="1"/>
  <c r="I6503" i="2"/>
  <c r="J6503" i="2"/>
  <c r="K6503" i="2"/>
  <c r="O6503" i="2"/>
  <c r="R6503" i="2"/>
  <c r="S6503" i="2" s="1"/>
  <c r="I6504" i="2"/>
  <c r="J6504" i="2"/>
  <c r="K6504" i="2"/>
  <c r="O6504" i="2"/>
  <c r="R6504" i="2"/>
  <c r="S6504" i="2" s="1"/>
  <c r="I6505" i="2"/>
  <c r="J6505" i="2"/>
  <c r="K6505" i="2"/>
  <c r="O6505" i="2"/>
  <c r="R6505" i="2"/>
  <c r="S6505" i="2" s="1"/>
  <c r="I6506" i="2"/>
  <c r="J6506" i="2"/>
  <c r="K6506" i="2"/>
  <c r="O6506" i="2"/>
  <c r="R6506" i="2"/>
  <c r="S6506" i="2" s="1"/>
  <c r="I6507" i="2"/>
  <c r="J6507" i="2"/>
  <c r="K6507" i="2"/>
  <c r="O6507" i="2"/>
  <c r="R6507" i="2"/>
  <c r="S6507" i="2" s="1"/>
  <c r="I6508" i="2"/>
  <c r="J6508" i="2"/>
  <c r="K6508" i="2"/>
  <c r="O6508" i="2"/>
  <c r="R6508" i="2"/>
  <c r="S6508" i="2" s="1"/>
  <c r="I6509" i="2"/>
  <c r="J6509" i="2"/>
  <c r="K6509" i="2"/>
  <c r="O6509" i="2"/>
  <c r="R6509" i="2"/>
  <c r="S6509" i="2" s="1"/>
  <c r="I6510" i="2"/>
  <c r="J6510" i="2"/>
  <c r="K6510" i="2"/>
  <c r="O6510" i="2"/>
  <c r="R6510" i="2"/>
  <c r="S6510" i="2" s="1"/>
  <c r="I6511" i="2"/>
  <c r="J6511" i="2"/>
  <c r="K6511" i="2"/>
  <c r="O6511" i="2"/>
  <c r="R6511" i="2"/>
  <c r="S6511" i="2" s="1"/>
  <c r="I6512" i="2"/>
  <c r="J6512" i="2"/>
  <c r="K6512" i="2"/>
  <c r="O6512" i="2"/>
  <c r="R6512" i="2"/>
  <c r="S6512" i="2" s="1"/>
  <c r="I6513" i="2"/>
  <c r="J6513" i="2"/>
  <c r="K6513" i="2"/>
  <c r="O6513" i="2"/>
  <c r="R6513" i="2"/>
  <c r="S6513" i="2" s="1"/>
  <c r="I6514" i="2"/>
  <c r="J6514" i="2"/>
  <c r="K6514" i="2"/>
  <c r="O6514" i="2"/>
  <c r="R6514" i="2"/>
  <c r="S6514" i="2" s="1"/>
  <c r="I6515" i="2"/>
  <c r="J6515" i="2"/>
  <c r="K6515" i="2"/>
  <c r="O6515" i="2"/>
  <c r="R6515" i="2"/>
  <c r="S6515" i="2" s="1"/>
  <c r="I6516" i="2"/>
  <c r="J6516" i="2"/>
  <c r="K6516" i="2"/>
  <c r="O6516" i="2"/>
  <c r="R6516" i="2"/>
  <c r="S6516" i="2" s="1"/>
  <c r="I6517" i="2"/>
  <c r="J6517" i="2"/>
  <c r="K6517" i="2"/>
  <c r="O6517" i="2"/>
  <c r="R6517" i="2"/>
  <c r="S6517" i="2" s="1"/>
  <c r="I6518" i="2"/>
  <c r="J6518" i="2"/>
  <c r="K6518" i="2"/>
  <c r="O6518" i="2"/>
  <c r="R6518" i="2"/>
  <c r="S6518" i="2" s="1"/>
  <c r="I6519" i="2"/>
  <c r="J6519" i="2"/>
  <c r="K6519" i="2"/>
  <c r="O6519" i="2"/>
  <c r="R6519" i="2"/>
  <c r="S6519" i="2" s="1"/>
  <c r="I6520" i="2"/>
  <c r="J6520" i="2"/>
  <c r="K6520" i="2"/>
  <c r="O6520" i="2"/>
  <c r="R6520" i="2"/>
  <c r="S6520" i="2" s="1"/>
  <c r="I6521" i="2"/>
  <c r="J6521" i="2"/>
  <c r="K6521" i="2"/>
  <c r="O6521" i="2"/>
  <c r="R6521" i="2"/>
  <c r="S6521" i="2" s="1"/>
  <c r="I6522" i="2"/>
  <c r="J6522" i="2"/>
  <c r="K6522" i="2"/>
  <c r="R6522" i="2"/>
  <c r="S6522" i="2" s="1"/>
  <c r="I6523" i="2"/>
  <c r="J6523" i="2"/>
  <c r="K6523" i="2"/>
  <c r="O6523" i="2"/>
  <c r="R6523" i="2"/>
  <c r="S6523" i="2" s="1"/>
  <c r="I6524" i="2"/>
  <c r="J6524" i="2"/>
  <c r="K6524" i="2"/>
  <c r="O6524" i="2"/>
  <c r="R6524" i="2"/>
  <c r="S6524" i="2" s="1"/>
  <c r="I6525" i="2"/>
  <c r="J6525" i="2"/>
  <c r="K6525" i="2"/>
  <c r="O6525" i="2"/>
  <c r="R6525" i="2"/>
  <c r="S6525" i="2" s="1"/>
  <c r="I6526" i="2"/>
  <c r="J6526" i="2"/>
  <c r="K6526" i="2"/>
  <c r="O6526" i="2"/>
  <c r="R6526" i="2"/>
  <c r="S6526" i="2" s="1"/>
  <c r="I6527" i="2"/>
  <c r="J6527" i="2"/>
  <c r="K6527" i="2"/>
  <c r="O6527" i="2"/>
  <c r="R6527" i="2"/>
  <c r="S6527" i="2" s="1"/>
  <c r="I6528" i="2"/>
  <c r="J6528" i="2"/>
  <c r="K6528" i="2"/>
  <c r="O6528" i="2"/>
  <c r="R6528" i="2"/>
  <c r="S6528" i="2" s="1"/>
  <c r="I6529" i="2"/>
  <c r="J6529" i="2"/>
  <c r="K6529" i="2"/>
  <c r="O6529" i="2"/>
  <c r="R6529" i="2"/>
  <c r="S6529" i="2" s="1"/>
  <c r="I6530" i="2"/>
  <c r="J6530" i="2"/>
  <c r="K6530" i="2"/>
  <c r="O6530" i="2"/>
  <c r="R6530" i="2"/>
  <c r="S6530" i="2" s="1"/>
  <c r="I6531" i="2"/>
  <c r="J6531" i="2"/>
  <c r="K6531" i="2"/>
  <c r="O6531" i="2"/>
  <c r="R6531" i="2"/>
  <c r="S6531" i="2" s="1"/>
  <c r="I6532" i="2"/>
  <c r="J6532" i="2"/>
  <c r="K6532" i="2"/>
  <c r="O6532" i="2"/>
  <c r="R6532" i="2"/>
  <c r="S6532" i="2" s="1"/>
  <c r="I6533" i="2"/>
  <c r="J6533" i="2"/>
  <c r="K6533" i="2"/>
  <c r="O6533" i="2"/>
  <c r="R6533" i="2"/>
  <c r="S6533" i="2" s="1"/>
  <c r="I6534" i="2"/>
  <c r="J6534" i="2"/>
  <c r="K6534" i="2"/>
  <c r="O6534" i="2"/>
  <c r="R6534" i="2"/>
  <c r="S6534" i="2" s="1"/>
  <c r="I6535" i="2"/>
  <c r="J6535" i="2"/>
  <c r="K6535" i="2"/>
  <c r="O6535" i="2"/>
  <c r="R6535" i="2"/>
  <c r="S6535" i="2" s="1"/>
  <c r="I6536" i="2"/>
  <c r="J6536" i="2"/>
  <c r="K6536" i="2"/>
  <c r="O6536" i="2"/>
  <c r="R6536" i="2"/>
  <c r="S6536" i="2" s="1"/>
  <c r="I6537" i="2"/>
  <c r="J6537" i="2"/>
  <c r="K6537" i="2"/>
  <c r="O6537" i="2"/>
  <c r="R6537" i="2"/>
  <c r="S6537" i="2" s="1"/>
  <c r="I6538" i="2"/>
  <c r="J6538" i="2"/>
  <c r="K6538" i="2"/>
  <c r="O6538" i="2"/>
  <c r="R6538" i="2"/>
  <c r="S6538" i="2" s="1"/>
  <c r="I6539" i="2"/>
  <c r="J6539" i="2"/>
  <c r="K6539" i="2"/>
  <c r="O6539" i="2"/>
  <c r="R6539" i="2"/>
  <c r="S6539" i="2" s="1"/>
  <c r="I6540" i="2"/>
  <c r="J6540" i="2"/>
  <c r="K6540" i="2"/>
  <c r="O6540" i="2"/>
  <c r="R6540" i="2"/>
  <c r="S6540" i="2" s="1"/>
  <c r="I6541" i="2"/>
  <c r="J6541" i="2"/>
  <c r="K6541" i="2"/>
  <c r="O6541" i="2"/>
  <c r="R6541" i="2"/>
  <c r="S6541" i="2" s="1"/>
  <c r="I6542" i="2"/>
  <c r="J6542" i="2"/>
  <c r="K6542" i="2"/>
  <c r="O6542" i="2"/>
  <c r="R6542" i="2"/>
  <c r="S6542" i="2" s="1"/>
  <c r="I6543" i="2"/>
  <c r="J6543" i="2"/>
  <c r="K6543" i="2"/>
  <c r="O6543" i="2"/>
  <c r="R6543" i="2"/>
  <c r="S6543" i="2" s="1"/>
  <c r="I6544" i="2"/>
  <c r="J6544" i="2"/>
  <c r="K6544" i="2"/>
  <c r="O6544" i="2"/>
  <c r="R6544" i="2"/>
  <c r="S6544" i="2" s="1"/>
  <c r="I6545" i="2"/>
  <c r="J6545" i="2"/>
  <c r="K6545" i="2"/>
  <c r="O6545" i="2"/>
  <c r="R6545" i="2"/>
  <c r="S6545" i="2" s="1"/>
  <c r="I6546" i="2"/>
  <c r="J6546" i="2"/>
  <c r="K6546" i="2"/>
  <c r="O6546" i="2"/>
  <c r="R6546" i="2"/>
  <c r="S6546" i="2" s="1"/>
  <c r="I6547" i="2"/>
  <c r="J6547" i="2"/>
  <c r="K6547" i="2"/>
  <c r="O6547" i="2"/>
  <c r="R6547" i="2"/>
  <c r="S6547" i="2" s="1"/>
  <c r="I6548" i="2"/>
  <c r="J6548" i="2"/>
  <c r="K6548" i="2"/>
  <c r="O6548" i="2"/>
  <c r="R6548" i="2"/>
  <c r="S6548" i="2" s="1"/>
  <c r="I6549" i="2"/>
  <c r="J6549" i="2"/>
  <c r="K6549" i="2"/>
  <c r="O6549" i="2"/>
  <c r="R6549" i="2"/>
  <c r="S6549" i="2" s="1"/>
  <c r="I6550" i="2"/>
  <c r="J6550" i="2"/>
  <c r="K6550" i="2"/>
  <c r="O6550" i="2"/>
  <c r="R6550" i="2"/>
  <c r="S6550" i="2" s="1"/>
  <c r="I6551" i="2"/>
  <c r="J6551" i="2"/>
  <c r="K6551" i="2"/>
  <c r="O6551" i="2"/>
  <c r="R6551" i="2"/>
  <c r="S6551" i="2" s="1"/>
  <c r="I6552" i="2"/>
  <c r="J6552" i="2"/>
  <c r="K6552" i="2"/>
  <c r="O6552" i="2"/>
  <c r="R6552" i="2"/>
  <c r="S6552" i="2" s="1"/>
  <c r="I6553" i="2"/>
  <c r="J6553" i="2"/>
  <c r="K6553" i="2"/>
  <c r="O6553" i="2"/>
  <c r="R6553" i="2"/>
  <c r="S6553" i="2" s="1"/>
  <c r="I6554" i="2"/>
  <c r="J6554" i="2"/>
  <c r="K6554" i="2"/>
  <c r="O6554" i="2"/>
  <c r="R6554" i="2"/>
  <c r="S6554" i="2" s="1"/>
  <c r="I6555" i="2"/>
  <c r="J6555" i="2"/>
  <c r="K6555" i="2"/>
  <c r="O6555" i="2"/>
  <c r="R6555" i="2"/>
  <c r="S6555" i="2" s="1"/>
  <c r="I6556" i="2"/>
  <c r="J6556" i="2"/>
  <c r="K6556" i="2"/>
  <c r="O6556" i="2"/>
  <c r="R6556" i="2"/>
  <c r="S6556" i="2" s="1"/>
  <c r="I6557" i="2"/>
  <c r="J6557" i="2"/>
  <c r="K6557" i="2"/>
  <c r="O6557" i="2"/>
  <c r="R6557" i="2"/>
  <c r="S6557" i="2" s="1"/>
  <c r="I6558" i="2"/>
  <c r="J6558" i="2"/>
  <c r="K6558" i="2"/>
  <c r="O6558" i="2"/>
  <c r="R6558" i="2"/>
  <c r="S6558" i="2" s="1"/>
  <c r="I6559" i="2"/>
  <c r="J6559" i="2"/>
  <c r="K6559" i="2"/>
  <c r="O6559" i="2"/>
  <c r="R6559" i="2"/>
  <c r="S6559" i="2" s="1"/>
  <c r="I6560" i="2"/>
  <c r="J6560" i="2"/>
  <c r="K6560" i="2"/>
  <c r="O6560" i="2"/>
  <c r="R6560" i="2"/>
  <c r="S6560" i="2" s="1"/>
  <c r="I6561" i="2"/>
  <c r="J6561" i="2"/>
  <c r="K6561" i="2"/>
  <c r="O6561" i="2"/>
  <c r="R6561" i="2"/>
  <c r="S6561" i="2" s="1"/>
  <c r="I6562" i="2"/>
  <c r="J6562" i="2"/>
  <c r="K6562" i="2"/>
  <c r="O6562" i="2"/>
  <c r="R6562" i="2"/>
  <c r="S6562" i="2" s="1"/>
  <c r="I6563" i="2"/>
  <c r="J6563" i="2"/>
  <c r="K6563" i="2"/>
  <c r="O6563" i="2"/>
  <c r="R6563" i="2"/>
  <c r="S6563" i="2" s="1"/>
  <c r="I6564" i="2"/>
  <c r="J6564" i="2"/>
  <c r="K6564" i="2"/>
  <c r="O6564" i="2"/>
  <c r="R6564" i="2"/>
  <c r="S6564" i="2" s="1"/>
  <c r="I6565" i="2"/>
  <c r="J6565" i="2"/>
  <c r="K6565" i="2"/>
  <c r="O6565" i="2"/>
  <c r="R6565" i="2"/>
  <c r="S6565" i="2" s="1"/>
  <c r="I6566" i="2"/>
  <c r="J6566" i="2"/>
  <c r="K6566" i="2"/>
  <c r="O6566" i="2"/>
  <c r="R6566" i="2"/>
  <c r="S6566" i="2" s="1"/>
  <c r="I6567" i="2"/>
  <c r="J6567" i="2"/>
  <c r="K6567" i="2"/>
  <c r="O6567" i="2"/>
  <c r="R6567" i="2"/>
  <c r="S6567" i="2" s="1"/>
  <c r="I6568" i="2"/>
  <c r="J6568" i="2"/>
  <c r="K6568" i="2"/>
  <c r="O6568" i="2"/>
  <c r="R6568" i="2"/>
  <c r="S6568" i="2" s="1"/>
  <c r="I6569" i="2"/>
  <c r="J6569" i="2"/>
  <c r="K6569" i="2"/>
  <c r="O6569" i="2"/>
  <c r="R6569" i="2"/>
  <c r="S6569" i="2" s="1"/>
  <c r="I6570" i="2"/>
  <c r="J6570" i="2"/>
  <c r="K6570" i="2"/>
  <c r="O6570" i="2"/>
  <c r="R6570" i="2"/>
  <c r="S6570" i="2" s="1"/>
  <c r="I6571" i="2"/>
  <c r="J6571" i="2"/>
  <c r="K6571" i="2"/>
  <c r="O6571" i="2"/>
  <c r="R6571" i="2"/>
  <c r="S6571" i="2" s="1"/>
  <c r="I6572" i="2"/>
  <c r="J6572" i="2"/>
  <c r="K6572" i="2"/>
  <c r="O6572" i="2"/>
  <c r="R6572" i="2"/>
  <c r="S6572" i="2" s="1"/>
  <c r="I6573" i="2"/>
  <c r="J6573" i="2"/>
  <c r="K6573" i="2"/>
  <c r="O6573" i="2"/>
  <c r="R6573" i="2"/>
  <c r="S6573" i="2" s="1"/>
  <c r="I6574" i="2"/>
  <c r="J6574" i="2"/>
  <c r="K6574" i="2"/>
  <c r="O6574" i="2"/>
  <c r="R6574" i="2"/>
  <c r="S6574" i="2" s="1"/>
  <c r="I6575" i="2"/>
  <c r="J6575" i="2"/>
  <c r="K6575" i="2"/>
  <c r="O6575" i="2"/>
  <c r="R6575" i="2"/>
  <c r="S6575" i="2" s="1"/>
  <c r="I6576" i="2"/>
  <c r="J6576" i="2"/>
  <c r="K6576" i="2"/>
  <c r="O6576" i="2"/>
  <c r="R6576" i="2"/>
  <c r="S6576" i="2" s="1"/>
  <c r="I6577" i="2"/>
  <c r="J6577" i="2"/>
  <c r="K6577" i="2"/>
  <c r="O6577" i="2"/>
  <c r="R6577" i="2"/>
  <c r="S6577" i="2" s="1"/>
  <c r="I6578" i="2"/>
  <c r="J6578" i="2"/>
  <c r="K6578" i="2"/>
  <c r="O6578" i="2"/>
  <c r="R6578" i="2"/>
  <c r="S6578" i="2" s="1"/>
  <c r="I6579" i="2"/>
  <c r="J6579" i="2"/>
  <c r="K6579" i="2"/>
  <c r="O6579" i="2"/>
  <c r="R6579" i="2"/>
  <c r="S6579" i="2" s="1"/>
  <c r="I6580" i="2"/>
  <c r="J6580" i="2"/>
  <c r="K6580" i="2"/>
  <c r="O6580" i="2"/>
  <c r="R6580" i="2"/>
  <c r="S6580" i="2" s="1"/>
  <c r="I6581" i="2"/>
  <c r="J6581" i="2"/>
  <c r="K6581" i="2"/>
  <c r="O6581" i="2"/>
  <c r="R6581" i="2"/>
  <c r="S6581" i="2" s="1"/>
  <c r="I6582" i="2"/>
  <c r="J6582" i="2"/>
  <c r="K6582" i="2"/>
  <c r="O6582" i="2"/>
  <c r="R6582" i="2"/>
  <c r="S6582" i="2" s="1"/>
  <c r="I6583" i="2"/>
  <c r="J6583" i="2"/>
  <c r="K6583" i="2"/>
  <c r="O6583" i="2"/>
  <c r="R6583" i="2"/>
  <c r="S6583" i="2" s="1"/>
  <c r="I6584" i="2"/>
  <c r="J6584" i="2"/>
  <c r="K6584" i="2"/>
  <c r="O6584" i="2"/>
  <c r="R6584" i="2"/>
  <c r="S6584" i="2" s="1"/>
  <c r="I6585" i="2"/>
  <c r="J6585" i="2"/>
  <c r="K6585" i="2"/>
  <c r="O6585" i="2"/>
  <c r="R6585" i="2"/>
  <c r="S6585" i="2" s="1"/>
  <c r="I6586" i="2"/>
  <c r="J6586" i="2"/>
  <c r="K6586" i="2"/>
  <c r="O6586" i="2"/>
  <c r="R6586" i="2"/>
  <c r="S6586" i="2" s="1"/>
  <c r="I6587" i="2"/>
  <c r="J6587" i="2"/>
  <c r="K6587" i="2"/>
  <c r="O6587" i="2"/>
  <c r="R6587" i="2"/>
  <c r="S6587" i="2" s="1"/>
  <c r="I6588" i="2"/>
  <c r="J6588" i="2"/>
  <c r="K6588" i="2"/>
  <c r="O6588" i="2"/>
  <c r="R6588" i="2"/>
  <c r="S6588" i="2" s="1"/>
  <c r="I6589" i="2"/>
  <c r="J6589" i="2"/>
  <c r="K6589" i="2"/>
  <c r="O6589" i="2"/>
  <c r="R6589" i="2"/>
  <c r="S6589" i="2" s="1"/>
  <c r="I6590" i="2"/>
  <c r="J6590" i="2"/>
  <c r="K6590" i="2"/>
  <c r="O6590" i="2"/>
  <c r="R6590" i="2"/>
  <c r="S6590" i="2" s="1"/>
  <c r="I6591" i="2"/>
  <c r="J6591" i="2"/>
  <c r="K6591" i="2"/>
  <c r="O6591" i="2"/>
  <c r="R6591" i="2"/>
  <c r="S6591" i="2" s="1"/>
  <c r="I6592" i="2"/>
  <c r="J6592" i="2"/>
  <c r="K6592" i="2"/>
  <c r="O6592" i="2"/>
  <c r="R6592" i="2"/>
  <c r="S6592" i="2" s="1"/>
  <c r="I6593" i="2"/>
  <c r="J6593" i="2"/>
  <c r="K6593" i="2"/>
  <c r="O6593" i="2"/>
  <c r="R6593" i="2"/>
  <c r="S6593" i="2" s="1"/>
  <c r="I6594" i="2"/>
  <c r="J6594" i="2"/>
  <c r="K6594" i="2"/>
  <c r="O6594" i="2"/>
  <c r="R6594" i="2"/>
  <c r="S6594" i="2" s="1"/>
  <c r="I6595" i="2"/>
  <c r="J6595" i="2"/>
  <c r="K6595" i="2"/>
  <c r="O6595" i="2"/>
  <c r="R6595" i="2"/>
  <c r="S6595" i="2" s="1"/>
  <c r="I6596" i="2"/>
  <c r="J6596" i="2"/>
  <c r="K6596" i="2"/>
  <c r="O6596" i="2"/>
  <c r="R6596" i="2"/>
  <c r="S6596" i="2" s="1"/>
  <c r="I6597" i="2"/>
  <c r="J6597" i="2"/>
  <c r="K6597" i="2"/>
  <c r="O6597" i="2"/>
  <c r="R6597" i="2"/>
  <c r="S6597" i="2" s="1"/>
  <c r="I6598" i="2"/>
  <c r="J6598" i="2"/>
  <c r="K6598" i="2"/>
  <c r="O6598" i="2"/>
  <c r="R6598" i="2"/>
  <c r="S6598" i="2" s="1"/>
  <c r="I6599" i="2"/>
  <c r="J6599" i="2"/>
  <c r="K6599" i="2"/>
  <c r="O6599" i="2"/>
  <c r="R6599" i="2"/>
  <c r="S6599" i="2" s="1"/>
  <c r="I6600" i="2"/>
  <c r="J6600" i="2"/>
  <c r="K6600" i="2"/>
  <c r="O6600" i="2"/>
  <c r="R6600" i="2"/>
  <c r="S6600" i="2" s="1"/>
  <c r="I6601" i="2"/>
  <c r="J6601" i="2"/>
  <c r="K6601" i="2"/>
  <c r="O6601" i="2"/>
  <c r="R6601" i="2"/>
  <c r="S6601" i="2" s="1"/>
  <c r="I6602" i="2"/>
  <c r="J6602" i="2"/>
  <c r="K6602" i="2"/>
  <c r="O6602" i="2"/>
  <c r="R6602" i="2"/>
  <c r="S6602" i="2" s="1"/>
  <c r="I6603" i="2"/>
  <c r="J6603" i="2"/>
  <c r="K6603" i="2"/>
  <c r="O6603" i="2"/>
  <c r="R6603" i="2"/>
  <c r="S6603" i="2" s="1"/>
  <c r="I6604" i="2"/>
  <c r="J6604" i="2"/>
  <c r="K6604" i="2"/>
  <c r="O6604" i="2"/>
  <c r="R6604" i="2"/>
  <c r="S6604" i="2" s="1"/>
  <c r="I6605" i="2"/>
  <c r="J6605" i="2"/>
  <c r="K6605" i="2"/>
  <c r="O6605" i="2"/>
  <c r="R6605" i="2"/>
  <c r="S6605" i="2" s="1"/>
  <c r="I6606" i="2"/>
  <c r="J6606" i="2"/>
  <c r="K6606" i="2"/>
  <c r="O6606" i="2"/>
  <c r="R6606" i="2"/>
  <c r="S6606" i="2" s="1"/>
  <c r="I6607" i="2"/>
  <c r="J6607" i="2"/>
  <c r="K6607" i="2"/>
  <c r="O6607" i="2"/>
  <c r="R6607" i="2"/>
  <c r="S6607" i="2" s="1"/>
  <c r="I6608" i="2"/>
  <c r="J6608" i="2"/>
  <c r="K6608" i="2"/>
  <c r="O6608" i="2"/>
  <c r="R6608" i="2"/>
  <c r="S6608" i="2" s="1"/>
  <c r="I6609" i="2"/>
  <c r="J6609" i="2"/>
  <c r="K6609" i="2"/>
  <c r="O6609" i="2"/>
  <c r="R6609" i="2"/>
  <c r="S6609" i="2" s="1"/>
  <c r="I6610" i="2"/>
  <c r="J6610" i="2"/>
  <c r="K6610" i="2"/>
  <c r="O6610" i="2"/>
  <c r="R6610" i="2"/>
  <c r="S6610" i="2" s="1"/>
  <c r="I6611" i="2"/>
  <c r="J6611" i="2"/>
  <c r="K6611" i="2"/>
  <c r="O6611" i="2"/>
  <c r="R6611" i="2"/>
  <c r="S6611" i="2" s="1"/>
  <c r="I6612" i="2"/>
  <c r="J6612" i="2"/>
  <c r="K6612" i="2"/>
  <c r="O6612" i="2"/>
  <c r="R6612" i="2"/>
  <c r="S6612" i="2" s="1"/>
  <c r="I6613" i="2"/>
  <c r="J6613" i="2"/>
  <c r="K6613" i="2"/>
  <c r="O6613" i="2"/>
  <c r="R6613" i="2"/>
  <c r="S6613" i="2" s="1"/>
  <c r="I6614" i="2"/>
  <c r="J6614" i="2"/>
  <c r="K6614" i="2"/>
  <c r="O6614" i="2"/>
  <c r="R6614" i="2"/>
  <c r="S6614" i="2" s="1"/>
  <c r="I6615" i="2"/>
  <c r="J6615" i="2"/>
  <c r="K6615" i="2"/>
  <c r="O6615" i="2"/>
  <c r="R6615" i="2"/>
  <c r="S6615" i="2" s="1"/>
  <c r="I6616" i="2"/>
  <c r="J6616" i="2"/>
  <c r="K6616" i="2"/>
  <c r="O6616" i="2"/>
  <c r="R6616" i="2"/>
  <c r="S6616" i="2" s="1"/>
  <c r="I6617" i="2"/>
  <c r="J6617" i="2"/>
  <c r="K6617" i="2"/>
  <c r="O6617" i="2"/>
  <c r="R6617" i="2"/>
  <c r="S6617" i="2" s="1"/>
  <c r="I6618" i="2"/>
  <c r="J6618" i="2"/>
  <c r="K6618" i="2"/>
  <c r="O6618" i="2"/>
  <c r="R6618" i="2"/>
  <c r="S6618" i="2" s="1"/>
  <c r="I6619" i="2"/>
  <c r="J6619" i="2"/>
  <c r="K6619" i="2"/>
  <c r="O6619" i="2"/>
  <c r="R6619" i="2"/>
  <c r="S6619" i="2" s="1"/>
  <c r="I6620" i="2"/>
  <c r="J6620" i="2"/>
  <c r="K6620" i="2"/>
  <c r="O6620" i="2"/>
  <c r="R6620" i="2"/>
  <c r="S6620" i="2" s="1"/>
  <c r="I6621" i="2"/>
  <c r="J6621" i="2"/>
  <c r="K6621" i="2"/>
  <c r="O6621" i="2"/>
  <c r="R6621" i="2"/>
  <c r="S6621" i="2" s="1"/>
  <c r="I6622" i="2"/>
  <c r="J6622" i="2"/>
  <c r="K6622" i="2"/>
  <c r="O6622" i="2"/>
  <c r="R6622" i="2"/>
  <c r="S6622" i="2" s="1"/>
  <c r="I6623" i="2"/>
  <c r="J6623" i="2"/>
  <c r="K6623" i="2"/>
  <c r="O6623" i="2"/>
  <c r="R6623" i="2"/>
  <c r="S6623" i="2" s="1"/>
  <c r="I6624" i="2"/>
  <c r="J6624" i="2"/>
  <c r="K6624" i="2"/>
  <c r="O6624" i="2"/>
  <c r="R6624" i="2"/>
  <c r="S6624" i="2" s="1"/>
  <c r="I6625" i="2"/>
  <c r="J6625" i="2"/>
  <c r="K6625" i="2"/>
  <c r="O6625" i="2"/>
  <c r="R6625" i="2"/>
  <c r="S6625" i="2" s="1"/>
  <c r="I6626" i="2"/>
  <c r="J6626" i="2"/>
  <c r="K6626" i="2"/>
  <c r="O6626" i="2"/>
  <c r="R6626" i="2"/>
  <c r="S6626" i="2" s="1"/>
  <c r="I6627" i="2"/>
  <c r="J6627" i="2"/>
  <c r="K6627" i="2"/>
  <c r="O6627" i="2"/>
  <c r="R6627" i="2"/>
  <c r="S6627" i="2" s="1"/>
  <c r="I6628" i="2"/>
  <c r="J6628" i="2"/>
  <c r="K6628" i="2"/>
  <c r="O6628" i="2"/>
  <c r="R6628" i="2"/>
  <c r="S6628" i="2" s="1"/>
  <c r="I6629" i="2"/>
  <c r="J6629" i="2"/>
  <c r="K6629" i="2"/>
  <c r="O6629" i="2"/>
  <c r="R6629" i="2"/>
  <c r="S6629" i="2" s="1"/>
  <c r="I6630" i="2"/>
  <c r="J6630" i="2"/>
  <c r="K6630" i="2"/>
  <c r="O6630" i="2"/>
  <c r="R6630" i="2"/>
  <c r="S6630" i="2" s="1"/>
  <c r="I6631" i="2"/>
  <c r="J6631" i="2"/>
  <c r="K6631" i="2"/>
  <c r="O6631" i="2"/>
  <c r="R6631" i="2"/>
  <c r="S6631" i="2" s="1"/>
  <c r="I6632" i="2"/>
  <c r="J6632" i="2"/>
  <c r="K6632" i="2"/>
  <c r="O6632" i="2"/>
  <c r="R6632" i="2"/>
  <c r="S6632" i="2" s="1"/>
  <c r="I6633" i="2"/>
  <c r="J6633" i="2"/>
  <c r="K6633" i="2"/>
  <c r="O6633" i="2"/>
  <c r="R6633" i="2"/>
  <c r="S6633" i="2" s="1"/>
  <c r="I6634" i="2"/>
  <c r="J6634" i="2"/>
  <c r="K6634" i="2"/>
  <c r="O6634" i="2"/>
  <c r="R6634" i="2"/>
  <c r="S6634" i="2" s="1"/>
  <c r="I6635" i="2"/>
  <c r="J6635" i="2"/>
  <c r="K6635" i="2"/>
  <c r="O6635" i="2"/>
  <c r="R6635" i="2"/>
  <c r="S6635" i="2" s="1"/>
  <c r="I6636" i="2"/>
  <c r="J6636" i="2"/>
  <c r="K6636" i="2"/>
  <c r="O6636" i="2"/>
  <c r="R6636" i="2"/>
  <c r="S6636" i="2" s="1"/>
  <c r="I6637" i="2"/>
  <c r="J6637" i="2"/>
  <c r="K6637" i="2"/>
  <c r="O6637" i="2"/>
  <c r="R6637" i="2"/>
  <c r="S6637" i="2" s="1"/>
  <c r="I6638" i="2"/>
  <c r="J6638" i="2"/>
  <c r="K6638" i="2"/>
  <c r="O6638" i="2"/>
  <c r="R6638" i="2"/>
  <c r="S6638" i="2" s="1"/>
  <c r="I6639" i="2"/>
  <c r="J6639" i="2"/>
  <c r="K6639" i="2"/>
  <c r="O6639" i="2"/>
  <c r="R6639" i="2"/>
  <c r="S6639" i="2" s="1"/>
  <c r="I6640" i="2"/>
  <c r="J6640" i="2"/>
  <c r="K6640" i="2"/>
  <c r="O6640" i="2"/>
  <c r="R6640" i="2"/>
  <c r="S6640" i="2" s="1"/>
  <c r="I6641" i="2"/>
  <c r="J6641" i="2"/>
  <c r="K6641" i="2"/>
  <c r="O6641" i="2"/>
  <c r="R6641" i="2"/>
  <c r="S6641" i="2" s="1"/>
  <c r="I6642" i="2"/>
  <c r="J6642" i="2"/>
  <c r="K6642" i="2"/>
  <c r="O6642" i="2"/>
  <c r="R6642" i="2"/>
  <c r="S6642" i="2" s="1"/>
  <c r="I6643" i="2"/>
  <c r="J6643" i="2"/>
  <c r="K6643" i="2"/>
  <c r="O6643" i="2"/>
  <c r="R6643" i="2"/>
  <c r="S6643" i="2" s="1"/>
  <c r="I6644" i="2"/>
  <c r="J6644" i="2"/>
  <c r="K6644" i="2"/>
  <c r="O6644" i="2"/>
  <c r="R6644" i="2"/>
  <c r="S6644" i="2" s="1"/>
  <c r="I6645" i="2"/>
  <c r="J6645" i="2"/>
  <c r="K6645" i="2"/>
  <c r="O6645" i="2"/>
  <c r="R6645" i="2"/>
  <c r="S6645" i="2" s="1"/>
  <c r="I6646" i="2"/>
  <c r="J6646" i="2"/>
  <c r="K6646" i="2"/>
  <c r="O6646" i="2"/>
  <c r="R6646" i="2"/>
  <c r="S6646" i="2" s="1"/>
  <c r="I6647" i="2"/>
  <c r="J6647" i="2"/>
  <c r="K6647" i="2"/>
  <c r="O6647" i="2"/>
  <c r="R6647" i="2"/>
  <c r="S6647" i="2" s="1"/>
  <c r="I6648" i="2"/>
  <c r="J6648" i="2"/>
  <c r="K6648" i="2"/>
  <c r="O6648" i="2"/>
  <c r="R6648" i="2"/>
  <c r="S6648" i="2" s="1"/>
  <c r="I6649" i="2"/>
  <c r="J6649" i="2"/>
  <c r="K6649" i="2"/>
  <c r="O6649" i="2"/>
  <c r="R6649" i="2"/>
  <c r="S6649" i="2" s="1"/>
  <c r="I6650" i="2"/>
  <c r="J6650" i="2"/>
  <c r="K6650" i="2"/>
  <c r="O6650" i="2"/>
  <c r="R6650" i="2"/>
  <c r="S6650" i="2" s="1"/>
  <c r="I6651" i="2"/>
  <c r="J6651" i="2"/>
  <c r="K6651" i="2"/>
  <c r="O6651" i="2"/>
  <c r="R6651" i="2"/>
  <c r="S6651" i="2" s="1"/>
  <c r="I6652" i="2"/>
  <c r="J6652" i="2"/>
  <c r="K6652" i="2"/>
  <c r="O6652" i="2"/>
  <c r="R6652" i="2"/>
  <c r="S6652" i="2" s="1"/>
  <c r="I6653" i="2"/>
  <c r="J6653" i="2"/>
  <c r="K6653" i="2"/>
  <c r="O6653" i="2"/>
  <c r="R6653" i="2"/>
  <c r="S6653" i="2" s="1"/>
  <c r="I6654" i="2"/>
  <c r="J6654" i="2"/>
  <c r="K6654" i="2"/>
  <c r="O6654" i="2"/>
  <c r="R6654" i="2"/>
  <c r="S6654" i="2" s="1"/>
  <c r="I6655" i="2"/>
  <c r="J6655" i="2"/>
  <c r="K6655" i="2"/>
  <c r="O6655" i="2"/>
  <c r="R6655" i="2"/>
  <c r="S6655" i="2" s="1"/>
  <c r="I6656" i="2"/>
  <c r="J6656" i="2"/>
  <c r="K6656" i="2"/>
  <c r="O6656" i="2"/>
  <c r="R6656" i="2"/>
  <c r="S6656" i="2" s="1"/>
  <c r="I6657" i="2"/>
  <c r="J6657" i="2"/>
  <c r="K6657" i="2"/>
  <c r="O6657" i="2"/>
  <c r="R6657" i="2"/>
  <c r="S6657" i="2" s="1"/>
  <c r="I6658" i="2"/>
  <c r="J6658" i="2"/>
  <c r="K6658" i="2"/>
  <c r="O6658" i="2"/>
  <c r="R6658" i="2"/>
  <c r="S6658" i="2" s="1"/>
  <c r="I6659" i="2"/>
  <c r="J6659" i="2"/>
  <c r="K6659" i="2"/>
  <c r="O6659" i="2"/>
  <c r="R6659" i="2"/>
  <c r="S6659" i="2" s="1"/>
  <c r="I6660" i="2"/>
  <c r="J6660" i="2"/>
  <c r="K6660" i="2"/>
  <c r="O6660" i="2"/>
  <c r="R6660" i="2"/>
  <c r="S6660" i="2" s="1"/>
  <c r="I6661" i="2"/>
  <c r="J6661" i="2"/>
  <c r="K6661" i="2"/>
  <c r="O6661" i="2"/>
  <c r="R6661" i="2"/>
  <c r="S6661" i="2" s="1"/>
  <c r="I6662" i="2"/>
  <c r="J6662" i="2"/>
  <c r="K6662" i="2"/>
  <c r="O6662" i="2"/>
  <c r="R6662" i="2"/>
  <c r="S6662" i="2" s="1"/>
  <c r="I6663" i="2"/>
  <c r="J6663" i="2"/>
  <c r="K6663" i="2"/>
  <c r="O6663" i="2"/>
  <c r="R6663" i="2"/>
  <c r="S6663" i="2" s="1"/>
  <c r="I6664" i="2"/>
  <c r="J6664" i="2"/>
  <c r="K6664" i="2"/>
  <c r="O6664" i="2"/>
  <c r="R6664" i="2"/>
  <c r="S6664" i="2" s="1"/>
  <c r="I6665" i="2"/>
  <c r="J6665" i="2"/>
  <c r="K6665" i="2"/>
  <c r="O6665" i="2"/>
  <c r="R6665" i="2"/>
  <c r="S6665" i="2" s="1"/>
  <c r="I6666" i="2"/>
  <c r="J6666" i="2"/>
  <c r="K6666" i="2"/>
  <c r="O6666" i="2"/>
  <c r="R6666" i="2"/>
  <c r="S6666" i="2" s="1"/>
  <c r="I6667" i="2"/>
  <c r="J6667" i="2"/>
  <c r="K6667" i="2"/>
  <c r="O6667" i="2"/>
  <c r="R6667" i="2"/>
  <c r="S6667" i="2" s="1"/>
  <c r="I6668" i="2"/>
  <c r="J6668" i="2"/>
  <c r="K6668" i="2"/>
  <c r="O6668" i="2"/>
  <c r="R6668" i="2"/>
  <c r="S6668" i="2" s="1"/>
  <c r="I6669" i="2"/>
  <c r="J6669" i="2"/>
  <c r="K6669" i="2"/>
  <c r="O6669" i="2"/>
  <c r="R6669" i="2"/>
  <c r="S6669" i="2" s="1"/>
  <c r="I6670" i="2"/>
  <c r="J6670" i="2"/>
  <c r="K6670" i="2"/>
  <c r="O6670" i="2"/>
  <c r="R6670" i="2"/>
  <c r="S6670" i="2" s="1"/>
  <c r="I6671" i="2"/>
  <c r="J6671" i="2"/>
  <c r="K6671" i="2"/>
  <c r="O6671" i="2"/>
  <c r="R6671" i="2"/>
  <c r="S6671" i="2" s="1"/>
  <c r="I6672" i="2"/>
  <c r="J6672" i="2"/>
  <c r="K6672" i="2"/>
  <c r="O6672" i="2"/>
  <c r="R6672" i="2"/>
  <c r="S6672" i="2" s="1"/>
  <c r="I6673" i="2"/>
  <c r="J6673" i="2"/>
  <c r="K6673" i="2"/>
  <c r="O6673" i="2"/>
  <c r="R6673" i="2"/>
  <c r="S6673" i="2" s="1"/>
  <c r="I6674" i="2"/>
  <c r="J6674" i="2"/>
  <c r="K6674" i="2"/>
  <c r="O6674" i="2"/>
  <c r="R6674" i="2"/>
  <c r="S6674" i="2" s="1"/>
  <c r="I6675" i="2"/>
  <c r="J6675" i="2"/>
  <c r="K6675" i="2"/>
  <c r="O6675" i="2"/>
  <c r="R6675" i="2"/>
  <c r="S6675" i="2" s="1"/>
  <c r="I6676" i="2"/>
  <c r="J6676" i="2"/>
  <c r="K6676" i="2"/>
  <c r="O6676" i="2"/>
  <c r="R6676" i="2"/>
  <c r="S6676" i="2" s="1"/>
  <c r="I6677" i="2"/>
  <c r="J6677" i="2"/>
  <c r="K6677" i="2"/>
  <c r="O6677" i="2"/>
  <c r="R6677" i="2"/>
  <c r="S6677" i="2" s="1"/>
  <c r="I6678" i="2"/>
  <c r="J6678" i="2"/>
  <c r="K6678" i="2"/>
  <c r="O6678" i="2"/>
  <c r="R6678" i="2"/>
  <c r="S6678" i="2" s="1"/>
  <c r="I6679" i="2"/>
  <c r="J6679" i="2"/>
  <c r="K6679" i="2"/>
  <c r="O6679" i="2"/>
  <c r="R6679" i="2"/>
  <c r="S6679" i="2" s="1"/>
  <c r="I6680" i="2"/>
  <c r="J6680" i="2"/>
  <c r="K6680" i="2"/>
  <c r="O6680" i="2"/>
  <c r="R6680" i="2"/>
  <c r="S6680" i="2" s="1"/>
  <c r="I6681" i="2"/>
  <c r="J6681" i="2"/>
  <c r="K6681" i="2"/>
  <c r="O6681" i="2"/>
  <c r="R6681" i="2"/>
  <c r="S6681" i="2" s="1"/>
  <c r="I6682" i="2"/>
  <c r="J6682" i="2"/>
  <c r="K6682" i="2"/>
  <c r="O6682" i="2"/>
  <c r="R6682" i="2"/>
  <c r="S6682" i="2" s="1"/>
  <c r="I6683" i="2"/>
  <c r="J6683" i="2"/>
  <c r="K6683" i="2"/>
  <c r="O6683" i="2"/>
  <c r="R6683" i="2"/>
  <c r="S6683" i="2" s="1"/>
  <c r="I6684" i="2"/>
  <c r="J6684" i="2"/>
  <c r="K6684" i="2"/>
  <c r="O6684" i="2"/>
  <c r="R6684" i="2"/>
  <c r="S6684" i="2" s="1"/>
  <c r="I6685" i="2"/>
  <c r="J6685" i="2"/>
  <c r="K6685" i="2"/>
  <c r="O6685" i="2"/>
  <c r="R6685" i="2"/>
  <c r="S6685" i="2" s="1"/>
  <c r="I6686" i="2"/>
  <c r="J6686" i="2"/>
  <c r="K6686" i="2"/>
  <c r="O6686" i="2"/>
  <c r="R6686" i="2"/>
  <c r="S6686" i="2" s="1"/>
  <c r="I6687" i="2"/>
  <c r="J6687" i="2"/>
  <c r="K6687" i="2"/>
  <c r="O6687" i="2"/>
  <c r="R6687" i="2"/>
  <c r="S6687" i="2" s="1"/>
  <c r="I6688" i="2"/>
  <c r="J6688" i="2"/>
  <c r="K6688" i="2"/>
  <c r="O6688" i="2"/>
  <c r="R6688" i="2"/>
  <c r="S6688" i="2" s="1"/>
  <c r="I6689" i="2"/>
  <c r="J6689" i="2"/>
  <c r="K6689" i="2"/>
  <c r="O6689" i="2"/>
  <c r="R6689" i="2"/>
  <c r="S6689" i="2" s="1"/>
  <c r="I6690" i="2"/>
  <c r="J6690" i="2"/>
  <c r="K6690" i="2"/>
  <c r="O6690" i="2"/>
  <c r="R6690" i="2"/>
  <c r="S6690" i="2" s="1"/>
  <c r="I6691" i="2"/>
  <c r="J6691" i="2"/>
  <c r="K6691" i="2"/>
  <c r="O6691" i="2"/>
  <c r="R6691" i="2"/>
  <c r="S6691" i="2" s="1"/>
  <c r="I6692" i="2"/>
  <c r="J6692" i="2"/>
  <c r="K6692" i="2"/>
  <c r="O6692" i="2"/>
  <c r="R6692" i="2"/>
  <c r="S6692" i="2" s="1"/>
  <c r="I6693" i="2"/>
  <c r="J6693" i="2"/>
  <c r="K6693" i="2"/>
  <c r="O6693" i="2"/>
  <c r="R6693" i="2"/>
  <c r="S6693" i="2" s="1"/>
  <c r="I6694" i="2"/>
  <c r="J6694" i="2"/>
  <c r="K6694" i="2"/>
  <c r="O6694" i="2"/>
  <c r="R6694" i="2"/>
  <c r="S6694" i="2" s="1"/>
  <c r="I6695" i="2"/>
  <c r="J6695" i="2"/>
  <c r="K6695" i="2"/>
  <c r="O6695" i="2"/>
  <c r="R6695" i="2"/>
  <c r="S6695" i="2" s="1"/>
  <c r="I6696" i="2"/>
  <c r="J6696" i="2"/>
  <c r="K6696" i="2"/>
  <c r="O6696" i="2"/>
  <c r="R6696" i="2"/>
  <c r="S6696" i="2" s="1"/>
  <c r="I6697" i="2"/>
  <c r="J6697" i="2"/>
  <c r="K6697" i="2"/>
  <c r="O6697" i="2"/>
  <c r="R6697" i="2"/>
  <c r="S6697" i="2" s="1"/>
  <c r="I6698" i="2"/>
  <c r="J6698" i="2"/>
  <c r="K6698" i="2"/>
  <c r="O6698" i="2"/>
  <c r="R6698" i="2"/>
  <c r="S6698" i="2" s="1"/>
  <c r="I6699" i="2"/>
  <c r="J6699" i="2"/>
  <c r="K6699" i="2"/>
  <c r="O6699" i="2"/>
  <c r="R6699" i="2"/>
  <c r="S6699" i="2" s="1"/>
  <c r="I6700" i="2"/>
  <c r="J6700" i="2"/>
  <c r="K6700" i="2"/>
  <c r="O6700" i="2"/>
  <c r="R6700" i="2"/>
  <c r="S6700" i="2" s="1"/>
  <c r="I6701" i="2"/>
  <c r="J6701" i="2"/>
  <c r="K6701" i="2"/>
  <c r="O6701" i="2"/>
  <c r="R6701" i="2"/>
  <c r="S6701" i="2" s="1"/>
  <c r="I6702" i="2"/>
  <c r="J6702" i="2"/>
  <c r="K6702" i="2"/>
  <c r="O6702" i="2"/>
  <c r="R6702" i="2"/>
  <c r="S6702" i="2" s="1"/>
  <c r="I6703" i="2"/>
  <c r="J6703" i="2"/>
  <c r="K6703" i="2"/>
  <c r="O6703" i="2"/>
  <c r="R6703" i="2"/>
  <c r="S6703" i="2" s="1"/>
  <c r="I6704" i="2"/>
  <c r="J6704" i="2"/>
  <c r="K6704" i="2"/>
  <c r="O6704" i="2"/>
  <c r="R6704" i="2"/>
  <c r="S6704" i="2" s="1"/>
  <c r="I6705" i="2"/>
  <c r="J6705" i="2"/>
  <c r="K6705" i="2"/>
  <c r="O6705" i="2"/>
  <c r="R6705" i="2"/>
  <c r="S6705" i="2" s="1"/>
  <c r="I6706" i="2"/>
  <c r="J6706" i="2"/>
  <c r="K6706" i="2"/>
  <c r="O6706" i="2"/>
  <c r="R6706" i="2"/>
  <c r="S6706" i="2" s="1"/>
  <c r="I6707" i="2"/>
  <c r="J6707" i="2"/>
  <c r="K6707" i="2"/>
  <c r="O6707" i="2"/>
  <c r="R6707" i="2"/>
  <c r="S6707" i="2" s="1"/>
  <c r="I6708" i="2"/>
  <c r="J6708" i="2"/>
  <c r="K6708" i="2"/>
  <c r="O6708" i="2"/>
  <c r="R6708" i="2"/>
  <c r="S6708" i="2" s="1"/>
  <c r="I6709" i="2"/>
  <c r="J6709" i="2"/>
  <c r="K6709" i="2"/>
  <c r="O6709" i="2"/>
  <c r="R6709" i="2"/>
  <c r="S6709" i="2" s="1"/>
  <c r="I6710" i="2"/>
  <c r="J6710" i="2"/>
  <c r="K6710" i="2"/>
  <c r="O6710" i="2"/>
  <c r="R6710" i="2"/>
  <c r="S6710" i="2" s="1"/>
  <c r="I6711" i="2"/>
  <c r="J6711" i="2"/>
  <c r="K6711" i="2"/>
  <c r="O6711" i="2"/>
  <c r="R6711" i="2"/>
  <c r="S6711" i="2" s="1"/>
  <c r="I6712" i="2"/>
  <c r="J6712" i="2"/>
  <c r="K6712" i="2"/>
  <c r="O6712" i="2"/>
  <c r="R6712" i="2"/>
  <c r="S6712" i="2" s="1"/>
  <c r="I6713" i="2"/>
  <c r="J6713" i="2"/>
  <c r="K6713" i="2"/>
  <c r="O6713" i="2"/>
  <c r="R6713" i="2"/>
  <c r="S6713" i="2" s="1"/>
  <c r="I6714" i="2"/>
  <c r="J6714" i="2"/>
  <c r="K6714" i="2"/>
  <c r="O6714" i="2"/>
  <c r="R6714" i="2"/>
  <c r="S6714" i="2" s="1"/>
  <c r="I6715" i="2"/>
  <c r="J6715" i="2"/>
  <c r="K6715" i="2"/>
  <c r="O6715" i="2"/>
  <c r="R6715" i="2"/>
  <c r="S6715" i="2" s="1"/>
  <c r="I6716" i="2"/>
  <c r="J6716" i="2"/>
  <c r="K6716" i="2"/>
  <c r="O6716" i="2"/>
  <c r="R6716" i="2"/>
  <c r="S6716" i="2" s="1"/>
  <c r="I6717" i="2"/>
  <c r="J6717" i="2"/>
  <c r="K6717" i="2"/>
  <c r="O6717" i="2"/>
  <c r="R6717" i="2"/>
  <c r="S6717" i="2" s="1"/>
  <c r="I6718" i="2"/>
  <c r="J6718" i="2"/>
  <c r="K6718" i="2"/>
  <c r="O6718" i="2"/>
  <c r="R6718" i="2"/>
  <c r="S6718" i="2" s="1"/>
  <c r="I6719" i="2"/>
  <c r="J6719" i="2"/>
  <c r="K6719" i="2"/>
  <c r="O6719" i="2"/>
  <c r="R6719" i="2"/>
  <c r="S6719" i="2" s="1"/>
  <c r="I6720" i="2"/>
  <c r="J6720" i="2"/>
  <c r="K6720" i="2"/>
  <c r="O6720" i="2"/>
  <c r="R6720" i="2"/>
  <c r="S6720" i="2" s="1"/>
  <c r="I6721" i="2"/>
  <c r="J6721" i="2"/>
  <c r="K6721" i="2"/>
  <c r="O6721" i="2"/>
  <c r="R6721" i="2"/>
  <c r="S6721" i="2" s="1"/>
  <c r="I6722" i="2"/>
  <c r="J6722" i="2"/>
  <c r="K6722" i="2"/>
  <c r="O6722" i="2"/>
  <c r="R6722" i="2"/>
  <c r="S6722" i="2" s="1"/>
  <c r="I6723" i="2"/>
  <c r="J6723" i="2"/>
  <c r="K6723" i="2"/>
  <c r="O6723" i="2"/>
  <c r="R6723" i="2"/>
  <c r="S6723" i="2" s="1"/>
  <c r="I6724" i="2"/>
  <c r="J6724" i="2"/>
  <c r="K6724" i="2"/>
  <c r="O6724" i="2"/>
  <c r="R6724" i="2"/>
  <c r="S6724" i="2" s="1"/>
  <c r="I6725" i="2"/>
  <c r="J6725" i="2"/>
  <c r="K6725" i="2"/>
  <c r="O6725" i="2"/>
  <c r="R6725" i="2"/>
  <c r="S6725" i="2" s="1"/>
  <c r="I6726" i="2"/>
  <c r="J6726" i="2"/>
  <c r="K6726" i="2"/>
  <c r="O6726" i="2"/>
  <c r="R6726" i="2"/>
  <c r="S6726" i="2" s="1"/>
  <c r="I6727" i="2"/>
  <c r="J6727" i="2"/>
  <c r="K6727" i="2"/>
  <c r="O6727" i="2"/>
  <c r="R6727" i="2"/>
  <c r="S6727" i="2" s="1"/>
  <c r="I6728" i="2"/>
  <c r="J6728" i="2"/>
  <c r="K6728" i="2"/>
  <c r="O6728" i="2"/>
  <c r="R6728" i="2"/>
  <c r="S6728" i="2" s="1"/>
  <c r="I6729" i="2"/>
  <c r="J6729" i="2"/>
  <c r="K6729" i="2"/>
  <c r="O6729" i="2"/>
  <c r="R6729" i="2"/>
  <c r="S6729" i="2" s="1"/>
  <c r="I6730" i="2"/>
  <c r="J6730" i="2"/>
  <c r="K6730" i="2"/>
  <c r="O6730" i="2"/>
  <c r="R6730" i="2"/>
  <c r="S6730" i="2" s="1"/>
  <c r="I6731" i="2"/>
  <c r="J6731" i="2"/>
  <c r="K6731" i="2"/>
  <c r="O6731" i="2"/>
  <c r="R6731" i="2"/>
  <c r="S6731" i="2" s="1"/>
  <c r="I6732" i="2"/>
  <c r="J6732" i="2"/>
  <c r="K6732" i="2"/>
  <c r="O6732" i="2"/>
  <c r="R6732" i="2"/>
  <c r="S6732" i="2" s="1"/>
  <c r="I6733" i="2"/>
  <c r="J6733" i="2"/>
  <c r="K6733" i="2"/>
  <c r="O6733" i="2"/>
  <c r="R6733" i="2"/>
  <c r="S6733" i="2" s="1"/>
  <c r="I6734" i="2"/>
  <c r="J6734" i="2"/>
  <c r="K6734" i="2"/>
  <c r="O6734" i="2"/>
  <c r="R6734" i="2"/>
  <c r="S6734" i="2" s="1"/>
  <c r="I6735" i="2"/>
  <c r="J6735" i="2"/>
  <c r="K6735" i="2"/>
  <c r="O6735" i="2"/>
  <c r="R6735" i="2"/>
  <c r="S6735" i="2" s="1"/>
  <c r="I6736" i="2"/>
  <c r="J6736" i="2"/>
  <c r="K6736" i="2"/>
  <c r="O6736" i="2"/>
  <c r="R6736" i="2"/>
  <c r="S6736" i="2" s="1"/>
  <c r="I6737" i="2"/>
  <c r="J6737" i="2"/>
  <c r="K6737" i="2"/>
  <c r="O6737" i="2"/>
  <c r="R6737" i="2"/>
  <c r="S6737" i="2" s="1"/>
  <c r="I6738" i="2"/>
  <c r="J6738" i="2"/>
  <c r="K6738" i="2"/>
  <c r="O6738" i="2"/>
  <c r="R6738" i="2"/>
  <c r="S6738" i="2" s="1"/>
  <c r="I6739" i="2"/>
  <c r="J6739" i="2"/>
  <c r="K6739" i="2"/>
  <c r="O6739" i="2"/>
  <c r="R6739" i="2"/>
  <c r="S6739" i="2" s="1"/>
  <c r="I6740" i="2"/>
  <c r="J6740" i="2"/>
  <c r="K6740" i="2"/>
  <c r="O6740" i="2"/>
  <c r="R6740" i="2"/>
  <c r="S6740" i="2" s="1"/>
  <c r="I6741" i="2"/>
  <c r="J6741" i="2"/>
  <c r="K6741" i="2"/>
  <c r="O6741" i="2"/>
  <c r="R6741" i="2"/>
  <c r="S6741" i="2" s="1"/>
  <c r="I6742" i="2"/>
  <c r="J6742" i="2"/>
  <c r="K6742" i="2"/>
  <c r="O6742" i="2"/>
  <c r="R6742" i="2"/>
  <c r="S6742" i="2" s="1"/>
  <c r="I6743" i="2"/>
  <c r="J6743" i="2"/>
  <c r="K6743" i="2"/>
  <c r="O6743" i="2"/>
  <c r="R6743" i="2"/>
  <c r="S6743" i="2" s="1"/>
  <c r="I6744" i="2"/>
  <c r="J6744" i="2"/>
  <c r="K6744" i="2"/>
  <c r="O6744" i="2"/>
  <c r="R6744" i="2"/>
  <c r="S6744" i="2" s="1"/>
  <c r="I6745" i="2"/>
  <c r="J6745" i="2"/>
  <c r="K6745" i="2"/>
  <c r="O6745" i="2"/>
  <c r="R6745" i="2"/>
  <c r="S6745" i="2" s="1"/>
  <c r="I6746" i="2"/>
  <c r="J6746" i="2"/>
  <c r="K6746" i="2"/>
  <c r="O6746" i="2"/>
  <c r="R6746" i="2"/>
  <c r="S6746" i="2" s="1"/>
  <c r="I6747" i="2"/>
  <c r="J6747" i="2"/>
  <c r="K6747" i="2"/>
  <c r="O6747" i="2"/>
  <c r="R6747" i="2"/>
  <c r="S6747" i="2" s="1"/>
  <c r="I6748" i="2"/>
  <c r="J6748" i="2"/>
  <c r="K6748" i="2"/>
  <c r="O6748" i="2"/>
  <c r="R6748" i="2"/>
  <c r="S6748" i="2" s="1"/>
  <c r="I6749" i="2"/>
  <c r="J6749" i="2"/>
  <c r="K6749" i="2"/>
  <c r="O6749" i="2"/>
  <c r="R6749" i="2"/>
  <c r="S6749" i="2" s="1"/>
  <c r="I6750" i="2"/>
  <c r="J6750" i="2"/>
  <c r="K6750" i="2"/>
  <c r="O6750" i="2"/>
  <c r="R6750" i="2"/>
  <c r="S6750" i="2" s="1"/>
  <c r="I6751" i="2"/>
  <c r="J6751" i="2"/>
  <c r="K6751" i="2"/>
  <c r="O6751" i="2"/>
  <c r="R6751" i="2"/>
  <c r="S6751" i="2" s="1"/>
  <c r="I6752" i="2"/>
  <c r="J6752" i="2"/>
  <c r="K6752" i="2"/>
  <c r="O6752" i="2"/>
  <c r="R6752" i="2"/>
  <c r="S6752" i="2" s="1"/>
  <c r="I6753" i="2"/>
  <c r="J6753" i="2"/>
  <c r="K6753" i="2"/>
  <c r="O6753" i="2"/>
  <c r="R6753" i="2"/>
  <c r="S6753" i="2" s="1"/>
  <c r="I6754" i="2"/>
  <c r="J6754" i="2"/>
  <c r="K6754" i="2"/>
  <c r="O6754" i="2"/>
  <c r="R6754" i="2"/>
  <c r="S6754" i="2" s="1"/>
  <c r="I6755" i="2"/>
  <c r="J6755" i="2"/>
  <c r="K6755" i="2"/>
  <c r="O6755" i="2"/>
  <c r="R6755" i="2"/>
  <c r="S6755" i="2" s="1"/>
  <c r="I6756" i="2"/>
  <c r="J6756" i="2"/>
  <c r="K6756" i="2"/>
  <c r="O6756" i="2"/>
  <c r="R6756" i="2"/>
  <c r="S6756" i="2" s="1"/>
  <c r="I6757" i="2"/>
  <c r="J6757" i="2"/>
  <c r="K6757" i="2"/>
  <c r="O6757" i="2"/>
  <c r="R6757" i="2"/>
  <c r="S6757" i="2" s="1"/>
  <c r="I6758" i="2"/>
  <c r="J6758" i="2"/>
  <c r="K6758" i="2"/>
  <c r="O6758" i="2"/>
  <c r="R6758" i="2"/>
  <c r="S6758" i="2" s="1"/>
  <c r="I6759" i="2"/>
  <c r="J6759" i="2"/>
  <c r="K6759" i="2"/>
  <c r="O6759" i="2"/>
  <c r="R6759" i="2"/>
  <c r="S6759" i="2" s="1"/>
  <c r="I6760" i="2"/>
  <c r="J6760" i="2"/>
  <c r="K6760" i="2"/>
  <c r="O6760" i="2"/>
  <c r="R6760" i="2"/>
  <c r="S6760" i="2" s="1"/>
  <c r="I6761" i="2"/>
  <c r="J6761" i="2"/>
  <c r="K6761" i="2"/>
  <c r="O6761" i="2"/>
  <c r="R6761" i="2"/>
  <c r="S6761" i="2" s="1"/>
  <c r="I6762" i="2"/>
  <c r="J6762" i="2"/>
  <c r="K6762" i="2"/>
  <c r="O6762" i="2"/>
  <c r="R6762" i="2"/>
  <c r="S6762" i="2" s="1"/>
  <c r="I6763" i="2"/>
  <c r="J6763" i="2"/>
  <c r="K6763" i="2"/>
  <c r="O6763" i="2"/>
  <c r="R6763" i="2"/>
  <c r="S6763" i="2" s="1"/>
  <c r="I6764" i="2"/>
  <c r="J6764" i="2"/>
  <c r="K6764" i="2"/>
  <c r="O6764" i="2"/>
  <c r="R6764" i="2"/>
  <c r="S6764" i="2" s="1"/>
  <c r="I6765" i="2"/>
  <c r="J6765" i="2"/>
  <c r="K6765" i="2"/>
  <c r="O6765" i="2"/>
  <c r="R6765" i="2"/>
  <c r="S6765" i="2" s="1"/>
  <c r="I6766" i="2"/>
  <c r="J6766" i="2"/>
  <c r="K6766" i="2"/>
  <c r="O6766" i="2"/>
  <c r="R6766" i="2"/>
  <c r="S6766" i="2" s="1"/>
  <c r="I6767" i="2"/>
  <c r="J6767" i="2"/>
  <c r="K6767" i="2"/>
  <c r="O6767" i="2"/>
  <c r="R6767" i="2"/>
  <c r="S6767" i="2" s="1"/>
  <c r="I6768" i="2"/>
  <c r="J6768" i="2"/>
  <c r="K6768" i="2"/>
  <c r="O6768" i="2"/>
  <c r="R6768" i="2"/>
  <c r="S6768" i="2" s="1"/>
  <c r="I6769" i="2"/>
  <c r="J6769" i="2"/>
  <c r="K6769" i="2"/>
  <c r="O6769" i="2"/>
  <c r="R6769" i="2"/>
  <c r="S6769" i="2" s="1"/>
  <c r="I6770" i="2"/>
  <c r="J6770" i="2"/>
  <c r="K6770" i="2"/>
  <c r="O6770" i="2"/>
  <c r="R6770" i="2"/>
  <c r="S6770" i="2" s="1"/>
  <c r="I6771" i="2"/>
  <c r="J6771" i="2"/>
  <c r="K6771" i="2"/>
  <c r="O6771" i="2"/>
  <c r="R6771" i="2"/>
  <c r="S6771" i="2" s="1"/>
  <c r="I6772" i="2"/>
  <c r="J6772" i="2"/>
  <c r="K6772" i="2"/>
  <c r="O6772" i="2"/>
  <c r="R6772" i="2"/>
  <c r="S6772" i="2" s="1"/>
  <c r="I6773" i="2"/>
  <c r="J6773" i="2"/>
  <c r="K6773" i="2"/>
  <c r="O6773" i="2"/>
  <c r="R6773" i="2"/>
  <c r="S6773" i="2" s="1"/>
  <c r="I6774" i="2"/>
  <c r="J6774" i="2"/>
  <c r="K6774" i="2"/>
  <c r="O6774" i="2"/>
  <c r="R6774" i="2"/>
  <c r="S6774" i="2" s="1"/>
  <c r="I6775" i="2"/>
  <c r="J6775" i="2"/>
  <c r="K6775" i="2"/>
  <c r="O6775" i="2"/>
  <c r="R6775" i="2"/>
  <c r="S6775" i="2" s="1"/>
  <c r="I6776" i="2"/>
  <c r="J6776" i="2"/>
  <c r="K6776" i="2"/>
  <c r="O6776" i="2"/>
  <c r="R6776" i="2"/>
  <c r="S6776" i="2" s="1"/>
  <c r="I6777" i="2"/>
  <c r="J6777" i="2"/>
  <c r="K6777" i="2"/>
  <c r="O6777" i="2"/>
  <c r="R6777" i="2"/>
  <c r="S6777" i="2" s="1"/>
  <c r="I6778" i="2"/>
  <c r="J6778" i="2"/>
  <c r="K6778" i="2"/>
  <c r="O6778" i="2"/>
  <c r="R6778" i="2"/>
  <c r="S6778" i="2" s="1"/>
  <c r="I6779" i="2"/>
  <c r="J6779" i="2"/>
  <c r="K6779" i="2"/>
  <c r="O6779" i="2"/>
  <c r="R6779" i="2"/>
  <c r="S6779" i="2" s="1"/>
  <c r="I6780" i="2"/>
  <c r="J6780" i="2"/>
  <c r="K6780" i="2"/>
  <c r="O6780" i="2"/>
  <c r="R6780" i="2"/>
  <c r="S6780" i="2" s="1"/>
  <c r="I6781" i="2"/>
  <c r="J6781" i="2"/>
  <c r="K6781" i="2"/>
  <c r="O6781" i="2"/>
  <c r="R6781" i="2"/>
  <c r="S6781" i="2" s="1"/>
  <c r="I6782" i="2"/>
  <c r="J6782" i="2"/>
  <c r="K6782" i="2"/>
  <c r="O6782" i="2"/>
  <c r="R6782" i="2"/>
  <c r="S6782" i="2" s="1"/>
  <c r="I6783" i="2"/>
  <c r="J6783" i="2"/>
  <c r="K6783" i="2"/>
  <c r="O6783" i="2"/>
  <c r="R6783" i="2"/>
  <c r="S6783" i="2" s="1"/>
  <c r="I6784" i="2"/>
  <c r="J6784" i="2"/>
  <c r="K6784" i="2"/>
  <c r="O6784" i="2"/>
  <c r="R6784" i="2"/>
  <c r="S6784" i="2" s="1"/>
  <c r="I6785" i="2"/>
  <c r="J6785" i="2"/>
  <c r="K6785" i="2"/>
  <c r="O6785" i="2"/>
  <c r="R6785" i="2"/>
  <c r="S6785" i="2" s="1"/>
  <c r="I6786" i="2"/>
  <c r="J6786" i="2"/>
  <c r="K6786" i="2"/>
  <c r="O6786" i="2"/>
  <c r="R6786" i="2"/>
  <c r="S6786" i="2" s="1"/>
  <c r="I6787" i="2"/>
  <c r="J6787" i="2"/>
  <c r="K6787" i="2"/>
  <c r="O6787" i="2"/>
  <c r="R6787" i="2"/>
  <c r="S6787" i="2" s="1"/>
  <c r="I6788" i="2"/>
  <c r="J6788" i="2"/>
  <c r="K6788" i="2"/>
  <c r="R6788" i="2"/>
  <c r="S6788" i="2" s="1"/>
  <c r="I6789" i="2"/>
  <c r="J6789" i="2"/>
  <c r="K6789" i="2"/>
  <c r="O6789" i="2"/>
  <c r="R6789" i="2"/>
  <c r="S6789" i="2" s="1"/>
  <c r="I6790" i="2"/>
  <c r="J6790" i="2"/>
  <c r="K6790" i="2"/>
  <c r="O6790" i="2"/>
  <c r="R6790" i="2"/>
  <c r="S6790" i="2" s="1"/>
  <c r="I6791" i="2"/>
  <c r="J6791" i="2"/>
  <c r="K6791" i="2"/>
  <c r="O6791" i="2"/>
  <c r="R6791" i="2"/>
  <c r="S6791" i="2" s="1"/>
  <c r="I6792" i="2"/>
  <c r="J6792" i="2"/>
  <c r="K6792" i="2"/>
  <c r="O6792" i="2"/>
  <c r="R6792" i="2"/>
  <c r="S6792" i="2" s="1"/>
  <c r="I6793" i="2"/>
  <c r="J6793" i="2"/>
  <c r="K6793" i="2"/>
  <c r="O6793" i="2"/>
  <c r="R6793" i="2"/>
  <c r="S6793" i="2" s="1"/>
  <c r="I6794" i="2"/>
  <c r="J6794" i="2"/>
  <c r="K6794" i="2"/>
  <c r="O6794" i="2"/>
  <c r="R6794" i="2"/>
  <c r="S6794" i="2" s="1"/>
  <c r="I6795" i="2"/>
  <c r="J6795" i="2"/>
  <c r="K6795" i="2"/>
  <c r="O6795" i="2"/>
  <c r="R6795" i="2"/>
  <c r="S6795" i="2" s="1"/>
  <c r="I6796" i="2"/>
  <c r="J6796" i="2"/>
  <c r="K6796" i="2"/>
  <c r="O6796" i="2"/>
  <c r="R6796" i="2"/>
  <c r="S6796" i="2" s="1"/>
  <c r="I6797" i="2"/>
  <c r="J6797" i="2"/>
  <c r="K6797" i="2"/>
  <c r="O6797" i="2"/>
  <c r="R6797" i="2"/>
  <c r="S6797" i="2" s="1"/>
  <c r="I6798" i="2"/>
  <c r="J6798" i="2"/>
  <c r="K6798" i="2"/>
  <c r="O6798" i="2"/>
  <c r="R6798" i="2"/>
  <c r="S6798" i="2" s="1"/>
  <c r="I6799" i="2"/>
  <c r="J6799" i="2"/>
  <c r="K6799" i="2"/>
  <c r="O6799" i="2"/>
  <c r="R6799" i="2"/>
  <c r="S6799" i="2" s="1"/>
  <c r="I6800" i="2"/>
  <c r="J6800" i="2"/>
  <c r="K6800" i="2"/>
  <c r="O6800" i="2"/>
  <c r="R6800" i="2"/>
  <c r="S6800" i="2" s="1"/>
  <c r="I6801" i="2"/>
  <c r="J6801" i="2"/>
  <c r="K6801" i="2"/>
  <c r="O6801" i="2"/>
  <c r="R6801" i="2"/>
  <c r="S6801" i="2" s="1"/>
  <c r="I6802" i="2"/>
  <c r="J6802" i="2"/>
  <c r="K6802" i="2"/>
  <c r="O6802" i="2"/>
  <c r="R6802" i="2"/>
  <c r="S6802" i="2" s="1"/>
  <c r="I6803" i="2"/>
  <c r="J6803" i="2"/>
  <c r="K6803" i="2"/>
  <c r="O6803" i="2"/>
  <c r="R6803" i="2"/>
  <c r="S6803" i="2" s="1"/>
  <c r="I6804" i="2"/>
  <c r="J6804" i="2"/>
  <c r="K6804" i="2"/>
  <c r="O6804" i="2"/>
  <c r="R6804" i="2"/>
  <c r="S6804" i="2" s="1"/>
  <c r="I6805" i="2"/>
  <c r="J6805" i="2"/>
  <c r="K6805" i="2"/>
  <c r="O6805" i="2"/>
  <c r="R6805" i="2"/>
  <c r="S6805" i="2" s="1"/>
  <c r="I6806" i="2"/>
  <c r="J6806" i="2"/>
  <c r="K6806" i="2"/>
  <c r="O6806" i="2"/>
  <c r="R6806" i="2"/>
  <c r="S6806" i="2" s="1"/>
  <c r="I6807" i="2"/>
  <c r="J6807" i="2"/>
  <c r="K6807" i="2"/>
  <c r="O6807" i="2"/>
  <c r="R6807" i="2"/>
  <c r="S6807" i="2" s="1"/>
  <c r="I6808" i="2"/>
  <c r="J6808" i="2"/>
  <c r="K6808" i="2"/>
  <c r="O6808" i="2"/>
  <c r="R6808" i="2"/>
  <c r="S6808" i="2" s="1"/>
  <c r="I6809" i="2"/>
  <c r="J6809" i="2"/>
  <c r="K6809" i="2"/>
  <c r="O6809" i="2"/>
  <c r="R6809" i="2"/>
  <c r="S6809" i="2" s="1"/>
  <c r="I6810" i="2"/>
  <c r="J6810" i="2"/>
  <c r="K6810" i="2"/>
  <c r="O6810" i="2"/>
  <c r="R6810" i="2"/>
  <c r="S6810" i="2" s="1"/>
  <c r="I6811" i="2"/>
  <c r="J6811" i="2"/>
  <c r="K6811" i="2"/>
  <c r="O6811" i="2"/>
  <c r="R6811" i="2"/>
  <c r="S6811" i="2" s="1"/>
  <c r="I6812" i="2"/>
  <c r="J6812" i="2"/>
  <c r="K6812" i="2"/>
  <c r="O6812" i="2"/>
  <c r="R6812" i="2"/>
  <c r="S6812" i="2" s="1"/>
  <c r="I6813" i="2"/>
  <c r="J6813" i="2"/>
  <c r="K6813" i="2"/>
  <c r="O6813" i="2"/>
  <c r="R6813" i="2"/>
  <c r="S6813" i="2" s="1"/>
  <c r="I6814" i="2"/>
  <c r="J6814" i="2"/>
  <c r="K6814" i="2"/>
  <c r="O6814" i="2"/>
  <c r="R6814" i="2"/>
  <c r="S6814" i="2" s="1"/>
  <c r="I6815" i="2"/>
  <c r="J6815" i="2"/>
  <c r="K6815" i="2"/>
  <c r="O6815" i="2"/>
  <c r="R6815" i="2"/>
  <c r="S6815" i="2" s="1"/>
  <c r="I6816" i="2"/>
  <c r="J6816" i="2"/>
  <c r="K6816" i="2"/>
  <c r="O6816" i="2"/>
  <c r="R6816" i="2"/>
  <c r="S6816" i="2" s="1"/>
  <c r="I6817" i="2"/>
  <c r="J6817" i="2"/>
  <c r="K6817" i="2"/>
  <c r="O6817" i="2"/>
  <c r="R6817" i="2"/>
  <c r="S6817" i="2" s="1"/>
  <c r="I6818" i="2"/>
  <c r="J6818" i="2"/>
  <c r="K6818" i="2"/>
  <c r="O6818" i="2"/>
  <c r="R6818" i="2"/>
  <c r="S6818" i="2" s="1"/>
  <c r="I6819" i="2"/>
  <c r="J6819" i="2"/>
  <c r="K6819" i="2"/>
  <c r="O6819" i="2"/>
  <c r="R6819" i="2"/>
  <c r="S6819" i="2" s="1"/>
  <c r="I6820" i="2"/>
  <c r="J6820" i="2"/>
  <c r="K6820" i="2"/>
  <c r="O6820" i="2"/>
  <c r="R6820" i="2"/>
  <c r="S6820" i="2" s="1"/>
  <c r="I6821" i="2"/>
  <c r="J6821" i="2"/>
  <c r="K6821" i="2"/>
  <c r="O6821" i="2"/>
  <c r="R6821" i="2"/>
  <c r="S6821" i="2" s="1"/>
  <c r="I6822" i="2"/>
  <c r="J6822" i="2"/>
  <c r="K6822" i="2"/>
  <c r="O6822" i="2"/>
  <c r="R6822" i="2"/>
  <c r="S6822" i="2" s="1"/>
  <c r="I6823" i="2"/>
  <c r="J6823" i="2"/>
  <c r="K6823" i="2"/>
  <c r="O6823" i="2"/>
  <c r="R6823" i="2"/>
  <c r="S6823" i="2" s="1"/>
  <c r="I6824" i="2"/>
  <c r="J6824" i="2"/>
  <c r="K6824" i="2"/>
  <c r="O6824" i="2"/>
  <c r="R6824" i="2"/>
  <c r="S6824" i="2" s="1"/>
  <c r="I6825" i="2"/>
  <c r="J6825" i="2"/>
  <c r="K6825" i="2"/>
  <c r="O6825" i="2"/>
  <c r="R6825" i="2"/>
  <c r="S6825" i="2" s="1"/>
  <c r="I6826" i="2"/>
  <c r="J6826" i="2"/>
  <c r="K6826" i="2"/>
  <c r="O6826" i="2"/>
  <c r="R6826" i="2"/>
  <c r="S6826" i="2" s="1"/>
  <c r="I6827" i="2"/>
  <c r="J6827" i="2"/>
  <c r="K6827" i="2"/>
  <c r="O6827" i="2"/>
  <c r="R6827" i="2"/>
  <c r="S6827" i="2" s="1"/>
  <c r="I6828" i="2"/>
  <c r="J6828" i="2"/>
  <c r="K6828" i="2"/>
  <c r="O6828" i="2"/>
  <c r="R6828" i="2"/>
  <c r="S6828" i="2" s="1"/>
  <c r="I6829" i="2"/>
  <c r="J6829" i="2"/>
  <c r="K6829" i="2"/>
  <c r="O6829" i="2"/>
  <c r="R6829" i="2"/>
  <c r="S6829" i="2" s="1"/>
  <c r="I6830" i="2"/>
  <c r="J6830" i="2"/>
  <c r="K6830" i="2"/>
  <c r="O6830" i="2"/>
  <c r="R6830" i="2"/>
  <c r="S6830" i="2" s="1"/>
  <c r="I6831" i="2"/>
  <c r="J6831" i="2"/>
  <c r="K6831" i="2"/>
  <c r="O6831" i="2"/>
  <c r="R6831" i="2"/>
  <c r="S6831" i="2" s="1"/>
  <c r="I6832" i="2"/>
  <c r="J6832" i="2"/>
  <c r="K6832" i="2"/>
  <c r="O6832" i="2"/>
  <c r="R6832" i="2"/>
  <c r="S6832" i="2" s="1"/>
  <c r="I6833" i="2"/>
  <c r="J6833" i="2"/>
  <c r="K6833" i="2"/>
  <c r="O6833" i="2"/>
  <c r="R6833" i="2"/>
  <c r="S6833" i="2" s="1"/>
  <c r="I6834" i="2"/>
  <c r="J6834" i="2"/>
  <c r="K6834" i="2"/>
  <c r="O6834" i="2"/>
  <c r="R6834" i="2"/>
  <c r="S6834" i="2" s="1"/>
  <c r="I6835" i="2"/>
  <c r="J6835" i="2"/>
  <c r="K6835" i="2"/>
  <c r="O6835" i="2"/>
  <c r="R6835" i="2"/>
  <c r="S6835" i="2" s="1"/>
  <c r="I6836" i="2"/>
  <c r="J6836" i="2"/>
  <c r="K6836" i="2"/>
  <c r="O6836" i="2"/>
  <c r="R6836" i="2"/>
  <c r="S6836" i="2" s="1"/>
  <c r="I6837" i="2"/>
  <c r="J6837" i="2"/>
  <c r="K6837" i="2"/>
  <c r="O6837" i="2"/>
  <c r="R6837" i="2"/>
  <c r="S6837" i="2" s="1"/>
  <c r="I6838" i="2"/>
  <c r="J6838" i="2"/>
  <c r="K6838" i="2"/>
  <c r="O6838" i="2"/>
  <c r="R6838" i="2"/>
  <c r="S6838" i="2" s="1"/>
  <c r="I6839" i="2"/>
  <c r="J6839" i="2"/>
  <c r="K6839" i="2"/>
  <c r="O6839" i="2"/>
  <c r="R6839" i="2"/>
  <c r="S6839" i="2" s="1"/>
  <c r="I6840" i="2"/>
  <c r="J6840" i="2"/>
  <c r="K6840" i="2"/>
  <c r="O6840" i="2"/>
  <c r="R6840" i="2"/>
  <c r="S6840" i="2" s="1"/>
  <c r="I6841" i="2"/>
  <c r="J6841" i="2"/>
  <c r="K6841" i="2"/>
  <c r="O6841" i="2"/>
  <c r="R6841" i="2"/>
  <c r="S6841" i="2" s="1"/>
  <c r="I6842" i="2"/>
  <c r="J6842" i="2"/>
  <c r="K6842" i="2"/>
  <c r="O6842" i="2"/>
  <c r="R6842" i="2"/>
  <c r="S6842" i="2" s="1"/>
  <c r="I6843" i="2"/>
  <c r="J6843" i="2"/>
  <c r="K6843" i="2"/>
  <c r="O6843" i="2"/>
  <c r="R6843" i="2"/>
  <c r="S6843" i="2" s="1"/>
  <c r="I6844" i="2"/>
  <c r="J6844" i="2"/>
  <c r="K6844" i="2"/>
  <c r="O6844" i="2"/>
  <c r="R6844" i="2"/>
  <c r="S6844" i="2" s="1"/>
  <c r="I6845" i="2"/>
  <c r="J6845" i="2"/>
  <c r="K6845" i="2"/>
  <c r="O6845" i="2"/>
  <c r="R6845" i="2"/>
  <c r="S6845" i="2" s="1"/>
  <c r="I6846" i="2"/>
  <c r="J6846" i="2"/>
  <c r="K6846" i="2"/>
  <c r="O6846" i="2"/>
  <c r="R6846" i="2"/>
  <c r="S6846" i="2" s="1"/>
  <c r="I6847" i="2"/>
  <c r="J6847" i="2"/>
  <c r="K6847" i="2"/>
  <c r="O6847" i="2"/>
  <c r="R6847" i="2"/>
  <c r="S6847" i="2" s="1"/>
  <c r="I6848" i="2"/>
  <c r="J6848" i="2"/>
  <c r="K6848" i="2"/>
  <c r="O6848" i="2"/>
  <c r="R6848" i="2"/>
  <c r="S6848" i="2" s="1"/>
  <c r="I6849" i="2"/>
  <c r="J6849" i="2"/>
  <c r="K6849" i="2"/>
  <c r="O6849" i="2"/>
  <c r="R6849" i="2"/>
  <c r="S6849" i="2" s="1"/>
  <c r="I6850" i="2"/>
  <c r="J6850" i="2"/>
  <c r="K6850" i="2"/>
  <c r="O6850" i="2"/>
  <c r="R6850" i="2"/>
  <c r="S6850" i="2" s="1"/>
  <c r="I6851" i="2"/>
  <c r="J6851" i="2"/>
  <c r="K6851" i="2"/>
  <c r="O6851" i="2"/>
  <c r="R6851" i="2"/>
  <c r="S6851" i="2" s="1"/>
  <c r="I6852" i="2"/>
  <c r="J6852" i="2"/>
  <c r="K6852" i="2"/>
  <c r="O6852" i="2"/>
  <c r="R6852" i="2"/>
  <c r="S6852" i="2" s="1"/>
  <c r="I6853" i="2"/>
  <c r="J6853" i="2"/>
  <c r="K6853" i="2"/>
  <c r="O6853" i="2"/>
  <c r="R6853" i="2"/>
  <c r="S6853" i="2" s="1"/>
  <c r="I6854" i="2"/>
  <c r="J6854" i="2"/>
  <c r="K6854" i="2"/>
  <c r="O6854" i="2"/>
  <c r="R6854" i="2"/>
  <c r="S6854" i="2" s="1"/>
  <c r="I6855" i="2"/>
  <c r="J6855" i="2"/>
  <c r="K6855" i="2"/>
  <c r="O6855" i="2"/>
  <c r="R6855" i="2"/>
  <c r="S6855" i="2" s="1"/>
  <c r="I6856" i="2"/>
  <c r="J6856" i="2"/>
  <c r="K6856" i="2"/>
  <c r="O6856" i="2"/>
  <c r="R6856" i="2"/>
  <c r="S6856" i="2" s="1"/>
  <c r="I6857" i="2"/>
  <c r="J6857" i="2"/>
  <c r="K6857" i="2"/>
  <c r="O6857" i="2"/>
  <c r="R6857" i="2"/>
  <c r="S6857" i="2" s="1"/>
  <c r="I6858" i="2"/>
  <c r="J6858" i="2"/>
  <c r="K6858" i="2"/>
  <c r="O6858" i="2"/>
  <c r="R6858" i="2"/>
  <c r="S6858" i="2" s="1"/>
  <c r="I6859" i="2"/>
  <c r="J6859" i="2"/>
  <c r="K6859" i="2"/>
  <c r="O6859" i="2"/>
  <c r="R6859" i="2"/>
  <c r="S6859" i="2" s="1"/>
  <c r="I6860" i="2"/>
  <c r="J6860" i="2"/>
  <c r="K6860" i="2"/>
  <c r="O6860" i="2"/>
  <c r="R6860" i="2"/>
  <c r="S6860" i="2" s="1"/>
  <c r="I6861" i="2"/>
  <c r="J6861" i="2"/>
  <c r="K6861" i="2"/>
  <c r="O6861" i="2"/>
  <c r="R6861" i="2"/>
  <c r="S6861" i="2" s="1"/>
  <c r="I6862" i="2"/>
  <c r="J6862" i="2"/>
  <c r="K6862" i="2"/>
  <c r="O6862" i="2"/>
  <c r="R6862" i="2"/>
  <c r="S6862" i="2" s="1"/>
  <c r="I6863" i="2"/>
  <c r="J6863" i="2"/>
  <c r="K6863" i="2"/>
  <c r="O6863" i="2"/>
  <c r="R6863" i="2"/>
  <c r="S6863" i="2" s="1"/>
  <c r="I6864" i="2"/>
  <c r="J6864" i="2"/>
  <c r="K6864" i="2"/>
  <c r="O6864" i="2"/>
  <c r="R6864" i="2"/>
  <c r="S6864" i="2" s="1"/>
  <c r="I6865" i="2"/>
  <c r="J6865" i="2"/>
  <c r="K6865" i="2"/>
  <c r="O6865" i="2"/>
  <c r="R6865" i="2"/>
  <c r="S6865" i="2" s="1"/>
  <c r="I6866" i="2"/>
  <c r="J6866" i="2"/>
  <c r="K6866" i="2"/>
  <c r="O6866" i="2"/>
  <c r="R6866" i="2"/>
  <c r="S6866" i="2" s="1"/>
  <c r="I6867" i="2"/>
  <c r="J6867" i="2"/>
  <c r="K6867" i="2"/>
  <c r="O6867" i="2"/>
  <c r="R6867" i="2"/>
  <c r="S6867" i="2" s="1"/>
  <c r="I6868" i="2"/>
  <c r="J6868" i="2"/>
  <c r="K6868" i="2"/>
  <c r="O6868" i="2"/>
  <c r="R6868" i="2"/>
  <c r="S6868" i="2" s="1"/>
  <c r="I6869" i="2"/>
  <c r="J6869" i="2"/>
  <c r="K6869" i="2"/>
  <c r="O6869" i="2"/>
  <c r="R6869" i="2"/>
  <c r="S6869" i="2" s="1"/>
  <c r="I6870" i="2"/>
  <c r="J6870" i="2"/>
  <c r="K6870" i="2"/>
  <c r="O6870" i="2"/>
  <c r="R6870" i="2"/>
  <c r="S6870" i="2" s="1"/>
  <c r="I6871" i="2"/>
  <c r="J6871" i="2"/>
  <c r="K6871" i="2"/>
  <c r="O6871" i="2"/>
  <c r="R6871" i="2"/>
  <c r="S6871" i="2" s="1"/>
  <c r="I6872" i="2"/>
  <c r="J6872" i="2"/>
  <c r="K6872" i="2"/>
  <c r="O6872" i="2"/>
  <c r="R6872" i="2"/>
  <c r="S6872" i="2" s="1"/>
  <c r="I6873" i="2"/>
  <c r="J6873" i="2"/>
  <c r="K6873" i="2"/>
  <c r="O6873" i="2"/>
  <c r="R6873" i="2"/>
  <c r="S6873" i="2" s="1"/>
  <c r="I6874" i="2"/>
  <c r="J6874" i="2"/>
  <c r="K6874" i="2"/>
  <c r="O6874" i="2"/>
  <c r="R6874" i="2"/>
  <c r="S6874" i="2" s="1"/>
  <c r="I6875" i="2"/>
  <c r="J6875" i="2"/>
  <c r="K6875" i="2"/>
  <c r="O6875" i="2"/>
  <c r="R6875" i="2"/>
  <c r="S6875" i="2" s="1"/>
  <c r="I6876" i="2"/>
  <c r="J6876" i="2"/>
  <c r="K6876" i="2"/>
  <c r="O6876" i="2"/>
  <c r="R6876" i="2"/>
  <c r="S6876" i="2" s="1"/>
  <c r="I6877" i="2"/>
  <c r="J6877" i="2"/>
  <c r="K6877" i="2"/>
  <c r="O6877" i="2"/>
  <c r="R6877" i="2"/>
  <c r="S6877" i="2" s="1"/>
  <c r="I6878" i="2"/>
  <c r="J6878" i="2"/>
  <c r="K6878" i="2"/>
  <c r="O6878" i="2"/>
  <c r="R6878" i="2"/>
  <c r="S6878" i="2" s="1"/>
  <c r="I6879" i="2"/>
  <c r="J6879" i="2"/>
  <c r="K6879" i="2"/>
  <c r="O6879" i="2"/>
  <c r="R6879" i="2"/>
  <c r="S6879" i="2" s="1"/>
  <c r="I6880" i="2"/>
  <c r="J6880" i="2"/>
  <c r="K6880" i="2"/>
  <c r="O6880" i="2"/>
  <c r="R6880" i="2"/>
  <c r="S6880" i="2" s="1"/>
  <c r="I6881" i="2"/>
  <c r="J6881" i="2"/>
  <c r="K6881" i="2"/>
  <c r="O6881" i="2"/>
  <c r="R6881" i="2"/>
  <c r="S6881" i="2" s="1"/>
  <c r="I6882" i="2"/>
  <c r="J6882" i="2"/>
  <c r="K6882" i="2"/>
  <c r="O6882" i="2"/>
  <c r="R6882" i="2"/>
  <c r="S6882" i="2" s="1"/>
  <c r="I6883" i="2"/>
  <c r="J6883" i="2"/>
  <c r="K6883" i="2"/>
  <c r="O6883" i="2"/>
  <c r="R6883" i="2"/>
  <c r="S6883" i="2" s="1"/>
  <c r="I6884" i="2"/>
  <c r="J6884" i="2"/>
  <c r="K6884" i="2"/>
  <c r="O6884" i="2"/>
  <c r="R6884" i="2"/>
  <c r="S6884" i="2" s="1"/>
  <c r="I6885" i="2"/>
  <c r="J6885" i="2"/>
  <c r="K6885" i="2"/>
  <c r="O6885" i="2"/>
  <c r="R6885" i="2"/>
  <c r="S6885" i="2" s="1"/>
  <c r="I6886" i="2"/>
  <c r="J6886" i="2"/>
  <c r="K6886" i="2"/>
  <c r="O6886" i="2"/>
  <c r="R6886" i="2"/>
  <c r="S6886" i="2" s="1"/>
  <c r="I6887" i="2"/>
  <c r="J6887" i="2"/>
  <c r="K6887" i="2"/>
  <c r="O6887" i="2"/>
  <c r="R6887" i="2"/>
  <c r="S6887" i="2" s="1"/>
  <c r="I6888" i="2"/>
  <c r="J6888" i="2"/>
  <c r="K6888" i="2"/>
  <c r="O6888" i="2"/>
  <c r="R6888" i="2"/>
  <c r="S6888" i="2" s="1"/>
  <c r="I6889" i="2"/>
  <c r="J6889" i="2"/>
  <c r="K6889" i="2"/>
  <c r="O6889" i="2"/>
  <c r="R6889" i="2"/>
  <c r="S6889" i="2" s="1"/>
  <c r="I6890" i="2"/>
  <c r="J6890" i="2"/>
  <c r="K6890" i="2"/>
  <c r="O6890" i="2"/>
  <c r="R6890" i="2"/>
  <c r="S6890" i="2" s="1"/>
  <c r="I6891" i="2"/>
  <c r="J6891" i="2"/>
  <c r="K6891" i="2"/>
  <c r="O6891" i="2"/>
  <c r="R6891" i="2"/>
  <c r="S6891" i="2" s="1"/>
  <c r="I6892" i="2"/>
  <c r="J6892" i="2"/>
  <c r="K6892" i="2"/>
  <c r="O6892" i="2"/>
  <c r="R6892" i="2"/>
  <c r="S6892" i="2" s="1"/>
  <c r="I6893" i="2"/>
  <c r="J6893" i="2"/>
  <c r="K6893" i="2"/>
  <c r="O6893" i="2"/>
  <c r="R6893" i="2"/>
  <c r="S6893" i="2" s="1"/>
  <c r="I6894" i="2"/>
  <c r="J6894" i="2"/>
  <c r="K6894" i="2"/>
  <c r="O6894" i="2"/>
  <c r="R6894" i="2"/>
  <c r="S6894" i="2" s="1"/>
  <c r="I6895" i="2"/>
  <c r="J6895" i="2"/>
  <c r="K6895" i="2"/>
  <c r="O6895" i="2"/>
  <c r="R6895" i="2"/>
  <c r="S6895" i="2" s="1"/>
  <c r="I6896" i="2"/>
  <c r="J6896" i="2"/>
  <c r="K6896" i="2"/>
  <c r="O6896" i="2"/>
  <c r="R6896" i="2"/>
  <c r="S6896" i="2" s="1"/>
  <c r="I6897" i="2"/>
  <c r="J6897" i="2"/>
  <c r="K6897" i="2"/>
  <c r="O6897" i="2"/>
  <c r="R6897" i="2"/>
  <c r="S6897" i="2" s="1"/>
  <c r="I6898" i="2"/>
  <c r="J6898" i="2"/>
  <c r="K6898" i="2"/>
  <c r="O6898" i="2"/>
  <c r="R6898" i="2"/>
  <c r="S6898" i="2" s="1"/>
  <c r="I6899" i="2"/>
  <c r="J6899" i="2"/>
  <c r="K6899" i="2"/>
  <c r="O6899" i="2"/>
  <c r="R6899" i="2"/>
  <c r="S6899" i="2" s="1"/>
  <c r="I6900" i="2"/>
  <c r="J6900" i="2"/>
  <c r="K6900" i="2"/>
  <c r="O6900" i="2"/>
  <c r="R6900" i="2"/>
  <c r="S6900" i="2" s="1"/>
  <c r="I6901" i="2"/>
  <c r="J6901" i="2"/>
  <c r="K6901" i="2"/>
  <c r="O6901" i="2"/>
  <c r="R6901" i="2"/>
  <c r="S6901" i="2" s="1"/>
  <c r="I6902" i="2"/>
  <c r="J6902" i="2"/>
  <c r="K6902" i="2"/>
  <c r="O6902" i="2"/>
  <c r="R6902" i="2"/>
  <c r="S6902" i="2" s="1"/>
  <c r="I6903" i="2"/>
  <c r="J6903" i="2"/>
  <c r="K6903" i="2"/>
  <c r="O6903" i="2"/>
  <c r="R6903" i="2"/>
  <c r="S6903" i="2" s="1"/>
  <c r="I6904" i="2"/>
  <c r="J6904" i="2"/>
  <c r="K6904" i="2"/>
  <c r="O6904" i="2"/>
  <c r="R6904" i="2"/>
  <c r="S6904" i="2" s="1"/>
  <c r="I6905" i="2"/>
  <c r="J6905" i="2"/>
  <c r="K6905" i="2"/>
  <c r="O6905" i="2"/>
  <c r="R6905" i="2"/>
  <c r="S6905" i="2" s="1"/>
  <c r="I6906" i="2"/>
  <c r="J6906" i="2"/>
  <c r="K6906" i="2"/>
  <c r="O6906" i="2"/>
  <c r="R6906" i="2"/>
  <c r="S6906" i="2" s="1"/>
  <c r="I6907" i="2"/>
  <c r="J6907" i="2"/>
  <c r="K6907" i="2"/>
  <c r="O6907" i="2"/>
  <c r="R6907" i="2"/>
  <c r="S6907" i="2" s="1"/>
  <c r="I6908" i="2"/>
  <c r="J6908" i="2"/>
  <c r="K6908" i="2"/>
  <c r="O6908" i="2"/>
  <c r="R6908" i="2"/>
  <c r="S6908" i="2" s="1"/>
  <c r="I6909" i="2"/>
  <c r="J6909" i="2"/>
  <c r="K6909" i="2"/>
  <c r="O6909" i="2"/>
  <c r="R6909" i="2"/>
  <c r="S6909" i="2" s="1"/>
  <c r="I6910" i="2"/>
  <c r="J6910" i="2"/>
  <c r="K6910" i="2"/>
  <c r="O6910" i="2"/>
  <c r="R6910" i="2"/>
  <c r="S6910" i="2" s="1"/>
  <c r="I6911" i="2"/>
  <c r="J6911" i="2"/>
  <c r="K6911" i="2"/>
  <c r="O6911" i="2"/>
  <c r="R6911" i="2"/>
  <c r="S6911" i="2" s="1"/>
  <c r="I6912" i="2"/>
  <c r="J6912" i="2"/>
  <c r="K6912" i="2"/>
  <c r="O6912" i="2"/>
  <c r="R6912" i="2"/>
  <c r="S6912" i="2" s="1"/>
  <c r="I6913" i="2"/>
  <c r="J6913" i="2"/>
  <c r="K6913" i="2"/>
  <c r="O6913" i="2"/>
  <c r="R6913" i="2"/>
  <c r="S6913" i="2" s="1"/>
  <c r="I6914" i="2"/>
  <c r="J6914" i="2"/>
  <c r="K6914" i="2"/>
  <c r="O6914" i="2"/>
  <c r="R6914" i="2"/>
  <c r="S6914" i="2" s="1"/>
  <c r="I6915" i="2"/>
  <c r="J6915" i="2"/>
  <c r="K6915" i="2"/>
  <c r="O6915" i="2"/>
  <c r="R6915" i="2"/>
  <c r="S6915" i="2" s="1"/>
  <c r="I6916" i="2"/>
  <c r="J6916" i="2"/>
  <c r="K6916" i="2"/>
  <c r="O6916" i="2"/>
  <c r="R6916" i="2"/>
  <c r="S6916" i="2" s="1"/>
  <c r="I6917" i="2"/>
  <c r="J6917" i="2"/>
  <c r="K6917" i="2"/>
  <c r="O6917" i="2"/>
  <c r="R6917" i="2"/>
  <c r="S6917" i="2" s="1"/>
  <c r="I6918" i="2"/>
  <c r="J6918" i="2"/>
  <c r="K6918" i="2"/>
  <c r="O6918" i="2"/>
  <c r="R6918" i="2"/>
  <c r="S6918" i="2" s="1"/>
  <c r="I6919" i="2"/>
  <c r="J6919" i="2"/>
  <c r="K6919" i="2"/>
  <c r="O6919" i="2"/>
  <c r="R6919" i="2"/>
  <c r="S6919" i="2" s="1"/>
  <c r="I6920" i="2"/>
  <c r="J6920" i="2"/>
  <c r="K6920" i="2"/>
  <c r="O6920" i="2"/>
  <c r="R6920" i="2"/>
  <c r="S6920" i="2" s="1"/>
  <c r="I6921" i="2"/>
  <c r="J6921" i="2"/>
  <c r="K6921" i="2"/>
  <c r="O6921" i="2"/>
  <c r="R6921" i="2"/>
  <c r="S6921" i="2" s="1"/>
  <c r="I6922" i="2"/>
  <c r="J6922" i="2"/>
  <c r="K6922" i="2"/>
  <c r="O6922" i="2"/>
  <c r="R6922" i="2"/>
  <c r="S6922" i="2" s="1"/>
  <c r="I6923" i="2"/>
  <c r="J6923" i="2"/>
  <c r="K6923" i="2"/>
  <c r="O6923" i="2"/>
  <c r="R6923" i="2"/>
  <c r="S6923" i="2" s="1"/>
  <c r="I6924" i="2"/>
  <c r="J6924" i="2"/>
  <c r="K6924" i="2"/>
  <c r="O6924" i="2"/>
  <c r="R6924" i="2"/>
  <c r="S6924" i="2" s="1"/>
  <c r="I6925" i="2"/>
  <c r="J6925" i="2"/>
  <c r="K6925" i="2"/>
  <c r="O6925" i="2"/>
  <c r="R6925" i="2"/>
  <c r="S6925" i="2" s="1"/>
  <c r="I6926" i="2"/>
  <c r="J6926" i="2"/>
  <c r="K6926" i="2"/>
  <c r="O6926" i="2"/>
  <c r="R6926" i="2"/>
  <c r="S6926" i="2" s="1"/>
  <c r="I6927" i="2"/>
  <c r="J6927" i="2"/>
  <c r="K6927" i="2"/>
  <c r="O6927" i="2"/>
  <c r="R6927" i="2"/>
  <c r="S6927" i="2" s="1"/>
  <c r="I6928" i="2"/>
  <c r="J6928" i="2"/>
  <c r="K6928" i="2"/>
  <c r="O6928" i="2"/>
  <c r="R6928" i="2"/>
  <c r="S6928" i="2" s="1"/>
  <c r="I6929" i="2"/>
  <c r="J6929" i="2"/>
  <c r="K6929" i="2"/>
  <c r="O6929" i="2"/>
  <c r="R6929" i="2"/>
  <c r="S6929" i="2" s="1"/>
  <c r="I6930" i="2"/>
  <c r="J6930" i="2"/>
  <c r="K6930" i="2"/>
  <c r="O6930" i="2"/>
  <c r="R6930" i="2"/>
  <c r="S6930" i="2" s="1"/>
  <c r="I6931" i="2"/>
  <c r="J6931" i="2"/>
  <c r="K6931" i="2"/>
  <c r="O6931" i="2"/>
  <c r="R6931" i="2"/>
  <c r="S6931" i="2" s="1"/>
  <c r="I6932" i="2"/>
  <c r="J6932" i="2"/>
  <c r="K6932" i="2"/>
  <c r="O6932" i="2"/>
  <c r="R6932" i="2"/>
  <c r="S6932" i="2" s="1"/>
  <c r="I6933" i="2"/>
  <c r="J6933" i="2"/>
  <c r="K6933" i="2"/>
  <c r="O6933" i="2"/>
  <c r="R6933" i="2"/>
  <c r="S6933" i="2" s="1"/>
  <c r="I6934" i="2"/>
  <c r="J6934" i="2"/>
  <c r="K6934" i="2"/>
  <c r="O6934" i="2"/>
  <c r="R6934" i="2"/>
  <c r="S6934" i="2" s="1"/>
  <c r="I6935" i="2"/>
  <c r="J6935" i="2"/>
  <c r="K6935" i="2"/>
  <c r="O6935" i="2"/>
  <c r="R6935" i="2"/>
  <c r="S6935" i="2" s="1"/>
  <c r="I6936" i="2"/>
  <c r="J6936" i="2"/>
  <c r="K6936" i="2"/>
  <c r="O6936" i="2"/>
  <c r="R6936" i="2"/>
  <c r="S6936" i="2" s="1"/>
  <c r="I6937" i="2"/>
  <c r="J6937" i="2"/>
  <c r="K6937" i="2"/>
  <c r="O6937" i="2"/>
  <c r="R6937" i="2"/>
  <c r="S6937" i="2" s="1"/>
  <c r="I6938" i="2"/>
  <c r="J6938" i="2"/>
  <c r="K6938" i="2"/>
  <c r="O6938" i="2"/>
  <c r="R6938" i="2"/>
  <c r="S6938" i="2" s="1"/>
  <c r="I6939" i="2"/>
  <c r="J6939" i="2"/>
  <c r="K6939" i="2"/>
  <c r="O6939" i="2"/>
  <c r="R6939" i="2"/>
  <c r="S6939" i="2" s="1"/>
  <c r="I6940" i="2"/>
  <c r="J6940" i="2"/>
  <c r="K6940" i="2"/>
  <c r="O6940" i="2"/>
  <c r="R6940" i="2"/>
  <c r="S6940" i="2" s="1"/>
  <c r="I6941" i="2"/>
  <c r="J6941" i="2"/>
  <c r="K6941" i="2"/>
  <c r="O6941" i="2"/>
  <c r="R6941" i="2"/>
  <c r="S6941" i="2" s="1"/>
  <c r="I6942" i="2"/>
  <c r="J6942" i="2"/>
  <c r="K6942" i="2"/>
  <c r="O6942" i="2"/>
  <c r="R6942" i="2"/>
  <c r="S6942" i="2" s="1"/>
  <c r="I6943" i="2"/>
  <c r="J6943" i="2"/>
  <c r="K6943" i="2"/>
  <c r="O6943" i="2"/>
  <c r="R6943" i="2"/>
  <c r="S6943" i="2" s="1"/>
  <c r="I6944" i="2"/>
  <c r="J6944" i="2"/>
  <c r="K6944" i="2"/>
  <c r="O6944" i="2"/>
  <c r="R6944" i="2"/>
  <c r="S6944" i="2" s="1"/>
  <c r="I6945" i="2"/>
  <c r="J6945" i="2"/>
  <c r="K6945" i="2"/>
  <c r="O6945" i="2"/>
  <c r="R6945" i="2"/>
  <c r="S6945" i="2" s="1"/>
  <c r="I6946" i="2"/>
  <c r="J6946" i="2"/>
  <c r="K6946" i="2"/>
  <c r="O6946" i="2"/>
  <c r="R6946" i="2"/>
  <c r="S6946" i="2" s="1"/>
  <c r="I6947" i="2"/>
  <c r="J6947" i="2"/>
  <c r="K6947" i="2"/>
  <c r="O6947" i="2"/>
  <c r="R6947" i="2"/>
  <c r="S6947" i="2" s="1"/>
  <c r="I6948" i="2"/>
  <c r="J6948" i="2"/>
  <c r="K6948" i="2"/>
  <c r="O6948" i="2"/>
  <c r="R6948" i="2"/>
  <c r="S6948" i="2" s="1"/>
  <c r="I6949" i="2"/>
  <c r="J6949" i="2"/>
  <c r="K6949" i="2"/>
  <c r="O6949" i="2"/>
  <c r="R6949" i="2"/>
  <c r="S6949" i="2" s="1"/>
  <c r="I6950" i="2"/>
  <c r="J6950" i="2"/>
  <c r="K6950" i="2"/>
  <c r="O6950" i="2"/>
  <c r="R6950" i="2"/>
  <c r="S6950" i="2" s="1"/>
  <c r="I6951" i="2"/>
  <c r="J6951" i="2"/>
  <c r="K6951" i="2"/>
  <c r="O6951" i="2"/>
  <c r="R6951" i="2"/>
  <c r="S6951" i="2" s="1"/>
  <c r="I6952" i="2"/>
  <c r="J6952" i="2"/>
  <c r="K6952" i="2"/>
  <c r="O6952" i="2"/>
  <c r="R6952" i="2"/>
  <c r="S6952" i="2" s="1"/>
  <c r="I6953" i="2"/>
  <c r="J6953" i="2"/>
  <c r="K6953" i="2"/>
  <c r="O6953" i="2"/>
  <c r="R6953" i="2"/>
  <c r="S6953" i="2" s="1"/>
  <c r="I6954" i="2"/>
  <c r="J6954" i="2"/>
  <c r="K6954" i="2"/>
  <c r="O6954" i="2"/>
  <c r="R6954" i="2"/>
  <c r="S6954" i="2" s="1"/>
  <c r="I6955" i="2"/>
  <c r="J6955" i="2"/>
  <c r="K6955" i="2"/>
  <c r="O6955" i="2"/>
  <c r="R6955" i="2"/>
  <c r="S6955" i="2" s="1"/>
  <c r="I6956" i="2"/>
  <c r="J6956" i="2"/>
  <c r="K6956" i="2"/>
  <c r="O6956" i="2"/>
  <c r="R6956" i="2"/>
  <c r="S6956" i="2" s="1"/>
  <c r="I6957" i="2"/>
  <c r="J6957" i="2"/>
  <c r="K6957" i="2"/>
  <c r="O6957" i="2"/>
  <c r="R6957" i="2"/>
  <c r="S6957" i="2" s="1"/>
  <c r="I6958" i="2"/>
  <c r="J6958" i="2"/>
  <c r="K6958" i="2"/>
  <c r="O6958" i="2"/>
  <c r="R6958" i="2"/>
  <c r="S6958" i="2" s="1"/>
  <c r="I6959" i="2"/>
  <c r="J6959" i="2"/>
  <c r="K6959" i="2"/>
  <c r="O6959" i="2"/>
  <c r="R6959" i="2"/>
  <c r="S6959" i="2" s="1"/>
  <c r="I6960" i="2"/>
  <c r="J6960" i="2"/>
  <c r="K6960" i="2"/>
  <c r="O6960" i="2"/>
  <c r="R6960" i="2"/>
  <c r="S6960" i="2" s="1"/>
  <c r="I6961" i="2"/>
  <c r="J6961" i="2"/>
  <c r="K6961" i="2"/>
  <c r="O6961" i="2"/>
  <c r="R6961" i="2"/>
  <c r="S6961" i="2" s="1"/>
  <c r="I6962" i="2"/>
  <c r="J6962" i="2"/>
  <c r="K6962" i="2"/>
  <c r="O6962" i="2"/>
  <c r="R6962" i="2"/>
  <c r="S6962" i="2" s="1"/>
  <c r="I6963" i="2"/>
  <c r="J6963" i="2"/>
  <c r="K6963" i="2"/>
  <c r="O6963" i="2"/>
  <c r="R6963" i="2"/>
  <c r="S6963" i="2" s="1"/>
  <c r="I6964" i="2"/>
  <c r="J6964" i="2"/>
  <c r="K6964" i="2"/>
  <c r="O6964" i="2"/>
  <c r="R6964" i="2"/>
  <c r="S6964" i="2" s="1"/>
  <c r="I6965" i="2"/>
  <c r="J6965" i="2"/>
  <c r="K6965" i="2"/>
  <c r="O6965" i="2"/>
  <c r="R6965" i="2"/>
  <c r="S6965" i="2" s="1"/>
  <c r="I6966" i="2"/>
  <c r="J6966" i="2"/>
  <c r="K6966" i="2"/>
  <c r="O6966" i="2"/>
  <c r="R6966" i="2"/>
  <c r="S6966" i="2" s="1"/>
  <c r="I6967" i="2"/>
  <c r="J6967" i="2"/>
  <c r="K6967" i="2"/>
  <c r="O6967" i="2"/>
  <c r="R6967" i="2"/>
  <c r="S6967" i="2" s="1"/>
  <c r="I6968" i="2"/>
  <c r="J6968" i="2"/>
  <c r="K6968" i="2"/>
  <c r="O6968" i="2"/>
  <c r="R6968" i="2"/>
  <c r="S6968" i="2" s="1"/>
  <c r="I6969" i="2"/>
  <c r="J6969" i="2"/>
  <c r="K6969" i="2"/>
  <c r="O6969" i="2"/>
  <c r="R6969" i="2"/>
  <c r="S6969" i="2" s="1"/>
  <c r="I6970" i="2"/>
  <c r="J6970" i="2"/>
  <c r="K6970" i="2"/>
  <c r="O6970" i="2"/>
  <c r="R6970" i="2"/>
  <c r="S6970" i="2" s="1"/>
  <c r="I6971" i="2"/>
  <c r="J6971" i="2"/>
  <c r="K6971" i="2"/>
  <c r="O6971" i="2"/>
  <c r="R6971" i="2"/>
  <c r="S6971" i="2" s="1"/>
  <c r="I6972" i="2"/>
  <c r="J6972" i="2"/>
  <c r="K6972" i="2"/>
  <c r="O6972" i="2"/>
  <c r="R6972" i="2"/>
  <c r="S6972" i="2" s="1"/>
  <c r="I6973" i="2"/>
  <c r="J6973" i="2"/>
  <c r="K6973" i="2"/>
  <c r="O6973" i="2"/>
  <c r="R6973" i="2"/>
  <c r="S6973" i="2" s="1"/>
  <c r="I6974" i="2"/>
  <c r="J6974" i="2"/>
  <c r="K6974" i="2"/>
  <c r="O6974" i="2"/>
  <c r="R6974" i="2"/>
  <c r="S6974" i="2" s="1"/>
  <c r="I6975" i="2"/>
  <c r="J6975" i="2"/>
  <c r="K6975" i="2"/>
  <c r="O6975" i="2"/>
  <c r="R6975" i="2"/>
  <c r="S6975" i="2" s="1"/>
  <c r="I6976" i="2"/>
  <c r="J6976" i="2"/>
  <c r="K6976" i="2"/>
  <c r="O6976" i="2"/>
  <c r="R6976" i="2"/>
  <c r="S6976" i="2" s="1"/>
  <c r="I6977" i="2"/>
  <c r="J6977" i="2"/>
  <c r="K6977" i="2"/>
  <c r="O6977" i="2"/>
  <c r="R6977" i="2"/>
  <c r="S6977" i="2" s="1"/>
  <c r="I6978" i="2"/>
  <c r="J6978" i="2"/>
  <c r="K6978" i="2"/>
  <c r="O6978" i="2"/>
  <c r="R6978" i="2"/>
  <c r="S6978" i="2" s="1"/>
  <c r="I6979" i="2"/>
  <c r="J6979" i="2"/>
  <c r="K6979" i="2"/>
  <c r="O6979" i="2"/>
  <c r="R6979" i="2"/>
  <c r="S6979" i="2" s="1"/>
  <c r="I6980" i="2"/>
  <c r="J6980" i="2"/>
  <c r="K6980" i="2"/>
  <c r="O6980" i="2"/>
  <c r="R6980" i="2"/>
  <c r="S6980" i="2" s="1"/>
  <c r="I6981" i="2"/>
  <c r="J6981" i="2"/>
  <c r="K6981" i="2"/>
  <c r="O6981" i="2"/>
  <c r="R6981" i="2"/>
  <c r="S6981" i="2" s="1"/>
  <c r="I6982" i="2"/>
  <c r="J6982" i="2"/>
  <c r="K6982" i="2"/>
  <c r="O6982" i="2"/>
  <c r="R6982" i="2"/>
  <c r="S6982" i="2" s="1"/>
  <c r="I6983" i="2"/>
  <c r="J6983" i="2"/>
  <c r="K6983" i="2"/>
  <c r="O6983" i="2"/>
  <c r="R6983" i="2"/>
  <c r="S6983" i="2" s="1"/>
  <c r="I6984" i="2"/>
  <c r="J6984" i="2"/>
  <c r="K6984" i="2"/>
  <c r="O6984" i="2"/>
  <c r="R6984" i="2"/>
  <c r="S6984" i="2" s="1"/>
  <c r="I6985" i="2"/>
  <c r="J6985" i="2"/>
  <c r="K6985" i="2"/>
  <c r="O6985" i="2"/>
  <c r="R6985" i="2"/>
  <c r="S6985" i="2" s="1"/>
  <c r="I6986" i="2"/>
  <c r="J6986" i="2"/>
  <c r="K6986" i="2"/>
  <c r="O6986" i="2"/>
  <c r="R6986" i="2"/>
  <c r="S6986" i="2" s="1"/>
  <c r="I6987" i="2"/>
  <c r="J6987" i="2"/>
  <c r="K6987" i="2"/>
  <c r="O6987" i="2"/>
  <c r="R6987" i="2"/>
  <c r="S6987" i="2" s="1"/>
  <c r="I6988" i="2"/>
  <c r="J6988" i="2"/>
  <c r="K6988" i="2"/>
  <c r="O6988" i="2"/>
  <c r="R6988" i="2"/>
  <c r="S6988" i="2" s="1"/>
  <c r="I6989" i="2"/>
  <c r="J6989" i="2"/>
  <c r="K6989" i="2"/>
  <c r="O6989" i="2"/>
  <c r="R6989" i="2"/>
  <c r="S6989" i="2" s="1"/>
  <c r="I6990" i="2"/>
  <c r="J6990" i="2"/>
  <c r="K6990" i="2"/>
  <c r="O6990" i="2"/>
  <c r="R6990" i="2"/>
  <c r="S6990" i="2" s="1"/>
  <c r="I6991" i="2"/>
  <c r="J6991" i="2"/>
  <c r="K6991" i="2"/>
  <c r="O6991" i="2"/>
  <c r="R6991" i="2"/>
  <c r="S6991" i="2" s="1"/>
  <c r="I6992" i="2"/>
  <c r="J6992" i="2"/>
  <c r="K6992" i="2"/>
  <c r="O6992" i="2"/>
  <c r="R6992" i="2"/>
  <c r="S6992" i="2" s="1"/>
  <c r="I6993" i="2"/>
  <c r="J6993" i="2"/>
  <c r="K6993" i="2"/>
  <c r="O6993" i="2"/>
  <c r="R6993" i="2"/>
  <c r="S6993" i="2" s="1"/>
  <c r="I6994" i="2"/>
  <c r="J6994" i="2"/>
  <c r="K6994" i="2"/>
  <c r="O6994" i="2"/>
  <c r="R6994" i="2"/>
  <c r="S6994" i="2" s="1"/>
  <c r="I6995" i="2"/>
  <c r="J6995" i="2"/>
  <c r="K6995" i="2"/>
  <c r="O6995" i="2"/>
  <c r="R6995" i="2"/>
  <c r="S6995" i="2" s="1"/>
  <c r="I6996" i="2"/>
  <c r="J6996" i="2"/>
  <c r="K6996" i="2"/>
  <c r="O6996" i="2"/>
  <c r="R6996" i="2"/>
  <c r="S6996" i="2" s="1"/>
  <c r="I6997" i="2"/>
  <c r="J6997" i="2"/>
  <c r="K6997" i="2"/>
  <c r="O6997" i="2"/>
  <c r="R6997" i="2"/>
  <c r="S6997" i="2" s="1"/>
  <c r="I6998" i="2"/>
  <c r="J6998" i="2"/>
  <c r="K6998" i="2"/>
  <c r="O6998" i="2"/>
  <c r="R6998" i="2"/>
  <c r="S6998" i="2" s="1"/>
  <c r="I6999" i="2"/>
  <c r="J6999" i="2"/>
  <c r="K6999" i="2"/>
  <c r="O6999" i="2"/>
  <c r="R6999" i="2"/>
  <c r="S6999" i="2" s="1"/>
  <c r="I7000" i="2"/>
  <c r="J7000" i="2"/>
  <c r="K7000" i="2"/>
  <c r="O7000" i="2"/>
  <c r="R7000" i="2"/>
  <c r="S7000" i="2" s="1"/>
  <c r="I7001" i="2"/>
  <c r="J7001" i="2"/>
  <c r="K7001" i="2"/>
  <c r="O7001" i="2"/>
  <c r="R7001" i="2"/>
  <c r="S7001" i="2" s="1"/>
  <c r="I7002" i="2"/>
  <c r="J7002" i="2"/>
  <c r="K7002" i="2"/>
  <c r="O7002" i="2"/>
  <c r="R7002" i="2"/>
  <c r="S7002" i="2" s="1"/>
  <c r="I7003" i="2"/>
  <c r="J7003" i="2"/>
  <c r="K7003" i="2"/>
  <c r="O7003" i="2"/>
  <c r="R7003" i="2"/>
  <c r="S7003" i="2" s="1"/>
  <c r="I7004" i="2"/>
  <c r="J7004" i="2"/>
  <c r="K7004" i="2"/>
  <c r="O7004" i="2"/>
  <c r="R7004" i="2"/>
  <c r="S7004" i="2" s="1"/>
  <c r="I7005" i="2"/>
  <c r="J7005" i="2"/>
  <c r="K7005" i="2"/>
  <c r="O7005" i="2"/>
  <c r="R7005" i="2"/>
  <c r="S7005" i="2" s="1"/>
  <c r="I7006" i="2"/>
  <c r="J7006" i="2"/>
  <c r="K7006" i="2"/>
  <c r="O7006" i="2"/>
  <c r="R7006" i="2"/>
  <c r="S7006" i="2" s="1"/>
  <c r="I7007" i="2"/>
  <c r="J7007" i="2"/>
  <c r="K7007" i="2"/>
  <c r="O7007" i="2"/>
  <c r="R7007" i="2"/>
  <c r="S7007" i="2" s="1"/>
  <c r="I7008" i="2"/>
  <c r="J7008" i="2"/>
  <c r="K7008" i="2"/>
  <c r="O7008" i="2"/>
  <c r="R7008" i="2"/>
  <c r="S7008" i="2" s="1"/>
  <c r="I7009" i="2"/>
  <c r="J7009" i="2"/>
  <c r="K7009" i="2"/>
  <c r="O7009" i="2"/>
  <c r="R7009" i="2"/>
  <c r="S7009" i="2" s="1"/>
  <c r="I7010" i="2"/>
  <c r="J7010" i="2"/>
  <c r="K7010" i="2"/>
  <c r="O7010" i="2"/>
  <c r="R7010" i="2"/>
  <c r="S7010" i="2" s="1"/>
  <c r="I7011" i="2"/>
  <c r="J7011" i="2"/>
  <c r="K7011" i="2"/>
  <c r="O7011" i="2"/>
  <c r="R7011" i="2"/>
  <c r="S7011" i="2" s="1"/>
  <c r="I7012" i="2"/>
  <c r="J7012" i="2"/>
  <c r="K7012" i="2"/>
  <c r="O7012" i="2"/>
  <c r="R7012" i="2"/>
  <c r="S7012" i="2" s="1"/>
  <c r="I7013" i="2"/>
  <c r="J7013" i="2"/>
  <c r="K7013" i="2"/>
  <c r="O7013" i="2"/>
  <c r="R7013" i="2"/>
  <c r="S7013" i="2" s="1"/>
  <c r="I7014" i="2"/>
  <c r="J7014" i="2"/>
  <c r="K7014" i="2"/>
  <c r="O7014" i="2"/>
  <c r="R7014" i="2"/>
  <c r="S7014" i="2" s="1"/>
  <c r="I7015" i="2"/>
  <c r="J7015" i="2"/>
  <c r="K7015" i="2"/>
  <c r="O7015" i="2"/>
  <c r="R7015" i="2"/>
  <c r="S7015" i="2" s="1"/>
  <c r="I7016" i="2"/>
  <c r="J7016" i="2"/>
  <c r="K7016" i="2"/>
  <c r="O7016" i="2"/>
  <c r="R7016" i="2"/>
  <c r="S7016" i="2" s="1"/>
  <c r="I7017" i="2"/>
  <c r="J7017" i="2"/>
  <c r="K7017" i="2"/>
  <c r="O7017" i="2"/>
  <c r="R7017" i="2"/>
  <c r="S7017" i="2" s="1"/>
  <c r="I7018" i="2"/>
  <c r="J7018" i="2"/>
  <c r="K7018" i="2"/>
  <c r="O7018" i="2"/>
  <c r="R7018" i="2"/>
  <c r="S7018" i="2" s="1"/>
  <c r="I7019" i="2"/>
  <c r="J7019" i="2"/>
  <c r="K7019" i="2"/>
  <c r="O7019" i="2"/>
  <c r="R7019" i="2"/>
  <c r="S7019" i="2" s="1"/>
  <c r="I7020" i="2"/>
  <c r="J7020" i="2"/>
  <c r="K7020" i="2"/>
  <c r="O7020" i="2"/>
  <c r="R7020" i="2"/>
  <c r="S7020" i="2" s="1"/>
  <c r="I7021" i="2"/>
  <c r="J7021" i="2"/>
  <c r="K7021" i="2"/>
  <c r="O7021" i="2"/>
  <c r="R7021" i="2"/>
  <c r="S7021" i="2" s="1"/>
  <c r="I7022" i="2"/>
  <c r="J7022" i="2"/>
  <c r="K7022" i="2"/>
  <c r="O7022" i="2"/>
  <c r="R7022" i="2"/>
  <c r="S7022" i="2" s="1"/>
  <c r="I7023" i="2"/>
  <c r="J7023" i="2"/>
  <c r="K7023" i="2"/>
  <c r="O7023" i="2"/>
  <c r="R7023" i="2"/>
  <c r="S7023" i="2" s="1"/>
  <c r="I7024" i="2"/>
  <c r="J7024" i="2"/>
  <c r="K7024" i="2"/>
  <c r="O7024" i="2"/>
  <c r="R7024" i="2"/>
  <c r="S7024" i="2" s="1"/>
  <c r="I7025" i="2"/>
  <c r="J7025" i="2"/>
  <c r="K7025" i="2"/>
  <c r="O7025" i="2"/>
  <c r="R7025" i="2"/>
  <c r="S7025" i="2" s="1"/>
  <c r="I7026" i="2"/>
  <c r="J7026" i="2"/>
  <c r="K7026" i="2"/>
  <c r="O7026" i="2"/>
  <c r="R7026" i="2"/>
  <c r="S7026" i="2" s="1"/>
  <c r="I7027" i="2"/>
  <c r="J7027" i="2"/>
  <c r="K7027" i="2"/>
  <c r="O7027" i="2"/>
  <c r="R7027" i="2"/>
  <c r="S7027" i="2" s="1"/>
  <c r="I7028" i="2"/>
  <c r="J7028" i="2"/>
  <c r="K7028" i="2"/>
  <c r="O7028" i="2"/>
  <c r="R7028" i="2"/>
  <c r="S7028" i="2" s="1"/>
  <c r="I7029" i="2"/>
  <c r="J7029" i="2"/>
  <c r="K7029" i="2"/>
  <c r="O7029" i="2"/>
  <c r="R7029" i="2"/>
  <c r="S7029" i="2" s="1"/>
  <c r="I7030" i="2"/>
  <c r="J7030" i="2"/>
  <c r="K7030" i="2"/>
  <c r="O7030" i="2"/>
  <c r="R7030" i="2"/>
  <c r="S7030" i="2" s="1"/>
  <c r="I7031" i="2"/>
  <c r="J7031" i="2"/>
  <c r="K7031" i="2"/>
  <c r="O7031" i="2"/>
  <c r="R7031" i="2"/>
  <c r="S7031" i="2" s="1"/>
  <c r="I7032" i="2"/>
  <c r="J7032" i="2"/>
  <c r="K7032" i="2"/>
  <c r="O7032" i="2"/>
  <c r="R7032" i="2"/>
  <c r="S7032" i="2" s="1"/>
  <c r="I7033" i="2"/>
  <c r="J7033" i="2"/>
  <c r="K7033" i="2"/>
  <c r="O7033" i="2"/>
  <c r="R7033" i="2"/>
  <c r="S7033" i="2" s="1"/>
  <c r="I7034" i="2"/>
  <c r="J7034" i="2"/>
  <c r="K7034" i="2"/>
  <c r="O7034" i="2"/>
  <c r="R7034" i="2"/>
  <c r="S7034" i="2" s="1"/>
  <c r="I7035" i="2"/>
  <c r="J7035" i="2"/>
  <c r="K7035" i="2"/>
  <c r="O7035" i="2"/>
  <c r="R7035" i="2"/>
  <c r="S7035" i="2" s="1"/>
  <c r="I7036" i="2"/>
  <c r="J7036" i="2"/>
  <c r="K7036" i="2"/>
  <c r="O7036" i="2"/>
  <c r="R7036" i="2"/>
  <c r="S7036" i="2" s="1"/>
  <c r="I7037" i="2"/>
  <c r="J7037" i="2"/>
  <c r="K7037" i="2"/>
  <c r="O7037" i="2"/>
  <c r="R7037" i="2"/>
  <c r="S7037" i="2" s="1"/>
  <c r="I7038" i="2"/>
  <c r="J7038" i="2"/>
  <c r="K7038" i="2"/>
  <c r="O7038" i="2"/>
  <c r="R7038" i="2"/>
  <c r="S7038" i="2" s="1"/>
  <c r="I7039" i="2"/>
  <c r="J7039" i="2"/>
  <c r="K7039" i="2"/>
  <c r="O7039" i="2"/>
  <c r="R7039" i="2"/>
  <c r="S7039" i="2" s="1"/>
  <c r="I7040" i="2"/>
  <c r="J7040" i="2"/>
  <c r="K7040" i="2"/>
  <c r="O7040" i="2"/>
  <c r="R7040" i="2"/>
  <c r="S7040" i="2" s="1"/>
  <c r="I7041" i="2"/>
  <c r="J7041" i="2"/>
  <c r="K7041" i="2"/>
  <c r="O7041" i="2"/>
  <c r="R7041" i="2"/>
  <c r="S7041" i="2" s="1"/>
  <c r="I7042" i="2"/>
  <c r="J7042" i="2"/>
  <c r="K7042" i="2"/>
  <c r="O7042" i="2"/>
  <c r="R7042" i="2"/>
  <c r="S7042" i="2" s="1"/>
  <c r="I7043" i="2"/>
  <c r="J7043" i="2"/>
  <c r="K7043" i="2"/>
  <c r="O7043" i="2"/>
  <c r="R7043" i="2"/>
  <c r="S7043" i="2" s="1"/>
  <c r="I7044" i="2"/>
  <c r="J7044" i="2"/>
  <c r="K7044" i="2"/>
  <c r="O7044" i="2"/>
  <c r="R7044" i="2"/>
  <c r="S7044" i="2" s="1"/>
  <c r="I7045" i="2"/>
  <c r="J7045" i="2"/>
  <c r="K7045" i="2"/>
  <c r="O7045" i="2"/>
  <c r="R7045" i="2"/>
  <c r="S7045" i="2" s="1"/>
  <c r="I7046" i="2"/>
  <c r="J7046" i="2"/>
  <c r="K7046" i="2"/>
  <c r="O7046" i="2"/>
  <c r="R7046" i="2"/>
  <c r="S7046" i="2" s="1"/>
  <c r="I7047" i="2"/>
  <c r="J7047" i="2"/>
  <c r="K7047" i="2"/>
  <c r="O7047" i="2"/>
  <c r="R7047" i="2"/>
  <c r="S7047" i="2" s="1"/>
  <c r="I7048" i="2"/>
  <c r="J7048" i="2"/>
  <c r="K7048" i="2"/>
  <c r="O7048" i="2"/>
  <c r="R7048" i="2"/>
  <c r="S7048" i="2" s="1"/>
  <c r="I7049" i="2"/>
  <c r="J7049" i="2"/>
  <c r="K7049" i="2"/>
  <c r="O7049" i="2"/>
  <c r="R7049" i="2"/>
  <c r="S7049" i="2" s="1"/>
  <c r="I7050" i="2"/>
  <c r="J7050" i="2"/>
  <c r="K7050" i="2"/>
  <c r="O7050" i="2"/>
  <c r="R7050" i="2"/>
  <c r="S7050" i="2" s="1"/>
  <c r="I7051" i="2"/>
  <c r="J7051" i="2"/>
  <c r="K7051" i="2"/>
  <c r="O7051" i="2"/>
  <c r="R7051" i="2"/>
  <c r="S7051" i="2" s="1"/>
  <c r="I7052" i="2"/>
  <c r="J7052" i="2"/>
  <c r="K7052" i="2"/>
  <c r="O7052" i="2"/>
  <c r="R7052" i="2"/>
  <c r="S7052" i="2" s="1"/>
  <c r="I7053" i="2"/>
  <c r="J7053" i="2"/>
  <c r="K7053" i="2"/>
  <c r="O7053" i="2"/>
  <c r="R7053" i="2"/>
  <c r="S7053" i="2" s="1"/>
  <c r="I7054" i="2"/>
  <c r="J7054" i="2"/>
  <c r="K7054" i="2"/>
  <c r="O7054" i="2"/>
  <c r="R7054" i="2"/>
  <c r="S7054" i="2" s="1"/>
  <c r="I7055" i="2"/>
  <c r="J7055" i="2"/>
  <c r="K7055" i="2"/>
  <c r="O7055" i="2"/>
  <c r="R7055" i="2"/>
  <c r="S7055" i="2" s="1"/>
  <c r="I7056" i="2"/>
  <c r="J7056" i="2"/>
  <c r="K7056" i="2"/>
  <c r="O7056" i="2"/>
  <c r="R7056" i="2"/>
  <c r="S7056" i="2" s="1"/>
  <c r="I7057" i="2"/>
  <c r="J7057" i="2"/>
  <c r="K7057" i="2"/>
  <c r="O7057" i="2"/>
  <c r="R7057" i="2"/>
  <c r="S7057" i="2" s="1"/>
  <c r="I7058" i="2"/>
  <c r="J7058" i="2"/>
  <c r="K7058" i="2"/>
  <c r="O7058" i="2"/>
  <c r="R7058" i="2"/>
  <c r="S7058" i="2" s="1"/>
  <c r="I7059" i="2"/>
  <c r="J7059" i="2"/>
  <c r="K7059" i="2"/>
  <c r="O7059" i="2"/>
  <c r="R7059" i="2"/>
  <c r="S7059" i="2" s="1"/>
  <c r="I7060" i="2"/>
  <c r="J7060" i="2"/>
  <c r="K7060" i="2"/>
  <c r="O7060" i="2"/>
  <c r="R7060" i="2"/>
  <c r="S7060" i="2" s="1"/>
  <c r="I7061" i="2"/>
  <c r="J7061" i="2"/>
  <c r="K7061" i="2"/>
  <c r="O7061" i="2"/>
  <c r="R7061" i="2"/>
  <c r="S7061" i="2" s="1"/>
  <c r="I7062" i="2"/>
  <c r="J7062" i="2"/>
  <c r="K7062" i="2"/>
  <c r="O7062" i="2"/>
  <c r="R7062" i="2"/>
  <c r="S7062" i="2" s="1"/>
  <c r="I7063" i="2"/>
  <c r="J7063" i="2"/>
  <c r="K7063" i="2"/>
  <c r="O7063" i="2"/>
  <c r="R7063" i="2"/>
  <c r="S7063" i="2" s="1"/>
  <c r="I7064" i="2"/>
  <c r="J7064" i="2"/>
  <c r="K7064" i="2"/>
  <c r="O7064" i="2"/>
  <c r="R7064" i="2"/>
  <c r="S7064" i="2" s="1"/>
  <c r="I7065" i="2"/>
  <c r="J7065" i="2"/>
  <c r="K7065" i="2"/>
  <c r="O7065" i="2"/>
  <c r="R7065" i="2"/>
  <c r="S7065" i="2" s="1"/>
  <c r="I7066" i="2"/>
  <c r="J7066" i="2"/>
  <c r="K7066" i="2"/>
  <c r="O7066" i="2"/>
  <c r="R7066" i="2"/>
  <c r="S7066" i="2" s="1"/>
  <c r="I7067" i="2"/>
  <c r="J7067" i="2"/>
  <c r="K7067" i="2"/>
  <c r="O7067" i="2"/>
  <c r="R7067" i="2"/>
  <c r="S7067" i="2" s="1"/>
  <c r="I7068" i="2"/>
  <c r="J7068" i="2"/>
  <c r="K7068" i="2"/>
  <c r="O7068" i="2"/>
  <c r="R7068" i="2"/>
  <c r="S7068" i="2" s="1"/>
  <c r="I7069" i="2"/>
  <c r="J7069" i="2"/>
  <c r="K7069" i="2"/>
  <c r="O7069" i="2"/>
  <c r="R7069" i="2"/>
  <c r="S7069" i="2" s="1"/>
  <c r="I7070" i="2"/>
  <c r="J7070" i="2"/>
  <c r="K7070" i="2"/>
  <c r="O7070" i="2"/>
  <c r="R7070" i="2"/>
  <c r="S7070" i="2" s="1"/>
  <c r="I7071" i="2"/>
  <c r="J7071" i="2"/>
  <c r="K7071" i="2"/>
  <c r="O7071" i="2"/>
  <c r="R7071" i="2"/>
  <c r="S7071" i="2" s="1"/>
  <c r="I7072" i="2"/>
  <c r="J7072" i="2"/>
  <c r="K7072" i="2"/>
  <c r="O7072" i="2"/>
  <c r="R7072" i="2"/>
  <c r="S7072" i="2" s="1"/>
  <c r="I7073" i="2"/>
  <c r="J7073" i="2"/>
  <c r="K7073" i="2"/>
  <c r="O7073" i="2"/>
  <c r="R7073" i="2"/>
  <c r="S7073" i="2" s="1"/>
  <c r="I7074" i="2"/>
  <c r="J7074" i="2"/>
  <c r="K7074" i="2"/>
  <c r="O7074" i="2"/>
  <c r="R7074" i="2"/>
  <c r="S7074" i="2" s="1"/>
  <c r="I7075" i="2"/>
  <c r="J7075" i="2"/>
  <c r="K7075" i="2"/>
  <c r="O7075" i="2"/>
  <c r="R7075" i="2"/>
  <c r="S7075" i="2" s="1"/>
  <c r="I7076" i="2"/>
  <c r="J7076" i="2"/>
  <c r="K7076" i="2"/>
  <c r="O7076" i="2"/>
  <c r="R7076" i="2"/>
  <c r="S7076" i="2" s="1"/>
  <c r="I7077" i="2"/>
  <c r="J7077" i="2"/>
  <c r="K7077" i="2"/>
  <c r="O7077" i="2"/>
  <c r="R7077" i="2"/>
  <c r="S7077" i="2" s="1"/>
  <c r="I7078" i="2"/>
  <c r="J7078" i="2"/>
  <c r="K7078" i="2"/>
  <c r="O7078" i="2"/>
  <c r="R7078" i="2"/>
  <c r="S7078" i="2" s="1"/>
  <c r="I7079" i="2"/>
  <c r="J7079" i="2"/>
  <c r="K7079" i="2"/>
  <c r="O7079" i="2"/>
  <c r="R7079" i="2"/>
  <c r="S7079" i="2" s="1"/>
  <c r="I7080" i="2"/>
  <c r="J7080" i="2"/>
  <c r="K7080" i="2"/>
  <c r="O7080" i="2"/>
  <c r="R7080" i="2"/>
  <c r="S7080" i="2" s="1"/>
  <c r="I7081" i="2"/>
  <c r="J7081" i="2"/>
  <c r="K7081" i="2"/>
  <c r="O7081" i="2"/>
  <c r="R7081" i="2"/>
  <c r="S7081" i="2" s="1"/>
  <c r="I7082" i="2"/>
  <c r="J7082" i="2"/>
  <c r="K7082" i="2"/>
  <c r="O7082" i="2"/>
  <c r="R7082" i="2"/>
  <c r="S7082" i="2" s="1"/>
  <c r="I7083" i="2"/>
  <c r="J7083" i="2"/>
  <c r="K7083" i="2"/>
  <c r="O7083" i="2"/>
  <c r="R7083" i="2"/>
  <c r="S7083" i="2" s="1"/>
  <c r="I7084" i="2"/>
  <c r="J7084" i="2"/>
  <c r="K7084" i="2"/>
  <c r="O7084" i="2"/>
  <c r="R7084" i="2"/>
  <c r="S7084" i="2" s="1"/>
  <c r="I7085" i="2"/>
  <c r="J7085" i="2"/>
  <c r="K7085" i="2"/>
  <c r="O7085" i="2"/>
  <c r="R7085" i="2"/>
  <c r="S7085" i="2" s="1"/>
  <c r="I7086" i="2"/>
  <c r="J7086" i="2"/>
  <c r="K7086" i="2"/>
  <c r="O7086" i="2"/>
  <c r="R7086" i="2"/>
  <c r="S7086" i="2" s="1"/>
  <c r="I7087" i="2"/>
  <c r="J7087" i="2"/>
  <c r="K7087" i="2"/>
  <c r="O7087" i="2"/>
  <c r="R7087" i="2"/>
  <c r="S7087" i="2" s="1"/>
  <c r="I7088" i="2"/>
  <c r="J7088" i="2"/>
  <c r="K7088" i="2"/>
  <c r="O7088" i="2"/>
  <c r="R7088" i="2"/>
  <c r="S7088" i="2" s="1"/>
  <c r="I7089" i="2"/>
  <c r="J7089" i="2"/>
  <c r="K7089" i="2"/>
  <c r="O7089" i="2"/>
  <c r="R7089" i="2"/>
  <c r="S7089" i="2" s="1"/>
  <c r="I7090" i="2"/>
  <c r="J7090" i="2"/>
  <c r="K7090" i="2"/>
  <c r="O7090" i="2"/>
  <c r="R7090" i="2"/>
  <c r="S7090" i="2" s="1"/>
  <c r="I7091" i="2"/>
  <c r="J7091" i="2"/>
  <c r="K7091" i="2"/>
  <c r="O7091" i="2"/>
  <c r="R7091" i="2"/>
  <c r="S7091" i="2" s="1"/>
  <c r="I7092" i="2"/>
  <c r="J7092" i="2"/>
  <c r="K7092" i="2"/>
  <c r="O7092" i="2"/>
  <c r="R7092" i="2"/>
  <c r="S7092" i="2" s="1"/>
  <c r="I7093" i="2"/>
  <c r="J7093" i="2"/>
  <c r="K7093" i="2"/>
  <c r="O7093" i="2"/>
  <c r="R7093" i="2"/>
  <c r="S7093" i="2" s="1"/>
  <c r="I7094" i="2"/>
  <c r="J7094" i="2"/>
  <c r="K7094" i="2"/>
  <c r="O7094" i="2"/>
  <c r="R7094" i="2"/>
  <c r="S7094" i="2" s="1"/>
  <c r="I7095" i="2"/>
  <c r="J7095" i="2"/>
  <c r="K7095" i="2"/>
  <c r="O7095" i="2"/>
  <c r="R7095" i="2"/>
  <c r="S7095" i="2" s="1"/>
  <c r="I7096" i="2"/>
  <c r="J7096" i="2"/>
  <c r="K7096" i="2"/>
  <c r="O7096" i="2"/>
  <c r="R7096" i="2"/>
  <c r="S7096" i="2" s="1"/>
  <c r="I7097" i="2"/>
  <c r="J7097" i="2"/>
  <c r="K7097" i="2"/>
  <c r="O7097" i="2"/>
  <c r="R7097" i="2"/>
  <c r="S7097" i="2" s="1"/>
  <c r="I7098" i="2"/>
  <c r="J7098" i="2"/>
  <c r="K7098" i="2"/>
  <c r="O7098" i="2"/>
  <c r="R7098" i="2"/>
  <c r="S7098" i="2" s="1"/>
  <c r="I7099" i="2"/>
  <c r="J7099" i="2"/>
  <c r="K7099" i="2"/>
  <c r="O7099" i="2"/>
  <c r="R7099" i="2"/>
  <c r="S7099" i="2" s="1"/>
  <c r="I7100" i="2"/>
  <c r="J7100" i="2"/>
  <c r="K7100" i="2"/>
  <c r="O7100" i="2"/>
  <c r="R7100" i="2"/>
  <c r="S7100" i="2" s="1"/>
  <c r="I7101" i="2"/>
  <c r="J7101" i="2"/>
  <c r="K7101" i="2"/>
  <c r="O7101" i="2"/>
  <c r="R7101" i="2"/>
  <c r="S7101" i="2" s="1"/>
  <c r="I7102" i="2"/>
  <c r="J7102" i="2"/>
  <c r="K7102" i="2"/>
  <c r="O7102" i="2"/>
  <c r="R7102" i="2"/>
  <c r="S7102" i="2" s="1"/>
  <c r="I7103" i="2"/>
  <c r="J7103" i="2"/>
  <c r="K7103" i="2"/>
  <c r="O7103" i="2"/>
  <c r="R7103" i="2"/>
  <c r="S7103" i="2" s="1"/>
  <c r="I7104" i="2"/>
  <c r="J7104" i="2"/>
  <c r="K7104" i="2"/>
  <c r="O7104" i="2"/>
  <c r="R7104" i="2"/>
  <c r="S7104" i="2" s="1"/>
  <c r="I7105" i="2"/>
  <c r="J7105" i="2"/>
  <c r="K7105" i="2"/>
  <c r="O7105" i="2"/>
  <c r="R7105" i="2"/>
  <c r="S7105" i="2" s="1"/>
  <c r="I7106" i="2"/>
  <c r="J7106" i="2"/>
  <c r="K7106" i="2"/>
  <c r="O7106" i="2"/>
  <c r="R7106" i="2"/>
  <c r="S7106" i="2" s="1"/>
  <c r="I7107" i="2"/>
  <c r="J7107" i="2"/>
  <c r="K7107" i="2"/>
  <c r="O7107" i="2"/>
  <c r="R7107" i="2"/>
  <c r="S7107" i="2" s="1"/>
  <c r="I7108" i="2"/>
  <c r="J7108" i="2"/>
  <c r="K7108" i="2"/>
  <c r="O7108" i="2"/>
  <c r="R7108" i="2"/>
  <c r="S7108" i="2" s="1"/>
  <c r="I7109" i="2"/>
  <c r="J7109" i="2"/>
  <c r="K7109" i="2"/>
  <c r="O7109" i="2"/>
  <c r="R7109" i="2"/>
  <c r="S7109" i="2" s="1"/>
  <c r="I7110" i="2"/>
  <c r="J7110" i="2"/>
  <c r="K7110" i="2"/>
  <c r="O7110" i="2"/>
  <c r="R7110" i="2"/>
  <c r="S7110" i="2" s="1"/>
  <c r="I7111" i="2"/>
  <c r="J7111" i="2"/>
  <c r="K7111" i="2"/>
  <c r="O7111" i="2"/>
  <c r="R7111" i="2"/>
  <c r="S7111" i="2" s="1"/>
  <c r="I7112" i="2"/>
  <c r="J7112" i="2"/>
  <c r="K7112" i="2"/>
  <c r="O7112" i="2"/>
  <c r="R7112" i="2"/>
  <c r="S7112" i="2" s="1"/>
  <c r="I7113" i="2"/>
  <c r="J7113" i="2"/>
  <c r="K7113" i="2"/>
  <c r="O7113" i="2"/>
  <c r="R7113" i="2"/>
  <c r="S7113" i="2" s="1"/>
  <c r="I7114" i="2"/>
  <c r="J7114" i="2"/>
  <c r="K7114" i="2"/>
  <c r="O7114" i="2"/>
  <c r="R7114" i="2"/>
  <c r="S7114" i="2" s="1"/>
  <c r="I7115" i="2"/>
  <c r="J7115" i="2"/>
  <c r="K7115" i="2"/>
  <c r="O7115" i="2"/>
  <c r="R7115" i="2"/>
  <c r="S7115" i="2" s="1"/>
  <c r="I7116" i="2"/>
  <c r="J7116" i="2"/>
  <c r="K7116" i="2"/>
  <c r="O7116" i="2"/>
  <c r="R7116" i="2"/>
  <c r="S7116" i="2" s="1"/>
  <c r="I7117" i="2"/>
  <c r="J7117" i="2"/>
  <c r="K7117" i="2"/>
  <c r="O7117" i="2"/>
  <c r="R7117" i="2"/>
  <c r="S7117" i="2" s="1"/>
  <c r="I7118" i="2"/>
  <c r="J7118" i="2"/>
  <c r="K7118" i="2"/>
  <c r="O7118" i="2"/>
  <c r="R7118" i="2"/>
  <c r="S7118" i="2" s="1"/>
  <c r="I7119" i="2"/>
  <c r="J7119" i="2"/>
  <c r="K7119" i="2"/>
  <c r="O7119" i="2"/>
  <c r="R7119" i="2"/>
  <c r="S7119" i="2" s="1"/>
  <c r="I7120" i="2"/>
  <c r="J7120" i="2"/>
  <c r="K7120" i="2"/>
  <c r="O7120" i="2"/>
  <c r="R7120" i="2"/>
  <c r="S7120" i="2" s="1"/>
  <c r="I7121" i="2"/>
  <c r="J7121" i="2"/>
  <c r="K7121" i="2"/>
  <c r="O7121" i="2"/>
  <c r="R7121" i="2"/>
  <c r="S7121" i="2" s="1"/>
  <c r="I7122" i="2"/>
  <c r="J7122" i="2"/>
  <c r="K7122" i="2"/>
  <c r="O7122" i="2"/>
  <c r="R7122" i="2"/>
  <c r="S7122" i="2" s="1"/>
  <c r="I7123" i="2"/>
  <c r="J7123" i="2"/>
  <c r="K7123" i="2"/>
  <c r="O7123" i="2"/>
  <c r="R7123" i="2"/>
  <c r="S7123" i="2" s="1"/>
  <c r="I7124" i="2"/>
  <c r="J7124" i="2"/>
  <c r="K7124" i="2"/>
  <c r="O7124" i="2"/>
  <c r="R7124" i="2"/>
  <c r="S7124" i="2" s="1"/>
  <c r="I7125" i="2"/>
  <c r="J7125" i="2"/>
  <c r="K7125" i="2"/>
  <c r="O7125" i="2"/>
  <c r="R7125" i="2"/>
  <c r="S7125" i="2" s="1"/>
  <c r="I7126" i="2"/>
  <c r="J7126" i="2"/>
  <c r="K7126" i="2"/>
  <c r="O7126" i="2"/>
  <c r="R7126" i="2"/>
  <c r="S7126" i="2" s="1"/>
  <c r="I7127" i="2"/>
  <c r="J7127" i="2"/>
  <c r="K7127" i="2"/>
  <c r="O7127" i="2"/>
  <c r="R7127" i="2"/>
  <c r="S7127" i="2" s="1"/>
  <c r="I7128" i="2"/>
  <c r="J7128" i="2"/>
  <c r="K7128" i="2"/>
  <c r="O7128" i="2"/>
  <c r="R7128" i="2"/>
  <c r="S7128" i="2" s="1"/>
  <c r="I7129" i="2"/>
  <c r="J7129" i="2"/>
  <c r="K7129" i="2"/>
  <c r="O7129" i="2"/>
  <c r="R7129" i="2"/>
  <c r="S7129" i="2" s="1"/>
  <c r="I7130" i="2"/>
  <c r="J7130" i="2"/>
  <c r="K7130" i="2"/>
  <c r="O7130" i="2"/>
  <c r="R7130" i="2"/>
  <c r="S7130" i="2" s="1"/>
  <c r="I7131" i="2"/>
  <c r="J7131" i="2"/>
  <c r="K7131" i="2"/>
  <c r="O7131" i="2"/>
  <c r="R7131" i="2"/>
  <c r="S7131" i="2" s="1"/>
  <c r="I7132" i="2"/>
  <c r="J7132" i="2"/>
  <c r="K7132" i="2"/>
  <c r="O7132" i="2"/>
  <c r="R7132" i="2"/>
  <c r="S7132" i="2" s="1"/>
  <c r="I7133" i="2"/>
  <c r="J7133" i="2"/>
  <c r="K7133" i="2"/>
  <c r="O7133" i="2"/>
  <c r="R7133" i="2"/>
  <c r="S7133" i="2" s="1"/>
  <c r="I7134" i="2"/>
  <c r="J7134" i="2"/>
  <c r="K7134" i="2"/>
  <c r="O7134" i="2"/>
  <c r="R7134" i="2"/>
  <c r="S7134" i="2" s="1"/>
  <c r="I7135" i="2"/>
  <c r="J7135" i="2"/>
  <c r="K7135" i="2"/>
  <c r="O7135" i="2"/>
  <c r="R7135" i="2"/>
  <c r="S7135" i="2" s="1"/>
  <c r="I7136" i="2"/>
  <c r="J7136" i="2"/>
  <c r="K7136" i="2"/>
  <c r="O7136" i="2"/>
  <c r="R7136" i="2"/>
  <c r="S7136" i="2" s="1"/>
  <c r="I7137" i="2"/>
  <c r="J7137" i="2"/>
  <c r="K7137" i="2"/>
  <c r="O7137" i="2"/>
  <c r="R7137" i="2"/>
  <c r="S7137" i="2" s="1"/>
  <c r="I7138" i="2"/>
  <c r="J7138" i="2"/>
  <c r="K7138" i="2"/>
  <c r="O7138" i="2"/>
  <c r="R7138" i="2"/>
  <c r="S7138" i="2" s="1"/>
  <c r="I7139" i="2"/>
  <c r="J7139" i="2"/>
  <c r="K7139" i="2"/>
  <c r="O7139" i="2"/>
  <c r="R7139" i="2"/>
  <c r="S7139" i="2" s="1"/>
  <c r="I7140" i="2"/>
  <c r="J7140" i="2"/>
  <c r="K7140" i="2"/>
  <c r="O7140" i="2"/>
  <c r="R7140" i="2"/>
  <c r="S7140" i="2" s="1"/>
  <c r="I7141" i="2"/>
  <c r="J7141" i="2"/>
  <c r="K7141" i="2"/>
  <c r="O7141" i="2"/>
  <c r="R7141" i="2"/>
  <c r="S7141" i="2" s="1"/>
  <c r="I7142" i="2"/>
  <c r="J7142" i="2"/>
  <c r="K7142" i="2"/>
  <c r="O7142" i="2"/>
  <c r="R7142" i="2"/>
  <c r="S7142" i="2" s="1"/>
  <c r="I7143" i="2"/>
  <c r="J7143" i="2"/>
  <c r="K7143" i="2"/>
  <c r="O7143" i="2"/>
  <c r="R7143" i="2"/>
  <c r="S7143" i="2" s="1"/>
  <c r="I7144" i="2"/>
  <c r="J7144" i="2"/>
  <c r="K7144" i="2"/>
  <c r="O7144" i="2"/>
  <c r="R7144" i="2"/>
  <c r="S7144" i="2" s="1"/>
  <c r="I7145" i="2"/>
  <c r="J7145" i="2"/>
  <c r="K7145" i="2"/>
  <c r="O7145" i="2"/>
  <c r="R7145" i="2"/>
  <c r="S7145" i="2" s="1"/>
  <c r="I7146" i="2"/>
  <c r="J7146" i="2"/>
  <c r="K7146" i="2"/>
  <c r="O7146" i="2"/>
  <c r="R7146" i="2"/>
  <c r="S7146" i="2" s="1"/>
  <c r="I7147" i="2"/>
  <c r="J7147" i="2"/>
  <c r="K7147" i="2"/>
  <c r="O7147" i="2"/>
  <c r="R7147" i="2"/>
  <c r="S7147" i="2" s="1"/>
  <c r="I7148" i="2"/>
  <c r="J7148" i="2"/>
  <c r="K7148" i="2"/>
  <c r="O7148" i="2"/>
  <c r="R7148" i="2"/>
  <c r="S7148" i="2" s="1"/>
  <c r="I7149" i="2"/>
  <c r="J7149" i="2"/>
  <c r="K7149" i="2"/>
  <c r="O7149" i="2"/>
  <c r="R7149" i="2"/>
  <c r="S7149" i="2" s="1"/>
  <c r="I7150" i="2"/>
  <c r="J7150" i="2"/>
  <c r="K7150" i="2"/>
  <c r="O7150" i="2"/>
  <c r="R7150" i="2"/>
  <c r="S7150" i="2" s="1"/>
  <c r="I7151" i="2"/>
  <c r="J7151" i="2"/>
  <c r="K7151" i="2"/>
  <c r="O7151" i="2"/>
  <c r="R7151" i="2"/>
  <c r="S7151" i="2" s="1"/>
  <c r="I7152" i="2"/>
  <c r="J7152" i="2"/>
  <c r="K7152" i="2"/>
  <c r="O7152" i="2"/>
  <c r="R7152" i="2"/>
  <c r="S7152" i="2" s="1"/>
  <c r="I7153" i="2"/>
  <c r="J7153" i="2"/>
  <c r="K7153" i="2"/>
  <c r="O7153" i="2"/>
  <c r="R7153" i="2"/>
  <c r="S7153" i="2" s="1"/>
  <c r="I7154" i="2"/>
  <c r="J7154" i="2"/>
  <c r="K7154" i="2"/>
  <c r="O7154" i="2"/>
  <c r="R7154" i="2"/>
  <c r="S7154" i="2" s="1"/>
  <c r="I7155" i="2"/>
  <c r="J7155" i="2"/>
  <c r="K7155" i="2"/>
  <c r="O7155" i="2"/>
  <c r="R7155" i="2"/>
  <c r="S7155" i="2" s="1"/>
  <c r="I7156" i="2"/>
  <c r="J7156" i="2"/>
  <c r="K7156" i="2"/>
  <c r="O7156" i="2"/>
  <c r="R7156" i="2"/>
  <c r="S7156" i="2" s="1"/>
  <c r="I7157" i="2"/>
  <c r="J7157" i="2"/>
  <c r="K7157" i="2"/>
  <c r="O7157" i="2"/>
  <c r="R7157" i="2"/>
  <c r="S7157" i="2" s="1"/>
  <c r="I7158" i="2"/>
  <c r="J7158" i="2"/>
  <c r="K7158" i="2"/>
  <c r="O7158" i="2"/>
  <c r="R7158" i="2"/>
  <c r="S7158" i="2" s="1"/>
  <c r="I7159" i="2"/>
  <c r="J7159" i="2"/>
  <c r="K7159" i="2"/>
  <c r="O7159" i="2"/>
  <c r="R7159" i="2"/>
  <c r="S7159" i="2" s="1"/>
  <c r="I7160" i="2"/>
  <c r="J7160" i="2"/>
  <c r="K7160" i="2"/>
  <c r="O7160" i="2"/>
  <c r="R7160" i="2"/>
  <c r="S7160" i="2" s="1"/>
  <c r="I7161" i="2"/>
  <c r="J7161" i="2"/>
  <c r="K7161" i="2"/>
  <c r="O7161" i="2"/>
  <c r="R7161" i="2"/>
  <c r="S7161" i="2" s="1"/>
  <c r="I7162" i="2"/>
  <c r="J7162" i="2"/>
  <c r="K7162" i="2"/>
  <c r="O7162" i="2"/>
  <c r="R7162" i="2"/>
  <c r="S7162" i="2" s="1"/>
  <c r="I7163" i="2"/>
  <c r="J7163" i="2"/>
  <c r="K7163" i="2"/>
  <c r="O7163" i="2"/>
  <c r="R7163" i="2"/>
  <c r="S7163" i="2" s="1"/>
  <c r="I7164" i="2"/>
  <c r="J7164" i="2"/>
  <c r="K7164" i="2"/>
  <c r="O7164" i="2"/>
  <c r="R7164" i="2"/>
  <c r="S7164" i="2" s="1"/>
  <c r="I7165" i="2"/>
  <c r="J7165" i="2"/>
  <c r="K7165" i="2"/>
  <c r="O7165" i="2"/>
  <c r="R7165" i="2"/>
  <c r="S7165" i="2" s="1"/>
  <c r="I7166" i="2"/>
  <c r="J7166" i="2"/>
  <c r="K7166" i="2"/>
  <c r="O7166" i="2"/>
  <c r="R7166" i="2"/>
  <c r="S7166" i="2" s="1"/>
  <c r="I7167" i="2"/>
  <c r="J7167" i="2"/>
  <c r="K7167" i="2"/>
  <c r="O7167" i="2"/>
  <c r="R7167" i="2"/>
  <c r="S7167" i="2" s="1"/>
  <c r="I7168" i="2"/>
  <c r="J7168" i="2"/>
  <c r="K7168" i="2"/>
  <c r="O7168" i="2"/>
  <c r="R7168" i="2"/>
  <c r="S7168" i="2" s="1"/>
  <c r="I7169" i="2"/>
  <c r="J7169" i="2"/>
  <c r="K7169" i="2"/>
  <c r="O7169" i="2"/>
  <c r="R7169" i="2"/>
  <c r="S7169" i="2" s="1"/>
  <c r="I7170" i="2"/>
  <c r="J7170" i="2"/>
  <c r="K7170" i="2"/>
  <c r="O7170" i="2"/>
  <c r="R7170" i="2"/>
  <c r="S7170" i="2" s="1"/>
  <c r="I7171" i="2"/>
  <c r="J7171" i="2"/>
  <c r="K7171" i="2"/>
  <c r="O7171" i="2"/>
  <c r="R7171" i="2"/>
  <c r="S7171" i="2" s="1"/>
  <c r="I7172" i="2"/>
  <c r="J7172" i="2"/>
  <c r="K7172" i="2"/>
  <c r="O7172" i="2"/>
  <c r="R7172" i="2"/>
  <c r="S7172" i="2" s="1"/>
  <c r="I7173" i="2"/>
  <c r="J7173" i="2"/>
  <c r="K7173" i="2"/>
  <c r="O7173" i="2"/>
  <c r="R7173" i="2"/>
  <c r="S7173" i="2" s="1"/>
  <c r="I7174" i="2"/>
  <c r="J7174" i="2"/>
  <c r="K7174" i="2"/>
  <c r="O7174" i="2"/>
  <c r="R7174" i="2"/>
  <c r="S7174" i="2" s="1"/>
  <c r="I7175" i="2"/>
  <c r="J7175" i="2"/>
  <c r="K7175" i="2"/>
  <c r="O7175" i="2"/>
  <c r="R7175" i="2"/>
  <c r="S7175" i="2" s="1"/>
  <c r="I7176" i="2"/>
  <c r="J7176" i="2"/>
  <c r="K7176" i="2"/>
  <c r="O7176" i="2"/>
  <c r="R7176" i="2"/>
  <c r="S7176" i="2" s="1"/>
  <c r="I7177" i="2"/>
  <c r="J7177" i="2"/>
  <c r="K7177" i="2"/>
  <c r="O7177" i="2"/>
  <c r="R7177" i="2"/>
  <c r="S7177" i="2" s="1"/>
  <c r="I7178" i="2"/>
  <c r="J7178" i="2"/>
  <c r="K7178" i="2"/>
  <c r="O7178" i="2"/>
  <c r="R7178" i="2"/>
  <c r="S7178" i="2" s="1"/>
  <c r="I7179" i="2"/>
  <c r="J7179" i="2"/>
  <c r="K7179" i="2"/>
  <c r="O7179" i="2"/>
  <c r="R7179" i="2"/>
  <c r="S7179" i="2" s="1"/>
  <c r="I7180" i="2"/>
  <c r="J7180" i="2"/>
  <c r="K7180" i="2"/>
  <c r="O7180" i="2"/>
  <c r="R7180" i="2"/>
  <c r="S7180" i="2" s="1"/>
  <c r="I7181" i="2"/>
  <c r="J7181" i="2"/>
  <c r="K7181" i="2"/>
  <c r="O7181" i="2"/>
  <c r="R7181" i="2"/>
  <c r="S7181" i="2" s="1"/>
  <c r="I7182" i="2"/>
  <c r="J7182" i="2"/>
  <c r="K7182" i="2"/>
  <c r="O7182" i="2"/>
  <c r="R7182" i="2"/>
  <c r="S7182" i="2" s="1"/>
  <c r="I7183" i="2"/>
  <c r="J7183" i="2"/>
  <c r="K7183" i="2"/>
  <c r="O7183" i="2"/>
  <c r="R7183" i="2"/>
  <c r="S7183" i="2" s="1"/>
  <c r="I7184" i="2"/>
  <c r="J7184" i="2"/>
  <c r="K7184" i="2"/>
  <c r="O7184" i="2"/>
  <c r="R7184" i="2"/>
  <c r="S7184" i="2" s="1"/>
  <c r="I7185" i="2"/>
  <c r="J7185" i="2"/>
  <c r="K7185" i="2"/>
  <c r="O7185" i="2"/>
  <c r="R7185" i="2"/>
  <c r="S7185" i="2" s="1"/>
  <c r="I7186" i="2"/>
  <c r="J7186" i="2"/>
  <c r="K7186" i="2"/>
  <c r="O7186" i="2"/>
  <c r="R7186" i="2"/>
  <c r="S7186" i="2" s="1"/>
  <c r="I7187" i="2"/>
  <c r="J7187" i="2"/>
  <c r="K7187" i="2"/>
  <c r="O7187" i="2"/>
  <c r="R7187" i="2"/>
  <c r="S7187" i="2" s="1"/>
  <c r="I7188" i="2"/>
  <c r="J7188" i="2"/>
  <c r="K7188" i="2"/>
  <c r="O7188" i="2"/>
  <c r="R7188" i="2"/>
  <c r="S7188" i="2" s="1"/>
  <c r="I7189" i="2"/>
  <c r="J7189" i="2"/>
  <c r="K7189" i="2"/>
  <c r="O7189" i="2"/>
  <c r="R7189" i="2"/>
  <c r="S7189" i="2" s="1"/>
  <c r="I7190" i="2"/>
  <c r="J7190" i="2"/>
  <c r="K7190" i="2"/>
  <c r="O7190" i="2"/>
  <c r="R7190" i="2"/>
  <c r="S7190" i="2" s="1"/>
  <c r="I7191" i="2"/>
  <c r="J7191" i="2"/>
  <c r="K7191" i="2"/>
  <c r="O7191" i="2"/>
  <c r="R7191" i="2"/>
  <c r="S7191" i="2" s="1"/>
  <c r="I7192" i="2"/>
  <c r="J7192" i="2"/>
  <c r="K7192" i="2"/>
  <c r="O7192" i="2"/>
  <c r="R7192" i="2"/>
  <c r="S7192" i="2" s="1"/>
  <c r="I7193" i="2"/>
  <c r="J7193" i="2"/>
  <c r="K7193" i="2"/>
  <c r="O7193" i="2"/>
  <c r="R7193" i="2"/>
  <c r="S7193" i="2" s="1"/>
  <c r="I7194" i="2"/>
  <c r="J7194" i="2"/>
  <c r="K7194" i="2"/>
  <c r="O7194" i="2"/>
  <c r="R7194" i="2"/>
  <c r="S7194" i="2" s="1"/>
  <c r="I7195" i="2"/>
  <c r="J7195" i="2"/>
  <c r="K7195" i="2"/>
  <c r="O7195" i="2"/>
  <c r="R7195" i="2"/>
  <c r="S7195" i="2" s="1"/>
  <c r="I7196" i="2"/>
  <c r="J7196" i="2"/>
  <c r="K7196" i="2"/>
  <c r="O7196" i="2"/>
  <c r="R7196" i="2"/>
  <c r="S7196" i="2" s="1"/>
  <c r="I7197" i="2"/>
  <c r="J7197" i="2"/>
  <c r="K7197" i="2"/>
  <c r="O7197" i="2"/>
  <c r="R7197" i="2"/>
  <c r="S7197" i="2" s="1"/>
  <c r="I7198" i="2"/>
  <c r="J7198" i="2"/>
  <c r="K7198" i="2"/>
  <c r="O7198" i="2"/>
  <c r="R7198" i="2"/>
  <c r="S7198" i="2" s="1"/>
  <c r="I7199" i="2"/>
  <c r="J7199" i="2"/>
  <c r="K7199" i="2"/>
  <c r="O7199" i="2"/>
  <c r="R7199" i="2"/>
  <c r="S7199" i="2" s="1"/>
  <c r="I7200" i="2"/>
  <c r="J7200" i="2"/>
  <c r="K7200" i="2"/>
  <c r="O7200" i="2"/>
  <c r="R7200" i="2"/>
  <c r="S7200" i="2" s="1"/>
  <c r="I7201" i="2"/>
  <c r="J7201" i="2"/>
  <c r="K7201" i="2"/>
  <c r="O7201" i="2"/>
  <c r="R7201" i="2"/>
  <c r="S7201" i="2" s="1"/>
  <c r="I7202" i="2"/>
  <c r="J7202" i="2"/>
  <c r="K7202" i="2"/>
  <c r="O7202" i="2"/>
  <c r="R7202" i="2"/>
  <c r="S7202" i="2" s="1"/>
  <c r="I7203" i="2"/>
  <c r="J7203" i="2"/>
  <c r="K7203" i="2"/>
  <c r="O7203" i="2"/>
  <c r="R7203" i="2"/>
  <c r="S7203" i="2" s="1"/>
  <c r="I7204" i="2"/>
  <c r="J7204" i="2"/>
  <c r="K7204" i="2"/>
  <c r="O7204" i="2"/>
  <c r="R7204" i="2"/>
  <c r="S7204" i="2" s="1"/>
  <c r="I7205" i="2"/>
  <c r="J7205" i="2"/>
  <c r="K7205" i="2"/>
  <c r="O7205" i="2"/>
  <c r="R7205" i="2"/>
  <c r="S7205" i="2" s="1"/>
  <c r="I7206" i="2"/>
  <c r="J7206" i="2"/>
  <c r="K7206" i="2"/>
  <c r="O7206" i="2"/>
  <c r="R7206" i="2"/>
  <c r="S7206" i="2" s="1"/>
  <c r="I7207" i="2"/>
  <c r="J7207" i="2"/>
  <c r="K7207" i="2"/>
  <c r="O7207" i="2"/>
  <c r="R7207" i="2"/>
  <c r="S7207" i="2" s="1"/>
  <c r="I7208" i="2"/>
  <c r="J7208" i="2"/>
  <c r="K7208" i="2"/>
  <c r="O7208" i="2"/>
  <c r="R7208" i="2"/>
  <c r="S7208" i="2" s="1"/>
  <c r="I7209" i="2"/>
  <c r="J7209" i="2"/>
  <c r="K7209" i="2"/>
  <c r="O7209" i="2"/>
  <c r="R7209" i="2"/>
  <c r="S7209" i="2" s="1"/>
  <c r="I7210" i="2"/>
  <c r="J7210" i="2"/>
  <c r="K7210" i="2"/>
  <c r="O7210" i="2"/>
  <c r="R7210" i="2"/>
  <c r="S7210" i="2" s="1"/>
  <c r="I7211" i="2"/>
  <c r="J7211" i="2"/>
  <c r="K7211" i="2"/>
  <c r="O7211" i="2"/>
  <c r="R7211" i="2"/>
  <c r="S7211" i="2" s="1"/>
  <c r="I7212" i="2"/>
  <c r="J7212" i="2"/>
  <c r="K7212" i="2"/>
  <c r="O7212" i="2"/>
  <c r="R7212" i="2"/>
  <c r="S7212" i="2" s="1"/>
  <c r="I7213" i="2"/>
  <c r="J7213" i="2"/>
  <c r="K7213" i="2"/>
  <c r="O7213" i="2"/>
  <c r="R7213" i="2"/>
  <c r="S7213" i="2" s="1"/>
  <c r="I7214" i="2"/>
  <c r="J7214" i="2"/>
  <c r="K7214" i="2"/>
  <c r="O7214" i="2"/>
  <c r="R7214" i="2"/>
  <c r="S7214" i="2" s="1"/>
  <c r="I7215" i="2"/>
  <c r="J7215" i="2"/>
  <c r="K7215" i="2"/>
  <c r="O7215" i="2"/>
  <c r="R7215" i="2"/>
  <c r="S7215" i="2" s="1"/>
  <c r="I7216" i="2"/>
  <c r="J7216" i="2"/>
  <c r="K7216" i="2"/>
  <c r="O7216" i="2"/>
  <c r="R7216" i="2"/>
  <c r="S7216" i="2" s="1"/>
  <c r="I7217" i="2"/>
  <c r="J7217" i="2"/>
  <c r="K7217" i="2"/>
  <c r="O7217" i="2"/>
  <c r="R7217" i="2"/>
  <c r="S7217" i="2" s="1"/>
  <c r="I7218" i="2"/>
  <c r="J7218" i="2"/>
  <c r="K7218" i="2"/>
  <c r="O7218" i="2"/>
  <c r="R7218" i="2"/>
  <c r="S7218" i="2" s="1"/>
  <c r="I7219" i="2"/>
  <c r="J7219" i="2"/>
  <c r="K7219" i="2"/>
  <c r="O7219" i="2"/>
  <c r="R7219" i="2"/>
  <c r="S7219" i="2" s="1"/>
  <c r="I7220" i="2"/>
  <c r="J7220" i="2"/>
  <c r="K7220" i="2"/>
  <c r="O7220" i="2"/>
  <c r="R7220" i="2"/>
  <c r="S7220" i="2" s="1"/>
  <c r="I7221" i="2"/>
  <c r="J7221" i="2"/>
  <c r="K7221" i="2"/>
  <c r="O7221" i="2"/>
  <c r="R7221" i="2"/>
  <c r="S7221" i="2" s="1"/>
  <c r="I7222" i="2"/>
  <c r="J7222" i="2"/>
  <c r="K7222" i="2"/>
  <c r="O7222" i="2"/>
  <c r="R7222" i="2"/>
  <c r="S7222" i="2" s="1"/>
  <c r="I7223" i="2"/>
  <c r="J7223" i="2"/>
  <c r="K7223" i="2"/>
  <c r="O7223" i="2"/>
  <c r="R7223" i="2"/>
  <c r="S7223" i="2" s="1"/>
  <c r="I7224" i="2"/>
  <c r="J7224" i="2"/>
  <c r="K7224" i="2"/>
  <c r="O7224" i="2"/>
  <c r="R7224" i="2"/>
  <c r="S7224" i="2" s="1"/>
  <c r="I7225" i="2"/>
  <c r="J7225" i="2"/>
  <c r="K7225" i="2"/>
  <c r="O7225" i="2"/>
  <c r="R7225" i="2"/>
  <c r="S7225" i="2" s="1"/>
  <c r="I7226" i="2"/>
  <c r="J7226" i="2"/>
  <c r="K7226" i="2"/>
  <c r="O7226" i="2"/>
  <c r="R7226" i="2"/>
  <c r="S7226" i="2" s="1"/>
  <c r="I7227" i="2"/>
  <c r="J7227" i="2"/>
  <c r="K7227" i="2"/>
  <c r="O7227" i="2"/>
  <c r="R7227" i="2"/>
  <c r="S7227" i="2" s="1"/>
  <c r="I7228" i="2"/>
  <c r="J7228" i="2"/>
  <c r="K7228" i="2"/>
  <c r="O7228" i="2"/>
  <c r="R7228" i="2"/>
  <c r="S7228" i="2" s="1"/>
  <c r="I7229" i="2"/>
  <c r="J7229" i="2"/>
  <c r="K7229" i="2"/>
  <c r="O7229" i="2"/>
  <c r="R7229" i="2"/>
  <c r="S7229" i="2" s="1"/>
  <c r="I7230" i="2"/>
  <c r="J7230" i="2"/>
  <c r="K7230" i="2"/>
  <c r="O7230" i="2"/>
  <c r="R7230" i="2"/>
  <c r="S7230" i="2" s="1"/>
  <c r="I7231" i="2"/>
  <c r="J7231" i="2"/>
  <c r="K7231" i="2"/>
  <c r="O7231" i="2"/>
  <c r="R7231" i="2"/>
  <c r="S7231" i="2" s="1"/>
  <c r="I7232" i="2"/>
  <c r="J7232" i="2"/>
  <c r="K7232" i="2"/>
  <c r="O7232" i="2"/>
  <c r="R7232" i="2"/>
  <c r="S7232" i="2" s="1"/>
  <c r="I7233" i="2"/>
  <c r="J7233" i="2"/>
  <c r="K7233" i="2"/>
  <c r="O7233" i="2"/>
  <c r="R7233" i="2"/>
  <c r="S7233" i="2" s="1"/>
  <c r="I7234" i="2"/>
  <c r="J7234" i="2"/>
  <c r="K7234" i="2"/>
  <c r="O7234" i="2"/>
  <c r="R7234" i="2"/>
  <c r="S7234" i="2" s="1"/>
  <c r="I7235" i="2"/>
  <c r="J7235" i="2"/>
  <c r="K7235" i="2"/>
  <c r="O7235" i="2"/>
  <c r="R7235" i="2"/>
  <c r="S7235" i="2" s="1"/>
  <c r="I7236" i="2"/>
  <c r="J7236" i="2"/>
  <c r="K7236" i="2"/>
  <c r="O7236" i="2"/>
  <c r="R7236" i="2"/>
  <c r="S7236" i="2" s="1"/>
  <c r="I7237" i="2"/>
  <c r="J7237" i="2"/>
  <c r="K7237" i="2"/>
  <c r="O7237" i="2"/>
  <c r="R7237" i="2"/>
  <c r="S7237" i="2" s="1"/>
  <c r="I7238" i="2"/>
  <c r="J7238" i="2"/>
  <c r="K7238" i="2"/>
  <c r="O7238" i="2"/>
  <c r="R7238" i="2"/>
  <c r="S7238" i="2" s="1"/>
  <c r="I7239" i="2"/>
  <c r="J7239" i="2"/>
  <c r="K7239" i="2"/>
  <c r="O7239" i="2"/>
  <c r="R7239" i="2"/>
  <c r="S7239" i="2" s="1"/>
  <c r="I7240" i="2"/>
  <c r="J7240" i="2"/>
  <c r="K7240" i="2"/>
  <c r="O7240" i="2"/>
  <c r="R7240" i="2"/>
  <c r="S7240" i="2" s="1"/>
  <c r="I7241" i="2"/>
  <c r="J7241" i="2"/>
  <c r="K7241" i="2"/>
  <c r="O7241" i="2"/>
  <c r="R7241" i="2"/>
  <c r="S7241" i="2" s="1"/>
  <c r="I7242" i="2"/>
  <c r="J7242" i="2"/>
  <c r="K7242" i="2"/>
  <c r="O7242" i="2"/>
  <c r="R7242" i="2"/>
  <c r="S7242" i="2" s="1"/>
  <c r="I7243" i="2"/>
  <c r="J7243" i="2"/>
  <c r="K7243" i="2"/>
  <c r="O7243" i="2"/>
  <c r="R7243" i="2"/>
  <c r="S7243" i="2" s="1"/>
  <c r="I7244" i="2"/>
  <c r="J7244" i="2"/>
  <c r="K7244" i="2"/>
  <c r="O7244" i="2"/>
  <c r="R7244" i="2"/>
  <c r="S7244" i="2" s="1"/>
  <c r="I7245" i="2"/>
  <c r="J7245" i="2"/>
  <c r="K7245" i="2"/>
  <c r="O7245" i="2"/>
  <c r="R7245" i="2"/>
  <c r="S7245" i="2" s="1"/>
  <c r="I7246" i="2"/>
  <c r="J7246" i="2"/>
  <c r="K7246" i="2"/>
  <c r="O7246" i="2"/>
  <c r="R7246" i="2"/>
  <c r="S7246" i="2" s="1"/>
  <c r="I7247" i="2"/>
  <c r="J7247" i="2"/>
  <c r="K7247" i="2"/>
  <c r="O7247" i="2"/>
  <c r="R7247" i="2"/>
  <c r="S7247" i="2" s="1"/>
  <c r="I7248" i="2"/>
  <c r="J7248" i="2"/>
  <c r="K7248" i="2"/>
  <c r="O7248" i="2"/>
  <c r="R7248" i="2"/>
  <c r="S7248" i="2" s="1"/>
  <c r="I7249" i="2"/>
  <c r="J7249" i="2"/>
  <c r="K7249" i="2"/>
  <c r="O7249" i="2"/>
  <c r="R7249" i="2"/>
  <c r="S7249" i="2" s="1"/>
  <c r="I7250" i="2"/>
  <c r="J7250" i="2"/>
  <c r="K7250" i="2"/>
  <c r="O7250" i="2"/>
  <c r="R7250" i="2"/>
  <c r="S7250" i="2" s="1"/>
  <c r="I7251" i="2"/>
  <c r="J7251" i="2"/>
  <c r="K7251" i="2"/>
  <c r="O7251" i="2"/>
  <c r="R7251" i="2"/>
  <c r="S7251" i="2" s="1"/>
  <c r="I7252" i="2"/>
  <c r="J7252" i="2"/>
  <c r="K7252" i="2"/>
  <c r="O7252" i="2"/>
  <c r="R7252" i="2"/>
  <c r="S7252" i="2" s="1"/>
  <c r="I7253" i="2"/>
  <c r="J7253" i="2"/>
  <c r="K7253" i="2"/>
  <c r="O7253" i="2"/>
  <c r="R7253" i="2"/>
  <c r="S7253" i="2" s="1"/>
  <c r="I7254" i="2"/>
  <c r="J7254" i="2"/>
  <c r="K7254" i="2"/>
  <c r="O7254" i="2"/>
  <c r="R7254" i="2"/>
  <c r="S7254" i="2" s="1"/>
  <c r="I7255" i="2"/>
  <c r="J7255" i="2"/>
  <c r="K7255" i="2"/>
  <c r="O7255" i="2"/>
  <c r="R7255" i="2"/>
  <c r="S7255" i="2" s="1"/>
  <c r="I7256" i="2"/>
  <c r="J7256" i="2"/>
  <c r="K7256" i="2"/>
  <c r="O7256" i="2"/>
  <c r="R7256" i="2"/>
  <c r="S7256" i="2" s="1"/>
  <c r="I7257" i="2"/>
  <c r="J7257" i="2"/>
  <c r="K7257" i="2"/>
  <c r="O7257" i="2"/>
  <c r="R7257" i="2"/>
  <c r="S7257" i="2" s="1"/>
  <c r="I7258" i="2"/>
  <c r="J7258" i="2"/>
  <c r="K7258" i="2"/>
  <c r="O7258" i="2"/>
  <c r="R7258" i="2"/>
  <c r="S7258" i="2" s="1"/>
  <c r="I7259" i="2"/>
  <c r="J7259" i="2"/>
  <c r="K7259" i="2"/>
  <c r="O7259" i="2"/>
  <c r="R7259" i="2"/>
  <c r="S7259" i="2" s="1"/>
  <c r="I7260" i="2"/>
  <c r="J7260" i="2"/>
  <c r="K7260" i="2"/>
  <c r="O7260" i="2"/>
  <c r="R7260" i="2"/>
  <c r="S7260" i="2" s="1"/>
  <c r="I7261" i="2"/>
  <c r="J7261" i="2"/>
  <c r="K7261" i="2"/>
  <c r="O7261" i="2"/>
  <c r="R7261" i="2"/>
  <c r="S7261" i="2" s="1"/>
  <c r="I7262" i="2"/>
  <c r="J7262" i="2"/>
  <c r="K7262" i="2"/>
  <c r="O7262" i="2"/>
  <c r="R7262" i="2"/>
  <c r="S7262" i="2" s="1"/>
  <c r="I7263" i="2"/>
  <c r="J7263" i="2"/>
  <c r="K7263" i="2"/>
  <c r="O7263" i="2"/>
  <c r="R7263" i="2"/>
  <c r="S7263" i="2" s="1"/>
  <c r="I7264" i="2"/>
  <c r="J7264" i="2"/>
  <c r="K7264" i="2"/>
  <c r="O7264" i="2"/>
  <c r="R7264" i="2"/>
  <c r="S7264" i="2" s="1"/>
  <c r="I7265" i="2"/>
  <c r="J7265" i="2"/>
  <c r="K7265" i="2"/>
  <c r="O7265" i="2"/>
  <c r="R7265" i="2"/>
  <c r="S7265" i="2" s="1"/>
  <c r="I7266" i="2"/>
  <c r="J7266" i="2"/>
  <c r="K7266" i="2"/>
  <c r="O7266" i="2"/>
  <c r="R7266" i="2"/>
  <c r="S7266" i="2" s="1"/>
  <c r="I7267" i="2"/>
  <c r="J7267" i="2"/>
  <c r="K7267" i="2"/>
  <c r="O7267" i="2"/>
  <c r="R7267" i="2"/>
  <c r="S7267" i="2" s="1"/>
  <c r="I7268" i="2"/>
  <c r="J7268" i="2"/>
  <c r="K7268" i="2"/>
  <c r="O7268" i="2"/>
  <c r="R7268" i="2"/>
  <c r="S7268" i="2" s="1"/>
  <c r="I7269" i="2"/>
  <c r="J7269" i="2"/>
  <c r="K7269" i="2"/>
  <c r="O7269" i="2"/>
  <c r="R7269" i="2"/>
  <c r="S7269" i="2" s="1"/>
  <c r="I7270" i="2"/>
  <c r="J7270" i="2"/>
  <c r="K7270" i="2"/>
  <c r="O7270" i="2"/>
  <c r="R7270" i="2"/>
  <c r="S7270" i="2" s="1"/>
  <c r="I7271" i="2"/>
  <c r="J7271" i="2"/>
  <c r="K7271" i="2"/>
  <c r="O7271" i="2"/>
  <c r="R7271" i="2"/>
  <c r="S7271" i="2" s="1"/>
  <c r="I7272" i="2"/>
  <c r="J7272" i="2"/>
  <c r="K7272" i="2"/>
  <c r="O7272" i="2"/>
  <c r="R7272" i="2"/>
  <c r="S7272" i="2" s="1"/>
  <c r="I7273" i="2"/>
  <c r="J7273" i="2"/>
  <c r="K7273" i="2"/>
  <c r="O7273" i="2"/>
  <c r="R7273" i="2"/>
  <c r="S7273" i="2" s="1"/>
  <c r="I7274" i="2"/>
  <c r="J7274" i="2"/>
  <c r="K7274" i="2"/>
  <c r="O7274" i="2"/>
  <c r="R7274" i="2"/>
  <c r="S7274" i="2" s="1"/>
  <c r="I7275" i="2"/>
  <c r="J7275" i="2"/>
  <c r="K7275" i="2"/>
  <c r="O7275" i="2"/>
  <c r="R7275" i="2"/>
  <c r="S7275" i="2" s="1"/>
  <c r="I7276" i="2"/>
  <c r="J7276" i="2"/>
  <c r="K7276" i="2"/>
  <c r="O7276" i="2"/>
  <c r="R7276" i="2"/>
  <c r="S7276" i="2" s="1"/>
  <c r="I7277" i="2"/>
  <c r="J7277" i="2"/>
  <c r="K7277" i="2"/>
  <c r="O7277" i="2"/>
  <c r="R7277" i="2"/>
  <c r="S7277" i="2" s="1"/>
  <c r="I7278" i="2"/>
  <c r="J7278" i="2"/>
  <c r="K7278" i="2"/>
  <c r="O7278" i="2"/>
  <c r="R7278" i="2"/>
  <c r="S7278" i="2" s="1"/>
  <c r="I7279" i="2"/>
  <c r="J7279" i="2"/>
  <c r="K7279" i="2"/>
  <c r="O7279" i="2"/>
  <c r="R7279" i="2"/>
  <c r="S7279" i="2" s="1"/>
  <c r="I7280" i="2"/>
  <c r="J7280" i="2"/>
  <c r="K7280" i="2"/>
  <c r="O7280" i="2"/>
  <c r="R7280" i="2"/>
  <c r="S7280" i="2" s="1"/>
  <c r="I7281" i="2"/>
  <c r="J7281" i="2"/>
  <c r="K7281" i="2"/>
  <c r="O7281" i="2"/>
  <c r="R7281" i="2"/>
  <c r="S7281" i="2" s="1"/>
  <c r="I7282" i="2"/>
  <c r="J7282" i="2"/>
  <c r="K7282" i="2"/>
  <c r="O7282" i="2"/>
  <c r="R7282" i="2"/>
  <c r="S7282" i="2" s="1"/>
  <c r="I7283" i="2"/>
  <c r="J7283" i="2"/>
  <c r="K7283" i="2"/>
  <c r="O7283" i="2"/>
  <c r="R7283" i="2"/>
  <c r="S7283" i="2" s="1"/>
  <c r="I7284" i="2"/>
  <c r="J7284" i="2"/>
  <c r="K7284" i="2"/>
  <c r="O7284" i="2"/>
  <c r="R7284" i="2"/>
  <c r="S7284" i="2" s="1"/>
  <c r="I7285" i="2"/>
  <c r="J7285" i="2"/>
  <c r="K7285" i="2"/>
  <c r="O7285" i="2"/>
  <c r="R7285" i="2"/>
  <c r="S7285" i="2" s="1"/>
  <c r="I7286" i="2"/>
  <c r="J7286" i="2"/>
  <c r="K7286" i="2"/>
  <c r="O7286" i="2"/>
  <c r="R7286" i="2"/>
  <c r="S7286" i="2" s="1"/>
  <c r="I7287" i="2"/>
  <c r="J7287" i="2"/>
  <c r="K7287" i="2"/>
  <c r="O7287" i="2"/>
  <c r="R7287" i="2"/>
  <c r="S7287" i="2" s="1"/>
  <c r="I7288" i="2"/>
  <c r="J7288" i="2"/>
  <c r="K7288" i="2"/>
  <c r="O7288" i="2"/>
  <c r="R7288" i="2"/>
  <c r="S7288" i="2" s="1"/>
  <c r="I7289" i="2"/>
  <c r="J7289" i="2"/>
  <c r="K7289" i="2"/>
  <c r="O7289" i="2"/>
  <c r="R7289" i="2"/>
  <c r="S7289" i="2" s="1"/>
  <c r="I7290" i="2"/>
  <c r="J7290" i="2"/>
  <c r="K7290" i="2"/>
  <c r="O7290" i="2"/>
  <c r="R7290" i="2"/>
  <c r="S7290" i="2" s="1"/>
  <c r="I7291" i="2"/>
  <c r="J7291" i="2"/>
  <c r="K7291" i="2"/>
  <c r="O7291" i="2"/>
  <c r="R7291" i="2"/>
  <c r="S7291" i="2" s="1"/>
  <c r="I7292" i="2"/>
  <c r="J7292" i="2"/>
  <c r="K7292" i="2"/>
  <c r="O7292" i="2"/>
  <c r="R7292" i="2"/>
  <c r="S7292" i="2" s="1"/>
  <c r="I7293" i="2"/>
  <c r="J7293" i="2"/>
  <c r="K7293" i="2"/>
  <c r="O7293" i="2"/>
  <c r="R7293" i="2"/>
  <c r="S7293" i="2" s="1"/>
  <c r="I7294" i="2"/>
  <c r="J7294" i="2"/>
  <c r="K7294" i="2"/>
  <c r="O7294" i="2"/>
  <c r="R7294" i="2"/>
  <c r="S7294" i="2" s="1"/>
  <c r="I7295" i="2"/>
  <c r="J7295" i="2"/>
  <c r="K7295" i="2"/>
  <c r="O7295" i="2"/>
  <c r="R7295" i="2"/>
  <c r="S7295" i="2" s="1"/>
  <c r="I7296" i="2"/>
  <c r="J7296" i="2"/>
  <c r="K7296" i="2"/>
  <c r="O7296" i="2"/>
  <c r="R7296" i="2"/>
  <c r="S7296" i="2" s="1"/>
  <c r="I7297" i="2"/>
  <c r="J7297" i="2"/>
  <c r="K7297" i="2"/>
  <c r="O7297" i="2"/>
  <c r="R7297" i="2"/>
  <c r="S7297" i="2" s="1"/>
  <c r="I7298" i="2"/>
  <c r="J7298" i="2"/>
  <c r="K7298" i="2"/>
  <c r="O7298" i="2"/>
  <c r="R7298" i="2"/>
  <c r="S7298" i="2" s="1"/>
  <c r="I7299" i="2"/>
  <c r="J7299" i="2"/>
  <c r="K7299" i="2"/>
  <c r="O7299" i="2"/>
  <c r="R7299" i="2"/>
  <c r="S7299" i="2" s="1"/>
  <c r="I7300" i="2"/>
  <c r="J7300" i="2"/>
  <c r="K7300" i="2"/>
  <c r="O7300" i="2"/>
  <c r="R7300" i="2"/>
  <c r="S7300" i="2" s="1"/>
  <c r="I7301" i="2"/>
  <c r="J7301" i="2"/>
  <c r="K7301" i="2"/>
  <c r="O7301" i="2"/>
  <c r="R7301" i="2"/>
  <c r="S7301" i="2" s="1"/>
  <c r="I7302" i="2"/>
  <c r="J7302" i="2"/>
  <c r="K7302" i="2"/>
  <c r="O7302" i="2"/>
  <c r="R7302" i="2"/>
  <c r="S7302" i="2" s="1"/>
  <c r="I7303" i="2"/>
  <c r="J7303" i="2"/>
  <c r="K7303" i="2"/>
  <c r="O7303" i="2"/>
  <c r="R7303" i="2"/>
  <c r="S7303" i="2" s="1"/>
  <c r="I7304" i="2"/>
  <c r="J7304" i="2"/>
  <c r="K7304" i="2"/>
  <c r="O7304" i="2"/>
  <c r="R7304" i="2"/>
  <c r="S7304" i="2" s="1"/>
  <c r="I7305" i="2"/>
  <c r="J7305" i="2"/>
  <c r="K7305" i="2"/>
  <c r="O7305" i="2"/>
  <c r="R7305" i="2"/>
  <c r="S7305" i="2" s="1"/>
  <c r="I7306" i="2"/>
  <c r="J7306" i="2"/>
  <c r="K7306" i="2"/>
  <c r="O7306" i="2"/>
  <c r="R7306" i="2"/>
  <c r="S7306" i="2" s="1"/>
  <c r="I7307" i="2"/>
  <c r="J7307" i="2"/>
  <c r="K7307" i="2"/>
  <c r="O7307" i="2"/>
  <c r="R7307" i="2"/>
  <c r="S7307" i="2" s="1"/>
  <c r="I7308" i="2"/>
  <c r="J7308" i="2"/>
  <c r="K7308" i="2"/>
  <c r="O7308" i="2"/>
  <c r="R7308" i="2"/>
  <c r="S7308" i="2" s="1"/>
  <c r="I7309" i="2"/>
  <c r="J7309" i="2"/>
  <c r="K7309" i="2"/>
  <c r="O7309" i="2"/>
  <c r="R7309" i="2"/>
  <c r="S7309" i="2" s="1"/>
  <c r="I7310" i="2"/>
  <c r="J7310" i="2"/>
  <c r="K7310" i="2"/>
  <c r="O7310" i="2"/>
  <c r="R7310" i="2"/>
  <c r="S7310" i="2" s="1"/>
  <c r="I7311" i="2"/>
  <c r="J7311" i="2"/>
  <c r="K7311" i="2"/>
  <c r="O7311" i="2"/>
  <c r="R7311" i="2"/>
  <c r="S7311" i="2" s="1"/>
  <c r="I7312" i="2"/>
  <c r="J7312" i="2"/>
  <c r="K7312" i="2"/>
  <c r="O7312" i="2"/>
  <c r="R7312" i="2"/>
  <c r="S7312" i="2" s="1"/>
  <c r="I7313" i="2"/>
  <c r="J7313" i="2"/>
  <c r="K7313" i="2"/>
  <c r="O7313" i="2"/>
  <c r="R7313" i="2"/>
  <c r="S7313" i="2" s="1"/>
  <c r="I7314" i="2"/>
  <c r="J7314" i="2"/>
  <c r="K7314" i="2"/>
  <c r="O7314" i="2"/>
  <c r="R7314" i="2"/>
  <c r="S7314" i="2" s="1"/>
  <c r="I7315" i="2"/>
  <c r="J7315" i="2"/>
  <c r="K7315" i="2"/>
  <c r="O7315" i="2"/>
  <c r="R7315" i="2"/>
  <c r="S7315" i="2" s="1"/>
  <c r="I7316" i="2"/>
  <c r="J7316" i="2"/>
  <c r="K7316" i="2"/>
  <c r="O7316" i="2"/>
  <c r="R7316" i="2"/>
  <c r="S7316" i="2" s="1"/>
  <c r="I7317" i="2"/>
  <c r="J7317" i="2"/>
  <c r="K7317" i="2"/>
  <c r="O7317" i="2"/>
  <c r="R7317" i="2"/>
  <c r="S7317" i="2" s="1"/>
  <c r="I7318" i="2"/>
  <c r="J7318" i="2"/>
  <c r="K7318" i="2"/>
  <c r="O7318" i="2"/>
  <c r="R7318" i="2"/>
  <c r="S7318" i="2" s="1"/>
  <c r="I7319" i="2"/>
  <c r="J7319" i="2"/>
  <c r="K7319" i="2"/>
  <c r="O7319" i="2"/>
  <c r="R7319" i="2"/>
  <c r="S7319" i="2" s="1"/>
  <c r="I7320" i="2"/>
  <c r="J7320" i="2"/>
  <c r="K7320" i="2"/>
  <c r="O7320" i="2"/>
  <c r="R7320" i="2"/>
  <c r="S7320" i="2" s="1"/>
  <c r="I7321" i="2"/>
  <c r="J7321" i="2"/>
  <c r="K7321" i="2"/>
  <c r="O7321" i="2"/>
  <c r="R7321" i="2"/>
  <c r="S7321" i="2" s="1"/>
  <c r="I7322" i="2"/>
  <c r="J7322" i="2"/>
  <c r="K7322" i="2"/>
  <c r="O7322" i="2"/>
  <c r="R7322" i="2"/>
  <c r="S7322" i="2" s="1"/>
  <c r="I7323" i="2"/>
  <c r="J7323" i="2"/>
  <c r="K7323" i="2"/>
  <c r="O7323" i="2"/>
  <c r="R7323" i="2"/>
  <c r="S7323" i="2" s="1"/>
  <c r="I7324" i="2"/>
  <c r="J7324" i="2"/>
  <c r="K7324" i="2"/>
  <c r="O7324" i="2"/>
  <c r="R7324" i="2"/>
  <c r="S7324" i="2" s="1"/>
  <c r="I7325" i="2"/>
  <c r="J7325" i="2"/>
  <c r="K7325" i="2"/>
  <c r="O7325" i="2"/>
  <c r="R7325" i="2"/>
  <c r="S7325" i="2" s="1"/>
  <c r="I7326" i="2"/>
  <c r="J7326" i="2"/>
  <c r="K7326" i="2"/>
  <c r="O7326" i="2"/>
  <c r="R7326" i="2"/>
  <c r="S7326" i="2" s="1"/>
  <c r="I7327" i="2"/>
  <c r="J7327" i="2"/>
  <c r="K7327" i="2"/>
  <c r="O7327" i="2"/>
  <c r="R7327" i="2"/>
  <c r="S7327" i="2" s="1"/>
  <c r="I7328" i="2"/>
  <c r="J7328" i="2"/>
  <c r="K7328" i="2"/>
  <c r="O7328" i="2"/>
  <c r="R7328" i="2"/>
  <c r="S7328" i="2" s="1"/>
  <c r="I7329" i="2"/>
  <c r="J7329" i="2"/>
  <c r="K7329" i="2"/>
  <c r="O7329" i="2"/>
  <c r="R7329" i="2"/>
  <c r="S7329" i="2" s="1"/>
  <c r="I7330" i="2"/>
  <c r="J7330" i="2"/>
  <c r="K7330" i="2"/>
  <c r="O7330" i="2"/>
  <c r="R7330" i="2"/>
  <c r="S7330" i="2" s="1"/>
  <c r="I7331" i="2"/>
  <c r="J7331" i="2"/>
  <c r="K7331" i="2"/>
  <c r="O7331" i="2"/>
  <c r="R7331" i="2"/>
  <c r="S7331" i="2" s="1"/>
  <c r="I7332" i="2"/>
  <c r="J7332" i="2"/>
  <c r="K7332" i="2"/>
  <c r="O7332" i="2"/>
  <c r="R7332" i="2"/>
  <c r="S7332" i="2" s="1"/>
  <c r="I7333" i="2"/>
  <c r="J7333" i="2"/>
  <c r="K7333" i="2"/>
  <c r="O7333" i="2"/>
  <c r="R7333" i="2"/>
  <c r="S7333" i="2" s="1"/>
  <c r="I7334" i="2"/>
  <c r="J7334" i="2"/>
  <c r="K7334" i="2"/>
  <c r="O7334" i="2"/>
  <c r="R7334" i="2"/>
  <c r="S7334" i="2" s="1"/>
  <c r="I7335" i="2"/>
  <c r="J7335" i="2"/>
  <c r="K7335" i="2"/>
  <c r="O7335" i="2"/>
  <c r="R7335" i="2"/>
  <c r="S7335" i="2" s="1"/>
  <c r="I7336" i="2"/>
  <c r="J7336" i="2"/>
  <c r="K7336" i="2"/>
  <c r="O7336" i="2"/>
  <c r="R7336" i="2"/>
  <c r="S7336" i="2" s="1"/>
  <c r="I7337" i="2"/>
  <c r="J7337" i="2"/>
  <c r="K7337" i="2"/>
  <c r="O7337" i="2"/>
  <c r="R7337" i="2"/>
  <c r="S7337" i="2" s="1"/>
  <c r="I7338" i="2"/>
  <c r="J7338" i="2"/>
  <c r="K7338" i="2"/>
  <c r="O7338" i="2"/>
  <c r="R7338" i="2"/>
  <c r="S7338" i="2" s="1"/>
  <c r="I7339" i="2"/>
  <c r="J7339" i="2"/>
  <c r="K7339" i="2"/>
  <c r="O7339" i="2"/>
  <c r="R7339" i="2"/>
  <c r="S7339" i="2" s="1"/>
  <c r="I7340" i="2"/>
  <c r="J7340" i="2"/>
  <c r="K7340" i="2"/>
  <c r="O7340" i="2"/>
  <c r="R7340" i="2"/>
  <c r="S7340" i="2" s="1"/>
  <c r="I7341" i="2"/>
  <c r="J7341" i="2"/>
  <c r="K7341" i="2"/>
  <c r="O7341" i="2"/>
  <c r="R7341" i="2"/>
  <c r="S7341" i="2" s="1"/>
  <c r="I7342" i="2"/>
  <c r="J7342" i="2"/>
  <c r="K7342" i="2"/>
  <c r="O7342" i="2"/>
  <c r="R7342" i="2"/>
  <c r="S7342" i="2" s="1"/>
  <c r="I7343" i="2"/>
  <c r="J7343" i="2"/>
  <c r="K7343" i="2"/>
  <c r="O7343" i="2"/>
  <c r="R7343" i="2"/>
  <c r="S7343" i="2" s="1"/>
  <c r="I7344" i="2"/>
  <c r="J7344" i="2"/>
  <c r="K7344" i="2"/>
  <c r="O7344" i="2"/>
  <c r="R7344" i="2"/>
  <c r="S7344" i="2" s="1"/>
  <c r="I7345" i="2"/>
  <c r="J7345" i="2"/>
  <c r="K7345" i="2"/>
  <c r="O7345" i="2"/>
  <c r="R7345" i="2"/>
  <c r="S7345" i="2" s="1"/>
  <c r="I7346" i="2"/>
  <c r="J7346" i="2"/>
  <c r="K7346" i="2"/>
  <c r="O7346" i="2"/>
  <c r="R7346" i="2"/>
  <c r="S7346" i="2" s="1"/>
  <c r="I7347" i="2"/>
  <c r="J7347" i="2"/>
  <c r="K7347" i="2"/>
  <c r="O7347" i="2"/>
  <c r="R7347" i="2"/>
  <c r="S7347" i="2" s="1"/>
  <c r="I7348" i="2"/>
  <c r="J7348" i="2"/>
  <c r="K7348" i="2"/>
  <c r="O7348" i="2"/>
  <c r="R7348" i="2"/>
  <c r="S7348" i="2" s="1"/>
  <c r="I7349" i="2"/>
  <c r="J7349" i="2"/>
  <c r="K7349" i="2"/>
  <c r="O7349" i="2"/>
  <c r="R7349" i="2"/>
  <c r="S7349" i="2" s="1"/>
  <c r="I7350" i="2"/>
  <c r="J7350" i="2"/>
  <c r="K7350" i="2"/>
  <c r="O7350" i="2"/>
  <c r="R7350" i="2"/>
  <c r="S7350" i="2" s="1"/>
  <c r="I7351" i="2"/>
  <c r="J7351" i="2"/>
  <c r="K7351" i="2"/>
  <c r="O7351" i="2"/>
  <c r="R7351" i="2"/>
  <c r="S7351" i="2" s="1"/>
  <c r="I7352" i="2"/>
  <c r="J7352" i="2"/>
  <c r="K7352" i="2"/>
  <c r="O7352" i="2"/>
  <c r="R7352" i="2"/>
  <c r="S7352" i="2" s="1"/>
  <c r="I7353" i="2"/>
  <c r="J7353" i="2"/>
  <c r="K7353" i="2"/>
  <c r="O7353" i="2"/>
  <c r="R7353" i="2"/>
  <c r="S7353" i="2" s="1"/>
  <c r="I7354" i="2"/>
  <c r="J7354" i="2"/>
  <c r="K7354" i="2"/>
  <c r="O7354" i="2"/>
  <c r="R7354" i="2"/>
  <c r="S7354" i="2" s="1"/>
  <c r="I7355" i="2"/>
  <c r="J7355" i="2"/>
  <c r="K7355" i="2"/>
  <c r="O7355" i="2"/>
  <c r="R7355" i="2"/>
  <c r="S7355" i="2" s="1"/>
  <c r="I7356" i="2"/>
  <c r="J7356" i="2"/>
  <c r="K7356" i="2"/>
  <c r="O7356" i="2"/>
  <c r="R7356" i="2"/>
  <c r="S7356" i="2" s="1"/>
  <c r="I7357" i="2"/>
  <c r="J7357" i="2"/>
  <c r="K7357" i="2"/>
  <c r="O7357" i="2"/>
  <c r="R7357" i="2"/>
  <c r="S7357" i="2" s="1"/>
  <c r="I7358" i="2"/>
  <c r="J7358" i="2"/>
  <c r="K7358" i="2"/>
  <c r="O7358" i="2"/>
  <c r="R7358" i="2"/>
  <c r="S7358" i="2" s="1"/>
  <c r="I7359" i="2"/>
  <c r="J7359" i="2"/>
  <c r="K7359" i="2"/>
  <c r="O7359" i="2"/>
  <c r="R7359" i="2"/>
  <c r="S7359" i="2" s="1"/>
  <c r="I7360" i="2"/>
  <c r="J7360" i="2"/>
  <c r="K7360" i="2"/>
  <c r="O7360" i="2"/>
  <c r="R7360" i="2"/>
  <c r="S7360" i="2" s="1"/>
  <c r="I7361" i="2"/>
  <c r="J7361" i="2"/>
  <c r="K7361" i="2"/>
  <c r="O7361" i="2"/>
  <c r="R7361" i="2"/>
  <c r="S7361" i="2" s="1"/>
  <c r="I7362" i="2"/>
  <c r="J7362" i="2"/>
  <c r="K7362" i="2"/>
  <c r="O7362" i="2"/>
  <c r="R7362" i="2"/>
  <c r="S7362" i="2" s="1"/>
  <c r="I7363" i="2"/>
  <c r="J7363" i="2"/>
  <c r="K7363" i="2"/>
  <c r="O7363" i="2"/>
  <c r="R7363" i="2"/>
  <c r="S7363" i="2" s="1"/>
  <c r="I7364" i="2"/>
  <c r="J7364" i="2"/>
  <c r="K7364" i="2"/>
  <c r="O7364" i="2"/>
  <c r="R7364" i="2"/>
  <c r="S7364" i="2" s="1"/>
  <c r="I7365" i="2"/>
  <c r="J7365" i="2"/>
  <c r="K7365" i="2"/>
  <c r="O7365" i="2"/>
  <c r="R7365" i="2"/>
  <c r="S7365" i="2" s="1"/>
  <c r="I7366" i="2"/>
  <c r="J7366" i="2"/>
  <c r="K7366" i="2"/>
  <c r="O7366" i="2"/>
  <c r="R7366" i="2"/>
  <c r="S7366" i="2" s="1"/>
  <c r="I7367" i="2"/>
  <c r="J7367" i="2"/>
  <c r="K7367" i="2"/>
  <c r="O7367" i="2"/>
  <c r="R7367" i="2"/>
  <c r="S7367" i="2" s="1"/>
  <c r="I7368" i="2"/>
  <c r="J7368" i="2"/>
  <c r="K7368" i="2"/>
  <c r="O7368" i="2"/>
  <c r="R7368" i="2"/>
  <c r="S7368" i="2" s="1"/>
  <c r="I7369" i="2"/>
  <c r="J7369" i="2"/>
  <c r="K7369" i="2"/>
  <c r="O7369" i="2"/>
  <c r="R7369" i="2"/>
  <c r="S7369" i="2" s="1"/>
  <c r="I7370" i="2"/>
  <c r="J7370" i="2"/>
  <c r="K7370" i="2"/>
  <c r="O7370" i="2"/>
  <c r="R7370" i="2"/>
  <c r="S7370" i="2" s="1"/>
  <c r="I7371" i="2"/>
  <c r="J7371" i="2"/>
  <c r="K7371" i="2"/>
  <c r="O7371" i="2"/>
  <c r="R7371" i="2"/>
  <c r="S7371" i="2" s="1"/>
  <c r="I7372" i="2"/>
  <c r="J7372" i="2"/>
  <c r="K7372" i="2"/>
  <c r="O7372" i="2"/>
  <c r="R7372" i="2"/>
  <c r="S7372" i="2" s="1"/>
  <c r="I7373" i="2"/>
  <c r="J7373" i="2"/>
  <c r="K7373" i="2"/>
  <c r="O7373" i="2"/>
  <c r="R7373" i="2"/>
  <c r="S7373" i="2" s="1"/>
  <c r="I7374" i="2"/>
  <c r="J7374" i="2"/>
  <c r="K7374" i="2"/>
  <c r="O7374" i="2"/>
  <c r="R7374" i="2"/>
  <c r="S7374" i="2" s="1"/>
  <c r="I7375" i="2"/>
  <c r="J7375" i="2"/>
  <c r="K7375" i="2"/>
  <c r="O7375" i="2"/>
  <c r="R7375" i="2"/>
  <c r="S7375" i="2" s="1"/>
  <c r="I7376" i="2"/>
  <c r="J7376" i="2"/>
  <c r="K7376" i="2"/>
  <c r="O7376" i="2"/>
  <c r="R7376" i="2"/>
  <c r="S7376" i="2" s="1"/>
  <c r="I7377" i="2"/>
  <c r="J7377" i="2"/>
  <c r="K7377" i="2"/>
  <c r="O7377" i="2"/>
  <c r="R7377" i="2"/>
  <c r="S7377" i="2" s="1"/>
  <c r="I7378" i="2"/>
  <c r="J7378" i="2"/>
  <c r="K7378" i="2"/>
  <c r="O7378" i="2"/>
  <c r="R7378" i="2"/>
  <c r="S7378" i="2" s="1"/>
  <c r="I7379" i="2"/>
  <c r="J7379" i="2"/>
  <c r="K7379" i="2"/>
  <c r="O7379" i="2"/>
  <c r="R7379" i="2"/>
  <c r="S7379" i="2" s="1"/>
  <c r="I7380" i="2"/>
  <c r="J7380" i="2"/>
  <c r="K7380" i="2"/>
  <c r="O7380" i="2"/>
  <c r="R7380" i="2"/>
  <c r="S7380" i="2" s="1"/>
  <c r="I7381" i="2"/>
  <c r="J7381" i="2"/>
  <c r="K7381" i="2"/>
  <c r="O7381" i="2"/>
  <c r="R7381" i="2"/>
  <c r="S7381" i="2" s="1"/>
  <c r="I7382" i="2"/>
  <c r="J7382" i="2"/>
  <c r="K7382" i="2"/>
  <c r="O7382" i="2"/>
  <c r="R7382" i="2"/>
  <c r="S7382" i="2" s="1"/>
  <c r="I7383" i="2"/>
  <c r="J7383" i="2"/>
  <c r="K7383" i="2"/>
  <c r="O7383" i="2"/>
  <c r="R7383" i="2"/>
  <c r="S7383" i="2" s="1"/>
  <c r="I7384" i="2"/>
  <c r="J7384" i="2"/>
  <c r="K7384" i="2"/>
  <c r="O7384" i="2"/>
  <c r="R7384" i="2"/>
  <c r="S7384" i="2" s="1"/>
  <c r="I7385" i="2"/>
  <c r="J7385" i="2"/>
  <c r="K7385" i="2"/>
  <c r="O7385" i="2"/>
  <c r="R7385" i="2"/>
  <c r="S7385" i="2" s="1"/>
  <c r="I7386" i="2"/>
  <c r="J7386" i="2"/>
  <c r="K7386" i="2"/>
  <c r="O7386" i="2"/>
  <c r="R7386" i="2"/>
  <c r="S7386" i="2" s="1"/>
  <c r="I7387" i="2"/>
  <c r="J7387" i="2"/>
  <c r="K7387" i="2"/>
  <c r="O7387" i="2"/>
  <c r="R7387" i="2"/>
  <c r="S7387" i="2" s="1"/>
  <c r="I7388" i="2"/>
  <c r="J7388" i="2"/>
  <c r="K7388" i="2"/>
  <c r="O7388" i="2"/>
  <c r="R7388" i="2"/>
  <c r="S7388" i="2" s="1"/>
  <c r="I7389" i="2"/>
  <c r="J7389" i="2"/>
  <c r="K7389" i="2"/>
  <c r="O7389" i="2"/>
  <c r="R7389" i="2"/>
  <c r="S7389" i="2" s="1"/>
  <c r="I7390" i="2"/>
  <c r="J7390" i="2"/>
  <c r="K7390" i="2"/>
  <c r="O7390" i="2"/>
  <c r="R7390" i="2"/>
  <c r="S7390" i="2" s="1"/>
  <c r="I7391" i="2"/>
  <c r="J7391" i="2"/>
  <c r="K7391" i="2"/>
  <c r="O7391" i="2"/>
  <c r="R7391" i="2"/>
  <c r="S7391" i="2" s="1"/>
  <c r="I7392" i="2"/>
  <c r="J7392" i="2"/>
  <c r="K7392" i="2"/>
  <c r="O7392" i="2"/>
  <c r="R7392" i="2"/>
  <c r="S7392" i="2" s="1"/>
  <c r="I7393" i="2"/>
  <c r="J7393" i="2"/>
  <c r="K7393" i="2"/>
  <c r="O7393" i="2"/>
  <c r="R7393" i="2"/>
  <c r="S7393" i="2" s="1"/>
  <c r="I7394" i="2"/>
  <c r="J7394" i="2"/>
  <c r="K7394" i="2"/>
  <c r="O7394" i="2"/>
  <c r="R7394" i="2"/>
  <c r="S7394" i="2" s="1"/>
  <c r="I7395" i="2"/>
  <c r="J7395" i="2"/>
  <c r="K7395" i="2"/>
  <c r="O7395" i="2"/>
  <c r="R7395" i="2"/>
  <c r="S7395" i="2" s="1"/>
  <c r="I7396" i="2"/>
  <c r="J7396" i="2"/>
  <c r="K7396" i="2"/>
  <c r="O7396" i="2"/>
  <c r="R7396" i="2"/>
  <c r="S7396" i="2" s="1"/>
  <c r="I7397" i="2"/>
  <c r="J7397" i="2"/>
  <c r="K7397" i="2"/>
  <c r="O7397" i="2"/>
  <c r="R7397" i="2"/>
  <c r="S7397" i="2" s="1"/>
  <c r="I7398" i="2"/>
  <c r="J7398" i="2"/>
  <c r="K7398" i="2"/>
  <c r="O7398" i="2"/>
  <c r="R7398" i="2"/>
  <c r="S7398" i="2" s="1"/>
  <c r="I7399" i="2"/>
  <c r="J7399" i="2"/>
  <c r="K7399" i="2"/>
  <c r="O7399" i="2"/>
  <c r="R7399" i="2"/>
  <c r="S7399" i="2" s="1"/>
  <c r="I7400" i="2"/>
  <c r="J7400" i="2"/>
  <c r="K7400" i="2"/>
  <c r="O7400" i="2"/>
  <c r="R7400" i="2"/>
  <c r="S7400" i="2" s="1"/>
  <c r="I7401" i="2"/>
  <c r="J7401" i="2"/>
  <c r="K7401" i="2"/>
  <c r="O7401" i="2"/>
  <c r="R7401" i="2"/>
  <c r="S7401" i="2" s="1"/>
  <c r="I7402" i="2"/>
  <c r="J7402" i="2"/>
  <c r="K7402" i="2"/>
  <c r="O7402" i="2"/>
  <c r="R7402" i="2"/>
  <c r="S7402" i="2" s="1"/>
  <c r="I7403" i="2"/>
  <c r="J7403" i="2"/>
  <c r="K7403" i="2"/>
  <c r="O7403" i="2"/>
  <c r="R7403" i="2"/>
  <c r="S7403" i="2" s="1"/>
  <c r="I7404" i="2"/>
  <c r="J7404" i="2"/>
  <c r="K7404" i="2"/>
  <c r="O7404" i="2"/>
  <c r="R7404" i="2"/>
  <c r="S7404" i="2" s="1"/>
  <c r="I7405" i="2"/>
  <c r="J7405" i="2"/>
  <c r="K7405" i="2"/>
  <c r="O7405" i="2"/>
  <c r="R7405" i="2"/>
  <c r="S7405" i="2" s="1"/>
  <c r="I7406" i="2"/>
  <c r="J7406" i="2"/>
  <c r="K7406" i="2"/>
  <c r="O7406" i="2"/>
  <c r="R7406" i="2"/>
  <c r="S7406" i="2" s="1"/>
  <c r="I7407" i="2"/>
  <c r="J7407" i="2"/>
  <c r="K7407" i="2"/>
  <c r="O7407" i="2"/>
  <c r="R7407" i="2"/>
  <c r="S7407" i="2" s="1"/>
  <c r="I7408" i="2"/>
  <c r="J7408" i="2"/>
  <c r="K7408" i="2"/>
  <c r="O7408" i="2"/>
  <c r="R7408" i="2"/>
  <c r="S7408" i="2" s="1"/>
  <c r="I7409" i="2"/>
  <c r="J7409" i="2"/>
  <c r="K7409" i="2"/>
  <c r="O7409" i="2"/>
  <c r="R7409" i="2"/>
  <c r="S7409" i="2" s="1"/>
  <c r="I7410" i="2"/>
  <c r="J7410" i="2"/>
  <c r="K7410" i="2"/>
  <c r="O7410" i="2"/>
  <c r="R7410" i="2"/>
  <c r="S7410" i="2" s="1"/>
  <c r="I7411" i="2"/>
  <c r="J7411" i="2"/>
  <c r="K7411" i="2"/>
  <c r="O7411" i="2"/>
  <c r="R7411" i="2"/>
  <c r="S7411" i="2" s="1"/>
  <c r="I7412" i="2"/>
  <c r="J7412" i="2"/>
  <c r="K7412" i="2"/>
  <c r="O7412" i="2"/>
  <c r="R7412" i="2"/>
  <c r="S7412" i="2" s="1"/>
  <c r="I7413" i="2"/>
  <c r="J7413" i="2"/>
  <c r="K7413" i="2"/>
  <c r="O7413" i="2"/>
  <c r="R7413" i="2"/>
  <c r="S7413" i="2" s="1"/>
  <c r="I7414" i="2"/>
  <c r="J7414" i="2"/>
  <c r="K7414" i="2"/>
  <c r="O7414" i="2"/>
  <c r="R7414" i="2"/>
  <c r="S7414" i="2" s="1"/>
  <c r="I7415" i="2"/>
  <c r="J7415" i="2"/>
  <c r="K7415" i="2"/>
  <c r="O7415" i="2"/>
  <c r="R7415" i="2"/>
  <c r="S7415" i="2" s="1"/>
  <c r="I7416" i="2"/>
  <c r="J7416" i="2"/>
  <c r="K7416" i="2"/>
  <c r="O7416" i="2"/>
  <c r="R7416" i="2"/>
  <c r="S7416" i="2" s="1"/>
  <c r="I7417" i="2"/>
  <c r="J7417" i="2"/>
  <c r="K7417" i="2"/>
  <c r="O7417" i="2"/>
  <c r="R7417" i="2"/>
  <c r="S7417" i="2" s="1"/>
  <c r="I7418" i="2"/>
  <c r="J7418" i="2"/>
  <c r="K7418" i="2"/>
  <c r="O7418" i="2"/>
  <c r="R7418" i="2"/>
  <c r="S7418" i="2" s="1"/>
  <c r="I7419" i="2"/>
  <c r="J7419" i="2"/>
  <c r="K7419" i="2"/>
  <c r="O7419" i="2"/>
  <c r="R7419" i="2"/>
  <c r="S7419" i="2" s="1"/>
  <c r="I7420" i="2"/>
  <c r="J7420" i="2"/>
  <c r="K7420" i="2"/>
  <c r="O7420" i="2"/>
  <c r="R7420" i="2"/>
  <c r="S7420" i="2" s="1"/>
  <c r="I7421" i="2"/>
  <c r="J7421" i="2"/>
  <c r="K7421" i="2"/>
  <c r="O7421" i="2"/>
  <c r="R7421" i="2"/>
  <c r="S7421" i="2" s="1"/>
  <c r="I7422" i="2"/>
  <c r="J7422" i="2"/>
  <c r="K7422" i="2"/>
  <c r="O7422" i="2"/>
  <c r="R7422" i="2"/>
  <c r="S7422" i="2" s="1"/>
  <c r="I7423" i="2"/>
  <c r="J7423" i="2"/>
  <c r="K7423" i="2"/>
  <c r="O7423" i="2"/>
  <c r="R7423" i="2"/>
  <c r="S7423" i="2" s="1"/>
  <c r="I7424" i="2"/>
  <c r="J7424" i="2"/>
  <c r="K7424" i="2"/>
  <c r="O7424" i="2"/>
  <c r="R7424" i="2"/>
  <c r="S7424" i="2" s="1"/>
  <c r="I7425" i="2"/>
  <c r="J7425" i="2"/>
  <c r="K7425" i="2"/>
  <c r="O7425" i="2"/>
  <c r="R7425" i="2"/>
  <c r="S7425" i="2" s="1"/>
  <c r="I7426" i="2"/>
  <c r="J7426" i="2"/>
  <c r="K7426" i="2"/>
  <c r="O7426" i="2"/>
  <c r="R7426" i="2"/>
  <c r="S7426" i="2" s="1"/>
  <c r="I7427" i="2"/>
  <c r="J7427" i="2"/>
  <c r="K7427" i="2"/>
  <c r="O7427" i="2"/>
  <c r="R7427" i="2"/>
  <c r="S7427" i="2" s="1"/>
  <c r="I7428" i="2"/>
  <c r="J7428" i="2"/>
  <c r="K7428" i="2"/>
  <c r="O7428" i="2"/>
  <c r="R7428" i="2"/>
  <c r="S7428" i="2" s="1"/>
  <c r="I7429" i="2"/>
  <c r="J7429" i="2"/>
  <c r="K7429" i="2"/>
  <c r="O7429" i="2"/>
  <c r="R7429" i="2"/>
  <c r="S7429" i="2" s="1"/>
  <c r="I7430" i="2"/>
  <c r="J7430" i="2"/>
  <c r="K7430" i="2"/>
  <c r="O7430" i="2"/>
  <c r="R7430" i="2"/>
  <c r="S7430" i="2" s="1"/>
  <c r="I7431" i="2"/>
  <c r="J7431" i="2"/>
  <c r="K7431" i="2"/>
  <c r="O7431" i="2"/>
  <c r="R7431" i="2"/>
  <c r="S7431" i="2" s="1"/>
  <c r="I7432" i="2"/>
  <c r="J7432" i="2"/>
  <c r="K7432" i="2"/>
  <c r="O7432" i="2"/>
  <c r="R7432" i="2"/>
  <c r="S7432" i="2" s="1"/>
  <c r="I7433" i="2"/>
  <c r="J7433" i="2"/>
  <c r="K7433" i="2"/>
  <c r="O7433" i="2"/>
  <c r="R7433" i="2"/>
  <c r="S7433" i="2" s="1"/>
  <c r="I7434" i="2"/>
  <c r="J7434" i="2"/>
  <c r="K7434" i="2"/>
  <c r="O7434" i="2"/>
  <c r="R7434" i="2"/>
  <c r="S7434" i="2" s="1"/>
  <c r="I7435" i="2"/>
  <c r="J7435" i="2"/>
  <c r="K7435" i="2"/>
  <c r="O7435" i="2"/>
  <c r="R7435" i="2"/>
  <c r="S7435" i="2" s="1"/>
  <c r="I7436" i="2"/>
  <c r="J7436" i="2"/>
  <c r="K7436" i="2"/>
  <c r="O7436" i="2"/>
  <c r="R7436" i="2"/>
  <c r="S7436" i="2" s="1"/>
  <c r="I7437" i="2"/>
  <c r="J7437" i="2"/>
  <c r="K7437" i="2"/>
  <c r="O7437" i="2"/>
  <c r="R7437" i="2"/>
  <c r="S7437" i="2" s="1"/>
  <c r="I7438" i="2"/>
  <c r="J7438" i="2"/>
  <c r="K7438" i="2"/>
  <c r="O7438" i="2"/>
  <c r="R7438" i="2"/>
  <c r="S7438" i="2" s="1"/>
  <c r="I7439" i="2"/>
  <c r="J7439" i="2"/>
  <c r="K7439" i="2"/>
  <c r="O7439" i="2"/>
  <c r="R7439" i="2"/>
  <c r="S7439" i="2" s="1"/>
  <c r="I7440" i="2"/>
  <c r="J7440" i="2"/>
  <c r="K7440" i="2"/>
  <c r="O7440" i="2"/>
  <c r="R7440" i="2"/>
  <c r="S7440" i="2" s="1"/>
  <c r="I7441" i="2"/>
  <c r="J7441" i="2"/>
  <c r="K7441" i="2"/>
  <c r="O7441" i="2"/>
  <c r="R7441" i="2"/>
  <c r="S7441" i="2" s="1"/>
  <c r="I7442" i="2"/>
  <c r="J7442" i="2"/>
  <c r="K7442" i="2"/>
  <c r="O7442" i="2"/>
  <c r="R7442" i="2"/>
  <c r="S7442" i="2" s="1"/>
  <c r="I7443" i="2"/>
  <c r="J7443" i="2"/>
  <c r="K7443" i="2"/>
  <c r="O7443" i="2"/>
  <c r="R7443" i="2"/>
  <c r="S7443" i="2" s="1"/>
  <c r="I7444" i="2"/>
  <c r="J7444" i="2"/>
  <c r="K7444" i="2"/>
  <c r="O7444" i="2"/>
  <c r="R7444" i="2"/>
  <c r="S7444" i="2" s="1"/>
  <c r="I7445" i="2"/>
  <c r="J7445" i="2"/>
  <c r="K7445" i="2"/>
  <c r="O7445" i="2"/>
  <c r="R7445" i="2"/>
  <c r="S7445" i="2" s="1"/>
  <c r="I7446" i="2"/>
  <c r="J7446" i="2"/>
  <c r="K7446" i="2"/>
  <c r="O7446" i="2"/>
  <c r="R7446" i="2"/>
  <c r="S7446" i="2" s="1"/>
  <c r="I7447" i="2"/>
  <c r="J7447" i="2"/>
  <c r="K7447" i="2"/>
  <c r="O7447" i="2"/>
  <c r="R7447" i="2"/>
  <c r="S7447" i="2" s="1"/>
  <c r="I7448" i="2"/>
  <c r="J7448" i="2"/>
  <c r="K7448" i="2"/>
  <c r="O7448" i="2"/>
  <c r="R7448" i="2"/>
  <c r="S7448" i="2" s="1"/>
  <c r="I7449" i="2"/>
  <c r="J7449" i="2"/>
  <c r="K7449" i="2"/>
  <c r="O7449" i="2"/>
  <c r="R7449" i="2"/>
  <c r="S7449" i="2" s="1"/>
  <c r="I7450" i="2"/>
  <c r="J7450" i="2"/>
  <c r="K7450" i="2"/>
  <c r="O7450" i="2"/>
  <c r="R7450" i="2"/>
  <c r="S7450" i="2" s="1"/>
  <c r="I7451" i="2"/>
  <c r="J7451" i="2"/>
  <c r="K7451" i="2"/>
  <c r="O7451" i="2"/>
  <c r="R7451" i="2"/>
  <c r="S7451" i="2" s="1"/>
  <c r="I7452" i="2"/>
  <c r="J7452" i="2"/>
  <c r="K7452" i="2"/>
  <c r="O7452" i="2"/>
  <c r="R7452" i="2"/>
  <c r="S7452" i="2" s="1"/>
  <c r="I7453" i="2"/>
  <c r="J7453" i="2"/>
  <c r="K7453" i="2"/>
  <c r="O7453" i="2"/>
  <c r="R7453" i="2"/>
  <c r="S7453" i="2" s="1"/>
  <c r="I7454" i="2"/>
  <c r="J7454" i="2"/>
  <c r="K7454" i="2"/>
  <c r="O7454" i="2"/>
  <c r="R7454" i="2"/>
  <c r="S7454" i="2" s="1"/>
  <c r="I7455" i="2"/>
  <c r="J7455" i="2"/>
  <c r="K7455" i="2"/>
  <c r="O7455" i="2"/>
  <c r="R7455" i="2"/>
  <c r="S7455" i="2" s="1"/>
  <c r="I7456" i="2"/>
  <c r="J7456" i="2"/>
  <c r="K7456" i="2"/>
  <c r="O7456" i="2"/>
  <c r="R7456" i="2"/>
  <c r="S7456" i="2" s="1"/>
  <c r="I7457" i="2"/>
  <c r="J7457" i="2"/>
  <c r="K7457" i="2"/>
  <c r="O7457" i="2"/>
  <c r="R7457" i="2"/>
  <c r="S7457" i="2" s="1"/>
  <c r="I7458" i="2"/>
  <c r="J7458" i="2"/>
  <c r="K7458" i="2"/>
  <c r="O7458" i="2"/>
  <c r="R7458" i="2"/>
  <c r="S7458" i="2" s="1"/>
  <c r="I7459" i="2"/>
  <c r="J7459" i="2"/>
  <c r="K7459" i="2"/>
  <c r="O7459" i="2"/>
  <c r="R7459" i="2"/>
  <c r="S7459" i="2" s="1"/>
  <c r="I7460" i="2"/>
  <c r="J7460" i="2"/>
  <c r="K7460" i="2"/>
  <c r="O7460" i="2"/>
  <c r="R7460" i="2"/>
  <c r="S7460" i="2" s="1"/>
  <c r="I7461" i="2"/>
  <c r="J7461" i="2"/>
  <c r="K7461" i="2"/>
  <c r="O7461" i="2"/>
  <c r="R7461" i="2"/>
  <c r="S7461" i="2" s="1"/>
  <c r="I7462" i="2"/>
  <c r="J7462" i="2"/>
  <c r="K7462" i="2"/>
  <c r="O7462" i="2"/>
  <c r="R7462" i="2"/>
  <c r="S7462" i="2" s="1"/>
  <c r="I7463" i="2"/>
  <c r="J7463" i="2"/>
  <c r="K7463" i="2"/>
  <c r="O7463" i="2"/>
  <c r="R7463" i="2"/>
  <c r="S7463" i="2" s="1"/>
  <c r="I7464" i="2"/>
  <c r="J7464" i="2"/>
  <c r="K7464" i="2"/>
  <c r="O7464" i="2"/>
  <c r="R7464" i="2"/>
  <c r="S7464" i="2" s="1"/>
  <c r="I7465" i="2"/>
  <c r="J7465" i="2"/>
  <c r="K7465" i="2"/>
  <c r="O7465" i="2"/>
  <c r="R7465" i="2"/>
  <c r="S7465" i="2" s="1"/>
  <c r="I7466" i="2"/>
  <c r="J7466" i="2"/>
  <c r="K7466" i="2"/>
  <c r="O7466" i="2"/>
  <c r="R7466" i="2"/>
  <c r="S7466" i="2" s="1"/>
  <c r="I7467" i="2"/>
  <c r="J7467" i="2"/>
  <c r="K7467" i="2"/>
  <c r="O7467" i="2"/>
  <c r="R7467" i="2"/>
  <c r="S7467" i="2" s="1"/>
  <c r="I7468" i="2"/>
  <c r="J7468" i="2"/>
  <c r="K7468" i="2"/>
  <c r="O7468" i="2"/>
  <c r="R7468" i="2"/>
  <c r="S7468" i="2" s="1"/>
  <c r="I7469" i="2"/>
  <c r="J7469" i="2"/>
  <c r="K7469" i="2"/>
  <c r="O7469" i="2"/>
  <c r="R7469" i="2"/>
  <c r="S7469" i="2" s="1"/>
  <c r="I7470" i="2"/>
  <c r="J7470" i="2"/>
  <c r="K7470" i="2"/>
  <c r="O7470" i="2"/>
  <c r="R7470" i="2"/>
  <c r="S7470" i="2" s="1"/>
  <c r="I7471" i="2"/>
  <c r="J7471" i="2"/>
  <c r="K7471" i="2"/>
  <c r="O7471" i="2"/>
  <c r="R7471" i="2"/>
  <c r="S7471" i="2" s="1"/>
  <c r="I7472" i="2"/>
  <c r="J7472" i="2"/>
  <c r="K7472" i="2"/>
  <c r="O7472" i="2"/>
  <c r="R7472" i="2"/>
  <c r="S7472" i="2" s="1"/>
  <c r="I7473" i="2"/>
  <c r="J7473" i="2"/>
  <c r="K7473" i="2"/>
  <c r="O7473" i="2"/>
  <c r="R7473" i="2"/>
  <c r="S7473" i="2" s="1"/>
  <c r="I7474" i="2"/>
  <c r="J7474" i="2"/>
  <c r="K7474" i="2"/>
  <c r="O7474" i="2"/>
  <c r="R7474" i="2"/>
  <c r="S7474" i="2" s="1"/>
  <c r="I7475" i="2"/>
  <c r="J7475" i="2"/>
  <c r="K7475" i="2"/>
  <c r="O7475" i="2"/>
  <c r="R7475" i="2"/>
  <c r="S7475" i="2" s="1"/>
  <c r="I7476" i="2"/>
  <c r="J7476" i="2"/>
  <c r="K7476" i="2"/>
  <c r="O7476" i="2"/>
  <c r="R7476" i="2"/>
  <c r="S7476" i="2" s="1"/>
  <c r="I7477" i="2"/>
  <c r="J7477" i="2"/>
  <c r="K7477" i="2"/>
  <c r="O7477" i="2"/>
  <c r="R7477" i="2"/>
  <c r="S7477" i="2" s="1"/>
  <c r="I7478" i="2"/>
  <c r="J7478" i="2"/>
  <c r="K7478" i="2"/>
  <c r="O7478" i="2"/>
  <c r="R7478" i="2"/>
  <c r="S7478" i="2" s="1"/>
  <c r="I7479" i="2"/>
  <c r="J7479" i="2"/>
  <c r="K7479" i="2"/>
  <c r="O7479" i="2"/>
  <c r="R7479" i="2"/>
  <c r="S7479" i="2" s="1"/>
  <c r="I7480" i="2"/>
  <c r="J7480" i="2"/>
  <c r="K7480" i="2"/>
  <c r="O7480" i="2"/>
  <c r="R7480" i="2"/>
  <c r="S7480" i="2" s="1"/>
  <c r="I7481" i="2"/>
  <c r="J7481" i="2"/>
  <c r="K7481" i="2"/>
  <c r="O7481" i="2"/>
  <c r="R7481" i="2"/>
  <c r="S7481" i="2" s="1"/>
  <c r="I7482" i="2"/>
  <c r="J7482" i="2"/>
  <c r="K7482" i="2"/>
  <c r="O7482" i="2"/>
  <c r="R7482" i="2"/>
  <c r="S7482" i="2" s="1"/>
  <c r="I7483" i="2"/>
  <c r="J7483" i="2"/>
  <c r="K7483" i="2"/>
  <c r="O7483" i="2"/>
  <c r="R7483" i="2"/>
  <c r="S7483" i="2" s="1"/>
  <c r="I7484" i="2"/>
  <c r="J7484" i="2"/>
  <c r="K7484" i="2"/>
  <c r="O7484" i="2"/>
  <c r="R7484" i="2"/>
  <c r="S7484" i="2" s="1"/>
  <c r="I7485" i="2"/>
  <c r="J7485" i="2"/>
  <c r="K7485" i="2"/>
  <c r="O7485" i="2"/>
  <c r="R7485" i="2"/>
  <c r="S7485" i="2" s="1"/>
  <c r="I7486" i="2"/>
  <c r="J7486" i="2"/>
  <c r="K7486" i="2"/>
  <c r="O7486" i="2"/>
  <c r="R7486" i="2"/>
  <c r="S7486" i="2" s="1"/>
  <c r="I7487" i="2"/>
  <c r="J7487" i="2"/>
  <c r="K7487" i="2"/>
  <c r="O7487" i="2"/>
  <c r="R7487" i="2"/>
  <c r="S7487" i="2" s="1"/>
  <c r="I7488" i="2"/>
  <c r="J7488" i="2"/>
  <c r="K7488" i="2"/>
  <c r="O7488" i="2"/>
  <c r="R7488" i="2"/>
  <c r="S7488" i="2" s="1"/>
  <c r="I7489" i="2"/>
  <c r="J7489" i="2"/>
  <c r="K7489" i="2"/>
  <c r="O7489" i="2"/>
  <c r="R7489" i="2"/>
  <c r="S7489" i="2" s="1"/>
  <c r="I7490" i="2"/>
  <c r="J7490" i="2"/>
  <c r="K7490" i="2"/>
  <c r="O7490" i="2"/>
  <c r="R7490" i="2"/>
  <c r="S7490" i="2" s="1"/>
  <c r="I7491" i="2"/>
  <c r="J7491" i="2"/>
  <c r="K7491" i="2"/>
  <c r="O7491" i="2"/>
  <c r="R7491" i="2"/>
  <c r="S7491" i="2" s="1"/>
  <c r="I7492" i="2"/>
  <c r="J7492" i="2"/>
  <c r="K7492" i="2"/>
  <c r="O7492" i="2"/>
  <c r="R7492" i="2"/>
  <c r="S7492" i="2" s="1"/>
  <c r="I7493" i="2"/>
  <c r="J7493" i="2"/>
  <c r="K7493" i="2"/>
  <c r="O7493" i="2"/>
  <c r="R7493" i="2"/>
  <c r="S7493" i="2" s="1"/>
  <c r="I7494" i="2"/>
  <c r="J7494" i="2"/>
  <c r="K7494" i="2"/>
  <c r="O7494" i="2"/>
  <c r="R7494" i="2"/>
  <c r="S7494" i="2" s="1"/>
  <c r="I7495" i="2"/>
  <c r="J7495" i="2"/>
  <c r="K7495" i="2"/>
  <c r="O7495" i="2"/>
  <c r="R7495" i="2"/>
  <c r="S7495" i="2" s="1"/>
  <c r="I7496" i="2"/>
  <c r="J7496" i="2"/>
  <c r="K7496" i="2"/>
  <c r="O7496" i="2"/>
  <c r="R7496" i="2"/>
  <c r="S7496" i="2" s="1"/>
  <c r="I7497" i="2"/>
  <c r="J7497" i="2"/>
  <c r="K7497" i="2"/>
  <c r="O7497" i="2"/>
  <c r="R7497" i="2"/>
  <c r="S7497" i="2" s="1"/>
  <c r="I7498" i="2"/>
  <c r="J7498" i="2"/>
  <c r="K7498" i="2"/>
  <c r="O7498" i="2"/>
  <c r="R7498" i="2"/>
  <c r="S7498" i="2" s="1"/>
  <c r="I7499" i="2"/>
  <c r="J7499" i="2"/>
  <c r="K7499" i="2"/>
  <c r="O7499" i="2"/>
  <c r="R7499" i="2"/>
  <c r="S7499" i="2" s="1"/>
  <c r="I7500" i="2"/>
  <c r="J7500" i="2"/>
  <c r="K7500" i="2"/>
  <c r="O7500" i="2"/>
  <c r="R7500" i="2"/>
  <c r="S7500" i="2" s="1"/>
  <c r="I7501" i="2"/>
  <c r="J7501" i="2"/>
  <c r="K7501" i="2"/>
  <c r="O7501" i="2"/>
  <c r="R7501" i="2"/>
  <c r="S7501" i="2" s="1"/>
  <c r="I7502" i="2"/>
  <c r="J7502" i="2"/>
  <c r="K7502" i="2"/>
  <c r="O7502" i="2"/>
  <c r="R7502" i="2"/>
  <c r="S7502" i="2" s="1"/>
  <c r="I7503" i="2"/>
  <c r="J7503" i="2"/>
  <c r="K7503" i="2"/>
  <c r="O7503" i="2"/>
  <c r="R7503" i="2"/>
  <c r="S7503" i="2" s="1"/>
  <c r="I7504" i="2"/>
  <c r="J7504" i="2"/>
  <c r="K7504" i="2"/>
  <c r="O7504" i="2"/>
  <c r="R7504" i="2"/>
  <c r="S7504" i="2" s="1"/>
  <c r="I7505" i="2"/>
  <c r="J7505" i="2"/>
  <c r="K7505" i="2"/>
  <c r="O7505" i="2"/>
  <c r="R7505" i="2"/>
  <c r="S7505" i="2" s="1"/>
  <c r="I7506" i="2"/>
  <c r="J7506" i="2"/>
  <c r="K7506" i="2"/>
  <c r="O7506" i="2"/>
  <c r="R7506" i="2"/>
  <c r="S7506" i="2" s="1"/>
  <c r="I7507" i="2"/>
  <c r="J7507" i="2"/>
  <c r="K7507" i="2"/>
  <c r="O7507" i="2"/>
  <c r="R7507" i="2"/>
  <c r="S7507" i="2" s="1"/>
  <c r="I7508" i="2"/>
  <c r="J7508" i="2"/>
  <c r="K7508" i="2"/>
  <c r="O7508" i="2"/>
  <c r="R7508" i="2"/>
  <c r="S7508" i="2" s="1"/>
  <c r="I7509" i="2"/>
  <c r="J7509" i="2"/>
  <c r="K7509" i="2"/>
  <c r="O7509" i="2"/>
  <c r="R7509" i="2"/>
  <c r="S7509" i="2" s="1"/>
  <c r="I7510" i="2"/>
  <c r="J7510" i="2"/>
  <c r="K7510" i="2"/>
  <c r="O7510" i="2"/>
  <c r="R7510" i="2"/>
  <c r="S7510" i="2" s="1"/>
  <c r="I7511" i="2"/>
  <c r="J7511" i="2"/>
  <c r="K7511" i="2"/>
  <c r="O7511" i="2"/>
  <c r="R7511" i="2"/>
  <c r="S7511" i="2" s="1"/>
  <c r="I7512" i="2"/>
  <c r="J7512" i="2"/>
  <c r="K7512" i="2"/>
  <c r="O7512" i="2"/>
  <c r="R7512" i="2"/>
  <c r="S7512" i="2" s="1"/>
  <c r="I7513" i="2"/>
  <c r="J7513" i="2"/>
  <c r="K7513" i="2"/>
  <c r="O7513" i="2"/>
  <c r="R7513" i="2"/>
  <c r="S7513" i="2" s="1"/>
  <c r="I7514" i="2"/>
  <c r="J7514" i="2"/>
  <c r="K7514" i="2"/>
  <c r="O7514" i="2"/>
  <c r="R7514" i="2"/>
  <c r="S7514" i="2" s="1"/>
  <c r="I7515" i="2"/>
  <c r="J7515" i="2"/>
  <c r="K7515" i="2"/>
  <c r="O7515" i="2"/>
  <c r="R7515" i="2"/>
  <c r="S7515" i="2" s="1"/>
  <c r="I7516" i="2"/>
  <c r="J7516" i="2"/>
  <c r="K7516" i="2"/>
  <c r="O7516" i="2"/>
  <c r="R7516" i="2"/>
  <c r="S7516" i="2" s="1"/>
  <c r="I7517" i="2"/>
  <c r="J7517" i="2"/>
  <c r="K7517" i="2"/>
  <c r="O7517" i="2"/>
  <c r="R7517" i="2"/>
  <c r="S7517" i="2" s="1"/>
  <c r="I7518" i="2"/>
  <c r="J7518" i="2"/>
  <c r="K7518" i="2"/>
  <c r="O7518" i="2"/>
  <c r="R7518" i="2"/>
  <c r="S7518" i="2" s="1"/>
  <c r="I7519" i="2"/>
  <c r="J7519" i="2"/>
  <c r="K7519" i="2"/>
  <c r="O7519" i="2"/>
  <c r="R7519" i="2"/>
  <c r="S7519" i="2" s="1"/>
  <c r="I7520" i="2"/>
  <c r="J7520" i="2"/>
  <c r="K7520" i="2"/>
  <c r="O7520" i="2"/>
  <c r="R7520" i="2"/>
  <c r="S7520" i="2" s="1"/>
  <c r="I7521" i="2"/>
  <c r="J7521" i="2"/>
  <c r="K7521" i="2"/>
  <c r="O7521" i="2"/>
  <c r="R7521" i="2"/>
  <c r="S7521" i="2" s="1"/>
  <c r="I7522" i="2"/>
  <c r="J7522" i="2"/>
  <c r="K7522" i="2"/>
  <c r="O7522" i="2"/>
  <c r="R7522" i="2"/>
  <c r="S7522" i="2" s="1"/>
  <c r="I7523" i="2"/>
  <c r="J7523" i="2"/>
  <c r="K7523" i="2"/>
  <c r="O7523" i="2"/>
  <c r="R7523" i="2"/>
  <c r="S7523" i="2" s="1"/>
  <c r="I7524" i="2"/>
  <c r="J7524" i="2"/>
  <c r="K7524" i="2"/>
  <c r="O7524" i="2"/>
  <c r="R7524" i="2"/>
  <c r="S7524" i="2" s="1"/>
  <c r="I7525" i="2"/>
  <c r="J7525" i="2"/>
  <c r="K7525" i="2"/>
  <c r="O7525" i="2"/>
  <c r="R7525" i="2"/>
  <c r="S7525" i="2" s="1"/>
  <c r="I7526" i="2"/>
  <c r="J7526" i="2"/>
  <c r="K7526" i="2"/>
  <c r="O7526" i="2"/>
  <c r="R7526" i="2"/>
  <c r="S7526" i="2" s="1"/>
  <c r="I7527" i="2"/>
  <c r="J7527" i="2"/>
  <c r="K7527" i="2"/>
  <c r="O7527" i="2"/>
  <c r="R7527" i="2"/>
  <c r="S7527" i="2" s="1"/>
  <c r="I7528" i="2"/>
  <c r="J7528" i="2"/>
  <c r="K7528" i="2"/>
  <c r="O7528" i="2"/>
  <c r="R7528" i="2"/>
  <c r="S7528" i="2" s="1"/>
  <c r="I7529" i="2"/>
  <c r="J7529" i="2"/>
  <c r="K7529" i="2"/>
  <c r="O7529" i="2"/>
  <c r="R7529" i="2"/>
  <c r="S7529" i="2" s="1"/>
  <c r="I7530" i="2"/>
  <c r="J7530" i="2"/>
  <c r="K7530" i="2"/>
  <c r="O7530" i="2"/>
  <c r="R7530" i="2"/>
  <c r="S7530" i="2" s="1"/>
  <c r="I7531" i="2"/>
  <c r="J7531" i="2"/>
  <c r="K7531" i="2"/>
  <c r="O7531" i="2"/>
  <c r="R7531" i="2"/>
  <c r="S7531" i="2" s="1"/>
  <c r="I7532" i="2"/>
  <c r="J7532" i="2"/>
  <c r="K7532" i="2"/>
  <c r="O7532" i="2"/>
  <c r="R7532" i="2"/>
  <c r="S7532" i="2" s="1"/>
  <c r="I7533" i="2"/>
  <c r="J7533" i="2"/>
  <c r="K7533" i="2"/>
  <c r="O7533" i="2"/>
  <c r="R7533" i="2"/>
  <c r="S7533" i="2" s="1"/>
  <c r="I7534" i="2"/>
  <c r="J7534" i="2"/>
  <c r="K7534" i="2"/>
  <c r="O7534" i="2"/>
  <c r="R7534" i="2"/>
  <c r="S7534" i="2" s="1"/>
  <c r="I7535" i="2"/>
  <c r="J7535" i="2"/>
  <c r="K7535" i="2"/>
  <c r="O7535" i="2"/>
  <c r="R7535" i="2"/>
  <c r="S7535" i="2" s="1"/>
  <c r="I7536" i="2"/>
  <c r="J7536" i="2"/>
  <c r="K7536" i="2"/>
  <c r="O7536" i="2"/>
  <c r="R7536" i="2"/>
  <c r="S7536" i="2" s="1"/>
  <c r="I7537" i="2"/>
  <c r="J7537" i="2"/>
  <c r="K7537" i="2"/>
  <c r="O7537" i="2"/>
  <c r="R7537" i="2"/>
  <c r="S7537" i="2" s="1"/>
  <c r="I7538" i="2"/>
  <c r="J7538" i="2"/>
  <c r="K7538" i="2"/>
  <c r="O7538" i="2"/>
  <c r="R7538" i="2"/>
  <c r="S7538" i="2" s="1"/>
  <c r="I7539" i="2"/>
  <c r="J7539" i="2"/>
  <c r="K7539" i="2"/>
  <c r="O7539" i="2"/>
  <c r="R7539" i="2"/>
  <c r="S7539" i="2" s="1"/>
  <c r="I7540" i="2"/>
  <c r="J7540" i="2"/>
  <c r="K7540" i="2"/>
  <c r="O7540" i="2"/>
  <c r="R7540" i="2"/>
  <c r="S7540" i="2" s="1"/>
  <c r="I7541" i="2"/>
  <c r="J7541" i="2"/>
  <c r="K7541" i="2"/>
  <c r="O7541" i="2"/>
  <c r="R7541" i="2"/>
  <c r="S7541" i="2" s="1"/>
  <c r="I7542" i="2"/>
  <c r="J7542" i="2"/>
  <c r="K7542" i="2"/>
  <c r="O7542" i="2"/>
  <c r="R7542" i="2"/>
  <c r="S7542" i="2" s="1"/>
  <c r="I7543" i="2"/>
  <c r="J7543" i="2"/>
  <c r="K7543" i="2"/>
  <c r="O7543" i="2"/>
  <c r="R7543" i="2"/>
  <c r="S7543" i="2" s="1"/>
  <c r="I7544" i="2"/>
  <c r="J7544" i="2"/>
  <c r="K7544" i="2"/>
  <c r="O7544" i="2"/>
  <c r="R7544" i="2"/>
  <c r="S7544" i="2" s="1"/>
  <c r="I7545" i="2"/>
  <c r="J7545" i="2"/>
  <c r="K7545" i="2"/>
  <c r="O7545" i="2"/>
  <c r="R7545" i="2"/>
  <c r="S7545" i="2" s="1"/>
  <c r="I7546" i="2"/>
  <c r="J7546" i="2"/>
  <c r="K7546" i="2"/>
  <c r="O7546" i="2"/>
  <c r="R7546" i="2"/>
  <c r="S7546" i="2" s="1"/>
  <c r="I7547" i="2"/>
  <c r="J7547" i="2"/>
  <c r="K7547" i="2"/>
  <c r="O7547" i="2"/>
  <c r="R7547" i="2"/>
  <c r="S7547" i="2" s="1"/>
  <c r="I7548" i="2"/>
  <c r="J7548" i="2"/>
  <c r="K7548" i="2"/>
  <c r="O7548" i="2"/>
  <c r="R7548" i="2"/>
  <c r="S7548" i="2" s="1"/>
  <c r="I7549" i="2"/>
  <c r="J7549" i="2"/>
  <c r="K7549" i="2"/>
  <c r="O7549" i="2"/>
  <c r="R7549" i="2"/>
  <c r="S7549" i="2" s="1"/>
  <c r="I7550" i="2"/>
  <c r="J7550" i="2"/>
  <c r="K7550" i="2"/>
  <c r="O7550" i="2"/>
  <c r="R7550" i="2"/>
  <c r="S7550" i="2" s="1"/>
  <c r="I7551" i="2"/>
  <c r="J7551" i="2"/>
  <c r="K7551" i="2"/>
  <c r="O7551" i="2"/>
  <c r="R7551" i="2"/>
  <c r="S7551" i="2" s="1"/>
  <c r="I7552" i="2"/>
  <c r="J7552" i="2"/>
  <c r="K7552" i="2"/>
  <c r="O7552" i="2"/>
  <c r="R7552" i="2"/>
  <c r="S7552" i="2" s="1"/>
  <c r="I7553" i="2"/>
  <c r="J7553" i="2"/>
  <c r="K7553" i="2"/>
  <c r="O7553" i="2"/>
  <c r="R7553" i="2"/>
  <c r="S7553" i="2" s="1"/>
  <c r="I7554" i="2"/>
  <c r="J7554" i="2"/>
  <c r="K7554" i="2"/>
  <c r="O7554" i="2"/>
  <c r="R7554" i="2"/>
  <c r="S7554" i="2" s="1"/>
  <c r="I7555" i="2"/>
  <c r="J7555" i="2"/>
  <c r="K7555" i="2"/>
  <c r="O7555" i="2"/>
  <c r="R7555" i="2"/>
  <c r="S7555" i="2" s="1"/>
  <c r="I7556" i="2"/>
  <c r="J7556" i="2"/>
  <c r="K7556" i="2"/>
  <c r="O7556" i="2"/>
  <c r="R7556" i="2"/>
  <c r="S7556" i="2" s="1"/>
  <c r="I7557" i="2"/>
  <c r="J7557" i="2"/>
  <c r="K7557" i="2"/>
  <c r="O7557" i="2"/>
  <c r="R7557" i="2"/>
  <c r="S7557" i="2" s="1"/>
  <c r="I7558" i="2"/>
  <c r="J7558" i="2"/>
  <c r="K7558" i="2"/>
  <c r="O7558" i="2"/>
  <c r="R7558" i="2"/>
  <c r="S7558" i="2" s="1"/>
  <c r="I7559" i="2"/>
  <c r="J7559" i="2"/>
  <c r="K7559" i="2"/>
  <c r="O7559" i="2"/>
  <c r="R7559" i="2"/>
  <c r="S7559" i="2" s="1"/>
  <c r="I7560" i="2"/>
  <c r="J7560" i="2"/>
  <c r="K7560" i="2"/>
  <c r="O7560" i="2"/>
  <c r="R7560" i="2"/>
  <c r="S7560" i="2" s="1"/>
  <c r="I7561" i="2"/>
  <c r="J7561" i="2"/>
  <c r="K7561" i="2"/>
  <c r="O7561" i="2"/>
  <c r="R7561" i="2"/>
  <c r="S7561" i="2" s="1"/>
  <c r="I7562" i="2"/>
  <c r="J7562" i="2"/>
  <c r="K7562" i="2"/>
  <c r="O7562" i="2"/>
  <c r="R7562" i="2"/>
  <c r="S7562" i="2" s="1"/>
  <c r="I7563" i="2"/>
  <c r="J7563" i="2"/>
  <c r="K7563" i="2"/>
  <c r="O7563" i="2"/>
  <c r="R7563" i="2"/>
  <c r="S7563" i="2" s="1"/>
  <c r="I7564" i="2"/>
  <c r="J7564" i="2"/>
  <c r="K7564" i="2"/>
  <c r="O7564" i="2"/>
  <c r="R7564" i="2"/>
  <c r="S7564" i="2" s="1"/>
  <c r="I7565" i="2"/>
  <c r="J7565" i="2"/>
  <c r="K7565" i="2"/>
  <c r="O7565" i="2"/>
  <c r="R7565" i="2"/>
  <c r="S7565" i="2" s="1"/>
  <c r="I7566" i="2"/>
  <c r="J7566" i="2"/>
  <c r="K7566" i="2"/>
  <c r="O7566" i="2"/>
  <c r="R7566" i="2"/>
  <c r="S7566" i="2" s="1"/>
  <c r="I7567" i="2"/>
  <c r="J7567" i="2"/>
  <c r="K7567" i="2"/>
  <c r="O7567" i="2"/>
  <c r="R7567" i="2"/>
  <c r="S7567" i="2" s="1"/>
  <c r="I7568" i="2"/>
  <c r="J7568" i="2"/>
  <c r="K7568" i="2"/>
  <c r="O7568" i="2"/>
  <c r="R7568" i="2"/>
  <c r="S7568" i="2" s="1"/>
  <c r="I7569" i="2"/>
  <c r="J7569" i="2"/>
  <c r="K7569" i="2"/>
  <c r="O7569" i="2"/>
  <c r="R7569" i="2"/>
  <c r="S7569" i="2" s="1"/>
  <c r="I7570" i="2"/>
  <c r="J7570" i="2"/>
  <c r="K7570" i="2"/>
  <c r="O7570" i="2"/>
  <c r="R7570" i="2"/>
  <c r="S7570" i="2" s="1"/>
  <c r="I7571" i="2"/>
  <c r="J7571" i="2"/>
  <c r="K7571" i="2"/>
  <c r="O7571" i="2"/>
  <c r="R7571" i="2"/>
  <c r="S7571" i="2" s="1"/>
  <c r="I7572" i="2"/>
  <c r="J7572" i="2"/>
  <c r="K7572" i="2"/>
  <c r="O7572" i="2"/>
  <c r="R7572" i="2"/>
  <c r="S7572" i="2" s="1"/>
  <c r="I7573" i="2"/>
  <c r="J7573" i="2"/>
  <c r="K7573" i="2"/>
  <c r="O7573" i="2"/>
  <c r="R7573" i="2"/>
  <c r="S7573" i="2" s="1"/>
  <c r="I7574" i="2"/>
  <c r="J7574" i="2"/>
  <c r="K7574" i="2"/>
  <c r="O7574" i="2"/>
  <c r="R7574" i="2"/>
  <c r="S7574" i="2" s="1"/>
  <c r="I7575" i="2"/>
  <c r="J7575" i="2"/>
  <c r="K7575" i="2"/>
  <c r="O7575" i="2"/>
  <c r="R7575" i="2"/>
  <c r="S7575" i="2" s="1"/>
  <c r="I7576" i="2"/>
  <c r="J7576" i="2"/>
  <c r="K7576" i="2"/>
  <c r="O7576" i="2"/>
  <c r="R7576" i="2"/>
  <c r="S7576" i="2" s="1"/>
  <c r="I7577" i="2"/>
  <c r="J7577" i="2"/>
  <c r="K7577" i="2"/>
  <c r="O7577" i="2"/>
  <c r="R7577" i="2"/>
  <c r="S7577" i="2" s="1"/>
  <c r="I7578" i="2"/>
  <c r="J7578" i="2"/>
  <c r="K7578" i="2"/>
  <c r="O7578" i="2"/>
  <c r="R7578" i="2"/>
  <c r="S7578" i="2" s="1"/>
  <c r="I7579" i="2"/>
  <c r="J7579" i="2"/>
  <c r="K7579" i="2"/>
  <c r="O7579" i="2"/>
  <c r="R7579" i="2"/>
  <c r="S7579" i="2" s="1"/>
  <c r="I7580" i="2"/>
  <c r="J7580" i="2"/>
  <c r="K7580" i="2"/>
  <c r="O7580" i="2"/>
  <c r="R7580" i="2"/>
  <c r="S7580" i="2" s="1"/>
  <c r="I7581" i="2"/>
  <c r="J7581" i="2"/>
  <c r="K7581" i="2"/>
  <c r="O7581" i="2"/>
  <c r="R7581" i="2"/>
  <c r="S7581" i="2" s="1"/>
  <c r="I7582" i="2"/>
  <c r="J7582" i="2"/>
  <c r="K7582" i="2"/>
  <c r="O7582" i="2"/>
  <c r="R7582" i="2"/>
  <c r="S7582" i="2" s="1"/>
  <c r="I7583" i="2"/>
  <c r="J7583" i="2"/>
  <c r="K7583" i="2"/>
  <c r="O7583" i="2"/>
  <c r="R7583" i="2"/>
  <c r="S7583" i="2" s="1"/>
  <c r="I7584" i="2"/>
  <c r="J7584" i="2"/>
  <c r="K7584" i="2"/>
  <c r="O7584" i="2"/>
  <c r="R7584" i="2"/>
  <c r="S7584" i="2" s="1"/>
  <c r="I7585" i="2"/>
  <c r="J7585" i="2"/>
  <c r="K7585" i="2"/>
  <c r="O7585" i="2"/>
  <c r="R7585" i="2"/>
  <c r="S7585" i="2" s="1"/>
  <c r="I7586" i="2"/>
  <c r="J7586" i="2"/>
  <c r="K7586" i="2"/>
  <c r="O7586" i="2"/>
  <c r="R7586" i="2"/>
  <c r="S7586" i="2" s="1"/>
  <c r="I7587" i="2"/>
  <c r="J7587" i="2"/>
  <c r="K7587" i="2"/>
  <c r="O7587" i="2"/>
  <c r="R7587" i="2"/>
  <c r="S7587" i="2" s="1"/>
  <c r="I7588" i="2"/>
  <c r="J7588" i="2"/>
  <c r="K7588" i="2"/>
  <c r="O7588" i="2"/>
  <c r="R7588" i="2"/>
  <c r="S7588" i="2" s="1"/>
  <c r="I7589" i="2"/>
  <c r="J7589" i="2"/>
  <c r="K7589" i="2"/>
  <c r="O7589" i="2"/>
  <c r="R7589" i="2"/>
  <c r="S7589" i="2" s="1"/>
  <c r="I7590" i="2"/>
  <c r="J7590" i="2"/>
  <c r="K7590" i="2"/>
  <c r="O7590" i="2"/>
  <c r="R7590" i="2"/>
  <c r="S7590" i="2" s="1"/>
  <c r="I7591" i="2"/>
  <c r="J7591" i="2"/>
  <c r="K7591" i="2"/>
  <c r="O7591" i="2"/>
  <c r="R7591" i="2"/>
  <c r="S7591" i="2" s="1"/>
  <c r="I7592" i="2"/>
  <c r="J7592" i="2"/>
  <c r="K7592" i="2"/>
  <c r="O7592" i="2"/>
  <c r="R7592" i="2"/>
  <c r="S7592" i="2" s="1"/>
  <c r="I7593" i="2"/>
  <c r="J7593" i="2"/>
  <c r="K7593" i="2"/>
  <c r="O7593" i="2"/>
  <c r="R7593" i="2"/>
  <c r="S7593" i="2" s="1"/>
  <c r="I7594" i="2"/>
  <c r="J7594" i="2"/>
  <c r="K7594" i="2"/>
  <c r="O7594" i="2"/>
  <c r="R7594" i="2"/>
  <c r="S7594" i="2" s="1"/>
  <c r="I7595" i="2"/>
  <c r="J7595" i="2"/>
  <c r="K7595" i="2"/>
  <c r="O7595" i="2"/>
  <c r="R7595" i="2"/>
  <c r="S7595" i="2" s="1"/>
  <c r="I7596" i="2"/>
  <c r="J7596" i="2"/>
  <c r="K7596" i="2"/>
  <c r="O7596" i="2"/>
  <c r="R7596" i="2"/>
  <c r="S7596" i="2" s="1"/>
  <c r="I7597" i="2"/>
  <c r="J7597" i="2"/>
  <c r="K7597" i="2"/>
  <c r="O7597" i="2"/>
  <c r="R7597" i="2"/>
  <c r="S7597" i="2" s="1"/>
  <c r="I7598" i="2"/>
  <c r="J7598" i="2"/>
  <c r="K7598" i="2"/>
  <c r="O7598" i="2"/>
  <c r="R7598" i="2"/>
  <c r="S7598" i="2" s="1"/>
  <c r="I7599" i="2"/>
  <c r="J7599" i="2"/>
  <c r="K7599" i="2"/>
  <c r="O7599" i="2"/>
  <c r="R7599" i="2"/>
  <c r="S7599" i="2" s="1"/>
  <c r="I7600" i="2"/>
  <c r="J7600" i="2"/>
  <c r="K7600" i="2"/>
  <c r="O7600" i="2"/>
  <c r="R7600" i="2"/>
  <c r="S7600" i="2" s="1"/>
  <c r="I7601" i="2"/>
  <c r="J7601" i="2"/>
  <c r="K7601" i="2"/>
  <c r="O7601" i="2"/>
  <c r="R7601" i="2"/>
  <c r="S7601" i="2" s="1"/>
  <c r="I7602" i="2"/>
  <c r="J7602" i="2"/>
  <c r="K7602" i="2"/>
  <c r="O7602" i="2"/>
  <c r="R7602" i="2"/>
  <c r="S7602" i="2" s="1"/>
  <c r="I7603" i="2"/>
  <c r="J7603" i="2"/>
  <c r="K7603" i="2"/>
  <c r="O7603" i="2"/>
  <c r="R7603" i="2"/>
  <c r="S7603" i="2" s="1"/>
  <c r="I7604" i="2"/>
  <c r="J7604" i="2"/>
  <c r="K7604" i="2"/>
  <c r="O7604" i="2"/>
  <c r="R7604" i="2"/>
  <c r="S7604" i="2" s="1"/>
  <c r="I7605" i="2"/>
  <c r="J7605" i="2"/>
  <c r="K7605" i="2"/>
  <c r="O7605" i="2"/>
  <c r="R7605" i="2"/>
  <c r="S7605" i="2" s="1"/>
  <c r="I7606" i="2"/>
  <c r="J7606" i="2"/>
  <c r="K7606" i="2"/>
  <c r="O7606" i="2"/>
  <c r="R7606" i="2"/>
  <c r="S7606" i="2" s="1"/>
  <c r="I7607" i="2"/>
  <c r="J7607" i="2"/>
  <c r="K7607" i="2"/>
  <c r="O7607" i="2"/>
  <c r="R7607" i="2"/>
  <c r="S7607" i="2" s="1"/>
  <c r="I7608" i="2"/>
  <c r="J7608" i="2"/>
  <c r="K7608" i="2"/>
  <c r="O7608" i="2"/>
  <c r="R7608" i="2"/>
  <c r="S7608" i="2" s="1"/>
  <c r="I7609" i="2"/>
  <c r="J7609" i="2"/>
  <c r="K7609" i="2"/>
  <c r="O7609" i="2"/>
  <c r="R7609" i="2"/>
  <c r="S7609" i="2" s="1"/>
  <c r="I7610" i="2"/>
  <c r="J7610" i="2"/>
  <c r="K7610" i="2"/>
  <c r="O7610" i="2"/>
  <c r="R7610" i="2"/>
  <c r="S7610" i="2" s="1"/>
  <c r="I7611" i="2"/>
  <c r="J7611" i="2"/>
  <c r="K7611" i="2"/>
  <c r="O7611" i="2"/>
  <c r="R7611" i="2"/>
  <c r="S7611" i="2" s="1"/>
  <c r="I7612" i="2"/>
  <c r="J7612" i="2"/>
  <c r="K7612" i="2"/>
  <c r="O7612" i="2"/>
  <c r="R7612" i="2"/>
  <c r="S7612" i="2" s="1"/>
  <c r="I7613" i="2"/>
  <c r="J7613" i="2"/>
  <c r="K7613" i="2"/>
  <c r="O7613" i="2"/>
  <c r="R7613" i="2"/>
  <c r="S7613" i="2" s="1"/>
  <c r="I7614" i="2"/>
  <c r="J7614" i="2"/>
  <c r="K7614" i="2"/>
  <c r="O7614" i="2"/>
  <c r="R7614" i="2"/>
  <c r="S7614" i="2" s="1"/>
  <c r="I7615" i="2"/>
  <c r="J7615" i="2"/>
  <c r="K7615" i="2"/>
  <c r="O7615" i="2"/>
  <c r="R7615" i="2"/>
  <c r="S7615" i="2" s="1"/>
  <c r="I7616" i="2"/>
  <c r="J7616" i="2"/>
  <c r="K7616" i="2"/>
  <c r="O7616" i="2"/>
  <c r="R7616" i="2"/>
  <c r="S7616" i="2" s="1"/>
  <c r="I7617" i="2"/>
  <c r="J7617" i="2"/>
  <c r="K7617" i="2"/>
  <c r="O7617" i="2"/>
  <c r="R7617" i="2"/>
  <c r="S7617" i="2" s="1"/>
  <c r="I7618" i="2"/>
  <c r="J7618" i="2"/>
  <c r="K7618" i="2"/>
  <c r="O7618" i="2"/>
  <c r="R7618" i="2"/>
  <c r="S7618" i="2" s="1"/>
  <c r="I7619" i="2"/>
  <c r="J7619" i="2"/>
  <c r="K7619" i="2"/>
  <c r="O7619" i="2"/>
  <c r="R7619" i="2"/>
  <c r="S7619" i="2" s="1"/>
  <c r="I7620" i="2"/>
  <c r="J7620" i="2"/>
  <c r="K7620" i="2"/>
  <c r="O7620" i="2"/>
  <c r="R7620" i="2"/>
  <c r="S7620" i="2" s="1"/>
  <c r="I7621" i="2"/>
  <c r="J7621" i="2"/>
  <c r="K7621" i="2"/>
  <c r="O7621" i="2"/>
  <c r="R7621" i="2"/>
  <c r="S7621" i="2" s="1"/>
  <c r="G7621" i="2"/>
  <c r="H7621" i="2" s="1"/>
  <c r="V1" i="2" l="1" a="1"/>
  <c r="V1" i="2" s="1"/>
  <c r="P7688" i="2"/>
  <c r="P7691" i="2"/>
  <c r="P7675" i="2"/>
  <c r="N85" i="2"/>
  <c r="N1867" i="2"/>
  <c r="N1862" i="2"/>
  <c r="N1852" i="2"/>
  <c r="N1835" i="2"/>
  <c r="N1830" i="2"/>
  <c r="N1825" i="2"/>
  <c r="N1813" i="2"/>
  <c r="N1793" i="2"/>
  <c r="N1788" i="2"/>
  <c r="N1776" i="2"/>
  <c r="N1771" i="2"/>
  <c r="N1766" i="2"/>
  <c r="N1756" i="2"/>
  <c r="N1744" i="2"/>
  <c r="N1732" i="2"/>
  <c r="N1720" i="2"/>
  <c r="N1708" i="2"/>
  <c r="N1696" i="2"/>
  <c r="N1684" i="2"/>
  <c r="N1672" i="2"/>
  <c r="N1660" i="2"/>
  <c r="N1648" i="2"/>
  <c r="N1636" i="2"/>
  <c r="N1624" i="2"/>
  <c r="N1612" i="2"/>
  <c r="N1600" i="2"/>
  <c r="N1588" i="2"/>
  <c r="N1576" i="2"/>
  <c r="N1564" i="2"/>
  <c r="N1552" i="2"/>
  <c r="N1540" i="2"/>
  <c r="N1528" i="2"/>
  <c r="N1516" i="2"/>
  <c r="N1504" i="2"/>
  <c r="N1492" i="2"/>
  <c r="N1480" i="2"/>
  <c r="N1468" i="2"/>
  <c r="N1456" i="2"/>
  <c r="N1444" i="2"/>
  <c r="N61" i="2"/>
  <c r="N49" i="2"/>
  <c r="N37" i="2"/>
  <c r="N25" i="2"/>
  <c r="N13" i="2"/>
  <c r="N5840" i="2"/>
  <c r="N5804" i="2"/>
  <c r="N5792" i="2"/>
  <c r="N5780" i="2"/>
  <c r="N5768" i="2"/>
  <c r="N5744" i="2"/>
  <c r="N5732" i="2"/>
  <c r="N5720" i="2"/>
  <c r="N5708" i="2"/>
  <c r="N5696" i="2"/>
  <c r="N5684" i="2"/>
  <c r="N5672" i="2"/>
  <c r="N5660" i="2"/>
  <c r="N5648" i="2"/>
  <c r="N5636" i="2"/>
  <c r="N5624" i="2"/>
  <c r="N5612" i="2"/>
  <c r="N5600" i="2"/>
  <c r="N5588" i="2"/>
  <c r="N5576" i="2"/>
  <c r="N5564" i="2"/>
  <c r="N5552" i="2"/>
  <c r="N5540" i="2"/>
  <c r="N5528" i="2"/>
  <c r="N5516" i="2"/>
  <c r="N5504" i="2"/>
  <c r="N5492" i="2"/>
  <c r="N5480" i="2"/>
  <c r="N5468" i="2"/>
  <c r="N5456" i="2"/>
  <c r="N5444" i="2"/>
  <c r="N5432" i="2"/>
  <c r="N5420" i="2"/>
  <c r="N5408" i="2"/>
  <c r="N5396" i="2"/>
  <c r="N5384" i="2"/>
  <c r="N5372" i="2"/>
  <c r="N5360" i="2"/>
  <c r="N5348" i="2"/>
  <c r="N5336" i="2"/>
  <c r="N5324" i="2"/>
  <c r="N5312" i="2"/>
  <c r="N5300" i="2"/>
  <c r="N5288" i="2"/>
  <c r="N5276" i="2"/>
  <c r="N5264" i="2"/>
  <c r="N5252" i="2"/>
  <c r="N5240" i="2"/>
  <c r="N5228" i="2"/>
  <c r="N5216" i="2"/>
  <c r="N5204" i="2"/>
  <c r="N5192" i="2"/>
  <c r="N5180" i="2"/>
  <c r="N5168" i="2"/>
  <c r="N5156" i="2"/>
  <c r="N5144" i="2"/>
  <c r="N5132" i="2"/>
  <c r="N5120" i="2"/>
  <c r="N5108" i="2"/>
  <c r="N5096" i="2"/>
  <c r="N5084" i="2"/>
  <c r="N5072" i="2"/>
  <c r="N5060" i="2"/>
  <c r="N5048" i="2"/>
  <c r="N5036" i="2"/>
  <c r="N5024" i="2"/>
  <c r="N5012" i="2"/>
  <c r="N5000" i="2"/>
  <c r="N4988" i="2"/>
  <c r="N4976" i="2"/>
  <c r="N4964" i="2"/>
  <c r="N4952" i="2"/>
  <c r="N4940" i="2"/>
  <c r="N4928" i="2"/>
  <c r="N4916" i="2"/>
  <c r="N4904" i="2"/>
  <c r="N4892" i="2"/>
  <c r="N4880" i="2"/>
  <c r="N4868" i="2"/>
  <c r="N4856" i="2"/>
  <c r="N4844" i="2"/>
  <c r="N4832" i="2"/>
  <c r="N4820" i="2"/>
  <c r="N4808" i="2"/>
  <c r="N4796" i="2"/>
  <c r="N4784" i="2"/>
  <c r="N4772" i="2"/>
  <c r="N4760" i="2"/>
  <c r="N4748" i="2"/>
  <c r="N4736" i="2"/>
  <c r="N4724" i="2"/>
  <c r="N4712" i="2"/>
  <c r="N4700" i="2"/>
  <c r="N4688" i="2"/>
  <c r="N4676" i="2"/>
  <c r="N4664" i="2"/>
  <c r="N4652" i="2"/>
  <c r="N4640" i="2"/>
  <c r="N4628" i="2"/>
  <c r="N4616" i="2"/>
  <c r="N4604" i="2"/>
  <c r="N4592" i="2"/>
  <c r="N4580" i="2"/>
  <c r="N4568" i="2"/>
  <c r="N4556" i="2"/>
  <c r="N4544" i="2"/>
  <c r="N4532" i="2"/>
  <c r="N4520" i="2"/>
  <c r="N4508" i="2"/>
  <c r="N4496" i="2"/>
  <c r="N4484" i="2"/>
  <c r="N4472" i="2"/>
  <c r="N4460" i="2"/>
  <c r="N4448" i="2"/>
  <c r="N4436" i="2"/>
  <c r="N4424" i="2"/>
  <c r="N4412" i="2"/>
  <c r="N4400" i="2"/>
  <c r="N4388" i="2"/>
  <c r="N4376" i="2"/>
  <c r="N4364" i="2"/>
  <c r="N4352" i="2"/>
  <c r="N4340" i="2"/>
  <c r="N4328" i="2"/>
  <c r="N4316" i="2"/>
  <c r="N4304" i="2"/>
  <c r="N4292" i="2"/>
  <c r="N4280" i="2"/>
  <c r="N4268" i="2"/>
  <c r="N4256" i="2"/>
  <c r="N4244" i="2"/>
  <c r="N4232" i="2"/>
  <c r="N4220" i="2"/>
  <c r="N4208" i="2"/>
  <c r="N4196" i="2"/>
  <c r="N4184" i="2"/>
  <c r="N4172" i="2"/>
  <c r="N4160" i="2"/>
  <c r="N4148" i="2"/>
  <c r="N4136" i="2"/>
  <c r="N4124" i="2"/>
  <c r="N4112" i="2"/>
  <c r="N4100" i="2"/>
  <c r="N4088" i="2"/>
  <c r="N4076" i="2"/>
  <c r="N4064" i="2"/>
  <c r="N4052" i="2"/>
  <c r="N4040" i="2"/>
  <c r="N4028" i="2"/>
  <c r="N4016" i="2"/>
  <c r="N4004" i="2"/>
  <c r="N3992" i="2"/>
  <c r="N3980" i="2"/>
  <c r="N3968" i="2"/>
  <c r="N3956" i="2"/>
  <c r="N3944" i="2"/>
  <c r="N3932" i="2"/>
  <c r="N3920" i="2"/>
  <c r="N3908" i="2"/>
  <c r="N3896" i="2"/>
  <c r="N3884" i="2"/>
  <c r="N3872" i="2"/>
  <c r="N3860" i="2"/>
  <c r="N3848" i="2"/>
  <c r="N3836" i="2"/>
  <c r="N3824" i="2"/>
  <c r="N3812" i="2"/>
  <c r="N3800" i="2"/>
  <c r="N3788" i="2"/>
  <c r="N3776" i="2"/>
  <c r="N3764" i="2"/>
  <c r="N3752" i="2"/>
  <c r="N3740" i="2"/>
  <c r="N3728" i="2"/>
  <c r="N3716" i="2"/>
  <c r="N3704" i="2"/>
  <c r="N3692" i="2"/>
  <c r="N3680" i="2"/>
  <c r="N3668" i="2"/>
  <c r="N3656" i="2"/>
  <c r="N3644" i="2"/>
  <c r="N3617" i="2"/>
  <c r="N3605" i="2"/>
  <c r="N3593" i="2"/>
  <c r="N3581" i="2"/>
  <c r="N3569" i="2"/>
  <c r="N3337" i="2"/>
  <c r="N3325" i="2"/>
  <c r="N3313" i="2"/>
  <c r="N3301" i="2"/>
  <c r="N3289" i="2"/>
  <c r="N3277" i="2"/>
  <c r="N3265" i="2"/>
  <c r="N3253" i="2"/>
  <c r="N3241" i="2"/>
  <c r="N3229" i="2"/>
  <c r="N3217" i="2"/>
  <c r="N3205" i="2"/>
  <c r="N3193" i="2"/>
  <c r="N3181" i="2"/>
  <c r="N3169" i="2"/>
  <c r="N3157" i="2"/>
  <c r="N3145" i="2"/>
  <c r="N3133" i="2"/>
  <c r="N1884" i="2"/>
  <c r="N1432" i="2"/>
  <c r="N3557" i="2"/>
  <c r="N3545" i="2"/>
  <c r="N3533" i="2"/>
  <c r="N3521" i="2"/>
  <c r="N3509" i="2"/>
  <c r="N3497" i="2"/>
  <c r="N3485" i="2"/>
  <c r="N3473" i="2"/>
  <c r="N3461" i="2"/>
  <c r="N3449" i="2"/>
  <c r="N3437" i="2"/>
  <c r="N3425" i="2"/>
  <c r="N3413" i="2"/>
  <c r="N3401" i="2"/>
  <c r="N3389" i="2"/>
  <c r="N3377" i="2"/>
  <c r="N3365" i="2"/>
  <c r="N3353" i="2"/>
  <c r="N3341" i="2"/>
  <c r="N3329" i="2"/>
  <c r="N3317" i="2"/>
  <c r="N3305" i="2"/>
  <c r="N3293" i="2"/>
  <c r="N3281" i="2"/>
  <c r="N3269" i="2"/>
  <c r="N3257" i="2"/>
  <c r="N3245" i="2"/>
  <c r="N3233" i="2"/>
  <c r="N3221" i="2"/>
  <c r="N3209" i="2"/>
  <c r="N3197" i="2"/>
  <c r="N3185" i="2"/>
  <c r="N3173" i="2"/>
  <c r="N3161" i="2"/>
  <c r="N3149" i="2"/>
  <c r="N3137" i="2"/>
  <c r="N3125" i="2"/>
  <c r="N3113" i="2"/>
  <c r="N3101" i="2"/>
  <c r="N3089" i="2"/>
  <c r="N3077" i="2"/>
  <c r="N3065" i="2"/>
  <c r="N2957" i="2"/>
  <c r="N2525" i="2"/>
  <c r="N2489" i="2"/>
  <c r="N2477" i="2"/>
  <c r="N2465" i="2"/>
  <c r="N2429" i="2"/>
  <c r="N2417" i="2"/>
  <c r="N2405" i="2"/>
  <c r="N2393" i="2"/>
  <c r="N2381" i="2"/>
  <c r="N2369" i="2"/>
  <c r="N2357" i="2"/>
  <c r="N2345" i="2"/>
  <c r="N2333" i="2"/>
  <c r="N2321" i="2"/>
  <c r="N2309" i="2"/>
  <c r="N2297" i="2"/>
  <c r="N2285" i="2"/>
  <c r="N2273" i="2"/>
  <c r="N2261" i="2"/>
  <c r="N2249" i="2"/>
  <c r="N2237" i="2"/>
  <c r="N2225" i="2"/>
  <c r="N2213" i="2"/>
  <c r="N2201" i="2"/>
  <c r="N2189" i="2"/>
  <c r="N2177" i="2"/>
  <c r="N2165" i="2"/>
  <c r="N2153" i="2"/>
  <c r="N2141" i="2"/>
  <c r="N2129" i="2"/>
  <c r="N2117" i="2"/>
  <c r="N2105" i="2"/>
  <c r="N2093" i="2"/>
  <c r="N2081" i="2"/>
  <c r="N2069" i="2"/>
  <c r="N2057" i="2"/>
  <c r="N2040" i="2"/>
  <c r="N2028" i="2"/>
  <c r="N2023" i="2"/>
  <c r="N2011" i="2"/>
  <c r="N1996" i="2"/>
  <c r="N1971" i="2"/>
  <c r="N1420" i="2"/>
  <c r="N1408" i="2"/>
  <c r="N1396" i="2"/>
  <c r="N1384" i="2"/>
  <c r="N1372" i="2"/>
  <c r="N1360" i="2"/>
  <c r="N1348" i="2"/>
  <c r="N1336" i="2"/>
  <c r="N1324" i="2"/>
  <c r="N1312" i="2"/>
  <c r="N1300" i="2"/>
  <c r="N1288" i="2"/>
  <c r="N1276" i="2"/>
  <c r="N1264" i="2"/>
  <c r="N1252" i="2"/>
  <c r="N1240" i="2"/>
  <c r="N1228" i="2"/>
  <c r="N1216" i="2"/>
  <c r="N1204" i="2"/>
  <c r="N1192" i="2"/>
  <c r="N1180" i="2"/>
  <c r="N1168" i="2"/>
  <c r="N1156" i="2"/>
  <c r="N1144" i="2"/>
  <c r="N1132" i="2"/>
  <c r="N1120" i="2"/>
  <c r="N1108" i="2"/>
  <c r="N1096" i="2"/>
  <c r="N1084" i="2"/>
  <c r="N1072" i="2"/>
  <c r="N1060" i="2"/>
  <c r="N1048" i="2"/>
  <c r="N1036" i="2"/>
  <c r="N1024" i="2"/>
  <c r="N1012" i="2"/>
  <c r="N1000" i="2"/>
  <c r="N988" i="2"/>
  <c r="N976" i="2"/>
  <c r="N964" i="2"/>
  <c r="N952" i="2"/>
  <c r="N940" i="2"/>
  <c r="N928" i="2"/>
  <c r="N916" i="2"/>
  <c r="N904" i="2"/>
  <c r="N892" i="2"/>
  <c r="N880" i="2"/>
  <c r="N868" i="2"/>
  <c r="N856" i="2"/>
  <c r="N844" i="2"/>
  <c r="N832" i="2"/>
  <c r="N820" i="2"/>
  <c r="N808" i="2"/>
  <c r="N796" i="2"/>
  <c r="N784" i="2"/>
  <c r="N772" i="2"/>
  <c r="N760" i="2"/>
  <c r="N748" i="2"/>
  <c r="N736" i="2"/>
  <c r="N724" i="2"/>
  <c r="N712" i="2"/>
  <c r="N700" i="2"/>
  <c r="N688" i="2"/>
  <c r="N676" i="2"/>
  <c r="N664" i="2"/>
  <c r="N652" i="2"/>
  <c r="N640" i="2"/>
  <c r="N628" i="2"/>
  <c r="N616" i="2"/>
  <c r="N604" i="2"/>
  <c r="N592" i="2"/>
  <c r="N580" i="2"/>
  <c r="N568" i="2"/>
  <c r="N556" i="2"/>
  <c r="N544" i="2"/>
  <c r="N532" i="2"/>
  <c r="N520" i="2"/>
  <c r="N508" i="2"/>
  <c r="N496" i="2"/>
  <c r="N484" i="2"/>
  <c r="N472" i="2"/>
  <c r="N460" i="2"/>
  <c r="N448" i="2"/>
  <c r="N436" i="2"/>
  <c r="N424" i="2"/>
  <c r="N412" i="2"/>
  <c r="N6731" i="2"/>
  <c r="N6719" i="2"/>
  <c r="N6707" i="2"/>
  <c r="N6695" i="2"/>
  <c r="N6683" i="2"/>
  <c r="N6671" i="2"/>
  <c r="N6659" i="2"/>
  <c r="N6647" i="2"/>
  <c r="N6635" i="2"/>
  <c r="N6623" i="2"/>
  <c r="N6611" i="2"/>
  <c r="N6599" i="2"/>
  <c r="N6587" i="2"/>
  <c r="N6575" i="2"/>
  <c r="N6563" i="2"/>
  <c r="N6551" i="2"/>
  <c r="N6539" i="2"/>
  <c r="N6527" i="2"/>
  <c r="N6522" i="2"/>
  <c r="N6510" i="2"/>
  <c r="N6498" i="2"/>
  <c r="N6486" i="2"/>
  <c r="N6474" i="2"/>
  <c r="N6462" i="2"/>
  <c r="N6450" i="2"/>
  <c r="N6438" i="2"/>
  <c r="N6426" i="2"/>
  <c r="N6416" i="2"/>
  <c r="N6404" i="2"/>
  <c r="N6392" i="2"/>
  <c r="N6387" i="2"/>
  <c r="N6382" i="2"/>
  <c r="N6370" i="2"/>
  <c r="N6358" i="2"/>
  <c r="N6346" i="2"/>
  <c r="N6334" i="2"/>
  <c r="N6322" i="2"/>
  <c r="N6310" i="2"/>
  <c r="N6298" i="2"/>
  <c r="N6286" i="2"/>
  <c r="N6274" i="2"/>
  <c r="N6262" i="2"/>
  <c r="N6250" i="2"/>
  <c r="N6238" i="2"/>
  <c r="N6226" i="2"/>
  <c r="N6214" i="2"/>
  <c r="N6202" i="2"/>
  <c r="N6190" i="2"/>
  <c r="N6178" i="2"/>
  <c r="N6166" i="2"/>
  <c r="N6154" i="2"/>
  <c r="N6142" i="2"/>
  <c r="N6130" i="2"/>
  <c r="N6118" i="2"/>
  <c r="N6106" i="2"/>
  <c r="N6094" i="2"/>
  <c r="N6082" i="2"/>
  <c r="N6070" i="2"/>
  <c r="N6058" i="2"/>
  <c r="N6046" i="2"/>
  <c r="N6034" i="2"/>
  <c r="N6022" i="2"/>
  <c r="N6010" i="2"/>
  <c r="N5998" i="2"/>
  <c r="N5986" i="2"/>
  <c r="N5974" i="2"/>
  <c r="N5962" i="2"/>
  <c r="N5950" i="2"/>
  <c r="N5938" i="2"/>
  <c r="N5926" i="2"/>
  <c r="N5914" i="2"/>
  <c r="N5902" i="2"/>
  <c r="N5890" i="2"/>
  <c r="N5878" i="2"/>
  <c r="N5866" i="2"/>
  <c r="N5854" i="2"/>
  <c r="N5842" i="2"/>
  <c r="N5830" i="2"/>
  <c r="N5818" i="2"/>
  <c r="N5806" i="2"/>
  <c r="N5794" i="2"/>
  <c r="N5782" i="2"/>
  <c r="N5770" i="2"/>
  <c r="N5758" i="2"/>
  <c r="N5746" i="2"/>
  <c r="N5734" i="2"/>
  <c r="N5722" i="2"/>
  <c r="N5710" i="2"/>
  <c r="N5698" i="2"/>
  <c r="N5686" i="2"/>
  <c r="N5674" i="2"/>
  <c r="N5662" i="2"/>
  <c r="N5650" i="2"/>
  <c r="N5638" i="2"/>
  <c r="N5626" i="2"/>
  <c r="N5614" i="2"/>
  <c r="N5602" i="2"/>
  <c r="N5590" i="2"/>
  <c r="N5578" i="2"/>
  <c r="N5566" i="2"/>
  <c r="N5554" i="2"/>
  <c r="N5542" i="2"/>
  <c r="N5530" i="2"/>
  <c r="N5518" i="2"/>
  <c r="N5506" i="2"/>
  <c r="N5494" i="2"/>
  <c r="N5482" i="2"/>
  <c r="N5470" i="2"/>
  <c r="N5458" i="2"/>
  <c r="N5398" i="2"/>
  <c r="N5374" i="2"/>
  <c r="N5158" i="2"/>
  <c r="N5146" i="2"/>
  <c r="N5134" i="2"/>
  <c r="N5122" i="2"/>
  <c r="N5110" i="2"/>
  <c r="N5098" i="2"/>
  <c r="N5086" i="2"/>
  <c r="N5074" i="2"/>
  <c r="N5062" i="2"/>
  <c r="N5050" i="2"/>
  <c r="N5038" i="2"/>
  <c r="N5026" i="2"/>
  <c r="N5014" i="2"/>
  <c r="N5002" i="2"/>
  <c r="N4990" i="2"/>
  <c r="N4978" i="2"/>
  <c r="N4966" i="2"/>
  <c r="N4954" i="2"/>
  <c r="N4942" i="2"/>
  <c r="N4930" i="2"/>
  <c r="N4918" i="2"/>
  <c r="N4906" i="2"/>
  <c r="N4894" i="2"/>
  <c r="N4882" i="2"/>
  <c r="N3283" i="2"/>
  <c r="N3271" i="2"/>
  <c r="N3259" i="2"/>
  <c r="N3247" i="2"/>
  <c r="N3235" i="2"/>
  <c r="N3223" i="2"/>
  <c r="N3211" i="2"/>
  <c r="N3199" i="2"/>
  <c r="N3187" i="2"/>
  <c r="N3175" i="2"/>
  <c r="N3163" i="2"/>
  <c r="N3151" i="2"/>
  <c r="N3139" i="2"/>
  <c r="N3127" i="2"/>
  <c r="N3115" i="2"/>
  <c r="N3103" i="2"/>
  <c r="N3091" i="2"/>
  <c r="N3079" i="2"/>
  <c r="N3067" i="2"/>
  <c r="N3055" i="2"/>
  <c r="N3043" i="2"/>
  <c r="N3031" i="2"/>
  <c r="N3019" i="2"/>
  <c r="N3007" i="2"/>
  <c r="N2995" i="2"/>
  <c r="N2983" i="2"/>
  <c r="N2971" i="2"/>
  <c r="N2959" i="2"/>
  <c r="N2947" i="2"/>
  <c r="N2935" i="2"/>
  <c r="N2923" i="2"/>
  <c r="N2911" i="2"/>
  <c r="N2899" i="2"/>
  <c r="N2887" i="2"/>
  <c r="N2875" i="2"/>
  <c r="N2863" i="2"/>
  <c r="N2851" i="2"/>
  <c r="N2839" i="2"/>
  <c r="N2827" i="2"/>
  <c r="N2815" i="2"/>
  <c r="N2803" i="2"/>
  <c r="N2791" i="2"/>
  <c r="N2779" i="2"/>
  <c r="N2767" i="2"/>
  <c r="N2755" i="2"/>
  <c r="N2743" i="2"/>
  <c r="N2731" i="2"/>
  <c r="N2719" i="2"/>
  <c r="N2707" i="2"/>
  <c r="N2695" i="2"/>
  <c r="N2683" i="2"/>
  <c r="N2671" i="2"/>
  <c r="N2659" i="2"/>
  <c r="N2647" i="2"/>
  <c r="N2635" i="2"/>
  <c r="N2623" i="2"/>
  <c r="N2611" i="2"/>
  <c r="N2599" i="2"/>
  <c r="N2587" i="2"/>
  <c r="N2575" i="2"/>
  <c r="N2563" i="2"/>
  <c r="N2551" i="2"/>
  <c r="N2539" i="2"/>
  <c r="N2527" i="2"/>
  <c r="N2515" i="2"/>
  <c r="N2503" i="2"/>
  <c r="N2491" i="2"/>
  <c r="N2479" i="2"/>
  <c r="N2467" i="2"/>
  <c r="N2455" i="2"/>
  <c r="N2443" i="2"/>
  <c r="N2431" i="2"/>
  <c r="N2419" i="2"/>
  <c r="N2407" i="2"/>
  <c r="N2395" i="2"/>
  <c r="N2383" i="2"/>
  <c r="N2371" i="2"/>
  <c r="N2359" i="2"/>
  <c r="N2347" i="2"/>
  <c r="N2335" i="2"/>
  <c r="N2323" i="2"/>
  <c r="N2311" i="2"/>
  <c r="N2299" i="2"/>
  <c r="N2287" i="2"/>
  <c r="N2275" i="2"/>
  <c r="N2263" i="2"/>
  <c r="N2251" i="2"/>
  <c r="N2239" i="2"/>
  <c r="N2227" i="2"/>
  <c r="N2059" i="2"/>
  <c r="N2042" i="2"/>
  <c r="N2030" i="2"/>
  <c r="N2025" i="2"/>
  <c r="N2013" i="2"/>
  <c r="N2008" i="2"/>
  <c r="N2003" i="2"/>
  <c r="N1998" i="2"/>
  <c r="N1981" i="2"/>
  <c r="N1978" i="2"/>
  <c r="N1973" i="2"/>
  <c r="N1961" i="2"/>
  <c r="N1949" i="2"/>
  <c r="N1939" i="2"/>
  <c r="N1927" i="2"/>
  <c r="N1917" i="2"/>
  <c r="N1905" i="2"/>
  <c r="N1888" i="2"/>
  <c r="N1878" i="2"/>
  <c r="N1873" i="2"/>
  <c r="N1841" i="2"/>
  <c r="N5894" i="2"/>
  <c r="N5882" i="2"/>
  <c r="N5870" i="2"/>
  <c r="N5858" i="2"/>
  <c r="N5846" i="2"/>
  <c r="N5834" i="2"/>
  <c r="N5822" i="2"/>
  <c r="N5810" i="2"/>
  <c r="N5798" i="2"/>
  <c r="N5786" i="2"/>
  <c r="N5774" i="2"/>
  <c r="N5762" i="2"/>
  <c r="N5750" i="2"/>
  <c r="N5738" i="2"/>
  <c r="N5726" i="2"/>
  <c r="N5714" i="2"/>
  <c r="N5702" i="2"/>
  <c r="N5690" i="2"/>
  <c r="N5678" i="2"/>
  <c r="N5666" i="2"/>
  <c r="N5654" i="2"/>
  <c r="N5642" i="2"/>
  <c r="N5630" i="2"/>
  <c r="N5618" i="2"/>
  <c r="N5606" i="2"/>
  <c r="N5594" i="2"/>
  <c r="N5582" i="2"/>
  <c r="N5570" i="2"/>
  <c r="N5558" i="2"/>
  <c r="N5546" i="2"/>
  <c r="N5534" i="2"/>
  <c r="N5522" i="2"/>
  <c r="N5510" i="2"/>
  <c r="N5498" i="2"/>
  <c r="N5486" i="2"/>
  <c r="N5474" i="2"/>
  <c r="N5462" i="2"/>
  <c r="N5450" i="2"/>
  <c r="N5438" i="2"/>
  <c r="N5426" i="2"/>
  <c r="N5414" i="2"/>
  <c r="N5402" i="2"/>
  <c r="N5390" i="2"/>
  <c r="N5378" i="2"/>
  <c r="N5366" i="2"/>
  <c r="N5354" i="2"/>
  <c r="N5342" i="2"/>
  <c r="N5330" i="2"/>
  <c r="N7614" i="2"/>
  <c r="N7602" i="2"/>
  <c r="N7590" i="2"/>
  <c r="N7578" i="2"/>
  <c r="N7566" i="2"/>
  <c r="N7554" i="2"/>
  <c r="N7542" i="2"/>
  <c r="N7530" i="2"/>
  <c r="N7518" i="2"/>
  <c r="N7506" i="2"/>
  <c r="N7494" i="2"/>
  <c r="N7482" i="2"/>
  <c r="N7470" i="2"/>
  <c r="N7458" i="2"/>
  <c r="N7446" i="2"/>
  <c r="N7434" i="2"/>
  <c r="N7422" i="2"/>
  <c r="N7410" i="2"/>
  <c r="N7398" i="2"/>
  <c r="N7386" i="2"/>
  <c r="N7374" i="2"/>
  <c r="N7362" i="2"/>
  <c r="N7350" i="2"/>
  <c r="N7338" i="2"/>
  <c r="N7326" i="2"/>
  <c r="N7314" i="2"/>
  <c r="N7302" i="2"/>
  <c r="N7290" i="2"/>
  <c r="N7278" i="2"/>
  <c r="N7266" i="2"/>
  <c r="N7254" i="2"/>
  <c r="N7242" i="2"/>
  <c r="N7230" i="2"/>
  <c r="N7218" i="2"/>
  <c r="N7206" i="2"/>
  <c r="N7194" i="2"/>
  <c r="N7182" i="2"/>
  <c r="N7170" i="2"/>
  <c r="N7158" i="2"/>
  <c r="N7146" i="2"/>
  <c r="N7134" i="2"/>
  <c r="N7122" i="2"/>
  <c r="N7110" i="2"/>
  <c r="N7098" i="2"/>
  <c r="N7086" i="2"/>
  <c r="N7074" i="2"/>
  <c r="N7062" i="2"/>
  <c r="N7050" i="2"/>
  <c r="N7038" i="2"/>
  <c r="N7026" i="2"/>
  <c r="N7014" i="2"/>
  <c r="N7002" i="2"/>
  <c r="N2039" i="2"/>
  <c r="N5318" i="2"/>
  <c r="N5306" i="2"/>
  <c r="N5294" i="2"/>
  <c r="N5282" i="2"/>
  <c r="N5270" i="2"/>
  <c r="N5258" i="2"/>
  <c r="N5246" i="2"/>
  <c r="N5234" i="2"/>
  <c r="N5222" i="2"/>
  <c r="N5210" i="2"/>
  <c r="N5198" i="2"/>
  <c r="N5186" i="2"/>
  <c r="N5174" i="2"/>
  <c r="N5162" i="2"/>
  <c r="N5150" i="2"/>
  <c r="N5138" i="2"/>
  <c r="N5126" i="2"/>
  <c r="N5114" i="2"/>
  <c r="N5102" i="2"/>
  <c r="N5090" i="2"/>
  <c r="N5078" i="2"/>
  <c r="N5066" i="2"/>
  <c r="N5054" i="2"/>
  <c r="N5042" i="2"/>
  <c r="N5030" i="2"/>
  <c r="N5018" i="2"/>
  <c r="N5006" i="2"/>
  <c r="N4994" i="2"/>
  <c r="N4982" i="2"/>
  <c r="N4970" i="2"/>
  <c r="N4958" i="2"/>
  <c r="N4946" i="2"/>
  <c r="N4934" i="2"/>
  <c r="N4922" i="2"/>
  <c r="N4910" i="2"/>
  <c r="N4898" i="2"/>
  <c r="N4886" i="2"/>
  <c r="N4874" i="2"/>
  <c r="N4862" i="2"/>
  <c r="N4850" i="2"/>
  <c r="N4838" i="2"/>
  <c r="N4826" i="2"/>
  <c r="N4814" i="2"/>
  <c r="N4802" i="2"/>
  <c r="N4790" i="2"/>
  <c r="N4778" i="2"/>
  <c r="N4766" i="2"/>
  <c r="N4754" i="2"/>
  <c r="N4742" i="2"/>
  <c r="N4730" i="2"/>
  <c r="N4718" i="2"/>
  <c r="N4706" i="2"/>
  <c r="N4694" i="2"/>
  <c r="N4682" i="2"/>
  <c r="N4670" i="2"/>
  <c r="N4658" i="2"/>
  <c r="N4646" i="2"/>
  <c r="N4634" i="2"/>
  <c r="N4622" i="2"/>
  <c r="N4610" i="2"/>
  <c r="N4598" i="2"/>
  <c r="N4586" i="2"/>
  <c r="N4574" i="2"/>
  <c r="N4562" i="2"/>
  <c r="N4550" i="2"/>
  <c r="N4538" i="2"/>
  <c r="N4526" i="2"/>
  <c r="N4514" i="2"/>
  <c r="N4502" i="2"/>
  <c r="N4490" i="2"/>
  <c r="N4478" i="2"/>
  <c r="N4466" i="2"/>
  <c r="N4454" i="2"/>
  <c r="N4442" i="2"/>
  <c r="N4430" i="2"/>
  <c r="N4418" i="2"/>
  <c r="N4406" i="2"/>
  <c r="N4394" i="2"/>
  <c r="N4382" i="2"/>
  <c r="N4370" i="2"/>
  <c r="N4358" i="2"/>
  <c r="N4346" i="2"/>
  <c r="N4334" i="2"/>
  <c r="N4322" i="2"/>
  <c r="N4310" i="2"/>
  <c r="N3121" i="2"/>
  <c r="N3109" i="2"/>
  <c r="N3097" i="2"/>
  <c r="N3085" i="2"/>
  <c r="N3073" i="2"/>
  <c r="N3061" i="2"/>
  <c r="N3049" i="2"/>
  <c r="N3037" i="2"/>
  <c r="N3025" i="2"/>
  <c r="N3013" i="2"/>
  <c r="N3001" i="2"/>
  <c r="N2989" i="2"/>
  <c r="N2977" i="2"/>
  <c r="N2965" i="2"/>
  <c r="N2953" i="2"/>
  <c r="N2941" i="2"/>
  <c r="N2929" i="2"/>
  <c r="N2917" i="2"/>
  <c r="N73" i="2"/>
  <c r="N751" i="2"/>
  <c r="P7651" i="2"/>
  <c r="N4298" i="2"/>
  <c r="N4286" i="2"/>
  <c r="N4274" i="2"/>
  <c r="N4262" i="2"/>
  <c r="N4250" i="2"/>
  <c r="N4238" i="2"/>
  <c r="N4226" i="2"/>
  <c r="N4214" i="2"/>
  <c r="N4202" i="2"/>
  <c r="N4190" i="2"/>
  <c r="N4178" i="2"/>
  <c r="N4166" i="2"/>
  <c r="N4154" i="2"/>
  <c r="N1959" i="2"/>
  <c r="N1915" i="2"/>
  <c r="N1903" i="2"/>
  <c r="N6990" i="2"/>
  <c r="N6978" i="2"/>
  <c r="N6966" i="2"/>
  <c r="N6954" i="2"/>
  <c r="N6942" i="2"/>
  <c r="N7620" i="2"/>
  <c r="N7608" i="2"/>
  <c r="N7596" i="2"/>
  <c r="N7584" i="2"/>
  <c r="N7572" i="2"/>
  <c r="N7560" i="2"/>
  <c r="N7548" i="2"/>
  <c r="N7536" i="2"/>
  <c r="N7524" i="2"/>
  <c r="N7512" i="2"/>
  <c r="N7500" i="2"/>
  <c r="N7488" i="2"/>
  <c r="N7476" i="2"/>
  <c r="N7464" i="2"/>
  <c r="N7452" i="2"/>
  <c r="N7440" i="2"/>
  <c r="N7428" i="2"/>
  <c r="N7416" i="2"/>
  <c r="N7404" i="2"/>
  <c r="N7392" i="2"/>
  <c r="N7380" i="2"/>
  <c r="N7368" i="2"/>
  <c r="N7356" i="2"/>
  <c r="N7344" i="2"/>
  <c r="N7332" i="2"/>
  <c r="N7320" i="2"/>
  <c r="N7308" i="2"/>
  <c r="N7296" i="2"/>
  <c r="N7284" i="2"/>
  <c r="N7272" i="2"/>
  <c r="N7260" i="2"/>
  <c r="N7248" i="2"/>
  <c r="N7236" i="2"/>
  <c r="N7224" i="2"/>
  <c r="N7212" i="2"/>
  <c r="N7200" i="2"/>
  <c r="N7188" i="2"/>
  <c r="N7176" i="2"/>
  <c r="N7164" i="2"/>
  <c r="N7152" i="2"/>
  <c r="N7140" i="2"/>
  <c r="N7128" i="2"/>
  <c r="N7116" i="2"/>
  <c r="N7104" i="2"/>
  <c r="N7092" i="2"/>
  <c r="N7080" i="2"/>
  <c r="N7068" i="2"/>
  <c r="N7056" i="2"/>
  <c r="N7044" i="2"/>
  <c r="N7032" i="2"/>
  <c r="N7020" i="2"/>
  <c r="N7008" i="2"/>
  <c r="N6996" i="2"/>
  <c r="N6984" i="2"/>
  <c r="N6972" i="2"/>
  <c r="N6960" i="2"/>
  <c r="N6948" i="2"/>
  <c r="N6936" i="2"/>
  <c r="N6924" i="2"/>
  <c r="N6912" i="2"/>
  <c r="N6930" i="2"/>
  <c r="N6918" i="2"/>
  <c r="N6906" i="2"/>
  <c r="N6894" i="2"/>
  <c r="N6882" i="2"/>
  <c r="N6870" i="2"/>
  <c r="N6858" i="2"/>
  <c r="N6846" i="2"/>
  <c r="N6834" i="2"/>
  <c r="N6822" i="2"/>
  <c r="N6810" i="2"/>
  <c r="N6798" i="2"/>
  <c r="N6781" i="2"/>
  <c r="N6769" i="2"/>
  <c r="N6757" i="2"/>
  <c r="N6745" i="2"/>
  <c r="N6733" i="2"/>
  <c r="N6721" i="2"/>
  <c r="N6709" i="2"/>
  <c r="N6697" i="2"/>
  <c r="N6685" i="2"/>
  <c r="N6673" i="2"/>
  <c r="N6661" i="2"/>
  <c r="N6649" i="2"/>
  <c r="N6637" i="2"/>
  <c r="N6625" i="2"/>
  <c r="N6613" i="2"/>
  <c r="N6601" i="2"/>
  <c r="N6589" i="2"/>
  <c r="N6577" i="2"/>
  <c r="N6565" i="2"/>
  <c r="N6553" i="2"/>
  <c r="N6541" i="2"/>
  <c r="N6529" i="2"/>
  <c r="N6512" i="2"/>
  <c r="N6500" i="2"/>
  <c r="N6488" i="2"/>
  <c r="N6476" i="2"/>
  <c r="N6464" i="2"/>
  <c r="N6452" i="2"/>
  <c r="N6440" i="2"/>
  <c r="N6428" i="2"/>
  <c r="N6418" i="2"/>
  <c r="N6406" i="2"/>
  <c r="N6394" i="2"/>
  <c r="N6384" i="2"/>
  <c r="N6372" i="2"/>
  <c r="N6360" i="2"/>
  <c r="N6348" i="2"/>
  <c r="N6336" i="2"/>
  <c r="N6324" i="2"/>
  <c r="N6312" i="2"/>
  <c r="N6300" i="2"/>
  <c r="N6288" i="2"/>
  <c r="N6276" i="2"/>
  <c r="N6264" i="2"/>
  <c r="N6252" i="2"/>
  <c r="N6240" i="2"/>
  <c r="N6228" i="2"/>
  <c r="N6216" i="2"/>
  <c r="N6204" i="2"/>
  <c r="N6192" i="2"/>
  <c r="N6180" i="2"/>
  <c r="N6168" i="2"/>
  <c r="N6156" i="2"/>
  <c r="N6144" i="2"/>
  <c r="N6132" i="2"/>
  <c r="N6120" i="2"/>
  <c r="N6108" i="2"/>
  <c r="N6096" i="2"/>
  <c r="N6084" i="2"/>
  <c r="N6072" i="2"/>
  <c r="N6060" i="2"/>
  <c r="N6048" i="2"/>
  <c r="N6036" i="2"/>
  <c r="N6024" i="2"/>
  <c r="N6012" i="2"/>
  <c r="N6000" i="2"/>
  <c r="N5988" i="2"/>
  <c r="N5976" i="2"/>
  <c r="N5964" i="2"/>
  <c r="N5952" i="2"/>
  <c r="N5940" i="2"/>
  <c r="N5928" i="2"/>
  <c r="N5916" i="2"/>
  <c r="N5904" i="2"/>
  <c r="N6509" i="2"/>
  <c r="N6497" i="2"/>
  <c r="N6485" i="2"/>
  <c r="N6473" i="2"/>
  <c r="N6461" i="2"/>
  <c r="N6449" i="2"/>
  <c r="N6437" i="2"/>
  <c r="N6425" i="2"/>
  <c r="N6415" i="2"/>
  <c r="N6403" i="2"/>
  <c r="N6391" i="2"/>
  <c r="N6381" i="2"/>
  <c r="N6369" i="2"/>
  <c r="N6357" i="2"/>
  <c r="N6345" i="2"/>
  <c r="N6321" i="2"/>
  <c r="N6285" i="2"/>
  <c r="N6273" i="2"/>
  <c r="N6261" i="2"/>
  <c r="N6225" i="2"/>
  <c r="N6900" i="2"/>
  <c r="N6888" i="2"/>
  <c r="N6876" i="2"/>
  <c r="N6864" i="2"/>
  <c r="N6852" i="2"/>
  <c r="N6840" i="2"/>
  <c r="N6828" i="2"/>
  <c r="N6816" i="2"/>
  <c r="N6804" i="2"/>
  <c r="N6792" i="2"/>
  <c r="N6787" i="2"/>
  <c r="N6775" i="2"/>
  <c r="N6763" i="2"/>
  <c r="N6751" i="2"/>
  <c r="N6739" i="2"/>
  <c r="N6727" i="2"/>
  <c r="N6715" i="2"/>
  <c r="N6703" i="2"/>
  <c r="N6691" i="2"/>
  <c r="N6679" i="2"/>
  <c r="N6667" i="2"/>
  <c r="N6655" i="2"/>
  <c r="N6643" i="2"/>
  <c r="N6631" i="2"/>
  <c r="N6619" i="2"/>
  <c r="N6607" i="2"/>
  <c r="N6595" i="2"/>
  <c r="N6583" i="2"/>
  <c r="N6571" i="2"/>
  <c r="N6559" i="2"/>
  <c r="N6547" i="2"/>
  <c r="N6535" i="2"/>
  <c r="N6523" i="2"/>
  <c r="N6518" i="2"/>
  <c r="N6506" i="2"/>
  <c r="N6494" i="2"/>
  <c r="N6482" i="2"/>
  <c r="N6470" i="2"/>
  <c r="N6458" i="2"/>
  <c r="N6446" i="2"/>
  <c r="N6434" i="2"/>
  <c r="N6422" i="2"/>
  <c r="N6412" i="2"/>
  <c r="N6400" i="2"/>
  <c r="N6388" i="2"/>
  <c r="N6378" i="2"/>
  <c r="N6366" i="2"/>
  <c r="N6354" i="2"/>
  <c r="N6342" i="2"/>
  <c r="N6330" i="2"/>
  <c r="N6318" i="2"/>
  <c r="N6306" i="2"/>
  <c r="N6294" i="2"/>
  <c r="N6282" i="2"/>
  <c r="N6270" i="2"/>
  <c r="N6258" i="2"/>
  <c r="N6246" i="2"/>
  <c r="N6234" i="2"/>
  <c r="N6222" i="2"/>
  <c r="N6210" i="2"/>
  <c r="N6198" i="2"/>
  <c r="N6186" i="2"/>
  <c r="N6174" i="2"/>
  <c r="N6162" i="2"/>
  <c r="N6150" i="2"/>
  <c r="N6138" i="2"/>
  <c r="N6126" i="2"/>
  <c r="N6114" i="2"/>
  <c r="N6102" i="2"/>
  <c r="N6090" i="2"/>
  <c r="N6078" i="2"/>
  <c r="N6066" i="2"/>
  <c r="N6054" i="2"/>
  <c r="N6042" i="2"/>
  <c r="N6030" i="2"/>
  <c r="N6018" i="2"/>
  <c r="N6006" i="2"/>
  <c r="N5994" i="2"/>
  <c r="N5982" i="2"/>
  <c r="N5970" i="2"/>
  <c r="N5958" i="2"/>
  <c r="N5946" i="2"/>
  <c r="N5934" i="2"/>
  <c r="N5922" i="2"/>
  <c r="N5910" i="2"/>
  <c r="N5446" i="2"/>
  <c r="N5434" i="2"/>
  <c r="N5422" i="2"/>
  <c r="N5410" i="2"/>
  <c r="N5386" i="2"/>
  <c r="N5892" i="2"/>
  <c r="N5880" i="2"/>
  <c r="N5868" i="2"/>
  <c r="N5856" i="2"/>
  <c r="N5844" i="2"/>
  <c r="N5832" i="2"/>
  <c r="N5820" i="2"/>
  <c r="N5808" i="2"/>
  <c r="N5796" i="2"/>
  <c r="N5784" i="2"/>
  <c r="N5772" i="2"/>
  <c r="N5760" i="2"/>
  <c r="N5748" i="2"/>
  <c r="N5736" i="2"/>
  <c r="N5724" i="2"/>
  <c r="N5712" i="2"/>
  <c r="N5700" i="2"/>
  <c r="N5688" i="2"/>
  <c r="N5676" i="2"/>
  <c r="N5664" i="2"/>
  <c r="N5652" i="2"/>
  <c r="N5640" i="2"/>
  <c r="N5628" i="2"/>
  <c r="N5616" i="2"/>
  <c r="N5604" i="2"/>
  <c r="N5592" i="2"/>
  <c r="N5580" i="2"/>
  <c r="N5568" i="2"/>
  <c r="N5556" i="2"/>
  <c r="N5544" i="2"/>
  <c r="N5532" i="2"/>
  <c r="N5520" i="2"/>
  <c r="N5508" i="2"/>
  <c r="N5496" i="2"/>
  <c r="N5484" i="2"/>
  <c r="N5472" i="2"/>
  <c r="N5460" i="2"/>
  <c r="N5448" i="2"/>
  <c r="N5436" i="2"/>
  <c r="N5424" i="2"/>
  <c r="N5412" i="2"/>
  <c r="N5400" i="2"/>
  <c r="N5388" i="2"/>
  <c r="N5376" i="2"/>
  <c r="N5364" i="2"/>
  <c r="N5352" i="2"/>
  <c r="N5340" i="2"/>
  <c r="N5328" i="2"/>
  <c r="N5316" i="2"/>
  <c r="N5304" i="2"/>
  <c r="N5292" i="2"/>
  <c r="N5280" i="2"/>
  <c r="N5268" i="2"/>
  <c r="N5256" i="2"/>
  <c r="N5244" i="2"/>
  <c r="N5232" i="2"/>
  <c r="N5220" i="2"/>
  <c r="N5208" i="2"/>
  <c r="N5196" i="2"/>
  <c r="N5184" i="2"/>
  <c r="N5172" i="2"/>
  <c r="N5160" i="2"/>
  <c r="N5148" i="2"/>
  <c r="N5136" i="2"/>
  <c r="N5124" i="2"/>
  <c r="N5112" i="2"/>
  <c r="N5100" i="2"/>
  <c r="N5088" i="2"/>
  <c r="N5076" i="2"/>
  <c r="N5064" i="2"/>
  <c r="N5052" i="2"/>
  <c r="N5040" i="2"/>
  <c r="N5028" i="2"/>
  <c r="N5016" i="2"/>
  <c r="N5004" i="2"/>
  <c r="N4992" i="2"/>
  <c r="N4980" i="2"/>
  <c r="N4968" i="2"/>
  <c r="N4956" i="2"/>
  <c r="N4944" i="2"/>
  <c r="N4932" i="2"/>
  <c r="N4920" i="2"/>
  <c r="N4908" i="2"/>
  <c r="N4896" i="2"/>
  <c r="N4884" i="2"/>
  <c r="N4142" i="2"/>
  <c r="N4130" i="2"/>
  <c r="N4118" i="2"/>
  <c r="N4106" i="2"/>
  <c r="N4094" i="2"/>
  <c r="N4082" i="2"/>
  <c r="N4070" i="2"/>
  <c r="N4058" i="2"/>
  <c r="N4046" i="2"/>
  <c r="N5898" i="2"/>
  <c r="N5886" i="2"/>
  <c r="N5874" i="2"/>
  <c r="N5862" i="2"/>
  <c r="N5850" i="2"/>
  <c r="N5838" i="2"/>
  <c r="N5826" i="2"/>
  <c r="N5814" i="2"/>
  <c r="N5802" i="2"/>
  <c r="N5790" i="2"/>
  <c r="N5778" i="2"/>
  <c r="N5766" i="2"/>
  <c r="N5754" i="2"/>
  <c r="N5742" i="2"/>
  <c r="N5730" i="2"/>
  <c r="N5718" i="2"/>
  <c r="N5706" i="2"/>
  <c r="N5694" i="2"/>
  <c r="N5682" i="2"/>
  <c r="N5670" i="2"/>
  <c r="N5658" i="2"/>
  <c r="N5646" i="2"/>
  <c r="N5634" i="2"/>
  <c r="N5622" i="2"/>
  <c r="N5610" i="2"/>
  <c r="N5598" i="2"/>
  <c r="N5586" i="2"/>
  <c r="N5574" i="2"/>
  <c r="N5562" i="2"/>
  <c r="N5550" i="2"/>
  <c r="N5538" i="2"/>
  <c r="N5526" i="2"/>
  <c r="N5514" i="2"/>
  <c r="N5502" i="2"/>
  <c r="N5490" i="2"/>
  <c r="N5478" i="2"/>
  <c r="N5466" i="2"/>
  <c r="N5454" i="2"/>
  <c r="N5442" i="2"/>
  <c r="N5430" i="2"/>
  <c r="N5418" i="2"/>
  <c r="N5406" i="2"/>
  <c r="N5394" i="2"/>
  <c r="N5382" i="2"/>
  <c r="N5370" i="2"/>
  <c r="N5358" i="2"/>
  <c r="N5346" i="2"/>
  <c r="N5334" i="2"/>
  <c r="N5322" i="2"/>
  <c r="N5310" i="2"/>
  <c r="N5298" i="2"/>
  <c r="N5286" i="2"/>
  <c r="N5274" i="2"/>
  <c r="N5262" i="2"/>
  <c r="N5250" i="2"/>
  <c r="N5238" i="2"/>
  <c r="N5226" i="2"/>
  <c r="N5214" i="2"/>
  <c r="N5202" i="2"/>
  <c r="N5190" i="2"/>
  <c r="N5178" i="2"/>
  <c r="N5166" i="2"/>
  <c r="N5154" i="2"/>
  <c r="N5142" i="2"/>
  <c r="N5130" i="2"/>
  <c r="N5118" i="2"/>
  <c r="N5106" i="2"/>
  <c r="N5094" i="2"/>
  <c r="N5082" i="2"/>
  <c r="N5070" i="2"/>
  <c r="N5058" i="2"/>
  <c r="N5034" i="2"/>
  <c r="N5022" i="2"/>
  <c r="N5010" i="2"/>
  <c r="N4998" i="2"/>
  <c r="N4986" i="2"/>
  <c r="N4974" i="2"/>
  <c r="N4962" i="2"/>
  <c r="N4950" i="2"/>
  <c r="N4938" i="2"/>
  <c r="N4926" i="2"/>
  <c r="N1071" i="2"/>
  <c r="N1059" i="2"/>
  <c r="N1047" i="2"/>
  <c r="N1035" i="2"/>
  <c r="N1023" i="2"/>
  <c r="N1011" i="2"/>
  <c r="N999" i="2"/>
  <c r="N987" i="2"/>
  <c r="N975" i="2"/>
  <c r="N963" i="2"/>
  <c r="N951" i="2"/>
  <c r="N939" i="2"/>
  <c r="N927" i="2"/>
  <c r="N915" i="2"/>
  <c r="N903" i="2"/>
  <c r="N891" i="2"/>
  <c r="N879" i="2"/>
  <c r="N867" i="2"/>
  <c r="N855" i="2"/>
  <c r="N843" i="2"/>
  <c r="N831" i="2"/>
  <c r="N819" i="2"/>
  <c r="N807" i="2"/>
  <c r="N795" i="2"/>
  <c r="N783" i="2"/>
  <c r="N771" i="2"/>
  <c r="N759" i="2"/>
  <c r="N747" i="2"/>
  <c r="N735" i="2"/>
  <c r="N723" i="2"/>
  <c r="N711" i="2"/>
  <c r="N699" i="2"/>
  <c r="N687" i="2"/>
  <c r="N675" i="2"/>
  <c r="N663" i="2"/>
  <c r="N651" i="2"/>
  <c r="N639" i="2"/>
  <c r="N627" i="2"/>
  <c r="N615" i="2"/>
  <c r="N603" i="2"/>
  <c r="N1762" i="2"/>
  <c r="N4034" i="2"/>
  <c r="N4022" i="2"/>
  <c r="N4010" i="2"/>
  <c r="N3998" i="2"/>
  <c r="N3986" i="2"/>
  <c r="N3974" i="2"/>
  <c r="N3962" i="2"/>
  <c r="N3950" i="2"/>
  <c r="N3938" i="2"/>
  <c r="N3926" i="2"/>
  <c r="N3914" i="2"/>
  <c r="N3902" i="2"/>
  <c r="N3890" i="2"/>
  <c r="N3878" i="2"/>
  <c r="N3866" i="2"/>
  <c r="N3854" i="2"/>
  <c r="N3842" i="2"/>
  <c r="N3830" i="2"/>
  <c r="N3818" i="2"/>
  <c r="N3806" i="2"/>
  <c r="N3794" i="2"/>
  <c r="N3782" i="2"/>
  <c r="N3770" i="2"/>
  <c r="N3758" i="2"/>
  <c r="N3746" i="2"/>
  <c r="N3734" i="2"/>
  <c r="N3722" i="2"/>
  <c r="N3710" i="2"/>
  <c r="N3698" i="2"/>
  <c r="N3686" i="2"/>
  <c r="N3674" i="2"/>
  <c r="N3662" i="2"/>
  <c r="N3650" i="2"/>
  <c r="N3638" i="2"/>
  <c r="N3633" i="2"/>
  <c r="N3628" i="2"/>
  <c r="N3623" i="2"/>
  <c r="N3611" i="2"/>
  <c r="N3599" i="2"/>
  <c r="N3587" i="2"/>
  <c r="N3575" i="2"/>
  <c r="N3563" i="2"/>
  <c r="N3551" i="2"/>
  <c r="N3539" i="2"/>
  <c r="N3527" i="2"/>
  <c r="N3515" i="2"/>
  <c r="N3503" i="2"/>
  <c r="N3491" i="2"/>
  <c r="N3479" i="2"/>
  <c r="N3467" i="2"/>
  <c r="N3455" i="2"/>
  <c r="N3443" i="2"/>
  <c r="N3431" i="2"/>
  <c r="N3419" i="2"/>
  <c r="N3407" i="2"/>
  <c r="N3395" i="2"/>
  <c r="N3383" i="2"/>
  <c r="N3371" i="2"/>
  <c r="N3359" i="2"/>
  <c r="N3347" i="2"/>
  <c r="N3335" i="2"/>
  <c r="N3323" i="2"/>
  <c r="N3311" i="2"/>
  <c r="N3299" i="2"/>
  <c r="N3287" i="2"/>
  <c r="N3275" i="2"/>
  <c r="N3263" i="2"/>
  <c r="N3251" i="2"/>
  <c r="N3239" i="2"/>
  <c r="N3227" i="2"/>
  <c r="N3215" i="2"/>
  <c r="N3203" i="2"/>
  <c r="N3191" i="2"/>
  <c r="N3179" i="2"/>
  <c r="N3167" i="2"/>
  <c r="N3155" i="2"/>
  <c r="N3143" i="2"/>
  <c r="N3131" i="2"/>
  <c r="N3119" i="2"/>
  <c r="N3107" i="2"/>
  <c r="N3095" i="2"/>
  <c r="N1786" i="2"/>
  <c r="N98" i="2"/>
  <c r="N74" i="2"/>
  <c r="N50" i="2"/>
  <c r="N6296" i="2"/>
  <c r="N6284" i="2"/>
  <c r="N6272" i="2"/>
  <c r="N6260" i="2"/>
  <c r="N6248" i="2"/>
  <c r="N6236" i="2"/>
  <c r="N6224" i="2"/>
  <c r="N6212" i="2"/>
  <c r="N6200" i="2"/>
  <c r="N6188" i="2"/>
  <c r="N6176" i="2"/>
  <c r="N6164" i="2"/>
  <c r="N6152" i="2"/>
  <c r="N6140" i="2"/>
  <c r="N6128" i="2"/>
  <c r="N6116" i="2"/>
  <c r="N6104" i="2"/>
  <c r="N6092" i="2"/>
  <c r="N6080" i="2"/>
  <c r="N6068" i="2"/>
  <c r="N6056" i="2"/>
  <c r="N6044" i="2"/>
  <c r="N6032" i="2"/>
  <c r="N6020" i="2"/>
  <c r="N6008" i="2"/>
  <c r="N5996" i="2"/>
  <c r="N5984" i="2"/>
  <c r="N5972" i="2"/>
  <c r="N5960" i="2"/>
  <c r="N5948" i="2"/>
  <c r="N5936" i="2"/>
  <c r="N5924" i="2"/>
  <c r="N5912" i="2"/>
  <c r="N5900" i="2"/>
  <c r="N5888" i="2"/>
  <c r="N5876" i="2"/>
  <c r="N5864" i="2"/>
  <c r="N5852" i="2"/>
  <c r="N5828" i="2"/>
  <c r="N5816" i="2"/>
  <c r="N5756" i="2"/>
  <c r="N4872" i="2"/>
  <c r="N7621" i="2"/>
  <c r="N7609" i="2"/>
  <c r="N7597" i="2"/>
  <c r="N7585" i="2"/>
  <c r="N7573" i="2"/>
  <c r="N4914" i="2"/>
  <c r="N4902" i="2"/>
  <c r="N4890" i="2"/>
  <c r="N4870" i="2"/>
  <c r="N4858" i="2"/>
  <c r="N4846" i="2"/>
  <c r="N4834" i="2"/>
  <c r="N4822" i="2"/>
  <c r="N4810" i="2"/>
  <c r="N4798" i="2"/>
  <c r="N4786" i="2"/>
  <c r="N4774" i="2"/>
  <c r="N4762" i="2"/>
  <c r="N4750" i="2"/>
  <c r="N4738" i="2"/>
  <c r="N4726" i="2"/>
  <c r="N4714" i="2"/>
  <c r="N4702" i="2"/>
  <c r="N4690" i="2"/>
  <c r="N4678" i="2"/>
  <c r="N4666" i="2"/>
  <c r="N4654" i="2"/>
  <c r="N4642" i="2"/>
  <c r="N4630" i="2"/>
  <c r="N4618" i="2"/>
  <c r="N4606" i="2"/>
  <c r="N4594" i="2"/>
  <c r="N4582" i="2"/>
  <c r="N4570" i="2"/>
  <c r="N4558" i="2"/>
  <c r="N4546" i="2"/>
  <c r="N4534" i="2"/>
  <c r="N4522" i="2"/>
  <c r="N3946" i="2"/>
  <c r="N3934" i="2"/>
  <c r="N3922" i="2"/>
  <c r="N3910" i="2"/>
  <c r="N3898" i="2"/>
  <c r="N3886" i="2"/>
  <c r="N3874" i="2"/>
  <c r="N3862" i="2"/>
  <c r="N3850" i="2"/>
  <c r="N3838" i="2"/>
  <c r="N3826" i="2"/>
  <c r="N3814" i="2"/>
  <c r="N3802" i="2"/>
  <c r="N3790" i="2"/>
  <c r="N3778" i="2"/>
  <c r="N3766" i="2"/>
  <c r="N3754" i="2"/>
  <c r="N3742" i="2"/>
  <c r="N3730" i="2"/>
  <c r="N3718" i="2"/>
  <c r="N3706" i="2"/>
  <c r="N3694" i="2"/>
  <c r="N3682" i="2"/>
  <c r="N3670" i="2"/>
  <c r="N3658" i="2"/>
  <c r="N3646" i="2"/>
  <c r="N3629" i="2"/>
  <c r="N3619" i="2"/>
  <c r="N3607" i="2"/>
  <c r="N3595" i="2"/>
  <c r="N3583" i="2"/>
  <c r="N3571" i="2"/>
  <c r="N3559" i="2"/>
  <c r="N3547" i="2"/>
  <c r="N3535" i="2"/>
  <c r="N3523" i="2"/>
  <c r="N3511" i="2"/>
  <c r="N3499" i="2"/>
  <c r="N3487" i="2"/>
  <c r="N3475" i="2"/>
  <c r="N3463" i="2"/>
  <c r="N3451" i="2"/>
  <c r="N3439" i="2"/>
  <c r="N3427" i="2"/>
  <c r="N3415" i="2"/>
  <c r="N3403" i="2"/>
  <c r="N3391" i="2"/>
  <c r="N3379" i="2"/>
  <c r="N3367" i="2"/>
  <c r="N3355" i="2"/>
  <c r="N3343" i="2"/>
  <c r="N3331" i="2"/>
  <c r="N3319" i="2"/>
  <c r="N3307" i="2"/>
  <c r="N3295" i="2"/>
  <c r="N4860" i="2"/>
  <c r="N4848" i="2"/>
  <c r="N4836" i="2"/>
  <c r="N4824" i="2"/>
  <c r="N4812" i="2"/>
  <c r="N4800" i="2"/>
  <c r="N4788" i="2"/>
  <c r="N4776" i="2"/>
  <c r="N4764" i="2"/>
  <c r="N4752" i="2"/>
  <c r="N4740" i="2"/>
  <c r="N4728" i="2"/>
  <c r="N4716" i="2"/>
  <c r="N4704" i="2"/>
  <c r="N4692" i="2"/>
  <c r="N4680" i="2"/>
  <c r="N4668" i="2"/>
  <c r="N4656" i="2"/>
  <c r="N4644" i="2"/>
  <c r="N4632" i="2"/>
  <c r="N4620" i="2"/>
  <c r="N4608" i="2"/>
  <c r="N4596" i="2"/>
  <c r="N4584" i="2"/>
  <c r="N4572" i="2"/>
  <c r="N4548" i="2"/>
  <c r="N3083" i="2"/>
  <c r="N3071" i="2"/>
  <c r="N3059" i="2"/>
  <c r="N3047" i="2"/>
  <c r="N3748" i="2"/>
  <c r="N3736" i="2"/>
  <c r="N3724" i="2"/>
  <c r="N3712" i="2"/>
  <c r="N3700" i="2"/>
  <c r="N3688" i="2"/>
  <c r="N3676" i="2"/>
  <c r="N3664" i="2"/>
  <c r="N3652" i="2"/>
  <c r="N3640" i="2"/>
  <c r="N3635" i="2"/>
  <c r="N3625" i="2"/>
  <c r="N3613" i="2"/>
  <c r="N3601" i="2"/>
  <c r="N3589" i="2"/>
  <c r="N3577" i="2"/>
  <c r="N3565" i="2"/>
  <c r="N3553" i="2"/>
  <c r="N3541" i="2"/>
  <c r="N3529" i="2"/>
  <c r="N3517" i="2"/>
  <c r="N3505" i="2"/>
  <c r="N3493" i="2"/>
  <c r="N3481" i="2"/>
  <c r="N3469" i="2"/>
  <c r="N3457" i="2"/>
  <c r="N3445" i="2"/>
  <c r="N3433" i="2"/>
  <c r="N3421" i="2"/>
  <c r="N3409" i="2"/>
  <c r="N3397" i="2"/>
  <c r="N3385" i="2"/>
  <c r="N3373" i="2"/>
  <c r="N3361" i="2"/>
  <c r="N3349" i="2"/>
  <c r="N4878" i="2"/>
  <c r="N4866" i="2"/>
  <c r="N4854" i="2"/>
  <c r="N4842" i="2"/>
  <c r="N4830" i="2"/>
  <c r="N4818" i="2"/>
  <c r="N4806" i="2"/>
  <c r="N4794" i="2"/>
  <c r="N4782" i="2"/>
  <c r="N4770" i="2"/>
  <c r="N4758" i="2"/>
  <c r="N4746" i="2"/>
  <c r="N4734" i="2"/>
  <c r="N4722" i="2"/>
  <c r="N4710" i="2"/>
  <c r="N4698" i="2"/>
  <c r="N4686" i="2"/>
  <c r="N4674" i="2"/>
  <c r="N4662" i="2"/>
  <c r="N4650" i="2"/>
  <c r="N4638" i="2"/>
  <c r="N4626" i="2"/>
  <c r="N4614" i="2"/>
  <c r="N4602" i="2"/>
  <c r="N4590" i="2"/>
  <c r="N4578" i="2"/>
  <c r="N4566" i="2"/>
  <c r="N4554" i="2"/>
  <c r="N4542" i="2"/>
  <c r="N4530" i="2"/>
  <c r="N4518" i="2"/>
  <c r="N4506" i="2"/>
  <c r="N4494" i="2"/>
  <c r="N4482" i="2"/>
  <c r="N4470" i="2"/>
  <c r="N4458" i="2"/>
  <c r="N4446" i="2"/>
  <c r="N4434" i="2"/>
  <c r="N4422" i="2"/>
  <c r="N4410" i="2"/>
  <c r="N4398" i="2"/>
  <c r="N4386" i="2"/>
  <c r="N4374" i="2"/>
  <c r="N4362" i="2"/>
  <c r="N4350" i="2"/>
  <c r="N4338" i="2"/>
  <c r="N4326" i="2"/>
  <c r="N4314" i="2"/>
  <c r="N4302" i="2"/>
  <c r="N4290" i="2"/>
  <c r="N4278" i="2"/>
  <c r="N4266" i="2"/>
  <c r="N4254" i="2"/>
  <c r="N4242" i="2"/>
  <c r="N4230" i="2"/>
  <c r="N4218" i="2"/>
  <c r="N4206" i="2"/>
  <c r="N4194" i="2"/>
  <c r="N4182" i="2"/>
  <c r="N4170" i="2"/>
  <c r="N4158" i="2"/>
  <c r="N4146" i="2"/>
  <c r="N4134" i="2"/>
  <c r="N4122" i="2"/>
  <c r="N4110" i="2"/>
  <c r="N4098" i="2"/>
  <c r="N4086" i="2"/>
  <c r="N4074" i="2"/>
  <c r="N4062" i="2"/>
  <c r="N4050" i="2"/>
  <c r="N4038" i="2"/>
  <c r="N4026" i="2"/>
  <c r="N4014" i="2"/>
  <c r="N4002" i="2"/>
  <c r="N3990" i="2"/>
  <c r="N3978" i="2"/>
  <c r="N3966" i="2"/>
  <c r="N3954" i="2"/>
  <c r="N3942" i="2"/>
  <c r="N3930" i="2"/>
  <c r="N3918" i="2"/>
  <c r="N3906" i="2"/>
  <c r="N3894" i="2"/>
  <c r="N3882" i="2"/>
  <c r="N3870" i="2"/>
  <c r="N3858" i="2"/>
  <c r="N3846" i="2"/>
  <c r="N3834" i="2"/>
  <c r="N3822" i="2"/>
  <c r="N3810" i="2"/>
  <c r="N3798" i="2"/>
  <c r="N3786" i="2"/>
  <c r="N3774" i="2"/>
  <c r="N3762" i="2"/>
  <c r="N3750" i="2"/>
  <c r="N3738" i="2"/>
  <c r="N3726" i="2"/>
  <c r="N3714" i="2"/>
  <c r="N3702" i="2"/>
  <c r="N3690" i="2"/>
  <c r="N3678" i="2"/>
  <c r="N3666" i="2"/>
  <c r="N3654" i="2"/>
  <c r="N3642" i="2"/>
  <c r="N3637" i="2"/>
  <c r="N3627" i="2"/>
  <c r="N3615" i="2"/>
  <c r="N3603" i="2"/>
  <c r="N3591" i="2"/>
  <c r="N3579" i="2"/>
  <c r="N3567" i="2"/>
  <c r="N3555" i="2"/>
  <c r="N3543" i="2"/>
  <c r="N3531" i="2"/>
  <c r="N3519" i="2"/>
  <c r="N3507" i="2"/>
  <c r="N3495" i="2"/>
  <c r="N3483" i="2"/>
  <c r="N3471" i="2"/>
  <c r="N3459" i="2"/>
  <c r="N3447" i="2"/>
  <c r="N3435" i="2"/>
  <c r="N3423" i="2"/>
  <c r="N3411" i="2"/>
  <c r="N3399" i="2"/>
  <c r="N3387" i="2"/>
  <c r="N3375" i="2"/>
  <c r="N3363" i="2"/>
  <c r="N3351" i="2"/>
  <c r="N3339" i="2"/>
  <c r="N3327" i="2"/>
  <c r="N3315" i="2"/>
  <c r="N3303" i="2"/>
  <c r="N3291" i="2"/>
  <c r="N3279" i="2"/>
  <c r="N3267" i="2"/>
  <c r="N3255" i="2"/>
  <c r="N3243" i="2"/>
  <c r="N3231" i="2"/>
  <c r="N3219" i="2"/>
  <c r="N3207" i="2"/>
  <c r="N3195" i="2"/>
  <c r="N3183" i="2"/>
  <c r="N3171" i="2"/>
  <c r="N3159" i="2"/>
  <c r="N3147" i="2"/>
  <c r="N3135" i="2"/>
  <c r="N3123" i="2"/>
  <c r="N3111" i="2"/>
  <c r="N3099" i="2"/>
  <c r="N3087" i="2"/>
  <c r="N3075" i="2"/>
  <c r="N3053" i="2"/>
  <c r="N3041" i="2"/>
  <c r="N3029" i="2"/>
  <c r="N3017" i="2"/>
  <c r="N3005" i="2"/>
  <c r="N2993" i="2"/>
  <c r="N2981" i="2"/>
  <c r="N2969" i="2"/>
  <c r="N2945" i="2"/>
  <c r="N2933" i="2"/>
  <c r="N2921" i="2"/>
  <c r="N2909" i="2"/>
  <c r="N2897" i="2"/>
  <c r="N2885" i="2"/>
  <c r="N2873" i="2"/>
  <c r="N2861" i="2"/>
  <c r="N2849" i="2"/>
  <c r="N2837" i="2"/>
  <c r="N2825" i="2"/>
  <c r="N2813" i="2"/>
  <c r="N2801" i="2"/>
  <c r="N2789" i="2"/>
  <c r="N2777" i="2"/>
  <c r="N2765" i="2"/>
  <c r="N2753" i="2"/>
  <c r="N2741" i="2"/>
  <c r="N2729" i="2"/>
  <c r="N2717" i="2"/>
  <c r="N2705" i="2"/>
  <c r="N2693" i="2"/>
  <c r="N2681" i="2"/>
  <c r="N2669" i="2"/>
  <c r="N2657" i="2"/>
  <c r="N2645" i="2"/>
  <c r="N2633" i="2"/>
  <c r="N2621" i="2"/>
  <c r="N2609" i="2"/>
  <c r="N2597" i="2"/>
  <c r="N2585" i="2"/>
  <c r="N2573" i="2"/>
  <c r="N2561" i="2"/>
  <c r="N2549" i="2"/>
  <c r="N2537" i="2"/>
  <c r="N2513" i="2"/>
  <c r="N2501" i="2"/>
  <c r="N2453" i="2"/>
  <c r="N2441" i="2"/>
  <c r="N1937" i="2"/>
  <c r="N1871" i="2"/>
  <c r="N1839" i="2"/>
  <c r="N1817" i="2"/>
  <c r="N1805" i="2"/>
  <c r="N1795" i="2"/>
  <c r="N1792" i="2"/>
  <c r="N1780" i="2"/>
  <c r="N1760" i="2"/>
  <c r="N1748" i="2"/>
  <c r="N1736" i="2"/>
  <c r="N1724" i="2"/>
  <c r="N1712" i="2"/>
  <c r="N1700" i="2"/>
  <c r="N1688" i="2"/>
  <c r="N1676" i="2"/>
  <c r="N1664" i="2"/>
  <c r="N1652" i="2"/>
  <c r="N1640" i="2"/>
  <c r="N1628" i="2"/>
  <c r="N1616" i="2"/>
  <c r="N1604" i="2"/>
  <c r="N1592" i="2"/>
  <c r="N1580" i="2"/>
  <c r="N1568" i="2"/>
  <c r="N1556" i="2"/>
  <c r="N1544" i="2"/>
  <c r="N1532" i="2"/>
  <c r="N1520" i="2"/>
  <c r="N1508" i="2"/>
  <c r="N1496" i="2"/>
  <c r="N1484" i="2"/>
  <c r="P7623" i="2"/>
  <c r="P7700" i="2"/>
  <c r="P7706" i="2"/>
  <c r="N591" i="2"/>
  <c r="N579" i="2"/>
  <c r="N567" i="2"/>
  <c r="N555" i="2"/>
  <c r="N543" i="2"/>
  <c r="N531" i="2"/>
  <c r="N519" i="2"/>
  <c r="N507" i="2"/>
  <c r="N495" i="2"/>
  <c r="N483" i="2"/>
  <c r="N471" i="2"/>
  <c r="N459" i="2"/>
  <c r="N447" i="2"/>
  <c r="N435" i="2"/>
  <c r="N423" i="2"/>
  <c r="N411" i="2"/>
  <c r="N399" i="2"/>
  <c r="N387" i="2"/>
  <c r="N375" i="2"/>
  <c r="N363" i="2"/>
  <c r="N351" i="2"/>
  <c r="N339" i="2"/>
  <c r="N327" i="2"/>
  <c r="N315" i="2"/>
  <c r="N303" i="2"/>
  <c r="N291" i="2"/>
  <c r="N279" i="2"/>
  <c r="N267" i="2"/>
  <c r="N255" i="2"/>
  <c r="N243" i="2"/>
  <c r="N231" i="2"/>
  <c r="N219" i="2"/>
  <c r="N207" i="2"/>
  <c r="N195" i="2"/>
  <c r="N183" i="2"/>
  <c r="N171" i="2"/>
  <c r="N159" i="2"/>
  <c r="N147" i="2"/>
  <c r="N135" i="2"/>
  <c r="N123" i="2"/>
  <c r="N111" i="2"/>
  <c r="N99" i="2"/>
  <c r="N87" i="2"/>
  <c r="N75" i="2"/>
  <c r="N63" i="2"/>
  <c r="N51" i="2"/>
  <c r="N39" i="2"/>
  <c r="N27" i="2"/>
  <c r="N15" i="2"/>
  <c r="N3" i="2"/>
  <c r="N1802" i="2"/>
  <c r="N1750" i="2"/>
  <c r="N511" i="2"/>
  <c r="N499" i="2"/>
  <c r="N127" i="2"/>
  <c r="N31" i="2"/>
  <c r="N19" i="2"/>
  <c r="N3035" i="2"/>
  <c r="N3023" i="2"/>
  <c r="N3011" i="2"/>
  <c r="N2999" i="2"/>
  <c r="N2987" i="2"/>
  <c r="N2975" i="2"/>
  <c r="N2963" i="2"/>
  <c r="N2951" i="2"/>
  <c r="N2939" i="2"/>
  <c r="N2927" i="2"/>
  <c r="N2915" i="2"/>
  <c r="N2903" i="2"/>
  <c r="N2891" i="2"/>
  <c r="N2879" i="2"/>
  <c r="N2867" i="2"/>
  <c r="N2855" i="2"/>
  <c r="N2843" i="2"/>
  <c r="N2831" i="2"/>
  <c r="N2819" i="2"/>
  <c r="N2807" i="2"/>
  <c r="N2795" i="2"/>
  <c r="N2783" i="2"/>
  <c r="N2771" i="2"/>
  <c r="N2759" i="2"/>
  <c r="N2747" i="2"/>
  <c r="N2735" i="2"/>
  <c r="N2723" i="2"/>
  <c r="N2711" i="2"/>
  <c r="N2699" i="2"/>
  <c r="N2687" i="2"/>
  <c r="N2675" i="2"/>
  <c r="N2663" i="2"/>
  <c r="N2651" i="2"/>
  <c r="N2639" i="2"/>
  <c r="N2627" i="2"/>
  <c r="N2615" i="2"/>
  <c r="N2603" i="2"/>
  <c r="N2591" i="2"/>
  <c r="N86" i="2"/>
  <c r="N62" i="2"/>
  <c r="N38" i="2"/>
  <c r="N26" i="2"/>
  <c r="N14" i="2"/>
  <c r="P7711" i="2"/>
  <c r="N2905" i="2"/>
  <c r="N2893" i="2"/>
  <c r="N2881" i="2"/>
  <c r="N2869" i="2"/>
  <c r="N2857" i="2"/>
  <c r="N2845" i="2"/>
  <c r="N2833" i="2"/>
  <c r="N2821" i="2"/>
  <c r="N2809" i="2"/>
  <c r="N2797" i="2"/>
  <c r="N2785" i="2"/>
  <c r="N2773" i="2"/>
  <c r="N2761" i="2"/>
  <c r="N2749" i="2"/>
  <c r="N2737" i="2"/>
  <c r="N2725" i="2"/>
  <c r="N2713" i="2"/>
  <c r="N2701" i="2"/>
  <c r="N2689" i="2"/>
  <c r="N2677" i="2"/>
  <c r="N2665" i="2"/>
  <c r="N2653" i="2"/>
  <c r="N2641" i="2"/>
  <c r="N2629" i="2"/>
  <c r="N2617" i="2"/>
  <c r="N2605" i="2"/>
  <c r="N2593" i="2"/>
  <c r="N2581" i="2"/>
  <c r="N1967" i="2"/>
  <c r="N1955" i="2"/>
  <c r="N1945" i="2"/>
  <c r="N1933" i="2"/>
  <c r="N1923" i="2"/>
  <c r="N1911" i="2"/>
  <c r="N1899" i="2"/>
  <c r="N3063" i="2"/>
  <c r="N3051" i="2"/>
  <c r="N3039" i="2"/>
  <c r="N3027" i="2"/>
  <c r="N3015" i="2"/>
  <c r="N3003" i="2"/>
  <c r="N2991" i="2"/>
  <c r="N2979" i="2"/>
  <c r="N2967" i="2"/>
  <c r="N2955" i="2"/>
  <c r="N2943" i="2"/>
  <c r="N2931" i="2"/>
  <c r="N2919" i="2"/>
  <c r="N2907" i="2"/>
  <c r="N2895" i="2"/>
  <c r="N2883" i="2"/>
  <c r="N2871" i="2"/>
  <c r="N2859" i="2"/>
  <c r="N2847" i="2"/>
  <c r="N2835" i="2"/>
  <c r="N2823" i="2"/>
  <c r="N2811" i="2"/>
  <c r="N2799" i="2"/>
  <c r="N2787" i="2"/>
  <c r="N2775" i="2"/>
  <c r="N2763" i="2"/>
  <c r="N2751" i="2"/>
  <c r="N2739" i="2"/>
  <c r="N2727" i="2"/>
  <c r="N2715" i="2"/>
  <c r="N2703" i="2"/>
  <c r="N2691" i="2"/>
  <c r="N2679" i="2"/>
  <c r="N2667" i="2"/>
  <c r="N2655" i="2"/>
  <c r="N2643" i="2"/>
  <c r="N2631" i="2"/>
  <c r="N2619" i="2"/>
  <c r="N2607" i="2"/>
  <c r="N2595" i="2"/>
  <c r="N2583" i="2"/>
  <c r="N2571" i="2"/>
  <c r="N2559" i="2"/>
  <c r="N2547" i="2"/>
  <c r="N2535" i="2"/>
  <c r="N2523" i="2"/>
  <c r="N2511" i="2"/>
  <c r="N2499" i="2"/>
  <c r="N2487" i="2"/>
  <c r="N2475" i="2"/>
  <c r="N2463" i="2"/>
  <c r="N2451" i="2"/>
  <c r="N2439" i="2"/>
  <c r="N2427" i="2"/>
  <c r="N2415" i="2"/>
  <c r="N2403" i="2"/>
  <c r="N2391" i="2"/>
  <c r="N2379" i="2"/>
  <c r="N2367" i="2"/>
  <c r="N2355" i="2"/>
  <c r="N2343" i="2"/>
  <c r="N2331" i="2"/>
  <c r="N2319" i="2"/>
  <c r="N2307" i="2"/>
  <c r="N2295" i="2"/>
  <c r="N2283" i="2"/>
  <c r="N2271" i="2"/>
  <c r="N2259" i="2"/>
  <c r="N2247" i="2"/>
  <c r="N2235" i="2"/>
  <c r="N2223" i="2"/>
  <c r="N2211" i="2"/>
  <c r="N2199" i="2"/>
  <c r="N2187" i="2"/>
  <c r="N2175" i="2"/>
  <c r="N2163" i="2"/>
  <c r="N2151" i="2"/>
  <c r="N2139" i="2"/>
  <c r="N2127" i="2"/>
  <c r="N2115" i="2"/>
  <c r="N2103" i="2"/>
  <c r="N2091" i="2"/>
  <c r="N2079" i="2"/>
  <c r="N2067" i="2"/>
  <c r="N2055" i="2"/>
  <c r="N7612" i="2"/>
  <c r="N7619" i="2"/>
  <c r="N7607" i="2"/>
  <c r="N7595" i="2"/>
  <c r="N7583" i="2"/>
  <c r="N7571" i="2"/>
  <c r="N7559" i="2"/>
  <c r="N7547" i="2"/>
  <c r="N7535" i="2"/>
  <c r="N7523" i="2"/>
  <c r="N7511" i="2"/>
  <c r="N7561" i="2"/>
  <c r="N7549" i="2"/>
  <c r="N7537" i="2"/>
  <c r="N7525" i="2"/>
  <c r="N7513" i="2"/>
  <c r="N7611" i="2"/>
  <c r="N7618" i="2"/>
  <c r="N7606" i="2"/>
  <c r="N7594" i="2"/>
  <c r="N7582" i="2"/>
  <c r="N7570" i="2"/>
  <c r="N7558" i="2"/>
  <c r="N7546" i="2"/>
  <c r="N7534" i="2"/>
  <c r="N7522" i="2"/>
  <c r="N7510" i="2"/>
  <c r="N7498" i="2"/>
  <c r="N7600" i="2"/>
  <c r="N7588" i="2"/>
  <c r="N7576" i="2"/>
  <c r="N7564" i="2"/>
  <c r="N7552" i="2"/>
  <c r="N7540" i="2"/>
  <c r="N7528" i="2"/>
  <c r="N7516" i="2"/>
  <c r="N7504" i="2"/>
  <c r="N7492" i="2"/>
  <c r="N7480" i="2"/>
  <c r="N7468" i="2"/>
  <c r="N7456" i="2"/>
  <c r="N7444" i="2"/>
  <c r="N7432" i="2"/>
  <c r="N7420" i="2"/>
  <c r="N7408" i="2"/>
  <c r="N7396" i="2"/>
  <c r="N7384" i="2"/>
  <c r="N7372" i="2"/>
  <c r="N7360" i="2"/>
  <c r="N7348" i="2"/>
  <c r="N7336" i="2"/>
  <c r="N7324" i="2"/>
  <c r="N7312" i="2"/>
  <c r="N7300" i="2"/>
  <c r="N7288" i="2"/>
  <c r="N7276" i="2"/>
  <c r="N7264" i="2"/>
  <c r="N7252" i="2"/>
  <c r="N7240" i="2"/>
  <c r="N7228" i="2"/>
  <c r="N7216" i="2"/>
  <c r="N7204" i="2"/>
  <c r="N7192" i="2"/>
  <c r="N7180" i="2"/>
  <c r="N7168" i="2"/>
  <c r="N7156" i="2"/>
  <c r="N7144" i="2"/>
  <c r="N7132" i="2"/>
  <c r="N7120" i="2"/>
  <c r="N7108" i="2"/>
  <c r="N7096" i="2"/>
  <c r="N7084" i="2"/>
  <c r="N7072" i="2"/>
  <c r="N7060" i="2"/>
  <c r="N7048" i="2"/>
  <c r="N7036" i="2"/>
  <c r="N7024" i="2"/>
  <c r="N7012" i="2"/>
  <c r="N7000" i="2"/>
  <c r="N6988" i="2"/>
  <c r="N6976" i="2"/>
  <c r="N6964" i="2"/>
  <c r="N6952" i="2"/>
  <c r="N6940" i="2"/>
  <c r="N6928" i="2"/>
  <c r="N6916" i="2"/>
  <c r="N6904" i="2"/>
  <c r="N6892" i="2"/>
  <c r="N6880" i="2"/>
  <c r="N6868" i="2"/>
  <c r="N6856" i="2"/>
  <c r="N6844" i="2"/>
  <c r="N6832" i="2"/>
  <c r="N6820" i="2"/>
  <c r="N6808" i="2"/>
  <c r="N6796" i="2"/>
  <c r="N6779" i="2"/>
  <c r="N6767" i="2"/>
  <c r="N6755" i="2"/>
  <c r="N6743" i="2"/>
  <c r="N7499" i="2"/>
  <c r="N7487" i="2"/>
  <c r="N7475" i="2"/>
  <c r="N7463" i="2"/>
  <c r="N7451" i="2"/>
  <c r="N7439" i="2"/>
  <c r="N7427" i="2"/>
  <c r="N7415" i="2"/>
  <c r="N7403" i="2"/>
  <c r="N7391" i="2"/>
  <c r="N7379" i="2"/>
  <c r="N7367" i="2"/>
  <c r="N7355" i="2"/>
  <c r="N7343" i="2"/>
  <c r="N7331" i="2"/>
  <c r="N7319" i="2"/>
  <c r="N7307" i="2"/>
  <c r="N7295" i="2"/>
  <c r="N7283" i="2"/>
  <c r="N7271" i="2"/>
  <c r="N7259" i="2"/>
  <c r="N7247" i="2"/>
  <c r="N7235" i="2"/>
  <c r="N7223" i="2"/>
  <c r="N7211" i="2"/>
  <c r="N7199" i="2"/>
  <c r="N7187" i="2"/>
  <c r="N7175" i="2"/>
  <c r="N7163" i="2"/>
  <c r="N7151" i="2"/>
  <c r="N7139" i="2"/>
  <c r="N7127" i="2"/>
  <c r="N7115" i="2"/>
  <c r="N7103" i="2"/>
  <c r="N7091" i="2"/>
  <c r="N7079" i="2"/>
  <c r="N7067" i="2"/>
  <c r="N7055" i="2"/>
  <c r="N7043" i="2"/>
  <c r="N7031" i="2"/>
  <c r="N7019" i="2"/>
  <c r="N7007" i="2"/>
  <c r="N6995" i="2"/>
  <c r="N6983" i="2"/>
  <c r="N6971" i="2"/>
  <c r="N6959" i="2"/>
  <c r="N6947" i="2"/>
  <c r="N6935" i="2"/>
  <c r="N6923" i="2"/>
  <c r="N6911" i="2"/>
  <c r="N6899" i="2"/>
  <c r="N6887" i="2"/>
  <c r="N6875" i="2"/>
  <c r="N6863" i="2"/>
  <c r="N6851" i="2"/>
  <c r="N6839" i="2"/>
  <c r="N6827" i="2"/>
  <c r="N6815" i="2"/>
  <c r="N6803" i="2"/>
  <c r="N6791" i="2"/>
  <c r="N6786" i="2"/>
  <c r="N6774" i="2"/>
  <c r="N6762" i="2"/>
  <c r="N6750" i="2"/>
  <c r="N6738" i="2"/>
  <c r="N6726" i="2"/>
  <c r="N6714" i="2"/>
  <c r="N6702" i="2"/>
  <c r="N6690" i="2"/>
  <c r="N6678" i="2"/>
  <c r="N6666" i="2"/>
  <c r="N6654" i="2"/>
  <c r="N6642" i="2"/>
  <c r="N6630" i="2"/>
  <c r="N6618" i="2"/>
  <c r="N6606" i="2"/>
  <c r="N6594" i="2"/>
  <c r="N6582" i="2"/>
  <c r="N7501" i="2"/>
  <c r="N7489" i="2"/>
  <c r="N7477" i="2"/>
  <c r="N7465" i="2"/>
  <c r="N7453" i="2"/>
  <c r="N7441" i="2"/>
  <c r="N7429" i="2"/>
  <c r="N7417" i="2"/>
  <c r="N7405" i="2"/>
  <c r="N7393" i="2"/>
  <c r="N7381" i="2"/>
  <c r="N7369" i="2"/>
  <c r="N7357" i="2"/>
  <c r="N7345" i="2"/>
  <c r="N7333" i="2"/>
  <c r="N7321" i="2"/>
  <c r="N7309" i="2"/>
  <c r="N7297" i="2"/>
  <c r="N7285" i="2"/>
  <c r="N7273" i="2"/>
  <c r="N7261" i="2"/>
  <c r="N7249" i="2"/>
  <c r="N7237" i="2"/>
  <c r="N7225" i="2"/>
  <c r="N7213" i="2"/>
  <c r="N7201" i="2"/>
  <c r="N7189" i="2"/>
  <c r="N7177" i="2"/>
  <c r="N7165" i="2"/>
  <c r="N7153" i="2"/>
  <c r="N7141" i="2"/>
  <c r="N6524" i="2"/>
  <c r="N7599" i="2"/>
  <c r="N7587" i="2"/>
  <c r="N7575" i="2"/>
  <c r="N7563" i="2"/>
  <c r="N7551" i="2"/>
  <c r="N7539" i="2"/>
  <c r="N7527" i="2"/>
  <c r="N7515" i="2"/>
  <c r="N7503" i="2"/>
  <c r="N7491" i="2"/>
  <c r="N7479" i="2"/>
  <c r="N7467" i="2"/>
  <c r="N7455" i="2"/>
  <c r="N7443" i="2"/>
  <c r="N7431" i="2"/>
  <c r="N7419" i="2"/>
  <c r="N7407" i="2"/>
  <c r="N7395" i="2"/>
  <c r="N7383" i="2"/>
  <c r="N7371" i="2"/>
  <c r="N7359" i="2"/>
  <c r="N7347" i="2"/>
  <c r="N7335" i="2"/>
  <c r="N7323" i="2"/>
  <c r="N7311" i="2"/>
  <c r="N7299" i="2"/>
  <c r="N7287" i="2"/>
  <c r="N7275" i="2"/>
  <c r="N7263" i="2"/>
  <c r="N7251" i="2"/>
  <c r="N7239" i="2"/>
  <c r="N7227" i="2"/>
  <c r="N7215" i="2"/>
  <c r="N7203" i="2"/>
  <c r="N7191" i="2"/>
  <c r="N7179" i="2"/>
  <c r="N7167" i="2"/>
  <c r="N7155" i="2"/>
  <c r="N7143" i="2"/>
  <c r="N7131" i="2"/>
  <c r="N7119" i="2"/>
  <c r="N7107" i="2"/>
  <c r="N7095" i="2"/>
  <c r="N7083" i="2"/>
  <c r="N7071" i="2"/>
  <c r="N7059" i="2"/>
  <c r="N7047" i="2"/>
  <c r="N7035" i="2"/>
  <c r="N7023" i="2"/>
  <c r="N7011" i="2"/>
  <c r="N6999" i="2"/>
  <c r="N6987" i="2"/>
  <c r="N6975" i="2"/>
  <c r="N6963" i="2"/>
  <c r="N6951" i="2"/>
  <c r="N6939" i="2"/>
  <c r="N6927" i="2"/>
  <c r="N6915" i="2"/>
  <c r="N6903" i="2"/>
  <c r="N6891" i="2"/>
  <c r="N6879" i="2"/>
  <c r="N6867" i="2"/>
  <c r="N6855" i="2"/>
  <c r="N6843" i="2"/>
  <c r="N6831" i="2"/>
  <c r="N6819" i="2"/>
  <c r="N6807" i="2"/>
  <c r="N6795" i="2"/>
  <c r="N6778" i="2"/>
  <c r="N6766" i="2"/>
  <c r="N6754" i="2"/>
  <c r="N6742" i="2"/>
  <c r="N6730" i="2"/>
  <c r="N6718" i="2"/>
  <c r="N6706" i="2"/>
  <c r="N6694" i="2"/>
  <c r="N6682" i="2"/>
  <c r="N6670" i="2"/>
  <c r="N6658" i="2"/>
  <c r="N6646" i="2"/>
  <c r="N6634" i="2"/>
  <c r="N6622" i="2"/>
  <c r="N6610" i="2"/>
  <c r="N6598" i="2"/>
  <c r="N6586" i="2"/>
  <c r="N7486" i="2"/>
  <c r="N7474" i="2"/>
  <c r="N7462" i="2"/>
  <c r="N7450" i="2"/>
  <c r="N7438" i="2"/>
  <c r="N7426" i="2"/>
  <c r="N7414" i="2"/>
  <c r="N7402" i="2"/>
  <c r="N7390" i="2"/>
  <c r="N7378" i="2"/>
  <c r="N7366" i="2"/>
  <c r="N7354" i="2"/>
  <c r="N7342" i="2"/>
  <c r="N7330" i="2"/>
  <c r="N7318" i="2"/>
  <c r="N7306" i="2"/>
  <c r="N7294" i="2"/>
  <c r="N7282" i="2"/>
  <c r="N7270" i="2"/>
  <c r="N7258" i="2"/>
  <c r="N7246" i="2"/>
  <c r="N7234" i="2"/>
  <c r="N7222" i="2"/>
  <c r="N7210" i="2"/>
  <c r="N7198" i="2"/>
  <c r="N7186" i="2"/>
  <c r="N7174" i="2"/>
  <c r="N7162" i="2"/>
  <c r="N7150" i="2"/>
  <c r="N7138" i="2"/>
  <c r="N7126" i="2"/>
  <c r="N7114" i="2"/>
  <c r="N7102" i="2"/>
  <c r="N7090" i="2"/>
  <c r="N7078" i="2"/>
  <c r="N7066" i="2"/>
  <c r="N7054" i="2"/>
  <c r="N7042" i="2"/>
  <c r="N7030" i="2"/>
  <c r="N7018" i="2"/>
  <c r="N7006" i="2"/>
  <c r="N6994" i="2"/>
  <c r="N6982" i="2"/>
  <c r="N6970" i="2"/>
  <c r="N6958" i="2"/>
  <c r="N6946" i="2"/>
  <c r="N6934" i="2"/>
  <c r="N6922" i="2"/>
  <c r="N6910" i="2"/>
  <c r="N6898" i="2"/>
  <c r="N6886" i="2"/>
  <c r="N6874" i="2"/>
  <c r="N6862" i="2"/>
  <c r="N6850" i="2"/>
  <c r="N6838" i="2"/>
  <c r="N6826" i="2"/>
  <c r="N6814" i="2"/>
  <c r="N6802" i="2"/>
  <c r="N6790" i="2"/>
  <c r="N6785" i="2"/>
  <c r="N6773" i="2"/>
  <c r="N6761" i="2"/>
  <c r="N6749" i="2"/>
  <c r="N6737" i="2"/>
  <c r="N6725" i="2"/>
  <c r="N6713" i="2"/>
  <c r="N6701" i="2"/>
  <c r="N6689" i="2"/>
  <c r="N6677" i="2"/>
  <c r="N6665" i="2"/>
  <c r="N6653" i="2"/>
  <c r="N6641" i="2"/>
  <c r="N6629" i="2"/>
  <c r="N6617" i="2"/>
  <c r="N6605" i="2"/>
  <c r="N6593" i="2"/>
  <c r="N5362" i="2"/>
  <c r="N5350" i="2"/>
  <c r="N5338" i="2"/>
  <c r="N5326" i="2"/>
  <c r="N5314" i="2"/>
  <c r="N5302" i="2"/>
  <c r="N5290" i="2"/>
  <c r="N5278" i="2"/>
  <c r="N5266" i="2"/>
  <c r="N5254" i="2"/>
  <c r="N5242" i="2"/>
  <c r="N5230" i="2"/>
  <c r="N5218" i="2"/>
  <c r="N5206" i="2"/>
  <c r="N5194" i="2"/>
  <c r="N5182" i="2"/>
  <c r="N5170" i="2"/>
  <c r="N6570" i="2"/>
  <c r="N6558" i="2"/>
  <c r="N6546" i="2"/>
  <c r="N6534" i="2"/>
  <c r="N6517" i="2"/>
  <c r="N6505" i="2"/>
  <c r="N6493" i="2"/>
  <c r="N6481" i="2"/>
  <c r="N6469" i="2"/>
  <c r="N6457" i="2"/>
  <c r="N6445" i="2"/>
  <c r="N6433" i="2"/>
  <c r="N6421" i="2"/>
  <c r="N6411" i="2"/>
  <c r="N6399" i="2"/>
  <c r="N6377" i="2"/>
  <c r="N6365" i="2"/>
  <c r="N6353" i="2"/>
  <c r="N6341" i="2"/>
  <c r="N6329" i="2"/>
  <c r="N6317" i="2"/>
  <c r="N6305" i="2"/>
  <c r="N6293" i="2"/>
  <c r="N6281" i="2"/>
  <c r="N6269" i="2"/>
  <c r="N6257" i="2"/>
  <c r="N6245" i="2"/>
  <c r="N6233" i="2"/>
  <c r="N6221" i="2"/>
  <c r="N6209" i="2"/>
  <c r="N6197" i="2"/>
  <c r="N6185" i="2"/>
  <c r="N6173" i="2"/>
  <c r="N6161" i="2"/>
  <c r="N6149" i="2"/>
  <c r="N6137" i="2"/>
  <c r="N6125" i="2"/>
  <c r="N6113" i="2"/>
  <c r="N6101" i="2"/>
  <c r="N6089" i="2"/>
  <c r="N6077" i="2"/>
  <c r="N6065" i="2"/>
  <c r="N6053" i="2"/>
  <c r="N6041" i="2"/>
  <c r="N6029" i="2"/>
  <c r="N6017" i="2"/>
  <c r="N6005" i="2"/>
  <c r="N5993" i="2"/>
  <c r="N5981" i="2"/>
  <c r="N5969" i="2"/>
  <c r="N5957" i="2"/>
  <c r="N5945" i="2"/>
  <c r="N5933" i="2"/>
  <c r="N5921" i="2"/>
  <c r="N5909" i="2"/>
  <c r="N5897" i="2"/>
  <c r="N5885" i="2"/>
  <c r="N5873" i="2"/>
  <c r="N5861" i="2"/>
  <c r="N5849" i="2"/>
  <c r="N5837" i="2"/>
  <c r="N5825" i="2"/>
  <c r="N5813" i="2"/>
  <c r="N5801" i="2"/>
  <c r="N5789" i="2"/>
  <c r="N5777" i="2"/>
  <c r="N5765" i="2"/>
  <c r="N5753" i="2"/>
  <c r="N5741" i="2"/>
  <c r="N5729" i="2"/>
  <c r="N5717" i="2"/>
  <c r="N5705" i="2"/>
  <c r="N5693" i="2"/>
  <c r="N5681" i="2"/>
  <c r="N5669" i="2"/>
  <c r="N5657" i="2"/>
  <c r="N5645" i="2"/>
  <c r="N5633" i="2"/>
  <c r="N5621" i="2"/>
  <c r="N5609" i="2"/>
  <c r="N5597" i="2"/>
  <c r="N5585" i="2"/>
  <c r="N5573" i="2"/>
  <c r="N5561" i="2"/>
  <c r="N5549" i="2"/>
  <c r="N6574" i="2"/>
  <c r="N6562" i="2"/>
  <c r="N6550" i="2"/>
  <c r="N6538" i="2"/>
  <c r="N6526" i="2"/>
  <c r="N6521" i="2"/>
  <c r="N6333" i="2"/>
  <c r="N6309" i="2"/>
  <c r="N6297" i="2"/>
  <c r="N6249" i="2"/>
  <c r="N6237" i="2"/>
  <c r="N6213" i="2"/>
  <c r="N6201" i="2"/>
  <c r="N6189" i="2"/>
  <c r="N6177" i="2"/>
  <c r="N6165" i="2"/>
  <c r="N6153" i="2"/>
  <c r="N6141" i="2"/>
  <c r="N6129" i="2"/>
  <c r="N6117" i="2"/>
  <c r="N6105" i="2"/>
  <c r="N6093" i="2"/>
  <c r="N6081" i="2"/>
  <c r="N6069" i="2"/>
  <c r="N6057" i="2"/>
  <c r="N6045" i="2"/>
  <c r="N6581" i="2"/>
  <c r="N6569" i="2"/>
  <c r="N6557" i="2"/>
  <c r="N6545" i="2"/>
  <c r="N6533" i="2"/>
  <c r="N6516" i="2"/>
  <c r="N6504" i="2"/>
  <c r="N6492" i="2"/>
  <c r="N6480" i="2"/>
  <c r="N6468" i="2"/>
  <c r="N6456" i="2"/>
  <c r="N6444" i="2"/>
  <c r="N6432" i="2"/>
  <c r="N6420" i="2"/>
  <c r="N5039" i="2"/>
  <c r="N5027" i="2"/>
  <c r="N5015" i="2"/>
  <c r="N5003" i="2"/>
  <c r="N4991" i="2"/>
  <c r="N4979" i="2"/>
  <c r="N4967" i="2"/>
  <c r="N4510" i="2"/>
  <c r="N4498" i="2"/>
  <c r="N4486" i="2"/>
  <c r="N4474" i="2"/>
  <c r="N4462" i="2"/>
  <c r="N4450" i="2"/>
  <c r="N4438" i="2"/>
  <c r="N4426" i="2"/>
  <c r="N4414" i="2"/>
  <c r="N4402" i="2"/>
  <c r="N4390" i="2"/>
  <c r="N4378" i="2"/>
  <c r="N4366" i="2"/>
  <c r="N4354" i="2"/>
  <c r="N4342" i="2"/>
  <c r="N4330" i="2"/>
  <c r="N4318" i="2"/>
  <c r="N4306" i="2"/>
  <c r="N4294" i="2"/>
  <c r="N4282" i="2"/>
  <c r="N4270" i="2"/>
  <c r="N4258" i="2"/>
  <c r="N4246" i="2"/>
  <c r="N4234" i="2"/>
  <c r="N4222" i="2"/>
  <c r="N4210" i="2"/>
  <c r="N4198" i="2"/>
  <c r="N4186" i="2"/>
  <c r="N4174" i="2"/>
  <c r="N4162" i="2"/>
  <c r="N4150" i="2"/>
  <c r="N4138" i="2"/>
  <c r="N4126" i="2"/>
  <c r="N4114" i="2"/>
  <c r="N4102" i="2"/>
  <c r="N4090" i="2"/>
  <c r="N4078" i="2"/>
  <c r="N4066" i="2"/>
  <c r="N4054" i="2"/>
  <c r="N4560" i="2"/>
  <c r="N4536" i="2"/>
  <c r="N4524" i="2"/>
  <c r="N4512" i="2"/>
  <c r="N4500" i="2"/>
  <c r="N4488" i="2"/>
  <c r="N4476" i="2"/>
  <c r="N4464" i="2"/>
  <c r="N4452" i="2"/>
  <c r="N4440" i="2"/>
  <c r="N4428" i="2"/>
  <c r="N4416" i="2"/>
  <c r="N4404" i="2"/>
  <c r="N4392" i="2"/>
  <c r="N4380" i="2"/>
  <c r="N4368" i="2"/>
  <c r="N4356" i="2"/>
  <c r="N4344" i="2"/>
  <c r="N4332" i="2"/>
  <c r="N4320" i="2"/>
  <c r="N4308" i="2"/>
  <c r="N4296" i="2"/>
  <c r="N4284" i="2"/>
  <c r="N4272" i="2"/>
  <c r="N4260" i="2"/>
  <c r="N4248" i="2"/>
  <c r="N4236" i="2"/>
  <c r="N4224" i="2"/>
  <c r="N4212" i="2"/>
  <c r="N4200" i="2"/>
  <c r="N4188" i="2"/>
  <c r="N4176" i="2"/>
  <c r="N4164" i="2"/>
  <c r="N4152" i="2"/>
  <c r="N4140" i="2"/>
  <c r="N4128" i="2"/>
  <c r="N4116" i="2"/>
  <c r="N4104" i="2"/>
  <c r="N4092" i="2"/>
  <c r="N4080" i="2"/>
  <c r="N4068" i="2"/>
  <c r="N4056" i="2"/>
  <c r="N4044" i="2"/>
  <c r="N4032" i="2"/>
  <c r="N4020" i="2"/>
  <c r="N4008" i="2"/>
  <c r="N3996" i="2"/>
  <c r="N4955" i="2"/>
  <c r="N4943" i="2"/>
  <c r="N4931" i="2"/>
  <c r="N4919" i="2"/>
  <c r="N4907" i="2"/>
  <c r="N4895" i="2"/>
  <c r="N4883" i="2"/>
  <c r="N4871" i="2"/>
  <c r="N4859" i="2"/>
  <c r="N4847" i="2"/>
  <c r="N4835" i="2"/>
  <c r="N4823" i="2"/>
  <c r="N4811" i="2"/>
  <c r="N4799" i="2"/>
  <c r="N4787" i="2"/>
  <c r="N4775" i="2"/>
  <c r="N4763" i="2"/>
  <c r="N4751" i="2"/>
  <c r="N4739" i="2"/>
  <c r="N4727" i="2"/>
  <c r="N4715" i="2"/>
  <c r="N4703" i="2"/>
  <c r="N4691" i="2"/>
  <c r="N4679" i="2"/>
  <c r="N4667" i="2"/>
  <c r="N4655" i="2"/>
  <c r="N4643" i="2"/>
  <c r="N4631" i="2"/>
  <c r="N4619" i="2"/>
  <c r="N4607" i="2"/>
  <c r="N4595" i="2"/>
  <c r="N4583" i="2"/>
  <c r="N4571" i="2"/>
  <c r="N4559" i="2"/>
  <c r="N4547" i="2"/>
  <c r="N4535" i="2"/>
  <c r="N4523" i="2"/>
  <c r="N4511" i="2"/>
  <c r="N4499" i="2"/>
  <c r="N4487" i="2"/>
  <c r="N4475" i="2"/>
  <c r="N4463" i="2"/>
  <c r="N4451" i="2"/>
  <c r="N4439" i="2"/>
  <c r="N4427" i="2"/>
  <c r="N4415" i="2"/>
  <c r="N4403" i="2"/>
  <c r="N4391" i="2"/>
  <c r="N4379" i="2"/>
  <c r="N4367" i="2"/>
  <c r="N4355" i="2"/>
  <c r="N4343" i="2"/>
  <c r="N4331" i="2"/>
  <c r="N4319" i="2"/>
  <c r="N4307" i="2"/>
  <c r="N4295" i="2"/>
  <c r="N4283" i="2"/>
  <c r="N4271" i="2"/>
  <c r="N4259" i="2"/>
  <c r="N4247" i="2"/>
  <c r="N4235" i="2"/>
  <c r="N4223" i="2"/>
  <c r="N4211" i="2"/>
  <c r="N4199" i="2"/>
  <c r="N4187" i="2"/>
  <c r="N4175" i="2"/>
  <c r="N4163" i="2"/>
  <c r="N4151" i="2"/>
  <c r="N4139" i="2"/>
  <c r="N4127" i="2"/>
  <c r="N4115" i="2"/>
  <c r="N4103" i="2"/>
  <c r="N4091" i="2"/>
  <c r="N4079" i="2"/>
  <c r="N4067" i="2"/>
  <c r="N4055" i="2"/>
  <c r="N4043" i="2"/>
  <c r="N4031" i="2"/>
  <c r="N4019" i="2"/>
  <c r="N4007" i="2"/>
  <c r="N3995" i="2"/>
  <c r="N3983" i="2"/>
  <c r="N3971" i="2"/>
  <c r="N3959" i="2"/>
  <c r="N3947" i="2"/>
  <c r="N4042" i="2"/>
  <c r="N4030" i="2"/>
  <c r="N4018" i="2"/>
  <c r="N4006" i="2"/>
  <c r="N3994" i="2"/>
  <c r="N3982" i="2"/>
  <c r="N3970" i="2"/>
  <c r="N3958" i="2"/>
  <c r="N2215" i="2"/>
  <c r="N2203" i="2"/>
  <c r="N2191" i="2"/>
  <c r="N2179" i="2"/>
  <c r="N2167" i="2"/>
  <c r="N2155" i="2"/>
  <c r="N2143" i="2"/>
  <c r="N2131" i="2"/>
  <c r="N2119" i="2"/>
  <c r="N2107" i="2"/>
  <c r="N2095" i="2"/>
  <c r="N2083" i="2"/>
  <c r="N2071" i="2"/>
  <c r="N3984" i="2"/>
  <c r="N3972" i="2"/>
  <c r="N3960" i="2"/>
  <c r="N3948" i="2"/>
  <c r="N3936" i="2"/>
  <c r="N3924" i="2"/>
  <c r="N3912" i="2"/>
  <c r="N3900" i="2"/>
  <c r="N3888" i="2"/>
  <c r="N3876" i="2"/>
  <c r="N3864" i="2"/>
  <c r="N3852" i="2"/>
  <c r="N3840" i="2"/>
  <c r="N3828" i="2"/>
  <c r="N3816" i="2"/>
  <c r="N3804" i="2"/>
  <c r="N3792" i="2"/>
  <c r="N3780" i="2"/>
  <c r="N3768" i="2"/>
  <c r="N3756" i="2"/>
  <c r="N3744" i="2"/>
  <c r="N3732" i="2"/>
  <c r="N3720" i="2"/>
  <c r="N3708" i="2"/>
  <c r="N3696" i="2"/>
  <c r="N3684" i="2"/>
  <c r="N3672" i="2"/>
  <c r="N3660" i="2"/>
  <c r="N3648" i="2"/>
  <c r="N3631" i="2"/>
  <c r="N3621" i="2"/>
  <c r="N3609" i="2"/>
  <c r="N3597" i="2"/>
  <c r="N3585" i="2"/>
  <c r="N3573" i="2"/>
  <c r="N3561" i="2"/>
  <c r="N3549" i="2"/>
  <c r="N3537" i="2"/>
  <c r="N3525" i="2"/>
  <c r="N3513" i="2"/>
  <c r="N3501" i="2"/>
  <c r="N3489" i="2"/>
  <c r="N3477" i="2"/>
  <c r="N3465" i="2"/>
  <c r="N3453" i="2"/>
  <c r="N3441" i="2"/>
  <c r="N3429" i="2"/>
  <c r="N3417" i="2"/>
  <c r="N3405" i="2"/>
  <c r="N3393" i="2"/>
  <c r="N3381" i="2"/>
  <c r="N3369" i="2"/>
  <c r="N3357" i="2"/>
  <c r="N3345" i="2"/>
  <c r="N3333" i="2"/>
  <c r="N3321" i="2"/>
  <c r="N3309" i="2"/>
  <c r="N3297" i="2"/>
  <c r="N3285" i="2"/>
  <c r="N3273" i="2"/>
  <c r="N3261" i="2"/>
  <c r="N3249" i="2"/>
  <c r="N3237" i="2"/>
  <c r="N3225" i="2"/>
  <c r="N3213" i="2"/>
  <c r="N3201" i="2"/>
  <c r="N3189" i="2"/>
  <c r="N3177" i="2"/>
  <c r="N3165" i="2"/>
  <c r="N3153" i="2"/>
  <c r="N3141" i="2"/>
  <c r="N3129" i="2"/>
  <c r="N3117" i="2"/>
  <c r="N3105" i="2"/>
  <c r="N3093" i="2"/>
  <c r="N3081" i="2"/>
  <c r="N3069" i="2"/>
  <c r="N3057" i="2"/>
  <c r="N3045" i="2"/>
  <c r="N3033" i="2"/>
  <c r="N3021" i="2"/>
  <c r="N3009" i="2"/>
  <c r="N2997" i="2"/>
  <c r="N2985" i="2"/>
  <c r="N2973" i="2"/>
  <c r="N2961" i="2"/>
  <c r="N2949" i="2"/>
  <c r="N2937" i="2"/>
  <c r="N2925" i="2"/>
  <c r="N2913" i="2"/>
  <c r="N2901" i="2"/>
  <c r="N2889" i="2"/>
  <c r="N2877" i="2"/>
  <c r="N2865" i="2"/>
  <c r="N2853" i="2"/>
  <c r="N2841" i="2"/>
  <c r="N2829" i="2"/>
  <c r="N2817" i="2"/>
  <c r="N2805" i="2"/>
  <c r="N2793" i="2"/>
  <c r="N2781" i="2"/>
  <c r="N2769" i="2"/>
  <c r="N2757" i="2"/>
  <c r="N2745" i="2"/>
  <c r="N2733" i="2"/>
  <c r="N2721" i="2"/>
  <c r="N2709" i="2"/>
  <c r="N2697" i="2"/>
  <c r="N2685" i="2"/>
  <c r="N2673" i="2"/>
  <c r="N2661" i="2"/>
  <c r="N2649" i="2"/>
  <c r="N2637" i="2"/>
  <c r="N2625" i="2"/>
  <c r="N2613" i="2"/>
  <c r="N2601" i="2"/>
  <c r="N2589" i="2"/>
  <c r="N2577" i="2"/>
  <c r="N2565" i="2"/>
  <c r="N2553" i="2"/>
  <c r="N2541" i="2"/>
  <c r="N2529" i="2"/>
  <c r="N2517" i="2"/>
  <c r="N2505" i="2"/>
  <c r="N2493" i="2"/>
  <c r="N2481" i="2"/>
  <c r="N2469" i="2"/>
  <c r="N2457" i="2"/>
  <c r="N2445" i="2"/>
  <c r="N2433" i="2"/>
  <c r="N2421" i="2"/>
  <c r="N2409" i="2"/>
  <c r="N2397" i="2"/>
  <c r="N2385" i="2"/>
  <c r="N2373" i="2"/>
  <c r="N2361" i="2"/>
  <c r="N2349" i="2"/>
  <c r="N2337" i="2"/>
  <c r="N2325" i="2"/>
  <c r="N2313" i="2"/>
  <c r="N2301" i="2"/>
  <c r="N2289" i="2"/>
  <c r="N2277" i="2"/>
  <c r="N2265" i="2"/>
  <c r="N2253" i="2"/>
  <c r="N2241" i="2"/>
  <c r="N2229" i="2"/>
  <c r="N2217" i="2"/>
  <c r="N2205" i="2"/>
  <c r="N2193" i="2"/>
  <c r="N2181" i="2"/>
  <c r="N2169" i="2"/>
  <c r="N2157" i="2"/>
  <c r="N2145" i="2"/>
  <c r="N2133" i="2"/>
  <c r="N2121" i="2"/>
  <c r="N2109" i="2"/>
  <c r="N2097" i="2"/>
  <c r="N2085" i="2"/>
  <c r="N2073" i="2"/>
  <c r="N2061" i="2"/>
  <c r="N2049" i="2"/>
  <c r="N2044" i="2"/>
  <c r="N2032" i="2"/>
  <c r="N2027" i="2"/>
  <c r="N2015" i="2"/>
  <c r="N2010" i="2"/>
  <c r="N2005" i="2"/>
  <c r="N2000" i="2"/>
  <c r="N1988" i="2"/>
  <c r="N2569" i="2"/>
  <c r="N2557" i="2"/>
  <c r="N2545" i="2"/>
  <c r="N2533" i="2"/>
  <c r="N2521" i="2"/>
  <c r="N2509" i="2"/>
  <c r="N2497" i="2"/>
  <c r="N2485" i="2"/>
  <c r="N2473" i="2"/>
  <c r="N2461" i="2"/>
  <c r="N2449" i="2"/>
  <c r="N2437" i="2"/>
  <c r="N2425" i="2"/>
  <c r="N2413" i="2"/>
  <c r="N2401" i="2"/>
  <c r="N2389" i="2"/>
  <c r="N2377" i="2"/>
  <c r="N2365" i="2"/>
  <c r="N2353" i="2"/>
  <c r="N2341" i="2"/>
  <c r="N2329" i="2"/>
  <c r="N2317" i="2"/>
  <c r="N2305" i="2"/>
  <c r="N2293" i="2"/>
  <c r="N2281" i="2"/>
  <c r="N2269" i="2"/>
  <c r="N2257" i="2"/>
  <c r="N2245" i="2"/>
  <c r="N2233" i="2"/>
  <c r="N2221" i="2"/>
  <c r="N2209" i="2"/>
  <c r="N2197" i="2"/>
  <c r="N2185" i="2"/>
  <c r="N2173" i="2"/>
  <c r="N2161" i="2"/>
  <c r="N2149" i="2"/>
  <c r="N2137" i="2"/>
  <c r="N2125" i="2"/>
  <c r="N2113" i="2"/>
  <c r="N2101" i="2"/>
  <c r="N2089" i="2"/>
  <c r="N2077" i="2"/>
  <c r="N2065" i="2"/>
  <c r="N2053" i="2"/>
  <c r="N2048" i="2"/>
  <c r="N2036" i="2"/>
  <c r="N2019" i="2"/>
  <c r="N1992" i="2"/>
  <c r="N3935" i="2"/>
  <c r="N3923" i="2"/>
  <c r="N3911" i="2"/>
  <c r="N3899" i="2"/>
  <c r="N3887" i="2"/>
  <c r="N3875" i="2"/>
  <c r="N3863" i="2"/>
  <c r="N3851" i="2"/>
  <c r="N3839" i="2"/>
  <c r="N3827" i="2"/>
  <c r="N3815" i="2"/>
  <c r="N3803" i="2"/>
  <c r="N3791" i="2"/>
  <c r="N3779" i="2"/>
  <c r="N3767" i="2"/>
  <c r="N3755" i="2"/>
  <c r="N3743" i="2"/>
  <c r="N3731" i="2"/>
  <c r="N3719" i="2"/>
  <c r="N3707" i="2"/>
  <c r="N3695" i="2"/>
  <c r="N3683" i="2"/>
  <c r="N3671" i="2"/>
  <c r="N3659" i="2"/>
  <c r="N3647" i="2"/>
  <c r="N3630" i="2"/>
  <c r="N3620" i="2"/>
  <c r="N3608" i="2"/>
  <c r="N3596" i="2"/>
  <c r="N3584" i="2"/>
  <c r="N3572" i="2"/>
  <c r="N3560" i="2"/>
  <c r="N3548" i="2"/>
  <c r="N3536" i="2"/>
  <c r="N3524" i="2"/>
  <c r="N3512" i="2"/>
  <c r="N3500" i="2"/>
  <c r="N3488" i="2"/>
  <c r="N3476" i="2"/>
  <c r="N3464" i="2"/>
  <c r="N3452" i="2"/>
  <c r="N3440" i="2"/>
  <c r="N3428" i="2"/>
  <c r="N3416" i="2"/>
  <c r="N3404" i="2"/>
  <c r="N2038" i="2"/>
  <c r="N2021" i="2"/>
  <c r="N1994" i="2"/>
  <c r="N1979" i="2"/>
  <c r="N1969" i="2"/>
  <c r="N1957" i="2"/>
  <c r="N1935" i="2"/>
  <c r="N1913" i="2"/>
  <c r="N1901" i="2"/>
  <c r="N1886" i="2"/>
  <c r="N1869" i="2"/>
  <c r="N1854" i="2"/>
  <c r="N1837" i="2"/>
  <c r="N1815" i="2"/>
  <c r="N1803" i="2"/>
  <c r="N1790" i="2"/>
  <c r="N1778" i="2"/>
  <c r="N1768" i="2"/>
  <c r="N1758" i="2"/>
  <c r="N1746" i="2"/>
  <c r="N1734" i="2"/>
  <c r="N1722" i="2"/>
  <c r="N1710" i="2"/>
  <c r="N1698" i="2"/>
  <c r="N1686" i="2"/>
  <c r="N1674" i="2"/>
  <c r="N1662" i="2"/>
  <c r="N1650" i="2"/>
  <c r="N1638" i="2"/>
  <c r="N1626" i="2"/>
  <c r="N1614" i="2"/>
  <c r="N1602" i="2"/>
  <c r="N1590" i="2"/>
  <c r="N1578" i="2"/>
  <c r="N1566" i="2"/>
  <c r="N1554" i="2"/>
  <c r="N1542" i="2"/>
  <c r="N1530" i="2"/>
  <c r="N1518" i="2"/>
  <c r="N1506" i="2"/>
  <c r="N1494" i="2"/>
  <c r="N1482" i="2"/>
  <c r="N1470" i="2"/>
  <c r="N1458" i="2"/>
  <c r="N1446" i="2"/>
  <c r="N1434" i="2"/>
  <c r="N1422" i="2"/>
  <c r="N1410" i="2"/>
  <c r="N1398" i="2"/>
  <c r="N1386" i="2"/>
  <c r="N1374" i="2"/>
  <c r="N1362" i="2"/>
  <c r="N1350" i="2"/>
  <c r="N1338" i="2"/>
  <c r="N1326" i="2"/>
  <c r="N1314" i="2"/>
  <c r="N1302" i="2"/>
  <c r="N1290" i="2"/>
  <c r="N1278" i="2"/>
  <c r="N1266" i="2"/>
  <c r="N1254" i="2"/>
  <c r="N1242" i="2"/>
  <c r="N1230" i="2"/>
  <c r="N1218" i="2"/>
  <c r="N1206" i="2"/>
  <c r="N1194" i="2"/>
  <c r="N1182" i="2"/>
  <c r="N1170" i="2"/>
  <c r="N1158" i="2"/>
  <c r="N1146" i="2"/>
  <c r="N1134" i="2"/>
  <c r="N1122" i="2"/>
  <c r="N1110" i="2"/>
  <c r="N1098" i="2"/>
  <c r="N1086" i="2"/>
  <c r="N1074" i="2"/>
  <c r="N1062" i="2"/>
  <c r="N1050" i="2"/>
  <c r="N1038" i="2"/>
  <c r="N1026" i="2"/>
  <c r="N1819" i="2"/>
  <c r="N1807" i="2"/>
  <c r="N1797" i="2"/>
  <c r="N1782" i="2"/>
  <c r="N1738" i="2"/>
  <c r="N1726" i="2"/>
  <c r="N1714" i="2"/>
  <c r="N1702" i="2"/>
  <c r="N1690" i="2"/>
  <c r="N1678" i="2"/>
  <c r="N1666" i="2"/>
  <c r="N1654" i="2"/>
  <c r="N1642" i="2"/>
  <c r="N1630" i="2"/>
  <c r="N1618" i="2"/>
  <c r="N1606" i="2"/>
  <c r="N1594" i="2"/>
  <c r="N1582" i="2"/>
  <c r="N1570" i="2"/>
  <c r="N1558" i="2"/>
  <c r="N1546" i="2"/>
  <c r="N1534" i="2"/>
  <c r="N1522" i="2"/>
  <c r="N1510" i="2"/>
  <c r="N1498" i="2"/>
  <c r="N1486" i="2"/>
  <c r="N1474" i="2"/>
  <c r="N1462" i="2"/>
  <c r="N1450" i="2"/>
  <c r="N1438" i="2"/>
  <c r="N1426" i="2"/>
  <c r="N1414" i="2"/>
  <c r="N1402" i="2"/>
  <c r="N1390" i="2"/>
  <c r="N1378" i="2"/>
  <c r="N1366" i="2"/>
  <c r="N1354" i="2"/>
  <c r="N1342" i="2"/>
  <c r="N1330" i="2"/>
  <c r="N1318" i="2"/>
  <c r="N1306" i="2"/>
  <c r="N1294" i="2"/>
  <c r="N1282" i="2"/>
  <c r="N1270" i="2"/>
  <c r="N1258" i="2"/>
  <c r="N1246" i="2"/>
  <c r="N1234" i="2"/>
  <c r="N1222" i="2"/>
  <c r="N1210" i="2"/>
  <c r="N1198" i="2"/>
  <c r="N1186" i="2"/>
  <c r="N1174" i="2"/>
  <c r="N1162" i="2"/>
  <c r="N1150" i="2"/>
  <c r="N1138" i="2"/>
  <c r="N1126" i="2"/>
  <c r="N1114" i="2"/>
  <c r="N1102" i="2"/>
  <c r="N1090" i="2"/>
  <c r="N1078" i="2"/>
  <c r="N1983" i="2"/>
  <c r="N1975" i="2"/>
  <c r="N1963" i="2"/>
  <c r="N1951" i="2"/>
  <c r="N1946" i="2"/>
  <c r="N1941" i="2"/>
  <c r="N1929" i="2"/>
  <c r="N1919" i="2"/>
  <c r="N1907" i="2"/>
  <c r="N1895" i="2"/>
  <c r="N1890" i="2"/>
  <c r="N1880" i="2"/>
  <c r="N1875" i="2"/>
  <c r="N1863" i="2"/>
  <c r="N1858" i="2"/>
  <c r="N1848" i="2"/>
  <c r="N1843" i="2"/>
  <c r="N1826" i="2"/>
  <c r="N1821" i="2"/>
  <c r="N1809" i="2"/>
  <c r="N1799" i="2"/>
  <c r="N1794" i="2"/>
  <c r="N1784" i="2"/>
  <c r="N1752" i="2"/>
  <c r="N1740" i="2"/>
  <c r="N1728" i="2"/>
  <c r="N1716" i="2"/>
  <c r="N1704" i="2"/>
  <c r="N1692" i="2"/>
  <c r="N1680" i="2"/>
  <c r="N1668" i="2"/>
  <c r="N1656" i="2"/>
  <c r="N1644" i="2"/>
  <c r="N1632" i="2"/>
  <c r="N1620" i="2"/>
  <c r="N1608" i="2"/>
  <c r="N1596" i="2"/>
  <c r="N1584" i="2"/>
  <c r="N1572" i="2"/>
  <c r="N1560" i="2"/>
  <c r="N1548" i="2"/>
  <c r="N1536" i="2"/>
  <c r="N1524" i="2"/>
  <c r="N1512" i="2"/>
  <c r="N1500" i="2"/>
  <c r="N1488" i="2"/>
  <c r="N1476" i="2"/>
  <c r="N1464" i="2"/>
  <c r="N1452" i="2"/>
  <c r="N1440" i="2"/>
  <c r="N1428" i="2"/>
  <c r="N1416" i="2"/>
  <c r="N1404" i="2"/>
  <c r="N1392" i="2"/>
  <c r="N1380" i="2"/>
  <c r="N1368" i="2"/>
  <c r="N1356" i="2"/>
  <c r="N1344" i="2"/>
  <c r="N1332" i="2"/>
  <c r="N1320" i="2"/>
  <c r="N1308" i="2"/>
  <c r="N1296" i="2"/>
  <c r="N1284" i="2"/>
  <c r="N1272" i="2"/>
  <c r="N1260" i="2"/>
  <c r="N1248" i="2"/>
  <c r="N1236" i="2"/>
  <c r="N1224" i="2"/>
  <c r="N1212" i="2"/>
  <c r="N1200" i="2"/>
  <c r="N1188" i="2"/>
  <c r="N1176" i="2"/>
  <c r="N1164" i="2"/>
  <c r="N1152" i="2"/>
  <c r="N1140" i="2"/>
  <c r="N1128" i="2"/>
  <c r="N1116" i="2"/>
  <c r="N1104" i="2"/>
  <c r="N1092" i="2"/>
  <c r="N1080" i="2"/>
  <c r="N1068" i="2"/>
  <c r="N1056" i="2"/>
  <c r="N1044" i="2"/>
  <c r="N1032" i="2"/>
  <c r="N1020" i="2"/>
  <c r="N1014" i="2"/>
  <c r="N1002" i="2"/>
  <c r="N990" i="2"/>
  <c r="N978" i="2"/>
  <c r="N966" i="2"/>
  <c r="N954" i="2"/>
  <c r="N942" i="2"/>
  <c r="N930" i="2"/>
  <c r="N918" i="2"/>
  <c r="N906" i="2"/>
  <c r="N894" i="2"/>
  <c r="N882" i="2"/>
  <c r="N870" i="2"/>
  <c r="N858" i="2"/>
  <c r="N846" i="2"/>
  <c r="N834" i="2"/>
  <c r="N822" i="2"/>
  <c r="N810" i="2"/>
  <c r="N798" i="2"/>
  <c r="N786" i="2"/>
  <c r="N774" i="2"/>
  <c r="N762" i="2"/>
  <c r="N750" i="2"/>
  <c r="N738" i="2"/>
  <c r="N726" i="2"/>
  <c r="N714" i="2"/>
  <c r="N702" i="2"/>
  <c r="N690" i="2"/>
  <c r="N678" i="2"/>
  <c r="N666" i="2"/>
  <c r="N654" i="2"/>
  <c r="N642" i="2"/>
  <c r="N630" i="2"/>
  <c r="N618" i="2"/>
  <c r="N606" i="2"/>
  <c r="N594" i="2"/>
  <c r="N582" i="2"/>
  <c r="N570" i="2"/>
  <c r="N558" i="2"/>
  <c r="N546" i="2"/>
  <c r="N534" i="2"/>
  <c r="N522" i="2"/>
  <c r="N510" i="2"/>
  <c r="N498" i="2"/>
  <c r="N486" i="2"/>
  <c r="N474" i="2"/>
  <c r="N462" i="2"/>
  <c r="N450" i="2"/>
  <c r="N438" i="2"/>
  <c r="N426" i="2"/>
  <c r="N414" i="2"/>
  <c r="N402" i="2"/>
  <c r="N390" i="2"/>
  <c r="N378" i="2"/>
  <c r="N366" i="2"/>
  <c r="N354" i="2"/>
  <c r="N342" i="2"/>
  <c r="N330" i="2"/>
  <c r="N318" i="2"/>
  <c r="N306" i="2"/>
  <c r="N294" i="2"/>
  <c r="N282" i="2"/>
  <c r="N270" i="2"/>
  <c r="N258" i="2"/>
  <c r="N246" i="2"/>
  <c r="N234" i="2"/>
  <c r="N222" i="2"/>
  <c r="N210" i="2"/>
  <c r="N198" i="2"/>
  <c r="N186" i="2"/>
  <c r="N174" i="2"/>
  <c r="N162" i="2"/>
  <c r="N150" i="2"/>
  <c r="N138" i="2"/>
  <c r="N126" i="2"/>
  <c r="N114" i="2"/>
  <c r="N102" i="2"/>
  <c r="N90" i="2"/>
  <c r="N78" i="2"/>
  <c r="N66" i="2"/>
  <c r="N54" i="2"/>
  <c r="N42" i="2"/>
  <c r="N30" i="2"/>
  <c r="N18" i="2"/>
  <c r="N6" i="2"/>
  <c r="N1008" i="2"/>
  <c r="N996" i="2"/>
  <c r="N984" i="2"/>
  <c r="N972" i="2"/>
  <c r="N960" i="2"/>
  <c r="N948" i="2"/>
  <c r="N936" i="2"/>
  <c r="N924" i="2"/>
  <c r="N912" i="2"/>
  <c r="N900" i="2"/>
  <c r="N888" i="2"/>
  <c r="N876" i="2"/>
  <c r="N864" i="2"/>
  <c r="N852" i="2"/>
  <c r="N840" i="2"/>
  <c r="N828" i="2"/>
  <c r="N816" i="2"/>
  <c r="N804" i="2"/>
  <c r="N792" i="2"/>
  <c r="N780" i="2"/>
  <c r="N768" i="2"/>
  <c r="N756" i="2"/>
  <c r="N744" i="2"/>
  <c r="N732" i="2"/>
  <c r="N720" i="2"/>
  <c r="N708" i="2"/>
  <c r="N696" i="2"/>
  <c r="N684" i="2"/>
  <c r="N672" i="2"/>
  <c r="N660" i="2"/>
  <c r="N648" i="2"/>
  <c r="N636" i="2"/>
  <c r="N624" i="2"/>
  <c r="N612" i="2"/>
  <c r="N600" i="2"/>
  <c r="N588" i="2"/>
  <c r="N576" i="2"/>
  <c r="N564" i="2"/>
  <c r="N552" i="2"/>
  <c r="N540" i="2"/>
  <c r="N528" i="2"/>
  <c r="N516" i="2"/>
  <c r="N504" i="2"/>
  <c r="N492" i="2"/>
  <c r="N480" i="2"/>
  <c r="N468" i="2"/>
  <c r="N456" i="2"/>
  <c r="N444" i="2"/>
  <c r="N432" i="2"/>
  <c r="N420" i="2"/>
  <c r="N408" i="2"/>
  <c r="N396" i="2"/>
  <c r="N384" i="2"/>
  <c r="N372" i="2"/>
  <c r="N360" i="2"/>
  <c r="N348" i="2"/>
  <c r="N336" i="2"/>
  <c r="N324" i="2"/>
  <c r="N312" i="2"/>
  <c r="N300" i="2"/>
  <c r="N288" i="2"/>
  <c r="N276" i="2"/>
  <c r="N264" i="2"/>
  <c r="N252" i="2"/>
  <c r="N240" i="2"/>
  <c r="N228" i="2"/>
  <c r="N216" i="2"/>
  <c r="N204" i="2"/>
  <c r="N192" i="2"/>
  <c r="N180" i="2"/>
  <c r="N168" i="2"/>
  <c r="N156" i="2"/>
  <c r="N144" i="2"/>
  <c r="N132" i="2"/>
  <c r="N120" i="2"/>
  <c r="N108" i="2"/>
  <c r="N96" i="2"/>
  <c r="N84" i="2"/>
  <c r="N72" i="2"/>
  <c r="N60" i="2"/>
  <c r="N48" i="2"/>
  <c r="N36" i="2"/>
  <c r="N24" i="2"/>
  <c r="N12" i="2"/>
  <c r="N7129" i="2"/>
  <c r="N7117" i="2"/>
  <c r="N7105" i="2"/>
  <c r="N7093" i="2"/>
  <c r="N7081" i="2"/>
  <c r="N7616" i="2"/>
  <c r="N7604" i="2"/>
  <c r="N7592" i="2"/>
  <c r="N7580" i="2"/>
  <c r="N7568" i="2"/>
  <c r="N7556" i="2"/>
  <c r="N7544" i="2"/>
  <c r="N7532" i="2"/>
  <c r="N7520" i="2"/>
  <c r="N7508" i="2"/>
  <c r="N7496" i="2"/>
  <c r="N7484" i="2"/>
  <c r="N7472" i="2"/>
  <c r="N7460" i="2"/>
  <c r="N7448" i="2"/>
  <c r="N7436" i="2"/>
  <c r="N7424" i="2"/>
  <c r="N7412" i="2"/>
  <c r="N7400" i="2"/>
  <c r="N7388" i="2"/>
  <c r="N7376" i="2"/>
  <c r="N7364" i="2"/>
  <c r="N7352" i="2"/>
  <c r="N7340" i="2"/>
  <c r="N7328" i="2"/>
  <c r="N7316" i="2"/>
  <c r="N7304" i="2"/>
  <c r="N7292" i="2"/>
  <c r="N7280" i="2"/>
  <c r="N7268" i="2"/>
  <c r="N7256" i="2"/>
  <c r="N7244" i="2"/>
  <c r="N7232" i="2"/>
  <c r="N7220" i="2"/>
  <c r="N7208" i="2"/>
  <c r="N7196" i="2"/>
  <c r="N7184" i="2"/>
  <c r="N7172" i="2"/>
  <c r="N7160" i="2"/>
  <c r="N7148" i="2"/>
  <c r="N7136" i="2"/>
  <c r="N7124" i="2"/>
  <c r="N7112" i="2"/>
  <c r="N7100" i="2"/>
  <c r="N7088" i="2"/>
  <c r="N7076" i="2"/>
  <c r="N7064" i="2"/>
  <c r="N7613" i="2"/>
  <c r="N7601" i="2"/>
  <c r="N7589" i="2"/>
  <c r="N7577" i="2"/>
  <c r="N7565" i="2"/>
  <c r="N7553" i="2"/>
  <c r="N7541" i="2"/>
  <c r="N7529" i="2"/>
  <c r="N7517" i="2"/>
  <c r="N7505" i="2"/>
  <c r="N7493" i="2"/>
  <c r="N7481" i="2"/>
  <c r="N7469" i="2"/>
  <c r="N7457" i="2"/>
  <c r="N7445" i="2"/>
  <c r="N7433" i="2"/>
  <c r="N7421" i="2"/>
  <c r="N7409" i="2"/>
  <c r="N7397" i="2"/>
  <c r="N7385" i="2"/>
  <c r="N7373" i="2"/>
  <c r="N7361" i="2"/>
  <c r="N7349" i="2"/>
  <c r="N7337" i="2"/>
  <c r="N7325" i="2"/>
  <c r="N7313" i="2"/>
  <c r="N7301" i="2"/>
  <c r="N7289" i="2"/>
  <c r="N7277" i="2"/>
  <c r="N7265" i="2"/>
  <c r="N7253" i="2"/>
  <c r="N7241" i="2"/>
  <c r="N7229" i="2"/>
  <c r="N7217" i="2"/>
  <c r="N7205" i="2"/>
  <c r="N7193" i="2"/>
  <c r="N7181" i="2"/>
  <c r="N7169" i="2"/>
  <c r="N7157" i="2"/>
  <c r="N7145" i="2"/>
  <c r="N7133" i="2"/>
  <c r="N7121" i="2"/>
  <c r="N7109" i="2"/>
  <c r="N7097" i="2"/>
  <c r="N7085" i="2"/>
  <c r="N7073" i="2"/>
  <c r="N7615" i="2"/>
  <c r="N7603" i="2"/>
  <c r="N7591" i="2"/>
  <c r="N7579" i="2"/>
  <c r="N7567" i="2"/>
  <c r="N7555" i="2"/>
  <c r="N7543" i="2"/>
  <c r="N7531" i="2"/>
  <c r="N7519" i="2"/>
  <c r="N7507" i="2"/>
  <c r="N7495" i="2"/>
  <c r="N7483" i="2"/>
  <c r="N7471" i="2"/>
  <c r="N7459" i="2"/>
  <c r="N7447" i="2"/>
  <c r="N7435" i="2"/>
  <c r="N7423" i="2"/>
  <c r="N7411" i="2"/>
  <c r="N7399" i="2"/>
  <c r="N7387" i="2"/>
  <c r="N7375" i="2"/>
  <c r="N7363" i="2"/>
  <c r="N7351" i="2"/>
  <c r="N7339" i="2"/>
  <c r="N7327" i="2"/>
  <c r="N7315" i="2"/>
  <c r="N7303" i="2"/>
  <c r="N7291" i="2"/>
  <c r="N7279" i="2"/>
  <c r="N7267" i="2"/>
  <c r="N7255" i="2"/>
  <c r="N7243" i="2"/>
  <c r="N7231" i="2"/>
  <c r="N7219" i="2"/>
  <c r="N7207" i="2"/>
  <c r="N7195" i="2"/>
  <c r="N7183" i="2"/>
  <c r="N7171" i="2"/>
  <c r="N7159" i="2"/>
  <c r="N7147" i="2"/>
  <c r="N7135" i="2"/>
  <c r="N7123" i="2"/>
  <c r="N7111" i="2"/>
  <c r="N7099" i="2"/>
  <c r="N7087" i="2"/>
  <c r="N7075" i="2"/>
  <c r="N7063" i="2"/>
  <c r="N7051" i="2"/>
  <c r="N7039" i="2"/>
  <c r="N7027" i="2"/>
  <c r="N7015" i="2"/>
  <c r="N7003" i="2"/>
  <c r="N6991" i="2"/>
  <c r="N6979" i="2"/>
  <c r="N7610" i="2"/>
  <c r="N7598" i="2"/>
  <c r="N7586" i="2"/>
  <c r="N7574" i="2"/>
  <c r="N7562" i="2"/>
  <c r="N7550" i="2"/>
  <c r="N7538" i="2"/>
  <c r="N7526" i="2"/>
  <c r="N7514" i="2"/>
  <c r="N7502" i="2"/>
  <c r="N7490" i="2"/>
  <c r="N7478" i="2"/>
  <c r="N7466" i="2"/>
  <c r="N7454" i="2"/>
  <c r="N7442" i="2"/>
  <c r="N7430" i="2"/>
  <c r="N7418" i="2"/>
  <c r="N7406" i="2"/>
  <c r="N7394" i="2"/>
  <c r="N7382" i="2"/>
  <c r="N7370" i="2"/>
  <c r="N7358" i="2"/>
  <c r="N7346" i="2"/>
  <c r="N7334" i="2"/>
  <c r="N7322" i="2"/>
  <c r="N7310" i="2"/>
  <c r="N7298" i="2"/>
  <c r="N7286" i="2"/>
  <c r="N7274" i="2"/>
  <c r="N7262" i="2"/>
  <c r="N7250" i="2"/>
  <c r="N7238" i="2"/>
  <c r="N7226" i="2"/>
  <c r="N7214" i="2"/>
  <c r="N7202" i="2"/>
  <c r="N7190" i="2"/>
  <c r="N7178" i="2"/>
  <c r="N7166" i="2"/>
  <c r="N7154" i="2"/>
  <c r="N7142" i="2"/>
  <c r="N7130" i="2"/>
  <c r="N7118" i="2"/>
  <c r="N7106" i="2"/>
  <c r="N7094" i="2"/>
  <c r="N7082" i="2"/>
  <c r="N7070" i="2"/>
  <c r="N7058" i="2"/>
  <c r="N7046" i="2"/>
  <c r="N7034" i="2"/>
  <c r="N7022" i="2"/>
  <c r="N7010" i="2"/>
  <c r="N6998" i="2"/>
  <c r="N6986" i="2"/>
  <c r="N6974" i="2"/>
  <c r="N6962" i="2"/>
  <c r="N6950" i="2"/>
  <c r="N6938" i="2"/>
  <c r="N6926" i="2"/>
  <c r="N6914" i="2"/>
  <c r="N6902" i="2"/>
  <c r="N6890" i="2"/>
  <c r="N6878" i="2"/>
  <c r="N6866" i="2"/>
  <c r="N6854" i="2"/>
  <c r="N6842" i="2"/>
  <c r="N6830" i="2"/>
  <c r="N6818" i="2"/>
  <c r="N6806" i="2"/>
  <c r="N6794" i="2"/>
  <c r="N6777" i="2"/>
  <c r="N6765" i="2"/>
  <c r="N6753" i="2"/>
  <c r="N7617" i="2"/>
  <c r="N7605" i="2"/>
  <c r="N7593" i="2"/>
  <c r="N7581" i="2"/>
  <c r="N7569" i="2"/>
  <c r="N7557" i="2"/>
  <c r="N7545" i="2"/>
  <c r="N7533" i="2"/>
  <c r="N7521" i="2"/>
  <c r="N7509" i="2"/>
  <c r="N7497" i="2"/>
  <c r="N7485" i="2"/>
  <c r="N7473" i="2"/>
  <c r="N7461" i="2"/>
  <c r="N7449" i="2"/>
  <c r="N7437" i="2"/>
  <c r="N7425" i="2"/>
  <c r="N7413" i="2"/>
  <c r="N7401" i="2"/>
  <c r="N7389" i="2"/>
  <c r="N7377" i="2"/>
  <c r="N7365" i="2"/>
  <c r="N7353" i="2"/>
  <c r="N7341" i="2"/>
  <c r="N7329" i="2"/>
  <c r="N7317" i="2"/>
  <c r="N7305" i="2"/>
  <c r="N7293" i="2"/>
  <c r="N7281" i="2"/>
  <c r="N7269" i="2"/>
  <c r="N7257" i="2"/>
  <c r="N7245" i="2"/>
  <c r="N7233" i="2"/>
  <c r="N7221" i="2"/>
  <c r="N7209" i="2"/>
  <c r="N7197" i="2"/>
  <c r="N7185" i="2"/>
  <c r="N7173" i="2"/>
  <c r="N7161" i="2"/>
  <c r="N7149" i="2"/>
  <c r="N7137" i="2"/>
  <c r="N7125" i="2"/>
  <c r="N7113" i="2"/>
  <c r="N7101" i="2"/>
  <c r="N7089" i="2"/>
  <c r="N7077" i="2"/>
  <c r="N7065" i="2"/>
  <c r="N7053" i="2"/>
  <c r="N7041" i="2"/>
  <c r="N7029" i="2"/>
  <c r="N7017" i="2"/>
  <c r="N7005" i="2"/>
  <c r="N6993" i="2"/>
  <c r="N6981" i="2"/>
  <c r="N6969" i="2"/>
  <c r="N6957" i="2"/>
  <c r="N6945" i="2"/>
  <c r="N6933" i="2"/>
  <c r="N6921" i="2"/>
  <c r="N6909" i="2"/>
  <c r="N6897" i="2"/>
  <c r="N6885" i="2"/>
  <c r="N6873" i="2"/>
  <c r="N6861" i="2"/>
  <c r="N6849" i="2"/>
  <c r="N6837" i="2"/>
  <c r="N6825" i="2"/>
  <c r="N6813" i="2"/>
  <c r="N6801" i="2"/>
  <c r="N6789" i="2"/>
  <c r="N6784" i="2"/>
  <c r="N6772" i="2"/>
  <c r="N6760" i="2"/>
  <c r="N6748" i="2"/>
  <c r="N6736" i="2"/>
  <c r="N6724" i="2"/>
  <c r="N6712" i="2"/>
  <c r="N6700" i="2"/>
  <c r="N6688" i="2"/>
  <c r="N6676" i="2"/>
  <c r="N6664" i="2"/>
  <c r="N6652" i="2"/>
  <c r="N6640" i="2"/>
  <c r="N6628" i="2"/>
  <c r="N6616" i="2"/>
  <c r="N6604" i="2"/>
  <c r="N6592" i="2"/>
  <c r="N6580" i="2"/>
  <c r="N6568" i="2"/>
  <c r="N6556" i="2"/>
  <c r="N6544" i="2"/>
  <c r="N6532" i="2"/>
  <c r="N5537" i="2"/>
  <c r="N5525" i="2"/>
  <c r="N5513" i="2"/>
  <c r="N5501" i="2"/>
  <c r="N5489" i="2"/>
  <c r="N5477" i="2"/>
  <c r="N5465" i="2"/>
  <c r="N5453" i="2"/>
  <c r="N5441" i="2"/>
  <c r="N5429" i="2"/>
  <c r="N5417" i="2"/>
  <c r="N5405" i="2"/>
  <c r="N5393" i="2"/>
  <c r="N5381" i="2"/>
  <c r="N5369" i="2"/>
  <c r="N5357" i="2"/>
  <c r="N5345" i="2"/>
  <c r="N5333" i="2"/>
  <c r="N5321" i="2"/>
  <c r="N5309" i="2"/>
  <c r="N5297" i="2"/>
  <c r="N5285" i="2"/>
  <c r="N5273" i="2"/>
  <c r="N5261" i="2"/>
  <c r="N5249" i="2"/>
  <c r="N5237" i="2"/>
  <c r="N5225" i="2"/>
  <c r="N5213" i="2"/>
  <c r="N5201" i="2"/>
  <c r="N5189" i="2"/>
  <c r="N5177" i="2"/>
  <c r="N5165" i="2"/>
  <c r="N5153" i="2"/>
  <c r="N5141" i="2"/>
  <c r="N5129" i="2"/>
  <c r="N5117" i="2"/>
  <c r="N5105" i="2"/>
  <c r="N5093" i="2"/>
  <c r="N5081" i="2"/>
  <c r="N5069" i="2"/>
  <c r="N5057" i="2"/>
  <c r="N5045" i="2"/>
  <c r="N5033" i="2"/>
  <c r="N5021" i="2"/>
  <c r="N5009" i="2"/>
  <c r="N4997" i="2"/>
  <c r="N7069" i="2"/>
  <c r="N7057" i="2"/>
  <c r="N7045" i="2"/>
  <c r="N7033" i="2"/>
  <c r="N7021" i="2"/>
  <c r="N7009" i="2"/>
  <c r="N6997" i="2"/>
  <c r="N6985" i="2"/>
  <c r="N6973" i="2"/>
  <c r="N6961" i="2"/>
  <c r="N6949" i="2"/>
  <c r="N6937" i="2"/>
  <c r="N6925" i="2"/>
  <c r="N6913" i="2"/>
  <c r="N6901" i="2"/>
  <c r="N6889" i="2"/>
  <c r="N6877" i="2"/>
  <c r="N6865" i="2"/>
  <c r="N6853" i="2"/>
  <c r="N6841" i="2"/>
  <c r="N6829" i="2"/>
  <c r="N6817" i="2"/>
  <c r="N6805" i="2"/>
  <c r="N6793" i="2"/>
  <c r="N6788" i="2"/>
  <c r="N6776" i="2"/>
  <c r="N6764" i="2"/>
  <c r="N6752" i="2"/>
  <c r="N6740" i="2"/>
  <c r="N6728" i="2"/>
  <c r="N6716" i="2"/>
  <c r="N6704" i="2"/>
  <c r="N6692" i="2"/>
  <c r="N6680" i="2"/>
  <c r="N6668" i="2"/>
  <c r="N6656" i="2"/>
  <c r="N6644" i="2"/>
  <c r="N6632" i="2"/>
  <c r="N6620" i="2"/>
  <c r="N6608" i="2"/>
  <c r="N6596" i="2"/>
  <c r="N6584" i="2"/>
  <c r="N6572" i="2"/>
  <c r="N6560" i="2"/>
  <c r="N6548" i="2"/>
  <c r="N6536" i="2"/>
  <c r="N6519" i="2"/>
  <c r="N6507" i="2"/>
  <c r="N6495" i="2"/>
  <c r="N6483" i="2"/>
  <c r="N6471" i="2"/>
  <c r="N6459" i="2"/>
  <c r="N6447" i="2"/>
  <c r="N6435" i="2"/>
  <c r="N6423" i="2"/>
  <c r="N6413" i="2"/>
  <c r="N6401" i="2"/>
  <c r="N6389" i="2"/>
  <c r="N6379" i="2"/>
  <c r="N6367" i="2"/>
  <c r="N6355" i="2"/>
  <c r="N6343" i="2"/>
  <c r="N6331" i="2"/>
  <c r="N6319" i="2"/>
  <c r="N6307" i="2"/>
  <c r="N6295" i="2"/>
  <c r="N6283" i="2"/>
  <c r="N6271" i="2"/>
  <c r="N6259" i="2"/>
  <c r="N6247" i="2"/>
  <c r="N6235" i="2"/>
  <c r="N6223" i="2"/>
  <c r="N6211" i="2"/>
  <c r="N6199" i="2"/>
  <c r="N6187" i="2"/>
  <c r="N6175" i="2"/>
  <c r="N6163" i="2"/>
  <c r="N6151" i="2"/>
  <c r="N6139" i="2"/>
  <c r="N6127" i="2"/>
  <c r="N6115" i="2"/>
  <c r="N6103" i="2"/>
  <c r="N6091" i="2"/>
  <c r="N6079" i="2"/>
  <c r="N6067" i="2"/>
  <c r="N6055" i="2"/>
  <c r="N6043" i="2"/>
  <c r="N6031" i="2"/>
  <c r="N6019" i="2"/>
  <c r="N6007" i="2"/>
  <c r="N5995" i="2"/>
  <c r="N5983" i="2"/>
  <c r="N5971" i="2"/>
  <c r="N5959" i="2"/>
  <c r="N5947" i="2"/>
  <c r="N5935" i="2"/>
  <c r="N5923" i="2"/>
  <c r="N5911" i="2"/>
  <c r="N5899" i="2"/>
  <c r="N5887" i="2"/>
  <c r="N5875" i="2"/>
  <c r="N5863" i="2"/>
  <c r="N5851" i="2"/>
  <c r="N5839" i="2"/>
  <c r="N5827" i="2"/>
  <c r="N5815" i="2"/>
  <c r="N5803" i="2"/>
  <c r="N5791" i="2"/>
  <c r="N5779" i="2"/>
  <c r="N5767" i="2"/>
  <c r="N5755" i="2"/>
  <c r="N5743" i="2"/>
  <c r="N5731" i="2"/>
  <c r="N5719" i="2"/>
  <c r="N5707" i="2"/>
  <c r="N5695" i="2"/>
  <c r="N5683" i="2"/>
  <c r="N5671" i="2"/>
  <c r="N5659" i="2"/>
  <c r="N5647" i="2"/>
  <c r="N5635" i="2"/>
  <c r="N5623" i="2"/>
  <c r="N5611" i="2"/>
  <c r="N5599" i="2"/>
  <c r="N5587" i="2"/>
  <c r="N5575" i="2"/>
  <c r="N5563" i="2"/>
  <c r="N5551" i="2"/>
  <c r="N5539" i="2"/>
  <c r="N5527" i="2"/>
  <c r="N5515" i="2"/>
  <c r="N5503" i="2"/>
  <c r="N5491" i="2"/>
  <c r="N5479" i="2"/>
  <c r="N5467" i="2"/>
  <c r="N5455" i="2"/>
  <c r="N5443" i="2"/>
  <c r="N5431" i="2"/>
  <c r="N5419" i="2"/>
  <c r="N5407" i="2"/>
  <c r="N5395" i="2"/>
  <c r="N5383" i="2"/>
  <c r="N5371" i="2"/>
  <c r="N5359" i="2"/>
  <c r="N5347" i="2"/>
  <c r="N5335" i="2"/>
  <c r="N5323" i="2"/>
  <c r="N5311" i="2"/>
  <c r="N5299" i="2"/>
  <c r="N5287" i="2"/>
  <c r="N5275" i="2"/>
  <c r="N5263" i="2"/>
  <c r="N5251" i="2"/>
  <c r="N5239" i="2"/>
  <c r="N5227" i="2"/>
  <c r="N5215" i="2"/>
  <c r="N5203" i="2"/>
  <c r="N5191" i="2"/>
  <c r="N5179" i="2"/>
  <c r="N5167" i="2"/>
  <c r="N5155" i="2"/>
  <c r="N5143" i="2"/>
  <c r="N5131" i="2"/>
  <c r="N5119" i="2"/>
  <c r="N5107" i="2"/>
  <c r="N5095" i="2"/>
  <c r="N5083" i="2"/>
  <c r="N5071" i="2"/>
  <c r="N5059" i="2"/>
  <c r="N5047" i="2"/>
  <c r="N7052" i="2"/>
  <c r="N7040" i="2"/>
  <c r="N7028" i="2"/>
  <c r="N7016" i="2"/>
  <c r="N7004" i="2"/>
  <c r="N6992" i="2"/>
  <c r="N6980" i="2"/>
  <c r="N6968" i="2"/>
  <c r="N6956" i="2"/>
  <c r="N6944" i="2"/>
  <c r="N6932" i="2"/>
  <c r="N6920" i="2"/>
  <c r="N6908" i="2"/>
  <c r="N6896" i="2"/>
  <c r="N6884" i="2"/>
  <c r="N6872" i="2"/>
  <c r="N6860" i="2"/>
  <c r="N6848" i="2"/>
  <c r="N6836" i="2"/>
  <c r="N6824" i="2"/>
  <c r="N6812" i="2"/>
  <c r="N6800" i="2"/>
  <c r="N6783" i="2"/>
  <c r="N6771" i="2"/>
  <c r="N6759" i="2"/>
  <c r="N6747" i="2"/>
  <c r="N6735" i="2"/>
  <c r="N6723" i="2"/>
  <c r="N6711" i="2"/>
  <c r="N6699" i="2"/>
  <c r="N6687" i="2"/>
  <c r="N6675" i="2"/>
  <c r="N6663" i="2"/>
  <c r="N6651" i="2"/>
  <c r="N6639" i="2"/>
  <c r="N6627" i="2"/>
  <c r="N6615" i="2"/>
  <c r="N6603" i="2"/>
  <c r="N6591" i="2"/>
  <c r="N6579" i="2"/>
  <c r="N6567" i="2"/>
  <c r="N6555" i="2"/>
  <c r="N6543" i="2"/>
  <c r="N6531" i="2"/>
  <c r="N6514" i="2"/>
  <c r="N6502" i="2"/>
  <c r="N6490" i="2"/>
  <c r="N6478" i="2"/>
  <c r="N6466" i="2"/>
  <c r="N6454" i="2"/>
  <c r="N6442" i="2"/>
  <c r="N6430" i="2"/>
  <c r="N6408" i="2"/>
  <c r="N6396" i="2"/>
  <c r="N6386" i="2"/>
  <c r="N6374" i="2"/>
  <c r="N6362" i="2"/>
  <c r="N6350" i="2"/>
  <c r="N6338" i="2"/>
  <c r="N6326" i="2"/>
  <c r="N6314" i="2"/>
  <c r="N6302" i="2"/>
  <c r="N6290" i="2"/>
  <c r="N6278" i="2"/>
  <c r="N6266" i="2"/>
  <c r="N6254" i="2"/>
  <c r="N6242" i="2"/>
  <c r="N6230" i="2"/>
  <c r="N6218" i="2"/>
  <c r="N6206" i="2"/>
  <c r="N6194" i="2"/>
  <c r="N6182" i="2"/>
  <c r="N6170" i="2"/>
  <c r="N6158" i="2"/>
  <c r="N6146" i="2"/>
  <c r="N6134" i="2"/>
  <c r="N6122" i="2"/>
  <c r="N6110" i="2"/>
  <c r="N6098" i="2"/>
  <c r="N6086" i="2"/>
  <c r="N6074" i="2"/>
  <c r="N6062" i="2"/>
  <c r="N6050" i="2"/>
  <c r="N6038" i="2"/>
  <c r="N6026" i="2"/>
  <c r="N6014" i="2"/>
  <c r="N6002" i="2"/>
  <c r="N5990" i="2"/>
  <c r="N5978" i="2"/>
  <c r="N5966" i="2"/>
  <c r="N5954" i="2"/>
  <c r="N5942" i="2"/>
  <c r="N5930" i="2"/>
  <c r="N5918" i="2"/>
  <c r="N5906" i="2"/>
  <c r="N6033" i="2"/>
  <c r="N6021" i="2"/>
  <c r="N6009" i="2"/>
  <c r="N5997" i="2"/>
  <c r="N5985" i="2"/>
  <c r="N5973" i="2"/>
  <c r="N5961" i="2"/>
  <c r="N5949" i="2"/>
  <c r="N5937" i="2"/>
  <c r="N5925" i="2"/>
  <c r="N5913" i="2"/>
  <c r="N5901" i="2"/>
  <c r="N5889" i="2"/>
  <c r="N5877" i="2"/>
  <c r="N5865" i="2"/>
  <c r="N5853" i="2"/>
  <c r="N5841" i="2"/>
  <c r="N5829" i="2"/>
  <c r="N5817" i="2"/>
  <c r="N5805" i="2"/>
  <c r="N5793" i="2"/>
  <c r="N5781" i="2"/>
  <c r="N5769" i="2"/>
  <c r="N5757" i="2"/>
  <c r="N5745" i="2"/>
  <c r="N5733" i="2"/>
  <c r="N5721" i="2"/>
  <c r="N5709" i="2"/>
  <c r="N5697" i="2"/>
  <c r="N5685" i="2"/>
  <c r="N5673" i="2"/>
  <c r="N5661" i="2"/>
  <c r="N5649" i="2"/>
  <c r="N5637" i="2"/>
  <c r="N5625" i="2"/>
  <c r="N5613" i="2"/>
  <c r="N5601" i="2"/>
  <c r="N5589" i="2"/>
  <c r="N5577" i="2"/>
  <c r="N5565" i="2"/>
  <c r="N5553" i="2"/>
  <c r="N5541" i="2"/>
  <c r="N5529" i="2"/>
  <c r="N5517" i="2"/>
  <c r="N5505" i="2"/>
  <c r="N5493" i="2"/>
  <c r="N5481" i="2"/>
  <c r="N5469" i="2"/>
  <c r="N5457" i="2"/>
  <c r="N5445" i="2"/>
  <c r="N5433" i="2"/>
  <c r="N5421" i="2"/>
  <c r="N5409" i="2"/>
  <c r="N5397" i="2"/>
  <c r="N5385" i="2"/>
  <c r="N5373" i="2"/>
  <c r="N5361" i="2"/>
  <c r="N5349" i="2"/>
  <c r="N5337" i="2"/>
  <c r="N5325" i="2"/>
  <c r="N5313" i="2"/>
  <c r="N5301" i="2"/>
  <c r="N5289" i="2"/>
  <c r="N5277" i="2"/>
  <c r="N5265" i="2"/>
  <c r="N5253" i="2"/>
  <c r="N5241" i="2"/>
  <c r="N5229" i="2"/>
  <c r="N5217" i="2"/>
  <c r="N5205" i="2"/>
  <c r="N5193" i="2"/>
  <c r="N5181" i="2"/>
  <c r="N5169" i="2"/>
  <c r="N5157" i="2"/>
  <c r="N5145" i="2"/>
  <c r="N5133" i="2"/>
  <c r="N5121" i="2"/>
  <c r="N5109" i="2"/>
  <c r="N5097" i="2"/>
  <c r="N5085" i="2"/>
  <c r="N5073" i="2"/>
  <c r="N5061" i="2"/>
  <c r="N5049" i="2"/>
  <c r="N6410" i="2"/>
  <c r="N6398" i="2"/>
  <c r="N6376" i="2"/>
  <c r="N6364" i="2"/>
  <c r="N6352" i="2"/>
  <c r="N6340" i="2"/>
  <c r="N6328" i="2"/>
  <c r="N6316" i="2"/>
  <c r="N6304" i="2"/>
  <c r="N6292" i="2"/>
  <c r="N6280" i="2"/>
  <c r="N6268" i="2"/>
  <c r="N6256" i="2"/>
  <c r="N6244" i="2"/>
  <c r="N6232" i="2"/>
  <c r="N6220" i="2"/>
  <c r="N6208" i="2"/>
  <c r="N6196" i="2"/>
  <c r="N6184" i="2"/>
  <c r="N6172" i="2"/>
  <c r="N6160" i="2"/>
  <c r="N6148" i="2"/>
  <c r="N6136" i="2"/>
  <c r="N6124" i="2"/>
  <c r="N6112" i="2"/>
  <c r="N6100" i="2"/>
  <c r="N6088" i="2"/>
  <c r="N6076" i="2"/>
  <c r="N6064" i="2"/>
  <c r="N6052" i="2"/>
  <c r="N6040" i="2"/>
  <c r="N6028" i="2"/>
  <c r="N6016" i="2"/>
  <c r="N6004" i="2"/>
  <c r="N5992" i="2"/>
  <c r="N5980" i="2"/>
  <c r="N5968" i="2"/>
  <c r="N5956" i="2"/>
  <c r="N5944" i="2"/>
  <c r="N5932" i="2"/>
  <c r="N5920" i="2"/>
  <c r="N5908" i="2"/>
  <c r="N5896" i="2"/>
  <c r="N5884" i="2"/>
  <c r="N5872" i="2"/>
  <c r="N5860" i="2"/>
  <c r="N5848" i="2"/>
  <c r="N5836" i="2"/>
  <c r="N5824" i="2"/>
  <c r="N5812" i="2"/>
  <c r="N5800" i="2"/>
  <c r="N5788" i="2"/>
  <c r="N5776" i="2"/>
  <c r="N5764" i="2"/>
  <c r="N5752" i="2"/>
  <c r="N5740" i="2"/>
  <c r="N5728" i="2"/>
  <c r="N5716" i="2"/>
  <c r="N5704" i="2"/>
  <c r="N5692" i="2"/>
  <c r="N5680" i="2"/>
  <c r="N5668" i="2"/>
  <c r="N5656" i="2"/>
  <c r="N5644" i="2"/>
  <c r="N5632" i="2"/>
  <c r="N5620" i="2"/>
  <c r="N5608" i="2"/>
  <c r="N5596" i="2"/>
  <c r="N5584" i="2"/>
  <c r="N5572" i="2"/>
  <c r="N5560" i="2"/>
  <c r="N5548" i="2"/>
  <c r="N5536" i="2"/>
  <c r="N5524" i="2"/>
  <c r="N5512" i="2"/>
  <c r="N5500" i="2"/>
  <c r="N5488" i="2"/>
  <c r="N5476" i="2"/>
  <c r="N5464" i="2"/>
  <c r="N5452" i="2"/>
  <c r="N5440" i="2"/>
  <c r="N5428" i="2"/>
  <c r="N5416" i="2"/>
  <c r="N5404" i="2"/>
  <c r="N5392" i="2"/>
  <c r="N5380" i="2"/>
  <c r="N5368" i="2"/>
  <c r="N5356" i="2"/>
  <c r="N5344" i="2"/>
  <c r="N5332" i="2"/>
  <c r="N5320" i="2"/>
  <c r="N5308" i="2"/>
  <c r="N5296" i="2"/>
  <c r="N5284" i="2"/>
  <c r="N5272" i="2"/>
  <c r="N5260" i="2"/>
  <c r="N5248" i="2"/>
  <c r="N5236" i="2"/>
  <c r="N5224" i="2"/>
  <c r="N5212" i="2"/>
  <c r="N5200" i="2"/>
  <c r="N5188" i="2"/>
  <c r="N5176" i="2"/>
  <c r="N5164" i="2"/>
  <c r="N5152" i="2"/>
  <c r="N5140" i="2"/>
  <c r="N5128" i="2"/>
  <c r="N5116" i="2"/>
  <c r="N5104" i="2"/>
  <c r="N5092" i="2"/>
  <c r="N5080" i="2"/>
  <c r="N5068" i="2"/>
  <c r="N5056" i="2"/>
  <c r="N5044" i="2"/>
  <c r="N5032" i="2"/>
  <c r="N5020" i="2"/>
  <c r="N5008" i="2"/>
  <c r="N4996" i="2"/>
  <c r="N4984" i="2"/>
  <c r="N4972" i="2"/>
  <c r="N4960" i="2"/>
  <c r="N4948" i="2"/>
  <c r="N4936" i="2"/>
  <c r="N7061" i="2"/>
  <c r="N7049" i="2"/>
  <c r="N7037" i="2"/>
  <c r="N7025" i="2"/>
  <c r="N7013" i="2"/>
  <c r="N7001" i="2"/>
  <c r="N6989" i="2"/>
  <c r="N6977" i="2"/>
  <c r="N6965" i="2"/>
  <c r="N6953" i="2"/>
  <c r="N6941" i="2"/>
  <c r="N6929" i="2"/>
  <c r="N6917" i="2"/>
  <c r="N6905" i="2"/>
  <c r="N6893" i="2"/>
  <c r="N6881" i="2"/>
  <c r="N6869" i="2"/>
  <c r="N6857" i="2"/>
  <c r="N6845" i="2"/>
  <c r="N6833" i="2"/>
  <c r="N6821" i="2"/>
  <c r="N6809" i="2"/>
  <c r="N6797" i="2"/>
  <c r="N6780" i="2"/>
  <c r="N6768" i="2"/>
  <c r="N6756" i="2"/>
  <c r="N6744" i="2"/>
  <c r="N6732" i="2"/>
  <c r="N6720" i="2"/>
  <c r="N6708" i="2"/>
  <c r="N6696" i="2"/>
  <c r="N6684" i="2"/>
  <c r="N6672" i="2"/>
  <c r="N6660" i="2"/>
  <c r="N6648" i="2"/>
  <c r="N6636" i="2"/>
  <c r="N6624" i="2"/>
  <c r="N6612" i="2"/>
  <c r="N6600" i="2"/>
  <c r="N6588" i="2"/>
  <c r="N6576" i="2"/>
  <c r="N6564" i="2"/>
  <c r="N6552" i="2"/>
  <c r="N6540" i="2"/>
  <c r="N6528" i="2"/>
  <c r="N6511" i="2"/>
  <c r="N6499" i="2"/>
  <c r="N6487" i="2"/>
  <c r="N6475" i="2"/>
  <c r="N6463" i="2"/>
  <c r="N6451" i="2"/>
  <c r="N6439" i="2"/>
  <c r="N6427" i="2"/>
  <c r="N6417" i="2"/>
  <c r="N6405" i="2"/>
  <c r="N6393" i="2"/>
  <c r="N6383" i="2"/>
  <c r="N6371" i="2"/>
  <c r="N6359" i="2"/>
  <c r="N6347" i="2"/>
  <c r="N6335" i="2"/>
  <c r="N6323" i="2"/>
  <c r="N6311" i="2"/>
  <c r="N6299" i="2"/>
  <c r="N6287" i="2"/>
  <c r="N6275" i="2"/>
  <c r="N6263" i="2"/>
  <c r="N6251" i="2"/>
  <c r="N6239" i="2"/>
  <c r="N6227" i="2"/>
  <c r="N6215" i="2"/>
  <c r="N6203" i="2"/>
  <c r="N6191" i="2"/>
  <c r="N6179" i="2"/>
  <c r="N6167" i="2"/>
  <c r="N6155" i="2"/>
  <c r="N6143" i="2"/>
  <c r="N6131" i="2"/>
  <c r="N6119" i="2"/>
  <c r="N6107" i="2"/>
  <c r="N6095" i="2"/>
  <c r="N6083" i="2"/>
  <c r="N6071" i="2"/>
  <c r="N6059" i="2"/>
  <c r="N6047" i="2"/>
  <c r="N6035" i="2"/>
  <c r="N6023" i="2"/>
  <c r="N6011" i="2"/>
  <c r="N5999" i="2"/>
  <c r="N5987" i="2"/>
  <c r="N5975" i="2"/>
  <c r="N5963" i="2"/>
  <c r="N5951" i="2"/>
  <c r="N5939" i="2"/>
  <c r="N5927" i="2"/>
  <c r="N5915" i="2"/>
  <c r="N5903" i="2"/>
  <c r="N5891" i="2"/>
  <c r="N5879" i="2"/>
  <c r="N5867" i="2"/>
  <c r="N5855" i="2"/>
  <c r="N5843" i="2"/>
  <c r="N5831" i="2"/>
  <c r="N5819" i="2"/>
  <c r="N5807" i="2"/>
  <c r="N5795" i="2"/>
  <c r="N5783" i="2"/>
  <c r="N5771" i="2"/>
  <c r="N5759" i="2"/>
  <c r="N5747" i="2"/>
  <c r="N5735" i="2"/>
  <c r="N5723" i="2"/>
  <c r="N5711" i="2"/>
  <c r="N5699" i="2"/>
  <c r="N5687" i="2"/>
  <c r="N5675" i="2"/>
  <c r="N5663" i="2"/>
  <c r="N5651" i="2"/>
  <c r="N5639" i="2"/>
  <c r="N5627" i="2"/>
  <c r="N5615" i="2"/>
  <c r="N5603" i="2"/>
  <c r="N5591" i="2"/>
  <c r="N5579" i="2"/>
  <c r="N5567" i="2"/>
  <c r="N5555" i="2"/>
  <c r="N5543" i="2"/>
  <c r="N5531" i="2"/>
  <c r="N5519" i="2"/>
  <c r="N5507" i="2"/>
  <c r="N5495" i="2"/>
  <c r="N5483" i="2"/>
  <c r="N5471" i="2"/>
  <c r="N5459" i="2"/>
  <c r="N5447" i="2"/>
  <c r="N5435" i="2"/>
  <c r="N5423" i="2"/>
  <c r="N5411" i="2"/>
  <c r="N5399" i="2"/>
  <c r="N5387" i="2"/>
  <c r="N5375" i="2"/>
  <c r="N5363" i="2"/>
  <c r="N5351" i="2"/>
  <c r="N5339" i="2"/>
  <c r="N5327" i="2"/>
  <c r="N5315" i="2"/>
  <c r="N5303" i="2"/>
  <c r="N5291" i="2"/>
  <c r="N5279" i="2"/>
  <c r="N5267" i="2"/>
  <c r="N5255" i="2"/>
  <c r="N5243" i="2"/>
  <c r="N5231" i="2"/>
  <c r="N5219" i="2"/>
  <c r="N5207" i="2"/>
  <c r="N5195" i="2"/>
  <c r="N5183" i="2"/>
  <c r="N5171" i="2"/>
  <c r="N5159" i="2"/>
  <c r="N5147" i="2"/>
  <c r="N5135" i="2"/>
  <c r="N5123" i="2"/>
  <c r="N5111" i="2"/>
  <c r="N5099" i="2"/>
  <c r="N5087" i="2"/>
  <c r="N5075" i="2"/>
  <c r="N5063" i="2"/>
  <c r="N5051" i="2"/>
  <c r="N5046" i="2"/>
  <c r="N6967" i="2"/>
  <c r="N6955" i="2"/>
  <c r="N6943" i="2"/>
  <c r="N6931" i="2"/>
  <c r="N6919" i="2"/>
  <c r="N6907" i="2"/>
  <c r="N6895" i="2"/>
  <c r="N6883" i="2"/>
  <c r="N6871" i="2"/>
  <c r="N6859" i="2"/>
  <c r="N6847" i="2"/>
  <c r="N6835" i="2"/>
  <c r="N6823" i="2"/>
  <c r="N6811" i="2"/>
  <c r="N6799" i="2"/>
  <c r="N6782" i="2"/>
  <c r="N6770" i="2"/>
  <c r="N6758" i="2"/>
  <c r="N6746" i="2"/>
  <c r="N6734" i="2"/>
  <c r="N6722" i="2"/>
  <c r="N6710" i="2"/>
  <c r="N6698" i="2"/>
  <c r="N6686" i="2"/>
  <c r="N6674" i="2"/>
  <c r="N6662" i="2"/>
  <c r="N6650" i="2"/>
  <c r="N6638" i="2"/>
  <c r="N6626" i="2"/>
  <c r="N6614" i="2"/>
  <c r="N6602" i="2"/>
  <c r="N6590" i="2"/>
  <c r="N6578" i="2"/>
  <c r="N6566" i="2"/>
  <c r="N6554" i="2"/>
  <c r="N6542" i="2"/>
  <c r="N6530" i="2"/>
  <c r="N6513" i="2"/>
  <c r="N6501" i="2"/>
  <c r="N6489" i="2"/>
  <c r="N6477" i="2"/>
  <c r="N6465" i="2"/>
  <c r="N6453" i="2"/>
  <c r="N6441" i="2"/>
  <c r="N6429" i="2"/>
  <c r="N6407" i="2"/>
  <c r="N6395" i="2"/>
  <c r="N6385" i="2"/>
  <c r="N6373" i="2"/>
  <c r="N6361" i="2"/>
  <c r="N6349" i="2"/>
  <c r="N6337" i="2"/>
  <c r="N6325" i="2"/>
  <c r="N6313" i="2"/>
  <c r="N6301" i="2"/>
  <c r="N6289" i="2"/>
  <c r="N6277" i="2"/>
  <c r="N6265" i="2"/>
  <c r="N6253" i="2"/>
  <c r="N6241" i="2"/>
  <c r="N6229" i="2"/>
  <c r="N6217" i="2"/>
  <c r="N6205" i="2"/>
  <c r="N6193" i="2"/>
  <c r="N6181" i="2"/>
  <c r="N6169" i="2"/>
  <c r="N6157" i="2"/>
  <c r="N6145" i="2"/>
  <c r="N6133" i="2"/>
  <c r="N6121" i="2"/>
  <c r="N6109" i="2"/>
  <c r="N6097" i="2"/>
  <c r="N6085" i="2"/>
  <c r="N6073" i="2"/>
  <c r="N6061" i="2"/>
  <c r="N6049" i="2"/>
  <c r="N6037" i="2"/>
  <c r="N6025" i="2"/>
  <c r="N6013" i="2"/>
  <c r="N6001" i="2"/>
  <c r="N5989" i="2"/>
  <c r="N5977" i="2"/>
  <c r="N5965" i="2"/>
  <c r="N5953" i="2"/>
  <c r="N5941" i="2"/>
  <c r="N5929" i="2"/>
  <c r="N5917" i="2"/>
  <c r="N5905" i="2"/>
  <c r="N5893" i="2"/>
  <c r="N5881" i="2"/>
  <c r="N5869" i="2"/>
  <c r="N5857" i="2"/>
  <c r="N5845" i="2"/>
  <c r="N5833" i="2"/>
  <c r="N5821" i="2"/>
  <c r="N5809" i="2"/>
  <c r="N5797" i="2"/>
  <c r="N5785" i="2"/>
  <c r="N5773" i="2"/>
  <c r="N5761" i="2"/>
  <c r="N5749" i="2"/>
  <c r="N5737" i="2"/>
  <c r="N5725" i="2"/>
  <c r="N5713" i="2"/>
  <c r="N5701" i="2"/>
  <c r="N5689" i="2"/>
  <c r="N5677" i="2"/>
  <c r="N5665" i="2"/>
  <c r="N5653" i="2"/>
  <c r="N5641" i="2"/>
  <c r="N5629" i="2"/>
  <c r="N5617" i="2"/>
  <c r="N5605" i="2"/>
  <c r="N5593" i="2"/>
  <c r="N5581" i="2"/>
  <c r="N5569" i="2"/>
  <c r="N5557" i="2"/>
  <c r="N5545" i="2"/>
  <c r="N5533" i="2"/>
  <c r="N5521" i="2"/>
  <c r="N5509" i="2"/>
  <c r="N5497" i="2"/>
  <c r="N5485" i="2"/>
  <c r="N5473" i="2"/>
  <c r="N5461" i="2"/>
  <c r="N5449" i="2"/>
  <c r="N5437" i="2"/>
  <c r="N5425" i="2"/>
  <c r="N5413" i="2"/>
  <c r="N5401" i="2"/>
  <c r="N5389" i="2"/>
  <c r="N5377" i="2"/>
  <c r="N5365" i="2"/>
  <c r="N5353" i="2"/>
  <c r="N5341" i="2"/>
  <c r="N5329" i="2"/>
  <c r="N5317" i="2"/>
  <c r="N5305" i="2"/>
  <c r="N5293" i="2"/>
  <c r="N5281" i="2"/>
  <c r="N5269" i="2"/>
  <c r="N5257" i="2"/>
  <c r="N5245" i="2"/>
  <c r="N5233" i="2"/>
  <c r="N5221" i="2"/>
  <c r="N5209" i="2"/>
  <c r="N5197" i="2"/>
  <c r="N5185" i="2"/>
  <c r="N5173" i="2"/>
  <c r="N5161" i="2"/>
  <c r="N5149" i="2"/>
  <c r="N5137" i="2"/>
  <c r="N5125" i="2"/>
  <c r="N5113" i="2"/>
  <c r="N5101" i="2"/>
  <c r="N5089" i="2"/>
  <c r="N5077" i="2"/>
  <c r="N5065" i="2"/>
  <c r="N5053" i="2"/>
  <c r="N6741" i="2"/>
  <c r="N6729" i="2"/>
  <c r="N6717" i="2"/>
  <c r="N6705" i="2"/>
  <c r="N6693" i="2"/>
  <c r="N6681" i="2"/>
  <c r="N6669" i="2"/>
  <c r="N6657" i="2"/>
  <c r="N6645" i="2"/>
  <c r="N6633" i="2"/>
  <c r="N6621" i="2"/>
  <c r="N6609" i="2"/>
  <c r="N6597" i="2"/>
  <c r="N6585" i="2"/>
  <c r="N6573" i="2"/>
  <c r="N6561" i="2"/>
  <c r="N6549" i="2"/>
  <c r="N6537" i="2"/>
  <c r="N6525" i="2"/>
  <c r="N6520" i="2"/>
  <c r="N6508" i="2"/>
  <c r="N6496" i="2"/>
  <c r="N6484" i="2"/>
  <c r="N6472" i="2"/>
  <c r="N6460" i="2"/>
  <c r="N6448" i="2"/>
  <c r="N6436" i="2"/>
  <c r="N6424" i="2"/>
  <c r="N6419" i="2"/>
  <c r="N6414" i="2"/>
  <c r="N6402" i="2"/>
  <c r="N6390" i="2"/>
  <c r="N6380" i="2"/>
  <c r="N6368" i="2"/>
  <c r="N6356" i="2"/>
  <c r="N6344" i="2"/>
  <c r="N6332" i="2"/>
  <c r="N6320" i="2"/>
  <c r="N6308" i="2"/>
  <c r="N6515" i="2"/>
  <c r="N6503" i="2"/>
  <c r="N6491" i="2"/>
  <c r="N6479" i="2"/>
  <c r="N6467" i="2"/>
  <c r="N6455" i="2"/>
  <c r="N6443" i="2"/>
  <c r="N6431" i="2"/>
  <c r="N6409" i="2"/>
  <c r="N6397" i="2"/>
  <c r="N6375" i="2"/>
  <c r="N6363" i="2"/>
  <c r="N6351" i="2"/>
  <c r="N6339" i="2"/>
  <c r="N6327" i="2"/>
  <c r="N6315" i="2"/>
  <c r="N6303" i="2"/>
  <c r="N6291" i="2"/>
  <c r="N6279" i="2"/>
  <c r="N6267" i="2"/>
  <c r="N6255" i="2"/>
  <c r="N6243" i="2"/>
  <c r="N6231" i="2"/>
  <c r="N6219" i="2"/>
  <c r="N6207" i="2"/>
  <c r="N6195" i="2"/>
  <c r="N6183" i="2"/>
  <c r="N6171" i="2"/>
  <c r="N6159" i="2"/>
  <c r="N6147" i="2"/>
  <c r="N6135" i="2"/>
  <c r="N6123" i="2"/>
  <c r="N6111" i="2"/>
  <c r="N6099" i="2"/>
  <c r="N6087" i="2"/>
  <c r="N6075" i="2"/>
  <c r="N6063" i="2"/>
  <c r="N6051" i="2"/>
  <c r="N6039" i="2"/>
  <c r="N6027" i="2"/>
  <c r="N6015" i="2"/>
  <c r="N6003" i="2"/>
  <c r="N5991" i="2"/>
  <c r="N5979" i="2"/>
  <c r="N5967" i="2"/>
  <c r="N5955" i="2"/>
  <c r="N5943" i="2"/>
  <c r="N5931" i="2"/>
  <c r="N5919" i="2"/>
  <c r="N5907" i="2"/>
  <c r="N5895" i="2"/>
  <c r="N5883" i="2"/>
  <c r="N5871" i="2"/>
  <c r="N5859" i="2"/>
  <c r="N5847" i="2"/>
  <c r="N5835" i="2"/>
  <c r="N5823" i="2"/>
  <c r="N5811" i="2"/>
  <c r="N5799" i="2"/>
  <c r="N5787" i="2"/>
  <c r="N5775" i="2"/>
  <c r="N5763" i="2"/>
  <c r="N5751" i="2"/>
  <c r="N5739" i="2"/>
  <c r="N5727" i="2"/>
  <c r="N5715" i="2"/>
  <c r="N5703" i="2"/>
  <c r="N5691" i="2"/>
  <c r="N5679" i="2"/>
  <c r="N5667" i="2"/>
  <c r="N5655" i="2"/>
  <c r="N5643" i="2"/>
  <c r="N5631" i="2"/>
  <c r="N5619" i="2"/>
  <c r="N5607" i="2"/>
  <c r="N5595" i="2"/>
  <c r="N5583" i="2"/>
  <c r="N5571" i="2"/>
  <c r="N5559" i="2"/>
  <c r="N5547" i="2"/>
  <c r="N5535" i="2"/>
  <c r="N5523" i="2"/>
  <c r="N5511" i="2"/>
  <c r="N5499" i="2"/>
  <c r="N5487" i="2"/>
  <c r="N5475" i="2"/>
  <c r="N5463" i="2"/>
  <c r="N5451" i="2"/>
  <c r="N5439" i="2"/>
  <c r="N5427" i="2"/>
  <c r="N5415" i="2"/>
  <c r="N5403" i="2"/>
  <c r="N5391" i="2"/>
  <c r="N5379" i="2"/>
  <c r="N5367" i="2"/>
  <c r="N5355" i="2"/>
  <c r="N5343" i="2"/>
  <c r="N5331" i="2"/>
  <c r="N5319" i="2"/>
  <c r="N5307" i="2"/>
  <c r="N5295" i="2"/>
  <c r="N5283" i="2"/>
  <c r="N5271" i="2"/>
  <c r="N5259" i="2"/>
  <c r="N5247" i="2"/>
  <c r="N5235" i="2"/>
  <c r="N5223" i="2"/>
  <c r="N5211" i="2"/>
  <c r="N5199" i="2"/>
  <c r="N5187" i="2"/>
  <c r="N5175" i="2"/>
  <c r="N5163" i="2"/>
  <c r="N5151" i="2"/>
  <c r="N5139" i="2"/>
  <c r="N5127" i="2"/>
  <c r="N5115" i="2"/>
  <c r="N5103" i="2"/>
  <c r="N5091" i="2"/>
  <c r="N5079" i="2"/>
  <c r="N5067" i="2"/>
  <c r="N5055" i="2"/>
  <c r="N4985" i="2"/>
  <c r="N4973" i="2"/>
  <c r="N4961" i="2"/>
  <c r="N4949" i="2"/>
  <c r="N4937" i="2"/>
  <c r="N4925" i="2"/>
  <c r="N4913" i="2"/>
  <c r="N4901" i="2"/>
  <c r="N4889" i="2"/>
  <c r="N4877" i="2"/>
  <c r="N4865" i="2"/>
  <c r="N4853" i="2"/>
  <c r="N4841" i="2"/>
  <c r="N4829" i="2"/>
  <c r="N4817" i="2"/>
  <c r="N4805" i="2"/>
  <c r="N4793" i="2"/>
  <c r="N4781" i="2"/>
  <c r="N4769" i="2"/>
  <c r="N4757" i="2"/>
  <c r="N4745" i="2"/>
  <c r="N4733" i="2"/>
  <c r="N4721" i="2"/>
  <c r="N4709" i="2"/>
  <c r="N4697" i="2"/>
  <c r="N4685" i="2"/>
  <c r="N4673" i="2"/>
  <c r="N4661" i="2"/>
  <c r="N4649" i="2"/>
  <c r="N4637" i="2"/>
  <c r="N4625" i="2"/>
  <c r="N4613" i="2"/>
  <c r="N4601" i="2"/>
  <c r="N4589" i="2"/>
  <c r="N4577" i="2"/>
  <c r="N4565" i="2"/>
  <c r="N4553" i="2"/>
  <c r="N4541" i="2"/>
  <c r="N4529" i="2"/>
  <c r="N4517" i="2"/>
  <c r="N4505" i="2"/>
  <c r="N4493" i="2"/>
  <c r="N4481" i="2"/>
  <c r="N4469" i="2"/>
  <c r="N4457" i="2"/>
  <c r="N4445" i="2"/>
  <c r="N4433" i="2"/>
  <c r="N4421" i="2"/>
  <c r="N4409" i="2"/>
  <c r="N4397" i="2"/>
  <c r="N4385" i="2"/>
  <c r="N4373" i="2"/>
  <c r="N4361" i="2"/>
  <c r="N4349" i="2"/>
  <c r="N4337" i="2"/>
  <c r="N4325" i="2"/>
  <c r="N4313" i="2"/>
  <c r="N4301" i="2"/>
  <c r="N4289" i="2"/>
  <c r="N4277" i="2"/>
  <c r="N4265" i="2"/>
  <c r="N4253" i="2"/>
  <c r="N4241" i="2"/>
  <c r="N4229" i="2"/>
  <c r="N4217" i="2"/>
  <c r="N4205" i="2"/>
  <c r="N4193" i="2"/>
  <c r="N4181" i="2"/>
  <c r="N4169" i="2"/>
  <c r="N4157" i="2"/>
  <c r="N4145" i="2"/>
  <c r="N4133" i="2"/>
  <c r="N4121" i="2"/>
  <c r="N4109" i="2"/>
  <c r="N4097" i="2"/>
  <c r="N4085" i="2"/>
  <c r="N4073" i="2"/>
  <c r="N4061" i="2"/>
  <c r="N4049" i="2"/>
  <c r="N4037" i="2"/>
  <c r="N4025" i="2"/>
  <c r="N4013" i="2"/>
  <c r="N4001" i="2"/>
  <c r="N3989" i="2"/>
  <c r="N3977" i="2"/>
  <c r="N3965" i="2"/>
  <c r="N3953" i="2"/>
  <c r="N3941" i="2"/>
  <c r="N3929" i="2"/>
  <c r="N3917" i="2"/>
  <c r="N3905" i="2"/>
  <c r="N3893" i="2"/>
  <c r="N3881" i="2"/>
  <c r="N3869" i="2"/>
  <c r="N3857" i="2"/>
  <c r="N3845" i="2"/>
  <c r="N3833" i="2"/>
  <c r="N3821" i="2"/>
  <c r="N3809" i="2"/>
  <c r="N3797" i="2"/>
  <c r="N3785" i="2"/>
  <c r="N3773" i="2"/>
  <c r="N3761" i="2"/>
  <c r="N3749" i="2"/>
  <c r="N3737" i="2"/>
  <c r="N3725" i="2"/>
  <c r="N3713" i="2"/>
  <c r="N3701" i="2"/>
  <c r="N3689" i="2"/>
  <c r="N3677" i="2"/>
  <c r="N3665" i="2"/>
  <c r="N3653" i="2"/>
  <c r="N3641" i="2"/>
  <c r="N3636" i="2"/>
  <c r="N3626" i="2"/>
  <c r="N3614" i="2"/>
  <c r="N3602" i="2"/>
  <c r="N3590" i="2"/>
  <c r="N3578" i="2"/>
  <c r="N3566" i="2"/>
  <c r="N3554" i="2"/>
  <c r="N3542" i="2"/>
  <c r="N3530" i="2"/>
  <c r="N3518" i="2"/>
  <c r="N3506" i="2"/>
  <c r="N3494" i="2"/>
  <c r="N3482" i="2"/>
  <c r="N3470" i="2"/>
  <c r="N3458" i="2"/>
  <c r="N3446" i="2"/>
  <c r="N3434" i="2"/>
  <c r="N3422" i="2"/>
  <c r="N3410" i="2"/>
  <c r="N3398" i="2"/>
  <c r="N3386" i="2"/>
  <c r="N3374" i="2"/>
  <c r="N3362" i="2"/>
  <c r="N3350" i="2"/>
  <c r="N3338" i="2"/>
  <c r="N3326" i="2"/>
  <c r="N3314" i="2"/>
  <c r="N3302" i="2"/>
  <c r="N3290" i="2"/>
  <c r="N3278" i="2"/>
  <c r="N3266" i="2"/>
  <c r="N3254" i="2"/>
  <c r="N3242" i="2"/>
  <c r="N3230" i="2"/>
  <c r="N3218" i="2"/>
  <c r="N3206" i="2"/>
  <c r="N3194" i="2"/>
  <c r="N3182" i="2"/>
  <c r="N3170" i="2"/>
  <c r="N3158" i="2"/>
  <c r="N3146" i="2"/>
  <c r="N3134" i="2"/>
  <c r="N3122" i="2"/>
  <c r="N3110" i="2"/>
  <c r="N3098" i="2"/>
  <c r="N3086" i="2"/>
  <c r="N3074" i="2"/>
  <c r="N3062" i="2"/>
  <c r="N3050" i="2"/>
  <c r="N3038" i="2"/>
  <c r="N3026" i="2"/>
  <c r="N5035" i="2"/>
  <c r="N5023" i="2"/>
  <c r="N5011" i="2"/>
  <c r="N4999" i="2"/>
  <c r="N4987" i="2"/>
  <c r="N4975" i="2"/>
  <c r="N4963" i="2"/>
  <c r="N4951" i="2"/>
  <c r="N4939" i="2"/>
  <c r="N4927" i="2"/>
  <c r="N4915" i="2"/>
  <c r="N4903" i="2"/>
  <c r="N4891" i="2"/>
  <c r="N4879" i="2"/>
  <c r="N4867" i="2"/>
  <c r="N4855" i="2"/>
  <c r="N4843" i="2"/>
  <c r="N4831" i="2"/>
  <c r="N4819" i="2"/>
  <c r="N4807" i="2"/>
  <c r="N4795" i="2"/>
  <c r="N4783" i="2"/>
  <c r="N4771" i="2"/>
  <c r="N4759" i="2"/>
  <c r="N4747" i="2"/>
  <c r="N4735" i="2"/>
  <c r="N4723" i="2"/>
  <c r="N4711" i="2"/>
  <c r="N4699" i="2"/>
  <c r="N4687" i="2"/>
  <c r="N4675" i="2"/>
  <c r="N4663" i="2"/>
  <c r="N4651" i="2"/>
  <c r="N4639" i="2"/>
  <c r="N4627" i="2"/>
  <c r="N4615" i="2"/>
  <c r="N4603" i="2"/>
  <c r="N4591" i="2"/>
  <c r="N4579" i="2"/>
  <c r="N4567" i="2"/>
  <c r="N4555" i="2"/>
  <c r="N4543" i="2"/>
  <c r="N4531" i="2"/>
  <c r="N4519" i="2"/>
  <c r="N4507" i="2"/>
  <c r="N4495" i="2"/>
  <c r="N4483" i="2"/>
  <c r="N4471" i="2"/>
  <c r="N4459" i="2"/>
  <c r="N4447" i="2"/>
  <c r="N4435" i="2"/>
  <c r="N4423" i="2"/>
  <c r="N4411" i="2"/>
  <c r="N4399" i="2"/>
  <c r="N4387" i="2"/>
  <c r="N4375" i="2"/>
  <c r="N4363" i="2"/>
  <c r="N4351" i="2"/>
  <c r="N4339" i="2"/>
  <c r="N4327" i="2"/>
  <c r="N4315" i="2"/>
  <c r="N4303" i="2"/>
  <c r="N4291" i="2"/>
  <c r="N4279" i="2"/>
  <c r="N4267" i="2"/>
  <c r="N4255" i="2"/>
  <c r="N4243" i="2"/>
  <c r="N4231" i="2"/>
  <c r="N4219" i="2"/>
  <c r="N4207" i="2"/>
  <c r="N4195" i="2"/>
  <c r="N4183" i="2"/>
  <c r="N4171" i="2"/>
  <c r="N4159" i="2"/>
  <c r="N4147" i="2"/>
  <c r="N4135" i="2"/>
  <c r="N4123" i="2"/>
  <c r="N4111" i="2"/>
  <c r="N4099" i="2"/>
  <c r="N4087" i="2"/>
  <c r="N4075" i="2"/>
  <c r="N4063" i="2"/>
  <c r="N4051" i="2"/>
  <c r="N4039" i="2"/>
  <c r="N4027" i="2"/>
  <c r="N4015" i="2"/>
  <c r="N4003" i="2"/>
  <c r="N3991" i="2"/>
  <c r="N3979" i="2"/>
  <c r="N3967" i="2"/>
  <c r="N3955" i="2"/>
  <c r="N3943" i="2"/>
  <c r="N3931" i="2"/>
  <c r="N3919" i="2"/>
  <c r="N3907" i="2"/>
  <c r="N3895" i="2"/>
  <c r="N3883" i="2"/>
  <c r="N3871" i="2"/>
  <c r="N3859" i="2"/>
  <c r="N3847" i="2"/>
  <c r="N3835" i="2"/>
  <c r="N3823" i="2"/>
  <c r="N3811" i="2"/>
  <c r="N3799" i="2"/>
  <c r="N3787" i="2"/>
  <c r="N3775" i="2"/>
  <c r="N3763" i="2"/>
  <c r="N3751" i="2"/>
  <c r="N3739" i="2"/>
  <c r="N3727" i="2"/>
  <c r="N3715" i="2"/>
  <c r="N3703" i="2"/>
  <c r="N3691" i="2"/>
  <c r="N3679" i="2"/>
  <c r="N3667" i="2"/>
  <c r="N3655" i="2"/>
  <c r="N3643" i="2"/>
  <c r="N3616" i="2"/>
  <c r="N3604" i="2"/>
  <c r="N3592" i="2"/>
  <c r="N3580" i="2"/>
  <c r="N3568" i="2"/>
  <c r="N3556" i="2"/>
  <c r="N3544" i="2"/>
  <c r="N3532" i="2"/>
  <c r="N3520" i="2"/>
  <c r="N3508" i="2"/>
  <c r="N3496" i="2"/>
  <c r="N3484" i="2"/>
  <c r="N3472" i="2"/>
  <c r="N3460" i="2"/>
  <c r="N3448" i="2"/>
  <c r="N3436" i="2"/>
  <c r="N3424" i="2"/>
  <c r="N3412" i="2"/>
  <c r="N3400" i="2"/>
  <c r="N3388" i="2"/>
  <c r="N3376" i="2"/>
  <c r="N3364" i="2"/>
  <c r="N3352" i="2"/>
  <c r="N3340" i="2"/>
  <c r="N3328" i="2"/>
  <c r="N3316" i="2"/>
  <c r="N3304" i="2"/>
  <c r="N3292" i="2"/>
  <c r="N3280" i="2"/>
  <c r="N3268" i="2"/>
  <c r="N3256" i="2"/>
  <c r="N3244" i="2"/>
  <c r="N3232" i="2"/>
  <c r="N3220" i="2"/>
  <c r="N3208" i="2"/>
  <c r="N3196" i="2"/>
  <c r="N3184" i="2"/>
  <c r="N3172" i="2"/>
  <c r="N3160" i="2"/>
  <c r="N3148" i="2"/>
  <c r="N3136" i="2"/>
  <c r="N3124" i="2"/>
  <c r="N3112" i="2"/>
  <c r="N3100" i="2"/>
  <c r="N3088" i="2"/>
  <c r="N3076" i="2"/>
  <c r="N3064" i="2"/>
  <c r="N3052" i="2"/>
  <c r="N3040" i="2"/>
  <c r="N3028" i="2"/>
  <c r="N5037" i="2"/>
  <c r="N5025" i="2"/>
  <c r="N5013" i="2"/>
  <c r="N5001" i="2"/>
  <c r="N4989" i="2"/>
  <c r="N4977" i="2"/>
  <c r="N4965" i="2"/>
  <c r="N4953" i="2"/>
  <c r="N4941" i="2"/>
  <c r="N4929" i="2"/>
  <c r="N4917" i="2"/>
  <c r="N4905" i="2"/>
  <c r="N4893" i="2"/>
  <c r="N4881" i="2"/>
  <c r="N4869" i="2"/>
  <c r="N4857" i="2"/>
  <c r="N4845" i="2"/>
  <c r="N4833" i="2"/>
  <c r="N4821" i="2"/>
  <c r="N4809" i="2"/>
  <c r="N4797" i="2"/>
  <c r="N4785" i="2"/>
  <c r="N4773" i="2"/>
  <c r="N4761" i="2"/>
  <c r="N4749" i="2"/>
  <c r="N4737" i="2"/>
  <c r="N4725" i="2"/>
  <c r="N4713" i="2"/>
  <c r="N4701" i="2"/>
  <c r="N4689" i="2"/>
  <c r="N4677" i="2"/>
  <c r="N4665" i="2"/>
  <c r="N4653" i="2"/>
  <c r="N4641" i="2"/>
  <c r="N4629" i="2"/>
  <c r="N4617" i="2"/>
  <c r="N4605" i="2"/>
  <c r="N4593" i="2"/>
  <c r="N4581" i="2"/>
  <c r="N4569" i="2"/>
  <c r="N4557" i="2"/>
  <c r="N4545" i="2"/>
  <c r="N4533" i="2"/>
  <c r="N4521" i="2"/>
  <c r="N4509" i="2"/>
  <c r="N4497" i="2"/>
  <c r="N4485" i="2"/>
  <c r="N4473" i="2"/>
  <c r="N4461" i="2"/>
  <c r="N4449" i="2"/>
  <c r="N4437" i="2"/>
  <c r="N4425" i="2"/>
  <c r="N4413" i="2"/>
  <c r="N4401" i="2"/>
  <c r="N4389" i="2"/>
  <c r="N4377" i="2"/>
  <c r="N4365" i="2"/>
  <c r="N4353" i="2"/>
  <c r="N4341" i="2"/>
  <c r="N4329" i="2"/>
  <c r="N4317" i="2"/>
  <c r="N4305" i="2"/>
  <c r="N4293" i="2"/>
  <c r="N4281" i="2"/>
  <c r="N4269" i="2"/>
  <c r="N4257" i="2"/>
  <c r="N4245" i="2"/>
  <c r="N4233" i="2"/>
  <c r="N4221" i="2"/>
  <c r="N4209" i="2"/>
  <c r="N4197" i="2"/>
  <c r="N4185" i="2"/>
  <c r="N4173" i="2"/>
  <c r="N4161" i="2"/>
  <c r="N4149" i="2"/>
  <c r="N4137" i="2"/>
  <c r="N4125" i="2"/>
  <c r="N4113" i="2"/>
  <c r="N4101" i="2"/>
  <c r="N4089" i="2"/>
  <c r="N4077" i="2"/>
  <c r="N4065" i="2"/>
  <c r="N4053" i="2"/>
  <c r="N4041" i="2"/>
  <c r="N4029" i="2"/>
  <c r="N4017" i="2"/>
  <c r="N4005" i="2"/>
  <c r="N3993" i="2"/>
  <c r="N3981" i="2"/>
  <c r="N3969" i="2"/>
  <c r="N3957" i="2"/>
  <c r="N3945" i="2"/>
  <c r="N3933" i="2"/>
  <c r="N3921" i="2"/>
  <c r="N3909" i="2"/>
  <c r="N3897" i="2"/>
  <c r="N3885" i="2"/>
  <c r="N3873" i="2"/>
  <c r="N3861" i="2"/>
  <c r="N3849" i="2"/>
  <c r="N3837" i="2"/>
  <c r="N3825" i="2"/>
  <c r="N3813" i="2"/>
  <c r="N3801" i="2"/>
  <c r="N3789" i="2"/>
  <c r="N3777" i="2"/>
  <c r="N3765" i="2"/>
  <c r="N3753" i="2"/>
  <c r="N3741" i="2"/>
  <c r="N3729" i="2"/>
  <c r="N3717" i="2"/>
  <c r="N3705" i="2"/>
  <c r="N3693" i="2"/>
  <c r="N3681" i="2"/>
  <c r="N3669" i="2"/>
  <c r="N3657" i="2"/>
  <c r="N3645" i="2"/>
  <c r="N3618" i="2"/>
  <c r="N3606" i="2"/>
  <c r="N3594" i="2"/>
  <c r="N3582" i="2"/>
  <c r="N3570" i="2"/>
  <c r="N3558" i="2"/>
  <c r="N3546" i="2"/>
  <c r="N3534" i="2"/>
  <c r="N3522" i="2"/>
  <c r="N3510" i="2"/>
  <c r="N3498" i="2"/>
  <c r="N3486" i="2"/>
  <c r="N3474" i="2"/>
  <c r="N3462" i="2"/>
  <c r="N3450" i="2"/>
  <c r="N3438" i="2"/>
  <c r="N3426" i="2"/>
  <c r="N3414" i="2"/>
  <c r="N3402" i="2"/>
  <c r="N3390" i="2"/>
  <c r="N3378" i="2"/>
  <c r="N3366" i="2"/>
  <c r="N3354" i="2"/>
  <c r="N3342" i="2"/>
  <c r="N3330" i="2"/>
  <c r="N3318" i="2"/>
  <c r="N3306" i="2"/>
  <c r="N3294" i="2"/>
  <c r="N3282" i="2"/>
  <c r="N3270" i="2"/>
  <c r="N3258" i="2"/>
  <c r="N3246" i="2"/>
  <c r="N3234" i="2"/>
  <c r="N3222" i="2"/>
  <c r="N3210" i="2"/>
  <c r="N3198" i="2"/>
  <c r="N3186" i="2"/>
  <c r="N3174" i="2"/>
  <c r="N3162" i="2"/>
  <c r="N3150" i="2"/>
  <c r="N3138" i="2"/>
  <c r="N3126" i="2"/>
  <c r="N3114" i="2"/>
  <c r="N3102" i="2"/>
  <c r="N3090" i="2"/>
  <c r="N3078" i="2"/>
  <c r="N3066" i="2"/>
  <c r="N3054" i="2"/>
  <c r="N3042" i="2"/>
  <c r="N3030" i="2"/>
  <c r="N3018" i="2"/>
  <c r="N4924" i="2"/>
  <c r="N4912" i="2"/>
  <c r="N4900" i="2"/>
  <c r="N4888" i="2"/>
  <c r="N4876" i="2"/>
  <c r="N4864" i="2"/>
  <c r="N4852" i="2"/>
  <c r="N4840" i="2"/>
  <c r="N4828" i="2"/>
  <c r="N4816" i="2"/>
  <c r="N4804" i="2"/>
  <c r="N4792" i="2"/>
  <c r="N4780" i="2"/>
  <c r="N4768" i="2"/>
  <c r="N4756" i="2"/>
  <c r="N4744" i="2"/>
  <c r="N4732" i="2"/>
  <c r="N4720" i="2"/>
  <c r="N4708" i="2"/>
  <c r="N4696" i="2"/>
  <c r="N4684" i="2"/>
  <c r="N4672" i="2"/>
  <c r="N4660" i="2"/>
  <c r="N4648" i="2"/>
  <c r="N4636" i="2"/>
  <c r="N4624" i="2"/>
  <c r="N4612" i="2"/>
  <c r="N4600" i="2"/>
  <c r="N4588" i="2"/>
  <c r="N4576" i="2"/>
  <c r="N4564" i="2"/>
  <c r="N4552" i="2"/>
  <c r="N4540" i="2"/>
  <c r="N4528" i="2"/>
  <c r="N4516" i="2"/>
  <c r="N4504" i="2"/>
  <c r="N4492" i="2"/>
  <c r="N4480" i="2"/>
  <c r="N4468" i="2"/>
  <c r="N4456" i="2"/>
  <c r="N4444" i="2"/>
  <c r="N4432" i="2"/>
  <c r="N4420" i="2"/>
  <c r="N4408" i="2"/>
  <c r="N4396" i="2"/>
  <c r="N4384" i="2"/>
  <c r="N4372" i="2"/>
  <c r="N4360" i="2"/>
  <c r="N4348" i="2"/>
  <c r="N4336" i="2"/>
  <c r="N4324" i="2"/>
  <c r="N4312" i="2"/>
  <c r="N4300" i="2"/>
  <c r="N4288" i="2"/>
  <c r="N4276" i="2"/>
  <c r="N4264" i="2"/>
  <c r="N4252" i="2"/>
  <c r="N4240" i="2"/>
  <c r="N4228" i="2"/>
  <c r="N4216" i="2"/>
  <c r="N4204" i="2"/>
  <c r="N4192" i="2"/>
  <c r="N4180" i="2"/>
  <c r="N4168" i="2"/>
  <c r="N4156" i="2"/>
  <c r="N4144" i="2"/>
  <c r="N4132" i="2"/>
  <c r="N4120" i="2"/>
  <c r="N4108" i="2"/>
  <c r="N4096" i="2"/>
  <c r="N4084" i="2"/>
  <c r="N4072" i="2"/>
  <c r="N4060" i="2"/>
  <c r="N4048" i="2"/>
  <c r="N4036" i="2"/>
  <c r="N4024" i="2"/>
  <c r="N4012" i="2"/>
  <c r="N4000" i="2"/>
  <c r="N3988" i="2"/>
  <c r="N3976" i="2"/>
  <c r="N3964" i="2"/>
  <c r="N3952" i="2"/>
  <c r="N3940" i="2"/>
  <c r="N3928" i="2"/>
  <c r="N3916" i="2"/>
  <c r="N3904" i="2"/>
  <c r="N3892" i="2"/>
  <c r="N3880" i="2"/>
  <c r="N3868" i="2"/>
  <c r="N3856" i="2"/>
  <c r="N3844" i="2"/>
  <c r="N3832" i="2"/>
  <c r="N3820" i="2"/>
  <c r="N3808" i="2"/>
  <c r="N3796" i="2"/>
  <c r="N3784" i="2"/>
  <c r="N3772" i="2"/>
  <c r="N3760" i="2"/>
  <c r="N3392" i="2"/>
  <c r="N3380" i="2"/>
  <c r="N3368" i="2"/>
  <c r="N3356" i="2"/>
  <c r="N3344" i="2"/>
  <c r="N3332" i="2"/>
  <c r="N3320" i="2"/>
  <c r="N3308" i="2"/>
  <c r="N3296" i="2"/>
  <c r="N3284" i="2"/>
  <c r="N3272" i="2"/>
  <c r="N3260" i="2"/>
  <c r="N3248" i="2"/>
  <c r="N3236" i="2"/>
  <c r="N3224" i="2"/>
  <c r="N3212" i="2"/>
  <c r="N3200" i="2"/>
  <c r="N3188" i="2"/>
  <c r="N3176" i="2"/>
  <c r="N3164" i="2"/>
  <c r="N3152" i="2"/>
  <c r="N3140" i="2"/>
  <c r="N3128" i="2"/>
  <c r="N3116" i="2"/>
  <c r="N3104" i="2"/>
  <c r="N3092" i="2"/>
  <c r="N3080" i="2"/>
  <c r="N3068" i="2"/>
  <c r="N3056" i="2"/>
  <c r="N3044" i="2"/>
  <c r="N3032" i="2"/>
  <c r="N5041" i="2"/>
  <c r="N5029" i="2"/>
  <c r="N5017" i="2"/>
  <c r="N5005" i="2"/>
  <c r="N4993" i="2"/>
  <c r="N4981" i="2"/>
  <c r="N4969" i="2"/>
  <c r="N4957" i="2"/>
  <c r="N4945" i="2"/>
  <c r="N4933" i="2"/>
  <c r="N4921" i="2"/>
  <c r="N4909" i="2"/>
  <c r="N4897" i="2"/>
  <c r="N4885" i="2"/>
  <c r="N4873" i="2"/>
  <c r="N4861" i="2"/>
  <c r="N4849" i="2"/>
  <c r="N4837" i="2"/>
  <c r="N4825" i="2"/>
  <c r="N4813" i="2"/>
  <c r="N4801" i="2"/>
  <c r="N4789" i="2"/>
  <c r="N4777" i="2"/>
  <c r="N4765" i="2"/>
  <c r="N4753" i="2"/>
  <c r="N4741" i="2"/>
  <c r="N4729" i="2"/>
  <c r="N4717" i="2"/>
  <c r="N4705" i="2"/>
  <c r="N4693" i="2"/>
  <c r="N4681" i="2"/>
  <c r="N4669" i="2"/>
  <c r="N4657" i="2"/>
  <c r="N4645" i="2"/>
  <c r="N4633" i="2"/>
  <c r="N4621" i="2"/>
  <c r="N4609" i="2"/>
  <c r="N4597" i="2"/>
  <c r="N4585" i="2"/>
  <c r="N4573" i="2"/>
  <c r="N4561" i="2"/>
  <c r="N4549" i="2"/>
  <c r="N4537" i="2"/>
  <c r="N4525" i="2"/>
  <c r="N4513" i="2"/>
  <c r="N4501" i="2"/>
  <c r="N4489" i="2"/>
  <c r="N4477" i="2"/>
  <c r="N4465" i="2"/>
  <c r="N4453" i="2"/>
  <c r="N4441" i="2"/>
  <c r="N4429" i="2"/>
  <c r="N4417" i="2"/>
  <c r="N4405" i="2"/>
  <c r="N4393" i="2"/>
  <c r="N4381" i="2"/>
  <c r="N4369" i="2"/>
  <c r="N4357" i="2"/>
  <c r="N4345" i="2"/>
  <c r="N4333" i="2"/>
  <c r="N4321" i="2"/>
  <c r="N4309" i="2"/>
  <c r="N4297" i="2"/>
  <c r="N4285" i="2"/>
  <c r="N4273" i="2"/>
  <c r="N4261" i="2"/>
  <c r="N4249" i="2"/>
  <c r="N4237" i="2"/>
  <c r="N4225" i="2"/>
  <c r="N4213" i="2"/>
  <c r="N4201" i="2"/>
  <c r="N4189" i="2"/>
  <c r="N4177" i="2"/>
  <c r="N4165" i="2"/>
  <c r="N4153" i="2"/>
  <c r="N4141" i="2"/>
  <c r="N4129" i="2"/>
  <c r="N4117" i="2"/>
  <c r="N4105" i="2"/>
  <c r="N4093" i="2"/>
  <c r="N4081" i="2"/>
  <c r="N4069" i="2"/>
  <c r="N4057" i="2"/>
  <c r="N4045" i="2"/>
  <c r="N4033" i="2"/>
  <c r="N4021" i="2"/>
  <c r="N4009" i="2"/>
  <c r="N3997" i="2"/>
  <c r="N3985" i="2"/>
  <c r="N3973" i="2"/>
  <c r="N3961" i="2"/>
  <c r="N3949" i="2"/>
  <c r="N3937" i="2"/>
  <c r="N3925" i="2"/>
  <c r="N3913" i="2"/>
  <c r="N3901" i="2"/>
  <c r="N3889" i="2"/>
  <c r="N3877" i="2"/>
  <c r="N3865" i="2"/>
  <c r="N3853" i="2"/>
  <c r="N3841" i="2"/>
  <c r="N3829" i="2"/>
  <c r="N3817" i="2"/>
  <c r="N3805" i="2"/>
  <c r="N3793" i="2"/>
  <c r="N3781" i="2"/>
  <c r="N3769" i="2"/>
  <c r="N3757" i="2"/>
  <c r="N3745" i="2"/>
  <c r="N3733" i="2"/>
  <c r="N3721" i="2"/>
  <c r="N3709" i="2"/>
  <c r="N3697" i="2"/>
  <c r="N3685" i="2"/>
  <c r="N3673" i="2"/>
  <c r="N3661" i="2"/>
  <c r="N3649" i="2"/>
  <c r="N3632" i="2"/>
  <c r="N3622" i="2"/>
  <c r="N3610" i="2"/>
  <c r="N3598" i="2"/>
  <c r="N3586" i="2"/>
  <c r="N3574" i="2"/>
  <c r="N3562" i="2"/>
  <c r="N3550" i="2"/>
  <c r="N3538" i="2"/>
  <c r="N3526" i="2"/>
  <c r="N3514" i="2"/>
  <c r="N3502" i="2"/>
  <c r="N3490" i="2"/>
  <c r="N3478" i="2"/>
  <c r="N3466" i="2"/>
  <c r="N3454" i="2"/>
  <c r="N3442" i="2"/>
  <c r="N3430" i="2"/>
  <c r="N3418" i="2"/>
  <c r="N3406" i="2"/>
  <c r="N3394" i="2"/>
  <c r="N3382" i="2"/>
  <c r="N3370" i="2"/>
  <c r="N3358" i="2"/>
  <c r="N3346" i="2"/>
  <c r="N3334" i="2"/>
  <c r="N3322" i="2"/>
  <c r="N3310" i="2"/>
  <c r="N3298" i="2"/>
  <c r="N3286" i="2"/>
  <c r="N3274" i="2"/>
  <c r="N3262" i="2"/>
  <c r="N3250" i="2"/>
  <c r="N3238" i="2"/>
  <c r="N3226" i="2"/>
  <c r="N3214" i="2"/>
  <c r="N3202" i="2"/>
  <c r="N3190" i="2"/>
  <c r="N3178" i="2"/>
  <c r="N3166" i="2"/>
  <c r="N3154" i="2"/>
  <c r="N3142" i="2"/>
  <c r="N3130" i="2"/>
  <c r="N3118" i="2"/>
  <c r="N3106" i="2"/>
  <c r="N3094" i="2"/>
  <c r="N3082" i="2"/>
  <c r="N3070" i="2"/>
  <c r="N3058" i="2"/>
  <c r="N3046" i="2"/>
  <c r="N3034" i="2"/>
  <c r="N5043" i="2"/>
  <c r="N5031" i="2"/>
  <c r="N5019" i="2"/>
  <c r="N5007" i="2"/>
  <c r="N4995" i="2"/>
  <c r="N4983" i="2"/>
  <c r="N4971" i="2"/>
  <c r="N4959" i="2"/>
  <c r="N4947" i="2"/>
  <c r="N4935" i="2"/>
  <c r="N4923" i="2"/>
  <c r="N4911" i="2"/>
  <c r="N4899" i="2"/>
  <c r="N4887" i="2"/>
  <c r="N4875" i="2"/>
  <c r="N4863" i="2"/>
  <c r="N4851" i="2"/>
  <c r="N4839" i="2"/>
  <c r="N4827" i="2"/>
  <c r="N4815" i="2"/>
  <c r="N4803" i="2"/>
  <c r="N4791" i="2"/>
  <c r="N4779" i="2"/>
  <c r="N4767" i="2"/>
  <c r="N4755" i="2"/>
  <c r="N4743" i="2"/>
  <c r="N4731" i="2"/>
  <c r="N4719" i="2"/>
  <c r="N4707" i="2"/>
  <c r="N4695" i="2"/>
  <c r="N4683" i="2"/>
  <c r="N4671" i="2"/>
  <c r="N4659" i="2"/>
  <c r="N4647" i="2"/>
  <c r="N4635" i="2"/>
  <c r="N4623" i="2"/>
  <c r="N4611" i="2"/>
  <c r="N4599" i="2"/>
  <c r="N4587" i="2"/>
  <c r="N4575" i="2"/>
  <c r="N4563" i="2"/>
  <c r="N4551" i="2"/>
  <c r="N4539" i="2"/>
  <c r="N4527" i="2"/>
  <c r="N4515" i="2"/>
  <c r="N4503" i="2"/>
  <c r="N4491" i="2"/>
  <c r="N4479" i="2"/>
  <c r="N4467" i="2"/>
  <c r="N4455" i="2"/>
  <c r="N4443" i="2"/>
  <c r="N4431" i="2"/>
  <c r="N4419" i="2"/>
  <c r="N4407" i="2"/>
  <c r="N4395" i="2"/>
  <c r="N4383" i="2"/>
  <c r="N4371" i="2"/>
  <c r="N4359" i="2"/>
  <c r="N4347" i="2"/>
  <c r="N4335" i="2"/>
  <c r="N4323" i="2"/>
  <c r="N4311" i="2"/>
  <c r="N4299" i="2"/>
  <c r="N4287" i="2"/>
  <c r="N4275" i="2"/>
  <c r="N4263" i="2"/>
  <c r="N4251" i="2"/>
  <c r="N4239" i="2"/>
  <c r="N4227" i="2"/>
  <c r="N4215" i="2"/>
  <c r="N4203" i="2"/>
  <c r="N4191" i="2"/>
  <c r="N4179" i="2"/>
  <c r="N4167" i="2"/>
  <c r="N4155" i="2"/>
  <c r="N4143" i="2"/>
  <c r="N4131" i="2"/>
  <c r="N4119" i="2"/>
  <c r="N4107" i="2"/>
  <c r="N4095" i="2"/>
  <c r="N4083" i="2"/>
  <c r="N4071" i="2"/>
  <c r="N4059" i="2"/>
  <c r="N4047" i="2"/>
  <c r="N4035" i="2"/>
  <c r="N4023" i="2"/>
  <c r="N4011" i="2"/>
  <c r="N3999" i="2"/>
  <c r="N3987" i="2"/>
  <c r="N3975" i="2"/>
  <c r="N3963" i="2"/>
  <c r="N3951" i="2"/>
  <c r="N3939" i="2"/>
  <c r="N3927" i="2"/>
  <c r="N3915" i="2"/>
  <c r="N3903" i="2"/>
  <c r="N3891" i="2"/>
  <c r="N3879" i="2"/>
  <c r="N3867" i="2"/>
  <c r="N3855" i="2"/>
  <c r="N3843" i="2"/>
  <c r="N3831" i="2"/>
  <c r="N3819" i="2"/>
  <c r="N3807" i="2"/>
  <c r="N3795" i="2"/>
  <c r="N3783" i="2"/>
  <c r="N3771" i="2"/>
  <c r="N3759" i="2"/>
  <c r="N3747" i="2"/>
  <c r="N3735" i="2"/>
  <c r="N3723" i="2"/>
  <c r="N3711" i="2"/>
  <c r="N3699" i="2"/>
  <c r="N3687" i="2"/>
  <c r="N3675" i="2"/>
  <c r="N3663" i="2"/>
  <c r="N3651" i="2"/>
  <c r="N3639" i="2"/>
  <c r="N3634" i="2"/>
  <c r="N3624" i="2"/>
  <c r="N3612" i="2"/>
  <c r="N3600" i="2"/>
  <c r="N3588" i="2"/>
  <c r="N3576" i="2"/>
  <c r="N3564" i="2"/>
  <c r="N3552" i="2"/>
  <c r="N3540" i="2"/>
  <c r="N3528" i="2"/>
  <c r="N3516" i="2"/>
  <c r="N3504" i="2"/>
  <c r="N3492" i="2"/>
  <c r="N3480" i="2"/>
  <c r="N3468" i="2"/>
  <c r="N3456" i="2"/>
  <c r="N3444" i="2"/>
  <c r="N3432" i="2"/>
  <c r="N3420" i="2"/>
  <c r="N3408" i="2"/>
  <c r="N3396" i="2"/>
  <c r="N3384" i="2"/>
  <c r="N3372" i="2"/>
  <c r="N3360" i="2"/>
  <c r="N3348" i="2"/>
  <c r="N3336" i="2"/>
  <c r="N3324" i="2"/>
  <c r="N3312" i="2"/>
  <c r="N3300" i="2"/>
  <c r="N3288" i="2"/>
  <c r="N3276" i="2"/>
  <c r="N3264" i="2"/>
  <c r="N3252" i="2"/>
  <c r="N3240" i="2"/>
  <c r="N3228" i="2"/>
  <c r="N3216" i="2"/>
  <c r="N3204" i="2"/>
  <c r="N3192" i="2"/>
  <c r="N3180" i="2"/>
  <c r="N3168" i="2"/>
  <c r="N3156" i="2"/>
  <c r="N3144" i="2"/>
  <c r="N3132" i="2"/>
  <c r="N3120" i="2"/>
  <c r="N3108" i="2"/>
  <c r="N3096" i="2"/>
  <c r="N3084" i="2"/>
  <c r="N3072" i="2"/>
  <c r="N3060" i="2"/>
  <c r="N3048" i="2"/>
  <c r="N3036" i="2"/>
  <c r="N3024" i="2"/>
  <c r="N3014" i="2"/>
  <c r="N3002" i="2"/>
  <c r="N2990" i="2"/>
  <c r="N2978" i="2"/>
  <c r="N2966" i="2"/>
  <c r="N2954" i="2"/>
  <c r="N2942" i="2"/>
  <c r="N2930" i="2"/>
  <c r="N2918" i="2"/>
  <c r="N2906" i="2"/>
  <c r="N2894" i="2"/>
  <c r="N2882" i="2"/>
  <c r="N2870" i="2"/>
  <c r="N2858" i="2"/>
  <c r="N2846" i="2"/>
  <c r="N2834" i="2"/>
  <c r="N2822" i="2"/>
  <c r="N2810" i="2"/>
  <c r="N2798" i="2"/>
  <c r="N2786" i="2"/>
  <c r="N2774" i="2"/>
  <c r="N2762" i="2"/>
  <c r="N2750" i="2"/>
  <c r="N2738" i="2"/>
  <c r="N2726" i="2"/>
  <c r="N2714" i="2"/>
  <c r="N2702" i="2"/>
  <c r="N2690" i="2"/>
  <c r="N2678" i="2"/>
  <c r="N2666" i="2"/>
  <c r="N2654" i="2"/>
  <c r="N2642" i="2"/>
  <c r="N2630" i="2"/>
  <c r="N2618" i="2"/>
  <c r="N2606" i="2"/>
  <c r="N2594" i="2"/>
  <c r="N2582" i="2"/>
  <c r="N2570" i="2"/>
  <c r="N2558" i="2"/>
  <c r="N2546" i="2"/>
  <c r="N2534" i="2"/>
  <c r="N2522" i="2"/>
  <c r="N2510" i="2"/>
  <c r="N2498" i="2"/>
  <c r="N2486" i="2"/>
  <c r="N2474" i="2"/>
  <c r="N2462" i="2"/>
  <c r="N2450" i="2"/>
  <c r="N2438" i="2"/>
  <c r="N2426" i="2"/>
  <c r="N2414" i="2"/>
  <c r="N2402" i="2"/>
  <c r="N2390" i="2"/>
  <c r="N2378" i="2"/>
  <c r="N2366" i="2"/>
  <c r="N2354" i="2"/>
  <c r="N2342" i="2"/>
  <c r="N2330" i="2"/>
  <c r="N2318" i="2"/>
  <c r="N2306" i="2"/>
  <c r="N2294" i="2"/>
  <c r="N2282" i="2"/>
  <c r="N2270" i="2"/>
  <c r="N2258" i="2"/>
  <c r="N2246" i="2"/>
  <c r="N2234" i="2"/>
  <c r="N2222" i="2"/>
  <c r="N2210" i="2"/>
  <c r="N2198" i="2"/>
  <c r="N2186" i="2"/>
  <c r="N2174" i="2"/>
  <c r="N2162" i="2"/>
  <c r="N2150" i="2"/>
  <c r="N2138" i="2"/>
  <c r="N2126" i="2"/>
  <c r="N2114" i="2"/>
  <c r="N2102" i="2"/>
  <c r="N2090" i="2"/>
  <c r="N2078" i="2"/>
  <c r="N2066" i="2"/>
  <c r="N2054" i="2"/>
  <c r="N2037" i="2"/>
  <c r="N2020" i="2"/>
  <c r="N1993" i="2"/>
  <c r="N1968" i="2"/>
  <c r="N1956" i="2"/>
  <c r="N1934" i="2"/>
  <c r="N1924" i="2"/>
  <c r="N1912" i="2"/>
  <c r="N1900" i="2"/>
  <c r="N1885" i="2"/>
  <c r="N1868" i="2"/>
  <c r="N1853" i="2"/>
  <c r="N1836" i="2"/>
  <c r="N1831" i="2"/>
  <c r="N1814" i="2"/>
  <c r="N1789" i="2"/>
  <c r="N1777" i="2"/>
  <c r="N1772" i="2"/>
  <c r="N1767" i="2"/>
  <c r="N1757" i="2"/>
  <c r="N1745" i="2"/>
  <c r="N1733" i="2"/>
  <c r="N1721" i="2"/>
  <c r="N1709" i="2"/>
  <c r="N1697" i="2"/>
  <c r="N1685" i="2"/>
  <c r="N1673" i="2"/>
  <c r="N1661" i="2"/>
  <c r="N1649" i="2"/>
  <c r="N1637" i="2"/>
  <c r="N1625" i="2"/>
  <c r="N1613" i="2"/>
  <c r="N1601" i="2"/>
  <c r="N1589" i="2"/>
  <c r="N1577" i="2"/>
  <c r="N1565" i="2"/>
  <c r="N1553" i="2"/>
  <c r="N1541" i="2"/>
  <c r="N1529" i="2"/>
  <c r="N1517" i="2"/>
  <c r="N1505" i="2"/>
  <c r="N1493" i="2"/>
  <c r="N1481" i="2"/>
  <c r="N1469" i="2"/>
  <c r="N1457" i="2"/>
  <c r="N1445" i="2"/>
  <c r="N1433" i="2"/>
  <c r="N1421" i="2"/>
  <c r="N1409" i="2"/>
  <c r="N1397" i="2"/>
  <c r="N1385" i="2"/>
  <c r="N1373" i="2"/>
  <c r="N1361" i="2"/>
  <c r="N1349" i="2"/>
  <c r="N1337" i="2"/>
  <c r="N1325" i="2"/>
  <c r="N1313" i="2"/>
  <c r="N1301" i="2"/>
  <c r="N1289" i="2"/>
  <c r="N1277" i="2"/>
  <c r="N1265" i="2"/>
  <c r="N1253" i="2"/>
  <c r="N1241" i="2"/>
  <c r="N1229" i="2"/>
  <c r="N1217" i="2"/>
  <c r="N1205" i="2"/>
  <c r="N1193" i="2"/>
  <c r="N1181" i="2"/>
  <c r="N1169" i="2"/>
  <c r="N1157" i="2"/>
  <c r="N1145" i="2"/>
  <c r="N1133" i="2"/>
  <c r="N1121" i="2"/>
  <c r="N1109" i="2"/>
  <c r="N1097" i="2"/>
  <c r="N1085" i="2"/>
  <c r="N3016" i="2"/>
  <c r="N3004" i="2"/>
  <c r="N2992" i="2"/>
  <c r="N2980" i="2"/>
  <c r="N2968" i="2"/>
  <c r="N2956" i="2"/>
  <c r="N2944" i="2"/>
  <c r="N2932" i="2"/>
  <c r="N2920" i="2"/>
  <c r="N2908" i="2"/>
  <c r="N2896" i="2"/>
  <c r="N2884" i="2"/>
  <c r="N2872" i="2"/>
  <c r="N2860" i="2"/>
  <c r="N2848" i="2"/>
  <c r="N2836" i="2"/>
  <c r="N2824" i="2"/>
  <c r="N2812" i="2"/>
  <c r="N2800" i="2"/>
  <c r="N2788" i="2"/>
  <c r="N2776" i="2"/>
  <c r="N2764" i="2"/>
  <c r="N2752" i="2"/>
  <c r="N2740" i="2"/>
  <c r="N2728" i="2"/>
  <c r="N2716" i="2"/>
  <c r="N2704" i="2"/>
  <c r="N2692" i="2"/>
  <c r="N2680" i="2"/>
  <c r="N2668" i="2"/>
  <c r="N2656" i="2"/>
  <c r="N2644" i="2"/>
  <c r="N2632" i="2"/>
  <c r="N2620" i="2"/>
  <c r="N2608" i="2"/>
  <c r="N2596" i="2"/>
  <c r="N2584" i="2"/>
  <c r="N2572" i="2"/>
  <c r="N2560" i="2"/>
  <c r="N2548" i="2"/>
  <c r="N2536" i="2"/>
  <c r="N2524" i="2"/>
  <c r="N2512" i="2"/>
  <c r="N2500" i="2"/>
  <c r="N2488" i="2"/>
  <c r="N2476" i="2"/>
  <c r="N2464" i="2"/>
  <c r="N2452" i="2"/>
  <c r="N2440" i="2"/>
  <c r="N2428" i="2"/>
  <c r="N2416" i="2"/>
  <c r="N2404" i="2"/>
  <c r="N2392" i="2"/>
  <c r="N2380" i="2"/>
  <c r="N2368" i="2"/>
  <c r="N2356" i="2"/>
  <c r="N2344" i="2"/>
  <c r="N2332" i="2"/>
  <c r="N2320" i="2"/>
  <c r="N2308" i="2"/>
  <c r="N2296" i="2"/>
  <c r="N2284" i="2"/>
  <c r="N2272" i="2"/>
  <c r="N2260" i="2"/>
  <c r="N2248" i="2"/>
  <c r="N2236" i="2"/>
  <c r="N2224" i="2"/>
  <c r="N2212" i="2"/>
  <c r="N2200" i="2"/>
  <c r="N2188" i="2"/>
  <c r="N2176" i="2"/>
  <c r="N2164" i="2"/>
  <c r="N2152" i="2"/>
  <c r="N2140" i="2"/>
  <c r="N2128" i="2"/>
  <c r="N2116" i="2"/>
  <c r="N2104" i="2"/>
  <c r="N2092" i="2"/>
  <c r="N2080" i="2"/>
  <c r="N2068" i="2"/>
  <c r="N2056" i="2"/>
  <c r="N2022" i="2"/>
  <c r="N1995" i="2"/>
  <c r="N1970" i="2"/>
  <c r="N1958" i="2"/>
  <c r="N1936" i="2"/>
  <c r="N1914" i="2"/>
  <c r="N1902" i="2"/>
  <c r="N1870" i="2"/>
  <c r="N1855" i="2"/>
  <c r="N1838" i="2"/>
  <c r="N1816" i="2"/>
  <c r="N1804" i="2"/>
  <c r="N1791" i="2"/>
  <c r="N1779" i="2"/>
  <c r="N1769" i="2"/>
  <c r="N1764" i="2"/>
  <c r="N1759" i="2"/>
  <c r="N1747" i="2"/>
  <c r="N1735" i="2"/>
  <c r="N1723" i="2"/>
  <c r="N1711" i="2"/>
  <c r="N1699" i="2"/>
  <c r="N1687" i="2"/>
  <c r="N1675" i="2"/>
  <c r="N1663" i="2"/>
  <c r="N1651" i="2"/>
  <c r="N1639" i="2"/>
  <c r="N1627" i="2"/>
  <c r="N1615" i="2"/>
  <c r="N1603" i="2"/>
  <c r="N1591" i="2"/>
  <c r="N1579" i="2"/>
  <c r="N1567" i="2"/>
  <c r="N1555" i="2"/>
  <c r="N1543" i="2"/>
  <c r="N1531" i="2"/>
  <c r="N1519" i="2"/>
  <c r="N1507" i="2"/>
  <c r="N1495" i="2"/>
  <c r="N1483" i="2"/>
  <c r="N1471" i="2"/>
  <c r="N1459" i="2"/>
  <c r="N1447" i="2"/>
  <c r="N1435" i="2"/>
  <c r="N1423" i="2"/>
  <c r="N1411" i="2"/>
  <c r="N1399" i="2"/>
  <c r="N1387" i="2"/>
  <c r="N1375" i="2"/>
  <c r="N1363" i="2"/>
  <c r="N1351" i="2"/>
  <c r="N1339" i="2"/>
  <c r="N1327" i="2"/>
  <c r="N1315" i="2"/>
  <c r="N1303" i="2"/>
  <c r="N1291" i="2"/>
  <c r="N1279" i="2"/>
  <c r="N1267" i="2"/>
  <c r="N1255" i="2"/>
  <c r="N1243" i="2"/>
  <c r="N1231" i="2"/>
  <c r="N1219" i="2"/>
  <c r="N1207" i="2"/>
  <c r="N1195" i="2"/>
  <c r="N1183" i="2"/>
  <c r="N1171" i="2"/>
  <c r="N1159" i="2"/>
  <c r="N1147" i="2"/>
  <c r="N1135" i="2"/>
  <c r="N1123" i="2"/>
  <c r="N1111" i="2"/>
  <c r="N1099" i="2"/>
  <c r="N1087" i="2"/>
  <c r="N2579" i="2"/>
  <c r="N2567" i="2"/>
  <c r="N2555" i="2"/>
  <c r="N2543" i="2"/>
  <c r="N2531" i="2"/>
  <c r="N2519" i="2"/>
  <c r="N2507" i="2"/>
  <c r="N2495" i="2"/>
  <c r="N2483" i="2"/>
  <c r="N2471" i="2"/>
  <c r="N2459" i="2"/>
  <c r="N2447" i="2"/>
  <c r="N2435" i="2"/>
  <c r="N2423" i="2"/>
  <c r="N2411" i="2"/>
  <c r="N2399" i="2"/>
  <c r="N2387" i="2"/>
  <c r="N2375" i="2"/>
  <c r="N2363" i="2"/>
  <c r="N2351" i="2"/>
  <c r="N2339" i="2"/>
  <c r="N2327" i="2"/>
  <c r="N2315" i="2"/>
  <c r="N2303" i="2"/>
  <c r="N2291" i="2"/>
  <c r="N2279" i="2"/>
  <c r="N2267" i="2"/>
  <c r="N2255" i="2"/>
  <c r="N2243" i="2"/>
  <c r="N2231" i="2"/>
  <c r="N2219" i="2"/>
  <c r="N2207" i="2"/>
  <c r="N2195" i="2"/>
  <c r="N2183" i="2"/>
  <c r="N2171" i="2"/>
  <c r="N2159" i="2"/>
  <c r="N2147" i="2"/>
  <c r="N2135" i="2"/>
  <c r="N2123" i="2"/>
  <c r="N2111" i="2"/>
  <c r="N2099" i="2"/>
  <c r="N2087" i="2"/>
  <c r="N2075" i="2"/>
  <c r="N2063" i="2"/>
  <c r="N2051" i="2"/>
  <c r="N2046" i="2"/>
  <c r="N2034" i="2"/>
  <c r="N2017" i="2"/>
  <c r="N2007" i="2"/>
  <c r="N1990" i="2"/>
  <c r="N1985" i="2"/>
  <c r="N1980" i="2"/>
  <c r="N1965" i="2"/>
  <c r="N1953" i="2"/>
  <c r="N1948" i="2"/>
  <c r="N1943" i="2"/>
  <c r="N1931" i="2"/>
  <c r="N1921" i="2"/>
  <c r="N1909" i="2"/>
  <c r="N1897" i="2"/>
  <c r="N1892" i="2"/>
  <c r="N1887" i="2"/>
  <c r="N1882" i="2"/>
  <c r="N1877" i="2"/>
  <c r="N1865" i="2"/>
  <c r="N1860" i="2"/>
  <c r="N1850" i="2"/>
  <c r="N1845" i="2"/>
  <c r="N1833" i="2"/>
  <c r="N1828" i="2"/>
  <c r="N1823" i="2"/>
  <c r="N1811" i="2"/>
  <c r="N1801" i="2"/>
  <c r="N1774" i="2"/>
  <c r="N1754" i="2"/>
  <c r="N1742" i="2"/>
  <c r="N1730" i="2"/>
  <c r="N1718" i="2"/>
  <c r="N1706" i="2"/>
  <c r="N1694" i="2"/>
  <c r="N1682" i="2"/>
  <c r="N1670" i="2"/>
  <c r="N1658" i="2"/>
  <c r="N1646" i="2"/>
  <c r="N1634" i="2"/>
  <c r="N1622" i="2"/>
  <c r="N1610" i="2"/>
  <c r="N1598" i="2"/>
  <c r="N1586" i="2"/>
  <c r="N1574" i="2"/>
  <c r="N1562" i="2"/>
  <c r="N1550" i="2"/>
  <c r="N1538" i="2"/>
  <c r="N1526" i="2"/>
  <c r="N1514" i="2"/>
  <c r="N1502" i="2"/>
  <c r="N1490" i="2"/>
  <c r="N1478" i="2"/>
  <c r="N1466" i="2"/>
  <c r="N1454" i="2"/>
  <c r="N1442" i="2"/>
  <c r="N1430" i="2"/>
  <c r="N1418" i="2"/>
  <c r="N1406" i="2"/>
  <c r="N1394" i="2"/>
  <c r="N1382" i="2"/>
  <c r="N1370" i="2"/>
  <c r="N1358" i="2"/>
  <c r="N1346" i="2"/>
  <c r="N1334" i="2"/>
  <c r="N1322" i="2"/>
  <c r="N1310" i="2"/>
  <c r="N1298" i="2"/>
  <c r="N1286" i="2"/>
  <c r="N1274" i="2"/>
  <c r="N1262" i="2"/>
  <c r="N1250" i="2"/>
  <c r="N1238" i="2"/>
  <c r="N1226" i="2"/>
  <c r="N1214" i="2"/>
  <c r="N1202" i="2"/>
  <c r="N1190" i="2"/>
  <c r="N1178" i="2"/>
  <c r="N1166" i="2"/>
  <c r="N1154" i="2"/>
  <c r="N1142" i="2"/>
  <c r="N1130" i="2"/>
  <c r="N1118" i="2"/>
  <c r="N1106" i="2"/>
  <c r="N1094" i="2"/>
  <c r="N1082" i="2"/>
  <c r="N3006" i="2"/>
  <c r="N2994" i="2"/>
  <c r="N2982" i="2"/>
  <c r="N2970" i="2"/>
  <c r="N2958" i="2"/>
  <c r="N2946" i="2"/>
  <c r="N2934" i="2"/>
  <c r="N2922" i="2"/>
  <c r="N2910" i="2"/>
  <c r="N2898" i="2"/>
  <c r="N2886" i="2"/>
  <c r="N2874" i="2"/>
  <c r="N2862" i="2"/>
  <c r="N2850" i="2"/>
  <c r="N2838" i="2"/>
  <c r="N2826" i="2"/>
  <c r="N2814" i="2"/>
  <c r="N2802" i="2"/>
  <c r="N2790" i="2"/>
  <c r="N2778" i="2"/>
  <c r="N2766" i="2"/>
  <c r="N2754" i="2"/>
  <c r="N2742" i="2"/>
  <c r="N2730" i="2"/>
  <c r="N2718" i="2"/>
  <c r="N2706" i="2"/>
  <c r="N2694" i="2"/>
  <c r="N2682" i="2"/>
  <c r="N2670" i="2"/>
  <c r="N2658" i="2"/>
  <c r="N2646" i="2"/>
  <c r="N2634" i="2"/>
  <c r="N2622" i="2"/>
  <c r="N2610" i="2"/>
  <c r="N2598" i="2"/>
  <c r="N2586" i="2"/>
  <c r="N2574" i="2"/>
  <c r="N2562" i="2"/>
  <c r="N2550" i="2"/>
  <c r="N2538" i="2"/>
  <c r="N2526" i="2"/>
  <c r="N2514" i="2"/>
  <c r="N2502" i="2"/>
  <c r="N2490" i="2"/>
  <c r="N2478" i="2"/>
  <c r="N2466" i="2"/>
  <c r="N2454" i="2"/>
  <c r="N2442" i="2"/>
  <c r="N2430" i="2"/>
  <c r="N2418" i="2"/>
  <c r="N2406" i="2"/>
  <c r="N2394" i="2"/>
  <c r="N2382" i="2"/>
  <c r="N2370" i="2"/>
  <c r="N2358" i="2"/>
  <c r="N2346" i="2"/>
  <c r="N2334" i="2"/>
  <c r="N2322" i="2"/>
  <c r="N2310" i="2"/>
  <c r="N2298" i="2"/>
  <c r="N2286" i="2"/>
  <c r="N2274" i="2"/>
  <c r="N2262" i="2"/>
  <c r="N2250" i="2"/>
  <c r="N2238" i="2"/>
  <c r="N2226" i="2"/>
  <c r="N2214" i="2"/>
  <c r="N2202" i="2"/>
  <c r="N2190" i="2"/>
  <c r="N2178" i="2"/>
  <c r="N2166" i="2"/>
  <c r="N2154" i="2"/>
  <c r="N2142" i="2"/>
  <c r="N2130" i="2"/>
  <c r="N2118" i="2"/>
  <c r="N2106" i="2"/>
  <c r="N2094" i="2"/>
  <c r="N2082" i="2"/>
  <c r="N2070" i="2"/>
  <c r="N2058" i="2"/>
  <c r="N2041" i="2"/>
  <c r="N2029" i="2"/>
  <c r="N2024" i="2"/>
  <c r="N2012" i="2"/>
  <c r="N2002" i="2"/>
  <c r="N1997" i="2"/>
  <c r="N1977" i="2"/>
  <c r="N1972" i="2"/>
  <c r="N1960" i="2"/>
  <c r="N1938" i="2"/>
  <c r="N1926" i="2"/>
  <c r="N1916" i="2"/>
  <c r="N1904" i="2"/>
  <c r="N1872" i="2"/>
  <c r="N1840" i="2"/>
  <c r="N1818" i="2"/>
  <c r="N1806" i="2"/>
  <c r="N1796" i="2"/>
  <c r="N1781" i="2"/>
  <c r="N1761" i="2"/>
  <c r="N1749" i="2"/>
  <c r="N1737" i="2"/>
  <c r="N1725" i="2"/>
  <c r="N1713" i="2"/>
  <c r="N1701" i="2"/>
  <c r="N1689" i="2"/>
  <c r="N1677" i="2"/>
  <c r="N1665" i="2"/>
  <c r="N1653" i="2"/>
  <c r="N1641" i="2"/>
  <c r="N1629" i="2"/>
  <c r="N1617" i="2"/>
  <c r="N1605" i="2"/>
  <c r="N1593" i="2"/>
  <c r="N1581" i="2"/>
  <c r="N1569" i="2"/>
  <c r="N1557" i="2"/>
  <c r="N1545" i="2"/>
  <c r="N1533" i="2"/>
  <c r="N1521" i="2"/>
  <c r="N1509" i="2"/>
  <c r="N1497" i="2"/>
  <c r="N1485" i="2"/>
  <c r="N1473" i="2"/>
  <c r="N1461" i="2"/>
  <c r="N1449" i="2"/>
  <c r="N1437" i="2"/>
  <c r="N1425" i="2"/>
  <c r="N1413" i="2"/>
  <c r="N1401" i="2"/>
  <c r="N1389" i="2"/>
  <c r="N1377" i="2"/>
  <c r="N1365" i="2"/>
  <c r="N1353" i="2"/>
  <c r="N1341" i="2"/>
  <c r="N1329" i="2"/>
  <c r="N1317" i="2"/>
  <c r="N1305" i="2"/>
  <c r="N1293" i="2"/>
  <c r="N1281" i="2"/>
  <c r="N1269" i="2"/>
  <c r="N1257" i="2"/>
  <c r="N1245" i="2"/>
  <c r="N1233" i="2"/>
  <c r="N1221" i="2"/>
  <c r="N1209" i="2"/>
  <c r="N1197" i="2"/>
  <c r="N1185" i="2"/>
  <c r="N1173" i="2"/>
  <c r="N1161" i="2"/>
  <c r="N1149" i="2"/>
  <c r="N1137" i="2"/>
  <c r="N1125" i="2"/>
  <c r="N1113" i="2"/>
  <c r="N1101" i="2"/>
  <c r="N1089" i="2"/>
  <c r="N1077" i="2"/>
  <c r="N3020" i="2"/>
  <c r="N3008" i="2"/>
  <c r="N2996" i="2"/>
  <c r="N2984" i="2"/>
  <c r="N2972" i="2"/>
  <c r="N2960" i="2"/>
  <c r="N2948" i="2"/>
  <c r="N2936" i="2"/>
  <c r="N2924" i="2"/>
  <c r="N2912" i="2"/>
  <c r="N2900" i="2"/>
  <c r="N2888" i="2"/>
  <c r="N2876" i="2"/>
  <c r="N2864" i="2"/>
  <c r="N2852" i="2"/>
  <c r="N2840" i="2"/>
  <c r="N2828" i="2"/>
  <c r="N2816" i="2"/>
  <c r="N2804" i="2"/>
  <c r="N2792" i="2"/>
  <c r="N2780" i="2"/>
  <c r="N2768" i="2"/>
  <c r="N2756" i="2"/>
  <c r="N2744" i="2"/>
  <c r="N2732" i="2"/>
  <c r="N2720" i="2"/>
  <c r="N2708" i="2"/>
  <c r="N2696" i="2"/>
  <c r="N2684" i="2"/>
  <c r="N2672" i="2"/>
  <c r="N2660" i="2"/>
  <c r="N2648" i="2"/>
  <c r="N2636" i="2"/>
  <c r="N2624" i="2"/>
  <c r="N2612" i="2"/>
  <c r="N2600" i="2"/>
  <c r="N2588" i="2"/>
  <c r="N2576" i="2"/>
  <c r="N2564" i="2"/>
  <c r="N2552" i="2"/>
  <c r="N2540" i="2"/>
  <c r="N2528" i="2"/>
  <c r="N2516" i="2"/>
  <c r="N2504" i="2"/>
  <c r="N2492" i="2"/>
  <c r="N2480" i="2"/>
  <c r="N2468" i="2"/>
  <c r="N2456" i="2"/>
  <c r="N2444" i="2"/>
  <c r="N2432" i="2"/>
  <c r="N2420" i="2"/>
  <c r="N2408" i="2"/>
  <c r="N2396" i="2"/>
  <c r="N2384" i="2"/>
  <c r="N2372" i="2"/>
  <c r="N2360" i="2"/>
  <c r="N2348" i="2"/>
  <c r="N2336" i="2"/>
  <c r="N2324" i="2"/>
  <c r="N2312" i="2"/>
  <c r="N2300" i="2"/>
  <c r="N2288" i="2"/>
  <c r="N2276" i="2"/>
  <c r="N2264" i="2"/>
  <c r="N2252" i="2"/>
  <c r="N2240" i="2"/>
  <c r="N2228" i="2"/>
  <c r="N2216" i="2"/>
  <c r="N2204" i="2"/>
  <c r="N2192" i="2"/>
  <c r="N2180" i="2"/>
  <c r="N2168" i="2"/>
  <c r="N2156" i="2"/>
  <c r="N2144" i="2"/>
  <c r="N2132" i="2"/>
  <c r="N2120" i="2"/>
  <c r="N2108" i="2"/>
  <c r="N2096" i="2"/>
  <c r="N2084" i="2"/>
  <c r="N2072" i="2"/>
  <c r="N2060" i="2"/>
  <c r="N2043" i="2"/>
  <c r="N2031" i="2"/>
  <c r="N2026" i="2"/>
  <c r="N2014" i="2"/>
  <c r="N2009" i="2"/>
  <c r="N2004" i="2"/>
  <c r="N1999" i="2"/>
  <c r="N1987" i="2"/>
  <c r="N1982" i="2"/>
  <c r="N1974" i="2"/>
  <c r="N1962" i="2"/>
  <c r="N1950" i="2"/>
  <c r="N1940" i="2"/>
  <c r="N1928" i="2"/>
  <c r="N1918" i="2"/>
  <c r="N1906" i="2"/>
  <c r="N1894" i="2"/>
  <c r="N1889" i="2"/>
  <c r="N1879" i="2"/>
  <c r="N1874" i="2"/>
  <c r="N1857" i="2"/>
  <c r="N1847" i="2"/>
  <c r="N1842" i="2"/>
  <c r="N1820" i="2"/>
  <c r="N1808" i="2"/>
  <c r="N1798" i="2"/>
  <c r="N1783" i="2"/>
  <c r="N1763" i="2"/>
  <c r="N1751" i="2"/>
  <c r="N1739" i="2"/>
  <c r="N1727" i="2"/>
  <c r="N1715" i="2"/>
  <c r="N1703" i="2"/>
  <c r="N1691" i="2"/>
  <c r="N1679" i="2"/>
  <c r="N1667" i="2"/>
  <c r="N1655" i="2"/>
  <c r="N1643" i="2"/>
  <c r="N1631" i="2"/>
  <c r="N1619" i="2"/>
  <c r="N1607" i="2"/>
  <c r="N1595" i="2"/>
  <c r="N1583" i="2"/>
  <c r="N1571" i="2"/>
  <c r="N1559" i="2"/>
  <c r="N1547" i="2"/>
  <c r="N1535" i="2"/>
  <c r="N1523" i="2"/>
  <c r="N1511" i="2"/>
  <c r="N1499" i="2"/>
  <c r="N1487" i="2"/>
  <c r="N1475" i="2"/>
  <c r="N1463" i="2"/>
  <c r="N1451" i="2"/>
  <c r="N1439" i="2"/>
  <c r="N1427" i="2"/>
  <c r="N1415" i="2"/>
  <c r="N1403" i="2"/>
  <c r="N1391" i="2"/>
  <c r="N1379" i="2"/>
  <c r="N1367" i="2"/>
  <c r="N1355" i="2"/>
  <c r="N1343" i="2"/>
  <c r="N1331" i="2"/>
  <c r="N1319" i="2"/>
  <c r="N1307" i="2"/>
  <c r="N1295" i="2"/>
  <c r="N1283" i="2"/>
  <c r="N1271" i="2"/>
  <c r="N1259" i="2"/>
  <c r="N1247" i="2"/>
  <c r="N1235" i="2"/>
  <c r="N1223" i="2"/>
  <c r="N1211" i="2"/>
  <c r="N1199" i="2"/>
  <c r="N1187" i="2"/>
  <c r="N1175" i="2"/>
  <c r="N1163" i="2"/>
  <c r="N1151" i="2"/>
  <c r="N1139" i="2"/>
  <c r="N1127" i="2"/>
  <c r="N1115" i="2"/>
  <c r="N1103" i="2"/>
  <c r="N1091" i="2"/>
  <c r="N1079" i="2"/>
  <c r="N3022" i="2"/>
  <c r="N3010" i="2"/>
  <c r="N2998" i="2"/>
  <c r="N2986" i="2"/>
  <c r="N2974" i="2"/>
  <c r="N2962" i="2"/>
  <c r="N2950" i="2"/>
  <c r="N2938" i="2"/>
  <c r="N2926" i="2"/>
  <c r="N2914" i="2"/>
  <c r="N2902" i="2"/>
  <c r="N2890" i="2"/>
  <c r="N2878" i="2"/>
  <c r="N2866" i="2"/>
  <c r="N2854" i="2"/>
  <c r="N2842" i="2"/>
  <c r="N2830" i="2"/>
  <c r="N2818" i="2"/>
  <c r="N2806" i="2"/>
  <c r="N2794" i="2"/>
  <c r="N2782" i="2"/>
  <c r="N2770" i="2"/>
  <c r="N2758" i="2"/>
  <c r="N2746" i="2"/>
  <c r="N2734" i="2"/>
  <c r="N2722" i="2"/>
  <c r="N2710" i="2"/>
  <c r="N2698" i="2"/>
  <c r="N2686" i="2"/>
  <c r="N2674" i="2"/>
  <c r="N2662" i="2"/>
  <c r="N2650" i="2"/>
  <c r="N2638" i="2"/>
  <c r="N2626" i="2"/>
  <c r="N2614" i="2"/>
  <c r="N2602" i="2"/>
  <c r="N2590" i="2"/>
  <c r="N2578" i="2"/>
  <c r="N2566" i="2"/>
  <c r="N2554" i="2"/>
  <c r="N2542" i="2"/>
  <c r="N2530" i="2"/>
  <c r="N2518" i="2"/>
  <c r="N2506" i="2"/>
  <c r="N2494" i="2"/>
  <c r="N2482" i="2"/>
  <c r="N2470" i="2"/>
  <c r="N2458" i="2"/>
  <c r="N2446" i="2"/>
  <c r="N2434" i="2"/>
  <c r="N2422" i="2"/>
  <c r="N2410" i="2"/>
  <c r="N2398" i="2"/>
  <c r="N2386" i="2"/>
  <c r="N2374" i="2"/>
  <c r="N2362" i="2"/>
  <c r="N2350" i="2"/>
  <c r="N2338" i="2"/>
  <c r="N2326" i="2"/>
  <c r="N2314" i="2"/>
  <c r="N2302" i="2"/>
  <c r="N2290" i="2"/>
  <c r="N2278" i="2"/>
  <c r="N2266" i="2"/>
  <c r="N2254" i="2"/>
  <c r="N2242" i="2"/>
  <c r="N2230" i="2"/>
  <c r="N2218" i="2"/>
  <c r="N2206" i="2"/>
  <c r="N2194" i="2"/>
  <c r="N2182" i="2"/>
  <c r="N2170" i="2"/>
  <c r="N2158" i="2"/>
  <c r="N2146" i="2"/>
  <c r="N2134" i="2"/>
  <c r="N2122" i="2"/>
  <c r="N2110" i="2"/>
  <c r="N2098" i="2"/>
  <c r="N2086" i="2"/>
  <c r="N2074" i="2"/>
  <c r="N2062" i="2"/>
  <c r="N2050" i="2"/>
  <c r="N2045" i="2"/>
  <c r="N2033" i="2"/>
  <c r="N2016" i="2"/>
  <c r="N2006" i="2"/>
  <c r="N2001" i="2"/>
  <c r="N1989" i="2"/>
  <c r="N1984" i="2"/>
  <c r="N1976" i="2"/>
  <c r="N1964" i="2"/>
  <c r="N1952" i="2"/>
  <c r="N1947" i="2"/>
  <c r="N1942" i="2"/>
  <c r="N1930" i="2"/>
  <c r="N1925" i="2"/>
  <c r="N1920" i="2"/>
  <c r="N1908" i="2"/>
  <c r="N1896" i="2"/>
  <c r="N1891" i="2"/>
  <c r="N1881" i="2"/>
  <c r="N1876" i="2"/>
  <c r="N1864" i="2"/>
  <c r="N1859" i="2"/>
  <c r="N1849" i="2"/>
  <c r="N1844" i="2"/>
  <c r="N1832" i="2"/>
  <c r="N1827" i="2"/>
  <c r="N1822" i="2"/>
  <c r="N1810" i="2"/>
  <c r="N1800" i="2"/>
  <c r="N1785" i="2"/>
  <c r="N1773" i="2"/>
  <c r="N1753" i="2"/>
  <c r="N1741" i="2"/>
  <c r="N1729" i="2"/>
  <c r="N1717" i="2"/>
  <c r="N1705" i="2"/>
  <c r="N1693" i="2"/>
  <c r="N1681" i="2"/>
  <c r="N1669" i="2"/>
  <c r="N1657" i="2"/>
  <c r="N1645" i="2"/>
  <c r="N1633" i="2"/>
  <c r="N1621" i="2"/>
  <c r="N1609" i="2"/>
  <c r="N1597" i="2"/>
  <c r="N1585" i="2"/>
  <c r="N1573" i="2"/>
  <c r="N1561" i="2"/>
  <c r="N1549" i="2"/>
  <c r="N1537" i="2"/>
  <c r="N1525" i="2"/>
  <c r="N1513" i="2"/>
  <c r="N1501" i="2"/>
  <c r="N1489" i="2"/>
  <c r="N1477" i="2"/>
  <c r="N1465" i="2"/>
  <c r="N1453" i="2"/>
  <c r="N1441" i="2"/>
  <c r="N1429" i="2"/>
  <c r="N1417" i="2"/>
  <c r="N1405" i="2"/>
  <c r="N1393" i="2"/>
  <c r="N1381" i="2"/>
  <c r="N1369" i="2"/>
  <c r="N1357" i="2"/>
  <c r="N1345" i="2"/>
  <c r="N1333" i="2"/>
  <c r="N1321" i="2"/>
  <c r="N1309" i="2"/>
  <c r="N1297" i="2"/>
  <c r="N1285" i="2"/>
  <c r="N1273" i="2"/>
  <c r="N1261" i="2"/>
  <c r="N1249" i="2"/>
  <c r="N1237" i="2"/>
  <c r="N1225" i="2"/>
  <c r="N1213" i="2"/>
  <c r="N1201" i="2"/>
  <c r="N1189" i="2"/>
  <c r="N1177" i="2"/>
  <c r="N1165" i="2"/>
  <c r="N1153" i="2"/>
  <c r="N1141" i="2"/>
  <c r="N1129" i="2"/>
  <c r="N1117" i="2"/>
  <c r="N1105" i="2"/>
  <c r="N1093" i="2"/>
  <c r="N1081" i="2"/>
  <c r="N1472" i="2"/>
  <c r="N1460" i="2"/>
  <c r="N1448" i="2"/>
  <c r="N1436" i="2"/>
  <c r="N1424" i="2"/>
  <c r="N1412" i="2"/>
  <c r="N1400" i="2"/>
  <c r="N1388" i="2"/>
  <c r="N1376" i="2"/>
  <c r="N1364" i="2"/>
  <c r="N1352" i="2"/>
  <c r="N1340" i="2"/>
  <c r="N1328" i="2"/>
  <c r="N1316" i="2"/>
  <c r="N1304" i="2"/>
  <c r="N1292" i="2"/>
  <c r="N1280" i="2"/>
  <c r="N1268" i="2"/>
  <c r="N1256" i="2"/>
  <c r="N1244" i="2"/>
  <c r="N1232" i="2"/>
  <c r="N1220" i="2"/>
  <c r="N1208" i="2"/>
  <c r="N1196" i="2"/>
  <c r="N1184" i="2"/>
  <c r="N1172" i="2"/>
  <c r="N1160" i="2"/>
  <c r="N1148" i="2"/>
  <c r="N1136" i="2"/>
  <c r="N1124" i="2"/>
  <c r="N1112" i="2"/>
  <c r="N1100" i="2"/>
  <c r="N1088" i="2"/>
  <c r="N1076" i="2"/>
  <c r="N3012" i="2"/>
  <c r="N3000" i="2"/>
  <c r="N2988" i="2"/>
  <c r="N2976" i="2"/>
  <c r="N2964" i="2"/>
  <c r="N2952" i="2"/>
  <c r="N2940" i="2"/>
  <c r="N2928" i="2"/>
  <c r="N2916" i="2"/>
  <c r="N2904" i="2"/>
  <c r="N2892" i="2"/>
  <c r="N2880" i="2"/>
  <c r="N2868" i="2"/>
  <c r="N2856" i="2"/>
  <c r="N2844" i="2"/>
  <c r="N2832" i="2"/>
  <c r="N2820" i="2"/>
  <c r="N2808" i="2"/>
  <c r="N2796" i="2"/>
  <c r="N2784" i="2"/>
  <c r="N2772" i="2"/>
  <c r="N2760" i="2"/>
  <c r="N2748" i="2"/>
  <c r="N2736" i="2"/>
  <c r="N2724" i="2"/>
  <c r="N2712" i="2"/>
  <c r="N2700" i="2"/>
  <c r="N2688" i="2"/>
  <c r="N2676" i="2"/>
  <c r="N2664" i="2"/>
  <c r="N2652" i="2"/>
  <c r="N2640" i="2"/>
  <c r="N2628" i="2"/>
  <c r="N2616" i="2"/>
  <c r="N2604" i="2"/>
  <c r="N2592" i="2"/>
  <c r="N2580" i="2"/>
  <c r="N2568" i="2"/>
  <c r="N2556" i="2"/>
  <c r="N2544" i="2"/>
  <c r="N2532" i="2"/>
  <c r="N2520" i="2"/>
  <c r="N2508" i="2"/>
  <c r="N2496" i="2"/>
  <c r="N2484" i="2"/>
  <c r="N2472" i="2"/>
  <c r="N2460" i="2"/>
  <c r="N2448" i="2"/>
  <c r="N2436" i="2"/>
  <c r="N2424" i="2"/>
  <c r="N2412" i="2"/>
  <c r="N2400" i="2"/>
  <c r="N2388" i="2"/>
  <c r="N2376" i="2"/>
  <c r="N2364" i="2"/>
  <c r="N2352" i="2"/>
  <c r="N2340" i="2"/>
  <c r="N2328" i="2"/>
  <c r="N2316" i="2"/>
  <c r="N2304" i="2"/>
  <c r="N2292" i="2"/>
  <c r="N2280" i="2"/>
  <c r="N2268" i="2"/>
  <c r="N2256" i="2"/>
  <c r="N2244" i="2"/>
  <c r="N2232" i="2"/>
  <c r="N2220" i="2"/>
  <c r="N2208" i="2"/>
  <c r="N2196" i="2"/>
  <c r="N2184" i="2"/>
  <c r="N2172" i="2"/>
  <c r="N2160" i="2"/>
  <c r="N2148" i="2"/>
  <c r="N2136" i="2"/>
  <c r="N2124" i="2"/>
  <c r="N2112" i="2"/>
  <c r="N2100" i="2"/>
  <c r="N2088" i="2"/>
  <c r="N2076" i="2"/>
  <c r="N2064" i="2"/>
  <c r="N2052" i="2"/>
  <c r="N2047" i="2"/>
  <c r="N2035" i="2"/>
  <c r="N2018" i="2"/>
  <c r="N1991" i="2"/>
  <c r="N1986" i="2"/>
  <c r="N1966" i="2"/>
  <c r="N1954" i="2"/>
  <c r="N1944" i="2"/>
  <c r="N1932" i="2"/>
  <c r="N1922" i="2"/>
  <c r="N1910" i="2"/>
  <c r="N1898" i="2"/>
  <c r="N1893" i="2"/>
  <c r="N1883" i="2"/>
  <c r="N1866" i="2"/>
  <c r="N1861" i="2"/>
  <c r="N1856" i="2"/>
  <c r="N1851" i="2"/>
  <c r="N1846" i="2"/>
  <c r="N1834" i="2"/>
  <c r="N1829" i="2"/>
  <c r="N1824" i="2"/>
  <c r="N1812" i="2"/>
  <c r="N1787" i="2"/>
  <c r="N1775" i="2"/>
  <c r="N1770" i="2"/>
  <c r="N1765" i="2"/>
  <c r="N1755" i="2"/>
  <c r="N1743" i="2"/>
  <c r="N1731" i="2"/>
  <c r="N1719" i="2"/>
  <c r="N1707" i="2"/>
  <c r="N1695" i="2"/>
  <c r="N1683" i="2"/>
  <c r="N1671" i="2"/>
  <c r="N1659" i="2"/>
  <c r="N1647" i="2"/>
  <c r="N1635" i="2"/>
  <c r="N1623" i="2"/>
  <c r="N1611" i="2"/>
  <c r="N1599" i="2"/>
  <c r="N1587" i="2"/>
  <c r="N1575" i="2"/>
  <c r="N1563" i="2"/>
  <c r="N1551" i="2"/>
  <c r="N1539" i="2"/>
  <c r="N1527" i="2"/>
  <c r="N1515" i="2"/>
  <c r="N1503" i="2"/>
  <c r="N1491" i="2"/>
  <c r="N1479" i="2"/>
  <c r="N1467" i="2"/>
  <c r="N1455" i="2"/>
  <c r="N1443" i="2"/>
  <c r="N1431" i="2"/>
  <c r="N1419" i="2"/>
  <c r="N1407" i="2"/>
  <c r="N1395" i="2"/>
  <c r="N1383" i="2"/>
  <c r="N1371" i="2"/>
  <c r="N1359" i="2"/>
  <c r="N1347" i="2"/>
  <c r="N1335" i="2"/>
  <c r="N1323" i="2"/>
  <c r="N1311" i="2"/>
  <c r="N1299" i="2"/>
  <c r="N1287" i="2"/>
  <c r="N1275" i="2"/>
  <c r="N1263" i="2"/>
  <c r="N1251" i="2"/>
  <c r="N1239" i="2"/>
  <c r="N1227" i="2"/>
  <c r="N1215" i="2"/>
  <c r="N1203" i="2"/>
  <c r="N1191" i="2"/>
  <c r="N1179" i="2"/>
  <c r="N1167" i="2"/>
  <c r="N1155" i="2"/>
  <c r="N1143" i="2"/>
  <c r="N1131" i="2"/>
  <c r="N1119" i="2"/>
  <c r="N1107" i="2"/>
  <c r="N1095" i="2"/>
  <c r="N1083" i="2"/>
  <c r="N1075" i="2"/>
  <c r="N1063" i="2"/>
  <c r="N1051" i="2"/>
  <c r="N1039" i="2"/>
  <c r="N1027" i="2"/>
  <c r="N1015" i="2"/>
  <c r="N1003" i="2"/>
  <c r="N991" i="2"/>
  <c r="N979" i="2"/>
  <c r="N967" i="2"/>
  <c r="N955" i="2"/>
  <c r="N943" i="2"/>
  <c r="N931" i="2"/>
  <c r="N919" i="2"/>
  <c r="N907" i="2"/>
  <c r="N895" i="2"/>
  <c r="N883" i="2"/>
  <c r="N871" i="2"/>
  <c r="N859" i="2"/>
  <c r="N847" i="2"/>
  <c r="N835" i="2"/>
  <c r="N823" i="2"/>
  <c r="N811" i="2"/>
  <c r="N799" i="2"/>
  <c r="N787" i="2"/>
  <c r="N775" i="2"/>
  <c r="N763" i="2"/>
  <c r="N739" i="2"/>
  <c r="N727" i="2"/>
  <c r="N715" i="2"/>
  <c r="N703" i="2"/>
  <c r="N691" i="2"/>
  <c r="N679" i="2"/>
  <c r="N667" i="2"/>
  <c r="N655" i="2"/>
  <c r="N643" i="2"/>
  <c r="N631" i="2"/>
  <c r="N619" i="2"/>
  <c r="N607" i="2"/>
  <c r="N595" i="2"/>
  <c r="N583" i="2"/>
  <c r="N571" i="2"/>
  <c r="N559" i="2"/>
  <c r="N547" i="2"/>
  <c r="N535" i="2"/>
  <c r="N523" i="2"/>
  <c r="N487" i="2"/>
  <c r="N475" i="2"/>
  <c r="N463" i="2"/>
  <c r="N451" i="2"/>
  <c r="N439" i="2"/>
  <c r="N427" i="2"/>
  <c r="N415" i="2"/>
  <c r="N403" i="2"/>
  <c r="N391" i="2"/>
  <c r="N379" i="2"/>
  <c r="N367" i="2"/>
  <c r="N355" i="2"/>
  <c r="N343" i="2"/>
  <c r="N331" i="2"/>
  <c r="N319" i="2"/>
  <c r="N307" i="2"/>
  <c r="N295" i="2"/>
  <c r="N283" i="2"/>
  <c r="N271" i="2"/>
  <c r="N259" i="2"/>
  <c r="N247" i="2"/>
  <c r="N235" i="2"/>
  <c r="N223" i="2"/>
  <c r="N211" i="2"/>
  <c r="N199" i="2"/>
  <c r="N187" i="2"/>
  <c r="N175" i="2"/>
  <c r="N163" i="2"/>
  <c r="N151" i="2"/>
  <c r="N139" i="2"/>
  <c r="N115" i="2"/>
  <c r="N103" i="2"/>
  <c r="N91" i="2"/>
  <c r="N79" i="2"/>
  <c r="N67" i="2"/>
  <c r="N55" i="2"/>
  <c r="N43" i="2"/>
  <c r="N7" i="2"/>
  <c r="P7685" i="2"/>
  <c r="N1070" i="2"/>
  <c r="N1058" i="2"/>
  <c r="N1046" i="2"/>
  <c r="N1034" i="2"/>
  <c r="N1022" i="2"/>
  <c r="N1010" i="2"/>
  <c r="N998" i="2"/>
  <c r="N986" i="2"/>
  <c r="N974" i="2"/>
  <c r="N962" i="2"/>
  <c r="N950" i="2"/>
  <c r="N938" i="2"/>
  <c r="N926" i="2"/>
  <c r="N914" i="2"/>
  <c r="N902" i="2"/>
  <c r="N890" i="2"/>
  <c r="N878" i="2"/>
  <c r="N866" i="2"/>
  <c r="N854" i="2"/>
  <c r="N842" i="2"/>
  <c r="N830" i="2"/>
  <c r="N818" i="2"/>
  <c r="N806" i="2"/>
  <c r="N794" i="2"/>
  <c r="N782" i="2"/>
  <c r="N770" i="2"/>
  <c r="N758" i="2"/>
  <c r="N746" i="2"/>
  <c r="N734" i="2"/>
  <c r="N722" i="2"/>
  <c r="N710" i="2"/>
  <c r="N698" i="2"/>
  <c r="N686" i="2"/>
  <c r="N674" i="2"/>
  <c r="N662" i="2"/>
  <c r="N650" i="2"/>
  <c r="N638" i="2"/>
  <c r="N626" i="2"/>
  <c r="N614" i="2"/>
  <c r="N602" i="2"/>
  <c r="N590" i="2"/>
  <c r="N578" i="2"/>
  <c r="N566" i="2"/>
  <c r="N554" i="2"/>
  <c r="N542" i="2"/>
  <c r="N530" i="2"/>
  <c r="N518" i="2"/>
  <c r="N506" i="2"/>
  <c r="N494" i="2"/>
  <c r="N482" i="2"/>
  <c r="N470" i="2"/>
  <c r="N458" i="2"/>
  <c r="N446" i="2"/>
  <c r="N434" i="2"/>
  <c r="N422" i="2"/>
  <c r="N410" i="2"/>
  <c r="N398" i="2"/>
  <c r="N386" i="2"/>
  <c r="N374" i="2"/>
  <c r="N362" i="2"/>
  <c r="N350" i="2"/>
  <c r="N338" i="2"/>
  <c r="N326" i="2"/>
  <c r="N314" i="2"/>
  <c r="N302" i="2"/>
  <c r="N290" i="2"/>
  <c r="N278" i="2"/>
  <c r="N266" i="2"/>
  <c r="N254" i="2"/>
  <c r="N242" i="2"/>
  <c r="N230" i="2"/>
  <c r="N218" i="2"/>
  <c r="N206" i="2"/>
  <c r="N194" i="2"/>
  <c r="N182" i="2"/>
  <c r="N170" i="2"/>
  <c r="N158" i="2"/>
  <c r="N146" i="2"/>
  <c r="N134" i="2"/>
  <c r="N122" i="2"/>
  <c r="N110" i="2"/>
  <c r="N1065" i="2"/>
  <c r="N1053" i="2"/>
  <c r="N1041" i="2"/>
  <c r="N1029" i="2"/>
  <c r="N1017" i="2"/>
  <c r="N1005" i="2"/>
  <c r="N993" i="2"/>
  <c r="N981" i="2"/>
  <c r="N969" i="2"/>
  <c r="N957" i="2"/>
  <c r="N945" i="2"/>
  <c r="N933" i="2"/>
  <c r="N921" i="2"/>
  <c r="N909" i="2"/>
  <c r="N897" i="2"/>
  <c r="N885" i="2"/>
  <c r="N873" i="2"/>
  <c r="N861" i="2"/>
  <c r="N849" i="2"/>
  <c r="N837" i="2"/>
  <c r="N825" i="2"/>
  <c r="N813" i="2"/>
  <c r="N801" i="2"/>
  <c r="N789" i="2"/>
  <c r="N777" i="2"/>
  <c r="N765" i="2"/>
  <c r="N753" i="2"/>
  <c r="N741" i="2"/>
  <c r="N729" i="2"/>
  <c r="N717" i="2"/>
  <c r="N705" i="2"/>
  <c r="N693" i="2"/>
  <c r="N681" i="2"/>
  <c r="N669" i="2"/>
  <c r="N657" i="2"/>
  <c r="N645" i="2"/>
  <c r="N633" i="2"/>
  <c r="N621" i="2"/>
  <c r="N609" i="2"/>
  <c r="N597" i="2"/>
  <c r="N585" i="2"/>
  <c r="N573" i="2"/>
  <c r="N561" i="2"/>
  <c r="N549" i="2"/>
  <c r="N537" i="2"/>
  <c r="N525" i="2"/>
  <c r="N513" i="2"/>
  <c r="N501" i="2"/>
  <c r="N489" i="2"/>
  <c r="N477" i="2"/>
  <c r="N465" i="2"/>
  <c r="N453" i="2"/>
  <c r="N441" i="2"/>
  <c r="N429" i="2"/>
  <c r="N417" i="2"/>
  <c r="N405" i="2"/>
  <c r="N393" i="2"/>
  <c r="N381" i="2"/>
  <c r="N369" i="2"/>
  <c r="N357" i="2"/>
  <c r="N345" i="2"/>
  <c r="N333" i="2"/>
  <c r="N321" i="2"/>
  <c r="N309" i="2"/>
  <c r="N297" i="2"/>
  <c r="N285" i="2"/>
  <c r="N273" i="2"/>
  <c r="N261" i="2"/>
  <c r="N249" i="2"/>
  <c r="N237" i="2"/>
  <c r="N225" i="2"/>
  <c r="N213" i="2"/>
  <c r="N201" i="2"/>
  <c r="N189" i="2"/>
  <c r="N177" i="2"/>
  <c r="N165" i="2"/>
  <c r="N153" i="2"/>
  <c r="N141" i="2"/>
  <c r="N129" i="2"/>
  <c r="N117" i="2"/>
  <c r="N105" i="2"/>
  <c r="N93" i="2"/>
  <c r="N81" i="2"/>
  <c r="N69" i="2"/>
  <c r="N57" i="2"/>
  <c r="N45" i="2"/>
  <c r="N33" i="2"/>
  <c r="N21" i="2"/>
  <c r="N9" i="2"/>
  <c r="N400" i="2"/>
  <c r="N388" i="2"/>
  <c r="N376" i="2"/>
  <c r="N364" i="2"/>
  <c r="N352" i="2"/>
  <c r="N340" i="2"/>
  <c r="N328" i="2"/>
  <c r="N316" i="2"/>
  <c r="N304" i="2"/>
  <c r="N292" i="2"/>
  <c r="N280" i="2"/>
  <c r="N268" i="2"/>
  <c r="N256" i="2"/>
  <c r="N244" i="2"/>
  <c r="N232" i="2"/>
  <c r="N220" i="2"/>
  <c r="N208" i="2"/>
  <c r="N196" i="2"/>
  <c r="N184" i="2"/>
  <c r="N172" i="2"/>
  <c r="N160" i="2"/>
  <c r="N148" i="2"/>
  <c r="N136" i="2"/>
  <c r="N124" i="2"/>
  <c r="N112" i="2"/>
  <c r="N100" i="2"/>
  <c r="N88" i="2"/>
  <c r="N76" i="2"/>
  <c r="N64" i="2"/>
  <c r="N52" i="2"/>
  <c r="N40" i="2"/>
  <c r="N28" i="2"/>
  <c r="N16" i="2"/>
  <c r="N4" i="2"/>
  <c r="N1067" i="2"/>
  <c r="N1055" i="2"/>
  <c r="N1043" i="2"/>
  <c r="N1031" i="2"/>
  <c r="N1019" i="2"/>
  <c r="N1007" i="2"/>
  <c r="N995" i="2"/>
  <c r="N983" i="2"/>
  <c r="N971" i="2"/>
  <c r="N959" i="2"/>
  <c r="N947" i="2"/>
  <c r="N935" i="2"/>
  <c r="N923" i="2"/>
  <c r="N911" i="2"/>
  <c r="N899" i="2"/>
  <c r="N887" i="2"/>
  <c r="N875" i="2"/>
  <c r="N863" i="2"/>
  <c r="N851" i="2"/>
  <c r="N839" i="2"/>
  <c r="N827" i="2"/>
  <c r="N815" i="2"/>
  <c r="N803" i="2"/>
  <c r="N791" i="2"/>
  <c r="N779" i="2"/>
  <c r="N767" i="2"/>
  <c r="N755" i="2"/>
  <c r="N743" i="2"/>
  <c r="N731" i="2"/>
  <c r="N719" i="2"/>
  <c r="N707" i="2"/>
  <c r="N695" i="2"/>
  <c r="N683" i="2"/>
  <c r="N671" i="2"/>
  <c r="N659" i="2"/>
  <c r="N647" i="2"/>
  <c r="N635" i="2"/>
  <c r="N623" i="2"/>
  <c r="N611" i="2"/>
  <c r="N599" i="2"/>
  <c r="N587" i="2"/>
  <c r="N575" i="2"/>
  <c r="N563" i="2"/>
  <c r="N551" i="2"/>
  <c r="N539" i="2"/>
  <c r="N527" i="2"/>
  <c r="N515" i="2"/>
  <c r="N503" i="2"/>
  <c r="N491" i="2"/>
  <c r="N479" i="2"/>
  <c r="N467" i="2"/>
  <c r="N455" i="2"/>
  <c r="N443" i="2"/>
  <c r="N431" i="2"/>
  <c r="N419" i="2"/>
  <c r="N407" i="2"/>
  <c r="N395" i="2"/>
  <c r="N383" i="2"/>
  <c r="N371" i="2"/>
  <c r="N359" i="2"/>
  <c r="N347" i="2"/>
  <c r="N335" i="2"/>
  <c r="N323" i="2"/>
  <c r="N311" i="2"/>
  <c r="N299" i="2"/>
  <c r="N287" i="2"/>
  <c r="N275" i="2"/>
  <c r="N263" i="2"/>
  <c r="N251" i="2"/>
  <c r="N239" i="2"/>
  <c r="N227" i="2"/>
  <c r="N215" i="2"/>
  <c r="N203" i="2"/>
  <c r="N191" i="2"/>
  <c r="N179" i="2"/>
  <c r="N167" i="2"/>
  <c r="N155" i="2"/>
  <c r="N143" i="2"/>
  <c r="N131" i="2"/>
  <c r="N119" i="2"/>
  <c r="N107" i="2"/>
  <c r="N95" i="2"/>
  <c r="N83" i="2"/>
  <c r="N71" i="2"/>
  <c r="N59" i="2"/>
  <c r="N47" i="2"/>
  <c r="N35" i="2"/>
  <c r="N23" i="2"/>
  <c r="N11" i="2"/>
  <c r="N1069" i="2"/>
  <c r="N1057" i="2"/>
  <c r="N1045" i="2"/>
  <c r="N1033" i="2"/>
  <c r="N1021" i="2"/>
  <c r="N1009" i="2"/>
  <c r="N997" i="2"/>
  <c r="N985" i="2"/>
  <c r="N973" i="2"/>
  <c r="N961" i="2"/>
  <c r="N949" i="2"/>
  <c r="N937" i="2"/>
  <c r="N925" i="2"/>
  <c r="N913" i="2"/>
  <c r="N901" i="2"/>
  <c r="N889" i="2"/>
  <c r="N877" i="2"/>
  <c r="N865" i="2"/>
  <c r="N853" i="2"/>
  <c r="N841" i="2"/>
  <c r="N829" i="2"/>
  <c r="N817" i="2"/>
  <c r="N805" i="2"/>
  <c r="N793" i="2"/>
  <c r="N781" i="2"/>
  <c r="N769" i="2"/>
  <c r="N757" i="2"/>
  <c r="N745" i="2"/>
  <c r="N733" i="2"/>
  <c r="N721" i="2"/>
  <c r="N709" i="2"/>
  <c r="N697" i="2"/>
  <c r="N685" i="2"/>
  <c r="N673" i="2"/>
  <c r="N661" i="2"/>
  <c r="N649" i="2"/>
  <c r="N637" i="2"/>
  <c r="N625" i="2"/>
  <c r="N613" i="2"/>
  <c r="N601" i="2"/>
  <c r="N589" i="2"/>
  <c r="N577" i="2"/>
  <c r="N565" i="2"/>
  <c r="N553" i="2"/>
  <c r="N541" i="2"/>
  <c r="N529" i="2"/>
  <c r="N517" i="2"/>
  <c r="N505" i="2"/>
  <c r="N493" i="2"/>
  <c r="N481" i="2"/>
  <c r="N469" i="2"/>
  <c r="N457" i="2"/>
  <c r="N445" i="2"/>
  <c r="N433" i="2"/>
  <c r="N421" i="2"/>
  <c r="N409" i="2"/>
  <c r="N397" i="2"/>
  <c r="N385" i="2"/>
  <c r="N373" i="2"/>
  <c r="N361" i="2"/>
  <c r="N349" i="2"/>
  <c r="N337" i="2"/>
  <c r="N325" i="2"/>
  <c r="N313" i="2"/>
  <c r="N301" i="2"/>
  <c r="N289" i="2"/>
  <c r="N277" i="2"/>
  <c r="N265" i="2"/>
  <c r="N253" i="2"/>
  <c r="N241" i="2"/>
  <c r="N229" i="2"/>
  <c r="N217" i="2"/>
  <c r="N205" i="2"/>
  <c r="N193" i="2"/>
  <c r="N181" i="2"/>
  <c r="N169" i="2"/>
  <c r="N157" i="2"/>
  <c r="N145" i="2"/>
  <c r="N133" i="2"/>
  <c r="N121" i="2"/>
  <c r="N109" i="2"/>
  <c r="N97" i="2"/>
  <c r="P7668" i="2"/>
  <c r="N1064" i="2"/>
  <c r="N1052" i="2"/>
  <c r="N1040" i="2"/>
  <c r="N1028" i="2"/>
  <c r="N1016" i="2"/>
  <c r="N1004" i="2"/>
  <c r="N992" i="2"/>
  <c r="N980" i="2"/>
  <c r="N968" i="2"/>
  <c r="N956" i="2"/>
  <c r="N944" i="2"/>
  <c r="N932" i="2"/>
  <c r="N920" i="2"/>
  <c r="N908" i="2"/>
  <c r="N896" i="2"/>
  <c r="N884" i="2"/>
  <c r="N872" i="2"/>
  <c r="N860" i="2"/>
  <c r="N848" i="2"/>
  <c r="N836" i="2"/>
  <c r="N824" i="2"/>
  <c r="N812" i="2"/>
  <c r="N800" i="2"/>
  <c r="N788" i="2"/>
  <c r="N776" i="2"/>
  <c r="N764" i="2"/>
  <c r="N752" i="2"/>
  <c r="N740" i="2"/>
  <c r="N728" i="2"/>
  <c r="N716" i="2"/>
  <c r="N704" i="2"/>
  <c r="N692" i="2"/>
  <c r="N680" i="2"/>
  <c r="N668" i="2"/>
  <c r="N656" i="2"/>
  <c r="N644" i="2"/>
  <c r="N632" i="2"/>
  <c r="N620" i="2"/>
  <c r="N608" i="2"/>
  <c r="N596" i="2"/>
  <c r="N584" i="2"/>
  <c r="N572" i="2"/>
  <c r="N560" i="2"/>
  <c r="N548" i="2"/>
  <c r="N536" i="2"/>
  <c r="N524" i="2"/>
  <c r="N512" i="2"/>
  <c r="N500" i="2"/>
  <c r="N488" i="2"/>
  <c r="N476" i="2"/>
  <c r="N464" i="2"/>
  <c r="N452" i="2"/>
  <c r="N440" i="2"/>
  <c r="N428" i="2"/>
  <c r="N416" i="2"/>
  <c r="N404" i="2"/>
  <c r="N392" i="2"/>
  <c r="N380" i="2"/>
  <c r="N368" i="2"/>
  <c r="N356" i="2"/>
  <c r="N344" i="2"/>
  <c r="N332" i="2"/>
  <c r="N320" i="2"/>
  <c r="N308" i="2"/>
  <c r="N296" i="2"/>
  <c r="N284" i="2"/>
  <c r="N272" i="2"/>
  <c r="N260" i="2"/>
  <c r="N248" i="2"/>
  <c r="N236" i="2"/>
  <c r="N224" i="2"/>
  <c r="N212" i="2"/>
  <c r="N200" i="2"/>
  <c r="N188" i="2"/>
  <c r="N176" i="2"/>
  <c r="N164" i="2"/>
  <c r="N152" i="2"/>
  <c r="N140" i="2"/>
  <c r="N128" i="2"/>
  <c r="N116" i="2"/>
  <c r="N104" i="2"/>
  <c r="N92" i="2"/>
  <c r="N80" i="2"/>
  <c r="N68" i="2"/>
  <c r="N56" i="2"/>
  <c r="N44" i="2"/>
  <c r="N32" i="2"/>
  <c r="N20" i="2"/>
  <c r="N8" i="2"/>
  <c r="N1066" i="2"/>
  <c r="N1054" i="2"/>
  <c r="N1042" i="2"/>
  <c r="N1030" i="2"/>
  <c r="N1018" i="2"/>
  <c r="N1006" i="2"/>
  <c r="N994" i="2"/>
  <c r="N982" i="2"/>
  <c r="N970" i="2"/>
  <c r="N958" i="2"/>
  <c r="N946" i="2"/>
  <c r="N934" i="2"/>
  <c r="N922" i="2"/>
  <c r="N910" i="2"/>
  <c r="N898" i="2"/>
  <c r="N886" i="2"/>
  <c r="N874" i="2"/>
  <c r="N862" i="2"/>
  <c r="N850" i="2"/>
  <c r="N838" i="2"/>
  <c r="N826" i="2"/>
  <c r="N814" i="2"/>
  <c r="N802" i="2"/>
  <c r="N790" i="2"/>
  <c r="N778" i="2"/>
  <c r="N766" i="2"/>
  <c r="N754" i="2"/>
  <c r="N742" i="2"/>
  <c r="N730" i="2"/>
  <c r="N718" i="2"/>
  <c r="N706" i="2"/>
  <c r="N694" i="2"/>
  <c r="N682" i="2"/>
  <c r="N670" i="2"/>
  <c r="N658" i="2"/>
  <c r="N646" i="2"/>
  <c r="N634" i="2"/>
  <c r="N622" i="2"/>
  <c r="N610" i="2"/>
  <c r="N598" i="2"/>
  <c r="N586" i="2"/>
  <c r="N574" i="2"/>
  <c r="N562" i="2"/>
  <c r="N550" i="2"/>
  <c r="N538" i="2"/>
  <c r="N526" i="2"/>
  <c r="N514" i="2"/>
  <c r="N502" i="2"/>
  <c r="N490" i="2"/>
  <c r="N478" i="2"/>
  <c r="N466" i="2"/>
  <c r="N454" i="2"/>
  <c r="N442" i="2"/>
  <c r="N430" i="2"/>
  <c r="N418" i="2"/>
  <c r="N406" i="2"/>
  <c r="N394" i="2"/>
  <c r="N382" i="2"/>
  <c r="N370" i="2"/>
  <c r="N358" i="2"/>
  <c r="N346" i="2"/>
  <c r="N334" i="2"/>
  <c r="N322" i="2"/>
  <c r="N310" i="2"/>
  <c r="N298" i="2"/>
  <c r="N286" i="2"/>
  <c r="N274" i="2"/>
  <c r="N262" i="2"/>
  <c r="N250" i="2"/>
  <c r="N238" i="2"/>
  <c r="N226" i="2"/>
  <c r="N214" i="2"/>
  <c r="N202" i="2"/>
  <c r="N190" i="2"/>
  <c r="N178" i="2"/>
  <c r="N166" i="2"/>
  <c r="N154" i="2"/>
  <c r="N142" i="2"/>
  <c r="N130" i="2"/>
  <c r="N118" i="2"/>
  <c r="N106" i="2"/>
  <c r="N94" i="2"/>
  <c r="N82" i="2"/>
  <c r="N70" i="2"/>
  <c r="N58" i="2"/>
  <c r="N46" i="2"/>
  <c r="N34" i="2"/>
  <c r="N22" i="2"/>
  <c r="N10" i="2"/>
  <c r="P7694" i="2"/>
  <c r="N1073" i="2"/>
  <c r="N1061" i="2"/>
  <c r="N1049" i="2"/>
  <c r="N1037" i="2"/>
  <c r="N1025" i="2"/>
  <c r="N1013" i="2"/>
  <c r="N1001" i="2"/>
  <c r="N989" i="2"/>
  <c r="N977" i="2"/>
  <c r="N965" i="2"/>
  <c r="N953" i="2"/>
  <c r="N941" i="2"/>
  <c r="N929" i="2"/>
  <c r="N917" i="2"/>
  <c r="N905" i="2"/>
  <c r="N893" i="2"/>
  <c r="N881" i="2"/>
  <c r="N869" i="2"/>
  <c r="N857" i="2"/>
  <c r="N845" i="2"/>
  <c r="N833" i="2"/>
  <c r="N821" i="2"/>
  <c r="N809" i="2"/>
  <c r="N797" i="2"/>
  <c r="N785" i="2"/>
  <c r="N773" i="2"/>
  <c r="N761" i="2"/>
  <c r="N749" i="2"/>
  <c r="N737" i="2"/>
  <c r="N725" i="2"/>
  <c r="N713" i="2"/>
  <c r="N701" i="2"/>
  <c r="N689" i="2"/>
  <c r="N677" i="2"/>
  <c r="N665" i="2"/>
  <c r="N653" i="2"/>
  <c r="N641" i="2"/>
  <c r="N629" i="2"/>
  <c r="N617" i="2"/>
  <c r="N605" i="2"/>
  <c r="N593" i="2"/>
  <c r="N581" i="2"/>
  <c r="N569" i="2"/>
  <c r="N557" i="2"/>
  <c r="N545" i="2"/>
  <c r="N533" i="2"/>
  <c r="N521" i="2"/>
  <c r="N509" i="2"/>
  <c r="N497" i="2"/>
  <c r="N485" i="2"/>
  <c r="N473" i="2"/>
  <c r="N461" i="2"/>
  <c r="N449" i="2"/>
  <c r="N437" i="2"/>
  <c r="N425" i="2"/>
  <c r="N413" i="2"/>
  <c r="N401" i="2"/>
  <c r="N389" i="2"/>
  <c r="N377" i="2"/>
  <c r="N365" i="2"/>
  <c r="N353" i="2"/>
  <c r="N341" i="2"/>
  <c r="N329" i="2"/>
  <c r="N317" i="2"/>
  <c r="N305" i="2"/>
  <c r="N293" i="2"/>
  <c r="N281" i="2"/>
  <c r="N269" i="2"/>
  <c r="N257" i="2"/>
  <c r="N245" i="2"/>
  <c r="N233" i="2"/>
  <c r="N221" i="2"/>
  <c r="N209" i="2"/>
  <c r="N197" i="2"/>
  <c r="N185" i="2"/>
  <c r="N173" i="2"/>
  <c r="N161" i="2"/>
  <c r="N149" i="2"/>
  <c r="N137" i="2"/>
  <c r="N125" i="2"/>
  <c r="N113" i="2"/>
  <c r="N101" i="2"/>
  <c r="N89" i="2"/>
  <c r="N77" i="2"/>
  <c r="N65" i="2"/>
  <c r="N53" i="2"/>
  <c r="N41" i="2"/>
  <c r="N29" i="2"/>
  <c r="N17" i="2"/>
  <c r="N5" i="2"/>
  <c r="P7701" i="2"/>
  <c r="P7687" i="2"/>
  <c r="P7695" i="2"/>
  <c r="P7705" i="2"/>
  <c r="P7697" i="2"/>
  <c r="P7715" i="2"/>
  <c r="P7717" i="2"/>
  <c r="P7716" i="2"/>
  <c r="P7714" i="2"/>
  <c r="P7690" i="2"/>
  <c r="P7713" i="2"/>
  <c r="P7693" i="2"/>
  <c r="P7709" i="2"/>
  <c r="P7689" i="2"/>
  <c r="P7703" i="2"/>
  <c r="P7704" i="2"/>
  <c r="P7710" i="2"/>
  <c r="P7707" i="2"/>
  <c r="P7698" i="2"/>
  <c r="P7712" i="2"/>
  <c r="P7692" i="2"/>
  <c r="P7708" i="2"/>
  <c r="P7699" i="2"/>
  <c r="P7686" i="2"/>
  <c r="P7702" i="2"/>
  <c r="P7672" i="2"/>
  <c r="P7647" i="2"/>
  <c r="P7630" i="2"/>
  <c r="P7634" i="2"/>
  <c r="P7653" i="2"/>
  <c r="P7645" i="2"/>
  <c r="P7681" i="2"/>
  <c r="P7671" i="2"/>
  <c r="P7638" i="2"/>
  <c r="P7627" i="2"/>
  <c r="P7679" i="2"/>
  <c r="P7669" i="2"/>
  <c r="P7650" i="2"/>
  <c r="P7626" i="2"/>
  <c r="P7661" i="2"/>
  <c r="P7642" i="2"/>
  <c r="P7655" i="2"/>
  <c r="P7636" i="2"/>
  <c r="P7643" i="2"/>
  <c r="P7628" i="2"/>
  <c r="P7680" i="2"/>
  <c r="P7660" i="2"/>
  <c r="P7646" i="2"/>
  <c r="P7632" i="2"/>
  <c r="P7624" i="2"/>
  <c r="P7622" i="2"/>
  <c r="P7674" i="2"/>
  <c r="P7663" i="2"/>
  <c r="P7676" i="2"/>
  <c r="P7649" i="2"/>
  <c r="P7667" i="2"/>
  <c r="P7665" i="2"/>
  <c r="P7635" i="2"/>
  <c r="P7659" i="2"/>
  <c r="P7664" i="2"/>
  <c r="P7657" i="2"/>
  <c r="P7641" i="2"/>
  <c r="P7656" i="2"/>
  <c r="P7644" i="2"/>
  <c r="P7640" i="2"/>
  <c r="P7631" i="2"/>
  <c r="P7629" i="2"/>
  <c r="P7625" i="2"/>
  <c r="P7682" i="2"/>
  <c r="P7639" i="2"/>
  <c r="P7683" i="2"/>
  <c r="P7678" i="2"/>
  <c r="P7684" i="2"/>
  <c r="P7677" i="2"/>
  <c r="P7652" i="2"/>
  <c r="P7648" i="2"/>
  <c r="P7637" i="2"/>
  <c r="P7633" i="2"/>
  <c r="P7666" i="2"/>
  <c r="P7662" i="2"/>
  <c r="P7658" i="2"/>
  <c r="P7673" i="2"/>
  <c r="P7670" i="2"/>
  <c r="P7654" i="2"/>
  <c r="M405" i="2"/>
  <c r="M2382" i="2"/>
  <c r="M2178" i="2"/>
  <c r="L6713" i="2"/>
  <c r="L5796" i="2"/>
  <c r="M657" i="2"/>
  <c r="L649" i="2"/>
  <c r="M645" i="2"/>
  <c r="L5502" i="2"/>
  <c r="M5478" i="2"/>
  <c r="L4718" i="2"/>
  <c r="M3223" i="2"/>
  <c r="L1902" i="2"/>
  <c r="M1167" i="2"/>
  <c r="M6337" i="2"/>
  <c r="L6029" i="2"/>
  <c r="L5897" i="2"/>
  <c r="L3326" i="2"/>
  <c r="M2586" i="2"/>
  <c r="Q2533" i="2"/>
  <c r="M2075" i="2"/>
  <c r="M7063" i="2"/>
  <c r="M6963" i="2"/>
  <c r="Q505" i="2"/>
  <c r="L6430" i="2"/>
  <c r="L6386" i="2"/>
  <c r="M6290" i="2"/>
  <c r="L6198" i="2"/>
  <c r="M6170" i="2"/>
  <c r="L6142" i="2"/>
  <c r="L6126" i="2"/>
  <c r="M2747" i="2"/>
  <c r="M2551" i="2"/>
  <c r="L2320" i="2"/>
  <c r="Q2028" i="2"/>
  <c r="M7323" i="2"/>
  <c r="L5509" i="2"/>
  <c r="M5477" i="2"/>
  <c r="M4665" i="2"/>
  <c r="L4581" i="2"/>
  <c r="L4561" i="2"/>
  <c r="M4001" i="2"/>
  <c r="L3941" i="2"/>
  <c r="M3701" i="2"/>
  <c r="M3677" i="2"/>
  <c r="L3626" i="2"/>
  <c r="M3606" i="2"/>
  <c r="M3546" i="2"/>
  <c r="M3126" i="2"/>
  <c r="M1383" i="2"/>
  <c r="M1367" i="2"/>
  <c r="L7398" i="2"/>
  <c r="L7058" i="2"/>
  <c r="L6966" i="2"/>
  <c r="M6376" i="2"/>
  <c r="L6284" i="2"/>
  <c r="L6279" i="2"/>
  <c r="L6252" i="2"/>
  <c r="M5892" i="2"/>
  <c r="M5856" i="2"/>
  <c r="M4772" i="2"/>
  <c r="L4647" i="2"/>
  <c r="L3516" i="2"/>
  <c r="M2536" i="2"/>
  <c r="M5801" i="2"/>
  <c r="M5047" i="2"/>
  <c r="L4663" i="2"/>
  <c r="L3608" i="2"/>
  <c r="L3552" i="2"/>
  <c r="M3444" i="2"/>
  <c r="M3420" i="2"/>
  <c r="L2954" i="2"/>
  <c r="L1851" i="2"/>
  <c r="M1400" i="2"/>
  <c r="L520" i="2"/>
  <c r="M208" i="2"/>
  <c r="M96" i="2"/>
  <c r="M44" i="2"/>
  <c r="L6900" i="2"/>
  <c r="L5863" i="2"/>
  <c r="L5851" i="2"/>
  <c r="L5599" i="2"/>
  <c r="L5441" i="2"/>
  <c r="M2949" i="2"/>
  <c r="L371" i="2"/>
  <c r="M207" i="2"/>
  <c r="L7614" i="2"/>
  <c r="M7586" i="2"/>
  <c r="L7578" i="2"/>
  <c r="L7542" i="2"/>
  <c r="L7530" i="2"/>
  <c r="L7470" i="2"/>
  <c r="M7442" i="2"/>
  <c r="L7434" i="2"/>
  <c r="L7422" i="2"/>
  <c r="L7350" i="2"/>
  <c r="M6808" i="2"/>
  <c r="L6608" i="2"/>
  <c r="L4036" i="2"/>
  <c r="Q3771" i="2"/>
  <c r="L3298" i="2"/>
  <c r="M3034" i="2"/>
  <c r="L1964" i="2"/>
  <c r="L1952" i="2"/>
  <c r="L1915" i="2"/>
  <c r="M1904" i="2"/>
  <c r="Q1772" i="2"/>
  <c r="L1402" i="2"/>
  <c r="L1386" i="2"/>
  <c r="M1086" i="2"/>
  <c r="M1042" i="2"/>
  <c r="L990" i="2"/>
  <c r="M898" i="2"/>
  <c r="M770" i="2"/>
  <c r="M746" i="2"/>
  <c r="M734" i="2"/>
  <c r="L586" i="2"/>
  <c r="M538" i="2"/>
  <c r="L498" i="2"/>
  <c r="M494" i="2"/>
  <c r="M470" i="2"/>
  <c r="M242" i="2"/>
  <c r="M178" i="2"/>
  <c r="L5547" i="2"/>
  <c r="L7328" i="2"/>
  <c r="M5828" i="2"/>
  <c r="M6031" i="2"/>
  <c r="L7170" i="2"/>
  <c r="Q6947" i="2"/>
  <c r="L6537" i="2"/>
  <c r="L6525" i="2"/>
  <c r="L6524" i="2"/>
  <c r="M6500" i="2"/>
  <c r="L6333" i="2"/>
  <c r="M6277" i="2"/>
  <c r="M6273" i="2"/>
  <c r="L6253" i="2"/>
  <c r="M6220" i="2"/>
  <c r="L6209" i="2"/>
  <c r="M6197" i="2"/>
  <c r="L6181" i="2"/>
  <c r="L6145" i="2"/>
  <c r="L6133" i="2"/>
  <c r="L6125" i="2"/>
  <c r="M6113" i="2"/>
  <c r="L6101" i="2"/>
  <c r="L6096" i="2"/>
  <c r="L6093" i="2"/>
  <c r="M6046" i="2"/>
  <c r="L6041" i="2"/>
  <c r="L5982" i="2"/>
  <c r="M5573" i="2"/>
  <c r="M5452" i="2"/>
  <c r="M5428" i="2"/>
  <c r="M5152" i="2"/>
  <c r="M3485" i="2"/>
  <c r="M3473" i="2"/>
  <c r="M3392" i="2"/>
  <c r="L2758" i="2"/>
  <c r="L2367" i="2"/>
  <c r="L2331" i="2"/>
  <c r="L2215" i="2"/>
  <c r="M2023" i="2"/>
  <c r="L1992" i="2"/>
  <c r="L1748" i="2"/>
  <c r="L1620" i="2"/>
  <c r="L1553" i="2"/>
  <c r="M1549" i="2"/>
  <c r="L1545" i="2"/>
  <c r="M1509" i="2"/>
  <c r="M1481" i="2"/>
  <c r="L1421" i="2"/>
  <c r="M1333" i="2"/>
  <c r="M1326" i="2"/>
  <c r="L1067" i="2"/>
  <c r="M1043" i="2"/>
  <c r="M1007" i="2"/>
  <c r="L999" i="2"/>
  <c r="M887" i="2"/>
  <c r="M878" i="2"/>
  <c r="M863" i="2"/>
  <c r="M778" i="2"/>
  <c r="L667" i="2"/>
  <c r="L551" i="2"/>
  <c r="L539" i="2"/>
  <c r="M530" i="2"/>
  <c r="M476" i="2"/>
  <c r="L412" i="2"/>
  <c r="Q378" i="2"/>
  <c r="L333" i="2"/>
  <c r="L57" i="2"/>
  <c r="L5846" i="2"/>
  <c r="L5830" i="2"/>
  <c r="M5739" i="2"/>
  <c r="L5655" i="2"/>
  <c r="L5576" i="2"/>
  <c r="L5283" i="2"/>
  <c r="M5215" i="2"/>
  <c r="M5151" i="2"/>
  <c r="Q4537" i="2"/>
  <c r="Q4237" i="2"/>
  <c r="Q4213" i="2"/>
  <c r="Q4201" i="2"/>
  <c r="Q4189" i="2"/>
  <c r="Q4177" i="2"/>
  <c r="Q4165" i="2"/>
  <c r="Q4153" i="2"/>
  <c r="Q4141" i="2"/>
  <c r="Q4129" i="2"/>
  <c r="Q4117" i="2"/>
  <c r="Q4105" i="2"/>
  <c r="Q4093" i="2"/>
  <c r="Q4081" i="2"/>
  <c r="Q4069" i="2"/>
  <c r="Q3610" i="2"/>
  <c r="L2090" i="2"/>
  <c r="M2033" i="2"/>
  <c r="L1763" i="2"/>
  <c r="L1743" i="2"/>
  <c r="L1739" i="2"/>
  <c r="L1564" i="2"/>
  <c r="L1560" i="2"/>
  <c r="M1520" i="2"/>
  <c r="M1508" i="2"/>
  <c r="M1488" i="2"/>
  <c r="L961" i="2"/>
  <c r="M937" i="2"/>
  <c r="M454" i="2"/>
  <c r="M386" i="2"/>
  <c r="Q7314" i="2"/>
  <c r="M7272" i="2"/>
  <c r="M7184" i="2"/>
  <c r="Q7175" i="2"/>
  <c r="M7096" i="2"/>
  <c r="L6875" i="2"/>
  <c r="L6598" i="2"/>
  <c r="M6591" i="2"/>
  <c r="L6579" i="2"/>
  <c r="M6555" i="2"/>
  <c r="Q6537" i="2"/>
  <c r="L6327" i="2"/>
  <c r="M6291" i="2"/>
  <c r="L6174" i="2"/>
  <c r="L6127" i="2"/>
  <c r="M6087" i="2"/>
  <c r="M5981" i="2"/>
  <c r="M5949" i="2"/>
  <c r="L5904" i="2"/>
  <c r="M5826" i="2"/>
  <c r="Q5790" i="2"/>
  <c r="L5673" i="2"/>
  <c r="M5622" i="2"/>
  <c r="M5545" i="2"/>
  <c r="M5517" i="2"/>
  <c r="M5386" i="2"/>
  <c r="L5250" i="2"/>
  <c r="L5234" i="2"/>
  <c r="M5229" i="2"/>
  <c r="L5214" i="2"/>
  <c r="L5194" i="2"/>
  <c r="L5170" i="2"/>
  <c r="L5154" i="2"/>
  <c r="L5131" i="2"/>
  <c r="M5068" i="2"/>
  <c r="L4789" i="2"/>
  <c r="M3741" i="2"/>
  <c r="M3499" i="2"/>
  <c r="M3375" i="2"/>
  <c r="L3209" i="2"/>
  <c r="L3185" i="2"/>
  <c r="L2935" i="2"/>
  <c r="Q2707" i="2"/>
  <c r="Q2588" i="2"/>
  <c r="M2432" i="2"/>
  <c r="M2396" i="2"/>
  <c r="M2389" i="2"/>
  <c r="M1887" i="2"/>
  <c r="M1822" i="2"/>
  <c r="L1758" i="2"/>
  <c r="L1004" i="2"/>
  <c r="M7250" i="2"/>
  <c r="M7245" i="2"/>
  <c r="M7149" i="2"/>
  <c r="M7003" i="2"/>
  <c r="M6752" i="2"/>
  <c r="L6433" i="2"/>
  <c r="M6253" i="2"/>
  <c r="L6208" i="2"/>
  <c r="M6184" i="2"/>
  <c r="M6153" i="2"/>
  <c r="L6122" i="2"/>
  <c r="M6029" i="2"/>
  <c r="L5962" i="2"/>
  <c r="M5919" i="2"/>
  <c r="M5539" i="2"/>
  <c r="L5520" i="2"/>
  <c r="Q5508" i="2"/>
  <c r="L5506" i="2"/>
  <c r="M5470" i="2"/>
  <c r="L5391" i="2"/>
  <c r="M5384" i="2"/>
  <c r="M5353" i="2"/>
  <c r="M5042" i="2"/>
  <c r="M4946" i="2"/>
  <c r="M3990" i="2"/>
  <c r="M3978" i="2"/>
  <c r="L3726" i="2"/>
  <c r="M3714" i="2"/>
  <c r="M3683" i="2"/>
  <c r="M3625" i="2"/>
  <c r="M3577" i="2"/>
  <c r="M3565" i="2"/>
  <c r="M3500" i="2"/>
  <c r="L3244" i="2"/>
  <c r="M2765" i="2"/>
  <c r="M2741" i="2"/>
  <c r="L2325" i="2"/>
  <c r="L2301" i="2"/>
  <c r="L1893" i="2"/>
  <c r="L1760" i="2"/>
  <c r="M1674" i="2"/>
  <c r="M1487" i="2"/>
  <c r="M1236" i="2"/>
  <c r="M1224" i="2"/>
  <c r="L1188" i="2"/>
  <c r="L687" i="2"/>
  <c r="L139" i="2"/>
  <c r="L6303" i="2"/>
  <c r="M6112" i="2"/>
  <c r="M5448" i="2"/>
  <c r="L5216" i="2"/>
  <c r="M1322" i="2"/>
  <c r="L991" i="2"/>
  <c r="Q349" i="2"/>
  <c r="Q136" i="2"/>
  <c r="M129" i="2"/>
  <c r="Q124" i="2"/>
  <c r="Q112" i="2"/>
  <c r="Q7146" i="2"/>
  <c r="M6181" i="2"/>
  <c r="Q5990" i="2"/>
  <c r="M5677" i="2"/>
  <c r="M3968" i="2"/>
  <c r="M3728" i="2"/>
  <c r="L3704" i="2"/>
  <c r="M3162" i="2"/>
  <c r="L2485" i="2"/>
  <c r="Q2463" i="2"/>
  <c r="L2461" i="2"/>
  <c r="L2255" i="2"/>
  <c r="L2183" i="2"/>
  <c r="L7527" i="2"/>
  <c r="L7467" i="2"/>
  <c r="L7455" i="2"/>
  <c r="M7019" i="2"/>
  <c r="M6919" i="2"/>
  <c r="M6514" i="2"/>
  <c r="L6362" i="2"/>
  <c r="M5885" i="2"/>
  <c r="L5758" i="2"/>
  <c r="L5586" i="2"/>
  <c r="L5486" i="2"/>
  <c r="M5388" i="2"/>
  <c r="L5362" i="2"/>
  <c r="L5350" i="2"/>
  <c r="L5338" i="2"/>
  <c r="L4787" i="2"/>
  <c r="Q4587" i="2"/>
  <c r="M3747" i="2"/>
  <c r="L3723" i="2"/>
  <c r="L3675" i="2"/>
  <c r="L3663" i="2"/>
  <c r="L3114" i="2"/>
  <c r="L3095" i="2"/>
  <c r="L2798" i="2"/>
  <c r="M2547" i="2"/>
  <c r="M2523" i="2"/>
  <c r="Q2518" i="2"/>
  <c r="M2511" i="2"/>
  <c r="L1990" i="2"/>
  <c r="Q1821" i="2"/>
  <c r="Q1809" i="2"/>
  <c r="L1551" i="2"/>
  <c r="L1233" i="2"/>
  <c r="M854" i="2"/>
  <c r="M672" i="2"/>
  <c r="L624" i="2"/>
  <c r="M442" i="2"/>
  <c r="L375" i="2"/>
  <c r="M277" i="2"/>
  <c r="Q5858" i="2"/>
  <c r="Q2532" i="2"/>
  <c r="L7050" i="2"/>
  <c r="M6971" i="2"/>
  <c r="M6909" i="2"/>
  <c r="M6727" i="2"/>
  <c r="Q6669" i="2"/>
  <c r="L6576" i="2"/>
  <c r="L6552" i="2"/>
  <c r="M6547" i="2"/>
  <c r="M6345" i="2"/>
  <c r="L6340" i="2"/>
  <c r="M6319" i="2"/>
  <c r="M6195" i="2"/>
  <c r="Q5810" i="2"/>
  <c r="Q5738" i="2"/>
  <c r="Q5552" i="2"/>
  <c r="M5531" i="2"/>
  <c r="M5469" i="2"/>
  <c r="M5352" i="2"/>
  <c r="Q5227" i="2"/>
  <c r="Q5167" i="2"/>
  <c r="L4644" i="2"/>
  <c r="M4632" i="2"/>
  <c r="M3389" i="2"/>
  <c r="L3372" i="2"/>
  <c r="Q2977" i="2"/>
  <c r="M2944" i="2"/>
  <c r="M2932" i="2"/>
  <c r="L2132" i="2"/>
  <c r="L1784" i="2"/>
  <c r="M1534" i="2"/>
  <c r="L1431" i="2"/>
  <c r="Q1359" i="2"/>
  <c r="M1340" i="2"/>
  <c r="M1271" i="2"/>
  <c r="L1247" i="2"/>
  <c r="M976" i="2"/>
  <c r="M964" i="2"/>
  <c r="M940" i="2"/>
  <c r="M916" i="2"/>
  <c r="L777" i="2"/>
  <c r="M650" i="2"/>
  <c r="M638" i="2"/>
  <c r="L363" i="2"/>
  <c r="L351" i="2"/>
  <c r="L327" i="2"/>
  <c r="L315" i="2"/>
  <c r="L291" i="2"/>
  <c r="M6669" i="2"/>
  <c r="L5975" i="2"/>
  <c r="L5459" i="2"/>
  <c r="Q5411" i="2"/>
  <c r="M5050" i="2"/>
  <c r="L3727" i="2"/>
  <c r="L3715" i="2"/>
  <c r="L3470" i="2"/>
  <c r="Q2594" i="2"/>
  <c r="Q2570" i="2"/>
  <c r="Q2558" i="2"/>
  <c r="Q2467" i="2"/>
  <c r="L604" i="2"/>
  <c r="Q599" i="2"/>
  <c r="M226" i="2"/>
  <c r="L7596" i="2"/>
  <c r="M7198" i="2"/>
  <c r="M7193" i="2"/>
  <c r="M6999" i="2"/>
  <c r="M6664" i="2"/>
  <c r="M6513" i="2"/>
  <c r="M6477" i="2"/>
  <c r="M6323" i="2"/>
  <c r="M6304" i="2"/>
  <c r="L6297" i="2"/>
  <c r="L6278" i="2"/>
  <c r="L6223" i="2"/>
  <c r="M6216" i="2"/>
  <c r="M5781" i="2"/>
  <c r="L5776" i="2"/>
  <c r="L5716" i="2"/>
  <c r="M5616" i="2"/>
  <c r="L5497" i="2"/>
  <c r="L5174" i="2"/>
  <c r="Q5095" i="2"/>
  <c r="M4667" i="2"/>
  <c r="L3710" i="2"/>
  <c r="M3446" i="2"/>
  <c r="M2618" i="2"/>
  <c r="L2467" i="2"/>
  <c r="L2455" i="2"/>
  <c r="M2431" i="2"/>
  <c r="M2419" i="2"/>
  <c r="L2273" i="2"/>
  <c r="M1911" i="2"/>
  <c r="M1818" i="2"/>
  <c r="L1718" i="2"/>
  <c r="M1694" i="2"/>
  <c r="L1519" i="2"/>
  <c r="L1354" i="2"/>
  <c r="L1342" i="2"/>
  <c r="L7608" i="2"/>
  <c r="Q5826" i="2"/>
  <c r="Q4834" i="2"/>
  <c r="L3616" i="2"/>
  <c r="M3369" i="2"/>
  <c r="M3120" i="2"/>
  <c r="L3053" i="2"/>
  <c r="L2864" i="2"/>
  <c r="L2828" i="2"/>
  <c r="L2744" i="2"/>
  <c r="M2553" i="2"/>
  <c r="M2529" i="2"/>
  <c r="M2474" i="2"/>
  <c r="M2450" i="2"/>
  <c r="L2352" i="2"/>
  <c r="L2160" i="2"/>
  <c r="Q2114" i="2"/>
  <c r="M2016" i="2"/>
  <c r="L1984" i="2"/>
  <c r="M1713" i="2"/>
  <c r="L1586" i="2"/>
  <c r="L1435" i="2"/>
  <c r="L1418" i="2"/>
  <c r="M1406" i="2"/>
  <c r="Q1368" i="2"/>
  <c r="Q1339" i="2"/>
  <c r="L1337" i="2"/>
  <c r="M410" i="2"/>
  <c r="M393" i="2"/>
  <c r="L343" i="2"/>
  <c r="M75" i="2"/>
  <c r="L7572" i="2"/>
  <c r="L7560" i="2"/>
  <c r="L7464" i="2"/>
  <c r="L7605" i="2"/>
  <c r="L7600" i="2"/>
  <c r="L7593" i="2"/>
  <c r="L7569" i="2"/>
  <c r="L7557" i="2"/>
  <c r="L7533" i="2"/>
  <c r="L7521" i="2"/>
  <c r="L7485" i="2"/>
  <c r="L7473" i="2"/>
  <c r="L7461" i="2"/>
  <c r="L7377" i="2"/>
  <c r="L7353" i="2"/>
  <c r="M7188" i="2"/>
  <c r="L6932" i="2"/>
  <c r="L6920" i="2"/>
  <c r="M6690" i="2"/>
  <c r="L6368" i="2"/>
  <c r="L6356" i="2"/>
  <c r="L6337" i="2"/>
  <c r="P6337" i="2" s="1"/>
  <c r="M6318" i="2"/>
  <c r="L6275" i="2"/>
  <c r="L6218" i="2"/>
  <c r="M6206" i="2"/>
  <c r="L6182" i="2"/>
  <c r="L6158" i="2"/>
  <c r="M6103" i="2"/>
  <c r="M6079" i="2"/>
  <c r="L5711" i="2"/>
  <c r="L5530" i="2"/>
  <c r="M5468" i="2"/>
  <c r="L4757" i="2"/>
  <c r="Q4719" i="2"/>
  <c r="L3983" i="2"/>
  <c r="Q3402" i="2"/>
  <c r="Q2574" i="2"/>
  <c r="L2560" i="2"/>
  <c r="Q2133" i="2"/>
  <c r="Q1511" i="2"/>
  <c r="M1504" i="2"/>
  <c r="M400" i="2"/>
  <c r="M187" i="2"/>
  <c r="Q7063" i="2"/>
  <c r="M6804" i="2"/>
  <c r="L6711" i="2"/>
  <c r="M6682" i="2"/>
  <c r="M6656" i="2"/>
  <c r="L6374" i="2"/>
  <c r="L6312" i="2"/>
  <c r="M6265" i="2"/>
  <c r="M6232" i="2"/>
  <c r="L6090" i="2"/>
  <c r="M6073" i="2"/>
  <c r="M5870" i="2"/>
  <c r="L5858" i="2"/>
  <c r="M5732" i="2"/>
  <c r="M5682" i="2"/>
  <c r="M5673" i="2"/>
  <c r="L5612" i="2"/>
  <c r="Q5602" i="2"/>
  <c r="L5558" i="2"/>
  <c r="M5494" i="2"/>
  <c r="L5397" i="2"/>
  <c r="Q5135" i="2"/>
  <c r="L7405" i="2"/>
  <c r="L5675" i="2"/>
  <c r="L5593" i="2"/>
  <c r="M5567" i="2"/>
  <c r="M5529" i="2"/>
  <c r="M5354" i="2"/>
  <c r="M5268" i="2"/>
  <c r="L5211" i="2"/>
  <c r="L7594" i="2"/>
  <c r="L7587" i="2"/>
  <c r="L7575" i="2"/>
  <c r="L7539" i="2"/>
  <c r="L7491" i="2"/>
  <c r="L7479" i="2"/>
  <c r="L7443" i="2"/>
  <c r="L7419" i="2"/>
  <c r="L7395" i="2"/>
  <c r="L7383" i="2"/>
  <c r="L7347" i="2"/>
  <c r="L7228" i="2"/>
  <c r="Q7216" i="2"/>
  <c r="Q7206" i="2"/>
  <c r="L6939" i="2"/>
  <c r="L6894" i="2"/>
  <c r="L6599" i="2"/>
  <c r="L6587" i="2"/>
  <c r="L6546" i="2"/>
  <c r="L6371" i="2"/>
  <c r="L6281" i="2"/>
  <c r="L6153" i="2"/>
  <c r="Q6014" i="2"/>
  <c r="M6012" i="2"/>
  <c r="M5841" i="2"/>
  <c r="L5772" i="2"/>
  <c r="L5760" i="2"/>
  <c r="M5741" i="2"/>
  <c r="L5722" i="2"/>
  <c r="M5686" i="2"/>
  <c r="Q5625" i="2"/>
  <c r="M6474" i="2"/>
  <c r="L6385" i="2"/>
  <c r="L6224" i="2"/>
  <c r="L6035" i="2"/>
  <c r="L6026" i="2"/>
  <c r="L5988" i="2"/>
  <c r="Q5964" i="2"/>
  <c r="M5926" i="2"/>
  <c r="M5855" i="2"/>
  <c r="Q5344" i="2"/>
  <c r="L1293" i="2"/>
  <c r="M1293" i="2"/>
  <c r="M7613" i="2"/>
  <c r="M7553" i="2"/>
  <c r="M7541" i="2"/>
  <c r="M7517" i="2"/>
  <c r="M7469" i="2"/>
  <c r="M7445" i="2"/>
  <c r="M7421" i="2"/>
  <c r="M7409" i="2"/>
  <c r="M7397" i="2"/>
  <c r="M7385" i="2"/>
  <c r="Q7306" i="2"/>
  <c r="L7230" i="2"/>
  <c r="M7206" i="2"/>
  <c r="M7134" i="2"/>
  <c r="L7034" i="2"/>
  <c r="L7573" i="2"/>
  <c r="L7549" i="2"/>
  <c r="L7312" i="2"/>
  <c r="L6667" i="2"/>
  <c r="L6505" i="2"/>
  <c r="M6450" i="2"/>
  <c r="M6264" i="2"/>
  <c r="L6212" i="2"/>
  <c r="M6065" i="2"/>
  <c r="M6044" i="2"/>
  <c r="M6037" i="2"/>
  <c r="M5976" i="2"/>
  <c r="M5964" i="2"/>
  <c r="Q5745" i="2"/>
  <c r="L5688" i="2"/>
  <c r="L5618" i="2"/>
  <c r="Q5540" i="2"/>
  <c r="M5538" i="2"/>
  <c r="L5500" i="2"/>
  <c r="L5301" i="2"/>
  <c r="M5296" i="2"/>
  <c r="M5272" i="2"/>
  <c r="L5265" i="2"/>
  <c r="Q5255" i="2"/>
  <c r="M5217" i="2"/>
  <c r="Q5093" i="2"/>
  <c r="M5041" i="2"/>
  <c r="L7585" i="2"/>
  <c r="L7567" i="2"/>
  <c r="L7531" i="2"/>
  <c r="L7507" i="2"/>
  <c r="L7483" i="2"/>
  <c r="L7471" i="2"/>
  <c r="L7411" i="2"/>
  <c r="L7399" i="2"/>
  <c r="L7387" i="2"/>
  <c r="M7282" i="2"/>
  <c r="Q7234" i="2"/>
  <c r="M7208" i="2"/>
  <c r="L7074" i="2"/>
  <c r="M6981" i="2"/>
  <c r="M6969" i="2"/>
  <c r="M6955" i="2"/>
  <c r="L6898" i="2"/>
  <c r="L1742" i="2"/>
  <c r="Q7162" i="2"/>
  <c r="M7131" i="2"/>
  <c r="M7095" i="2"/>
  <c r="L6819" i="2"/>
  <c r="L6788" i="2"/>
  <c r="L6719" i="2"/>
  <c r="L6612" i="2"/>
  <c r="L6287" i="2"/>
  <c r="M6254" i="2"/>
  <c r="L6190" i="2"/>
  <c r="M6157" i="2"/>
  <c r="L6138" i="2"/>
  <c r="Q5778" i="2"/>
  <c r="L5683" i="2"/>
  <c r="L5634" i="2"/>
  <c r="Q5582" i="2"/>
  <c r="L5580" i="2"/>
  <c r="M5540" i="2"/>
  <c r="Q5469" i="2"/>
  <c r="M5400" i="2"/>
  <c r="Q5214" i="2"/>
  <c r="L7501" i="2"/>
  <c r="M6152" i="2"/>
  <c r="L5754" i="2"/>
  <c r="Q5742" i="2"/>
  <c r="M5735" i="2"/>
  <c r="Q5643" i="2"/>
  <c r="M5608" i="2"/>
  <c r="L5568" i="2"/>
  <c r="Q5537" i="2"/>
  <c r="L5535" i="2"/>
  <c r="M5490" i="2"/>
  <c r="M5348" i="2"/>
  <c r="M7300" i="2"/>
  <c r="L7480" i="2"/>
  <c r="L7408" i="2"/>
  <c r="Q7140" i="2"/>
  <c r="Q5525" i="2"/>
  <c r="Q5506" i="2"/>
  <c r="M5350" i="2"/>
  <c r="Q5326" i="2"/>
  <c r="M7583" i="2"/>
  <c r="M7571" i="2"/>
  <c r="M7511" i="2"/>
  <c r="M7499" i="2"/>
  <c r="L7298" i="2"/>
  <c r="Q7190" i="2"/>
  <c r="M7035" i="2"/>
  <c r="M6876" i="2"/>
  <c r="L6759" i="2"/>
  <c r="L6633" i="2"/>
  <c r="L6516" i="2"/>
  <c r="L6492" i="2"/>
  <c r="L6348" i="2"/>
  <c r="M6109" i="2"/>
  <c r="L6102" i="2"/>
  <c r="L6095" i="2"/>
  <c r="L6088" i="2"/>
  <c r="M6064" i="2"/>
  <c r="M6008" i="2"/>
  <c r="L5951" i="2"/>
  <c r="L5885" i="2"/>
  <c r="L5804" i="2"/>
  <c r="L5494" i="2"/>
  <c r="M5492" i="2"/>
  <c r="L5240" i="2"/>
  <c r="Q5111" i="2"/>
  <c r="Q4333" i="2"/>
  <c r="M4038" i="2"/>
  <c r="M3971" i="2"/>
  <c r="Q3925" i="2"/>
  <c r="Q3889" i="2"/>
  <c r="M3717" i="2"/>
  <c r="L3545" i="2"/>
  <c r="L3502" i="2"/>
  <c r="M3466" i="2"/>
  <c r="M3447" i="2"/>
  <c r="L3418" i="2"/>
  <c r="M3368" i="2"/>
  <c r="L3251" i="2"/>
  <c r="L2926" i="2"/>
  <c r="Q2609" i="2"/>
  <c r="Q2597" i="2"/>
  <c r="M2510" i="2"/>
  <c r="M2362" i="2"/>
  <c r="Q2189" i="2"/>
  <c r="L2177" i="2"/>
  <c r="L2153" i="2"/>
  <c r="L2084" i="2"/>
  <c r="M2079" i="2"/>
  <c r="L1898" i="2"/>
  <c r="M1810" i="2"/>
  <c r="L1749" i="2"/>
  <c r="M1728" i="2"/>
  <c r="M1709" i="2"/>
  <c r="Q1680" i="2"/>
  <c r="M1513" i="2"/>
  <c r="M1501" i="2"/>
  <c r="L1333" i="2"/>
  <c r="L1302" i="2"/>
  <c r="M1192" i="2"/>
  <c r="M763" i="2"/>
  <c r="L713" i="2"/>
  <c r="L580" i="2"/>
  <c r="L530" i="2"/>
  <c r="M444" i="2"/>
  <c r="M423" i="2"/>
  <c r="M209" i="2"/>
  <c r="M169" i="2"/>
  <c r="L19" i="2"/>
  <c r="L5187" i="2"/>
  <c r="M5035" i="2"/>
  <c r="M5023" i="2"/>
  <c r="M5011" i="2"/>
  <c r="M4987" i="2"/>
  <c r="M4915" i="2"/>
  <c r="M4903" i="2"/>
  <c r="M4867" i="2"/>
  <c r="Q4720" i="2"/>
  <c r="Q4381" i="2"/>
  <c r="Q2663" i="2"/>
  <c r="Q2547" i="2"/>
  <c r="M2196" i="2"/>
  <c r="L2012" i="2"/>
  <c r="Q2009" i="2"/>
  <c r="M1817" i="2"/>
  <c r="Q1773" i="2"/>
  <c r="M1484" i="2"/>
  <c r="L1415" i="2"/>
  <c r="L1410" i="2"/>
  <c r="Q1330" i="2"/>
  <c r="M935" i="2"/>
  <c r="M880" i="2"/>
  <c r="M789" i="2"/>
  <c r="M204" i="2"/>
  <c r="M116" i="2"/>
  <c r="L4786" i="2"/>
  <c r="L4532" i="2"/>
  <c r="Q4462" i="2"/>
  <c r="Q4450" i="2"/>
  <c r="Q4414" i="2"/>
  <c r="Q4234" i="2"/>
  <c r="Q4198" i="2"/>
  <c r="Q4174" i="2"/>
  <c r="Q4162" i="2"/>
  <c r="Q4150" i="2"/>
  <c r="Q4138" i="2"/>
  <c r="Q4126" i="2"/>
  <c r="Q4114" i="2"/>
  <c r="Q4102" i="2"/>
  <c r="Q4090" i="2"/>
  <c r="Q4078" i="2"/>
  <c r="Q4006" i="2"/>
  <c r="M3925" i="2"/>
  <c r="L3901" i="2"/>
  <c r="M3681" i="2"/>
  <c r="Q3611" i="2"/>
  <c r="L3523" i="2"/>
  <c r="L3492" i="2"/>
  <c r="L3456" i="2"/>
  <c r="M3382" i="2"/>
  <c r="M3370" i="2"/>
  <c r="M3000" i="2"/>
  <c r="M2995" i="2"/>
  <c r="Q2844" i="2"/>
  <c r="Q2720" i="2"/>
  <c r="Q2611" i="2"/>
  <c r="M2512" i="2"/>
  <c r="L2299" i="2"/>
  <c r="M2057" i="2"/>
  <c r="M1651" i="2"/>
  <c r="M1639" i="2"/>
  <c r="M1627" i="2"/>
  <c r="M1467" i="2"/>
  <c r="M1460" i="2"/>
  <c r="L1026" i="2"/>
  <c r="Q815" i="2"/>
  <c r="L808" i="2"/>
  <c r="M87" i="2"/>
  <c r="Q2551" i="2"/>
  <c r="L4729" i="2"/>
  <c r="L4670" i="2"/>
  <c r="Q4390" i="2"/>
  <c r="Q4056" i="2"/>
  <c r="L3891" i="2"/>
  <c r="M3690" i="2"/>
  <c r="L3606" i="2"/>
  <c r="L3563" i="2"/>
  <c r="M3439" i="2"/>
  <c r="M3415" i="2"/>
  <c r="Q3393" i="2"/>
  <c r="M2630" i="2"/>
  <c r="Q2188" i="2"/>
  <c r="L2186" i="2"/>
  <c r="L2174" i="2"/>
  <c r="M2162" i="2"/>
  <c r="L2088" i="2"/>
  <c r="M1969" i="2"/>
  <c r="M1853" i="2"/>
  <c r="M1836" i="2"/>
  <c r="L1617" i="2"/>
  <c r="M1536" i="2"/>
  <c r="Q1531" i="2"/>
  <c r="M1524" i="2"/>
  <c r="M1512" i="2"/>
  <c r="M1505" i="2"/>
  <c r="M1412" i="2"/>
  <c r="L1184" i="2"/>
  <c r="L743" i="2"/>
  <c r="L648" i="2"/>
  <c r="Q586" i="2"/>
  <c r="L484" i="2"/>
  <c r="L349" i="2"/>
  <c r="M137" i="2"/>
  <c r="Q108" i="2"/>
  <c r="M5191" i="2"/>
  <c r="L5179" i="2"/>
  <c r="L5134" i="2"/>
  <c r="M5065" i="2"/>
  <c r="L4790" i="2"/>
  <c r="M4639" i="2"/>
  <c r="Q4327" i="2"/>
  <c r="Q4255" i="2"/>
  <c r="Q4111" i="2"/>
  <c r="Q4099" i="2"/>
  <c r="Q4087" i="2"/>
  <c r="Q4075" i="2"/>
  <c r="Q3960" i="2"/>
  <c r="M3898" i="2"/>
  <c r="L2509" i="2"/>
  <c r="L1363" i="2"/>
  <c r="M1358" i="2"/>
  <c r="M1028" i="2"/>
  <c r="L987" i="2"/>
  <c r="M669" i="2"/>
  <c r="L636" i="2"/>
  <c r="M417" i="2"/>
  <c r="M296" i="2"/>
  <c r="M120" i="2"/>
  <c r="M4909" i="2"/>
  <c r="Q4339" i="2"/>
  <c r="L3534" i="2"/>
  <c r="M2147" i="2"/>
  <c r="M1899" i="2"/>
  <c r="M1750" i="2"/>
  <c r="Q1712" i="2"/>
  <c r="M1241" i="2"/>
  <c r="M1102" i="2"/>
  <c r="L812" i="2"/>
  <c r="Q224" i="2"/>
  <c r="L1176" i="2"/>
  <c r="Q989" i="2"/>
  <c r="M740" i="2"/>
  <c r="Q607" i="2"/>
  <c r="M4747" i="2"/>
  <c r="L4714" i="2"/>
  <c r="L4702" i="2"/>
  <c r="Q4683" i="2"/>
  <c r="M4676" i="2"/>
  <c r="L4629" i="2"/>
  <c r="L4610" i="2"/>
  <c r="Q4360" i="2"/>
  <c r="Q4348" i="2"/>
  <c r="M4029" i="2"/>
  <c r="M3498" i="2"/>
  <c r="M3388" i="2"/>
  <c r="M3352" i="2"/>
  <c r="M3204" i="2"/>
  <c r="Q2759" i="2"/>
  <c r="L2750" i="2"/>
  <c r="Q2615" i="2"/>
  <c r="L2358" i="2"/>
  <c r="L2274" i="2"/>
  <c r="Q4808" i="2"/>
  <c r="M4636" i="2"/>
  <c r="Q3622" i="2"/>
  <c r="L3610" i="2"/>
  <c r="M3603" i="2"/>
  <c r="L3591" i="2"/>
  <c r="Q3385" i="2"/>
  <c r="M3383" i="2"/>
  <c r="L3039" i="2"/>
  <c r="M2726" i="2"/>
  <c r="Q2681" i="2"/>
  <c r="Q2671" i="2"/>
  <c r="Q2659" i="2"/>
  <c r="M2541" i="2"/>
  <c r="M2427" i="2"/>
  <c r="L2415" i="2"/>
  <c r="L2305" i="2"/>
  <c r="L2257" i="2"/>
  <c r="L2209" i="2"/>
  <c r="L2197" i="2"/>
  <c r="M2173" i="2"/>
  <c r="L2161" i="2"/>
  <c r="Q2063" i="2"/>
  <c r="M1825" i="2"/>
  <c r="M1813" i="2"/>
  <c r="L1731" i="2"/>
  <c r="L1681" i="2"/>
  <c r="M1566" i="2"/>
  <c r="L1369" i="2"/>
  <c r="M1324" i="2"/>
  <c r="L1207" i="2"/>
  <c r="Q1056" i="2"/>
  <c r="M936" i="2"/>
  <c r="L850" i="2"/>
  <c r="M509" i="2"/>
  <c r="M502" i="2"/>
  <c r="Q362" i="2"/>
  <c r="Q343" i="2"/>
  <c r="M269" i="2"/>
  <c r="M245" i="2"/>
  <c r="M205" i="2"/>
  <c r="M46" i="2"/>
  <c r="M3" i="2"/>
  <c r="M5014" i="2"/>
  <c r="M4990" i="2"/>
  <c r="M4930" i="2"/>
  <c r="M4749" i="2"/>
  <c r="L4742" i="2"/>
  <c r="L4723" i="2"/>
  <c r="M3696" i="2"/>
  <c r="M3531" i="2"/>
  <c r="M3495" i="2"/>
  <c r="L3440" i="2"/>
  <c r="M3206" i="2"/>
  <c r="M3194" i="2"/>
  <c r="L2569" i="2"/>
  <c r="M2482" i="2"/>
  <c r="L2446" i="2"/>
  <c r="Q2372" i="2"/>
  <c r="L2163" i="2"/>
  <c r="L2070" i="2"/>
  <c r="M1975" i="2"/>
  <c r="L1671" i="2"/>
  <c r="M1659" i="2"/>
  <c r="M1647" i="2"/>
  <c r="M1635" i="2"/>
  <c r="M1556" i="2"/>
  <c r="Q1551" i="2"/>
  <c r="M1499" i="2"/>
  <c r="M1418" i="2"/>
  <c r="L1383" i="2"/>
  <c r="L1312" i="2"/>
  <c r="L1178" i="2"/>
  <c r="Q1005" i="2"/>
  <c r="M907" i="2"/>
  <c r="M766" i="2"/>
  <c r="M761" i="2"/>
  <c r="Q623" i="2"/>
  <c r="M602" i="2"/>
  <c r="L559" i="2"/>
  <c r="L547" i="2"/>
  <c r="Q537" i="2"/>
  <c r="L535" i="2"/>
  <c r="L528" i="2"/>
  <c r="M490" i="2"/>
  <c r="L388" i="2"/>
  <c r="M331" i="2"/>
  <c r="M300" i="2"/>
  <c r="L283" i="2"/>
  <c r="M100" i="2"/>
  <c r="L7618" i="2"/>
  <c r="L7611" i="2"/>
  <c r="L7599" i="2"/>
  <c r="L7566" i="2"/>
  <c r="M7547" i="2"/>
  <c r="L7459" i="2"/>
  <c r="L7452" i="2"/>
  <c r="L7416" i="2"/>
  <c r="Q7158" i="2"/>
  <c r="L7156" i="2"/>
  <c r="Q7118" i="2"/>
  <c r="Q7059" i="2"/>
  <c r="M7057" i="2"/>
  <c r="M6949" i="2"/>
  <c r="M6928" i="2"/>
  <c r="L6874" i="2"/>
  <c r="Q6816" i="2"/>
  <c r="L6783" i="2"/>
  <c r="L6776" i="2"/>
  <c r="M6659" i="2"/>
  <c r="L6643" i="2"/>
  <c r="M6643" i="2"/>
  <c r="Q6633" i="2"/>
  <c r="M6438" i="2"/>
  <c r="M6151" i="2"/>
  <c r="M7269" i="2"/>
  <c r="Q7045" i="2"/>
  <c r="M7031" i="2"/>
  <c r="Q6790" i="2"/>
  <c r="Q6766" i="2"/>
  <c r="Q6754" i="2"/>
  <c r="M7406" i="2"/>
  <c r="L7351" i="2"/>
  <c r="M7330" i="2"/>
  <c r="M7158" i="2"/>
  <c r="Q7153" i="2"/>
  <c r="M7106" i="2"/>
  <c r="Q7096" i="2"/>
  <c r="Q7047" i="2"/>
  <c r="Q6946" i="2"/>
  <c r="Q6885" i="2"/>
  <c r="L7620" i="2"/>
  <c r="M7589" i="2"/>
  <c r="L7563" i="2"/>
  <c r="L7506" i="2"/>
  <c r="L7449" i="2"/>
  <c r="L7437" i="2"/>
  <c r="L7425" i="2"/>
  <c r="L7344" i="2"/>
  <c r="M7316" i="2"/>
  <c r="Q7186" i="2"/>
  <c r="M7172" i="2"/>
  <c r="Q7122" i="2"/>
  <c r="L7066" i="2"/>
  <c r="Q6804" i="2"/>
  <c r="M6692" i="2"/>
  <c r="L6647" i="2"/>
  <c r="L7515" i="2"/>
  <c r="L7503" i="2"/>
  <c r="L7477" i="2"/>
  <c r="L7458" i="2"/>
  <c r="M7427" i="2"/>
  <c r="L7410" i="2"/>
  <c r="M7403" i="2"/>
  <c r="L7372" i="2"/>
  <c r="Q7292" i="2"/>
  <c r="L7226" i="2"/>
  <c r="L7202" i="2"/>
  <c r="M7148" i="2"/>
  <c r="L7122" i="2"/>
  <c r="Q6957" i="2"/>
  <c r="Q6936" i="2"/>
  <c r="Q6727" i="2"/>
  <c r="M6630" i="2"/>
  <c r="Q6568" i="2"/>
  <c r="L6549" i="2"/>
  <c r="M6535" i="2"/>
  <c r="Q6513" i="2"/>
  <c r="M6454" i="2"/>
  <c r="L7362" i="2"/>
  <c r="L7341" i="2"/>
  <c r="L7266" i="2"/>
  <c r="L7240" i="2"/>
  <c r="M7162" i="2"/>
  <c r="M7143" i="2"/>
  <c r="Q7079" i="2"/>
  <c r="L6720" i="2"/>
  <c r="L6708" i="2"/>
  <c r="L6658" i="2"/>
  <c r="L6468" i="2"/>
  <c r="M7619" i="2"/>
  <c r="L7543" i="2"/>
  <c r="L7524" i="2"/>
  <c r="M7505" i="2"/>
  <c r="M7493" i="2"/>
  <c r="L7369" i="2"/>
  <c r="L7357" i="2"/>
  <c r="L7338" i="2"/>
  <c r="Q7331" i="2"/>
  <c r="Q7258" i="2"/>
  <c r="M7256" i="2"/>
  <c r="Q7102" i="2"/>
  <c r="L7100" i="2"/>
  <c r="M6987" i="2"/>
  <c r="Q6975" i="2"/>
  <c r="L6858" i="2"/>
  <c r="Q6801" i="2"/>
  <c r="M6789" i="2"/>
  <c r="Q6729" i="2"/>
  <c r="L6558" i="2"/>
  <c r="L6501" i="2"/>
  <c r="Q6636" i="2"/>
  <c r="M7514" i="2"/>
  <c r="L7495" i="2"/>
  <c r="L7371" i="2"/>
  <c r="L7310" i="2"/>
  <c r="L7244" i="2"/>
  <c r="M7220" i="2"/>
  <c r="Q7196" i="2"/>
  <c r="M7194" i="2"/>
  <c r="M7097" i="2"/>
  <c r="M7015" i="2"/>
  <c r="M6940" i="2"/>
  <c r="M6933" i="2"/>
  <c r="Q6814" i="2"/>
  <c r="L6762" i="2"/>
  <c r="L6755" i="2"/>
  <c r="M6731" i="2"/>
  <c r="Q6643" i="2"/>
  <c r="M6357" i="2"/>
  <c r="L6336" i="2"/>
  <c r="L6329" i="2"/>
  <c r="M6296" i="2"/>
  <c r="L6291" i="2"/>
  <c r="L6289" i="2"/>
  <c r="L6266" i="2"/>
  <c r="M6203" i="2"/>
  <c r="L6184" i="2"/>
  <c r="M6161" i="2"/>
  <c r="L6154" i="2"/>
  <c r="M6145" i="2"/>
  <c r="L6103" i="2"/>
  <c r="L6082" i="2"/>
  <c r="M6077" i="2"/>
  <c r="L6065" i="2"/>
  <c r="L6038" i="2"/>
  <c r="Q5942" i="2"/>
  <c r="M5940" i="2"/>
  <c r="M5928" i="2"/>
  <c r="Q5916" i="2"/>
  <c r="L5900" i="2"/>
  <c r="L5818" i="2"/>
  <c r="L5797" i="2"/>
  <c r="M5790" i="2"/>
  <c r="L5750" i="2"/>
  <c r="Q5740" i="2"/>
  <c r="L5693" i="2"/>
  <c r="L5601" i="2"/>
  <c r="L5597" i="2"/>
  <c r="L5578" i="2"/>
  <c r="M5571" i="2"/>
  <c r="L5528" i="2"/>
  <c r="M5505" i="2"/>
  <c r="M5489" i="2"/>
  <c r="M5482" i="2"/>
  <c r="L5475" i="2"/>
  <c r="M5454" i="2"/>
  <c r="M5437" i="2"/>
  <c r="M5364" i="2"/>
  <c r="M5359" i="2"/>
  <c r="L5288" i="2"/>
  <c r="L5264" i="2"/>
  <c r="M5200" i="2"/>
  <c r="Q5174" i="2"/>
  <c r="Q5099" i="2"/>
  <c r="M4999" i="2"/>
  <c r="M4951" i="2"/>
  <c r="M4932" i="2"/>
  <c r="M4913" i="2"/>
  <c r="L4762" i="2"/>
  <c r="L4748" i="2"/>
  <c r="L4715" i="2"/>
  <c r="M4652" i="2"/>
  <c r="M4628" i="2"/>
  <c r="L6648" i="2"/>
  <c r="M6636" i="2"/>
  <c r="M6534" i="2"/>
  <c r="M6510" i="2"/>
  <c r="Q6458" i="2"/>
  <c r="L6426" i="2"/>
  <c r="M6387" i="2"/>
  <c r="L6380" i="2"/>
  <c r="L6352" i="2"/>
  <c r="Q5958" i="2"/>
  <c r="L5909" i="2"/>
  <c r="Q5754" i="2"/>
  <c r="L5726" i="2"/>
  <c r="Q5709" i="2"/>
  <c r="Q5610" i="2"/>
  <c r="M5550" i="2"/>
  <c r="Q5266" i="2"/>
  <c r="M5247" i="2"/>
  <c r="Q5242" i="2"/>
  <c r="Q6421" i="2"/>
  <c r="Q5670" i="2"/>
  <c r="L6619" i="2"/>
  <c r="Q6526" i="2"/>
  <c r="L6458" i="2"/>
  <c r="L6382" i="2"/>
  <c r="L6373" i="2"/>
  <c r="M6326" i="2"/>
  <c r="M6314" i="2"/>
  <c r="L6240" i="2"/>
  <c r="L6228" i="2"/>
  <c r="M6177" i="2"/>
  <c r="L6147" i="2"/>
  <c r="M6058" i="2"/>
  <c r="Q5995" i="2"/>
  <c r="M5979" i="2"/>
  <c r="L5867" i="2"/>
  <c r="Q5857" i="2"/>
  <c r="M5820" i="2"/>
  <c r="M5799" i="2"/>
  <c r="M5683" i="2"/>
  <c r="L5677" i="2"/>
  <c r="L5594" i="2"/>
  <c r="M5568" i="2"/>
  <c r="Q5547" i="2"/>
  <c r="Q5545" i="2"/>
  <c r="Q5520" i="2"/>
  <c r="M5516" i="2"/>
  <c r="M5502" i="2"/>
  <c r="Q5481" i="2"/>
  <c r="M5340" i="2"/>
  <c r="L5242" i="2"/>
  <c r="M4785" i="2"/>
  <c r="Q4778" i="2"/>
  <c r="L4625" i="2"/>
  <c r="Q6595" i="2"/>
  <c r="M6467" i="2"/>
  <c r="Q6389" i="2"/>
  <c r="M6333" i="2"/>
  <c r="L6328" i="2"/>
  <c r="M6302" i="2"/>
  <c r="M6279" i="2"/>
  <c r="L6277" i="2"/>
  <c r="L6242" i="2"/>
  <c r="L6230" i="2"/>
  <c r="L6193" i="2"/>
  <c r="L6172" i="2"/>
  <c r="M6149" i="2"/>
  <c r="M6116" i="2"/>
  <c r="L6086" i="2"/>
  <c r="L6053" i="2"/>
  <c r="M5874" i="2"/>
  <c r="L5831" i="2"/>
  <c r="Q5817" i="2"/>
  <c r="L5768" i="2"/>
  <c r="Q5706" i="2"/>
  <c r="L5681" i="2"/>
  <c r="L5652" i="2"/>
  <c r="Q5570" i="2"/>
  <c r="L5534" i="2"/>
  <c r="M5525" i="2"/>
  <c r="L5465" i="2"/>
  <c r="M5434" i="2"/>
  <c r="M5368" i="2"/>
  <c r="M5318" i="2"/>
  <c r="M5251" i="2"/>
  <c r="M5249" i="2"/>
  <c r="L5204" i="2"/>
  <c r="M5176" i="2"/>
  <c r="M5164" i="2"/>
  <c r="M5145" i="2"/>
  <c r="M5044" i="2"/>
  <c r="M5032" i="2"/>
  <c r="M5020" i="2"/>
  <c r="M5008" i="2"/>
  <c r="M4996" i="2"/>
  <c r="M4972" i="2"/>
  <c r="M4905" i="2"/>
  <c r="Q4796" i="2"/>
  <c r="L4766" i="2"/>
  <c r="M4663" i="2"/>
  <c r="M6583" i="2"/>
  <c r="L6455" i="2"/>
  <c r="M6344" i="2"/>
  <c r="L6151" i="2"/>
  <c r="L6118" i="2"/>
  <c r="L6071" i="2"/>
  <c r="L6032" i="2"/>
  <c r="L6002" i="2"/>
  <c r="Q5910" i="2"/>
  <c r="Q5889" i="2"/>
  <c r="M5751" i="2"/>
  <c r="L5744" i="2"/>
  <c r="L5725" i="2"/>
  <c r="M5665" i="2"/>
  <c r="L5656" i="2"/>
  <c r="L5637" i="2"/>
  <c r="M5621" i="2"/>
  <c r="M5614" i="2"/>
  <c r="L5591" i="2"/>
  <c r="L5570" i="2"/>
  <c r="Q5556" i="2"/>
  <c r="L5538" i="2"/>
  <c r="L5513" i="2"/>
  <c r="Q5438" i="2"/>
  <c r="M5431" i="2"/>
  <c r="M5365" i="2"/>
  <c r="L5098" i="2"/>
  <c r="M4993" i="2"/>
  <c r="M4962" i="2"/>
  <c r="M4950" i="2"/>
  <c r="M4919" i="2"/>
  <c r="M4907" i="2"/>
  <c r="Q4826" i="2"/>
  <c r="M6381" i="2"/>
  <c r="M6339" i="2"/>
  <c r="L6313" i="2"/>
  <c r="M6255" i="2"/>
  <c r="L6213" i="2"/>
  <c r="L6206" i="2"/>
  <c r="M6185" i="2"/>
  <c r="M6176" i="2"/>
  <c r="L6148" i="2"/>
  <c r="L6139" i="2"/>
  <c r="Q5961" i="2"/>
  <c r="L5957" i="2"/>
  <c r="Q5919" i="2"/>
  <c r="M5910" i="2"/>
  <c r="L5903" i="2"/>
  <c r="M5753" i="2"/>
  <c r="L5708" i="2"/>
  <c r="M5644" i="2"/>
  <c r="Q5576" i="2"/>
  <c r="Q5526" i="2"/>
  <c r="L5412" i="2"/>
  <c r="L5372" i="2"/>
  <c r="L5353" i="2"/>
  <c r="L5260" i="2"/>
  <c r="L5222" i="2"/>
  <c r="M5187" i="2"/>
  <c r="L5168" i="2"/>
  <c r="L5119" i="2"/>
  <c r="M5024" i="2"/>
  <c r="M4873" i="2"/>
  <c r="M4784" i="2"/>
  <c r="L4687" i="2"/>
  <c r="L6651" i="2"/>
  <c r="M6592" i="2"/>
  <c r="Q6582" i="2"/>
  <c r="M6580" i="2"/>
  <c r="M6575" i="2"/>
  <c r="Q6558" i="2"/>
  <c r="L6478" i="2"/>
  <c r="M6431" i="2"/>
  <c r="Q6402" i="2"/>
  <c r="L6301" i="2"/>
  <c r="M6285" i="2"/>
  <c r="M6215" i="2"/>
  <c r="L6141" i="2"/>
  <c r="L6134" i="2"/>
  <c r="L6092" i="2"/>
  <c r="L6085" i="2"/>
  <c r="L6059" i="2"/>
  <c r="M6043" i="2"/>
  <c r="M6006" i="2"/>
  <c r="M5985" i="2"/>
  <c r="L5978" i="2"/>
  <c r="M5973" i="2"/>
  <c r="L5861" i="2"/>
  <c r="Q5844" i="2"/>
  <c r="M5727" i="2"/>
  <c r="L5680" i="2"/>
  <c r="L5616" i="2"/>
  <c r="L5565" i="2"/>
  <c r="L5551" i="2"/>
  <c r="M5542" i="2"/>
  <c r="L5524" i="2"/>
  <c r="L5508" i="2"/>
  <c r="L5426" i="2"/>
  <c r="M5421" i="2"/>
  <c r="L5379" i="2"/>
  <c r="M5334" i="2"/>
  <c r="L5322" i="2"/>
  <c r="M5317" i="2"/>
  <c r="M5298" i="2"/>
  <c r="M5262" i="2"/>
  <c r="L5182" i="2"/>
  <c r="L5156" i="2"/>
  <c r="M5107" i="2"/>
  <c r="M4983" i="2"/>
  <c r="M4978" i="2"/>
  <c r="M4947" i="2"/>
  <c r="M4942" i="2"/>
  <c r="Q4802" i="2"/>
  <c r="M4675" i="2"/>
  <c r="L4662" i="2"/>
  <c r="L4650" i="2"/>
  <c r="Q4602" i="2"/>
  <c r="L6259" i="2"/>
  <c r="M6208" i="2"/>
  <c r="L6166" i="2"/>
  <c r="L6150" i="2"/>
  <c r="L6087" i="2"/>
  <c r="L6075" i="2"/>
  <c r="L6008" i="2"/>
  <c r="M5994" i="2"/>
  <c r="L5987" i="2"/>
  <c r="L5933" i="2"/>
  <c r="M5823" i="2"/>
  <c r="L5816" i="2"/>
  <c r="L5807" i="2"/>
  <c r="L5729" i="2"/>
  <c r="M5671" i="2"/>
  <c r="L5641" i="2"/>
  <c r="M5629" i="2"/>
  <c r="L5606" i="2"/>
  <c r="L5569" i="2"/>
  <c r="M5544" i="2"/>
  <c r="L5519" i="2"/>
  <c r="M5395" i="2"/>
  <c r="M5281" i="2"/>
  <c r="L5191" i="2"/>
  <c r="M5097" i="2"/>
  <c r="M5059" i="2"/>
  <c r="M5045" i="2"/>
  <c r="Q4844" i="2"/>
  <c r="M4645" i="2"/>
  <c r="Q4633" i="2"/>
  <c r="M4602" i="2"/>
  <c r="L4571" i="2"/>
  <c r="L4712" i="2"/>
  <c r="L4654" i="2"/>
  <c r="L4623" i="2"/>
  <c r="Q4597" i="2"/>
  <c r="L4592" i="2"/>
  <c r="Q4103" i="2"/>
  <c r="Q4101" i="2"/>
  <c r="Q4067" i="2"/>
  <c r="Q4029" i="2"/>
  <c r="L4008" i="2"/>
  <c r="Q3855" i="2"/>
  <c r="Q3805" i="2"/>
  <c r="Q3795" i="2"/>
  <c r="Q3793" i="2"/>
  <c r="L3664" i="2"/>
  <c r="M3626" i="2"/>
  <c r="Q3616" i="2"/>
  <c r="L3569" i="2"/>
  <c r="M3524" i="2"/>
  <c r="M3491" i="2"/>
  <c r="M3451" i="2"/>
  <c r="L3444" i="2"/>
  <c r="L3356" i="2"/>
  <c r="M3349" i="2"/>
  <c r="M3340" i="2"/>
  <c r="Q3281" i="2"/>
  <c r="L3279" i="2"/>
  <c r="M3205" i="2"/>
  <c r="Q3158" i="2"/>
  <c r="L2894" i="2"/>
  <c r="Q2695" i="2"/>
  <c r="Q2669" i="2"/>
  <c r="M2582" i="2"/>
  <c r="M2535" i="2"/>
  <c r="M2415" i="2"/>
  <c r="L2413" i="2"/>
  <c r="L2349" i="2"/>
  <c r="L2294" i="2"/>
  <c r="L2282" i="2"/>
  <c r="L2263" i="2"/>
  <c r="L2244" i="2"/>
  <c r="L2196" i="2"/>
  <c r="L2110" i="2"/>
  <c r="Q4539" i="2"/>
  <c r="Q4515" i="2"/>
  <c r="Q4479" i="2"/>
  <c r="Q4062" i="2"/>
  <c r="Q4017" i="2"/>
  <c r="M3427" i="2"/>
  <c r="Q3358" i="2"/>
  <c r="L3333" i="2"/>
  <c r="Q3195" i="2"/>
  <c r="Q3034" i="2"/>
  <c r="Q2989" i="2"/>
  <c r="L2982" i="2"/>
  <c r="Q2776" i="2"/>
  <c r="L2422" i="2"/>
  <c r="M2403" i="2"/>
  <c r="L2308" i="2"/>
  <c r="Q2070" i="2"/>
  <c r="Q2058" i="2"/>
  <c r="Q1969" i="2"/>
  <c r="M4563" i="2"/>
  <c r="L4515" i="2"/>
  <c r="L4503" i="2"/>
  <c r="L4062" i="2"/>
  <c r="Q4045" i="2"/>
  <c r="M3948" i="2"/>
  <c r="L3936" i="2"/>
  <c r="M3726" i="2"/>
  <c r="M3684" i="2"/>
  <c r="M3647" i="2"/>
  <c r="Q3625" i="2"/>
  <c r="M3623" i="2"/>
  <c r="L3578" i="2"/>
  <c r="Q3386" i="2"/>
  <c r="M3384" i="2"/>
  <c r="M3264" i="2"/>
  <c r="M3252" i="2"/>
  <c r="M3115" i="2"/>
  <c r="L3020" i="2"/>
  <c r="L2819" i="2"/>
  <c r="L2788" i="2"/>
  <c r="M2762" i="2"/>
  <c r="Q2734" i="2"/>
  <c r="M2574" i="2"/>
  <c r="M2377" i="2"/>
  <c r="L2303" i="2"/>
  <c r="Q2212" i="2"/>
  <c r="Q2152" i="2"/>
  <c r="L2102" i="2"/>
  <c r="L2100" i="2"/>
  <c r="M2095" i="2"/>
  <c r="L2086" i="2"/>
  <c r="L4667" i="2"/>
  <c r="L4620" i="2"/>
  <c r="L4608" i="2"/>
  <c r="M4601" i="2"/>
  <c r="L4577" i="2"/>
  <c r="Q4558" i="2"/>
  <c r="M3981" i="2"/>
  <c r="L3962" i="2"/>
  <c r="L3554" i="2"/>
  <c r="M3455" i="2"/>
  <c r="M3441" i="2"/>
  <c r="M3436" i="2"/>
  <c r="M3379" i="2"/>
  <c r="M3346" i="2"/>
  <c r="L3314" i="2"/>
  <c r="Q3178" i="2"/>
  <c r="L3162" i="2"/>
  <c r="M3062" i="2"/>
  <c r="M2996" i="2"/>
  <c r="L2984" i="2"/>
  <c r="M2977" i="2"/>
  <c r="Q2687" i="2"/>
  <c r="Q2627" i="2"/>
  <c r="Q2552" i="2"/>
  <c r="L2329" i="2"/>
  <c r="Q2164" i="2"/>
  <c r="Q2128" i="2"/>
  <c r="L2010" i="2"/>
  <c r="Q1966" i="2"/>
  <c r="Q4581" i="2"/>
  <c r="L4483" i="2"/>
  <c r="L4040" i="2"/>
  <c r="L4026" i="2"/>
  <c r="Q3895" i="2"/>
  <c r="Q3789" i="2"/>
  <c r="L3761" i="2"/>
  <c r="L3728" i="2"/>
  <c r="M3695" i="2"/>
  <c r="L3656" i="2"/>
  <c r="M3457" i="2"/>
  <c r="M3443" i="2"/>
  <c r="M3426" i="2"/>
  <c r="Q3409" i="2"/>
  <c r="L3402" i="2"/>
  <c r="M3367" i="2"/>
  <c r="Q3194" i="2"/>
  <c r="M3185" i="2"/>
  <c r="L2986" i="2"/>
  <c r="L2974" i="2"/>
  <c r="M2929" i="2"/>
  <c r="L2888" i="2"/>
  <c r="L2876" i="2"/>
  <c r="Q2731" i="2"/>
  <c r="Q2645" i="2"/>
  <c r="M2583" i="2"/>
  <c r="Q2520" i="2"/>
  <c r="L2481" i="2"/>
  <c r="M2433" i="2"/>
  <c r="L2414" i="2"/>
  <c r="M2407" i="2"/>
  <c r="L2336" i="2"/>
  <c r="L2324" i="2"/>
  <c r="L2312" i="2"/>
  <c r="L2269" i="2"/>
  <c r="L2190" i="2"/>
  <c r="Q1894" i="2"/>
  <c r="L1877" i="2"/>
  <c r="Q1877" i="2"/>
  <c r="Q3842" i="2"/>
  <c r="Q3806" i="2"/>
  <c r="L3518" i="2"/>
  <c r="Q3487" i="2"/>
  <c r="Q3468" i="2"/>
  <c r="Q3440" i="2"/>
  <c r="L3376" i="2"/>
  <c r="Q3364" i="2"/>
  <c r="L3350" i="2"/>
  <c r="M3343" i="2"/>
  <c r="M3325" i="2"/>
  <c r="L2950" i="2"/>
  <c r="Q2794" i="2"/>
  <c r="M2622" i="2"/>
  <c r="M2566" i="2"/>
  <c r="M2545" i="2"/>
  <c r="Q2540" i="2"/>
  <c r="M2326" i="2"/>
  <c r="L2314" i="2"/>
  <c r="M2302" i="2"/>
  <c r="Q2187" i="2"/>
  <c r="M2036" i="2"/>
  <c r="M2017" i="2"/>
  <c r="Q1985" i="2"/>
  <c r="M1925" i="2"/>
  <c r="L4626" i="2"/>
  <c r="L4621" i="2"/>
  <c r="M4569" i="2"/>
  <c r="Q4564" i="2"/>
  <c r="Q4559" i="2"/>
  <c r="Q4094" i="2"/>
  <c r="Q3870" i="2"/>
  <c r="Q3834" i="2"/>
  <c r="Q3822" i="2"/>
  <c r="Q3784" i="2"/>
  <c r="Q3727" i="2"/>
  <c r="L3685" i="2"/>
  <c r="Q3619" i="2"/>
  <c r="Q3598" i="2"/>
  <c r="M3468" i="2"/>
  <c r="Q3456" i="2"/>
  <c r="M3454" i="2"/>
  <c r="M3435" i="2"/>
  <c r="Q3418" i="2"/>
  <c r="M3399" i="2"/>
  <c r="L3327" i="2"/>
  <c r="L3241" i="2"/>
  <c r="M3182" i="2"/>
  <c r="M3175" i="2"/>
  <c r="M3085" i="2"/>
  <c r="L2794" i="2"/>
  <c r="L2789" i="2"/>
  <c r="L2777" i="2"/>
  <c r="M2684" i="2"/>
  <c r="Q2633" i="2"/>
  <c r="Q2626" i="2"/>
  <c r="L2617" i="2"/>
  <c r="L2599" i="2"/>
  <c r="Q2425" i="2"/>
  <c r="L2388" i="2"/>
  <c r="L2345" i="2"/>
  <c r="L2333" i="2"/>
  <c r="Q2177" i="2"/>
  <c r="L2144" i="2"/>
  <c r="M2108" i="2"/>
  <c r="Q2075" i="2"/>
  <c r="Q4499" i="2"/>
  <c r="Q4487" i="2"/>
  <c r="L4058" i="2"/>
  <c r="Q4053" i="2"/>
  <c r="M3753" i="2"/>
  <c r="L3734" i="2"/>
  <c r="Q3710" i="2"/>
  <c r="L3619" i="2"/>
  <c r="Q3607" i="2"/>
  <c r="M3529" i="2"/>
  <c r="M3522" i="2"/>
  <c r="M3406" i="2"/>
  <c r="Q3389" i="2"/>
  <c r="M3322" i="2"/>
  <c r="M3144" i="2"/>
  <c r="M3080" i="2"/>
  <c r="L2966" i="2"/>
  <c r="L2880" i="2"/>
  <c r="L2820" i="2"/>
  <c r="Q2635" i="2"/>
  <c r="Q2605" i="2"/>
  <c r="Q2553" i="2"/>
  <c r="M2533" i="2"/>
  <c r="Q2528" i="2"/>
  <c r="L2487" i="2"/>
  <c r="L2425" i="2"/>
  <c r="M2371" i="2"/>
  <c r="L2347" i="2"/>
  <c r="M2335" i="2"/>
  <c r="L2249" i="2"/>
  <c r="L2127" i="2"/>
  <c r="L2096" i="2"/>
  <c r="Q2091" i="2"/>
  <c r="L2098" i="2"/>
  <c r="Q2037" i="2"/>
  <c r="L1999" i="2"/>
  <c r="L1965" i="2"/>
  <c r="M1922" i="2"/>
  <c r="M1915" i="2"/>
  <c r="L1889" i="2"/>
  <c r="M1797" i="2"/>
  <c r="L1735" i="2"/>
  <c r="Q1721" i="2"/>
  <c r="M1705" i="2"/>
  <c r="M1693" i="2"/>
  <c r="L1686" i="2"/>
  <c r="M1679" i="2"/>
  <c r="L1565" i="2"/>
  <c r="Q1537" i="2"/>
  <c r="Q1532" i="2"/>
  <c r="M1506" i="2"/>
  <c r="L1406" i="2"/>
  <c r="P1406" i="2" s="1"/>
  <c r="L1399" i="2"/>
  <c r="L1374" i="2"/>
  <c r="M1312" i="2"/>
  <c r="L1272" i="2"/>
  <c r="L1134" i="2"/>
  <c r="Q1074" i="2"/>
  <c r="M1072" i="2"/>
  <c r="L1029" i="2"/>
  <c r="M989" i="2"/>
  <c r="M929" i="2"/>
  <c r="M739" i="2"/>
  <c r="L720" i="2"/>
  <c r="M629" i="2"/>
  <c r="M591" i="2"/>
  <c r="Q538" i="2"/>
  <c r="M477" i="2"/>
  <c r="M392" i="2"/>
  <c r="L355" i="2"/>
  <c r="L348" i="2"/>
  <c r="M255" i="2"/>
  <c r="M239" i="2"/>
  <c r="M213" i="2"/>
  <c r="M206" i="2"/>
  <c r="M166" i="2"/>
  <c r="Q140" i="2"/>
  <c r="Q130" i="2"/>
  <c r="M111" i="2"/>
  <c r="M76" i="2"/>
  <c r="M43" i="2"/>
  <c r="M36" i="2"/>
  <c r="Q1707" i="2"/>
  <c r="M1496" i="2"/>
  <c r="Q1463" i="2"/>
  <c r="M1369" i="2"/>
  <c r="Q1269" i="2"/>
  <c r="L1250" i="2"/>
  <c r="L1031" i="2"/>
  <c r="M479" i="2"/>
  <c r="Q462" i="2"/>
  <c r="M422" i="2"/>
  <c r="M312" i="2"/>
  <c r="Q252" i="2"/>
  <c r="M1919" i="2"/>
  <c r="Q1813" i="2"/>
  <c r="Q1806" i="2"/>
  <c r="Q1779" i="2"/>
  <c r="M118" i="2"/>
  <c r="M106" i="2"/>
  <c r="M59" i="2"/>
  <c r="L52" i="2"/>
  <c r="L14" i="2"/>
  <c r="M1437" i="2"/>
  <c r="M1396" i="2"/>
  <c r="L1387" i="2"/>
  <c r="Q1357" i="2"/>
  <c r="L1281" i="2"/>
  <c r="L1257" i="2"/>
  <c r="L1179" i="2"/>
  <c r="Q1107" i="2"/>
  <c r="L1050" i="2"/>
  <c r="M905" i="2"/>
  <c r="M860" i="2"/>
  <c r="M848" i="2"/>
  <c r="M805" i="2"/>
  <c r="M772" i="2"/>
  <c r="M760" i="2"/>
  <c r="L748" i="2"/>
  <c r="L736" i="2"/>
  <c r="M717" i="2"/>
  <c r="M649" i="2"/>
  <c r="Q635" i="2"/>
  <c r="Q516" i="2"/>
  <c r="L514" i="2"/>
  <c r="L462" i="2"/>
  <c r="Q450" i="2"/>
  <c r="M436" i="2"/>
  <c r="L424" i="2"/>
  <c r="M217" i="2"/>
  <c r="M210" i="2"/>
  <c r="Q115" i="2"/>
  <c r="Q103" i="2"/>
  <c r="M2013" i="2"/>
  <c r="Q1981" i="2"/>
  <c r="L1921" i="2"/>
  <c r="M1883" i="2"/>
  <c r="Q1822" i="2"/>
  <c r="M1725" i="2"/>
  <c r="Q1709" i="2"/>
  <c r="L1548" i="2"/>
  <c r="M1541" i="2"/>
  <c r="M1477" i="2"/>
  <c r="M1465" i="2"/>
  <c r="M1426" i="2"/>
  <c r="M1419" i="2"/>
  <c r="L1412" i="2"/>
  <c r="L1398" i="2"/>
  <c r="M1373" i="2"/>
  <c r="L1245" i="2"/>
  <c r="M1200" i="2"/>
  <c r="L1186" i="2"/>
  <c r="Q1140" i="2"/>
  <c r="L1138" i="2"/>
  <c r="M1131" i="2"/>
  <c r="Q1047" i="2"/>
  <c r="L988" i="2"/>
  <c r="M919" i="2"/>
  <c r="M895" i="2"/>
  <c r="M800" i="2"/>
  <c r="L767" i="2"/>
  <c r="L705" i="2"/>
  <c r="M693" i="2"/>
  <c r="L686" i="2"/>
  <c r="L607" i="2"/>
  <c r="M540" i="2"/>
  <c r="M314" i="2"/>
  <c r="M132" i="2"/>
  <c r="L47" i="2"/>
  <c r="L9" i="2"/>
  <c r="M1966" i="2"/>
  <c r="M1916" i="2"/>
  <c r="L1761" i="2"/>
  <c r="L1752" i="2"/>
  <c r="M1745" i="2"/>
  <c r="M1727" i="2"/>
  <c r="L1680" i="2"/>
  <c r="M1538" i="2"/>
  <c r="M1479" i="2"/>
  <c r="L1423" i="2"/>
  <c r="M1414" i="2"/>
  <c r="L1400" i="2"/>
  <c r="L1382" i="2"/>
  <c r="L1375" i="2"/>
  <c r="Q1354" i="2"/>
  <c r="M1306" i="2"/>
  <c r="M1294" i="2"/>
  <c r="M1273" i="2"/>
  <c r="L1261" i="2"/>
  <c r="M1254" i="2"/>
  <c r="L1183" i="2"/>
  <c r="L1114" i="2"/>
  <c r="Q1080" i="2"/>
  <c r="Q1068" i="2"/>
  <c r="L1035" i="2"/>
  <c r="M1023" i="2"/>
  <c r="M990" i="2"/>
  <c r="M857" i="2"/>
  <c r="L790" i="2"/>
  <c r="M745" i="2"/>
  <c r="M733" i="2"/>
  <c r="L714" i="2"/>
  <c r="M644" i="2"/>
  <c r="M471" i="2"/>
  <c r="M186" i="2"/>
  <c r="M122" i="2"/>
  <c r="M91" i="2"/>
  <c r="M49" i="2"/>
  <c r="L11" i="2"/>
  <c r="L1715" i="2"/>
  <c r="L630" i="2"/>
  <c r="L400" i="2"/>
  <c r="M388" i="2"/>
  <c r="L342" i="2"/>
  <c r="L240" i="2"/>
  <c r="L25" i="2"/>
  <c r="L1754" i="2"/>
  <c r="M1587" i="2"/>
  <c r="L1580" i="2"/>
  <c r="L1540" i="2"/>
  <c r="M1526" i="2"/>
  <c r="M1490" i="2"/>
  <c r="M1476" i="2"/>
  <c r="M1443" i="2"/>
  <c r="Q1397" i="2"/>
  <c r="M1338" i="2"/>
  <c r="Q1333" i="2"/>
  <c r="L1308" i="2"/>
  <c r="Q1303" i="2"/>
  <c r="M1237" i="2"/>
  <c r="L1032" i="2"/>
  <c r="M985" i="2"/>
  <c r="L980" i="2"/>
  <c r="L673" i="2"/>
  <c r="L639" i="2"/>
  <c r="L442" i="2"/>
  <c r="Q418" i="2"/>
  <c r="Q346" i="2"/>
  <c r="Q339" i="2"/>
  <c r="Q228" i="2"/>
  <c r="M216" i="2"/>
  <c r="Q1022" i="2"/>
  <c r="Q789" i="2"/>
  <c r="Q369" i="2"/>
  <c r="Q95" i="2"/>
  <c r="L41" i="2"/>
  <c r="Q1855" i="2"/>
  <c r="L1724" i="2"/>
  <c r="M1717" i="2"/>
  <c r="L1672" i="2"/>
  <c r="M1459" i="2"/>
  <c r="L1411" i="2"/>
  <c r="Q1399" i="2"/>
  <c r="L1397" i="2"/>
  <c r="M1342" i="2"/>
  <c r="Q1293" i="2"/>
  <c r="M1289" i="2"/>
  <c r="M1270" i="2"/>
  <c r="L1246" i="2"/>
  <c r="M1213" i="2"/>
  <c r="L1187" i="2"/>
  <c r="L1180" i="2"/>
  <c r="M1094" i="2"/>
  <c r="M1001" i="2"/>
  <c r="M963" i="2"/>
  <c r="M958" i="2"/>
  <c r="L773" i="2"/>
  <c r="L657" i="2"/>
  <c r="L601" i="2"/>
  <c r="M577" i="2"/>
  <c r="L546" i="2"/>
  <c r="L527" i="2"/>
  <c r="M451" i="2"/>
  <c r="M418" i="2"/>
  <c r="M411" i="2"/>
  <c r="M381" i="2"/>
  <c r="L353" i="2"/>
  <c r="M308" i="2"/>
  <c r="M1814" i="2"/>
  <c r="L1787" i="2"/>
  <c r="M1758" i="2"/>
  <c r="Q1413" i="2"/>
  <c r="L17" i="2"/>
  <c r="M10" i="2"/>
  <c r="M7607" i="2"/>
  <c r="L7591" i="2"/>
  <c r="L7552" i="2"/>
  <c r="L7545" i="2"/>
  <c r="M7529" i="2"/>
  <c r="L7497" i="2"/>
  <c r="L7488" i="2"/>
  <c r="M7481" i="2"/>
  <c r="L7444" i="2"/>
  <c r="L7423" i="2"/>
  <c r="L7407" i="2"/>
  <c r="L7386" i="2"/>
  <c r="M7370" i="2"/>
  <c r="M7349" i="2"/>
  <c r="L7306" i="2"/>
  <c r="L6366" i="2"/>
  <c r="M7550" i="2"/>
  <c r="L7602" i="2"/>
  <c r="L7579" i="2"/>
  <c r="M7577" i="2"/>
  <c r="L7554" i="2"/>
  <c r="L7536" i="2"/>
  <c r="L7513" i="2"/>
  <c r="L7446" i="2"/>
  <c r="M7439" i="2"/>
  <c r="L7393" i="2"/>
  <c r="L7365" i="2"/>
  <c r="L7356" i="2"/>
  <c r="Q7335" i="2"/>
  <c r="Q7326" i="2"/>
  <c r="L7322" i="2"/>
  <c r="Q7280" i="2"/>
  <c r="M7278" i="2"/>
  <c r="M7229" i="2"/>
  <c r="L7236" i="2"/>
  <c r="M7236" i="2"/>
  <c r="L7597" i="2"/>
  <c r="L7588" i="2"/>
  <c r="L7581" i="2"/>
  <c r="M7565" i="2"/>
  <c r="L7494" i="2"/>
  <c r="M7478" i="2"/>
  <c r="M7457" i="2"/>
  <c r="L7441" i="2"/>
  <c r="L7374" i="2"/>
  <c r="M7367" i="2"/>
  <c r="L7617" i="2"/>
  <c r="L7606" i="2"/>
  <c r="L7590" i="2"/>
  <c r="L7551" i="2"/>
  <c r="L7413" i="2"/>
  <c r="M7289" i="2"/>
  <c r="M7601" i="2"/>
  <c r="M7535" i="2"/>
  <c r="L7519" i="2"/>
  <c r="L7482" i="2"/>
  <c r="M7475" i="2"/>
  <c r="M7466" i="2"/>
  <c r="L7431" i="2"/>
  <c r="L7429" i="2"/>
  <c r="L7401" i="2"/>
  <c r="L7392" i="2"/>
  <c r="M7355" i="2"/>
  <c r="L7339" i="2"/>
  <c r="M7334" i="2"/>
  <c r="Q7286" i="2"/>
  <c r="M7268" i="2"/>
  <c r="L7537" i="2"/>
  <c r="M7279" i="2"/>
  <c r="L6863" i="2"/>
  <c r="L7612" i="2"/>
  <c r="L7359" i="2"/>
  <c r="Q7318" i="2"/>
  <c r="L7555" i="2"/>
  <c r="L7516" i="2"/>
  <c r="L7509" i="2"/>
  <c r="L7500" i="2"/>
  <c r="M7463" i="2"/>
  <c r="L7447" i="2"/>
  <c r="L7435" i="2"/>
  <c r="M7433" i="2"/>
  <c r="L7389" i="2"/>
  <c r="L7380" i="2"/>
  <c r="M7373" i="2"/>
  <c r="M7329" i="2"/>
  <c r="M7318" i="2"/>
  <c r="L7274" i="2"/>
  <c r="M7265" i="2"/>
  <c r="L6350" i="2"/>
  <c r="L7518" i="2"/>
  <c r="L7465" i="2"/>
  <c r="L7428" i="2"/>
  <c r="M7391" i="2"/>
  <c r="L7375" i="2"/>
  <c r="L7363" i="2"/>
  <c r="M7361" i="2"/>
  <c r="Q7297" i="2"/>
  <c r="M7276" i="2"/>
  <c r="M7227" i="2"/>
  <c r="Q7250" i="2"/>
  <c r="Q7152" i="2"/>
  <c r="L6970" i="2"/>
  <c r="Q6950" i="2"/>
  <c r="L6828" i="2"/>
  <c r="M6784" i="2"/>
  <c r="L6763" i="2"/>
  <c r="M6751" i="2"/>
  <c r="Q6744" i="2"/>
  <c r="M6714" i="2"/>
  <c r="M6688" i="2"/>
  <c r="L6621" i="2"/>
  <c r="L6457" i="2"/>
  <c r="L6443" i="2"/>
  <c r="L6425" i="2"/>
  <c r="L6375" i="2"/>
  <c r="L6341" i="2"/>
  <c r="L6332" i="2"/>
  <c r="M6298" i="2"/>
  <c r="M6280" i="2"/>
  <c r="L6276" i="2"/>
  <c r="M6269" i="2"/>
  <c r="L6262" i="2"/>
  <c r="M6221" i="2"/>
  <c r="L6189" i="2"/>
  <c r="L6180" i="2"/>
  <c r="L6164" i="2"/>
  <c r="L6135" i="2"/>
  <c r="L6110" i="2"/>
  <c r="L6094" i="2"/>
  <c r="M6050" i="2"/>
  <c r="L6050" i="2"/>
  <c r="Q7236" i="2"/>
  <c r="M7102" i="2"/>
  <c r="L7070" i="2"/>
  <c r="M6983" i="2"/>
  <c r="L6909" i="2"/>
  <c r="L6786" i="2"/>
  <c r="M6772" i="2"/>
  <c r="L6716" i="2"/>
  <c r="L6702" i="2"/>
  <c r="L6669" i="2"/>
  <c r="Q6648" i="2"/>
  <c r="M6616" i="2"/>
  <c r="M6582" i="2"/>
  <c r="M6498" i="2"/>
  <c r="M6471" i="2"/>
  <c r="M6464" i="2"/>
  <c r="L6452" i="2"/>
  <c r="Q6450" i="2"/>
  <c r="M6386" i="2"/>
  <c r="M6368" i="2"/>
  <c r="L6361" i="2"/>
  <c r="L6354" i="2"/>
  <c r="M6309" i="2"/>
  <c r="L6300" i="2"/>
  <c r="L6293" i="2"/>
  <c r="L6282" i="2"/>
  <c r="M6278" i="2"/>
  <c r="L6255" i="2"/>
  <c r="L6244" i="2"/>
  <c r="L6214" i="2"/>
  <c r="M6212" i="2"/>
  <c r="L6157" i="2"/>
  <c r="M6139" i="2"/>
  <c r="M6137" i="2"/>
  <c r="L6121" i="2"/>
  <c r="L6116" i="2"/>
  <c r="M6096" i="2"/>
  <c r="L6080" i="2"/>
  <c r="M6080" i="2"/>
  <c r="M6075" i="2"/>
  <c r="L6073" i="2"/>
  <c r="M6052" i="2"/>
  <c r="L6011" i="2"/>
  <c r="M6011" i="2"/>
  <c r="M5997" i="2"/>
  <c r="Q5985" i="2"/>
  <c r="Q5922" i="2"/>
  <c r="Q7218" i="2"/>
  <c r="Q7202" i="2"/>
  <c r="M7152" i="2"/>
  <c r="Q7106" i="2"/>
  <c r="M7088" i="2"/>
  <c r="L7038" i="2"/>
  <c r="L7022" i="2"/>
  <c r="M6954" i="2"/>
  <c r="M6945" i="2"/>
  <c r="L6867" i="2"/>
  <c r="Q6825" i="2"/>
  <c r="Q6807" i="2"/>
  <c r="Q6720" i="2"/>
  <c r="L6692" i="2"/>
  <c r="M6584" i="2"/>
  <c r="Q6516" i="2"/>
  <c r="M6486" i="2"/>
  <c r="L6454" i="2"/>
  <c r="L6246" i="2"/>
  <c r="L6216" i="2"/>
  <c r="M6207" i="2"/>
  <c r="L6186" i="2"/>
  <c r="M6125" i="2"/>
  <c r="M6018" i="2"/>
  <c r="Q6018" i="2"/>
  <c r="L5699" i="2"/>
  <c r="Q7204" i="2"/>
  <c r="Q7188" i="2"/>
  <c r="Q7177" i="2"/>
  <c r="Q7168" i="2"/>
  <c r="M7145" i="2"/>
  <c r="M7081" i="2"/>
  <c r="Q7053" i="2"/>
  <c r="M7049" i="2"/>
  <c r="Q6922" i="2"/>
  <c r="L6895" i="2"/>
  <c r="M6706" i="2"/>
  <c r="Q6694" i="2"/>
  <c r="Q6588" i="2"/>
  <c r="L6509" i="2"/>
  <c r="L6488" i="2"/>
  <c r="L6461" i="2"/>
  <c r="L6347" i="2"/>
  <c r="L6338" i="2"/>
  <c r="M6100" i="2"/>
  <c r="M6084" i="2"/>
  <c r="M6027" i="2"/>
  <c r="Q5718" i="2"/>
  <c r="M5718" i="2"/>
  <c r="M5915" i="2"/>
  <c r="Q5760" i="2"/>
  <c r="M7263" i="2"/>
  <c r="M7238" i="2"/>
  <c r="M7231" i="2"/>
  <c r="M7186" i="2"/>
  <c r="Q7124" i="2"/>
  <c r="M7092" i="2"/>
  <c r="M7053" i="2"/>
  <c r="L7042" i="2"/>
  <c r="L7026" i="2"/>
  <c r="Q6958" i="2"/>
  <c r="M6924" i="2"/>
  <c r="Q6919" i="2"/>
  <c r="L6846" i="2"/>
  <c r="L6839" i="2"/>
  <c r="L6827" i="2"/>
  <c r="L6795" i="2"/>
  <c r="M6736" i="2"/>
  <c r="L6727" i="2"/>
  <c r="L6694" i="2"/>
  <c r="L6687" i="2"/>
  <c r="L6620" i="2"/>
  <c r="M6588" i="2"/>
  <c r="L6442" i="2"/>
  <c r="Q6424" i="2"/>
  <c r="Q6407" i="2"/>
  <c r="L6349" i="2"/>
  <c r="L6286" i="2"/>
  <c r="L6261" i="2"/>
  <c r="L6248" i="2"/>
  <c r="M6234" i="2"/>
  <c r="M6218" i="2"/>
  <c r="L6188" i="2"/>
  <c r="L6177" i="2"/>
  <c r="L6113" i="2"/>
  <c r="L6111" i="2"/>
  <c r="M6095" i="2"/>
  <c r="M6056" i="2"/>
  <c r="L6056" i="2"/>
  <c r="M6049" i="2"/>
  <c r="M5840" i="2"/>
  <c r="L5840" i="2"/>
  <c r="M7085" i="2"/>
  <c r="Q7057" i="2"/>
  <c r="M7055" i="2"/>
  <c r="M7037" i="2"/>
  <c r="Q6973" i="2"/>
  <c r="M6962" i="2"/>
  <c r="Q6953" i="2"/>
  <c r="M6951" i="2"/>
  <c r="L6935" i="2"/>
  <c r="L6815" i="2"/>
  <c r="M6696" i="2"/>
  <c r="L6615" i="2"/>
  <c r="Q6606" i="2"/>
  <c r="L6555" i="2"/>
  <c r="L6504" i="2"/>
  <c r="L6419" i="2"/>
  <c r="M6385" i="2"/>
  <c r="M6374" i="2"/>
  <c r="L6369" i="2"/>
  <c r="M6367" i="2"/>
  <c r="L6351" i="2"/>
  <c r="L6344" i="2"/>
  <c r="L6342" i="2"/>
  <c r="L6317" i="2"/>
  <c r="L6308" i="2"/>
  <c r="M6301" i="2"/>
  <c r="L6299" i="2"/>
  <c r="M6297" i="2"/>
  <c r="L6288" i="2"/>
  <c r="M6275" i="2"/>
  <c r="L6250" i="2"/>
  <c r="M6236" i="2"/>
  <c r="L6220" i="2"/>
  <c r="L6202" i="2"/>
  <c r="L6195" i="2"/>
  <c r="L6183" i="2"/>
  <c r="L6170" i="2"/>
  <c r="M6147" i="2"/>
  <c r="M6136" i="2"/>
  <c r="L6120" i="2"/>
  <c r="M6024" i="2"/>
  <c r="Q6012" i="2"/>
  <c r="M5945" i="2"/>
  <c r="L5625" i="2"/>
  <c r="M5625" i="2"/>
  <c r="Q7144" i="2"/>
  <c r="M7023" i="2"/>
  <c r="M7007" i="2"/>
  <c r="M6991" i="2"/>
  <c r="M6973" i="2"/>
  <c r="M6953" i="2"/>
  <c r="L6747" i="2"/>
  <c r="Q6705" i="2"/>
  <c r="Q6679" i="2"/>
  <c r="M6672" i="2"/>
  <c r="Q6594" i="2"/>
  <c r="Q6571" i="2"/>
  <c r="Q6532" i="2"/>
  <c r="Q6411" i="2"/>
  <c r="M6380" i="2"/>
  <c r="L6238" i="2"/>
  <c r="M6158" i="2"/>
  <c r="L6131" i="2"/>
  <c r="M6104" i="2"/>
  <c r="L6104" i="2"/>
  <c r="L6074" i="2"/>
  <c r="M5912" i="2"/>
  <c r="L5912" i="2"/>
  <c r="L5627" i="2"/>
  <c r="M5627" i="2"/>
  <c r="L7030" i="2"/>
  <c r="L6944" i="2"/>
  <c r="L6930" i="2"/>
  <c r="M6912" i="2"/>
  <c r="L6887" i="2"/>
  <c r="Q6742" i="2"/>
  <c r="Q6559" i="2"/>
  <c r="Q6538" i="2"/>
  <c r="Q6501" i="2"/>
  <c r="L6115" i="2"/>
  <c r="L6005" i="2"/>
  <c r="Q7262" i="2"/>
  <c r="Q7212" i="2"/>
  <c r="Q7148" i="2"/>
  <c r="L7144" i="2"/>
  <c r="M7059" i="2"/>
  <c r="M6975" i="2"/>
  <c r="M6957" i="2"/>
  <c r="M6946" i="2"/>
  <c r="Q6900" i="2"/>
  <c r="Q6898" i="2"/>
  <c r="L6896" i="2"/>
  <c r="L6850" i="2"/>
  <c r="M6801" i="2"/>
  <c r="Q6768" i="2"/>
  <c r="L6691" i="2"/>
  <c r="M6624" i="2"/>
  <c r="M6596" i="2"/>
  <c r="M6594" i="2"/>
  <c r="L6538" i="2"/>
  <c r="L6527" i="2"/>
  <c r="M6522" i="2"/>
  <c r="L6364" i="2"/>
  <c r="L6346" i="2"/>
  <c r="L6330" i="2"/>
  <c r="L6321" i="2"/>
  <c r="M6303" i="2"/>
  <c r="M6294" i="2"/>
  <c r="L6285" i="2"/>
  <c r="M6272" i="2"/>
  <c r="M6260" i="2"/>
  <c r="M6224" i="2"/>
  <c r="M6199" i="2"/>
  <c r="M6192" i="2"/>
  <c r="L6187" i="2"/>
  <c r="L6178" i="2"/>
  <c r="L6162" i="2"/>
  <c r="L6124" i="2"/>
  <c r="L5930" i="2"/>
  <c r="M5886" i="2"/>
  <c r="M7171" i="2"/>
  <c r="Q7130" i="2"/>
  <c r="M7121" i="2"/>
  <c r="M7107" i="2"/>
  <c r="M7043" i="2"/>
  <c r="M7027" i="2"/>
  <c r="M7011" i="2"/>
  <c r="M6995" i="2"/>
  <c r="M6959" i="2"/>
  <c r="M6934" i="2"/>
  <c r="M6923" i="2"/>
  <c r="L6891" i="2"/>
  <c r="M6756" i="2"/>
  <c r="Q6751" i="2"/>
  <c r="Q6660" i="2"/>
  <c r="Q6607" i="2"/>
  <c r="M6529" i="2"/>
  <c r="M6489" i="2"/>
  <c r="L6469" i="2"/>
  <c r="L6274" i="2"/>
  <c r="M6135" i="2"/>
  <c r="L6062" i="2"/>
  <c r="M6062" i="2"/>
  <c r="L5981" i="2"/>
  <c r="Q5781" i="2"/>
  <c r="M5462" i="2"/>
  <c r="L5462" i="2"/>
  <c r="M4771" i="2"/>
  <c r="L6098" i="2"/>
  <c r="L6076" i="2"/>
  <c r="L6069" i="2"/>
  <c r="M6032" i="2"/>
  <c r="L5966" i="2"/>
  <c r="L5918" i="2"/>
  <c r="M5895" i="2"/>
  <c r="M5877" i="2"/>
  <c r="L5795" i="2"/>
  <c r="L5777" i="2"/>
  <c r="L5657" i="2"/>
  <c r="M5646" i="2"/>
  <c r="Q5606" i="2"/>
  <c r="Q5596" i="2"/>
  <c r="L5583" i="2"/>
  <c r="Q5578" i="2"/>
  <c r="Q5524" i="2"/>
  <c r="Q5513" i="2"/>
  <c r="M5266" i="2"/>
  <c r="M5127" i="2"/>
  <c r="L5127" i="2"/>
  <c r="Q5122" i="2"/>
  <c r="Q6002" i="2"/>
  <c r="M5952" i="2"/>
  <c r="M5943" i="2"/>
  <c r="M5931" i="2"/>
  <c r="L5890" i="2"/>
  <c r="L5813" i="2"/>
  <c r="M5804" i="2"/>
  <c r="M5802" i="2"/>
  <c r="M5763" i="2"/>
  <c r="M5745" i="2"/>
  <c r="L5732" i="2"/>
  <c r="M5723" i="2"/>
  <c r="L5714" i="2"/>
  <c r="M5700" i="2"/>
  <c r="Q5676" i="2"/>
  <c r="L5668" i="2"/>
  <c r="M5655" i="2"/>
  <c r="M5648" i="2"/>
  <c r="L5602" i="2"/>
  <c r="Q5551" i="2"/>
  <c r="L5543" i="2"/>
  <c r="Q5530" i="2"/>
  <c r="Q5528" i="2"/>
  <c r="L5526" i="2"/>
  <c r="M5520" i="2"/>
  <c r="M5509" i="2"/>
  <c r="L5481" i="2"/>
  <c r="Q5445" i="2"/>
  <c r="L5342" i="2"/>
  <c r="L5311" i="2"/>
  <c r="Q5243" i="2"/>
  <c r="Q4041" i="2"/>
  <c r="L6109" i="2"/>
  <c r="L6100" i="2"/>
  <c r="L6078" i="2"/>
  <c r="L6047" i="2"/>
  <c r="Q5997" i="2"/>
  <c r="M5984" i="2"/>
  <c r="M5922" i="2"/>
  <c r="M5913" i="2"/>
  <c r="M5906" i="2"/>
  <c r="Q5901" i="2"/>
  <c r="L5899" i="2"/>
  <c r="M5897" i="2"/>
  <c r="M5879" i="2"/>
  <c r="L5832" i="2"/>
  <c r="M5817" i="2"/>
  <c r="L5747" i="2"/>
  <c r="Q5729" i="2"/>
  <c r="M5709" i="2"/>
  <c r="Q5704" i="2"/>
  <c r="Q5680" i="2"/>
  <c r="L5659" i="2"/>
  <c r="M5632" i="2"/>
  <c r="L5624" i="2"/>
  <c r="L5613" i="2"/>
  <c r="Q5580" i="2"/>
  <c r="M5578" i="2"/>
  <c r="M5547" i="2"/>
  <c r="Q5532" i="2"/>
  <c r="M5500" i="2"/>
  <c r="L5470" i="2"/>
  <c r="Q5428" i="2"/>
  <c r="Q5426" i="2"/>
  <c r="Q5414" i="2"/>
  <c r="L5122" i="2"/>
  <c r="M5103" i="2"/>
  <c r="L5799" i="2"/>
  <c r="M5774" i="2"/>
  <c r="L5736" i="2"/>
  <c r="Q5595" i="2"/>
  <c r="Q5538" i="2"/>
  <c r="Q5482" i="2"/>
  <c r="L5476" i="2"/>
  <c r="Q5421" i="2"/>
  <c r="M5360" i="2"/>
  <c r="L6106" i="2"/>
  <c r="M6093" i="2"/>
  <c r="L6084" i="2"/>
  <c r="Q6024" i="2"/>
  <c r="M6022" i="2"/>
  <c r="Q6015" i="2"/>
  <c r="Q5967" i="2"/>
  <c r="Q5928" i="2"/>
  <c r="L5926" i="2"/>
  <c r="L5894" i="2"/>
  <c r="L5876" i="2"/>
  <c r="M5862" i="2"/>
  <c r="L5843" i="2"/>
  <c r="L5834" i="2"/>
  <c r="Q5812" i="2"/>
  <c r="L5794" i="2"/>
  <c r="M5760" i="2"/>
  <c r="Q5697" i="2"/>
  <c r="Q5658" i="2"/>
  <c r="L5645" i="2"/>
  <c r="L5636" i="2"/>
  <c r="L5619" i="2"/>
  <c r="M5595" i="2"/>
  <c r="Q5586" i="2"/>
  <c r="Q5555" i="2"/>
  <c r="Q5486" i="2"/>
  <c r="L5478" i="2"/>
  <c r="Q5465" i="2"/>
  <c r="M5374" i="2"/>
  <c r="L5251" i="2"/>
  <c r="L5247" i="2"/>
  <c r="Q5207" i="2"/>
  <c r="L5151" i="2"/>
  <c r="L4586" i="2"/>
  <c r="M4586" i="2"/>
  <c r="Q5762" i="2"/>
  <c r="Q5690" i="2"/>
  <c r="Q5588" i="2"/>
  <c r="Q5564" i="2"/>
  <c r="Q5550" i="2"/>
  <c r="L5542" i="2"/>
  <c r="Q5510" i="2"/>
  <c r="Q5493" i="2"/>
  <c r="Q5281" i="2"/>
  <c r="M5179" i="2"/>
  <c r="Q5172" i="2"/>
  <c r="M6088" i="2"/>
  <c r="L6077" i="2"/>
  <c r="L6070" i="2"/>
  <c r="M6015" i="2"/>
  <c r="Q6010" i="2"/>
  <c r="M5967" i="2"/>
  <c r="Q5930" i="2"/>
  <c r="L5923" i="2"/>
  <c r="M5921" i="2"/>
  <c r="M5871" i="2"/>
  <c r="M5852" i="2"/>
  <c r="M5825" i="2"/>
  <c r="M5796" i="2"/>
  <c r="L5791" i="2"/>
  <c r="M5789" i="2"/>
  <c r="M5771" i="2"/>
  <c r="M5744" i="2"/>
  <c r="M5742" i="2"/>
  <c r="L5724" i="2"/>
  <c r="M5715" i="2"/>
  <c r="Q5703" i="2"/>
  <c r="L5701" i="2"/>
  <c r="M5690" i="2"/>
  <c r="M5688" i="2"/>
  <c r="Q5664" i="2"/>
  <c r="L5658" i="2"/>
  <c r="L5631" i="2"/>
  <c r="Q5616" i="2"/>
  <c r="M5597" i="2"/>
  <c r="Q5590" i="2"/>
  <c r="L5575" i="2"/>
  <c r="M5564" i="2"/>
  <c r="L5546" i="2"/>
  <c r="Q5544" i="2"/>
  <c r="M5536" i="2"/>
  <c r="M5521" i="2"/>
  <c r="Q5519" i="2"/>
  <c r="M5508" i="2"/>
  <c r="M5497" i="2"/>
  <c r="M5286" i="2"/>
  <c r="M5239" i="2"/>
  <c r="L5239" i="2"/>
  <c r="M6141" i="2"/>
  <c r="L6112" i="2"/>
  <c r="L6079" i="2"/>
  <c r="M6067" i="2"/>
  <c r="M6061" i="2"/>
  <c r="M6059" i="2"/>
  <c r="M6017" i="2"/>
  <c r="M6003" i="2"/>
  <c r="L5996" i="2"/>
  <c r="L5969" i="2"/>
  <c r="L5907" i="2"/>
  <c r="Q5886" i="2"/>
  <c r="L5868" i="2"/>
  <c r="L5866" i="2"/>
  <c r="Q5856" i="2"/>
  <c r="M5847" i="2"/>
  <c r="L5833" i="2"/>
  <c r="M5831" i="2"/>
  <c r="M5805" i="2"/>
  <c r="Q5798" i="2"/>
  <c r="M5784" i="2"/>
  <c r="Q5761" i="2"/>
  <c r="Q5739" i="2"/>
  <c r="Q5726" i="2"/>
  <c r="L5719" i="2"/>
  <c r="M5703" i="2"/>
  <c r="L5694" i="2"/>
  <c r="M5662" i="2"/>
  <c r="L5651" i="2"/>
  <c r="L5642" i="2"/>
  <c r="M5640" i="2"/>
  <c r="L5614" i="2"/>
  <c r="Q5598" i="2"/>
  <c r="L5557" i="2"/>
  <c r="L5552" i="2"/>
  <c r="Q5533" i="2"/>
  <c r="L5514" i="2"/>
  <c r="Q5509" i="2"/>
  <c r="M5486" i="2"/>
  <c r="M5475" i="2"/>
  <c r="L5471" i="2"/>
  <c r="L5458" i="2"/>
  <c r="M5276" i="2"/>
  <c r="Q5991" i="2"/>
  <c r="L5948" i="2"/>
  <c r="L5941" i="2"/>
  <c r="Q5918" i="2"/>
  <c r="M5902" i="2"/>
  <c r="L5849" i="2"/>
  <c r="Q5811" i="2"/>
  <c r="L5809" i="2"/>
  <c r="L5752" i="2"/>
  <c r="L5730" i="2"/>
  <c r="L5644" i="2"/>
  <c r="M5570" i="2"/>
  <c r="Q5561" i="2"/>
  <c r="Q5518" i="2"/>
  <c r="M5429" i="2"/>
  <c r="M5401" i="2"/>
  <c r="Q5368" i="2"/>
  <c r="M1208" i="2"/>
  <c r="M5453" i="2"/>
  <c r="M5390" i="2"/>
  <c r="Q5308" i="2"/>
  <c r="M5287" i="2"/>
  <c r="L5231" i="2"/>
  <c r="M5224" i="2"/>
  <c r="Q5170" i="2"/>
  <c r="M5141" i="2"/>
  <c r="M5121" i="2"/>
  <c r="M5096" i="2"/>
  <c r="M5063" i="2"/>
  <c r="M4966" i="2"/>
  <c r="M4954" i="2"/>
  <c r="M4900" i="2"/>
  <c r="Q4805" i="2"/>
  <c r="L4771" i="2"/>
  <c r="Q4764" i="2"/>
  <c r="Q4727" i="2"/>
  <c r="L4656" i="2"/>
  <c r="L4602" i="2"/>
  <c r="M4579" i="2"/>
  <c r="Q4567" i="2"/>
  <c r="L4527" i="2"/>
  <c r="Q4503" i="2"/>
  <c r="Q4291" i="2"/>
  <c r="Q4085" i="2"/>
  <c r="Q4083" i="2"/>
  <c r="L4043" i="2"/>
  <c r="Q3993" i="2"/>
  <c r="Q3753" i="2"/>
  <c r="L3613" i="2"/>
  <c r="L3509" i="2"/>
  <c r="M3412" i="2"/>
  <c r="L3214" i="2"/>
  <c r="M2702" i="2"/>
  <c r="Q5459" i="2"/>
  <c r="Q5429" i="2"/>
  <c r="M5392" i="2"/>
  <c r="M5308" i="2"/>
  <c r="L5206" i="2"/>
  <c r="Q5199" i="2"/>
  <c r="L5186" i="2"/>
  <c r="L5107" i="2"/>
  <c r="M5053" i="2"/>
  <c r="Q4857" i="2"/>
  <c r="Q4821" i="2"/>
  <c r="Q4708" i="2"/>
  <c r="L4703" i="2"/>
  <c r="Q4642" i="2"/>
  <c r="Q4611" i="2"/>
  <c r="Q4491" i="2"/>
  <c r="Q4453" i="2"/>
  <c r="Q4441" i="2"/>
  <c r="Q4439" i="2"/>
  <c r="Q4415" i="2"/>
  <c r="Q4405" i="2"/>
  <c r="Q4200" i="2"/>
  <c r="Q4188" i="2"/>
  <c r="Q4176" i="2"/>
  <c r="Q4164" i="2"/>
  <c r="Q4152" i="2"/>
  <c r="Q4140" i="2"/>
  <c r="Q4128" i="2"/>
  <c r="Q4116" i="2"/>
  <c r="Q4104" i="2"/>
  <c r="Q4080" i="2"/>
  <c r="Q4068" i="2"/>
  <c r="L2704" i="2"/>
  <c r="Q4618" i="2"/>
  <c r="Q4183" i="2"/>
  <c r="Q4171" i="2"/>
  <c r="Q4159" i="2"/>
  <c r="Q4147" i="2"/>
  <c r="Q4135" i="2"/>
  <c r="Q4123" i="2"/>
  <c r="M5380" i="2"/>
  <c r="L5378" i="2"/>
  <c r="Q5350" i="2"/>
  <c r="M5346" i="2"/>
  <c r="M5341" i="2"/>
  <c r="Q5329" i="2"/>
  <c r="M5259" i="2"/>
  <c r="M5244" i="2"/>
  <c r="L5226" i="2"/>
  <c r="L5102" i="2"/>
  <c r="M5003" i="2"/>
  <c r="M4975" i="2"/>
  <c r="M4939" i="2"/>
  <c r="M4918" i="2"/>
  <c r="M4906" i="2"/>
  <c r="Q4832" i="2"/>
  <c r="Q4768" i="2"/>
  <c r="L4717" i="2"/>
  <c r="L4653" i="2"/>
  <c r="L4639" i="2"/>
  <c r="L4632" i="2"/>
  <c r="L4630" i="2"/>
  <c r="Q4562" i="2"/>
  <c r="L4519" i="2"/>
  <c r="L4491" i="2"/>
  <c r="L4479" i="2"/>
  <c r="Q4324" i="2"/>
  <c r="Q4312" i="2"/>
  <c r="Q4288" i="2"/>
  <c r="Q4231" i="2"/>
  <c r="Q4219" i="2"/>
  <c r="Q4092" i="2"/>
  <c r="L3907" i="2"/>
  <c r="Q3824" i="2"/>
  <c r="Q4345" i="2"/>
  <c r="Q4185" i="2"/>
  <c r="Q4161" i="2"/>
  <c r="Q4149" i="2"/>
  <c r="Q4125" i="2"/>
  <c r="Q4113" i="2"/>
  <c r="Q4051" i="2"/>
  <c r="Q3909" i="2"/>
  <c r="Q3843" i="2"/>
  <c r="Q5467" i="2"/>
  <c r="Q5454" i="2"/>
  <c r="M5417" i="2"/>
  <c r="L5410" i="2"/>
  <c r="M5396" i="2"/>
  <c r="L5373" i="2"/>
  <c r="L5359" i="2"/>
  <c r="M5336" i="2"/>
  <c r="L5284" i="2"/>
  <c r="L5277" i="2"/>
  <c r="Q5246" i="2"/>
  <c r="Q5234" i="2"/>
  <c r="M5129" i="2"/>
  <c r="M5062" i="2"/>
  <c r="M5029" i="2"/>
  <c r="M5017" i="2"/>
  <c r="M4984" i="2"/>
  <c r="M4965" i="2"/>
  <c r="M4960" i="2"/>
  <c r="M4920" i="2"/>
  <c r="Q4845" i="2"/>
  <c r="L4763" i="2"/>
  <c r="L4726" i="2"/>
  <c r="L4721" i="2"/>
  <c r="Q4698" i="2"/>
  <c r="L4675" i="2"/>
  <c r="M4646" i="2"/>
  <c r="M4620" i="2"/>
  <c r="L4540" i="2"/>
  <c r="L4507" i="2"/>
  <c r="Q4192" i="2"/>
  <c r="Q4180" i="2"/>
  <c r="Q4168" i="2"/>
  <c r="Q4156" i="2"/>
  <c r="Q4144" i="2"/>
  <c r="Q4132" i="2"/>
  <c r="Q4120" i="2"/>
  <c r="Q4108" i="2"/>
  <c r="Q4096" i="2"/>
  <c r="Q4084" i="2"/>
  <c r="Q4072" i="2"/>
  <c r="L3655" i="2"/>
  <c r="M3423" i="2"/>
  <c r="L3332" i="2"/>
  <c r="Q4836" i="2"/>
  <c r="Q4797" i="2"/>
  <c r="Q4740" i="2"/>
  <c r="Q4668" i="2"/>
  <c r="Q4627" i="2"/>
  <c r="Q4561" i="2"/>
  <c r="L2924" i="2"/>
  <c r="M5370" i="2"/>
  <c r="L5354" i="2"/>
  <c r="M5326" i="2"/>
  <c r="L5319" i="2"/>
  <c r="M5314" i="2"/>
  <c r="L5293" i="2"/>
  <c r="Q5160" i="2"/>
  <c r="L5115" i="2"/>
  <c r="M5002" i="2"/>
  <c r="M4901" i="2"/>
  <c r="Q4829" i="2"/>
  <c r="L4781" i="2"/>
  <c r="L4765" i="2"/>
  <c r="L4679" i="2"/>
  <c r="L4648" i="2"/>
  <c r="L4622" i="2"/>
  <c r="Q4495" i="2"/>
  <c r="Q4457" i="2"/>
  <c r="Q4433" i="2"/>
  <c r="Q4421" i="2"/>
  <c r="Q4297" i="2"/>
  <c r="Q4261" i="2"/>
  <c r="Q4194" i="2"/>
  <c r="Q4158" i="2"/>
  <c r="Q4134" i="2"/>
  <c r="Q4122" i="2"/>
  <c r="Q4098" i="2"/>
  <c r="Q4086" i="2"/>
  <c r="Q3932" i="2"/>
  <c r="M3930" i="2"/>
  <c r="L3923" i="2"/>
  <c r="L3600" i="2"/>
  <c r="M3493" i="2"/>
  <c r="Q4577" i="2"/>
  <c r="Q4523" i="2"/>
  <c r="M5402" i="2"/>
  <c r="Q5323" i="2"/>
  <c r="L5295" i="2"/>
  <c r="M5290" i="2"/>
  <c r="Q5278" i="2"/>
  <c r="L5162" i="2"/>
  <c r="M5133" i="2"/>
  <c r="L5110" i="2"/>
  <c r="M5021" i="2"/>
  <c r="M4988" i="2"/>
  <c r="M4969" i="2"/>
  <c r="M4957" i="2"/>
  <c r="M4912" i="2"/>
  <c r="M4872" i="2"/>
  <c r="Q4860" i="2"/>
  <c r="Q4704" i="2"/>
  <c r="L4624" i="2"/>
  <c r="L4605" i="2"/>
  <c r="M4598" i="2"/>
  <c r="L4568" i="2"/>
  <c r="L4544" i="2"/>
  <c r="Q4282" i="2"/>
  <c r="Q3958" i="2"/>
  <c r="Q3920" i="2"/>
  <c r="L3602" i="2"/>
  <c r="M3396" i="2"/>
  <c r="L2952" i="2"/>
  <c r="L5202" i="2"/>
  <c r="Q5195" i="2"/>
  <c r="M5157" i="2"/>
  <c r="M4874" i="2"/>
  <c r="Q4833" i="2"/>
  <c r="Q4527" i="2"/>
  <c r="L4520" i="2"/>
  <c r="Q4203" i="2"/>
  <c r="Q4167" i="2"/>
  <c r="Q4143" i="2"/>
  <c r="Q4131" i="2"/>
  <c r="Q4107" i="2"/>
  <c r="Q4095" i="2"/>
  <c r="Q4071" i="2"/>
  <c r="Q4064" i="2"/>
  <c r="L4027" i="2"/>
  <c r="L3104" i="2"/>
  <c r="M3104" i="2"/>
  <c r="M2997" i="2"/>
  <c r="L3247" i="2"/>
  <c r="M3068" i="2"/>
  <c r="L3061" i="2"/>
  <c r="M3010" i="2"/>
  <c r="L3003" i="2"/>
  <c r="L2940" i="2"/>
  <c r="L2800" i="2"/>
  <c r="L2677" i="2"/>
  <c r="M2648" i="2"/>
  <c r="Q2639" i="2"/>
  <c r="Q2621" i="2"/>
  <c r="L3615" i="2"/>
  <c r="L3579" i="2"/>
  <c r="L3567" i="2"/>
  <c r="M3560" i="2"/>
  <c r="M3553" i="2"/>
  <c r="L3493" i="2"/>
  <c r="M3467" i="2"/>
  <c r="M3376" i="2"/>
  <c r="M3347" i="2"/>
  <c r="M3334" i="2"/>
  <c r="M3316" i="2"/>
  <c r="M3193" i="2"/>
  <c r="M3168" i="2"/>
  <c r="L3145" i="2"/>
  <c r="L3119" i="2"/>
  <c r="L2968" i="2"/>
  <c r="M2947" i="2"/>
  <c r="M2756" i="2"/>
  <c r="L2659" i="2"/>
  <c r="M1804" i="2"/>
  <c r="L1755" i="2"/>
  <c r="L1341" i="2"/>
  <c r="Q1341" i="2"/>
  <c r="Q4089" i="2"/>
  <c r="Q4077" i="2"/>
  <c r="L3979" i="2"/>
  <c r="M3916" i="2"/>
  <c r="Q3850" i="2"/>
  <c r="Q3783" i="2"/>
  <c r="Q3781" i="2"/>
  <c r="Q3774" i="2"/>
  <c r="M3675" i="2"/>
  <c r="M3650" i="2"/>
  <c r="L3631" i="2"/>
  <c r="L3595" i="2"/>
  <c r="L3581" i="2"/>
  <c r="L3562" i="2"/>
  <c r="Q3550" i="2"/>
  <c r="M3548" i="2"/>
  <c r="M3511" i="2"/>
  <c r="L3504" i="2"/>
  <c r="Q3490" i="2"/>
  <c r="M3418" i="2"/>
  <c r="M3409" i="2"/>
  <c r="M3402" i="2"/>
  <c r="M3387" i="2"/>
  <c r="L3371" i="2"/>
  <c r="M3358" i="2"/>
  <c r="L3338" i="2"/>
  <c r="M3304" i="2"/>
  <c r="M3261" i="2"/>
  <c r="Q3232" i="2"/>
  <c r="M3163" i="2"/>
  <c r="L3126" i="2"/>
  <c r="L3077" i="2"/>
  <c r="L3051" i="2"/>
  <c r="M3014" i="2"/>
  <c r="Q2984" i="2"/>
  <c r="L2975" i="2"/>
  <c r="L2942" i="2"/>
  <c r="L2852" i="2"/>
  <c r="L2840" i="2"/>
  <c r="M2767" i="2"/>
  <c r="M2672" i="2"/>
  <c r="M2580" i="2"/>
  <c r="M2561" i="2"/>
  <c r="Q2419" i="2"/>
  <c r="Q3869" i="2"/>
  <c r="L3499" i="2"/>
  <c r="Q3395" i="2"/>
  <c r="M3211" i="2"/>
  <c r="Q3209" i="2"/>
  <c r="L3181" i="2"/>
  <c r="Q3105" i="2"/>
  <c r="M3091" i="2"/>
  <c r="Q2960" i="2"/>
  <c r="Q2647" i="2"/>
  <c r="Q2629" i="2"/>
  <c r="Q2584" i="2"/>
  <c r="M2498" i="2"/>
  <c r="L2498" i="2"/>
  <c r="M4019" i="2"/>
  <c r="Q4009" i="2"/>
  <c r="L3986" i="2"/>
  <c r="Q3969" i="2"/>
  <c r="M3953" i="2"/>
  <c r="L3946" i="2"/>
  <c r="Q3934" i="2"/>
  <c r="Q3922" i="2"/>
  <c r="Q3897" i="2"/>
  <c r="Q3828" i="2"/>
  <c r="Q3816" i="2"/>
  <c r="Q3714" i="2"/>
  <c r="L3681" i="2"/>
  <c r="P3681" i="2" s="1"/>
  <c r="L3638" i="2"/>
  <c r="Q3623" i="2"/>
  <c r="L3583" i="2"/>
  <c r="L3557" i="2"/>
  <c r="M3393" i="2"/>
  <c r="Q3382" i="2"/>
  <c r="M3380" i="2"/>
  <c r="M3360" i="2"/>
  <c r="Q3355" i="2"/>
  <c r="M3353" i="2"/>
  <c r="L3344" i="2"/>
  <c r="M3331" i="2"/>
  <c r="M3329" i="2"/>
  <c r="Q3322" i="2"/>
  <c r="L3282" i="2"/>
  <c r="L3263" i="2"/>
  <c r="M3158" i="2"/>
  <c r="Q3002" i="2"/>
  <c r="L3000" i="2"/>
  <c r="Q2967" i="2"/>
  <c r="L2906" i="2"/>
  <c r="L1357" i="2"/>
  <c r="Q3957" i="2"/>
  <c r="Q3915" i="2"/>
  <c r="Q3883" i="2"/>
  <c r="Q3873" i="2"/>
  <c r="L3755" i="2"/>
  <c r="L3566" i="2"/>
  <c r="Q3436" i="2"/>
  <c r="Q3417" i="2"/>
  <c r="Q3408" i="2"/>
  <c r="L3406" i="2"/>
  <c r="L3382" i="2"/>
  <c r="M3355" i="2"/>
  <c r="Q3296" i="2"/>
  <c r="L3239" i="2"/>
  <c r="M3199" i="2"/>
  <c r="Q3098" i="2"/>
  <c r="M3086" i="2"/>
  <c r="M3067" i="2"/>
  <c r="L3023" i="2"/>
  <c r="Q3018" i="2"/>
  <c r="M2953" i="2"/>
  <c r="L2951" i="2"/>
  <c r="L2946" i="2"/>
  <c r="L2934" i="2"/>
  <c r="Q2920" i="2"/>
  <c r="Q2866" i="2"/>
  <c r="L2818" i="2"/>
  <c r="L2806" i="2"/>
  <c r="L2799" i="2"/>
  <c r="L2746" i="2"/>
  <c r="Q2732" i="2"/>
  <c r="Q2719" i="2"/>
  <c r="Q2692" i="2"/>
  <c r="L2647" i="2"/>
  <c r="M2636" i="2"/>
  <c r="M2600" i="2"/>
  <c r="L2488" i="2"/>
  <c r="L2457" i="2"/>
  <c r="L2445" i="2"/>
  <c r="M1313" i="2"/>
  <c r="L1313" i="2"/>
  <c r="M2495" i="2"/>
  <c r="Q2464" i="2"/>
  <c r="L2319" i="2"/>
  <c r="M1973" i="2"/>
  <c r="L4067" i="2"/>
  <c r="L4044" i="2"/>
  <c r="M4028" i="2"/>
  <c r="Q4018" i="2"/>
  <c r="Q3973" i="2"/>
  <c r="L3931" i="2"/>
  <c r="Q3861" i="2"/>
  <c r="Q3849" i="2"/>
  <c r="Q3825" i="2"/>
  <c r="Q3750" i="2"/>
  <c r="M3748" i="2"/>
  <c r="Q3743" i="2"/>
  <c r="M3707" i="2"/>
  <c r="L3667" i="2"/>
  <c r="M3663" i="2"/>
  <c r="M3642" i="2"/>
  <c r="L3547" i="2"/>
  <c r="M3517" i="2"/>
  <c r="M3480" i="2"/>
  <c r="L3468" i="2"/>
  <c r="M3459" i="2"/>
  <c r="M3445" i="2"/>
  <c r="Q3438" i="2"/>
  <c r="M3408" i="2"/>
  <c r="L3386" i="2"/>
  <c r="L3364" i="2"/>
  <c r="M3337" i="2"/>
  <c r="M3335" i="2"/>
  <c r="M3139" i="2"/>
  <c r="M3132" i="2"/>
  <c r="L3069" i="2"/>
  <c r="M3018" i="2"/>
  <c r="Q2997" i="2"/>
  <c r="Q2931" i="2"/>
  <c r="L2915" i="2"/>
  <c r="L2856" i="2"/>
  <c r="L2780" i="2"/>
  <c r="M2743" i="2"/>
  <c r="Q2689" i="2"/>
  <c r="M2660" i="2"/>
  <c r="M2604" i="2"/>
  <c r="L2593" i="2"/>
  <c r="Q2565" i="2"/>
  <c r="L2326" i="2"/>
  <c r="L2302" i="2"/>
  <c r="Q3352" i="2"/>
  <c r="Q3153" i="2"/>
  <c r="L4004" i="2"/>
  <c r="L3997" i="2"/>
  <c r="Q3907" i="2"/>
  <c r="Q3891" i="2"/>
  <c r="Q3796" i="2"/>
  <c r="M3759" i="2"/>
  <c r="M3750" i="2"/>
  <c r="Q3731" i="2"/>
  <c r="M3702" i="2"/>
  <c r="M3678" i="2"/>
  <c r="L3651" i="2"/>
  <c r="L3607" i="2"/>
  <c r="L3596" i="2"/>
  <c r="L3519" i="2"/>
  <c r="M3505" i="2"/>
  <c r="M3463" i="2"/>
  <c r="M3438" i="2"/>
  <c r="M3410" i="2"/>
  <c r="M3390" i="2"/>
  <c r="Q3383" i="2"/>
  <c r="M3359" i="2"/>
  <c r="M3341" i="2"/>
  <c r="L3250" i="2"/>
  <c r="Q3219" i="2"/>
  <c r="L3164" i="2"/>
  <c r="M3109" i="2"/>
  <c r="L3071" i="2"/>
  <c r="Q2971" i="2"/>
  <c r="L2964" i="2"/>
  <c r="Q2959" i="2"/>
  <c r="L2931" i="2"/>
  <c r="L2910" i="2"/>
  <c r="Q2860" i="2"/>
  <c r="M2815" i="2"/>
  <c r="M2803" i="2"/>
  <c r="L2796" i="2"/>
  <c r="L2752" i="2"/>
  <c r="Q2651" i="2"/>
  <c r="M2588" i="2"/>
  <c r="M2504" i="2"/>
  <c r="Q4052" i="2"/>
  <c r="M4025" i="2"/>
  <c r="Q4001" i="2"/>
  <c r="M3992" i="2"/>
  <c r="M3980" i="2"/>
  <c r="M3896" i="2"/>
  <c r="L3889" i="2"/>
  <c r="Q3777" i="2"/>
  <c r="Q3747" i="2"/>
  <c r="Q3738" i="2"/>
  <c r="L3731" i="2"/>
  <c r="M3671" i="2"/>
  <c r="M3646" i="2"/>
  <c r="Q3613" i="2"/>
  <c r="L3598" i="2"/>
  <c r="L3584" i="2"/>
  <c r="L3539" i="2"/>
  <c r="L3514" i="2"/>
  <c r="L3507" i="2"/>
  <c r="M3456" i="2"/>
  <c r="M3440" i="2"/>
  <c r="M3433" i="2"/>
  <c r="M3421" i="2"/>
  <c r="M3394" i="2"/>
  <c r="L3361" i="2"/>
  <c r="M3328" i="2"/>
  <c r="L3288" i="2"/>
  <c r="L3276" i="2"/>
  <c r="L3238" i="2"/>
  <c r="Q3228" i="2"/>
  <c r="M3180" i="2"/>
  <c r="Q3122" i="2"/>
  <c r="Q3087" i="2"/>
  <c r="Q3068" i="2"/>
  <c r="L3008" i="2"/>
  <c r="L2997" i="2"/>
  <c r="M2985" i="2"/>
  <c r="M2945" i="2"/>
  <c r="M2933" i="2"/>
  <c r="Q2926" i="2"/>
  <c r="L2912" i="2"/>
  <c r="L2879" i="2"/>
  <c r="L2860" i="2"/>
  <c r="Q2824" i="2"/>
  <c r="M2770" i="2"/>
  <c r="M2754" i="2"/>
  <c r="M2738" i="2"/>
  <c r="Q2675" i="2"/>
  <c r="L2653" i="2"/>
  <c r="M2612" i="2"/>
  <c r="Q2585" i="2"/>
  <c r="M2539" i="2"/>
  <c r="Q2564" i="2"/>
  <c r="Q2549" i="2"/>
  <c r="L2510" i="2"/>
  <c r="Q2498" i="2"/>
  <c r="M2475" i="2"/>
  <c r="L2353" i="2"/>
  <c r="M2332" i="2"/>
  <c r="M2323" i="2"/>
  <c r="M2311" i="2"/>
  <c r="L2283" i="2"/>
  <c r="L2278" i="2"/>
  <c r="L2250" i="2"/>
  <c r="L2189" i="2"/>
  <c r="M2021" i="2"/>
  <c r="Q1926" i="2"/>
  <c r="L1906" i="2"/>
  <c r="M1876" i="2"/>
  <c r="L1789" i="2"/>
  <c r="Q1784" i="2"/>
  <c r="L1768" i="2"/>
  <c r="L1740" i="2"/>
  <c r="M1540" i="2"/>
  <c r="M1491" i="2"/>
  <c r="L1389" i="2"/>
  <c r="Q1345" i="2"/>
  <c r="Q2427" i="2"/>
  <c r="Q2209" i="2"/>
  <c r="Q2165" i="2"/>
  <c r="L2087" i="2"/>
  <c r="M1990" i="2"/>
  <c r="M1985" i="2"/>
  <c r="Q1928" i="2"/>
  <c r="M1921" i="2"/>
  <c r="M1854" i="2"/>
  <c r="L1850" i="2"/>
  <c r="L1834" i="2"/>
  <c r="L1820" i="2"/>
  <c r="M1718" i="2"/>
  <c r="P1718" i="2" s="1"/>
  <c r="Q1677" i="2"/>
  <c r="L1613" i="2"/>
  <c r="L1567" i="2"/>
  <c r="Q1553" i="2"/>
  <c r="L1528" i="2"/>
  <c r="M1514" i="2"/>
  <c r="M1500" i="2"/>
  <c r="M1463" i="2"/>
  <c r="M1395" i="2"/>
  <c r="L1378" i="2"/>
  <c r="L1315" i="2"/>
  <c r="Q1301" i="2"/>
  <c r="Q1261" i="2"/>
  <c r="Q1259" i="2"/>
  <c r="M562" i="2"/>
  <c r="M2594" i="2"/>
  <c r="M2564" i="2"/>
  <c r="Q2479" i="2"/>
  <c r="M2420" i="2"/>
  <c r="Q2415" i="2"/>
  <c r="L2411" i="2"/>
  <c r="M2397" i="2"/>
  <c r="L2327" i="2"/>
  <c r="L2306" i="2"/>
  <c r="L2266" i="2"/>
  <c r="L2216" i="2"/>
  <c r="L2184" i="2"/>
  <c r="L2114" i="2"/>
  <c r="L2018" i="2"/>
  <c r="M1999" i="2"/>
  <c r="L1887" i="2"/>
  <c r="P1887" i="2" s="1"/>
  <c r="L1871" i="2"/>
  <c r="M1845" i="2"/>
  <c r="L1838" i="2"/>
  <c r="Q1824" i="2"/>
  <c r="Q1562" i="2"/>
  <c r="M1530" i="2"/>
  <c r="Q1467" i="2"/>
  <c r="Q1426" i="2"/>
  <c r="Q1424" i="2"/>
  <c r="Q1407" i="2"/>
  <c r="L1401" i="2"/>
  <c r="Q1365" i="2"/>
  <c r="Q1356" i="2"/>
  <c r="M2345" i="2"/>
  <c r="M2544" i="2"/>
  <c r="M2486" i="2"/>
  <c r="Q2443" i="2"/>
  <c r="Q2364" i="2"/>
  <c r="L2357" i="2"/>
  <c r="L2343" i="2"/>
  <c r="L2338" i="2"/>
  <c r="M2308" i="2"/>
  <c r="M2299" i="2"/>
  <c r="L2287" i="2"/>
  <c r="L2254" i="2"/>
  <c r="M2209" i="2"/>
  <c r="M2202" i="2"/>
  <c r="L2172" i="2"/>
  <c r="Q2127" i="2"/>
  <c r="Q2034" i="2"/>
  <c r="L2025" i="2"/>
  <c r="L1987" i="2"/>
  <c r="L1824" i="2"/>
  <c r="Q1803" i="2"/>
  <c r="L1786" i="2"/>
  <c r="Q1685" i="2"/>
  <c r="M1681" i="2"/>
  <c r="M1617" i="2"/>
  <c r="L1578" i="2"/>
  <c r="Q1573" i="2"/>
  <c r="M1571" i="2"/>
  <c r="M1562" i="2"/>
  <c r="L1525" i="2"/>
  <c r="M1453" i="2"/>
  <c r="Q1432" i="2"/>
  <c r="M1424" i="2"/>
  <c r="Q1411" i="2"/>
  <c r="M1399" i="2"/>
  <c r="M1382" i="2"/>
  <c r="M1371" i="2"/>
  <c r="L1365" i="2"/>
  <c r="Q1282" i="2"/>
  <c r="M1275" i="2"/>
  <c r="L1230" i="2"/>
  <c r="L2204" i="2"/>
  <c r="L2167" i="2"/>
  <c r="Q2153" i="2"/>
  <c r="Q1937" i="2"/>
  <c r="Q1858" i="2"/>
  <c r="M1851" i="2"/>
  <c r="M1805" i="2"/>
  <c r="Q1776" i="2"/>
  <c r="Q1749" i="2"/>
  <c r="Q1694" i="2"/>
  <c r="L1662" i="2"/>
  <c r="L1541" i="2"/>
  <c r="L1417" i="2"/>
  <c r="Q2403" i="2"/>
  <c r="Q2150" i="2"/>
  <c r="L1694" i="2"/>
  <c r="L1669" i="2"/>
  <c r="M1657" i="2"/>
  <c r="M1645" i="2"/>
  <c r="M1633" i="2"/>
  <c r="L1557" i="2"/>
  <c r="M1436" i="2"/>
  <c r="M1402" i="2"/>
  <c r="M1379" i="2"/>
  <c r="L1338" i="2"/>
  <c r="L2296" i="2"/>
  <c r="L2192" i="2"/>
  <c r="M2185" i="2"/>
  <c r="Q2157" i="2"/>
  <c r="M2143" i="2"/>
  <c r="M2127" i="2"/>
  <c r="L2120" i="2"/>
  <c r="M2099" i="2"/>
  <c r="L2022" i="2"/>
  <c r="L2015" i="2"/>
  <c r="L1976" i="2"/>
  <c r="M1967" i="2"/>
  <c r="Q1944" i="2"/>
  <c r="L1918" i="2"/>
  <c r="M1849" i="2"/>
  <c r="L1826" i="2"/>
  <c r="L1790" i="2"/>
  <c r="Q1783" i="2"/>
  <c r="Q1769" i="2"/>
  <c r="M1764" i="2"/>
  <c r="Q1755" i="2"/>
  <c r="M1743" i="2"/>
  <c r="L1741" i="2"/>
  <c r="M1732" i="2"/>
  <c r="L1706" i="2"/>
  <c r="L1664" i="2"/>
  <c r="M1614" i="2"/>
  <c r="Q1545" i="2"/>
  <c r="L1515" i="2"/>
  <c r="L1404" i="2"/>
  <c r="Q1381" i="2"/>
  <c r="Q1320" i="2"/>
  <c r="Q2110" i="2"/>
  <c r="Q1787" i="2"/>
  <c r="Q1414" i="2"/>
  <c r="L1355" i="2"/>
  <c r="L2447" i="2"/>
  <c r="Q2363" i="2"/>
  <c r="L2356" i="2"/>
  <c r="L2307" i="2"/>
  <c r="L2298" i="2"/>
  <c r="L2286" i="2"/>
  <c r="L2208" i="2"/>
  <c r="L2201" i="2"/>
  <c r="M2171" i="2"/>
  <c r="Q2140" i="2"/>
  <c r="L2101" i="2"/>
  <c r="L2061" i="2"/>
  <c r="M2024" i="2"/>
  <c r="L1960" i="2"/>
  <c r="L1946" i="2"/>
  <c r="L1865" i="2"/>
  <c r="L1844" i="2"/>
  <c r="Q1837" i="2"/>
  <c r="L1792" i="2"/>
  <c r="M1734" i="2"/>
  <c r="Q1727" i="2"/>
  <c r="M1721" i="2"/>
  <c r="L1623" i="2"/>
  <c r="Q1572" i="2"/>
  <c r="M1503" i="2"/>
  <c r="M1318" i="2"/>
  <c r="Q1313" i="2"/>
  <c r="M1309" i="2"/>
  <c r="L1309" i="2"/>
  <c r="M1286" i="2"/>
  <c r="L1286" i="2"/>
  <c r="M1267" i="2"/>
  <c r="Q2545" i="2"/>
  <c r="Q2534" i="2"/>
  <c r="L2506" i="2"/>
  <c r="L2473" i="2"/>
  <c r="Q2466" i="2"/>
  <c r="Q2407" i="2"/>
  <c r="L2398" i="2"/>
  <c r="Q2389" i="2"/>
  <c r="L2332" i="2"/>
  <c r="L2330" i="2"/>
  <c r="L2323" i="2"/>
  <c r="L2321" i="2"/>
  <c r="L2309" i="2"/>
  <c r="L2300" i="2"/>
  <c r="L2293" i="2"/>
  <c r="L2187" i="2"/>
  <c r="L2180" i="2"/>
  <c r="L2166" i="2"/>
  <c r="M2140" i="2"/>
  <c r="L2133" i="2"/>
  <c r="M2110" i="2"/>
  <c r="Q2056" i="2"/>
  <c r="Q2044" i="2"/>
  <c r="Q2040" i="2"/>
  <c r="M2026" i="2"/>
  <c r="M1995" i="2"/>
  <c r="Q1983" i="2"/>
  <c r="Q1975" i="2"/>
  <c r="Q1924" i="2"/>
  <c r="M1913" i="2"/>
  <c r="L1911" i="2"/>
  <c r="L1876" i="2"/>
  <c r="M1761" i="2"/>
  <c r="L1757" i="2"/>
  <c r="Q1742" i="2"/>
  <c r="Q1740" i="2"/>
  <c r="M1738" i="2"/>
  <c r="Q1718" i="2"/>
  <c r="Q1716" i="2"/>
  <c r="L1714" i="2"/>
  <c r="L1698" i="2"/>
  <c r="M1684" i="2"/>
  <c r="M1577" i="2"/>
  <c r="L1561" i="2"/>
  <c r="Q1556" i="2"/>
  <c r="M1554" i="2"/>
  <c r="Q1549" i="2"/>
  <c r="L1517" i="2"/>
  <c r="M1473" i="2"/>
  <c r="Q1431" i="2"/>
  <c r="Q1418" i="2"/>
  <c r="L1416" i="2"/>
  <c r="L1322" i="2"/>
  <c r="L643" i="2"/>
  <c r="L1156" i="2"/>
  <c r="M1111" i="2"/>
  <c r="Q1094" i="2"/>
  <c r="M1010" i="2"/>
  <c r="L996" i="2"/>
  <c r="M510" i="2"/>
  <c r="L394" i="2"/>
  <c r="L337" i="2"/>
  <c r="M311" i="2"/>
  <c r="M266" i="2"/>
  <c r="M113" i="2"/>
  <c r="Q1395" i="2"/>
  <c r="L1393" i="2"/>
  <c r="M1385" i="2"/>
  <c r="M1381" i="2"/>
  <c r="M1375" i="2"/>
  <c r="L1373" i="2"/>
  <c r="Q1369" i="2"/>
  <c r="L1356" i="2"/>
  <c r="M1341" i="2"/>
  <c r="Q1263" i="2"/>
  <c r="L1252" i="2"/>
  <c r="L1236" i="2"/>
  <c r="M1232" i="2"/>
  <c r="L1216" i="2"/>
  <c r="M1198" i="2"/>
  <c r="Q1186" i="2"/>
  <c r="L1120" i="2"/>
  <c r="M1066" i="2"/>
  <c r="M975" i="2"/>
  <c r="M923" i="2"/>
  <c r="M866" i="2"/>
  <c r="M764" i="2"/>
  <c r="L716" i="2"/>
  <c r="L711" i="2"/>
  <c r="Q678" i="2"/>
  <c r="L645" i="2"/>
  <c r="M592" i="2"/>
  <c r="M557" i="2"/>
  <c r="L503" i="2"/>
  <c r="L487" i="2"/>
  <c r="M412" i="2"/>
  <c r="Q373" i="2"/>
  <c r="L364" i="2"/>
  <c r="Q348" i="2"/>
  <c r="M320" i="2"/>
  <c r="M243" i="2"/>
  <c r="M183" i="2"/>
  <c r="M174" i="2"/>
  <c r="L87" i="2"/>
  <c r="L48" i="2"/>
  <c r="L16" i="2"/>
  <c r="Q1342" i="2"/>
  <c r="M1263" i="2"/>
  <c r="Q1179" i="2"/>
  <c r="Q1103" i="2"/>
  <c r="Q1037" i="2"/>
  <c r="M949" i="2"/>
  <c r="L944" i="2"/>
  <c r="L752" i="2"/>
  <c r="L732" i="2"/>
  <c r="Q727" i="2"/>
  <c r="Q613" i="2"/>
  <c r="Q568" i="2"/>
  <c r="M559" i="2"/>
  <c r="Q533" i="2"/>
  <c r="M380" i="2"/>
  <c r="Q375" i="2"/>
  <c r="L373" i="2"/>
  <c r="M1337" i="2"/>
  <c r="Q1274" i="2"/>
  <c r="Q1211" i="2"/>
  <c r="Q1174" i="2"/>
  <c r="M1000" i="2"/>
  <c r="L984" i="2"/>
  <c r="M932" i="2"/>
  <c r="M673" i="2"/>
  <c r="L615" i="2"/>
  <c r="M498" i="2"/>
  <c r="Q407" i="2"/>
  <c r="Q357" i="2"/>
  <c r="Q336" i="2"/>
  <c r="Q222" i="2"/>
  <c r="M201" i="2"/>
  <c r="M192" i="2"/>
  <c r="L138" i="2"/>
  <c r="Q119" i="2"/>
  <c r="M117" i="2"/>
  <c r="M105" i="2"/>
  <c r="L24" i="2"/>
  <c r="L13" i="2"/>
  <c r="Q1390" i="2"/>
  <c r="Q1353" i="2"/>
  <c r="M1344" i="2"/>
  <c r="M1314" i="2"/>
  <c r="L1310" i="2"/>
  <c r="L1299" i="2"/>
  <c r="L1211" i="2"/>
  <c r="L1174" i="2"/>
  <c r="L1046" i="2"/>
  <c r="M946" i="2"/>
  <c r="M922" i="2"/>
  <c r="M911" i="2"/>
  <c r="Q832" i="2"/>
  <c r="L779" i="2"/>
  <c r="L738" i="2"/>
  <c r="L699" i="2"/>
  <c r="Q481" i="2"/>
  <c r="M465" i="2"/>
  <c r="M458" i="2"/>
  <c r="L359" i="2"/>
  <c r="L345" i="2"/>
  <c r="L317" i="2"/>
  <c r="M224" i="2"/>
  <c r="M180" i="2"/>
  <c r="M119" i="2"/>
  <c r="M1390" i="2"/>
  <c r="L1388" i="2"/>
  <c r="M1378" i="2"/>
  <c r="L1361" i="2"/>
  <c r="M1357" i="2"/>
  <c r="L1346" i="2"/>
  <c r="L1340" i="2"/>
  <c r="Q1287" i="2"/>
  <c r="L1283" i="2"/>
  <c r="L1251" i="2"/>
  <c r="L1244" i="2"/>
  <c r="L1242" i="2"/>
  <c r="L1224" i="2"/>
  <c r="L1199" i="2"/>
  <c r="L1192" i="2"/>
  <c r="L1112" i="2"/>
  <c r="M1107" i="2"/>
  <c r="L1048" i="2"/>
  <c r="L1041" i="2"/>
  <c r="M872" i="2"/>
  <c r="M788" i="2"/>
  <c r="M781" i="2"/>
  <c r="Q648" i="2"/>
  <c r="Q581" i="2"/>
  <c r="Q558" i="2"/>
  <c r="Q525" i="2"/>
  <c r="M481" i="2"/>
  <c r="L455" i="2"/>
  <c r="M441" i="2"/>
  <c r="L379" i="2"/>
  <c r="Q321" i="2"/>
  <c r="L281" i="2"/>
  <c r="L274" i="2"/>
  <c r="Q253" i="2"/>
  <c r="M249" i="2"/>
  <c r="M196" i="2"/>
  <c r="M135" i="2"/>
  <c r="M126" i="2"/>
  <c r="Q104" i="2"/>
  <c r="M58" i="2"/>
  <c r="L56" i="2"/>
  <c r="L10" i="2"/>
  <c r="L3" i="2"/>
  <c r="L1332" i="2"/>
  <c r="Q1305" i="2"/>
  <c r="L1287" i="2"/>
  <c r="L1255" i="2"/>
  <c r="Q1208" i="2"/>
  <c r="M1194" i="2"/>
  <c r="Q1187" i="2"/>
  <c r="M1095" i="2"/>
  <c r="L1013" i="2"/>
  <c r="Q957" i="2"/>
  <c r="M938" i="2"/>
  <c r="Q792" i="2"/>
  <c r="Q698" i="2"/>
  <c r="L436" i="2"/>
  <c r="Q424" i="2"/>
  <c r="Q381" i="2"/>
  <c r="Q374" i="2"/>
  <c r="L365" i="2"/>
  <c r="L340" i="2"/>
  <c r="L321" i="2"/>
  <c r="M288" i="2"/>
  <c r="M237" i="2"/>
  <c r="Q1289" i="2"/>
  <c r="Q1149" i="2"/>
  <c r="L945" i="2"/>
  <c r="L719" i="2"/>
  <c r="L661" i="2"/>
  <c r="Q562" i="2"/>
  <c r="Q527" i="2"/>
  <c r="M499" i="2"/>
  <c r="M464" i="2"/>
  <c r="M429" i="2"/>
  <c r="M177" i="2"/>
  <c r="L1350" i="2"/>
  <c r="Q1317" i="2"/>
  <c r="L1300" i="2"/>
  <c r="L1298" i="2"/>
  <c r="L1280" i="2"/>
  <c r="M1257" i="2"/>
  <c r="L1248" i="2"/>
  <c r="L1201" i="2"/>
  <c r="M1196" i="2"/>
  <c r="Q1175" i="2"/>
  <c r="Q1118" i="2"/>
  <c r="L1102" i="2"/>
  <c r="P1102" i="2" s="1"/>
  <c r="M1045" i="2"/>
  <c r="Q1010" i="2"/>
  <c r="Q987" i="2"/>
  <c r="M973" i="2"/>
  <c r="M966" i="2"/>
  <c r="M957" i="2"/>
  <c r="L952" i="2"/>
  <c r="M933" i="2"/>
  <c r="M728" i="2"/>
  <c r="Q522" i="2"/>
  <c r="Q492" i="2"/>
  <c r="Q447" i="2"/>
  <c r="Q408" i="2"/>
  <c r="L358" i="2"/>
  <c r="M316" i="2"/>
  <c r="L309" i="2"/>
  <c r="L297" i="2"/>
  <c r="M295" i="2"/>
  <c r="M179" i="2"/>
  <c r="M165" i="2"/>
  <c r="M92" i="2"/>
  <c r="M5" i="2"/>
  <c r="L7504" i="2"/>
  <c r="M7502" i="2"/>
  <c r="M7616" i="2"/>
  <c r="L7603" i="2"/>
  <c r="L7584" i="2"/>
  <c r="L7582" i="2"/>
  <c r="M7580" i="2"/>
  <c r="L7548" i="2"/>
  <c r="L7546" i="2"/>
  <c r="M7544" i="2"/>
  <c r="L7512" i="2"/>
  <c r="L7510" i="2"/>
  <c r="M7508" i="2"/>
  <c r="L7476" i="2"/>
  <c r="L7474" i="2"/>
  <c r="M7472" i="2"/>
  <c r="L7440" i="2"/>
  <c r="L7438" i="2"/>
  <c r="M7436" i="2"/>
  <c r="L7404" i="2"/>
  <c r="L7402" i="2"/>
  <c r="M7400" i="2"/>
  <c r="L7368" i="2"/>
  <c r="L7366" i="2"/>
  <c r="M7364" i="2"/>
  <c r="Q7330" i="2"/>
  <c r="Q7307" i="2"/>
  <c r="Q7294" i="2"/>
  <c r="L7290" i="2"/>
  <c r="Q7256" i="2"/>
  <c r="Q7254" i="2"/>
  <c r="Q7220" i="2"/>
  <c r="Q7214" i="2"/>
  <c r="M7210" i="2"/>
  <c r="L7204" i="2"/>
  <c r="M7202" i="2"/>
  <c r="M7190" i="2"/>
  <c r="Q7163" i="2"/>
  <c r="Q7136" i="2"/>
  <c r="Q7073" i="2"/>
  <c r="Q7069" i="2"/>
  <c r="Q7065" i="2"/>
  <c r="L6978" i="2"/>
  <c r="Q6967" i="2"/>
  <c r="Q6965" i="2"/>
  <c r="Q6961" i="2"/>
  <c r="Q6955" i="2"/>
  <c r="M6932" i="2"/>
  <c r="Q6921" i="2"/>
  <c r="Q6910" i="2"/>
  <c r="L6906" i="2"/>
  <c r="M6895" i="2"/>
  <c r="L6882" i="2"/>
  <c r="Q6789" i="2"/>
  <c r="L6705" i="2"/>
  <c r="M6705" i="2"/>
  <c r="L6679" i="2"/>
  <c r="M6679" i="2"/>
  <c r="M7538" i="2"/>
  <c r="M7595" i="2"/>
  <c r="Q7309" i="2"/>
  <c r="L7292" i="2"/>
  <c r="M7233" i="2"/>
  <c r="Q7222" i="2"/>
  <c r="M7212" i="2"/>
  <c r="L7198" i="2"/>
  <c r="L7192" i="2"/>
  <c r="L7188" i="2"/>
  <c r="Q7184" i="2"/>
  <c r="Q7132" i="2"/>
  <c r="Q7086" i="2"/>
  <c r="Q7084" i="2"/>
  <c r="M7075" i="2"/>
  <c r="M7071" i="2"/>
  <c r="M7067" i="2"/>
  <c r="M7061" i="2"/>
  <c r="L7018" i="2"/>
  <c r="L7014" i="2"/>
  <c r="L7010" i="2"/>
  <c r="L7006" i="2"/>
  <c r="L7002" i="2"/>
  <c r="L6998" i="2"/>
  <c r="L6994" i="2"/>
  <c r="L6990" i="2"/>
  <c r="L6986" i="2"/>
  <c r="L6982" i="2"/>
  <c r="Q6971" i="2"/>
  <c r="Q6969" i="2"/>
  <c r="M6967" i="2"/>
  <c r="M6965" i="2"/>
  <c r="Q6963" i="2"/>
  <c r="M6961" i="2"/>
  <c r="Q6959" i="2"/>
  <c r="L6919" i="2"/>
  <c r="Q6897" i="2"/>
  <c r="L7609" i="2"/>
  <c r="M7326" i="2"/>
  <c r="M7324" i="2"/>
  <c r="Q7260" i="2"/>
  <c r="Q7235" i="2"/>
  <c r="M7222" i="2"/>
  <c r="M7173" i="2"/>
  <c r="M7167" i="2"/>
  <c r="Q7138" i="2"/>
  <c r="M7136" i="2"/>
  <c r="M7130" i="2"/>
  <c r="M7077" i="2"/>
  <c r="M7073" i="2"/>
  <c r="M7069" i="2"/>
  <c r="M7065" i="2"/>
  <c r="Q6929" i="2"/>
  <c r="L6927" i="2"/>
  <c r="L6912" i="2"/>
  <c r="M6910" i="2"/>
  <c r="L6848" i="2"/>
  <c r="M6681" i="2"/>
  <c r="Q6681" i="2"/>
  <c r="Q6979" i="2"/>
  <c r="Q6977" i="2"/>
  <c r="L6942" i="2"/>
  <c r="Q6852" i="2"/>
  <c r="L6807" i="2"/>
  <c r="M6732" i="2"/>
  <c r="Q6732" i="2"/>
  <c r="L7615" i="2"/>
  <c r="M7592" i="2"/>
  <c r="L7558" i="2"/>
  <c r="M7556" i="2"/>
  <c r="L7522" i="2"/>
  <c r="M7520" i="2"/>
  <c r="L7486" i="2"/>
  <c r="M7484" i="2"/>
  <c r="L7450" i="2"/>
  <c r="M7448" i="2"/>
  <c r="L7414" i="2"/>
  <c r="M7412" i="2"/>
  <c r="L7378" i="2"/>
  <c r="M7376" i="2"/>
  <c r="L7342" i="2"/>
  <c r="M7340" i="2"/>
  <c r="L7336" i="2"/>
  <c r="M7315" i="2"/>
  <c r="M7287" i="2"/>
  <c r="Q7274" i="2"/>
  <c r="Q7272" i="2"/>
  <c r="Q7268" i="2"/>
  <c r="Q7264" i="2"/>
  <c r="L7258" i="2"/>
  <c r="Q7230" i="2"/>
  <c r="L7220" i="2"/>
  <c r="Q7189" i="2"/>
  <c r="Q7150" i="2"/>
  <c r="Q7142" i="2"/>
  <c r="L7134" i="2"/>
  <c r="L7128" i="2"/>
  <c r="L7124" i="2"/>
  <c r="M7118" i="2"/>
  <c r="Q7104" i="2"/>
  <c r="Q7098" i="2"/>
  <c r="Q7092" i="2"/>
  <c r="Q7081" i="2"/>
  <c r="L7046" i="2"/>
  <c r="Q7035" i="2"/>
  <c r="Q7033" i="2"/>
  <c r="Q7031" i="2"/>
  <c r="Q7029" i="2"/>
  <c r="Q7027" i="2"/>
  <c r="Q7025" i="2"/>
  <c r="Q7023" i="2"/>
  <c r="Q7021" i="2"/>
  <c r="Q7019" i="2"/>
  <c r="Q7017" i="2"/>
  <c r="Q7015" i="2"/>
  <c r="Q7013" i="2"/>
  <c r="Q7011" i="2"/>
  <c r="Q7009" i="2"/>
  <c r="Q7007" i="2"/>
  <c r="Q7005" i="2"/>
  <c r="Q7003" i="2"/>
  <c r="Q7001" i="2"/>
  <c r="Q6999" i="2"/>
  <c r="Q6997" i="2"/>
  <c r="Q6995" i="2"/>
  <c r="Q6993" i="2"/>
  <c r="Q6991" i="2"/>
  <c r="Q6989" i="2"/>
  <c r="Q6987" i="2"/>
  <c r="Q6985" i="2"/>
  <c r="Q6983" i="2"/>
  <c r="Q6981" i="2"/>
  <c r="M6979" i="2"/>
  <c r="M6977" i="2"/>
  <c r="M6950" i="2"/>
  <c r="Q6874" i="2"/>
  <c r="M6765" i="2"/>
  <c r="M7230" i="2"/>
  <c r="Q7199" i="2"/>
  <c r="Q7164" i="2"/>
  <c r="Q7160" i="2"/>
  <c r="M7156" i="2"/>
  <c r="M7100" i="2"/>
  <c r="Q7039" i="2"/>
  <c r="Q7037" i="2"/>
  <c r="Q6924" i="2"/>
  <c r="L6852" i="2"/>
  <c r="Q6838" i="2"/>
  <c r="Q6802" i="2"/>
  <c r="L7621" i="2"/>
  <c r="M7598" i="2"/>
  <c r="L7564" i="2"/>
  <c r="M7562" i="2"/>
  <c r="L7528" i="2"/>
  <c r="M7526" i="2"/>
  <c r="L7492" i="2"/>
  <c r="M7490" i="2"/>
  <c r="L7456" i="2"/>
  <c r="M7454" i="2"/>
  <c r="L7420" i="2"/>
  <c r="M7418" i="2"/>
  <c r="L7384" i="2"/>
  <c r="M7382" i="2"/>
  <c r="L7348" i="2"/>
  <c r="M7346" i="2"/>
  <c r="Q7319" i="2"/>
  <c r="L7304" i="2"/>
  <c r="M7293" i="2"/>
  <c r="M7253" i="2"/>
  <c r="Q7238" i="2"/>
  <c r="M7195" i="2"/>
  <c r="M7150" i="2"/>
  <c r="L7148" i="2"/>
  <c r="M7140" i="2"/>
  <c r="L7098" i="2"/>
  <c r="Q7085" i="2"/>
  <c r="M7083" i="2"/>
  <c r="L7054" i="2"/>
  <c r="Q7043" i="2"/>
  <c r="Q7041" i="2"/>
  <c r="M7039" i="2"/>
  <c r="M7033" i="2"/>
  <c r="M7029" i="2"/>
  <c r="M7025" i="2"/>
  <c r="M7021" i="2"/>
  <c r="M7017" i="2"/>
  <c r="M7013" i="2"/>
  <c r="M7009" i="2"/>
  <c r="M7005" i="2"/>
  <c r="M7001" i="2"/>
  <c r="M6997" i="2"/>
  <c r="M6993" i="2"/>
  <c r="M6989" i="2"/>
  <c r="M6985" i="2"/>
  <c r="M6958" i="2"/>
  <c r="Q6954" i="2"/>
  <c r="M6920" i="2"/>
  <c r="M6916" i="2"/>
  <c r="Q7278" i="2"/>
  <c r="Q7172" i="2"/>
  <c r="Q7170" i="2"/>
  <c r="M6666" i="2"/>
  <c r="L6666" i="2"/>
  <c r="M7604" i="2"/>
  <c r="L7570" i="2"/>
  <c r="M7568" i="2"/>
  <c r="L7534" i="2"/>
  <c r="M7532" i="2"/>
  <c r="L7498" i="2"/>
  <c r="M7496" i="2"/>
  <c r="L7462" i="2"/>
  <c r="M7460" i="2"/>
  <c r="L7426" i="2"/>
  <c r="M7424" i="2"/>
  <c r="L7390" i="2"/>
  <c r="M7388" i="2"/>
  <c r="L7354" i="2"/>
  <c r="M7352" i="2"/>
  <c r="Q7246" i="2"/>
  <c r="Q7176" i="2"/>
  <c r="M7170" i="2"/>
  <c r="M7137" i="2"/>
  <c r="L7106" i="2"/>
  <c r="Q7078" i="2"/>
  <c r="L7062" i="2"/>
  <c r="Q7051" i="2"/>
  <c r="Q7049" i="2"/>
  <c r="M7047" i="2"/>
  <c r="M7041" i="2"/>
  <c r="M6966" i="2"/>
  <c r="L6962" i="2"/>
  <c r="Q6934" i="2"/>
  <c r="L6860" i="2"/>
  <c r="M6670" i="2"/>
  <c r="M7248" i="2"/>
  <c r="Q7223" i="2"/>
  <c r="M7217" i="2"/>
  <c r="M7180" i="2"/>
  <c r="Q7127" i="2"/>
  <c r="M7123" i="2"/>
  <c r="Q7087" i="2"/>
  <c r="M7078" i="2"/>
  <c r="Q7055" i="2"/>
  <c r="M7051" i="2"/>
  <c r="M7045" i="2"/>
  <c r="M6970" i="2"/>
  <c r="Q6949" i="2"/>
  <c r="M6947" i="2"/>
  <c r="Q6864" i="2"/>
  <c r="L6840" i="2"/>
  <c r="L6764" i="2"/>
  <c r="L7468" i="2"/>
  <c r="L7432" i="2"/>
  <c r="M7430" i="2"/>
  <c r="L7396" i="2"/>
  <c r="M7394" i="2"/>
  <c r="L7360" i="2"/>
  <c r="M7358" i="2"/>
  <c r="L7284" i="2"/>
  <c r="M6828" i="2"/>
  <c r="M7610" i="2"/>
  <c r="L7576" i="2"/>
  <c r="M7574" i="2"/>
  <c r="L7540" i="2"/>
  <c r="L7561" i="2"/>
  <c r="M7559" i="2"/>
  <c r="L7525" i="2"/>
  <c r="M7523" i="2"/>
  <c r="L7489" i="2"/>
  <c r="M7487" i="2"/>
  <c r="L7453" i="2"/>
  <c r="M7451" i="2"/>
  <c r="L7417" i="2"/>
  <c r="M7415" i="2"/>
  <c r="L7381" i="2"/>
  <c r="M7379" i="2"/>
  <c r="L7345" i="2"/>
  <c r="M7343" i="2"/>
  <c r="M7314" i="2"/>
  <c r="M7286" i="2"/>
  <c r="M7280" i="2"/>
  <c r="Q7273" i="2"/>
  <c r="L7246" i="2"/>
  <c r="Q7194" i="2"/>
  <c r="M7112" i="2"/>
  <c r="Q7091" i="2"/>
  <c r="Q7080" i="2"/>
  <c r="Q7075" i="2"/>
  <c r="Q7071" i="2"/>
  <c r="Q7067" i="2"/>
  <c r="Q7061" i="2"/>
  <c r="L6974" i="2"/>
  <c r="Q6951" i="2"/>
  <c r="L6949" i="2"/>
  <c r="L6945" i="2"/>
  <c r="L6799" i="2"/>
  <c r="M6799" i="2"/>
  <c r="L6826" i="2"/>
  <c r="L6801" i="2"/>
  <c r="L6766" i="2"/>
  <c r="Q6747" i="2"/>
  <c r="M6728" i="2"/>
  <c r="M6726" i="2"/>
  <c r="Q6717" i="2"/>
  <c r="M6668" i="2"/>
  <c r="M6644" i="2"/>
  <c r="M6642" i="2"/>
  <c r="Q6622" i="2"/>
  <c r="M6618" i="2"/>
  <c r="L6607" i="2"/>
  <c r="L6571" i="2"/>
  <c r="Q6562" i="2"/>
  <c r="M6560" i="2"/>
  <c r="Q6552" i="2"/>
  <c r="Q6550" i="2"/>
  <c r="Q6546" i="2"/>
  <c r="Q6544" i="2"/>
  <c r="L6489" i="2"/>
  <c r="L6470" i="2"/>
  <c r="L6440" i="2"/>
  <c r="Q6438" i="2"/>
  <c r="L6378" i="2"/>
  <c r="L6376" i="2"/>
  <c r="L6335" i="2"/>
  <c r="L6331" i="2"/>
  <c r="M6327" i="2"/>
  <c r="L6325" i="2"/>
  <c r="L6323" i="2"/>
  <c r="M6321" i="2"/>
  <c r="M6317" i="2"/>
  <c r="M6315" i="2"/>
  <c r="M6313" i="2"/>
  <c r="M6288" i="2"/>
  <c r="L6257" i="2"/>
  <c r="L6237" i="2"/>
  <c r="M6194" i="2"/>
  <c r="Q6682" i="2"/>
  <c r="M6633" i="2"/>
  <c r="Q6624" i="2"/>
  <c r="Q6598" i="2"/>
  <c r="L6582" i="2"/>
  <c r="Q6580" i="2"/>
  <c r="Q6564" i="2"/>
  <c r="M6558" i="2"/>
  <c r="Q6535" i="2"/>
  <c r="Q6515" i="2"/>
  <c r="Q6504" i="2"/>
  <c r="Q6423" i="2"/>
  <c r="Q6416" i="2"/>
  <c r="Q6390" i="2"/>
  <c r="L6309" i="2"/>
  <c r="L6265" i="2"/>
  <c r="M6196" i="2"/>
  <c r="L6196" i="2"/>
  <c r="Q6847" i="2"/>
  <c r="L6843" i="2"/>
  <c r="Q6815" i="2"/>
  <c r="L6790" i="2"/>
  <c r="L6738" i="2"/>
  <c r="Q6736" i="2"/>
  <c r="L6717" i="2"/>
  <c r="Q6706" i="2"/>
  <c r="Q6693" i="2"/>
  <c r="L6663" i="2"/>
  <c r="L6622" i="2"/>
  <c r="M6620" i="2"/>
  <c r="Q6600" i="2"/>
  <c r="L6564" i="2"/>
  <c r="L6562" i="2"/>
  <c r="M6556" i="2"/>
  <c r="L6548" i="2"/>
  <c r="M6539" i="2"/>
  <c r="L6513" i="2"/>
  <c r="Q6506" i="2"/>
  <c r="Q6482" i="2"/>
  <c r="L6476" i="2"/>
  <c r="Q6467" i="2"/>
  <c r="L6446" i="2"/>
  <c r="M6442" i="2"/>
  <c r="M6429" i="2"/>
  <c r="Q6427" i="2"/>
  <c r="M6425" i="2"/>
  <c r="Q6399" i="2"/>
  <c r="L6372" i="2"/>
  <c r="L6370" i="2"/>
  <c r="M6366" i="2"/>
  <c r="M6352" i="2"/>
  <c r="L6311" i="2"/>
  <c r="L6307" i="2"/>
  <c r="L6305" i="2"/>
  <c r="L6273" i="2"/>
  <c r="L6267" i="2"/>
  <c r="L6263" i="2"/>
  <c r="M6261" i="2"/>
  <c r="L6169" i="2"/>
  <c r="M6169" i="2"/>
  <c r="L6128" i="2"/>
  <c r="L6117" i="2"/>
  <c r="M6117" i="2"/>
  <c r="Q6765" i="2"/>
  <c r="Q6763" i="2"/>
  <c r="Q6684" i="2"/>
  <c r="Q6667" i="2"/>
  <c r="Q6658" i="2"/>
  <c r="L6656" i="2"/>
  <c r="L6241" i="2"/>
  <c r="M6225" i="2"/>
  <c r="L6225" i="2"/>
  <c r="M6223" i="2"/>
  <c r="L6159" i="2"/>
  <c r="M6159" i="2"/>
  <c r="L6097" i="2"/>
  <c r="M6097" i="2"/>
  <c r="L6068" i="2"/>
  <c r="M6068" i="2"/>
  <c r="L6834" i="2"/>
  <c r="M6796" i="2"/>
  <c r="Q6778" i="2"/>
  <c r="Q6759" i="2"/>
  <c r="L6731" i="2"/>
  <c r="L6723" i="2"/>
  <c r="Q6708" i="2"/>
  <c r="M6702" i="2"/>
  <c r="L6693" i="2"/>
  <c r="L6639" i="2"/>
  <c r="L6594" i="2"/>
  <c r="L6588" i="2"/>
  <c r="P6588" i="2" s="1"/>
  <c r="M6552" i="2"/>
  <c r="M6541" i="2"/>
  <c r="L6506" i="2"/>
  <c r="L6497" i="2"/>
  <c r="M6478" i="2"/>
  <c r="L6437" i="2"/>
  <c r="M6362" i="2"/>
  <c r="L6358" i="2"/>
  <c r="M6356" i="2"/>
  <c r="M6342" i="2"/>
  <c r="M6328" i="2"/>
  <c r="L6320" i="2"/>
  <c r="L6316" i="2"/>
  <c r="M6299" i="2"/>
  <c r="M6295" i="2"/>
  <c r="M6293" i="2"/>
  <c r="L6283" i="2"/>
  <c r="L6227" i="2"/>
  <c r="M6227" i="2"/>
  <c r="L5972" i="2"/>
  <c r="M5972" i="2"/>
  <c r="Q6547" i="2"/>
  <c r="Q6492" i="2"/>
  <c r="Q6396" i="2"/>
  <c r="L6326" i="2"/>
  <c r="L6314" i="2"/>
  <c r="L6254" i="2"/>
  <c r="L6200" i="2"/>
  <c r="L6119" i="2"/>
  <c r="M6119" i="2"/>
  <c r="M5958" i="2"/>
  <c r="Q6899" i="2"/>
  <c r="L6879" i="2"/>
  <c r="L6862" i="2"/>
  <c r="L6831" i="2"/>
  <c r="L6812" i="2"/>
  <c r="L6810" i="2"/>
  <c r="L6778" i="2"/>
  <c r="M6776" i="2"/>
  <c r="L6750" i="2"/>
  <c r="L6742" i="2"/>
  <c r="L6729" i="2"/>
  <c r="Q6718" i="2"/>
  <c r="L6699" i="2"/>
  <c r="Q6671" i="2"/>
  <c r="M6660" i="2"/>
  <c r="M6647" i="2"/>
  <c r="L6645" i="2"/>
  <c r="Q6634" i="2"/>
  <c r="L6630" i="2"/>
  <c r="Q6621" i="2"/>
  <c r="Q6610" i="2"/>
  <c r="L6559" i="2"/>
  <c r="Q6555" i="2"/>
  <c r="Q6549" i="2"/>
  <c r="L6521" i="2"/>
  <c r="M6490" i="2"/>
  <c r="M6488" i="2"/>
  <c r="L6424" i="2"/>
  <c r="L6381" i="2"/>
  <c r="L6377" i="2"/>
  <c r="M6350" i="2"/>
  <c r="M6338" i="2"/>
  <c r="L6334" i="2"/>
  <c r="M6332" i="2"/>
  <c r="L6324" i="2"/>
  <c r="L6322" i="2"/>
  <c r="M6320" i="2"/>
  <c r="L6318" i="2"/>
  <c r="M6289" i="2"/>
  <c r="L6258" i="2"/>
  <c r="M6188" i="2"/>
  <c r="L6132" i="2"/>
  <c r="M6132" i="2"/>
  <c r="L6108" i="2"/>
  <c r="M6108" i="2"/>
  <c r="L6099" i="2"/>
  <c r="M6099" i="2"/>
  <c r="L6081" i="2"/>
  <c r="M6081" i="2"/>
  <c r="M6780" i="2"/>
  <c r="Q6739" i="2"/>
  <c r="Q6735" i="2"/>
  <c r="Q6703" i="2"/>
  <c r="M6634" i="2"/>
  <c r="Q6612" i="2"/>
  <c r="L6595" i="2"/>
  <c r="Q6591" i="2"/>
  <c r="Q6574" i="2"/>
  <c r="Q6503" i="2"/>
  <c r="Q6494" i="2"/>
  <c r="Q6479" i="2"/>
  <c r="Q6477" i="2"/>
  <c r="Q6473" i="2"/>
  <c r="L6445" i="2"/>
  <c r="Q6405" i="2"/>
  <c r="L6383" i="2"/>
  <c r="M6375" i="2"/>
  <c r="M6371" i="2"/>
  <c r="L6363" i="2"/>
  <c r="L6260" i="2"/>
  <c r="M6211" i="2"/>
  <c r="L6163" i="2"/>
  <c r="M6163" i="2"/>
  <c r="L6019" i="2"/>
  <c r="L5939" i="2"/>
  <c r="M5939" i="2"/>
  <c r="Q6576" i="2"/>
  <c r="L6310" i="2"/>
  <c r="M6308" i="2"/>
  <c r="L6306" i="2"/>
  <c r="L6304" i="2"/>
  <c r="L6280" i="2"/>
  <c r="L6272" i="2"/>
  <c r="L6270" i="2"/>
  <c r="M6270" i="2"/>
  <c r="M6266" i="2"/>
  <c r="L6264" i="2"/>
  <c r="L6204" i="2"/>
  <c r="L6072" i="2"/>
  <c r="M6072" i="2"/>
  <c r="L6870" i="2"/>
  <c r="L6822" i="2"/>
  <c r="L6814" i="2"/>
  <c r="L6756" i="2"/>
  <c r="Q6741" i="2"/>
  <c r="Q6696" i="2"/>
  <c r="M6683" i="2"/>
  <c r="Q6670" i="2"/>
  <c r="Q6657" i="2"/>
  <c r="M6612" i="2"/>
  <c r="M6597" i="2"/>
  <c r="L6591" i="2"/>
  <c r="M6587" i="2"/>
  <c r="L6563" i="2"/>
  <c r="L6551" i="2"/>
  <c r="M6536" i="2"/>
  <c r="L6534" i="2"/>
  <c r="Q6525" i="2"/>
  <c r="Q6518" i="2"/>
  <c r="L6503" i="2"/>
  <c r="Q6489" i="2"/>
  <c r="L6479" i="2"/>
  <c r="Q6468" i="2"/>
  <c r="L6449" i="2"/>
  <c r="L6434" i="2"/>
  <c r="Q6414" i="2"/>
  <c r="Q6398" i="2"/>
  <c r="Q6393" i="2"/>
  <c r="Q6386" i="2"/>
  <c r="M6369" i="2"/>
  <c r="M6363" i="2"/>
  <c r="M6361" i="2"/>
  <c r="L6357" i="2"/>
  <c r="L6353" i="2"/>
  <c r="L6345" i="2"/>
  <c r="L6339" i="2"/>
  <c r="L6302" i="2"/>
  <c r="L6296" i="2"/>
  <c r="L6290" i="2"/>
  <c r="L6233" i="2"/>
  <c r="L6192" i="2"/>
  <c r="L6083" i="2"/>
  <c r="M6083" i="2"/>
  <c r="Q6021" i="2"/>
  <c r="Q6837" i="2"/>
  <c r="Q6672" i="2"/>
  <c r="L6627" i="2"/>
  <c r="M6576" i="2"/>
  <c r="Q6567" i="2"/>
  <c r="L6485" i="2"/>
  <c r="Q6470" i="2"/>
  <c r="L6359" i="2"/>
  <c r="M6351" i="2"/>
  <c r="M6347" i="2"/>
  <c r="M6343" i="2"/>
  <c r="L6315" i="2"/>
  <c r="L6294" i="2"/>
  <c r="M6284" i="2"/>
  <c r="M6274" i="2"/>
  <c r="L6249" i="2"/>
  <c r="L6215" i="2"/>
  <c r="L6165" i="2"/>
  <c r="M6165" i="2"/>
  <c r="L6217" i="2"/>
  <c r="M6217" i="2"/>
  <c r="L5630" i="2"/>
  <c r="M5630" i="2"/>
  <c r="L5611" i="2"/>
  <c r="M5611" i="2"/>
  <c r="L5159" i="2"/>
  <c r="M5159" i="2"/>
  <c r="Q5139" i="2"/>
  <c r="L5139" i="2"/>
  <c r="M5139" i="2"/>
  <c r="M3985" i="2"/>
  <c r="Q2680" i="2"/>
  <c r="M1753" i="2"/>
  <c r="L721" i="2"/>
  <c r="L6298" i="2"/>
  <c r="L6292" i="2"/>
  <c r="M6271" i="2"/>
  <c r="L6269" i="2"/>
  <c r="M6250" i="2"/>
  <c r="L6239" i="2"/>
  <c r="M6204" i="2"/>
  <c r="M6128" i="2"/>
  <c r="M6124" i="2"/>
  <c r="M6111" i="2"/>
  <c r="M6035" i="2"/>
  <c r="L6033" i="2"/>
  <c r="L6023" i="2"/>
  <c r="M6009" i="2"/>
  <c r="M5982" i="2"/>
  <c r="Q5959" i="2"/>
  <c r="Q5949" i="2"/>
  <c r="L5943" i="2"/>
  <c r="L5887" i="2"/>
  <c r="Q5883" i="2"/>
  <c r="L5879" i="2"/>
  <c r="M5868" i="2"/>
  <c r="M5864" i="2"/>
  <c r="M5849" i="2"/>
  <c r="Q5830" i="2"/>
  <c r="Q5822" i="2"/>
  <c r="L5775" i="2"/>
  <c r="L5773" i="2"/>
  <c r="L5771" i="2"/>
  <c r="M5769" i="2"/>
  <c r="M5765" i="2"/>
  <c r="L5727" i="2"/>
  <c r="M5721" i="2"/>
  <c r="L5704" i="2"/>
  <c r="M5702" i="2"/>
  <c r="M5687" i="2"/>
  <c r="M5565" i="2"/>
  <c r="L5466" i="2"/>
  <c r="M5466" i="2"/>
  <c r="M6267" i="2"/>
  <c r="L6243" i="2"/>
  <c r="M6230" i="2"/>
  <c r="M6228" i="2"/>
  <c r="L6226" i="2"/>
  <c r="L6210" i="2"/>
  <c r="M6193" i="2"/>
  <c r="M6189" i="2"/>
  <c r="M6180" i="2"/>
  <c r="M6133" i="2"/>
  <c r="M6091" i="2"/>
  <c r="L6044" i="2"/>
  <c r="M6038" i="2"/>
  <c r="L6017" i="2"/>
  <c r="L6015" i="2"/>
  <c r="L5998" i="2"/>
  <c r="M5996" i="2"/>
  <c r="L5986" i="2"/>
  <c r="L5984" i="2"/>
  <c r="Q5971" i="2"/>
  <c r="L5959" i="2"/>
  <c r="Q5955" i="2"/>
  <c r="L5945" i="2"/>
  <c r="M5916" i="2"/>
  <c r="M5903" i="2"/>
  <c r="Q5892" i="2"/>
  <c r="M5883" i="2"/>
  <c r="Q5861" i="2"/>
  <c r="L5822" i="2"/>
  <c r="Q5820" i="2"/>
  <c r="M5814" i="2"/>
  <c r="L5812" i="2"/>
  <c r="M5810" i="2"/>
  <c r="L5806" i="2"/>
  <c r="M5787" i="2"/>
  <c r="M5777" i="2"/>
  <c r="Q5758" i="2"/>
  <c r="M5754" i="2"/>
  <c r="Q5733" i="2"/>
  <c r="M5729" i="2"/>
  <c r="M5679" i="2"/>
  <c r="M5669" i="2"/>
  <c r="L5669" i="2"/>
  <c r="M5647" i="2"/>
  <c r="L5647" i="2"/>
  <c r="L6245" i="2"/>
  <c r="L6234" i="2"/>
  <c r="M6187" i="2"/>
  <c r="M6183" i="2"/>
  <c r="L6168" i="2"/>
  <c r="M6164" i="2"/>
  <c r="L6160" i="2"/>
  <c r="M6129" i="2"/>
  <c r="L6107" i="2"/>
  <c r="M6105" i="2"/>
  <c r="L6091" i="2"/>
  <c r="M6089" i="2"/>
  <c r="M6071" i="2"/>
  <c r="Q6006" i="2"/>
  <c r="Q5979" i="2"/>
  <c r="M5957" i="2"/>
  <c r="Q5940" i="2"/>
  <c r="Q5938" i="2"/>
  <c r="M5901" i="2"/>
  <c r="Q5874" i="2"/>
  <c r="Q5863" i="2"/>
  <c r="Q5850" i="2"/>
  <c r="Q5846" i="2"/>
  <c r="Q5799" i="2"/>
  <c r="Q5764" i="2"/>
  <c r="L5762" i="2"/>
  <c r="Q5724" i="2"/>
  <c r="M5651" i="2"/>
  <c r="Q5633" i="2"/>
  <c r="L6247" i="2"/>
  <c r="M6222" i="2"/>
  <c r="L6201" i="2"/>
  <c r="L6129" i="2"/>
  <c r="M6127" i="2"/>
  <c r="M6120" i="2"/>
  <c r="L6105" i="2"/>
  <c r="L6089" i="2"/>
  <c r="M6069" i="2"/>
  <c r="L6022" i="2"/>
  <c r="M5975" i="2"/>
  <c r="Q5973" i="2"/>
  <c r="M5955" i="2"/>
  <c r="M5951" i="2"/>
  <c r="L5940" i="2"/>
  <c r="M5938" i="2"/>
  <c r="L5936" i="2"/>
  <c r="Q5931" i="2"/>
  <c r="Q5929" i="2"/>
  <c r="L5905" i="2"/>
  <c r="Q5880" i="2"/>
  <c r="M5876" i="2"/>
  <c r="M5867" i="2"/>
  <c r="M5859" i="2"/>
  <c r="Q5848" i="2"/>
  <c r="M5844" i="2"/>
  <c r="M5842" i="2"/>
  <c r="Q5801" i="2"/>
  <c r="M5793" i="2"/>
  <c r="Q5772" i="2"/>
  <c r="M5758" i="2"/>
  <c r="L5739" i="2"/>
  <c r="L5737" i="2"/>
  <c r="L5735" i="2"/>
  <c r="M5733" i="2"/>
  <c r="L5684" i="2"/>
  <c r="Q5682" i="2"/>
  <c r="M5633" i="2"/>
  <c r="L5457" i="2"/>
  <c r="M5457" i="2"/>
  <c r="Q5457" i="2"/>
  <c r="Q5933" i="2"/>
  <c r="Q5925" i="2"/>
  <c r="Q5923" i="2"/>
  <c r="Q5913" i="2"/>
  <c r="L5801" i="2"/>
  <c r="Q5774" i="2"/>
  <c r="M5768" i="2"/>
  <c r="Q5751" i="2"/>
  <c r="M5635" i="2"/>
  <c r="L6268" i="2"/>
  <c r="L6251" i="2"/>
  <c r="M6238" i="2"/>
  <c r="M6229" i="2"/>
  <c r="M6205" i="2"/>
  <c r="M6175" i="2"/>
  <c r="M6171" i="2"/>
  <c r="M6146" i="2"/>
  <c r="M6101" i="2"/>
  <c r="M6085" i="2"/>
  <c r="M6076" i="2"/>
  <c r="Q6026" i="2"/>
  <c r="L6012" i="2"/>
  <c r="L5991" i="2"/>
  <c r="M5987" i="2"/>
  <c r="Q5968" i="2"/>
  <c r="Q5952" i="2"/>
  <c r="Q5946" i="2"/>
  <c r="M5942" i="2"/>
  <c r="M5907" i="2"/>
  <c r="Q5894" i="2"/>
  <c r="M5890" i="2"/>
  <c r="Q5882" i="2"/>
  <c r="L5869" i="2"/>
  <c r="Q5865" i="2"/>
  <c r="M5861" i="2"/>
  <c r="M5838" i="2"/>
  <c r="Q5815" i="2"/>
  <c r="Q5786" i="2"/>
  <c r="Q5776" i="2"/>
  <c r="M5772" i="2"/>
  <c r="Q5730" i="2"/>
  <c r="M5724" i="2"/>
  <c r="M5722" i="2"/>
  <c r="L5718" i="2"/>
  <c r="Q5694" i="2"/>
  <c r="Q5678" i="2"/>
  <c r="L5633" i="2"/>
  <c r="L6175" i="2"/>
  <c r="L6171" i="2"/>
  <c r="L6146" i="2"/>
  <c r="M6140" i="2"/>
  <c r="L6136" i="2"/>
  <c r="L6123" i="2"/>
  <c r="M6121" i="2"/>
  <c r="M6092" i="2"/>
  <c r="Q6003" i="2"/>
  <c r="Q5976" i="2"/>
  <c r="M5948" i="2"/>
  <c r="Q5796" i="2"/>
  <c r="Q5523" i="2"/>
  <c r="L5523" i="2"/>
  <c r="M5523" i="2"/>
  <c r="M6242" i="2"/>
  <c r="L6231" i="2"/>
  <c r="L6229" i="2"/>
  <c r="M6219" i="2"/>
  <c r="M6173" i="2"/>
  <c r="L6057" i="2"/>
  <c r="M6053" i="2"/>
  <c r="M6014" i="2"/>
  <c r="Q5966" i="2"/>
  <c r="M5962" i="2"/>
  <c r="Q5954" i="2"/>
  <c r="M5946" i="2"/>
  <c r="L5935" i="2"/>
  <c r="M5933" i="2"/>
  <c r="L5915" i="2"/>
  <c r="M5909" i="2"/>
  <c r="Q5904" i="2"/>
  <c r="Q5902" i="2"/>
  <c r="L5882" i="2"/>
  <c r="L5871" i="2"/>
  <c r="M5829" i="2"/>
  <c r="M5813" i="2"/>
  <c r="L5811" i="2"/>
  <c r="M5807" i="2"/>
  <c r="Q5794" i="2"/>
  <c r="L5788" i="2"/>
  <c r="L5786" i="2"/>
  <c r="Q5784" i="2"/>
  <c r="L5782" i="2"/>
  <c r="M5778" i="2"/>
  <c r="L5774" i="2"/>
  <c r="Q5763" i="2"/>
  <c r="Q5736" i="2"/>
  <c r="M5678" i="2"/>
  <c r="L5678" i="2"/>
  <c r="Q6027" i="2"/>
  <c r="Q5978" i="2"/>
  <c r="Q5906" i="2"/>
  <c r="Q5895" i="2"/>
  <c r="Q5893" i="2"/>
  <c r="Q5877" i="2"/>
  <c r="Q5802" i="2"/>
  <c r="Q5765" i="2"/>
  <c r="Q5700" i="2"/>
  <c r="Q5630" i="2"/>
  <c r="Q5541" i="2"/>
  <c r="L5442" i="2"/>
  <c r="M5442" i="2"/>
  <c r="L6256" i="2"/>
  <c r="M6246" i="2"/>
  <c r="L6235" i="2"/>
  <c r="M6200" i="2"/>
  <c r="M6198" i="2"/>
  <c r="M6182" i="2"/>
  <c r="M6047" i="2"/>
  <c r="M6041" i="2"/>
  <c r="L6039" i="2"/>
  <c r="Q6009" i="2"/>
  <c r="M6005" i="2"/>
  <c r="Q5994" i="2"/>
  <c r="Q5988" i="2"/>
  <c r="Q5982" i="2"/>
  <c r="L5974" i="2"/>
  <c r="L5954" i="2"/>
  <c r="M5937" i="2"/>
  <c r="L5921" i="2"/>
  <c r="M5904" i="2"/>
  <c r="Q5897" i="2"/>
  <c r="Q5887" i="2"/>
  <c r="Q5868" i="2"/>
  <c r="Q5862" i="2"/>
  <c r="L5856" i="2"/>
  <c r="M5843" i="2"/>
  <c r="L5825" i="2"/>
  <c r="M5794" i="2"/>
  <c r="Q5769" i="2"/>
  <c r="L5765" i="2"/>
  <c r="L5763" i="2"/>
  <c r="Q5727" i="2"/>
  <c r="Q5725" i="2"/>
  <c r="L5696" i="2"/>
  <c r="M5696" i="2"/>
  <c r="M5663" i="2"/>
  <c r="L5663" i="2"/>
  <c r="L5622" i="2"/>
  <c r="L5539" i="2"/>
  <c r="L5667" i="2"/>
  <c r="Q5637" i="2"/>
  <c r="L5626" i="2"/>
  <c r="M5624" i="2"/>
  <c r="Q5614" i="2"/>
  <c r="L5609" i="2"/>
  <c r="L5605" i="2"/>
  <c r="M5603" i="2"/>
  <c r="M5599" i="2"/>
  <c r="L5595" i="2"/>
  <c r="M5591" i="2"/>
  <c r="L5587" i="2"/>
  <c r="Q5572" i="2"/>
  <c r="L5556" i="2"/>
  <c r="Q5535" i="2"/>
  <c r="L5533" i="2"/>
  <c r="L5531" i="2"/>
  <c r="L5517" i="2"/>
  <c r="Q5498" i="2"/>
  <c r="L5490" i="2"/>
  <c r="L5477" i="2"/>
  <c r="L5464" i="2"/>
  <c r="M5458" i="2"/>
  <c r="L5440" i="2"/>
  <c r="L5389" i="2"/>
  <c r="M5344" i="2"/>
  <c r="Q5302" i="2"/>
  <c r="L5270" i="2"/>
  <c r="M5270" i="2"/>
  <c r="M5263" i="2"/>
  <c r="M5261" i="2"/>
  <c r="Q5254" i="2"/>
  <c r="L5219" i="2"/>
  <c r="M4701" i="2"/>
  <c r="L5199" i="2"/>
  <c r="M5199" i="2"/>
  <c r="L4475" i="2"/>
  <c r="Q4475" i="2"/>
  <c r="L5761" i="2"/>
  <c r="L5755" i="2"/>
  <c r="L5741" i="2"/>
  <c r="Q5722" i="2"/>
  <c r="M5708" i="2"/>
  <c r="M5706" i="2"/>
  <c r="Q5693" i="2"/>
  <c r="L5691" i="2"/>
  <c r="L5689" i="2"/>
  <c r="M5680" i="2"/>
  <c r="L5653" i="2"/>
  <c r="M5637" i="2"/>
  <c r="L5635" i="2"/>
  <c r="L5620" i="2"/>
  <c r="M5612" i="2"/>
  <c r="M5601" i="2"/>
  <c r="M5593" i="2"/>
  <c r="M5576" i="2"/>
  <c r="L5572" i="2"/>
  <c r="Q5568" i="2"/>
  <c r="Q5560" i="2"/>
  <c r="Q5553" i="2"/>
  <c r="Q5549" i="2"/>
  <c r="M5535" i="2"/>
  <c r="L5529" i="2"/>
  <c r="M5515" i="2"/>
  <c r="L5504" i="2"/>
  <c r="L5482" i="2"/>
  <c r="Q5478" i="2"/>
  <c r="M5471" i="2"/>
  <c r="Q5456" i="2"/>
  <c r="L5448" i="2"/>
  <c r="L5422" i="2"/>
  <c r="L5402" i="2"/>
  <c r="Q5386" i="2"/>
  <c r="M5382" i="2"/>
  <c r="Q5341" i="2"/>
  <c r="M5332" i="2"/>
  <c r="L5316" i="2"/>
  <c r="M5316" i="2"/>
  <c r="Q5311" i="2"/>
  <c r="L5254" i="2"/>
  <c r="M5232" i="2"/>
  <c r="Q5203" i="2"/>
  <c r="Q5475" i="2"/>
  <c r="Q5299" i="2"/>
  <c r="L5147" i="2"/>
  <c r="M5147" i="2"/>
  <c r="L4724" i="2"/>
  <c r="M4724" i="2"/>
  <c r="L4705" i="2"/>
  <c r="M5643" i="2"/>
  <c r="Q5608" i="2"/>
  <c r="L5560" i="2"/>
  <c r="L5553" i="2"/>
  <c r="L5549" i="2"/>
  <c r="M5522" i="2"/>
  <c r="M5513" i="2"/>
  <c r="Q5500" i="2"/>
  <c r="Q5491" i="2"/>
  <c r="Q5472" i="2"/>
  <c r="L5469" i="2"/>
  <c r="M5456" i="2"/>
  <c r="L5454" i="2"/>
  <c r="P5454" i="2" s="1"/>
  <c r="M5445" i="2"/>
  <c r="M5443" i="2"/>
  <c r="M5419" i="2"/>
  <c r="L5395" i="2"/>
  <c r="P5395" i="2" s="1"/>
  <c r="L5384" i="2"/>
  <c r="L5368" i="2"/>
  <c r="L5361" i="2"/>
  <c r="L5304" i="2"/>
  <c r="M5304" i="2"/>
  <c r="M5299" i="2"/>
  <c r="L5203" i="2"/>
  <c r="M5203" i="2"/>
  <c r="Q4533" i="2"/>
  <c r="M5697" i="2"/>
  <c r="M5693" i="2"/>
  <c r="Q5662" i="2"/>
  <c r="Q5652" i="2"/>
  <c r="Q5644" i="2"/>
  <c r="M5641" i="2"/>
  <c r="L5629" i="2"/>
  <c r="Q5619" i="2"/>
  <c r="M5610" i="2"/>
  <c r="Q5604" i="2"/>
  <c r="L5582" i="2"/>
  <c r="Q5573" i="2"/>
  <c r="Q5571" i="2"/>
  <c r="L5566" i="2"/>
  <c r="L5564" i="2"/>
  <c r="Q5543" i="2"/>
  <c r="Q5542" i="2"/>
  <c r="Q5536" i="2"/>
  <c r="L5527" i="2"/>
  <c r="Q5516" i="2"/>
  <c r="Q5514" i="2"/>
  <c r="Q5497" i="2"/>
  <c r="Q5489" i="2"/>
  <c r="Q5470" i="2"/>
  <c r="M5465" i="2"/>
  <c r="P5465" i="2" s="1"/>
  <c r="L5740" i="2"/>
  <c r="M5736" i="2"/>
  <c r="L5703" i="2"/>
  <c r="M5699" i="2"/>
  <c r="Q5688" i="2"/>
  <c r="M5676" i="2"/>
  <c r="M5674" i="2"/>
  <c r="L5670" i="2"/>
  <c r="L5664" i="2"/>
  <c r="L5662" i="2"/>
  <c r="L5648" i="2"/>
  <c r="M5636" i="2"/>
  <c r="L5608" i="2"/>
  <c r="M5606" i="2"/>
  <c r="L5598" i="2"/>
  <c r="L5590" i="2"/>
  <c r="M5588" i="2"/>
  <c r="M5586" i="2"/>
  <c r="Q5575" i="2"/>
  <c r="L5555" i="2"/>
  <c r="L5545" i="2"/>
  <c r="L5532" i="2"/>
  <c r="M5514" i="2"/>
  <c r="Q5487" i="2"/>
  <c r="Q5483" i="2"/>
  <c r="M5412" i="2"/>
  <c r="M5410" i="2"/>
  <c r="L5343" i="2"/>
  <c r="Q5338" i="2"/>
  <c r="M5322" i="2"/>
  <c r="L5320" i="2"/>
  <c r="L5313" i="2"/>
  <c r="L5306" i="2"/>
  <c r="M5231" i="2"/>
  <c r="Q5750" i="2"/>
  <c r="M5738" i="2"/>
  <c r="M5705" i="2"/>
  <c r="Q5686" i="2"/>
  <c r="M5658" i="2"/>
  <c r="Q5559" i="2"/>
  <c r="Q5548" i="2"/>
  <c r="M5507" i="2"/>
  <c r="L5505" i="2"/>
  <c r="L5501" i="2"/>
  <c r="Q5463" i="2"/>
  <c r="M5459" i="2"/>
  <c r="L5428" i="2"/>
  <c r="M5358" i="2"/>
  <c r="L5329" i="2"/>
  <c r="Q5317" i="2"/>
  <c r="Q5296" i="2"/>
  <c r="M5294" i="2"/>
  <c r="L5280" i="2"/>
  <c r="M5280" i="2"/>
  <c r="L4735" i="2"/>
  <c r="M5652" i="2"/>
  <c r="P5652" i="2" s="1"/>
  <c r="Q5642" i="2"/>
  <c r="Q5569" i="2"/>
  <c r="Q5565" i="2"/>
  <c r="L5516" i="2"/>
  <c r="L5512" i="2"/>
  <c r="L5489" i="2"/>
  <c r="Q5466" i="2"/>
  <c r="Q5440" i="2"/>
  <c r="M5282" i="2"/>
  <c r="M4737" i="2"/>
  <c r="L4688" i="2"/>
  <c r="Q5622" i="2"/>
  <c r="M5619" i="2"/>
  <c r="M5615" i="2"/>
  <c r="Q5603" i="2"/>
  <c r="L5579" i="2"/>
  <c r="L5577" i="2"/>
  <c r="L5571" i="2"/>
  <c r="M5559" i="2"/>
  <c r="L5548" i="2"/>
  <c r="Q5539" i="2"/>
  <c r="Q5531" i="2"/>
  <c r="M5528" i="2"/>
  <c r="Q5517" i="2"/>
  <c r="Q5490" i="2"/>
  <c r="M5481" i="2"/>
  <c r="Q5477" i="2"/>
  <c r="L5434" i="2"/>
  <c r="Q5416" i="2"/>
  <c r="M5394" i="2"/>
  <c r="L5383" i="2"/>
  <c r="M5376" i="2"/>
  <c r="L5367" i="2"/>
  <c r="Q5362" i="2"/>
  <c r="Q5353" i="2"/>
  <c r="Q5335" i="2"/>
  <c r="L5331" i="2"/>
  <c r="L5324" i="2"/>
  <c r="Q5275" i="2"/>
  <c r="Q4659" i="2"/>
  <c r="M4659" i="2"/>
  <c r="L5700" i="2"/>
  <c r="L5690" i="2"/>
  <c r="L5686" i="2"/>
  <c r="M5684" i="2"/>
  <c r="Q5673" i="2"/>
  <c r="Q5669" i="2"/>
  <c r="Q5655" i="2"/>
  <c r="M5642" i="2"/>
  <c r="Q5626" i="2"/>
  <c r="Q5605" i="2"/>
  <c r="Q5601" i="2"/>
  <c r="Q5599" i="2"/>
  <c r="Q5597" i="2"/>
  <c r="Q5593" i="2"/>
  <c r="Q5591" i="2"/>
  <c r="M5569" i="2"/>
  <c r="L5563" i="2"/>
  <c r="M5561" i="2"/>
  <c r="L5554" i="2"/>
  <c r="L5550" i="2"/>
  <c r="M5546" i="2"/>
  <c r="Q5529" i="2"/>
  <c r="M5519" i="2"/>
  <c r="Q5502" i="2"/>
  <c r="Q5494" i="2"/>
  <c r="Q5485" i="2"/>
  <c r="Q5471" i="2"/>
  <c r="Q5462" i="2"/>
  <c r="Q5458" i="2"/>
  <c r="M5440" i="2"/>
  <c r="L5438" i="2"/>
  <c r="M5425" i="2"/>
  <c r="M5407" i="2"/>
  <c r="M5398" i="2"/>
  <c r="M5389" i="2"/>
  <c r="Q5380" i="2"/>
  <c r="M5335" i="2"/>
  <c r="Q5314" i="2"/>
  <c r="M5312" i="2"/>
  <c r="M5305" i="2"/>
  <c r="M5219" i="2"/>
  <c r="Q5206" i="2"/>
  <c r="Q5175" i="2"/>
  <c r="L4739" i="2"/>
  <c r="M4739" i="2"/>
  <c r="Q4697" i="2"/>
  <c r="L4697" i="2"/>
  <c r="L4551" i="2"/>
  <c r="Q4551" i="2"/>
  <c r="L4511" i="2"/>
  <c r="Q4511" i="2"/>
  <c r="Q5258" i="2"/>
  <c r="Q5239" i="2"/>
  <c r="Q5222" i="2"/>
  <c r="Q5218" i="2"/>
  <c r="M5212" i="2"/>
  <c r="Q5187" i="2"/>
  <c r="Q5107" i="2"/>
  <c r="L5103" i="2"/>
  <c r="M5060" i="2"/>
  <c r="M5039" i="2"/>
  <c r="M5009" i="2"/>
  <c r="M4963" i="2"/>
  <c r="M4926" i="2"/>
  <c r="Q4868" i="2"/>
  <c r="Q4820" i="2"/>
  <c r="Q4809" i="2"/>
  <c r="M4735" i="2"/>
  <c r="Q4688" i="2"/>
  <c r="Q4669" i="2"/>
  <c r="Q4595" i="2"/>
  <c r="Q4369" i="2"/>
  <c r="L4059" i="2"/>
  <c r="M3912" i="2"/>
  <c r="L5337" i="2"/>
  <c r="Q5332" i="2"/>
  <c r="M5330" i="2"/>
  <c r="M5323" i="2"/>
  <c r="M5300" i="2"/>
  <c r="L5298" i="2"/>
  <c r="Q5293" i="2"/>
  <c r="Q5251" i="2"/>
  <c r="Q5247" i="2"/>
  <c r="L5218" i="2"/>
  <c r="Q5191" i="2"/>
  <c r="Q5151" i="2"/>
  <c r="Q5136" i="2"/>
  <c r="Q5134" i="2"/>
  <c r="M5046" i="2"/>
  <c r="M5025" i="2"/>
  <c r="M4928" i="2"/>
  <c r="M4921" i="2"/>
  <c r="M4910" i="2"/>
  <c r="Q4850" i="2"/>
  <c r="Q4837" i="2"/>
  <c r="Q4824" i="2"/>
  <c r="Q4779" i="2"/>
  <c r="L4745" i="2"/>
  <c r="L4730" i="2"/>
  <c r="L4709" i="2"/>
  <c r="Q4677" i="2"/>
  <c r="Q4665" i="2"/>
  <c r="Q4650" i="2"/>
  <c r="L4618" i="2"/>
  <c r="M4577" i="2"/>
  <c r="M4575" i="2"/>
  <c r="Q4570" i="2"/>
  <c r="L4548" i="2"/>
  <c r="L4020" i="2"/>
  <c r="M4020" i="2"/>
  <c r="Q4781" i="2"/>
  <c r="Q4675" i="2"/>
  <c r="Q5259" i="2"/>
  <c r="Q5211" i="2"/>
  <c r="M5193" i="2"/>
  <c r="Q5162" i="2"/>
  <c r="Q5154" i="2"/>
  <c r="Q5123" i="2"/>
  <c r="Q5119" i="2"/>
  <c r="Q5115" i="2"/>
  <c r="M5057" i="2"/>
  <c r="M5027" i="2"/>
  <c r="M5006" i="2"/>
  <c r="M4981" i="2"/>
  <c r="M4953" i="2"/>
  <c r="M4916" i="2"/>
  <c r="Q4793" i="2"/>
  <c r="Q4747" i="2"/>
  <c r="Q4715" i="2"/>
  <c r="M4711" i="2"/>
  <c r="Q4643" i="2"/>
  <c r="Q4630" i="2"/>
  <c r="Q4628" i="2"/>
  <c r="Q4624" i="2"/>
  <c r="Q4620" i="2"/>
  <c r="M4592" i="2"/>
  <c r="Q4563" i="2"/>
  <c r="Q4543" i="2"/>
  <c r="L4499" i="2"/>
  <c r="Q4483" i="2"/>
  <c r="Q4378" i="2"/>
  <c r="Q4197" i="2"/>
  <c r="Q4173" i="2"/>
  <c r="Q4137" i="2"/>
  <c r="L5386" i="2"/>
  <c r="Q5374" i="2"/>
  <c r="L5348" i="2"/>
  <c r="L5325" i="2"/>
  <c r="Q5320" i="2"/>
  <c r="L5302" i="2"/>
  <c r="Q5290" i="2"/>
  <c r="L5275" i="2"/>
  <c r="M5211" i="2"/>
  <c r="Q5182" i="2"/>
  <c r="M5140" i="2"/>
  <c r="M5119" i="2"/>
  <c r="M5115" i="2"/>
  <c r="Q5098" i="2"/>
  <c r="M5064" i="2"/>
  <c r="M5043" i="2"/>
  <c r="M5038" i="2"/>
  <c r="M5022" i="2"/>
  <c r="M4974" i="2"/>
  <c r="M4967" i="2"/>
  <c r="M4955" i="2"/>
  <c r="M4948" i="2"/>
  <c r="M4936" i="2"/>
  <c r="Q4817" i="2"/>
  <c r="L4760" i="2"/>
  <c r="M4727" i="2"/>
  <c r="Q4713" i="2"/>
  <c r="L4706" i="2"/>
  <c r="M4689" i="2"/>
  <c r="L4685" i="2"/>
  <c r="M4658" i="2"/>
  <c r="Q4601" i="2"/>
  <c r="Q4589" i="2"/>
  <c r="L4587" i="2"/>
  <c r="Q4576" i="2"/>
  <c r="L4559" i="2"/>
  <c r="Q4550" i="2"/>
  <c r="Q4426" i="2"/>
  <c r="Q4216" i="2"/>
  <c r="Q4065" i="2"/>
  <c r="L3996" i="2"/>
  <c r="M3996" i="2"/>
  <c r="Q5272" i="2"/>
  <c r="Q5263" i="2"/>
  <c r="L5259" i="2"/>
  <c r="Q5230" i="2"/>
  <c r="L5215" i="2"/>
  <c r="L5146" i="2"/>
  <c r="M4927" i="2"/>
  <c r="Q4723" i="2"/>
  <c r="M4700" i="2"/>
  <c r="Q4660" i="2"/>
  <c r="Q4645" i="2"/>
  <c r="Q4636" i="2"/>
  <c r="L4589" i="2"/>
  <c r="Q4547" i="2"/>
  <c r="L4536" i="2"/>
  <c r="Q4423" i="2"/>
  <c r="Q4273" i="2"/>
  <c r="Q4252" i="2"/>
  <c r="M4763" i="2"/>
  <c r="M4748" i="2"/>
  <c r="Q4569" i="2"/>
  <c r="Q4330" i="2"/>
  <c r="Q4182" i="2"/>
  <c r="Q4170" i="2"/>
  <c r="Q4146" i="2"/>
  <c r="L5180" i="2"/>
  <c r="Q5096" i="2"/>
  <c r="M5061" i="2"/>
  <c r="M5040" i="2"/>
  <c r="M5010" i="2"/>
  <c r="M4964" i="2"/>
  <c r="M4945" i="2"/>
  <c r="M4929" i="2"/>
  <c r="Q4849" i="2"/>
  <c r="Q4838" i="2"/>
  <c r="Q4812" i="2"/>
  <c r="Q4788" i="2"/>
  <c r="Q4755" i="2"/>
  <c r="Q4700" i="2"/>
  <c r="Q4666" i="2"/>
  <c r="Q4653" i="2"/>
  <c r="L4633" i="2"/>
  <c r="M4627" i="2"/>
  <c r="Q4571" i="2"/>
  <c r="L4523" i="2"/>
  <c r="L4487" i="2"/>
  <c r="M5236" i="2"/>
  <c r="Q5196" i="2"/>
  <c r="Q5194" i="2"/>
  <c r="Q5186" i="2"/>
  <c r="Q5178" i="2"/>
  <c r="L5166" i="2"/>
  <c r="Q5127" i="2"/>
  <c r="Q5110" i="2"/>
  <c r="Q5102" i="2"/>
  <c r="M5056" i="2"/>
  <c r="M5026" i="2"/>
  <c r="M5005" i="2"/>
  <c r="M4971" i="2"/>
  <c r="M4959" i="2"/>
  <c r="M4952" i="2"/>
  <c r="M4940" i="2"/>
  <c r="M4933" i="2"/>
  <c r="M4911" i="2"/>
  <c r="Q4862" i="2"/>
  <c r="Q4825" i="2"/>
  <c r="Q4814" i="2"/>
  <c r="Q4801" i="2"/>
  <c r="Q4731" i="2"/>
  <c r="Q4718" i="2"/>
  <c r="Q4614" i="2"/>
  <c r="M4591" i="2"/>
  <c r="Q4531" i="2"/>
  <c r="Q4468" i="2"/>
  <c r="Q4432" i="2"/>
  <c r="Q4112" i="2"/>
  <c r="Q4110" i="2"/>
  <c r="Q4076" i="2"/>
  <c r="Q4074" i="2"/>
  <c r="Q5112" i="2"/>
  <c r="Q4535" i="2"/>
  <c r="Q4191" i="2"/>
  <c r="Q4179" i="2"/>
  <c r="Q4155" i="2"/>
  <c r="Q4119" i="2"/>
  <c r="M4016" i="2"/>
  <c r="Q3813" i="2"/>
  <c r="M5278" i="2"/>
  <c r="M5256" i="2"/>
  <c r="L5246" i="2"/>
  <c r="Q5231" i="2"/>
  <c r="M5208" i="2"/>
  <c r="L5192" i="2"/>
  <c r="L5190" i="2"/>
  <c r="Q5179" i="2"/>
  <c r="Q5124" i="2"/>
  <c r="Q5103" i="2"/>
  <c r="M5058" i="2"/>
  <c r="M5028" i="2"/>
  <c r="M5007" i="2"/>
  <c r="M5000" i="2"/>
  <c r="M4982" i="2"/>
  <c r="M4961" i="2"/>
  <c r="M4935" i="2"/>
  <c r="M4924" i="2"/>
  <c r="M4904" i="2"/>
  <c r="Q4864" i="2"/>
  <c r="L4775" i="2"/>
  <c r="Q4771" i="2"/>
  <c r="L4733" i="2"/>
  <c r="M4712" i="2"/>
  <c r="M4703" i="2"/>
  <c r="Q4682" i="2"/>
  <c r="M4614" i="2"/>
  <c r="M4607" i="2"/>
  <c r="L4593" i="2"/>
  <c r="M4553" i="2"/>
  <c r="L4495" i="2"/>
  <c r="L3949" i="2"/>
  <c r="L3938" i="2"/>
  <c r="M3932" i="2"/>
  <c r="M3921" i="2"/>
  <c r="M3914" i="2"/>
  <c r="M3903" i="2"/>
  <c r="M3892" i="2"/>
  <c r="Q3879" i="2"/>
  <c r="L3706" i="2"/>
  <c r="L4528" i="2"/>
  <c r="M4524" i="2"/>
  <c r="M4500" i="2"/>
  <c r="L4476" i="2"/>
  <c r="Q4270" i="2"/>
  <c r="Q4258" i="2"/>
  <c r="L4202" i="2"/>
  <c r="L4193" i="2"/>
  <c r="L4184" i="2"/>
  <c r="L4139" i="2"/>
  <c r="L4130" i="2"/>
  <c r="L4121" i="2"/>
  <c r="L4112" i="2"/>
  <c r="L4103" i="2"/>
  <c r="L4094" i="2"/>
  <c r="L4085" i="2"/>
  <c r="L4076" i="2"/>
  <c r="L4065" i="2"/>
  <c r="L4050" i="2"/>
  <c r="L4039" i="2"/>
  <c r="Q4030" i="2"/>
  <c r="L4013" i="2"/>
  <c r="M4004" i="2"/>
  <c r="M4002" i="2"/>
  <c r="M3993" i="2"/>
  <c r="M3989" i="2"/>
  <c r="L3980" i="2"/>
  <c r="M3890" i="2"/>
  <c r="Q3798" i="2"/>
  <c r="L3722" i="2"/>
  <c r="L3693" i="2"/>
  <c r="M3693" i="2"/>
  <c r="Q4424" i="2"/>
  <c r="Q4417" i="2"/>
  <c r="Q4303" i="2"/>
  <c r="Q4225" i="2"/>
  <c r="Q4060" i="2"/>
  <c r="M4041" i="2"/>
  <c r="Q4021" i="2"/>
  <c r="M3997" i="2"/>
  <c r="Q3984" i="2"/>
  <c r="Q3946" i="2"/>
  <c r="Q3933" i="2"/>
  <c r="Q3864" i="2"/>
  <c r="Q3862" i="2"/>
  <c r="Q3831" i="2"/>
  <c r="Q3739" i="2"/>
  <c r="Q4279" i="2"/>
  <c r="Q4246" i="2"/>
  <c r="Q4136" i="2"/>
  <c r="Q4127" i="2"/>
  <c r="Q4118" i="2"/>
  <c r="Q4109" i="2"/>
  <c r="Q4100" i="2"/>
  <c r="Q4091" i="2"/>
  <c r="Q4082" i="2"/>
  <c r="Q4073" i="2"/>
  <c r="M4032" i="2"/>
  <c r="L3995" i="2"/>
  <c r="L3911" i="2"/>
  <c r="Q3819" i="2"/>
  <c r="Q3741" i="2"/>
  <c r="L3737" i="2"/>
  <c r="M3708" i="2"/>
  <c r="M3699" i="2"/>
  <c r="L3699" i="2"/>
  <c r="Q4459" i="2"/>
  <c r="Q4357" i="2"/>
  <c r="Q4267" i="2"/>
  <c r="L4136" i="2"/>
  <c r="L4127" i="2"/>
  <c r="L4118" i="2"/>
  <c r="L4109" i="2"/>
  <c r="L4100" i="2"/>
  <c r="L4091" i="2"/>
  <c r="L4082" i="2"/>
  <c r="L4073" i="2"/>
  <c r="Q4066" i="2"/>
  <c r="Q4038" i="2"/>
  <c r="L4032" i="2"/>
  <c r="L4010" i="2"/>
  <c r="Q3935" i="2"/>
  <c r="Q3852" i="2"/>
  <c r="Q3845" i="2"/>
  <c r="M3659" i="2"/>
  <c r="L3543" i="2"/>
  <c r="M3543" i="2"/>
  <c r="Q4276" i="2"/>
  <c r="Q4243" i="2"/>
  <c r="Q4210" i="2"/>
  <c r="Q4005" i="2"/>
  <c r="Q3981" i="2"/>
  <c r="M3941" i="2"/>
  <c r="L3929" i="2"/>
  <c r="L3920" i="2"/>
  <c r="M3900" i="2"/>
  <c r="Q3859" i="2"/>
  <c r="Q3840" i="2"/>
  <c r="Q3833" i="2"/>
  <c r="Q3826" i="2"/>
  <c r="Q3814" i="2"/>
  <c r="Q3807" i="2"/>
  <c r="Q3729" i="2"/>
  <c r="L3571" i="2"/>
  <c r="L4516" i="2"/>
  <c r="M4512" i="2"/>
  <c r="M4488" i="2"/>
  <c r="Q4385" i="2"/>
  <c r="Q4342" i="2"/>
  <c r="Q4309" i="2"/>
  <c r="Q4133" i="2"/>
  <c r="Q4124" i="2"/>
  <c r="Q4115" i="2"/>
  <c r="Q4106" i="2"/>
  <c r="Q4097" i="2"/>
  <c r="Q4088" i="2"/>
  <c r="Q4079" i="2"/>
  <c r="Q4070" i="2"/>
  <c r="L4064" i="2"/>
  <c r="Q4057" i="2"/>
  <c r="L4049" i="2"/>
  <c r="Q4042" i="2"/>
  <c r="Q4025" i="2"/>
  <c r="Q3994" i="2"/>
  <c r="Q3977" i="2"/>
  <c r="Q3970" i="2"/>
  <c r="L3966" i="2"/>
  <c r="L3959" i="2"/>
  <c r="M3915" i="2"/>
  <c r="Q3880" i="2"/>
  <c r="Q3758" i="2"/>
  <c r="M3752" i="2"/>
  <c r="L3752" i="2"/>
  <c r="M3665" i="2"/>
  <c r="L3590" i="2"/>
  <c r="Q4059" i="2"/>
  <c r="Q3936" i="2"/>
  <c r="L3917" i="2"/>
  <c r="Q3901" i="2"/>
  <c r="M3711" i="2"/>
  <c r="Q4418" i="2"/>
  <c r="Q4396" i="2"/>
  <c r="Q4351" i="2"/>
  <c r="Q4240" i="2"/>
  <c r="Q4207" i="2"/>
  <c r="L4133" i="2"/>
  <c r="L4124" i="2"/>
  <c r="L4115" i="2"/>
  <c r="L4106" i="2"/>
  <c r="L4097" i="2"/>
  <c r="L4088" i="2"/>
  <c r="L4079" i="2"/>
  <c r="L4070" i="2"/>
  <c r="Q4044" i="2"/>
  <c r="M4007" i="2"/>
  <c r="L3992" i="2"/>
  <c r="M3977" i="2"/>
  <c r="L3968" i="2"/>
  <c r="M3936" i="2"/>
  <c r="M3910" i="2"/>
  <c r="L3895" i="2"/>
  <c r="Q3858" i="2"/>
  <c r="Q3823" i="2"/>
  <c r="Q3804" i="2"/>
  <c r="M3758" i="2"/>
  <c r="L3758" i="2"/>
  <c r="L3725" i="2"/>
  <c r="M3725" i="2"/>
  <c r="L3637" i="2"/>
  <c r="M3630" i="2"/>
  <c r="M3561" i="2"/>
  <c r="Q4306" i="2"/>
  <c r="Q4294" i="2"/>
  <c r="Q4063" i="2"/>
  <c r="L4055" i="2"/>
  <c r="Q4050" i="2"/>
  <c r="Q4048" i="2"/>
  <c r="Q4033" i="2"/>
  <c r="M4031" i="2"/>
  <c r="L4016" i="2"/>
  <c r="Q3985" i="2"/>
  <c r="L3972" i="2"/>
  <c r="Q3965" i="2"/>
  <c r="L3954" i="2"/>
  <c r="Q3949" i="2"/>
  <c r="L3947" i="2"/>
  <c r="L3932" i="2"/>
  <c r="Q3921" i="2"/>
  <c r="L3903" i="2"/>
  <c r="Q3846" i="2"/>
  <c r="Q3801" i="2"/>
  <c r="M3765" i="2"/>
  <c r="M3658" i="2"/>
  <c r="Q3837" i="2"/>
  <c r="Q3769" i="2"/>
  <c r="Q3756" i="2"/>
  <c r="L3740" i="2"/>
  <c r="L3676" i="2"/>
  <c r="L3670" i="2"/>
  <c r="L3625" i="2"/>
  <c r="L3623" i="2"/>
  <c r="L3603" i="2"/>
  <c r="Q3597" i="2"/>
  <c r="Q3595" i="2"/>
  <c r="M3571" i="2"/>
  <c r="L3565" i="2"/>
  <c r="L3536" i="2"/>
  <c r="Q3519" i="2"/>
  <c r="M3492" i="2"/>
  <c r="P3492" i="2" s="1"/>
  <c r="L3486" i="2"/>
  <c r="Q3447" i="2"/>
  <c r="Q3421" i="2"/>
  <c r="M3417" i="2"/>
  <c r="M3413" i="2"/>
  <c r="M3411" i="2"/>
  <c r="M3395" i="2"/>
  <c r="L3393" i="2"/>
  <c r="L3389" i="2"/>
  <c r="L3387" i="2"/>
  <c r="M3385" i="2"/>
  <c r="L3383" i="2"/>
  <c r="M3381" i="2"/>
  <c r="Q3375" i="2"/>
  <c r="L3304" i="2"/>
  <c r="L2019" i="2"/>
  <c r="M2019" i="2"/>
  <c r="Q3809" i="2"/>
  <c r="Q3780" i="2"/>
  <c r="Q3719" i="2"/>
  <c r="L3682" i="2"/>
  <c r="M3655" i="2"/>
  <c r="P3655" i="2" s="1"/>
  <c r="Q3634" i="2"/>
  <c r="L3605" i="2"/>
  <c r="L3593" i="2"/>
  <c r="M3591" i="2"/>
  <c r="M3583" i="2"/>
  <c r="L3577" i="2"/>
  <c r="L3496" i="2"/>
  <c r="L3490" i="2"/>
  <c r="L3488" i="2"/>
  <c r="L3469" i="2"/>
  <c r="Q3463" i="2"/>
  <c r="Q3459" i="2"/>
  <c r="M3430" i="2"/>
  <c r="Q3423" i="2"/>
  <c r="L3409" i="2"/>
  <c r="Q3786" i="2"/>
  <c r="Q3754" i="2"/>
  <c r="L3719" i="2"/>
  <c r="L3694" i="2"/>
  <c r="L3688" i="2"/>
  <c r="M3597" i="2"/>
  <c r="M3552" i="2"/>
  <c r="M3540" i="2"/>
  <c r="M3521" i="2"/>
  <c r="L3475" i="2"/>
  <c r="L3473" i="2"/>
  <c r="L3447" i="2"/>
  <c r="L3421" i="2"/>
  <c r="L3405" i="2"/>
  <c r="Q3315" i="2"/>
  <c r="M3290" i="2"/>
  <c r="L2992" i="2"/>
  <c r="M2992" i="2"/>
  <c r="L2900" i="2"/>
  <c r="L3700" i="2"/>
  <c r="M3589" i="2"/>
  <c r="L3558" i="2"/>
  <c r="L3542" i="2"/>
  <c r="L3527" i="2"/>
  <c r="Q3514" i="2"/>
  <c r="Q3512" i="2"/>
  <c r="L3510" i="2"/>
  <c r="Q3481" i="2"/>
  <c r="L3479" i="2"/>
  <c r="M3465" i="2"/>
  <c r="L3459" i="2"/>
  <c r="M3186" i="2"/>
  <c r="L3186" i="2"/>
  <c r="M3570" i="2"/>
  <c r="L3546" i="2"/>
  <c r="M3533" i="2"/>
  <c r="M3512" i="2"/>
  <c r="L3481" i="2"/>
  <c r="Q3392" i="2"/>
  <c r="M3365" i="2"/>
  <c r="Q3324" i="2"/>
  <c r="Q3376" i="2"/>
  <c r="Q3372" i="2"/>
  <c r="L3310" i="2"/>
  <c r="M3121" i="2"/>
  <c r="L3121" i="2"/>
  <c r="Q2972" i="2"/>
  <c r="Q3860" i="2"/>
  <c r="Q3841" i="2"/>
  <c r="Q3810" i="2"/>
  <c r="Q3768" i="2"/>
  <c r="M3743" i="2"/>
  <c r="Q3726" i="2"/>
  <c r="L3648" i="2"/>
  <c r="M3576" i="2"/>
  <c r="L3574" i="2"/>
  <c r="L3572" i="2"/>
  <c r="L3564" i="2"/>
  <c r="M3549" i="2"/>
  <c r="Q3547" i="2"/>
  <c r="L3535" i="2"/>
  <c r="L3487" i="2"/>
  <c r="L3483" i="2"/>
  <c r="Q3446" i="2"/>
  <c r="Q3444" i="2"/>
  <c r="Q3420" i="2"/>
  <c r="Q3406" i="2"/>
  <c r="Q3378" i="2"/>
  <c r="Q3349" i="2"/>
  <c r="Q3330" i="2"/>
  <c r="Q2955" i="2"/>
  <c r="L2728" i="2"/>
  <c r="L2701" i="2"/>
  <c r="M3567" i="2"/>
  <c r="M3547" i="2"/>
  <c r="Q3505" i="2"/>
  <c r="Q3792" i="2"/>
  <c r="Q3772" i="2"/>
  <c r="Q3765" i="2"/>
  <c r="Q3763" i="2"/>
  <c r="L3749" i="2"/>
  <c r="Q3718" i="2"/>
  <c r="M3689" i="2"/>
  <c r="M3633" i="2"/>
  <c r="Q3628" i="2"/>
  <c r="L3622" i="2"/>
  <c r="M3602" i="2"/>
  <c r="M3600" i="2"/>
  <c r="L3586" i="2"/>
  <c r="M3582" i="2"/>
  <c r="Q3569" i="2"/>
  <c r="L3497" i="2"/>
  <c r="L3489" i="2"/>
  <c r="Q3478" i="2"/>
  <c r="M3474" i="2"/>
  <c r="M3448" i="2"/>
  <c r="Q3433" i="2"/>
  <c r="Q3424" i="2"/>
  <c r="M3386" i="2"/>
  <c r="M3372" i="2"/>
  <c r="Q3336" i="2"/>
  <c r="M3284" i="2"/>
  <c r="L2955" i="2"/>
  <c r="M2955" i="2"/>
  <c r="M3643" i="2"/>
  <c r="Q3571" i="2"/>
  <c r="M3569" i="2"/>
  <c r="Q3561" i="2"/>
  <c r="L3559" i="2"/>
  <c r="L3541" i="2"/>
  <c r="M3528" i="2"/>
  <c r="L3522" i="2"/>
  <c r="L3505" i="2"/>
  <c r="L3476" i="2"/>
  <c r="Q3435" i="2"/>
  <c r="M3424" i="2"/>
  <c r="M3364" i="2"/>
  <c r="M3298" i="2"/>
  <c r="Q3238" i="2"/>
  <c r="Q3617" i="2"/>
  <c r="Q3513" i="2"/>
  <c r="Q3361" i="2"/>
  <c r="L3217" i="2"/>
  <c r="M2556" i="2"/>
  <c r="Q2556" i="2"/>
  <c r="M3362" i="2"/>
  <c r="M3293" i="2"/>
  <c r="L3286" i="2"/>
  <c r="L3270" i="2"/>
  <c r="M3258" i="2"/>
  <c r="L3223" i="2"/>
  <c r="L3188" i="2"/>
  <c r="Q3114" i="2"/>
  <c r="Q3112" i="2"/>
  <c r="L3110" i="2"/>
  <c r="L3101" i="2"/>
  <c r="Q3030" i="2"/>
  <c r="Q3006" i="2"/>
  <c r="M2961" i="2"/>
  <c r="M2959" i="2"/>
  <c r="M2935" i="2"/>
  <c r="Q2812" i="2"/>
  <c r="M2785" i="2"/>
  <c r="Q2765" i="2"/>
  <c r="M2732" i="2"/>
  <c r="Q2713" i="2"/>
  <c r="Q2711" i="2"/>
  <c r="M2690" i="2"/>
  <c r="Q2686" i="2"/>
  <c r="Q2665" i="2"/>
  <c r="Q2644" i="2"/>
  <c r="L2623" i="2"/>
  <c r="Q2612" i="2"/>
  <c r="M2548" i="2"/>
  <c r="L2439" i="2"/>
  <c r="M2439" i="2"/>
  <c r="Q2439" i="2"/>
  <c r="Q688" i="2"/>
  <c r="Q3010" i="2"/>
  <c r="Q2872" i="2"/>
  <c r="Q2830" i="2"/>
  <c r="Q2750" i="2"/>
  <c r="Q2748" i="2"/>
  <c r="Q2746" i="2"/>
  <c r="Q2738" i="2"/>
  <c r="Q2614" i="2"/>
  <c r="Q2579" i="2"/>
  <c r="M2550" i="2"/>
  <c r="M2341" i="2"/>
  <c r="L2341" i="2"/>
  <c r="Q2126" i="2"/>
  <c r="L2126" i="2"/>
  <c r="Q3343" i="2"/>
  <c r="Q3337" i="2"/>
  <c r="Q3331" i="2"/>
  <c r="Q3325" i="2"/>
  <c r="Q3310" i="2"/>
  <c r="L3260" i="2"/>
  <c r="Q3207" i="2"/>
  <c r="L3203" i="2"/>
  <c r="L3103" i="2"/>
  <c r="L3075" i="2"/>
  <c r="L3030" i="2"/>
  <c r="L3028" i="2"/>
  <c r="Q3014" i="2"/>
  <c r="M2967" i="2"/>
  <c r="Q2950" i="2"/>
  <c r="Q2948" i="2"/>
  <c r="M2937" i="2"/>
  <c r="L2930" i="2"/>
  <c r="L2835" i="2"/>
  <c r="M2771" i="2"/>
  <c r="M2769" i="2"/>
  <c r="L2767" i="2"/>
  <c r="M2752" i="2"/>
  <c r="M2746" i="2"/>
  <c r="Q2744" i="2"/>
  <c r="Q2677" i="2"/>
  <c r="L2665" i="2"/>
  <c r="Q2650" i="2"/>
  <c r="M2642" i="2"/>
  <c r="L2573" i="2"/>
  <c r="M2573" i="2"/>
  <c r="Q2573" i="2"/>
  <c r="L2526" i="2"/>
  <c r="M2526" i="2"/>
  <c r="L2170" i="2"/>
  <c r="L2121" i="2"/>
  <c r="M1811" i="2"/>
  <c r="L3359" i="2"/>
  <c r="Q3357" i="2"/>
  <c r="L3353" i="2"/>
  <c r="Q3351" i="2"/>
  <c r="L3347" i="2"/>
  <c r="Q3345" i="2"/>
  <c r="L3341" i="2"/>
  <c r="Q3339" i="2"/>
  <c r="L3335" i="2"/>
  <c r="Q3333" i="2"/>
  <c r="L3329" i="2"/>
  <c r="Q3327" i="2"/>
  <c r="L3323" i="2"/>
  <c r="L3319" i="2"/>
  <c r="L3301" i="2"/>
  <c r="M3281" i="2"/>
  <c r="L3274" i="2"/>
  <c r="M3267" i="2"/>
  <c r="M3255" i="2"/>
  <c r="Q3198" i="2"/>
  <c r="M3192" i="2"/>
  <c r="Q3142" i="2"/>
  <c r="Q3135" i="2"/>
  <c r="Q3100" i="2"/>
  <c r="M3098" i="2"/>
  <c r="L3057" i="2"/>
  <c r="L3043" i="2"/>
  <c r="L3032" i="2"/>
  <c r="M2991" i="2"/>
  <c r="L2980" i="2"/>
  <c r="M2969" i="2"/>
  <c r="L2967" i="2"/>
  <c r="L2948" i="2"/>
  <c r="Q2878" i="2"/>
  <c r="M2851" i="2"/>
  <c r="L2846" i="2"/>
  <c r="L2837" i="2"/>
  <c r="Q2814" i="2"/>
  <c r="L2807" i="2"/>
  <c r="M2798" i="2"/>
  <c r="M2773" i="2"/>
  <c r="Q2758" i="2"/>
  <c r="Q2756" i="2"/>
  <c r="Q2754" i="2"/>
  <c r="Q2725" i="2"/>
  <c r="Q2704" i="2"/>
  <c r="Q2683" i="2"/>
  <c r="L2671" i="2"/>
  <c r="Q2656" i="2"/>
  <c r="L2629" i="2"/>
  <c r="M2616" i="2"/>
  <c r="Q2603" i="2"/>
  <c r="Q2557" i="2"/>
  <c r="Q2478" i="2"/>
  <c r="L2408" i="2"/>
  <c r="M2408" i="2"/>
  <c r="L2385" i="2"/>
  <c r="M2100" i="2"/>
  <c r="Q2032" i="2"/>
  <c r="M2102" i="2"/>
  <c r="M1892" i="2"/>
  <c r="L1892" i="2"/>
  <c r="L3375" i="2"/>
  <c r="M3373" i="2"/>
  <c r="M3371" i="2"/>
  <c r="L3369" i="2"/>
  <c r="Q3367" i="2"/>
  <c r="M3361" i="2"/>
  <c r="Q3305" i="2"/>
  <c r="M3269" i="2"/>
  <c r="L3257" i="2"/>
  <c r="L3245" i="2"/>
  <c r="Q3226" i="2"/>
  <c r="Q3217" i="2"/>
  <c r="Q3189" i="2"/>
  <c r="Q3063" i="2"/>
  <c r="Q3061" i="2"/>
  <c r="L3059" i="2"/>
  <c r="Q3027" i="2"/>
  <c r="L3016" i="2"/>
  <c r="M2971" i="2"/>
  <c r="M2950" i="2"/>
  <c r="Q2936" i="2"/>
  <c r="Q2912" i="2"/>
  <c r="Q2896" i="2"/>
  <c r="M2839" i="2"/>
  <c r="Q2818" i="2"/>
  <c r="Q2802" i="2"/>
  <c r="Q2788" i="2"/>
  <c r="L2784" i="2"/>
  <c r="L2775" i="2"/>
  <c r="Q2762" i="2"/>
  <c r="L2756" i="2"/>
  <c r="M2750" i="2"/>
  <c r="M2744" i="2"/>
  <c r="Q2737" i="2"/>
  <c r="Q2662" i="2"/>
  <c r="M2654" i="2"/>
  <c r="Q2596" i="2"/>
  <c r="Q2563" i="2"/>
  <c r="M2559" i="2"/>
  <c r="M2557" i="2"/>
  <c r="Q2523" i="2"/>
  <c r="Q2521" i="2"/>
  <c r="M2492" i="2"/>
  <c r="L2401" i="2"/>
  <c r="M2401" i="2"/>
  <c r="Q2380" i="2"/>
  <c r="M2380" i="2"/>
  <c r="M2317" i="2"/>
  <c r="L2317" i="2"/>
  <c r="M2213" i="2"/>
  <c r="Q3159" i="2"/>
  <c r="L3157" i="2"/>
  <c r="L3047" i="2"/>
  <c r="Q3029" i="2"/>
  <c r="Q3005" i="2"/>
  <c r="Q2992" i="2"/>
  <c r="Q2979" i="2"/>
  <c r="M2960" i="2"/>
  <c r="L2896" i="2"/>
  <c r="L2871" i="2"/>
  <c r="L2825" i="2"/>
  <c r="Q2770" i="2"/>
  <c r="Q2768" i="2"/>
  <c r="M2758" i="2"/>
  <c r="Q2735" i="2"/>
  <c r="Q2716" i="2"/>
  <c r="M2708" i="2"/>
  <c r="Q2668" i="2"/>
  <c r="Q2641" i="2"/>
  <c r="L2635" i="2"/>
  <c r="Q2578" i="2"/>
  <c r="L2570" i="2"/>
  <c r="M2570" i="2"/>
  <c r="M2521" i="2"/>
  <c r="L2426" i="2"/>
  <c r="L2354" i="2"/>
  <c r="L2251" i="2"/>
  <c r="M2148" i="2"/>
  <c r="M2113" i="2"/>
  <c r="L1539" i="2"/>
  <c r="L2770" i="2"/>
  <c r="M2768" i="2"/>
  <c r="L2762" i="2"/>
  <c r="M2598" i="2"/>
  <c r="L2532" i="2"/>
  <c r="M2532" i="2"/>
  <c r="L2361" i="2"/>
  <c r="M2361" i="2"/>
  <c r="Q3346" i="2"/>
  <c r="Q3340" i="2"/>
  <c r="Q3334" i="2"/>
  <c r="Q3328" i="2"/>
  <c r="L3307" i="2"/>
  <c r="L3300" i="2"/>
  <c r="L3289" i="2"/>
  <c r="Q3284" i="2"/>
  <c r="M3280" i="2"/>
  <c r="Q3275" i="2"/>
  <c r="L3266" i="2"/>
  <c r="L3254" i="2"/>
  <c r="Q3244" i="2"/>
  <c r="M3217" i="2"/>
  <c r="M3191" i="2"/>
  <c r="Q3186" i="2"/>
  <c r="Q3171" i="2"/>
  <c r="Q3165" i="2"/>
  <c r="M3161" i="2"/>
  <c r="Q3134" i="2"/>
  <c r="Q3015" i="2"/>
  <c r="Q3009" i="2"/>
  <c r="L2988" i="2"/>
  <c r="Q2981" i="2"/>
  <c r="L2979" i="2"/>
  <c r="Q2947" i="2"/>
  <c r="Q2945" i="2"/>
  <c r="Q2902" i="2"/>
  <c r="M2857" i="2"/>
  <c r="L2850" i="2"/>
  <c r="M2797" i="2"/>
  <c r="Q2790" i="2"/>
  <c r="M2772" i="2"/>
  <c r="L2768" i="2"/>
  <c r="Q2722" i="2"/>
  <c r="L2716" i="2"/>
  <c r="M2714" i="2"/>
  <c r="M2666" i="2"/>
  <c r="Q2591" i="2"/>
  <c r="M2527" i="2"/>
  <c r="Q2428" i="2"/>
  <c r="L2281" i="2"/>
  <c r="L2267" i="2"/>
  <c r="Q2953" i="2"/>
  <c r="Q2918" i="2"/>
  <c r="Q2882" i="2"/>
  <c r="Q2728" i="2"/>
  <c r="Q2701" i="2"/>
  <c r="Q2699" i="2"/>
  <c r="Q2632" i="2"/>
  <c r="Q2593" i="2"/>
  <c r="Q2569" i="2"/>
  <c r="Q2529" i="2"/>
  <c r="M2463" i="2"/>
  <c r="M2370" i="2"/>
  <c r="L2370" i="2"/>
  <c r="L2115" i="2"/>
  <c r="M1998" i="2"/>
  <c r="M3356" i="2"/>
  <c r="M3350" i="2"/>
  <c r="M3344" i="2"/>
  <c r="M3338" i="2"/>
  <c r="L3336" i="2"/>
  <c r="M3332" i="2"/>
  <c r="L3330" i="2"/>
  <c r="M3326" i="2"/>
  <c r="L3324" i="2"/>
  <c r="L3320" i="2"/>
  <c r="M3275" i="2"/>
  <c r="Q3214" i="2"/>
  <c r="L3206" i="2"/>
  <c r="Q3201" i="2"/>
  <c r="M3167" i="2"/>
  <c r="Q3147" i="2"/>
  <c r="Q3136" i="2"/>
  <c r="Q3123" i="2"/>
  <c r="L3099" i="2"/>
  <c r="Q3046" i="2"/>
  <c r="L2972" i="2"/>
  <c r="L2970" i="2"/>
  <c r="L2957" i="2"/>
  <c r="L2902" i="2"/>
  <c r="L2884" i="2"/>
  <c r="L2877" i="2"/>
  <c r="L2870" i="2"/>
  <c r="L2838" i="2"/>
  <c r="L2808" i="2"/>
  <c r="L2776" i="2"/>
  <c r="M2745" i="2"/>
  <c r="L2722" i="2"/>
  <c r="M2678" i="2"/>
  <c r="Q2674" i="2"/>
  <c r="Q2657" i="2"/>
  <c r="Q2608" i="2"/>
  <c r="Q2606" i="2"/>
  <c r="Q2571" i="2"/>
  <c r="Q2548" i="2"/>
  <c r="Q2531" i="2"/>
  <c r="Q2516" i="2"/>
  <c r="M2437" i="2"/>
  <c r="L2437" i="2"/>
  <c r="L2379" i="2"/>
  <c r="M2379" i="2"/>
  <c r="Q2638" i="2"/>
  <c r="M2628" i="2"/>
  <c r="M2624" i="2"/>
  <c r="Q2599" i="2"/>
  <c r="Q2582" i="2"/>
  <c r="L2574" i="2"/>
  <c r="Q2539" i="2"/>
  <c r="Q2513" i="2"/>
  <c r="Q2509" i="2"/>
  <c r="L2505" i="2"/>
  <c r="L2443" i="2"/>
  <c r="L2432" i="2"/>
  <c r="M2413" i="2"/>
  <c r="Q2406" i="2"/>
  <c r="L2396" i="2"/>
  <c r="Q2374" i="2"/>
  <c r="M2338" i="2"/>
  <c r="M2314" i="2"/>
  <c r="L2297" i="2"/>
  <c r="L2295" i="2"/>
  <c r="L2290" i="2"/>
  <c r="M2207" i="2"/>
  <c r="L2200" i="2"/>
  <c r="L2198" i="2"/>
  <c r="Q2185" i="2"/>
  <c r="Q2176" i="2"/>
  <c r="M2165" i="2"/>
  <c r="M2161" i="2"/>
  <c r="M2154" i="2"/>
  <c r="L2152" i="2"/>
  <c r="M2150" i="2"/>
  <c r="Q2145" i="2"/>
  <c r="M2123" i="2"/>
  <c r="M2106" i="2"/>
  <c r="L2104" i="2"/>
  <c r="Q2097" i="2"/>
  <c r="Q2080" i="2"/>
  <c r="M2047" i="2"/>
  <c r="M1905" i="2"/>
  <c r="L1905" i="2"/>
  <c r="Q1884" i="2"/>
  <c r="M1882" i="2"/>
  <c r="M1873" i="2"/>
  <c r="L1744" i="2"/>
  <c r="M1744" i="2"/>
  <c r="M1682" i="2"/>
  <c r="L1682" i="2"/>
  <c r="Q2465" i="2"/>
  <c r="Q2404" i="2"/>
  <c r="L2402" i="2"/>
  <c r="Q2391" i="2"/>
  <c r="L2262" i="2"/>
  <c r="L2176" i="2"/>
  <c r="L2156" i="2"/>
  <c r="M2145" i="2"/>
  <c r="M2116" i="2"/>
  <c r="M1900" i="2"/>
  <c r="L1372" i="2"/>
  <c r="L1364" i="2"/>
  <c r="M967" i="2"/>
  <c r="M2025" i="2"/>
  <c r="L1995" i="2"/>
  <c r="M1815" i="2"/>
  <c r="M1731" i="2"/>
  <c r="L1543" i="2"/>
  <c r="L1522" i="2"/>
  <c r="M1522" i="2"/>
  <c r="Q2617" i="2"/>
  <c r="L2605" i="2"/>
  <c r="Q2575" i="2"/>
  <c r="L2556" i="2"/>
  <c r="Q2550" i="2"/>
  <c r="M2517" i="2"/>
  <c r="L2482" i="2"/>
  <c r="M2480" i="2"/>
  <c r="L2478" i="2"/>
  <c r="L2469" i="2"/>
  <c r="L2463" i="2"/>
  <c r="L2454" i="2"/>
  <c r="M2425" i="2"/>
  <c r="Q2382" i="2"/>
  <c r="M2353" i="2"/>
  <c r="M2349" i="2"/>
  <c r="P2349" i="2" s="1"/>
  <c r="L2340" i="2"/>
  <c r="M2320" i="2"/>
  <c r="L2316" i="2"/>
  <c r="L2292" i="2"/>
  <c r="L2285" i="2"/>
  <c r="L2271" i="2"/>
  <c r="L2210" i="2"/>
  <c r="Q2197" i="2"/>
  <c r="L2178" i="2"/>
  <c r="L2108" i="2"/>
  <c r="L2073" i="2"/>
  <c r="Q2054" i="2"/>
  <c r="M2018" i="2"/>
  <c r="L1430" i="2"/>
  <c r="M1430" i="2"/>
  <c r="L1292" i="2"/>
  <c r="M1292" i="2"/>
  <c r="L1222" i="2"/>
  <c r="Q2623" i="2"/>
  <c r="L2611" i="2"/>
  <c r="M2575" i="2"/>
  <c r="Q2561" i="2"/>
  <c r="L2547" i="2"/>
  <c r="Q2522" i="2"/>
  <c r="L2504" i="2"/>
  <c r="L2491" i="2"/>
  <c r="Q2475" i="2"/>
  <c r="Q2451" i="2"/>
  <c r="Q2433" i="2"/>
  <c r="L2423" i="2"/>
  <c r="Q2397" i="2"/>
  <c r="M2386" i="2"/>
  <c r="Q2362" i="2"/>
  <c r="L2351" i="2"/>
  <c r="L2342" i="2"/>
  <c r="M2329" i="2"/>
  <c r="L2318" i="2"/>
  <c r="M2305" i="2"/>
  <c r="M2296" i="2"/>
  <c r="L2280" i="2"/>
  <c r="L2212" i="2"/>
  <c r="M2208" i="2"/>
  <c r="M2184" i="2"/>
  <c r="L2171" i="2"/>
  <c r="L2169" i="2"/>
  <c r="M2142" i="2"/>
  <c r="Q2122" i="2"/>
  <c r="Q2103" i="2"/>
  <c r="Q2094" i="2"/>
  <c r="Q2086" i="2"/>
  <c r="Q2051" i="2"/>
  <c r="Q2046" i="2"/>
  <c r="M2040" i="2"/>
  <c r="M2020" i="2"/>
  <c r="L1733" i="2"/>
  <c r="L1579" i="2"/>
  <c r="M1494" i="2"/>
  <c r="M1485" i="2"/>
  <c r="Q2499" i="2"/>
  <c r="Q2495" i="2"/>
  <c r="Q2486" i="2"/>
  <c r="L2464" i="2"/>
  <c r="Q2401" i="2"/>
  <c r="L2335" i="2"/>
  <c r="L2311" i="2"/>
  <c r="M2298" i="2"/>
  <c r="L2275" i="2"/>
  <c r="L2268" i="2"/>
  <c r="L2245" i="2"/>
  <c r="Q2201" i="2"/>
  <c r="L2195" i="2"/>
  <c r="M2182" i="2"/>
  <c r="Q2175" i="2"/>
  <c r="L2173" i="2"/>
  <c r="L2164" i="2"/>
  <c r="Q2144" i="2"/>
  <c r="M2135" i="2"/>
  <c r="M2131" i="2"/>
  <c r="M2122" i="2"/>
  <c r="Q2120" i="2"/>
  <c r="Q2024" i="2"/>
  <c r="M1737" i="2"/>
  <c r="Q2602" i="2"/>
  <c r="Q2600" i="2"/>
  <c r="Q2581" i="2"/>
  <c r="L2559" i="2"/>
  <c r="Q2542" i="2"/>
  <c r="Q2536" i="2"/>
  <c r="Q2512" i="2"/>
  <c r="L2486" i="2"/>
  <c r="M2444" i="2"/>
  <c r="L2427" i="2"/>
  <c r="Q2418" i="2"/>
  <c r="M2414" i="2"/>
  <c r="Q2409" i="2"/>
  <c r="Q2390" i="2"/>
  <c r="L2346" i="2"/>
  <c r="L2155" i="2"/>
  <c r="M2153" i="2"/>
  <c r="M2144" i="2"/>
  <c r="Q2115" i="2"/>
  <c r="Q2081" i="2"/>
  <c r="Q2062" i="2"/>
  <c r="L2024" i="2"/>
  <c r="M2022" i="2"/>
  <c r="M1781" i="2"/>
  <c r="L1781" i="2"/>
  <c r="M1615" i="2"/>
  <c r="M1440" i="2"/>
  <c r="M1408" i="2"/>
  <c r="Q2455" i="2"/>
  <c r="Q2437" i="2"/>
  <c r="L1583" i="2"/>
  <c r="Q1583" i="2"/>
  <c r="M1535" i="2"/>
  <c r="L1535" i="2"/>
  <c r="L2557" i="2"/>
  <c r="L2550" i="2"/>
  <c r="Q2546" i="2"/>
  <c r="Q2527" i="2"/>
  <c r="Q2525" i="2"/>
  <c r="L2468" i="2"/>
  <c r="L2466" i="2"/>
  <c r="L2462" i="2"/>
  <c r="Q2453" i="2"/>
  <c r="L2435" i="2"/>
  <c r="L2420" i="2"/>
  <c r="M2409" i="2"/>
  <c r="L2399" i="2"/>
  <c r="Q2394" i="2"/>
  <c r="Q2392" i="2"/>
  <c r="Q2381" i="2"/>
  <c r="M2357" i="2"/>
  <c r="L2339" i="2"/>
  <c r="L2337" i="2"/>
  <c r="L2315" i="2"/>
  <c r="L2313" i="2"/>
  <c r="L2284" i="2"/>
  <c r="L2277" i="2"/>
  <c r="L2247" i="2"/>
  <c r="L2203" i="2"/>
  <c r="M2201" i="2"/>
  <c r="M2048" i="2"/>
  <c r="L1972" i="2"/>
  <c r="M1972" i="2"/>
  <c r="Q2653" i="2"/>
  <c r="L2641" i="2"/>
  <c r="Q2620" i="2"/>
  <c r="Q2618" i="2"/>
  <c r="M2610" i="2"/>
  <c r="M2606" i="2"/>
  <c r="M2589" i="2"/>
  <c r="L2581" i="2"/>
  <c r="Q2576" i="2"/>
  <c r="Q2560" i="2"/>
  <c r="L2553" i="2"/>
  <c r="L2538" i="2"/>
  <c r="L2514" i="2"/>
  <c r="L2503" i="2"/>
  <c r="M2488" i="2"/>
  <c r="Q2483" i="2"/>
  <c r="M2446" i="2"/>
  <c r="Q2430" i="2"/>
  <c r="Q2413" i="2"/>
  <c r="L2407" i="2"/>
  <c r="L2403" i="2"/>
  <c r="Q2383" i="2"/>
  <c r="L2359" i="2"/>
  <c r="L2350" i="2"/>
  <c r="L2328" i="2"/>
  <c r="L2304" i="2"/>
  <c r="L2279" i="2"/>
  <c r="L2256" i="2"/>
  <c r="L2157" i="2"/>
  <c r="Q2146" i="2"/>
  <c r="Q2134" i="2"/>
  <c r="Q2132" i="2"/>
  <c r="M2119" i="2"/>
  <c r="M2115" i="2"/>
  <c r="Q2030" i="2"/>
  <c r="L1974" i="2"/>
  <c r="M1974" i="2"/>
  <c r="L1832" i="2"/>
  <c r="Q1789" i="2"/>
  <c r="Q1778" i="2"/>
  <c r="M1507" i="2"/>
  <c r="L1989" i="2"/>
  <c r="Q1972" i="2"/>
  <c r="L1951" i="2"/>
  <c r="M1924" i="2"/>
  <c r="M1918" i="2"/>
  <c r="M1843" i="2"/>
  <c r="L1802" i="2"/>
  <c r="Q1786" i="2"/>
  <c r="L1751" i="2"/>
  <c r="M1749" i="2"/>
  <c r="M1740" i="2"/>
  <c r="L1572" i="2"/>
  <c r="M1553" i="2"/>
  <c r="Q1523" i="2"/>
  <c r="Q1517" i="2"/>
  <c r="M1511" i="2"/>
  <c r="M1449" i="2"/>
  <c r="L1408" i="2"/>
  <c r="M1384" i="2"/>
  <c r="M1368" i="2"/>
  <c r="M1366" i="2"/>
  <c r="L1366" i="2"/>
  <c r="M1349" i="2"/>
  <c r="L1349" i="2"/>
  <c r="M1325" i="2"/>
  <c r="M1323" i="2"/>
  <c r="L1323" i="2"/>
  <c r="M1300" i="2"/>
  <c r="L1285" i="2"/>
  <c r="M1285" i="2"/>
  <c r="M1278" i="2"/>
  <c r="L1034" i="2"/>
  <c r="L1011" i="2"/>
  <c r="M1984" i="2"/>
  <c r="Q1946" i="2"/>
  <c r="L1924" i="2"/>
  <c r="Q1790" i="2"/>
  <c r="M1782" i="2"/>
  <c r="Q1761" i="2"/>
  <c r="Q1747" i="2"/>
  <c r="Q1745" i="2"/>
  <c r="Q1719" i="2"/>
  <c r="Q1695" i="2"/>
  <c r="Q1567" i="2"/>
  <c r="Q1561" i="2"/>
  <c r="Q1559" i="2"/>
  <c r="Q1536" i="2"/>
  <c r="M1523" i="2"/>
  <c r="M1517" i="2"/>
  <c r="Q1508" i="2"/>
  <c r="M1489" i="2"/>
  <c r="M1480" i="2"/>
  <c r="M1478" i="2"/>
  <c r="M1469" i="2"/>
  <c r="Q1464" i="2"/>
  <c r="Q1419" i="2"/>
  <c r="M1392" i="2"/>
  <c r="L1392" i="2"/>
  <c r="Q1380" i="2"/>
  <c r="L1368" i="2"/>
  <c r="M1359" i="2"/>
  <c r="L1359" i="2"/>
  <c r="L1351" i="2"/>
  <c r="Q1351" i="2"/>
  <c r="L1319" i="2"/>
  <c r="L1171" i="2"/>
  <c r="M1171" i="2"/>
  <c r="L1152" i="2"/>
  <c r="Q2068" i="2"/>
  <c r="L2049" i="2"/>
  <c r="L2038" i="2"/>
  <c r="M2034" i="2"/>
  <c r="M2028" i="2"/>
  <c r="M2004" i="2"/>
  <c r="M1993" i="2"/>
  <c r="L1957" i="2"/>
  <c r="L1922" i="2"/>
  <c r="L1920" i="2"/>
  <c r="L1916" i="2"/>
  <c r="L1914" i="2"/>
  <c r="Q1905" i="2"/>
  <c r="L1895" i="2"/>
  <c r="M1886" i="2"/>
  <c r="Q1872" i="2"/>
  <c r="L1849" i="2"/>
  <c r="Q1831" i="2"/>
  <c r="L1829" i="2"/>
  <c r="M1821" i="2"/>
  <c r="M1784" i="2"/>
  <c r="M1754" i="2"/>
  <c r="L1738" i="2"/>
  <c r="Q1734" i="2"/>
  <c r="L1727" i="2"/>
  <c r="L1725" i="2"/>
  <c r="Q1723" i="2"/>
  <c r="M1702" i="2"/>
  <c r="L1700" i="2"/>
  <c r="Q1586" i="2"/>
  <c r="M1580" i="2"/>
  <c r="Q1578" i="2"/>
  <c r="L1555" i="2"/>
  <c r="L1549" i="2"/>
  <c r="M1532" i="2"/>
  <c r="L1523" i="2"/>
  <c r="L1521" i="2"/>
  <c r="Q1506" i="2"/>
  <c r="M1502" i="2"/>
  <c r="M1471" i="2"/>
  <c r="M1464" i="2"/>
  <c r="M1455" i="2"/>
  <c r="L1425" i="2"/>
  <c r="M1394" i="2"/>
  <c r="L1394" i="2"/>
  <c r="L1353" i="2"/>
  <c r="M1353" i="2"/>
  <c r="Q1344" i="2"/>
  <c r="L1339" i="2"/>
  <c r="M1339" i="2"/>
  <c r="L1335" i="2"/>
  <c r="M1319" i="2"/>
  <c r="M904" i="2"/>
  <c r="L519" i="2"/>
  <c r="M519" i="2"/>
  <c r="Q1842" i="2"/>
  <c r="Q1816" i="2"/>
  <c r="Q1759" i="2"/>
  <c r="Q1706" i="2"/>
  <c r="Q1697" i="2"/>
  <c r="Q1683" i="2"/>
  <c r="Q1571" i="2"/>
  <c r="Q1510" i="2"/>
  <c r="L1419" i="2"/>
  <c r="M1346" i="2"/>
  <c r="M798" i="2"/>
  <c r="L526" i="2"/>
  <c r="M526" i="2"/>
  <c r="L2021" i="2"/>
  <c r="P2021" i="2" s="1"/>
  <c r="M1946" i="2"/>
  <c r="Q1941" i="2"/>
  <c r="L1890" i="2"/>
  <c r="L1888" i="2"/>
  <c r="L1854" i="2"/>
  <c r="M1816" i="2"/>
  <c r="M1812" i="2"/>
  <c r="L1808" i="2"/>
  <c r="M1801" i="2"/>
  <c r="L1797" i="2"/>
  <c r="M1790" i="2"/>
  <c r="Q1781" i="2"/>
  <c r="M1747" i="2"/>
  <c r="M1736" i="2"/>
  <c r="Q1728" i="2"/>
  <c r="M1690" i="2"/>
  <c r="L1688" i="2"/>
  <c r="M1666" i="2"/>
  <c r="M1578" i="2"/>
  <c r="L1527" i="2"/>
  <c r="M1510" i="2"/>
  <c r="Q1495" i="2"/>
  <c r="M1493" i="2"/>
  <c r="M1448" i="2"/>
  <c r="M1429" i="2"/>
  <c r="L1429" i="2"/>
  <c r="M1425" i="2"/>
  <c r="M1423" i="2"/>
  <c r="P1423" i="2" s="1"/>
  <c r="Q1409" i="2"/>
  <c r="Q1401" i="2"/>
  <c r="M1363" i="2"/>
  <c r="P1363" i="2" s="1"/>
  <c r="L1304" i="2"/>
  <c r="M1304" i="2"/>
  <c r="Q1299" i="2"/>
  <c r="Q1297" i="2"/>
  <c r="M1295" i="2"/>
  <c r="L1295" i="2"/>
  <c r="Q1284" i="2"/>
  <c r="M1259" i="2"/>
  <c r="M1064" i="2"/>
  <c r="L994" i="2"/>
  <c r="M994" i="2"/>
  <c r="M596" i="2"/>
  <c r="L596" i="2"/>
  <c r="Q1757" i="2"/>
  <c r="L1297" i="2"/>
  <c r="L1284" i="2"/>
  <c r="M2001" i="2"/>
  <c r="M1981" i="2"/>
  <c r="Q1954" i="2"/>
  <c r="L1950" i="2"/>
  <c r="Q1934" i="2"/>
  <c r="L1883" i="2"/>
  <c r="L1878" i="2"/>
  <c r="L1818" i="2"/>
  <c r="M1759" i="2"/>
  <c r="M1752" i="2"/>
  <c r="M1730" i="2"/>
  <c r="M1726" i="2"/>
  <c r="L1712" i="2"/>
  <c r="M1708" i="2"/>
  <c r="M1706" i="2"/>
  <c r="Q1701" i="2"/>
  <c r="L1663" i="2"/>
  <c r="Q1581" i="2"/>
  <c r="L1531" i="2"/>
  <c r="M1529" i="2"/>
  <c r="Q1518" i="2"/>
  <c r="M1495" i="2"/>
  <c r="M1475" i="2"/>
  <c r="M1452" i="2"/>
  <c r="M1432" i="2"/>
  <c r="Q1420" i="2"/>
  <c r="Q1405" i="2"/>
  <c r="M1405" i="2"/>
  <c r="M1403" i="2"/>
  <c r="L1403" i="2"/>
  <c r="L1106" i="2"/>
  <c r="M1106" i="2"/>
  <c r="Q1744" i="2"/>
  <c r="Q1535" i="2"/>
  <c r="Q1526" i="2"/>
  <c r="Q1430" i="2"/>
  <c r="M1413" i="2"/>
  <c r="L1413" i="2"/>
  <c r="M1407" i="2"/>
  <c r="L1407" i="2"/>
  <c r="M1391" i="2"/>
  <c r="L1391" i="2"/>
  <c r="L1377" i="2"/>
  <c r="Q1377" i="2"/>
  <c r="L1301" i="2"/>
  <c r="L1288" i="2"/>
  <c r="M1288" i="2"/>
  <c r="M1279" i="2"/>
  <c r="M947" i="2"/>
  <c r="L628" i="2"/>
  <c r="M628" i="2"/>
  <c r="L2008" i="2"/>
  <c r="L1971" i="2"/>
  <c r="Q1960" i="2"/>
  <c r="L1954" i="2"/>
  <c r="Q1938" i="2"/>
  <c r="Q1929" i="2"/>
  <c r="L1923" i="2"/>
  <c r="L1919" i="2"/>
  <c r="L1917" i="2"/>
  <c r="L1913" i="2"/>
  <c r="Q1841" i="2"/>
  <c r="M1839" i="2"/>
  <c r="Q1815" i="2"/>
  <c r="M1807" i="2"/>
  <c r="M1794" i="2"/>
  <c r="M1785" i="2"/>
  <c r="L1783" i="2"/>
  <c r="L1767" i="2"/>
  <c r="M1762" i="2"/>
  <c r="M1755" i="2"/>
  <c r="Q1753" i="2"/>
  <c r="L1726" i="2"/>
  <c r="M1712" i="2"/>
  <c r="Q1689" i="2"/>
  <c r="Q1682" i="2"/>
  <c r="L1665" i="2"/>
  <c r="M1581" i="2"/>
  <c r="L1575" i="2"/>
  <c r="Q1568" i="2"/>
  <c r="Q1566" i="2"/>
  <c r="Q1552" i="2"/>
  <c r="Q1541" i="2"/>
  <c r="Q1520" i="2"/>
  <c r="Q1505" i="2"/>
  <c r="M1492" i="2"/>
  <c r="M1461" i="2"/>
  <c r="L1432" i="2"/>
  <c r="L1424" i="2"/>
  <c r="L1422" i="2"/>
  <c r="L1420" i="2"/>
  <c r="M1420" i="2"/>
  <c r="M1401" i="2"/>
  <c r="M1320" i="2"/>
  <c r="L1318" i="2"/>
  <c r="L1303" i="2"/>
  <c r="M1218" i="2"/>
  <c r="M1108" i="2"/>
  <c r="M2067" i="2"/>
  <c r="M2037" i="2"/>
  <c r="L1996" i="2"/>
  <c r="L1975" i="2"/>
  <c r="L1973" i="2"/>
  <c r="L1958" i="2"/>
  <c r="L1947" i="2"/>
  <c r="Q1940" i="2"/>
  <c r="Q1931" i="2"/>
  <c r="L1925" i="2"/>
  <c r="L1894" i="2"/>
  <c r="M1880" i="2"/>
  <c r="Q1834" i="2"/>
  <c r="L1800" i="2"/>
  <c r="L1796" i="2"/>
  <c r="M1787" i="2"/>
  <c r="L1737" i="2"/>
  <c r="M1720" i="2"/>
  <c r="M1696" i="2"/>
  <c r="M1653" i="2"/>
  <c r="M1641" i="2"/>
  <c r="M1629" i="2"/>
  <c r="M1613" i="2"/>
  <c r="M1472" i="2"/>
  <c r="M1447" i="2"/>
  <c r="Q1402" i="2"/>
  <c r="M1362" i="2"/>
  <c r="M1354" i="2"/>
  <c r="M1345" i="2"/>
  <c r="M1258" i="2"/>
  <c r="L1258" i="2"/>
  <c r="Q1258" i="2"/>
  <c r="L1220" i="2"/>
  <c r="M1220" i="2"/>
  <c r="M632" i="2"/>
  <c r="L632" i="2"/>
  <c r="M1411" i="2"/>
  <c r="L1409" i="2"/>
  <c r="M1387" i="2"/>
  <c r="L1385" i="2"/>
  <c r="Q1315" i="2"/>
  <c r="Q1309" i="2"/>
  <c r="M1308" i="2"/>
  <c r="P1308" i="2" s="1"/>
  <c r="M1302" i="2"/>
  <c r="L1294" i="2"/>
  <c r="L1270" i="2"/>
  <c r="M1261" i="2"/>
  <c r="M1186" i="2"/>
  <c r="M1179" i="2"/>
  <c r="P1179" i="2" s="1"/>
  <c r="L1175" i="2"/>
  <c r="L1140" i="2"/>
  <c r="M1092" i="2"/>
  <c r="M1080" i="2"/>
  <c r="M1052" i="2"/>
  <c r="Q1000" i="2"/>
  <c r="M971" i="2"/>
  <c r="L960" i="2"/>
  <c r="L951" i="2"/>
  <c r="M886" i="2"/>
  <c r="M875" i="2"/>
  <c r="M856" i="2"/>
  <c r="L814" i="2"/>
  <c r="M814" i="2"/>
  <c r="L734" i="2"/>
  <c r="L695" i="2"/>
  <c r="M695" i="2"/>
  <c r="L665" i="2"/>
  <c r="L621" i="2"/>
  <c r="Q546" i="2"/>
  <c r="M315" i="2"/>
  <c r="M261" i="2"/>
  <c r="M1435" i="2"/>
  <c r="Q1425" i="2"/>
  <c r="Q1392" i="2"/>
  <c r="M1389" i="2"/>
  <c r="Q1375" i="2"/>
  <c r="Q1364" i="2"/>
  <c r="Q1347" i="2"/>
  <c r="M1272" i="2"/>
  <c r="Q1255" i="2"/>
  <c r="L1209" i="2"/>
  <c r="Q1200" i="2"/>
  <c r="L1198" i="2"/>
  <c r="L1110" i="2"/>
  <c r="L1073" i="2"/>
  <c r="L1036" i="2"/>
  <c r="M1029" i="2"/>
  <c r="P1029" i="2" s="1"/>
  <c r="L1020" i="2"/>
  <c r="M777" i="2"/>
  <c r="P777" i="2" s="1"/>
  <c r="L747" i="2"/>
  <c r="L709" i="2"/>
  <c r="M709" i="2"/>
  <c r="M546" i="2"/>
  <c r="Q539" i="2"/>
  <c r="Q361" i="2"/>
  <c r="M1439" i="2"/>
  <c r="M1431" i="2"/>
  <c r="L1414" i="2"/>
  <c r="L1381" i="2"/>
  <c r="L1379" i="2"/>
  <c r="Q1373" i="2"/>
  <c r="L1360" i="2"/>
  <c r="Q1323" i="2"/>
  <c r="Q1318" i="2"/>
  <c r="Q1267" i="2"/>
  <c r="Q1253" i="2"/>
  <c r="L1249" i="2"/>
  <c r="Q1247" i="2"/>
  <c r="L1213" i="2"/>
  <c r="M1211" i="2"/>
  <c r="M1207" i="2"/>
  <c r="P1207" i="2" s="1"/>
  <c r="L1196" i="2"/>
  <c r="L1194" i="2"/>
  <c r="Q1170" i="2"/>
  <c r="L1168" i="2"/>
  <c r="M1128" i="2"/>
  <c r="L1103" i="2"/>
  <c r="L1094" i="2"/>
  <c r="M1061" i="2"/>
  <c r="M1054" i="2"/>
  <c r="L1047" i="2"/>
  <c r="L1038" i="2"/>
  <c r="L968" i="2"/>
  <c r="M962" i="2"/>
  <c r="L953" i="2"/>
  <c r="M930" i="2"/>
  <c r="M865" i="2"/>
  <c r="M851" i="2"/>
  <c r="Q835" i="2"/>
  <c r="M685" i="2"/>
  <c r="L658" i="2"/>
  <c r="Q604" i="2"/>
  <c r="M474" i="2"/>
  <c r="Q429" i="2"/>
  <c r="L279" i="2"/>
  <c r="Q240" i="2"/>
  <c r="M286" i="2"/>
  <c r="L54" i="2"/>
  <c r="M54" i="2"/>
  <c r="M1329" i="2"/>
  <c r="Q1325" i="2"/>
  <c r="L1320" i="2"/>
  <c r="M1280" i="2"/>
  <c r="L1278" i="2"/>
  <c r="Q1273" i="2"/>
  <c r="L1269" i="2"/>
  <c r="L1267" i="2"/>
  <c r="L1265" i="2"/>
  <c r="M1260" i="2"/>
  <c r="L1221" i="2"/>
  <c r="L1219" i="2"/>
  <c r="L1200" i="2"/>
  <c r="M1187" i="2"/>
  <c r="M1174" i="2"/>
  <c r="M1172" i="2"/>
  <c r="M1170" i="2"/>
  <c r="M1163" i="2"/>
  <c r="Q1086" i="2"/>
  <c r="M1070" i="2"/>
  <c r="L1042" i="2"/>
  <c r="M1017" i="2"/>
  <c r="Q1012" i="2"/>
  <c r="M1008" i="2"/>
  <c r="M997" i="2"/>
  <c r="M955" i="2"/>
  <c r="M948" i="2"/>
  <c r="M914" i="2"/>
  <c r="M901" i="2"/>
  <c r="M883" i="2"/>
  <c r="M874" i="2"/>
  <c r="L811" i="2"/>
  <c r="M811" i="2"/>
  <c r="L797" i="2"/>
  <c r="L772" i="2"/>
  <c r="M729" i="2"/>
  <c r="Q701" i="2"/>
  <c r="M613" i="2"/>
  <c r="Q501" i="2"/>
  <c r="M404" i="2"/>
  <c r="Q242" i="2"/>
  <c r="L1343" i="2"/>
  <c r="M1336" i="2"/>
  <c r="Q1332" i="2"/>
  <c r="L1316" i="2"/>
  <c r="L1305" i="2"/>
  <c r="M1282" i="2"/>
  <c r="Q1275" i="2"/>
  <c r="Q1262" i="2"/>
  <c r="L1260" i="2"/>
  <c r="M1255" i="2"/>
  <c r="M1230" i="2"/>
  <c r="Q1160" i="2"/>
  <c r="L1132" i="2"/>
  <c r="M1114" i="2"/>
  <c r="L1091" i="2"/>
  <c r="M1058" i="2"/>
  <c r="M977" i="2"/>
  <c r="M970" i="2"/>
  <c r="L950" i="2"/>
  <c r="M941" i="2"/>
  <c r="M920" i="2"/>
  <c r="L804" i="2"/>
  <c r="L792" i="2"/>
  <c r="M620" i="2"/>
  <c r="L620" i="2"/>
  <c r="Q615" i="2"/>
  <c r="Q417" i="2"/>
  <c r="M333" i="2"/>
  <c r="M219" i="2"/>
  <c r="L86" i="2"/>
  <c r="M1386" i="2"/>
  <c r="Q1363" i="2"/>
  <c r="Q1361" i="2"/>
  <c r="L1352" i="2"/>
  <c r="Q1328" i="2"/>
  <c r="L1326" i="2"/>
  <c r="M1303" i="2"/>
  <c r="M1297" i="2"/>
  <c r="M1291" i="2"/>
  <c r="L1289" i="2"/>
  <c r="P1289" i="2" s="1"/>
  <c r="M1284" i="2"/>
  <c r="L1240" i="2"/>
  <c r="L1225" i="2"/>
  <c r="L1212" i="2"/>
  <c r="M1204" i="2"/>
  <c r="M1191" i="2"/>
  <c r="Q1182" i="2"/>
  <c r="M1176" i="2"/>
  <c r="Q1122" i="2"/>
  <c r="Q1081" i="2"/>
  <c r="M1037" i="2"/>
  <c r="Q1032" i="2"/>
  <c r="M1014" i="2"/>
  <c r="Q1007" i="2"/>
  <c r="M972" i="2"/>
  <c r="M896" i="2"/>
  <c r="M869" i="2"/>
  <c r="M785" i="2"/>
  <c r="Q721" i="2"/>
  <c r="M710" i="2"/>
  <c r="L696" i="2"/>
  <c r="Q519" i="2"/>
  <c r="Q1306" i="2"/>
  <c r="Q1285" i="2"/>
  <c r="Q1250" i="2"/>
  <c r="Q1244" i="2"/>
  <c r="Q1106" i="2"/>
  <c r="M974" i="2"/>
  <c r="M945" i="2"/>
  <c r="Q940" i="2"/>
  <c r="M889" i="2"/>
  <c r="M830" i="2"/>
  <c r="L801" i="2"/>
  <c r="M769" i="2"/>
  <c r="L760" i="2"/>
  <c r="Q714" i="2"/>
  <c r="M698" i="2"/>
  <c r="L684" i="2"/>
  <c r="M684" i="2"/>
  <c r="Q632" i="2"/>
  <c r="M1451" i="2"/>
  <c r="L1426" i="2"/>
  <c r="M1417" i="2"/>
  <c r="L1395" i="2"/>
  <c r="Q1389" i="2"/>
  <c r="Q1387" i="2"/>
  <c r="Q1383" i="2"/>
  <c r="M1376" i="2"/>
  <c r="M1370" i="2"/>
  <c r="L1367" i="2"/>
  <c r="Q1337" i="2"/>
  <c r="M1332" i="2"/>
  <c r="L1330" i="2"/>
  <c r="M1310" i="2"/>
  <c r="L1306" i="2"/>
  <c r="L1291" i="2"/>
  <c r="M1287" i="2"/>
  <c r="L1279" i="2"/>
  <c r="L1277" i="2"/>
  <c r="Q1270" i="2"/>
  <c r="L1231" i="2"/>
  <c r="M1216" i="2"/>
  <c r="M1206" i="2"/>
  <c r="L1162" i="2"/>
  <c r="L1150" i="2"/>
  <c r="L1129" i="2"/>
  <c r="L1122" i="2"/>
  <c r="M1120" i="2"/>
  <c r="M1076" i="2"/>
  <c r="M1055" i="2"/>
  <c r="Q1034" i="2"/>
  <c r="M1032" i="2"/>
  <c r="M1025" i="2"/>
  <c r="M1005" i="2"/>
  <c r="L976" i="2"/>
  <c r="L969" i="2"/>
  <c r="L967" i="2"/>
  <c r="M965" i="2"/>
  <c r="M954" i="2"/>
  <c r="M913" i="2"/>
  <c r="M821" i="2"/>
  <c r="M626" i="2"/>
  <c r="Q514" i="2"/>
  <c r="Q234" i="2"/>
  <c r="L60" i="2"/>
  <c r="Q470" i="2"/>
  <c r="Q436" i="2"/>
  <c r="Q251" i="2"/>
  <c r="Q120" i="2"/>
  <c r="Q111" i="2"/>
  <c r="M793" i="2"/>
  <c r="L784" i="2"/>
  <c r="L771" i="2"/>
  <c r="L730" i="2"/>
  <c r="Q703" i="2"/>
  <c r="L701" i="2"/>
  <c r="Q636" i="2"/>
  <c r="M548" i="2"/>
  <c r="M488" i="2"/>
  <c r="M468" i="2"/>
  <c r="L459" i="2"/>
  <c r="Q402" i="2"/>
  <c r="Q400" i="2"/>
  <c r="L370" i="2"/>
  <c r="Q363" i="2"/>
  <c r="L344" i="2"/>
  <c r="Q340" i="2"/>
  <c r="Q274" i="2"/>
  <c r="Q236" i="2"/>
  <c r="M190" i="2"/>
  <c r="M181" i="2"/>
  <c r="M170" i="2"/>
  <c r="M168" i="2"/>
  <c r="Q135" i="2"/>
  <c r="M109" i="2"/>
  <c r="M102" i="2"/>
  <c r="M93" i="2"/>
  <c r="Q88" i="2"/>
  <c r="L80" i="2"/>
  <c r="L78" i="2"/>
  <c r="M74" i="2"/>
  <c r="Q69" i="2"/>
  <c r="L67" i="2"/>
  <c r="L35" i="2"/>
  <c r="M815" i="2"/>
  <c r="Q804" i="2"/>
  <c r="M758" i="2"/>
  <c r="M751" i="2"/>
  <c r="L740" i="2"/>
  <c r="Q709" i="2"/>
  <c r="L703" i="2"/>
  <c r="M615" i="2"/>
  <c r="M604" i="2"/>
  <c r="Q588" i="2"/>
  <c r="L561" i="2"/>
  <c r="Q552" i="2"/>
  <c r="Q543" i="2"/>
  <c r="L541" i="2"/>
  <c r="L463" i="2"/>
  <c r="M447" i="2"/>
  <c r="Q393" i="2"/>
  <c r="M387" i="2"/>
  <c r="L376" i="2"/>
  <c r="L361" i="2"/>
  <c r="L346" i="2"/>
  <c r="L324" i="2"/>
  <c r="Q265" i="2"/>
  <c r="M203" i="2"/>
  <c r="M172" i="2"/>
  <c r="M163" i="2"/>
  <c r="M104" i="2"/>
  <c r="M97" i="2"/>
  <c r="M95" i="2"/>
  <c r="M69" i="2"/>
  <c r="L753" i="2"/>
  <c r="Q720" i="2"/>
  <c r="M705" i="2"/>
  <c r="L683" i="2"/>
  <c r="Q667" i="2"/>
  <c r="L659" i="2"/>
  <c r="Q644" i="2"/>
  <c r="Q629" i="2"/>
  <c r="M621" i="2"/>
  <c r="Q612" i="2"/>
  <c r="Q592" i="2"/>
  <c r="M565" i="2"/>
  <c r="Q547" i="2"/>
  <c r="L543" i="2"/>
  <c r="Q520" i="2"/>
  <c r="Q502" i="2"/>
  <c r="Q469" i="2"/>
  <c r="M456" i="2"/>
  <c r="M440" i="2"/>
  <c r="M424" i="2"/>
  <c r="L418" i="2"/>
  <c r="Q384" i="2"/>
  <c r="L378" i="2"/>
  <c r="Q354" i="2"/>
  <c r="L319" i="2"/>
  <c r="L276" i="2"/>
  <c r="M274" i="2"/>
  <c r="Q267" i="2"/>
  <c r="M198" i="2"/>
  <c r="L135" i="2"/>
  <c r="M99" i="2"/>
  <c r="M90" i="2"/>
  <c r="M86" i="2"/>
  <c r="M79" i="2"/>
  <c r="L62" i="2"/>
  <c r="L32" i="2"/>
  <c r="M6" i="2"/>
  <c r="M783" i="2"/>
  <c r="L770" i="2"/>
  <c r="L766" i="2"/>
  <c r="Q722" i="2"/>
  <c r="M687" i="2"/>
  <c r="L663" i="2"/>
  <c r="Q631" i="2"/>
  <c r="L612" i="2"/>
  <c r="Q605" i="2"/>
  <c r="Q603" i="2"/>
  <c r="L592" i="2"/>
  <c r="Q556" i="2"/>
  <c r="M536" i="2"/>
  <c r="Q531" i="2"/>
  <c r="M511" i="2"/>
  <c r="L494" i="2"/>
  <c r="M478" i="2"/>
  <c r="M467" i="2"/>
  <c r="L458" i="2"/>
  <c r="Q397" i="2"/>
  <c r="L367" i="2"/>
  <c r="Q358" i="2"/>
  <c r="L341" i="2"/>
  <c r="L339" i="2"/>
  <c r="L285" i="2"/>
  <c r="Q250" i="2"/>
  <c r="Q233" i="2"/>
  <c r="M220" i="2"/>
  <c r="M189" i="2"/>
  <c r="M124" i="2"/>
  <c r="M115" i="2"/>
  <c r="M108" i="2"/>
  <c r="Q96" i="2"/>
  <c r="Q92" i="2"/>
  <c r="L77" i="2"/>
  <c r="L75" i="2"/>
  <c r="Q405" i="2"/>
  <c r="L12" i="2"/>
  <c r="L8" i="2"/>
  <c r="L741" i="2"/>
  <c r="L735" i="2"/>
  <c r="L729" i="2"/>
  <c r="L722" i="2"/>
  <c r="L702" i="2"/>
  <c r="Q695" i="2"/>
  <c r="L644" i="2"/>
  <c r="M633" i="2"/>
  <c r="Q624" i="2"/>
  <c r="Q620" i="2"/>
  <c r="L614" i="2"/>
  <c r="L605" i="2"/>
  <c r="Q596" i="2"/>
  <c r="Q580" i="2"/>
  <c r="L502" i="2"/>
  <c r="M453" i="2"/>
  <c r="M433" i="2"/>
  <c r="L336" i="2"/>
  <c r="L312" i="2"/>
  <c r="L271" i="2"/>
  <c r="M202" i="2"/>
  <c r="M191" i="2"/>
  <c r="M171" i="2"/>
  <c r="M110" i="2"/>
  <c r="M94" i="2"/>
  <c r="L81" i="2"/>
  <c r="L68" i="2"/>
  <c r="M787" i="2"/>
  <c r="L675" i="2"/>
  <c r="L671" i="2"/>
  <c r="M667" i="2"/>
  <c r="M618" i="2"/>
  <c r="M569" i="2"/>
  <c r="Q564" i="2"/>
  <c r="M551" i="2"/>
  <c r="L549" i="2"/>
  <c r="L538" i="2"/>
  <c r="Q526" i="2"/>
  <c r="Q515" i="2"/>
  <c r="L504" i="2"/>
  <c r="Q491" i="2"/>
  <c r="M484" i="2"/>
  <c r="Q477" i="2"/>
  <c r="Q475" i="2"/>
  <c r="Q466" i="2"/>
  <c r="Q430" i="2"/>
  <c r="M428" i="2"/>
  <c r="Q394" i="2"/>
  <c r="Q351" i="2"/>
  <c r="Q338" i="2"/>
  <c r="M291" i="2"/>
  <c r="Q266" i="2"/>
  <c r="M254" i="2"/>
  <c r="M250" i="2"/>
  <c r="Q245" i="2"/>
  <c r="M211" i="2"/>
  <c r="M136" i="2"/>
  <c r="L130" i="2"/>
  <c r="M121" i="2"/>
  <c r="M112" i="2"/>
  <c r="L53" i="2"/>
  <c r="M51" i="2"/>
  <c r="L44" i="2"/>
  <c r="L40" i="2"/>
  <c r="L810" i="2"/>
  <c r="L796" i="2"/>
  <c r="L789" i="2"/>
  <c r="P789" i="2" s="1"/>
  <c r="L778" i="2"/>
  <c r="L776" i="2"/>
  <c r="L739" i="2"/>
  <c r="L733" i="2"/>
  <c r="Q719" i="2"/>
  <c r="M699" i="2"/>
  <c r="M580" i="2"/>
  <c r="M571" i="2"/>
  <c r="L562" i="2"/>
  <c r="Q535" i="2"/>
  <c r="L533" i="2"/>
  <c r="Q517" i="2"/>
  <c r="M473" i="2"/>
  <c r="L448" i="2"/>
  <c r="Q419" i="2"/>
  <c r="Q411" i="2"/>
  <c r="L377" i="2"/>
  <c r="Q366" i="2"/>
  <c r="Q247" i="2"/>
  <c r="M197" i="2"/>
  <c r="M195" i="2"/>
  <c r="M184" i="2"/>
  <c r="M173" i="2"/>
  <c r="Q116" i="2"/>
  <c r="M114" i="2"/>
  <c r="M107" i="2"/>
  <c r="Q100" i="2"/>
  <c r="Q91" i="2"/>
  <c r="L22" i="2"/>
  <c r="M544" i="2"/>
  <c r="Q530" i="2"/>
  <c r="Q423" i="2"/>
  <c r="Q383" i="2"/>
  <c r="L366" i="2"/>
  <c r="Q353" i="2"/>
  <c r="L293" i="2"/>
  <c r="Q286" i="2"/>
  <c r="M230" i="2"/>
  <c r="M199" i="2"/>
  <c r="L74" i="2"/>
  <c r="L7" i="2"/>
  <c r="L7044" i="2"/>
  <c r="Q7044" i="2"/>
  <c r="Q6791" i="2"/>
  <c r="L6791" i="2"/>
  <c r="M7327" i="2"/>
  <c r="L7052" i="2"/>
  <c r="Q7052" i="2"/>
  <c r="Q7333" i="2"/>
  <c r="L7330" i="2"/>
  <c r="Q7328" i="2"/>
  <c r="M7322" i="2"/>
  <c r="Q7311" i="2"/>
  <c r="M7306" i="2"/>
  <c r="M7292" i="2"/>
  <c r="Q7283" i="2"/>
  <c r="M7274" i="2"/>
  <c r="Q7271" i="2"/>
  <c r="L7268" i="2"/>
  <c r="Q7266" i="2"/>
  <c r="L7260" i="2"/>
  <c r="M7260" i="2"/>
  <c r="M7258" i="2"/>
  <c r="M7246" i="2"/>
  <c r="Q7244" i="2"/>
  <c r="L7222" i="2"/>
  <c r="M7204" i="2"/>
  <c r="L7196" i="2"/>
  <c r="M7196" i="2"/>
  <c r="Q7192" i="2"/>
  <c r="M7176" i="2"/>
  <c r="M7138" i="2"/>
  <c r="M7132" i="2"/>
  <c r="Q7114" i="2"/>
  <c r="L7056" i="2"/>
  <c r="Q7056" i="2"/>
  <c r="L6952" i="2"/>
  <c r="Q6952" i="2"/>
  <c r="Q6915" i="2"/>
  <c r="L6915" i="2"/>
  <c r="M7313" i="2"/>
  <c r="L7308" i="2"/>
  <c r="Q7201" i="2"/>
  <c r="L7048" i="2"/>
  <c r="Q7048" i="2"/>
  <c r="L7324" i="2"/>
  <c r="L6948" i="2"/>
  <c r="Q6948" i="2"/>
  <c r="M7620" i="2"/>
  <c r="M7617" i="2"/>
  <c r="M7614" i="2"/>
  <c r="P7614" i="2" s="1"/>
  <c r="M7611" i="2"/>
  <c r="M7608" i="2"/>
  <c r="M7605" i="2"/>
  <c r="M7602" i="2"/>
  <c r="M7599" i="2"/>
  <c r="M7596" i="2"/>
  <c r="M7593" i="2"/>
  <c r="M7590" i="2"/>
  <c r="M7587" i="2"/>
  <c r="M7584" i="2"/>
  <c r="M7581" i="2"/>
  <c r="M7578" i="2"/>
  <c r="M7575" i="2"/>
  <c r="M7572" i="2"/>
  <c r="M7569" i="2"/>
  <c r="M7566" i="2"/>
  <c r="M7563" i="2"/>
  <c r="M7560" i="2"/>
  <c r="M7557" i="2"/>
  <c r="M7554" i="2"/>
  <c r="M7551" i="2"/>
  <c r="M7548" i="2"/>
  <c r="M7545" i="2"/>
  <c r="P7545" i="2" s="1"/>
  <c r="M7542" i="2"/>
  <c r="M7539" i="2"/>
  <c r="M7536" i="2"/>
  <c r="M7533" i="2"/>
  <c r="M7530" i="2"/>
  <c r="P7530" i="2" s="1"/>
  <c r="M7527" i="2"/>
  <c r="M7524" i="2"/>
  <c r="M7521" i="2"/>
  <c r="M7518" i="2"/>
  <c r="M7515" i="2"/>
  <c r="M7512" i="2"/>
  <c r="M7509" i="2"/>
  <c r="M7506" i="2"/>
  <c r="M7503" i="2"/>
  <c r="P7503" i="2" s="1"/>
  <c r="M7500" i="2"/>
  <c r="M7497" i="2"/>
  <c r="M7494" i="2"/>
  <c r="M7491" i="2"/>
  <c r="M7488" i="2"/>
  <c r="M7485" i="2"/>
  <c r="M7482" i="2"/>
  <c r="M7479" i="2"/>
  <c r="M7476" i="2"/>
  <c r="M7473" i="2"/>
  <c r="M7470" i="2"/>
  <c r="M7467" i="2"/>
  <c r="M7464" i="2"/>
  <c r="M7461" i="2"/>
  <c r="P7461" i="2" s="1"/>
  <c r="M7458" i="2"/>
  <c r="M7455" i="2"/>
  <c r="M7452" i="2"/>
  <c r="M7449" i="2"/>
  <c r="M7446" i="2"/>
  <c r="M7443" i="2"/>
  <c r="M7440" i="2"/>
  <c r="M7437" i="2"/>
  <c r="M7434" i="2"/>
  <c r="M7431" i="2"/>
  <c r="M7428" i="2"/>
  <c r="M7425" i="2"/>
  <c r="M7422" i="2"/>
  <c r="M7419" i="2"/>
  <c r="M7416" i="2"/>
  <c r="M7413" i="2"/>
  <c r="M7410" i="2"/>
  <c r="M7407" i="2"/>
  <c r="M7404" i="2"/>
  <c r="M7401" i="2"/>
  <c r="M7398" i="2"/>
  <c r="M7395" i="2"/>
  <c r="M7392" i="2"/>
  <c r="M7389" i="2"/>
  <c r="M7386" i="2"/>
  <c r="M7383" i="2"/>
  <c r="M7380" i="2"/>
  <c r="M7377" i="2"/>
  <c r="M7374" i="2"/>
  <c r="M7371" i="2"/>
  <c r="M7368" i="2"/>
  <c r="M7365" i="2"/>
  <c r="M7362" i="2"/>
  <c r="M7359" i="2"/>
  <c r="M7356" i="2"/>
  <c r="M7353" i="2"/>
  <c r="M7350" i="2"/>
  <c r="M7347" i="2"/>
  <c r="M7344" i="2"/>
  <c r="M7341" i="2"/>
  <c r="M7338" i="2"/>
  <c r="M7317" i="2"/>
  <c r="M7311" i="2"/>
  <c r="M7303" i="2"/>
  <c r="L7300" i="2"/>
  <c r="M7277" i="2"/>
  <c r="M7241" i="2"/>
  <c r="Q7228" i="2"/>
  <c r="Q7225" i="2"/>
  <c r="M7209" i="2"/>
  <c r="M7192" i="2"/>
  <c r="L7178" i="2"/>
  <c r="M7178" i="2"/>
  <c r="Q7178" i="2"/>
  <c r="Q7174" i="2"/>
  <c r="M7161" i="2"/>
  <c r="M7159" i="2"/>
  <c r="L7146" i="2"/>
  <c r="M7146" i="2"/>
  <c r="L7060" i="2"/>
  <c r="Q7060" i="2"/>
  <c r="L6956" i="2"/>
  <c r="Q6956" i="2"/>
  <c r="Q6707" i="2"/>
  <c r="L6707" i="2"/>
  <c r="L7282" i="2"/>
  <c r="M7336" i="2"/>
  <c r="M7328" i="2"/>
  <c r="Q7304" i="2"/>
  <c r="M7298" i="2"/>
  <c r="Q7290" i="2"/>
  <c r="Q7284" i="2"/>
  <c r="M7266" i="2"/>
  <c r="Q7252" i="2"/>
  <c r="M7244" i="2"/>
  <c r="M7239" i="2"/>
  <c r="M7228" i="2"/>
  <c r="P7228" i="2" s="1"/>
  <c r="L7218" i="2"/>
  <c r="M7218" i="2"/>
  <c r="M7183" i="2"/>
  <c r="M7181" i="2"/>
  <c r="M7155" i="2"/>
  <c r="Q7120" i="2"/>
  <c r="M7099" i="2"/>
  <c r="L7076" i="2"/>
  <c r="Q7076" i="2"/>
  <c r="L7072" i="2"/>
  <c r="Q7072" i="2"/>
  <c r="L7068" i="2"/>
  <c r="Q7068" i="2"/>
  <c r="L7064" i="2"/>
  <c r="Q7064" i="2"/>
  <c r="L6964" i="2"/>
  <c r="Q6964" i="2"/>
  <c r="L6960" i="2"/>
  <c r="Q6960" i="2"/>
  <c r="L6777" i="2"/>
  <c r="M6777" i="2"/>
  <c r="L7302" i="2"/>
  <c r="L7224" i="2"/>
  <c r="M7224" i="2"/>
  <c r="M7325" i="2"/>
  <c r="L7320" i="2"/>
  <c r="L7314" i="2"/>
  <c r="L7286" i="2"/>
  <c r="L7280" i="2"/>
  <c r="L7256" i="2"/>
  <c r="Q7242" i="2"/>
  <c r="L7216" i="2"/>
  <c r="M7216" i="2"/>
  <c r="Q7200" i="2"/>
  <c r="Q7151" i="2"/>
  <c r="L7126" i="2"/>
  <c r="M7126" i="2"/>
  <c r="Q7126" i="2"/>
  <c r="Q7093" i="2"/>
  <c r="L6968" i="2"/>
  <c r="Q6968" i="2"/>
  <c r="M6753" i="2"/>
  <c r="M7312" i="2"/>
  <c r="M7304" i="2"/>
  <c r="M7290" i="2"/>
  <c r="M7284" i="2"/>
  <c r="L7254" i="2"/>
  <c r="M7254" i="2"/>
  <c r="Q7226" i="2"/>
  <c r="L7174" i="2"/>
  <c r="M7174" i="2"/>
  <c r="L7120" i="2"/>
  <c r="M7120" i="2"/>
  <c r="L7116" i="2"/>
  <c r="M7116" i="2"/>
  <c r="Q7116" i="2"/>
  <c r="L6972" i="2"/>
  <c r="Q6972" i="2"/>
  <c r="M6886" i="2"/>
  <c r="Q6886" i="2"/>
  <c r="L7270" i="2"/>
  <c r="M7270" i="2"/>
  <c r="L7166" i="2"/>
  <c r="M7166" i="2"/>
  <c r="L6737" i="2"/>
  <c r="L7288" i="2"/>
  <c r="L7262" i="2"/>
  <c r="L7316" i="2"/>
  <c r="P7316" i="2" s="1"/>
  <c r="M7621" i="2"/>
  <c r="M7618" i="2"/>
  <c r="M7615" i="2"/>
  <c r="M7612" i="2"/>
  <c r="M7609" i="2"/>
  <c r="M7606" i="2"/>
  <c r="M7603" i="2"/>
  <c r="M7600" i="2"/>
  <c r="M7597" i="2"/>
  <c r="M7594" i="2"/>
  <c r="M7591" i="2"/>
  <c r="M7588" i="2"/>
  <c r="M7585" i="2"/>
  <c r="M7582" i="2"/>
  <c r="M7579" i="2"/>
  <c r="M7576" i="2"/>
  <c r="M7573" i="2"/>
  <c r="M7570" i="2"/>
  <c r="M7567" i="2"/>
  <c r="M7564" i="2"/>
  <c r="M7561" i="2"/>
  <c r="M7558" i="2"/>
  <c r="M7555" i="2"/>
  <c r="M7552" i="2"/>
  <c r="M7549" i="2"/>
  <c r="M7546" i="2"/>
  <c r="M7543" i="2"/>
  <c r="M7540" i="2"/>
  <c r="M7537" i="2"/>
  <c r="M7534" i="2"/>
  <c r="M7531" i="2"/>
  <c r="M7528" i="2"/>
  <c r="M7525" i="2"/>
  <c r="M7522" i="2"/>
  <c r="M7519" i="2"/>
  <c r="M7516" i="2"/>
  <c r="M7513" i="2"/>
  <c r="M7510" i="2"/>
  <c r="M7507" i="2"/>
  <c r="M7504" i="2"/>
  <c r="M7501" i="2"/>
  <c r="M7498" i="2"/>
  <c r="M7495" i="2"/>
  <c r="M7492" i="2"/>
  <c r="M7489" i="2"/>
  <c r="M7486" i="2"/>
  <c r="M7483" i="2"/>
  <c r="M7480" i="2"/>
  <c r="M7477" i="2"/>
  <c r="M7474" i="2"/>
  <c r="M7471" i="2"/>
  <c r="M7468" i="2"/>
  <c r="M7465" i="2"/>
  <c r="M7462" i="2"/>
  <c r="P7462" i="2" s="1"/>
  <c r="M7459" i="2"/>
  <c r="M7456" i="2"/>
  <c r="M7453" i="2"/>
  <c r="M7450" i="2"/>
  <c r="M7447" i="2"/>
  <c r="M7444" i="2"/>
  <c r="M7441" i="2"/>
  <c r="M7438" i="2"/>
  <c r="M7435" i="2"/>
  <c r="M7432" i="2"/>
  <c r="M7429" i="2"/>
  <c r="M7426" i="2"/>
  <c r="M7423" i="2"/>
  <c r="M7420" i="2"/>
  <c r="M7417" i="2"/>
  <c r="M7414" i="2"/>
  <c r="M7411" i="2"/>
  <c r="M7408" i="2"/>
  <c r="M7405" i="2"/>
  <c r="M7402" i="2"/>
  <c r="M7399" i="2"/>
  <c r="M7396" i="2"/>
  <c r="M7393" i="2"/>
  <c r="M7390" i="2"/>
  <c r="M7387" i="2"/>
  <c r="M7384" i="2"/>
  <c r="M7381" i="2"/>
  <c r="M7378" i="2"/>
  <c r="M7375" i="2"/>
  <c r="M7372" i="2"/>
  <c r="M7369" i="2"/>
  <c r="M7366" i="2"/>
  <c r="M7363" i="2"/>
  <c r="M7360" i="2"/>
  <c r="M7357" i="2"/>
  <c r="M7354" i="2"/>
  <c r="M7351" i="2"/>
  <c r="P7351" i="2" s="1"/>
  <c r="M7348" i="2"/>
  <c r="M7345" i="2"/>
  <c r="M7342" i="2"/>
  <c r="M7339" i="2"/>
  <c r="Q7323" i="2"/>
  <c r="M7301" i="2"/>
  <c r="L7296" i="2"/>
  <c r="M7281" i="2"/>
  <c r="M7275" i="2"/>
  <c r="Q7259" i="2"/>
  <c r="L7252" i="2"/>
  <c r="M7252" i="2"/>
  <c r="Q7247" i="2"/>
  <c r="M7242" i="2"/>
  <c r="Q7237" i="2"/>
  <c r="L7214" i="2"/>
  <c r="M7214" i="2"/>
  <c r="M7207" i="2"/>
  <c r="M7133" i="2"/>
  <c r="L6976" i="2"/>
  <c r="Q6976" i="2"/>
  <c r="M6873" i="2"/>
  <c r="Q6873" i="2"/>
  <c r="M7243" i="2"/>
  <c r="L7294" i="2"/>
  <c r="Q7302" i="2"/>
  <c r="Q7288" i="2"/>
  <c r="Q7282" i="2"/>
  <c r="Q7270" i="2"/>
  <c r="L7264" i="2"/>
  <c r="M7264" i="2"/>
  <c r="Q7240" i="2"/>
  <c r="Q7232" i="2"/>
  <c r="M7205" i="2"/>
  <c r="L7200" i="2"/>
  <c r="M7200" i="2"/>
  <c r="Q7198" i="2"/>
  <c r="Q7166" i="2"/>
  <c r="L6980" i="2"/>
  <c r="Q6980" i="2"/>
  <c r="L6888" i="2"/>
  <c r="M6888" i="2"/>
  <c r="L7110" i="2"/>
  <c r="M7110" i="2"/>
  <c r="M7335" i="2"/>
  <c r="Q7295" i="2"/>
  <c r="L7619" i="2"/>
  <c r="L7616" i="2"/>
  <c r="L7613" i="2"/>
  <c r="L7610" i="2"/>
  <c r="L7607" i="2"/>
  <c r="L7604" i="2"/>
  <c r="L7601" i="2"/>
  <c r="L7598" i="2"/>
  <c r="L7595" i="2"/>
  <c r="L7592" i="2"/>
  <c r="L7589" i="2"/>
  <c r="L7586" i="2"/>
  <c r="L7583" i="2"/>
  <c r="L7580" i="2"/>
  <c r="L7577" i="2"/>
  <c r="L7574" i="2"/>
  <c r="L7571" i="2"/>
  <c r="P7571" i="2" s="1"/>
  <c r="L7568" i="2"/>
  <c r="L7565" i="2"/>
  <c r="L7562" i="2"/>
  <c r="L7559" i="2"/>
  <c r="L7556" i="2"/>
  <c r="L7553" i="2"/>
  <c r="L7550" i="2"/>
  <c r="L7547" i="2"/>
  <c r="L7544" i="2"/>
  <c r="L7541" i="2"/>
  <c r="L7538" i="2"/>
  <c r="L7535" i="2"/>
  <c r="L7532" i="2"/>
  <c r="L7529" i="2"/>
  <c r="L7526" i="2"/>
  <c r="L7523" i="2"/>
  <c r="L7520" i="2"/>
  <c r="L7517" i="2"/>
  <c r="L7514" i="2"/>
  <c r="L7511" i="2"/>
  <c r="L7508" i="2"/>
  <c r="L7505" i="2"/>
  <c r="P7505" i="2" s="1"/>
  <c r="L7502" i="2"/>
  <c r="L7499" i="2"/>
  <c r="L7496" i="2"/>
  <c r="L7493" i="2"/>
  <c r="L7490" i="2"/>
  <c r="L7487" i="2"/>
  <c r="L7484" i="2"/>
  <c r="L7481" i="2"/>
  <c r="L7478" i="2"/>
  <c r="L7475" i="2"/>
  <c r="L7472" i="2"/>
  <c r="L7469" i="2"/>
  <c r="P7469" i="2" s="1"/>
  <c r="L7466" i="2"/>
  <c r="L7463" i="2"/>
  <c r="L7460" i="2"/>
  <c r="L7457" i="2"/>
  <c r="L7454" i="2"/>
  <c r="L7451" i="2"/>
  <c r="L7448" i="2"/>
  <c r="L7445" i="2"/>
  <c r="L7442" i="2"/>
  <c r="L7439" i="2"/>
  <c r="L7436" i="2"/>
  <c r="L7433" i="2"/>
  <c r="L7430" i="2"/>
  <c r="L7427" i="2"/>
  <c r="L7424" i="2"/>
  <c r="L7421" i="2"/>
  <c r="L7418" i="2"/>
  <c r="L7415" i="2"/>
  <c r="L7412" i="2"/>
  <c r="L7409" i="2"/>
  <c r="L7406" i="2"/>
  <c r="L7403" i="2"/>
  <c r="L7400" i="2"/>
  <c r="L7397" i="2"/>
  <c r="L7394" i="2"/>
  <c r="L7391" i="2"/>
  <c r="L7388" i="2"/>
  <c r="L7385" i="2"/>
  <c r="L7382" i="2"/>
  <c r="L7379" i="2"/>
  <c r="L7376" i="2"/>
  <c r="L7373" i="2"/>
  <c r="L7370" i="2"/>
  <c r="L7367" i="2"/>
  <c r="L7364" i="2"/>
  <c r="L7361" i="2"/>
  <c r="L7358" i="2"/>
  <c r="L7355" i="2"/>
  <c r="L7352" i="2"/>
  <c r="L7349" i="2"/>
  <c r="L7346" i="2"/>
  <c r="L7343" i="2"/>
  <c r="L7340" i="2"/>
  <c r="L7334" i="2"/>
  <c r="Q7321" i="2"/>
  <c r="L7318" i="2"/>
  <c r="Q7316" i="2"/>
  <c r="M7310" i="2"/>
  <c r="Q7299" i="2"/>
  <c r="L7278" i="2"/>
  <c r="Q7276" i="2"/>
  <c r="Q7248" i="2"/>
  <c r="M7240" i="2"/>
  <c r="L7234" i="2"/>
  <c r="M7234" i="2"/>
  <c r="M7226" i="2"/>
  <c r="Q7224" i="2"/>
  <c r="Q7208" i="2"/>
  <c r="M7203" i="2"/>
  <c r="Q7182" i="2"/>
  <c r="Q7180" i="2"/>
  <c r="Q7154" i="2"/>
  <c r="Q7108" i="2"/>
  <c r="Q7090" i="2"/>
  <c r="L7036" i="2"/>
  <c r="Q7036" i="2"/>
  <c r="L7032" i="2"/>
  <c r="Q7032" i="2"/>
  <c r="L7028" i="2"/>
  <c r="Q7028" i="2"/>
  <c r="L7024" i="2"/>
  <c r="Q7024" i="2"/>
  <c r="L7020" i="2"/>
  <c r="Q7020" i="2"/>
  <c r="L7016" i="2"/>
  <c r="Q7016" i="2"/>
  <c r="L7012" i="2"/>
  <c r="Q7012" i="2"/>
  <c r="L7008" i="2"/>
  <c r="Q7008" i="2"/>
  <c r="L7004" i="2"/>
  <c r="Q7004" i="2"/>
  <c r="L7000" i="2"/>
  <c r="Q7000" i="2"/>
  <c r="L6996" i="2"/>
  <c r="Q6996" i="2"/>
  <c r="L6992" i="2"/>
  <c r="Q6992" i="2"/>
  <c r="L6988" i="2"/>
  <c r="Q6988" i="2"/>
  <c r="L6984" i="2"/>
  <c r="Q6984" i="2"/>
  <c r="Q6767" i="2"/>
  <c r="L6767" i="2"/>
  <c r="M6654" i="2"/>
  <c r="L6654" i="2"/>
  <c r="Q6652" i="2"/>
  <c r="M6652" i="2"/>
  <c r="L7182" i="2"/>
  <c r="M7182" i="2"/>
  <c r="M7337" i="2"/>
  <c r="L7332" i="2"/>
  <c r="L7326" i="2"/>
  <c r="M7305" i="2"/>
  <c r="M7302" i="2"/>
  <c r="M7299" i="2"/>
  <c r="M7294" i="2"/>
  <c r="M7291" i="2"/>
  <c r="M7288" i="2"/>
  <c r="Q7285" i="2"/>
  <c r="M7262" i="2"/>
  <c r="L7250" i="2"/>
  <c r="M7232" i="2"/>
  <c r="L7210" i="2"/>
  <c r="Q7210" i="2"/>
  <c r="L7168" i="2"/>
  <c r="M7168" i="2"/>
  <c r="L7160" i="2"/>
  <c r="M7160" i="2"/>
  <c r="M7154" i="2"/>
  <c r="Q7110" i="2"/>
  <c r="M7104" i="2"/>
  <c r="L7040" i="2"/>
  <c r="Q7040" i="2"/>
  <c r="M6851" i="2"/>
  <c r="L6851" i="2"/>
  <c r="L6586" i="2"/>
  <c r="L7164" i="2"/>
  <c r="L7142" i="2"/>
  <c r="L7114" i="2"/>
  <c r="Q7112" i="2"/>
  <c r="L7108" i="2"/>
  <c r="Q6927" i="2"/>
  <c r="L6923" i="2"/>
  <c r="Q6911" i="2"/>
  <c r="L6911" i="2"/>
  <c r="L6886" i="2"/>
  <c r="L6876" i="2"/>
  <c r="L6871" i="2"/>
  <c r="Q6851" i="2"/>
  <c r="Q6849" i="2"/>
  <c r="Q6828" i="2"/>
  <c r="Q6823" i="2"/>
  <c r="Q6803" i="2"/>
  <c r="L6803" i="2"/>
  <c r="M6719" i="2"/>
  <c r="Q6631" i="2"/>
  <c r="Q6573" i="2"/>
  <c r="L6540" i="2"/>
  <c r="M6540" i="2"/>
  <c r="L6523" i="2"/>
  <c r="Q6523" i="2"/>
  <c r="L7276" i="2"/>
  <c r="M7267" i="2"/>
  <c r="Q7261" i="2"/>
  <c r="L7248" i="2"/>
  <c r="L7242" i="2"/>
  <c r="M7221" i="2"/>
  <c r="M7215" i="2"/>
  <c r="L7208" i="2"/>
  <c r="L7186" i="2"/>
  <c r="L7180" i="2"/>
  <c r="Q7165" i="2"/>
  <c r="L7158" i="2"/>
  <c r="Q7156" i="2"/>
  <c r="L7136" i="2"/>
  <c r="Q7134" i="2"/>
  <c r="Q7128" i="2"/>
  <c r="M7124" i="2"/>
  <c r="L7102" i="2"/>
  <c r="Q7100" i="2"/>
  <c r="L7096" i="2"/>
  <c r="Q7074" i="2"/>
  <c r="Q7070" i="2"/>
  <c r="Q7066" i="2"/>
  <c r="Q7062" i="2"/>
  <c r="Q7058" i="2"/>
  <c r="Q7054" i="2"/>
  <c r="Q7050" i="2"/>
  <c r="Q7046" i="2"/>
  <c r="Q7042" i="2"/>
  <c r="Q7038" i="2"/>
  <c r="Q7034" i="2"/>
  <c r="Q7030" i="2"/>
  <c r="Q7026" i="2"/>
  <c r="Q7022" i="2"/>
  <c r="Q7018" i="2"/>
  <c r="Q7014" i="2"/>
  <c r="Q7010" i="2"/>
  <c r="Q7006" i="2"/>
  <c r="Q7002" i="2"/>
  <c r="Q6998" i="2"/>
  <c r="Q6994" i="2"/>
  <c r="Q6990" i="2"/>
  <c r="Q6986" i="2"/>
  <c r="Q6982" i="2"/>
  <c r="Q6978" i="2"/>
  <c r="Q6974" i="2"/>
  <c r="Q6970" i="2"/>
  <c r="Q6966" i="2"/>
  <c r="Q6962" i="2"/>
  <c r="M6935" i="2"/>
  <c r="M6856" i="2"/>
  <c r="M6838" i="2"/>
  <c r="M6825" i="2"/>
  <c r="M6823" i="2"/>
  <c r="L6739" i="2"/>
  <c r="M6739" i="2"/>
  <c r="L6629" i="2"/>
  <c r="M6523" i="2"/>
  <c r="L6379" i="2"/>
  <c r="M6379" i="2"/>
  <c r="M7255" i="2"/>
  <c r="Q7249" i="2"/>
  <c r="Q7187" i="2"/>
  <c r="L7152" i="2"/>
  <c r="P7152" i="2" s="1"/>
  <c r="L7130" i="2"/>
  <c r="M7109" i="2"/>
  <c r="M7094" i="2"/>
  <c r="M7091" i="2"/>
  <c r="M7080" i="2"/>
  <c r="L7073" i="2"/>
  <c r="L7069" i="2"/>
  <c r="L7065" i="2"/>
  <c r="L7061" i="2"/>
  <c r="L7057" i="2"/>
  <c r="L7053" i="2"/>
  <c r="L7049" i="2"/>
  <c r="L7045" i="2"/>
  <c r="L7041" i="2"/>
  <c r="L7037" i="2"/>
  <c r="L7033" i="2"/>
  <c r="L7029" i="2"/>
  <c r="L7025" i="2"/>
  <c r="L7021" i="2"/>
  <c r="L7017" i="2"/>
  <c r="L7013" i="2"/>
  <c r="L7009" i="2"/>
  <c r="L7005" i="2"/>
  <c r="L7001" i="2"/>
  <c r="L6997" i="2"/>
  <c r="L6993" i="2"/>
  <c r="L6989" i="2"/>
  <c r="L6985" i="2"/>
  <c r="L6981" i="2"/>
  <c r="L6977" i="2"/>
  <c r="L6973" i="2"/>
  <c r="L6969" i="2"/>
  <c r="P6969" i="2" s="1"/>
  <c r="L6965" i="2"/>
  <c r="L6961" i="2"/>
  <c r="L6957" i="2"/>
  <c r="L6953" i="2"/>
  <c r="Q6912" i="2"/>
  <c r="M6884" i="2"/>
  <c r="L6884" i="2"/>
  <c r="L6849" i="2"/>
  <c r="M6849" i="2"/>
  <c r="M6847" i="2"/>
  <c r="L6838" i="2"/>
  <c r="Q6792" i="2"/>
  <c r="Q6756" i="2"/>
  <c r="M6741" i="2"/>
  <c r="Q6730" i="2"/>
  <c r="L6631" i="2"/>
  <c r="M6631" i="2"/>
  <c r="Q6462" i="2"/>
  <c r="M6462" i="2"/>
  <c r="L6360" i="2"/>
  <c r="Q6941" i="2"/>
  <c r="M6921" i="2"/>
  <c r="Q6826" i="2"/>
  <c r="Q6743" i="2"/>
  <c r="L6743" i="2"/>
  <c r="M6730" i="2"/>
  <c r="Q6655" i="2"/>
  <c r="Q6583" i="2"/>
  <c r="M6544" i="2"/>
  <c r="Q6491" i="2"/>
  <c r="Q6441" i="2"/>
  <c r="L7212" i="2"/>
  <c r="L7190" i="2"/>
  <c r="L7140" i="2"/>
  <c r="M7128" i="2"/>
  <c r="L7118" i="2"/>
  <c r="L7112" i="2"/>
  <c r="M7086" i="2"/>
  <c r="M7074" i="2"/>
  <c r="M7070" i="2"/>
  <c r="M7066" i="2"/>
  <c r="M7062" i="2"/>
  <c r="M7058" i="2"/>
  <c r="M7054" i="2"/>
  <c r="M7050" i="2"/>
  <c r="M7046" i="2"/>
  <c r="M7042" i="2"/>
  <c r="M7038" i="2"/>
  <c r="M7034" i="2"/>
  <c r="M7030" i="2"/>
  <c r="M7026" i="2"/>
  <c r="M7022" i="2"/>
  <c r="P7022" i="2" s="1"/>
  <c r="M7018" i="2"/>
  <c r="M7014" i="2"/>
  <c r="M7010" i="2"/>
  <c r="M7006" i="2"/>
  <c r="M7002" i="2"/>
  <c r="M6998" i="2"/>
  <c r="M6994" i="2"/>
  <c r="M6990" i="2"/>
  <c r="M6986" i="2"/>
  <c r="M6982" i="2"/>
  <c r="M6978" i="2"/>
  <c r="M6974" i="2"/>
  <c r="M6936" i="2"/>
  <c r="Q6903" i="2"/>
  <c r="L6903" i="2"/>
  <c r="M6874" i="2"/>
  <c r="Q6850" i="2"/>
  <c r="M6836" i="2"/>
  <c r="L6836" i="2"/>
  <c r="M6802" i="2"/>
  <c r="L6792" i="2"/>
  <c r="M6792" i="2"/>
  <c r="Q6780" i="2"/>
  <c r="M6768" i="2"/>
  <c r="L6704" i="2"/>
  <c r="M6695" i="2"/>
  <c r="L6695" i="2"/>
  <c r="Q6635" i="2"/>
  <c r="L6635" i="2"/>
  <c r="Q6609" i="2"/>
  <c r="Q6579" i="2"/>
  <c r="L6365" i="2"/>
  <c r="M7219" i="2"/>
  <c r="Q7213" i="2"/>
  <c r="L7206" i="2"/>
  <c r="M7197" i="2"/>
  <c r="M7191" i="2"/>
  <c r="L7184" i="2"/>
  <c r="M7169" i="2"/>
  <c r="L7162" i="2"/>
  <c r="M7147" i="2"/>
  <c r="M7144" i="2"/>
  <c r="Q7141" i="2"/>
  <c r="M7125" i="2"/>
  <c r="M7122" i="2"/>
  <c r="M7119" i="2"/>
  <c r="M7089" i="2"/>
  <c r="L6958" i="2"/>
  <c r="L6954" i="2"/>
  <c r="L6950" i="2"/>
  <c r="L6946" i="2"/>
  <c r="Q6944" i="2"/>
  <c r="L6936" i="2"/>
  <c r="L6921" i="2"/>
  <c r="L6899" i="2"/>
  <c r="Q6887" i="2"/>
  <c r="Q6861" i="2"/>
  <c r="Q6813" i="2"/>
  <c r="M6754" i="2"/>
  <c r="M6724" i="2"/>
  <c r="M6611" i="2"/>
  <c r="L6611" i="2"/>
  <c r="Q6603" i="2"/>
  <c r="L6603" i="2"/>
  <c r="M6603" i="2"/>
  <c r="L6597" i="2"/>
  <c r="Q6597" i="2"/>
  <c r="L6491" i="2"/>
  <c r="M6491" i="2"/>
  <c r="L6441" i="2"/>
  <c r="M6441" i="2"/>
  <c r="M7113" i="2"/>
  <c r="L6933" i="2"/>
  <c r="M6899" i="2"/>
  <c r="M6892" i="2"/>
  <c r="M6885" i="2"/>
  <c r="Q6863" i="2"/>
  <c r="M6861" i="2"/>
  <c r="Q6859" i="2"/>
  <c r="M6826" i="2"/>
  <c r="M6813" i="2"/>
  <c r="M6800" i="2"/>
  <c r="L6800" i="2"/>
  <c r="M6748" i="2"/>
  <c r="L6718" i="2"/>
  <c r="Q6712" i="2"/>
  <c r="M6712" i="2"/>
  <c r="M6680" i="2"/>
  <c r="L6680" i="2"/>
  <c r="L6678" i="2"/>
  <c r="L6657" i="2"/>
  <c r="M6657" i="2"/>
  <c r="M6655" i="2"/>
  <c r="Q6646" i="2"/>
  <c r="Q6543" i="2"/>
  <c r="L6533" i="2"/>
  <c r="L6515" i="2"/>
  <c r="M6515" i="2"/>
  <c r="L6502" i="2"/>
  <c r="Q6453" i="2"/>
  <c r="Q6408" i="2"/>
  <c r="L7194" i="2"/>
  <c r="M7185" i="2"/>
  <c r="M7179" i="2"/>
  <c r="L7172" i="2"/>
  <c r="M7157" i="2"/>
  <c r="L7150" i="2"/>
  <c r="M7135" i="2"/>
  <c r="Q7129" i="2"/>
  <c r="M7101" i="2"/>
  <c r="M7098" i="2"/>
  <c r="L6924" i="2"/>
  <c r="M6922" i="2"/>
  <c r="M6908" i="2"/>
  <c r="L6908" i="2"/>
  <c r="Q6888" i="2"/>
  <c r="M6872" i="2"/>
  <c r="L6872" i="2"/>
  <c r="Q6839" i="2"/>
  <c r="L6740" i="2"/>
  <c r="L6684" i="2"/>
  <c r="M6684" i="2"/>
  <c r="M6646" i="2"/>
  <c r="L6572" i="2"/>
  <c r="Q6417" i="2"/>
  <c r="L6355" i="2"/>
  <c r="M6355" i="2"/>
  <c r="M7087" i="2"/>
  <c r="M7084" i="2"/>
  <c r="L7075" i="2"/>
  <c r="L7071" i="2"/>
  <c r="L7067" i="2"/>
  <c r="L7063" i="2"/>
  <c r="L7059" i="2"/>
  <c r="L7055" i="2"/>
  <c r="L7051" i="2"/>
  <c r="L7047" i="2"/>
  <c r="L7043" i="2"/>
  <c r="L7039" i="2"/>
  <c r="L7035" i="2"/>
  <c r="L7031" i="2"/>
  <c r="L7027" i="2"/>
  <c r="L7023" i="2"/>
  <c r="L7019" i="2"/>
  <c r="L7015" i="2"/>
  <c r="L7011" i="2"/>
  <c r="L7007" i="2"/>
  <c r="L7003" i="2"/>
  <c r="L6999" i="2"/>
  <c r="L6995" i="2"/>
  <c r="L6991" i="2"/>
  <c r="L6987" i="2"/>
  <c r="L6983" i="2"/>
  <c r="L6979" i="2"/>
  <c r="L6975" i="2"/>
  <c r="L6971" i="2"/>
  <c r="L6967" i="2"/>
  <c r="L6963" i="2"/>
  <c r="L6959" i="2"/>
  <c r="L6955" i="2"/>
  <c r="L6951" i="2"/>
  <c r="L6947" i="2"/>
  <c r="L6859" i="2"/>
  <c r="M6859" i="2"/>
  <c r="M6837" i="2"/>
  <c r="Q6777" i="2"/>
  <c r="L6744" i="2"/>
  <c r="M6744" i="2"/>
  <c r="L6701" i="2"/>
  <c r="M6640" i="2"/>
  <c r="L6543" i="2"/>
  <c r="M6543" i="2"/>
  <c r="L6480" i="2"/>
  <c r="Q6480" i="2"/>
  <c r="Q6465" i="2"/>
  <c r="L6453" i="2"/>
  <c r="M6453" i="2"/>
  <c r="L6384" i="2"/>
  <c r="L7138" i="2"/>
  <c r="L7132" i="2"/>
  <c r="Q7117" i="2"/>
  <c r="L7104" i="2"/>
  <c r="M6944" i="2"/>
  <c r="Q6939" i="2"/>
  <c r="Q6909" i="2"/>
  <c r="L6897" i="2"/>
  <c r="M6897" i="2"/>
  <c r="M6868" i="2"/>
  <c r="Q6862" i="2"/>
  <c r="Q6855" i="2"/>
  <c r="L6855" i="2"/>
  <c r="Q6840" i="2"/>
  <c r="M6824" i="2"/>
  <c r="L6824" i="2"/>
  <c r="M6820" i="2"/>
  <c r="Q6715" i="2"/>
  <c r="L6703" i="2"/>
  <c r="M6703" i="2"/>
  <c r="L6632" i="2"/>
  <c r="M6623" i="2"/>
  <c r="L6623" i="2"/>
  <c r="Q6604" i="2"/>
  <c r="M6604" i="2"/>
  <c r="L6600" i="2"/>
  <c r="M6600" i="2"/>
  <c r="L6561" i="2"/>
  <c r="M6561" i="2"/>
  <c r="Q6561" i="2"/>
  <c r="M6551" i="2"/>
  <c r="M6465" i="2"/>
  <c r="L7272" i="2"/>
  <c r="M7257" i="2"/>
  <c r="M7251" i="2"/>
  <c r="L7238" i="2"/>
  <c r="L7232" i="2"/>
  <c r="Q7211" i="2"/>
  <c r="L7176" i="2"/>
  <c r="M7164" i="2"/>
  <c r="L7154" i="2"/>
  <c r="M7142" i="2"/>
  <c r="Q7139" i="2"/>
  <c r="M7114" i="2"/>
  <c r="M7111" i="2"/>
  <c r="M7108" i="2"/>
  <c r="Q7105" i="2"/>
  <c r="M7093" i="2"/>
  <c r="M7090" i="2"/>
  <c r="M7082" i="2"/>
  <c r="M7079" i="2"/>
  <c r="M7076" i="2"/>
  <c r="M7072" i="2"/>
  <c r="M7068" i="2"/>
  <c r="M7064" i="2"/>
  <c r="M7060" i="2"/>
  <c r="M7056" i="2"/>
  <c r="M7052" i="2"/>
  <c r="M7048" i="2"/>
  <c r="M7044" i="2"/>
  <c r="M7040" i="2"/>
  <c r="M7036" i="2"/>
  <c r="M7032" i="2"/>
  <c r="M7028" i="2"/>
  <c r="M7024" i="2"/>
  <c r="M7020" i="2"/>
  <c r="M7016" i="2"/>
  <c r="M7012" i="2"/>
  <c r="M7008" i="2"/>
  <c r="M7004" i="2"/>
  <c r="M7000" i="2"/>
  <c r="M6996" i="2"/>
  <c r="M6992" i="2"/>
  <c r="M6988" i="2"/>
  <c r="M6984" i="2"/>
  <c r="M6980" i="2"/>
  <c r="M6976" i="2"/>
  <c r="M6972" i="2"/>
  <c r="M6968" i="2"/>
  <c r="M6964" i="2"/>
  <c r="M6960" i="2"/>
  <c r="M6956" i="2"/>
  <c r="M6952" i="2"/>
  <c r="M6948" i="2"/>
  <c r="L6934" i="2"/>
  <c r="Q6932" i="2"/>
  <c r="Q6876" i="2"/>
  <c r="Q6871" i="2"/>
  <c r="L6864" i="2"/>
  <c r="M6864" i="2"/>
  <c r="M6840" i="2"/>
  <c r="L6816" i="2"/>
  <c r="M6816" i="2"/>
  <c r="Q6799" i="2"/>
  <c r="M6779" i="2"/>
  <c r="L6779" i="2"/>
  <c r="Q6771" i="2"/>
  <c r="L6771" i="2"/>
  <c r="Q6753" i="2"/>
  <c r="M6715" i="2"/>
  <c r="Q6675" i="2"/>
  <c r="L6675" i="2"/>
  <c r="Q6586" i="2"/>
  <c r="Q6540" i="2"/>
  <c r="Q6534" i="2"/>
  <c r="M6512" i="2"/>
  <c r="L6512" i="2"/>
  <c r="L6922" i="2"/>
  <c r="Q6891" i="2"/>
  <c r="L6885" i="2"/>
  <c r="M6875" i="2"/>
  <c r="M6860" i="2"/>
  <c r="Q6843" i="2"/>
  <c r="L6837" i="2"/>
  <c r="M6827" i="2"/>
  <c r="M6812" i="2"/>
  <c r="L6798" i="2"/>
  <c r="M6790" i="2"/>
  <c r="Q6779" i="2"/>
  <c r="M6766" i="2"/>
  <c r="M6763" i="2"/>
  <c r="M6755" i="2"/>
  <c r="L6752" i="2"/>
  <c r="M6740" i="2"/>
  <c r="L6732" i="2"/>
  <c r="M6717" i="2"/>
  <c r="L6714" i="2"/>
  <c r="Q6699" i="2"/>
  <c r="L6682" i="2"/>
  <c r="Q6676" i="2"/>
  <c r="L6671" i="2"/>
  <c r="Q6659" i="2"/>
  <c r="L6653" i="2"/>
  <c r="M6648" i="2"/>
  <c r="L6636" i="2"/>
  <c r="Q6627" i="2"/>
  <c r="M6606" i="2"/>
  <c r="M6570" i="2"/>
  <c r="M6549" i="2"/>
  <c r="M6531" i="2"/>
  <c r="M6528" i="2"/>
  <c r="M6524" i="2"/>
  <c r="Q6521" i="2"/>
  <c r="M6503" i="2"/>
  <c r="L6500" i="2"/>
  <c r="Q6497" i="2"/>
  <c r="Q6481" i="2"/>
  <c r="M6466" i="2"/>
  <c r="L6431" i="2"/>
  <c r="L6420" i="2"/>
  <c r="Q6387" i="2"/>
  <c r="M6382" i="2"/>
  <c r="M6377" i="2"/>
  <c r="M6372" i="2"/>
  <c r="L6367" i="2"/>
  <c r="M6358" i="2"/>
  <c r="M6353" i="2"/>
  <c r="M6348" i="2"/>
  <c r="L6343" i="2"/>
  <c r="M6334" i="2"/>
  <c r="M6329" i="2"/>
  <c r="M6324" i="2"/>
  <c r="P6324" i="2" s="1"/>
  <c r="L6319" i="2"/>
  <c r="M6310" i="2"/>
  <c r="M6305" i="2"/>
  <c r="M6300" i="2"/>
  <c r="L6295" i="2"/>
  <c r="M6286" i="2"/>
  <c r="M6281" i="2"/>
  <c r="M6276" i="2"/>
  <c r="L6271" i="2"/>
  <c r="M6262" i="2"/>
  <c r="M6257" i="2"/>
  <c r="M6252" i="2"/>
  <c r="M6248" i="2"/>
  <c r="M6244" i="2"/>
  <c r="M6240" i="2"/>
  <c r="L6222" i="2"/>
  <c r="L6219" i="2"/>
  <c r="L6205" i="2"/>
  <c r="L6197" i="2"/>
  <c r="M6190" i="2"/>
  <c r="L6185" i="2"/>
  <c r="M6178" i="2"/>
  <c r="L6173" i="2"/>
  <c r="M6166" i="2"/>
  <c r="L6161" i="2"/>
  <c r="M6154" i="2"/>
  <c r="L6149" i="2"/>
  <c r="M6142" i="2"/>
  <c r="L6137" i="2"/>
  <c r="L6048" i="2"/>
  <c r="M6048" i="2"/>
  <c r="L5766" i="2"/>
  <c r="M5766" i="2"/>
  <c r="M6911" i="2"/>
  <c r="Q6875" i="2"/>
  <c r="Q6827" i="2"/>
  <c r="Q6755" i="2"/>
  <c r="L6749" i="2"/>
  <c r="L6735" i="2"/>
  <c r="M6729" i="2"/>
  <c r="L6726" i="2"/>
  <c r="Q6711" i="2"/>
  <c r="M6694" i="2"/>
  <c r="M6691" i="2"/>
  <c r="M6671" i="2"/>
  <c r="L6668" i="2"/>
  <c r="M6645" i="2"/>
  <c r="L6642" i="2"/>
  <c r="M6622" i="2"/>
  <c r="M6619" i="2"/>
  <c r="L6610" i="2"/>
  <c r="L6606" i="2"/>
  <c r="M6599" i="2"/>
  <c r="Q6592" i="2"/>
  <c r="M6585" i="2"/>
  <c r="L6574" i="2"/>
  <c r="L6570" i="2"/>
  <c r="M6563" i="2"/>
  <c r="Q6556" i="2"/>
  <c r="M6553" i="2"/>
  <c r="L6545" i="2"/>
  <c r="L6535" i="2"/>
  <c r="L6531" i="2"/>
  <c r="L6528" i="2"/>
  <c r="L6514" i="2"/>
  <c r="L6490" i="2"/>
  <c r="M6455" i="2"/>
  <c r="M6449" i="2"/>
  <c r="M6443" i="2"/>
  <c r="M6437" i="2"/>
  <c r="M6423" i="2"/>
  <c r="L6236" i="2"/>
  <c r="L6232" i="2"/>
  <c r="M6130" i="2"/>
  <c r="M6114" i="2"/>
  <c r="M6098" i="2"/>
  <c r="M6082" i="2"/>
  <c r="L6055" i="2"/>
  <c r="L6030" i="2"/>
  <c r="M6030" i="2"/>
  <c r="L5914" i="2"/>
  <c r="L5891" i="2"/>
  <c r="M5891" i="2"/>
  <c r="L5803" i="2"/>
  <c r="Q6723" i="2"/>
  <c r="M6700" i="2"/>
  <c r="Q6688" i="2"/>
  <c r="L6683" i="2"/>
  <c r="L6665" i="2"/>
  <c r="Q6639" i="2"/>
  <c r="M6628" i="2"/>
  <c r="Q6616" i="2"/>
  <c r="M6607" i="2"/>
  <c r="L6596" i="2"/>
  <c r="M6589" i="2"/>
  <c r="L6585" i="2"/>
  <c r="L6581" i="2"/>
  <c r="M6571" i="2"/>
  <c r="M6567" i="2"/>
  <c r="L6560" i="2"/>
  <c r="L6539" i="2"/>
  <c r="M6532" i="2"/>
  <c r="M6525" i="2"/>
  <c r="L6517" i="2"/>
  <c r="L6493" i="2"/>
  <c r="M6373" i="2"/>
  <c r="M6349" i="2"/>
  <c r="M6325" i="2"/>
  <c r="L6060" i="2"/>
  <c r="M6060" i="2"/>
  <c r="L6046" i="2"/>
  <c r="L6020" i="2"/>
  <c r="M6020" i="2"/>
  <c r="L5827" i="2"/>
  <c r="M5770" i="2"/>
  <c r="L6567" i="2"/>
  <c r="M6564" i="2"/>
  <c r="M6546" i="2"/>
  <c r="M6501" i="2"/>
  <c r="M6479" i="2"/>
  <c r="L6473" i="2"/>
  <c r="L6464" i="2"/>
  <c r="P6464" i="2" s="1"/>
  <c r="Q6456" i="2"/>
  <c r="Q6444" i="2"/>
  <c r="Q6432" i="2"/>
  <c r="M6383" i="2"/>
  <c r="M6378" i="2"/>
  <c r="M6364" i="2"/>
  <c r="P6364" i="2" s="1"/>
  <c r="M6359" i="2"/>
  <c r="M6354" i="2"/>
  <c r="M6340" i="2"/>
  <c r="P6340" i="2" s="1"/>
  <c r="M6335" i="2"/>
  <c r="M6330" i="2"/>
  <c r="M6316" i="2"/>
  <c r="M6311" i="2"/>
  <c r="M6306" i="2"/>
  <c r="M6292" i="2"/>
  <c r="M6287" i="2"/>
  <c r="M6282" i="2"/>
  <c r="M6268" i="2"/>
  <c r="M6263" i="2"/>
  <c r="M6258" i="2"/>
  <c r="M6249" i="2"/>
  <c r="M6245" i="2"/>
  <c r="M6241" i="2"/>
  <c r="M6237" i="2"/>
  <c r="M6233" i="2"/>
  <c r="M6226" i="2"/>
  <c r="M6214" i="2"/>
  <c r="L6211" i="2"/>
  <c r="L6203" i="2"/>
  <c r="P6203" i="2" s="1"/>
  <c r="L6176" i="2"/>
  <c r="L6152" i="2"/>
  <c r="L6140" i="2"/>
  <c r="L6067" i="2"/>
  <c r="L6037" i="2"/>
  <c r="M6000" i="2"/>
  <c r="Q6000" i="2"/>
  <c r="M5990" i="2"/>
  <c r="L5990" i="2"/>
  <c r="M5970" i="2"/>
  <c r="Q5970" i="2"/>
  <c r="L5960" i="2"/>
  <c r="M5960" i="2"/>
  <c r="L5854" i="2"/>
  <c r="Q6923" i="2"/>
  <c r="M6898" i="2"/>
  <c r="Q6867" i="2"/>
  <c r="L6861" i="2"/>
  <c r="M6850" i="2"/>
  <c r="P6850" i="2" s="1"/>
  <c r="M6844" i="2"/>
  <c r="Q6819" i="2"/>
  <c r="L6813" i="2"/>
  <c r="L6802" i="2"/>
  <c r="M6791" i="2"/>
  <c r="L6780" i="2"/>
  <c r="M6767" i="2"/>
  <c r="L6741" i="2"/>
  <c r="M6738" i="2"/>
  <c r="M6718" i="2"/>
  <c r="L6706" i="2"/>
  <c r="Q6700" i="2"/>
  <c r="Q6683" i="2"/>
  <c r="L6677" i="2"/>
  <c r="L6660" i="2"/>
  <c r="Q6651" i="2"/>
  <c r="L6634" i="2"/>
  <c r="P6634" i="2" s="1"/>
  <c r="Q6628" i="2"/>
  <c r="L6575" i="2"/>
  <c r="M6568" i="2"/>
  <c r="L6550" i="2"/>
  <c r="L6536" i="2"/>
  <c r="L6522" i="2"/>
  <c r="Q6517" i="2"/>
  <c r="Q6498" i="2"/>
  <c r="Q6493" i="2"/>
  <c r="L6482" i="2"/>
  <c r="L6467" i="2"/>
  <c r="Q6461" i="2"/>
  <c r="M6452" i="2"/>
  <c r="Q6449" i="2"/>
  <c r="M6440" i="2"/>
  <c r="Q6437" i="2"/>
  <c r="M6186" i="2"/>
  <c r="M6174" i="2"/>
  <c r="M6162" i="2"/>
  <c r="M6150" i="2"/>
  <c r="M6138" i="2"/>
  <c r="M6131" i="2"/>
  <c r="M6126" i="2"/>
  <c r="M6115" i="2"/>
  <c r="M6110" i="2"/>
  <c r="M6094" i="2"/>
  <c r="M6078" i="2"/>
  <c r="L6058" i="2"/>
  <c r="L6051" i="2"/>
  <c r="L6006" i="2"/>
  <c r="M5986" i="2"/>
  <c r="L5835" i="2"/>
  <c r="M5835" i="2"/>
  <c r="Q5835" i="2"/>
  <c r="M6331" i="2"/>
  <c r="M6307" i="2"/>
  <c r="M6283" i="2"/>
  <c r="M6259" i="2"/>
  <c r="M6209" i="2"/>
  <c r="M6201" i="2"/>
  <c r="M6191" i="2"/>
  <c r="M6179" i="2"/>
  <c r="M6167" i="2"/>
  <c r="M6155" i="2"/>
  <c r="M6143" i="2"/>
  <c r="L6042" i="2"/>
  <c r="M6042" i="2"/>
  <c r="L5950" i="2"/>
  <c r="L5927" i="2"/>
  <c r="M5927" i="2"/>
  <c r="L5792" i="2"/>
  <c r="M5792" i="2"/>
  <c r="M6904" i="2"/>
  <c r="M6887" i="2"/>
  <c r="Q6879" i="2"/>
  <c r="L6873" i="2"/>
  <c r="M6862" i="2"/>
  <c r="M6839" i="2"/>
  <c r="Q6831" i="2"/>
  <c r="L6825" i="2"/>
  <c r="M6814" i="2"/>
  <c r="M6788" i="2"/>
  <c r="Q6783" i="2"/>
  <c r="M6764" i="2"/>
  <c r="L6753" i="2"/>
  <c r="M6750" i="2"/>
  <c r="M6742" i="2"/>
  <c r="L6730" i="2"/>
  <c r="Q6724" i="2"/>
  <c r="L6715" i="2"/>
  <c r="Q6695" i="2"/>
  <c r="L6689" i="2"/>
  <c r="L6672" i="2"/>
  <c r="Q6663" i="2"/>
  <c r="L6646" i="2"/>
  <c r="Q6640" i="2"/>
  <c r="Q6623" i="2"/>
  <c r="L6617" i="2"/>
  <c r="M6601" i="2"/>
  <c r="L6593" i="2"/>
  <c r="M6579" i="2"/>
  <c r="M6565" i="2"/>
  <c r="L6557" i="2"/>
  <c r="L6547" i="2"/>
  <c r="L6526" i="2"/>
  <c r="Q6509" i="2"/>
  <c r="Q6485" i="2"/>
  <c r="M6476" i="2"/>
  <c r="M6459" i="2"/>
  <c r="L6456" i="2"/>
  <c r="M6447" i="2"/>
  <c r="L6444" i="2"/>
  <c r="M6435" i="2"/>
  <c r="L6432" i="2"/>
  <c r="Q6429" i="2"/>
  <c r="Q6410" i="2"/>
  <c r="Q6401" i="2"/>
  <c r="Q6392" i="2"/>
  <c r="M6384" i="2"/>
  <c r="M6370" i="2"/>
  <c r="M6365" i="2"/>
  <c r="M6360" i="2"/>
  <c r="M6346" i="2"/>
  <c r="M6341" i="2"/>
  <c r="M6336" i="2"/>
  <c r="M6322" i="2"/>
  <c r="M6312" i="2"/>
  <c r="L6191" i="2"/>
  <c r="L6179" i="2"/>
  <c r="M6172" i="2"/>
  <c r="L6167" i="2"/>
  <c r="M6160" i="2"/>
  <c r="L6155" i="2"/>
  <c r="M6148" i="2"/>
  <c r="L6143" i="2"/>
  <c r="M6074" i="2"/>
  <c r="L6063" i="2"/>
  <c r="L6049" i="2"/>
  <c r="L6040" i="2"/>
  <c r="M6040" i="2"/>
  <c r="M6010" i="2"/>
  <c r="L6010" i="2"/>
  <c r="Q5937" i="2"/>
  <c r="Q5898" i="2"/>
  <c r="M6803" i="2"/>
  <c r="M6778" i="2"/>
  <c r="M6707" i="2"/>
  <c r="M6658" i="2"/>
  <c r="P6658" i="2" s="1"/>
  <c r="M6635" i="2"/>
  <c r="M6608" i="2"/>
  <c r="L6583" i="2"/>
  <c r="M6572" i="2"/>
  <c r="M6537" i="2"/>
  <c r="L6221" i="2"/>
  <c r="M6122" i="2"/>
  <c r="M6106" i="2"/>
  <c r="M6090" i="2"/>
  <c r="L6054" i="2"/>
  <c r="M6054" i="2"/>
  <c r="L6031" i="2"/>
  <c r="M6023" i="2"/>
  <c r="L5898" i="2"/>
  <c r="M5898" i="2"/>
  <c r="L5888" i="2"/>
  <c r="M5888" i="2"/>
  <c r="M5837" i="2"/>
  <c r="L5837" i="2"/>
  <c r="M6070" i="2"/>
  <c r="L6061" i="2"/>
  <c r="L5878" i="2"/>
  <c r="L6768" i="2"/>
  <c r="L6754" i="2"/>
  <c r="Q6748" i="2"/>
  <c r="L6728" i="2"/>
  <c r="Q6719" i="2"/>
  <c r="M6708" i="2"/>
  <c r="M6704" i="2"/>
  <c r="M6693" i="2"/>
  <c r="L6690" i="2"/>
  <c r="L6681" i="2"/>
  <c r="M6678" i="2"/>
  <c r="M6667" i="2"/>
  <c r="L6655" i="2"/>
  <c r="L6644" i="2"/>
  <c r="M6632" i="2"/>
  <c r="M6621" i="2"/>
  <c r="L6618" i="2"/>
  <c r="M6609" i="2"/>
  <c r="M6573" i="2"/>
  <c r="Q6570" i="2"/>
  <c r="Q6531" i="2"/>
  <c r="Q6528" i="2"/>
  <c r="L6518" i="2"/>
  <c r="M6502" i="2"/>
  <c r="L6494" i="2"/>
  <c r="Q6474" i="2"/>
  <c r="L6465" i="2"/>
  <c r="M6256" i="2"/>
  <c r="M6251" i="2"/>
  <c r="M6247" i="2"/>
  <c r="M6243" i="2"/>
  <c r="M6239" i="2"/>
  <c r="M6235" i="2"/>
  <c r="M6231" i="2"/>
  <c r="L6207" i="2"/>
  <c r="L6199" i="2"/>
  <c r="L6194" i="2"/>
  <c r="L6066" i="2"/>
  <c r="M6066" i="2"/>
  <c r="L6052" i="2"/>
  <c r="L6045" i="2"/>
  <c r="L6036" i="2"/>
  <c r="M6036" i="2"/>
  <c r="L5999" i="2"/>
  <c r="L5993" i="2"/>
  <c r="M5993" i="2"/>
  <c r="L5963" i="2"/>
  <c r="M5963" i="2"/>
  <c r="L6910" i="2"/>
  <c r="M6900" i="2"/>
  <c r="M6896" i="2"/>
  <c r="M6863" i="2"/>
  <c r="P6863" i="2" s="1"/>
  <c r="M6852" i="2"/>
  <c r="M6848" i="2"/>
  <c r="M6845" i="2"/>
  <c r="M6832" i="2"/>
  <c r="L6823" i="2"/>
  <c r="M6815" i="2"/>
  <c r="L6804" i="2"/>
  <c r="Q6795" i="2"/>
  <c r="L6789" i="2"/>
  <c r="P6789" i="2" s="1"/>
  <c r="L6765" i="2"/>
  <c r="M6762" i="2"/>
  <c r="P6762" i="2" s="1"/>
  <c r="L6751" i="2"/>
  <c r="M6743" i="2"/>
  <c r="Q6731" i="2"/>
  <c r="L6725" i="2"/>
  <c r="M6720" i="2"/>
  <c r="M6716" i="2"/>
  <c r="L6696" i="2"/>
  <c r="Q6687" i="2"/>
  <c r="M6676" i="2"/>
  <c r="L6670" i="2"/>
  <c r="Q6664" i="2"/>
  <c r="L6659" i="2"/>
  <c r="Q6647" i="2"/>
  <c r="L6641" i="2"/>
  <c r="L6624" i="2"/>
  <c r="Q6615" i="2"/>
  <c r="L6609" i="2"/>
  <c r="L6605" i="2"/>
  <c r="M6595" i="2"/>
  <c r="L6584" i="2"/>
  <c r="M6577" i="2"/>
  <c r="L6573" i="2"/>
  <c r="L6569" i="2"/>
  <c r="M6559" i="2"/>
  <c r="M6548" i="2"/>
  <c r="M6527" i="2"/>
  <c r="P6527" i="2" s="1"/>
  <c r="Q6510" i="2"/>
  <c r="Q6505" i="2"/>
  <c r="Q6486" i="2"/>
  <c r="L6481" i="2"/>
  <c r="L6477" i="2"/>
  <c r="L6466" i="2"/>
  <c r="Q6457" i="2"/>
  <c r="Q6445" i="2"/>
  <c r="Q6433" i="2"/>
  <c r="Q6430" i="2"/>
  <c r="Q6413" i="2"/>
  <c r="Q6404" i="2"/>
  <c r="Q6395" i="2"/>
  <c r="M6213" i="2"/>
  <c r="M6210" i="2"/>
  <c r="M6202" i="2"/>
  <c r="M6168" i="2"/>
  <c r="M6156" i="2"/>
  <c r="M6144" i="2"/>
  <c r="M6134" i="2"/>
  <c r="M6123" i="2"/>
  <c r="M6118" i="2"/>
  <c r="M6107" i="2"/>
  <c r="M6102" i="2"/>
  <c r="M6086" i="2"/>
  <c r="L6034" i="2"/>
  <c r="M6034" i="2"/>
  <c r="L5983" i="2"/>
  <c r="Q5934" i="2"/>
  <c r="Q6691" i="2"/>
  <c r="Q6645" i="2"/>
  <c r="Q6619" i="2"/>
  <c r="Q6585" i="2"/>
  <c r="Q6469" i="2"/>
  <c r="Q6455" i="2"/>
  <c r="Q6446" i="2"/>
  <c r="Q6443" i="2"/>
  <c r="Q6434" i="2"/>
  <c r="L6156" i="2"/>
  <c r="L6144" i="2"/>
  <c r="L6130" i="2"/>
  <c r="L6114" i="2"/>
  <c r="L6064" i="2"/>
  <c r="M6055" i="2"/>
  <c r="L6043" i="2"/>
  <c r="L6007" i="2"/>
  <c r="L5934" i="2"/>
  <c r="M5934" i="2"/>
  <c r="L5924" i="2"/>
  <c r="M5924" i="2"/>
  <c r="M6063" i="2"/>
  <c r="M6057" i="2"/>
  <c r="M6051" i="2"/>
  <c r="M6045" i="2"/>
  <c r="M6039" i="2"/>
  <c r="M6033" i="2"/>
  <c r="Q6022" i="2"/>
  <c r="L6018" i="2"/>
  <c r="Q5962" i="2"/>
  <c r="L5958" i="2"/>
  <c r="Q5932" i="2"/>
  <c r="L5929" i="2"/>
  <c r="Q5926" i="2"/>
  <c r="L5922" i="2"/>
  <c r="Q5896" i="2"/>
  <c r="L5893" i="2"/>
  <c r="Q5890" i="2"/>
  <c r="L5886" i="2"/>
  <c r="M5880" i="2"/>
  <c r="M5873" i="2"/>
  <c r="L5855" i="2"/>
  <c r="M5850" i="2"/>
  <c r="L5844" i="2"/>
  <c r="L5828" i="2"/>
  <c r="Q5821" i="2"/>
  <c r="M5818" i="2"/>
  <c r="L5810" i="2"/>
  <c r="M5808" i="2"/>
  <c r="Q5806" i="2"/>
  <c r="M5795" i="2"/>
  <c r="P5795" i="2" s="1"/>
  <c r="M5775" i="2"/>
  <c r="L5756" i="2"/>
  <c r="M5756" i="2"/>
  <c r="L5717" i="2"/>
  <c r="M5717" i="2"/>
  <c r="L5705" i="2"/>
  <c r="L5639" i="2"/>
  <c r="Q6019" i="2"/>
  <c r="M5998" i="2"/>
  <c r="L5995" i="2"/>
  <c r="M5978" i="2"/>
  <c r="L5955" i="2"/>
  <c r="L5952" i="2"/>
  <c r="L5942" i="2"/>
  <c r="L5919" i="2"/>
  <c r="L5916" i="2"/>
  <c r="L5906" i="2"/>
  <c r="L5883" i="2"/>
  <c r="L5880" i="2"/>
  <c r="L5873" i="2"/>
  <c r="L5870" i="2"/>
  <c r="L5864" i="2"/>
  <c r="M5853" i="2"/>
  <c r="L5847" i="2"/>
  <c r="Q5839" i="2"/>
  <c r="Q5834" i="2"/>
  <c r="Q5814" i="2"/>
  <c r="M5806" i="2"/>
  <c r="L5780" i="2"/>
  <c r="Q5585" i="2"/>
  <c r="Q5986" i="2"/>
  <c r="Q5943" i="2"/>
  <c r="M5936" i="2"/>
  <c r="Q5907" i="2"/>
  <c r="M5900" i="2"/>
  <c r="Q5871" i="2"/>
  <c r="Q5859" i="2"/>
  <c r="L5839" i="2"/>
  <c r="Q5829" i="2"/>
  <c r="L5767" i="2"/>
  <c r="M5748" i="2"/>
  <c r="Q5748" i="2"/>
  <c r="M5685" i="2"/>
  <c r="Q5685" i="2"/>
  <c r="L5650" i="2"/>
  <c r="M5650" i="2"/>
  <c r="M5585" i="2"/>
  <c r="M5999" i="2"/>
  <c r="Q5983" i="2"/>
  <c r="M5969" i="2"/>
  <c r="Q5953" i="2"/>
  <c r="Q5917" i="2"/>
  <c r="Q5881" i="2"/>
  <c r="Q5851" i="2"/>
  <c r="Q5845" i="2"/>
  <c r="Q5842" i="2"/>
  <c r="Q5832" i="2"/>
  <c r="L5802" i="2"/>
  <c r="Q5800" i="2"/>
  <c r="Q5787" i="2"/>
  <c r="M5780" i="2"/>
  <c r="Q5757" i="2"/>
  <c r="M5734" i="2"/>
  <c r="Q5714" i="2"/>
  <c r="Q5702" i="2"/>
  <c r="L5685" i="2"/>
  <c r="Q5661" i="2"/>
  <c r="L5661" i="2"/>
  <c r="M5661" i="2"/>
  <c r="M5657" i="2"/>
  <c r="L5646" i="2"/>
  <c r="Q5646" i="2"/>
  <c r="L5585" i="2"/>
  <c r="Q6016" i="2"/>
  <c r="Q6013" i="2"/>
  <c r="M6002" i="2"/>
  <c r="L5979" i="2"/>
  <c r="L5976" i="2"/>
  <c r="Q5956" i="2"/>
  <c r="L5953" i="2"/>
  <c r="Q5950" i="2"/>
  <c r="L5946" i="2"/>
  <c r="Q5920" i="2"/>
  <c r="L5917" i="2"/>
  <c r="Q5914" i="2"/>
  <c r="L5910" i="2"/>
  <c r="Q5884" i="2"/>
  <c r="L5881" i="2"/>
  <c r="Q5878" i="2"/>
  <c r="L5874" i="2"/>
  <c r="L5859" i="2"/>
  <c r="L5845" i="2"/>
  <c r="Q5837" i="2"/>
  <c r="M5834" i="2"/>
  <c r="L5826" i="2"/>
  <c r="M5816" i="2"/>
  <c r="M5811" i="2"/>
  <c r="Q5809" i="2"/>
  <c r="L5798" i="2"/>
  <c r="L5738" i="2"/>
  <c r="L5734" i="2"/>
  <c r="M5712" i="2"/>
  <c r="Q5712" i="2"/>
  <c r="Q5634" i="2"/>
  <c r="M5618" i="2"/>
  <c r="Q5618" i="2"/>
  <c r="L5607" i="2"/>
  <c r="M5607" i="2"/>
  <c r="Q5607" i="2"/>
  <c r="Q5947" i="2"/>
  <c r="Q5911" i="2"/>
  <c r="Q5875" i="2"/>
  <c r="L5862" i="2"/>
  <c r="L5819" i="2"/>
  <c r="M5819" i="2"/>
  <c r="L5789" i="2"/>
  <c r="M5698" i="2"/>
  <c r="M6026" i="2"/>
  <c r="Q6007" i="2"/>
  <c r="M5966" i="2"/>
  <c r="P5966" i="2" s="1"/>
  <c r="Q5957" i="2"/>
  <c r="M5930" i="2"/>
  <c r="Q5921" i="2"/>
  <c r="M5894" i="2"/>
  <c r="Q5885" i="2"/>
  <c r="M5865" i="2"/>
  <c r="L5842" i="2"/>
  <c r="M5832" i="2"/>
  <c r="L5824" i="2"/>
  <c r="Q5805" i="2"/>
  <c r="Q5779" i="2"/>
  <c r="M5759" i="2"/>
  <c r="L5759" i="2"/>
  <c r="M5757" i="2"/>
  <c r="L5702" i="2"/>
  <c r="L5698" i="2"/>
  <c r="L5672" i="2"/>
  <c r="M5672" i="2"/>
  <c r="M5668" i="2"/>
  <c r="L6003" i="2"/>
  <c r="L6000" i="2"/>
  <c r="Q5974" i="2"/>
  <c r="L5970" i="2"/>
  <c r="M5950" i="2"/>
  <c r="L5947" i="2"/>
  <c r="Q5941" i="2"/>
  <c r="M5914" i="2"/>
  <c r="L5911" i="2"/>
  <c r="Q5905" i="2"/>
  <c r="M5878" i="2"/>
  <c r="L5875" i="2"/>
  <c r="Q5869" i="2"/>
  <c r="Q5866" i="2"/>
  <c r="M5854" i="2"/>
  <c r="Q5838" i="2"/>
  <c r="L5783" i="2"/>
  <c r="M5783" i="2"/>
  <c r="Q5770" i="2"/>
  <c r="Q5766" i="2"/>
  <c r="L5674" i="2"/>
  <c r="L5640" i="2"/>
  <c r="Q5640" i="2"/>
  <c r="L5623" i="2"/>
  <c r="Q5666" i="2"/>
  <c r="L5666" i="2"/>
  <c r="M5666" i="2"/>
  <c r="L6027" i="2"/>
  <c r="L6024" i="2"/>
  <c r="Q6004" i="2"/>
  <c r="L5967" i="2"/>
  <c r="L5964" i="2"/>
  <c r="Q5935" i="2"/>
  <c r="L5931" i="2"/>
  <c r="L5928" i="2"/>
  <c r="Q5899" i="2"/>
  <c r="L5895" i="2"/>
  <c r="L5892" i="2"/>
  <c r="L5852" i="2"/>
  <c r="Q5833" i="2"/>
  <c r="M5830" i="2"/>
  <c r="Q5825" i="2"/>
  <c r="L5815" i="2"/>
  <c r="Q5797" i="2"/>
  <c r="Q5775" i="2"/>
  <c r="L5770" i="2"/>
  <c r="L5753" i="2"/>
  <c r="L5731" i="2"/>
  <c r="Q5721" i="2"/>
  <c r="Q5715" i="2"/>
  <c r="L5679" i="2"/>
  <c r="Q5679" i="2"/>
  <c r="L5628" i="2"/>
  <c r="M5600" i="2"/>
  <c r="L5584" i="2"/>
  <c r="M5584" i="2"/>
  <c r="Q5584" i="2"/>
  <c r="M6021" i="2"/>
  <c r="L6014" i="2"/>
  <c r="Q5998" i="2"/>
  <c r="L5994" i="2"/>
  <c r="M5991" i="2"/>
  <c r="M5988" i="2"/>
  <c r="M5974" i="2"/>
  <c r="L5971" i="2"/>
  <c r="M5961" i="2"/>
  <c r="M5954" i="2"/>
  <c r="Q5945" i="2"/>
  <c r="L5938" i="2"/>
  <c r="M5925" i="2"/>
  <c r="M5918" i="2"/>
  <c r="Q5909" i="2"/>
  <c r="L5902" i="2"/>
  <c r="M5889" i="2"/>
  <c r="M5882" i="2"/>
  <c r="Q5873" i="2"/>
  <c r="M5866" i="2"/>
  <c r="M5846" i="2"/>
  <c r="Q5841" i="2"/>
  <c r="L5838" i="2"/>
  <c r="Q5808" i="2"/>
  <c r="L5790" i="2"/>
  <c r="L5617" i="2"/>
  <c r="M5613" i="2"/>
  <c r="Q5613" i="2"/>
  <c r="L5600" i="2"/>
  <c r="L5592" i="2"/>
  <c r="M5592" i="2"/>
  <c r="Q5592" i="2"/>
  <c r="Q5870" i="2"/>
  <c r="Q5853" i="2"/>
  <c r="Q5847" i="2"/>
  <c r="Q5823" i="2"/>
  <c r="L5808" i="2"/>
  <c r="Q5793" i="2"/>
  <c r="L5695" i="2"/>
  <c r="M5798" i="2"/>
  <c r="Q5789" i="2"/>
  <c r="M5762" i="2"/>
  <c r="Q5753" i="2"/>
  <c r="L5746" i="2"/>
  <c r="M5726" i="2"/>
  <c r="P5726" i="2" s="1"/>
  <c r="L5723" i="2"/>
  <c r="M5720" i="2"/>
  <c r="Q5717" i="2"/>
  <c r="L5710" i="2"/>
  <c r="L5687" i="2"/>
  <c r="L5682" i="2"/>
  <c r="P5682" i="2" s="1"/>
  <c r="L5676" i="2"/>
  <c r="L5671" i="2"/>
  <c r="Q5667" i="2"/>
  <c r="L5665" i="2"/>
  <c r="M5660" i="2"/>
  <c r="M5654" i="2"/>
  <c r="Q5650" i="2"/>
  <c r="M5649" i="2"/>
  <c r="L5643" i="2"/>
  <c r="M5638" i="2"/>
  <c r="L5632" i="2"/>
  <c r="Q5628" i="2"/>
  <c r="L5621" i="2"/>
  <c r="L5615" i="2"/>
  <c r="L5610" i="2"/>
  <c r="M5604" i="2"/>
  <c r="L5603" i="2"/>
  <c r="M5596" i="2"/>
  <c r="M5589" i="2"/>
  <c r="L5588" i="2"/>
  <c r="Q5583" i="2"/>
  <c r="M5581" i="2"/>
  <c r="M5574" i="2"/>
  <c r="L5573" i="2"/>
  <c r="L5567" i="2"/>
  <c r="Q5563" i="2"/>
  <c r="M5562" i="2"/>
  <c r="L5561" i="2"/>
  <c r="Q5557" i="2"/>
  <c r="Q5534" i="2"/>
  <c r="L5522" i="2"/>
  <c r="L5484" i="2"/>
  <c r="M5484" i="2"/>
  <c r="Q5474" i="2"/>
  <c r="L5463" i="2"/>
  <c r="L5430" i="2"/>
  <c r="M5430" i="2"/>
  <c r="Q5412" i="2"/>
  <c r="L5310" i="2"/>
  <c r="M5310" i="2"/>
  <c r="L4693" i="2"/>
  <c r="M5782" i="2"/>
  <c r="L5779" i="2"/>
  <c r="Q5773" i="2"/>
  <c r="M5746" i="2"/>
  <c r="L5743" i="2"/>
  <c r="Q5737" i="2"/>
  <c r="M5730" i="2"/>
  <c r="L5720" i="2"/>
  <c r="M5710" i="2"/>
  <c r="L5707" i="2"/>
  <c r="Q5701" i="2"/>
  <c r="M5694" i="2"/>
  <c r="P5694" i="2" s="1"/>
  <c r="M5691" i="2"/>
  <c r="L5660" i="2"/>
  <c r="Q5656" i="2"/>
  <c r="L5654" i="2"/>
  <c r="L5649" i="2"/>
  <c r="Q5645" i="2"/>
  <c r="L5638" i="2"/>
  <c r="L5604" i="2"/>
  <c r="L5596" i="2"/>
  <c r="L5589" i="2"/>
  <c r="L5581" i="2"/>
  <c r="L5574" i="2"/>
  <c r="L5562" i="2"/>
  <c r="M5541" i="2"/>
  <c r="M5537" i="2"/>
  <c r="Q5504" i="2"/>
  <c r="L5503" i="2"/>
  <c r="M5503" i="2"/>
  <c r="L5495" i="2"/>
  <c r="M5495" i="2"/>
  <c r="L5487" i="2"/>
  <c r="L5479" i="2"/>
  <c r="M5479" i="2"/>
  <c r="L5474" i="2"/>
  <c r="L5328" i="2"/>
  <c r="M5328" i="2"/>
  <c r="L5274" i="2"/>
  <c r="M5274" i="2"/>
  <c r="M5094" i="2"/>
  <c r="Q5094" i="2"/>
  <c r="Q5734" i="2"/>
  <c r="Q5698" i="2"/>
  <c r="M5605" i="2"/>
  <c r="M5598" i="2"/>
  <c r="M5590" i="2"/>
  <c r="M5582" i="2"/>
  <c r="Q5577" i="2"/>
  <c r="M5575" i="2"/>
  <c r="P5575" i="2" s="1"/>
  <c r="Q5558" i="2"/>
  <c r="Q5507" i="2"/>
  <c r="Q5501" i="2"/>
  <c r="M5493" i="2"/>
  <c r="Q5464" i="2"/>
  <c r="L5461" i="2"/>
  <c r="M5461" i="2"/>
  <c r="Q5448" i="2"/>
  <c r="M5436" i="2"/>
  <c r="L5404" i="2"/>
  <c r="M5404" i="2"/>
  <c r="Q5404" i="2"/>
  <c r="Q4631" i="2"/>
  <c r="L4631" i="2"/>
  <c r="M4631" i="2"/>
  <c r="Q5803" i="2"/>
  <c r="Q5767" i="2"/>
  <c r="M5747" i="2"/>
  <c r="Q5731" i="2"/>
  <c r="M5711" i="2"/>
  <c r="Q5695" i="2"/>
  <c r="Q5668" i="2"/>
  <c r="M5667" i="2"/>
  <c r="Q5657" i="2"/>
  <c r="M5656" i="2"/>
  <c r="M5645" i="2"/>
  <c r="M5639" i="2"/>
  <c r="M5634" i="2"/>
  <c r="M5628" i="2"/>
  <c r="M5623" i="2"/>
  <c r="M5617" i="2"/>
  <c r="Q5600" i="2"/>
  <c r="M5583" i="2"/>
  <c r="M5563" i="2"/>
  <c r="M5557" i="2"/>
  <c r="M5556" i="2"/>
  <c r="M5553" i="2"/>
  <c r="M5552" i="2"/>
  <c r="M5543" i="2"/>
  <c r="M5534" i="2"/>
  <c r="M5533" i="2"/>
  <c r="M5524" i="2"/>
  <c r="L5507" i="2"/>
  <c r="M5504" i="2"/>
  <c r="Q5496" i="2"/>
  <c r="L5493" i="2"/>
  <c r="Q5488" i="2"/>
  <c r="M5485" i="2"/>
  <c r="M5474" i="2"/>
  <c r="L5472" i="2"/>
  <c r="M5472" i="2"/>
  <c r="L5456" i="2"/>
  <c r="M5446" i="2"/>
  <c r="Q5436" i="2"/>
  <c r="L5356" i="2"/>
  <c r="M5356" i="2"/>
  <c r="Q5356" i="2"/>
  <c r="L5269" i="2"/>
  <c r="M5269" i="2"/>
  <c r="Q5269" i="2"/>
  <c r="Q5146" i="2"/>
  <c r="Q4635" i="2"/>
  <c r="L4635" i="2"/>
  <c r="M4635" i="2"/>
  <c r="M5858" i="2"/>
  <c r="Q5849" i="2"/>
  <c r="M5822" i="2"/>
  <c r="Q5813" i="2"/>
  <c r="M5786" i="2"/>
  <c r="Q5777" i="2"/>
  <c r="M5750" i="2"/>
  <c r="Q5741" i="2"/>
  <c r="M5714" i="2"/>
  <c r="Q5705" i="2"/>
  <c r="Q5689" i="2"/>
  <c r="Q5674" i="2"/>
  <c r="Q5554" i="2"/>
  <c r="L5510" i="2"/>
  <c r="M5510" i="2"/>
  <c r="Q5505" i="2"/>
  <c r="M5501" i="2"/>
  <c r="L5498" i="2"/>
  <c r="M5498" i="2"/>
  <c r="L5496" i="2"/>
  <c r="L5488" i="2"/>
  <c r="L5485" i="2"/>
  <c r="Q5480" i="2"/>
  <c r="M5464" i="2"/>
  <c r="Q5425" i="2"/>
  <c r="M5416" i="2"/>
  <c r="M5577" i="2"/>
  <c r="M5558" i="2"/>
  <c r="M5530" i="2"/>
  <c r="Q5521" i="2"/>
  <c r="Q5511" i="2"/>
  <c r="L5480" i="2"/>
  <c r="L5371" i="2"/>
  <c r="M5371" i="2"/>
  <c r="L5223" i="2"/>
  <c r="M5223" i="2"/>
  <c r="Q5223" i="2"/>
  <c r="L5158" i="2"/>
  <c r="Q5158" i="2"/>
  <c r="Q5728" i="2"/>
  <c r="Q5692" i="2"/>
  <c r="Q5631" i="2"/>
  <c r="Q5594" i="2"/>
  <c r="Q5587" i="2"/>
  <c r="Q5579" i="2"/>
  <c r="Q5566" i="2"/>
  <c r="M5554" i="2"/>
  <c r="M5549" i="2"/>
  <c r="M5548" i="2"/>
  <c r="Q5499" i="2"/>
  <c r="M5496" i="2"/>
  <c r="L5491" i="2"/>
  <c r="M5491" i="2"/>
  <c r="M5488" i="2"/>
  <c r="M5480" i="2"/>
  <c r="Q5473" i="2"/>
  <c r="L5467" i="2"/>
  <c r="M5467" i="2"/>
  <c r="Q5460" i="2"/>
  <c r="L5418" i="2"/>
  <c r="M5418" i="2"/>
  <c r="Q5827" i="2"/>
  <c r="L5823" i="2"/>
  <c r="L5820" i="2"/>
  <c r="L5800" i="2"/>
  <c r="Q5791" i="2"/>
  <c r="L5787" i="2"/>
  <c r="P5787" i="2" s="1"/>
  <c r="L5784" i="2"/>
  <c r="L5764" i="2"/>
  <c r="Q5755" i="2"/>
  <c r="L5751" i="2"/>
  <c r="L5748" i="2"/>
  <c r="L5728" i="2"/>
  <c r="Q5719" i="2"/>
  <c r="L5715" i="2"/>
  <c r="L5712" i="2"/>
  <c r="L5692" i="2"/>
  <c r="Q5681" i="2"/>
  <c r="Q5620" i="2"/>
  <c r="Q5609" i="2"/>
  <c r="L5544" i="2"/>
  <c r="Q5527" i="2"/>
  <c r="L5525" i="2"/>
  <c r="L5511" i="2"/>
  <c r="L5483" i="2"/>
  <c r="M5483" i="2"/>
  <c r="Q5455" i="2"/>
  <c r="Q5452" i="2"/>
  <c r="Q5392" i="2"/>
  <c r="L5235" i="2"/>
  <c r="Q5235" i="2"/>
  <c r="Q5147" i="2"/>
  <c r="L4738" i="2"/>
  <c r="L5460" i="2"/>
  <c r="M5460" i="2"/>
  <c r="Q5437" i="2"/>
  <c r="L5347" i="2"/>
  <c r="M5347" i="2"/>
  <c r="Q5347" i="2"/>
  <c r="Q5785" i="2"/>
  <c r="Q5749" i="2"/>
  <c r="Q5713" i="2"/>
  <c r="M5681" i="2"/>
  <c r="M5675" i="2"/>
  <c r="M5670" i="2"/>
  <c r="M5664" i="2"/>
  <c r="M5659" i="2"/>
  <c r="Q5654" i="2"/>
  <c r="M5653" i="2"/>
  <c r="Q5649" i="2"/>
  <c r="Q5632" i="2"/>
  <c r="M5631" i="2"/>
  <c r="Q5621" i="2"/>
  <c r="M5620" i="2"/>
  <c r="M5609" i="2"/>
  <c r="M5602" i="2"/>
  <c r="M5594" i="2"/>
  <c r="Q5589" i="2"/>
  <c r="M5587" i="2"/>
  <c r="Q5581" i="2"/>
  <c r="M5579" i="2"/>
  <c r="Q5574" i="2"/>
  <c r="Q5567" i="2"/>
  <c r="M5566" i="2"/>
  <c r="M5560" i="2"/>
  <c r="L5559" i="2"/>
  <c r="Q5546" i="2"/>
  <c r="Q5522" i="2"/>
  <c r="L5521" i="2"/>
  <c r="Q5515" i="2"/>
  <c r="Q5512" i="2"/>
  <c r="M5511" i="2"/>
  <c r="Q5503" i="2"/>
  <c r="L5499" i="2"/>
  <c r="M5499" i="2"/>
  <c r="Q5495" i="2"/>
  <c r="Q5492" i="2"/>
  <c r="Q5484" i="2"/>
  <c r="Q5479" i="2"/>
  <c r="Q5476" i="2"/>
  <c r="L5473" i="2"/>
  <c r="M5473" i="2"/>
  <c r="Q5468" i="2"/>
  <c r="L5433" i="2"/>
  <c r="M5433" i="2"/>
  <c r="Q5433" i="2"/>
  <c r="L5413" i="2"/>
  <c r="M5413" i="2"/>
  <c r="Q5413" i="2"/>
  <c r="Q5398" i="2"/>
  <c r="L5377" i="2"/>
  <c r="M5377" i="2"/>
  <c r="L5366" i="2"/>
  <c r="M5366" i="2"/>
  <c r="L5143" i="2"/>
  <c r="M5143" i="2"/>
  <c r="Q5143" i="2"/>
  <c r="Q5860" i="2"/>
  <c r="L5857" i="2"/>
  <c r="Q5854" i="2"/>
  <c r="L5850" i="2"/>
  <c r="Q5824" i="2"/>
  <c r="L5821" i="2"/>
  <c r="Q5818" i="2"/>
  <c r="L5814" i="2"/>
  <c r="Q5788" i="2"/>
  <c r="L5785" i="2"/>
  <c r="Q5782" i="2"/>
  <c r="L5778" i="2"/>
  <c r="Q5752" i="2"/>
  <c r="L5749" i="2"/>
  <c r="Q5746" i="2"/>
  <c r="L5742" i="2"/>
  <c r="Q5716" i="2"/>
  <c r="L5713" i="2"/>
  <c r="Q5710" i="2"/>
  <c r="L5706" i="2"/>
  <c r="Q5638" i="2"/>
  <c r="M5626" i="2"/>
  <c r="M5580" i="2"/>
  <c r="P5580" i="2" s="1"/>
  <c r="M5572" i="2"/>
  <c r="Q5562" i="2"/>
  <c r="M5555" i="2"/>
  <c r="M5551" i="2"/>
  <c r="L5540" i="2"/>
  <c r="L5536" i="2"/>
  <c r="M5532" i="2"/>
  <c r="M5527" i="2"/>
  <c r="M5526" i="2"/>
  <c r="L5515" i="2"/>
  <c r="M5506" i="2"/>
  <c r="L5492" i="2"/>
  <c r="L5468" i="2"/>
  <c r="Q5453" i="2"/>
  <c r="M5424" i="2"/>
  <c r="Q5424" i="2"/>
  <c r="M5220" i="2"/>
  <c r="Q5220" i="2"/>
  <c r="L5171" i="2"/>
  <c r="Q5171" i="2"/>
  <c r="L5155" i="2"/>
  <c r="M5155" i="2"/>
  <c r="Q5155" i="2"/>
  <c r="Q5743" i="2"/>
  <c r="Q5707" i="2"/>
  <c r="L5541" i="2"/>
  <c r="L5537" i="2"/>
  <c r="L5518" i="2"/>
  <c r="M5518" i="2"/>
  <c r="M5512" i="2"/>
  <c r="M5487" i="2"/>
  <c r="M5476" i="2"/>
  <c r="M5463" i="2"/>
  <c r="Q5461" i="2"/>
  <c r="L5455" i="2"/>
  <c r="M5455" i="2"/>
  <c r="L5449" i="2"/>
  <c r="M5449" i="2"/>
  <c r="Q5449" i="2"/>
  <c r="L5409" i="2"/>
  <c r="M5409" i="2"/>
  <c r="Q5409" i="2"/>
  <c r="L5292" i="2"/>
  <c r="M5292" i="2"/>
  <c r="L5183" i="2"/>
  <c r="M5183" i="2"/>
  <c r="Q5183" i="2"/>
  <c r="Q4691" i="2"/>
  <c r="L4691" i="2"/>
  <c r="M4691" i="2"/>
  <c r="L5424" i="2"/>
  <c r="L5421" i="2"/>
  <c r="L5411" i="2"/>
  <c r="L5403" i="2"/>
  <c r="L5398" i="2"/>
  <c r="L5341" i="2"/>
  <c r="L5336" i="2"/>
  <c r="L5323" i="2"/>
  <c r="P5323" i="2" s="1"/>
  <c r="L5318" i="2"/>
  <c r="L5305" i="2"/>
  <c r="L5300" i="2"/>
  <c r="L5287" i="2"/>
  <c r="L5282" i="2"/>
  <c r="Q5256" i="2"/>
  <c r="Q5208" i="2"/>
  <c r="Q5190" i="2"/>
  <c r="Q5163" i="2"/>
  <c r="Q5150" i="2"/>
  <c r="Q5138" i="2"/>
  <c r="Q5126" i="2"/>
  <c r="M5055" i="2"/>
  <c r="M5036" i="2"/>
  <c r="M5019" i="2"/>
  <c r="M4925" i="2"/>
  <c r="Q4750" i="2"/>
  <c r="L4750" i="2"/>
  <c r="Q4678" i="2"/>
  <c r="L4678" i="2"/>
  <c r="Q4637" i="2"/>
  <c r="L4637" i="2"/>
  <c r="Q4619" i="2"/>
  <c r="L4619" i="2"/>
  <c r="M4619" i="2"/>
  <c r="L4565" i="2"/>
  <c r="Q4565" i="2"/>
  <c r="M5227" i="2"/>
  <c r="Q5215" i="2"/>
  <c r="M5175" i="2"/>
  <c r="M5135" i="2"/>
  <c r="M5123" i="2"/>
  <c r="Q5114" i="2"/>
  <c r="M5099" i="2"/>
  <c r="M5092" i="2"/>
  <c r="M5090" i="2"/>
  <c r="M5088" i="2"/>
  <c r="M5086" i="2"/>
  <c r="M5084" i="2"/>
  <c r="M5082" i="2"/>
  <c r="M5080" i="2"/>
  <c r="M5078" i="2"/>
  <c r="M5076" i="2"/>
  <c r="M5074" i="2"/>
  <c r="M5072" i="2"/>
  <c r="M5070" i="2"/>
  <c r="M5051" i="2"/>
  <c r="M5034" i="2"/>
  <c r="M5015" i="2"/>
  <c r="M4998" i="2"/>
  <c r="M4994" i="2"/>
  <c r="Q4754" i="2"/>
  <c r="L4754" i="2"/>
  <c r="Q4736" i="2"/>
  <c r="L4736" i="2"/>
  <c r="M4736" i="2"/>
  <c r="Q4725" i="2"/>
  <c r="M4725" i="2"/>
  <c r="L5445" i="2"/>
  <c r="L5425" i="2"/>
  <c r="M5422" i="2"/>
  <c r="M5406" i="2"/>
  <c r="L5401" i="2"/>
  <c r="L5396" i="2"/>
  <c r="L5374" i="2"/>
  <c r="M5372" i="2"/>
  <c r="M5362" i="2"/>
  <c r="L5349" i="2"/>
  <c r="L5344" i="2"/>
  <c r="M5342" i="2"/>
  <c r="M5329" i="2"/>
  <c r="L5326" i="2"/>
  <c r="M5324" i="2"/>
  <c r="M5311" i="2"/>
  <c r="L5308" i="2"/>
  <c r="M5306" i="2"/>
  <c r="M5293" i="2"/>
  <c r="L5290" i="2"/>
  <c r="M5288" i="2"/>
  <c r="P5288" i="2" s="1"/>
  <c r="M5275" i="2"/>
  <c r="L5272" i="2"/>
  <c r="M5260" i="2"/>
  <c r="M5253" i="2"/>
  <c r="M5241" i="2"/>
  <c r="L5238" i="2"/>
  <c r="L5230" i="2"/>
  <c r="L5227" i="2"/>
  <c r="M5205" i="2"/>
  <c r="M5181" i="2"/>
  <c r="L5178" i="2"/>
  <c r="L5175" i="2"/>
  <c r="M5163" i="2"/>
  <c r="L5150" i="2"/>
  <c r="L5144" i="2"/>
  <c r="L5138" i="2"/>
  <c r="L5135" i="2"/>
  <c r="L5126" i="2"/>
  <c r="L5123" i="2"/>
  <c r="L5120" i="2"/>
  <c r="M5117" i="2"/>
  <c r="M5111" i="2"/>
  <c r="L5099" i="2"/>
  <c r="M5095" i="2"/>
  <c r="M5066" i="2"/>
  <c r="M5049" i="2"/>
  <c r="M5030" i="2"/>
  <c r="M5013" i="2"/>
  <c r="M4986" i="2"/>
  <c r="M4980" i="2"/>
  <c r="M4976" i="2"/>
  <c r="M4944" i="2"/>
  <c r="M4938" i="2"/>
  <c r="M4934" i="2"/>
  <c r="M4917" i="2"/>
  <c r="M4899" i="2"/>
  <c r="Q4872" i="2"/>
  <c r="Q4853" i="2"/>
  <c r="Q4784" i="2"/>
  <c r="L4784" i="2"/>
  <c r="Q4773" i="2"/>
  <c r="M4773" i="2"/>
  <c r="L4711" i="2"/>
  <c r="Q4699" i="2"/>
  <c r="L4699" i="2"/>
  <c r="M4699" i="2"/>
  <c r="Q4664" i="2"/>
  <c r="L4664" i="2"/>
  <c r="M4664" i="2"/>
  <c r="Q4641" i="2"/>
  <c r="L4641" i="2"/>
  <c r="M4641" i="2"/>
  <c r="L4504" i="2"/>
  <c r="Q5250" i="2"/>
  <c r="Q5219" i="2"/>
  <c r="Q5202" i="2"/>
  <c r="M5169" i="2"/>
  <c r="L5163" i="2"/>
  <c r="L5132" i="2"/>
  <c r="L5114" i="2"/>
  <c r="L5111" i="2"/>
  <c r="L5108" i="2"/>
  <c r="M5105" i="2"/>
  <c r="M4970" i="2"/>
  <c r="Q4870" i="2"/>
  <c r="M4870" i="2"/>
  <c r="Q4841" i="2"/>
  <c r="M4787" i="2"/>
  <c r="Q4777" i="2"/>
  <c r="L4777" i="2"/>
  <c r="L4741" i="2"/>
  <c r="L4690" i="2"/>
  <c r="M4647" i="2"/>
  <c r="Q4573" i="2"/>
  <c r="Q4769" i="2"/>
  <c r="L4769" i="2"/>
  <c r="Q4634" i="2"/>
  <c r="L4634" i="2"/>
  <c r="M4609" i="2"/>
  <c r="L4609" i="2"/>
  <c r="L4657" i="2"/>
  <c r="L5452" i="2"/>
  <c r="L5446" i="2"/>
  <c r="L5436" i="2"/>
  <c r="L5416" i="2"/>
  <c r="L5392" i="2"/>
  <c r="L5365" i="2"/>
  <c r="L5360" i="2"/>
  <c r="L5355" i="2"/>
  <c r="L5332" i="2"/>
  <c r="L5314" i="2"/>
  <c r="L5296" i="2"/>
  <c r="Q5284" i="2"/>
  <c r="L5278" i="2"/>
  <c r="L5268" i="2"/>
  <c r="L5263" i="2"/>
  <c r="Q5252" i="2"/>
  <c r="L5248" i="2"/>
  <c r="Q5210" i="2"/>
  <c r="Q5198" i="2"/>
  <c r="M5188" i="2"/>
  <c r="L5142" i="2"/>
  <c r="M5054" i="2"/>
  <c r="M5037" i="2"/>
  <c r="M5018" i="2"/>
  <c r="M5001" i="2"/>
  <c r="M4997" i="2"/>
  <c r="Q4813" i="2"/>
  <c r="L4772" i="2"/>
  <c r="M4761" i="2"/>
  <c r="Q4751" i="2"/>
  <c r="L4751" i="2"/>
  <c r="M4751" i="2"/>
  <c r="Q4651" i="2"/>
  <c r="L4651" i="2"/>
  <c r="M4651" i="2"/>
  <c r="M4640" i="2"/>
  <c r="Q5417" i="2"/>
  <c r="L5286" i="2"/>
  <c r="M5255" i="2"/>
  <c r="M5243" i="2"/>
  <c r="L5228" i="2"/>
  <c r="M5207" i="2"/>
  <c r="M5195" i="2"/>
  <c r="M5167" i="2"/>
  <c r="Q5131" i="2"/>
  <c r="L5130" i="2"/>
  <c r="M5093" i="2"/>
  <c r="M5091" i="2"/>
  <c r="M5089" i="2"/>
  <c r="M5087" i="2"/>
  <c r="M5085" i="2"/>
  <c r="M5083" i="2"/>
  <c r="M5081" i="2"/>
  <c r="M5079" i="2"/>
  <c r="M5077" i="2"/>
  <c r="M5075" i="2"/>
  <c r="M5073" i="2"/>
  <c r="M5071" i="2"/>
  <c r="M5069" i="2"/>
  <c r="M5052" i="2"/>
  <c r="M5033" i="2"/>
  <c r="M5016" i="2"/>
  <c r="M4995" i="2"/>
  <c r="M4991" i="2"/>
  <c r="M4989" i="2"/>
  <c r="M4922" i="2"/>
  <c r="Q4783" i="2"/>
  <c r="L4783" i="2"/>
  <c r="M4783" i="2"/>
  <c r="L4759" i="2"/>
  <c r="Q4753" i="2"/>
  <c r="L4753" i="2"/>
  <c r="Q4694" i="2"/>
  <c r="L4694" i="2"/>
  <c r="Q4673" i="2"/>
  <c r="L4673" i="2"/>
  <c r="Q4638" i="2"/>
  <c r="L4638" i="2"/>
  <c r="L5453" i="2"/>
  <c r="L5437" i="2"/>
  <c r="L5414" i="2"/>
  <c r="L5407" i="2"/>
  <c r="L5390" i="2"/>
  <c r="L5385" i="2"/>
  <c r="M5383" i="2"/>
  <c r="L5380" i="2"/>
  <c r="M5378" i="2"/>
  <c r="M5338" i="2"/>
  <c r="L5335" i="2"/>
  <c r="L5330" i="2"/>
  <c r="M5320" i="2"/>
  <c r="L5317" i="2"/>
  <c r="L5312" i="2"/>
  <c r="Q5305" i="2"/>
  <c r="M5302" i="2"/>
  <c r="L5299" i="2"/>
  <c r="L5294" i="2"/>
  <c r="Q5287" i="2"/>
  <c r="M5284" i="2"/>
  <c r="L5281" i="2"/>
  <c r="P5281" i="2" s="1"/>
  <c r="L5276" i="2"/>
  <c r="L5271" i="2"/>
  <c r="M5264" i="2"/>
  <c r="L5258" i="2"/>
  <c r="L5255" i="2"/>
  <c r="L5252" i="2"/>
  <c r="L5243" i="2"/>
  <c r="L5210" i="2"/>
  <c r="L5207" i="2"/>
  <c r="L5198" i="2"/>
  <c r="L5195" i="2"/>
  <c r="L5167" i="2"/>
  <c r="Q5159" i="2"/>
  <c r="M5109" i="2"/>
  <c r="M5067" i="2"/>
  <c r="M5048" i="2"/>
  <c r="M5031" i="2"/>
  <c r="M5012" i="2"/>
  <c r="M4979" i="2"/>
  <c r="M4977" i="2"/>
  <c r="M4943" i="2"/>
  <c r="M4931" i="2"/>
  <c r="M4914" i="2"/>
  <c r="Q4869" i="2"/>
  <c r="M4869" i="2"/>
  <c r="Q4867" i="2"/>
  <c r="Q4858" i="2"/>
  <c r="Q4774" i="2"/>
  <c r="L4774" i="2"/>
  <c r="Q4681" i="2"/>
  <c r="L4681" i="2"/>
  <c r="L4606" i="2"/>
  <c r="M4606" i="2"/>
  <c r="L4599" i="2"/>
  <c r="L4557" i="2"/>
  <c r="Q5444" i="2"/>
  <c r="L5307" i="2"/>
  <c r="L5289" i="2"/>
  <c r="L5266" i="2"/>
  <c r="M5235" i="2"/>
  <c r="M5171" i="2"/>
  <c r="M5131" i="2"/>
  <c r="Q4871" i="2"/>
  <c r="M4871" i="2"/>
  <c r="Q4856" i="2"/>
  <c r="Q4848" i="2"/>
  <c r="Q4846" i="2"/>
  <c r="Q4594" i="2"/>
  <c r="Q4552" i="2"/>
  <c r="Q4744" i="2"/>
  <c r="L4676" i="2"/>
  <c r="M4583" i="2"/>
  <c r="L4583" i="2"/>
  <c r="Q4583" i="2"/>
  <c r="M4958" i="2"/>
  <c r="M4941" i="2"/>
  <c r="Q4873" i="2"/>
  <c r="Q4865" i="2"/>
  <c r="Q4854" i="2"/>
  <c r="Q4842" i="2"/>
  <c r="Q4830" i="2"/>
  <c r="Q4818" i="2"/>
  <c r="Q4806" i="2"/>
  <c r="Q4794" i="2"/>
  <c r="M4775" i="2"/>
  <c r="M4760" i="2"/>
  <c r="Q4759" i="2"/>
  <c r="Q4745" i="2"/>
  <c r="Q4693" i="2"/>
  <c r="Q4690" i="2"/>
  <c r="M4687" i="2"/>
  <c r="M4679" i="2"/>
  <c r="Q4672" i="2"/>
  <c r="Q4657" i="2"/>
  <c r="Q4649" i="2"/>
  <c r="Q4640" i="2"/>
  <c r="M4623" i="2"/>
  <c r="Q4610" i="2"/>
  <c r="M4599" i="2"/>
  <c r="Q4579" i="2"/>
  <c r="M4573" i="2"/>
  <c r="M4565" i="2"/>
  <c r="M4557" i="2"/>
  <c r="Q4553" i="2"/>
  <c r="M4540" i="2"/>
  <c r="M4528" i="2"/>
  <c r="Q4519" i="2"/>
  <c r="M4516" i="2"/>
  <c r="Q4507" i="2"/>
  <c r="M4504" i="2"/>
  <c r="M4492" i="2"/>
  <c r="Q4448" i="2"/>
  <c r="Q4442" i="2"/>
  <c r="Q4409" i="2"/>
  <c r="Q4321" i="2"/>
  <c r="Q4315" i="2"/>
  <c r="L4196" i="2"/>
  <c r="L4187" i="2"/>
  <c r="L4178" i="2"/>
  <c r="L4169" i="2"/>
  <c r="L4160" i="2"/>
  <c r="L4151" i="2"/>
  <c r="L4142" i="2"/>
  <c r="M4992" i="2"/>
  <c r="M4973" i="2"/>
  <c r="M4956" i="2"/>
  <c r="M4937" i="2"/>
  <c r="M4923" i="2"/>
  <c r="M4908" i="2"/>
  <c r="M4868" i="2"/>
  <c r="Q4863" i="2"/>
  <c r="Q4861" i="2"/>
  <c r="Q4859" i="2"/>
  <c r="Q4847" i="2"/>
  <c r="Q4835" i="2"/>
  <c r="Q4823" i="2"/>
  <c r="Q4811" i="2"/>
  <c r="Q4799" i="2"/>
  <c r="Q4789" i="2"/>
  <c r="Q4786" i="2"/>
  <c r="Q4780" i="2"/>
  <c r="L4778" i="2"/>
  <c r="Q4766" i="2"/>
  <c r="Q4763" i="2"/>
  <c r="Q4752" i="2"/>
  <c r="Q4748" i="2"/>
  <c r="Q4743" i="2"/>
  <c r="Q4737" i="2"/>
  <c r="Q4705" i="2"/>
  <c r="Q4702" i="2"/>
  <c r="Q4684" i="2"/>
  <c r="L4682" i="2"/>
  <c r="Q4663" i="2"/>
  <c r="Q4655" i="2"/>
  <c r="Q4646" i="2"/>
  <c r="Q4629" i="2"/>
  <c r="L4617" i="2"/>
  <c r="M4610" i="2"/>
  <c r="L4597" i="2"/>
  <c r="M4589" i="2"/>
  <c r="M4555" i="2"/>
  <c r="M4547" i="2"/>
  <c r="M4535" i="2"/>
  <c r="M4523" i="2"/>
  <c r="Q4521" i="2"/>
  <c r="M4511" i="2"/>
  <c r="M4499" i="2"/>
  <c r="Q4497" i="2"/>
  <c r="Q4473" i="2"/>
  <c r="Q4387" i="2"/>
  <c r="Q4228" i="2"/>
  <c r="Q4852" i="2"/>
  <c r="Q4840" i="2"/>
  <c r="Q4828" i="2"/>
  <c r="Q4816" i="2"/>
  <c r="Q4804" i="2"/>
  <c r="Q4792" i="2"/>
  <c r="Q4757" i="2"/>
  <c r="Q4717" i="2"/>
  <c r="Q4714" i="2"/>
  <c r="Q4696" i="2"/>
  <c r="Q4670" i="2"/>
  <c r="Q4667" i="2"/>
  <c r="Q4661" i="2"/>
  <c r="Q4652" i="2"/>
  <c r="Q4632" i="2"/>
  <c r="Q4626" i="2"/>
  <c r="Q4613" i="2"/>
  <c r="Q4586" i="2"/>
  <c r="M4581" i="2"/>
  <c r="L4579" i="2"/>
  <c r="M4571" i="2"/>
  <c r="Q4568" i="2"/>
  <c r="L4563" i="2"/>
  <c r="L4553" i="2"/>
  <c r="L4550" i="2"/>
  <c r="Q4545" i="2"/>
  <c r="L4524" i="2"/>
  <c r="L4512" i="2"/>
  <c r="L4500" i="2"/>
  <c r="L4488" i="2"/>
  <c r="Q4430" i="2"/>
  <c r="Q4391" i="2"/>
  <c r="Q4379" i="2"/>
  <c r="Q4373" i="2"/>
  <c r="Q4300" i="2"/>
  <c r="Q4264" i="2"/>
  <c r="Q4202" i="2"/>
  <c r="Q4193" i="2"/>
  <c r="Q4184" i="2"/>
  <c r="Q4175" i="2"/>
  <c r="Q4166" i="2"/>
  <c r="Q4157" i="2"/>
  <c r="Q4148" i="2"/>
  <c r="Q4139" i="2"/>
  <c r="Q4130" i="2"/>
  <c r="Q4121" i="2"/>
  <c r="Q4775" i="2"/>
  <c r="Q4760" i="2"/>
  <c r="Q4749" i="2"/>
  <c r="Q4729" i="2"/>
  <c r="Q4726" i="2"/>
  <c r="M4723" i="2"/>
  <c r="M4715" i="2"/>
  <c r="M4688" i="2"/>
  <c r="Q4687" i="2"/>
  <c r="Q4679" i="2"/>
  <c r="Q4658" i="2"/>
  <c r="M4653" i="2"/>
  <c r="M4624" i="2"/>
  <c r="Q4623" i="2"/>
  <c r="L4613" i="2"/>
  <c r="Q4607" i="2"/>
  <c r="L4595" i="2"/>
  <c r="Q4204" i="2"/>
  <c r="Q4195" i="2"/>
  <c r="Q4186" i="2"/>
  <c r="L4175" i="2"/>
  <c r="L4166" i="2"/>
  <c r="L4157" i="2"/>
  <c r="L4148" i="2"/>
  <c r="Q4874" i="2"/>
  <c r="Q4866" i="2"/>
  <c r="Q4855" i="2"/>
  <c r="Q4843" i="2"/>
  <c r="Q4831" i="2"/>
  <c r="Q4819" i="2"/>
  <c r="Q4807" i="2"/>
  <c r="Q4795" i="2"/>
  <c r="Q4790" i="2"/>
  <c r="Q4787" i="2"/>
  <c r="Q4776" i="2"/>
  <c r="Q4772" i="2"/>
  <c r="Q4767" i="2"/>
  <c r="Q4761" i="2"/>
  <c r="Q4741" i="2"/>
  <c r="Q4738" i="2"/>
  <c r="Q4732" i="2"/>
  <c r="L4727" i="2"/>
  <c r="Q4711" i="2"/>
  <c r="Q4706" i="2"/>
  <c r="Q4703" i="2"/>
  <c r="L4700" i="2"/>
  <c r="Q4685" i="2"/>
  <c r="Q4680" i="2"/>
  <c r="M4677" i="2"/>
  <c r="Q4676" i="2"/>
  <c r="L4659" i="2"/>
  <c r="Q4647" i="2"/>
  <c r="Q4644" i="2"/>
  <c r="L4642" i="2"/>
  <c r="L4636" i="2"/>
  <c r="L4627" i="2"/>
  <c r="Q4621" i="2"/>
  <c r="M4613" i="2"/>
  <c r="M4608" i="2"/>
  <c r="M4595" i="2"/>
  <c r="Q4592" i="2"/>
  <c r="M4587" i="2"/>
  <c r="Q4574" i="2"/>
  <c r="L4569" i="2"/>
  <c r="Q4554" i="2"/>
  <c r="M4548" i="2"/>
  <c r="M4543" i="2"/>
  <c r="M4536" i="2"/>
  <c r="M4531" i="2"/>
  <c r="Q4529" i="2"/>
  <c r="M4519" i="2"/>
  <c r="M4507" i="2"/>
  <c r="Q4505" i="2"/>
  <c r="Q4481" i="2"/>
  <c r="Q4451" i="2"/>
  <c r="Q4285" i="2"/>
  <c r="Q4249" i="2"/>
  <c r="Q4800" i="2"/>
  <c r="Q4692" i="2"/>
  <c r="Q4671" i="2"/>
  <c r="L4508" i="2"/>
  <c r="L4496" i="2"/>
  <c r="L4484" i="2"/>
  <c r="Q4412" i="2"/>
  <c r="Q4406" i="2"/>
  <c r="Q4336" i="2"/>
  <c r="Q4318" i="2"/>
  <c r="Q4199" i="2"/>
  <c r="Q4190" i="2"/>
  <c r="Q4181" i="2"/>
  <c r="Q4172" i="2"/>
  <c r="Q4163" i="2"/>
  <c r="Q4154" i="2"/>
  <c r="Q4145" i="2"/>
  <c r="Q4730" i="2"/>
  <c r="Q4709" i="2"/>
  <c r="Q4656" i="2"/>
  <c r="Q4609" i="2"/>
  <c r="Q4556" i="2"/>
  <c r="Q4822" i="2"/>
  <c r="Q4810" i="2"/>
  <c r="Q4798" i="2"/>
  <c r="L4747" i="2"/>
  <c r="Q4735" i="2"/>
  <c r="Q4721" i="2"/>
  <c r="Q4716" i="2"/>
  <c r="M4713" i="2"/>
  <c r="Q4712" i="2"/>
  <c r="Q4695" i="2"/>
  <c r="Q4689" i="2"/>
  <c r="Q4674" i="2"/>
  <c r="L4669" i="2"/>
  <c r="L4666" i="2"/>
  <c r="Q4662" i="2"/>
  <c r="L4660" i="2"/>
  <c r="Q4648" i="2"/>
  <c r="L4645" i="2"/>
  <c r="L4628" i="2"/>
  <c r="L4601" i="2"/>
  <c r="Q4599" i="2"/>
  <c r="Q4598" i="2"/>
  <c r="M4593" i="2"/>
  <c r="Q4588" i="2"/>
  <c r="Q4580" i="2"/>
  <c r="L4575" i="2"/>
  <c r="M4559" i="2"/>
  <c r="M4539" i="2"/>
  <c r="M4520" i="2"/>
  <c r="M4508" i="2"/>
  <c r="P4508" i="2" s="1"/>
  <c r="M4496" i="2"/>
  <c r="Q4466" i="2"/>
  <c r="Q4427" i="2"/>
  <c r="Q4394" i="2"/>
  <c r="Q4376" i="2"/>
  <c r="Q4370" i="2"/>
  <c r="L4199" i="2"/>
  <c r="L4190" i="2"/>
  <c r="L4181" i="2"/>
  <c r="L4172" i="2"/>
  <c r="L4163" i="2"/>
  <c r="L4154" i="2"/>
  <c r="L4145" i="2"/>
  <c r="M5004" i="2"/>
  <c r="M4985" i="2"/>
  <c r="M4968" i="2"/>
  <c r="M4949" i="2"/>
  <c r="M4902" i="2"/>
  <c r="Q4851" i="2"/>
  <c r="Q4839" i="2"/>
  <c r="Q4827" i="2"/>
  <c r="Q4815" i="2"/>
  <c r="Q4803" i="2"/>
  <c r="Q4791" i="2"/>
  <c r="Q4785" i="2"/>
  <c r="Q4765" i="2"/>
  <c r="Q4762" i="2"/>
  <c r="M4759" i="2"/>
  <c r="Q4756" i="2"/>
  <c r="Q4742" i="2"/>
  <c r="Q4739" i="2"/>
  <c r="Q4728" i="2"/>
  <c r="Q4724" i="2"/>
  <c r="Q4707" i="2"/>
  <c r="Q4701" i="2"/>
  <c r="Q4686" i="2"/>
  <c r="M4657" i="2"/>
  <c r="Q4654" i="2"/>
  <c r="Q4639" i="2"/>
  <c r="Q4625" i="2"/>
  <c r="L4614" i="2"/>
  <c r="M4551" i="2"/>
  <c r="M4544" i="2"/>
  <c r="M4532" i="2"/>
  <c r="M4527" i="2"/>
  <c r="M4515" i="2"/>
  <c r="Q4513" i="2"/>
  <c r="M4503" i="2"/>
  <c r="Q4489" i="2"/>
  <c r="Q4388" i="2"/>
  <c r="Q4382" i="2"/>
  <c r="Q4354" i="2"/>
  <c r="Q4222" i="2"/>
  <c r="Q4733" i="2"/>
  <c r="Q4622" i="2"/>
  <c r="Q4612" i="2"/>
  <c r="L4492" i="2"/>
  <c r="L4480" i="2"/>
  <c r="Q4196" i="2"/>
  <c r="Q4187" i="2"/>
  <c r="Q4178" i="2"/>
  <c r="Q4169" i="2"/>
  <c r="Q4160" i="2"/>
  <c r="Q4151" i="2"/>
  <c r="Q4142" i="2"/>
  <c r="L4021" i="2"/>
  <c r="M4021" i="2"/>
  <c r="Q3972" i="2"/>
  <c r="L3955" i="2"/>
  <c r="Q3799" i="2"/>
  <c r="L3713" i="2"/>
  <c r="M3713" i="2"/>
  <c r="Q4055" i="2"/>
  <c r="L4046" i="2"/>
  <c r="M4033" i="2"/>
  <c r="L4030" i="2"/>
  <c r="L4025" i="2"/>
  <c r="L4019" i="2"/>
  <c r="L3965" i="2"/>
  <c r="M3965" i="2"/>
  <c r="L3953" i="2"/>
  <c r="M3947" i="2"/>
  <c r="M3945" i="2"/>
  <c r="L3937" i="2"/>
  <c r="M3937" i="2"/>
  <c r="Q3606" i="2"/>
  <c r="Q4058" i="2"/>
  <c r="Q4047" i="2"/>
  <c r="Q4013" i="2"/>
  <c r="L3984" i="2"/>
  <c r="M3984" i="2"/>
  <c r="M3972" i="2"/>
  <c r="L3961" i="2"/>
  <c r="M3961" i="2"/>
  <c r="M3933" i="2"/>
  <c r="L3919" i="2"/>
  <c r="Q4400" i="2"/>
  <c r="Q4367" i="2"/>
  <c r="Q4361" i="2"/>
  <c r="L4204" i="2"/>
  <c r="L4201" i="2"/>
  <c r="L4198" i="2"/>
  <c r="L4195" i="2"/>
  <c r="L4192" i="2"/>
  <c r="L4189" i="2"/>
  <c r="L4186" i="2"/>
  <c r="L4183" i="2"/>
  <c r="L4180" i="2"/>
  <c r="L4177" i="2"/>
  <c r="L4174" i="2"/>
  <c r="L4171" i="2"/>
  <c r="L4168" i="2"/>
  <c r="L4165" i="2"/>
  <c r="L4162" i="2"/>
  <c r="L4159" i="2"/>
  <c r="L4156" i="2"/>
  <c r="L4153" i="2"/>
  <c r="L4150" i="2"/>
  <c r="L4147" i="2"/>
  <c r="L4144" i="2"/>
  <c r="L4141" i="2"/>
  <c r="L4138" i="2"/>
  <c r="L4135" i="2"/>
  <c r="L4132" i="2"/>
  <c r="L4129" i="2"/>
  <c r="L4126" i="2"/>
  <c r="L4123" i="2"/>
  <c r="L4120" i="2"/>
  <c r="L4117" i="2"/>
  <c r="L4114" i="2"/>
  <c r="L4111" i="2"/>
  <c r="L4108" i="2"/>
  <c r="L4105" i="2"/>
  <c r="L4102" i="2"/>
  <c r="L4099" i="2"/>
  <c r="L4096" i="2"/>
  <c r="L4093" i="2"/>
  <c r="L4090" i="2"/>
  <c r="L4087" i="2"/>
  <c r="L4084" i="2"/>
  <c r="L4081" i="2"/>
  <c r="L4078" i="2"/>
  <c r="L4075" i="2"/>
  <c r="L4072" i="2"/>
  <c r="L4069" i="2"/>
  <c r="L4066" i="2"/>
  <c r="Q4061" i="2"/>
  <c r="L4052" i="2"/>
  <c r="L4028" i="2"/>
  <c r="Q4026" i="2"/>
  <c r="M4017" i="2"/>
  <c r="M4013" i="2"/>
  <c r="L4006" i="2"/>
  <c r="L3991" i="2"/>
  <c r="Q3989" i="2"/>
  <c r="M3959" i="2"/>
  <c r="Q3948" i="2"/>
  <c r="Q3929" i="2"/>
  <c r="M3902" i="2"/>
  <c r="L3560" i="2"/>
  <c r="L4031" i="2"/>
  <c r="M4026" i="2"/>
  <c r="L3970" i="2"/>
  <c r="M3966" i="2"/>
  <c r="M3929" i="2"/>
  <c r="Q3882" i="2"/>
  <c r="Q3787" i="2"/>
  <c r="L4061" i="2"/>
  <c r="L4047" i="2"/>
  <c r="L4022" i="2"/>
  <c r="L4002" i="2"/>
  <c r="L3989" i="2"/>
  <c r="L3956" i="2"/>
  <c r="L3950" i="2"/>
  <c r="L3948" i="2"/>
  <c r="L3944" i="2"/>
  <c r="M3944" i="2"/>
  <c r="L3942" i="2"/>
  <c r="M3942" i="2"/>
  <c r="M3894" i="2"/>
  <c r="L3716" i="2"/>
  <c r="M3716" i="2"/>
  <c r="L3555" i="2"/>
  <c r="M3555" i="2"/>
  <c r="L4009" i="2"/>
  <c r="M4009" i="2"/>
  <c r="L3588" i="2"/>
  <c r="Q4054" i="2"/>
  <c r="L4053" i="2"/>
  <c r="Q4037" i="2"/>
  <c r="M4005" i="2"/>
  <c r="L3973" i="2"/>
  <c r="M3973" i="2"/>
  <c r="L3958" i="2"/>
  <c r="M3956" i="2"/>
  <c r="L3918" i="2"/>
  <c r="M3918" i="2"/>
  <c r="L3669" i="2"/>
  <c r="M3669" i="2"/>
  <c r="Q4403" i="2"/>
  <c r="Q4397" i="2"/>
  <c r="Q4364" i="2"/>
  <c r="L4056" i="2"/>
  <c r="Q4043" i="2"/>
  <c r="M4037" i="2"/>
  <c r="Q4014" i="2"/>
  <c r="M3969" i="2"/>
  <c r="L3960" i="2"/>
  <c r="Q3941" i="2"/>
  <c r="L3934" i="2"/>
  <c r="L3924" i="2"/>
  <c r="M3924" i="2"/>
  <c r="Q3913" i="2"/>
  <c r="M3909" i="2"/>
  <c r="L3909" i="2"/>
  <c r="L3897" i="2"/>
  <c r="Q3867" i="2"/>
  <c r="L3687" i="2"/>
  <c r="M3687" i="2"/>
  <c r="L3654" i="2"/>
  <c r="M3654" i="2"/>
  <c r="Q4046" i="2"/>
  <c r="M4040" i="2"/>
  <c r="L4037" i="2"/>
  <c r="Q3953" i="2"/>
  <c r="Q3945" i="2"/>
  <c r="Q3937" i="2"/>
  <c r="Q3775" i="2"/>
  <c r="L3705" i="2"/>
  <c r="M3705" i="2"/>
  <c r="L4203" i="2"/>
  <c r="L4200" i="2"/>
  <c r="L4197" i="2"/>
  <c r="L4194" i="2"/>
  <c r="L4191" i="2"/>
  <c r="L4188" i="2"/>
  <c r="L4185" i="2"/>
  <c r="L4182" i="2"/>
  <c r="L4179" i="2"/>
  <c r="L4176" i="2"/>
  <c r="L4173" i="2"/>
  <c r="L4170" i="2"/>
  <c r="L4167" i="2"/>
  <c r="L4164" i="2"/>
  <c r="L4161" i="2"/>
  <c r="L4158" i="2"/>
  <c r="L4155" i="2"/>
  <c r="L4152" i="2"/>
  <c r="L4149" i="2"/>
  <c r="L4146" i="2"/>
  <c r="L4143" i="2"/>
  <c r="L4140" i="2"/>
  <c r="L4137" i="2"/>
  <c r="L4134" i="2"/>
  <c r="L4131" i="2"/>
  <c r="L4128" i="2"/>
  <c r="L4125" i="2"/>
  <c r="L4122" i="2"/>
  <c r="L4119" i="2"/>
  <c r="L4116" i="2"/>
  <c r="L4113" i="2"/>
  <c r="L4110" i="2"/>
  <c r="L4107" i="2"/>
  <c r="L4104" i="2"/>
  <c r="L4101" i="2"/>
  <c r="L4098" i="2"/>
  <c r="L4095" i="2"/>
  <c r="L4092" i="2"/>
  <c r="L4089" i="2"/>
  <c r="L4086" i="2"/>
  <c r="L4083" i="2"/>
  <c r="L4080" i="2"/>
  <c r="L4077" i="2"/>
  <c r="L4074" i="2"/>
  <c r="L4071" i="2"/>
  <c r="L4068" i="2"/>
  <c r="Q4049" i="2"/>
  <c r="Q4032" i="2"/>
  <c r="L4014" i="2"/>
  <c r="M4014" i="2"/>
  <c r="M4008" i="2"/>
  <c r="Q3997" i="2"/>
  <c r="Q3982" i="2"/>
  <c r="L3977" i="2"/>
  <c r="Q3961" i="2"/>
  <c r="L3913" i="2"/>
  <c r="L3764" i="2"/>
  <c r="M3764" i="2"/>
  <c r="M3746" i="2"/>
  <c r="L3746" i="2"/>
  <c r="L3538" i="2"/>
  <c r="M3431" i="2"/>
  <c r="L3414" i="2"/>
  <c r="M3414" i="2"/>
  <c r="L3397" i="2"/>
  <c r="M3302" i="2"/>
  <c r="M3278" i="2"/>
  <c r="Q3278" i="2"/>
  <c r="Q3878" i="2"/>
  <c r="Q3876" i="2"/>
  <c r="Q3874" i="2"/>
  <c r="Q3857" i="2"/>
  <c r="Q3838" i="2"/>
  <c r="Q3821" i="2"/>
  <c r="M3755" i="2"/>
  <c r="L3738" i="2"/>
  <c r="L3652" i="2"/>
  <c r="L3639" i="2"/>
  <c r="M3634" i="2"/>
  <c r="M3479" i="2"/>
  <c r="L3477" i="2"/>
  <c r="L3451" i="2"/>
  <c r="L3427" i="2"/>
  <c r="M3397" i="2"/>
  <c r="Q3872" i="2"/>
  <c r="Q3853" i="2"/>
  <c r="Q3836" i="2"/>
  <c r="Q3817" i="2"/>
  <c r="L3711" i="2"/>
  <c r="L3698" i="2"/>
  <c r="L3647" i="2"/>
  <c r="M3536" i="2"/>
  <c r="L3529" i="2"/>
  <c r="M3516" i="2"/>
  <c r="L3495" i="2"/>
  <c r="M3486" i="2"/>
  <c r="L3463" i="2"/>
  <c r="L3449" i="2"/>
  <c r="M3449" i="2"/>
  <c r="M3425" i="2"/>
  <c r="L4063" i="2"/>
  <c r="L4060" i="2"/>
  <c r="L4057" i="2"/>
  <c r="L4054" i="2"/>
  <c r="L4051" i="2"/>
  <c r="L4048" i="2"/>
  <c r="L4045" i="2"/>
  <c r="L4042" i="2"/>
  <c r="Q4040" i="2"/>
  <c r="Q4020" i="2"/>
  <c r="L4007" i="2"/>
  <c r="L4001" i="2"/>
  <c r="L3990" i="2"/>
  <c r="L3985" i="2"/>
  <c r="L3982" i="2"/>
  <c r="L3974" i="2"/>
  <c r="L3971" i="2"/>
  <c r="M3957" i="2"/>
  <c r="M3954" i="2"/>
  <c r="M3949" i="2"/>
  <c r="L3926" i="2"/>
  <c r="Q3924" i="2"/>
  <c r="Q3923" i="2"/>
  <c r="M3920" i="2"/>
  <c r="Q3903" i="2"/>
  <c r="M3897" i="2"/>
  <c r="M3889" i="2"/>
  <c r="Q3868" i="2"/>
  <c r="Q3851" i="2"/>
  <c r="Q3832" i="2"/>
  <c r="Q3815" i="2"/>
  <c r="Q3802" i="2"/>
  <c r="Q3790" i="2"/>
  <c r="Q3778" i="2"/>
  <c r="Q3766" i="2"/>
  <c r="M3761" i="2"/>
  <c r="L3747" i="2"/>
  <c r="Q3742" i="2"/>
  <c r="L3739" i="2"/>
  <c r="Q3734" i="2"/>
  <c r="M3731" i="2"/>
  <c r="Q3723" i="2"/>
  <c r="M3722" i="2"/>
  <c r="Q3709" i="2"/>
  <c r="L3696" i="2"/>
  <c r="L3678" i="2"/>
  <c r="L3665" i="2"/>
  <c r="L3660" i="2"/>
  <c r="L3642" i="2"/>
  <c r="M3607" i="2"/>
  <c r="M3595" i="2"/>
  <c r="Q3581" i="2"/>
  <c r="M3572" i="2"/>
  <c r="Q3567" i="2"/>
  <c r="M3566" i="2"/>
  <c r="M3534" i="2"/>
  <c r="M3525" i="2"/>
  <c r="Q3523" i="2"/>
  <c r="L3491" i="2"/>
  <c r="Q3469" i="2"/>
  <c r="L3461" i="2"/>
  <c r="M3461" i="2"/>
  <c r="Q3443" i="2"/>
  <c r="Q3432" i="2"/>
  <c r="L3391" i="2"/>
  <c r="M3391" i="2"/>
  <c r="M3378" i="2"/>
  <c r="L3357" i="2"/>
  <c r="M3357" i="2"/>
  <c r="L3351" i="2"/>
  <c r="M3351" i="2"/>
  <c r="L3345" i="2"/>
  <c r="M3345" i="2"/>
  <c r="L3339" i="2"/>
  <c r="M3339" i="2"/>
  <c r="Q3182" i="2"/>
  <c r="L4015" i="2"/>
  <c r="Q4002" i="2"/>
  <c r="M3960" i="2"/>
  <c r="L3943" i="2"/>
  <c r="L3935" i="2"/>
  <c r="L3915" i="2"/>
  <c r="L3905" i="2"/>
  <c r="Q3887" i="2"/>
  <c r="Q3866" i="2"/>
  <c r="Q3847" i="2"/>
  <c r="Q3830" i="2"/>
  <c r="Q3811" i="2"/>
  <c r="Q3759" i="2"/>
  <c r="Q3745" i="2"/>
  <c r="M3736" i="2"/>
  <c r="M3729" i="2"/>
  <c r="M3723" i="2"/>
  <c r="Q3715" i="2"/>
  <c r="L3714" i="2"/>
  <c r="L3691" i="2"/>
  <c r="L3673" i="2"/>
  <c r="Q3620" i="2"/>
  <c r="Q3614" i="2"/>
  <c r="M3584" i="2"/>
  <c r="Q3549" i="2"/>
  <c r="M3523" i="2"/>
  <c r="L3512" i="2"/>
  <c r="Q3484" i="2"/>
  <c r="L3436" i="2"/>
  <c r="M3432" i="2"/>
  <c r="Q3430" i="2"/>
  <c r="M3419" i="2"/>
  <c r="L3404" i="2"/>
  <c r="M3404" i="2"/>
  <c r="L3363" i="2"/>
  <c r="M3363" i="2"/>
  <c r="L4018" i="2"/>
  <c r="Q3996" i="2"/>
  <c r="L3650" i="2"/>
  <c r="L3640" i="2"/>
  <c r="L3635" i="2"/>
  <c r="L3628" i="2"/>
  <c r="Q3626" i="2"/>
  <c r="M3622" i="2"/>
  <c r="L3620" i="2"/>
  <c r="L3617" i="2"/>
  <c r="L3614" i="2"/>
  <c r="L3611" i="2"/>
  <c r="M3601" i="2"/>
  <c r="M3581" i="2"/>
  <c r="M3578" i="2"/>
  <c r="Q3573" i="2"/>
  <c r="M3564" i="2"/>
  <c r="Q3562" i="2"/>
  <c r="Q3559" i="2"/>
  <c r="M3558" i="2"/>
  <c r="M3541" i="2"/>
  <c r="Q3517" i="2"/>
  <c r="M3510" i="2"/>
  <c r="L3503" i="2"/>
  <c r="Q3501" i="2"/>
  <c r="L3482" i="2"/>
  <c r="L3471" i="2"/>
  <c r="L3466" i="2"/>
  <c r="L3454" i="2"/>
  <c r="L3443" i="2"/>
  <c r="M3434" i="2"/>
  <c r="Q3426" i="2"/>
  <c r="L3413" i="2"/>
  <c r="Q3411" i="2"/>
  <c r="L3374" i="2"/>
  <c r="M3374" i="2"/>
  <c r="L3218" i="2"/>
  <c r="M3218" i="2"/>
  <c r="Q3751" i="2"/>
  <c r="M3740" i="2"/>
  <c r="M3737" i="2"/>
  <c r="M3608" i="2"/>
  <c r="M3596" i="2"/>
  <c r="Q3585" i="2"/>
  <c r="M3579" i="2"/>
  <c r="M3537" i="2"/>
  <c r="Q3535" i="2"/>
  <c r="M3501" i="2"/>
  <c r="L3430" i="2"/>
  <c r="M3400" i="2"/>
  <c r="L3994" i="2"/>
  <c r="M3983" i="2"/>
  <c r="P3983" i="2" s="1"/>
  <c r="M3908" i="2"/>
  <c r="M3895" i="2"/>
  <c r="L3893" i="2"/>
  <c r="Q3875" i="2"/>
  <c r="Q3856" i="2"/>
  <c r="Q3839" i="2"/>
  <c r="Q3820" i="2"/>
  <c r="L3759" i="2"/>
  <c r="L3743" i="2"/>
  <c r="M3734" i="2"/>
  <c r="Q3721" i="2"/>
  <c r="M3712" i="2"/>
  <c r="L3702" i="2"/>
  <c r="L3684" i="2"/>
  <c r="L3666" i="2"/>
  <c r="L3658" i="2"/>
  <c r="M3651" i="2"/>
  <c r="L3643" i="2"/>
  <c r="M3638" i="2"/>
  <c r="M3590" i="2"/>
  <c r="M3573" i="2"/>
  <c r="M3559" i="2"/>
  <c r="M3554" i="2"/>
  <c r="M3535" i="2"/>
  <c r="L3521" i="2"/>
  <c r="M3519" i="2"/>
  <c r="L3517" i="2"/>
  <c r="L3494" i="2"/>
  <c r="L3474" i="2"/>
  <c r="M3452" i="2"/>
  <c r="L3450" i="2"/>
  <c r="M3450" i="2"/>
  <c r="M3428" i="2"/>
  <c r="L3398" i="2"/>
  <c r="M3398" i="2"/>
  <c r="M3292" i="2"/>
  <c r="L3292" i="2"/>
  <c r="Q3154" i="2"/>
  <c r="M3131" i="2"/>
  <c r="L3131" i="2"/>
  <c r="Q3871" i="2"/>
  <c r="Q3854" i="2"/>
  <c r="Q3835" i="2"/>
  <c r="Q3818" i="2"/>
  <c r="Q3746" i="2"/>
  <c r="Q3735" i="2"/>
  <c r="L3679" i="2"/>
  <c r="L3661" i="2"/>
  <c r="L3618" i="2"/>
  <c r="L3612" i="2"/>
  <c r="M3585" i="2"/>
  <c r="L3576" i="2"/>
  <c r="L3528" i="2"/>
  <c r="Q3526" i="2"/>
  <c r="Q3511" i="2"/>
  <c r="L3506" i="2"/>
  <c r="M3464" i="2"/>
  <c r="L3462" i="2"/>
  <c r="M3462" i="2"/>
  <c r="L3448" i="2"/>
  <c r="L3439" i="2"/>
  <c r="L3424" i="2"/>
  <c r="Q3354" i="2"/>
  <c r="Q3348" i="2"/>
  <c r="Q3342" i="2"/>
  <c r="Q3318" i="2"/>
  <c r="L3318" i="2"/>
  <c r="Q3086" i="2"/>
  <c r="L3050" i="2"/>
  <c r="M3050" i="2"/>
  <c r="Q3050" i="2"/>
  <c r="Q3609" i="2"/>
  <c r="Q3560" i="2"/>
  <c r="Q3557" i="2"/>
  <c r="Q3555" i="2"/>
  <c r="M3542" i="2"/>
  <c r="Q3531" i="2"/>
  <c r="L3526" i="2"/>
  <c r="L3460" i="2"/>
  <c r="Q3458" i="2"/>
  <c r="M3422" i="2"/>
  <c r="Q3401" i="2"/>
  <c r="L3366" i="2"/>
  <c r="M3366" i="2"/>
  <c r="L3354" i="2"/>
  <c r="M3354" i="2"/>
  <c r="L3348" i="2"/>
  <c r="M3348" i="2"/>
  <c r="L3342" i="2"/>
  <c r="M3342" i="2"/>
  <c r="Q3302" i="2"/>
  <c r="Q4008" i="2"/>
  <c r="M3888" i="2"/>
  <c r="Q3865" i="2"/>
  <c r="Q3848" i="2"/>
  <c r="Q3829" i="2"/>
  <c r="Q3812" i="2"/>
  <c r="M3762" i="2"/>
  <c r="M3749" i="2"/>
  <c r="L3735" i="2"/>
  <c r="Q3730" i="2"/>
  <c r="Q3717" i="2"/>
  <c r="L3646" i="2"/>
  <c r="M3636" i="2"/>
  <c r="M3631" i="2"/>
  <c r="M3624" i="2"/>
  <c r="Q3586" i="2"/>
  <c r="Q3545" i="2"/>
  <c r="L3533" i="2"/>
  <c r="L3531" i="2"/>
  <c r="L3511" i="2"/>
  <c r="Q3465" i="2"/>
  <c r="M3460" i="2"/>
  <c r="M3458" i="2"/>
  <c r="Q3453" i="2"/>
  <c r="M3437" i="2"/>
  <c r="Q3429" i="2"/>
  <c r="L3407" i="2"/>
  <c r="M3407" i="2"/>
  <c r="M3401" i="2"/>
  <c r="L3377" i="2"/>
  <c r="M3377" i="2"/>
  <c r="L4038" i="2"/>
  <c r="L4033" i="2"/>
  <c r="L4003" i="2"/>
  <c r="L3998" i="2"/>
  <c r="M3995" i="2"/>
  <c r="L3978" i="2"/>
  <c r="L3967" i="2"/>
  <c r="L3930" i="2"/>
  <c r="L3925" i="2"/>
  <c r="L3922" i="2"/>
  <c r="M3906" i="2"/>
  <c r="M3904" i="2"/>
  <c r="L3899" i="2"/>
  <c r="M3891" i="2"/>
  <c r="Q3886" i="2"/>
  <c r="Q3884" i="2"/>
  <c r="Q3863" i="2"/>
  <c r="Q3844" i="2"/>
  <c r="Q3827" i="2"/>
  <c r="Q3808" i="2"/>
  <c r="M3738" i="2"/>
  <c r="M3724" i="2"/>
  <c r="Q3722" i="2"/>
  <c r="M3719" i="2"/>
  <c r="Q3711" i="2"/>
  <c r="M3710" i="2"/>
  <c r="L3708" i="2"/>
  <c r="L3690" i="2"/>
  <c r="L3672" i="2"/>
  <c r="L3659" i="2"/>
  <c r="L3644" i="2"/>
  <c r="M3639" i="2"/>
  <c r="L3634" i="2"/>
  <c r="L3629" i="2"/>
  <c r="M3609" i="2"/>
  <c r="M3588" i="2"/>
  <c r="Q3583" i="2"/>
  <c r="M3557" i="2"/>
  <c r="L3550" i="2"/>
  <c r="L3540" i="2"/>
  <c r="Q3538" i="2"/>
  <c r="Q3536" i="2"/>
  <c r="Q3529" i="2"/>
  <c r="Q3500" i="2"/>
  <c r="M3497" i="2"/>
  <c r="Q3495" i="2"/>
  <c r="M3453" i="2"/>
  <c r="Q3451" i="2"/>
  <c r="L3442" i="2"/>
  <c r="M3442" i="2"/>
  <c r="L3433" i="2"/>
  <c r="M3429" i="2"/>
  <c r="Q3427" i="2"/>
  <c r="M3416" i="2"/>
  <c r="M3405" i="2"/>
  <c r="M3403" i="2"/>
  <c r="L3313" i="2"/>
  <c r="Q3206" i="2"/>
  <c r="L3170" i="2"/>
  <c r="Q3170" i="2"/>
  <c r="M3170" i="2"/>
  <c r="L3156" i="2"/>
  <c r="M3156" i="2"/>
  <c r="L3149" i="2"/>
  <c r="Q3388" i="2"/>
  <c r="Q3381" i="2"/>
  <c r="Q3370" i="2"/>
  <c r="Q3304" i="2"/>
  <c r="Q3290" i="2"/>
  <c r="L3187" i="2"/>
  <c r="M3187" i="2"/>
  <c r="Q3185" i="2"/>
  <c r="M3150" i="2"/>
  <c r="M3133" i="2"/>
  <c r="L3133" i="2"/>
  <c r="L3055" i="2"/>
  <c r="M3055" i="2"/>
  <c r="M2943" i="2"/>
  <c r="L2914" i="2"/>
  <c r="Q2914" i="2"/>
  <c r="Q3462" i="2"/>
  <c r="L3457" i="2"/>
  <c r="Q3450" i="2"/>
  <c r="L3445" i="2"/>
  <c r="Q3442" i="2"/>
  <c r="L3441" i="2"/>
  <c r="Q3414" i="2"/>
  <c r="L3410" i="2"/>
  <c r="Q3398" i="2"/>
  <c r="L3394" i="2"/>
  <c r="L3384" i="2"/>
  <c r="Q3374" i="2"/>
  <c r="L3373" i="2"/>
  <c r="Q3363" i="2"/>
  <c r="L3362" i="2"/>
  <c r="M3321" i="2"/>
  <c r="Q3319" i="2"/>
  <c r="Q3311" i="2"/>
  <c r="M3308" i="2"/>
  <c r="L3306" i="2"/>
  <c r="M3299" i="2"/>
  <c r="L3285" i="2"/>
  <c r="Q3274" i="2"/>
  <c r="M3249" i="2"/>
  <c r="Q3241" i="2"/>
  <c r="L3215" i="2"/>
  <c r="Q3183" i="2"/>
  <c r="L3174" i="2"/>
  <c r="M3174" i="2"/>
  <c r="L3152" i="2"/>
  <c r="L3150" i="2"/>
  <c r="L3146" i="2"/>
  <c r="M3146" i="2"/>
  <c r="L3093" i="2"/>
  <c r="L2943" i="2"/>
  <c r="L2855" i="2"/>
  <c r="L3508" i="2"/>
  <c r="L3485" i="2"/>
  <c r="L3480" i="2"/>
  <c r="Q3475" i="2"/>
  <c r="Q3472" i="2"/>
  <c r="Q3466" i="2"/>
  <c r="L3465" i="2"/>
  <c r="Q3454" i="2"/>
  <c r="L3453" i="2"/>
  <c r="Q3439" i="2"/>
  <c r="L3438" i="2"/>
  <c r="L3435" i="2"/>
  <c r="L3432" i="2"/>
  <c r="L3429" i="2"/>
  <c r="L3426" i="2"/>
  <c r="L3423" i="2"/>
  <c r="L3420" i="2"/>
  <c r="L3417" i="2"/>
  <c r="Q3405" i="2"/>
  <c r="L3401" i="2"/>
  <c r="L3388" i="2"/>
  <c r="L3381" i="2"/>
  <c r="Q3371" i="2"/>
  <c r="L3370" i="2"/>
  <c r="Q3360" i="2"/>
  <c r="M3336" i="2"/>
  <c r="M3333" i="2"/>
  <c r="M3330" i="2"/>
  <c r="M3327" i="2"/>
  <c r="M3311" i="2"/>
  <c r="L3297" i="2"/>
  <c r="Q3286" i="2"/>
  <c r="L3283" i="2"/>
  <c r="M3243" i="2"/>
  <c r="M3237" i="2"/>
  <c r="Q3213" i="2"/>
  <c r="M3134" i="2"/>
  <c r="L3127" i="2"/>
  <c r="M3127" i="2"/>
  <c r="Q3111" i="2"/>
  <c r="L3097" i="2"/>
  <c r="M3097" i="2"/>
  <c r="Q3088" i="2"/>
  <c r="L2998" i="2"/>
  <c r="Q3293" i="2"/>
  <c r="Q3262" i="2"/>
  <c r="Q3256" i="2"/>
  <c r="Q3250" i="2"/>
  <c r="Q3188" i="2"/>
  <c r="Q3166" i="2"/>
  <c r="L3138" i="2"/>
  <c r="M3138" i="2"/>
  <c r="M2804" i="2"/>
  <c r="L2804" i="2"/>
  <c r="L2764" i="2"/>
  <c r="M2764" i="2"/>
  <c r="Q3524" i="2"/>
  <c r="L3500" i="2"/>
  <c r="L3472" i="2"/>
  <c r="Q3467" i="2"/>
  <c r="L3458" i="2"/>
  <c r="Q3455" i="2"/>
  <c r="L3446" i="2"/>
  <c r="Q3415" i="2"/>
  <c r="Q3412" i="2"/>
  <c r="L3411" i="2"/>
  <c r="L3408" i="2"/>
  <c r="Q3399" i="2"/>
  <c r="Q3396" i="2"/>
  <c r="L3395" i="2"/>
  <c r="L3392" i="2"/>
  <c r="L3385" i="2"/>
  <c r="Q3379" i="2"/>
  <c r="L3378" i="2"/>
  <c r="Q3368" i="2"/>
  <c r="L3367" i="2"/>
  <c r="L3360" i="2"/>
  <c r="M3324" i="2"/>
  <c r="M3319" i="2"/>
  <c r="L3309" i="2"/>
  <c r="Q3298" i="2"/>
  <c r="L3295" i="2"/>
  <c r="L3211" i="2"/>
  <c r="Q3202" i="2"/>
  <c r="Q3200" i="2"/>
  <c r="Q3162" i="2"/>
  <c r="L3111" i="2"/>
  <c r="Q3081" i="2"/>
  <c r="L3073" i="2"/>
  <c r="M3073" i="2"/>
  <c r="Q3056" i="2"/>
  <c r="Q3026" i="2"/>
  <c r="M3022" i="2"/>
  <c r="Q3022" i="2"/>
  <c r="Q3104" i="2"/>
  <c r="L3092" i="2"/>
  <c r="M3092" i="2"/>
  <c r="L2861" i="2"/>
  <c r="M3286" i="2"/>
  <c r="L3248" i="2"/>
  <c r="L3200" i="2"/>
  <c r="M3179" i="2"/>
  <c r="L3179" i="2"/>
  <c r="Q3177" i="2"/>
  <c r="L3151" i="2"/>
  <c r="M3151" i="2"/>
  <c r="Q3124" i="2"/>
  <c r="L3079" i="2"/>
  <c r="M3079" i="2"/>
  <c r="L3056" i="2"/>
  <c r="M3056" i="2"/>
  <c r="L3038" i="2"/>
  <c r="M3038" i="2"/>
  <c r="Q3038" i="2"/>
  <c r="L3026" i="2"/>
  <c r="M3026" i="2"/>
  <c r="L3553" i="2"/>
  <c r="Q3548" i="2"/>
  <c r="L3530" i="2"/>
  <c r="L3524" i="2"/>
  <c r="L3515" i="2"/>
  <c r="M3509" i="2"/>
  <c r="Q3507" i="2"/>
  <c r="L3478" i="2"/>
  <c r="L3467" i="2"/>
  <c r="Q3464" i="2"/>
  <c r="L3455" i="2"/>
  <c r="Q3452" i="2"/>
  <c r="Q3437" i="2"/>
  <c r="Q3434" i="2"/>
  <c r="Q3431" i="2"/>
  <c r="Q3428" i="2"/>
  <c r="Q3425" i="2"/>
  <c r="Q3422" i="2"/>
  <c r="Q3419" i="2"/>
  <c r="Q3416" i="2"/>
  <c r="L3415" i="2"/>
  <c r="L3412" i="2"/>
  <c r="Q3403" i="2"/>
  <c r="Q3400" i="2"/>
  <c r="L3399" i="2"/>
  <c r="L3396" i="2"/>
  <c r="P3396" i="2" s="1"/>
  <c r="Q3390" i="2"/>
  <c r="Q3380" i="2"/>
  <c r="L3379" i="2"/>
  <c r="L3368" i="2"/>
  <c r="P3368" i="2" s="1"/>
  <c r="Q3365" i="2"/>
  <c r="L3358" i="2"/>
  <c r="L3355" i="2"/>
  <c r="L3352" i="2"/>
  <c r="L3349" i="2"/>
  <c r="L3346" i="2"/>
  <c r="L3343" i="2"/>
  <c r="L3340" i="2"/>
  <c r="L3337" i="2"/>
  <c r="L3334" i="2"/>
  <c r="L3331" i="2"/>
  <c r="L3328" i="2"/>
  <c r="L3325" i="2"/>
  <c r="L3317" i="2"/>
  <c r="L3312" i="2"/>
  <c r="M3305" i="2"/>
  <c r="L3291" i="2"/>
  <c r="Q3280" i="2"/>
  <c r="L3277" i="2"/>
  <c r="M3246" i="2"/>
  <c r="Q3210" i="2"/>
  <c r="M3198" i="2"/>
  <c r="L3193" i="2"/>
  <c r="L3175" i="2"/>
  <c r="L3173" i="2"/>
  <c r="L3155" i="2"/>
  <c r="M2810" i="2"/>
  <c r="L2810" i="2"/>
  <c r="Q3460" i="2"/>
  <c r="Q3448" i="2"/>
  <c r="Q3413" i="2"/>
  <c r="Q3397" i="2"/>
  <c r="Q3387" i="2"/>
  <c r="Q3369" i="2"/>
  <c r="Q3308" i="2"/>
  <c r="Q3287" i="2"/>
  <c r="L3242" i="2"/>
  <c r="M3240" i="2"/>
  <c r="Q3222" i="2"/>
  <c r="L3210" i="2"/>
  <c r="Q3205" i="2"/>
  <c r="L3198" i="2"/>
  <c r="L3182" i="2"/>
  <c r="M3169" i="2"/>
  <c r="L3169" i="2"/>
  <c r="L3122" i="2"/>
  <c r="M3122" i="2"/>
  <c r="L3116" i="2"/>
  <c r="M3114" i="2"/>
  <c r="Q3110" i="2"/>
  <c r="Q3074" i="2"/>
  <c r="L2993" i="2"/>
  <c r="Q2993" i="2"/>
  <c r="L2897" i="2"/>
  <c r="Q2842" i="2"/>
  <c r="Q3537" i="2"/>
  <c r="Q3525" i="2"/>
  <c r="Q3493" i="2"/>
  <c r="Q3457" i="2"/>
  <c r="Q3445" i="2"/>
  <c r="Q3441" i="2"/>
  <c r="Q3410" i="2"/>
  <c r="Q3394" i="2"/>
  <c r="Q3384" i="2"/>
  <c r="Q3373" i="2"/>
  <c r="Q3362" i="2"/>
  <c r="Q3359" i="2"/>
  <c r="Q3356" i="2"/>
  <c r="Q3353" i="2"/>
  <c r="Q3350" i="2"/>
  <c r="Q3347" i="2"/>
  <c r="Q3344" i="2"/>
  <c r="Q3341" i="2"/>
  <c r="Q3338" i="2"/>
  <c r="Q3335" i="2"/>
  <c r="Q3332" i="2"/>
  <c r="Q3329" i="2"/>
  <c r="Q3326" i="2"/>
  <c r="L3303" i="2"/>
  <c r="Q3292" i="2"/>
  <c r="L3280" i="2"/>
  <c r="Q3265" i="2"/>
  <c r="Q3259" i="2"/>
  <c r="Q3253" i="2"/>
  <c r="M3222" i="2"/>
  <c r="L3205" i="2"/>
  <c r="L3167" i="2"/>
  <c r="Q3055" i="2"/>
  <c r="M3042" i="2"/>
  <c r="Q3042" i="2"/>
  <c r="L2740" i="2"/>
  <c r="M2740" i="2"/>
  <c r="L3551" i="2"/>
  <c r="L3548" i="2"/>
  <c r="M3545" i="2"/>
  <c r="Q3543" i="2"/>
  <c r="M3513" i="2"/>
  <c r="M3507" i="2"/>
  <c r="M3504" i="2"/>
  <c r="Q3502" i="2"/>
  <c r="Q3499" i="2"/>
  <c r="L3498" i="2"/>
  <c r="L3484" i="2"/>
  <c r="L3464" i="2"/>
  <c r="Q3461" i="2"/>
  <c r="L3452" i="2"/>
  <c r="Q3449" i="2"/>
  <c r="L3437" i="2"/>
  <c r="L3434" i="2"/>
  <c r="L3431" i="2"/>
  <c r="P3431" i="2" s="1"/>
  <c r="L3428" i="2"/>
  <c r="L3425" i="2"/>
  <c r="L3422" i="2"/>
  <c r="L3419" i="2"/>
  <c r="L3416" i="2"/>
  <c r="Q3407" i="2"/>
  <c r="Q3404" i="2"/>
  <c r="L3403" i="2"/>
  <c r="L3400" i="2"/>
  <c r="Q3391" i="2"/>
  <c r="L3390" i="2"/>
  <c r="L3380" i="2"/>
  <c r="Q3377" i="2"/>
  <c r="Q3366" i="2"/>
  <c r="L3365" i="2"/>
  <c r="Q3321" i="2"/>
  <c r="M3315" i="2"/>
  <c r="M3310" i="2"/>
  <c r="Q3299" i="2"/>
  <c r="M3296" i="2"/>
  <c r="L3294" i="2"/>
  <c r="M3287" i="2"/>
  <c r="M3273" i="2"/>
  <c r="M3271" i="2"/>
  <c r="Q3247" i="2"/>
  <c r="L3222" i="2"/>
  <c r="Q3220" i="2"/>
  <c r="Q3218" i="2"/>
  <c r="M3215" i="2"/>
  <c r="M3210" i="2"/>
  <c r="Q3172" i="2"/>
  <c r="Q3152" i="2"/>
  <c r="Q3150" i="2"/>
  <c r="Q3146" i="2"/>
  <c r="M3143" i="2"/>
  <c r="L3143" i="2"/>
  <c r="Q2943" i="2"/>
  <c r="L2698" i="2"/>
  <c r="Q2698" i="2"/>
  <c r="L3074" i="2"/>
  <c r="L3046" i="2"/>
  <c r="L3019" i="2"/>
  <c r="L3004" i="2"/>
  <c r="M2994" i="2"/>
  <c r="L2981" i="2"/>
  <c r="M2979" i="2"/>
  <c r="M2936" i="2"/>
  <c r="M2931" i="2"/>
  <c r="Q2908" i="2"/>
  <c r="L2895" i="2"/>
  <c r="L2891" i="2"/>
  <c r="L2878" i="2"/>
  <c r="Q2834" i="2"/>
  <c r="M2822" i="2"/>
  <c r="L2822" i="2"/>
  <c r="M2816" i="2"/>
  <c r="L2816" i="2"/>
  <c r="M2720" i="2"/>
  <c r="L2562" i="2"/>
  <c r="M2562" i="2"/>
  <c r="M2558" i="2"/>
  <c r="M3157" i="2"/>
  <c r="L3144" i="2"/>
  <c r="L3139" i="2"/>
  <c r="L3134" i="2"/>
  <c r="Q3075" i="2"/>
  <c r="L3067" i="2"/>
  <c r="L3065" i="2"/>
  <c r="L3063" i="2"/>
  <c r="Q3047" i="2"/>
  <c r="L3044" i="2"/>
  <c r="L3034" i="2"/>
  <c r="L3024" i="2"/>
  <c r="Q3000" i="2"/>
  <c r="L2989" i="2"/>
  <c r="M2984" i="2"/>
  <c r="M2974" i="2"/>
  <c r="Q2966" i="2"/>
  <c r="Q2962" i="2"/>
  <c r="M2941" i="2"/>
  <c r="L2919" i="2"/>
  <c r="L2849" i="2"/>
  <c r="Q2840" i="2"/>
  <c r="L2546" i="2"/>
  <c r="M2546" i="2"/>
  <c r="Q3235" i="2"/>
  <c r="Q3233" i="2"/>
  <c r="Q3227" i="2"/>
  <c r="Q3212" i="2"/>
  <c r="Q3176" i="2"/>
  <c r="M3119" i="2"/>
  <c r="L3112" i="2"/>
  <c r="L3109" i="2"/>
  <c r="L3107" i="2"/>
  <c r="L3105" i="2"/>
  <c r="L3086" i="2"/>
  <c r="Q3082" i="2"/>
  <c r="Q3080" i="2"/>
  <c r="Q3035" i="2"/>
  <c r="L3027" i="2"/>
  <c r="Q3017" i="2"/>
  <c r="L3014" i="2"/>
  <c r="L3007" i="2"/>
  <c r="M3002" i="2"/>
  <c r="Q2985" i="2"/>
  <c r="L2969" i="2"/>
  <c r="M2957" i="2"/>
  <c r="Q2954" i="2"/>
  <c r="L2937" i="2"/>
  <c r="L2908" i="2"/>
  <c r="Q2876" i="2"/>
  <c r="L2872" i="2"/>
  <c r="L2813" i="2"/>
  <c r="M2587" i="2"/>
  <c r="Q2587" i="2"/>
  <c r="Q2567" i="2"/>
  <c r="L2792" i="2"/>
  <c r="Q2782" i="2"/>
  <c r="L2782" i="2"/>
  <c r="L2759" i="2"/>
  <c r="M2759" i="2"/>
  <c r="M2567" i="2"/>
  <c r="M2554" i="2"/>
  <c r="Q2554" i="2"/>
  <c r="L3176" i="2"/>
  <c r="Q3174" i="2"/>
  <c r="M3155" i="2"/>
  <c r="Q3148" i="2"/>
  <c r="M3110" i="2"/>
  <c r="L3098" i="2"/>
  <c r="Q3094" i="2"/>
  <c r="Q3092" i="2"/>
  <c r="M3061" i="2"/>
  <c r="Q3057" i="2"/>
  <c r="L3042" i="2"/>
  <c r="L3035" i="2"/>
  <c r="M3030" i="2"/>
  <c r="Q3025" i="2"/>
  <c r="L3022" i="2"/>
  <c r="L3012" i="2"/>
  <c r="M2982" i="2"/>
  <c r="M2972" i="2"/>
  <c r="Q2970" i="2"/>
  <c r="M2962" i="2"/>
  <c r="Q2935" i="2"/>
  <c r="M2934" i="2"/>
  <c r="Q2924" i="2"/>
  <c r="Q2890" i="2"/>
  <c r="Q2854" i="2"/>
  <c r="M2827" i="2"/>
  <c r="M2809" i="2"/>
  <c r="L2755" i="2"/>
  <c r="Q2559" i="2"/>
  <c r="L2497" i="2"/>
  <c r="Q2497" i="2"/>
  <c r="L3199" i="2"/>
  <c r="L3194" i="2"/>
  <c r="M3181" i="2"/>
  <c r="L3168" i="2"/>
  <c r="L3163" i="2"/>
  <c r="L3158" i="2"/>
  <c r="M3145" i="2"/>
  <c r="L3140" i="2"/>
  <c r="Q3138" i="2"/>
  <c r="L3135" i="2"/>
  <c r="L3132" i="2"/>
  <c r="Q3130" i="2"/>
  <c r="L3115" i="2"/>
  <c r="M3103" i="2"/>
  <c r="Q3099" i="2"/>
  <c r="L3091" i="2"/>
  <c r="L3089" i="2"/>
  <c r="L3087" i="2"/>
  <c r="Q3073" i="2"/>
  <c r="L3068" i="2"/>
  <c r="Q3062" i="2"/>
  <c r="Q3045" i="2"/>
  <c r="Q3043" i="2"/>
  <c r="L3040" i="2"/>
  <c r="Q3023" i="2"/>
  <c r="L3015" i="2"/>
  <c r="L2977" i="2"/>
  <c r="L2960" i="2"/>
  <c r="L2927" i="2"/>
  <c r="Q2864" i="2"/>
  <c r="L2862" i="2"/>
  <c r="Q2848" i="2"/>
  <c r="M2821" i="2"/>
  <c r="Q2800" i="2"/>
  <c r="L2731" i="2"/>
  <c r="L2576" i="2"/>
  <c r="M2576" i="2"/>
  <c r="Q2537" i="2"/>
  <c r="M2368" i="2"/>
  <c r="Q3106" i="2"/>
  <c r="Q3069" i="2"/>
  <c r="M2973" i="2"/>
  <c r="L2920" i="2"/>
  <c r="L2890" i="2"/>
  <c r="Q2884" i="2"/>
  <c r="Q2856" i="2"/>
  <c r="M2786" i="2"/>
  <c r="L2786" i="2"/>
  <c r="L2719" i="2"/>
  <c r="L2707" i="2"/>
  <c r="L2695" i="2"/>
  <c r="M2530" i="2"/>
  <c r="Q3164" i="2"/>
  <c r="L3161" i="2"/>
  <c r="L3128" i="2"/>
  <c r="Q3126" i="2"/>
  <c r="L3123" i="2"/>
  <c r="L3120" i="2"/>
  <c r="L3080" i="2"/>
  <c r="Q3031" i="2"/>
  <c r="Q3013" i="2"/>
  <c r="Q3001" i="2"/>
  <c r="M2993" i="2"/>
  <c r="L2918" i="2"/>
  <c r="L2909" i="2"/>
  <c r="L2873" i="2"/>
  <c r="L2867" i="2"/>
  <c r="L2848" i="2"/>
  <c r="Q2806" i="2"/>
  <c r="M2572" i="2"/>
  <c r="L2563" i="2"/>
  <c r="M2563" i="2"/>
  <c r="L2537" i="2"/>
  <c r="M2537" i="2"/>
  <c r="Q2858" i="2"/>
  <c r="L2858" i="2"/>
  <c r="Q2742" i="2"/>
  <c r="M2590" i="2"/>
  <c r="Q2590" i="2"/>
  <c r="Q3051" i="2"/>
  <c r="L3048" i="2"/>
  <c r="Q3041" i="2"/>
  <c r="Q3039" i="2"/>
  <c r="L3031" i="2"/>
  <c r="Q3021" i="2"/>
  <c r="L3018" i="2"/>
  <c r="M2998" i="2"/>
  <c r="L2978" i="2"/>
  <c r="L2956" i="2"/>
  <c r="L2945" i="2"/>
  <c r="L2903" i="2"/>
  <c r="Q2832" i="2"/>
  <c r="Q2826" i="2"/>
  <c r="L2812" i="2"/>
  <c r="L2802" i="2"/>
  <c r="L2774" i="2"/>
  <c r="M2766" i="2"/>
  <c r="M2742" i="2"/>
  <c r="L2742" i="2"/>
  <c r="Q2726" i="2"/>
  <c r="Q2690" i="2"/>
  <c r="Q2684" i="2"/>
  <c r="Q2678" i="2"/>
  <c r="Q2672" i="2"/>
  <c r="Q2666" i="2"/>
  <c r="Q2660" i="2"/>
  <c r="Q2654" i="2"/>
  <c r="Q2648" i="2"/>
  <c r="Q2642" i="2"/>
  <c r="Q2636" i="2"/>
  <c r="Q2630" i="2"/>
  <c r="Q2624" i="2"/>
  <c r="Q2568" i="2"/>
  <c r="Q3093" i="2"/>
  <c r="L3085" i="2"/>
  <c r="L3083" i="2"/>
  <c r="L3081" i="2"/>
  <c r="M3074" i="2"/>
  <c r="Q3067" i="2"/>
  <c r="L3062" i="2"/>
  <c r="M3046" i="2"/>
  <c r="L3036" i="2"/>
  <c r="Q3019" i="2"/>
  <c r="L3011" i="2"/>
  <c r="M3006" i="2"/>
  <c r="Q2991" i="2"/>
  <c r="M2986" i="2"/>
  <c r="M2981" i="2"/>
  <c r="L2976" i="2"/>
  <c r="Q2974" i="2"/>
  <c r="L2953" i="2"/>
  <c r="M2948" i="2"/>
  <c r="L2936" i="2"/>
  <c r="L2921" i="2"/>
  <c r="L2882" i="2"/>
  <c r="L2842" i="2"/>
  <c r="Q2836" i="2"/>
  <c r="L2834" i="2"/>
  <c r="L2832" i="2"/>
  <c r="L2824" i="2"/>
  <c r="L2814" i="2"/>
  <c r="L2766" i="2"/>
  <c r="L2734" i="2"/>
  <c r="Q2714" i="2"/>
  <c r="Q2710" i="2"/>
  <c r="Q2708" i="2"/>
  <c r="M2696" i="2"/>
  <c r="Q2696" i="2"/>
  <c r="M2568" i="2"/>
  <c r="Q2562" i="2"/>
  <c r="M2524" i="2"/>
  <c r="M2515" i="2"/>
  <c r="M2421" i="2"/>
  <c r="Q2906" i="2"/>
  <c r="Q2894" i="2"/>
  <c r="L2885" i="2"/>
  <c r="L2866" i="2"/>
  <c r="L2859" i="2"/>
  <c r="Q2850" i="2"/>
  <c r="M2845" i="2"/>
  <c r="L2843" i="2"/>
  <c r="L2817" i="2"/>
  <c r="Q2796" i="2"/>
  <c r="M2791" i="2"/>
  <c r="Q2763" i="2"/>
  <c r="L2737" i="2"/>
  <c r="Q2702" i="2"/>
  <c r="L2565" i="2"/>
  <c r="M2565" i="2"/>
  <c r="L2552" i="2"/>
  <c r="M2552" i="2"/>
  <c r="L2544" i="2"/>
  <c r="M2542" i="2"/>
  <c r="M2538" i="2"/>
  <c r="Q2526" i="2"/>
  <c r="M2514" i="2"/>
  <c r="Q2507" i="2"/>
  <c r="L2474" i="2"/>
  <c r="M2451" i="2"/>
  <c r="Q2852" i="2"/>
  <c r="L2836" i="2"/>
  <c r="Q2820" i="2"/>
  <c r="Q2808" i="2"/>
  <c r="L2801" i="2"/>
  <c r="L2763" i="2"/>
  <c r="L2757" i="2"/>
  <c r="L2751" i="2"/>
  <c r="Q2741" i="2"/>
  <c r="Q2723" i="2"/>
  <c r="Q2717" i="2"/>
  <c r="M2679" i="2"/>
  <c r="M2673" i="2"/>
  <c r="M2667" i="2"/>
  <c r="M2661" i="2"/>
  <c r="M2655" i="2"/>
  <c r="M2649" i="2"/>
  <c r="M2643" i="2"/>
  <c r="M2637" i="2"/>
  <c r="M2631" i="2"/>
  <c r="M2625" i="2"/>
  <c r="M2619" i="2"/>
  <c r="M2613" i="2"/>
  <c r="M2607" i="2"/>
  <c r="M2601" i="2"/>
  <c r="M2595" i="2"/>
  <c r="M2592" i="2"/>
  <c r="M2578" i="2"/>
  <c r="M2571" i="2"/>
  <c r="L2535" i="2"/>
  <c r="M2520" i="2"/>
  <c r="L2511" i="2"/>
  <c r="Q2505" i="2"/>
  <c r="M2470" i="2"/>
  <c r="L2470" i="2"/>
  <c r="Q2442" i="2"/>
  <c r="L2395" i="2"/>
  <c r="M2395" i="2"/>
  <c r="Q2395" i="2"/>
  <c r="Q2572" i="2"/>
  <c r="L2549" i="2"/>
  <c r="M2549" i="2"/>
  <c r="L2517" i="2"/>
  <c r="Q2515" i="2"/>
  <c r="L2507" i="2"/>
  <c r="M2507" i="2"/>
  <c r="M2494" i="2"/>
  <c r="L2494" i="2"/>
  <c r="L2438" i="2"/>
  <c r="M2438" i="2"/>
  <c r="Q2373" i="2"/>
  <c r="L2373" i="2"/>
  <c r="M2373" i="2"/>
  <c r="L2787" i="2"/>
  <c r="Q2778" i="2"/>
  <c r="M2584" i="2"/>
  <c r="M2581" i="2"/>
  <c r="L2571" i="2"/>
  <c r="L2566" i="2"/>
  <c r="L2561" i="2"/>
  <c r="Q2543" i="2"/>
  <c r="Q2530" i="2"/>
  <c r="L2529" i="2"/>
  <c r="Q2524" i="2"/>
  <c r="L2523" i="2"/>
  <c r="L2520" i="2"/>
  <c r="M2518" i="2"/>
  <c r="L2783" i="2"/>
  <c r="M2780" i="2"/>
  <c r="L2778" i="2"/>
  <c r="Q2510" i="2"/>
  <c r="L2499" i="2"/>
  <c r="M2499" i="2"/>
  <c r="Q2487" i="2"/>
  <c r="M2479" i="2"/>
  <c r="L2479" i="2"/>
  <c r="Q2421" i="2"/>
  <c r="L2355" i="2"/>
  <c r="M2355" i="2"/>
  <c r="L2322" i="2"/>
  <c r="M2322" i="2"/>
  <c r="Q2900" i="2"/>
  <c r="Q2888" i="2"/>
  <c r="Q2846" i="2"/>
  <c r="L2844" i="2"/>
  <c r="L2830" i="2"/>
  <c r="L2823" i="2"/>
  <c r="L2811" i="2"/>
  <c r="L2795" i="2"/>
  <c r="M2792" i="2"/>
  <c r="L2790" i="2"/>
  <c r="L2761" i="2"/>
  <c r="Q2739" i="2"/>
  <c r="L2692" i="2"/>
  <c r="L2686" i="2"/>
  <c r="M2680" i="2"/>
  <c r="M2674" i="2"/>
  <c r="M2668" i="2"/>
  <c r="M2662" i="2"/>
  <c r="M2656" i="2"/>
  <c r="M2650" i="2"/>
  <c r="M2644" i="2"/>
  <c r="M2638" i="2"/>
  <c r="M2632" i="2"/>
  <c r="M2626" i="2"/>
  <c r="M2620" i="2"/>
  <c r="M2614" i="2"/>
  <c r="M2608" i="2"/>
  <c r="M2602" i="2"/>
  <c r="M2596" i="2"/>
  <c r="L2587" i="2"/>
  <c r="L2572" i="2"/>
  <c r="L2567" i="2"/>
  <c r="L2558" i="2"/>
  <c r="Q2555" i="2"/>
  <c r="L2543" i="2"/>
  <c r="M2543" i="2"/>
  <c r="Q2519" i="2"/>
  <c r="Q2491" i="2"/>
  <c r="M2487" i="2"/>
  <c r="Q2454" i="2"/>
  <c r="L2739" i="2"/>
  <c r="L2689" i="2"/>
  <c r="L2683" i="2"/>
  <c r="M2677" i="2"/>
  <c r="M2671" i="2"/>
  <c r="M2665" i="2"/>
  <c r="M2659" i="2"/>
  <c r="M2653" i="2"/>
  <c r="M2647" i="2"/>
  <c r="M2641" i="2"/>
  <c r="M2635" i="2"/>
  <c r="M2629" i="2"/>
  <c r="M2623" i="2"/>
  <c r="M2617" i="2"/>
  <c r="M2611" i="2"/>
  <c r="M2605" i="2"/>
  <c r="M2599" i="2"/>
  <c r="M2593" i="2"/>
  <c r="M2577" i="2"/>
  <c r="Q2544" i="2"/>
  <c r="Q2541" i="2"/>
  <c r="L2540" i="2"/>
  <c r="M2540" i="2"/>
  <c r="Q2493" i="2"/>
  <c r="M2493" i="2"/>
  <c r="L2483" i="2"/>
  <c r="M2483" i="2"/>
  <c r="Q2431" i="2"/>
  <c r="L2431" i="2"/>
  <c r="L2410" i="2"/>
  <c r="L2513" i="2"/>
  <c r="M2513" i="2"/>
  <c r="L2458" i="2"/>
  <c r="L2450" i="2"/>
  <c r="Q2828" i="2"/>
  <c r="L2826" i="2"/>
  <c r="M2774" i="2"/>
  <c r="M2569" i="2"/>
  <c r="L2568" i="2"/>
  <c r="M2560" i="2"/>
  <c r="L2555" i="2"/>
  <c r="M2555" i="2"/>
  <c r="Q2538" i="2"/>
  <c r="Q2535" i="2"/>
  <c r="L2534" i="2"/>
  <c r="M2534" i="2"/>
  <c r="L2519" i="2"/>
  <c r="M2519" i="2"/>
  <c r="L2516" i="2"/>
  <c r="M2516" i="2"/>
  <c r="Q2511" i="2"/>
  <c r="M2506" i="2"/>
  <c r="M2500" i="2"/>
  <c r="L2500" i="2"/>
  <c r="L2476" i="2"/>
  <c r="L2456" i="2"/>
  <c r="M2456" i="2"/>
  <c r="L2376" i="2"/>
  <c r="M2376" i="2"/>
  <c r="L2889" i="2"/>
  <c r="Q2870" i="2"/>
  <c r="L2854" i="2"/>
  <c r="L2847" i="2"/>
  <c r="Q2838" i="2"/>
  <c r="M2833" i="2"/>
  <c r="L2831" i="2"/>
  <c r="Q2784" i="2"/>
  <c r="M2779" i="2"/>
  <c r="L2769" i="2"/>
  <c r="L2747" i="2"/>
  <c r="L2725" i="2"/>
  <c r="L2713" i="2"/>
  <c r="L2710" i="2"/>
  <c r="L2690" i="2"/>
  <c r="L2687" i="2"/>
  <c r="L2684" i="2"/>
  <c r="M2681" i="2"/>
  <c r="M2675" i="2"/>
  <c r="M2669" i="2"/>
  <c r="M2663" i="2"/>
  <c r="M2657" i="2"/>
  <c r="M2651" i="2"/>
  <c r="M2645" i="2"/>
  <c r="M2639" i="2"/>
  <c r="M2633" i="2"/>
  <c r="M2627" i="2"/>
  <c r="M2621" i="2"/>
  <c r="M2615" i="2"/>
  <c r="M2609" i="2"/>
  <c r="M2603" i="2"/>
  <c r="M2597" i="2"/>
  <c r="Q2566" i="2"/>
  <c r="L2531" i="2"/>
  <c r="M2531" i="2"/>
  <c r="L2525" i="2"/>
  <c r="M2525" i="2"/>
  <c r="L2522" i="2"/>
  <c r="M2522" i="2"/>
  <c r="Q2517" i="2"/>
  <c r="Q2514" i="2"/>
  <c r="Q2365" i="2"/>
  <c r="M2365" i="2"/>
  <c r="L2334" i="2"/>
  <c r="M2334" i="2"/>
  <c r="L2310" i="2"/>
  <c r="M2310" i="2"/>
  <c r="L2541" i="2"/>
  <c r="L2528" i="2"/>
  <c r="M2528" i="2"/>
  <c r="L2434" i="2"/>
  <c r="M2591" i="2"/>
  <c r="M2585" i="2"/>
  <c r="M2579" i="2"/>
  <c r="L2575" i="2"/>
  <c r="L2564" i="2"/>
  <c r="Q2496" i="2"/>
  <c r="Q2489" i="2"/>
  <c r="Q2476" i="2"/>
  <c r="L2451" i="2"/>
  <c r="L2444" i="2"/>
  <c r="L2433" i="2"/>
  <c r="L2430" i="2"/>
  <c r="M2422" i="2"/>
  <c r="L2419" i="2"/>
  <c r="Q2405" i="2"/>
  <c r="L2391" i="2"/>
  <c r="Q2385" i="2"/>
  <c r="M2383" i="2"/>
  <c r="Q2377" i="2"/>
  <c r="Q2366" i="2"/>
  <c r="M2347" i="2"/>
  <c r="M2340" i="2"/>
  <c r="M2328" i="2"/>
  <c r="M2316" i="2"/>
  <c r="M2304" i="2"/>
  <c r="L2253" i="2"/>
  <c r="L2202" i="2"/>
  <c r="Q2200" i="2"/>
  <c r="M2197" i="2"/>
  <c r="M2190" i="2"/>
  <c r="M2177" i="2"/>
  <c r="Q2173" i="2"/>
  <c r="M2172" i="2"/>
  <c r="P2172" i="2" s="1"/>
  <c r="L2165" i="2"/>
  <c r="L2159" i="2"/>
  <c r="L2138" i="2"/>
  <c r="M2133" i="2"/>
  <c r="M2128" i="2"/>
  <c r="Q2108" i="2"/>
  <c r="L2052" i="2"/>
  <c r="M2035" i="2"/>
  <c r="L2014" i="2"/>
  <c r="M2014" i="2"/>
  <c r="M2006" i="2"/>
  <c r="Q1943" i="2"/>
  <c r="Q1932" i="2"/>
  <c r="M2491" i="2"/>
  <c r="M2469" i="2"/>
  <c r="Q2388" i="2"/>
  <c r="Q2369" i="2"/>
  <c r="L2175" i="2"/>
  <c r="Q2163" i="2"/>
  <c r="M2159" i="2"/>
  <c r="L2154" i="2"/>
  <c r="M2151" i="2"/>
  <c r="M2146" i="2"/>
  <c r="M2141" i="2"/>
  <c r="Q2139" i="2"/>
  <c r="M2138" i="2"/>
  <c r="M2136" i="2"/>
  <c r="M2125" i="2"/>
  <c r="Q2098" i="2"/>
  <c r="L2095" i="2"/>
  <c r="M2073" i="2"/>
  <c r="Q2066" i="2"/>
  <c r="Q2061" i="2"/>
  <c r="L2054" i="2"/>
  <c r="L2020" i="2"/>
  <c r="M2364" i="2"/>
  <c r="Q2213" i="2"/>
  <c r="L2050" i="2"/>
  <c r="L2016" i="2"/>
  <c r="L1956" i="2"/>
  <c r="M1956" i="2"/>
  <c r="L2554" i="2"/>
  <c r="L2548" i="2"/>
  <c r="L2542" i="2"/>
  <c r="L2536" i="2"/>
  <c r="L2530" i="2"/>
  <c r="L2524" i="2"/>
  <c r="L2518" i="2"/>
  <c r="L2512" i="2"/>
  <c r="M2467" i="2"/>
  <c r="M2462" i="2"/>
  <c r="M2457" i="2"/>
  <c r="Q2452" i="2"/>
  <c r="L2442" i="2"/>
  <c r="M2434" i="2"/>
  <c r="M2426" i="2"/>
  <c r="Q2417" i="2"/>
  <c r="L2397" i="2"/>
  <c r="L2394" i="2"/>
  <c r="M2392" i="2"/>
  <c r="Q2386" i="2"/>
  <c r="Q2375" i="2"/>
  <c r="M2367" i="2"/>
  <c r="L2364" i="2"/>
  <c r="M2359" i="2"/>
  <c r="M2343" i="2"/>
  <c r="M2331" i="2"/>
  <c r="M2319" i="2"/>
  <c r="M2307" i="2"/>
  <c r="M2295" i="2"/>
  <c r="L2260" i="2"/>
  <c r="L2258" i="2"/>
  <c r="L2207" i="2"/>
  <c r="L2185" i="2"/>
  <c r="L2182" i="2"/>
  <c r="Q2161" i="2"/>
  <c r="M2160" i="2"/>
  <c r="M2157" i="2"/>
  <c r="M2139" i="2"/>
  <c r="M2134" i="2"/>
  <c r="Q2121" i="2"/>
  <c r="Q2116" i="2"/>
  <c r="M2088" i="2"/>
  <c r="Q2083" i="2"/>
  <c r="Q2069" i="2"/>
  <c r="L2046" i="2"/>
  <c r="M2046" i="2"/>
  <c r="Q2042" i="2"/>
  <c r="L1983" i="2"/>
  <c r="M1968" i="2"/>
  <c r="L1962" i="2"/>
  <c r="M1962" i="2"/>
  <c r="Q1840" i="2"/>
  <c r="Q2492" i="2"/>
  <c r="M2445" i="2"/>
  <c r="Q2440" i="2"/>
  <c r="Q2378" i="2"/>
  <c r="Q2361" i="2"/>
  <c r="M2293" i="2"/>
  <c r="L2213" i="2"/>
  <c r="L2188" i="2"/>
  <c r="M2170" i="2"/>
  <c r="L2168" i="2"/>
  <c r="M2166" i="2"/>
  <c r="Q2057" i="2"/>
  <c r="Q2021" i="2"/>
  <c r="L1993" i="2"/>
  <c r="M1987" i="2"/>
  <c r="Q1878" i="2"/>
  <c r="M1870" i="2"/>
  <c r="L1870" i="2"/>
  <c r="Q1870" i="2"/>
  <c r="Q2211" i="2"/>
  <c r="M2149" i="2"/>
  <c r="M2129" i="2"/>
  <c r="M2121" i="2"/>
  <c r="M2111" i="2"/>
  <c r="Q2109" i="2"/>
  <c r="Q2089" i="2"/>
  <c r="M2069" i="2"/>
  <c r="L2042" i="2"/>
  <c r="M2042" i="2"/>
  <c r="M2455" i="2"/>
  <c r="Q2429" i="2"/>
  <c r="L2409" i="2"/>
  <c r="L2406" i="2"/>
  <c r="M2398" i="2"/>
  <c r="Q2384" i="2"/>
  <c r="Q2367" i="2"/>
  <c r="L2023" i="2"/>
  <c r="L2011" i="2"/>
  <c r="M2011" i="2"/>
  <c r="M2007" i="2"/>
  <c r="Q2007" i="2"/>
  <c r="M2003" i="2"/>
  <c r="Q2001" i="2"/>
  <c r="L2001" i="2"/>
  <c r="Q1957" i="2"/>
  <c r="L1949" i="2"/>
  <c r="M1949" i="2"/>
  <c r="M2443" i="2"/>
  <c r="Q2387" i="2"/>
  <c r="Q2370" i="2"/>
  <c r="L2348" i="2"/>
  <c r="L2265" i="2"/>
  <c r="L2211" i="2"/>
  <c r="Q2199" i="2"/>
  <c r="M2195" i="2"/>
  <c r="L2191" i="2"/>
  <c r="L2158" i="2"/>
  <c r="M2137" i="2"/>
  <c r="M2126" i="2"/>
  <c r="M2124" i="2"/>
  <c r="M2096" i="2"/>
  <c r="M2009" i="2"/>
  <c r="Q1963" i="2"/>
  <c r="L2291" i="2"/>
  <c r="L2248" i="2"/>
  <c r="L2246" i="2"/>
  <c r="Q2138" i="2"/>
  <c r="L2051" i="2"/>
  <c r="L2017" i="2"/>
  <c r="L2013" i="2"/>
  <c r="P2013" i="2" s="1"/>
  <c r="L1955" i="2"/>
  <c r="M1955" i="2"/>
  <c r="L2551" i="2"/>
  <c r="L2545" i="2"/>
  <c r="L2539" i="2"/>
  <c r="L2533" i="2"/>
  <c r="L2527" i="2"/>
  <c r="L2521" i="2"/>
  <c r="L2515" i="2"/>
  <c r="L2495" i="2"/>
  <c r="L2475" i="2"/>
  <c r="M2458" i="2"/>
  <c r="Q2441" i="2"/>
  <c r="L2421" i="2"/>
  <c r="L2418" i="2"/>
  <c r="M2410" i="2"/>
  <c r="M2402" i="2"/>
  <c r="Q2393" i="2"/>
  <c r="M2385" i="2"/>
  <c r="L2382" i="2"/>
  <c r="Q2376" i="2"/>
  <c r="M2374" i="2"/>
  <c r="Q2368" i="2"/>
  <c r="M2351" i="2"/>
  <c r="M2337" i="2"/>
  <c r="M2325" i="2"/>
  <c r="M2313" i="2"/>
  <c r="M2301" i="2"/>
  <c r="L2289" i="2"/>
  <c r="L2261" i="2"/>
  <c r="L2259" i="2"/>
  <c r="L2199" i="2"/>
  <c r="M2183" i="2"/>
  <c r="L2181" i="2"/>
  <c r="L2179" i="2"/>
  <c r="Q2092" i="2"/>
  <c r="M2051" i="2"/>
  <c r="M2045" i="2"/>
  <c r="L1986" i="2"/>
  <c r="L1963" i="2"/>
  <c r="M1963" i="2"/>
  <c r="L1961" i="2"/>
  <c r="M1961" i="2"/>
  <c r="Q1935" i="2"/>
  <c r="Q2416" i="2"/>
  <c r="M2388" i="2"/>
  <c r="Q2379" i="2"/>
  <c r="Q2371" i="2"/>
  <c r="Q2360" i="2"/>
  <c r="L2344" i="2"/>
  <c r="L2272" i="2"/>
  <c r="L2270" i="2"/>
  <c r="L2214" i="2"/>
  <c r="M2189" i="2"/>
  <c r="L2162" i="2"/>
  <c r="L2150" i="2"/>
  <c r="M2132" i="2"/>
  <c r="M2130" i="2"/>
  <c r="M2117" i="2"/>
  <c r="M2114" i="2"/>
  <c r="M2112" i="2"/>
  <c r="M2107" i="2"/>
  <c r="M2105" i="2"/>
  <c r="L2092" i="2"/>
  <c r="M2082" i="2"/>
  <c r="L2030" i="2"/>
  <c r="M2030" i="2"/>
  <c r="L1998" i="2"/>
  <c r="M1996" i="2"/>
  <c r="M1992" i="2"/>
  <c r="L1910" i="2"/>
  <c r="M2391" i="2"/>
  <c r="Q2151" i="2"/>
  <c r="Q2095" i="2"/>
  <c r="Q2073" i="2"/>
  <c r="M2063" i="2"/>
  <c r="L2026" i="2"/>
  <c r="P2026" i="2" s="1"/>
  <c r="M1982" i="2"/>
  <c r="L1982" i="2"/>
  <c r="M1948" i="2"/>
  <c r="L1948" i="2"/>
  <c r="Q1948" i="2"/>
  <c r="L1884" i="2"/>
  <c r="M1884" i="2"/>
  <c r="M2101" i="2"/>
  <c r="Q2096" i="2"/>
  <c r="L2093" i="2"/>
  <c r="M2090" i="2"/>
  <c r="M2084" i="2"/>
  <c r="L2007" i="2"/>
  <c r="M1989" i="2"/>
  <c r="M1986" i="2"/>
  <c r="L1967" i="2"/>
  <c r="M1954" i="2"/>
  <c r="M1951" i="2"/>
  <c r="M1947" i="2"/>
  <c r="M1923" i="2"/>
  <c r="M1920" i="2"/>
  <c r="M1917" i="2"/>
  <c r="M1914" i="2"/>
  <c r="Q1902" i="2"/>
  <c r="M1890" i="2"/>
  <c r="Q1883" i="2"/>
  <c r="Q1867" i="2"/>
  <c r="Q1847" i="2"/>
  <c r="L1847" i="2"/>
  <c r="M1847" i="2"/>
  <c r="L1843" i="2"/>
  <c r="Q1812" i="2"/>
  <c r="Q2020" i="2"/>
  <c r="Q2017" i="2"/>
  <c r="Q2008" i="2"/>
  <c r="L1977" i="2"/>
  <c r="M1902" i="2"/>
  <c r="M1888" i="2"/>
  <c r="Q1861" i="2"/>
  <c r="L1855" i="2"/>
  <c r="M1855" i="2"/>
  <c r="M1867" i="2"/>
  <c r="L1867" i="2"/>
  <c r="L2034" i="2"/>
  <c r="Q1984" i="2"/>
  <c r="L1981" i="2"/>
  <c r="L1968" i="2"/>
  <c r="M1912" i="2"/>
  <c r="Q1893" i="2"/>
  <c r="L1853" i="2"/>
  <c r="M1833" i="2"/>
  <c r="M2008" i="2"/>
  <c r="L1912" i="2"/>
  <c r="M1881" i="2"/>
  <c r="L1881" i="2"/>
  <c r="Q1850" i="2"/>
  <c r="M1850" i="2"/>
  <c r="L1848" i="2"/>
  <c r="L1846" i="2"/>
  <c r="L1837" i="2"/>
  <c r="M1837" i="2"/>
  <c r="M1788" i="2"/>
  <c r="L1788" i="2"/>
  <c r="Q1788" i="2"/>
  <c r="M1819" i="2"/>
  <c r="Q1819" i="2"/>
  <c r="M2120" i="2"/>
  <c r="M2118" i="2"/>
  <c r="Q2100" i="2"/>
  <c r="M2094" i="2"/>
  <c r="Q2078" i="2"/>
  <c r="L2064" i="2"/>
  <c r="L2058" i="2"/>
  <c r="Q2012" i="2"/>
  <c r="L1969" i="2"/>
  <c r="L1959" i="2"/>
  <c r="Q1848" i="2"/>
  <c r="M1848" i="2"/>
  <c r="Q1846" i="2"/>
  <c r="M1846" i="2"/>
  <c r="M1842" i="2"/>
  <c r="M2015" i="2"/>
  <c r="M2012" i="2"/>
  <c r="L1985" i="2"/>
  <c r="Q1982" i="2"/>
  <c r="L1978" i="2"/>
  <c r="Q1925" i="2"/>
  <c r="M1889" i="2"/>
  <c r="Q1873" i="2"/>
  <c r="Q1866" i="2"/>
  <c r="L1823" i="2"/>
  <c r="M1823" i="2"/>
  <c r="Q1804" i="2"/>
  <c r="M2061" i="2"/>
  <c r="L2053" i="2"/>
  <c r="L1980" i="2"/>
  <c r="L1970" i="2"/>
  <c r="L1966" i="2"/>
  <c r="M1960" i="2"/>
  <c r="M1957" i="2"/>
  <c r="L1953" i="2"/>
  <c r="Q1951" i="2"/>
  <c r="M1950" i="2"/>
  <c r="Q1947" i="2"/>
  <c r="M1910" i="2"/>
  <c r="M1906" i="2"/>
  <c r="M1898" i="2"/>
  <c r="M1895" i="2"/>
  <c r="M1878" i="2"/>
  <c r="L1873" i="2"/>
  <c r="M1866" i="2"/>
  <c r="Q1864" i="2"/>
  <c r="Q1845" i="2"/>
  <c r="L1840" i="2"/>
  <c r="M1840" i="2"/>
  <c r="Q1818" i="2"/>
  <c r="Q1814" i="2"/>
  <c r="Q1810" i="2"/>
  <c r="Q2016" i="2"/>
  <c r="Q2013" i="2"/>
  <c r="L1901" i="2"/>
  <c r="Q1876" i="2"/>
  <c r="M1791" i="2"/>
  <c r="L1791" i="2"/>
  <c r="Q1791" i="2"/>
  <c r="M1864" i="2"/>
  <c r="L1864" i="2"/>
  <c r="Q1852" i="2"/>
  <c r="L1852" i="2"/>
  <c r="M1852" i="2"/>
  <c r="Q1843" i="2"/>
  <c r="Q1817" i="2"/>
  <c r="L1806" i="2"/>
  <c r="M1806" i="2"/>
  <c r="L1766" i="2"/>
  <c r="L1756" i="2"/>
  <c r="L1732" i="2"/>
  <c r="L1729" i="2"/>
  <c r="Q1820" i="2"/>
  <c r="L1811" i="2"/>
  <c r="Q1807" i="2"/>
  <c r="Q1785" i="2"/>
  <c r="Q1782" i="2"/>
  <c r="M1757" i="2"/>
  <c r="Q1739" i="2"/>
  <c r="Q1736" i="2"/>
  <c r="M1724" i="2"/>
  <c r="L1701" i="2"/>
  <c r="M1701" i="2"/>
  <c r="L1689" i="2"/>
  <c r="M1689" i="2"/>
  <c r="Q1851" i="2"/>
  <c r="Q1833" i="2"/>
  <c r="Q1823" i="2"/>
  <c r="M1820" i="2"/>
  <c r="L1814" i="2"/>
  <c r="P1814" i="2" s="1"/>
  <c r="M1793" i="2"/>
  <c r="Q1775" i="2"/>
  <c r="Q1762" i="2"/>
  <c r="Q1758" i="2"/>
  <c r="Q1750" i="2"/>
  <c r="Q1746" i="2"/>
  <c r="L1745" i="2"/>
  <c r="M1739" i="2"/>
  <c r="L1736" i="2"/>
  <c r="Q1733" i="2"/>
  <c r="Q1730" i="2"/>
  <c r="Q1714" i="2"/>
  <c r="L1705" i="2"/>
  <c r="L1693" i="2"/>
  <c r="Q1887" i="2"/>
  <c r="Q1839" i="2"/>
  <c r="Q1836" i="2"/>
  <c r="Q1826" i="2"/>
  <c r="L1817" i="2"/>
  <c r="P1817" i="2" s="1"/>
  <c r="L1809" i="2"/>
  <c r="M1809" i="2"/>
  <c r="L1785" i="2"/>
  <c r="L1782" i="2"/>
  <c r="Q1754" i="2"/>
  <c r="L1753" i="2"/>
  <c r="M1746" i="2"/>
  <c r="Q1743" i="2"/>
  <c r="M1742" i="2"/>
  <c r="M1733" i="2"/>
  <c r="L1730" i="2"/>
  <c r="L1720" i="2"/>
  <c r="L1677" i="2"/>
  <c r="M1677" i="2"/>
  <c r="Q1805" i="2"/>
  <c r="M1802" i="2"/>
  <c r="Q1802" i="2"/>
  <c r="L1746" i="2"/>
  <c r="L1812" i="2"/>
  <c r="L1765" i="2"/>
  <c r="Q1763" i="2"/>
  <c r="L1762" i="2"/>
  <c r="Q1751" i="2"/>
  <c r="L1750" i="2"/>
  <c r="Q1700" i="2"/>
  <c r="Q1688" i="2"/>
  <c r="L1670" i="2"/>
  <c r="M1670" i="2"/>
  <c r="M1891" i="2"/>
  <c r="M1872" i="2"/>
  <c r="Q1853" i="2"/>
  <c r="M1834" i="2"/>
  <c r="M1826" i="2"/>
  <c r="L1815" i="2"/>
  <c r="Q1808" i="2"/>
  <c r="L1805" i="2"/>
  <c r="Q1770" i="2"/>
  <c r="M1763" i="2"/>
  <c r="M1751" i="2"/>
  <c r="Q1741" i="2"/>
  <c r="Q1738" i="2"/>
  <c r="L1734" i="2"/>
  <c r="L1728" i="2"/>
  <c r="Q1726" i="2"/>
  <c r="Q1704" i="2"/>
  <c r="Q1692" i="2"/>
  <c r="L1674" i="2"/>
  <c r="M1824" i="2"/>
  <c r="M1808" i="2"/>
  <c r="Q1756" i="2"/>
  <c r="Q1752" i="2"/>
  <c r="Q1735" i="2"/>
  <c r="Q1732" i="2"/>
  <c r="M1700" i="2"/>
  <c r="M1688" i="2"/>
  <c r="Q1901" i="2"/>
  <c r="L1900" i="2"/>
  <c r="Q1854" i="2"/>
  <c r="Q1849" i="2"/>
  <c r="M1829" i="2"/>
  <c r="L1821" i="2"/>
  <c r="L1803" i="2"/>
  <c r="M1803" i="2"/>
  <c r="Q1794" i="2"/>
  <c r="L1794" i="2"/>
  <c r="M1792" i="2"/>
  <c r="M1789" i="2"/>
  <c r="M1786" i="2"/>
  <c r="M1783" i="2"/>
  <c r="Q1760" i="2"/>
  <c r="L1759" i="2"/>
  <c r="Q1748" i="2"/>
  <c r="L1747" i="2"/>
  <c r="M1741" i="2"/>
  <c r="Q1729" i="2"/>
  <c r="L1717" i="2"/>
  <c r="L1708" i="2"/>
  <c r="L1702" i="2"/>
  <c r="L1696" i="2"/>
  <c r="L1690" i="2"/>
  <c r="L1684" i="2"/>
  <c r="Q1811" i="2"/>
  <c r="M1760" i="2"/>
  <c r="M1756" i="2"/>
  <c r="M1748" i="2"/>
  <c r="M1735" i="2"/>
  <c r="M1729" i="2"/>
  <c r="Q1724" i="2"/>
  <c r="L1825" i="2"/>
  <c r="L1822" i="2"/>
  <c r="L1819" i="2"/>
  <c r="L1816" i="2"/>
  <c r="L1813" i="2"/>
  <c r="L1810" i="2"/>
  <c r="L1807" i="2"/>
  <c r="L1804" i="2"/>
  <c r="Q1764" i="2"/>
  <c r="L1721" i="2"/>
  <c r="L1709" i="2"/>
  <c r="L1703" i="2"/>
  <c r="L1697" i="2"/>
  <c r="L1691" i="2"/>
  <c r="L1685" i="2"/>
  <c r="Q1681" i="2"/>
  <c r="L1676" i="2"/>
  <c r="L1667" i="2"/>
  <c r="L1581" i="2"/>
  <c r="L1577" i="2"/>
  <c r="L1563" i="2"/>
  <c r="M1560" i="2"/>
  <c r="L1529" i="2"/>
  <c r="Q1521" i="2"/>
  <c r="M1518" i="2"/>
  <c r="L1434" i="2"/>
  <c r="M1434" i="2"/>
  <c r="Q1737" i="2"/>
  <c r="Q1731" i="2"/>
  <c r="Q1725" i="2"/>
  <c r="Q1713" i="2"/>
  <c r="L1660" i="2"/>
  <c r="M1656" i="2"/>
  <c r="M1654" i="2"/>
  <c r="M1650" i="2"/>
  <c r="M1648" i="2"/>
  <c r="M1644" i="2"/>
  <c r="M1642" i="2"/>
  <c r="M1638" i="2"/>
  <c r="M1636" i="2"/>
  <c r="M1632" i="2"/>
  <c r="M1630" i="2"/>
  <c r="M1626" i="2"/>
  <c r="M1624" i="2"/>
  <c r="L1587" i="2"/>
  <c r="Q1582" i="2"/>
  <c r="M1542" i="2"/>
  <c r="M1537" i="2"/>
  <c r="Q1514" i="2"/>
  <c r="M1575" i="2"/>
  <c r="M1572" i="2"/>
  <c r="L1537" i="2"/>
  <c r="Q1679" i="2"/>
  <c r="M1620" i="2"/>
  <c r="M1618" i="2"/>
  <c r="L1582" i="2"/>
  <c r="M1564" i="2"/>
  <c r="P1564" i="2" s="1"/>
  <c r="M1561" i="2"/>
  <c r="M1550" i="2"/>
  <c r="Q1530" i="2"/>
  <c r="Q1507" i="2"/>
  <c r="Q1483" i="2"/>
  <c r="M1457" i="2"/>
  <c r="L1427" i="2"/>
  <c r="M1427" i="2"/>
  <c r="L1722" i="2"/>
  <c r="L1719" i="2"/>
  <c r="L1713" i="2"/>
  <c r="L1710" i="2"/>
  <c r="L1707" i="2"/>
  <c r="L1695" i="2"/>
  <c r="L1683" i="2"/>
  <c r="L1614" i="2"/>
  <c r="Q1579" i="2"/>
  <c r="Q1522" i="2"/>
  <c r="Q1565" i="2"/>
  <c r="M1483" i="2"/>
  <c r="L1798" i="2"/>
  <c r="Q1702" i="2"/>
  <c r="Q1690" i="2"/>
  <c r="Q1684" i="2"/>
  <c r="Q1675" i="2"/>
  <c r="L1668" i="2"/>
  <c r="L1661" i="2"/>
  <c r="M1579" i="2"/>
  <c r="M1565" i="2"/>
  <c r="Q1554" i="2"/>
  <c r="M1548" i="2"/>
  <c r="Q1533" i="2"/>
  <c r="M1525" i="2"/>
  <c r="Q1515" i="2"/>
  <c r="Q1475" i="2"/>
  <c r="L1428" i="2"/>
  <c r="M1428" i="2"/>
  <c r="Q1717" i="2"/>
  <c r="M1714" i="2"/>
  <c r="Q1705" i="2"/>
  <c r="Q1693" i="2"/>
  <c r="L1673" i="2"/>
  <c r="L1666" i="2"/>
  <c r="M1623" i="2"/>
  <c r="M1621" i="2"/>
  <c r="M1586" i="2"/>
  <c r="M1583" i="2"/>
  <c r="M1568" i="2"/>
  <c r="M1559" i="2"/>
  <c r="M1528" i="2"/>
  <c r="L1433" i="2"/>
  <c r="M1433" i="2"/>
  <c r="M1441" i="2"/>
  <c r="M1662" i="2"/>
  <c r="Q1529" i="2"/>
  <c r="M1445" i="2"/>
  <c r="Q1584" i="2"/>
  <c r="Q1560" i="2"/>
  <c r="Q1555" i="2"/>
  <c r="M1497" i="2"/>
  <c r="M1482" i="2"/>
  <c r="Q1527" i="2"/>
  <c r="Q1513" i="2"/>
  <c r="Q1503" i="2"/>
  <c r="M1498" i="2"/>
  <c r="Q1491" i="2"/>
  <c r="M1486" i="2"/>
  <c r="Q1479" i="2"/>
  <c r="L1405" i="2"/>
  <c r="Q1385" i="2"/>
  <c r="Q1376" i="2"/>
  <c r="Q1372" i="2"/>
  <c r="L1362" i="2"/>
  <c r="M1352" i="2"/>
  <c r="L1336" i="2"/>
  <c r="L1329" i="2"/>
  <c r="Q1327" i="2"/>
  <c r="Q1324" i="2"/>
  <c r="Q1321" i="2"/>
  <c r="M1315" i="2"/>
  <c r="L1307" i="2"/>
  <c r="M1307" i="2"/>
  <c r="L1384" i="2"/>
  <c r="M1380" i="2"/>
  <c r="L1371" i="2"/>
  <c r="L1380" i="2"/>
  <c r="M1350" i="2"/>
  <c r="M1330" i="2"/>
  <c r="L1327" i="2"/>
  <c r="M1327" i="2"/>
  <c r="L1324" i="2"/>
  <c r="L1321" i="2"/>
  <c r="M1321" i="2"/>
  <c r="M1544" i="2"/>
  <c r="Q1539" i="2"/>
  <c r="L1533" i="2"/>
  <c r="L1516" i="2"/>
  <c r="Q1499" i="2"/>
  <c r="Q1487" i="2"/>
  <c r="L1390" i="2"/>
  <c r="L1376" i="2"/>
  <c r="M1372" i="2"/>
  <c r="M1364" i="2"/>
  <c r="L1358" i="2"/>
  <c r="L1347" i="2"/>
  <c r="M1347" i="2"/>
  <c r="L1344" i="2"/>
  <c r="P1344" i="2" s="1"/>
  <c r="M1316" i="2"/>
  <c r="Q1311" i="2"/>
  <c r="Q1308" i="2"/>
  <c r="Q1468" i="2"/>
  <c r="Q1433" i="2"/>
  <c r="Q1427" i="2"/>
  <c r="Q1421" i="2"/>
  <c r="Q1393" i="2"/>
  <c r="Q1378" i="2"/>
  <c r="M1377" i="2"/>
  <c r="M1360" i="2"/>
  <c r="M1355" i="2"/>
  <c r="P1355" i="2" s="1"/>
  <c r="Q1348" i="2"/>
  <c r="Q1335" i="2"/>
  <c r="L1328" i="2"/>
  <c r="Q1296" i="2"/>
  <c r="M1468" i="2"/>
  <c r="M1456" i="2"/>
  <c r="M1444" i="2"/>
  <c r="Q1428" i="2"/>
  <c r="Q1416" i="2"/>
  <c r="M1415" i="2"/>
  <c r="Q1404" i="2"/>
  <c r="L1396" i="2"/>
  <c r="Q1366" i="2"/>
  <c r="L1348" i="2"/>
  <c r="L1334" i="2"/>
  <c r="M1334" i="2"/>
  <c r="M1331" i="2"/>
  <c r="L1311" i="2"/>
  <c r="M1311" i="2"/>
  <c r="L1296" i="2"/>
  <c r="M1296" i="2"/>
  <c r="M1421" i="2"/>
  <c r="M1409" i="2"/>
  <c r="M1397" i="2"/>
  <c r="M1374" i="2"/>
  <c r="M1365" i="2"/>
  <c r="Q1352" i="2"/>
  <c r="M1351" i="2"/>
  <c r="M1335" i="2"/>
  <c r="L1331" i="2"/>
  <c r="M1328" i="2"/>
  <c r="Q1471" i="2"/>
  <c r="Q1459" i="2"/>
  <c r="M1422" i="2"/>
  <c r="M1416" i="2"/>
  <c r="M1410" i="2"/>
  <c r="M1404" i="2"/>
  <c r="M1398" i="2"/>
  <c r="M1393" i="2"/>
  <c r="P1393" i="2" s="1"/>
  <c r="M1388" i="2"/>
  <c r="Q1371" i="2"/>
  <c r="L1370" i="2"/>
  <c r="M1361" i="2"/>
  <c r="M1356" i="2"/>
  <c r="P1356" i="2" s="1"/>
  <c r="M1348" i="2"/>
  <c r="L1345" i="2"/>
  <c r="L1325" i="2"/>
  <c r="L1317" i="2"/>
  <c r="M1317" i="2"/>
  <c r="L1314" i="2"/>
  <c r="Q1435" i="2"/>
  <c r="Q1429" i="2"/>
  <c r="Q1423" i="2"/>
  <c r="Q1417" i="2"/>
  <c r="Q1384" i="2"/>
  <c r="Q1349" i="2"/>
  <c r="Q1329" i="2"/>
  <c r="L1290" i="2"/>
  <c r="M1290" i="2"/>
  <c r="M1343" i="2"/>
  <c r="L1099" i="2"/>
  <c r="M1015" i="2"/>
  <c r="M1298" i="2"/>
  <c r="M1281" i="2"/>
  <c r="L1273" i="2"/>
  <c r="M1269" i="2"/>
  <c r="L1262" i="2"/>
  <c r="L1241" i="2"/>
  <c r="Q1233" i="2"/>
  <c r="L1232" i="2"/>
  <c r="Q1167" i="2"/>
  <c r="L1017" i="2"/>
  <c r="L979" i="2"/>
  <c r="M979" i="2"/>
  <c r="Q1279" i="2"/>
  <c r="Q1260" i="2"/>
  <c r="L1253" i="2"/>
  <c r="L1039" i="2"/>
  <c r="M996" i="2"/>
  <c r="M981" i="2"/>
  <c r="M1305" i="2"/>
  <c r="M1299" i="2"/>
  <c r="Q1294" i="2"/>
  <c r="Q1271" i="2"/>
  <c r="M1233" i="2"/>
  <c r="M1219" i="2"/>
  <c r="L1218" i="2"/>
  <c r="M1184" i="2"/>
  <c r="L1165" i="2"/>
  <c r="L1163" i="2"/>
  <c r="L1159" i="2"/>
  <c r="L1153" i="2"/>
  <c r="L1144" i="2"/>
  <c r="L1096" i="2"/>
  <c r="Q1360" i="2"/>
  <c r="Q1340" i="2"/>
  <c r="L1259" i="2"/>
  <c r="M1256" i="2"/>
  <c r="M1225" i="2"/>
  <c r="Q1220" i="2"/>
  <c r="M1201" i="2"/>
  <c r="Q1192" i="2"/>
  <c r="L1172" i="2"/>
  <c r="L1167" i="2"/>
  <c r="L1146" i="2"/>
  <c r="Q1128" i="2"/>
  <c r="L1118" i="2"/>
  <c r="M1118" i="2"/>
  <c r="L1085" i="2"/>
  <c r="Q967" i="2"/>
  <c r="L1282" i="2"/>
  <c r="L1274" i="2"/>
  <c r="Q1265" i="2"/>
  <c r="Q1199" i="2"/>
  <c r="M1012" i="2"/>
  <c r="L1012" i="2"/>
  <c r="M959" i="2"/>
  <c r="Q1283" i="2"/>
  <c r="M1205" i="2"/>
  <c r="L1205" i="2"/>
  <c r="M1049" i="2"/>
  <c r="Q1049" i="2"/>
  <c r="L1049" i="2"/>
  <c r="Q1322" i="2"/>
  <c r="M1301" i="2"/>
  <c r="M1268" i="2"/>
  <c r="Q1257" i="2"/>
  <c r="Q1251" i="2"/>
  <c r="Q1248" i="2"/>
  <c r="Q1245" i="2"/>
  <c r="L1234" i="2"/>
  <c r="Q1221" i="2"/>
  <c r="M1209" i="2"/>
  <c r="L1182" i="2"/>
  <c r="M1182" i="2"/>
  <c r="M1180" i="2"/>
  <c r="M1175" i="2"/>
  <c r="M1113" i="2"/>
  <c r="L1113" i="2"/>
  <c r="Q1062" i="2"/>
  <c r="M1036" i="2"/>
  <c r="Q1001" i="2"/>
  <c r="Q984" i="2"/>
  <c r="Q971" i="2"/>
  <c r="Q1336" i="2"/>
  <c r="Q1316" i="2"/>
  <c r="L1271" i="2"/>
  <c r="M1240" i="2"/>
  <c r="M1212" i="2"/>
  <c r="M1168" i="2"/>
  <c r="Q1104" i="2"/>
  <c r="L1001" i="2"/>
  <c r="M1283" i="2"/>
  <c r="M1221" i="2"/>
  <c r="Q1183" i="2"/>
  <c r="L1170" i="2"/>
  <c r="Q1119" i="2"/>
  <c r="L1206" i="2"/>
  <c r="M1183" i="2"/>
  <c r="M1084" i="2"/>
  <c r="L1084" i="2"/>
  <c r="Q977" i="2"/>
  <c r="L956" i="2"/>
  <c r="Q1252" i="2"/>
  <c r="Q1249" i="2"/>
  <c r="Q1246" i="2"/>
  <c r="L1243" i="2"/>
  <c r="M1231" i="2"/>
  <c r="M1188" i="2"/>
  <c r="Q1099" i="2"/>
  <c r="M956" i="2"/>
  <c r="M892" i="2"/>
  <c r="Q656" i="2"/>
  <c r="L1143" i="2"/>
  <c r="L1141" i="2"/>
  <c r="Q1137" i="2"/>
  <c r="Q1133" i="2"/>
  <c r="L1126" i="2"/>
  <c r="L1119" i="2"/>
  <c r="M1101" i="2"/>
  <c r="M1060" i="2"/>
  <c r="L1024" i="2"/>
  <c r="Q1020" i="2"/>
  <c r="L973" i="2"/>
  <c r="L970" i="2"/>
  <c r="L963" i="2"/>
  <c r="M960" i="2"/>
  <c r="M953" i="2"/>
  <c r="M950" i="2"/>
  <c r="L947" i="2"/>
  <c r="M944" i="2"/>
  <c r="M928" i="2"/>
  <c r="M924" i="2"/>
  <c r="Q844" i="2"/>
  <c r="M817" i="2"/>
  <c r="L817" i="2"/>
  <c r="L813" i="2"/>
  <c r="M813" i="2"/>
  <c r="L782" i="2"/>
  <c r="M782" i="2"/>
  <c r="M757" i="2"/>
  <c r="Q726" i="2"/>
  <c r="L742" i="2"/>
  <c r="M742" i="2"/>
  <c r="Q1209" i="2"/>
  <c r="L1208" i="2"/>
  <c r="Q1198" i="2"/>
  <c r="L1166" i="2"/>
  <c r="Q1152" i="2"/>
  <c r="L1137" i="2"/>
  <c r="L1135" i="2"/>
  <c r="Q1131" i="2"/>
  <c r="L1107" i="2"/>
  <c r="M1099" i="2"/>
  <c r="Q1092" i="2"/>
  <c r="M1074" i="2"/>
  <c r="L1072" i="2"/>
  <c r="M1056" i="2"/>
  <c r="L1054" i="2"/>
  <c r="Q1045" i="2"/>
  <c r="M1020" i="2"/>
  <c r="L1007" i="2"/>
  <c r="M1004" i="2"/>
  <c r="L982" i="2"/>
  <c r="Q961" i="2"/>
  <c r="M738" i="2"/>
  <c r="Q1212" i="2"/>
  <c r="Q1146" i="2"/>
  <c r="L1108" i="2"/>
  <c r="L1061" i="2"/>
  <c r="Q1011" i="2"/>
  <c r="Q994" i="2"/>
  <c r="L989" i="2"/>
  <c r="L964" i="2"/>
  <c r="L957" i="2"/>
  <c r="Q951" i="2"/>
  <c r="L948" i="2"/>
  <c r="M931" i="2"/>
  <c r="M899" i="2"/>
  <c r="L802" i="2"/>
  <c r="M802" i="2"/>
  <c r="L765" i="2"/>
  <c r="M765" i="2"/>
  <c r="L759" i="2"/>
  <c r="M759" i="2"/>
  <c r="M732" i="2"/>
  <c r="Q691" i="2"/>
  <c r="L593" i="2"/>
  <c r="Q593" i="2"/>
  <c r="L566" i="2"/>
  <c r="Q566" i="2"/>
  <c r="M566" i="2"/>
  <c r="Q1125" i="2"/>
  <c r="L1079" i="2"/>
  <c r="Q1038" i="2"/>
  <c r="L1037" i="2"/>
  <c r="L1025" i="2"/>
  <c r="M1018" i="2"/>
  <c r="L1005" i="2"/>
  <c r="M980" i="2"/>
  <c r="L977" i="2"/>
  <c r="L974" i="2"/>
  <c r="L971" i="2"/>
  <c r="M968" i="2"/>
  <c r="Q965" i="2"/>
  <c r="M961" i="2"/>
  <c r="L954" i="2"/>
  <c r="M839" i="2"/>
  <c r="M771" i="2"/>
  <c r="Q975" i="2"/>
  <c r="Q955" i="2"/>
  <c r="Q949" i="2"/>
  <c r="L754" i="2"/>
  <c r="M754" i="2"/>
  <c r="L704" i="2"/>
  <c r="M704" i="2"/>
  <c r="Q1134" i="2"/>
  <c r="M1125" i="2"/>
  <c r="M1123" i="2"/>
  <c r="L1100" i="2"/>
  <c r="L1095" i="2"/>
  <c r="M1088" i="2"/>
  <c r="M1068" i="2"/>
  <c r="L1066" i="2"/>
  <c r="L1043" i="2"/>
  <c r="M1038" i="2"/>
  <c r="M1035" i="2"/>
  <c r="L1030" i="2"/>
  <c r="L1028" i="2"/>
  <c r="Q1026" i="2"/>
  <c r="L1018" i="2"/>
  <c r="M1011" i="2"/>
  <c r="L1008" i="2"/>
  <c r="L1000" i="2"/>
  <c r="L985" i="2"/>
  <c r="Q969" i="2"/>
  <c r="L958" i="2"/>
  <c r="M951" i="2"/>
  <c r="M927" i="2"/>
  <c r="M925" i="2"/>
  <c r="M910" i="2"/>
  <c r="L799" i="2"/>
  <c r="M799" i="2"/>
  <c r="L1055" i="2"/>
  <c r="M1048" i="2"/>
  <c r="M1021" i="2"/>
  <c r="Q981" i="2"/>
  <c r="L978" i="2"/>
  <c r="L972" i="2"/>
  <c r="L965" i="2"/>
  <c r="Q959" i="2"/>
  <c r="M943" i="2"/>
  <c r="Q932" i="2"/>
  <c r="L749" i="2"/>
  <c r="M743" i="2"/>
  <c r="M446" i="2"/>
  <c r="L446" i="2"/>
  <c r="Q1116" i="2"/>
  <c r="Q1093" i="2"/>
  <c r="M1033" i="2"/>
  <c r="L983" i="2"/>
  <c r="L975" i="2"/>
  <c r="M969" i="2"/>
  <c r="L962" i="2"/>
  <c r="L955" i="2"/>
  <c r="M952" i="2"/>
  <c r="L949" i="2"/>
  <c r="L946" i="2"/>
  <c r="M934" i="2"/>
  <c r="M902" i="2"/>
  <c r="M803" i="2"/>
  <c r="L737" i="2"/>
  <c r="M737" i="2"/>
  <c r="L572" i="2"/>
  <c r="Q572" i="2"/>
  <c r="M572" i="2"/>
  <c r="Q1019" i="2"/>
  <c r="Q973" i="2"/>
  <c r="Q963" i="2"/>
  <c r="Q947" i="2"/>
  <c r="L731" i="2"/>
  <c r="M731" i="2"/>
  <c r="M652" i="2"/>
  <c r="L652" i="2"/>
  <c r="Q1171" i="2"/>
  <c r="L1149" i="2"/>
  <c r="L1147" i="2"/>
  <c r="Q1143" i="2"/>
  <c r="M1119" i="2"/>
  <c r="L1101" i="2"/>
  <c r="M1096" i="2"/>
  <c r="M1082" i="2"/>
  <c r="M1062" i="2"/>
  <c r="L1060" i="2"/>
  <c r="M1041" i="2"/>
  <c r="Q1031" i="2"/>
  <c r="M1026" i="2"/>
  <c r="M1024" i="2"/>
  <c r="L1019" i="2"/>
  <c r="Q1017" i="2"/>
  <c r="L981" i="2"/>
  <c r="Q979" i="2"/>
  <c r="L966" i="2"/>
  <c r="L959" i="2"/>
  <c r="Q953" i="2"/>
  <c r="Q944" i="2"/>
  <c r="M939" i="2"/>
  <c r="Q928" i="2"/>
  <c r="L791" i="2"/>
  <c r="M791" i="2"/>
  <c r="Q707" i="2"/>
  <c r="L609" i="2"/>
  <c r="Q554" i="2"/>
  <c r="M554" i="2"/>
  <c r="Q945" i="2"/>
  <c r="M942" i="2"/>
  <c r="M893" i="2"/>
  <c r="M881" i="2"/>
  <c r="L803" i="2"/>
  <c r="P803" i="2" s="1"/>
  <c r="M797" i="2"/>
  <c r="L788" i="2"/>
  <c r="L755" i="2"/>
  <c r="L746" i="2"/>
  <c r="L726" i="2"/>
  <c r="Q724" i="2"/>
  <c r="M721" i="2"/>
  <c r="M716" i="2"/>
  <c r="Q712" i="2"/>
  <c r="Q710" i="2"/>
  <c r="M707" i="2"/>
  <c r="L698" i="2"/>
  <c r="L693" i="2"/>
  <c r="M661" i="2"/>
  <c r="L640" i="2"/>
  <c r="Q640" i="2"/>
  <c r="M609" i="2"/>
  <c r="Q524" i="2"/>
  <c r="M516" i="2"/>
  <c r="Q472" i="2"/>
  <c r="Q847" i="2"/>
  <c r="L800" i="2"/>
  <c r="M792" i="2"/>
  <c r="L783" i="2"/>
  <c r="M775" i="2"/>
  <c r="L761" i="2"/>
  <c r="M752" i="2"/>
  <c r="L707" i="2"/>
  <c r="Q685" i="2"/>
  <c r="L674" i="2"/>
  <c r="M674" i="2"/>
  <c r="L646" i="2"/>
  <c r="M646" i="2"/>
  <c r="M603" i="2"/>
  <c r="L603" i="2"/>
  <c r="Q551" i="2"/>
  <c r="Q545" i="2"/>
  <c r="L537" i="2"/>
  <c r="M537" i="2"/>
  <c r="L518" i="2"/>
  <c r="M518" i="2"/>
  <c r="L306" i="2"/>
  <c r="M306" i="2"/>
  <c r="L292" i="2"/>
  <c r="Q563" i="2"/>
  <c r="M482" i="2"/>
  <c r="M926" i="2"/>
  <c r="M917" i="2"/>
  <c r="M884" i="2"/>
  <c r="M877" i="2"/>
  <c r="M868" i="2"/>
  <c r="M859" i="2"/>
  <c r="Q823" i="2"/>
  <c r="L820" i="2"/>
  <c r="L815" i="2"/>
  <c r="M804" i="2"/>
  <c r="Q793" i="2"/>
  <c r="M767" i="2"/>
  <c r="M747" i="2"/>
  <c r="M735" i="2"/>
  <c r="M722" i="2"/>
  <c r="M719" i="2"/>
  <c r="L710" i="2"/>
  <c r="M668" i="2"/>
  <c r="L668" i="2"/>
  <c r="L651" i="2"/>
  <c r="Q557" i="2"/>
  <c r="L545" i="2"/>
  <c r="M545" i="2"/>
  <c r="L491" i="2"/>
  <c r="M491" i="2"/>
  <c r="Q139" i="2"/>
  <c r="Q850" i="2"/>
  <c r="Q816" i="2"/>
  <c r="M801" i="2"/>
  <c r="L798" i="2"/>
  <c r="L793" i="2"/>
  <c r="M784" i="2"/>
  <c r="M773" i="2"/>
  <c r="L758" i="2"/>
  <c r="Q690" i="2"/>
  <c r="M683" i="2"/>
  <c r="M675" i="2"/>
  <c r="Q647" i="2"/>
  <c r="Q645" i="2"/>
  <c r="L633" i="2"/>
  <c r="L627" i="2"/>
  <c r="M575" i="2"/>
  <c r="L563" i="2"/>
  <c r="M563" i="2"/>
  <c r="L553" i="2"/>
  <c r="M553" i="2"/>
  <c r="L532" i="2"/>
  <c r="M532" i="2"/>
  <c r="Q513" i="2"/>
  <c r="L486" i="2"/>
  <c r="Q486" i="2"/>
  <c r="Q838" i="2"/>
  <c r="M812" i="2"/>
  <c r="Q805" i="2"/>
  <c r="L764" i="2"/>
  <c r="M753" i="2"/>
  <c r="M741" i="2"/>
  <c r="M736" i="2"/>
  <c r="M730" i="2"/>
  <c r="M723" i="2"/>
  <c r="L717" i="2"/>
  <c r="M711" i="2"/>
  <c r="Q697" i="2"/>
  <c r="L692" i="2"/>
  <c r="M692" i="2"/>
  <c r="Q686" i="2"/>
  <c r="L577" i="2"/>
  <c r="L569" i="2"/>
  <c r="Q569" i="2"/>
  <c r="M534" i="2"/>
  <c r="Q534" i="2"/>
  <c r="Q826" i="2"/>
  <c r="L805" i="2"/>
  <c r="Q791" i="2"/>
  <c r="M790" i="2"/>
  <c r="M776" i="2"/>
  <c r="M748" i="2"/>
  <c r="L723" i="2"/>
  <c r="L647" i="2"/>
  <c r="M647" i="2"/>
  <c r="L585" i="2"/>
  <c r="Q560" i="2"/>
  <c r="M513" i="2"/>
  <c r="L513" i="2"/>
  <c r="M871" i="2"/>
  <c r="M862" i="2"/>
  <c r="Q841" i="2"/>
  <c r="L816" i="2"/>
  <c r="L787" i="2"/>
  <c r="L785" i="2"/>
  <c r="M779" i="2"/>
  <c r="L727" i="2"/>
  <c r="Q715" i="2"/>
  <c r="L708" i="2"/>
  <c r="L662" i="2"/>
  <c r="M662" i="2"/>
  <c r="M637" i="2"/>
  <c r="L637" i="2"/>
  <c r="Q637" i="2"/>
  <c r="M585" i="2"/>
  <c r="M542" i="2"/>
  <c r="Q542" i="2"/>
  <c r="M521" i="2"/>
  <c r="Q521" i="2"/>
  <c r="Q817" i="2"/>
  <c r="Q803" i="2"/>
  <c r="Q702" i="2"/>
  <c r="L697" i="2"/>
  <c r="M697" i="2"/>
  <c r="L560" i="2"/>
  <c r="M560" i="2"/>
  <c r="M529" i="2"/>
  <c r="Q529" i="2"/>
  <c r="L853" i="2"/>
  <c r="Q829" i="2"/>
  <c r="M810" i="2"/>
  <c r="Q689" i="2"/>
  <c r="L556" i="2"/>
  <c r="M556" i="2"/>
  <c r="M550" i="2"/>
  <c r="Q550" i="2"/>
  <c r="M466" i="2"/>
  <c r="L690" i="2"/>
  <c r="L670" i="2"/>
  <c r="M590" i="2"/>
  <c r="L583" i="2"/>
  <c r="L557" i="2"/>
  <c r="L554" i="2"/>
  <c r="L548" i="2"/>
  <c r="L540" i="2"/>
  <c r="M525" i="2"/>
  <c r="L516" i="2"/>
  <c r="L511" i="2"/>
  <c r="Q507" i="2"/>
  <c r="Q494" i="2"/>
  <c r="Q479" i="2"/>
  <c r="Q471" i="2"/>
  <c r="L430" i="2"/>
  <c r="M430" i="2"/>
  <c r="Q377" i="2"/>
  <c r="Q342" i="2"/>
  <c r="Q608" i="2"/>
  <c r="Q584" i="2"/>
  <c r="Q549" i="2"/>
  <c r="Q541" i="2"/>
  <c r="Q523" i="2"/>
  <c r="L522" i="2"/>
  <c r="M522" i="2"/>
  <c r="L406" i="2"/>
  <c r="M406" i="2"/>
  <c r="Q406" i="2"/>
  <c r="Q713" i="2"/>
  <c r="L685" i="2"/>
  <c r="M656" i="2"/>
  <c r="L642" i="2"/>
  <c r="L613" i="2"/>
  <c r="Q594" i="2"/>
  <c r="L581" i="2"/>
  <c r="L578" i="2"/>
  <c r="L555" i="2"/>
  <c r="M533" i="2"/>
  <c r="M528" i="2"/>
  <c r="L525" i="2"/>
  <c r="M520" i="2"/>
  <c r="M517" i="2"/>
  <c r="M514" i="2"/>
  <c r="L505" i="2"/>
  <c r="M505" i="2"/>
  <c r="Q490" i="2"/>
  <c r="L485" i="2"/>
  <c r="M485" i="2"/>
  <c r="Q467" i="2"/>
  <c r="L294" i="2"/>
  <c r="M294" i="2"/>
  <c r="Q657" i="2"/>
  <c r="Q649" i="2"/>
  <c r="Q621" i="2"/>
  <c r="M608" i="2"/>
  <c r="M597" i="2"/>
  <c r="L591" i="2"/>
  <c r="M584" i="2"/>
  <c r="M549" i="2"/>
  <c r="M541" i="2"/>
  <c r="L490" i="2"/>
  <c r="Q488" i="2"/>
  <c r="L467" i="2"/>
  <c r="M398" i="2"/>
  <c r="Q387" i="2"/>
  <c r="Q337" i="2"/>
  <c r="L608" i="2"/>
  <c r="L597" i="2"/>
  <c r="L584" i="2"/>
  <c r="M568" i="2"/>
  <c r="M523" i="2"/>
  <c r="M501" i="2"/>
  <c r="L501" i="2"/>
  <c r="M492" i="2"/>
  <c r="L492" i="2"/>
  <c r="M469" i="2"/>
  <c r="Q459" i="2"/>
  <c r="Q431" i="2"/>
  <c r="Q370" i="2"/>
  <c r="Q518" i="2"/>
  <c r="M459" i="2"/>
  <c r="L441" i="2"/>
  <c r="M322" i="2"/>
  <c r="L263" i="2"/>
  <c r="M263" i="2"/>
  <c r="L225" i="2"/>
  <c r="M225" i="2"/>
  <c r="Q700" i="2"/>
  <c r="L691" i="2"/>
  <c r="L689" i="2"/>
  <c r="M665" i="2"/>
  <c r="M640" i="2"/>
  <c r="Q633" i="2"/>
  <c r="Q627" i="2"/>
  <c r="Q611" i="2"/>
  <c r="Q600" i="2"/>
  <c r="L589" i="2"/>
  <c r="Q587" i="2"/>
  <c r="L571" i="2"/>
  <c r="L568" i="2"/>
  <c r="L565" i="2"/>
  <c r="L544" i="2"/>
  <c r="L536" i="2"/>
  <c r="L531" i="2"/>
  <c r="L523" i="2"/>
  <c r="M515" i="2"/>
  <c r="L510" i="2"/>
  <c r="L499" i="2"/>
  <c r="Q495" i="2"/>
  <c r="Q484" i="2"/>
  <c r="Q480" i="2"/>
  <c r="Q478" i="2"/>
  <c r="Q476" i="2"/>
  <c r="M443" i="2"/>
  <c r="L443" i="2"/>
  <c r="Q598" i="2"/>
  <c r="M497" i="2"/>
  <c r="Q493" i="2"/>
  <c r="M439" i="2"/>
  <c r="L439" i="2"/>
  <c r="Q435" i="2"/>
  <c r="Q682" i="2"/>
  <c r="Q655" i="2"/>
  <c r="M627" i="2"/>
  <c r="L598" i="2"/>
  <c r="Q575" i="2"/>
  <c r="L550" i="2"/>
  <c r="L542" i="2"/>
  <c r="L534" i="2"/>
  <c r="L524" i="2"/>
  <c r="M524" i="2"/>
  <c r="L521" i="2"/>
  <c r="L493" i="2"/>
  <c r="M486" i="2"/>
  <c r="M435" i="2"/>
  <c r="Q420" i="2"/>
  <c r="L382" i="2"/>
  <c r="M382" i="2"/>
  <c r="Q382" i="2"/>
  <c r="Q365" i="2"/>
  <c r="Q345" i="2"/>
  <c r="M231" i="2"/>
  <c r="Q399" i="2"/>
  <c r="M227" i="2"/>
  <c r="M42" i="2"/>
  <c r="L529" i="2"/>
  <c r="L517" i="2"/>
  <c r="Q504" i="2"/>
  <c r="L488" i="2"/>
  <c r="Q474" i="2"/>
  <c r="L466" i="2"/>
  <c r="Q426" i="2"/>
  <c r="Q413" i="2"/>
  <c r="M394" i="2"/>
  <c r="Q389" i="2"/>
  <c r="L368" i="2"/>
  <c r="L338" i="2"/>
  <c r="Q328" i="2"/>
  <c r="L325" i="2"/>
  <c r="M309" i="2"/>
  <c r="M303" i="2"/>
  <c r="Q280" i="2"/>
  <c r="Q264" i="2"/>
  <c r="L251" i="2"/>
  <c r="M251" i="2"/>
  <c r="M221" i="2"/>
  <c r="M215" i="2"/>
  <c r="M60" i="2"/>
  <c r="Q437" i="2"/>
  <c r="M399" i="2"/>
  <c r="Q371" i="2"/>
  <c r="Q359" i="2"/>
  <c r="L356" i="2"/>
  <c r="Q341" i="2"/>
  <c r="M328" i="2"/>
  <c r="L316" i="2"/>
  <c r="L303" i="2"/>
  <c r="M4" i="2"/>
  <c r="L4" i="2"/>
  <c r="M193" i="2"/>
  <c r="L128" i="2"/>
  <c r="M128" i="2"/>
  <c r="Q128" i="2"/>
  <c r="M66" i="2"/>
  <c r="L66" i="2"/>
  <c r="L447" i="2"/>
  <c r="M434" i="2"/>
  <c r="Q432" i="2"/>
  <c r="Q421" i="2"/>
  <c r="Q395" i="2"/>
  <c r="L354" i="2"/>
  <c r="Q344" i="2"/>
  <c r="L328" i="2"/>
  <c r="M326" i="2"/>
  <c r="M297" i="2"/>
  <c r="M280" i="2"/>
  <c r="L280" i="2"/>
  <c r="L134" i="2"/>
  <c r="M134" i="2"/>
  <c r="M31" i="2"/>
  <c r="L31" i="2"/>
  <c r="Q285" i="2"/>
  <c r="M188" i="2"/>
  <c r="M88" i="2"/>
  <c r="L72" i="2"/>
  <c r="M72" i="2"/>
  <c r="L515" i="2"/>
  <c r="Q487" i="2"/>
  <c r="Q482" i="2"/>
  <c r="M472" i="2"/>
  <c r="L465" i="2"/>
  <c r="Q457" i="2"/>
  <c r="Q455" i="2"/>
  <c r="Q445" i="2"/>
  <c r="Q414" i="2"/>
  <c r="Q390" i="2"/>
  <c r="Q379" i="2"/>
  <c r="Q367" i="2"/>
  <c r="Q347" i="2"/>
  <c r="Q334" i="2"/>
  <c r="Q319" i="2"/>
  <c r="L287" i="2"/>
  <c r="M285" i="2"/>
  <c r="Q273" i="2"/>
  <c r="M262" i="2"/>
  <c r="Q258" i="2"/>
  <c r="L246" i="2"/>
  <c r="Q246" i="2"/>
  <c r="M236" i="2"/>
  <c r="L234" i="2"/>
  <c r="M123" i="2"/>
  <c r="Q123" i="2"/>
  <c r="L84" i="2"/>
  <c r="M84" i="2"/>
  <c r="M57" i="2"/>
  <c r="M45" i="2"/>
  <c r="L45" i="2"/>
  <c r="M39" i="2"/>
  <c r="L39" i="2"/>
  <c r="Q468" i="2"/>
  <c r="Q401" i="2"/>
  <c r="L374" i="2"/>
  <c r="L369" i="2"/>
  <c r="L362" i="2"/>
  <c r="L357" i="2"/>
  <c r="Q355" i="2"/>
  <c r="L352" i="2"/>
  <c r="L347" i="2"/>
  <c r="L331" i="2"/>
  <c r="M321" i="2"/>
  <c r="L275" i="2"/>
  <c r="M103" i="2"/>
  <c r="L63" i="2"/>
  <c r="M63" i="2"/>
  <c r="Q473" i="2"/>
  <c r="Q425" i="2"/>
  <c r="Q412" i="2"/>
  <c r="Q388" i="2"/>
  <c r="L334" i="2"/>
  <c r="M334" i="2"/>
  <c r="L329" i="2"/>
  <c r="M329" i="2"/>
  <c r="Q294" i="2"/>
  <c r="Q292" i="2"/>
  <c r="M273" i="2"/>
  <c r="L273" i="2"/>
  <c r="L260" i="2"/>
  <c r="M260" i="2"/>
  <c r="Q260" i="2"/>
  <c r="Q225" i="2"/>
  <c r="L500" i="2"/>
  <c r="M475" i="2"/>
  <c r="Q458" i="2"/>
  <c r="M455" i="2"/>
  <c r="Q446" i="2"/>
  <c r="Q433" i="2"/>
  <c r="Q409" i="2"/>
  <c r="Q396" i="2"/>
  <c r="L372" i="2"/>
  <c r="L360" i="2"/>
  <c r="L350" i="2"/>
  <c r="M279" i="2"/>
  <c r="M175" i="2"/>
  <c r="M98" i="2"/>
  <c r="L322" i="2"/>
  <c r="M299" i="2"/>
  <c r="Q288" i="2"/>
  <c r="M283" i="2"/>
  <c r="Q279" i="2"/>
  <c r="Q270" i="2"/>
  <c r="L237" i="2"/>
  <c r="M232" i="2"/>
  <c r="L126" i="2"/>
  <c r="M101" i="2"/>
  <c r="Q99" i="2"/>
  <c r="M85" i="2"/>
  <c r="L79" i="2"/>
  <c r="M67" i="2"/>
  <c r="M64" i="2"/>
  <c r="L51" i="2"/>
  <c r="M48" i="2"/>
  <c r="M37" i="2"/>
  <c r="M34" i="2"/>
  <c r="M29" i="2"/>
  <c r="L27" i="2"/>
  <c r="L20" i="2"/>
  <c r="L15" i="2"/>
  <c r="M7" i="2"/>
  <c r="M270" i="2"/>
  <c r="M256" i="2"/>
  <c r="M139" i="2"/>
  <c r="L132" i="2"/>
  <c r="L129" i="2"/>
  <c r="Q86" i="2"/>
  <c r="Q74" i="2"/>
  <c r="Q230" i="2"/>
  <c r="Q227" i="2"/>
  <c r="Q107" i="2"/>
  <c r="L49" i="2"/>
  <c r="L43" i="2"/>
  <c r="M40" i="2"/>
  <c r="M32" i="2"/>
  <c r="L18" i="2"/>
  <c r="L5" i="2"/>
  <c r="L288" i="2"/>
  <c r="L286" i="2"/>
  <c r="L277" i="2"/>
  <c r="L243" i="2"/>
  <c r="M194" i="2"/>
  <c r="M176" i="2"/>
  <c r="L136" i="2"/>
  <c r="M130" i="2"/>
  <c r="M89" i="2"/>
  <c r="Q87" i="2"/>
  <c r="Q71" i="2"/>
  <c r="L23" i="2"/>
  <c r="L83" i="2"/>
  <c r="M80" i="2"/>
  <c r="L71" i="2"/>
  <c r="M68" i="2"/>
  <c r="M62" i="2"/>
  <c r="M52" i="2"/>
  <c r="M35" i="2"/>
  <c r="L21" i="2"/>
  <c r="M8" i="2"/>
  <c r="L282" i="2"/>
  <c r="L137" i="2"/>
  <c r="M125" i="2"/>
  <c r="L65" i="2"/>
  <c r="L59" i="2"/>
  <c r="M56" i="2"/>
  <c r="M41" i="2"/>
  <c r="M38" i="2"/>
  <c r="L36" i="2"/>
  <c r="M33" i="2"/>
  <c r="M30" i="2"/>
  <c r="L6" i="2"/>
  <c r="L300" i="2"/>
  <c r="Q239" i="2"/>
  <c r="M233" i="2"/>
  <c r="M212" i="2"/>
  <c r="M200" i="2"/>
  <c r="M182" i="2"/>
  <c r="M164" i="2"/>
  <c r="M81" i="2"/>
  <c r="L26" i="2"/>
  <c r="Q138" i="2"/>
  <c r="L231" i="2"/>
  <c r="L228" i="2"/>
  <c r="L222" i="2"/>
  <c r="M185" i="2"/>
  <c r="M167" i="2"/>
  <c r="L69" i="2"/>
  <c r="M53" i="2"/>
  <c r="M50" i="2"/>
  <c r="M47" i="2"/>
  <c r="M9" i="2"/>
  <c r="Q7322" i="2"/>
  <c r="M7331" i="2"/>
  <c r="L7329" i="2"/>
  <c r="M7319" i="2"/>
  <c r="L7317" i="2"/>
  <c r="M7307" i="2"/>
  <c r="L7305" i="2"/>
  <c r="M7295" i="2"/>
  <c r="L7293" i="2"/>
  <c r="Q7287" i="2"/>
  <c r="M7283" i="2"/>
  <c r="L7281" i="2"/>
  <c r="Q7275" i="2"/>
  <c r="M7271" i="2"/>
  <c r="L7269" i="2"/>
  <c r="Q7263" i="2"/>
  <c r="M7259" i="2"/>
  <c r="L7257" i="2"/>
  <c r="Q7251" i="2"/>
  <c r="M7247" i="2"/>
  <c r="L7245" i="2"/>
  <c r="Q7239" i="2"/>
  <c r="M7235" i="2"/>
  <c r="L7233" i="2"/>
  <c r="Q7227" i="2"/>
  <c r="M7223" i="2"/>
  <c r="L7221" i="2"/>
  <c r="Q7215" i="2"/>
  <c r="M7211" i="2"/>
  <c r="L7209" i="2"/>
  <c r="Q7203" i="2"/>
  <c r="M7199" i="2"/>
  <c r="L7197" i="2"/>
  <c r="Q7191" i="2"/>
  <c r="M7187" i="2"/>
  <c r="L7185" i="2"/>
  <c r="Q7179" i="2"/>
  <c r="M7175" i="2"/>
  <c r="L7173" i="2"/>
  <c r="Q7167" i="2"/>
  <c r="M7163" i="2"/>
  <c r="L7161" i="2"/>
  <c r="Q7155" i="2"/>
  <c r="M7151" i="2"/>
  <c r="L7149" i="2"/>
  <c r="Q7143" i="2"/>
  <c r="M7139" i="2"/>
  <c r="L7137" i="2"/>
  <c r="Q7131" i="2"/>
  <c r="M7127" i="2"/>
  <c r="L7125" i="2"/>
  <c r="Q7119" i="2"/>
  <c r="M7115" i="2"/>
  <c r="L7113" i="2"/>
  <c r="Q7107" i="2"/>
  <c r="M7103" i="2"/>
  <c r="L7101" i="2"/>
  <c r="Q7095" i="2"/>
  <c r="L7092" i="2"/>
  <c r="L7086" i="2"/>
  <c r="L7080" i="2"/>
  <c r="Q6907" i="2"/>
  <c r="M6906" i="2"/>
  <c r="Q6906" i="2"/>
  <c r="M6901" i="2"/>
  <c r="Q6901" i="2"/>
  <c r="L6901" i="2"/>
  <c r="M6883" i="2"/>
  <c r="Q6868" i="2"/>
  <c r="L6868" i="2"/>
  <c r="Q6842" i="2"/>
  <c r="L6842" i="2"/>
  <c r="M6842" i="2"/>
  <c r="L6821" i="2"/>
  <c r="M6821" i="2"/>
  <c r="Q6821" i="2"/>
  <c r="Q6775" i="2"/>
  <c r="M6774" i="2"/>
  <c r="Q6774" i="2"/>
  <c r="M6769" i="2"/>
  <c r="Q6769" i="2"/>
  <c r="L6769" i="2"/>
  <c r="Q6650" i="2"/>
  <c r="L6650" i="2"/>
  <c r="M6650" i="2"/>
  <c r="Q7336" i="2"/>
  <c r="M7332" i="2"/>
  <c r="M7320" i="2"/>
  <c r="Q7312" i="2"/>
  <c r="M7308" i="2"/>
  <c r="Q7300" i="2"/>
  <c r="M7296" i="2"/>
  <c r="Q7089" i="2"/>
  <c r="Q7083" i="2"/>
  <c r="Q7077" i="2"/>
  <c r="Q6945" i="2"/>
  <c r="Q6942" i="2"/>
  <c r="M6918" i="2"/>
  <c r="Q6918" i="2"/>
  <c r="M6913" i="2"/>
  <c r="Q6913" i="2"/>
  <c r="L6913" i="2"/>
  <c r="Q6880" i="2"/>
  <c r="L6880" i="2"/>
  <c r="Q6854" i="2"/>
  <c r="L6854" i="2"/>
  <c r="M6854" i="2"/>
  <c r="L6833" i="2"/>
  <c r="M6833" i="2"/>
  <c r="Q6833" i="2"/>
  <c r="Q6760" i="2"/>
  <c r="L6760" i="2"/>
  <c r="Q6746" i="2"/>
  <c r="L6746" i="2"/>
  <c r="M6746" i="2"/>
  <c r="M6685" i="2"/>
  <c r="Q6685" i="2"/>
  <c r="L6685" i="2"/>
  <c r="M6613" i="2"/>
  <c r="Q6613" i="2"/>
  <c r="L6613" i="2"/>
  <c r="Q6602" i="2"/>
  <c r="L6602" i="2"/>
  <c r="M6602" i="2"/>
  <c r="Q6566" i="2"/>
  <c r="L6566" i="2"/>
  <c r="M6566" i="2"/>
  <c r="Q7324" i="2"/>
  <c r="Q7621" i="2"/>
  <c r="Q7620" i="2"/>
  <c r="Q7619" i="2"/>
  <c r="Q7618" i="2"/>
  <c r="Q7617" i="2"/>
  <c r="Q7616" i="2"/>
  <c r="Q7615" i="2"/>
  <c r="Q7614" i="2"/>
  <c r="Q7613" i="2"/>
  <c r="Q7612" i="2"/>
  <c r="Q7611" i="2"/>
  <c r="Q7610" i="2"/>
  <c r="Q7609" i="2"/>
  <c r="Q7608" i="2"/>
  <c r="Q7607" i="2"/>
  <c r="Q7606" i="2"/>
  <c r="Q7605" i="2"/>
  <c r="Q7604" i="2"/>
  <c r="Q7603" i="2"/>
  <c r="Q7602" i="2"/>
  <c r="Q7601" i="2"/>
  <c r="Q7600" i="2"/>
  <c r="Q7599" i="2"/>
  <c r="Q7598" i="2"/>
  <c r="Q7597" i="2"/>
  <c r="Q7596" i="2"/>
  <c r="Q7595" i="2"/>
  <c r="Q7594" i="2"/>
  <c r="Q7593" i="2"/>
  <c r="Q7592" i="2"/>
  <c r="Q7591" i="2"/>
  <c r="Q7590" i="2"/>
  <c r="Q7589" i="2"/>
  <c r="Q7588" i="2"/>
  <c r="Q7587" i="2"/>
  <c r="Q7586" i="2"/>
  <c r="Q7585" i="2"/>
  <c r="Q7584" i="2"/>
  <c r="Q7583" i="2"/>
  <c r="Q7582" i="2"/>
  <c r="Q7581" i="2"/>
  <c r="Q7580" i="2"/>
  <c r="Q7579" i="2"/>
  <c r="Q7578" i="2"/>
  <c r="Q7577" i="2"/>
  <c r="Q7576" i="2"/>
  <c r="Q7575" i="2"/>
  <c r="Q7574" i="2"/>
  <c r="Q7573" i="2"/>
  <c r="Q7572" i="2"/>
  <c r="Q7571" i="2"/>
  <c r="Q7570" i="2"/>
  <c r="Q7569" i="2"/>
  <c r="Q7568" i="2"/>
  <c r="Q7567" i="2"/>
  <c r="Q7566" i="2"/>
  <c r="Q7565" i="2"/>
  <c r="Q7564" i="2"/>
  <c r="Q7563" i="2"/>
  <c r="Q7562" i="2"/>
  <c r="Q7561" i="2"/>
  <c r="Q7560" i="2"/>
  <c r="Q7559" i="2"/>
  <c r="Q7558" i="2"/>
  <c r="Q7557" i="2"/>
  <c r="Q7556" i="2"/>
  <c r="Q7555" i="2"/>
  <c r="Q7554" i="2"/>
  <c r="Q7553" i="2"/>
  <c r="Q7552" i="2"/>
  <c r="Q7551" i="2"/>
  <c r="Q7550" i="2"/>
  <c r="Q7549" i="2"/>
  <c r="Q7548" i="2"/>
  <c r="Q7547" i="2"/>
  <c r="Q7546" i="2"/>
  <c r="Q7545" i="2"/>
  <c r="Q7544" i="2"/>
  <c r="Q7543" i="2"/>
  <c r="Q7542" i="2"/>
  <c r="Q7541" i="2"/>
  <c r="Q7540" i="2"/>
  <c r="Q7539" i="2"/>
  <c r="Q7538" i="2"/>
  <c r="Q7537" i="2"/>
  <c r="Q7536" i="2"/>
  <c r="Q7535" i="2"/>
  <c r="Q7534" i="2"/>
  <c r="Q7533" i="2"/>
  <c r="Q7532" i="2"/>
  <c r="Q7531" i="2"/>
  <c r="Q7530" i="2"/>
  <c r="Q7529" i="2"/>
  <c r="Q7528" i="2"/>
  <c r="Q7527" i="2"/>
  <c r="Q7526" i="2"/>
  <c r="Q7525" i="2"/>
  <c r="Q7524" i="2"/>
  <c r="Q7523" i="2"/>
  <c r="Q7522" i="2"/>
  <c r="Q7521" i="2"/>
  <c r="Q7520" i="2"/>
  <c r="Q7519" i="2"/>
  <c r="Q7518" i="2"/>
  <c r="Q7517" i="2"/>
  <c r="Q7516" i="2"/>
  <c r="Q7515" i="2"/>
  <c r="Q7514" i="2"/>
  <c r="Q7513" i="2"/>
  <c r="Q7512" i="2"/>
  <c r="Q7511" i="2"/>
  <c r="Q7510" i="2"/>
  <c r="Q7509" i="2"/>
  <c r="Q7508" i="2"/>
  <c r="Q7507" i="2"/>
  <c r="Q7506" i="2"/>
  <c r="Q7505" i="2"/>
  <c r="Q7504" i="2"/>
  <c r="Q7503" i="2"/>
  <c r="Q7502" i="2"/>
  <c r="Q7501" i="2"/>
  <c r="Q7500" i="2"/>
  <c r="Q7499" i="2"/>
  <c r="Q7498" i="2"/>
  <c r="Q7497" i="2"/>
  <c r="Q7496" i="2"/>
  <c r="Q7495" i="2"/>
  <c r="Q7494" i="2"/>
  <c r="Q7493" i="2"/>
  <c r="Q7492" i="2"/>
  <c r="Q7491" i="2"/>
  <c r="Q7490" i="2"/>
  <c r="Q7489" i="2"/>
  <c r="Q7488" i="2"/>
  <c r="Q7487" i="2"/>
  <c r="Q7486" i="2"/>
  <c r="Q7485" i="2"/>
  <c r="Q7484" i="2"/>
  <c r="Q7483" i="2"/>
  <c r="Q7482" i="2"/>
  <c r="Q7481" i="2"/>
  <c r="Q7480" i="2"/>
  <c r="Q7479" i="2"/>
  <c r="Q7478" i="2"/>
  <c r="Q7477" i="2"/>
  <c r="Q7476" i="2"/>
  <c r="Q7475" i="2"/>
  <c r="Q7474" i="2"/>
  <c r="Q7473" i="2"/>
  <c r="Q7472" i="2"/>
  <c r="Q7471" i="2"/>
  <c r="Q7470" i="2"/>
  <c r="Q7469" i="2"/>
  <c r="Q7468" i="2"/>
  <c r="Q7467" i="2"/>
  <c r="Q7466" i="2"/>
  <c r="Q7465" i="2"/>
  <c r="Q7464" i="2"/>
  <c r="Q7463" i="2"/>
  <c r="Q7462" i="2"/>
  <c r="Q7461" i="2"/>
  <c r="Q7460" i="2"/>
  <c r="Q7459" i="2"/>
  <c r="Q7458" i="2"/>
  <c r="Q7457" i="2"/>
  <c r="Q7456" i="2"/>
  <c r="Q7455" i="2"/>
  <c r="Q7454" i="2"/>
  <c r="Q7453" i="2"/>
  <c r="Q7452" i="2"/>
  <c r="Q7451" i="2"/>
  <c r="Q7450" i="2"/>
  <c r="Q7449" i="2"/>
  <c r="Q7448" i="2"/>
  <c r="Q7447" i="2"/>
  <c r="Q7446" i="2"/>
  <c r="Q7445" i="2"/>
  <c r="Q7444" i="2"/>
  <c r="Q7443" i="2"/>
  <c r="Q7442" i="2"/>
  <c r="Q7441" i="2"/>
  <c r="Q7440" i="2"/>
  <c r="Q7439" i="2"/>
  <c r="Q7438" i="2"/>
  <c r="Q7437" i="2"/>
  <c r="Q7436" i="2"/>
  <c r="Q7435" i="2"/>
  <c r="Q7434" i="2"/>
  <c r="Q7433" i="2"/>
  <c r="Q7432" i="2"/>
  <c r="Q7431" i="2"/>
  <c r="Q7430" i="2"/>
  <c r="Q7429" i="2"/>
  <c r="Q7428" i="2"/>
  <c r="Q7427" i="2"/>
  <c r="Q7426" i="2"/>
  <c r="Q7425" i="2"/>
  <c r="Q7424" i="2"/>
  <c r="Q7423" i="2"/>
  <c r="Q7422" i="2"/>
  <c r="Q7421" i="2"/>
  <c r="Q7420" i="2"/>
  <c r="Q7419" i="2"/>
  <c r="Q7418" i="2"/>
  <c r="Q7417" i="2"/>
  <c r="Q7416" i="2"/>
  <c r="Q7415" i="2"/>
  <c r="Q7414" i="2"/>
  <c r="Q7413" i="2"/>
  <c r="Q7412" i="2"/>
  <c r="Q7411" i="2"/>
  <c r="Q7410" i="2"/>
  <c r="Q7409" i="2"/>
  <c r="Q7408" i="2"/>
  <c r="Q7407" i="2"/>
  <c r="Q7406" i="2"/>
  <c r="Q7405" i="2"/>
  <c r="Q7404" i="2"/>
  <c r="Q7403" i="2"/>
  <c r="Q7402" i="2"/>
  <c r="Q7401" i="2"/>
  <c r="Q7400" i="2"/>
  <c r="Q7399" i="2"/>
  <c r="Q7398" i="2"/>
  <c r="Q7397" i="2"/>
  <c r="Q7396" i="2"/>
  <c r="Q7395" i="2"/>
  <c r="Q7394" i="2"/>
  <c r="Q7393" i="2"/>
  <c r="Q7392" i="2"/>
  <c r="Q7391" i="2"/>
  <c r="Q7390" i="2"/>
  <c r="Q7389" i="2"/>
  <c r="Q7388" i="2"/>
  <c r="Q7387" i="2"/>
  <c r="Q7386" i="2"/>
  <c r="Q7385" i="2"/>
  <c r="Q7384" i="2"/>
  <c r="Q7383" i="2"/>
  <c r="Q7382" i="2"/>
  <c r="Q7381" i="2"/>
  <c r="Q7380" i="2"/>
  <c r="Q7379" i="2"/>
  <c r="Q7378" i="2"/>
  <c r="Q7377" i="2"/>
  <c r="Q7376" i="2"/>
  <c r="Q7375" i="2"/>
  <c r="Q7374" i="2"/>
  <c r="Q7373" i="2"/>
  <c r="Q7372" i="2"/>
  <c r="Q7371" i="2"/>
  <c r="Q7370" i="2"/>
  <c r="Q7369" i="2"/>
  <c r="Q7368" i="2"/>
  <c r="Q7367" i="2"/>
  <c r="Q7366" i="2"/>
  <c r="Q7365" i="2"/>
  <c r="Q7364" i="2"/>
  <c r="Q7363" i="2"/>
  <c r="Q7362" i="2"/>
  <c r="Q7361" i="2"/>
  <c r="Q7360" i="2"/>
  <c r="Q7359" i="2"/>
  <c r="Q7358" i="2"/>
  <c r="Q7357" i="2"/>
  <c r="Q7356" i="2"/>
  <c r="Q7355" i="2"/>
  <c r="Q7354" i="2"/>
  <c r="Q7353" i="2"/>
  <c r="Q7352" i="2"/>
  <c r="Q7351" i="2"/>
  <c r="Q7350" i="2"/>
  <c r="Q7349" i="2"/>
  <c r="Q7348" i="2"/>
  <c r="Q7347" i="2"/>
  <c r="Q7346" i="2"/>
  <c r="Q7345" i="2"/>
  <c r="Q7344" i="2"/>
  <c r="Q7343" i="2"/>
  <c r="Q7342" i="2"/>
  <c r="Q7341" i="2"/>
  <c r="Q7340" i="2"/>
  <c r="Q7339" i="2"/>
  <c r="Q7338" i="2"/>
  <c r="Q7337" i="2"/>
  <c r="M7333" i="2"/>
  <c r="L7331" i="2"/>
  <c r="Q7325" i="2"/>
  <c r="M7321" i="2"/>
  <c r="L7319" i="2"/>
  <c r="Q7313" i="2"/>
  <c r="M7309" i="2"/>
  <c r="L7307" i="2"/>
  <c r="Q7301" i="2"/>
  <c r="M7297" i="2"/>
  <c r="L7295" i="2"/>
  <c r="Q7289" i="2"/>
  <c r="M7285" i="2"/>
  <c r="L7283" i="2"/>
  <c r="Q7277" i="2"/>
  <c r="M7273" i="2"/>
  <c r="L7271" i="2"/>
  <c r="Q7265" i="2"/>
  <c r="M7261" i="2"/>
  <c r="L7259" i="2"/>
  <c r="Q7253" i="2"/>
  <c r="M7249" i="2"/>
  <c r="L7247" i="2"/>
  <c r="Q7241" i="2"/>
  <c r="M7237" i="2"/>
  <c r="L7235" i="2"/>
  <c r="Q7229" i="2"/>
  <c r="M7225" i="2"/>
  <c r="L7223" i="2"/>
  <c r="Q7217" i="2"/>
  <c r="M7213" i="2"/>
  <c r="L7211" i="2"/>
  <c r="Q7205" i="2"/>
  <c r="M7201" i="2"/>
  <c r="L7199" i="2"/>
  <c r="Q7193" i="2"/>
  <c r="M7189" i="2"/>
  <c r="L7187" i="2"/>
  <c r="Q7181" i="2"/>
  <c r="M7177" i="2"/>
  <c r="L7175" i="2"/>
  <c r="Q7169" i="2"/>
  <c r="M7165" i="2"/>
  <c r="L7163" i="2"/>
  <c r="Q7157" i="2"/>
  <c r="M7153" i="2"/>
  <c r="L7151" i="2"/>
  <c r="Q7145" i="2"/>
  <c r="M7141" i="2"/>
  <c r="L7139" i="2"/>
  <c r="Q7133" i="2"/>
  <c r="M7129" i="2"/>
  <c r="L7127" i="2"/>
  <c r="Q7121" i="2"/>
  <c r="M7117" i="2"/>
  <c r="L7115" i="2"/>
  <c r="Q7109" i="2"/>
  <c r="M7105" i="2"/>
  <c r="L7103" i="2"/>
  <c r="Q7097" i="2"/>
  <c r="L7093" i="2"/>
  <c r="L7087" i="2"/>
  <c r="L7081" i="2"/>
  <c r="Q6931" i="2"/>
  <c r="M6930" i="2"/>
  <c r="M6925" i="2"/>
  <c r="Q6925" i="2"/>
  <c r="L6925" i="2"/>
  <c r="M6907" i="2"/>
  <c r="Q6892" i="2"/>
  <c r="L6892" i="2"/>
  <c r="L6883" i="2"/>
  <c r="Q6866" i="2"/>
  <c r="L6866" i="2"/>
  <c r="M6866" i="2"/>
  <c r="L6845" i="2"/>
  <c r="Q6845" i="2"/>
  <c r="Q6787" i="2"/>
  <c r="M6786" i="2"/>
  <c r="Q6786" i="2"/>
  <c r="M6781" i="2"/>
  <c r="Q6781" i="2"/>
  <c r="L6781" i="2"/>
  <c r="M6775" i="2"/>
  <c r="Q6662" i="2"/>
  <c r="L6662" i="2"/>
  <c r="M6662" i="2"/>
  <c r="Q6508" i="2"/>
  <c r="L6508" i="2"/>
  <c r="M6508" i="2"/>
  <c r="Q6904" i="2"/>
  <c r="L6904" i="2"/>
  <c r="Q6878" i="2"/>
  <c r="L6878" i="2"/>
  <c r="M6878" i="2"/>
  <c r="L6857" i="2"/>
  <c r="M6857" i="2"/>
  <c r="Q6857" i="2"/>
  <c r="M6798" i="2"/>
  <c r="Q6798" i="2"/>
  <c r="M6793" i="2"/>
  <c r="Q6793" i="2"/>
  <c r="L6793" i="2"/>
  <c r="Q6772" i="2"/>
  <c r="L6772" i="2"/>
  <c r="Q6758" i="2"/>
  <c r="L6758" i="2"/>
  <c r="M6758" i="2"/>
  <c r="M6697" i="2"/>
  <c r="Q6697" i="2"/>
  <c r="L6697" i="2"/>
  <c r="M6625" i="2"/>
  <c r="Q6625" i="2"/>
  <c r="L6625" i="2"/>
  <c r="M6519" i="2"/>
  <c r="Q6519" i="2"/>
  <c r="L6519" i="2"/>
  <c r="M6495" i="2"/>
  <c r="Q6495" i="2"/>
  <c r="L6495" i="2"/>
  <c r="Q6484" i="2"/>
  <c r="L6484" i="2"/>
  <c r="M6484" i="2"/>
  <c r="L7333" i="2"/>
  <c r="Q7327" i="2"/>
  <c r="L7321" i="2"/>
  <c r="Q7315" i="2"/>
  <c r="L7309" i="2"/>
  <c r="Q7303" i="2"/>
  <c r="L7297" i="2"/>
  <c r="Q7291" i="2"/>
  <c r="L7285" i="2"/>
  <c r="Q7279" i="2"/>
  <c r="L7273" i="2"/>
  <c r="Q7267" i="2"/>
  <c r="L7261" i="2"/>
  <c r="Q7255" i="2"/>
  <c r="L7249" i="2"/>
  <c r="Q7243" i="2"/>
  <c r="L7237" i="2"/>
  <c r="Q7231" i="2"/>
  <c r="L7225" i="2"/>
  <c r="Q7219" i="2"/>
  <c r="L7213" i="2"/>
  <c r="Q7207" i="2"/>
  <c r="L7201" i="2"/>
  <c r="Q7195" i="2"/>
  <c r="L7189" i="2"/>
  <c r="Q7183" i="2"/>
  <c r="L7177" i="2"/>
  <c r="Q7171" i="2"/>
  <c r="L7165" i="2"/>
  <c r="Q7159" i="2"/>
  <c r="L7153" i="2"/>
  <c r="Q7147" i="2"/>
  <c r="L7141" i="2"/>
  <c r="Q7135" i="2"/>
  <c r="L7129" i="2"/>
  <c r="Q7123" i="2"/>
  <c r="L7117" i="2"/>
  <c r="Q7111" i="2"/>
  <c r="L7105" i="2"/>
  <c r="Q7099" i="2"/>
  <c r="L7094" i="2"/>
  <c r="L7088" i="2"/>
  <c r="L7082" i="2"/>
  <c r="Q6943" i="2"/>
  <c r="M6942" i="2"/>
  <c r="M6937" i="2"/>
  <c r="Q6937" i="2"/>
  <c r="L6937" i="2"/>
  <c r="M6931" i="2"/>
  <c r="Q6916" i="2"/>
  <c r="L6916" i="2"/>
  <c r="L6907" i="2"/>
  <c r="Q6890" i="2"/>
  <c r="L6890" i="2"/>
  <c r="M6890" i="2"/>
  <c r="L6869" i="2"/>
  <c r="M6869" i="2"/>
  <c r="Q6869" i="2"/>
  <c r="Q6811" i="2"/>
  <c r="M6810" i="2"/>
  <c r="Q6810" i="2"/>
  <c r="M6805" i="2"/>
  <c r="Q6805" i="2"/>
  <c r="L6805" i="2"/>
  <c r="M6787" i="2"/>
  <c r="L6775" i="2"/>
  <c r="M6709" i="2"/>
  <c r="Q6709" i="2"/>
  <c r="L6709" i="2"/>
  <c r="Q6674" i="2"/>
  <c r="L6674" i="2"/>
  <c r="M6674" i="2"/>
  <c r="Q6542" i="2"/>
  <c r="L6542" i="2"/>
  <c r="M6542" i="2"/>
  <c r="Q6928" i="2"/>
  <c r="L6928" i="2"/>
  <c r="Q6902" i="2"/>
  <c r="L6902" i="2"/>
  <c r="M6902" i="2"/>
  <c r="L6881" i="2"/>
  <c r="M6881" i="2"/>
  <c r="Q6881" i="2"/>
  <c r="M6822" i="2"/>
  <c r="Q6822" i="2"/>
  <c r="M6817" i="2"/>
  <c r="Q6817" i="2"/>
  <c r="L6817" i="2"/>
  <c r="Q6784" i="2"/>
  <c r="L6784" i="2"/>
  <c r="Q6770" i="2"/>
  <c r="L6770" i="2"/>
  <c r="M6770" i="2"/>
  <c r="L6761" i="2"/>
  <c r="M6761" i="2"/>
  <c r="Q6761" i="2"/>
  <c r="M6721" i="2"/>
  <c r="Q6721" i="2"/>
  <c r="L6721" i="2"/>
  <c r="M6637" i="2"/>
  <c r="Q6637" i="2"/>
  <c r="L6637" i="2"/>
  <c r="Q6578" i="2"/>
  <c r="L6578" i="2"/>
  <c r="M6578" i="2"/>
  <c r="L7335" i="2"/>
  <c r="Q7329" i="2"/>
  <c r="L7323" i="2"/>
  <c r="Q7317" i="2"/>
  <c r="L7311" i="2"/>
  <c r="Q7305" i="2"/>
  <c r="L7299" i="2"/>
  <c r="Q7293" i="2"/>
  <c r="L7287" i="2"/>
  <c r="Q7281" i="2"/>
  <c r="L7275" i="2"/>
  <c r="Q7269" i="2"/>
  <c r="L7263" i="2"/>
  <c r="Q7257" i="2"/>
  <c r="L7251" i="2"/>
  <c r="Q7245" i="2"/>
  <c r="L7239" i="2"/>
  <c r="Q7233" i="2"/>
  <c r="L7227" i="2"/>
  <c r="Q7221" i="2"/>
  <c r="L7215" i="2"/>
  <c r="Q7209" i="2"/>
  <c r="L7203" i="2"/>
  <c r="Q7197" i="2"/>
  <c r="L7191" i="2"/>
  <c r="Q7185" i="2"/>
  <c r="L7179" i="2"/>
  <c r="Q7173" i="2"/>
  <c r="L7167" i="2"/>
  <c r="Q7161" i="2"/>
  <c r="L7155" i="2"/>
  <c r="Q7149" i="2"/>
  <c r="L7143" i="2"/>
  <c r="Q7137" i="2"/>
  <c r="L7131" i="2"/>
  <c r="Q7125" i="2"/>
  <c r="L7119" i="2"/>
  <c r="Q7113" i="2"/>
  <c r="L7107" i="2"/>
  <c r="Q7101" i="2"/>
  <c r="L7095" i="2"/>
  <c r="L7089" i="2"/>
  <c r="L7083" i="2"/>
  <c r="L7077" i="2"/>
  <c r="M6943" i="2"/>
  <c r="Q6935" i="2"/>
  <c r="L6931" i="2"/>
  <c r="Q6914" i="2"/>
  <c r="L6914" i="2"/>
  <c r="M6914" i="2"/>
  <c r="L6893" i="2"/>
  <c r="M6893" i="2"/>
  <c r="Q6893" i="2"/>
  <c r="Q6835" i="2"/>
  <c r="M6834" i="2"/>
  <c r="Q6834" i="2"/>
  <c r="M6829" i="2"/>
  <c r="Q6829" i="2"/>
  <c r="L6829" i="2"/>
  <c r="M6811" i="2"/>
  <c r="Q6796" i="2"/>
  <c r="L6796" i="2"/>
  <c r="L6787" i="2"/>
  <c r="M6733" i="2"/>
  <c r="Q6733" i="2"/>
  <c r="L6733" i="2"/>
  <c r="Q6686" i="2"/>
  <c r="L6686" i="2"/>
  <c r="M6686" i="2"/>
  <c r="Q6614" i="2"/>
  <c r="L6614" i="2"/>
  <c r="M6614" i="2"/>
  <c r="Q6940" i="2"/>
  <c r="L6940" i="2"/>
  <c r="Q6926" i="2"/>
  <c r="L6926" i="2"/>
  <c r="M6926" i="2"/>
  <c r="L6905" i="2"/>
  <c r="M6905" i="2"/>
  <c r="Q6905" i="2"/>
  <c r="M6846" i="2"/>
  <c r="Q6846" i="2"/>
  <c r="M6841" i="2"/>
  <c r="Q6841" i="2"/>
  <c r="L6841" i="2"/>
  <c r="Q6808" i="2"/>
  <c r="L6808" i="2"/>
  <c r="Q6782" i="2"/>
  <c r="L6782" i="2"/>
  <c r="M6782" i="2"/>
  <c r="L6773" i="2"/>
  <c r="M6773" i="2"/>
  <c r="Q6773" i="2"/>
  <c r="M6649" i="2"/>
  <c r="Q6649" i="2"/>
  <c r="L6649" i="2"/>
  <c r="L7337" i="2"/>
  <c r="L7325" i="2"/>
  <c r="L7313" i="2"/>
  <c r="L7301" i="2"/>
  <c r="L7289" i="2"/>
  <c r="L7277" i="2"/>
  <c r="L7265" i="2"/>
  <c r="L7253" i="2"/>
  <c r="L7241" i="2"/>
  <c r="L7229" i="2"/>
  <c r="L7217" i="2"/>
  <c r="L7205" i="2"/>
  <c r="L7193" i="2"/>
  <c r="L7181" i="2"/>
  <c r="L7169" i="2"/>
  <c r="L7157" i="2"/>
  <c r="L7145" i="2"/>
  <c r="L7133" i="2"/>
  <c r="L7121" i="2"/>
  <c r="Q7115" i="2"/>
  <c r="L7109" i="2"/>
  <c r="Q7103" i="2"/>
  <c r="L7097" i="2"/>
  <c r="L7090" i="2"/>
  <c r="L7084" i="2"/>
  <c r="L7078" i="2"/>
  <c r="L6943" i="2"/>
  <c r="Q6938" i="2"/>
  <c r="L6917" i="2"/>
  <c r="M6917" i="2"/>
  <c r="Q6917" i="2"/>
  <c r="M6858" i="2"/>
  <c r="Q6858" i="2"/>
  <c r="M6853" i="2"/>
  <c r="Q6853" i="2"/>
  <c r="L6853" i="2"/>
  <c r="M6835" i="2"/>
  <c r="Q6820" i="2"/>
  <c r="L6820" i="2"/>
  <c r="L6811" i="2"/>
  <c r="Q6794" i="2"/>
  <c r="L6794" i="2"/>
  <c r="M6794" i="2"/>
  <c r="M6745" i="2"/>
  <c r="Q6745" i="2"/>
  <c r="L6745" i="2"/>
  <c r="Q6698" i="2"/>
  <c r="L6698" i="2"/>
  <c r="M6698" i="2"/>
  <c r="Q6626" i="2"/>
  <c r="L6626" i="2"/>
  <c r="M6626" i="2"/>
  <c r="Q6520" i="2"/>
  <c r="L6520" i="2"/>
  <c r="M6520" i="2"/>
  <c r="Q6496" i="2"/>
  <c r="L6496" i="2"/>
  <c r="M6496" i="2"/>
  <c r="Q7332" i="2"/>
  <c r="Q7320" i="2"/>
  <c r="Q7308" i="2"/>
  <c r="Q7296" i="2"/>
  <c r="L6938" i="2"/>
  <c r="M6938" i="2"/>
  <c r="L6929" i="2"/>
  <c r="M6929" i="2"/>
  <c r="M6870" i="2"/>
  <c r="Q6870" i="2"/>
  <c r="M6865" i="2"/>
  <c r="Q6865" i="2"/>
  <c r="L6865" i="2"/>
  <c r="Q6832" i="2"/>
  <c r="L6832" i="2"/>
  <c r="Q6806" i="2"/>
  <c r="L6806" i="2"/>
  <c r="M6806" i="2"/>
  <c r="L6785" i="2"/>
  <c r="Q6785" i="2"/>
  <c r="Q6710" i="2"/>
  <c r="L6710" i="2"/>
  <c r="M6710" i="2"/>
  <c r="M6661" i="2"/>
  <c r="Q6661" i="2"/>
  <c r="L6661" i="2"/>
  <c r="Q6590" i="2"/>
  <c r="L6590" i="2"/>
  <c r="M6590" i="2"/>
  <c r="Q6554" i="2"/>
  <c r="L6554" i="2"/>
  <c r="M6554" i="2"/>
  <c r="M6507" i="2"/>
  <c r="Q6507" i="2"/>
  <c r="L6507" i="2"/>
  <c r="L7327" i="2"/>
  <c r="L7315" i="2"/>
  <c r="L7303" i="2"/>
  <c r="L7291" i="2"/>
  <c r="L7279" i="2"/>
  <c r="L7267" i="2"/>
  <c r="L7255" i="2"/>
  <c r="L7243" i="2"/>
  <c r="L7231" i="2"/>
  <c r="L7219" i="2"/>
  <c r="L7207" i="2"/>
  <c r="L7195" i="2"/>
  <c r="L7183" i="2"/>
  <c r="L7171" i="2"/>
  <c r="L7159" i="2"/>
  <c r="L7147" i="2"/>
  <c r="L7135" i="2"/>
  <c r="L7123" i="2"/>
  <c r="L7111" i="2"/>
  <c r="L7099" i="2"/>
  <c r="L7091" i="2"/>
  <c r="L7085" i="2"/>
  <c r="L7079" i="2"/>
  <c r="Q6883" i="2"/>
  <c r="M6882" i="2"/>
  <c r="Q6882" i="2"/>
  <c r="M6877" i="2"/>
  <c r="Q6877" i="2"/>
  <c r="L6877" i="2"/>
  <c r="Q6844" i="2"/>
  <c r="L6844" i="2"/>
  <c r="L6835" i="2"/>
  <c r="Q6818" i="2"/>
  <c r="L6818" i="2"/>
  <c r="M6818" i="2"/>
  <c r="L6797" i="2"/>
  <c r="M6797" i="2"/>
  <c r="Q6797" i="2"/>
  <c r="M6785" i="2"/>
  <c r="L6774" i="2"/>
  <c r="M6757" i="2"/>
  <c r="Q6757" i="2"/>
  <c r="L6757" i="2"/>
  <c r="Q6722" i="2"/>
  <c r="L6722" i="2"/>
  <c r="M6722" i="2"/>
  <c r="Q6638" i="2"/>
  <c r="L6638" i="2"/>
  <c r="M6638" i="2"/>
  <c r="Q7334" i="2"/>
  <c r="Q7310" i="2"/>
  <c r="Q7298" i="2"/>
  <c r="Q7094" i="2"/>
  <c r="Q7088" i="2"/>
  <c r="Q7082" i="2"/>
  <c r="L6941" i="2"/>
  <c r="M6941" i="2"/>
  <c r="Q6933" i="2"/>
  <c r="Q6930" i="2"/>
  <c r="L6918" i="2"/>
  <c r="Q6895" i="2"/>
  <c r="M6894" i="2"/>
  <c r="Q6894" i="2"/>
  <c r="M6889" i="2"/>
  <c r="Q6889" i="2"/>
  <c r="L6889" i="2"/>
  <c r="M6880" i="2"/>
  <c r="M6871" i="2"/>
  <c r="Q6856" i="2"/>
  <c r="L6856" i="2"/>
  <c r="L6847" i="2"/>
  <c r="Q6830" i="2"/>
  <c r="L6830" i="2"/>
  <c r="M6830" i="2"/>
  <c r="L6809" i="2"/>
  <c r="M6809" i="2"/>
  <c r="Q6809" i="2"/>
  <c r="M6760" i="2"/>
  <c r="Q6734" i="2"/>
  <c r="L6734" i="2"/>
  <c r="M6734" i="2"/>
  <c r="M6673" i="2"/>
  <c r="Q6673" i="2"/>
  <c r="L6673" i="2"/>
  <c r="Q6530" i="2"/>
  <c r="L6530" i="2"/>
  <c r="M6530" i="2"/>
  <c r="M6483" i="2"/>
  <c r="Q6483" i="2"/>
  <c r="L6483" i="2"/>
  <c r="Q6749" i="2"/>
  <c r="Q6737" i="2"/>
  <c r="Q6725" i="2"/>
  <c r="Q6713" i="2"/>
  <c r="Q6701" i="2"/>
  <c r="Q6689" i="2"/>
  <c r="Q6677" i="2"/>
  <c r="Q6665" i="2"/>
  <c r="Q6653" i="2"/>
  <c r="Q6641" i="2"/>
  <c r="Q6629" i="2"/>
  <c r="Q6617" i="2"/>
  <c r="Q6605" i="2"/>
  <c r="L6601" i="2"/>
  <c r="Q6593" i="2"/>
  <c r="L6589" i="2"/>
  <c r="Q6581" i="2"/>
  <c r="L6577" i="2"/>
  <c r="Q6569" i="2"/>
  <c r="L6565" i="2"/>
  <c r="Q6557" i="2"/>
  <c r="L6553" i="2"/>
  <c r="Q6545" i="2"/>
  <c r="L6541" i="2"/>
  <c r="Q6533" i="2"/>
  <c r="L6529" i="2"/>
  <c r="Q6511" i="2"/>
  <c r="Q6499" i="2"/>
  <c r="Q6487" i="2"/>
  <c r="Q6475" i="2"/>
  <c r="M6472" i="2"/>
  <c r="L6471" i="2"/>
  <c r="Q6463" i="2"/>
  <c r="M6460" i="2"/>
  <c r="L6459" i="2"/>
  <c r="Q6451" i="2"/>
  <c r="M6448" i="2"/>
  <c r="L6447" i="2"/>
  <c r="Q6439" i="2"/>
  <c r="M6436" i="2"/>
  <c r="L6435" i="2"/>
  <c r="M6428" i="2"/>
  <c r="M6422" i="2"/>
  <c r="Q6385" i="2"/>
  <c r="Q6379" i="2"/>
  <c r="Q6373" i="2"/>
  <c r="Q6367" i="2"/>
  <c r="Q6361" i="2"/>
  <c r="Q6355" i="2"/>
  <c r="Q6349" i="2"/>
  <c r="Q6343" i="2"/>
  <c r="Q6337" i="2"/>
  <c r="Q6331" i="2"/>
  <c r="Q6325" i="2"/>
  <c r="Q6319" i="2"/>
  <c r="Q6313" i="2"/>
  <c r="Q6307" i="2"/>
  <c r="Q6301" i="2"/>
  <c r="Q6295" i="2"/>
  <c r="Q6289" i="2"/>
  <c r="Q6283" i="2"/>
  <c r="Q6277" i="2"/>
  <c r="Q6271" i="2"/>
  <c r="Q6265" i="2"/>
  <c r="Q6259" i="2"/>
  <c r="Q6253" i="2"/>
  <c r="Q5984" i="2"/>
  <c r="L5977" i="2"/>
  <c r="M5977" i="2"/>
  <c r="M6939" i="2"/>
  <c r="M6927" i="2"/>
  <c r="M6915" i="2"/>
  <c r="M6903" i="2"/>
  <c r="M6891" i="2"/>
  <c r="P6891" i="2" s="1"/>
  <c r="M6879" i="2"/>
  <c r="M6867" i="2"/>
  <c r="M6855" i="2"/>
  <c r="M6843" i="2"/>
  <c r="M6831" i="2"/>
  <c r="M6819" i="2"/>
  <c r="M6807" i="2"/>
  <c r="M6795" i="2"/>
  <c r="M6783" i="2"/>
  <c r="M6771" i="2"/>
  <c r="Q6762" i="2"/>
  <c r="M6759" i="2"/>
  <c r="Q6750" i="2"/>
  <c r="M6747" i="2"/>
  <c r="Q6738" i="2"/>
  <c r="M6735" i="2"/>
  <c r="Q6726" i="2"/>
  <c r="M6723" i="2"/>
  <c r="Q6714" i="2"/>
  <c r="M6711" i="2"/>
  <c r="Q6702" i="2"/>
  <c r="M6699" i="2"/>
  <c r="Q6690" i="2"/>
  <c r="M6687" i="2"/>
  <c r="Q6678" i="2"/>
  <c r="M6675" i="2"/>
  <c r="Q6666" i="2"/>
  <c r="M6663" i="2"/>
  <c r="Q6654" i="2"/>
  <c r="M6651" i="2"/>
  <c r="Q6642" i="2"/>
  <c r="M6639" i="2"/>
  <c r="Q6630" i="2"/>
  <c r="M6627" i="2"/>
  <c r="Q6618" i="2"/>
  <c r="M6615" i="2"/>
  <c r="Q6522" i="2"/>
  <c r="M6521" i="2"/>
  <c r="Q6512" i="2"/>
  <c r="M6509" i="2"/>
  <c r="Q6500" i="2"/>
  <c r="M6497" i="2"/>
  <c r="Q6488" i="2"/>
  <c r="M6485" i="2"/>
  <c r="Q6476" i="2"/>
  <c r="M6473" i="2"/>
  <c r="L6472" i="2"/>
  <c r="Q6464" i="2"/>
  <c r="M6461" i="2"/>
  <c r="L6460" i="2"/>
  <c r="Q6452" i="2"/>
  <c r="L6448" i="2"/>
  <c r="Q6440" i="2"/>
  <c r="L6436" i="2"/>
  <c r="L6428" i="2"/>
  <c r="L6422" i="2"/>
  <c r="L6418" i="2"/>
  <c r="M6418" i="2"/>
  <c r="Q6418" i="2"/>
  <c r="L6415" i="2"/>
  <c r="M6415" i="2"/>
  <c r="L6412" i="2"/>
  <c r="M6412" i="2"/>
  <c r="L6409" i="2"/>
  <c r="M6409" i="2"/>
  <c r="L6406" i="2"/>
  <c r="M6406" i="2"/>
  <c r="L6403" i="2"/>
  <c r="M6403" i="2"/>
  <c r="L6400" i="2"/>
  <c r="M6400" i="2"/>
  <c r="L6397" i="2"/>
  <c r="M6397" i="2"/>
  <c r="L6394" i="2"/>
  <c r="M6394" i="2"/>
  <c r="L6391" i="2"/>
  <c r="M6391" i="2"/>
  <c r="L6388" i="2"/>
  <c r="M6388" i="2"/>
  <c r="Q6063" i="2"/>
  <c r="Q6057" i="2"/>
  <c r="Q6051" i="2"/>
  <c r="Q6045" i="2"/>
  <c r="Q6039" i="2"/>
  <c r="Q6033" i="2"/>
  <c r="Q6001" i="2"/>
  <c r="Q5981" i="2"/>
  <c r="L5980" i="2"/>
  <c r="M5980" i="2"/>
  <c r="Q5944" i="2"/>
  <c r="Q5908" i="2"/>
  <c r="Q5872" i="2"/>
  <c r="Q5836" i="2"/>
  <c r="Q6380" i="2"/>
  <c r="Q6374" i="2"/>
  <c r="Q6368" i="2"/>
  <c r="Q6362" i="2"/>
  <c r="Q6356" i="2"/>
  <c r="Q6350" i="2"/>
  <c r="Q6344" i="2"/>
  <c r="Q6338" i="2"/>
  <c r="Q6332" i="2"/>
  <c r="Q6326" i="2"/>
  <c r="Q6320" i="2"/>
  <c r="Q6314" i="2"/>
  <c r="Q6308" i="2"/>
  <c r="Q6302" i="2"/>
  <c r="Q6296" i="2"/>
  <c r="Q6290" i="2"/>
  <c r="Q6284" i="2"/>
  <c r="Q6278" i="2"/>
  <c r="Q6272" i="2"/>
  <c r="Q6266" i="2"/>
  <c r="Q6260" i="2"/>
  <c r="Q6254" i="2"/>
  <c r="Q6249" i="2"/>
  <c r="Q6245" i="2"/>
  <c r="Q6241" i="2"/>
  <c r="Q6237" i="2"/>
  <c r="Q6233" i="2"/>
  <c r="Q6229" i="2"/>
  <c r="Q6225" i="2"/>
  <c r="Q6221" i="2"/>
  <c r="Q6217" i="2"/>
  <c r="Q6213" i="2"/>
  <c r="Q6209" i="2"/>
  <c r="Q6205" i="2"/>
  <c r="Q6201" i="2"/>
  <c r="Q6197" i="2"/>
  <c r="Q6193" i="2"/>
  <c r="Q6189" i="2"/>
  <c r="Q6185" i="2"/>
  <c r="Q6181" i="2"/>
  <c r="Q6177" i="2"/>
  <c r="Q6173" i="2"/>
  <c r="Q6169" i="2"/>
  <c r="Q6165" i="2"/>
  <c r="Q6161" i="2"/>
  <c r="Q6157" i="2"/>
  <c r="Q6153" i="2"/>
  <c r="Q6149" i="2"/>
  <c r="Q6145" i="2"/>
  <c r="Q6141" i="2"/>
  <c r="Q6137" i="2"/>
  <c r="Q6133" i="2"/>
  <c r="Q6129" i="2"/>
  <c r="Q6125" i="2"/>
  <c r="Q6121" i="2"/>
  <c r="Q6117" i="2"/>
  <c r="Q6113" i="2"/>
  <c r="Q6109" i="2"/>
  <c r="Q6105" i="2"/>
  <c r="Q6101" i="2"/>
  <c r="Q6097" i="2"/>
  <c r="Q6093" i="2"/>
  <c r="Q6089" i="2"/>
  <c r="Q6085" i="2"/>
  <c r="Q6081" i="2"/>
  <c r="Q6077" i="2"/>
  <c r="Q6073" i="2"/>
  <c r="Q6069" i="2"/>
  <c r="Q6008" i="2"/>
  <c r="L6001" i="2"/>
  <c r="M6001" i="2"/>
  <c r="Q5948" i="2"/>
  <c r="L5944" i="2"/>
  <c r="M5944" i="2"/>
  <c r="Q5912" i="2"/>
  <c r="L5908" i="2"/>
  <c r="M5908" i="2"/>
  <c r="Q5876" i="2"/>
  <c r="L5872" i="2"/>
  <c r="M5872" i="2"/>
  <c r="Q5840" i="2"/>
  <c r="L5836" i="2"/>
  <c r="M5836" i="2"/>
  <c r="Q6920" i="2"/>
  <c r="Q6908" i="2"/>
  <c r="Q6896" i="2"/>
  <c r="Q6884" i="2"/>
  <c r="Q6872" i="2"/>
  <c r="Q6860" i="2"/>
  <c r="Q6848" i="2"/>
  <c r="Q6836" i="2"/>
  <c r="Q6824" i="2"/>
  <c r="Q6812" i="2"/>
  <c r="Q6800" i="2"/>
  <c r="Q6776" i="2"/>
  <c r="Q6764" i="2"/>
  <c r="Q6752" i="2"/>
  <c r="M6749" i="2"/>
  <c r="L6748" i="2"/>
  <c r="Q6740" i="2"/>
  <c r="M6737" i="2"/>
  <c r="L6736" i="2"/>
  <c r="Q6728" i="2"/>
  <c r="M6725" i="2"/>
  <c r="L6724" i="2"/>
  <c r="Q6716" i="2"/>
  <c r="M6713" i="2"/>
  <c r="L6712" i="2"/>
  <c r="Q6704" i="2"/>
  <c r="M6701" i="2"/>
  <c r="L6700" i="2"/>
  <c r="Q6692" i="2"/>
  <c r="M6689" i="2"/>
  <c r="L6688" i="2"/>
  <c r="Q6680" i="2"/>
  <c r="M6677" i="2"/>
  <c r="L6676" i="2"/>
  <c r="Q6668" i="2"/>
  <c r="M6665" i="2"/>
  <c r="L6664" i="2"/>
  <c r="Q6656" i="2"/>
  <c r="M6653" i="2"/>
  <c r="L6652" i="2"/>
  <c r="Q6644" i="2"/>
  <c r="M6641" i="2"/>
  <c r="L6640" i="2"/>
  <c r="Q6632" i="2"/>
  <c r="M6629" i="2"/>
  <c r="L6628" i="2"/>
  <c r="Q6620" i="2"/>
  <c r="M6617" i="2"/>
  <c r="L6616" i="2"/>
  <c r="Q6608" i="2"/>
  <c r="M6605" i="2"/>
  <c r="L6604" i="2"/>
  <c r="Q6596" i="2"/>
  <c r="M6593" i="2"/>
  <c r="L6592" i="2"/>
  <c r="Q6584" i="2"/>
  <c r="M6581" i="2"/>
  <c r="L6580" i="2"/>
  <c r="Q6572" i="2"/>
  <c r="M6569" i="2"/>
  <c r="L6568" i="2"/>
  <c r="Q6560" i="2"/>
  <c r="M6557" i="2"/>
  <c r="L6556" i="2"/>
  <c r="Q6548" i="2"/>
  <c r="M6545" i="2"/>
  <c r="L6544" i="2"/>
  <c r="Q6536" i="2"/>
  <c r="M6533" i="2"/>
  <c r="L6532" i="2"/>
  <c r="Q6524" i="2"/>
  <c r="Q6514" i="2"/>
  <c r="M6511" i="2"/>
  <c r="L6510" i="2"/>
  <c r="Q6502" i="2"/>
  <c r="M6499" i="2"/>
  <c r="L6498" i="2"/>
  <c r="Q6490" i="2"/>
  <c r="M6487" i="2"/>
  <c r="L6486" i="2"/>
  <c r="P6486" i="2" s="1"/>
  <c r="Q6478" i="2"/>
  <c r="M6475" i="2"/>
  <c r="L6474" i="2"/>
  <c r="Q6466" i="2"/>
  <c r="M6463" i="2"/>
  <c r="L6462" i="2"/>
  <c r="Q6454" i="2"/>
  <c r="M6451" i="2"/>
  <c r="L6450" i="2"/>
  <c r="Q6442" i="2"/>
  <c r="M6439" i="2"/>
  <c r="L6438" i="2"/>
  <c r="L6429" i="2"/>
  <c r="Q6428" i="2"/>
  <c r="L6423" i="2"/>
  <c r="Q6422" i="2"/>
  <c r="Q6064" i="2"/>
  <c r="Q6058" i="2"/>
  <c r="Q6052" i="2"/>
  <c r="Q6046" i="2"/>
  <c r="Q6040" i="2"/>
  <c r="Q6034" i="2"/>
  <c r="Q6028" i="2"/>
  <c r="Q6025" i="2"/>
  <c r="Q6005" i="2"/>
  <c r="L6004" i="2"/>
  <c r="M6004" i="2"/>
  <c r="L6511" i="2"/>
  <c r="L6499" i="2"/>
  <c r="L6487" i="2"/>
  <c r="L6475" i="2"/>
  <c r="L6463" i="2"/>
  <c r="L6451" i="2"/>
  <c r="L6439" i="2"/>
  <c r="M6430" i="2"/>
  <c r="M6424" i="2"/>
  <c r="Q6381" i="2"/>
  <c r="Q6375" i="2"/>
  <c r="Q6369" i="2"/>
  <c r="P6363" i="2"/>
  <c r="Q6363" i="2"/>
  <c r="Q6357" i="2"/>
  <c r="Q6351" i="2"/>
  <c r="Q6345" i="2"/>
  <c r="Q6339" i="2"/>
  <c r="Q6333" i="2"/>
  <c r="Q6327" i="2"/>
  <c r="Q6321" i="2"/>
  <c r="Q6315" i="2"/>
  <c r="Q6309" i="2"/>
  <c r="Q6303" i="2"/>
  <c r="Q6297" i="2"/>
  <c r="Q6291" i="2"/>
  <c r="Q6285" i="2"/>
  <c r="Q6279" i="2"/>
  <c r="Q6273" i="2"/>
  <c r="Q6267" i="2"/>
  <c r="Q6261" i="2"/>
  <c r="Q6255" i="2"/>
  <c r="L6025" i="2"/>
  <c r="M6025" i="2"/>
  <c r="Q5965" i="2"/>
  <c r="L6416" i="2"/>
  <c r="M6416" i="2"/>
  <c r="L6413" i="2"/>
  <c r="M6413" i="2"/>
  <c r="L6410" i="2"/>
  <c r="M6410" i="2"/>
  <c r="L6407" i="2"/>
  <c r="M6407" i="2"/>
  <c r="L6404" i="2"/>
  <c r="M6404" i="2"/>
  <c r="L6401" i="2"/>
  <c r="M6401" i="2"/>
  <c r="L6398" i="2"/>
  <c r="M6398" i="2"/>
  <c r="L6395" i="2"/>
  <c r="M6395" i="2"/>
  <c r="L6392" i="2"/>
  <c r="M6392" i="2"/>
  <c r="L6389" i="2"/>
  <c r="M6389" i="2"/>
  <c r="Q6250" i="2"/>
  <c r="Q6246" i="2"/>
  <c r="Q6242" i="2"/>
  <c r="Q6238" i="2"/>
  <c r="Q6234" i="2"/>
  <c r="Q6230" i="2"/>
  <c r="Q6226" i="2"/>
  <c r="Q6222" i="2"/>
  <c r="Q6218" i="2"/>
  <c r="Q6214" i="2"/>
  <c r="Q6210" i="2"/>
  <c r="Q6206" i="2"/>
  <c r="Q6202" i="2"/>
  <c r="Q6198" i="2"/>
  <c r="Q6194" i="2"/>
  <c r="Q6190" i="2"/>
  <c r="Q6186" i="2"/>
  <c r="Q6182" i="2"/>
  <c r="Q6178" i="2"/>
  <c r="Q6174" i="2"/>
  <c r="Q6170" i="2"/>
  <c r="Q6166" i="2"/>
  <c r="Q6162" i="2"/>
  <c r="Q6158" i="2"/>
  <c r="Q6154" i="2"/>
  <c r="Q6150" i="2"/>
  <c r="Q6146" i="2"/>
  <c r="Q6142" i="2"/>
  <c r="Q6138" i="2"/>
  <c r="Q6134" i="2"/>
  <c r="Q6130" i="2"/>
  <c r="Q6126" i="2"/>
  <c r="Q6122" i="2"/>
  <c r="Q6118" i="2"/>
  <c r="Q6114" i="2"/>
  <c r="Q6110" i="2"/>
  <c r="Q6106" i="2"/>
  <c r="Q6102" i="2"/>
  <c r="Q6098" i="2"/>
  <c r="Q6094" i="2"/>
  <c r="Q6090" i="2"/>
  <c r="Q6086" i="2"/>
  <c r="Q6082" i="2"/>
  <c r="Q6078" i="2"/>
  <c r="Q6074" i="2"/>
  <c r="Q6070" i="2"/>
  <c r="Q6065" i="2"/>
  <c r="Q6059" i="2"/>
  <c r="Q6053" i="2"/>
  <c r="Q6047" i="2"/>
  <c r="Q6041" i="2"/>
  <c r="Q6035" i="2"/>
  <c r="Q6029" i="2"/>
  <c r="L6028" i="2"/>
  <c r="M6028" i="2"/>
  <c r="Q5972" i="2"/>
  <c r="L5965" i="2"/>
  <c r="M5965" i="2"/>
  <c r="Q6611" i="2"/>
  <c r="Q6599" i="2"/>
  <c r="Q6587" i="2"/>
  <c r="Q6575" i="2"/>
  <c r="Q6563" i="2"/>
  <c r="Q6551" i="2"/>
  <c r="Q6539" i="2"/>
  <c r="Q6527" i="2"/>
  <c r="Q6382" i="2"/>
  <c r="Q6376" i="2"/>
  <c r="Q6370" i="2"/>
  <c r="Q6364" i="2"/>
  <c r="Q6358" i="2"/>
  <c r="Q6352" i="2"/>
  <c r="Q6346" i="2"/>
  <c r="Q6340" i="2"/>
  <c r="Q6334" i="2"/>
  <c r="Q6328" i="2"/>
  <c r="Q6322" i="2"/>
  <c r="Q6316" i="2"/>
  <c r="Q6310" i="2"/>
  <c r="Q6304" i="2"/>
  <c r="Q6298" i="2"/>
  <c r="Q6292" i="2"/>
  <c r="Q6286" i="2"/>
  <c r="Q6280" i="2"/>
  <c r="Q6274" i="2"/>
  <c r="Q6268" i="2"/>
  <c r="Q6262" i="2"/>
  <c r="Q6256" i="2"/>
  <c r="Q5992" i="2"/>
  <c r="Q5989" i="2"/>
  <c r="Q5969" i="2"/>
  <c r="L5968" i="2"/>
  <c r="M5968" i="2"/>
  <c r="Q5936" i="2"/>
  <c r="L5932" i="2"/>
  <c r="M5932" i="2"/>
  <c r="Q5900" i="2"/>
  <c r="L5896" i="2"/>
  <c r="M5896" i="2"/>
  <c r="Q5864" i="2"/>
  <c r="L5860" i="2"/>
  <c r="M5860" i="2"/>
  <c r="M6419" i="2"/>
  <c r="Q6419" i="2"/>
  <c r="Q6066" i="2"/>
  <c r="Q6060" i="2"/>
  <c r="Q6054" i="2"/>
  <c r="Q6048" i="2"/>
  <c r="Q6042" i="2"/>
  <c r="Q6036" i="2"/>
  <c r="Q6030" i="2"/>
  <c r="Q5996" i="2"/>
  <c r="L5989" i="2"/>
  <c r="M5989" i="2"/>
  <c r="M6610" i="2"/>
  <c r="Q6601" i="2"/>
  <c r="M6598" i="2"/>
  <c r="Q6589" i="2"/>
  <c r="M6586" i="2"/>
  <c r="Q6577" i="2"/>
  <c r="M6574" i="2"/>
  <c r="Q6565" i="2"/>
  <c r="M6562" i="2"/>
  <c r="Q6553" i="2"/>
  <c r="M6550" i="2"/>
  <c r="Q6541" i="2"/>
  <c r="M6538" i="2"/>
  <c r="Q6529" i="2"/>
  <c r="M6526" i="2"/>
  <c r="M6516" i="2"/>
  <c r="M6504" i="2"/>
  <c r="M6492" i="2"/>
  <c r="M6480" i="2"/>
  <c r="Q6471" i="2"/>
  <c r="M6468" i="2"/>
  <c r="Q6459" i="2"/>
  <c r="M6456" i="2"/>
  <c r="Q6447" i="2"/>
  <c r="M6444" i="2"/>
  <c r="Q6435" i="2"/>
  <c r="M6432" i="2"/>
  <c r="M6426" i="2"/>
  <c r="M6420" i="2"/>
  <c r="L6387" i="2"/>
  <c r="Q6383" i="2"/>
  <c r="Q6377" i="2"/>
  <c r="Q6371" i="2"/>
  <c r="Q6365" i="2"/>
  <c r="Q6359" i="2"/>
  <c r="Q6353" i="2"/>
  <c r="Q6347" i="2"/>
  <c r="Q6341" i="2"/>
  <c r="Q6335" i="2"/>
  <c r="Q6329" i="2"/>
  <c r="Q6323" i="2"/>
  <c r="Q6317" i="2"/>
  <c r="Q6311" i="2"/>
  <c r="Q6305" i="2"/>
  <c r="Q6299" i="2"/>
  <c r="Q6293" i="2"/>
  <c r="Q6287" i="2"/>
  <c r="Q6281" i="2"/>
  <c r="Q6275" i="2"/>
  <c r="Q6269" i="2"/>
  <c r="Q6263" i="2"/>
  <c r="Q6257" i="2"/>
  <c r="Q6251" i="2"/>
  <c r="Q6247" i="2"/>
  <c r="Q6243" i="2"/>
  <c r="Q6239" i="2"/>
  <c r="Q6235" i="2"/>
  <c r="Q6231" i="2"/>
  <c r="Q6227" i="2"/>
  <c r="Q6223" i="2"/>
  <c r="Q6219" i="2"/>
  <c r="Q6215" i="2"/>
  <c r="Q6211" i="2"/>
  <c r="Q6207" i="2"/>
  <c r="Q6203" i="2"/>
  <c r="Q6199" i="2"/>
  <c r="Q6195" i="2"/>
  <c r="Q6191" i="2"/>
  <c r="Q6187" i="2"/>
  <c r="Q6183" i="2"/>
  <c r="Q6179" i="2"/>
  <c r="Q6175" i="2"/>
  <c r="Q6171" i="2"/>
  <c r="Q6167" i="2"/>
  <c r="Q6163" i="2"/>
  <c r="Q6159" i="2"/>
  <c r="Q6155" i="2"/>
  <c r="Q6151" i="2"/>
  <c r="Q6147" i="2"/>
  <c r="Q6143" i="2"/>
  <c r="Q6139" i="2"/>
  <c r="Q6135" i="2"/>
  <c r="Q6131" i="2"/>
  <c r="Q6127" i="2"/>
  <c r="Q6123" i="2"/>
  <c r="Q6119" i="2"/>
  <c r="Q6115" i="2"/>
  <c r="Q6111" i="2"/>
  <c r="Q6107" i="2"/>
  <c r="Q6103" i="2"/>
  <c r="Q6099" i="2"/>
  <c r="Q6095" i="2"/>
  <c r="Q6091" i="2"/>
  <c r="Q6087" i="2"/>
  <c r="Q6083" i="2"/>
  <c r="Q6079" i="2"/>
  <c r="Q6075" i="2"/>
  <c r="Q6071" i="2"/>
  <c r="Q5993" i="2"/>
  <c r="L5992" i="2"/>
  <c r="M5992" i="2"/>
  <c r="M6517" i="2"/>
  <c r="M6505" i="2"/>
  <c r="M6493" i="2"/>
  <c r="M6481" i="2"/>
  <c r="Q6472" i="2"/>
  <c r="M6469" i="2"/>
  <c r="Q6460" i="2"/>
  <c r="M6457" i="2"/>
  <c r="Q6448" i="2"/>
  <c r="M6445" i="2"/>
  <c r="Q6436" i="2"/>
  <c r="M6433" i="2"/>
  <c r="Q6431" i="2"/>
  <c r="Q6425" i="2"/>
  <c r="L6417" i="2"/>
  <c r="M6417" i="2"/>
  <c r="Q6415" i="2"/>
  <c r="L6414" i="2"/>
  <c r="M6414" i="2"/>
  <c r="Q6412" i="2"/>
  <c r="L6411" i="2"/>
  <c r="M6411" i="2"/>
  <c r="Q6409" i="2"/>
  <c r="L6408" i="2"/>
  <c r="M6408" i="2"/>
  <c r="Q6406" i="2"/>
  <c r="L6405" i="2"/>
  <c r="M6405" i="2"/>
  <c r="Q6403" i="2"/>
  <c r="L6402" i="2"/>
  <c r="M6402" i="2"/>
  <c r="Q6400" i="2"/>
  <c r="L6399" i="2"/>
  <c r="M6399" i="2"/>
  <c r="Q6397" i="2"/>
  <c r="L6396" i="2"/>
  <c r="M6396" i="2"/>
  <c r="Q6394" i="2"/>
  <c r="L6393" i="2"/>
  <c r="M6393" i="2"/>
  <c r="Q6391" i="2"/>
  <c r="L6390" i="2"/>
  <c r="M6390" i="2"/>
  <c r="Q6388" i="2"/>
  <c r="Q6067" i="2"/>
  <c r="Q6061" i="2"/>
  <c r="Q6055" i="2"/>
  <c r="Q6049" i="2"/>
  <c r="Q6043" i="2"/>
  <c r="Q6037" i="2"/>
  <c r="Q6031" i="2"/>
  <c r="Q6020" i="2"/>
  <c r="L6013" i="2"/>
  <c r="M6013" i="2"/>
  <c r="M6518" i="2"/>
  <c r="M6506" i="2"/>
  <c r="M6494" i="2"/>
  <c r="M6482" i="2"/>
  <c r="M6470" i="2"/>
  <c r="M6458" i="2"/>
  <c r="M6446" i="2"/>
  <c r="M6434" i="2"/>
  <c r="M6427" i="2"/>
  <c r="M6421" i="2"/>
  <c r="Q6384" i="2"/>
  <c r="Q6378" i="2"/>
  <c r="Q6372" i="2"/>
  <c r="Q6366" i="2"/>
  <c r="Q6360" i="2"/>
  <c r="Q6354" i="2"/>
  <c r="Q6348" i="2"/>
  <c r="Q6342" i="2"/>
  <c r="Q6336" i="2"/>
  <c r="Q6330" i="2"/>
  <c r="Q6324" i="2"/>
  <c r="Q6318" i="2"/>
  <c r="Q6312" i="2"/>
  <c r="Q6306" i="2"/>
  <c r="Q6300" i="2"/>
  <c r="Q6294" i="2"/>
  <c r="Q6288" i="2"/>
  <c r="Q6282" i="2"/>
  <c r="Q6276" i="2"/>
  <c r="Q6270" i="2"/>
  <c r="Q6264" i="2"/>
  <c r="Q6258" i="2"/>
  <c r="Q6252" i="2"/>
  <c r="Q6017" i="2"/>
  <c r="L6016" i="2"/>
  <c r="M6016" i="2"/>
  <c r="Q5960" i="2"/>
  <c r="L5956" i="2"/>
  <c r="M5956" i="2"/>
  <c r="Q5924" i="2"/>
  <c r="L5920" i="2"/>
  <c r="M5920" i="2"/>
  <c r="Q5888" i="2"/>
  <c r="L5884" i="2"/>
  <c r="M5884" i="2"/>
  <c r="Q5852" i="2"/>
  <c r="L5848" i="2"/>
  <c r="M5848" i="2"/>
  <c r="L6427" i="2"/>
  <c r="Q6426" i="2"/>
  <c r="L6421" i="2"/>
  <c r="Q6420" i="2"/>
  <c r="Q6248" i="2"/>
  <c r="Q6244" i="2"/>
  <c r="Q6240" i="2"/>
  <c r="Q6236" i="2"/>
  <c r="Q6232" i="2"/>
  <c r="Q6228" i="2"/>
  <c r="Q6224" i="2"/>
  <c r="Q6220" i="2"/>
  <c r="Q6216" i="2"/>
  <c r="Q6212" i="2"/>
  <c r="Q6208" i="2"/>
  <c r="Q6204" i="2"/>
  <c r="Q6200" i="2"/>
  <c r="Q6196" i="2"/>
  <c r="Q6192" i="2"/>
  <c r="Q6188" i="2"/>
  <c r="Q6184" i="2"/>
  <c r="Q6180" i="2"/>
  <c r="Q6176" i="2"/>
  <c r="Q6172" i="2"/>
  <c r="Q6168" i="2"/>
  <c r="Q6164" i="2"/>
  <c r="Q6160" i="2"/>
  <c r="Q6156" i="2"/>
  <c r="Q6152" i="2"/>
  <c r="Q6148" i="2"/>
  <c r="Q6144" i="2"/>
  <c r="Q6140" i="2"/>
  <c r="Q6136" i="2"/>
  <c r="Q6132" i="2"/>
  <c r="Q6128" i="2"/>
  <c r="Q6124" i="2"/>
  <c r="Q6120" i="2"/>
  <c r="Q6116" i="2"/>
  <c r="Q6112" i="2"/>
  <c r="Q6108" i="2"/>
  <c r="Q6104" i="2"/>
  <c r="Q6100" i="2"/>
  <c r="Q6096" i="2"/>
  <c r="Q6092" i="2"/>
  <c r="Q6088" i="2"/>
  <c r="Q6084" i="2"/>
  <c r="Q6080" i="2"/>
  <c r="Q6076" i="2"/>
  <c r="Q6072" i="2"/>
  <c r="Q6068" i="2"/>
  <c r="Q6062" i="2"/>
  <c r="Q6056" i="2"/>
  <c r="Q6050" i="2"/>
  <c r="Q6044" i="2"/>
  <c r="Q6038" i="2"/>
  <c r="Q6032" i="2"/>
  <c r="Q5980" i="2"/>
  <c r="Q5977" i="2"/>
  <c r="L6021" i="2"/>
  <c r="L6009" i="2"/>
  <c r="L5997" i="2"/>
  <c r="L5985" i="2"/>
  <c r="L5973" i="2"/>
  <c r="L5961" i="2"/>
  <c r="L5949" i="2"/>
  <c r="L5937" i="2"/>
  <c r="L5925" i="2"/>
  <c r="L5913" i="2"/>
  <c r="L5901" i="2"/>
  <c r="L5889" i="2"/>
  <c r="L5877" i="2"/>
  <c r="L5865" i="2"/>
  <c r="L5853" i="2"/>
  <c r="L5841" i="2"/>
  <c r="L5829" i="2"/>
  <c r="L5817" i="2"/>
  <c r="L5805" i="2"/>
  <c r="L5793" i="2"/>
  <c r="L5781" i="2"/>
  <c r="L5769" i="2"/>
  <c r="L5757" i="2"/>
  <c r="L5745" i="2"/>
  <c r="L5733" i="2"/>
  <c r="L5721" i="2"/>
  <c r="L5709" i="2"/>
  <c r="L5697" i="2"/>
  <c r="Q5677" i="2"/>
  <c r="Q5665" i="2"/>
  <c r="Q5653" i="2"/>
  <c r="Q5641" i="2"/>
  <c r="Q5629" i="2"/>
  <c r="Q5617" i="2"/>
  <c r="Q5447" i="2"/>
  <c r="Q5423" i="2"/>
  <c r="L5375" i="2"/>
  <c r="Q5375" i="2"/>
  <c r="M5375" i="2"/>
  <c r="L5370" i="2"/>
  <c r="Q5370" i="2"/>
  <c r="L5419" i="2"/>
  <c r="Q5419" i="2"/>
  <c r="L5415" i="2"/>
  <c r="Q5415" i="2"/>
  <c r="M5415" i="2"/>
  <c r="L5405" i="2"/>
  <c r="Q5405" i="2"/>
  <c r="M5405" i="2"/>
  <c r="L5400" i="2"/>
  <c r="Q5400" i="2"/>
  <c r="L5345" i="2"/>
  <c r="Q5345" i="2"/>
  <c r="M5345" i="2"/>
  <c r="L5327" i="2"/>
  <c r="Q5327" i="2"/>
  <c r="M5327" i="2"/>
  <c r="L5309" i="2"/>
  <c r="Q5309" i="2"/>
  <c r="M5309" i="2"/>
  <c r="L5291" i="2"/>
  <c r="Q5291" i="2"/>
  <c r="M5291" i="2"/>
  <c r="L5273" i="2"/>
  <c r="Q5273" i="2"/>
  <c r="M5273" i="2"/>
  <c r="Q5691" i="2"/>
  <c r="Q5435" i="2"/>
  <c r="L5363" i="2"/>
  <c r="Q5363" i="2"/>
  <c r="M5363" i="2"/>
  <c r="L5358" i="2"/>
  <c r="Q5358" i="2"/>
  <c r="L5340" i="2"/>
  <c r="Q5340" i="2"/>
  <c r="M5953" i="2"/>
  <c r="M5941" i="2"/>
  <c r="M5929" i="2"/>
  <c r="M5917" i="2"/>
  <c r="M5905" i="2"/>
  <c r="M5893" i="2"/>
  <c r="M5881" i="2"/>
  <c r="M5869" i="2"/>
  <c r="M5857" i="2"/>
  <c r="M5845" i="2"/>
  <c r="M5833" i="2"/>
  <c r="M5821" i="2"/>
  <c r="M5809" i="2"/>
  <c r="M5797" i="2"/>
  <c r="M5785" i="2"/>
  <c r="M5773" i="2"/>
  <c r="M5761" i="2"/>
  <c r="M5749" i="2"/>
  <c r="M5737" i="2"/>
  <c r="M5725" i="2"/>
  <c r="M5713" i="2"/>
  <c r="M5701" i="2"/>
  <c r="M5689" i="2"/>
  <c r="P5689" i="2" s="1"/>
  <c r="L5451" i="2"/>
  <c r="Q5451" i="2"/>
  <c r="M5451" i="2"/>
  <c r="L5431" i="2"/>
  <c r="Q5431" i="2"/>
  <c r="L5427" i="2"/>
  <c r="Q5427" i="2"/>
  <c r="M5427" i="2"/>
  <c r="L5408" i="2"/>
  <c r="M5408" i="2"/>
  <c r="Q5408" i="2"/>
  <c r="L5393" i="2"/>
  <c r="Q5393" i="2"/>
  <c r="M5393" i="2"/>
  <c r="L5388" i="2"/>
  <c r="Q5388" i="2"/>
  <c r="L5447" i="2"/>
  <c r="M5447" i="2"/>
  <c r="L5443" i="2"/>
  <c r="Q5443" i="2"/>
  <c r="L5423" i="2"/>
  <c r="M5423" i="2"/>
  <c r="L5439" i="2"/>
  <c r="Q5439" i="2"/>
  <c r="M5439" i="2"/>
  <c r="L5420" i="2"/>
  <c r="M5420" i="2"/>
  <c r="Q5420" i="2"/>
  <c r="L5381" i="2"/>
  <c r="Q5381" i="2"/>
  <c r="M5381" i="2"/>
  <c r="L5376" i="2"/>
  <c r="Q5376" i="2"/>
  <c r="L5351" i="2"/>
  <c r="Q5351" i="2"/>
  <c r="M5351" i="2"/>
  <c r="L5333" i="2"/>
  <c r="Q5333" i="2"/>
  <c r="M5333" i="2"/>
  <c r="L5315" i="2"/>
  <c r="Q5315" i="2"/>
  <c r="M5315" i="2"/>
  <c r="L5297" i="2"/>
  <c r="Q5297" i="2"/>
  <c r="M5297" i="2"/>
  <c r="L5279" i="2"/>
  <c r="Q5279" i="2"/>
  <c r="M5279" i="2"/>
  <c r="M5824" i="2"/>
  <c r="M5812" i="2"/>
  <c r="M5800" i="2"/>
  <c r="M5788" i="2"/>
  <c r="M5776" i="2"/>
  <c r="M5764" i="2"/>
  <c r="M5752" i="2"/>
  <c r="M5740" i="2"/>
  <c r="M5728" i="2"/>
  <c r="P5728" i="2" s="1"/>
  <c r="M5716" i="2"/>
  <c r="M5704" i="2"/>
  <c r="M5692" i="2"/>
  <c r="Q5683" i="2"/>
  <c r="Q5671" i="2"/>
  <c r="Q5659" i="2"/>
  <c r="Q5647" i="2"/>
  <c r="Q5635" i="2"/>
  <c r="Q5623" i="2"/>
  <c r="Q5611" i="2"/>
  <c r="Q5441" i="2"/>
  <c r="L5435" i="2"/>
  <c r="M5435" i="2"/>
  <c r="L5406" i="2"/>
  <c r="Q5406" i="2"/>
  <c r="L5346" i="2"/>
  <c r="Q5346" i="2"/>
  <c r="Q5828" i="2"/>
  <c r="Q5816" i="2"/>
  <c r="Q5804" i="2"/>
  <c r="Q5792" i="2"/>
  <c r="Q5780" i="2"/>
  <c r="Q5768" i="2"/>
  <c r="Q5756" i="2"/>
  <c r="Q5744" i="2"/>
  <c r="Q5732" i="2"/>
  <c r="Q5720" i="2"/>
  <c r="Q5708" i="2"/>
  <c r="Q5696" i="2"/>
  <c r="Q5684" i="2"/>
  <c r="Q5672" i="2"/>
  <c r="Q5660" i="2"/>
  <c r="Q5648" i="2"/>
  <c r="Q5636" i="2"/>
  <c r="Q5624" i="2"/>
  <c r="Q5612" i="2"/>
  <c r="Q5450" i="2"/>
  <c r="L5444" i="2"/>
  <c r="M5444" i="2"/>
  <c r="L5432" i="2"/>
  <c r="M5432" i="2"/>
  <c r="Q5432" i="2"/>
  <c r="L5417" i="2"/>
  <c r="L5369" i="2"/>
  <c r="Q5369" i="2"/>
  <c r="M5369" i="2"/>
  <c r="L5364" i="2"/>
  <c r="Q5364" i="2"/>
  <c r="L5399" i="2"/>
  <c r="Q5399" i="2"/>
  <c r="M5399" i="2"/>
  <c r="L5394" i="2"/>
  <c r="Q5394" i="2"/>
  <c r="L5267" i="2"/>
  <c r="Q5267" i="2"/>
  <c r="M5267" i="2"/>
  <c r="M6019" i="2"/>
  <c r="M6007" i="2"/>
  <c r="M5995" i="2"/>
  <c r="M5983" i="2"/>
  <c r="M5971" i="2"/>
  <c r="M5959" i="2"/>
  <c r="M5947" i="2"/>
  <c r="M5935" i="2"/>
  <c r="M5923" i="2"/>
  <c r="M5911" i="2"/>
  <c r="M5899" i="2"/>
  <c r="M5887" i="2"/>
  <c r="M5875" i="2"/>
  <c r="M5863" i="2"/>
  <c r="M5851" i="2"/>
  <c r="P5851" i="2" s="1"/>
  <c r="M5839" i="2"/>
  <c r="M5827" i="2"/>
  <c r="M5815" i="2"/>
  <c r="M5803" i="2"/>
  <c r="M5791" i="2"/>
  <c r="M5779" i="2"/>
  <c r="M5767" i="2"/>
  <c r="M5755" i="2"/>
  <c r="M5743" i="2"/>
  <c r="M5731" i="2"/>
  <c r="M5719" i="2"/>
  <c r="M5707" i="2"/>
  <c r="M5695" i="2"/>
  <c r="M5441" i="2"/>
  <c r="L5429" i="2"/>
  <c r="L5357" i="2"/>
  <c r="Q5357" i="2"/>
  <c r="M5357" i="2"/>
  <c r="L5339" i="2"/>
  <c r="Q5339" i="2"/>
  <c r="M5339" i="2"/>
  <c r="L5321" i="2"/>
  <c r="Q5321" i="2"/>
  <c r="M5321" i="2"/>
  <c r="L5303" i="2"/>
  <c r="Q5303" i="2"/>
  <c r="M5303" i="2"/>
  <c r="L5285" i="2"/>
  <c r="Q5285" i="2"/>
  <c r="M5285" i="2"/>
  <c r="Q6023" i="2"/>
  <c r="Q6011" i="2"/>
  <c r="Q5999" i="2"/>
  <c r="Q5987" i="2"/>
  <c r="Q5975" i="2"/>
  <c r="Q5963" i="2"/>
  <c r="Q5951" i="2"/>
  <c r="Q5939" i="2"/>
  <c r="Q5927" i="2"/>
  <c r="Q5915" i="2"/>
  <c r="Q5903" i="2"/>
  <c r="Q5891" i="2"/>
  <c r="Q5879" i="2"/>
  <c r="Q5867" i="2"/>
  <c r="Q5855" i="2"/>
  <c r="Q5843" i="2"/>
  <c r="Q5831" i="2"/>
  <c r="Q5819" i="2"/>
  <c r="Q5807" i="2"/>
  <c r="Q5795" i="2"/>
  <c r="Q5783" i="2"/>
  <c r="Q5771" i="2"/>
  <c r="Q5759" i="2"/>
  <c r="Q5747" i="2"/>
  <c r="Q5735" i="2"/>
  <c r="Q5723" i="2"/>
  <c r="Q5711" i="2"/>
  <c r="Q5699" i="2"/>
  <c r="Q5687" i="2"/>
  <c r="Q5675" i="2"/>
  <c r="Q5663" i="2"/>
  <c r="Q5651" i="2"/>
  <c r="Q5639" i="2"/>
  <c r="Q5627" i="2"/>
  <c r="Q5615" i="2"/>
  <c r="L5387" i="2"/>
  <c r="Q5387" i="2"/>
  <c r="M5387" i="2"/>
  <c r="L5382" i="2"/>
  <c r="Q5382" i="2"/>
  <c r="L5352" i="2"/>
  <c r="Q5352" i="2"/>
  <c r="L5334" i="2"/>
  <c r="Q5334" i="2"/>
  <c r="L5450" i="2"/>
  <c r="M5450" i="2"/>
  <c r="Q5442" i="2"/>
  <c r="M5438" i="2"/>
  <c r="Q5430" i="2"/>
  <c r="M5426" i="2"/>
  <c r="Q5418" i="2"/>
  <c r="M5414" i="2"/>
  <c r="Q5328" i="2"/>
  <c r="Q5322" i="2"/>
  <c r="Q5316" i="2"/>
  <c r="Q5310" i="2"/>
  <c r="Q5304" i="2"/>
  <c r="Q5298" i="2"/>
  <c r="Q5292" i="2"/>
  <c r="Q5286" i="2"/>
  <c r="Q5280" i="2"/>
  <c r="Q5274" i="2"/>
  <c r="Q5268" i="2"/>
  <c r="M5248" i="2"/>
  <c r="L5220" i="2"/>
  <c r="M5216" i="2"/>
  <c r="Q5216" i="2"/>
  <c r="Q5166" i="2"/>
  <c r="Q5140" i="2"/>
  <c r="L5140" i="2"/>
  <c r="Q5407" i="2"/>
  <c r="Q5261" i="2"/>
  <c r="L5261" i="2"/>
  <c r="L5257" i="2"/>
  <c r="M5257" i="2"/>
  <c r="Q5257" i="2"/>
  <c r="Q5224" i="2"/>
  <c r="L5224" i="2"/>
  <c r="L5209" i="2"/>
  <c r="M5209" i="2"/>
  <c r="Q5209" i="2"/>
  <c r="M5190" i="2"/>
  <c r="Q5176" i="2"/>
  <c r="L5176" i="2"/>
  <c r="M5154" i="2"/>
  <c r="L5137" i="2"/>
  <c r="M5137" i="2"/>
  <c r="Q5137" i="2"/>
  <c r="Q5401" i="2"/>
  <c r="Q5395" i="2"/>
  <c r="Q5389" i="2"/>
  <c r="Q5383" i="2"/>
  <c r="Q5377" i="2"/>
  <c r="Q5371" i="2"/>
  <c r="Q5365" i="2"/>
  <c r="Q5359" i="2"/>
  <c r="L5232" i="2"/>
  <c r="M5228" i="2"/>
  <c r="Q5228" i="2"/>
  <c r="L5205" i="2"/>
  <c r="Q5205" i="2"/>
  <c r="L5184" i="2"/>
  <c r="M5184" i="2"/>
  <c r="M5180" i="2"/>
  <c r="Q5180" i="2"/>
  <c r="L5173" i="2"/>
  <c r="M5173" i="2"/>
  <c r="Q5173" i="2"/>
  <c r="L5148" i="2"/>
  <c r="M5148" i="2"/>
  <c r="M5144" i="2"/>
  <c r="Q5144" i="2"/>
  <c r="Q5130" i="2"/>
  <c r="M5130" i="2"/>
  <c r="L5253" i="2"/>
  <c r="Q5253" i="2"/>
  <c r="Q5248" i="2"/>
  <c r="L5244" i="2"/>
  <c r="Q5236" i="2"/>
  <c r="L5236" i="2"/>
  <c r="L5221" i="2"/>
  <c r="M5221" i="2"/>
  <c r="Q5221" i="2"/>
  <c r="Q5118" i="2"/>
  <c r="L5118" i="2"/>
  <c r="M5118" i="2"/>
  <c r="Q5446" i="2"/>
  <c r="Q5434" i="2"/>
  <c r="Q5422" i="2"/>
  <c r="Q5410" i="2"/>
  <c r="Q5402" i="2"/>
  <c r="Q5396" i="2"/>
  <c r="Q5390" i="2"/>
  <c r="Q5384" i="2"/>
  <c r="Q5378" i="2"/>
  <c r="Q5372" i="2"/>
  <c r="Q5366" i="2"/>
  <c r="Q5360" i="2"/>
  <c r="Q5354" i="2"/>
  <c r="Q5348" i="2"/>
  <c r="Q5342" i="2"/>
  <c r="Q5336" i="2"/>
  <c r="Q5330" i="2"/>
  <c r="Q5324" i="2"/>
  <c r="Q5318" i="2"/>
  <c r="Q5312" i="2"/>
  <c r="Q5306" i="2"/>
  <c r="Q5300" i="2"/>
  <c r="Q5294" i="2"/>
  <c r="Q5288" i="2"/>
  <c r="Q5282" i="2"/>
  <c r="Q5276" i="2"/>
  <c r="Q5270" i="2"/>
  <c r="Q5264" i="2"/>
  <c r="Q5262" i="2"/>
  <c r="L5262" i="2"/>
  <c r="M5240" i="2"/>
  <c r="Q5240" i="2"/>
  <c r="Q5226" i="2"/>
  <c r="L5217" i="2"/>
  <c r="Q5217" i="2"/>
  <c r="M5258" i="2"/>
  <c r="L5233" i="2"/>
  <c r="M5233" i="2"/>
  <c r="Q5233" i="2"/>
  <c r="M5202" i="2"/>
  <c r="Q5188" i="2"/>
  <c r="L5188" i="2"/>
  <c r="M5166" i="2"/>
  <c r="Q5152" i="2"/>
  <c r="L5152" i="2"/>
  <c r="Q5128" i="2"/>
  <c r="L5128" i="2"/>
  <c r="M5128" i="2"/>
  <c r="Q5403" i="2"/>
  <c r="Q5397" i="2"/>
  <c r="Q5391" i="2"/>
  <c r="Q5385" i="2"/>
  <c r="Q5379" i="2"/>
  <c r="Q5373" i="2"/>
  <c r="Q5367" i="2"/>
  <c r="Q5361" i="2"/>
  <c r="Q5355" i="2"/>
  <c r="Q5349" i="2"/>
  <c r="Q5343" i="2"/>
  <c r="Q5337" i="2"/>
  <c r="Q5331" i="2"/>
  <c r="Q5325" i="2"/>
  <c r="Q5319" i="2"/>
  <c r="Q5313" i="2"/>
  <c r="Q5307" i="2"/>
  <c r="Q5301" i="2"/>
  <c r="Q5295" i="2"/>
  <c r="Q5289" i="2"/>
  <c r="Q5283" i="2"/>
  <c r="Q5277" i="2"/>
  <c r="Q5271" i="2"/>
  <c r="Q5265" i="2"/>
  <c r="Q5249" i="2"/>
  <c r="L5249" i="2"/>
  <c r="L5245" i="2"/>
  <c r="M5245" i="2"/>
  <c r="Q5245" i="2"/>
  <c r="Q5238" i="2"/>
  <c r="L5229" i="2"/>
  <c r="Q5229" i="2"/>
  <c r="L5196" i="2"/>
  <c r="M5196" i="2"/>
  <c r="M5192" i="2"/>
  <c r="Q5192" i="2"/>
  <c r="L5185" i="2"/>
  <c r="M5185" i="2"/>
  <c r="Q5185" i="2"/>
  <c r="L5160" i="2"/>
  <c r="M5160" i="2"/>
  <c r="M5156" i="2"/>
  <c r="Q5156" i="2"/>
  <c r="L5149" i="2"/>
  <c r="M5149" i="2"/>
  <c r="Q5149" i="2"/>
  <c r="M5214" i="2"/>
  <c r="L5241" i="2"/>
  <c r="Q5241" i="2"/>
  <c r="Q5142" i="2"/>
  <c r="M5142" i="2"/>
  <c r="M5132" i="2"/>
  <c r="Q5132" i="2"/>
  <c r="M5411" i="2"/>
  <c r="M5403" i="2"/>
  <c r="M5397" i="2"/>
  <c r="M5391" i="2"/>
  <c r="M5385" i="2"/>
  <c r="M5379" i="2"/>
  <c r="M5373" i="2"/>
  <c r="M5367" i="2"/>
  <c r="M5361" i="2"/>
  <c r="M5355" i="2"/>
  <c r="M5349" i="2"/>
  <c r="M5343" i="2"/>
  <c r="M5337" i="2"/>
  <c r="M5331" i="2"/>
  <c r="M5325" i="2"/>
  <c r="M5319" i="2"/>
  <c r="M5313" i="2"/>
  <c r="M5307" i="2"/>
  <c r="M5301" i="2"/>
  <c r="M5295" i="2"/>
  <c r="M5289" i="2"/>
  <c r="M5283" i="2"/>
  <c r="P5283" i="2" s="1"/>
  <c r="M5277" i="2"/>
  <c r="M5271" i="2"/>
  <c r="M5265" i="2"/>
  <c r="M5250" i="2"/>
  <c r="M5226" i="2"/>
  <c r="Q5200" i="2"/>
  <c r="L5200" i="2"/>
  <c r="M5178" i="2"/>
  <c r="Q5164" i="2"/>
  <c r="L5164" i="2"/>
  <c r="Q5260" i="2"/>
  <c r="L5256" i="2"/>
  <c r="M5252" i="2"/>
  <c r="M5246" i="2"/>
  <c r="Q5232" i="2"/>
  <c r="L5208" i="2"/>
  <c r="M5204" i="2"/>
  <c r="Q5204" i="2"/>
  <c r="L5197" i="2"/>
  <c r="M5197" i="2"/>
  <c r="Q5197" i="2"/>
  <c r="L5172" i="2"/>
  <c r="M5172" i="2"/>
  <c r="M5168" i="2"/>
  <c r="Q5168" i="2"/>
  <c r="L5161" i="2"/>
  <c r="M5161" i="2"/>
  <c r="Q5161" i="2"/>
  <c r="Q5244" i="2"/>
  <c r="M5238" i="2"/>
  <c r="Q5212" i="2"/>
  <c r="L5212" i="2"/>
  <c r="Q5184" i="2"/>
  <c r="Q5148" i="2"/>
  <c r="M5116" i="2"/>
  <c r="M5104" i="2"/>
  <c r="Q4896" i="2"/>
  <c r="L4896" i="2"/>
  <c r="M4896" i="2"/>
  <c r="Q4884" i="2"/>
  <c r="L4884" i="2"/>
  <c r="M4884" i="2"/>
  <c r="Q4770" i="2"/>
  <c r="L4770" i="2"/>
  <c r="M4770" i="2"/>
  <c r="M5237" i="2"/>
  <c r="M5225" i="2"/>
  <c r="M5213" i="2"/>
  <c r="M5201" i="2"/>
  <c r="M5189" i="2"/>
  <c r="M5177" i="2"/>
  <c r="M5165" i="2"/>
  <c r="M5153" i="2"/>
  <c r="Q5120" i="2"/>
  <c r="L5116" i="2"/>
  <c r="Q5108" i="2"/>
  <c r="L5104" i="2"/>
  <c r="Q4889" i="2"/>
  <c r="L4889" i="2"/>
  <c r="M4889" i="2"/>
  <c r="Q4877" i="2"/>
  <c r="L4877" i="2"/>
  <c r="M4877" i="2"/>
  <c r="Q4782" i="2"/>
  <c r="L4782" i="2"/>
  <c r="M4782" i="2"/>
  <c r="L5237" i="2"/>
  <c r="L5225" i="2"/>
  <c r="L5213" i="2"/>
  <c r="L5201" i="2"/>
  <c r="Q5193" i="2"/>
  <c r="L5189" i="2"/>
  <c r="Q5181" i="2"/>
  <c r="L5177" i="2"/>
  <c r="Q5169" i="2"/>
  <c r="L5165" i="2"/>
  <c r="Q5157" i="2"/>
  <c r="L5153" i="2"/>
  <c r="Q5145" i="2"/>
  <c r="L5141" i="2"/>
  <c r="Q5133" i="2"/>
  <c r="L5129" i="2"/>
  <c r="Q5121" i="2"/>
  <c r="L5117" i="2"/>
  <c r="Q5109" i="2"/>
  <c r="M5106" i="2"/>
  <c r="L5105" i="2"/>
  <c r="Q5097" i="2"/>
  <c r="L5094" i="2"/>
  <c r="Q4894" i="2"/>
  <c r="L4894" i="2"/>
  <c r="M4894" i="2"/>
  <c r="Q4882" i="2"/>
  <c r="L4882" i="2"/>
  <c r="M4882" i="2"/>
  <c r="L5106" i="2"/>
  <c r="Q5091" i="2"/>
  <c r="L5091" i="2"/>
  <c r="Q5088" i="2"/>
  <c r="L5088" i="2"/>
  <c r="Q5085" i="2"/>
  <c r="L5085" i="2"/>
  <c r="Q5082" i="2"/>
  <c r="L5082" i="2"/>
  <c r="Q5079" i="2"/>
  <c r="L5079" i="2"/>
  <c r="Q5076" i="2"/>
  <c r="L5076" i="2"/>
  <c r="Q5073" i="2"/>
  <c r="L5073" i="2"/>
  <c r="Q5070" i="2"/>
  <c r="L5070" i="2"/>
  <c r="Q5067" i="2"/>
  <c r="L5067" i="2"/>
  <c r="Q5064" i="2"/>
  <c r="L5064" i="2"/>
  <c r="Q5061" i="2"/>
  <c r="L5061" i="2"/>
  <c r="Q5058" i="2"/>
  <c r="L5058" i="2"/>
  <c r="Q5055" i="2"/>
  <c r="L5055" i="2"/>
  <c r="Q5052" i="2"/>
  <c r="L5052" i="2"/>
  <c r="Q5049" i="2"/>
  <c r="L5049" i="2"/>
  <c r="Q5046" i="2"/>
  <c r="L5046" i="2"/>
  <c r="Q5043" i="2"/>
  <c r="L5043" i="2"/>
  <c r="Q5040" i="2"/>
  <c r="L5040" i="2"/>
  <c r="Q5037" i="2"/>
  <c r="L5037" i="2"/>
  <c r="Q5034" i="2"/>
  <c r="L5034" i="2"/>
  <c r="Q5031" i="2"/>
  <c r="L5031" i="2"/>
  <c r="Q5028" i="2"/>
  <c r="L5028" i="2"/>
  <c r="Q5025" i="2"/>
  <c r="L5025" i="2"/>
  <c r="Q5022" i="2"/>
  <c r="L5022" i="2"/>
  <c r="Q5019" i="2"/>
  <c r="L5019" i="2"/>
  <c r="Q5016" i="2"/>
  <c r="L5016" i="2"/>
  <c r="Q5013" i="2"/>
  <c r="L5013" i="2"/>
  <c r="Q5010" i="2"/>
  <c r="L5010" i="2"/>
  <c r="Q5007" i="2"/>
  <c r="L5007" i="2"/>
  <c r="Q5004" i="2"/>
  <c r="L5004" i="2"/>
  <c r="Q5001" i="2"/>
  <c r="L5001" i="2"/>
  <c r="Q4998" i="2"/>
  <c r="L4998" i="2"/>
  <c r="Q4995" i="2"/>
  <c r="L4995" i="2"/>
  <c r="Q4992" i="2"/>
  <c r="L4992" i="2"/>
  <c r="Q4989" i="2"/>
  <c r="L4989" i="2"/>
  <c r="Q4986" i="2"/>
  <c r="L4986" i="2"/>
  <c r="Q4983" i="2"/>
  <c r="L4983" i="2"/>
  <c r="Q4980" i="2"/>
  <c r="L4980" i="2"/>
  <c r="Q4977" i="2"/>
  <c r="L4977" i="2"/>
  <c r="Q4974" i="2"/>
  <c r="L4974" i="2"/>
  <c r="Q4971" i="2"/>
  <c r="L4971" i="2"/>
  <c r="Q4968" i="2"/>
  <c r="L4968" i="2"/>
  <c r="Q4965" i="2"/>
  <c r="L4965" i="2"/>
  <c r="Q4962" i="2"/>
  <c r="L4962" i="2"/>
  <c r="Q4959" i="2"/>
  <c r="L4959" i="2"/>
  <c r="Q4956" i="2"/>
  <c r="L4956" i="2"/>
  <c r="Q4953" i="2"/>
  <c r="L4953" i="2"/>
  <c r="Q4950" i="2"/>
  <c r="L4950" i="2"/>
  <c r="Q4947" i="2"/>
  <c r="L4947" i="2"/>
  <c r="Q4944" i="2"/>
  <c r="L4944" i="2"/>
  <c r="Q4941" i="2"/>
  <c r="L4941" i="2"/>
  <c r="Q4938" i="2"/>
  <c r="L4938" i="2"/>
  <c r="Q4935" i="2"/>
  <c r="L4935" i="2"/>
  <c r="Q4932" i="2"/>
  <c r="L4932" i="2"/>
  <c r="Q4929" i="2"/>
  <c r="L4929" i="2"/>
  <c r="Q4926" i="2"/>
  <c r="L4926" i="2"/>
  <c r="Q4923" i="2"/>
  <c r="L4923" i="2"/>
  <c r="Q4920" i="2"/>
  <c r="L4920" i="2"/>
  <c r="Q4917" i="2"/>
  <c r="L4917" i="2"/>
  <c r="Q4914" i="2"/>
  <c r="L4914" i="2"/>
  <c r="Q4911" i="2"/>
  <c r="L4911" i="2"/>
  <c r="Q4908" i="2"/>
  <c r="L4908" i="2"/>
  <c r="Q4905" i="2"/>
  <c r="L4905" i="2"/>
  <c r="Q4902" i="2"/>
  <c r="L4902" i="2"/>
  <c r="Q4899" i="2"/>
  <c r="L4899" i="2"/>
  <c r="Q4887" i="2"/>
  <c r="L4887" i="2"/>
  <c r="M4887" i="2"/>
  <c r="Q4875" i="2"/>
  <c r="L4875" i="2"/>
  <c r="M4875" i="2"/>
  <c r="M5120" i="2"/>
  <c r="M5108" i="2"/>
  <c r="L5095" i="2"/>
  <c r="Q4892" i="2"/>
  <c r="L4892" i="2"/>
  <c r="M4892" i="2"/>
  <c r="Q4880" i="2"/>
  <c r="L4880" i="2"/>
  <c r="M4880" i="2"/>
  <c r="Q5100" i="2"/>
  <c r="Q4897" i="2"/>
  <c r="L4897" i="2"/>
  <c r="M4897" i="2"/>
  <c r="Q4885" i="2"/>
  <c r="L4885" i="2"/>
  <c r="M4885" i="2"/>
  <c r="M5254" i="2"/>
  <c r="M5242" i="2"/>
  <c r="M5230" i="2"/>
  <c r="M5218" i="2"/>
  <c r="M5206" i="2"/>
  <c r="M5194" i="2"/>
  <c r="P5194" i="2" s="1"/>
  <c r="L5193" i="2"/>
  <c r="M5182" i="2"/>
  <c r="L5181" i="2"/>
  <c r="M5170" i="2"/>
  <c r="L5169" i="2"/>
  <c r="M5158" i="2"/>
  <c r="L5157" i="2"/>
  <c r="M5146" i="2"/>
  <c r="L5145" i="2"/>
  <c r="M5134" i="2"/>
  <c r="L5133" i="2"/>
  <c r="Q5125" i="2"/>
  <c r="M5122" i="2"/>
  <c r="L5121" i="2"/>
  <c r="Q5113" i="2"/>
  <c r="M5110" i="2"/>
  <c r="L5109" i="2"/>
  <c r="Q5101" i="2"/>
  <c r="M5098" i="2"/>
  <c r="L5097" i="2"/>
  <c r="L5096" i="2"/>
  <c r="Q4890" i="2"/>
  <c r="L4890" i="2"/>
  <c r="M4890" i="2"/>
  <c r="Q4878" i="2"/>
  <c r="L4878" i="2"/>
  <c r="M4878" i="2"/>
  <c r="Q5092" i="2"/>
  <c r="L5092" i="2"/>
  <c r="Q5089" i="2"/>
  <c r="L5089" i="2"/>
  <c r="Q5086" i="2"/>
  <c r="L5086" i="2"/>
  <c r="Q5083" i="2"/>
  <c r="L5083" i="2"/>
  <c r="Q5080" i="2"/>
  <c r="L5080" i="2"/>
  <c r="Q5077" i="2"/>
  <c r="L5077" i="2"/>
  <c r="Q5074" i="2"/>
  <c r="L5074" i="2"/>
  <c r="Q5071" i="2"/>
  <c r="L5071" i="2"/>
  <c r="Q5068" i="2"/>
  <c r="L5068" i="2"/>
  <c r="Q5065" i="2"/>
  <c r="L5065" i="2"/>
  <c r="Q5062" i="2"/>
  <c r="L5062" i="2"/>
  <c r="Q5059" i="2"/>
  <c r="L5059" i="2"/>
  <c r="Q5056" i="2"/>
  <c r="L5056" i="2"/>
  <c r="Q5053" i="2"/>
  <c r="L5053" i="2"/>
  <c r="Q5050" i="2"/>
  <c r="L5050" i="2"/>
  <c r="Q5047" i="2"/>
  <c r="L5047" i="2"/>
  <c r="Q5044" i="2"/>
  <c r="L5044" i="2"/>
  <c r="Q5041" i="2"/>
  <c r="L5041" i="2"/>
  <c r="Q5038" i="2"/>
  <c r="L5038" i="2"/>
  <c r="Q5035" i="2"/>
  <c r="L5035" i="2"/>
  <c r="Q5032" i="2"/>
  <c r="L5032" i="2"/>
  <c r="P5032" i="2" s="1"/>
  <c r="Q5029" i="2"/>
  <c r="L5029" i="2"/>
  <c r="Q5026" i="2"/>
  <c r="L5026" i="2"/>
  <c r="Q5023" i="2"/>
  <c r="L5023" i="2"/>
  <c r="Q5020" i="2"/>
  <c r="L5020" i="2"/>
  <c r="Q5017" i="2"/>
  <c r="L5017" i="2"/>
  <c r="Q5014" i="2"/>
  <c r="L5014" i="2"/>
  <c r="Q5011" i="2"/>
  <c r="L5011" i="2"/>
  <c r="Q5008" i="2"/>
  <c r="L5008" i="2"/>
  <c r="Q5005" i="2"/>
  <c r="L5005" i="2"/>
  <c r="Q5002" i="2"/>
  <c r="L5002" i="2"/>
  <c r="Q4999" i="2"/>
  <c r="L4999" i="2"/>
  <c r="Q4996" i="2"/>
  <c r="L4996" i="2"/>
  <c r="Q4993" i="2"/>
  <c r="L4993" i="2"/>
  <c r="Q4990" i="2"/>
  <c r="L4990" i="2"/>
  <c r="Q4987" i="2"/>
  <c r="L4987" i="2"/>
  <c r="Q4984" i="2"/>
  <c r="L4984" i="2"/>
  <c r="Q4981" i="2"/>
  <c r="L4981" i="2"/>
  <c r="Q4978" i="2"/>
  <c r="L4978" i="2"/>
  <c r="Q4975" i="2"/>
  <c r="L4975" i="2"/>
  <c r="Q4972" i="2"/>
  <c r="L4972" i="2"/>
  <c r="P4972" i="2" s="1"/>
  <c r="Q4969" i="2"/>
  <c r="L4969" i="2"/>
  <c r="Q4966" i="2"/>
  <c r="L4966" i="2"/>
  <c r="Q4963" i="2"/>
  <c r="L4963" i="2"/>
  <c r="Q4960" i="2"/>
  <c r="L4960" i="2"/>
  <c r="Q4957" i="2"/>
  <c r="L4957" i="2"/>
  <c r="Q4954" i="2"/>
  <c r="L4954" i="2"/>
  <c r="Q4951" i="2"/>
  <c r="L4951" i="2"/>
  <c r="Q4948" i="2"/>
  <c r="L4948" i="2"/>
  <c r="Q4945" i="2"/>
  <c r="L4945" i="2"/>
  <c r="Q4942" i="2"/>
  <c r="L4942" i="2"/>
  <c r="P4942" i="2" s="1"/>
  <c r="Q4939" i="2"/>
  <c r="L4939" i="2"/>
  <c r="Q4936" i="2"/>
  <c r="L4936" i="2"/>
  <c r="Q4933" i="2"/>
  <c r="L4933" i="2"/>
  <c r="Q4930" i="2"/>
  <c r="L4930" i="2"/>
  <c r="P4930" i="2" s="1"/>
  <c r="Q4927" i="2"/>
  <c r="L4927" i="2"/>
  <c r="Q4924" i="2"/>
  <c r="L4924" i="2"/>
  <c r="Q4921" i="2"/>
  <c r="L4921" i="2"/>
  <c r="Q4918" i="2"/>
  <c r="L4918" i="2"/>
  <c r="Q4915" i="2"/>
  <c r="L4915" i="2"/>
  <c r="Q4912" i="2"/>
  <c r="L4912" i="2"/>
  <c r="Q4909" i="2"/>
  <c r="L4909" i="2"/>
  <c r="Q4906" i="2"/>
  <c r="L4906" i="2"/>
  <c r="Q4903" i="2"/>
  <c r="L4903" i="2"/>
  <c r="Q4900" i="2"/>
  <c r="L4900" i="2"/>
  <c r="P4900" i="2" s="1"/>
  <c r="Q4895" i="2"/>
  <c r="L4895" i="2"/>
  <c r="M4895" i="2"/>
  <c r="Q4883" i="2"/>
  <c r="L4883" i="2"/>
  <c r="M4883" i="2"/>
  <c r="M5136" i="2"/>
  <c r="M5124" i="2"/>
  <c r="M5112" i="2"/>
  <c r="M5100" i="2"/>
  <c r="Q4888" i="2"/>
  <c r="L4888" i="2"/>
  <c r="M4888" i="2"/>
  <c r="Q4876" i="2"/>
  <c r="L4876" i="2"/>
  <c r="M4876" i="2"/>
  <c r="Q4722" i="2"/>
  <c r="L4722" i="2"/>
  <c r="M4722" i="2"/>
  <c r="Q4710" i="2"/>
  <c r="L4710" i="2"/>
  <c r="M4710" i="2"/>
  <c r="L5136" i="2"/>
  <c r="M5125" i="2"/>
  <c r="L5124" i="2"/>
  <c r="Q5116" i="2"/>
  <c r="M5113" i="2"/>
  <c r="L5112" i="2"/>
  <c r="Q5104" i="2"/>
  <c r="M5101" i="2"/>
  <c r="L5100" i="2"/>
  <c r="Q4893" i="2"/>
  <c r="L4893" i="2"/>
  <c r="M4893" i="2"/>
  <c r="Q4881" i="2"/>
  <c r="L4881" i="2"/>
  <c r="M4881" i="2"/>
  <c r="Q4734" i="2"/>
  <c r="L4734" i="2"/>
  <c r="M4734" i="2"/>
  <c r="Q5237" i="2"/>
  <c r="M5234" i="2"/>
  <c r="Q5225" i="2"/>
  <c r="M5222" i="2"/>
  <c r="Q5213" i="2"/>
  <c r="M5210" i="2"/>
  <c r="Q5201" i="2"/>
  <c r="M5198" i="2"/>
  <c r="Q5189" i="2"/>
  <c r="M5186" i="2"/>
  <c r="Q5177" i="2"/>
  <c r="M5174" i="2"/>
  <c r="P5174" i="2" s="1"/>
  <c r="Q5165" i="2"/>
  <c r="M5162" i="2"/>
  <c r="Q5153" i="2"/>
  <c r="M5150" i="2"/>
  <c r="Q5141" i="2"/>
  <c r="M5138" i="2"/>
  <c r="Q5129" i="2"/>
  <c r="M5126" i="2"/>
  <c r="L5125" i="2"/>
  <c r="Q5117" i="2"/>
  <c r="M5114" i="2"/>
  <c r="L5113" i="2"/>
  <c r="Q5105" i="2"/>
  <c r="M5102" i="2"/>
  <c r="L5101" i="2"/>
  <c r="Q4898" i="2"/>
  <c r="L4898" i="2"/>
  <c r="M4898" i="2"/>
  <c r="Q4886" i="2"/>
  <c r="L4886" i="2"/>
  <c r="M4886" i="2"/>
  <c r="Q4746" i="2"/>
  <c r="L4746" i="2"/>
  <c r="M4746" i="2"/>
  <c r="Q5106" i="2"/>
  <c r="L5093" i="2"/>
  <c r="Q5090" i="2"/>
  <c r="L5090" i="2"/>
  <c r="Q5087" i="2"/>
  <c r="L5087" i="2"/>
  <c r="Q5084" i="2"/>
  <c r="L5084" i="2"/>
  <c r="Q5081" i="2"/>
  <c r="L5081" i="2"/>
  <c r="Q5078" i="2"/>
  <c r="L5078" i="2"/>
  <c r="Q5075" i="2"/>
  <c r="L5075" i="2"/>
  <c r="Q5072" i="2"/>
  <c r="L5072" i="2"/>
  <c r="Q5069" i="2"/>
  <c r="L5069" i="2"/>
  <c r="Q5066" i="2"/>
  <c r="L5066" i="2"/>
  <c r="Q5063" i="2"/>
  <c r="L5063" i="2"/>
  <c r="Q5060" i="2"/>
  <c r="L5060" i="2"/>
  <c r="Q5057" i="2"/>
  <c r="L5057" i="2"/>
  <c r="Q5054" i="2"/>
  <c r="L5054" i="2"/>
  <c r="Q5051" i="2"/>
  <c r="L5051" i="2"/>
  <c r="Q5048" i="2"/>
  <c r="L5048" i="2"/>
  <c r="Q5045" i="2"/>
  <c r="L5045" i="2"/>
  <c r="Q5042" i="2"/>
  <c r="L5042" i="2"/>
  <c r="Q5039" i="2"/>
  <c r="L5039" i="2"/>
  <c r="Q5036" i="2"/>
  <c r="L5036" i="2"/>
  <c r="Q5033" i="2"/>
  <c r="L5033" i="2"/>
  <c r="Q5030" i="2"/>
  <c r="L5030" i="2"/>
  <c r="Q5027" i="2"/>
  <c r="L5027" i="2"/>
  <c r="Q5024" i="2"/>
  <c r="L5024" i="2"/>
  <c r="Q5021" i="2"/>
  <c r="L5021" i="2"/>
  <c r="Q5018" i="2"/>
  <c r="L5018" i="2"/>
  <c r="Q5015" i="2"/>
  <c r="L5015" i="2"/>
  <c r="Q5012" i="2"/>
  <c r="L5012" i="2"/>
  <c r="Q5009" i="2"/>
  <c r="L5009" i="2"/>
  <c r="Q5006" i="2"/>
  <c r="L5006" i="2"/>
  <c r="Q5003" i="2"/>
  <c r="L5003" i="2"/>
  <c r="Q5000" i="2"/>
  <c r="L5000" i="2"/>
  <c r="Q4997" i="2"/>
  <c r="L4997" i="2"/>
  <c r="Q4994" i="2"/>
  <c r="L4994" i="2"/>
  <c r="Q4991" i="2"/>
  <c r="L4991" i="2"/>
  <c r="Q4988" i="2"/>
  <c r="L4988" i="2"/>
  <c r="Q4985" i="2"/>
  <c r="L4985" i="2"/>
  <c r="Q4982" i="2"/>
  <c r="L4982" i="2"/>
  <c r="Q4979" i="2"/>
  <c r="L4979" i="2"/>
  <c r="Q4976" i="2"/>
  <c r="L4976" i="2"/>
  <c r="Q4973" i="2"/>
  <c r="L4973" i="2"/>
  <c r="Q4970" i="2"/>
  <c r="L4970" i="2"/>
  <c r="Q4967" i="2"/>
  <c r="L4967" i="2"/>
  <c r="Q4964" i="2"/>
  <c r="L4964" i="2"/>
  <c r="Q4961" i="2"/>
  <c r="L4961" i="2"/>
  <c r="Q4958" i="2"/>
  <c r="L4958" i="2"/>
  <c r="Q4955" i="2"/>
  <c r="L4955" i="2"/>
  <c r="Q4952" i="2"/>
  <c r="L4952" i="2"/>
  <c r="Q4949" i="2"/>
  <c r="L4949" i="2"/>
  <c r="Q4946" i="2"/>
  <c r="L4946" i="2"/>
  <c r="Q4943" i="2"/>
  <c r="L4943" i="2"/>
  <c r="Q4940" i="2"/>
  <c r="L4940" i="2"/>
  <c r="Q4937" i="2"/>
  <c r="L4937" i="2"/>
  <c r="Q4934" i="2"/>
  <c r="L4934" i="2"/>
  <c r="Q4931" i="2"/>
  <c r="L4931" i="2"/>
  <c r="Q4928" i="2"/>
  <c r="L4928" i="2"/>
  <c r="Q4925" i="2"/>
  <c r="L4925" i="2"/>
  <c r="Q4922" i="2"/>
  <c r="L4922" i="2"/>
  <c r="Q4919" i="2"/>
  <c r="L4919" i="2"/>
  <c r="Q4916" i="2"/>
  <c r="L4916" i="2"/>
  <c r="Q4913" i="2"/>
  <c r="L4913" i="2"/>
  <c r="Q4910" i="2"/>
  <c r="L4910" i="2"/>
  <c r="Q4907" i="2"/>
  <c r="L4907" i="2"/>
  <c r="Q4904" i="2"/>
  <c r="L4904" i="2"/>
  <c r="Q4901" i="2"/>
  <c r="L4901" i="2"/>
  <c r="Q4891" i="2"/>
  <c r="L4891" i="2"/>
  <c r="M4891" i="2"/>
  <c r="Q4879" i="2"/>
  <c r="L4879" i="2"/>
  <c r="M4879" i="2"/>
  <c r="Q4758" i="2"/>
  <c r="L4758" i="2"/>
  <c r="M4758" i="2"/>
  <c r="M4789" i="2"/>
  <c r="L4788" i="2"/>
  <c r="M4777" i="2"/>
  <c r="L4776" i="2"/>
  <c r="M4765" i="2"/>
  <c r="L4764" i="2"/>
  <c r="M4753" i="2"/>
  <c r="L4752" i="2"/>
  <c r="M4741" i="2"/>
  <c r="L4740" i="2"/>
  <c r="M4729" i="2"/>
  <c r="L4728" i="2"/>
  <c r="M4717" i="2"/>
  <c r="L4716" i="2"/>
  <c r="M4705" i="2"/>
  <c r="L4704" i="2"/>
  <c r="M4693" i="2"/>
  <c r="L4692" i="2"/>
  <c r="M4681" i="2"/>
  <c r="L4680" i="2"/>
  <c r="M4669" i="2"/>
  <c r="L4668" i="2"/>
  <c r="M4660" i="2"/>
  <c r="M4654" i="2"/>
  <c r="M4648" i="2"/>
  <c r="M4642" i="2"/>
  <c r="L4611" i="2"/>
  <c r="M4611" i="2"/>
  <c r="Q4590" i="2"/>
  <c r="L4580" i="2"/>
  <c r="M4574" i="2"/>
  <c r="M4567" i="2"/>
  <c r="L4558" i="2"/>
  <c r="M4558" i="2"/>
  <c r="L4555" i="2"/>
  <c r="M4546" i="2"/>
  <c r="L4546" i="2"/>
  <c r="M4541" i="2"/>
  <c r="L4541" i="2"/>
  <c r="Q4534" i="2"/>
  <c r="L4464" i="2"/>
  <c r="M4464" i="2"/>
  <c r="Q4464" i="2"/>
  <c r="Q4456" i="2"/>
  <c r="Q4445" i="2"/>
  <c r="L4428" i="2"/>
  <c r="M4428" i="2"/>
  <c r="Q4428" i="2"/>
  <c r="Q4420" i="2"/>
  <c r="L4392" i="2"/>
  <c r="M4392" i="2"/>
  <c r="Q4392" i="2"/>
  <c r="Q4384" i="2"/>
  <c r="L4356" i="2"/>
  <c r="M4356" i="2"/>
  <c r="Q4356" i="2"/>
  <c r="M4790" i="2"/>
  <c r="M4778" i="2"/>
  <c r="M4766" i="2"/>
  <c r="M4754" i="2"/>
  <c r="M4742" i="2"/>
  <c r="M4730" i="2"/>
  <c r="M4718" i="2"/>
  <c r="M4706" i="2"/>
  <c r="M4694" i="2"/>
  <c r="M4682" i="2"/>
  <c r="M4670" i="2"/>
  <c r="M4637" i="2"/>
  <c r="M4633" i="2"/>
  <c r="M4629" i="2"/>
  <c r="M4625" i="2"/>
  <c r="M4621" i="2"/>
  <c r="Q4600" i="2"/>
  <c r="Q4584" i="2"/>
  <c r="Q4575" i="2"/>
  <c r="L4574" i="2"/>
  <c r="M4568" i="2"/>
  <c r="M4561" i="2"/>
  <c r="P4561" i="2" s="1"/>
  <c r="L4552" i="2"/>
  <c r="M4552" i="2"/>
  <c r="Q4471" i="2"/>
  <c r="Q4460" i="2"/>
  <c r="L4443" i="2"/>
  <c r="M4443" i="2"/>
  <c r="Q4443" i="2"/>
  <c r="Q4435" i="2"/>
  <c r="L4407" i="2"/>
  <c r="M4407" i="2"/>
  <c r="Q4407" i="2"/>
  <c r="Q4399" i="2"/>
  <c r="L4371" i="2"/>
  <c r="M4371" i="2"/>
  <c r="Q4371" i="2"/>
  <c r="Q4363" i="2"/>
  <c r="M4866" i="2"/>
  <c r="M4865" i="2"/>
  <c r="M4864" i="2"/>
  <c r="M4863" i="2"/>
  <c r="M4862" i="2"/>
  <c r="M4861" i="2"/>
  <c r="M4860" i="2"/>
  <c r="M4859" i="2"/>
  <c r="M4858" i="2"/>
  <c r="M4857" i="2"/>
  <c r="M4856" i="2"/>
  <c r="M4855" i="2"/>
  <c r="M4854" i="2"/>
  <c r="M4853" i="2"/>
  <c r="M4852" i="2"/>
  <c r="M4851" i="2"/>
  <c r="M4850" i="2"/>
  <c r="M4849" i="2"/>
  <c r="M4848" i="2"/>
  <c r="M4847" i="2"/>
  <c r="M4846" i="2"/>
  <c r="M4845" i="2"/>
  <c r="M4844" i="2"/>
  <c r="M4843" i="2"/>
  <c r="M4842" i="2"/>
  <c r="M4841" i="2"/>
  <c r="M4840" i="2"/>
  <c r="M4839" i="2"/>
  <c r="M4838" i="2"/>
  <c r="M4837" i="2"/>
  <c r="M4836" i="2"/>
  <c r="M4835" i="2"/>
  <c r="M4834" i="2"/>
  <c r="M4833" i="2"/>
  <c r="M4832" i="2"/>
  <c r="M4831" i="2"/>
  <c r="M4830" i="2"/>
  <c r="M4829" i="2"/>
  <c r="M4828" i="2"/>
  <c r="M4827" i="2"/>
  <c r="M4826" i="2"/>
  <c r="M4825" i="2"/>
  <c r="M4824" i="2"/>
  <c r="M4823" i="2"/>
  <c r="M4822" i="2"/>
  <c r="M4821" i="2"/>
  <c r="M4820" i="2"/>
  <c r="M4819" i="2"/>
  <c r="M4818" i="2"/>
  <c r="M4817" i="2"/>
  <c r="M4816" i="2"/>
  <c r="M4815" i="2"/>
  <c r="M4814" i="2"/>
  <c r="M4813" i="2"/>
  <c r="M4812" i="2"/>
  <c r="M4811" i="2"/>
  <c r="M4810" i="2"/>
  <c r="M4809" i="2"/>
  <c r="M4808" i="2"/>
  <c r="M4807" i="2"/>
  <c r="M4806" i="2"/>
  <c r="M4805" i="2"/>
  <c r="M4804" i="2"/>
  <c r="M4803" i="2"/>
  <c r="M4802" i="2"/>
  <c r="M4801" i="2"/>
  <c r="M4800" i="2"/>
  <c r="M4799" i="2"/>
  <c r="M4798" i="2"/>
  <c r="M4797" i="2"/>
  <c r="M4796" i="2"/>
  <c r="M4795" i="2"/>
  <c r="M4794" i="2"/>
  <c r="M4793" i="2"/>
  <c r="M4792" i="2"/>
  <c r="M4791" i="2"/>
  <c r="M4779" i="2"/>
  <c r="M4767" i="2"/>
  <c r="M4755" i="2"/>
  <c r="M4743" i="2"/>
  <c r="M4731" i="2"/>
  <c r="M4719" i="2"/>
  <c r="M4707" i="2"/>
  <c r="M4695" i="2"/>
  <c r="M4683" i="2"/>
  <c r="M4671" i="2"/>
  <c r="M4661" i="2"/>
  <c r="M4655" i="2"/>
  <c r="M4649" i="2"/>
  <c r="M4643" i="2"/>
  <c r="L4612" i="2"/>
  <c r="L4596" i="2"/>
  <c r="M4596" i="2"/>
  <c r="Q4578" i="2"/>
  <c r="M4562" i="2"/>
  <c r="M4549" i="2"/>
  <c r="L4549" i="2"/>
  <c r="Q4542" i="2"/>
  <c r="M4526" i="2"/>
  <c r="L4526" i="2"/>
  <c r="M4518" i="2"/>
  <c r="L4518" i="2"/>
  <c r="M4510" i="2"/>
  <c r="L4510" i="2"/>
  <c r="M4502" i="2"/>
  <c r="L4502" i="2"/>
  <c r="M4494" i="2"/>
  <c r="L4494" i="2"/>
  <c r="M4486" i="2"/>
  <c r="L4486" i="2"/>
  <c r="M4478" i="2"/>
  <c r="L4478" i="2"/>
  <c r="L4458" i="2"/>
  <c r="M4458" i="2"/>
  <c r="Q4458" i="2"/>
  <c r="L4422" i="2"/>
  <c r="M4422" i="2"/>
  <c r="Q4422" i="2"/>
  <c r="L4386" i="2"/>
  <c r="M4386" i="2"/>
  <c r="Q4386" i="2"/>
  <c r="L4350" i="2"/>
  <c r="M4350" i="2"/>
  <c r="Q4350" i="2"/>
  <c r="L4874" i="2"/>
  <c r="L4873" i="2"/>
  <c r="L4872" i="2"/>
  <c r="P4872" i="2" s="1"/>
  <c r="L4871" i="2"/>
  <c r="L4870" i="2"/>
  <c r="L4869" i="2"/>
  <c r="L4868" i="2"/>
  <c r="L4867" i="2"/>
  <c r="L4866" i="2"/>
  <c r="L4865" i="2"/>
  <c r="L4864" i="2"/>
  <c r="L4863" i="2"/>
  <c r="L4862" i="2"/>
  <c r="L4861" i="2"/>
  <c r="L4860" i="2"/>
  <c r="L4859" i="2"/>
  <c r="L4858" i="2"/>
  <c r="L4857" i="2"/>
  <c r="L4856" i="2"/>
  <c r="L4855" i="2"/>
  <c r="L4854" i="2"/>
  <c r="L4853" i="2"/>
  <c r="L4852" i="2"/>
  <c r="L4851" i="2"/>
  <c r="L4850" i="2"/>
  <c r="L4849" i="2"/>
  <c r="L4848" i="2"/>
  <c r="L4847" i="2"/>
  <c r="L4846" i="2"/>
  <c r="L4845" i="2"/>
  <c r="L4844" i="2"/>
  <c r="L4843" i="2"/>
  <c r="L4842" i="2"/>
  <c r="L4841" i="2"/>
  <c r="L4840" i="2"/>
  <c r="L4839" i="2"/>
  <c r="L4838" i="2"/>
  <c r="L4837" i="2"/>
  <c r="L4836" i="2"/>
  <c r="L4835" i="2"/>
  <c r="L4834" i="2"/>
  <c r="L4833" i="2"/>
  <c r="L4832" i="2"/>
  <c r="L4831" i="2"/>
  <c r="L4830" i="2"/>
  <c r="L4829" i="2"/>
  <c r="L4828" i="2"/>
  <c r="L4827" i="2"/>
  <c r="L4826" i="2"/>
  <c r="L4825" i="2"/>
  <c r="L4824" i="2"/>
  <c r="L4823" i="2"/>
  <c r="L4822" i="2"/>
  <c r="L4821" i="2"/>
  <c r="L4820" i="2"/>
  <c r="L4819" i="2"/>
  <c r="L4818" i="2"/>
  <c r="L4817" i="2"/>
  <c r="L4816" i="2"/>
  <c r="L4815" i="2"/>
  <c r="L4814" i="2"/>
  <c r="L4813" i="2"/>
  <c r="L4812" i="2"/>
  <c r="L4811" i="2"/>
  <c r="L4810" i="2"/>
  <c r="L4809" i="2"/>
  <c r="L4808" i="2"/>
  <c r="L4807" i="2"/>
  <c r="L4806" i="2"/>
  <c r="L4805" i="2"/>
  <c r="L4804" i="2"/>
  <c r="L4803" i="2"/>
  <c r="L4802" i="2"/>
  <c r="L4801" i="2"/>
  <c r="L4800" i="2"/>
  <c r="L4799" i="2"/>
  <c r="L4798" i="2"/>
  <c r="L4797" i="2"/>
  <c r="L4796" i="2"/>
  <c r="L4795" i="2"/>
  <c r="L4794" i="2"/>
  <c r="L4793" i="2"/>
  <c r="L4792" i="2"/>
  <c r="L4791" i="2"/>
  <c r="M4780" i="2"/>
  <c r="L4779" i="2"/>
  <c r="M4768" i="2"/>
  <c r="L4767" i="2"/>
  <c r="M4756" i="2"/>
  <c r="L4755" i="2"/>
  <c r="M4744" i="2"/>
  <c r="L4743" i="2"/>
  <c r="M4732" i="2"/>
  <c r="L4731" i="2"/>
  <c r="M4720" i="2"/>
  <c r="L4719" i="2"/>
  <c r="M4708" i="2"/>
  <c r="L4707" i="2"/>
  <c r="M4696" i="2"/>
  <c r="L4695" i="2"/>
  <c r="M4684" i="2"/>
  <c r="L4683" i="2"/>
  <c r="M4672" i="2"/>
  <c r="L4671" i="2"/>
  <c r="L4661" i="2"/>
  <c r="L4655" i="2"/>
  <c r="L4649" i="2"/>
  <c r="L4643" i="2"/>
  <c r="M4617" i="2"/>
  <c r="Q4617" i="2"/>
  <c r="M4612" i="2"/>
  <c r="Q4606" i="2"/>
  <c r="L4590" i="2"/>
  <c r="M4590" i="2"/>
  <c r="Q4572" i="2"/>
  <c r="L4562" i="2"/>
  <c r="M4556" i="2"/>
  <c r="M4534" i="2"/>
  <c r="L4534" i="2"/>
  <c r="M4529" i="2"/>
  <c r="L4529" i="2"/>
  <c r="M4521" i="2"/>
  <c r="L4521" i="2"/>
  <c r="M4513" i="2"/>
  <c r="L4513" i="2"/>
  <c r="M4505" i="2"/>
  <c r="L4505" i="2"/>
  <c r="M4497" i="2"/>
  <c r="L4497" i="2"/>
  <c r="M4489" i="2"/>
  <c r="L4489" i="2"/>
  <c r="M4481" i="2"/>
  <c r="L4481" i="2"/>
  <c r="M4473" i="2"/>
  <c r="L4473" i="2"/>
  <c r="Q4465" i="2"/>
  <c r="Q4454" i="2"/>
  <c r="L4437" i="2"/>
  <c r="M4437" i="2"/>
  <c r="Q4437" i="2"/>
  <c r="Q4429" i="2"/>
  <c r="L4401" i="2"/>
  <c r="M4401" i="2"/>
  <c r="Q4401" i="2"/>
  <c r="Q4393" i="2"/>
  <c r="L4365" i="2"/>
  <c r="M4365" i="2"/>
  <c r="Q4365" i="2"/>
  <c r="M4781" i="2"/>
  <c r="L4780" i="2"/>
  <c r="M4769" i="2"/>
  <c r="L4768" i="2"/>
  <c r="M4757" i="2"/>
  <c r="L4756" i="2"/>
  <c r="M4745" i="2"/>
  <c r="P4745" i="2" s="1"/>
  <c r="L4744" i="2"/>
  <c r="M4733" i="2"/>
  <c r="L4732" i="2"/>
  <c r="M4721" i="2"/>
  <c r="L4720" i="2"/>
  <c r="M4709" i="2"/>
  <c r="L4708" i="2"/>
  <c r="M4697" i="2"/>
  <c r="L4696" i="2"/>
  <c r="M4685" i="2"/>
  <c r="L4684" i="2"/>
  <c r="M4673" i="2"/>
  <c r="L4672" i="2"/>
  <c r="M4662" i="2"/>
  <c r="M4656" i="2"/>
  <c r="M4650" i="2"/>
  <c r="P4650" i="2" s="1"/>
  <c r="M4644" i="2"/>
  <c r="P4644" i="2" s="1"/>
  <c r="M4638" i="2"/>
  <c r="M4634" i="2"/>
  <c r="M4630" i="2"/>
  <c r="M4626" i="2"/>
  <c r="M4622" i="2"/>
  <c r="M4618" i="2"/>
  <c r="L4615" i="2"/>
  <c r="M4615" i="2"/>
  <c r="M4605" i="2"/>
  <c r="Q4605" i="2"/>
  <c r="Q4591" i="2"/>
  <c r="L4584" i="2"/>
  <c r="M4584" i="2"/>
  <c r="Q4582" i="2"/>
  <c r="Q4566" i="2"/>
  <c r="Q4557" i="2"/>
  <c r="L4556" i="2"/>
  <c r="M4550" i="2"/>
  <c r="Q4469" i="2"/>
  <c r="L4452" i="2"/>
  <c r="M4452" i="2"/>
  <c r="Q4452" i="2"/>
  <c r="Q4444" i="2"/>
  <c r="L4416" i="2"/>
  <c r="M4416" i="2"/>
  <c r="Q4416" i="2"/>
  <c r="Q4408" i="2"/>
  <c r="L4380" i="2"/>
  <c r="M4380" i="2"/>
  <c r="Q4380" i="2"/>
  <c r="Q4372" i="2"/>
  <c r="L4344" i="2"/>
  <c r="M4344" i="2"/>
  <c r="Q4344" i="2"/>
  <c r="M4698" i="2"/>
  <c r="M4686" i="2"/>
  <c r="M4674" i="2"/>
  <c r="L4603" i="2"/>
  <c r="M4603" i="2"/>
  <c r="L4600" i="2"/>
  <c r="M4600" i="2"/>
  <c r="Q4585" i="2"/>
  <c r="L4578" i="2"/>
  <c r="M4578" i="2"/>
  <c r="Q4560" i="2"/>
  <c r="M4542" i="2"/>
  <c r="L4542" i="2"/>
  <c r="M4537" i="2"/>
  <c r="L4537" i="2"/>
  <c r="Q4530" i="2"/>
  <c r="Q4522" i="2"/>
  <c r="Q4514" i="2"/>
  <c r="Q4506" i="2"/>
  <c r="Q4498" i="2"/>
  <c r="Q4490" i="2"/>
  <c r="Q4482" i="2"/>
  <c r="L4467" i="2"/>
  <c r="M4467" i="2"/>
  <c r="Q4467" i="2"/>
  <c r="L4431" i="2"/>
  <c r="M4431" i="2"/>
  <c r="Q4431" i="2"/>
  <c r="L4395" i="2"/>
  <c r="M4395" i="2"/>
  <c r="Q4395" i="2"/>
  <c r="L4359" i="2"/>
  <c r="M4359" i="2"/>
  <c r="Q4359" i="2"/>
  <c r="L4698" i="2"/>
  <c r="L4686" i="2"/>
  <c r="L4674" i="2"/>
  <c r="L4594" i="2"/>
  <c r="M4594" i="2"/>
  <c r="L4591" i="2"/>
  <c r="L4572" i="2"/>
  <c r="M4572" i="2"/>
  <c r="Q4525" i="2"/>
  <c r="Q4517" i="2"/>
  <c r="Q4509" i="2"/>
  <c r="Q4501" i="2"/>
  <c r="Q4493" i="2"/>
  <c r="Q4485" i="2"/>
  <c r="Q4477" i="2"/>
  <c r="Q4463" i="2"/>
  <c r="L4446" i="2"/>
  <c r="M4446" i="2"/>
  <c r="Q4446" i="2"/>
  <c r="Q4438" i="2"/>
  <c r="L4410" i="2"/>
  <c r="M4410" i="2"/>
  <c r="Q4410" i="2"/>
  <c r="Q4402" i="2"/>
  <c r="L4374" i="2"/>
  <c r="M4374" i="2"/>
  <c r="Q4374" i="2"/>
  <c r="Q4366" i="2"/>
  <c r="L4338" i="2"/>
  <c r="M4338" i="2"/>
  <c r="Q4338" i="2"/>
  <c r="Q4616" i="2"/>
  <c r="M4597" i="2"/>
  <c r="L4588" i="2"/>
  <c r="M4588" i="2"/>
  <c r="L4585" i="2"/>
  <c r="L4566" i="2"/>
  <c r="M4566" i="2"/>
  <c r="M4545" i="2"/>
  <c r="L4545" i="2"/>
  <c r="Q4538" i="2"/>
  <c r="L4461" i="2"/>
  <c r="M4461" i="2"/>
  <c r="Q4461" i="2"/>
  <c r="L4425" i="2"/>
  <c r="M4425" i="2"/>
  <c r="Q4425" i="2"/>
  <c r="L4389" i="2"/>
  <c r="M4389" i="2"/>
  <c r="Q4389" i="2"/>
  <c r="L4353" i="2"/>
  <c r="M4353" i="2"/>
  <c r="Q4353" i="2"/>
  <c r="Q4604" i="2"/>
  <c r="L4582" i="2"/>
  <c r="M4582" i="2"/>
  <c r="L4560" i="2"/>
  <c r="M4560" i="2"/>
  <c r="M4530" i="2"/>
  <c r="L4530" i="2"/>
  <c r="M4522" i="2"/>
  <c r="L4522" i="2"/>
  <c r="M4514" i="2"/>
  <c r="L4514" i="2"/>
  <c r="M4506" i="2"/>
  <c r="L4506" i="2"/>
  <c r="M4498" i="2"/>
  <c r="L4498" i="2"/>
  <c r="M4490" i="2"/>
  <c r="L4490" i="2"/>
  <c r="M4482" i="2"/>
  <c r="L4482" i="2"/>
  <c r="M4474" i="2"/>
  <c r="Q4474" i="2"/>
  <c r="L4474" i="2"/>
  <c r="L4440" i="2"/>
  <c r="M4440" i="2"/>
  <c r="Q4440" i="2"/>
  <c r="L4404" i="2"/>
  <c r="M4404" i="2"/>
  <c r="Q4404" i="2"/>
  <c r="L4368" i="2"/>
  <c r="M4368" i="2"/>
  <c r="Q4368" i="2"/>
  <c r="M4786" i="2"/>
  <c r="L4785" i="2"/>
  <c r="M4774" i="2"/>
  <c r="L4773" i="2"/>
  <c r="M4762" i="2"/>
  <c r="L4761" i="2"/>
  <c r="M4750" i="2"/>
  <c r="L4749" i="2"/>
  <c r="M4738" i="2"/>
  <c r="L4737" i="2"/>
  <c r="M4726" i="2"/>
  <c r="L4725" i="2"/>
  <c r="M4714" i="2"/>
  <c r="L4713" i="2"/>
  <c r="M4702" i="2"/>
  <c r="L4701" i="2"/>
  <c r="M4690" i="2"/>
  <c r="L4689" i="2"/>
  <c r="M4678" i="2"/>
  <c r="L4677" i="2"/>
  <c r="M4666" i="2"/>
  <c r="L4665" i="2"/>
  <c r="L4658" i="2"/>
  <c r="L4652" i="2"/>
  <c r="L4646" i="2"/>
  <c r="L4640" i="2"/>
  <c r="L4616" i="2"/>
  <c r="M4616" i="2"/>
  <c r="L4607" i="2"/>
  <c r="L4598" i="2"/>
  <c r="M4585" i="2"/>
  <c r="L4576" i="2"/>
  <c r="M4576" i="2"/>
  <c r="L4573" i="2"/>
  <c r="L4554" i="2"/>
  <c r="M4554" i="2"/>
  <c r="Q4546" i="2"/>
  <c r="Q4541" i="2"/>
  <c r="M4525" i="2"/>
  <c r="L4525" i="2"/>
  <c r="M4517" i="2"/>
  <c r="L4517" i="2"/>
  <c r="M4509" i="2"/>
  <c r="L4509" i="2"/>
  <c r="M4501" i="2"/>
  <c r="L4501" i="2"/>
  <c r="M4493" i="2"/>
  <c r="L4493" i="2"/>
  <c r="M4485" i="2"/>
  <c r="L4485" i="2"/>
  <c r="M4477" i="2"/>
  <c r="L4477" i="2"/>
  <c r="Q4472" i="2"/>
  <c r="L4455" i="2"/>
  <c r="M4455" i="2"/>
  <c r="Q4455" i="2"/>
  <c r="Q4447" i="2"/>
  <c r="Q4436" i="2"/>
  <c r="L4419" i="2"/>
  <c r="M4419" i="2"/>
  <c r="Q4419" i="2"/>
  <c r="Q4411" i="2"/>
  <c r="L4383" i="2"/>
  <c r="M4383" i="2"/>
  <c r="Q4383" i="2"/>
  <c r="Q4375" i="2"/>
  <c r="L4347" i="2"/>
  <c r="M4347" i="2"/>
  <c r="Q4347" i="2"/>
  <c r="Q4608" i="2"/>
  <c r="L4604" i="2"/>
  <c r="M4604" i="2"/>
  <c r="Q4593" i="2"/>
  <c r="L4570" i="2"/>
  <c r="M4570" i="2"/>
  <c r="L4567" i="2"/>
  <c r="Q4555" i="2"/>
  <c r="M4538" i="2"/>
  <c r="L4538" i="2"/>
  <c r="M4533" i="2"/>
  <c r="L4533" i="2"/>
  <c r="L4470" i="2"/>
  <c r="M4470" i="2"/>
  <c r="Q4470" i="2"/>
  <c r="L4434" i="2"/>
  <c r="M4434" i="2"/>
  <c r="Q4434" i="2"/>
  <c r="L4398" i="2"/>
  <c r="M4398" i="2"/>
  <c r="Q4398" i="2"/>
  <c r="L4362" i="2"/>
  <c r="M4362" i="2"/>
  <c r="Q4362" i="2"/>
  <c r="M4788" i="2"/>
  <c r="M4776" i="2"/>
  <c r="M4764" i="2"/>
  <c r="M4752" i="2"/>
  <c r="M4740" i="2"/>
  <c r="M4728" i="2"/>
  <c r="M4716" i="2"/>
  <c r="M4704" i="2"/>
  <c r="M4692" i="2"/>
  <c r="M4680" i="2"/>
  <c r="M4668" i="2"/>
  <c r="Q4596" i="2"/>
  <c r="M4580" i="2"/>
  <c r="L4564" i="2"/>
  <c r="M4564" i="2"/>
  <c r="Q4549" i="2"/>
  <c r="Q4526" i="2"/>
  <c r="Q4518" i="2"/>
  <c r="Q4510" i="2"/>
  <c r="Q4502" i="2"/>
  <c r="Q4494" i="2"/>
  <c r="Q4486" i="2"/>
  <c r="Q4478" i="2"/>
  <c r="L4449" i="2"/>
  <c r="M4449" i="2"/>
  <c r="Q4449" i="2"/>
  <c r="L4413" i="2"/>
  <c r="M4413" i="2"/>
  <c r="Q4413" i="2"/>
  <c r="L4377" i="2"/>
  <c r="M4377" i="2"/>
  <c r="Q4377" i="2"/>
  <c r="L4341" i="2"/>
  <c r="M4341" i="2"/>
  <c r="Q4341" i="2"/>
  <c r="L4024" i="2"/>
  <c r="M4024" i="2"/>
  <c r="Q4024" i="2"/>
  <c r="L3988" i="2"/>
  <c r="M3988" i="2"/>
  <c r="Q3988" i="2"/>
  <c r="L3951" i="2"/>
  <c r="M3951" i="2"/>
  <c r="Q4039" i="2"/>
  <c r="Q4028" i="2"/>
  <c r="Q3992" i="2"/>
  <c r="L3928" i="2"/>
  <c r="M3928" i="2"/>
  <c r="Q3928" i="2"/>
  <c r="Q4615" i="2"/>
  <c r="Q4603" i="2"/>
  <c r="Q4548" i="2"/>
  <c r="L4547" i="2"/>
  <c r="Q4544" i="2"/>
  <c r="L4543" i="2"/>
  <c r="Q4540" i="2"/>
  <c r="L4539" i="2"/>
  <c r="Q4536" i="2"/>
  <c r="L4535" i="2"/>
  <c r="Q4532" i="2"/>
  <c r="L4531" i="2"/>
  <c r="Q4528" i="2"/>
  <c r="Q4524" i="2"/>
  <c r="Q4520" i="2"/>
  <c r="Q4516" i="2"/>
  <c r="Q4512" i="2"/>
  <c r="Q4508" i="2"/>
  <c r="Q4504" i="2"/>
  <c r="Q4500" i="2"/>
  <c r="Q4496" i="2"/>
  <c r="Q4492" i="2"/>
  <c r="Q4488" i="2"/>
  <c r="Q4484" i="2"/>
  <c r="Q4480" i="2"/>
  <c r="Q4476" i="2"/>
  <c r="L4471" i="2"/>
  <c r="M4471" i="2"/>
  <c r="L4468" i="2"/>
  <c r="M4468" i="2"/>
  <c r="L4465" i="2"/>
  <c r="M4465" i="2"/>
  <c r="L4462" i="2"/>
  <c r="M4462" i="2"/>
  <c r="L4459" i="2"/>
  <c r="M4459" i="2"/>
  <c r="L4456" i="2"/>
  <c r="M4456" i="2"/>
  <c r="L4453" i="2"/>
  <c r="M4453" i="2"/>
  <c r="L4450" i="2"/>
  <c r="M4450" i="2"/>
  <c r="L4447" i="2"/>
  <c r="M4447" i="2"/>
  <c r="L4444" i="2"/>
  <c r="M4444" i="2"/>
  <c r="L4441" i="2"/>
  <c r="M4441" i="2"/>
  <c r="L4438" i="2"/>
  <c r="M4438" i="2"/>
  <c r="L4435" i="2"/>
  <c r="M4435" i="2"/>
  <c r="L4432" i="2"/>
  <c r="M4432" i="2"/>
  <c r="L4429" i="2"/>
  <c r="M4429" i="2"/>
  <c r="L4426" i="2"/>
  <c r="M4426" i="2"/>
  <c r="L4423" i="2"/>
  <c r="M4423" i="2"/>
  <c r="L4420" i="2"/>
  <c r="M4420" i="2"/>
  <c r="L4417" i="2"/>
  <c r="M4417" i="2"/>
  <c r="L4414" i="2"/>
  <c r="M4414" i="2"/>
  <c r="L4411" i="2"/>
  <c r="M4411" i="2"/>
  <c r="L4408" i="2"/>
  <c r="M4408" i="2"/>
  <c r="L4405" i="2"/>
  <c r="M4405" i="2"/>
  <c r="L4402" i="2"/>
  <c r="M4402" i="2"/>
  <c r="L4399" i="2"/>
  <c r="M4399" i="2"/>
  <c r="L4396" i="2"/>
  <c r="M4396" i="2"/>
  <c r="L4393" i="2"/>
  <c r="M4393" i="2"/>
  <c r="L4390" i="2"/>
  <c r="M4390" i="2"/>
  <c r="L4387" i="2"/>
  <c r="M4387" i="2"/>
  <c r="L4384" i="2"/>
  <c r="M4384" i="2"/>
  <c r="L4381" i="2"/>
  <c r="M4381" i="2"/>
  <c r="L4378" i="2"/>
  <c r="M4378" i="2"/>
  <c r="L4375" i="2"/>
  <c r="M4375" i="2"/>
  <c r="L4372" i="2"/>
  <c r="M4372" i="2"/>
  <c r="L4369" i="2"/>
  <c r="M4369" i="2"/>
  <c r="L4366" i="2"/>
  <c r="M4366" i="2"/>
  <c r="L4363" i="2"/>
  <c r="M4363" i="2"/>
  <c r="L4360" i="2"/>
  <c r="M4360" i="2"/>
  <c r="Q4358" i="2"/>
  <c r="L4357" i="2"/>
  <c r="M4357" i="2"/>
  <c r="Q4355" i="2"/>
  <c r="L4354" i="2"/>
  <c r="M4354" i="2"/>
  <c r="Q4352" i="2"/>
  <c r="L4351" i="2"/>
  <c r="M4351" i="2"/>
  <c r="Q4349" i="2"/>
  <c r="L4348" i="2"/>
  <c r="M4348" i="2"/>
  <c r="Q4346" i="2"/>
  <c r="L4345" i="2"/>
  <c r="M4345" i="2"/>
  <c r="Q4343" i="2"/>
  <c r="L4342" i="2"/>
  <c r="M4342" i="2"/>
  <c r="Q4340" i="2"/>
  <c r="L4339" i="2"/>
  <c r="M4339" i="2"/>
  <c r="Q4337" i="2"/>
  <c r="L4336" i="2"/>
  <c r="M4336" i="2"/>
  <c r="Q4334" i="2"/>
  <c r="L4333" i="2"/>
  <c r="M4333" i="2"/>
  <c r="Q4331" i="2"/>
  <c r="L4330" i="2"/>
  <c r="M4330" i="2"/>
  <c r="Q4328" i="2"/>
  <c r="L4327" i="2"/>
  <c r="M4327" i="2"/>
  <c r="Q4325" i="2"/>
  <c r="L4324" i="2"/>
  <c r="M4324" i="2"/>
  <c r="Q4322" i="2"/>
  <c r="L4321" i="2"/>
  <c r="M4321" i="2"/>
  <c r="Q4319" i="2"/>
  <c r="L4318" i="2"/>
  <c r="M4318" i="2"/>
  <c r="Q4316" i="2"/>
  <c r="L4315" i="2"/>
  <c r="M4315" i="2"/>
  <c r="Q4313" i="2"/>
  <c r="L4312" i="2"/>
  <c r="M4312" i="2"/>
  <c r="Q4310" i="2"/>
  <c r="L4309" i="2"/>
  <c r="M4309" i="2"/>
  <c r="Q4307" i="2"/>
  <c r="L4306" i="2"/>
  <c r="M4306" i="2"/>
  <c r="Q4304" i="2"/>
  <c r="L4303" i="2"/>
  <c r="M4303" i="2"/>
  <c r="Q4301" i="2"/>
  <c r="L4300" i="2"/>
  <c r="M4300" i="2"/>
  <c r="Q4298" i="2"/>
  <c r="L4297" i="2"/>
  <c r="M4297" i="2"/>
  <c r="Q4295" i="2"/>
  <c r="L4294" i="2"/>
  <c r="M4294" i="2"/>
  <c r="Q4292" i="2"/>
  <c r="L4291" i="2"/>
  <c r="M4291" i="2"/>
  <c r="Q4289" i="2"/>
  <c r="L4288" i="2"/>
  <c r="M4288" i="2"/>
  <c r="Q4286" i="2"/>
  <c r="L4285" i="2"/>
  <c r="M4285" i="2"/>
  <c r="Q4283" i="2"/>
  <c r="L4282" i="2"/>
  <c r="M4282" i="2"/>
  <c r="Q4280" i="2"/>
  <c r="L4279" i="2"/>
  <c r="M4279" i="2"/>
  <c r="Q4277" i="2"/>
  <c r="L4276" i="2"/>
  <c r="M4276" i="2"/>
  <c r="Q4274" i="2"/>
  <c r="L4273" i="2"/>
  <c r="M4273" i="2"/>
  <c r="Q4271" i="2"/>
  <c r="L4270" i="2"/>
  <c r="M4270" i="2"/>
  <c r="Q4268" i="2"/>
  <c r="L4267" i="2"/>
  <c r="M4267" i="2"/>
  <c r="Q4265" i="2"/>
  <c r="L4264" i="2"/>
  <c r="M4264" i="2"/>
  <c r="Q4262" i="2"/>
  <c r="L4261" i="2"/>
  <c r="M4261" i="2"/>
  <c r="Q4259" i="2"/>
  <c r="L4258" i="2"/>
  <c r="M4258" i="2"/>
  <c r="Q4256" i="2"/>
  <c r="L4255" i="2"/>
  <c r="M4255" i="2"/>
  <c r="Q4253" i="2"/>
  <c r="L4252" i="2"/>
  <c r="M4252" i="2"/>
  <c r="Q4250" i="2"/>
  <c r="L4249" i="2"/>
  <c r="M4249" i="2"/>
  <c r="Q4247" i="2"/>
  <c r="L4246" i="2"/>
  <c r="M4246" i="2"/>
  <c r="Q4244" i="2"/>
  <c r="L4243" i="2"/>
  <c r="M4243" i="2"/>
  <c r="Q4241" i="2"/>
  <c r="L4240" i="2"/>
  <c r="M4240" i="2"/>
  <c r="Q4238" i="2"/>
  <c r="L4237" i="2"/>
  <c r="M4237" i="2"/>
  <c r="Q4235" i="2"/>
  <c r="L4234" i="2"/>
  <c r="M4234" i="2"/>
  <c r="Q4232" i="2"/>
  <c r="L4231" i="2"/>
  <c r="M4231" i="2"/>
  <c r="Q4229" i="2"/>
  <c r="L4228" i="2"/>
  <c r="M4228" i="2"/>
  <c r="Q4226" i="2"/>
  <c r="L4225" i="2"/>
  <c r="M4225" i="2"/>
  <c r="Q4223" i="2"/>
  <c r="L4222" i="2"/>
  <c r="M4222" i="2"/>
  <c r="Q4220" i="2"/>
  <c r="L4219" i="2"/>
  <c r="M4219" i="2"/>
  <c r="Q4217" i="2"/>
  <c r="L4216" i="2"/>
  <c r="M4216" i="2"/>
  <c r="Q4214" i="2"/>
  <c r="L4213" i="2"/>
  <c r="M4213" i="2"/>
  <c r="Q4211" i="2"/>
  <c r="L4210" i="2"/>
  <c r="M4210" i="2"/>
  <c r="Q4208" i="2"/>
  <c r="L4207" i="2"/>
  <c r="M4207" i="2"/>
  <c r="Q4205" i="2"/>
  <c r="L4011" i="2"/>
  <c r="M4011" i="2"/>
  <c r="L3963" i="2"/>
  <c r="M3963" i="2"/>
  <c r="L3940" i="2"/>
  <c r="M3940" i="2"/>
  <c r="Q3940" i="2"/>
  <c r="M4036" i="2"/>
  <c r="Q4036" i="2"/>
  <c r="L4000" i="2"/>
  <c r="M4000" i="2"/>
  <c r="Q4000" i="2"/>
  <c r="Q3944" i="2"/>
  <c r="M4495" i="2"/>
  <c r="M4491" i="2"/>
  <c r="M4487" i="2"/>
  <c r="M4483" i="2"/>
  <c r="M4479" i="2"/>
  <c r="M4475" i="2"/>
  <c r="L4034" i="2"/>
  <c r="M4034" i="2"/>
  <c r="L3975" i="2"/>
  <c r="M3975" i="2"/>
  <c r="Q4004" i="2"/>
  <c r="L3952" i="2"/>
  <c r="M3952" i="2"/>
  <c r="Q3952" i="2"/>
  <c r="L4472" i="2"/>
  <c r="M4472" i="2"/>
  <c r="L4469" i="2"/>
  <c r="M4469" i="2"/>
  <c r="L4466" i="2"/>
  <c r="M4466" i="2"/>
  <c r="L4463" i="2"/>
  <c r="M4463" i="2"/>
  <c r="L4460" i="2"/>
  <c r="M4460" i="2"/>
  <c r="L4457" i="2"/>
  <c r="M4457" i="2"/>
  <c r="L4454" i="2"/>
  <c r="M4454" i="2"/>
  <c r="L4451" i="2"/>
  <c r="M4451" i="2"/>
  <c r="L4448" i="2"/>
  <c r="M4448" i="2"/>
  <c r="L4445" i="2"/>
  <c r="M4445" i="2"/>
  <c r="L4442" i="2"/>
  <c r="M4442" i="2"/>
  <c r="L4439" i="2"/>
  <c r="M4439" i="2"/>
  <c r="L4436" i="2"/>
  <c r="M4436" i="2"/>
  <c r="L4433" i="2"/>
  <c r="M4433" i="2"/>
  <c r="L4430" i="2"/>
  <c r="M4430" i="2"/>
  <c r="L4427" i="2"/>
  <c r="M4427" i="2"/>
  <c r="L4424" i="2"/>
  <c r="M4424" i="2"/>
  <c r="L4421" i="2"/>
  <c r="M4421" i="2"/>
  <c r="L4418" i="2"/>
  <c r="M4418" i="2"/>
  <c r="L4415" i="2"/>
  <c r="M4415" i="2"/>
  <c r="L4412" i="2"/>
  <c r="M4412" i="2"/>
  <c r="L4409" i="2"/>
  <c r="M4409" i="2"/>
  <c r="L4406" i="2"/>
  <c r="M4406" i="2"/>
  <c r="L4403" i="2"/>
  <c r="M4403" i="2"/>
  <c r="L4400" i="2"/>
  <c r="M4400" i="2"/>
  <c r="L4397" i="2"/>
  <c r="M4397" i="2"/>
  <c r="L4394" i="2"/>
  <c r="M4394" i="2"/>
  <c r="L4391" i="2"/>
  <c r="M4391" i="2"/>
  <c r="L4388" i="2"/>
  <c r="M4388" i="2"/>
  <c r="L4385" i="2"/>
  <c r="M4385" i="2"/>
  <c r="L4382" i="2"/>
  <c r="M4382" i="2"/>
  <c r="L4379" i="2"/>
  <c r="M4379" i="2"/>
  <c r="L4376" i="2"/>
  <c r="M4376" i="2"/>
  <c r="L4373" i="2"/>
  <c r="M4373" i="2"/>
  <c r="L4370" i="2"/>
  <c r="M4370" i="2"/>
  <c r="L4367" i="2"/>
  <c r="M4367" i="2"/>
  <c r="L4364" i="2"/>
  <c r="M4364" i="2"/>
  <c r="L4361" i="2"/>
  <c r="M4361" i="2"/>
  <c r="L4358" i="2"/>
  <c r="M4358" i="2"/>
  <c r="L4355" i="2"/>
  <c r="M4355" i="2"/>
  <c r="L4352" i="2"/>
  <c r="M4352" i="2"/>
  <c r="L4349" i="2"/>
  <c r="M4349" i="2"/>
  <c r="L4346" i="2"/>
  <c r="M4346" i="2"/>
  <c r="L4343" i="2"/>
  <c r="M4343" i="2"/>
  <c r="L4340" i="2"/>
  <c r="M4340" i="2"/>
  <c r="L4337" i="2"/>
  <c r="M4337" i="2"/>
  <c r="Q4335" i="2"/>
  <c r="L4334" i="2"/>
  <c r="M4334" i="2"/>
  <c r="Q4332" i="2"/>
  <c r="L4331" i="2"/>
  <c r="M4331" i="2"/>
  <c r="Q4329" i="2"/>
  <c r="L4328" i="2"/>
  <c r="M4328" i="2"/>
  <c r="Q4326" i="2"/>
  <c r="L4325" i="2"/>
  <c r="M4325" i="2"/>
  <c r="Q4323" i="2"/>
  <c r="L4322" i="2"/>
  <c r="M4322" i="2"/>
  <c r="Q4320" i="2"/>
  <c r="L4319" i="2"/>
  <c r="M4319" i="2"/>
  <c r="Q4317" i="2"/>
  <c r="L4316" i="2"/>
  <c r="M4316" i="2"/>
  <c r="Q4314" i="2"/>
  <c r="L4313" i="2"/>
  <c r="M4313" i="2"/>
  <c r="Q4311" i="2"/>
  <c r="L4310" i="2"/>
  <c r="M4310" i="2"/>
  <c r="Q4308" i="2"/>
  <c r="L4307" i="2"/>
  <c r="M4307" i="2"/>
  <c r="Q4305" i="2"/>
  <c r="L4304" i="2"/>
  <c r="M4304" i="2"/>
  <c r="Q4302" i="2"/>
  <c r="L4301" i="2"/>
  <c r="M4301" i="2"/>
  <c r="Q4299" i="2"/>
  <c r="L4298" i="2"/>
  <c r="M4298" i="2"/>
  <c r="Q4296" i="2"/>
  <c r="L4295" i="2"/>
  <c r="M4295" i="2"/>
  <c r="Q4293" i="2"/>
  <c r="L4292" i="2"/>
  <c r="M4292" i="2"/>
  <c r="Q4290" i="2"/>
  <c r="L4289" i="2"/>
  <c r="M4289" i="2"/>
  <c r="Q4287" i="2"/>
  <c r="L4286" i="2"/>
  <c r="M4286" i="2"/>
  <c r="Q4284" i="2"/>
  <c r="L4283" i="2"/>
  <c r="M4283" i="2"/>
  <c r="Q4281" i="2"/>
  <c r="L4280" i="2"/>
  <c r="M4280" i="2"/>
  <c r="Q4278" i="2"/>
  <c r="L4277" i="2"/>
  <c r="M4277" i="2"/>
  <c r="Q4275" i="2"/>
  <c r="L4274" i="2"/>
  <c r="M4274" i="2"/>
  <c r="Q4272" i="2"/>
  <c r="L4271" i="2"/>
  <c r="M4271" i="2"/>
  <c r="Q4269" i="2"/>
  <c r="L4268" i="2"/>
  <c r="M4268" i="2"/>
  <c r="Q4266" i="2"/>
  <c r="L4265" i="2"/>
  <c r="M4265" i="2"/>
  <c r="Q4263" i="2"/>
  <c r="L4262" i="2"/>
  <c r="M4262" i="2"/>
  <c r="Q4260" i="2"/>
  <c r="L4259" i="2"/>
  <c r="M4259" i="2"/>
  <c r="Q4257" i="2"/>
  <c r="L4256" i="2"/>
  <c r="M4256" i="2"/>
  <c r="Q4254" i="2"/>
  <c r="L4253" i="2"/>
  <c r="M4253" i="2"/>
  <c r="Q4251" i="2"/>
  <c r="L4250" i="2"/>
  <c r="M4250" i="2"/>
  <c r="Q4248" i="2"/>
  <c r="L4247" i="2"/>
  <c r="M4247" i="2"/>
  <c r="Q4245" i="2"/>
  <c r="L4244" i="2"/>
  <c r="M4244" i="2"/>
  <c r="Q4242" i="2"/>
  <c r="L4241" i="2"/>
  <c r="M4241" i="2"/>
  <c r="Q4239" i="2"/>
  <c r="L4238" i="2"/>
  <c r="M4238" i="2"/>
  <c r="Q4236" i="2"/>
  <c r="L4235" i="2"/>
  <c r="M4235" i="2"/>
  <c r="Q4233" i="2"/>
  <c r="L4232" i="2"/>
  <c r="M4232" i="2"/>
  <c r="Q4230" i="2"/>
  <c r="L4229" i="2"/>
  <c r="M4229" i="2"/>
  <c r="Q4227" i="2"/>
  <c r="L4226" i="2"/>
  <c r="M4226" i="2"/>
  <c r="Q4224" i="2"/>
  <c r="L4223" i="2"/>
  <c r="M4223" i="2"/>
  <c r="Q4221" i="2"/>
  <c r="L4220" i="2"/>
  <c r="M4220" i="2"/>
  <c r="Q4218" i="2"/>
  <c r="L4217" i="2"/>
  <c r="M4217" i="2"/>
  <c r="Q4215" i="2"/>
  <c r="L4214" i="2"/>
  <c r="M4214" i="2"/>
  <c r="Q4212" i="2"/>
  <c r="L4211" i="2"/>
  <c r="M4211" i="2"/>
  <c r="Q4209" i="2"/>
  <c r="L4208" i="2"/>
  <c r="M4208" i="2"/>
  <c r="Q4206" i="2"/>
  <c r="L4205" i="2"/>
  <c r="M4205" i="2"/>
  <c r="L4023" i="2"/>
  <c r="M4023" i="2"/>
  <c r="L3987" i="2"/>
  <c r="M3987" i="2"/>
  <c r="Q3956" i="2"/>
  <c r="M4484" i="2"/>
  <c r="M4480" i="2"/>
  <c r="M4476" i="2"/>
  <c r="L4012" i="2"/>
  <c r="M4012" i="2"/>
  <c r="Q4012" i="2"/>
  <c r="L3964" i="2"/>
  <c r="M3964" i="2"/>
  <c r="Q3964" i="2"/>
  <c r="Q3968" i="2"/>
  <c r="L3927" i="2"/>
  <c r="M3927" i="2"/>
  <c r="Q3927" i="2"/>
  <c r="Q4016" i="2"/>
  <c r="L3976" i="2"/>
  <c r="M3976" i="2"/>
  <c r="Q3976" i="2"/>
  <c r="L3939" i="2"/>
  <c r="M3939" i="2"/>
  <c r="Q3939" i="2"/>
  <c r="L4335" i="2"/>
  <c r="M4335" i="2"/>
  <c r="L4332" i="2"/>
  <c r="M4332" i="2"/>
  <c r="L4329" i="2"/>
  <c r="M4329" i="2"/>
  <c r="L4326" i="2"/>
  <c r="M4326" i="2"/>
  <c r="L4323" i="2"/>
  <c r="M4323" i="2"/>
  <c r="L4320" i="2"/>
  <c r="M4320" i="2"/>
  <c r="L4317" i="2"/>
  <c r="M4317" i="2"/>
  <c r="L4314" i="2"/>
  <c r="M4314" i="2"/>
  <c r="L4311" i="2"/>
  <c r="M4311" i="2"/>
  <c r="L4308" i="2"/>
  <c r="M4308" i="2"/>
  <c r="L4305" i="2"/>
  <c r="M4305" i="2"/>
  <c r="L4302" i="2"/>
  <c r="M4302" i="2"/>
  <c r="L4299" i="2"/>
  <c r="M4299" i="2"/>
  <c r="L4296" i="2"/>
  <c r="M4296" i="2"/>
  <c r="L4293" i="2"/>
  <c r="M4293" i="2"/>
  <c r="L4290" i="2"/>
  <c r="M4290" i="2"/>
  <c r="L4287" i="2"/>
  <c r="M4287" i="2"/>
  <c r="L4284" i="2"/>
  <c r="M4284" i="2"/>
  <c r="L4281" i="2"/>
  <c r="M4281" i="2"/>
  <c r="L4278" i="2"/>
  <c r="M4278" i="2"/>
  <c r="L4275" i="2"/>
  <c r="M4275" i="2"/>
  <c r="L4272" i="2"/>
  <c r="M4272" i="2"/>
  <c r="L4269" i="2"/>
  <c r="M4269" i="2"/>
  <c r="L4266" i="2"/>
  <c r="M4266" i="2"/>
  <c r="L4263" i="2"/>
  <c r="M4263" i="2"/>
  <c r="L4260" i="2"/>
  <c r="M4260" i="2"/>
  <c r="L4257" i="2"/>
  <c r="M4257" i="2"/>
  <c r="L4254" i="2"/>
  <c r="M4254" i="2"/>
  <c r="L4251" i="2"/>
  <c r="M4251" i="2"/>
  <c r="L4248" i="2"/>
  <c r="M4248" i="2"/>
  <c r="L4245" i="2"/>
  <c r="M4245" i="2"/>
  <c r="L4242" i="2"/>
  <c r="M4242" i="2"/>
  <c r="L4239" i="2"/>
  <c r="M4239" i="2"/>
  <c r="L4236" i="2"/>
  <c r="M4236" i="2"/>
  <c r="L4233" i="2"/>
  <c r="M4233" i="2"/>
  <c r="L4230" i="2"/>
  <c r="M4230" i="2"/>
  <c r="L4227" i="2"/>
  <c r="M4227" i="2"/>
  <c r="L4224" i="2"/>
  <c r="M4224" i="2"/>
  <c r="L4221" i="2"/>
  <c r="M4221" i="2"/>
  <c r="L4218" i="2"/>
  <c r="M4218" i="2"/>
  <c r="L4215" i="2"/>
  <c r="M4215" i="2"/>
  <c r="L4212" i="2"/>
  <c r="M4212" i="2"/>
  <c r="L4209" i="2"/>
  <c r="M4209" i="2"/>
  <c r="L4206" i="2"/>
  <c r="M4206" i="2"/>
  <c r="L4035" i="2"/>
  <c r="M4035" i="2"/>
  <c r="L3999" i="2"/>
  <c r="M3999" i="2"/>
  <c r="Q3980" i="2"/>
  <c r="M4204" i="2"/>
  <c r="M4203" i="2"/>
  <c r="M4202" i="2"/>
  <c r="M4201" i="2"/>
  <c r="M4200" i="2"/>
  <c r="M4199" i="2"/>
  <c r="M4198" i="2"/>
  <c r="M4197" i="2"/>
  <c r="M4196" i="2"/>
  <c r="M4195" i="2"/>
  <c r="M4194" i="2"/>
  <c r="M4193" i="2"/>
  <c r="M4192" i="2"/>
  <c r="M4191" i="2"/>
  <c r="M4190" i="2"/>
  <c r="M4189" i="2"/>
  <c r="M4188" i="2"/>
  <c r="M4187" i="2"/>
  <c r="M4186" i="2"/>
  <c r="M4185" i="2"/>
  <c r="M4184" i="2"/>
  <c r="M4183" i="2"/>
  <c r="M4182" i="2"/>
  <c r="M4181" i="2"/>
  <c r="M4180" i="2"/>
  <c r="M4179" i="2"/>
  <c r="M4178" i="2"/>
  <c r="M4177" i="2"/>
  <c r="M4176" i="2"/>
  <c r="M4175" i="2"/>
  <c r="M4174" i="2"/>
  <c r="M4173" i="2"/>
  <c r="M4172" i="2"/>
  <c r="M4171" i="2"/>
  <c r="M4170" i="2"/>
  <c r="M4169" i="2"/>
  <c r="M4168" i="2"/>
  <c r="M4167" i="2"/>
  <c r="M4166" i="2"/>
  <c r="M4165" i="2"/>
  <c r="M4164" i="2"/>
  <c r="M4163" i="2"/>
  <c r="M4162" i="2"/>
  <c r="M4161" i="2"/>
  <c r="M4160" i="2"/>
  <c r="M4159" i="2"/>
  <c r="M4158" i="2"/>
  <c r="M4157" i="2"/>
  <c r="M4156" i="2"/>
  <c r="M4155" i="2"/>
  <c r="M4154" i="2"/>
  <c r="M4153" i="2"/>
  <c r="M4152" i="2"/>
  <c r="M4151" i="2"/>
  <c r="M4150" i="2"/>
  <c r="M4149" i="2"/>
  <c r="M4148" i="2"/>
  <c r="M4147" i="2"/>
  <c r="M4146" i="2"/>
  <c r="M4145" i="2"/>
  <c r="M4144" i="2"/>
  <c r="M4143" i="2"/>
  <c r="M4142" i="2"/>
  <c r="M4141" i="2"/>
  <c r="M4140" i="2"/>
  <c r="M4139" i="2"/>
  <c r="M4138" i="2"/>
  <c r="M4137" i="2"/>
  <c r="M4136" i="2"/>
  <c r="M4135" i="2"/>
  <c r="M4134" i="2"/>
  <c r="M4133" i="2"/>
  <c r="M4132" i="2"/>
  <c r="M4131" i="2"/>
  <c r="M4130" i="2"/>
  <c r="M4129" i="2"/>
  <c r="M4128" i="2"/>
  <c r="M4127" i="2"/>
  <c r="M4126" i="2"/>
  <c r="M4125" i="2"/>
  <c r="M4124" i="2"/>
  <c r="M4123" i="2"/>
  <c r="M4122" i="2"/>
  <c r="M4121" i="2"/>
  <c r="M4120" i="2"/>
  <c r="M4119" i="2"/>
  <c r="M4118" i="2"/>
  <c r="P4118" i="2" s="1"/>
  <c r="M4117" i="2"/>
  <c r="M4116" i="2"/>
  <c r="M4115" i="2"/>
  <c r="M4114" i="2"/>
  <c r="M4113" i="2"/>
  <c r="M4112" i="2"/>
  <c r="M4111" i="2"/>
  <c r="M4110" i="2"/>
  <c r="M4109" i="2"/>
  <c r="P4109" i="2" s="1"/>
  <c r="M4108" i="2"/>
  <c r="M4107" i="2"/>
  <c r="M4106" i="2"/>
  <c r="M4105" i="2"/>
  <c r="M4104" i="2"/>
  <c r="M4103" i="2"/>
  <c r="M4102" i="2"/>
  <c r="M4101" i="2"/>
  <c r="M4100" i="2"/>
  <c r="M4099" i="2"/>
  <c r="M4098" i="2"/>
  <c r="M4097" i="2"/>
  <c r="M4096" i="2"/>
  <c r="M4095" i="2"/>
  <c r="M4094" i="2"/>
  <c r="M4093" i="2"/>
  <c r="M4092" i="2"/>
  <c r="M4091" i="2"/>
  <c r="M4090" i="2"/>
  <c r="M4089" i="2"/>
  <c r="M4088" i="2"/>
  <c r="M4087" i="2"/>
  <c r="M4086" i="2"/>
  <c r="M4085" i="2"/>
  <c r="M4084" i="2"/>
  <c r="M4083" i="2"/>
  <c r="M4082" i="2"/>
  <c r="M4081" i="2"/>
  <c r="M4080" i="2"/>
  <c r="M4079" i="2"/>
  <c r="M4078" i="2"/>
  <c r="M4077" i="2"/>
  <c r="M4076" i="2"/>
  <c r="M4075" i="2"/>
  <c r="M4074" i="2"/>
  <c r="M4073" i="2"/>
  <c r="M4072" i="2"/>
  <c r="M4071" i="2"/>
  <c r="M4070" i="2"/>
  <c r="M4069" i="2"/>
  <c r="M4068" i="2"/>
  <c r="M4067" i="2"/>
  <c r="M4066" i="2"/>
  <c r="M4065" i="2"/>
  <c r="M4064" i="2"/>
  <c r="M4063" i="2"/>
  <c r="M4062" i="2"/>
  <c r="M4061" i="2"/>
  <c r="M4060" i="2"/>
  <c r="M4059" i="2"/>
  <c r="M4058" i="2"/>
  <c r="M4057" i="2"/>
  <c r="M4056" i="2"/>
  <c r="M4055" i="2"/>
  <c r="M4054" i="2"/>
  <c r="M4053" i="2"/>
  <c r="M4052" i="2"/>
  <c r="M4051" i="2"/>
  <c r="M4050" i="2"/>
  <c r="M4049" i="2"/>
  <c r="P4049" i="2" s="1"/>
  <c r="M4048" i="2"/>
  <c r="M4047" i="2"/>
  <c r="M4046" i="2"/>
  <c r="M4045" i="2"/>
  <c r="M4044" i="2"/>
  <c r="M4043" i="2"/>
  <c r="M4042" i="2"/>
  <c r="L4041" i="2"/>
  <c r="Q4034" i="2"/>
  <c r="M4030" i="2"/>
  <c r="L4029" i="2"/>
  <c r="Q4022" i="2"/>
  <c r="M4018" i="2"/>
  <c r="L4017" i="2"/>
  <c r="Q4010" i="2"/>
  <c r="M4006" i="2"/>
  <c r="L4005" i="2"/>
  <c r="Q3998" i="2"/>
  <c r="M3994" i="2"/>
  <c r="L3993" i="2"/>
  <c r="P3993" i="2" s="1"/>
  <c r="Q3986" i="2"/>
  <c r="M3982" i="2"/>
  <c r="L3981" i="2"/>
  <c r="Q3974" i="2"/>
  <c r="M3970" i="2"/>
  <c r="L3969" i="2"/>
  <c r="Q3962" i="2"/>
  <c r="M3958" i="2"/>
  <c r="L3957" i="2"/>
  <c r="Q3950" i="2"/>
  <c r="M3946" i="2"/>
  <c r="L3945" i="2"/>
  <c r="Q3938" i="2"/>
  <c r="M3934" i="2"/>
  <c r="L3933" i="2"/>
  <c r="Q3926" i="2"/>
  <c r="M3922" i="2"/>
  <c r="L3921" i="2"/>
  <c r="L3873" i="2"/>
  <c r="M3873" i="2"/>
  <c r="L3870" i="2"/>
  <c r="M3870" i="2"/>
  <c r="L3867" i="2"/>
  <c r="M3867" i="2"/>
  <c r="L3864" i="2"/>
  <c r="M3864" i="2"/>
  <c r="L3861" i="2"/>
  <c r="M3861" i="2"/>
  <c r="L3858" i="2"/>
  <c r="M3858" i="2"/>
  <c r="L3855" i="2"/>
  <c r="M3855" i="2"/>
  <c r="L3852" i="2"/>
  <c r="M3852" i="2"/>
  <c r="L3849" i="2"/>
  <c r="M3849" i="2"/>
  <c r="L3846" i="2"/>
  <c r="M3846" i="2"/>
  <c r="L3843" i="2"/>
  <c r="M3843" i="2"/>
  <c r="L3840" i="2"/>
  <c r="M3840" i="2"/>
  <c r="L3837" i="2"/>
  <c r="M3837" i="2"/>
  <c r="L3834" i="2"/>
  <c r="M3834" i="2"/>
  <c r="L3831" i="2"/>
  <c r="M3831" i="2"/>
  <c r="L3828" i="2"/>
  <c r="M3828" i="2"/>
  <c r="L3825" i="2"/>
  <c r="M3825" i="2"/>
  <c r="L3822" i="2"/>
  <c r="M3822" i="2"/>
  <c r="L3819" i="2"/>
  <c r="M3819" i="2"/>
  <c r="L3816" i="2"/>
  <c r="M3816" i="2"/>
  <c r="L3813" i="2"/>
  <c r="M3813" i="2"/>
  <c r="L3810" i="2"/>
  <c r="M3810" i="2"/>
  <c r="L3807" i="2"/>
  <c r="M3807" i="2"/>
  <c r="L3804" i="2"/>
  <c r="M3804" i="2"/>
  <c r="L3801" i="2"/>
  <c r="M3801" i="2"/>
  <c r="L3798" i="2"/>
  <c r="M3798" i="2"/>
  <c r="L3795" i="2"/>
  <c r="M3795" i="2"/>
  <c r="L3792" i="2"/>
  <c r="M3792" i="2"/>
  <c r="L3789" i="2"/>
  <c r="M3789" i="2"/>
  <c r="L3786" i="2"/>
  <c r="M3786" i="2"/>
  <c r="L3783" i="2"/>
  <c r="M3783" i="2"/>
  <c r="L3780" i="2"/>
  <c r="M3780" i="2"/>
  <c r="L3777" i="2"/>
  <c r="M3777" i="2"/>
  <c r="L3774" i="2"/>
  <c r="M3774" i="2"/>
  <c r="L3771" i="2"/>
  <c r="M3771" i="2"/>
  <c r="L3768" i="2"/>
  <c r="M3768" i="2"/>
  <c r="M3704" i="2"/>
  <c r="Q3699" i="2"/>
  <c r="L3594" i="2"/>
  <c r="M3594" i="2"/>
  <c r="L3556" i="2"/>
  <c r="M3556" i="2"/>
  <c r="Q4035" i="2"/>
  <c r="Q4023" i="2"/>
  <c r="Q4011" i="2"/>
  <c r="Q3999" i="2"/>
  <c r="Q3987" i="2"/>
  <c r="Q3975" i="2"/>
  <c r="Q3963" i="2"/>
  <c r="Q3951" i="2"/>
  <c r="M3935" i="2"/>
  <c r="M3923" i="2"/>
  <c r="Q3916" i="2"/>
  <c r="L3914" i="2"/>
  <c r="M3913" i="2"/>
  <c r="Q3910" i="2"/>
  <c r="L3908" i="2"/>
  <c r="M3907" i="2"/>
  <c r="Q3904" i="2"/>
  <c r="L3902" i="2"/>
  <c r="M3901" i="2"/>
  <c r="Q3898" i="2"/>
  <c r="L3896" i="2"/>
  <c r="Q3892" i="2"/>
  <c r="L3890" i="2"/>
  <c r="Q3757" i="2"/>
  <c r="L3751" i="2"/>
  <c r="M3751" i="2"/>
  <c r="L3748" i="2"/>
  <c r="Q3748" i="2"/>
  <c r="L3712" i="2"/>
  <c r="Q3712" i="2"/>
  <c r="L3645" i="2"/>
  <c r="M3645" i="2"/>
  <c r="L3568" i="2"/>
  <c r="M3568" i="2"/>
  <c r="L3885" i="2"/>
  <c r="M3885" i="2"/>
  <c r="L3881" i="2"/>
  <c r="M3881" i="2"/>
  <c r="L3877" i="2"/>
  <c r="M3877" i="2"/>
  <c r="L3762" i="2"/>
  <c r="L3757" i="2"/>
  <c r="M3757" i="2"/>
  <c r="Q3752" i="2"/>
  <c r="Q3716" i="2"/>
  <c r="Q3917" i="2"/>
  <c r="Q3911" i="2"/>
  <c r="Q3905" i="2"/>
  <c r="Q3899" i="2"/>
  <c r="Q3893" i="2"/>
  <c r="Q3749" i="2"/>
  <c r="M3735" i="2"/>
  <c r="Q3732" i="2"/>
  <c r="L3732" i="2"/>
  <c r="M3732" i="2"/>
  <c r="L3721" i="2"/>
  <c r="M3721" i="2"/>
  <c r="Q3713" i="2"/>
  <c r="Q3705" i="2"/>
  <c r="L3686" i="2"/>
  <c r="M3686" i="2"/>
  <c r="L3668" i="2"/>
  <c r="M3668" i="2"/>
  <c r="L3653" i="2"/>
  <c r="M3653" i="2"/>
  <c r="M4022" i="2"/>
  <c r="M4010" i="2"/>
  <c r="M3998" i="2"/>
  <c r="Q3990" i="2"/>
  <c r="M3986" i="2"/>
  <c r="Q3978" i="2"/>
  <c r="M3974" i="2"/>
  <c r="Q3966" i="2"/>
  <c r="M3962" i="2"/>
  <c r="Q3954" i="2"/>
  <c r="M3950" i="2"/>
  <c r="Q3942" i="2"/>
  <c r="M3938" i="2"/>
  <c r="Q3930" i="2"/>
  <c r="M3926" i="2"/>
  <c r="Q3918" i="2"/>
  <c r="L3874" i="2"/>
  <c r="M3874" i="2"/>
  <c r="L3871" i="2"/>
  <c r="M3871" i="2"/>
  <c r="L3868" i="2"/>
  <c r="M3868" i="2"/>
  <c r="L3865" i="2"/>
  <c r="M3865" i="2"/>
  <c r="L3862" i="2"/>
  <c r="M3862" i="2"/>
  <c r="L3859" i="2"/>
  <c r="M3859" i="2"/>
  <c r="L3856" i="2"/>
  <c r="M3856" i="2"/>
  <c r="L3853" i="2"/>
  <c r="M3853" i="2"/>
  <c r="L3850" i="2"/>
  <c r="M3850" i="2"/>
  <c r="L3847" i="2"/>
  <c r="M3847" i="2"/>
  <c r="L3844" i="2"/>
  <c r="M3844" i="2"/>
  <c r="L3841" i="2"/>
  <c r="M3841" i="2"/>
  <c r="L3838" i="2"/>
  <c r="M3838" i="2"/>
  <c r="L3835" i="2"/>
  <c r="M3835" i="2"/>
  <c r="L3832" i="2"/>
  <c r="M3832" i="2"/>
  <c r="L3829" i="2"/>
  <c r="M3829" i="2"/>
  <c r="L3826" i="2"/>
  <c r="M3826" i="2"/>
  <c r="L3823" i="2"/>
  <c r="M3823" i="2"/>
  <c r="L3820" i="2"/>
  <c r="M3820" i="2"/>
  <c r="L3817" i="2"/>
  <c r="M3817" i="2"/>
  <c r="L3814" i="2"/>
  <c r="M3814" i="2"/>
  <c r="L3811" i="2"/>
  <c r="M3811" i="2"/>
  <c r="L3808" i="2"/>
  <c r="M3808" i="2"/>
  <c r="L3805" i="2"/>
  <c r="M3805" i="2"/>
  <c r="Q3803" i="2"/>
  <c r="L3802" i="2"/>
  <c r="M3802" i="2"/>
  <c r="Q3800" i="2"/>
  <c r="L3799" i="2"/>
  <c r="M3799" i="2"/>
  <c r="Q3797" i="2"/>
  <c r="L3796" i="2"/>
  <c r="M3796" i="2"/>
  <c r="Q3794" i="2"/>
  <c r="L3793" i="2"/>
  <c r="M3793" i="2"/>
  <c r="Q3791" i="2"/>
  <c r="L3790" i="2"/>
  <c r="M3790" i="2"/>
  <c r="Q3788" i="2"/>
  <c r="L3787" i="2"/>
  <c r="M3787" i="2"/>
  <c r="Q3785" i="2"/>
  <c r="L3784" i="2"/>
  <c r="M3784" i="2"/>
  <c r="Q3782" i="2"/>
  <c r="L3781" i="2"/>
  <c r="M3781" i="2"/>
  <c r="Q3779" i="2"/>
  <c r="L3778" i="2"/>
  <c r="M3778" i="2"/>
  <c r="Q3776" i="2"/>
  <c r="L3775" i="2"/>
  <c r="M3775" i="2"/>
  <c r="Q3773" i="2"/>
  <c r="L3772" i="2"/>
  <c r="M3772" i="2"/>
  <c r="Q3770" i="2"/>
  <c r="L3769" i="2"/>
  <c r="M3769" i="2"/>
  <c r="Q3767" i="2"/>
  <c r="L3766" i="2"/>
  <c r="M3766" i="2"/>
  <c r="L3763" i="2"/>
  <c r="M3763" i="2"/>
  <c r="L3760" i="2"/>
  <c r="Q3760" i="2"/>
  <c r="Q3755" i="2"/>
  <c r="Q4027" i="2"/>
  <c r="Q4015" i="2"/>
  <c r="Q4003" i="2"/>
  <c r="Q3991" i="2"/>
  <c r="Q3979" i="2"/>
  <c r="Q3967" i="2"/>
  <c r="Q3955" i="2"/>
  <c r="Q3943" i="2"/>
  <c r="Q3931" i="2"/>
  <c r="Q3919" i="2"/>
  <c r="L3916" i="2"/>
  <c r="Q3912" i="2"/>
  <c r="L3910" i="2"/>
  <c r="Q3906" i="2"/>
  <c r="L3904" i="2"/>
  <c r="Q3900" i="2"/>
  <c r="L3898" i="2"/>
  <c r="Q3894" i="2"/>
  <c r="L3892" i="2"/>
  <c r="Q3888" i="2"/>
  <c r="L3886" i="2"/>
  <c r="M3886" i="2"/>
  <c r="L3882" i="2"/>
  <c r="M3882" i="2"/>
  <c r="L3878" i="2"/>
  <c r="M3878" i="2"/>
  <c r="Q3764" i="2"/>
  <c r="M3760" i="2"/>
  <c r="L3724" i="2"/>
  <c r="Q3724" i="2"/>
  <c r="L3697" i="2"/>
  <c r="M3697" i="2"/>
  <c r="Q3761" i="2"/>
  <c r="Q3733" i="2"/>
  <c r="Q3728" i="2"/>
  <c r="Q3744" i="2"/>
  <c r="L3744" i="2"/>
  <c r="M3744" i="2"/>
  <c r="L3733" i="2"/>
  <c r="M3733" i="2"/>
  <c r="Q3725" i="2"/>
  <c r="L3692" i="2"/>
  <c r="M3692" i="2"/>
  <c r="L3674" i="2"/>
  <c r="M3674" i="2"/>
  <c r="L3641" i="2"/>
  <c r="M3641" i="2"/>
  <c r="L3887" i="2"/>
  <c r="M3887" i="2"/>
  <c r="L3883" i="2"/>
  <c r="M3883" i="2"/>
  <c r="L3879" i="2"/>
  <c r="M3879" i="2"/>
  <c r="L3875" i="2"/>
  <c r="M3875" i="2"/>
  <c r="L3872" i="2"/>
  <c r="M3872" i="2"/>
  <c r="L3869" i="2"/>
  <c r="M3869" i="2"/>
  <c r="L3866" i="2"/>
  <c r="M3866" i="2"/>
  <c r="L3863" i="2"/>
  <c r="M3863" i="2"/>
  <c r="L3860" i="2"/>
  <c r="M3860" i="2"/>
  <c r="L3857" i="2"/>
  <c r="M3857" i="2"/>
  <c r="L3854" i="2"/>
  <c r="M3854" i="2"/>
  <c r="L3851" i="2"/>
  <c r="M3851" i="2"/>
  <c r="L3848" i="2"/>
  <c r="M3848" i="2"/>
  <c r="L3845" i="2"/>
  <c r="M3845" i="2"/>
  <c r="L3842" i="2"/>
  <c r="M3842" i="2"/>
  <c r="L3839" i="2"/>
  <c r="M3839" i="2"/>
  <c r="L3836" i="2"/>
  <c r="M3836" i="2"/>
  <c r="L3833" i="2"/>
  <c r="M3833" i="2"/>
  <c r="L3830" i="2"/>
  <c r="M3830" i="2"/>
  <c r="L3827" i="2"/>
  <c r="M3827" i="2"/>
  <c r="L3824" i="2"/>
  <c r="M3824" i="2"/>
  <c r="L3821" i="2"/>
  <c r="M3821" i="2"/>
  <c r="L3818" i="2"/>
  <c r="M3818" i="2"/>
  <c r="L3815" i="2"/>
  <c r="M3815" i="2"/>
  <c r="L3812" i="2"/>
  <c r="M3812" i="2"/>
  <c r="L3809" i="2"/>
  <c r="M3809" i="2"/>
  <c r="L3806" i="2"/>
  <c r="M3806" i="2"/>
  <c r="L3803" i="2"/>
  <c r="M3803" i="2"/>
  <c r="L3800" i="2"/>
  <c r="M3800" i="2"/>
  <c r="L3797" i="2"/>
  <c r="M3797" i="2"/>
  <c r="L3794" i="2"/>
  <c r="M3794" i="2"/>
  <c r="L3791" i="2"/>
  <c r="M3791" i="2"/>
  <c r="L3788" i="2"/>
  <c r="M3788" i="2"/>
  <c r="L3785" i="2"/>
  <c r="M3785" i="2"/>
  <c r="L3782" i="2"/>
  <c r="M3782" i="2"/>
  <c r="L3779" i="2"/>
  <c r="M3779" i="2"/>
  <c r="L3776" i="2"/>
  <c r="M3776" i="2"/>
  <c r="L3773" i="2"/>
  <c r="M3773" i="2"/>
  <c r="L3770" i="2"/>
  <c r="M3770" i="2"/>
  <c r="L3767" i="2"/>
  <c r="M3767" i="2"/>
  <c r="L3703" i="2"/>
  <c r="M3703" i="2"/>
  <c r="L3649" i="2"/>
  <c r="M3649" i="2"/>
  <c r="M3627" i="2"/>
  <c r="L3627" i="2"/>
  <c r="Q3627" i="2"/>
  <c r="M3621" i="2"/>
  <c r="L3621" i="2"/>
  <c r="M4039" i="2"/>
  <c r="Q4031" i="2"/>
  <c r="M4027" i="2"/>
  <c r="Q4019" i="2"/>
  <c r="M4015" i="2"/>
  <c r="Q4007" i="2"/>
  <c r="M4003" i="2"/>
  <c r="Q3995" i="2"/>
  <c r="M3991" i="2"/>
  <c r="Q3983" i="2"/>
  <c r="M3979" i="2"/>
  <c r="Q3971" i="2"/>
  <c r="M3967" i="2"/>
  <c r="Q3959" i="2"/>
  <c r="M3955" i="2"/>
  <c r="Q3947" i="2"/>
  <c r="M3943" i="2"/>
  <c r="M3931" i="2"/>
  <c r="M3919" i="2"/>
  <c r="M3917" i="2"/>
  <c r="Q3914" i="2"/>
  <c r="L3912" i="2"/>
  <c r="P3912" i="2" s="1"/>
  <c r="M3911" i="2"/>
  <c r="Q3908" i="2"/>
  <c r="L3906" i="2"/>
  <c r="M3905" i="2"/>
  <c r="Q3902" i="2"/>
  <c r="L3900" i="2"/>
  <c r="M3899" i="2"/>
  <c r="Q3896" i="2"/>
  <c r="L3894" i="2"/>
  <c r="M3893" i="2"/>
  <c r="Q3890" i="2"/>
  <c r="L3888" i="2"/>
  <c r="Q3885" i="2"/>
  <c r="Q3881" i="2"/>
  <c r="Q3877" i="2"/>
  <c r="L3736" i="2"/>
  <c r="Q3736" i="2"/>
  <c r="M3698" i="2"/>
  <c r="Q3762" i="2"/>
  <c r="Q3740" i="2"/>
  <c r="L3657" i="2"/>
  <c r="M3657" i="2"/>
  <c r="L3884" i="2"/>
  <c r="M3884" i="2"/>
  <c r="L3880" i="2"/>
  <c r="M3880" i="2"/>
  <c r="L3876" i="2"/>
  <c r="M3876" i="2"/>
  <c r="L3756" i="2"/>
  <c r="M3756" i="2"/>
  <c r="L3750" i="2"/>
  <c r="L3745" i="2"/>
  <c r="M3745" i="2"/>
  <c r="Q3737" i="2"/>
  <c r="Q3720" i="2"/>
  <c r="L3720" i="2"/>
  <c r="M3720" i="2"/>
  <c r="L3709" i="2"/>
  <c r="M3709" i="2"/>
  <c r="L3680" i="2"/>
  <c r="M3680" i="2"/>
  <c r="L3662" i="2"/>
  <c r="M3662" i="2"/>
  <c r="L3632" i="2"/>
  <c r="Q3632" i="2"/>
  <c r="L3765" i="2"/>
  <c r="M3754" i="2"/>
  <c r="L3753" i="2"/>
  <c r="M3742" i="2"/>
  <c r="L3741" i="2"/>
  <c r="M3730" i="2"/>
  <c r="L3729" i="2"/>
  <c r="M3718" i="2"/>
  <c r="L3717" i="2"/>
  <c r="L3707" i="2"/>
  <c r="L3701" i="2"/>
  <c r="L3695" i="2"/>
  <c r="L3689" i="2"/>
  <c r="L3683" i="2"/>
  <c r="L3677" i="2"/>
  <c r="P3677" i="2" s="1"/>
  <c r="L3671" i="2"/>
  <c r="Q3636" i="2"/>
  <c r="Q3630" i="2"/>
  <c r="L3624" i="2"/>
  <c r="Q3608" i="2"/>
  <c r="L3592" i="2"/>
  <c r="M3592" i="2"/>
  <c r="L3754" i="2"/>
  <c r="L3742" i="2"/>
  <c r="L3730" i="2"/>
  <c r="L3718" i="2"/>
  <c r="Q3703" i="2"/>
  <c r="Q3697" i="2"/>
  <c r="Q3691" i="2"/>
  <c r="Q3685" i="2"/>
  <c r="Q3679" i="2"/>
  <c r="Q3673" i="2"/>
  <c r="M3672" i="2"/>
  <c r="Q3667" i="2"/>
  <c r="M3666" i="2"/>
  <c r="Q3661" i="2"/>
  <c r="M3660" i="2"/>
  <c r="Q3656" i="2"/>
  <c r="Q3652" i="2"/>
  <c r="Q3648" i="2"/>
  <c r="Q3644" i="2"/>
  <c r="Q3640" i="2"/>
  <c r="Q3593" i="2"/>
  <c r="L3589" i="2"/>
  <c r="M3656" i="2"/>
  <c r="M3652" i="2"/>
  <c r="M3648" i="2"/>
  <c r="M3644" i="2"/>
  <c r="M3640" i="2"/>
  <c r="Q3631" i="2"/>
  <c r="Q3704" i="2"/>
  <c r="Q3698" i="2"/>
  <c r="Q3692" i="2"/>
  <c r="M3691" i="2"/>
  <c r="Q3686" i="2"/>
  <c r="M3685" i="2"/>
  <c r="Q3680" i="2"/>
  <c r="M3679" i="2"/>
  <c r="Q3674" i="2"/>
  <c r="M3673" i="2"/>
  <c r="Q3668" i="2"/>
  <c r="M3667" i="2"/>
  <c r="Q3662" i="2"/>
  <c r="M3661" i="2"/>
  <c r="L3636" i="2"/>
  <c r="M3635" i="2"/>
  <c r="L3630" i="2"/>
  <c r="M3629" i="2"/>
  <c r="Q3621" i="2"/>
  <c r="Q3615" i="2"/>
  <c r="M3593" i="2"/>
  <c r="L3582" i="2"/>
  <c r="Q3657" i="2"/>
  <c r="Q3653" i="2"/>
  <c r="Q3649" i="2"/>
  <c r="Q3645" i="2"/>
  <c r="Q3641" i="2"/>
  <c r="L3604" i="2"/>
  <c r="M3604" i="2"/>
  <c r="Q3574" i="2"/>
  <c r="Q3693" i="2"/>
  <c r="Q3687" i="2"/>
  <c r="Q3681" i="2"/>
  <c r="Q3675" i="2"/>
  <c r="Q3669" i="2"/>
  <c r="Q3663" i="2"/>
  <c r="Q3605" i="2"/>
  <c r="L3601" i="2"/>
  <c r="Q3591" i="2"/>
  <c r="Q3584" i="2"/>
  <c r="Q3633" i="2"/>
  <c r="L3587" i="2"/>
  <c r="M3587" i="2"/>
  <c r="L3580" i="2"/>
  <c r="M3580" i="2"/>
  <c r="L3570" i="2"/>
  <c r="L3532" i="2"/>
  <c r="M3532" i="2"/>
  <c r="Q3706" i="2"/>
  <c r="Q3700" i="2"/>
  <c r="Q3694" i="2"/>
  <c r="Q3688" i="2"/>
  <c r="Q3682" i="2"/>
  <c r="Q3676" i="2"/>
  <c r="Q3670" i="2"/>
  <c r="Q3664" i="2"/>
  <c r="Q3658" i="2"/>
  <c r="Q3654" i="2"/>
  <c r="Q3650" i="2"/>
  <c r="Q3646" i="2"/>
  <c r="Q3642" i="2"/>
  <c r="Q3638" i="2"/>
  <c r="Q3637" i="2"/>
  <c r="M3637" i="2"/>
  <c r="M3605" i="2"/>
  <c r="L3544" i="2"/>
  <c r="M3544" i="2"/>
  <c r="L3520" i="2"/>
  <c r="M3520" i="2"/>
  <c r="M3739" i="2"/>
  <c r="M3727" i="2"/>
  <c r="M3715" i="2"/>
  <c r="Q3707" i="2"/>
  <c r="M3706" i="2"/>
  <c r="Q3701" i="2"/>
  <c r="M3700" i="2"/>
  <c r="Q3695" i="2"/>
  <c r="M3694" i="2"/>
  <c r="Q3689" i="2"/>
  <c r="M3688" i="2"/>
  <c r="Q3683" i="2"/>
  <c r="M3682" i="2"/>
  <c r="Q3677" i="2"/>
  <c r="M3676" i="2"/>
  <c r="Q3671" i="2"/>
  <c r="M3670" i="2"/>
  <c r="Q3665" i="2"/>
  <c r="M3664" i="2"/>
  <c r="Q3659" i="2"/>
  <c r="L3633" i="2"/>
  <c r="M3632" i="2"/>
  <c r="M3628" i="2"/>
  <c r="Q3624" i="2"/>
  <c r="Q3618" i="2"/>
  <c r="Q3612" i="2"/>
  <c r="Q3603" i="2"/>
  <c r="Q3596" i="2"/>
  <c r="Q3572" i="2"/>
  <c r="Q3655" i="2"/>
  <c r="Q3651" i="2"/>
  <c r="Q3647" i="2"/>
  <c r="Q3643" i="2"/>
  <c r="Q3639" i="2"/>
  <c r="Q3635" i="2"/>
  <c r="Q3629" i="2"/>
  <c r="L3599" i="2"/>
  <c r="M3599" i="2"/>
  <c r="Q3708" i="2"/>
  <c r="Q3702" i="2"/>
  <c r="Q3696" i="2"/>
  <c r="Q3690" i="2"/>
  <c r="Q3684" i="2"/>
  <c r="Q3678" i="2"/>
  <c r="Q3672" i="2"/>
  <c r="Q3666" i="2"/>
  <c r="Q3660" i="2"/>
  <c r="Q3579" i="2"/>
  <c r="L3575" i="2"/>
  <c r="M3575" i="2"/>
  <c r="M3620" i="2"/>
  <c r="M3619" i="2"/>
  <c r="M3618" i="2"/>
  <c r="M3617" i="2"/>
  <c r="M3616" i="2"/>
  <c r="M3615" i="2"/>
  <c r="P3615" i="2" s="1"/>
  <c r="M3614" i="2"/>
  <c r="M3613" i="2"/>
  <c r="M3612" i="2"/>
  <c r="M3611" i="2"/>
  <c r="M3610" i="2"/>
  <c r="L3609" i="2"/>
  <c r="Q3600" i="2"/>
  <c r="M3598" i="2"/>
  <c r="L3597" i="2"/>
  <c r="Q3588" i="2"/>
  <c r="M3586" i="2"/>
  <c r="L3585" i="2"/>
  <c r="Q3576" i="2"/>
  <c r="M3574" i="2"/>
  <c r="L3573" i="2"/>
  <c r="Q3564" i="2"/>
  <c r="M3562" i="2"/>
  <c r="L3561" i="2"/>
  <c r="Q3552" i="2"/>
  <c r="M3550" i="2"/>
  <c r="L3549" i="2"/>
  <c r="Q3540" i="2"/>
  <c r="M3538" i="2"/>
  <c r="L3537" i="2"/>
  <c r="Q3528" i="2"/>
  <c r="M3526" i="2"/>
  <c r="L3525" i="2"/>
  <c r="Q3516" i="2"/>
  <c r="M3514" i="2"/>
  <c r="L3513" i="2"/>
  <c r="Q3504" i="2"/>
  <c r="M3502" i="2"/>
  <c r="P3502" i="2" s="1"/>
  <c r="L3501" i="2"/>
  <c r="Q3492" i="2"/>
  <c r="Q3601" i="2"/>
  <c r="Q3589" i="2"/>
  <c r="Q3577" i="2"/>
  <c r="Q3565" i="2"/>
  <c r="M3563" i="2"/>
  <c r="Q3553" i="2"/>
  <c r="M3551" i="2"/>
  <c r="Q3541" i="2"/>
  <c r="M3539" i="2"/>
  <c r="M3527" i="2"/>
  <c r="M3515" i="2"/>
  <c r="M3503" i="2"/>
  <c r="Q3486" i="2"/>
  <c r="Q3480" i="2"/>
  <c r="Q3474" i="2"/>
  <c r="Q3602" i="2"/>
  <c r="Q3590" i="2"/>
  <c r="Q3578" i="2"/>
  <c r="Q3566" i="2"/>
  <c r="Q3554" i="2"/>
  <c r="Q3542" i="2"/>
  <c r="Q3530" i="2"/>
  <c r="Q3518" i="2"/>
  <c r="Q3506" i="2"/>
  <c r="Q3494" i="2"/>
  <c r="Q3604" i="2"/>
  <c r="Q3592" i="2"/>
  <c r="Q3580" i="2"/>
  <c r="Q3568" i="2"/>
  <c r="Q3556" i="2"/>
  <c r="Q3544" i="2"/>
  <c r="Q3532" i="2"/>
  <c r="M3530" i="2"/>
  <c r="Q3520" i="2"/>
  <c r="M3518" i="2"/>
  <c r="Q3508" i="2"/>
  <c r="M3506" i="2"/>
  <c r="Q3496" i="2"/>
  <c r="M3494" i="2"/>
  <c r="Q3533" i="2"/>
  <c r="Q3521" i="2"/>
  <c r="Q3509" i="2"/>
  <c r="Q3497" i="2"/>
  <c r="Q3488" i="2"/>
  <c r="M3487" i="2"/>
  <c r="Q3482" i="2"/>
  <c r="M3481" i="2"/>
  <c r="Q3476" i="2"/>
  <c r="M3475" i="2"/>
  <c r="Q3470" i="2"/>
  <c r="M3469" i="2"/>
  <c r="Q3594" i="2"/>
  <c r="Q3582" i="2"/>
  <c r="Q3570" i="2"/>
  <c r="Q3558" i="2"/>
  <c r="Q3546" i="2"/>
  <c r="Q3534" i="2"/>
  <c r="Q3522" i="2"/>
  <c r="Q3510" i="2"/>
  <c r="M3508" i="2"/>
  <c r="Q3498" i="2"/>
  <c r="M3496" i="2"/>
  <c r="Q3489" i="2"/>
  <c r="M3488" i="2"/>
  <c r="Q3483" i="2"/>
  <c r="M3482" i="2"/>
  <c r="Q3477" i="2"/>
  <c r="M3476" i="2"/>
  <c r="Q3471" i="2"/>
  <c r="M3470" i="2"/>
  <c r="M3489" i="2"/>
  <c r="M3483" i="2"/>
  <c r="M3477" i="2"/>
  <c r="M3471" i="2"/>
  <c r="Q3599" i="2"/>
  <c r="Q3587" i="2"/>
  <c r="Q3575" i="2"/>
  <c r="Q3563" i="2"/>
  <c r="Q3551" i="2"/>
  <c r="Q3539" i="2"/>
  <c r="Q3527" i="2"/>
  <c r="Q3515" i="2"/>
  <c r="Q3503" i="2"/>
  <c r="Q3491" i="2"/>
  <c r="M3490" i="2"/>
  <c r="Q3485" i="2"/>
  <c r="M3484" i="2"/>
  <c r="Q3479" i="2"/>
  <c r="M3478" i="2"/>
  <c r="Q3473" i="2"/>
  <c r="M3472" i="2"/>
  <c r="Q3320" i="2"/>
  <c r="L3316" i="2"/>
  <c r="M3314" i="2"/>
  <c r="L3273" i="2"/>
  <c r="Q3270" i="2"/>
  <c r="L3269" i="2"/>
  <c r="Q3266" i="2"/>
  <c r="Q3263" i="2"/>
  <c r="Q3260" i="2"/>
  <c r="Q3257" i="2"/>
  <c r="Q3254" i="2"/>
  <c r="Q3251" i="2"/>
  <c r="Q3248" i="2"/>
  <c r="Q3245" i="2"/>
  <c r="Q3242" i="2"/>
  <c r="Q3239" i="2"/>
  <c r="Q3236" i="2"/>
  <c r="L3226" i="2"/>
  <c r="M3226" i="2"/>
  <c r="Q3224" i="2"/>
  <c r="M3214" i="2"/>
  <c r="Q3208" i="2"/>
  <c r="L3201" i="2"/>
  <c r="M3201" i="2"/>
  <c r="Q3199" i="2"/>
  <c r="Q3193" i="2"/>
  <c r="Q3184" i="2"/>
  <c r="L3178" i="2"/>
  <c r="M3178" i="2"/>
  <c r="L3147" i="2"/>
  <c r="M3147" i="2"/>
  <c r="Q3141" i="2"/>
  <c r="L3141" i="2"/>
  <c r="M3141" i="2"/>
  <c r="L3118" i="2"/>
  <c r="M3118" i="2"/>
  <c r="Q3118" i="2"/>
  <c r="L3066" i="2"/>
  <c r="M3066" i="2"/>
  <c r="Q3066" i="2"/>
  <c r="M3033" i="2"/>
  <c r="L3231" i="2"/>
  <c r="M3231" i="2"/>
  <c r="Q3229" i="2"/>
  <c r="L3221" i="2"/>
  <c r="Q3196" i="2"/>
  <c r="L3190" i="2"/>
  <c r="M3190" i="2"/>
  <c r="Q3161" i="2"/>
  <c r="Q3121" i="2"/>
  <c r="L3108" i="2"/>
  <c r="M3108" i="2"/>
  <c r="Q3108" i="2"/>
  <c r="L3236" i="2"/>
  <c r="M3236" i="2"/>
  <c r="Q3234" i="2"/>
  <c r="L3224" i="2"/>
  <c r="M3224" i="2"/>
  <c r="L3208" i="2"/>
  <c r="M3208" i="2"/>
  <c r="L3202" i="2"/>
  <c r="M3202" i="2"/>
  <c r="L3184" i="2"/>
  <c r="M3184" i="2"/>
  <c r="Q3145" i="2"/>
  <c r="L3078" i="2"/>
  <c r="M3078" i="2"/>
  <c r="Q3078" i="2"/>
  <c r="Q3323" i="2"/>
  <c r="M3317" i="2"/>
  <c r="Q3312" i="2"/>
  <c r="M3309" i="2"/>
  <c r="Q3306" i="2"/>
  <c r="M3303" i="2"/>
  <c r="Q3300" i="2"/>
  <c r="M3297" i="2"/>
  <c r="Q3294" i="2"/>
  <c r="M3291" i="2"/>
  <c r="Q3288" i="2"/>
  <c r="M3285" i="2"/>
  <c r="Q3282" i="2"/>
  <c r="M3279" i="2"/>
  <c r="Q3276" i="2"/>
  <c r="Q3271" i="2"/>
  <c r="M3266" i="2"/>
  <c r="M3263" i="2"/>
  <c r="M3260" i="2"/>
  <c r="M3257" i="2"/>
  <c r="M3254" i="2"/>
  <c r="M3251" i="2"/>
  <c r="M3248" i="2"/>
  <c r="M3245" i="2"/>
  <c r="M3242" i="2"/>
  <c r="M3239" i="2"/>
  <c r="L3229" i="2"/>
  <c r="M3229" i="2"/>
  <c r="M3221" i="2"/>
  <c r="L3196" i="2"/>
  <c r="M3196" i="2"/>
  <c r="L3159" i="2"/>
  <c r="M3159" i="2"/>
  <c r="L3142" i="2"/>
  <c r="M3142" i="2"/>
  <c r="M3041" i="2"/>
  <c r="M3318" i="2"/>
  <c r="Q3267" i="2"/>
  <c r="Q3264" i="2"/>
  <c r="Q3261" i="2"/>
  <c r="Q3258" i="2"/>
  <c r="Q3255" i="2"/>
  <c r="Q3252" i="2"/>
  <c r="Q3249" i="2"/>
  <c r="Q3246" i="2"/>
  <c r="Q3243" i="2"/>
  <c r="Q3240" i="2"/>
  <c r="Q3237" i="2"/>
  <c r="L3234" i="2"/>
  <c r="M3234" i="2"/>
  <c r="Q3197" i="2"/>
  <c r="Q3173" i="2"/>
  <c r="L3153" i="2"/>
  <c r="M3153" i="2"/>
  <c r="Q3151" i="2"/>
  <c r="Q3140" i="2"/>
  <c r="L3137" i="2"/>
  <c r="M3137" i="2"/>
  <c r="Q3137" i="2"/>
  <c r="L3124" i="2"/>
  <c r="M3124" i="2"/>
  <c r="L3090" i="2"/>
  <c r="M3090" i="2"/>
  <c r="Q3090" i="2"/>
  <c r="L3321" i="2"/>
  <c r="Q3313" i="2"/>
  <c r="L3311" i="2"/>
  <c r="Q3307" i="2"/>
  <c r="L3305" i="2"/>
  <c r="Q3301" i="2"/>
  <c r="L3299" i="2"/>
  <c r="Q3295" i="2"/>
  <c r="L3293" i="2"/>
  <c r="Q3289" i="2"/>
  <c r="L3287" i="2"/>
  <c r="Q3283" i="2"/>
  <c r="L3281" i="2"/>
  <c r="Q3277" i="2"/>
  <c r="L3275" i="2"/>
  <c r="M3274" i="2"/>
  <c r="M3270" i="2"/>
  <c r="L3267" i="2"/>
  <c r="L3264" i="2"/>
  <c r="L3261" i="2"/>
  <c r="L3258" i="2"/>
  <c r="L3255" i="2"/>
  <c r="L3252" i="2"/>
  <c r="L3249" i="2"/>
  <c r="L3246" i="2"/>
  <c r="L3243" i="2"/>
  <c r="L3240" i="2"/>
  <c r="L3237" i="2"/>
  <c r="L3227" i="2"/>
  <c r="M3227" i="2"/>
  <c r="Q3225" i="2"/>
  <c r="Q3216" i="2"/>
  <c r="L3212" i="2"/>
  <c r="M3212" i="2"/>
  <c r="M3203" i="2"/>
  <c r="L3191" i="2"/>
  <c r="M3173" i="2"/>
  <c r="Q3157" i="2"/>
  <c r="L3148" i="2"/>
  <c r="M3148" i="2"/>
  <c r="Q3129" i="2"/>
  <c r="L3129" i="2"/>
  <c r="M3129" i="2"/>
  <c r="L3060" i="2"/>
  <c r="M3060" i="2"/>
  <c r="Q3060" i="2"/>
  <c r="M3029" i="2"/>
  <c r="L3322" i="2"/>
  <c r="M3320" i="2"/>
  <c r="Q3314" i="2"/>
  <c r="Q3272" i="2"/>
  <c r="L3271" i="2"/>
  <c r="Q3268" i="2"/>
  <c r="L3232" i="2"/>
  <c r="M3232" i="2"/>
  <c r="Q3230" i="2"/>
  <c r="L3219" i="2"/>
  <c r="M3219" i="2"/>
  <c r="M3216" i="2"/>
  <c r="M3209" i="2"/>
  <c r="L3197" i="2"/>
  <c r="L3171" i="2"/>
  <c r="M3171" i="2"/>
  <c r="Q3160" i="2"/>
  <c r="L3154" i="2"/>
  <c r="M3154" i="2"/>
  <c r="L3102" i="2"/>
  <c r="M3102" i="2"/>
  <c r="Q3102" i="2"/>
  <c r="Q3049" i="2"/>
  <c r="Q3037" i="2"/>
  <c r="L3225" i="2"/>
  <c r="M3225" i="2"/>
  <c r="Q3223" i="2"/>
  <c r="L3165" i="2"/>
  <c r="M3165" i="2"/>
  <c r="Q3163" i="2"/>
  <c r="L3072" i="2"/>
  <c r="M3072" i="2"/>
  <c r="Q3072" i="2"/>
  <c r="M3049" i="2"/>
  <c r="M3037" i="2"/>
  <c r="Q3316" i="2"/>
  <c r="L3230" i="2"/>
  <c r="M3230" i="2"/>
  <c r="L3216" i="2"/>
  <c r="Q3204" i="2"/>
  <c r="M3197" i="2"/>
  <c r="Q3169" i="2"/>
  <c r="L3160" i="2"/>
  <c r="M3160" i="2"/>
  <c r="Q3133" i="2"/>
  <c r="L3130" i="2"/>
  <c r="M3130" i="2"/>
  <c r="Q3117" i="2"/>
  <c r="L3117" i="2"/>
  <c r="M3117" i="2"/>
  <c r="M3323" i="2"/>
  <c r="Q3317" i="2"/>
  <c r="M3312" i="2"/>
  <c r="Q3309" i="2"/>
  <c r="M3306" i="2"/>
  <c r="Q3303" i="2"/>
  <c r="M3300" i="2"/>
  <c r="Q3297" i="2"/>
  <c r="M3294" i="2"/>
  <c r="Q3291" i="2"/>
  <c r="M3288" i="2"/>
  <c r="Q3285" i="2"/>
  <c r="M3282" i="2"/>
  <c r="Q3279" i="2"/>
  <c r="M3276" i="2"/>
  <c r="Q3273" i="2"/>
  <c r="L3272" i="2"/>
  <c r="Q3269" i="2"/>
  <c r="L3268" i="2"/>
  <c r="L3265" i="2"/>
  <c r="L3262" i="2"/>
  <c r="L3259" i="2"/>
  <c r="L3256" i="2"/>
  <c r="L3253" i="2"/>
  <c r="L3235" i="2"/>
  <c r="M3235" i="2"/>
  <c r="L3207" i="2"/>
  <c r="M3207" i="2"/>
  <c r="L3183" i="2"/>
  <c r="M3183" i="2"/>
  <c r="L3166" i="2"/>
  <c r="M3166" i="2"/>
  <c r="Q3128" i="2"/>
  <c r="L3125" i="2"/>
  <c r="M3125" i="2"/>
  <c r="Q3125" i="2"/>
  <c r="L3084" i="2"/>
  <c r="M3084" i="2"/>
  <c r="Q3084" i="2"/>
  <c r="L3228" i="2"/>
  <c r="M3228" i="2"/>
  <c r="L3213" i="2"/>
  <c r="M3213" i="2"/>
  <c r="Q3211" i="2"/>
  <c r="L3195" i="2"/>
  <c r="M3195" i="2"/>
  <c r="L3180" i="2"/>
  <c r="L3177" i="2"/>
  <c r="M3177" i="2"/>
  <c r="Q3175" i="2"/>
  <c r="M3149" i="2"/>
  <c r="Q3149" i="2"/>
  <c r="L3054" i="2"/>
  <c r="M3054" i="2"/>
  <c r="Q3054" i="2"/>
  <c r="M3025" i="2"/>
  <c r="L3315" i="2"/>
  <c r="M3313" i="2"/>
  <c r="L3308" i="2"/>
  <c r="M3307" i="2"/>
  <c r="L3302" i="2"/>
  <c r="M3301" i="2"/>
  <c r="L3296" i="2"/>
  <c r="M3295" i="2"/>
  <c r="L3290" i="2"/>
  <c r="M3289" i="2"/>
  <c r="L3284" i="2"/>
  <c r="M3283" i="2"/>
  <c r="L3278" i="2"/>
  <c r="M3277" i="2"/>
  <c r="M3272" i="2"/>
  <c r="M3268" i="2"/>
  <c r="M3265" i="2"/>
  <c r="M3262" i="2"/>
  <c r="M3259" i="2"/>
  <c r="M3256" i="2"/>
  <c r="M3253" i="2"/>
  <c r="M3250" i="2"/>
  <c r="M3247" i="2"/>
  <c r="M3244" i="2"/>
  <c r="M3241" i="2"/>
  <c r="M3238" i="2"/>
  <c r="L3233" i="2"/>
  <c r="M3233" i="2"/>
  <c r="Q3231" i="2"/>
  <c r="Q3221" i="2"/>
  <c r="L3220" i="2"/>
  <c r="M3220" i="2"/>
  <c r="L3204" i="2"/>
  <c r="L3192" i="2"/>
  <c r="Q3190" i="2"/>
  <c r="L3189" i="2"/>
  <c r="M3189" i="2"/>
  <c r="Q3187" i="2"/>
  <c r="Q3181" i="2"/>
  <c r="L3172" i="2"/>
  <c r="M3172" i="2"/>
  <c r="L3136" i="2"/>
  <c r="M3136" i="2"/>
  <c r="L3096" i="2"/>
  <c r="M3096" i="2"/>
  <c r="Q3096" i="2"/>
  <c r="M3045" i="2"/>
  <c r="Q3033" i="2"/>
  <c r="Q2990" i="2"/>
  <c r="M2990" i="2"/>
  <c r="L2983" i="2"/>
  <c r="Q2980" i="2"/>
  <c r="M2958" i="2"/>
  <c r="M2939" i="2"/>
  <c r="Q2922" i="2"/>
  <c r="Q2898" i="2"/>
  <c r="M2887" i="2"/>
  <c r="Q2887" i="2"/>
  <c r="L2887" i="2"/>
  <c r="M2869" i="2"/>
  <c r="Q2869" i="2"/>
  <c r="L2869" i="2"/>
  <c r="Q3215" i="2"/>
  <c r="Q3203" i="2"/>
  <c r="M3200" i="2"/>
  <c r="Q3191" i="2"/>
  <c r="M3188" i="2"/>
  <c r="Q3179" i="2"/>
  <c r="M3176" i="2"/>
  <c r="Q3167" i="2"/>
  <c r="M3164" i="2"/>
  <c r="Q3155" i="2"/>
  <c r="M3152" i="2"/>
  <c r="Q3143" i="2"/>
  <c r="M3140" i="2"/>
  <c r="Q3131" i="2"/>
  <c r="M3128" i="2"/>
  <c r="Q3119" i="2"/>
  <c r="M3116" i="2"/>
  <c r="M3107" i="2"/>
  <c r="L3106" i="2"/>
  <c r="M3101" i="2"/>
  <c r="L3100" i="2"/>
  <c r="M3095" i="2"/>
  <c r="L3094" i="2"/>
  <c r="M3089" i="2"/>
  <c r="L3088" i="2"/>
  <c r="M3083" i="2"/>
  <c r="L3082" i="2"/>
  <c r="M3077" i="2"/>
  <c r="L3076" i="2"/>
  <c r="M3071" i="2"/>
  <c r="L3070" i="2"/>
  <c r="M3065" i="2"/>
  <c r="L3064" i="2"/>
  <c r="M3059" i="2"/>
  <c r="L3058" i="2"/>
  <c r="M3053" i="2"/>
  <c r="P3053" i="2" s="1"/>
  <c r="L3052" i="2"/>
  <c r="M3048" i="2"/>
  <c r="M3044" i="2"/>
  <c r="M3040" i="2"/>
  <c r="M3036" i="2"/>
  <c r="M3032" i="2"/>
  <c r="M3028" i="2"/>
  <c r="M3024" i="2"/>
  <c r="M3020" i="2"/>
  <c r="M3016" i="2"/>
  <c r="M3012" i="2"/>
  <c r="M3008" i="2"/>
  <c r="M3004" i="2"/>
  <c r="L2999" i="2"/>
  <c r="L2995" i="2"/>
  <c r="L2991" i="2"/>
  <c r="L2987" i="2"/>
  <c r="Q2973" i="2"/>
  <c r="L2965" i="2"/>
  <c r="L2962" i="2"/>
  <c r="Q2956" i="2"/>
  <c r="L2939" i="2"/>
  <c r="L2933" i="2"/>
  <c r="L2922" i="2"/>
  <c r="M2911" i="2"/>
  <c r="Q2911" i="2"/>
  <c r="L2911" i="2"/>
  <c r="L2898" i="2"/>
  <c r="Q2880" i="2"/>
  <c r="Q2862" i="2"/>
  <c r="Q3192" i="2"/>
  <c r="Q3180" i="2"/>
  <c r="Q3168" i="2"/>
  <c r="Q3156" i="2"/>
  <c r="Q3144" i="2"/>
  <c r="Q3132" i="2"/>
  <c r="Q3120" i="2"/>
  <c r="Q3109" i="2"/>
  <c r="Q3103" i="2"/>
  <c r="Q3097" i="2"/>
  <c r="Q3091" i="2"/>
  <c r="Q3085" i="2"/>
  <c r="Q3079" i="2"/>
  <c r="M2980" i="2"/>
  <c r="Q2963" i="2"/>
  <c r="L2996" i="2"/>
  <c r="L2973" i="2"/>
  <c r="L2959" i="2"/>
  <c r="M2956" i="2"/>
  <c r="L2949" i="2"/>
  <c r="Q2949" i="2"/>
  <c r="Q2930" i="2"/>
  <c r="Q2928" i="2"/>
  <c r="L2925" i="2"/>
  <c r="Q2904" i="2"/>
  <c r="L2901" i="2"/>
  <c r="L2705" i="2"/>
  <c r="M2705" i="2"/>
  <c r="Q2705" i="2"/>
  <c r="M3021" i="2"/>
  <c r="M3017" i="2"/>
  <c r="M3013" i="2"/>
  <c r="M3009" i="2"/>
  <c r="M3005" i="2"/>
  <c r="M3001" i="2"/>
  <c r="Q2976" i="2"/>
  <c r="M2976" i="2"/>
  <c r="M2963" i="2"/>
  <c r="Q2957" i="2"/>
  <c r="Q2952" i="2"/>
  <c r="M2952" i="2"/>
  <c r="Q2942" i="2"/>
  <c r="L2928" i="2"/>
  <c r="M2917" i="2"/>
  <c r="Q2917" i="2"/>
  <c r="L2917" i="2"/>
  <c r="L2904" i="2"/>
  <c r="M2893" i="2"/>
  <c r="Q2893" i="2"/>
  <c r="L2893" i="2"/>
  <c r="L2883" i="2"/>
  <c r="M2875" i="2"/>
  <c r="Q2875" i="2"/>
  <c r="L2875" i="2"/>
  <c r="L2865" i="2"/>
  <c r="Q2771" i="2"/>
  <c r="Q2988" i="2"/>
  <c r="M2988" i="2"/>
  <c r="L2985" i="2"/>
  <c r="Q2886" i="2"/>
  <c r="Q2868" i="2"/>
  <c r="L3049" i="2"/>
  <c r="L3045" i="2"/>
  <c r="L3041" i="2"/>
  <c r="L3037" i="2"/>
  <c r="L3033" i="2"/>
  <c r="L3029" i="2"/>
  <c r="L3025" i="2"/>
  <c r="L3021" i="2"/>
  <c r="L3017" i="2"/>
  <c r="L3013" i="2"/>
  <c r="L3009" i="2"/>
  <c r="L3005" i="2"/>
  <c r="L3001" i="2"/>
  <c r="Q2998" i="2"/>
  <c r="M2989" i="2"/>
  <c r="Q2986" i="2"/>
  <c r="Q2982" i="2"/>
  <c r="M2970" i="2"/>
  <c r="L2963" i="2"/>
  <c r="M2946" i="2"/>
  <c r="Q2946" i="2"/>
  <c r="Q2940" i="2"/>
  <c r="M2940" i="2"/>
  <c r="Q2910" i="2"/>
  <c r="L2907" i="2"/>
  <c r="L2886" i="2"/>
  <c r="L2868" i="2"/>
  <c r="L2853" i="2"/>
  <c r="L2841" i="2"/>
  <c r="L2829" i="2"/>
  <c r="L2715" i="2"/>
  <c r="M2715" i="2"/>
  <c r="Q2709" i="2"/>
  <c r="Q3113" i="2"/>
  <c r="Q2994" i="2"/>
  <c r="Q2968" i="2"/>
  <c r="Q2961" i="2"/>
  <c r="M2923" i="2"/>
  <c r="Q2923" i="2"/>
  <c r="L2923" i="2"/>
  <c r="M2899" i="2"/>
  <c r="Q2899" i="2"/>
  <c r="L2899" i="2"/>
  <c r="M3135" i="2"/>
  <c r="M3123" i="2"/>
  <c r="M3111" i="2"/>
  <c r="Q3076" i="2"/>
  <c r="Q3070" i="2"/>
  <c r="Q3064" i="2"/>
  <c r="Q3058" i="2"/>
  <c r="Q3052" i="2"/>
  <c r="Q3011" i="2"/>
  <c r="Q3007" i="2"/>
  <c r="Q3003" i="2"/>
  <c r="Q2999" i="2"/>
  <c r="Q2983" i="2"/>
  <c r="Q2975" i="2"/>
  <c r="Q2951" i="2"/>
  <c r="M2938" i="2"/>
  <c r="Q2938" i="2"/>
  <c r="L2938" i="2"/>
  <c r="M2881" i="2"/>
  <c r="Q2881" i="2"/>
  <c r="L2881" i="2"/>
  <c r="M2863" i="2"/>
  <c r="Q2863" i="2"/>
  <c r="L2863" i="2"/>
  <c r="M2749" i="2"/>
  <c r="L2749" i="2"/>
  <c r="L2718" i="2"/>
  <c r="M2718" i="2"/>
  <c r="Q2718" i="2"/>
  <c r="Q3139" i="2"/>
  <c r="Q3127" i="2"/>
  <c r="Q3115" i="2"/>
  <c r="M3112" i="2"/>
  <c r="M3105" i="2"/>
  <c r="M3099" i="2"/>
  <c r="M3093" i="2"/>
  <c r="M3087" i="2"/>
  <c r="M3081" i="2"/>
  <c r="M3075" i="2"/>
  <c r="M3069" i="2"/>
  <c r="M3063" i="2"/>
  <c r="M3057" i="2"/>
  <c r="P3057" i="2" s="1"/>
  <c r="M3051" i="2"/>
  <c r="L3010" i="2"/>
  <c r="L3006" i="2"/>
  <c r="L3002" i="2"/>
  <c r="Q2995" i="2"/>
  <c r="L2994" i="2"/>
  <c r="Q2987" i="2"/>
  <c r="L2971" i="2"/>
  <c r="M2968" i="2"/>
  <c r="Q2965" i="2"/>
  <c r="L2961" i="2"/>
  <c r="Q2958" i="2"/>
  <c r="L2947" i="2"/>
  <c r="P2947" i="2" s="1"/>
  <c r="Q2933" i="2"/>
  <c r="Q2916" i="2"/>
  <c r="L2913" i="2"/>
  <c r="Q2892" i="2"/>
  <c r="Q2874" i="2"/>
  <c r="L2805" i="2"/>
  <c r="L2793" i="2"/>
  <c r="L2781" i="2"/>
  <c r="Q3116" i="2"/>
  <c r="M3113" i="2"/>
  <c r="Q3107" i="2"/>
  <c r="Q3101" i="2"/>
  <c r="Q3095" i="2"/>
  <c r="Q3089" i="2"/>
  <c r="Q3083" i="2"/>
  <c r="Q3077" i="2"/>
  <c r="Q3071" i="2"/>
  <c r="Q3065" i="2"/>
  <c r="Q3059" i="2"/>
  <c r="Q3053" i="2"/>
  <c r="M3047" i="2"/>
  <c r="M3043" i="2"/>
  <c r="M3039" i="2"/>
  <c r="M3035" i="2"/>
  <c r="M3031" i="2"/>
  <c r="M3027" i="2"/>
  <c r="M3023" i="2"/>
  <c r="M3019" i="2"/>
  <c r="M3015" i="2"/>
  <c r="M3011" i="2"/>
  <c r="M3007" i="2"/>
  <c r="M3003" i="2"/>
  <c r="L2990" i="2"/>
  <c r="M2975" i="2"/>
  <c r="Q2969" i="2"/>
  <c r="Q2964" i="2"/>
  <c r="M2964" i="2"/>
  <c r="L2958" i="2"/>
  <c r="M2951" i="2"/>
  <c r="Q2939" i="2"/>
  <c r="L2932" i="2"/>
  <c r="Q2932" i="2"/>
  <c r="Q2929" i="2"/>
  <c r="L2929" i="2"/>
  <c r="L2916" i="2"/>
  <c r="M2905" i="2"/>
  <c r="Q2905" i="2"/>
  <c r="L2905" i="2"/>
  <c r="L2892" i="2"/>
  <c r="L2874" i="2"/>
  <c r="L3113" i="2"/>
  <c r="M3106" i="2"/>
  <c r="M3100" i="2"/>
  <c r="M3094" i="2"/>
  <c r="M3088" i="2"/>
  <c r="M3082" i="2"/>
  <c r="M3076" i="2"/>
  <c r="M3070" i="2"/>
  <c r="M3064" i="2"/>
  <c r="M3058" i="2"/>
  <c r="M3052" i="2"/>
  <c r="Q3048" i="2"/>
  <c r="Q3044" i="2"/>
  <c r="Q3040" i="2"/>
  <c r="Q3036" i="2"/>
  <c r="Q3032" i="2"/>
  <c r="Q3028" i="2"/>
  <c r="Q3024" i="2"/>
  <c r="Q3020" i="2"/>
  <c r="Q3016" i="2"/>
  <c r="Q3012" i="2"/>
  <c r="Q3008" i="2"/>
  <c r="Q3004" i="2"/>
  <c r="M2999" i="2"/>
  <c r="Q2996" i="2"/>
  <c r="M2987" i="2"/>
  <c r="M2983" i="2"/>
  <c r="Q2978" i="2"/>
  <c r="M2978" i="2"/>
  <c r="M2965" i="2"/>
  <c r="L2944" i="2"/>
  <c r="Q2944" i="2"/>
  <c r="Q2941" i="2"/>
  <c r="L2941" i="2"/>
  <c r="L2753" i="2"/>
  <c r="M2753" i="2"/>
  <c r="Q2753" i="2"/>
  <c r="Q2764" i="2"/>
  <c r="Q2755" i="2"/>
  <c r="Q2740" i="2"/>
  <c r="Q2733" i="2"/>
  <c r="L2729" i="2"/>
  <c r="M2729" i="2"/>
  <c r="L2706" i="2"/>
  <c r="M2706" i="2"/>
  <c r="Q2706" i="2"/>
  <c r="L2703" i="2"/>
  <c r="M2703" i="2"/>
  <c r="Q2697" i="2"/>
  <c r="L2693" i="2"/>
  <c r="M2693" i="2"/>
  <c r="M2927" i="2"/>
  <c r="M2921" i="2"/>
  <c r="M2915" i="2"/>
  <c r="M2909" i="2"/>
  <c r="M2903" i="2"/>
  <c r="M2897" i="2"/>
  <c r="M2891" i="2"/>
  <c r="M2885" i="2"/>
  <c r="M2879" i="2"/>
  <c r="M2873" i="2"/>
  <c r="M2867" i="2"/>
  <c r="M2861" i="2"/>
  <c r="M2855" i="2"/>
  <c r="M2849" i="2"/>
  <c r="M2843" i="2"/>
  <c r="M2837" i="2"/>
  <c r="M2831" i="2"/>
  <c r="M2825" i="2"/>
  <c r="Q2822" i="2"/>
  <c r="M2819" i="2"/>
  <c r="Q2816" i="2"/>
  <c r="M2813" i="2"/>
  <c r="Q2810" i="2"/>
  <c r="M2807" i="2"/>
  <c r="Q2804" i="2"/>
  <c r="M2801" i="2"/>
  <c r="Q2798" i="2"/>
  <c r="M2795" i="2"/>
  <c r="Q2792" i="2"/>
  <c r="M2789" i="2"/>
  <c r="Q2786" i="2"/>
  <c r="M2783" i="2"/>
  <c r="Q2780" i="2"/>
  <c r="M2777" i="2"/>
  <c r="P2777" i="2" s="1"/>
  <c r="Q2774" i="2"/>
  <c r="L2772" i="2"/>
  <c r="Q2760" i="2"/>
  <c r="M2755" i="2"/>
  <c r="M2751" i="2"/>
  <c r="L2743" i="2"/>
  <c r="L2726" i="2"/>
  <c r="Q2769" i="2"/>
  <c r="Q2752" i="2"/>
  <c r="L2736" i="2"/>
  <c r="M2736" i="2"/>
  <c r="Q2736" i="2"/>
  <c r="L2733" i="2"/>
  <c r="M2733" i="2"/>
  <c r="Q2727" i="2"/>
  <c r="L2723" i="2"/>
  <c r="M2723" i="2"/>
  <c r="L2700" i="2"/>
  <c r="M2700" i="2"/>
  <c r="Q2700" i="2"/>
  <c r="L2697" i="2"/>
  <c r="M2697" i="2"/>
  <c r="Q2691" i="2"/>
  <c r="Q2685" i="2"/>
  <c r="Q2679" i="2"/>
  <c r="Q2673" i="2"/>
  <c r="M2966" i="2"/>
  <c r="M2954" i="2"/>
  <c r="M2942" i="2"/>
  <c r="Q2934" i="2"/>
  <c r="M2930" i="2"/>
  <c r="M2928" i="2"/>
  <c r="Q2925" i="2"/>
  <c r="M2922" i="2"/>
  <c r="Q2919" i="2"/>
  <c r="M2916" i="2"/>
  <c r="Q2913" i="2"/>
  <c r="M2910" i="2"/>
  <c r="Q2907" i="2"/>
  <c r="M2904" i="2"/>
  <c r="Q2901" i="2"/>
  <c r="M2898" i="2"/>
  <c r="Q2895" i="2"/>
  <c r="M2892" i="2"/>
  <c r="Q2889" i="2"/>
  <c r="M2886" i="2"/>
  <c r="Q2883" i="2"/>
  <c r="M2880" i="2"/>
  <c r="Q2877" i="2"/>
  <c r="M2874" i="2"/>
  <c r="Q2871" i="2"/>
  <c r="M2868" i="2"/>
  <c r="Q2865" i="2"/>
  <c r="M2862" i="2"/>
  <c r="Q2859" i="2"/>
  <c r="L2857" i="2"/>
  <c r="M2856" i="2"/>
  <c r="Q2853" i="2"/>
  <c r="L2851" i="2"/>
  <c r="M2850" i="2"/>
  <c r="Q2847" i="2"/>
  <c r="L2845" i="2"/>
  <c r="M2844" i="2"/>
  <c r="Q2841" i="2"/>
  <c r="L2839" i="2"/>
  <c r="M2838" i="2"/>
  <c r="Q2835" i="2"/>
  <c r="L2833" i="2"/>
  <c r="M2832" i="2"/>
  <c r="Q2829" i="2"/>
  <c r="L2827" i="2"/>
  <c r="M2826" i="2"/>
  <c r="Q2823" i="2"/>
  <c r="L2821" i="2"/>
  <c r="M2820" i="2"/>
  <c r="Q2817" i="2"/>
  <c r="L2815" i="2"/>
  <c r="M2814" i="2"/>
  <c r="Q2811" i="2"/>
  <c r="L2809" i="2"/>
  <c r="M2808" i="2"/>
  <c r="Q2805" i="2"/>
  <c r="L2803" i="2"/>
  <c r="M2802" i="2"/>
  <c r="Q2799" i="2"/>
  <c r="L2797" i="2"/>
  <c r="M2796" i="2"/>
  <c r="Q2793" i="2"/>
  <c r="L2791" i="2"/>
  <c r="M2790" i="2"/>
  <c r="Q2787" i="2"/>
  <c r="L2785" i="2"/>
  <c r="M2784" i="2"/>
  <c r="Q2781" i="2"/>
  <c r="L2779" i="2"/>
  <c r="M2778" i="2"/>
  <c r="Q2775" i="2"/>
  <c r="L2773" i="2"/>
  <c r="L2720" i="2"/>
  <c r="L2691" i="2"/>
  <c r="M2691" i="2"/>
  <c r="L2685" i="2"/>
  <c r="M2685" i="2"/>
  <c r="L2760" i="2"/>
  <c r="M2760" i="2"/>
  <c r="Q2757" i="2"/>
  <c r="Q2745" i="2"/>
  <c r="L2730" i="2"/>
  <c r="M2730" i="2"/>
  <c r="Q2730" i="2"/>
  <c r="L2727" i="2"/>
  <c r="M2727" i="2"/>
  <c r="Q2721" i="2"/>
  <c r="L2717" i="2"/>
  <c r="M2717" i="2"/>
  <c r="L2694" i="2"/>
  <c r="M2694" i="2"/>
  <c r="Q2694" i="2"/>
  <c r="L2688" i="2"/>
  <c r="M2688" i="2"/>
  <c r="Q2688" i="2"/>
  <c r="L2682" i="2"/>
  <c r="M2682" i="2"/>
  <c r="Q2682" i="2"/>
  <c r="M2676" i="2"/>
  <c r="Q2676" i="2"/>
  <c r="M2670" i="2"/>
  <c r="Q2670" i="2"/>
  <c r="M2664" i="2"/>
  <c r="Q2664" i="2"/>
  <c r="M2658" i="2"/>
  <c r="Q2658" i="2"/>
  <c r="M2652" i="2"/>
  <c r="Q2652" i="2"/>
  <c r="M2646" i="2"/>
  <c r="Q2646" i="2"/>
  <c r="M2640" i="2"/>
  <c r="Q2640" i="2"/>
  <c r="M2634" i="2"/>
  <c r="Q2634" i="2"/>
  <c r="Q2761" i="2"/>
  <c r="L2748" i="2"/>
  <c r="M2748" i="2"/>
  <c r="L2714" i="2"/>
  <c r="Q2937" i="2"/>
  <c r="Q2766" i="2"/>
  <c r="L2765" i="2"/>
  <c r="M2757" i="2"/>
  <c r="Q2749" i="2"/>
  <c r="L2745" i="2"/>
  <c r="L2741" i="2"/>
  <c r="L2724" i="2"/>
  <c r="M2724" i="2"/>
  <c r="Q2724" i="2"/>
  <c r="L2721" i="2"/>
  <c r="M2721" i="2"/>
  <c r="Q2715" i="2"/>
  <c r="L2711" i="2"/>
  <c r="M2711" i="2"/>
  <c r="Q2927" i="2"/>
  <c r="M2924" i="2"/>
  <c r="Q2921" i="2"/>
  <c r="M2918" i="2"/>
  <c r="Q2915" i="2"/>
  <c r="M2912" i="2"/>
  <c r="P2912" i="2" s="1"/>
  <c r="Q2909" i="2"/>
  <c r="M2906" i="2"/>
  <c r="Q2903" i="2"/>
  <c r="M2900" i="2"/>
  <c r="Q2897" i="2"/>
  <c r="M2894" i="2"/>
  <c r="Q2891" i="2"/>
  <c r="M2888" i="2"/>
  <c r="Q2885" i="2"/>
  <c r="M2882" i="2"/>
  <c r="Q2879" i="2"/>
  <c r="M2876" i="2"/>
  <c r="Q2873" i="2"/>
  <c r="M2870" i="2"/>
  <c r="Q2867" i="2"/>
  <c r="M2864" i="2"/>
  <c r="Q2861" i="2"/>
  <c r="M2858" i="2"/>
  <c r="Q2855" i="2"/>
  <c r="M2852" i="2"/>
  <c r="P2852" i="2" s="1"/>
  <c r="Q2849" i="2"/>
  <c r="M2846" i="2"/>
  <c r="Q2843" i="2"/>
  <c r="M2840" i="2"/>
  <c r="Q2837" i="2"/>
  <c r="M2834" i="2"/>
  <c r="Q2831" i="2"/>
  <c r="M2828" i="2"/>
  <c r="Q2825" i="2"/>
  <c r="Q2819" i="2"/>
  <c r="Q2813" i="2"/>
  <c r="Q2807" i="2"/>
  <c r="Q2801" i="2"/>
  <c r="Q2795" i="2"/>
  <c r="Q2789" i="2"/>
  <c r="Q2783" i="2"/>
  <c r="Q2777" i="2"/>
  <c r="M2761" i="2"/>
  <c r="L2708" i="2"/>
  <c r="M2925" i="2"/>
  <c r="M2919" i="2"/>
  <c r="M2913" i="2"/>
  <c r="M2907" i="2"/>
  <c r="M2901" i="2"/>
  <c r="M2895" i="2"/>
  <c r="M2889" i="2"/>
  <c r="M2883" i="2"/>
  <c r="M2877" i="2"/>
  <c r="M2871" i="2"/>
  <c r="M2865" i="2"/>
  <c r="M2859" i="2"/>
  <c r="M2853" i="2"/>
  <c r="M2847" i="2"/>
  <c r="M2841" i="2"/>
  <c r="M2835" i="2"/>
  <c r="M2829" i="2"/>
  <c r="M2823" i="2"/>
  <c r="M2817" i="2"/>
  <c r="M2811" i="2"/>
  <c r="M2805" i="2"/>
  <c r="M2799" i="2"/>
  <c r="P2799" i="2" s="1"/>
  <c r="M2793" i="2"/>
  <c r="M2787" i="2"/>
  <c r="M2781" i="2"/>
  <c r="M2775" i="2"/>
  <c r="Q2772" i="2"/>
  <c r="L2738" i="2"/>
  <c r="L2702" i="2"/>
  <c r="L2771" i="2"/>
  <c r="Q2767" i="2"/>
  <c r="Q2747" i="2"/>
  <c r="L2735" i="2"/>
  <c r="M2735" i="2"/>
  <c r="Q2729" i="2"/>
  <c r="L2712" i="2"/>
  <c r="M2712" i="2"/>
  <c r="Q2712" i="2"/>
  <c r="L2709" i="2"/>
  <c r="M2709" i="2"/>
  <c r="Q2703" i="2"/>
  <c r="L2699" i="2"/>
  <c r="M2699" i="2"/>
  <c r="Q2693" i="2"/>
  <c r="M2926" i="2"/>
  <c r="M2920" i="2"/>
  <c r="M2914" i="2"/>
  <c r="M2908" i="2"/>
  <c r="M2902" i="2"/>
  <c r="M2896" i="2"/>
  <c r="M2890" i="2"/>
  <c r="M2884" i="2"/>
  <c r="M2878" i="2"/>
  <c r="M2872" i="2"/>
  <c r="M2866" i="2"/>
  <c r="M2860" i="2"/>
  <c r="Q2857" i="2"/>
  <c r="M2854" i="2"/>
  <c r="Q2851" i="2"/>
  <c r="M2848" i="2"/>
  <c r="Q2845" i="2"/>
  <c r="M2842" i="2"/>
  <c r="Q2839" i="2"/>
  <c r="M2836" i="2"/>
  <c r="Q2833" i="2"/>
  <c r="M2830" i="2"/>
  <c r="Q2827" i="2"/>
  <c r="M2824" i="2"/>
  <c r="Q2821" i="2"/>
  <c r="M2818" i="2"/>
  <c r="Q2815" i="2"/>
  <c r="M2812" i="2"/>
  <c r="Q2809" i="2"/>
  <c r="M2806" i="2"/>
  <c r="Q2803" i="2"/>
  <c r="M2800" i="2"/>
  <c r="Q2797" i="2"/>
  <c r="M2794" i="2"/>
  <c r="Q2791" i="2"/>
  <c r="M2788" i="2"/>
  <c r="Q2785" i="2"/>
  <c r="M2782" i="2"/>
  <c r="Q2779" i="2"/>
  <c r="M2776" i="2"/>
  <c r="Q2773" i="2"/>
  <c r="M2763" i="2"/>
  <c r="L2754" i="2"/>
  <c r="Q2751" i="2"/>
  <c r="Q2743" i="2"/>
  <c r="M2739" i="2"/>
  <c r="L2732" i="2"/>
  <c r="L2696" i="2"/>
  <c r="M2734" i="2"/>
  <c r="M2728" i="2"/>
  <c r="M2722" i="2"/>
  <c r="M2716" i="2"/>
  <c r="M2710" i="2"/>
  <c r="M2704" i="2"/>
  <c r="M2698" i="2"/>
  <c r="M2692" i="2"/>
  <c r="M2686" i="2"/>
  <c r="L2679" i="2"/>
  <c r="L2673" i="2"/>
  <c r="L2667" i="2"/>
  <c r="L2661" i="2"/>
  <c r="L2655" i="2"/>
  <c r="L2649" i="2"/>
  <c r="L2643" i="2"/>
  <c r="L2637" i="2"/>
  <c r="L2631" i="2"/>
  <c r="L2625" i="2"/>
  <c r="L2619" i="2"/>
  <c r="L2613" i="2"/>
  <c r="L2607" i="2"/>
  <c r="L2601" i="2"/>
  <c r="L2595" i="2"/>
  <c r="L2589" i="2"/>
  <c r="L2583" i="2"/>
  <c r="L2577" i="2"/>
  <c r="M2505" i="2"/>
  <c r="Q2628" i="2"/>
  <c r="Q2622" i="2"/>
  <c r="Q2616" i="2"/>
  <c r="Q2610" i="2"/>
  <c r="Q2604" i="2"/>
  <c r="Q2598" i="2"/>
  <c r="Q2592" i="2"/>
  <c r="Q2586" i="2"/>
  <c r="Q2580" i="2"/>
  <c r="Q2500" i="2"/>
  <c r="M2481" i="2"/>
  <c r="Q2481" i="2"/>
  <c r="L2460" i="2"/>
  <c r="M2460" i="2"/>
  <c r="Q2460" i="2"/>
  <c r="M2687" i="2"/>
  <c r="L2680" i="2"/>
  <c r="L2674" i="2"/>
  <c r="L2668" i="2"/>
  <c r="L2662" i="2"/>
  <c r="L2656" i="2"/>
  <c r="L2650" i="2"/>
  <c r="L2644" i="2"/>
  <c r="L2638" i="2"/>
  <c r="L2632" i="2"/>
  <c r="L2626" i="2"/>
  <c r="L2620" i="2"/>
  <c r="L2614" i="2"/>
  <c r="L2608" i="2"/>
  <c r="L2602" i="2"/>
  <c r="L2596" i="2"/>
  <c r="L2590" i="2"/>
  <c r="L2584" i="2"/>
  <c r="L2578" i="2"/>
  <c r="L2508" i="2"/>
  <c r="M2508" i="2"/>
  <c r="Q2506" i="2"/>
  <c r="Q2503" i="2"/>
  <c r="L2502" i="2"/>
  <c r="M2502" i="2"/>
  <c r="Q2488" i="2"/>
  <c r="L2490" i="2"/>
  <c r="L2484" i="2"/>
  <c r="M2484" i="2"/>
  <c r="Q2482" i="2"/>
  <c r="M2473" i="2"/>
  <c r="Q2473" i="2"/>
  <c r="L2448" i="2"/>
  <c r="M2448" i="2"/>
  <c r="Q2448" i="2"/>
  <c r="L2400" i="2"/>
  <c r="M2400" i="2"/>
  <c r="Q2400" i="2"/>
  <c r="L2681" i="2"/>
  <c r="L2675" i="2"/>
  <c r="L2669" i="2"/>
  <c r="L2663" i="2"/>
  <c r="L2657" i="2"/>
  <c r="L2651" i="2"/>
  <c r="L2645" i="2"/>
  <c r="L2639" i="2"/>
  <c r="L2633" i="2"/>
  <c r="L2627" i="2"/>
  <c r="P2627" i="2" s="1"/>
  <c r="L2621" i="2"/>
  <c r="L2615" i="2"/>
  <c r="L2609" i="2"/>
  <c r="L2603" i="2"/>
  <c r="L2597" i="2"/>
  <c r="L2591" i="2"/>
  <c r="L2585" i="2"/>
  <c r="L2579" i="2"/>
  <c r="M2509" i="2"/>
  <c r="L2496" i="2"/>
  <c r="M2496" i="2"/>
  <c r="Q2494" i="2"/>
  <c r="L2493" i="2"/>
  <c r="Q2485" i="2"/>
  <c r="L2471" i="2"/>
  <c r="M2471" i="2"/>
  <c r="Q2471" i="2"/>
  <c r="M2503" i="2"/>
  <c r="L2412" i="2"/>
  <c r="M2412" i="2"/>
  <c r="Q2412" i="2"/>
  <c r="M2737" i="2"/>
  <c r="M2731" i="2"/>
  <c r="M2725" i="2"/>
  <c r="M2719" i="2"/>
  <c r="M2713" i="2"/>
  <c r="M2707" i="2"/>
  <c r="M2701" i="2"/>
  <c r="M2695" i="2"/>
  <c r="M2689" i="2"/>
  <c r="M2683" i="2"/>
  <c r="L2676" i="2"/>
  <c r="L2670" i="2"/>
  <c r="L2664" i="2"/>
  <c r="L2658" i="2"/>
  <c r="L2652" i="2"/>
  <c r="L2646" i="2"/>
  <c r="L2640" i="2"/>
  <c r="L2634" i="2"/>
  <c r="L2628" i="2"/>
  <c r="L2622" i="2"/>
  <c r="L2616" i="2"/>
  <c r="L2610" i="2"/>
  <c r="L2604" i="2"/>
  <c r="L2598" i="2"/>
  <c r="L2592" i="2"/>
  <c r="L2586" i="2"/>
  <c r="L2580" i="2"/>
  <c r="P2580" i="2" s="1"/>
  <c r="Q2504" i="2"/>
  <c r="M2497" i="2"/>
  <c r="M2485" i="2"/>
  <c r="Q2480" i="2"/>
  <c r="Q2477" i="2"/>
  <c r="M2461" i="2"/>
  <c r="Q2461" i="2"/>
  <c r="Q2667" i="2"/>
  <c r="Q2661" i="2"/>
  <c r="Q2655" i="2"/>
  <c r="Q2649" i="2"/>
  <c r="Q2643" i="2"/>
  <c r="Q2637" i="2"/>
  <c r="Q2631" i="2"/>
  <c r="Q2625" i="2"/>
  <c r="Q2619" i="2"/>
  <c r="Q2613" i="2"/>
  <c r="Q2607" i="2"/>
  <c r="Q2601" i="2"/>
  <c r="Q2595" i="2"/>
  <c r="Q2589" i="2"/>
  <c r="Q2583" i="2"/>
  <c r="Q2577" i="2"/>
  <c r="Q2501" i="2"/>
  <c r="L2459" i="2"/>
  <c r="M2459" i="2"/>
  <c r="Q2459" i="2"/>
  <c r="L2424" i="2"/>
  <c r="M2424" i="2"/>
  <c r="Q2424" i="2"/>
  <c r="L2477" i="2"/>
  <c r="M2477" i="2"/>
  <c r="L2449" i="2"/>
  <c r="M2449" i="2"/>
  <c r="Q2449" i="2"/>
  <c r="Q2508" i="2"/>
  <c r="L2501" i="2"/>
  <c r="M2501" i="2"/>
  <c r="L2480" i="2"/>
  <c r="L2436" i="2"/>
  <c r="M2436" i="2"/>
  <c r="Q2436" i="2"/>
  <c r="L2678" i="2"/>
  <c r="L2672" i="2"/>
  <c r="L2666" i="2"/>
  <c r="L2660" i="2"/>
  <c r="L2654" i="2"/>
  <c r="L2648" i="2"/>
  <c r="L2642" i="2"/>
  <c r="L2636" i="2"/>
  <c r="L2630" i="2"/>
  <c r="L2624" i="2"/>
  <c r="L2618" i="2"/>
  <c r="L2612" i="2"/>
  <c r="L2606" i="2"/>
  <c r="L2600" i="2"/>
  <c r="L2594" i="2"/>
  <c r="L2588" i="2"/>
  <c r="L2582" i="2"/>
  <c r="Q2502" i="2"/>
  <c r="L2489" i="2"/>
  <c r="M2489" i="2"/>
  <c r="L2472" i="2"/>
  <c r="M2472" i="2"/>
  <c r="Q2472" i="2"/>
  <c r="L2492" i="2"/>
  <c r="Q2490" i="2"/>
  <c r="Q2484" i="2"/>
  <c r="M2288" i="2"/>
  <c r="Q2288" i="2"/>
  <c r="M2276" i="2"/>
  <c r="Q2276" i="2"/>
  <c r="M2264" i="2"/>
  <c r="Q2264" i="2"/>
  <c r="M2252" i="2"/>
  <c r="Q2252" i="2"/>
  <c r="M2194" i="2"/>
  <c r="M2476" i="2"/>
  <c r="Q2468" i="2"/>
  <c r="M2464" i="2"/>
  <c r="Q2456" i="2"/>
  <c r="M2452" i="2"/>
  <c r="Q2444" i="2"/>
  <c r="M2440" i="2"/>
  <c r="Q2432" i="2"/>
  <c r="M2428" i="2"/>
  <c r="Q2420" i="2"/>
  <c r="M2416" i="2"/>
  <c r="Q2408" i="2"/>
  <c r="M2404" i="2"/>
  <c r="Q2396" i="2"/>
  <c r="L2392" i="2"/>
  <c r="L2386" i="2"/>
  <c r="L2380" i="2"/>
  <c r="L2374" i="2"/>
  <c r="L2368" i="2"/>
  <c r="L2362" i="2"/>
  <c r="Q2341" i="2"/>
  <c r="Q2338" i="2"/>
  <c r="Q2335" i="2"/>
  <c r="Q2332" i="2"/>
  <c r="Q2329" i="2"/>
  <c r="Q2326" i="2"/>
  <c r="Q2323" i="2"/>
  <c r="Q2320" i="2"/>
  <c r="Q2317" i="2"/>
  <c r="Q2314" i="2"/>
  <c r="Q2311" i="2"/>
  <c r="Q2308" i="2"/>
  <c r="Q2305" i="2"/>
  <c r="Q2302" i="2"/>
  <c r="Q2299" i="2"/>
  <c r="Q2296" i="2"/>
  <c r="Q2293" i="2"/>
  <c r="M2281" i="2"/>
  <c r="Q2281" i="2"/>
  <c r="M2269" i="2"/>
  <c r="Q2269" i="2"/>
  <c r="M2257" i="2"/>
  <c r="Q2257" i="2"/>
  <c r="M2245" i="2"/>
  <c r="Q2245" i="2"/>
  <c r="Q2198" i="2"/>
  <c r="L2194" i="2"/>
  <c r="Q2469" i="2"/>
  <c r="M2465" i="2"/>
  <c r="Q2457" i="2"/>
  <c r="M2453" i="2"/>
  <c r="L2452" i="2"/>
  <c r="Q2445" i="2"/>
  <c r="M2441" i="2"/>
  <c r="L2440" i="2"/>
  <c r="M2429" i="2"/>
  <c r="L2428" i="2"/>
  <c r="M2417" i="2"/>
  <c r="L2416" i="2"/>
  <c r="M2405" i="2"/>
  <c r="L2404" i="2"/>
  <c r="M2393" i="2"/>
  <c r="M2387" i="2"/>
  <c r="M2381" i="2"/>
  <c r="M2375" i="2"/>
  <c r="M2369" i="2"/>
  <c r="M2363" i="2"/>
  <c r="M2358" i="2"/>
  <c r="Q2357" i="2"/>
  <c r="M2354" i="2"/>
  <c r="Q2353" i="2"/>
  <c r="M2350" i="2"/>
  <c r="Q2349" i="2"/>
  <c r="M2346" i="2"/>
  <c r="Q2345" i="2"/>
  <c r="M2342" i="2"/>
  <c r="M2339" i="2"/>
  <c r="M2336" i="2"/>
  <c r="M2333" i="2"/>
  <c r="M2330" i="2"/>
  <c r="M2327" i="2"/>
  <c r="P2327" i="2" s="1"/>
  <c r="M2324" i="2"/>
  <c r="M2321" i="2"/>
  <c r="M2318" i="2"/>
  <c r="M2315" i="2"/>
  <c r="M2312" i="2"/>
  <c r="M2309" i="2"/>
  <c r="P2309" i="2" s="1"/>
  <c r="M2306" i="2"/>
  <c r="M2303" i="2"/>
  <c r="M2300" i="2"/>
  <c r="M2297" i="2"/>
  <c r="M2294" i="2"/>
  <c r="M2286" i="2"/>
  <c r="Q2286" i="2"/>
  <c r="M2274" i="2"/>
  <c r="Q2274" i="2"/>
  <c r="M2262" i="2"/>
  <c r="Q2262" i="2"/>
  <c r="M2250" i="2"/>
  <c r="Q2250" i="2"/>
  <c r="L2243" i="2"/>
  <c r="M2243" i="2"/>
  <c r="Q2243" i="2"/>
  <c r="L2241" i="2"/>
  <c r="M2241" i="2"/>
  <c r="Q2241" i="2"/>
  <c r="L2239" i="2"/>
  <c r="M2239" i="2"/>
  <c r="Q2239" i="2"/>
  <c r="L2237" i="2"/>
  <c r="M2237" i="2"/>
  <c r="Q2237" i="2"/>
  <c r="L2235" i="2"/>
  <c r="M2235" i="2"/>
  <c r="Q2235" i="2"/>
  <c r="L2233" i="2"/>
  <c r="M2233" i="2"/>
  <c r="Q2233" i="2"/>
  <c r="L2231" i="2"/>
  <c r="M2231" i="2"/>
  <c r="Q2231" i="2"/>
  <c r="L2229" i="2"/>
  <c r="M2229" i="2"/>
  <c r="Q2229" i="2"/>
  <c r="L2227" i="2"/>
  <c r="M2227" i="2"/>
  <c r="Q2227" i="2"/>
  <c r="L2225" i="2"/>
  <c r="M2225" i="2"/>
  <c r="Q2225" i="2"/>
  <c r="L2223" i="2"/>
  <c r="M2223" i="2"/>
  <c r="Q2223" i="2"/>
  <c r="L2221" i="2"/>
  <c r="M2221" i="2"/>
  <c r="Q2221" i="2"/>
  <c r="L2219" i="2"/>
  <c r="M2219" i="2"/>
  <c r="Q2219" i="2"/>
  <c r="L2217" i="2"/>
  <c r="M2217" i="2"/>
  <c r="Q2217" i="2"/>
  <c r="M2490" i="2"/>
  <c r="M2478" i="2"/>
  <c r="Q2470" i="2"/>
  <c r="M2466" i="2"/>
  <c r="L2465" i="2"/>
  <c r="Q2458" i="2"/>
  <c r="M2454" i="2"/>
  <c r="L2453" i="2"/>
  <c r="Q2446" i="2"/>
  <c r="M2442" i="2"/>
  <c r="L2441" i="2"/>
  <c r="Q2434" i="2"/>
  <c r="M2430" i="2"/>
  <c r="L2429" i="2"/>
  <c r="Q2422" i="2"/>
  <c r="M2418" i="2"/>
  <c r="L2417" i="2"/>
  <c r="Q2410" i="2"/>
  <c r="M2406" i="2"/>
  <c r="L2405" i="2"/>
  <c r="Q2398" i="2"/>
  <c r="M2394" i="2"/>
  <c r="L2393" i="2"/>
  <c r="L2387" i="2"/>
  <c r="L2381" i="2"/>
  <c r="L2375" i="2"/>
  <c r="L2369" i="2"/>
  <c r="L2363" i="2"/>
  <c r="M2291" i="2"/>
  <c r="Q2291" i="2"/>
  <c r="M2279" i="2"/>
  <c r="Q2279" i="2"/>
  <c r="M2267" i="2"/>
  <c r="Q2267" i="2"/>
  <c r="M2255" i="2"/>
  <c r="Q2255" i="2"/>
  <c r="Q2447" i="2"/>
  <c r="Q2435" i="2"/>
  <c r="Q2423" i="2"/>
  <c r="Q2411" i="2"/>
  <c r="Q2399" i="2"/>
  <c r="M2284" i="2"/>
  <c r="Q2284" i="2"/>
  <c r="M2272" i="2"/>
  <c r="Q2272" i="2"/>
  <c r="M2260" i="2"/>
  <c r="Q2260" i="2"/>
  <c r="M2248" i="2"/>
  <c r="Q2248" i="2"/>
  <c r="L2205" i="2"/>
  <c r="M2205" i="2"/>
  <c r="Q2205" i="2"/>
  <c r="M2468" i="2"/>
  <c r="Q2358" i="2"/>
  <c r="Q2354" i="2"/>
  <c r="Q2350" i="2"/>
  <c r="Q2346" i="2"/>
  <c r="Q2342" i="2"/>
  <c r="Q2339" i="2"/>
  <c r="Q2336" i="2"/>
  <c r="Q2333" i="2"/>
  <c r="Q2330" i="2"/>
  <c r="Q2327" i="2"/>
  <c r="Q2324" i="2"/>
  <c r="Q2321" i="2"/>
  <c r="Q2318" i="2"/>
  <c r="Q2315" i="2"/>
  <c r="Q2312" i="2"/>
  <c r="Q2309" i="2"/>
  <c r="Q2306" i="2"/>
  <c r="Q2303" i="2"/>
  <c r="Q2300" i="2"/>
  <c r="Q2297" i="2"/>
  <c r="Q2294" i="2"/>
  <c r="M2289" i="2"/>
  <c r="Q2289" i="2"/>
  <c r="M2277" i="2"/>
  <c r="Q2277" i="2"/>
  <c r="M2265" i="2"/>
  <c r="Q2265" i="2"/>
  <c r="M2253" i="2"/>
  <c r="Q2253" i="2"/>
  <c r="M2282" i="2"/>
  <c r="Q2282" i="2"/>
  <c r="M2270" i="2"/>
  <c r="Q2270" i="2"/>
  <c r="M2258" i="2"/>
  <c r="Q2258" i="2"/>
  <c r="M2246" i="2"/>
  <c r="Q2246" i="2"/>
  <c r="Q2474" i="2"/>
  <c r="Q2462" i="2"/>
  <c r="Q2450" i="2"/>
  <c r="Q2438" i="2"/>
  <c r="Q2426" i="2"/>
  <c r="Q2414" i="2"/>
  <c r="Q2402" i="2"/>
  <c r="L2389" i="2"/>
  <c r="L2383" i="2"/>
  <c r="L2377" i="2"/>
  <c r="L2371" i="2"/>
  <c r="P2371" i="2" s="1"/>
  <c r="L2365" i="2"/>
  <c r="M2287" i="2"/>
  <c r="Q2287" i="2"/>
  <c r="M2275" i="2"/>
  <c r="Q2275" i="2"/>
  <c r="M2263" i="2"/>
  <c r="Q2263" i="2"/>
  <c r="M2251" i="2"/>
  <c r="Q2251" i="2"/>
  <c r="L2193" i="2"/>
  <c r="M2193" i="2"/>
  <c r="Q2193" i="2"/>
  <c r="M2447" i="2"/>
  <c r="M2435" i="2"/>
  <c r="M2423" i="2"/>
  <c r="M2411" i="2"/>
  <c r="M2399" i="2"/>
  <c r="M2390" i="2"/>
  <c r="M2384" i="2"/>
  <c r="M2378" i="2"/>
  <c r="M2372" i="2"/>
  <c r="M2366" i="2"/>
  <c r="M2360" i="2"/>
  <c r="Q2359" i="2"/>
  <c r="M2356" i="2"/>
  <c r="Q2355" i="2"/>
  <c r="M2352" i="2"/>
  <c r="Q2351" i="2"/>
  <c r="M2348" i="2"/>
  <c r="Q2347" i="2"/>
  <c r="M2344" i="2"/>
  <c r="Q2343" i="2"/>
  <c r="M2292" i="2"/>
  <c r="Q2292" i="2"/>
  <c r="M2280" i="2"/>
  <c r="Q2280" i="2"/>
  <c r="M2268" i="2"/>
  <c r="Q2268" i="2"/>
  <c r="M2256" i="2"/>
  <c r="Q2256" i="2"/>
  <c r="M2244" i="2"/>
  <c r="Q2244" i="2"/>
  <c r="L2242" i="2"/>
  <c r="M2242" i="2"/>
  <c r="Q2242" i="2"/>
  <c r="L2240" i="2"/>
  <c r="M2240" i="2"/>
  <c r="Q2240" i="2"/>
  <c r="L2238" i="2"/>
  <c r="M2238" i="2"/>
  <c r="Q2238" i="2"/>
  <c r="L2236" i="2"/>
  <c r="M2236" i="2"/>
  <c r="Q2236" i="2"/>
  <c r="L2234" i="2"/>
  <c r="M2234" i="2"/>
  <c r="Q2234" i="2"/>
  <c r="L2232" i="2"/>
  <c r="M2232" i="2"/>
  <c r="Q2232" i="2"/>
  <c r="L2230" i="2"/>
  <c r="M2230" i="2"/>
  <c r="Q2230" i="2"/>
  <c r="L2228" i="2"/>
  <c r="M2228" i="2"/>
  <c r="Q2228" i="2"/>
  <c r="L2226" i="2"/>
  <c r="M2226" i="2"/>
  <c r="Q2226" i="2"/>
  <c r="L2224" i="2"/>
  <c r="M2224" i="2"/>
  <c r="Q2224" i="2"/>
  <c r="L2222" i="2"/>
  <c r="M2222" i="2"/>
  <c r="Q2222" i="2"/>
  <c r="L2220" i="2"/>
  <c r="M2220" i="2"/>
  <c r="Q2220" i="2"/>
  <c r="L2218" i="2"/>
  <c r="M2218" i="2"/>
  <c r="Q2218" i="2"/>
  <c r="L2390" i="2"/>
  <c r="L2384" i="2"/>
  <c r="L2378" i="2"/>
  <c r="L2372" i="2"/>
  <c r="L2366" i="2"/>
  <c r="L2360" i="2"/>
  <c r="Q2340" i="2"/>
  <c r="Q2337" i="2"/>
  <c r="Q2334" i="2"/>
  <c r="Q2331" i="2"/>
  <c r="Q2328" i="2"/>
  <c r="Q2325" i="2"/>
  <c r="Q2322" i="2"/>
  <c r="Q2319" i="2"/>
  <c r="Q2316" i="2"/>
  <c r="Q2313" i="2"/>
  <c r="Q2310" i="2"/>
  <c r="Q2307" i="2"/>
  <c r="Q2304" i="2"/>
  <c r="Q2301" i="2"/>
  <c r="Q2298" i="2"/>
  <c r="Q2295" i="2"/>
  <c r="M2285" i="2"/>
  <c r="Q2285" i="2"/>
  <c r="M2273" i="2"/>
  <c r="Q2273" i="2"/>
  <c r="M2261" i="2"/>
  <c r="Q2261" i="2"/>
  <c r="M2249" i="2"/>
  <c r="Q2249" i="2"/>
  <c r="M2206" i="2"/>
  <c r="M2290" i="2"/>
  <c r="P2290" i="2" s="1"/>
  <c r="Q2290" i="2"/>
  <c r="L2288" i="2"/>
  <c r="M2278" i="2"/>
  <c r="Q2278" i="2"/>
  <c r="L2276" i="2"/>
  <c r="M2266" i="2"/>
  <c r="Q2266" i="2"/>
  <c r="L2264" i="2"/>
  <c r="M2254" i="2"/>
  <c r="Q2254" i="2"/>
  <c r="L2252" i="2"/>
  <c r="Q2210" i="2"/>
  <c r="L2206" i="2"/>
  <c r="Q2356" i="2"/>
  <c r="Q2352" i="2"/>
  <c r="Q2348" i="2"/>
  <c r="Q2344" i="2"/>
  <c r="M2283" i="2"/>
  <c r="Q2283" i="2"/>
  <c r="M2271" i="2"/>
  <c r="Q2271" i="2"/>
  <c r="M2259" i="2"/>
  <c r="Q2259" i="2"/>
  <c r="M2247" i="2"/>
  <c r="Q2247" i="2"/>
  <c r="M2080" i="2"/>
  <c r="L2080" i="2"/>
  <c r="M2076" i="2"/>
  <c r="M2072" i="2"/>
  <c r="L2072" i="2"/>
  <c r="M2039" i="2"/>
  <c r="Q2039" i="2"/>
  <c r="M2027" i="2"/>
  <c r="Q2027" i="2"/>
  <c r="Q2025" i="2"/>
  <c r="M2000" i="2"/>
  <c r="L2000" i="2"/>
  <c r="Q1998" i="2"/>
  <c r="Q1921" i="2"/>
  <c r="Q1918" i="2"/>
  <c r="Q1915" i="2"/>
  <c r="Q1912" i="2"/>
  <c r="M2085" i="2"/>
  <c r="L2085" i="2"/>
  <c r="Q2077" i="2"/>
  <c r="M2065" i="2"/>
  <c r="L2065" i="2"/>
  <c r="Q2047" i="2"/>
  <c r="L2043" i="2"/>
  <c r="Q2043" i="2"/>
  <c r="M2043" i="2"/>
  <c r="Q2035" i="2"/>
  <c r="L2031" i="2"/>
  <c r="Q2031" i="2"/>
  <c r="M2031" i="2"/>
  <c r="Q2022" i="2"/>
  <c r="Q1927" i="2"/>
  <c r="Q2214" i="2"/>
  <c r="M2210" i="2"/>
  <c r="Q2202" i="2"/>
  <c r="M2198" i="2"/>
  <c r="Q2190" i="2"/>
  <c r="M2186" i="2"/>
  <c r="Q2178" i="2"/>
  <c r="M2174" i="2"/>
  <c r="Q2166" i="2"/>
  <c r="Q2154" i="2"/>
  <c r="Q2082" i="2"/>
  <c r="Q2019" i="2"/>
  <c r="Q1930" i="2"/>
  <c r="Q1844" i="2"/>
  <c r="L1835" i="2"/>
  <c r="M1835" i="2"/>
  <c r="Q2215" i="2"/>
  <c r="M2211" i="2"/>
  <c r="Q2203" i="2"/>
  <c r="M2199" i="2"/>
  <c r="Q2191" i="2"/>
  <c r="M2187" i="2"/>
  <c r="Q2179" i="2"/>
  <c r="M2175" i="2"/>
  <c r="Q2167" i="2"/>
  <c r="M2163" i="2"/>
  <c r="Q2155" i="2"/>
  <c r="L2151" i="2"/>
  <c r="Q2147" i="2"/>
  <c r="L2145" i="2"/>
  <c r="Q2141" i="2"/>
  <c r="L2139" i="2"/>
  <c r="Q2135" i="2"/>
  <c r="Q2129" i="2"/>
  <c r="Q2123" i="2"/>
  <c r="Q2117" i="2"/>
  <c r="Q2111" i="2"/>
  <c r="M2109" i="2"/>
  <c r="L2109" i="2"/>
  <c r="Q2104" i="2"/>
  <c r="M2081" i="2"/>
  <c r="L2081" i="2"/>
  <c r="M2077" i="2"/>
  <c r="L2077" i="2"/>
  <c r="Q2074" i="2"/>
  <c r="M2058" i="2"/>
  <c r="Q2055" i="2"/>
  <c r="Q2048" i="2"/>
  <c r="L2006" i="2"/>
  <c r="Q2006" i="2"/>
  <c r="Q1933" i="2"/>
  <c r="Q2216" i="2"/>
  <c r="M2212" i="2"/>
  <c r="Q2204" i="2"/>
  <c r="M2200" i="2"/>
  <c r="Q2192" i="2"/>
  <c r="M2188" i="2"/>
  <c r="Q2180" i="2"/>
  <c r="M2176" i="2"/>
  <c r="Q2168" i="2"/>
  <c r="M2164" i="2"/>
  <c r="Q2156" i="2"/>
  <c r="M2152" i="2"/>
  <c r="Q2105" i="2"/>
  <c r="M2103" i="2"/>
  <c r="L2103" i="2"/>
  <c r="M2091" i="2"/>
  <c r="L2091" i="2"/>
  <c r="M2086" i="2"/>
  <c r="M2062" i="2"/>
  <c r="L2062" i="2"/>
  <c r="Q2059" i="2"/>
  <c r="Q2052" i="2"/>
  <c r="L2044" i="2"/>
  <c r="M2044" i="2"/>
  <c r="L2040" i="2"/>
  <c r="L2032" i="2"/>
  <c r="M2032" i="2"/>
  <c r="L2028" i="2"/>
  <c r="Q2026" i="2"/>
  <c r="M1988" i="2"/>
  <c r="L1988" i="2"/>
  <c r="Q1936" i="2"/>
  <c r="Q2181" i="2"/>
  <c r="Q2169" i="2"/>
  <c r="Q2148" i="2"/>
  <c r="L2146" i="2"/>
  <c r="Q2142" i="2"/>
  <c r="L2140" i="2"/>
  <c r="Q2136" i="2"/>
  <c r="L2134" i="2"/>
  <c r="Q2130" i="2"/>
  <c r="L2128" i="2"/>
  <c r="Q2124" i="2"/>
  <c r="L2122" i="2"/>
  <c r="Q2118" i="2"/>
  <c r="L2116" i="2"/>
  <c r="Q2112" i="2"/>
  <c r="Q2099" i="2"/>
  <c r="M2097" i="2"/>
  <c r="L2097" i="2"/>
  <c r="Q2088" i="2"/>
  <c r="L2082" i="2"/>
  <c r="M2070" i="2"/>
  <c r="Q2067" i="2"/>
  <c r="M2066" i="2"/>
  <c r="L2066" i="2"/>
  <c r="L2036" i="2"/>
  <c r="Q2036" i="2"/>
  <c r="Q2023" i="2"/>
  <c r="Q1939" i="2"/>
  <c r="M2214" i="2"/>
  <c r="Q2206" i="2"/>
  <c r="Q2194" i="2"/>
  <c r="Q2182" i="2"/>
  <c r="Q2170" i="2"/>
  <c r="Q2158" i="2"/>
  <c r="Q2106" i="2"/>
  <c r="Q2079" i="2"/>
  <c r="M2074" i="2"/>
  <c r="L2074" i="2"/>
  <c r="Q2071" i="2"/>
  <c r="M2059" i="2"/>
  <c r="L2059" i="2"/>
  <c r="M2055" i="2"/>
  <c r="L2055" i="2"/>
  <c r="L2048" i="2"/>
  <c r="M2041" i="2"/>
  <c r="Q2041" i="2"/>
  <c r="Q2038" i="2"/>
  <c r="M2029" i="2"/>
  <c r="Q2029" i="2"/>
  <c r="M1991" i="2"/>
  <c r="L1991" i="2"/>
  <c r="Q1989" i="2"/>
  <c r="Q1942" i="2"/>
  <c r="M2215" i="2"/>
  <c r="Q2207" i="2"/>
  <c r="M2203" i="2"/>
  <c r="Q2195" i="2"/>
  <c r="M2191" i="2"/>
  <c r="Q2183" i="2"/>
  <c r="M2179" i="2"/>
  <c r="Q2171" i="2"/>
  <c r="M2167" i="2"/>
  <c r="Q2159" i="2"/>
  <c r="M2155" i="2"/>
  <c r="Q2149" i="2"/>
  <c r="L2147" i="2"/>
  <c r="P2147" i="2" s="1"/>
  <c r="Q2143" i="2"/>
  <c r="L2141" i="2"/>
  <c r="Q2137" i="2"/>
  <c r="L2135" i="2"/>
  <c r="Q2131" i="2"/>
  <c r="L2129" i="2"/>
  <c r="Q2125" i="2"/>
  <c r="L2123" i="2"/>
  <c r="Q2119" i="2"/>
  <c r="L2117" i="2"/>
  <c r="Q2113" i="2"/>
  <c r="L2111" i="2"/>
  <c r="M2104" i="2"/>
  <c r="M2092" i="2"/>
  <c r="M2087" i="2"/>
  <c r="P2087" i="2" s="1"/>
  <c r="Q2087" i="2"/>
  <c r="Q2084" i="2"/>
  <c r="M2078" i="2"/>
  <c r="L2078" i="2"/>
  <c r="Q2064" i="2"/>
  <c r="Q2060" i="2"/>
  <c r="Q2049" i="2"/>
  <c r="Q2014" i="2"/>
  <c r="M2216" i="2"/>
  <c r="Q2208" i="2"/>
  <c r="M2204" i="2"/>
  <c r="Q2196" i="2"/>
  <c r="M2192" i="2"/>
  <c r="Q2184" i="2"/>
  <c r="M2180" i="2"/>
  <c r="P2180" i="2" s="1"/>
  <c r="Q2172" i="2"/>
  <c r="M2168" i="2"/>
  <c r="Q2160" i="2"/>
  <c r="M2156" i="2"/>
  <c r="L2105" i="2"/>
  <c r="M2098" i="2"/>
  <c r="M2083" i="2"/>
  <c r="L2083" i="2"/>
  <c r="M2071" i="2"/>
  <c r="L2071" i="2"/>
  <c r="L2067" i="2"/>
  <c r="Q2053" i="2"/>
  <c r="M2038" i="2"/>
  <c r="Q2011" i="2"/>
  <c r="M1994" i="2"/>
  <c r="L1994" i="2"/>
  <c r="Q1992" i="2"/>
  <c r="M2181" i="2"/>
  <c r="M2169" i="2"/>
  <c r="L2148" i="2"/>
  <c r="L2142" i="2"/>
  <c r="L2136" i="2"/>
  <c r="L2130" i="2"/>
  <c r="L2124" i="2"/>
  <c r="L2118" i="2"/>
  <c r="L2112" i="2"/>
  <c r="Q2107" i="2"/>
  <c r="L2106" i="2"/>
  <c r="L2099" i="2"/>
  <c r="Q2085" i="2"/>
  <c r="L2079" i="2"/>
  <c r="P2079" i="2" s="1"/>
  <c r="Q2076" i="2"/>
  <c r="Q2072" i="2"/>
  <c r="M2056" i="2"/>
  <c r="L2056" i="2"/>
  <c r="L2002" i="2"/>
  <c r="Q2002" i="2"/>
  <c r="M2002" i="2"/>
  <c r="M1903" i="2"/>
  <c r="L1903" i="2"/>
  <c r="Q2186" i="2"/>
  <c r="Q2174" i="2"/>
  <c r="Q2162" i="2"/>
  <c r="M2158" i="2"/>
  <c r="Q2102" i="2"/>
  <c r="Q2101" i="2"/>
  <c r="M2093" i="2"/>
  <c r="Q2093" i="2"/>
  <c r="Q2090" i="2"/>
  <c r="M2064" i="2"/>
  <c r="M2060" i="2"/>
  <c r="L2060" i="2"/>
  <c r="Q2050" i="2"/>
  <c r="L2027" i="2"/>
  <c r="Q2018" i="2"/>
  <c r="L2005" i="2"/>
  <c r="Q2005" i="2"/>
  <c r="M2005" i="2"/>
  <c r="M1997" i="2"/>
  <c r="L1997" i="2"/>
  <c r="Q1995" i="2"/>
  <c r="M1908" i="2"/>
  <c r="L1908" i="2"/>
  <c r="L2149" i="2"/>
  <c r="L2143" i="2"/>
  <c r="L2137" i="2"/>
  <c r="L2131" i="2"/>
  <c r="L2125" i="2"/>
  <c r="L2119" i="2"/>
  <c r="L2113" i="2"/>
  <c r="L2107" i="2"/>
  <c r="L2094" i="2"/>
  <c r="M2089" i="2"/>
  <c r="L2089" i="2"/>
  <c r="L2076" i="2"/>
  <c r="M2068" i="2"/>
  <c r="L2068" i="2"/>
  <c r="Q2065" i="2"/>
  <c r="Q2015" i="2"/>
  <c r="Q1979" i="2"/>
  <c r="M1979" i="2"/>
  <c r="L1979" i="2"/>
  <c r="L2075" i="2"/>
  <c r="L2069" i="2"/>
  <c r="L2063" i="2"/>
  <c r="L2057" i="2"/>
  <c r="M2050" i="2"/>
  <c r="L2041" i="2"/>
  <c r="L2029" i="2"/>
  <c r="L2009" i="2"/>
  <c r="Q1978" i="2"/>
  <c r="Q1976" i="2"/>
  <c r="Q1971" i="2"/>
  <c r="Q1965" i="2"/>
  <c r="Q1959" i="2"/>
  <c r="Q1953" i="2"/>
  <c r="L1944" i="2"/>
  <c r="M1944" i="2"/>
  <c r="L1941" i="2"/>
  <c r="M1941" i="2"/>
  <c r="L1938" i="2"/>
  <c r="M1938" i="2"/>
  <c r="L1935" i="2"/>
  <c r="M1935" i="2"/>
  <c r="L1932" i="2"/>
  <c r="M1932" i="2"/>
  <c r="L1929" i="2"/>
  <c r="M1929" i="2"/>
  <c r="L1926" i="2"/>
  <c r="M1926" i="2"/>
  <c r="M1885" i="2"/>
  <c r="Q1874" i="2"/>
  <c r="L1874" i="2"/>
  <c r="Q1868" i="2"/>
  <c r="L1868" i="2"/>
  <c r="L1862" i="2"/>
  <c r="M1862" i="2"/>
  <c r="Q1862" i="2"/>
  <c r="Q1832" i="2"/>
  <c r="L2004" i="2"/>
  <c r="Q2004" i="2"/>
  <c r="M1976" i="2"/>
  <c r="M1970" i="2"/>
  <c r="M1964" i="2"/>
  <c r="M1958" i="2"/>
  <c r="M1952" i="2"/>
  <c r="Q1838" i="2"/>
  <c r="Q1835" i="2"/>
  <c r="M1827" i="2"/>
  <c r="Q1827" i="2"/>
  <c r="L1827" i="2"/>
  <c r="Q1777" i="2"/>
  <c r="Q1796" i="2"/>
  <c r="M1971" i="2"/>
  <c r="M1965" i="2"/>
  <c r="M1959" i="2"/>
  <c r="M1953" i="2"/>
  <c r="L1891" i="2"/>
  <c r="Q1880" i="2"/>
  <c r="L1880" i="2"/>
  <c r="Q1856" i="2"/>
  <c r="L1856" i="2"/>
  <c r="M1856" i="2"/>
  <c r="L1841" i="2"/>
  <c r="M1841" i="2"/>
  <c r="M2052" i="2"/>
  <c r="L2045" i="2"/>
  <c r="L2033" i="2"/>
  <c r="M2010" i="2"/>
  <c r="Q2010" i="2"/>
  <c r="Q1977" i="2"/>
  <c r="Q1973" i="2"/>
  <c r="Q1967" i="2"/>
  <c r="Q1961" i="2"/>
  <c r="Q1955" i="2"/>
  <c r="Q1949" i="2"/>
  <c r="L1945" i="2"/>
  <c r="M1945" i="2"/>
  <c r="Q1945" i="2"/>
  <c r="L1942" i="2"/>
  <c r="M1942" i="2"/>
  <c r="L1939" i="2"/>
  <c r="M1939" i="2"/>
  <c r="L1936" i="2"/>
  <c r="M1936" i="2"/>
  <c r="L1933" i="2"/>
  <c r="M1933" i="2"/>
  <c r="L1930" i="2"/>
  <c r="M1930" i="2"/>
  <c r="L1927" i="2"/>
  <c r="M1927" i="2"/>
  <c r="M1909" i="2"/>
  <c r="L1897" i="2"/>
  <c r="M1897" i="2"/>
  <c r="Q1875" i="2"/>
  <c r="Q1869" i="2"/>
  <c r="Q1863" i="2"/>
  <c r="M1830" i="2"/>
  <c r="Q1830" i="2"/>
  <c r="L1830" i="2"/>
  <c r="Q1892" i="2"/>
  <c r="L1799" i="2"/>
  <c r="M1799" i="2"/>
  <c r="L1771" i="2"/>
  <c r="M1771" i="2"/>
  <c r="M2053" i="2"/>
  <c r="L2047" i="2"/>
  <c r="L2035" i="2"/>
  <c r="Q1999" i="2"/>
  <c r="Q1996" i="2"/>
  <c r="Q1993" i="2"/>
  <c r="Q1990" i="2"/>
  <c r="Q1987" i="2"/>
  <c r="Q1980" i="2"/>
  <c r="Q1974" i="2"/>
  <c r="Q1968" i="2"/>
  <c r="Q1962" i="2"/>
  <c r="Q1956" i="2"/>
  <c r="Q1950" i="2"/>
  <c r="Q1922" i="2"/>
  <c r="Q1919" i="2"/>
  <c r="Q1916" i="2"/>
  <c r="Q1913" i="2"/>
  <c r="L1909" i="2"/>
  <c r="L1904" i="2"/>
  <c r="L1886" i="2"/>
  <c r="Q1886" i="2"/>
  <c r="M1875" i="2"/>
  <c r="L1875" i="2"/>
  <c r="M1869" i="2"/>
  <c r="L1869" i="2"/>
  <c r="M1863" i="2"/>
  <c r="L1863" i="2"/>
  <c r="Q1828" i="2"/>
  <c r="L1828" i="2"/>
  <c r="Q1780" i="2"/>
  <c r="M1980" i="2"/>
  <c r="M2054" i="2"/>
  <c r="L2037" i="2"/>
  <c r="M1983" i="2"/>
  <c r="M1977" i="2"/>
  <c r="L1943" i="2"/>
  <c r="M1943" i="2"/>
  <c r="L1940" i="2"/>
  <c r="M1940" i="2"/>
  <c r="L1937" i="2"/>
  <c r="M1937" i="2"/>
  <c r="L1934" i="2"/>
  <c r="M1934" i="2"/>
  <c r="L1931" i="2"/>
  <c r="M1931" i="2"/>
  <c r="L1928" i="2"/>
  <c r="M1928" i="2"/>
  <c r="L1907" i="2"/>
  <c r="M1907" i="2"/>
  <c r="Q1879" i="2"/>
  <c r="L1879" i="2"/>
  <c r="L1859" i="2"/>
  <c r="M1859" i="2"/>
  <c r="L1831" i="2"/>
  <c r="Q1774" i="2"/>
  <c r="Q1899" i="2"/>
  <c r="M1879" i="2"/>
  <c r="Q1800" i="2"/>
  <c r="M2049" i="2"/>
  <c r="Q2045" i="2"/>
  <c r="L2039" i="2"/>
  <c r="Q2033" i="2"/>
  <c r="Q2000" i="2"/>
  <c r="Q1997" i="2"/>
  <c r="Q1994" i="2"/>
  <c r="Q1991" i="2"/>
  <c r="Q1988" i="2"/>
  <c r="Q1970" i="2"/>
  <c r="Q1964" i="2"/>
  <c r="Q1958" i="2"/>
  <c r="Q1952" i="2"/>
  <c r="Q1923" i="2"/>
  <c r="Q1920" i="2"/>
  <c r="Q1917" i="2"/>
  <c r="Q1914" i="2"/>
  <c r="Q1911" i="2"/>
  <c r="M1896" i="2"/>
  <c r="L1795" i="2"/>
  <c r="M1795" i="2"/>
  <c r="L2003" i="2"/>
  <c r="Q2003" i="2"/>
  <c r="Q1908" i="2"/>
  <c r="Q1885" i="2"/>
  <c r="L1885" i="2"/>
  <c r="Q1986" i="2"/>
  <c r="M1978" i="2"/>
  <c r="Q1906" i="2"/>
  <c r="Q1891" i="2"/>
  <c r="Q1771" i="2"/>
  <c r="Q1766" i="2"/>
  <c r="Q1708" i="2"/>
  <c r="L1704" i="2"/>
  <c r="M1704" i="2"/>
  <c r="Q1696" i="2"/>
  <c r="L1692" i="2"/>
  <c r="M1692" i="2"/>
  <c r="Q1907" i="2"/>
  <c r="Q1897" i="2"/>
  <c r="Q1881" i="2"/>
  <c r="Q1792" i="2"/>
  <c r="M1655" i="2"/>
  <c r="L1655" i="2"/>
  <c r="M1649" i="2"/>
  <c r="L1649" i="2"/>
  <c r="M1643" i="2"/>
  <c r="L1643" i="2"/>
  <c r="M1637" i="2"/>
  <c r="L1637" i="2"/>
  <c r="M1631" i="2"/>
  <c r="L1631" i="2"/>
  <c r="M1625" i="2"/>
  <c r="L1625" i="2"/>
  <c r="Q1909" i="2"/>
  <c r="Q1898" i="2"/>
  <c r="L1896" i="2"/>
  <c r="Q1882" i="2"/>
  <c r="M1874" i="2"/>
  <c r="M1868" i="2"/>
  <c r="Q1860" i="2"/>
  <c r="Q1857" i="2"/>
  <c r="L1842" i="2"/>
  <c r="L1836" i="2"/>
  <c r="M1828" i="2"/>
  <c r="L1780" i="2"/>
  <c r="M1780" i="2"/>
  <c r="L1777" i="2"/>
  <c r="M1777" i="2"/>
  <c r="L1774" i="2"/>
  <c r="M1774" i="2"/>
  <c r="L1723" i="2"/>
  <c r="M1723" i="2"/>
  <c r="Q1711" i="2"/>
  <c r="L1678" i="2"/>
  <c r="M1678" i="2"/>
  <c r="Q1678" i="2"/>
  <c r="M1619" i="2"/>
  <c r="L1619" i="2"/>
  <c r="Q1910" i="2"/>
  <c r="Q1871" i="2"/>
  <c r="Q1865" i="2"/>
  <c r="M1800" i="2"/>
  <c r="M1796" i="2"/>
  <c r="Q1715" i="2"/>
  <c r="L1711" i="2"/>
  <c r="M1711" i="2"/>
  <c r="Q1699" i="2"/>
  <c r="Q1687" i="2"/>
  <c r="Q1797" i="2"/>
  <c r="Q1767" i="2"/>
  <c r="Q1703" i="2"/>
  <c r="L1699" i="2"/>
  <c r="M1699" i="2"/>
  <c r="Q1691" i="2"/>
  <c r="L1687" i="2"/>
  <c r="M1687" i="2"/>
  <c r="Q1900" i="2"/>
  <c r="M1893" i="2"/>
  <c r="Q1888" i="2"/>
  <c r="L1860" i="2"/>
  <c r="M1860" i="2"/>
  <c r="L1857" i="2"/>
  <c r="M1857" i="2"/>
  <c r="M1844" i="2"/>
  <c r="M1838" i="2"/>
  <c r="P1838" i="2" s="1"/>
  <c r="M1832" i="2"/>
  <c r="M1831" i="2"/>
  <c r="Q1825" i="2"/>
  <c r="L1793" i="2"/>
  <c r="L1772" i="2"/>
  <c r="M1772" i="2"/>
  <c r="L1882" i="2"/>
  <c r="L1778" i="2"/>
  <c r="M1778" i="2"/>
  <c r="L1775" i="2"/>
  <c r="M1775" i="2"/>
  <c r="Q1765" i="2"/>
  <c r="M1658" i="2"/>
  <c r="L1658" i="2"/>
  <c r="M1652" i="2"/>
  <c r="L1652" i="2"/>
  <c r="M1646" i="2"/>
  <c r="L1646" i="2"/>
  <c r="M1640" i="2"/>
  <c r="L1640" i="2"/>
  <c r="M1634" i="2"/>
  <c r="L1634" i="2"/>
  <c r="M1628" i="2"/>
  <c r="L1628" i="2"/>
  <c r="Q1889" i="2"/>
  <c r="L1801" i="2"/>
  <c r="Q1801" i="2"/>
  <c r="Q1798" i="2"/>
  <c r="Q1793" i="2"/>
  <c r="M1622" i="2"/>
  <c r="L1622" i="2"/>
  <c r="Q1903" i="2"/>
  <c r="M1901" i="2"/>
  <c r="L1899" i="2"/>
  <c r="Q1895" i="2"/>
  <c r="M1894" i="2"/>
  <c r="M1877" i="2"/>
  <c r="L1872" i="2"/>
  <c r="M1871" i="2"/>
  <c r="L1866" i="2"/>
  <c r="M1865" i="2"/>
  <c r="L1845" i="2"/>
  <c r="L1839" i="2"/>
  <c r="L1833" i="2"/>
  <c r="Q1904" i="2"/>
  <c r="Q1890" i="2"/>
  <c r="L1861" i="2"/>
  <c r="M1861" i="2"/>
  <c r="L1858" i="2"/>
  <c r="M1858" i="2"/>
  <c r="Q1829" i="2"/>
  <c r="M1798" i="2"/>
  <c r="L1770" i="2"/>
  <c r="M1770" i="2"/>
  <c r="Q1768" i="2"/>
  <c r="M1616" i="2"/>
  <c r="L1616" i="2"/>
  <c r="Q1896" i="2"/>
  <c r="Q1859" i="2"/>
  <c r="Q1799" i="2"/>
  <c r="Q1795" i="2"/>
  <c r="L1779" i="2"/>
  <c r="M1779" i="2"/>
  <c r="L1776" i="2"/>
  <c r="M1776" i="2"/>
  <c r="L1773" i="2"/>
  <c r="M1773" i="2"/>
  <c r="Q1720" i="2"/>
  <c r="L1716" i="2"/>
  <c r="M1716" i="2"/>
  <c r="L1576" i="2"/>
  <c r="M1576" i="2"/>
  <c r="L1558" i="2"/>
  <c r="M1558" i="2"/>
  <c r="M1769" i="2"/>
  <c r="M1768" i="2"/>
  <c r="M1767" i="2"/>
  <c r="M1766" i="2"/>
  <c r="M1765" i="2"/>
  <c r="L1764" i="2"/>
  <c r="P1764" i="2" s="1"/>
  <c r="L1679" i="2"/>
  <c r="P1679" i="2" s="1"/>
  <c r="L1610" i="2"/>
  <c r="M1610" i="2"/>
  <c r="L1607" i="2"/>
  <c r="M1607" i="2"/>
  <c r="L1604" i="2"/>
  <c r="M1604" i="2"/>
  <c r="L1601" i="2"/>
  <c r="M1601" i="2"/>
  <c r="L1598" i="2"/>
  <c r="M1598" i="2"/>
  <c r="L1595" i="2"/>
  <c r="M1595" i="2"/>
  <c r="L1592" i="2"/>
  <c r="M1592" i="2"/>
  <c r="L1589" i="2"/>
  <c r="M1589" i="2"/>
  <c r="L1769" i="2"/>
  <c r="M1715" i="2"/>
  <c r="M1703" i="2"/>
  <c r="M1691" i="2"/>
  <c r="M1680" i="2"/>
  <c r="Q1577" i="2"/>
  <c r="Q1550" i="2"/>
  <c r="Q1676" i="2"/>
  <c r="M1675" i="2"/>
  <c r="M1671" i="2"/>
  <c r="M1667" i="2"/>
  <c r="M1663" i="2"/>
  <c r="L1659" i="2"/>
  <c r="L1656" i="2"/>
  <c r="L1653" i="2"/>
  <c r="L1650" i="2"/>
  <c r="L1647" i="2"/>
  <c r="L1644" i="2"/>
  <c r="L1641" i="2"/>
  <c r="L1638" i="2"/>
  <c r="L1635" i="2"/>
  <c r="P1635" i="2" s="1"/>
  <c r="L1632" i="2"/>
  <c r="L1629" i="2"/>
  <c r="L1626" i="2"/>
  <c r="L1675" i="2"/>
  <c r="L1611" i="2"/>
  <c r="M1611" i="2"/>
  <c r="L1608" i="2"/>
  <c r="M1608" i="2"/>
  <c r="L1605" i="2"/>
  <c r="M1605" i="2"/>
  <c r="L1602" i="2"/>
  <c r="M1602" i="2"/>
  <c r="L1599" i="2"/>
  <c r="M1599" i="2"/>
  <c r="L1596" i="2"/>
  <c r="M1596" i="2"/>
  <c r="L1593" i="2"/>
  <c r="M1593" i="2"/>
  <c r="L1590" i="2"/>
  <c r="M1590" i="2"/>
  <c r="Q1722" i="2"/>
  <c r="M1719" i="2"/>
  <c r="Q1710" i="2"/>
  <c r="M1707" i="2"/>
  <c r="Q1698" i="2"/>
  <c r="M1695" i="2"/>
  <c r="Q1686" i="2"/>
  <c r="M1683" i="2"/>
  <c r="M1676" i="2"/>
  <c r="M1672" i="2"/>
  <c r="M1668" i="2"/>
  <c r="M1664" i="2"/>
  <c r="M1660" i="2"/>
  <c r="M1569" i="2"/>
  <c r="L1569" i="2"/>
  <c r="Q1569" i="2"/>
  <c r="L1657" i="2"/>
  <c r="L1654" i="2"/>
  <c r="L1651" i="2"/>
  <c r="L1648" i="2"/>
  <c r="L1645" i="2"/>
  <c r="L1642" i="2"/>
  <c r="L1639" i="2"/>
  <c r="L1636" i="2"/>
  <c r="L1633" i="2"/>
  <c r="L1630" i="2"/>
  <c r="L1627" i="2"/>
  <c r="L1624" i="2"/>
  <c r="L1621" i="2"/>
  <c r="L1618" i="2"/>
  <c r="L1615" i="2"/>
  <c r="M1697" i="2"/>
  <c r="M1685" i="2"/>
  <c r="M1722" i="2"/>
  <c r="M1710" i="2"/>
  <c r="M1698" i="2"/>
  <c r="P1698" i="2" s="1"/>
  <c r="M1686" i="2"/>
  <c r="M1673" i="2"/>
  <c r="M1669" i="2"/>
  <c r="M1665" i="2"/>
  <c r="M1661" i="2"/>
  <c r="L1612" i="2"/>
  <c r="M1612" i="2"/>
  <c r="L1609" i="2"/>
  <c r="M1609" i="2"/>
  <c r="L1606" i="2"/>
  <c r="M1606" i="2"/>
  <c r="L1603" i="2"/>
  <c r="M1603" i="2"/>
  <c r="L1600" i="2"/>
  <c r="M1600" i="2"/>
  <c r="L1597" i="2"/>
  <c r="M1597" i="2"/>
  <c r="L1594" i="2"/>
  <c r="M1594" i="2"/>
  <c r="L1591" i="2"/>
  <c r="M1591" i="2"/>
  <c r="L1588" i="2"/>
  <c r="M1588" i="2"/>
  <c r="L1585" i="2"/>
  <c r="M1585" i="2"/>
  <c r="Q1585" i="2"/>
  <c r="Q1576" i="2"/>
  <c r="Q1570" i="2"/>
  <c r="Q1580" i="2"/>
  <c r="L1570" i="2"/>
  <c r="M1570" i="2"/>
  <c r="M1582" i="2"/>
  <c r="Q1574" i="2"/>
  <c r="M1573" i="2"/>
  <c r="Q1563" i="2"/>
  <c r="Q1547" i="2"/>
  <c r="M1546" i="2"/>
  <c r="Q1542" i="2"/>
  <c r="Q1538" i="2"/>
  <c r="M1527" i="2"/>
  <c r="Q1519" i="2"/>
  <c r="L1518" i="2"/>
  <c r="L1446" i="2"/>
  <c r="M1446" i="2"/>
  <c r="L1573" i="2"/>
  <c r="Q1564" i="2"/>
  <c r="L1562" i="2"/>
  <c r="M1552" i="2"/>
  <c r="M1551" i="2"/>
  <c r="L1546" i="2"/>
  <c r="L1532" i="2"/>
  <c r="Q1504" i="2"/>
  <c r="Q1498" i="2"/>
  <c r="Q1492" i="2"/>
  <c r="Q1486" i="2"/>
  <c r="Q1480" i="2"/>
  <c r="L1474" i="2"/>
  <c r="M1474" i="2"/>
  <c r="Q1674" i="2"/>
  <c r="Q1673" i="2"/>
  <c r="Q1672" i="2"/>
  <c r="Q1671" i="2"/>
  <c r="Q1670" i="2"/>
  <c r="Q1669" i="2"/>
  <c r="Q1668" i="2"/>
  <c r="Q1667" i="2"/>
  <c r="Q1666" i="2"/>
  <c r="Q1665" i="2"/>
  <c r="Q1664" i="2"/>
  <c r="Q1663" i="2"/>
  <c r="Q1662" i="2"/>
  <c r="Q1661" i="2"/>
  <c r="Q1660" i="2"/>
  <c r="Q1659" i="2"/>
  <c r="Q1658" i="2"/>
  <c r="Q1657" i="2"/>
  <c r="Q1656" i="2"/>
  <c r="Q1655" i="2"/>
  <c r="Q1654" i="2"/>
  <c r="Q1653" i="2"/>
  <c r="Q1652" i="2"/>
  <c r="Q1651" i="2"/>
  <c r="Q1650" i="2"/>
  <c r="Q1649" i="2"/>
  <c r="Q1648" i="2"/>
  <c r="Q1647" i="2"/>
  <c r="Q1646" i="2"/>
  <c r="Q1645" i="2"/>
  <c r="Q1644" i="2"/>
  <c r="Q1643" i="2"/>
  <c r="Q1642" i="2"/>
  <c r="Q1641" i="2"/>
  <c r="Q1640" i="2"/>
  <c r="Q1639" i="2"/>
  <c r="Q1638" i="2"/>
  <c r="Q1637" i="2"/>
  <c r="Q1636" i="2"/>
  <c r="Q1635" i="2"/>
  <c r="Q1634" i="2"/>
  <c r="Q1633" i="2"/>
  <c r="Q1632" i="2"/>
  <c r="Q1631" i="2"/>
  <c r="Q1630" i="2"/>
  <c r="Q1629" i="2"/>
  <c r="Q1628" i="2"/>
  <c r="Q1627" i="2"/>
  <c r="Q1626" i="2"/>
  <c r="Q1625" i="2"/>
  <c r="Q1624" i="2"/>
  <c r="Q1623" i="2"/>
  <c r="Q1622" i="2"/>
  <c r="Q1621" i="2"/>
  <c r="Q1620" i="2"/>
  <c r="Q1619" i="2"/>
  <c r="Q1618" i="2"/>
  <c r="Q1617" i="2"/>
  <c r="Q1616" i="2"/>
  <c r="Q1615" i="2"/>
  <c r="Q1614" i="2"/>
  <c r="Q1613" i="2"/>
  <c r="Q1612" i="2"/>
  <c r="Q1611" i="2"/>
  <c r="Q1610" i="2"/>
  <c r="Q1609" i="2"/>
  <c r="Q1608" i="2"/>
  <c r="Q1607" i="2"/>
  <c r="Q1606" i="2"/>
  <c r="Q1605" i="2"/>
  <c r="Q1604" i="2"/>
  <c r="Q1603" i="2"/>
  <c r="Q1602" i="2"/>
  <c r="Q1601" i="2"/>
  <c r="Q1600" i="2"/>
  <c r="Q1599" i="2"/>
  <c r="Q1598" i="2"/>
  <c r="Q1597" i="2"/>
  <c r="Q1596" i="2"/>
  <c r="Q1595" i="2"/>
  <c r="Q1594" i="2"/>
  <c r="Q1593" i="2"/>
  <c r="Q1592" i="2"/>
  <c r="Q1591" i="2"/>
  <c r="Q1590" i="2"/>
  <c r="Q1589" i="2"/>
  <c r="Q1588" i="2"/>
  <c r="Q1587" i="2"/>
  <c r="M1584" i="2"/>
  <c r="Q1575" i="2"/>
  <c r="M1574" i="2"/>
  <c r="L1568" i="2"/>
  <c r="Q1558" i="2"/>
  <c r="M1557" i="2"/>
  <c r="L1552" i="2"/>
  <c r="M1547" i="2"/>
  <c r="Q1543" i="2"/>
  <c r="L1542" i="2"/>
  <c r="Q1524" i="2"/>
  <c r="Q1472" i="2"/>
  <c r="L1454" i="2"/>
  <c r="M1454" i="2"/>
  <c r="L1584" i="2"/>
  <c r="L1574" i="2"/>
  <c r="Q1548" i="2"/>
  <c r="L1547" i="2"/>
  <c r="Q1528" i="2"/>
  <c r="Q1525" i="2"/>
  <c r="L1504" i="2"/>
  <c r="L1498" i="2"/>
  <c r="L1492" i="2"/>
  <c r="L1486" i="2"/>
  <c r="L1480" i="2"/>
  <c r="M1563" i="2"/>
  <c r="Q1544" i="2"/>
  <c r="L1538" i="2"/>
  <c r="Q1534" i="2"/>
  <c r="M1533" i="2"/>
  <c r="L1524" i="2"/>
  <c r="L1462" i="2"/>
  <c r="M1462" i="2"/>
  <c r="Q1434" i="2"/>
  <c r="Q1422" i="2"/>
  <c r="M1515" i="2"/>
  <c r="Q1512" i="2"/>
  <c r="Q1502" i="2"/>
  <c r="Q1496" i="2"/>
  <c r="Q1490" i="2"/>
  <c r="Q1484" i="2"/>
  <c r="Q1478" i="2"/>
  <c r="L1442" i="2"/>
  <c r="M1442" i="2"/>
  <c r="Q1374" i="2"/>
  <c r="Q1367" i="2"/>
  <c r="L1559" i="2"/>
  <c r="L1554" i="2"/>
  <c r="L1534" i="2"/>
  <c r="L1520" i="2"/>
  <c r="M1516" i="2"/>
  <c r="L1470" i="2"/>
  <c r="M1470" i="2"/>
  <c r="M1539" i="2"/>
  <c r="P1539" i="2" s="1"/>
  <c r="L1530" i="2"/>
  <c r="L1512" i="2"/>
  <c r="L1502" i="2"/>
  <c r="L1496" i="2"/>
  <c r="L1490" i="2"/>
  <c r="L1484" i="2"/>
  <c r="L1478" i="2"/>
  <c r="L1450" i="2"/>
  <c r="M1450" i="2"/>
  <c r="L1544" i="2"/>
  <c r="Q1516" i="2"/>
  <c r="Q1476" i="2"/>
  <c r="Q1400" i="2"/>
  <c r="L1571" i="2"/>
  <c r="L1566" i="2"/>
  <c r="L1526" i="2"/>
  <c r="M1521" i="2"/>
  <c r="L1509" i="2"/>
  <c r="Q1509" i="2"/>
  <c r="Q1500" i="2"/>
  <c r="Q1494" i="2"/>
  <c r="Q1488" i="2"/>
  <c r="Q1482" i="2"/>
  <c r="L1458" i="2"/>
  <c r="M1458" i="2"/>
  <c r="L1550" i="2"/>
  <c r="Q1540" i="2"/>
  <c r="L1438" i="2"/>
  <c r="M1438" i="2"/>
  <c r="Q1557" i="2"/>
  <c r="L1556" i="2"/>
  <c r="Q1546" i="2"/>
  <c r="M1545" i="2"/>
  <c r="L1536" i="2"/>
  <c r="L1506" i="2"/>
  <c r="L1500" i="2"/>
  <c r="L1494" i="2"/>
  <c r="L1488" i="2"/>
  <c r="P1488" i="2" s="1"/>
  <c r="L1482" i="2"/>
  <c r="P1482" i="2" s="1"/>
  <c r="L1466" i="2"/>
  <c r="M1466" i="2"/>
  <c r="M1567" i="2"/>
  <c r="M1555" i="2"/>
  <c r="M1543" i="2"/>
  <c r="M1531" i="2"/>
  <c r="M1519" i="2"/>
  <c r="L1510" i="2"/>
  <c r="Q1501" i="2"/>
  <c r="Q1497" i="2"/>
  <c r="Q1493" i="2"/>
  <c r="Q1489" i="2"/>
  <c r="Q1485" i="2"/>
  <c r="Q1481" i="2"/>
  <c r="Q1477" i="2"/>
  <c r="Q1473" i="2"/>
  <c r="Q1469" i="2"/>
  <c r="Q1465" i="2"/>
  <c r="Q1461" i="2"/>
  <c r="Q1457" i="2"/>
  <c r="Q1453" i="2"/>
  <c r="Q1449" i="2"/>
  <c r="Q1445" i="2"/>
  <c r="Q1441" i="2"/>
  <c r="Q1437" i="2"/>
  <c r="Q1358" i="2"/>
  <c r="Q1398" i="2"/>
  <c r="Q1391" i="2"/>
  <c r="Q1326" i="2"/>
  <c r="L1511" i="2"/>
  <c r="L1505" i="2"/>
  <c r="L1501" i="2"/>
  <c r="L1497" i="2"/>
  <c r="L1493" i="2"/>
  <c r="L1489" i="2"/>
  <c r="L1485" i="2"/>
  <c r="L1481" i="2"/>
  <c r="L1477" i="2"/>
  <c r="L1473" i="2"/>
  <c r="L1469" i="2"/>
  <c r="L1465" i="2"/>
  <c r="L1461" i="2"/>
  <c r="L1457" i="2"/>
  <c r="L1453" i="2"/>
  <c r="P1453" i="2" s="1"/>
  <c r="L1449" i="2"/>
  <c r="L1445" i="2"/>
  <c r="L1441" i="2"/>
  <c r="L1437" i="2"/>
  <c r="Q1346" i="2"/>
  <c r="Q1474" i="2"/>
  <c r="Q1470" i="2"/>
  <c r="Q1466" i="2"/>
  <c r="Q1462" i="2"/>
  <c r="Q1458" i="2"/>
  <c r="Q1454" i="2"/>
  <c r="Q1450" i="2"/>
  <c r="Q1446" i="2"/>
  <c r="Q1442" i="2"/>
  <c r="Q1438" i="2"/>
  <c r="P1412" i="2"/>
  <c r="Q1412" i="2"/>
  <c r="Q1386" i="2"/>
  <c r="Q1379" i="2"/>
  <c r="Q1314" i="2"/>
  <c r="Q1406" i="2"/>
  <c r="Q1334" i="2"/>
  <c r="L1513" i="2"/>
  <c r="L1507" i="2"/>
  <c r="Q1455" i="2"/>
  <c r="Q1451" i="2"/>
  <c r="Q1447" i="2"/>
  <c r="Q1443" i="2"/>
  <c r="Q1439" i="2"/>
  <c r="Q1394" i="2"/>
  <c r="Q1408" i="2"/>
  <c r="Q1388" i="2"/>
  <c r="Q1362" i="2"/>
  <c r="Q1355" i="2"/>
  <c r="L1514" i="2"/>
  <c r="L1508" i="2"/>
  <c r="L1503" i="2"/>
  <c r="L1499" i="2"/>
  <c r="L1495" i="2"/>
  <c r="L1491" i="2"/>
  <c r="L1487" i="2"/>
  <c r="L1483" i="2"/>
  <c r="L1479" i="2"/>
  <c r="L1475" i="2"/>
  <c r="L1471" i="2"/>
  <c r="L1467" i="2"/>
  <c r="L1463" i="2"/>
  <c r="L1459" i="2"/>
  <c r="L1455" i="2"/>
  <c r="L1451" i="2"/>
  <c r="L1447" i="2"/>
  <c r="L1443" i="2"/>
  <c r="L1439" i="2"/>
  <c r="Q1382" i="2"/>
  <c r="Q1460" i="2"/>
  <c r="Q1456" i="2"/>
  <c r="Q1452" i="2"/>
  <c r="Q1448" i="2"/>
  <c r="Q1444" i="2"/>
  <c r="Q1440" i="2"/>
  <c r="Q1436" i="2"/>
  <c r="Q1415" i="2"/>
  <c r="Q1396" i="2"/>
  <c r="Q1350" i="2"/>
  <c r="Q1343" i="2"/>
  <c r="Q1370" i="2"/>
  <c r="L1476" i="2"/>
  <c r="P1476" i="2" s="1"/>
  <c r="L1472" i="2"/>
  <c r="L1468" i="2"/>
  <c r="L1464" i="2"/>
  <c r="L1460" i="2"/>
  <c r="L1456" i="2"/>
  <c r="L1452" i="2"/>
  <c r="L1448" i="2"/>
  <c r="L1444" i="2"/>
  <c r="L1440" i="2"/>
  <c r="L1436" i="2"/>
  <c r="Q1410" i="2"/>
  <c r="Q1403" i="2"/>
  <c r="Q1338" i="2"/>
  <c r="Q1331" i="2"/>
  <c r="Q1276" i="2"/>
  <c r="L1276" i="2"/>
  <c r="M1276" i="2"/>
  <c r="L1266" i="2"/>
  <c r="L1210" i="2"/>
  <c r="Q1264" i="2"/>
  <c r="L1264" i="2"/>
  <c r="M1264" i="2"/>
  <c r="L1254" i="2"/>
  <c r="Q1223" i="2"/>
  <c r="Q1310" i="2"/>
  <c r="Q1298" i="2"/>
  <c r="Q1286" i="2"/>
  <c r="L1223" i="2"/>
  <c r="L1214" i="2"/>
  <c r="M1214" i="2"/>
  <c r="M1197" i="2"/>
  <c r="L1197" i="2"/>
  <c r="Q1280" i="2"/>
  <c r="Q1312" i="2"/>
  <c r="Q1300" i="2"/>
  <c r="Q1288" i="2"/>
  <c r="Q1272" i="2"/>
  <c r="L1217" i="2"/>
  <c r="L1164" i="2"/>
  <c r="M1164" i="2"/>
  <c r="L1235" i="2"/>
  <c r="Q1224" i="2"/>
  <c r="Q1215" i="2"/>
  <c r="Q1302" i="2"/>
  <c r="Q1290" i="2"/>
  <c r="Q1277" i="2"/>
  <c r="M1277" i="2"/>
  <c r="Q1268" i="2"/>
  <c r="M1190" i="2"/>
  <c r="L1190" i="2"/>
  <c r="Q1291" i="2"/>
  <c r="Q1281" i="2"/>
  <c r="Q1256" i="2"/>
  <c r="Q1236" i="2"/>
  <c r="Q1121" i="2"/>
  <c r="Q1304" i="2"/>
  <c r="Q1292" i="2"/>
  <c r="L1268" i="2"/>
  <c r="L1256" i="2"/>
  <c r="M1229" i="2"/>
  <c r="L1229" i="2"/>
  <c r="Q1219" i="2"/>
  <c r="L1121" i="2"/>
  <c r="M1121" i="2"/>
  <c r="L1239" i="2"/>
  <c r="M1210" i="2"/>
  <c r="L1191" i="2"/>
  <c r="L1136" i="2"/>
  <c r="M1136" i="2"/>
  <c r="Q1319" i="2"/>
  <c r="Q1307" i="2"/>
  <c r="Q1295" i="2"/>
  <c r="M1266" i="2"/>
  <c r="L1155" i="2"/>
  <c r="M1155" i="2"/>
  <c r="L1275" i="2"/>
  <c r="L1263" i="2"/>
  <c r="P1263" i="2" s="1"/>
  <c r="M1243" i="2"/>
  <c r="Q1239" i="2"/>
  <c r="Q1235" i="2"/>
  <c r="M1217" i="2"/>
  <c r="Q1210" i="2"/>
  <c r="M1178" i="2"/>
  <c r="M1166" i="2"/>
  <c r="L1161" i="2"/>
  <c r="M1161" i="2"/>
  <c r="L1142" i="2"/>
  <c r="M1142" i="2"/>
  <c r="Q1136" i="2"/>
  <c r="M1117" i="2"/>
  <c r="L1117" i="2"/>
  <c r="M1112" i="2"/>
  <c r="M1265" i="2"/>
  <c r="M1253" i="2"/>
  <c r="M1252" i="2"/>
  <c r="M1251" i="2"/>
  <c r="M1250" i="2"/>
  <c r="M1249" i="2"/>
  <c r="M1248" i="2"/>
  <c r="M1247" i="2"/>
  <c r="M1246" i="2"/>
  <c r="M1245" i="2"/>
  <c r="M1244" i="2"/>
  <c r="L1226" i="2"/>
  <c r="M1226" i="2"/>
  <c r="M1222" i="2"/>
  <c r="Q1191" i="2"/>
  <c r="M1181" i="2"/>
  <c r="L1181" i="2"/>
  <c r="M1169" i="2"/>
  <c r="L1169" i="2"/>
  <c r="L1157" i="2"/>
  <c r="M1157" i="2"/>
  <c r="Q1151" i="2"/>
  <c r="L1127" i="2"/>
  <c r="M1127" i="2"/>
  <c r="M1078" i="2"/>
  <c r="L1078" i="2"/>
  <c r="M1239" i="2"/>
  <c r="M1235" i="2"/>
  <c r="Q1231" i="2"/>
  <c r="Q1227" i="2"/>
  <c r="L1202" i="2"/>
  <c r="M1202" i="2"/>
  <c r="L1151" i="2"/>
  <c r="M1151" i="2"/>
  <c r="Q1145" i="2"/>
  <c r="Q1130" i="2"/>
  <c r="M1009" i="2"/>
  <c r="Q1009" i="2"/>
  <c r="Q1232" i="2"/>
  <c r="M1227" i="2"/>
  <c r="L1227" i="2"/>
  <c r="M1223" i="2"/>
  <c r="Q1207" i="2"/>
  <c r="Q1203" i="2"/>
  <c r="M1185" i="2"/>
  <c r="L1185" i="2"/>
  <c r="M1173" i="2"/>
  <c r="L1173" i="2"/>
  <c r="L1145" i="2"/>
  <c r="M1145" i="2"/>
  <c r="Q1139" i="2"/>
  <c r="L1130" i="2"/>
  <c r="M1130" i="2"/>
  <c r="Q999" i="2"/>
  <c r="M1215" i="2"/>
  <c r="L1215" i="2"/>
  <c r="M1195" i="2"/>
  <c r="L1195" i="2"/>
  <c r="L1160" i="2"/>
  <c r="M1160" i="2"/>
  <c r="Q1154" i="2"/>
  <c r="M1090" i="2"/>
  <c r="L1090" i="2"/>
  <c r="Q1043" i="2"/>
  <c r="Q997" i="2"/>
  <c r="M1203" i="2"/>
  <c r="L1203" i="2"/>
  <c r="M1199" i="2"/>
  <c r="L1158" i="2"/>
  <c r="M1158" i="2"/>
  <c r="L1139" i="2"/>
  <c r="M1139" i="2"/>
  <c r="Q1124" i="2"/>
  <c r="Q1098" i="2"/>
  <c r="M1059" i="2"/>
  <c r="Q1059" i="2"/>
  <c r="L1059" i="2"/>
  <c r="L1057" i="2"/>
  <c r="Q1057" i="2"/>
  <c r="Q1055" i="2"/>
  <c r="M1040" i="2"/>
  <c r="Q1040" i="2"/>
  <c r="L1040" i="2"/>
  <c r="L1027" i="2"/>
  <c r="Q1027" i="2"/>
  <c r="M1027" i="2"/>
  <c r="L1022" i="2"/>
  <c r="Q1242" i="2"/>
  <c r="L1237" i="2"/>
  <c r="P1237" i="2" s="1"/>
  <c r="L1228" i="2"/>
  <c r="Q1193" i="2"/>
  <c r="Q1163" i="2"/>
  <c r="L1154" i="2"/>
  <c r="M1154" i="2"/>
  <c r="Q1148" i="2"/>
  <c r="L1109" i="2"/>
  <c r="M1109" i="2"/>
  <c r="L1098" i="2"/>
  <c r="Q1234" i="2"/>
  <c r="L1193" i="2"/>
  <c r="M1189" i="2"/>
  <c r="L1189" i="2"/>
  <c r="M1177" i="2"/>
  <c r="L1177" i="2"/>
  <c r="L1133" i="2"/>
  <c r="M1133" i="2"/>
  <c r="L1124" i="2"/>
  <c r="M1124" i="2"/>
  <c r="Q1278" i="2"/>
  <c r="M1274" i="2"/>
  <c r="Q1266" i="2"/>
  <c r="M1262" i="2"/>
  <c r="Q1254" i="2"/>
  <c r="Q1243" i="2"/>
  <c r="M1242" i="2"/>
  <c r="M1228" i="2"/>
  <c r="L1204" i="2"/>
  <c r="Q1197" i="2"/>
  <c r="M1193" i="2"/>
  <c r="L1148" i="2"/>
  <c r="M1148" i="2"/>
  <c r="Q1142" i="2"/>
  <c r="L1238" i="2"/>
  <c r="M1238" i="2"/>
  <c r="M1234" i="2"/>
  <c r="Q1222" i="2"/>
  <c r="Q1178" i="2"/>
  <c r="Q1157" i="2"/>
  <c r="Q1127" i="2"/>
  <c r="Q1112" i="2"/>
  <c r="Q1230" i="2"/>
  <c r="Q1218" i="2"/>
  <c r="Q1206" i="2"/>
  <c r="Q1196" i="2"/>
  <c r="Q1190" i="2"/>
  <c r="Q1117" i="2"/>
  <c r="Q1109" i="2"/>
  <c r="M1100" i="2"/>
  <c r="M1089" i="2"/>
  <c r="Q1089" i="2"/>
  <c r="L1089" i="2"/>
  <c r="M1077" i="2"/>
  <c r="Q1077" i="2"/>
  <c r="L1077" i="2"/>
  <c r="L1044" i="2"/>
  <c r="M1044" i="2"/>
  <c r="Q1029" i="2"/>
  <c r="Q996" i="2"/>
  <c r="Q991" i="2"/>
  <c r="Q924" i="2"/>
  <c r="L879" i="2"/>
  <c r="M879" i="2"/>
  <c r="L870" i="2"/>
  <c r="M870" i="2"/>
  <c r="Q1166" i="2"/>
  <c r="L1087" i="2"/>
  <c r="Q1085" i="2"/>
  <c r="L1075" i="2"/>
  <c r="Q1073" i="2"/>
  <c r="Q1006" i="2"/>
  <c r="L1006" i="2"/>
  <c r="M1006" i="2"/>
  <c r="L998" i="2"/>
  <c r="M998" i="2"/>
  <c r="Q998" i="2"/>
  <c r="M993" i="2"/>
  <c r="L993" i="2"/>
  <c r="Q993" i="2"/>
  <c r="Q1115" i="2"/>
  <c r="M1047" i="2"/>
  <c r="Q1164" i="2"/>
  <c r="Q1161" i="2"/>
  <c r="Q1158" i="2"/>
  <c r="Q1155" i="2"/>
  <c r="L1115" i="2"/>
  <c r="M1115" i="2"/>
  <c r="M1083" i="2"/>
  <c r="Q1083" i="2"/>
  <c r="L1083" i="2"/>
  <c r="M1071" i="2"/>
  <c r="Q1071" i="2"/>
  <c r="L1071" i="2"/>
  <c r="L1069" i="2"/>
  <c r="Q1069" i="2"/>
  <c r="Q1067" i="2"/>
  <c r="Q1237" i="2"/>
  <c r="Q1225" i="2"/>
  <c r="Q1213" i="2"/>
  <c r="Q1201" i="2"/>
  <c r="Q1188" i="2"/>
  <c r="Q1184" i="2"/>
  <c r="Q1180" i="2"/>
  <c r="Q1176" i="2"/>
  <c r="Q1172" i="2"/>
  <c r="Q1168" i="2"/>
  <c r="M1152" i="2"/>
  <c r="P1152" i="2" s="1"/>
  <c r="M1149" i="2"/>
  <c r="M1146" i="2"/>
  <c r="M1143" i="2"/>
  <c r="M1140" i="2"/>
  <c r="M1137" i="2"/>
  <c r="M1134" i="2"/>
  <c r="Q1110" i="2"/>
  <c r="L1104" i="2"/>
  <c r="M1104" i="2"/>
  <c r="Q1102" i="2"/>
  <c r="L1093" i="2"/>
  <c r="M1093" i="2"/>
  <c r="Q1091" i="2"/>
  <c r="L1081" i="2"/>
  <c r="Q1079" i="2"/>
  <c r="L992" i="2"/>
  <c r="M992" i="2"/>
  <c r="Q992" i="2"/>
  <c r="Q1238" i="2"/>
  <c r="Q1226" i="2"/>
  <c r="Q1214" i="2"/>
  <c r="Q1202" i="2"/>
  <c r="Q1194" i="2"/>
  <c r="Q1120" i="2"/>
  <c r="Q1046" i="2"/>
  <c r="Q1033" i="2"/>
  <c r="L1131" i="2"/>
  <c r="L1128" i="2"/>
  <c r="L1125" i="2"/>
  <c r="Q1123" i="2"/>
  <c r="Q1111" i="2"/>
  <c r="Q1097" i="2"/>
  <c r="M1053" i="2"/>
  <c r="Q1053" i="2"/>
  <c r="L1053" i="2"/>
  <c r="M1051" i="2"/>
  <c r="Q1051" i="2"/>
  <c r="Q1021" i="2"/>
  <c r="Q1240" i="2"/>
  <c r="Q1228" i="2"/>
  <c r="Q1216" i="2"/>
  <c r="Q1204" i="2"/>
  <c r="Q1195" i="2"/>
  <c r="Q1189" i="2"/>
  <c r="Q1185" i="2"/>
  <c r="Q1181" i="2"/>
  <c r="Q1177" i="2"/>
  <c r="Q1173" i="2"/>
  <c r="Q1169" i="2"/>
  <c r="Q1165" i="2"/>
  <c r="Q1162" i="2"/>
  <c r="Q1159" i="2"/>
  <c r="Q1156" i="2"/>
  <c r="Q1153" i="2"/>
  <c r="Q1150" i="2"/>
  <c r="Q1147" i="2"/>
  <c r="Q1144" i="2"/>
  <c r="Q1141" i="2"/>
  <c r="Q1138" i="2"/>
  <c r="Q1135" i="2"/>
  <c r="Q1132" i="2"/>
  <c r="Q1129" i="2"/>
  <c r="Q1126" i="2"/>
  <c r="L1116" i="2"/>
  <c r="M1116" i="2"/>
  <c r="Q1114" i="2"/>
  <c r="Q1105" i="2"/>
  <c r="L995" i="2"/>
  <c r="M995" i="2"/>
  <c r="Q1241" i="2"/>
  <c r="Q1229" i="2"/>
  <c r="Q1217" i="2"/>
  <c r="Q1205" i="2"/>
  <c r="M1165" i="2"/>
  <c r="M1162" i="2"/>
  <c r="M1159" i="2"/>
  <c r="M1156" i="2"/>
  <c r="M1153" i="2"/>
  <c r="M1150" i="2"/>
  <c r="M1147" i="2"/>
  <c r="M1144" i="2"/>
  <c r="M1141" i="2"/>
  <c r="M1138" i="2"/>
  <c r="M1135" i="2"/>
  <c r="M1132" i="2"/>
  <c r="M1129" i="2"/>
  <c r="M1126" i="2"/>
  <c r="L1123" i="2"/>
  <c r="L1111" i="2"/>
  <c r="L1105" i="2"/>
  <c r="M1105" i="2"/>
  <c r="Q1100" i="2"/>
  <c r="L1097" i="2"/>
  <c r="M1097" i="2"/>
  <c r="Q1087" i="2"/>
  <c r="Q1075" i="2"/>
  <c r="M1065" i="2"/>
  <c r="Q1065" i="2"/>
  <c r="L1065" i="2"/>
  <c r="L1063" i="2"/>
  <c r="Q1063" i="2"/>
  <c r="Q1061" i="2"/>
  <c r="M1016" i="2"/>
  <c r="Q1016" i="2"/>
  <c r="L1016" i="2"/>
  <c r="Q1090" i="2"/>
  <c r="L1088" i="2"/>
  <c r="M1087" i="2"/>
  <c r="Q1084" i="2"/>
  <c r="L1082" i="2"/>
  <c r="M1081" i="2"/>
  <c r="Q1078" i="2"/>
  <c r="L1076" i="2"/>
  <c r="M1075" i="2"/>
  <c r="Q1072" i="2"/>
  <c r="L1070" i="2"/>
  <c r="M1069" i="2"/>
  <c r="Q1066" i="2"/>
  <c r="L1064" i="2"/>
  <c r="M1063" i="2"/>
  <c r="Q1060" i="2"/>
  <c r="L1058" i="2"/>
  <c r="M1057" i="2"/>
  <c r="Q1054" i="2"/>
  <c r="L1052" i="2"/>
  <c r="L1051" i="2"/>
  <c r="Q1048" i="2"/>
  <c r="Q1041" i="2"/>
  <c r="M1039" i="2"/>
  <c r="Q1028" i="2"/>
  <c r="L1010" i="2"/>
  <c r="L1009" i="2"/>
  <c r="L1002" i="2"/>
  <c r="M1002" i="2"/>
  <c r="Q936" i="2"/>
  <c r="Q903" i="2"/>
  <c r="M809" i="2"/>
  <c r="Q801" i="2"/>
  <c r="Q1113" i="2"/>
  <c r="Q1101" i="2"/>
  <c r="L1045" i="2"/>
  <c r="Q1042" i="2"/>
  <c r="Q1035" i="2"/>
  <c r="Q1023" i="2"/>
  <c r="L1015" i="2"/>
  <c r="M999" i="2"/>
  <c r="L908" i="2"/>
  <c r="M908" i="2"/>
  <c r="M1122" i="2"/>
  <c r="M1110" i="2"/>
  <c r="M1098" i="2"/>
  <c r="Q1036" i="2"/>
  <c r="Q1024" i="2"/>
  <c r="Q1013" i="2"/>
  <c r="L915" i="2"/>
  <c r="M915" i="2"/>
  <c r="M833" i="2"/>
  <c r="M828" i="2"/>
  <c r="M1046" i="2"/>
  <c r="L1033" i="2"/>
  <c r="Q1030" i="2"/>
  <c r="L1021" i="2"/>
  <c r="Q1003" i="2"/>
  <c r="L855" i="2"/>
  <c r="M855" i="2"/>
  <c r="Q1050" i="2"/>
  <c r="M1034" i="2"/>
  <c r="Q1025" i="2"/>
  <c r="L1023" i="2"/>
  <c r="M1022" i="2"/>
  <c r="M1013" i="2"/>
  <c r="Q1008" i="2"/>
  <c r="Q1004" i="2"/>
  <c r="L1003" i="2"/>
  <c r="M1003" i="2"/>
  <c r="Q885" i="2"/>
  <c r="Q1044" i="2"/>
  <c r="Q1014" i="2"/>
  <c r="L897" i="2"/>
  <c r="M897" i="2"/>
  <c r="L890" i="2"/>
  <c r="M890" i="2"/>
  <c r="M846" i="2"/>
  <c r="M1103" i="2"/>
  <c r="Q1095" i="2"/>
  <c r="M1050" i="2"/>
  <c r="M1030" i="2"/>
  <c r="Q986" i="2"/>
  <c r="L867" i="2"/>
  <c r="M867" i="2"/>
  <c r="L858" i="2"/>
  <c r="M858" i="2"/>
  <c r="Q1108" i="2"/>
  <c r="Q1096" i="2"/>
  <c r="L1092" i="2"/>
  <c r="M1091" i="2"/>
  <c r="Q1088" i="2"/>
  <c r="L1086" i="2"/>
  <c r="M1085" i="2"/>
  <c r="Q1082" i="2"/>
  <c r="L1080" i="2"/>
  <c r="M1079" i="2"/>
  <c r="Q1076" i="2"/>
  <c r="L1074" i="2"/>
  <c r="M1073" i="2"/>
  <c r="Q1070" i="2"/>
  <c r="L1068" i="2"/>
  <c r="M1067" i="2"/>
  <c r="Q1064" i="2"/>
  <c r="L1062" i="2"/>
  <c r="Q1058" i="2"/>
  <c r="L1056" i="2"/>
  <c r="Q1052" i="2"/>
  <c r="Q1039" i="2"/>
  <c r="M1031" i="2"/>
  <c r="M1019" i="2"/>
  <c r="Q1015" i="2"/>
  <c r="L1014" i="2"/>
  <c r="L986" i="2"/>
  <c r="M986" i="2"/>
  <c r="Q1018" i="2"/>
  <c r="Q1002" i="2"/>
  <c r="Q933" i="2"/>
  <c r="Q921" i="2"/>
  <c r="Q416" i="2"/>
  <c r="L416" i="2"/>
  <c r="M416" i="2"/>
  <c r="L403" i="2"/>
  <c r="M403" i="2"/>
  <c r="L310" i="2"/>
  <c r="M310" i="2"/>
  <c r="Q243" i="2"/>
  <c r="L997" i="2"/>
  <c r="Q990" i="2"/>
  <c r="M987" i="2"/>
  <c r="Q983" i="2"/>
  <c r="Q978" i="2"/>
  <c r="Q974" i="2"/>
  <c r="Q970" i="2"/>
  <c r="Q966" i="2"/>
  <c r="Q962" i="2"/>
  <c r="Q958" i="2"/>
  <c r="Q954" i="2"/>
  <c r="Q950" i="2"/>
  <c r="Q946" i="2"/>
  <c r="L921" i="2"/>
  <c r="M921" i="2"/>
  <c r="L903" i="2"/>
  <c r="M903" i="2"/>
  <c r="L885" i="2"/>
  <c r="M885" i="2"/>
  <c r="L875" i="2"/>
  <c r="L863" i="2"/>
  <c r="P863" i="2" s="1"/>
  <c r="M836" i="2"/>
  <c r="L809" i="2"/>
  <c r="L939" i="2"/>
  <c r="L933" i="2"/>
  <c r="L927" i="2"/>
  <c r="L911" i="2"/>
  <c r="Q906" i="2"/>
  <c r="L893" i="2"/>
  <c r="Q888" i="2"/>
  <c r="Q873" i="2"/>
  <c r="Q861" i="2"/>
  <c r="M831" i="2"/>
  <c r="M988" i="2"/>
  <c r="M982" i="2"/>
  <c r="M978" i="2"/>
  <c r="L906" i="2"/>
  <c r="M906" i="2"/>
  <c r="L888" i="2"/>
  <c r="M888" i="2"/>
  <c r="L873" i="2"/>
  <c r="M873" i="2"/>
  <c r="L861" i="2"/>
  <c r="M861" i="2"/>
  <c r="M849" i="2"/>
  <c r="Q813" i="2"/>
  <c r="Q937" i="2"/>
  <c r="Q925" i="2"/>
  <c r="Q922" i="2"/>
  <c r="L914" i="2"/>
  <c r="Q909" i="2"/>
  <c r="L896" i="2"/>
  <c r="Q891" i="2"/>
  <c r="L878" i="2"/>
  <c r="L866" i="2"/>
  <c r="L854" i="2"/>
  <c r="M834" i="2"/>
  <c r="Q799" i="2"/>
  <c r="Q782" i="2"/>
  <c r="L762" i="2"/>
  <c r="M762" i="2"/>
  <c r="Q723" i="2"/>
  <c r="Q985" i="2"/>
  <c r="M983" i="2"/>
  <c r="L909" i="2"/>
  <c r="M909" i="2"/>
  <c r="L891" i="2"/>
  <c r="M891" i="2"/>
  <c r="Q876" i="2"/>
  <c r="Q864" i="2"/>
  <c r="Q852" i="2"/>
  <c r="M842" i="2"/>
  <c r="M824" i="2"/>
  <c r="Q995" i="2"/>
  <c r="M991" i="2"/>
  <c r="L943" i="2"/>
  <c r="L937" i="2"/>
  <c r="L931" i="2"/>
  <c r="L925" i="2"/>
  <c r="L917" i="2"/>
  <c r="Q912" i="2"/>
  <c r="L899" i="2"/>
  <c r="Q894" i="2"/>
  <c r="L881" i="2"/>
  <c r="L876" i="2"/>
  <c r="M876" i="2"/>
  <c r="L864" i="2"/>
  <c r="M864" i="2"/>
  <c r="M852" i="2"/>
  <c r="M837" i="2"/>
  <c r="M984" i="2"/>
  <c r="Q980" i="2"/>
  <c r="Q976" i="2"/>
  <c r="Q972" i="2"/>
  <c r="Q968" i="2"/>
  <c r="Q964" i="2"/>
  <c r="Q960" i="2"/>
  <c r="Q956" i="2"/>
  <c r="Q952" i="2"/>
  <c r="Q948" i="2"/>
  <c r="L912" i="2"/>
  <c r="M912" i="2"/>
  <c r="L894" i="2"/>
  <c r="M894" i="2"/>
  <c r="L869" i="2"/>
  <c r="L857" i="2"/>
  <c r="M845" i="2"/>
  <c r="M827" i="2"/>
  <c r="Q941" i="2"/>
  <c r="Q929" i="2"/>
  <c r="L920" i="2"/>
  <c r="Q915" i="2"/>
  <c r="L902" i="2"/>
  <c r="Q897" i="2"/>
  <c r="L884" i="2"/>
  <c r="Q879" i="2"/>
  <c r="Q867" i="2"/>
  <c r="Q855" i="2"/>
  <c r="M840" i="2"/>
  <c r="M822" i="2"/>
  <c r="L941" i="2"/>
  <c r="L935" i="2"/>
  <c r="L929" i="2"/>
  <c r="L923" i="2"/>
  <c r="P923" i="2" s="1"/>
  <c r="Q918" i="2"/>
  <c r="L905" i="2"/>
  <c r="Q900" i="2"/>
  <c r="L887" i="2"/>
  <c r="Q882" i="2"/>
  <c r="L872" i="2"/>
  <c r="L860" i="2"/>
  <c r="M843" i="2"/>
  <c r="M825" i="2"/>
  <c r="Q988" i="2"/>
  <c r="Q982" i="2"/>
  <c r="L918" i="2"/>
  <c r="M918" i="2"/>
  <c r="L900" i="2"/>
  <c r="M900" i="2"/>
  <c r="L882" i="2"/>
  <c r="M882" i="2"/>
  <c r="Q870" i="2"/>
  <c r="Q858" i="2"/>
  <c r="L744" i="2"/>
  <c r="M744" i="2"/>
  <c r="L851" i="2"/>
  <c r="L848" i="2"/>
  <c r="L845" i="2"/>
  <c r="L842" i="2"/>
  <c r="L839" i="2"/>
  <c r="L836" i="2"/>
  <c r="L833" i="2"/>
  <c r="L830" i="2"/>
  <c r="L827" i="2"/>
  <c r="L824" i="2"/>
  <c r="L821" i="2"/>
  <c r="L795" i="2"/>
  <c r="M795" i="2"/>
  <c r="Q770" i="2"/>
  <c r="L750" i="2"/>
  <c r="M750" i="2"/>
  <c r="L718" i="2"/>
  <c r="M718" i="2"/>
  <c r="Q849" i="2"/>
  <c r="Q846" i="2"/>
  <c r="Q843" i="2"/>
  <c r="Q840" i="2"/>
  <c r="Q837" i="2"/>
  <c r="Q834" i="2"/>
  <c r="Q831" i="2"/>
  <c r="Q828" i="2"/>
  <c r="Q825" i="2"/>
  <c r="Q822" i="2"/>
  <c r="L807" i="2"/>
  <c r="M807" i="2"/>
  <c r="Q776" i="2"/>
  <c r="L940" i="2"/>
  <c r="L936" i="2"/>
  <c r="L932" i="2"/>
  <c r="L928" i="2"/>
  <c r="L924" i="2"/>
  <c r="L819" i="2"/>
  <c r="M819" i="2"/>
  <c r="L756" i="2"/>
  <c r="M756" i="2"/>
  <c r="L852" i="2"/>
  <c r="L849" i="2"/>
  <c r="L846" i="2"/>
  <c r="L843" i="2"/>
  <c r="L840" i="2"/>
  <c r="L837" i="2"/>
  <c r="L834" i="2"/>
  <c r="L831" i="2"/>
  <c r="L828" i="2"/>
  <c r="L825" i="2"/>
  <c r="L822" i="2"/>
  <c r="Q811" i="2"/>
  <c r="L768" i="2"/>
  <c r="M768" i="2"/>
  <c r="L725" i="2"/>
  <c r="M725" i="2"/>
  <c r="Q725" i="2"/>
  <c r="Q919" i="2"/>
  <c r="Q916" i="2"/>
  <c r="Q913" i="2"/>
  <c r="Q910" i="2"/>
  <c r="Q907" i="2"/>
  <c r="Q904" i="2"/>
  <c r="Q901" i="2"/>
  <c r="Q898" i="2"/>
  <c r="Q895" i="2"/>
  <c r="Q892" i="2"/>
  <c r="Q889" i="2"/>
  <c r="Q886" i="2"/>
  <c r="Q883" i="2"/>
  <c r="Q880" i="2"/>
  <c r="Q877" i="2"/>
  <c r="Q874" i="2"/>
  <c r="Q871" i="2"/>
  <c r="Q868" i="2"/>
  <c r="Q865" i="2"/>
  <c r="Q862" i="2"/>
  <c r="Q859" i="2"/>
  <c r="Q856" i="2"/>
  <c r="Q788" i="2"/>
  <c r="L774" i="2"/>
  <c r="M774" i="2"/>
  <c r="Q942" i="2"/>
  <c r="Q938" i="2"/>
  <c r="Q934" i="2"/>
  <c r="Q930" i="2"/>
  <c r="Q926" i="2"/>
  <c r="M853" i="2"/>
  <c r="M850" i="2"/>
  <c r="M847" i="2"/>
  <c r="M844" i="2"/>
  <c r="M841" i="2"/>
  <c r="M838" i="2"/>
  <c r="M835" i="2"/>
  <c r="M832" i="2"/>
  <c r="M829" i="2"/>
  <c r="M826" i="2"/>
  <c r="M823" i="2"/>
  <c r="M796" i="2"/>
  <c r="L922" i="2"/>
  <c r="L919" i="2"/>
  <c r="L916" i="2"/>
  <c r="L913" i="2"/>
  <c r="L910" i="2"/>
  <c r="L907" i="2"/>
  <c r="L904" i="2"/>
  <c r="L901" i="2"/>
  <c r="L898" i="2"/>
  <c r="P898" i="2" s="1"/>
  <c r="L895" i="2"/>
  <c r="L892" i="2"/>
  <c r="L889" i="2"/>
  <c r="L886" i="2"/>
  <c r="L883" i="2"/>
  <c r="L880" i="2"/>
  <c r="L877" i="2"/>
  <c r="L874" i="2"/>
  <c r="P874" i="2" s="1"/>
  <c r="L871" i="2"/>
  <c r="L868" i="2"/>
  <c r="L865" i="2"/>
  <c r="L862" i="2"/>
  <c r="L859" i="2"/>
  <c r="L856" i="2"/>
  <c r="M808" i="2"/>
  <c r="L794" i="2"/>
  <c r="M794" i="2"/>
  <c r="L780" i="2"/>
  <c r="M780" i="2"/>
  <c r="L942" i="2"/>
  <c r="L938" i="2"/>
  <c r="L934" i="2"/>
  <c r="L930" i="2"/>
  <c r="L926" i="2"/>
  <c r="L847" i="2"/>
  <c r="L844" i="2"/>
  <c r="L841" i="2"/>
  <c r="L838" i="2"/>
  <c r="L835" i="2"/>
  <c r="L832" i="2"/>
  <c r="L829" i="2"/>
  <c r="L826" i="2"/>
  <c r="L823" i="2"/>
  <c r="M820" i="2"/>
  <c r="L806" i="2"/>
  <c r="M806" i="2"/>
  <c r="Q943" i="2"/>
  <c r="Q939" i="2"/>
  <c r="Q935" i="2"/>
  <c r="Q931" i="2"/>
  <c r="Q927" i="2"/>
  <c r="Q923" i="2"/>
  <c r="Q920" i="2"/>
  <c r="Q917" i="2"/>
  <c r="Q914" i="2"/>
  <c r="Q911" i="2"/>
  <c r="Q908" i="2"/>
  <c r="Q905" i="2"/>
  <c r="Q902" i="2"/>
  <c r="Q899" i="2"/>
  <c r="Q896" i="2"/>
  <c r="Q893" i="2"/>
  <c r="Q890" i="2"/>
  <c r="Q887" i="2"/>
  <c r="Q884" i="2"/>
  <c r="Q881" i="2"/>
  <c r="Q878" i="2"/>
  <c r="Q875" i="2"/>
  <c r="Q872" i="2"/>
  <c r="Q869" i="2"/>
  <c r="Q866" i="2"/>
  <c r="Q863" i="2"/>
  <c r="Q860" i="2"/>
  <c r="Q857" i="2"/>
  <c r="Q854" i="2"/>
  <c r="Q851" i="2"/>
  <c r="Q848" i="2"/>
  <c r="Q845" i="2"/>
  <c r="Q842" i="2"/>
  <c r="Q839" i="2"/>
  <c r="Q836" i="2"/>
  <c r="Q833" i="2"/>
  <c r="Q830" i="2"/>
  <c r="Q827" i="2"/>
  <c r="Q824" i="2"/>
  <c r="Q821" i="2"/>
  <c r="L818" i="2"/>
  <c r="M818" i="2"/>
  <c r="L786" i="2"/>
  <c r="M786" i="2"/>
  <c r="Q812" i="2"/>
  <c r="Q800" i="2"/>
  <c r="L781" i="2"/>
  <c r="L775" i="2"/>
  <c r="L769" i="2"/>
  <c r="L763" i="2"/>
  <c r="L757" i="2"/>
  <c r="L751" i="2"/>
  <c r="L745" i="2"/>
  <c r="Q711" i="2"/>
  <c r="L579" i="2"/>
  <c r="Q783" i="2"/>
  <c r="Q777" i="2"/>
  <c r="Q771" i="2"/>
  <c r="L728" i="2"/>
  <c r="Q728" i="2"/>
  <c r="L669" i="2"/>
  <c r="P669" i="2" s="1"/>
  <c r="Q814" i="2"/>
  <c r="Q802" i="2"/>
  <c r="Q790" i="2"/>
  <c r="L660" i="2"/>
  <c r="M660" i="2"/>
  <c r="Q606" i="2"/>
  <c r="Q784" i="2"/>
  <c r="Q778" i="2"/>
  <c r="Q772" i="2"/>
  <c r="M696" i="2"/>
  <c r="Q696" i="2"/>
  <c r="L680" i="2"/>
  <c r="M680" i="2"/>
  <c r="Q680" i="2"/>
  <c r="M595" i="2"/>
  <c r="Q595" i="2"/>
  <c r="L595" i="2"/>
  <c r="L617" i="2"/>
  <c r="M617" i="2"/>
  <c r="Q785" i="2"/>
  <c r="Q779" i="2"/>
  <c r="Q773" i="2"/>
  <c r="M708" i="2"/>
  <c r="L676" i="2"/>
  <c r="M676" i="2"/>
  <c r="Q676" i="2"/>
  <c r="Q674" i="2"/>
  <c r="Q625" i="2"/>
  <c r="L625" i="2"/>
  <c r="M625" i="2"/>
  <c r="Q610" i="2"/>
  <c r="Q818" i="2"/>
  <c r="M816" i="2"/>
  <c r="Q806" i="2"/>
  <c r="Q794" i="2"/>
  <c r="M720" i="2"/>
  <c r="Q853" i="2"/>
  <c r="Q819" i="2"/>
  <c r="Q807" i="2"/>
  <c r="Q795" i="2"/>
  <c r="Q786" i="2"/>
  <c r="Q780" i="2"/>
  <c r="Q774" i="2"/>
  <c r="Q768" i="2"/>
  <c r="M755" i="2"/>
  <c r="M749" i="2"/>
  <c r="L694" i="2"/>
  <c r="M694" i="2"/>
  <c r="Q681" i="2"/>
  <c r="Q665" i="2"/>
  <c r="Q820" i="2"/>
  <c r="Q808" i="2"/>
  <c r="Q796" i="2"/>
  <c r="Q687" i="2"/>
  <c r="L634" i="2"/>
  <c r="M634" i="2"/>
  <c r="Q809" i="2"/>
  <c r="Q797" i="2"/>
  <c r="Q787" i="2"/>
  <c r="Q781" i="2"/>
  <c r="Q775" i="2"/>
  <c r="Q769" i="2"/>
  <c r="M727" i="2"/>
  <c r="L706" i="2"/>
  <c r="M706" i="2"/>
  <c r="Q677" i="2"/>
  <c r="Q810" i="2"/>
  <c r="Q798" i="2"/>
  <c r="L715" i="2"/>
  <c r="M715" i="2"/>
  <c r="Q699" i="2"/>
  <c r="M686" i="2"/>
  <c r="L672" i="2"/>
  <c r="Q662" i="2"/>
  <c r="Q650" i="2"/>
  <c r="L582" i="2"/>
  <c r="M582" i="2"/>
  <c r="Q485" i="2"/>
  <c r="M724" i="2"/>
  <c r="Q716" i="2"/>
  <c r="M712" i="2"/>
  <c r="Q704" i="2"/>
  <c r="M700" i="2"/>
  <c r="Q692" i="2"/>
  <c r="M688" i="2"/>
  <c r="Q683" i="2"/>
  <c r="L681" i="2"/>
  <c r="M681" i="2"/>
  <c r="L677" i="2"/>
  <c r="M677" i="2"/>
  <c r="M666" i="2"/>
  <c r="Q653" i="2"/>
  <c r="M643" i="2"/>
  <c r="Q626" i="2"/>
  <c r="Q767" i="2"/>
  <c r="Q766" i="2"/>
  <c r="Q765" i="2"/>
  <c r="Q764" i="2"/>
  <c r="Q763" i="2"/>
  <c r="Q762" i="2"/>
  <c r="Q761" i="2"/>
  <c r="Q760" i="2"/>
  <c r="Q759" i="2"/>
  <c r="Q758" i="2"/>
  <c r="Q757" i="2"/>
  <c r="Q756" i="2"/>
  <c r="Q755" i="2"/>
  <c r="Q754" i="2"/>
  <c r="Q753" i="2"/>
  <c r="Q752" i="2"/>
  <c r="Q751" i="2"/>
  <c r="Q750" i="2"/>
  <c r="Q749" i="2"/>
  <c r="Q748" i="2"/>
  <c r="Q747" i="2"/>
  <c r="Q746" i="2"/>
  <c r="Q745" i="2"/>
  <c r="Q744" i="2"/>
  <c r="Q743" i="2"/>
  <c r="Q742" i="2"/>
  <c r="Q741" i="2"/>
  <c r="Q740" i="2"/>
  <c r="Q739" i="2"/>
  <c r="Q738" i="2"/>
  <c r="Q737" i="2"/>
  <c r="Q736" i="2"/>
  <c r="Q735" i="2"/>
  <c r="Q734" i="2"/>
  <c r="Q733" i="2"/>
  <c r="Q732" i="2"/>
  <c r="Q731" i="2"/>
  <c r="Q730" i="2"/>
  <c r="Q729" i="2"/>
  <c r="L724" i="2"/>
  <c r="Q717" i="2"/>
  <c r="M713" i="2"/>
  <c r="P713" i="2" s="1"/>
  <c r="L712" i="2"/>
  <c r="Q705" i="2"/>
  <c r="M701" i="2"/>
  <c r="L700" i="2"/>
  <c r="Q693" i="2"/>
  <c r="M689" i="2"/>
  <c r="L688" i="2"/>
  <c r="Q679" i="2"/>
  <c r="L666" i="2"/>
  <c r="Q659" i="2"/>
  <c r="Q643" i="2"/>
  <c r="Q641" i="2"/>
  <c r="M726" i="2"/>
  <c r="Q718" i="2"/>
  <c r="M714" i="2"/>
  <c r="Q706" i="2"/>
  <c r="M702" i="2"/>
  <c r="Q694" i="2"/>
  <c r="M690" i="2"/>
  <c r="Q684" i="2"/>
  <c r="Q675" i="2"/>
  <c r="L653" i="2"/>
  <c r="M653" i="2"/>
  <c r="M703" i="2"/>
  <c r="M691" i="2"/>
  <c r="L682" i="2"/>
  <c r="M682" i="2"/>
  <c r="L678" i="2"/>
  <c r="M678" i="2"/>
  <c r="Q671" i="2"/>
  <c r="M663" i="2"/>
  <c r="L641" i="2"/>
  <c r="M641" i="2"/>
  <c r="L573" i="2"/>
  <c r="M573" i="2"/>
  <c r="L570" i="2"/>
  <c r="M570" i="2"/>
  <c r="Q570" i="2"/>
  <c r="L567" i="2"/>
  <c r="M567" i="2"/>
  <c r="Q567" i="2"/>
  <c r="Q708" i="2"/>
  <c r="Q668" i="2"/>
  <c r="M659" i="2"/>
  <c r="L616" i="2"/>
  <c r="M616" i="2"/>
  <c r="Q616" i="2"/>
  <c r="Q664" i="2"/>
  <c r="Q630" i="2"/>
  <c r="Q622" i="2"/>
  <c r="Q602" i="2"/>
  <c r="L679" i="2"/>
  <c r="M679" i="2"/>
  <c r="M671" i="2"/>
  <c r="L654" i="2"/>
  <c r="Q639" i="2"/>
  <c r="L619" i="2"/>
  <c r="M619" i="2"/>
  <c r="Q619" i="2"/>
  <c r="Q617" i="2"/>
  <c r="L576" i="2"/>
  <c r="M576" i="2"/>
  <c r="Q576" i="2"/>
  <c r="Q669" i="2"/>
  <c r="L664" i="2"/>
  <c r="M664" i="2"/>
  <c r="Q579" i="2"/>
  <c r="Q666" i="2"/>
  <c r="M655" i="2"/>
  <c r="M654" i="2"/>
  <c r="Q646" i="2"/>
  <c r="L622" i="2"/>
  <c r="M622" i="2"/>
  <c r="Q618" i="2"/>
  <c r="Q614" i="2"/>
  <c r="L599" i="2"/>
  <c r="M599" i="2"/>
  <c r="M579" i="2"/>
  <c r="Q574" i="2"/>
  <c r="L564" i="2"/>
  <c r="M564" i="2"/>
  <c r="Q511" i="2"/>
  <c r="L655" i="2"/>
  <c r="Q652" i="2"/>
  <c r="Q651" i="2"/>
  <c r="L650" i="2"/>
  <c r="M639" i="2"/>
  <c r="P639" i="2" s="1"/>
  <c r="L635" i="2"/>
  <c r="M635" i="2"/>
  <c r="M631" i="2"/>
  <c r="M630" i="2"/>
  <c r="L626" i="2"/>
  <c r="L618" i="2"/>
  <c r="M614" i="2"/>
  <c r="L610" i="2"/>
  <c r="M610" i="2"/>
  <c r="L606" i="2"/>
  <c r="M606" i="2"/>
  <c r="L602" i="2"/>
  <c r="Q597" i="2"/>
  <c r="M593" i="2"/>
  <c r="L558" i="2"/>
  <c r="M558" i="2"/>
  <c r="L656" i="2"/>
  <c r="L631" i="2"/>
  <c r="Q628" i="2"/>
  <c r="M589" i="2"/>
  <c r="Q589" i="2"/>
  <c r="M574" i="2"/>
  <c r="L552" i="2"/>
  <c r="M552" i="2"/>
  <c r="L623" i="2"/>
  <c r="M623" i="2"/>
  <c r="L600" i="2"/>
  <c r="M600" i="2"/>
  <c r="M583" i="2"/>
  <c r="Q583" i="2"/>
  <c r="Q670" i="2"/>
  <c r="Q658" i="2"/>
  <c r="M651" i="2"/>
  <c r="M636" i="2"/>
  <c r="M607" i="2"/>
  <c r="M581" i="2"/>
  <c r="L611" i="2"/>
  <c r="M611" i="2"/>
  <c r="L587" i="2"/>
  <c r="M587" i="2"/>
  <c r="Q499" i="2"/>
  <c r="Q672" i="2"/>
  <c r="M670" i="2"/>
  <c r="Q660" i="2"/>
  <c r="M658" i="2"/>
  <c r="Q642" i="2"/>
  <c r="Q638" i="2"/>
  <c r="Q634" i="2"/>
  <c r="M624" i="2"/>
  <c r="Q609" i="2"/>
  <c r="L590" i="2"/>
  <c r="Q585" i="2"/>
  <c r="M578" i="2"/>
  <c r="M512" i="2"/>
  <c r="Q673" i="2"/>
  <c r="Q661" i="2"/>
  <c r="M605" i="2"/>
  <c r="L594" i="2"/>
  <c r="M594" i="2"/>
  <c r="Q591" i="2"/>
  <c r="M612" i="2"/>
  <c r="L588" i="2"/>
  <c r="M588" i="2"/>
  <c r="Q582" i="2"/>
  <c r="Q573" i="2"/>
  <c r="Q663" i="2"/>
  <c r="Q654" i="2"/>
  <c r="M648" i="2"/>
  <c r="P648" i="2" s="1"/>
  <c r="M642" i="2"/>
  <c r="L638" i="2"/>
  <c r="L629" i="2"/>
  <c r="M601" i="2"/>
  <c r="Q601" i="2"/>
  <c r="M598" i="2"/>
  <c r="M586" i="2"/>
  <c r="Q577" i="2"/>
  <c r="L574" i="2"/>
  <c r="L508" i="2"/>
  <c r="L496" i="2"/>
  <c r="M480" i="2"/>
  <c r="L427" i="2"/>
  <c r="M427" i="2"/>
  <c r="Q590" i="2"/>
  <c r="Q578" i="2"/>
  <c r="Q571" i="2"/>
  <c r="Q565" i="2"/>
  <c r="Q559" i="2"/>
  <c r="Q553" i="2"/>
  <c r="Q548" i="2"/>
  <c r="M547" i="2"/>
  <c r="Q544" i="2"/>
  <c r="M543" i="2"/>
  <c r="Q540" i="2"/>
  <c r="M539" i="2"/>
  <c r="P539" i="2" s="1"/>
  <c r="Q536" i="2"/>
  <c r="M535" i="2"/>
  <c r="Q532" i="2"/>
  <c r="M531" i="2"/>
  <c r="Q528" i="2"/>
  <c r="M527" i="2"/>
  <c r="Q512" i="2"/>
  <c r="Q500" i="2"/>
  <c r="L575" i="2"/>
  <c r="M508" i="2"/>
  <c r="Q508" i="2"/>
  <c r="M496" i="2"/>
  <c r="Q496" i="2"/>
  <c r="L506" i="2"/>
  <c r="M506" i="2"/>
  <c r="Q561" i="2"/>
  <c r="Q555" i="2"/>
  <c r="L512" i="2"/>
  <c r="L509" i="2"/>
  <c r="L497" i="2"/>
  <c r="L483" i="2"/>
  <c r="M483" i="2"/>
  <c r="Q483" i="2"/>
  <c r="Q510" i="2"/>
  <c r="Q498" i="2"/>
  <c r="L489" i="2"/>
  <c r="M489" i="2"/>
  <c r="Q489" i="2"/>
  <c r="M561" i="2"/>
  <c r="M555" i="2"/>
  <c r="L452" i="2"/>
  <c r="M452" i="2"/>
  <c r="L507" i="2"/>
  <c r="M507" i="2"/>
  <c r="L495" i="2"/>
  <c r="M495" i="2"/>
  <c r="Q465" i="2"/>
  <c r="L461" i="2"/>
  <c r="M461" i="2"/>
  <c r="Q372" i="2"/>
  <c r="Q360" i="2"/>
  <c r="L480" i="2"/>
  <c r="L477" i="2"/>
  <c r="L474" i="2"/>
  <c r="L471" i="2"/>
  <c r="L468" i="2"/>
  <c r="Q453" i="2"/>
  <c r="L450" i="2"/>
  <c r="M450" i="2"/>
  <c r="Q385" i="2"/>
  <c r="Q503" i="2"/>
  <c r="M500" i="2"/>
  <c r="M462" i="2"/>
  <c r="L453" i="2"/>
  <c r="P453" i="2" s="1"/>
  <c r="Q448" i="2"/>
  <c r="Q444" i="2"/>
  <c r="L444" i="2"/>
  <c r="L433" i="2"/>
  <c r="Q422" i="2"/>
  <c r="L422" i="2"/>
  <c r="L409" i="2"/>
  <c r="M409" i="2"/>
  <c r="L385" i="2"/>
  <c r="M385" i="2"/>
  <c r="L290" i="2"/>
  <c r="M290" i="2"/>
  <c r="M463" i="2"/>
  <c r="Q434" i="2"/>
  <c r="Q415" i="2"/>
  <c r="Q391" i="2"/>
  <c r="Q368" i="2"/>
  <c r="L332" i="2"/>
  <c r="M332" i="2"/>
  <c r="Q506" i="2"/>
  <c r="M503" i="2"/>
  <c r="M493" i="2"/>
  <c r="M487" i="2"/>
  <c r="L481" i="2"/>
  <c r="P481" i="2" s="1"/>
  <c r="L478" i="2"/>
  <c r="L475" i="2"/>
  <c r="L472" i="2"/>
  <c r="L469" i="2"/>
  <c r="Q460" i="2"/>
  <c r="Q456" i="2"/>
  <c r="L456" i="2"/>
  <c r="L451" i="2"/>
  <c r="L445" i="2"/>
  <c r="M445" i="2"/>
  <c r="Q442" i="2"/>
  <c r="Q428" i="2"/>
  <c r="L428" i="2"/>
  <c r="L415" i="2"/>
  <c r="M415" i="2"/>
  <c r="L391" i="2"/>
  <c r="M391" i="2"/>
  <c r="Q356" i="2"/>
  <c r="Q298" i="2"/>
  <c r="M504" i="2"/>
  <c r="Q443" i="2"/>
  <c r="Q464" i="2"/>
  <c r="L460" i="2"/>
  <c r="M460" i="2"/>
  <c r="L434" i="2"/>
  <c r="Q333" i="2"/>
  <c r="Q509" i="2"/>
  <c r="Q497" i="2"/>
  <c r="Q461" i="2"/>
  <c r="L457" i="2"/>
  <c r="M457" i="2"/>
  <c r="Q454" i="2"/>
  <c r="L440" i="2"/>
  <c r="L432" i="2"/>
  <c r="M432" i="2"/>
  <c r="L421" i="2"/>
  <c r="M421" i="2"/>
  <c r="L397" i="2"/>
  <c r="M397" i="2"/>
  <c r="Q376" i="2"/>
  <c r="Q364" i="2"/>
  <c r="Q303" i="2"/>
  <c r="L482" i="2"/>
  <c r="L479" i="2"/>
  <c r="L476" i="2"/>
  <c r="P476" i="2" s="1"/>
  <c r="L473" i="2"/>
  <c r="L470" i="2"/>
  <c r="L464" i="2"/>
  <c r="L454" i="2"/>
  <c r="L438" i="2"/>
  <c r="M438" i="2"/>
  <c r="Q438" i="2"/>
  <c r="Q322" i="2"/>
  <c r="L305" i="2"/>
  <c r="M305" i="2"/>
  <c r="L449" i="2"/>
  <c r="M449" i="2"/>
  <c r="Q449" i="2"/>
  <c r="Q441" i="2"/>
  <c r="Q427" i="2"/>
  <c r="Q403" i="2"/>
  <c r="Q352" i="2"/>
  <c r="L410" i="2"/>
  <c r="L404" i="2"/>
  <c r="L398" i="2"/>
  <c r="L392" i="2"/>
  <c r="L386" i="2"/>
  <c r="P386" i="2" s="1"/>
  <c r="L380" i="2"/>
  <c r="M348" i="2"/>
  <c r="M345" i="2"/>
  <c r="M342" i="2"/>
  <c r="M339" i="2"/>
  <c r="M336" i="2"/>
  <c r="M325" i="2"/>
  <c r="Q316" i="2"/>
  <c r="Q313" i="2"/>
  <c r="Q291" i="2"/>
  <c r="M376" i="2"/>
  <c r="M372" i="2"/>
  <c r="M368" i="2"/>
  <c r="M364" i="2"/>
  <c r="M360" i="2"/>
  <c r="M356" i="2"/>
  <c r="M352" i="2"/>
  <c r="L313" i="2"/>
  <c r="M313" i="2"/>
  <c r="Q306" i="2"/>
  <c r="L298" i="2"/>
  <c r="M298" i="2"/>
  <c r="L435" i="2"/>
  <c r="L429" i="2"/>
  <c r="P429" i="2" s="1"/>
  <c r="L423" i="2"/>
  <c r="P423" i="2" s="1"/>
  <c r="L417" i="2"/>
  <c r="L411" i="2"/>
  <c r="P411" i="2" s="1"/>
  <c r="L405" i="2"/>
  <c r="L399" i="2"/>
  <c r="L393" i="2"/>
  <c r="L387" i="2"/>
  <c r="L381" i="2"/>
  <c r="Q301" i="2"/>
  <c r="L272" i="2"/>
  <c r="M272" i="2"/>
  <c r="Q330" i="2"/>
  <c r="L308" i="2"/>
  <c r="P308" i="2" s="1"/>
  <c r="L301" i="2"/>
  <c r="M377" i="2"/>
  <c r="M373" i="2"/>
  <c r="M369" i="2"/>
  <c r="M365" i="2"/>
  <c r="M361" i="2"/>
  <c r="M357" i="2"/>
  <c r="M353" i="2"/>
  <c r="Q350" i="2"/>
  <c r="M349" i="2"/>
  <c r="M346" i="2"/>
  <c r="M343" i="2"/>
  <c r="M340" i="2"/>
  <c r="M337" i="2"/>
  <c r="M319" i="2"/>
  <c r="L311" i="2"/>
  <c r="Q309" i="2"/>
  <c r="Q304" i="2"/>
  <c r="M301" i="2"/>
  <c r="L289" i="2"/>
  <c r="L284" i="2"/>
  <c r="M284" i="2"/>
  <c r="L268" i="2"/>
  <c r="M268" i="2"/>
  <c r="M259" i="2"/>
  <c r="Q463" i="2"/>
  <c r="Q451" i="2"/>
  <c r="M448" i="2"/>
  <c r="Q439" i="2"/>
  <c r="M437" i="2"/>
  <c r="M431" i="2"/>
  <c r="M425" i="2"/>
  <c r="M419" i="2"/>
  <c r="M413" i="2"/>
  <c r="M407" i="2"/>
  <c r="M401" i="2"/>
  <c r="M395" i="2"/>
  <c r="M389" i="2"/>
  <c r="M383" i="2"/>
  <c r="L330" i="2"/>
  <c r="M330" i="2"/>
  <c r="Q327" i="2"/>
  <c r="L326" i="2"/>
  <c r="L296" i="2"/>
  <c r="M289" i="2"/>
  <c r="Q452" i="2"/>
  <c r="Q440" i="2"/>
  <c r="L437" i="2"/>
  <c r="L431" i="2"/>
  <c r="L425" i="2"/>
  <c r="L419" i="2"/>
  <c r="L413" i="2"/>
  <c r="L407" i="2"/>
  <c r="L401" i="2"/>
  <c r="L395" i="2"/>
  <c r="L389" i="2"/>
  <c r="L383" i="2"/>
  <c r="Q331" i="2"/>
  <c r="L323" i="2"/>
  <c r="M323" i="2"/>
  <c r="L320" i="2"/>
  <c r="M317" i="2"/>
  <c r="Q312" i="2"/>
  <c r="L304" i="2"/>
  <c r="M304" i="2"/>
  <c r="L299" i="2"/>
  <c r="Q297" i="2"/>
  <c r="M426" i="2"/>
  <c r="M420" i="2"/>
  <c r="M414" i="2"/>
  <c r="M408" i="2"/>
  <c r="M402" i="2"/>
  <c r="M396" i="2"/>
  <c r="M390" i="2"/>
  <c r="M384" i="2"/>
  <c r="M378" i="2"/>
  <c r="P378" i="2" s="1"/>
  <c r="M374" i="2"/>
  <c r="M370" i="2"/>
  <c r="M366" i="2"/>
  <c r="M362" i="2"/>
  <c r="M358" i="2"/>
  <c r="M354" i="2"/>
  <c r="M350" i="2"/>
  <c r="Q324" i="2"/>
  <c r="Q307" i="2"/>
  <c r="L426" i="2"/>
  <c r="L420" i="2"/>
  <c r="L414" i="2"/>
  <c r="L408" i="2"/>
  <c r="L402" i="2"/>
  <c r="L396" i="2"/>
  <c r="L390" i="2"/>
  <c r="L384" i="2"/>
  <c r="M347" i="2"/>
  <c r="M344" i="2"/>
  <c r="P344" i="2" s="1"/>
  <c r="M341" i="2"/>
  <c r="M338" i="2"/>
  <c r="Q318" i="2"/>
  <c r="L314" i="2"/>
  <c r="P314" i="2" s="1"/>
  <c r="L307" i="2"/>
  <c r="M302" i="2"/>
  <c r="Q300" i="2"/>
  <c r="Q410" i="2"/>
  <c r="Q404" i="2"/>
  <c r="Q398" i="2"/>
  <c r="Q392" i="2"/>
  <c r="Q386" i="2"/>
  <c r="Q380" i="2"/>
  <c r="L335" i="2"/>
  <c r="M335" i="2"/>
  <c r="M327" i="2"/>
  <c r="M324" i="2"/>
  <c r="Q310" i="2"/>
  <c r="M307" i="2"/>
  <c r="L278" i="2"/>
  <c r="M278" i="2"/>
  <c r="M379" i="2"/>
  <c r="M375" i="2"/>
  <c r="M371" i="2"/>
  <c r="P371" i="2" s="1"/>
  <c r="M367" i="2"/>
  <c r="M363" i="2"/>
  <c r="M359" i="2"/>
  <c r="M355" i="2"/>
  <c r="M351" i="2"/>
  <c r="L318" i="2"/>
  <c r="M318" i="2"/>
  <c r="L302" i="2"/>
  <c r="L295" i="2"/>
  <c r="Q332" i="2"/>
  <c r="Q320" i="2"/>
  <c r="Q311" i="2"/>
  <c r="Q305" i="2"/>
  <c r="Q299" i="2"/>
  <c r="Q293" i="2"/>
  <c r="M292" i="2"/>
  <c r="Q287" i="2"/>
  <c r="Q281" i="2"/>
  <c r="Q275" i="2"/>
  <c r="L259" i="2"/>
  <c r="L264" i="2"/>
  <c r="M264" i="2"/>
  <c r="L229" i="2"/>
  <c r="M229" i="2"/>
  <c r="Q229" i="2"/>
  <c r="L223" i="2"/>
  <c r="M223" i="2"/>
  <c r="Q223" i="2"/>
  <c r="L218" i="2"/>
  <c r="Q218" i="2"/>
  <c r="M218" i="2"/>
  <c r="M293" i="2"/>
  <c r="M287" i="2"/>
  <c r="Q282" i="2"/>
  <c r="M281" i="2"/>
  <c r="Q276" i="2"/>
  <c r="M275" i="2"/>
  <c r="M265" i="2"/>
  <c r="Q261" i="2"/>
  <c r="L146" i="2"/>
  <c r="M146" i="2"/>
  <c r="Q335" i="2"/>
  <c r="Q323" i="2"/>
  <c r="L269" i="2"/>
  <c r="Q269" i="2"/>
  <c r="L254" i="2"/>
  <c r="Q254" i="2"/>
  <c r="Q248" i="2"/>
  <c r="M238" i="2"/>
  <c r="Q238" i="2"/>
  <c r="Q295" i="2"/>
  <c r="Q289" i="2"/>
  <c r="Q283" i="2"/>
  <c r="M282" i="2"/>
  <c r="Q277" i="2"/>
  <c r="M276" i="2"/>
  <c r="Q271" i="2"/>
  <c r="L257" i="2"/>
  <c r="M257" i="2"/>
  <c r="Q257" i="2"/>
  <c r="L235" i="2"/>
  <c r="M235" i="2"/>
  <c r="Q235" i="2"/>
  <c r="Q325" i="2"/>
  <c r="L270" i="2"/>
  <c r="Q231" i="2"/>
  <c r="L214" i="2"/>
  <c r="Q214" i="2"/>
  <c r="M214" i="2"/>
  <c r="Q326" i="2"/>
  <c r="Q314" i="2"/>
  <c r="Q308" i="2"/>
  <c r="Q302" i="2"/>
  <c r="Q296" i="2"/>
  <c r="Q290" i="2"/>
  <c r="Q284" i="2"/>
  <c r="Q278" i="2"/>
  <c r="Q272" i="2"/>
  <c r="M271" i="2"/>
  <c r="L266" i="2"/>
  <c r="Q263" i="2"/>
  <c r="Q262" i="2"/>
  <c r="L261" i="2"/>
  <c r="L252" i="2"/>
  <c r="M252" i="2"/>
  <c r="M244" i="2"/>
  <c r="Q244" i="2"/>
  <c r="Q315" i="2"/>
  <c r="L258" i="2"/>
  <c r="M258" i="2"/>
  <c r="L241" i="2"/>
  <c r="M241" i="2"/>
  <c r="Q241" i="2"/>
  <c r="Q268" i="2"/>
  <c r="L267" i="2"/>
  <c r="M267" i="2"/>
  <c r="Q237" i="2"/>
  <c r="Q329" i="2"/>
  <c r="Q317" i="2"/>
  <c r="Q259" i="2"/>
  <c r="Q256" i="2"/>
  <c r="Q129" i="2"/>
  <c r="M253" i="2"/>
  <c r="L247" i="2"/>
  <c r="M247" i="2"/>
  <c r="L158" i="2"/>
  <c r="M158" i="2"/>
  <c r="L248" i="2"/>
  <c r="Q232" i="2"/>
  <c r="Q226" i="2"/>
  <c r="Q220" i="2"/>
  <c r="L211" i="2"/>
  <c r="Q211" i="2"/>
  <c r="L208" i="2"/>
  <c r="Q208" i="2"/>
  <c r="L205" i="2"/>
  <c r="Q205" i="2"/>
  <c r="L202" i="2"/>
  <c r="Q202" i="2"/>
  <c r="L199" i="2"/>
  <c r="Q199" i="2"/>
  <c r="L196" i="2"/>
  <c r="Q196" i="2"/>
  <c r="L193" i="2"/>
  <c r="L190" i="2"/>
  <c r="L187" i="2"/>
  <c r="L184" i="2"/>
  <c r="L181" i="2"/>
  <c r="L178" i="2"/>
  <c r="L175" i="2"/>
  <c r="L172" i="2"/>
  <c r="L169" i="2"/>
  <c r="L166" i="2"/>
  <c r="L163" i="2"/>
  <c r="L151" i="2"/>
  <c r="M151" i="2"/>
  <c r="L73" i="2"/>
  <c r="M73" i="2"/>
  <c r="Q255" i="2"/>
  <c r="L249" i="2"/>
  <c r="P249" i="2" s="1"/>
  <c r="L242" i="2"/>
  <c r="L236" i="2"/>
  <c r="L230" i="2"/>
  <c r="L224" i="2"/>
  <c r="L156" i="2"/>
  <c r="M156" i="2"/>
  <c r="L144" i="2"/>
  <c r="M144" i="2"/>
  <c r="L262" i="2"/>
  <c r="L250" i="2"/>
  <c r="Q221" i="2"/>
  <c r="L219" i="2"/>
  <c r="Q219" i="2"/>
  <c r="L215" i="2"/>
  <c r="Q215" i="2"/>
  <c r="L161" i="2"/>
  <c r="M161" i="2"/>
  <c r="L149" i="2"/>
  <c r="M149" i="2"/>
  <c r="L154" i="2"/>
  <c r="M154" i="2"/>
  <c r="L142" i="2"/>
  <c r="M142" i="2"/>
  <c r="Q137" i="2"/>
  <c r="L212" i="2"/>
  <c r="Q212" i="2"/>
  <c r="L209" i="2"/>
  <c r="Q209" i="2"/>
  <c r="L206" i="2"/>
  <c r="Q206" i="2"/>
  <c r="L203" i="2"/>
  <c r="Q203" i="2"/>
  <c r="L200" i="2"/>
  <c r="Q200" i="2"/>
  <c r="L197" i="2"/>
  <c r="Q197" i="2"/>
  <c r="L194" i="2"/>
  <c r="L191" i="2"/>
  <c r="L188" i="2"/>
  <c r="L185" i="2"/>
  <c r="L182" i="2"/>
  <c r="L179" i="2"/>
  <c r="L176" i="2"/>
  <c r="L173" i="2"/>
  <c r="L170" i="2"/>
  <c r="L167" i="2"/>
  <c r="L164" i="2"/>
  <c r="L159" i="2"/>
  <c r="M159" i="2"/>
  <c r="L147" i="2"/>
  <c r="M147" i="2"/>
  <c r="Q127" i="2"/>
  <c r="L265" i="2"/>
  <c r="L253" i="2"/>
  <c r="L244" i="2"/>
  <c r="L238" i="2"/>
  <c r="L232" i="2"/>
  <c r="L226" i="2"/>
  <c r="L220" i="2"/>
  <c r="L216" i="2"/>
  <c r="Q216" i="2"/>
  <c r="L152" i="2"/>
  <c r="M152" i="2"/>
  <c r="L140" i="2"/>
  <c r="M140" i="2"/>
  <c r="L157" i="2"/>
  <c r="M157" i="2"/>
  <c r="L145" i="2"/>
  <c r="M145" i="2"/>
  <c r="L133" i="2"/>
  <c r="M133" i="2"/>
  <c r="L127" i="2"/>
  <c r="M127" i="2"/>
  <c r="L255" i="2"/>
  <c r="Q249" i="2"/>
  <c r="M246" i="2"/>
  <c r="L245" i="2"/>
  <c r="M240" i="2"/>
  <c r="P240" i="2" s="1"/>
  <c r="L239" i="2"/>
  <c r="M234" i="2"/>
  <c r="L233" i="2"/>
  <c r="P233" i="2" s="1"/>
  <c r="M228" i="2"/>
  <c r="L227" i="2"/>
  <c r="M222" i="2"/>
  <c r="L221" i="2"/>
  <c r="L162" i="2"/>
  <c r="M162" i="2"/>
  <c r="L150" i="2"/>
  <c r="M150" i="2"/>
  <c r="Q134" i="2"/>
  <c r="L256" i="2"/>
  <c r="L217" i="2"/>
  <c r="Q217" i="2"/>
  <c r="L213" i="2"/>
  <c r="Q213" i="2"/>
  <c r="L210" i="2"/>
  <c r="Q210" i="2"/>
  <c r="L207" i="2"/>
  <c r="Q207" i="2"/>
  <c r="L204" i="2"/>
  <c r="Q204" i="2"/>
  <c r="L201" i="2"/>
  <c r="Q201" i="2"/>
  <c r="L198" i="2"/>
  <c r="Q198" i="2"/>
  <c r="L195" i="2"/>
  <c r="L192" i="2"/>
  <c r="L189" i="2"/>
  <c r="L186" i="2"/>
  <c r="L183" i="2"/>
  <c r="L180" i="2"/>
  <c r="P180" i="2" s="1"/>
  <c r="L177" i="2"/>
  <c r="L174" i="2"/>
  <c r="L171" i="2"/>
  <c r="L168" i="2"/>
  <c r="L165" i="2"/>
  <c r="L155" i="2"/>
  <c r="M155" i="2"/>
  <c r="L143" i="2"/>
  <c r="M143" i="2"/>
  <c r="L131" i="2"/>
  <c r="M131" i="2"/>
  <c r="Q131" i="2"/>
  <c r="L160" i="2"/>
  <c r="M160" i="2"/>
  <c r="L148" i="2"/>
  <c r="M148" i="2"/>
  <c r="M248" i="2"/>
  <c r="L153" i="2"/>
  <c r="M153" i="2"/>
  <c r="L141" i="2"/>
  <c r="M141" i="2"/>
  <c r="Q195" i="2"/>
  <c r="Q194" i="2"/>
  <c r="Q193" i="2"/>
  <c r="Q192" i="2"/>
  <c r="Q191" i="2"/>
  <c r="Q190" i="2"/>
  <c r="Q189" i="2"/>
  <c r="Q188" i="2"/>
  <c r="Q187" i="2"/>
  <c r="Q186" i="2"/>
  <c r="Q185" i="2"/>
  <c r="Q184" i="2"/>
  <c r="Q183" i="2"/>
  <c r="Q182" i="2"/>
  <c r="Q181" i="2"/>
  <c r="Q180" i="2"/>
  <c r="Q179" i="2"/>
  <c r="Q178" i="2"/>
  <c r="Q177" i="2"/>
  <c r="Q176" i="2"/>
  <c r="Q175" i="2"/>
  <c r="Q174" i="2"/>
  <c r="Q173" i="2"/>
  <c r="Q172" i="2"/>
  <c r="Q171" i="2"/>
  <c r="Q170" i="2"/>
  <c r="Q169" i="2"/>
  <c r="Q168" i="2"/>
  <c r="Q167" i="2"/>
  <c r="Q166" i="2"/>
  <c r="Q165" i="2"/>
  <c r="Q164" i="2"/>
  <c r="Q163" i="2"/>
  <c r="Q162" i="2"/>
  <c r="Q161" i="2"/>
  <c r="Q160" i="2"/>
  <c r="Q159" i="2"/>
  <c r="Q158" i="2"/>
  <c r="Q157" i="2"/>
  <c r="Q156" i="2"/>
  <c r="Q155" i="2"/>
  <c r="Q154" i="2"/>
  <c r="Q153" i="2"/>
  <c r="Q152" i="2"/>
  <c r="Q151" i="2"/>
  <c r="Q150" i="2"/>
  <c r="Q149" i="2"/>
  <c r="Q148" i="2"/>
  <c r="Q147" i="2"/>
  <c r="Q146" i="2"/>
  <c r="Q145" i="2"/>
  <c r="Q144" i="2"/>
  <c r="Q143" i="2"/>
  <c r="Q142" i="2"/>
  <c r="Q141" i="2"/>
  <c r="L123" i="2"/>
  <c r="L119" i="2"/>
  <c r="L115" i="2"/>
  <c r="L111" i="2"/>
  <c r="L107" i="2"/>
  <c r="L103" i="2"/>
  <c r="P103" i="2" s="1"/>
  <c r="L99" i="2"/>
  <c r="L95" i="2"/>
  <c r="L91" i="2"/>
  <c r="P91" i="2" s="1"/>
  <c r="L70" i="2"/>
  <c r="M70" i="2"/>
  <c r="M138" i="2"/>
  <c r="Q125" i="2"/>
  <c r="Q121" i="2"/>
  <c r="Q117" i="2"/>
  <c r="Q113" i="2"/>
  <c r="Q109" i="2"/>
  <c r="Q105" i="2"/>
  <c r="Q101" i="2"/>
  <c r="Q97" i="2"/>
  <c r="Q93" i="2"/>
  <c r="Q89" i="2"/>
  <c r="Q81" i="2"/>
  <c r="Q75" i="2"/>
  <c r="Q132" i="2"/>
  <c r="Q126" i="2"/>
  <c r="L124" i="2"/>
  <c r="L120" i="2"/>
  <c r="L116" i="2"/>
  <c r="L112" i="2"/>
  <c r="L108" i="2"/>
  <c r="L104" i="2"/>
  <c r="L100" i="2"/>
  <c r="L96" i="2"/>
  <c r="P96" i="2" s="1"/>
  <c r="L92" i="2"/>
  <c r="L88" i="2"/>
  <c r="Q78" i="2"/>
  <c r="L61" i="2"/>
  <c r="M61" i="2"/>
  <c r="Q133" i="2"/>
  <c r="Q122" i="2"/>
  <c r="Q118" i="2"/>
  <c r="Q114" i="2"/>
  <c r="Q110" i="2"/>
  <c r="Q106" i="2"/>
  <c r="Q102" i="2"/>
  <c r="Q98" i="2"/>
  <c r="Q94" i="2"/>
  <c r="Q90" i="2"/>
  <c r="L55" i="2"/>
  <c r="M55" i="2"/>
  <c r="L125" i="2"/>
  <c r="L121" i="2"/>
  <c r="L117" i="2"/>
  <c r="L113" i="2"/>
  <c r="P113" i="2" s="1"/>
  <c r="L109" i="2"/>
  <c r="L105" i="2"/>
  <c r="L101" i="2"/>
  <c r="L97" i="2"/>
  <c r="L93" i="2"/>
  <c r="L89" i="2"/>
  <c r="L85" i="2"/>
  <c r="M78" i="2"/>
  <c r="Q59" i="2"/>
  <c r="Q53" i="2"/>
  <c r="L82" i="2"/>
  <c r="M82" i="2"/>
  <c r="Q66" i="2"/>
  <c r="L122" i="2"/>
  <c r="L118" i="2"/>
  <c r="P118" i="2" s="1"/>
  <c r="L114" i="2"/>
  <c r="L110" i="2"/>
  <c r="L106" i="2"/>
  <c r="L102" i="2"/>
  <c r="L98" i="2"/>
  <c r="L94" i="2"/>
  <c r="L90" i="2"/>
  <c r="Q83" i="2"/>
  <c r="L76" i="2"/>
  <c r="Q79" i="2"/>
  <c r="M77" i="2"/>
  <c r="P77" i="2" s="1"/>
  <c r="Q67" i="2"/>
  <c r="M65" i="2"/>
  <c r="L64" i="2"/>
  <c r="L58" i="2"/>
  <c r="M28" i="2"/>
  <c r="M25" i="2"/>
  <c r="M22" i="2"/>
  <c r="M19" i="2"/>
  <c r="M16" i="2"/>
  <c r="M13" i="2"/>
  <c r="Q80" i="2"/>
  <c r="Q68" i="2"/>
  <c r="Q60" i="2"/>
  <c r="Q54" i="2"/>
  <c r="L37" i="2"/>
  <c r="L33" i="2"/>
  <c r="L29" i="2"/>
  <c r="Q82" i="2"/>
  <c r="Q70" i="2"/>
  <c r="Q61" i="2"/>
  <c r="Q55" i="2"/>
  <c r="Q50" i="2"/>
  <c r="M26" i="2"/>
  <c r="M23" i="2"/>
  <c r="M20" i="2"/>
  <c r="M17" i="2"/>
  <c r="M14" i="2"/>
  <c r="M11" i="2"/>
  <c r="Q84" i="2"/>
  <c r="Q72" i="2"/>
  <c r="Q62" i="2"/>
  <c r="Q56" i="2"/>
  <c r="L50" i="2"/>
  <c r="L46" i="2"/>
  <c r="P46" i="2" s="1"/>
  <c r="L42" i="2"/>
  <c r="L38" i="2"/>
  <c r="L34" i="2"/>
  <c r="L30" i="2"/>
  <c r="Q85" i="2"/>
  <c r="M83" i="2"/>
  <c r="Q73" i="2"/>
  <c r="M71" i="2"/>
  <c r="Q51" i="2"/>
  <c r="Q63" i="2"/>
  <c r="Q57" i="2"/>
  <c r="M27" i="2"/>
  <c r="M24" i="2"/>
  <c r="M21" i="2"/>
  <c r="M18" i="2"/>
  <c r="M15" i="2"/>
  <c r="M12" i="2"/>
  <c r="Q76" i="2"/>
  <c r="Q64" i="2"/>
  <c r="Q58" i="2"/>
  <c r="Q52" i="2"/>
  <c r="Q77" i="2"/>
  <c r="Q65" i="2"/>
  <c r="L28" i="2"/>
  <c r="Q49" i="2"/>
  <c r="Q48" i="2"/>
  <c r="Q47" i="2"/>
  <c r="Q46" i="2"/>
  <c r="Q45" i="2"/>
  <c r="Q44" i="2"/>
  <c r="Q43" i="2"/>
  <c r="Q42" i="2"/>
  <c r="Q41" i="2"/>
  <c r="Q40" i="2"/>
  <c r="Q39" i="2"/>
  <c r="Q38" i="2"/>
  <c r="Q37" i="2"/>
  <c r="Q36" i="2"/>
  <c r="Q35" i="2"/>
  <c r="Q34" i="2"/>
  <c r="Q33" i="2"/>
  <c r="Q32" i="2"/>
  <c r="Q31" i="2"/>
  <c r="Q30" i="2"/>
  <c r="Q29" i="2"/>
  <c r="Q28" i="2"/>
  <c r="Q27" i="2"/>
  <c r="Q26" i="2"/>
  <c r="Q25" i="2"/>
  <c r="Q24" i="2"/>
  <c r="Q23" i="2"/>
  <c r="Q22" i="2"/>
  <c r="Q21" i="2"/>
  <c r="Q20" i="2"/>
  <c r="Q19" i="2"/>
  <c r="Q18" i="2"/>
  <c r="Q17" i="2"/>
  <c r="Q16" i="2"/>
  <c r="Q15" i="2"/>
  <c r="Q14" i="2"/>
  <c r="Q13" i="2"/>
  <c r="Q12" i="2"/>
  <c r="Q11" i="2"/>
  <c r="Q10" i="2"/>
  <c r="Q9" i="2"/>
  <c r="Q8" i="2"/>
  <c r="Q7" i="2"/>
  <c r="Q6" i="2"/>
  <c r="Q5" i="2"/>
  <c r="Q4" i="2"/>
  <c r="Q3" i="2"/>
  <c r="G7591" i="2"/>
  <c r="G7592" i="2"/>
  <c r="G7593" i="2"/>
  <c r="H7593" i="2" s="1"/>
  <c r="G7594" i="2"/>
  <c r="H7594" i="2" s="1"/>
  <c r="G7595" i="2"/>
  <c r="G7596" i="2"/>
  <c r="H7596" i="2" s="1"/>
  <c r="G7597" i="2"/>
  <c r="H7597" i="2" s="1"/>
  <c r="G7598" i="2"/>
  <c r="H7598" i="2" s="1"/>
  <c r="G7599" i="2"/>
  <c r="H7599" i="2" s="1"/>
  <c r="G7600" i="2"/>
  <c r="H7600" i="2" s="1"/>
  <c r="G7601" i="2"/>
  <c r="H7601" i="2" s="1"/>
  <c r="G7602" i="2"/>
  <c r="H7602" i="2" s="1"/>
  <c r="G7603" i="2"/>
  <c r="G7604" i="2"/>
  <c r="H7604" i="2" s="1"/>
  <c r="G7605" i="2"/>
  <c r="H7605" i="2" s="1"/>
  <c r="G7606" i="2"/>
  <c r="H7606" i="2" s="1"/>
  <c r="G7607" i="2"/>
  <c r="G7608" i="2"/>
  <c r="H7608" i="2" s="1"/>
  <c r="G7609" i="2"/>
  <c r="H7609" i="2" s="1"/>
  <c r="G7610" i="2"/>
  <c r="H7610" i="2" s="1"/>
  <c r="G7611" i="2"/>
  <c r="G7612" i="2"/>
  <c r="H7612" i="2" s="1"/>
  <c r="G7613" i="2"/>
  <c r="H7613" i="2" s="1"/>
  <c r="G7614" i="2"/>
  <c r="H7614" i="2" s="1"/>
  <c r="G7615" i="2"/>
  <c r="A7615" i="2" s="1"/>
  <c r="G7616" i="2"/>
  <c r="H7616" i="2" s="1"/>
  <c r="G7617" i="2"/>
  <c r="H7617" i="2" s="1"/>
  <c r="G7618" i="2"/>
  <c r="H7618" i="2" s="1"/>
  <c r="G7619" i="2"/>
  <c r="H7619" i="2" s="1"/>
  <c r="G7620" i="2"/>
  <c r="H7620" i="2" s="1"/>
  <c r="G7590" i="2"/>
  <c r="P6560" i="2" l="1"/>
  <c r="P1379" i="2"/>
  <c r="P1694" i="2"/>
  <c r="P5151" i="2"/>
  <c r="P2451" i="2"/>
  <c r="P6053" i="2"/>
  <c r="P5986" i="2"/>
  <c r="P7546" i="2"/>
  <c r="P6285" i="2"/>
  <c r="P1095" i="2"/>
  <c r="P1987" i="2"/>
  <c r="P2953" i="2"/>
  <c r="P5938" i="2"/>
  <c r="P6002" i="2"/>
  <c r="P5806" i="2"/>
  <c r="P6852" i="2"/>
  <c r="P6935" i="2"/>
  <c r="P2446" i="2"/>
  <c r="P2486" i="2"/>
  <c r="P6945" i="2"/>
  <c r="P1340" i="2"/>
  <c r="P5796" i="2"/>
  <c r="P5820" i="2"/>
  <c r="P6090" i="2"/>
  <c r="P5294" i="2"/>
  <c r="P6231" i="2"/>
  <c r="P6067" i="2"/>
  <c r="P5490" i="2"/>
  <c r="P5131" i="2"/>
  <c r="P5741" i="2"/>
  <c r="P2461" i="2"/>
  <c r="P4906" i="2"/>
  <c r="P111" i="2"/>
  <c r="P187" i="2"/>
  <c r="P1500" i="2"/>
  <c r="P2033" i="2"/>
  <c r="P630" i="2"/>
  <c r="P1246" i="2"/>
  <c r="P470" i="2"/>
  <c r="P2352" i="2"/>
  <c r="P3576" i="2"/>
  <c r="P6140" i="2"/>
  <c r="P7450" i="2"/>
  <c r="P359" i="2"/>
  <c r="P1545" i="2"/>
  <c r="P120" i="2"/>
  <c r="P1617" i="2"/>
  <c r="P1981" i="2"/>
  <c r="P5705" i="2"/>
  <c r="P1581" i="2"/>
  <c r="P1946" i="2"/>
  <c r="P5305" i="2"/>
  <c r="P6095" i="2"/>
  <c r="P2785" i="2"/>
  <c r="P3605" i="2"/>
  <c r="P190" i="2"/>
  <c r="P5937" i="2"/>
  <c r="P1188" i="2"/>
  <c r="P4636" i="2"/>
  <c r="P4772" i="2"/>
  <c r="P5830" i="2"/>
  <c r="P6812" i="2"/>
  <c r="P5384" i="2"/>
  <c r="P6368" i="2"/>
  <c r="P2835" i="2"/>
  <c r="P1657" i="2"/>
  <c r="P1543" i="2"/>
  <c r="P5176" i="2"/>
  <c r="P48" i="2"/>
  <c r="P3542" i="2"/>
  <c r="P4026" i="2"/>
  <c r="P5524" i="2"/>
  <c r="P5818" i="2"/>
  <c r="P1925" i="2"/>
  <c r="P1790" i="2"/>
  <c r="P2176" i="2"/>
  <c r="P2716" i="2"/>
  <c r="P3252" i="2"/>
  <c r="P1995" i="2"/>
  <c r="P3406" i="2"/>
  <c r="P1375" i="2"/>
  <c r="P1714" i="2"/>
  <c r="P6728" i="2"/>
  <c r="P5909" i="2"/>
  <c r="P6284" i="2"/>
  <c r="P6317" i="2"/>
  <c r="P6297" i="2"/>
  <c r="P2796" i="2"/>
  <c r="P1969" i="2"/>
  <c r="P3714" i="2"/>
  <c r="P5573" i="2"/>
  <c r="P6954" i="2"/>
  <c r="P6032" i="2"/>
  <c r="P2187" i="2"/>
  <c r="P4723" i="2"/>
  <c r="P1279" i="2"/>
  <c r="P2480" i="2"/>
  <c r="P629" i="2"/>
  <c r="P887" i="2"/>
  <c r="P1067" i="2"/>
  <c r="P916" i="2"/>
  <c r="P1343" i="2"/>
  <c r="P3728" i="2"/>
  <c r="P1199" i="2"/>
  <c r="P4646" i="2"/>
  <c r="P93" i="2"/>
  <c r="P95" i="2"/>
  <c r="P474" i="2"/>
  <c r="P593" i="2"/>
  <c r="P892" i="2"/>
  <c r="P929" i="2"/>
  <c r="P884" i="2"/>
  <c r="P1440" i="2"/>
  <c r="P1582" i="2"/>
  <c r="P1648" i="2"/>
  <c r="P2198" i="2"/>
  <c r="P2380" i="2"/>
  <c r="P2924" i="2"/>
  <c r="P2915" i="2"/>
  <c r="P2968" i="2"/>
  <c r="P3322" i="2"/>
  <c r="P3597" i="2"/>
  <c r="P3706" i="2"/>
  <c r="P3582" i="2"/>
  <c r="P4652" i="2"/>
  <c r="P4701" i="2"/>
  <c r="P5863" i="2"/>
  <c r="P2560" i="2"/>
  <c r="P7312" i="2"/>
  <c r="P217" i="2"/>
  <c r="P978" i="2"/>
  <c r="P1839" i="2"/>
  <c r="P2216" i="2"/>
  <c r="P2797" i="2"/>
  <c r="P5011" i="2"/>
  <c r="P5041" i="2"/>
  <c r="P213" i="2"/>
  <c r="P320" i="2"/>
  <c r="P340" i="2"/>
  <c r="P578" i="2"/>
  <c r="P919" i="2"/>
  <c r="P936" i="2"/>
  <c r="P1047" i="2"/>
  <c r="P1245" i="2"/>
  <c r="P1532" i="2"/>
  <c r="P2204" i="2"/>
  <c r="P2294" i="2"/>
  <c r="P2318" i="2"/>
  <c r="P2350" i="2"/>
  <c r="P2269" i="2"/>
  <c r="P3039" i="2"/>
  <c r="P3289" i="2"/>
  <c r="P3701" i="2"/>
  <c r="P4954" i="2"/>
  <c r="P5923" i="2"/>
  <c r="P7078" i="2"/>
  <c r="P6940" i="2"/>
  <c r="P9" i="2"/>
  <c r="P129" i="2"/>
  <c r="P490" i="2"/>
  <c r="P1587" i="2"/>
  <c r="P2986" i="2"/>
  <c r="P3457" i="2"/>
  <c r="P3710" i="2"/>
  <c r="P5317" i="2"/>
  <c r="P6719" i="2"/>
  <c r="P7464" i="2"/>
  <c r="P2950" i="2"/>
  <c r="P266" i="2"/>
  <c r="P696" i="2"/>
  <c r="P1033" i="2"/>
  <c r="P1499" i="2"/>
  <c r="P1952" i="2"/>
  <c r="P2113" i="2"/>
  <c r="P4662" i="2"/>
  <c r="P5417" i="2"/>
  <c r="P6592" i="2"/>
  <c r="P6942" i="2"/>
  <c r="P540" i="2"/>
  <c r="P716" i="2"/>
  <c r="P949" i="2"/>
  <c r="P1906" i="2"/>
  <c r="P2061" i="2"/>
  <c r="P3370" i="2"/>
  <c r="P3690" i="2"/>
  <c r="P3608" i="2"/>
  <c r="P5372" i="2"/>
  <c r="P5988" i="2"/>
  <c r="P5910" i="2"/>
  <c r="P6348" i="2"/>
  <c r="P7470" i="2"/>
  <c r="P2063" i="2"/>
  <c r="P3515" i="2"/>
  <c r="P3614" i="2"/>
  <c r="P368" i="2"/>
  <c r="P690" i="2"/>
  <c r="P771" i="2"/>
  <c r="P5703" i="2"/>
  <c r="P5904" i="2"/>
  <c r="P1720" i="2"/>
  <c r="P6320" i="2"/>
  <c r="P6100" i="2"/>
  <c r="P6112" i="2"/>
  <c r="P6327" i="2"/>
  <c r="P1052" i="2"/>
  <c r="P2900" i="2"/>
  <c r="P2784" i="2"/>
  <c r="P2970" i="2"/>
  <c r="P4920" i="2"/>
  <c r="P5022" i="2"/>
  <c r="P5168" i="2"/>
  <c r="P5166" i="2"/>
  <c r="P2131" i="2"/>
  <c r="P2468" i="2"/>
  <c r="P5776" i="2"/>
  <c r="P5805" i="2"/>
  <c r="P6430" i="2"/>
  <c r="P6529" i="2"/>
  <c r="P7195" i="2"/>
  <c r="P7193" i="2"/>
  <c r="P7095" i="2"/>
  <c r="P1745" i="2"/>
  <c r="P2331" i="2"/>
  <c r="P2982" i="2"/>
  <c r="P3399" i="2"/>
  <c r="P3554" i="2"/>
  <c r="P5264" i="2"/>
  <c r="P5625" i="2"/>
  <c r="P1706" i="2"/>
  <c r="P64" i="2"/>
  <c r="P5502" i="2"/>
  <c r="P114" i="2"/>
  <c r="P115" i="2"/>
  <c r="P605" i="2"/>
  <c r="P1129" i="2"/>
  <c r="P1222" i="2"/>
  <c r="P1191" i="2"/>
  <c r="P1452" i="2"/>
  <c r="P1511" i="2"/>
  <c r="P1958" i="2"/>
  <c r="P2119" i="2"/>
  <c r="P2142" i="2"/>
  <c r="P2339" i="2"/>
  <c r="P3059" i="2"/>
  <c r="P3293" i="2"/>
  <c r="P3254" i="2"/>
  <c r="P3214" i="2"/>
  <c r="P3483" i="2"/>
  <c r="P3689" i="2"/>
  <c r="P4605" i="2"/>
  <c r="P4685" i="2"/>
  <c r="P5027" i="2"/>
  <c r="P5162" i="2"/>
  <c r="P5186" i="2"/>
  <c r="P5234" i="2"/>
  <c r="P4945" i="2"/>
  <c r="P4987" i="2"/>
  <c r="P4993" i="2"/>
  <c r="P5065" i="2"/>
  <c r="P5157" i="2"/>
  <c r="P5224" i="2"/>
  <c r="P5829" i="2"/>
  <c r="P6497" i="2"/>
  <c r="P6747" i="2"/>
  <c r="P7085" i="2"/>
  <c r="P7171" i="2"/>
  <c r="P6808" i="2"/>
  <c r="P7227" i="2"/>
  <c r="P7081" i="2"/>
  <c r="P773" i="2"/>
  <c r="P1525" i="2"/>
  <c r="P2325" i="2"/>
  <c r="P2533" i="2"/>
  <c r="P2190" i="2"/>
  <c r="P2629" i="2"/>
  <c r="P2523" i="2"/>
  <c r="P3114" i="2"/>
  <c r="P3446" i="2"/>
  <c r="P3333" i="2"/>
  <c r="P3362" i="2"/>
  <c r="P3696" i="2"/>
  <c r="P4002" i="2"/>
  <c r="P4627" i="2"/>
  <c r="P4623" i="2"/>
  <c r="P5335" i="2"/>
  <c r="P5452" i="2"/>
  <c r="P5318" i="2"/>
  <c r="P5681" i="2"/>
  <c r="P5715" i="2"/>
  <c r="P5823" i="2"/>
  <c r="P5979" i="2"/>
  <c r="P5870" i="2"/>
  <c r="P5810" i="2"/>
  <c r="P6898" i="2"/>
  <c r="P6046" i="2"/>
  <c r="P6500" i="2"/>
  <c r="P7007" i="2"/>
  <c r="P7058" i="2"/>
  <c r="P7074" i="2"/>
  <c r="P1346" i="2"/>
  <c r="P1922" i="2"/>
  <c r="P2482" i="2"/>
  <c r="P5516" i="2"/>
  <c r="P5933" i="2"/>
  <c r="P6919" i="2"/>
  <c r="P6064" i="2"/>
  <c r="P6152" i="2"/>
  <c r="P6514" i="2"/>
  <c r="P22" i="2"/>
  <c r="P271" i="2"/>
  <c r="P377" i="2"/>
  <c r="P387" i="2"/>
  <c r="P473" i="2"/>
  <c r="P618" i="2"/>
  <c r="P984" i="2"/>
  <c r="P982" i="2"/>
  <c r="P911" i="2"/>
  <c r="P1034" i="2"/>
  <c r="P1473" i="2"/>
  <c r="P1567" i="2"/>
  <c r="P1515" i="2"/>
  <c r="P2167" i="2"/>
  <c r="P2377" i="2"/>
  <c r="P2654" i="2"/>
  <c r="P2481" i="2"/>
  <c r="P2726" i="2"/>
  <c r="P2961" i="2"/>
  <c r="P3282" i="2"/>
  <c r="P3664" i="2"/>
  <c r="P3637" i="2"/>
  <c r="P3683" i="2"/>
  <c r="P4010" i="2"/>
  <c r="P3704" i="2"/>
  <c r="P4058" i="2"/>
  <c r="P4106" i="2"/>
  <c r="P4591" i="2"/>
  <c r="P5170" i="2"/>
  <c r="P5817" i="2"/>
  <c r="P6458" i="2"/>
  <c r="P6676" i="2"/>
  <c r="P7301" i="2"/>
  <c r="P467" i="2"/>
  <c r="P960" i="2"/>
  <c r="P1853" i="2"/>
  <c r="P2177" i="2"/>
  <c r="P5675" i="2"/>
  <c r="P5634" i="2"/>
  <c r="P5976" i="2"/>
  <c r="P6659" i="2"/>
  <c r="P6990" i="2"/>
  <c r="P7250" i="2"/>
  <c r="P7578" i="2"/>
  <c r="P4693" i="2"/>
  <c r="P5385" i="2"/>
  <c r="P5205" i="2"/>
  <c r="P1469" i="2"/>
  <c r="P2860" i="2"/>
  <c r="P2738" i="2"/>
  <c r="P2962" i="2"/>
  <c r="P4786" i="2"/>
  <c r="P231" i="2"/>
  <c r="P1890" i="2"/>
  <c r="P6362" i="2"/>
  <c r="P256" i="2"/>
  <c r="P176" i="2"/>
  <c r="P2601" i="2"/>
  <c r="P2673" i="2"/>
  <c r="P2889" i="2"/>
  <c r="P1793" i="2"/>
  <c r="P4911" i="2"/>
  <c r="P4959" i="2"/>
  <c r="P628" i="2"/>
  <c r="P2885" i="2"/>
  <c r="P1358" i="2"/>
  <c r="P2602" i="2"/>
  <c r="P2650" i="2"/>
  <c r="P2674" i="2"/>
  <c r="P16" i="2"/>
  <c r="P221" i="2"/>
  <c r="P1079" i="2"/>
  <c r="P1256" i="2"/>
  <c r="P1516" i="2"/>
  <c r="P2181" i="2"/>
  <c r="P2128" i="2"/>
  <c r="P2374" i="2"/>
  <c r="P222" i="2"/>
  <c r="P234" i="2"/>
  <c r="P287" i="2"/>
  <c r="P399" i="2"/>
  <c r="P1137" i="2"/>
  <c r="P2978" i="2"/>
  <c r="P1959" i="2"/>
  <c r="P2069" i="2"/>
  <c r="P321" i="2"/>
  <c r="P2653" i="2"/>
  <c r="P2677" i="2"/>
  <c r="P3642" i="2"/>
  <c r="P4520" i="2"/>
  <c r="P5276" i="2"/>
  <c r="P5422" i="2"/>
  <c r="P5605" i="2"/>
  <c r="P5991" i="2"/>
  <c r="P6349" i="2"/>
  <c r="P6645" i="2"/>
  <c r="P6959" i="2"/>
  <c r="P6991" i="2"/>
  <c r="P7098" i="2"/>
  <c r="P7069" i="2"/>
  <c r="P7387" i="2"/>
  <c r="P7483" i="2"/>
  <c r="P7365" i="2"/>
  <c r="P7425" i="2"/>
  <c r="P7473" i="2"/>
  <c r="P1386" i="2"/>
  <c r="P3344" i="2"/>
  <c r="P5624" i="2"/>
  <c r="P5921" i="2"/>
  <c r="P5718" i="2"/>
  <c r="P5772" i="2"/>
  <c r="P6230" i="2"/>
  <c r="P6591" i="2"/>
  <c r="P6756" i="2"/>
  <c r="P6266" i="2"/>
  <c r="P6265" i="2"/>
  <c r="P6313" i="2"/>
  <c r="P5354" i="2"/>
  <c r="P4086" i="2"/>
  <c r="P4122" i="2"/>
  <c r="P4158" i="2"/>
  <c r="P4194" i="2"/>
  <c r="P7109" i="2"/>
  <c r="P1820" i="2"/>
  <c r="P1914" i="2"/>
  <c r="P2351" i="2"/>
  <c r="P3018" i="2"/>
  <c r="P3504" i="2"/>
  <c r="P3646" i="2"/>
  <c r="P3596" i="2"/>
  <c r="P3578" i="2"/>
  <c r="P3650" i="2"/>
  <c r="P4593" i="2"/>
  <c r="P4727" i="2"/>
  <c r="P5401" i="2"/>
  <c r="P5445" i="2"/>
  <c r="P5859" i="2"/>
  <c r="P6210" i="2"/>
  <c r="P6750" i="2"/>
  <c r="P6006" i="2"/>
  <c r="P6706" i="2"/>
  <c r="P6330" i="2"/>
  <c r="P6343" i="2"/>
  <c r="P6983" i="2"/>
  <c r="P7190" i="2"/>
  <c r="P7406" i="2"/>
  <c r="P7369" i="2"/>
  <c r="P7383" i="2"/>
  <c r="P7467" i="2"/>
  <c r="P1294" i="2"/>
  <c r="P1755" i="2"/>
  <c r="P1738" i="2"/>
  <c r="P2022" i="2"/>
  <c r="P3206" i="2"/>
  <c r="P3359" i="2"/>
  <c r="P3298" i="2"/>
  <c r="P5481" i="2"/>
  <c r="P5535" i="2"/>
  <c r="P5595" i="2"/>
  <c r="P5940" i="2"/>
  <c r="P5903" i="2"/>
  <c r="P6612" i="2"/>
  <c r="P7202" i="2"/>
  <c r="P2849" i="2"/>
  <c r="P711" i="2"/>
  <c r="P1041" i="2"/>
  <c r="P944" i="2"/>
  <c r="P3443" i="2"/>
  <c r="P4511" i="2"/>
  <c r="P5602" i="2"/>
  <c r="P6814" i="2"/>
  <c r="P6245" i="2"/>
  <c r="P6683" i="2"/>
  <c r="P6874" i="2"/>
  <c r="P7118" i="2"/>
  <c r="P7541" i="2"/>
  <c r="P7480" i="2"/>
  <c r="P7362" i="2"/>
  <c r="P7566" i="2"/>
  <c r="P7268" i="2"/>
  <c r="P1032" i="2"/>
  <c r="P1376" i="2"/>
  <c r="P2488" i="2"/>
  <c r="P2171" i="2"/>
  <c r="P2329" i="2"/>
  <c r="P3980" i="2"/>
  <c r="P4004" i="2"/>
  <c r="P5298" i="2"/>
  <c r="P5569" i="2"/>
  <c r="P5907" i="2"/>
  <c r="P5801" i="2"/>
  <c r="P6302" i="2"/>
  <c r="P6308" i="2"/>
  <c r="P6314" i="2"/>
  <c r="P927" i="2"/>
  <c r="P1141" i="2"/>
  <c r="P2588" i="2"/>
  <c r="P2636" i="2"/>
  <c r="P2657" i="2"/>
  <c r="P1415" i="2"/>
  <c r="P4488" i="2"/>
  <c r="P71" i="2"/>
  <c r="P354" i="2"/>
  <c r="P182" i="2"/>
  <c r="P853" i="2"/>
  <c r="P3916" i="2"/>
  <c r="P4483" i="2"/>
  <c r="P3340" i="2"/>
  <c r="P3411" i="2"/>
  <c r="P3891" i="2"/>
  <c r="P6540" i="2"/>
  <c r="P123" i="2"/>
  <c r="P246" i="2"/>
  <c r="P173" i="2"/>
  <c r="P369" i="2"/>
  <c r="P1019" i="2"/>
  <c r="P1123" i="2"/>
  <c r="P1472" i="2"/>
  <c r="P1520" i="2"/>
  <c r="P3750" i="2"/>
  <c r="P4547" i="2"/>
  <c r="P2293" i="2"/>
  <c r="P2088" i="2"/>
  <c r="P2474" i="2"/>
  <c r="P4938" i="2"/>
  <c r="P5953" i="2"/>
  <c r="P6749" i="2"/>
  <c r="P7296" i="2"/>
  <c r="P69" i="2"/>
  <c r="P8" i="2"/>
  <c r="P40" i="2"/>
  <c r="P2034" i="2"/>
  <c r="P3319" i="2"/>
  <c r="P785" i="2"/>
  <c r="P1409" i="2"/>
  <c r="P1360" i="2"/>
  <c r="P1529" i="2"/>
  <c r="P1917" i="2"/>
  <c r="P2491" i="2"/>
  <c r="P3510" i="2"/>
  <c r="P5827" i="2"/>
  <c r="P5845" i="2"/>
  <c r="P6652" i="2"/>
  <c r="P7299" i="2"/>
  <c r="P685" i="2"/>
  <c r="P548" i="2"/>
  <c r="P747" i="2"/>
  <c r="P965" i="2"/>
  <c r="P2154" i="2"/>
  <c r="P3895" i="2"/>
  <c r="P3977" i="2"/>
  <c r="P194" i="2"/>
  <c r="P4190" i="2"/>
  <c r="P6289" i="2"/>
  <c r="P1407" i="2"/>
  <c r="P31" i="2"/>
  <c r="P723" i="2"/>
  <c r="P2742" i="2"/>
  <c r="P1362" i="2"/>
  <c r="P1394" i="2"/>
  <c r="P1430" i="2"/>
  <c r="P1721" i="2"/>
  <c r="P1382" i="2"/>
  <c r="P6077" i="2"/>
  <c r="P6692" i="2"/>
  <c r="P3" i="2"/>
  <c r="P484" i="2"/>
  <c r="P5350" i="2"/>
  <c r="P6220" i="2"/>
  <c r="P5831" i="2"/>
  <c r="P6224" i="2"/>
  <c r="P6380" i="2"/>
  <c r="P6278" i="2"/>
  <c r="P6181" i="2"/>
  <c r="P6184" i="2"/>
  <c r="P6253" i="2"/>
  <c r="P691" i="2"/>
  <c r="P672" i="2"/>
  <c r="P1086" i="2"/>
  <c r="P509" i="2"/>
  <c r="P910" i="2"/>
  <c r="P1249" i="2"/>
  <c r="P1253" i="2"/>
  <c r="P757" i="2"/>
  <c r="P1556" i="2"/>
  <c r="P1534" i="2"/>
  <c r="P1639" i="2"/>
  <c r="P455" i="2"/>
  <c r="P132" i="2"/>
  <c r="P1705" i="2"/>
  <c r="P2725" i="2"/>
  <c r="P6054" i="2"/>
  <c r="P6232" i="2"/>
  <c r="P6089" i="2"/>
  <c r="P6270" i="2"/>
  <c r="P482" i="2"/>
  <c r="P535" i="2"/>
  <c r="P821" i="2"/>
  <c r="P983" i="2"/>
  <c r="P1073" i="2"/>
  <c r="P1076" i="2"/>
  <c r="P1132" i="2"/>
  <c r="P1484" i="2"/>
  <c r="P1796" i="2"/>
  <c r="P1836" i="2"/>
  <c r="P2267" i="2"/>
  <c r="P2368" i="2"/>
  <c r="P2392" i="2"/>
  <c r="P2683" i="2"/>
  <c r="P2731" i="2"/>
  <c r="P2811" i="2"/>
  <c r="P3284" i="2"/>
  <c r="P4121" i="2"/>
  <c r="P4193" i="2"/>
  <c r="P4790" i="2"/>
  <c r="P4964" i="2"/>
  <c r="P5020" i="2"/>
  <c r="P5038" i="2"/>
  <c r="P5200" i="2"/>
  <c r="P5411" i="2"/>
  <c r="P5394" i="2"/>
  <c r="P1384" i="2"/>
  <c r="P1802" i="2"/>
  <c r="P2972" i="2"/>
  <c r="P3395" i="2"/>
  <c r="P4571" i="2"/>
  <c r="P5832" i="2"/>
  <c r="P5886" i="2"/>
  <c r="P7535" i="2"/>
  <c r="P2173" i="2"/>
  <c r="P2025" i="2"/>
  <c r="P2750" i="2"/>
  <c r="P116" i="2"/>
  <c r="P242" i="2"/>
  <c r="P471" i="2"/>
  <c r="P1483" i="2"/>
  <c r="P1645" i="2"/>
  <c r="P1676" i="2"/>
  <c r="P1904" i="2"/>
  <c r="P2215" i="2"/>
  <c r="P2591" i="2"/>
  <c r="P2882" i="2"/>
  <c r="P3618" i="2"/>
  <c r="P4029" i="2"/>
  <c r="P76" i="2"/>
  <c r="P108" i="2"/>
  <c r="P207" i="2"/>
  <c r="P255" i="2"/>
  <c r="P230" i="2"/>
  <c r="P184" i="2"/>
  <c r="P350" i="2"/>
  <c r="P319" i="2"/>
  <c r="P357" i="2"/>
  <c r="P381" i="2"/>
  <c r="P356" i="2"/>
  <c r="P410" i="2"/>
  <c r="P493" i="2"/>
  <c r="P598" i="2"/>
  <c r="P638" i="2"/>
  <c r="P708" i="2"/>
  <c r="P907" i="2"/>
  <c r="P899" i="2"/>
  <c r="P1068" i="2"/>
  <c r="P1487" i="2"/>
  <c r="P1697" i="2"/>
  <c r="P2105" i="2"/>
  <c r="P2151" i="2"/>
  <c r="P2258" i="2"/>
  <c r="P2621" i="2"/>
  <c r="P2607" i="2"/>
  <c r="P2679" i="2"/>
  <c r="P2739" i="2"/>
  <c r="P2745" i="2"/>
  <c r="P2772" i="2"/>
  <c r="P2807" i="2"/>
  <c r="P2944" i="2"/>
  <c r="P4607" i="2"/>
  <c r="P4617" i="2"/>
  <c r="P5057" i="2"/>
  <c r="P5069" i="2"/>
  <c r="P5093" i="2"/>
  <c r="P4927" i="2"/>
  <c r="P5077" i="2"/>
  <c r="P6445" i="2"/>
  <c r="P7245" i="2"/>
  <c r="P721" i="2"/>
  <c r="P1163" i="2"/>
  <c r="P1560" i="2"/>
  <c r="P1810" i="2"/>
  <c r="P5946" i="2"/>
  <c r="P5520" i="2"/>
  <c r="P54" i="2"/>
  <c r="P596" i="2"/>
  <c r="P2955" i="2"/>
  <c r="P2019" i="2"/>
  <c r="P5972" i="2"/>
  <c r="P6169" i="2"/>
  <c r="P6679" i="2"/>
  <c r="P3493" i="2"/>
  <c r="P1408" i="2"/>
  <c r="P53" i="2"/>
  <c r="P488" i="2"/>
  <c r="P1413" i="2"/>
  <c r="P2302" i="2"/>
  <c r="P2561" i="2"/>
  <c r="P3387" i="2"/>
  <c r="P4527" i="2"/>
  <c r="P5777" i="2"/>
  <c r="P6084" i="2"/>
  <c r="P6139" i="2"/>
  <c r="P6702" i="2"/>
  <c r="P442" i="2"/>
  <c r="P985" i="2"/>
  <c r="P1398" i="2"/>
  <c r="P4620" i="2"/>
  <c r="P2413" i="2"/>
  <c r="P5565" i="2"/>
  <c r="P6352" i="2"/>
  <c r="P6932" i="2"/>
  <c r="P3162" i="2"/>
  <c r="P524" i="2"/>
  <c r="P553" i="2"/>
  <c r="P2967" i="2"/>
  <c r="P1541" i="2"/>
  <c r="P3418" i="2"/>
  <c r="P6669" i="2"/>
  <c r="P6311" i="2"/>
  <c r="P5508" i="2"/>
  <c r="P106" i="2"/>
  <c r="P117" i="2"/>
  <c r="P119" i="2"/>
  <c r="P196" i="2"/>
  <c r="P281" i="2"/>
  <c r="P345" i="2"/>
  <c r="P422" i="2"/>
  <c r="P866" i="2"/>
  <c r="P1013" i="2"/>
  <c r="P1140" i="2"/>
  <c r="P1250" i="2"/>
  <c r="P1448" i="2"/>
  <c r="P1464" i="2"/>
  <c r="P1463" i="2"/>
  <c r="P2623" i="2"/>
  <c r="P3167" i="2"/>
  <c r="P3343" i="2"/>
  <c r="P3665" i="2"/>
  <c r="P4515" i="2"/>
  <c r="P2746" i="2"/>
  <c r="P165" i="2"/>
  <c r="P177" i="2"/>
  <c r="P198" i="2"/>
  <c r="P166" i="2"/>
  <c r="P254" i="2"/>
  <c r="P503" i="2"/>
  <c r="P463" i="2"/>
  <c r="P612" i="2"/>
  <c r="P658" i="2"/>
  <c r="P643" i="2"/>
  <c r="P886" i="2"/>
  <c r="P914" i="2"/>
  <c r="P1050" i="2"/>
  <c r="P1046" i="2"/>
  <c r="P1010" i="2"/>
  <c r="P1064" i="2"/>
  <c r="P1112" i="2"/>
  <c r="P1275" i="2"/>
  <c r="P1555" i="2"/>
  <c r="P1478" i="2"/>
  <c r="P3257" i="2"/>
  <c r="P5752" i="2"/>
  <c r="P805" i="2"/>
  <c r="P752" i="2"/>
  <c r="P1733" i="2"/>
  <c r="P109" i="2"/>
  <c r="P104" i="2"/>
  <c r="P220" i="2"/>
  <c r="P448" i="2"/>
  <c r="P703" i="2"/>
  <c r="P865" i="2"/>
  <c r="P889" i="2"/>
  <c r="P1449" i="2"/>
  <c r="P1554" i="2"/>
  <c r="P2036" i="2"/>
  <c r="P2300" i="2"/>
  <c r="P2503" i="2"/>
  <c r="P2952" i="2"/>
  <c r="P2959" i="2"/>
  <c r="P3101" i="2"/>
  <c r="P3301" i="2"/>
  <c r="P3682" i="2"/>
  <c r="P3694" i="2"/>
  <c r="P4697" i="2"/>
  <c r="P4952" i="2"/>
  <c r="P5072" i="2"/>
  <c r="P4924" i="2"/>
  <c r="P5313" i="2"/>
  <c r="P5337" i="2"/>
  <c r="P6461" i="2"/>
  <c r="P745" i="2"/>
  <c r="P904" i="2"/>
  <c r="P932" i="2"/>
  <c r="P1277" i="2"/>
  <c r="P1456" i="2"/>
  <c r="P1664" i="2"/>
  <c r="P1707" i="2"/>
  <c r="P1832" i="2"/>
  <c r="P1842" i="2"/>
  <c r="P2158" i="2"/>
  <c r="P2106" i="2"/>
  <c r="P2048" i="2"/>
  <c r="P2263" i="2"/>
  <c r="P2255" i="2"/>
  <c r="P2286" i="2"/>
  <c r="P2303" i="2"/>
  <c r="P2630" i="2"/>
  <c r="P2505" i="2"/>
  <c r="P2702" i="2"/>
  <c r="P2815" i="2"/>
  <c r="P2929" i="2"/>
  <c r="P3028" i="2"/>
  <c r="P3200" i="2"/>
  <c r="P3290" i="2"/>
  <c r="P3294" i="2"/>
  <c r="P3527" i="2"/>
  <c r="P3619" i="2"/>
  <c r="P3741" i="2"/>
  <c r="P4067" i="2"/>
  <c r="P4139" i="2"/>
  <c r="P4761" i="2"/>
  <c r="P4905" i="2"/>
  <c r="P4929" i="2"/>
  <c r="P5129" i="2"/>
  <c r="P5343" i="2"/>
  <c r="P5217" i="2"/>
  <c r="P5262" i="2"/>
  <c r="P5737" i="2"/>
  <c r="P6735" i="2"/>
  <c r="P7289" i="2"/>
  <c r="P7143" i="2"/>
  <c r="P7215" i="2"/>
  <c r="P7239" i="2"/>
  <c r="P6" i="2"/>
  <c r="P331" i="2"/>
  <c r="P800" i="2"/>
  <c r="P1026" i="2"/>
  <c r="P2684" i="2"/>
  <c r="P3062" i="2"/>
  <c r="P3034" i="2"/>
  <c r="P3205" i="2"/>
  <c r="P3334" i="2"/>
  <c r="P3346" i="2"/>
  <c r="P3330" i="2"/>
  <c r="P3519" i="2"/>
  <c r="P4700" i="2"/>
  <c r="P4553" i="2"/>
  <c r="P5747" i="2"/>
  <c r="P5621" i="2"/>
  <c r="P5902" i="2"/>
  <c r="P5994" i="2"/>
  <c r="P5847" i="2"/>
  <c r="P6102" i="2"/>
  <c r="P6202" i="2"/>
  <c r="P6742" i="2"/>
  <c r="P6287" i="2"/>
  <c r="P6596" i="2"/>
  <c r="P6382" i="2"/>
  <c r="P7059" i="2"/>
  <c r="P7547" i="2"/>
  <c r="P2320" i="2"/>
  <c r="P4748" i="2"/>
  <c r="P5478" i="2"/>
  <c r="P2058" i="2"/>
  <c r="P2306" i="2"/>
  <c r="P2342" i="2"/>
  <c r="P2358" i="2"/>
  <c r="P2612" i="2"/>
  <c r="P2604" i="2"/>
  <c r="P2628" i="2"/>
  <c r="P2755" i="2"/>
  <c r="P2825" i="2"/>
  <c r="P2951" i="2"/>
  <c r="P3244" i="2"/>
  <c r="P3283" i="2"/>
  <c r="P3307" i="2"/>
  <c r="P3239" i="2"/>
  <c r="P3303" i="2"/>
  <c r="P3616" i="2"/>
  <c r="P3715" i="2"/>
  <c r="P3979" i="2"/>
  <c r="P4027" i="2"/>
  <c r="P3896" i="2"/>
  <c r="P4100" i="2"/>
  <c r="P4874" i="2"/>
  <c r="P4777" i="2"/>
  <c r="P4901" i="2"/>
  <c r="P5063" i="2"/>
  <c r="P4951" i="2"/>
  <c r="P5047" i="2"/>
  <c r="P5254" i="2"/>
  <c r="P5431" i="2"/>
  <c r="P5400" i="2"/>
  <c r="P5793" i="2"/>
  <c r="P1001" i="2"/>
  <c r="P1167" i="2"/>
  <c r="P1184" i="2"/>
  <c r="P1713" i="2"/>
  <c r="P1724" i="2"/>
  <c r="P2012" i="2"/>
  <c r="P2347" i="2"/>
  <c r="P3080" i="2"/>
  <c r="P3067" i="2"/>
  <c r="P3286" i="2"/>
  <c r="P3426" i="2"/>
  <c r="P3413" i="2"/>
  <c r="P3454" i="2"/>
  <c r="P3723" i="2"/>
  <c r="P3989" i="2"/>
  <c r="P5360" i="2"/>
  <c r="P5526" i="2"/>
  <c r="P5706" i="2"/>
  <c r="P5742" i="2"/>
  <c r="P5544" i="2"/>
  <c r="P5548" i="2"/>
  <c r="P5613" i="2"/>
  <c r="P5919" i="2"/>
  <c r="P6049" i="2"/>
  <c r="P6564" i="2"/>
  <c r="P7130" i="2"/>
  <c r="P7537" i="2"/>
  <c r="P7347" i="2"/>
  <c r="P7575" i="2"/>
  <c r="P2756" i="2"/>
  <c r="P5571" i="2"/>
  <c r="P6041" i="2"/>
  <c r="P5957" i="2"/>
  <c r="P6296" i="2"/>
  <c r="P1642" i="2"/>
  <c r="P1654" i="2"/>
  <c r="P1663" i="2"/>
  <c r="P1871" i="2"/>
  <c r="P1882" i="2"/>
  <c r="P2192" i="2"/>
  <c r="P2164" i="2"/>
  <c r="P2210" i="2"/>
  <c r="P2333" i="2"/>
  <c r="P2618" i="2"/>
  <c r="P3081" i="2"/>
  <c r="P3247" i="2"/>
  <c r="P3318" i="2"/>
  <c r="P3613" i="2"/>
  <c r="P3892" i="2"/>
  <c r="P4097" i="2"/>
  <c r="P4133" i="2"/>
  <c r="P4749" i="2"/>
  <c r="P4629" i="2"/>
  <c r="P4992" i="2"/>
  <c r="P5064" i="2"/>
  <c r="P5256" i="2"/>
  <c r="P5307" i="2"/>
  <c r="P5244" i="2"/>
  <c r="P5788" i="2"/>
  <c r="P5376" i="2"/>
  <c r="P5443" i="2"/>
  <c r="P5358" i="2"/>
  <c r="P5997" i="2"/>
  <c r="P7315" i="2"/>
  <c r="P7097" i="2"/>
  <c r="P277" i="2"/>
  <c r="P49" i="2"/>
  <c r="P736" i="2"/>
  <c r="P1372" i="2"/>
  <c r="P1662" i="2"/>
  <c r="P2114" i="2"/>
  <c r="P2316" i="2"/>
  <c r="P3310" i="2"/>
  <c r="P4540" i="2"/>
  <c r="P5268" i="2"/>
  <c r="P5918" i="2"/>
  <c r="P5928" i="2"/>
  <c r="P5967" i="2"/>
  <c r="P5802" i="2"/>
  <c r="P6118" i="2"/>
  <c r="P6537" i="2"/>
  <c r="P6579" i="2"/>
  <c r="P6110" i="2"/>
  <c r="P6452" i="2"/>
  <c r="P6142" i="2"/>
  <c r="P6372" i="2"/>
  <c r="P6648" i="2"/>
  <c r="P7096" i="2"/>
  <c r="P7565" i="2"/>
  <c r="P7577" i="2"/>
  <c r="P7372" i="2"/>
  <c r="P7458" i="2"/>
  <c r="P580" i="2"/>
  <c r="P333" i="2"/>
  <c r="P5608" i="2"/>
  <c r="P5693" i="2"/>
  <c r="P5612" i="2"/>
  <c r="P6047" i="2"/>
  <c r="P5523" i="2"/>
  <c r="P6189" i="2"/>
  <c r="P6656" i="2"/>
  <c r="P436" i="2"/>
  <c r="P4632" i="2"/>
  <c r="P5760" i="2"/>
  <c r="P5926" i="2"/>
  <c r="P994" i="2"/>
  <c r="P3725" i="2"/>
  <c r="P6801" i="2"/>
  <c r="P1746" i="2"/>
  <c r="P811" i="2"/>
  <c r="P709" i="2"/>
  <c r="P1285" i="2"/>
  <c r="P6146" i="2"/>
  <c r="P6119" i="2"/>
  <c r="P66" i="2"/>
  <c r="P5996" i="2"/>
  <c r="P5724" i="2"/>
  <c r="P6260" i="2"/>
  <c r="P6347" i="2"/>
  <c r="P6332" i="2"/>
  <c r="P1399" i="2"/>
  <c r="P6374" i="2"/>
  <c r="P6079" i="2"/>
  <c r="P447" i="2"/>
  <c r="P1054" i="2"/>
  <c r="P2213" i="2"/>
  <c r="P6123" i="2"/>
  <c r="P5916" i="2"/>
  <c r="P1280" i="2"/>
  <c r="P56" i="2"/>
  <c r="P1614" i="2"/>
  <c r="P1230" i="2"/>
  <c r="P2018" i="2"/>
  <c r="P1985" i="2"/>
  <c r="P3731" i="2"/>
  <c r="P5514" i="2"/>
  <c r="P6342" i="2"/>
  <c r="P3383" i="2"/>
  <c r="P1028" i="2"/>
  <c r="P5179" i="2"/>
  <c r="P1749" i="2"/>
  <c r="P6304" i="2"/>
  <c r="P1236" i="2"/>
  <c r="P1553" i="2"/>
  <c r="P6133" i="2"/>
  <c r="P192" i="2"/>
  <c r="P239" i="2"/>
  <c r="P367" i="2"/>
  <c r="P311" i="2"/>
  <c r="P1031" i="2"/>
  <c r="P1092" i="2"/>
  <c r="P1439" i="2"/>
  <c r="P2049" i="2"/>
  <c r="P1964" i="2"/>
  <c r="P2266" i="2"/>
  <c r="P2642" i="2"/>
  <c r="P2666" i="2"/>
  <c r="P2586" i="2"/>
  <c r="P2834" i="2"/>
  <c r="P2906" i="2"/>
  <c r="P2720" i="2"/>
  <c r="P2803" i="2"/>
  <c r="P2966" i="2"/>
  <c r="P3023" i="2"/>
  <c r="P3300" i="2"/>
  <c r="P3261" i="2"/>
  <c r="P3506" i="2"/>
  <c r="P3538" i="2"/>
  <c r="P3629" i="2"/>
  <c r="P3981" i="2"/>
  <c r="P4094" i="2"/>
  <c r="P4130" i="2"/>
  <c r="P5419" i="2"/>
  <c r="P7091" i="2"/>
  <c r="P7279" i="2"/>
  <c r="P7149" i="2"/>
  <c r="P717" i="2"/>
  <c r="P710" i="2"/>
  <c r="P11" i="2"/>
  <c r="P102" i="2"/>
  <c r="P97" i="2"/>
  <c r="P92" i="2"/>
  <c r="P191" i="2"/>
  <c r="P276" i="2"/>
  <c r="P373" i="2"/>
  <c r="P701" i="2"/>
  <c r="P913" i="2"/>
  <c r="P830" i="2"/>
  <c r="P988" i="2"/>
  <c r="P1526" i="2"/>
  <c r="P1615" i="2"/>
  <c r="P1965" i="2"/>
  <c r="P2092" i="2"/>
  <c r="P2200" i="2"/>
  <c r="P2273" i="2"/>
  <c r="P2279" i="2"/>
  <c r="P2281" i="2"/>
  <c r="P2624" i="2"/>
  <c r="P2583" i="2"/>
  <c r="P2743" i="2"/>
  <c r="P2932" i="2"/>
  <c r="P3087" i="2"/>
  <c r="P3077" i="2"/>
  <c r="P3250" i="2"/>
  <c r="P3245" i="2"/>
  <c r="P3503" i="2"/>
  <c r="P3561" i="2"/>
  <c r="P4475" i="2"/>
  <c r="P4491" i="2"/>
  <c r="P4702" i="2"/>
  <c r="P4750" i="2"/>
  <c r="P4633" i="2"/>
  <c r="P4904" i="2"/>
  <c r="P5054" i="2"/>
  <c r="P5222" i="2"/>
  <c r="P4966" i="2"/>
  <c r="P5008" i="2"/>
  <c r="P5014" i="2"/>
  <c r="P5214" i="2"/>
  <c r="P5388" i="2"/>
  <c r="P5949" i="2"/>
  <c r="P6562" i="2"/>
  <c r="P186" i="2"/>
  <c r="P250" i="2"/>
  <c r="P361" i="2"/>
  <c r="P671" i="2"/>
  <c r="P728" i="2"/>
  <c r="P1492" i="2"/>
  <c r="P1626" i="2"/>
  <c r="P1638" i="2"/>
  <c r="P1893" i="2"/>
  <c r="P1976" i="2"/>
  <c r="P2009" i="2"/>
  <c r="P2104" i="2"/>
  <c r="P2163" i="2"/>
  <c r="P2244" i="2"/>
  <c r="P2292" i="2"/>
  <c r="P2356" i="2"/>
  <c r="P2365" i="2"/>
  <c r="P2315" i="2"/>
  <c r="P2828" i="2"/>
  <c r="P2888" i="2"/>
  <c r="P3015" i="2"/>
  <c r="P2940" i="2"/>
  <c r="P3489" i="2"/>
  <c r="P3753" i="2"/>
  <c r="P3712" i="2"/>
  <c r="P4044" i="2"/>
  <c r="P4064" i="2"/>
  <c r="P4124" i="2"/>
  <c r="P5865" i="2"/>
  <c r="P4495" i="2"/>
  <c r="P4706" i="2"/>
  <c r="P5110" i="2"/>
  <c r="P4965" i="2"/>
  <c r="P5202" i="2"/>
  <c r="P5130" i="2"/>
  <c r="P5190" i="2"/>
  <c r="P5740" i="2"/>
  <c r="P6474" i="2"/>
  <c r="P6651" i="2"/>
  <c r="P6723" i="2"/>
  <c r="P7145" i="2"/>
  <c r="P7287" i="2"/>
  <c r="P6784" i="2"/>
  <c r="P784" i="2"/>
  <c r="P989" i="2"/>
  <c r="P1753" i="2"/>
  <c r="P2023" i="2"/>
  <c r="P2671" i="2"/>
  <c r="P2937" i="2"/>
  <c r="P3420" i="2"/>
  <c r="P4038" i="2"/>
  <c r="P3889" i="2"/>
  <c r="P4551" i="2"/>
  <c r="P4608" i="2"/>
  <c r="P4715" i="2"/>
  <c r="P5892" i="2"/>
  <c r="P6696" i="2"/>
  <c r="P6900" i="2"/>
  <c r="P6994" i="2"/>
  <c r="P7021" i="2"/>
  <c r="P7616" i="2"/>
  <c r="P7495" i="2"/>
  <c r="P3389" i="2"/>
  <c r="P5434" i="2"/>
  <c r="P5763" i="2"/>
  <c r="P6558" i="2"/>
  <c r="P5614" i="2"/>
  <c r="P6909" i="2"/>
  <c r="P5087" i="2"/>
  <c r="P4903" i="2"/>
  <c r="P4939" i="2"/>
  <c r="P5023" i="2"/>
  <c r="P5206" i="2"/>
  <c r="P5367" i="2"/>
  <c r="P5232" i="2"/>
  <c r="P5833" i="2"/>
  <c r="P6783" i="2"/>
  <c r="P7253" i="2"/>
  <c r="P7077" i="2"/>
  <c r="P7269" i="2"/>
  <c r="P779" i="2"/>
  <c r="P1316" i="2"/>
  <c r="P1623" i="2"/>
  <c r="P1825" i="2"/>
  <c r="P1708" i="2"/>
  <c r="P1747" i="2"/>
  <c r="P1923" i="2"/>
  <c r="P2101" i="2"/>
  <c r="P2443" i="2"/>
  <c r="P2359" i="2"/>
  <c r="P2506" i="2"/>
  <c r="P3495" i="2"/>
  <c r="P4031" i="2"/>
  <c r="P4559" i="2"/>
  <c r="P4548" i="2"/>
  <c r="P5895" i="2"/>
  <c r="P6331" i="2"/>
  <c r="P6373" i="2"/>
  <c r="P6437" i="2"/>
  <c r="P6963" i="2"/>
  <c r="P7414" i="2"/>
  <c r="P7486" i="2"/>
  <c r="P7570" i="2"/>
  <c r="P7560" i="2"/>
  <c r="P7620" i="2"/>
  <c r="P5528" i="2"/>
  <c r="P5879" i="2"/>
  <c r="P6188" i="2"/>
  <c r="P6381" i="2"/>
  <c r="P2996" i="2"/>
  <c r="P3071" i="2"/>
  <c r="P3107" i="2"/>
  <c r="P3270" i="2"/>
  <c r="P3281" i="2"/>
  <c r="P3314" i="2"/>
  <c r="P3494" i="2"/>
  <c r="P3688" i="2"/>
  <c r="P4099" i="2"/>
  <c r="P4135" i="2"/>
  <c r="P4163" i="2"/>
  <c r="P4171" i="2"/>
  <c r="P5182" i="2"/>
  <c r="P5218" i="2"/>
  <c r="P4926" i="2"/>
  <c r="P4950" i="2"/>
  <c r="P4998" i="2"/>
  <c r="P5010" i="2"/>
  <c r="P5016" i="2"/>
  <c r="P5132" i="2"/>
  <c r="P5249" i="2"/>
  <c r="P5180" i="2"/>
  <c r="P5216" i="2"/>
  <c r="P5803" i="2"/>
  <c r="P5340" i="2"/>
  <c r="P6468" i="2"/>
  <c r="P6504" i="2"/>
  <c r="P6450" i="2"/>
  <c r="P6639" i="2"/>
  <c r="P6795" i="2"/>
  <c r="P6894" i="2"/>
  <c r="P7275" i="2"/>
  <c r="P6786" i="2"/>
  <c r="P285" i="2"/>
  <c r="P528" i="2"/>
  <c r="P783" i="2"/>
  <c r="P1364" i="2"/>
  <c r="P1350" i="2"/>
  <c r="P1750" i="2"/>
  <c r="P1843" i="2"/>
  <c r="P2197" i="2"/>
  <c r="P2564" i="2"/>
  <c r="P2635" i="2"/>
  <c r="P2659" i="2"/>
  <c r="P3439" i="2"/>
  <c r="P3651" i="2"/>
  <c r="P3572" i="2"/>
  <c r="P4503" i="2"/>
  <c r="P5266" i="2"/>
  <c r="P5329" i="2"/>
  <c r="P5553" i="2"/>
  <c r="P5730" i="2"/>
  <c r="P5855" i="2"/>
  <c r="P6094" i="2"/>
  <c r="P6131" i="2"/>
  <c r="P6575" i="2"/>
  <c r="P6137" i="2"/>
  <c r="P6636" i="2"/>
  <c r="P7066" i="2"/>
  <c r="P7549" i="2"/>
  <c r="P7539" i="2"/>
  <c r="P502" i="2"/>
  <c r="P2767" i="2"/>
  <c r="P4712" i="2"/>
  <c r="P5322" i="2"/>
  <c r="P5601" i="2"/>
  <c r="P6200" i="2"/>
  <c r="P6012" i="2"/>
  <c r="P5727" i="2"/>
  <c r="P6254" i="2"/>
  <c r="P6261" i="2"/>
  <c r="P3675" i="2"/>
  <c r="P3376" i="2"/>
  <c r="P430" i="2"/>
  <c r="P1313" i="2"/>
  <c r="P1320" i="2"/>
  <c r="P5765" i="2"/>
  <c r="P6160" i="2"/>
  <c r="P6778" i="2"/>
  <c r="P2445" i="2"/>
  <c r="P5342" i="2"/>
  <c r="P6187" i="2"/>
  <c r="P5945" i="2"/>
  <c r="P1717" i="2"/>
  <c r="P43" i="2"/>
  <c r="P5247" i="2"/>
  <c r="P5732" i="2"/>
  <c r="P2758" i="2"/>
  <c r="P1367" i="2"/>
  <c r="P2463" i="2"/>
  <c r="P203" i="2"/>
  <c r="P451" i="2"/>
  <c r="P1513" i="2"/>
  <c r="P2732" i="2"/>
  <c r="P2933" i="2"/>
  <c r="P3470" i="2"/>
  <c r="P4050" i="2"/>
  <c r="P4733" i="2"/>
  <c r="P6469" i="2"/>
  <c r="P297" i="2"/>
  <c r="P3211" i="2"/>
  <c r="P3516" i="2"/>
  <c r="P4645" i="2"/>
  <c r="P5594" i="2"/>
  <c r="P5790" i="2"/>
  <c r="P5844" i="2"/>
  <c r="P6282" i="2"/>
  <c r="P7206" i="2"/>
  <c r="P1359" i="2"/>
  <c r="P7220" i="2"/>
  <c r="P456" i="2"/>
  <c r="P624" i="2"/>
  <c r="P1566" i="2"/>
  <c r="P2794" i="2"/>
  <c r="P3518" i="2"/>
  <c r="P2593" i="2"/>
  <c r="P5341" i="2"/>
  <c r="P7439" i="2"/>
  <c r="P772" i="2"/>
  <c r="P3369" i="2"/>
  <c r="P317" i="2"/>
  <c r="P2838" i="2"/>
  <c r="P3598" i="2"/>
  <c r="P4940" i="2"/>
  <c r="P1762" i="2"/>
  <c r="P2095" i="2"/>
  <c r="P3638" i="2"/>
  <c r="P3595" i="2"/>
  <c r="P5272" i="2"/>
  <c r="P7122" i="2"/>
  <c r="P274" i="2"/>
  <c r="P5629" i="2"/>
  <c r="P2299" i="2"/>
  <c r="P105" i="2"/>
  <c r="P363" i="2"/>
  <c r="P607" i="2"/>
  <c r="P925" i="2"/>
  <c r="P1633" i="2"/>
  <c r="P1845" i="2"/>
  <c r="P2045" i="2"/>
  <c r="P3670" i="2"/>
  <c r="P4618" i="2"/>
  <c r="P6434" i="2"/>
  <c r="P5275" i="2"/>
  <c r="P6044" i="2"/>
  <c r="P6277" i="2"/>
  <c r="P169" i="2"/>
  <c r="P1134" i="2"/>
  <c r="P1510" i="2"/>
  <c r="P2247" i="2"/>
  <c r="P2625" i="2"/>
  <c r="P2890" i="2"/>
  <c r="P4729" i="2"/>
  <c r="P4921" i="2"/>
  <c r="P6526" i="2"/>
  <c r="P139" i="2"/>
  <c r="P2183" i="2"/>
  <c r="P2422" i="2"/>
  <c r="P3966" i="2"/>
  <c r="P7272" i="2"/>
  <c r="P2663" i="2"/>
  <c r="P2704" i="2"/>
  <c r="P2765" i="2"/>
  <c r="P3898" i="2"/>
  <c r="P3923" i="2"/>
  <c r="P5058" i="2"/>
  <c r="P7082" i="2"/>
  <c r="P300" i="2"/>
  <c r="P2150" i="2"/>
  <c r="P3441" i="2"/>
  <c r="P5631" i="2"/>
  <c r="P6876" i="2"/>
  <c r="P1455" i="2"/>
  <c r="P2004" i="2"/>
  <c r="P2118" i="2"/>
  <c r="P2701" i="2"/>
  <c r="P5277" i="2"/>
  <c r="P3517" i="2"/>
  <c r="P6174" i="2"/>
  <c r="P7419" i="2"/>
  <c r="P312" i="2"/>
  <c r="P5386" i="2"/>
  <c r="P29" i="2"/>
  <c r="P478" i="2"/>
  <c r="P896" i="2"/>
  <c r="P2297" i="2"/>
  <c r="P2848" i="2"/>
  <c r="P5426" i="2"/>
  <c r="P7329" i="2"/>
  <c r="P1579" i="2"/>
  <c r="P5306" i="2"/>
  <c r="P1395" i="2"/>
  <c r="P189" i="2"/>
  <c r="P362" i="2"/>
  <c r="P392" i="2"/>
  <c r="P1085" i="2"/>
  <c r="P1481" i="2"/>
  <c r="P1656" i="2"/>
  <c r="P1680" i="2"/>
  <c r="P2268" i="2"/>
  <c r="P2454" i="2"/>
  <c r="P4202" i="2"/>
  <c r="P5869" i="2"/>
  <c r="P6870" i="2"/>
  <c r="P7083" i="2"/>
  <c r="P35" i="2"/>
  <c r="P5998" i="2"/>
  <c r="P7010" i="2"/>
  <c r="P1743" i="2"/>
  <c r="P360" i="2"/>
  <c r="P487" i="2"/>
  <c r="P941" i="2"/>
  <c r="P1030" i="2"/>
  <c r="P2582" i="2"/>
  <c r="P2566" i="2"/>
  <c r="P3509" i="2"/>
  <c r="P6122" i="2"/>
  <c r="P7558" i="2"/>
  <c r="P424" i="2"/>
  <c r="P6290" i="2"/>
  <c r="P928" i="2"/>
  <c r="P997" i="2"/>
  <c r="P2386" i="2"/>
  <c r="P2589" i="2"/>
  <c r="P3316" i="2"/>
  <c r="P5024" i="2"/>
  <c r="P5042" i="2"/>
  <c r="P5887" i="2"/>
  <c r="P81" i="2"/>
  <c r="P520" i="2"/>
  <c r="P1850" i="2"/>
  <c r="P2769" i="2"/>
  <c r="P1187" i="2"/>
  <c r="P3693" i="2"/>
  <c r="P6371" i="2"/>
  <c r="P7156" i="2"/>
  <c r="P6705" i="2"/>
  <c r="P6654" i="2"/>
  <c r="P1670" i="2"/>
  <c r="P2526" i="2"/>
  <c r="P1701" i="2"/>
  <c r="P2549" i="2"/>
  <c r="P6050" i="2"/>
  <c r="P6072" i="2"/>
  <c r="P1420" i="2"/>
  <c r="P1330" i="2"/>
  <c r="P1220" i="2"/>
  <c r="P5643" i="2"/>
  <c r="P6201" i="2"/>
  <c r="P6108" i="2"/>
  <c r="P6241" i="2"/>
  <c r="P1287" i="2"/>
  <c r="P1517" i="2"/>
  <c r="P3581" i="2"/>
  <c r="P5813" i="2"/>
  <c r="P5912" i="2"/>
  <c r="P418" i="2"/>
  <c r="P761" i="2"/>
  <c r="P3603" i="2"/>
  <c r="P2547" i="2"/>
  <c r="P6093" i="2"/>
  <c r="P5547" i="2"/>
  <c r="P990" i="2"/>
  <c r="P6198" i="2"/>
  <c r="P5710" i="2"/>
  <c r="P1989" i="2"/>
  <c r="P4499" i="2"/>
  <c r="P5299" i="2"/>
  <c r="P3410" i="2"/>
  <c r="P5293" i="2"/>
  <c r="P6003" i="2"/>
  <c r="P5658" i="2"/>
  <c r="P6111" i="2"/>
  <c r="P6255" i="2"/>
  <c r="P6193" i="2"/>
  <c r="P2510" i="2"/>
  <c r="P5739" i="2"/>
  <c r="P6104" i="2"/>
  <c r="P168" i="2"/>
  <c r="P351" i="2"/>
  <c r="P663" i="2"/>
  <c r="P1501" i="2"/>
  <c r="P1486" i="2"/>
  <c r="P1527" i="2"/>
  <c r="P1765" i="2"/>
  <c r="P2806" i="2"/>
  <c r="P2971" i="2"/>
  <c r="P4713" i="2"/>
  <c r="P5013" i="2"/>
  <c r="P5067" i="2"/>
  <c r="P5438" i="2"/>
  <c r="P5695" i="2"/>
  <c r="P6556" i="2"/>
  <c r="P6915" i="2"/>
  <c r="P6834" i="2"/>
  <c r="P7173" i="2"/>
  <c r="P2945" i="2"/>
  <c r="P3392" i="2"/>
  <c r="P3930" i="2"/>
  <c r="P3523" i="2"/>
  <c r="P4579" i="2"/>
  <c r="P5632" i="2"/>
  <c r="P7398" i="2"/>
  <c r="P687" i="2"/>
  <c r="P4581" i="2"/>
  <c r="P6547" i="2"/>
  <c r="P6378" i="2"/>
  <c r="P6015" i="2"/>
  <c r="P355" i="2"/>
  <c r="P1494" i="2"/>
  <c r="P1021" i="2"/>
  <c r="P1767" i="2"/>
  <c r="P2203" i="2"/>
  <c r="P2867" i="2"/>
  <c r="P2994" i="2"/>
  <c r="P4531" i="2"/>
  <c r="P6701" i="2"/>
  <c r="P7243" i="2"/>
  <c r="P36" i="2"/>
  <c r="P2382" i="2"/>
  <c r="P2419" i="2"/>
  <c r="P3388" i="2"/>
  <c r="P3759" i="2"/>
  <c r="P4536" i="2"/>
  <c r="P7606" i="2"/>
  <c r="P5529" i="2"/>
  <c r="P5771" i="2"/>
  <c r="P2202" i="2"/>
  <c r="P869" i="2"/>
  <c r="P1103" i="2"/>
  <c r="P1153" i="2"/>
  <c r="P1630" i="2"/>
  <c r="P2169" i="2"/>
  <c r="P2728" i="2"/>
  <c r="P2714" i="2"/>
  <c r="P3128" i="2"/>
  <c r="P3243" i="2"/>
  <c r="P3914" i="2"/>
  <c r="P4065" i="2"/>
  <c r="P4726" i="2"/>
  <c r="P4717" i="2"/>
  <c r="P5126" i="2"/>
  <c r="P5797" i="2"/>
  <c r="P741" i="2"/>
  <c r="P815" i="2"/>
  <c r="P2367" i="2"/>
  <c r="P6082" i="2"/>
  <c r="P6623" i="2"/>
  <c r="P7276" i="2"/>
  <c r="P7429" i="2"/>
  <c r="P551" i="2"/>
  <c r="P1905" i="2"/>
  <c r="P6177" i="2"/>
  <c r="P1686" i="2"/>
  <c r="P1641" i="2"/>
  <c r="P5250" i="2"/>
  <c r="P5941" i="2"/>
  <c r="P5973" i="2"/>
  <c r="P6822" i="2"/>
  <c r="P309" i="2"/>
  <c r="P1757" i="2"/>
  <c r="P2016" i="2"/>
  <c r="P4647" i="2"/>
  <c r="P5620" i="2"/>
  <c r="P5557" i="2"/>
  <c r="P5969" i="2"/>
  <c r="P6336" i="2"/>
  <c r="P6138" i="2"/>
  <c r="P7035" i="2"/>
  <c r="P7553" i="2"/>
  <c r="P7576" i="2"/>
  <c r="P343" i="2"/>
  <c r="P2099" i="2"/>
  <c r="P2606" i="2"/>
  <c r="P3191" i="2"/>
  <c r="P3986" i="2"/>
  <c r="P5133" i="2"/>
  <c r="P5265" i="2"/>
  <c r="P5429" i="2"/>
  <c r="P5985" i="2"/>
  <c r="P6713" i="2"/>
  <c r="P6810" i="2"/>
  <c r="P571" i="2"/>
  <c r="P2539" i="2"/>
  <c r="P2512" i="2"/>
  <c r="P3541" i="2"/>
  <c r="P5284" i="2"/>
  <c r="P6377" i="2"/>
  <c r="P7471" i="2"/>
  <c r="P1387" i="2"/>
  <c r="P1727" i="2"/>
  <c r="P5699" i="2"/>
  <c r="P6356" i="2"/>
  <c r="P1383" i="2"/>
  <c r="P922" i="2"/>
  <c r="P839" i="2"/>
  <c r="P1082" i="2"/>
  <c r="P1254" i="2"/>
  <c r="P2156" i="2"/>
  <c r="P2808" i="2"/>
  <c r="P3089" i="2"/>
  <c r="P3481" i="2"/>
  <c r="P3888" i="2"/>
  <c r="P5769" i="2"/>
  <c r="P6843" i="2"/>
  <c r="P2444" i="2"/>
  <c r="P2948" i="2"/>
  <c r="P3761" i="2"/>
  <c r="P3948" i="2"/>
  <c r="P4569" i="2"/>
  <c r="P5286" i="2"/>
  <c r="P5955" i="2"/>
  <c r="P7415" i="2"/>
  <c r="P7438" i="2"/>
  <c r="P2086" i="2"/>
  <c r="P1722" i="2"/>
  <c r="P1672" i="2"/>
  <c r="P1866" i="2"/>
  <c r="P2057" i="2"/>
  <c r="P2152" i="2"/>
  <c r="P2321" i="2"/>
  <c r="P2579" i="2"/>
  <c r="P3255" i="2"/>
  <c r="P4045" i="2"/>
  <c r="P4910" i="2"/>
  <c r="P6506" i="2"/>
  <c r="P6429" i="2"/>
  <c r="P1763" i="2"/>
  <c r="P1993" i="2"/>
  <c r="P3491" i="2"/>
  <c r="P4019" i="2"/>
  <c r="P6522" i="2"/>
  <c r="P6840" i="2"/>
  <c r="P7240" i="2"/>
  <c r="P33" i="2"/>
  <c r="P295" i="2"/>
  <c r="P1204" i="2"/>
  <c r="P1538" i="2"/>
  <c r="P2168" i="2"/>
  <c r="P2632" i="2"/>
  <c r="P2771" i="2"/>
  <c r="P3487" i="2"/>
  <c r="P3644" i="2"/>
  <c r="P4046" i="2"/>
  <c r="P4634" i="2"/>
  <c r="P5346" i="2"/>
  <c r="P7131" i="2"/>
  <c r="P283" i="2"/>
  <c r="P972" i="2"/>
  <c r="P2295" i="2"/>
  <c r="P3120" i="2"/>
  <c r="P4008" i="2"/>
  <c r="P5610" i="2"/>
  <c r="P6037" i="2"/>
  <c r="P6924" i="2"/>
  <c r="P7349" i="2"/>
  <c r="P7408" i="2"/>
  <c r="P6303" i="2"/>
  <c r="P1505" i="2"/>
  <c r="P920" i="2"/>
  <c r="P1489" i="2"/>
  <c r="P2862" i="2"/>
  <c r="P3593" i="2"/>
  <c r="P3894" i="2"/>
  <c r="P3919" i="2"/>
  <c r="P4670" i="2"/>
  <c r="P5098" i="2"/>
  <c r="P5913" i="2"/>
  <c r="P1947" i="2"/>
  <c r="P2979" i="2"/>
  <c r="P3533" i="2"/>
  <c r="P5296" i="2"/>
  <c r="P5468" i="2"/>
  <c r="P6257" i="2"/>
  <c r="P228" i="2"/>
  <c r="P440" i="2"/>
  <c r="P208" i="2"/>
  <c r="P656" i="2"/>
  <c r="P926" i="2"/>
  <c r="P2275" i="2"/>
  <c r="P2245" i="2"/>
  <c r="P2597" i="2"/>
  <c r="P2942" i="2"/>
  <c r="P3065" i="2"/>
  <c r="P3633" i="2"/>
  <c r="P4018" i="2"/>
  <c r="P4974" i="2"/>
  <c r="P5028" i="2"/>
  <c r="P6688" i="2"/>
  <c r="P6759" i="2"/>
  <c r="P6846" i="2"/>
  <c r="P1421" i="2"/>
  <c r="P3545" i="2"/>
  <c r="P3331" i="2"/>
  <c r="P5858" i="2"/>
  <c r="P6546" i="2"/>
  <c r="P6178" i="2"/>
  <c r="P5648" i="2"/>
  <c r="P6293" i="2"/>
  <c r="P1345" i="2"/>
  <c r="P1666" i="2"/>
  <c r="P1583" i="2"/>
  <c r="P2573" i="2"/>
  <c r="P3558" i="2"/>
  <c r="P3708" i="2"/>
  <c r="P5280" i="2"/>
  <c r="P5507" i="2"/>
  <c r="P5344" i="2"/>
  <c r="P6068" i="2"/>
  <c r="P2323" i="2"/>
  <c r="P1357" i="2"/>
  <c r="P5619" i="2"/>
  <c r="P5984" i="2"/>
  <c r="P6620" i="2"/>
  <c r="P6121" i="2"/>
  <c r="P6298" i="2"/>
  <c r="P1270" i="2"/>
  <c r="P3402" i="2"/>
  <c r="P6755" i="2"/>
  <c r="P137" i="2"/>
  <c r="P1410" i="2"/>
  <c r="P3971" i="2"/>
  <c r="P6190" i="2"/>
  <c r="P400" i="2"/>
  <c r="P5531" i="2"/>
  <c r="P3663" i="2"/>
  <c r="P6208" i="2"/>
  <c r="P5235" i="2"/>
  <c r="P2766" i="2"/>
  <c r="P273" i="2"/>
  <c r="P63" i="2"/>
  <c r="P171" i="2"/>
  <c r="P614" i="2"/>
  <c r="P2038" i="2"/>
  <c r="P3475" i="2"/>
  <c r="P4085" i="2"/>
  <c r="P5773" i="2"/>
  <c r="P5709" i="2"/>
  <c r="P6482" i="2"/>
  <c r="P577" i="2"/>
  <c r="P2984" i="2"/>
  <c r="P6763" i="2"/>
  <c r="P7423" i="2"/>
  <c r="P494" i="2"/>
  <c r="P1401" i="2"/>
  <c r="P3409" i="2"/>
  <c r="P7198" i="2"/>
  <c r="P12" i="2"/>
  <c r="P1531" i="2"/>
  <c r="P1715" i="2"/>
  <c r="P4062" i="2"/>
  <c r="P7619" i="2"/>
  <c r="P5505" i="2"/>
  <c r="P590" i="2"/>
  <c r="P1149" i="2"/>
  <c r="P1768" i="2"/>
  <c r="P2135" i="2"/>
  <c r="P2265" i="2"/>
  <c r="P4476" i="2"/>
  <c r="P5733" i="2"/>
  <c r="P977" i="2"/>
  <c r="P1374" i="2"/>
  <c r="P3415" i="2"/>
  <c r="P5378" i="2"/>
  <c r="P5846" i="2"/>
  <c r="P6018" i="2"/>
  <c r="P1385" i="2"/>
  <c r="P2800" i="2"/>
  <c r="P3264" i="2"/>
  <c r="P4077" i="2"/>
  <c r="P4113" i="2"/>
  <c r="P4149" i="2"/>
  <c r="P4185" i="2"/>
  <c r="P4937" i="2"/>
  <c r="P7229" i="2"/>
  <c r="P1017" i="2"/>
  <c r="P6043" i="2"/>
  <c r="P3353" i="2"/>
  <c r="P938" i="2"/>
  <c r="P2070" i="2"/>
  <c r="P2719" i="2"/>
  <c r="P4479" i="2"/>
  <c r="P4642" i="2"/>
  <c r="P5382" i="2"/>
  <c r="P5757" i="2"/>
  <c r="P7317" i="2"/>
  <c r="P1804" i="2"/>
  <c r="P2450" i="2"/>
  <c r="P5900" i="2"/>
  <c r="P7452" i="2"/>
  <c r="P6727" i="2"/>
  <c r="P236" i="2"/>
  <c r="P857" i="2"/>
  <c r="P1668" i="2"/>
  <c r="P1886" i="2"/>
  <c r="P2710" i="2"/>
  <c r="P2988" i="2"/>
  <c r="P3305" i="2"/>
  <c r="P3570" i="2"/>
  <c r="P3671" i="2"/>
  <c r="P4115" i="2"/>
  <c r="P4918" i="2"/>
  <c r="P6419" i="2"/>
  <c r="P6424" i="2"/>
  <c r="P4028" i="2"/>
  <c r="P5758" i="2"/>
  <c r="P346" i="2"/>
  <c r="P1865" i="2"/>
  <c r="P2289" i="2"/>
  <c r="P2600" i="2"/>
  <c r="P2773" i="2"/>
  <c r="P3274" i="2"/>
  <c r="P4737" i="2"/>
  <c r="P5391" i="2"/>
  <c r="P6927" i="2"/>
  <c r="P7219" i="2"/>
  <c r="P1025" i="2"/>
  <c r="P3564" i="2"/>
  <c r="P4624" i="2"/>
  <c r="P7385" i="2"/>
  <c r="P7350" i="2"/>
  <c r="P1549" i="2"/>
  <c r="P1111" i="2"/>
  <c r="P2285" i="2"/>
  <c r="P2389" i="2"/>
  <c r="P2478" i="2"/>
  <c r="P2262" i="2"/>
  <c r="P2908" i="2"/>
  <c r="P2991" i="2"/>
  <c r="P3998" i="2"/>
  <c r="P4622" i="2"/>
  <c r="P1813" i="2"/>
  <c r="P1826" i="2"/>
  <c r="P3385" i="2"/>
  <c r="P5676" i="2"/>
  <c r="P7389" i="2"/>
  <c r="P5799" i="2"/>
  <c r="P868" i="2"/>
  <c r="P219" i="2"/>
  <c r="P444" i="2"/>
  <c r="P1550" i="2"/>
  <c r="P2214" i="2"/>
  <c r="P2880" i="2"/>
  <c r="P3260" i="2"/>
  <c r="P4867" i="2"/>
  <c r="P5781" i="2"/>
  <c r="P6916" i="2"/>
  <c r="P52" i="2"/>
  <c r="P1786" i="2"/>
  <c r="P3337" i="2"/>
  <c r="P7536" i="2"/>
  <c r="P65" i="2"/>
  <c r="P296" i="2"/>
  <c r="P931" i="2"/>
  <c r="P2949" i="2"/>
  <c r="P3910" i="2"/>
  <c r="P4960" i="2"/>
  <c r="P5050" i="2"/>
  <c r="P1370" i="2"/>
  <c r="P5751" i="2"/>
  <c r="P7298" i="2"/>
  <c r="P1260" i="2"/>
  <c r="P5231" i="2"/>
  <c r="P42" i="2"/>
  <c r="P138" i="2"/>
  <c r="P428" i="2"/>
  <c r="P808" i="2"/>
  <c r="P878" i="2"/>
  <c r="P4060" i="2"/>
  <c r="P4689" i="2"/>
  <c r="P5242" i="2"/>
  <c r="P4971" i="2"/>
  <c r="P6831" i="2"/>
  <c r="P7107" i="2"/>
  <c r="P7323" i="2"/>
  <c r="P41" i="2"/>
  <c r="P1335" i="2"/>
  <c r="P1575" i="2"/>
  <c r="P3430" i="2"/>
  <c r="P5521" i="2"/>
  <c r="P7384" i="2"/>
  <c r="P5729" i="2"/>
  <c r="P1348" i="2"/>
  <c r="P1892" i="2"/>
  <c r="P4731" i="2"/>
  <c r="P6117" i="2"/>
  <c r="P5497" i="2"/>
  <c r="P328" i="2"/>
  <c r="P6301" i="2"/>
  <c r="P1084" i="2"/>
  <c r="P6344" i="2"/>
  <c r="P6075" i="2"/>
  <c r="P6229" i="2"/>
  <c r="P782" i="2"/>
  <c r="P5746" i="2"/>
  <c r="P5628" i="2"/>
  <c r="P6292" i="2"/>
  <c r="P6081" i="2"/>
  <c r="P5546" i="2"/>
  <c r="P6717" i="2"/>
  <c r="P3393" i="2"/>
  <c r="P6966" i="2"/>
  <c r="P6621" i="2"/>
  <c r="P4032" i="2"/>
  <c r="P6080" i="2"/>
  <c r="P3440" i="2"/>
  <c r="P5366" i="2"/>
  <c r="P6369" i="2"/>
  <c r="P5950" i="2"/>
  <c r="P2439" i="2"/>
  <c r="P2939" i="2"/>
  <c r="P1924" i="2"/>
  <c r="P6288" i="2"/>
  <c r="P3652" i="2"/>
  <c r="P4061" i="2"/>
  <c r="P4181" i="2"/>
  <c r="P4677" i="2"/>
  <c r="P1967" i="2"/>
  <c r="P2166" i="2"/>
  <c r="P2960" i="2"/>
  <c r="P3734" i="2"/>
  <c r="P5278" i="2"/>
  <c r="P5667" i="2"/>
  <c r="P5691" i="2"/>
  <c r="P6644" i="2"/>
  <c r="P6233" i="2"/>
  <c r="P6691" i="2"/>
  <c r="P1740" i="2"/>
  <c r="P1404" i="2"/>
  <c r="P5822" i="2"/>
  <c r="P5657" i="2"/>
  <c r="P6262" i="2"/>
  <c r="P7376" i="2"/>
  <c r="P1216" i="2"/>
  <c r="P3549" i="2"/>
  <c r="P3691" i="2"/>
  <c r="P4573" i="2"/>
  <c r="P5226" i="2"/>
  <c r="P6736" i="2"/>
  <c r="P738" i="2"/>
  <c r="P2185" i="2"/>
  <c r="P4653" i="2"/>
  <c r="P5515" i="2"/>
  <c r="P6947" i="2"/>
  <c r="P7054" i="2"/>
  <c r="P7343" i="2"/>
  <c r="P7559" i="2"/>
  <c r="P7534" i="2"/>
  <c r="P7542" i="2"/>
  <c r="P770" i="2"/>
  <c r="P1913" i="2"/>
  <c r="P2504" i="2"/>
  <c r="P5686" i="2"/>
  <c r="P6318" i="2"/>
  <c r="P6776" i="2"/>
  <c r="P7134" i="2"/>
  <c r="P1990" i="2"/>
  <c r="P3499" i="2"/>
  <c r="P3550" i="2"/>
  <c r="P4543" i="2"/>
  <c r="P6462" i="2"/>
  <c r="P6485" i="2"/>
  <c r="P973" i="2"/>
  <c r="P1299" i="2"/>
  <c r="P2462" i="2"/>
  <c r="P2548" i="2"/>
  <c r="P2641" i="2"/>
  <c r="P3327" i="2"/>
  <c r="P3925" i="2"/>
  <c r="P5330" i="2"/>
  <c r="P5522" i="2"/>
  <c r="P7346" i="2"/>
  <c r="P3552" i="2"/>
  <c r="P1062" i="2"/>
  <c r="P3917" i="2"/>
  <c r="P5006" i="2"/>
  <c r="P243" i="2"/>
  <c r="P2017" i="2"/>
  <c r="P7396" i="2"/>
  <c r="P6534" i="2"/>
  <c r="P1125" i="2"/>
  <c r="P1268" i="2"/>
  <c r="P2598" i="2"/>
  <c r="P3934" i="2"/>
  <c r="P4006" i="2"/>
  <c r="P4078" i="2"/>
  <c r="P4114" i="2"/>
  <c r="P4150" i="2"/>
  <c r="P4186" i="2"/>
  <c r="P7233" i="2"/>
  <c r="P792" i="2"/>
  <c r="P2521" i="2"/>
  <c r="P5714" i="2"/>
  <c r="P5852" i="2"/>
  <c r="P6729" i="2"/>
  <c r="P6358" i="2"/>
  <c r="P7005" i="2"/>
  <c r="P7424" i="2"/>
  <c r="P7615" i="2"/>
  <c r="P2145" i="2"/>
  <c r="P3620" i="2"/>
  <c r="P3700" i="2"/>
  <c r="P4091" i="2"/>
  <c r="P4151" i="2"/>
  <c r="P3115" i="2"/>
  <c r="P5566" i="2"/>
  <c r="P5501" i="2"/>
  <c r="P6061" i="2"/>
  <c r="P6325" i="2"/>
  <c r="P7402" i="2"/>
  <c r="P7582" i="2"/>
  <c r="P2153" i="2"/>
  <c r="P2122" i="2"/>
  <c r="P2722" i="2"/>
  <c r="P2930" i="2"/>
  <c r="P3476" i="2"/>
  <c r="P4092" i="2"/>
  <c r="P4128" i="2"/>
  <c r="P4164" i="2"/>
  <c r="P4200" i="2"/>
  <c r="P4598" i="2"/>
  <c r="P4781" i="2"/>
  <c r="P4925" i="2"/>
  <c r="P5021" i="2"/>
  <c r="P5076" i="2"/>
  <c r="P5370" i="2"/>
  <c r="P288" i="2"/>
  <c r="P3325" i="2"/>
  <c r="P3584" i="2"/>
  <c r="P3566" i="2"/>
  <c r="P5784" i="2"/>
  <c r="P6134" i="2"/>
  <c r="P6115" i="2"/>
  <c r="P6732" i="2"/>
  <c r="P1381" i="2"/>
  <c r="P1613" i="2"/>
  <c r="P2311" i="2"/>
  <c r="P3569" i="2"/>
  <c r="P5642" i="2"/>
  <c r="P5586" i="2"/>
  <c r="P5470" i="2"/>
  <c r="P126" i="2"/>
  <c r="P2307" i="2"/>
  <c r="P3328" i="2"/>
  <c r="P5300" i="2"/>
  <c r="P6559" i="2"/>
  <c r="P6240" i="2"/>
  <c r="P6305" i="2"/>
  <c r="P6597" i="2"/>
  <c r="P739" i="2"/>
  <c r="P3371" i="2"/>
  <c r="P5662" i="2"/>
  <c r="P5876" i="2"/>
  <c r="P6216" i="2"/>
  <c r="P175" i="2"/>
  <c r="P2053" i="2"/>
  <c r="P2492" i="2"/>
  <c r="P3955" i="2"/>
  <c r="P4721" i="2"/>
  <c r="P5905" i="2"/>
  <c r="P7191" i="2"/>
  <c r="P767" i="2"/>
  <c r="P2605" i="2"/>
  <c r="P5645" i="2"/>
  <c r="P5958" i="2"/>
  <c r="P6211" i="2"/>
  <c r="P6244" i="2"/>
  <c r="P1310" i="2"/>
  <c r="P4763" i="2"/>
  <c r="P5459" i="2"/>
  <c r="P6552" i="2"/>
  <c r="P6321" i="2"/>
  <c r="P1373" i="2"/>
  <c r="P6109" i="2"/>
  <c r="P2902" i="2"/>
  <c r="P3116" i="2"/>
  <c r="P5007" i="2"/>
  <c r="P5094" i="2"/>
  <c r="P6832" i="2"/>
  <c r="P2957" i="2"/>
  <c r="P3737" i="2"/>
  <c r="P5396" i="2"/>
  <c r="P6168" i="2"/>
  <c r="P6977" i="2"/>
  <c r="P1318" i="2"/>
  <c r="P1984" i="2"/>
  <c r="P2420" i="2"/>
  <c r="P3375" i="2"/>
  <c r="P3447" i="2"/>
  <c r="P5259" i="2"/>
  <c r="P5861" i="2"/>
  <c r="P6357" i="2"/>
  <c r="P6299" i="2"/>
  <c r="P1999" i="2"/>
  <c r="P5673" i="2"/>
  <c r="P2550" i="2"/>
  <c r="P1333" i="2"/>
  <c r="P6116" i="2"/>
  <c r="P967" i="2"/>
  <c r="P486" i="2"/>
  <c r="P692" i="2"/>
  <c r="P2011" i="2"/>
  <c r="P2524" i="2"/>
  <c r="P5685" i="2"/>
  <c r="P6838" i="2"/>
  <c r="P51" i="2"/>
  <c r="P1996" i="2"/>
  <c r="P1920" i="2"/>
  <c r="P6076" i="2"/>
  <c r="P6238" i="2"/>
  <c r="P1311" i="2"/>
  <c r="P1014" i="2"/>
  <c r="P1147" i="2"/>
  <c r="P1262" i="2"/>
  <c r="P3273" i="2"/>
  <c r="P812" i="2"/>
  <c r="P3565" i="2"/>
  <c r="P2812" i="2"/>
  <c r="P3648" i="2"/>
  <c r="P197" i="2"/>
  <c r="P2112" i="2"/>
  <c r="P2399" i="2"/>
  <c r="P2845" i="2"/>
  <c r="P3031" i="2"/>
  <c r="P181" i="2"/>
  <c r="P636" i="2"/>
  <c r="P1122" i="2"/>
  <c r="P4986" i="2"/>
  <c r="P5070" i="2"/>
  <c r="P6586" i="2"/>
  <c r="P1405" i="2"/>
  <c r="P5931" i="2"/>
  <c r="P5668" i="2"/>
  <c r="P3010" i="2"/>
  <c r="P1325" i="2"/>
  <c r="P2692" i="2"/>
  <c r="P727" i="2"/>
  <c r="P1801" i="2"/>
  <c r="P2801" i="2"/>
  <c r="P3295" i="2"/>
  <c r="P942" i="2"/>
  <c r="P1165" i="2"/>
  <c r="P2199" i="2"/>
  <c r="P4958" i="2"/>
  <c r="P6544" i="2"/>
  <c r="P7159" i="2"/>
  <c r="P7086" i="2"/>
  <c r="P862" i="2"/>
  <c r="P1629" i="2"/>
  <c r="P2149" i="2"/>
  <c r="P2584" i="2"/>
  <c r="P3095" i="2"/>
  <c r="P5319" i="2"/>
  <c r="P851" i="2"/>
  <c r="P1461" i="2"/>
  <c r="P2256" i="2"/>
  <c r="P2344" i="2"/>
  <c r="P2895" i="2"/>
  <c r="P172" i="2"/>
  <c r="P261" i="2"/>
  <c r="P901" i="2"/>
  <c r="P1242" i="2"/>
  <c r="P2649" i="2"/>
  <c r="P3011" i="2"/>
  <c r="P4705" i="2"/>
  <c r="P4961" i="2"/>
  <c r="P5009" i="2"/>
  <c r="P5971" i="2"/>
  <c r="P286" i="2"/>
  <c r="P659" i="2"/>
  <c r="P751" i="2"/>
  <c r="P1091" i="2"/>
  <c r="P1502" i="2"/>
  <c r="P2707" i="2"/>
  <c r="P2665" i="2"/>
  <c r="P6872" i="2"/>
  <c r="P1120" i="2"/>
  <c r="P3660" i="2"/>
  <c r="P2914" i="2"/>
  <c r="P2603" i="2"/>
  <c r="P3237" i="2"/>
  <c r="P2108" i="2"/>
  <c r="P5477" i="2"/>
  <c r="P170" i="2"/>
  <c r="P3974" i="2"/>
  <c r="P4048" i="2"/>
  <c r="P5178" i="2"/>
  <c r="P6617" i="2"/>
  <c r="P4565" i="2"/>
  <c r="P3921" i="2"/>
  <c r="P4073" i="2"/>
  <c r="P500" i="2"/>
  <c r="P2675" i="2"/>
  <c r="P3661" i="2"/>
  <c r="P7135" i="2"/>
  <c r="P6868" i="2"/>
  <c r="P3306" i="2"/>
  <c r="P3601" i="2"/>
  <c r="P6665" i="2"/>
  <c r="P4678" i="2"/>
  <c r="P4774" i="2"/>
  <c r="P4991" i="2"/>
  <c r="P5114" i="2"/>
  <c r="P20" i="2"/>
  <c r="P4066" i="2"/>
  <c r="P4102" i="2"/>
  <c r="P4138" i="2"/>
  <c r="P4174" i="2"/>
  <c r="P4555" i="2"/>
  <c r="P101" i="2"/>
  <c r="P2639" i="2"/>
  <c r="P7090" i="2"/>
  <c r="P3477" i="2"/>
  <c r="P632" i="2"/>
  <c r="P5466" i="2"/>
  <c r="P3407" i="2"/>
  <c r="P3391" i="2"/>
  <c r="P5499" i="2"/>
  <c r="P5970" i="2"/>
  <c r="P5654" i="2"/>
  <c r="P2768" i="2"/>
  <c r="P3121" i="2"/>
  <c r="P5678" i="2"/>
  <c r="P6105" i="2"/>
  <c r="P6204" i="2"/>
  <c r="P6099" i="2"/>
  <c r="P6799" i="2"/>
  <c r="P4586" i="2"/>
  <c r="P1403" i="2"/>
  <c r="P799" i="2"/>
  <c r="P1368" i="2"/>
  <c r="P2570" i="2"/>
  <c r="P2557" i="2"/>
  <c r="P5199" i="2"/>
  <c r="P6091" i="2"/>
  <c r="P6227" i="2"/>
  <c r="P6225" i="2"/>
  <c r="P86" i="2"/>
  <c r="P1278" i="2"/>
  <c r="P6153" i="2"/>
  <c r="P5163" i="2"/>
  <c r="P5633" i="2"/>
  <c r="P4016" i="2"/>
  <c r="P1888" i="2"/>
  <c r="P1351" i="2"/>
  <c r="P2469" i="2"/>
  <c r="P3590" i="2"/>
  <c r="P5936" i="2"/>
  <c r="P5883" i="2"/>
  <c r="P6316" i="2"/>
  <c r="P1332" i="2"/>
  <c r="P1424" i="2"/>
  <c r="P2357" i="2"/>
  <c r="P2752" i="2"/>
  <c r="P2457" i="2"/>
  <c r="P5894" i="2"/>
  <c r="P5311" i="2"/>
  <c r="P6934" i="2"/>
  <c r="P6192" i="2"/>
  <c r="P6183" i="2"/>
  <c r="P6280" i="2"/>
  <c r="P1580" i="2"/>
  <c r="P47" i="2"/>
  <c r="P1693" i="2"/>
  <c r="P2403" i="2"/>
  <c r="P5978" i="2"/>
  <c r="P6215" i="2"/>
  <c r="P5260" i="2"/>
  <c r="P6339" i="2"/>
  <c r="P5591" i="2"/>
  <c r="P6326" i="2"/>
  <c r="P6731" i="2"/>
  <c r="P7100" i="2"/>
  <c r="P6708" i="2"/>
  <c r="P6630" i="2"/>
  <c r="P388" i="2"/>
  <c r="P766" i="2"/>
  <c r="P5804" i="2"/>
  <c r="P5722" i="2"/>
  <c r="P6223" i="2"/>
  <c r="P6576" i="2"/>
  <c r="P3726" i="2"/>
  <c r="P5826" i="2"/>
  <c r="P5878" i="2"/>
  <c r="P1323" i="2"/>
  <c r="P6156" i="2"/>
  <c r="P608" i="2"/>
  <c r="P1837" i="2"/>
  <c r="P796" i="2"/>
  <c r="P2447" i="2"/>
  <c r="P2648" i="2"/>
  <c r="P2879" i="2"/>
  <c r="P3258" i="2"/>
  <c r="P3630" i="2"/>
  <c r="P4922" i="2"/>
  <c r="P5935" i="2"/>
  <c r="P7257" i="2"/>
  <c r="P3384" i="2"/>
  <c r="P6312" i="2"/>
  <c r="P7186" i="2"/>
  <c r="P7509" i="2"/>
  <c r="P1045" i="2"/>
  <c r="P1447" i="2"/>
  <c r="P1495" i="2"/>
  <c r="P1980" i="2"/>
  <c r="P2776" i="2"/>
  <c r="P2775" i="2"/>
  <c r="P3269" i="2"/>
  <c r="P3967" i="2"/>
  <c r="P4096" i="2"/>
  <c r="P4132" i="2"/>
  <c r="P4168" i="2"/>
  <c r="P4204" i="2"/>
  <c r="P4915" i="2"/>
  <c r="P5881" i="2"/>
  <c r="P5745" i="2"/>
  <c r="P6616" i="2"/>
  <c r="P6807" i="2"/>
  <c r="P1789" i="2"/>
  <c r="P5365" i="2"/>
  <c r="P5540" i="2"/>
  <c r="P6074" i="2"/>
  <c r="P6953" i="2"/>
  <c r="P626" i="2"/>
  <c r="P210" i="2"/>
  <c r="P326" i="2"/>
  <c r="P353" i="2"/>
  <c r="P895" i="2"/>
  <c r="P1110" i="2"/>
  <c r="P1507" i="2"/>
  <c r="P2134" i="2"/>
  <c r="P2660" i="2"/>
  <c r="P2741" i="2"/>
  <c r="P3180" i="2"/>
  <c r="P3526" i="2"/>
  <c r="P3609" i="2"/>
  <c r="P3765" i="2"/>
  <c r="P3957" i="2"/>
  <c r="P5229" i="2"/>
  <c r="P1314" i="2"/>
  <c r="P2160" i="2"/>
  <c r="P3435" i="2"/>
  <c r="P6608" i="2"/>
  <c r="P7479" i="2"/>
  <c r="P5448" i="2"/>
  <c r="P179" i="2"/>
  <c r="P178" i="2"/>
  <c r="P224" i="2"/>
  <c r="P376" i="2"/>
  <c r="P575" i="2"/>
  <c r="P1156" i="2"/>
  <c r="P1451" i="2"/>
  <c r="P1509" i="2"/>
  <c r="P2282" i="2"/>
  <c r="P2362" i="2"/>
  <c r="P2818" i="2"/>
  <c r="P2789" i="2"/>
  <c r="P2897" i="2"/>
  <c r="P3267" i="2"/>
  <c r="P4074" i="2"/>
  <c r="P4110" i="2"/>
  <c r="P4146" i="2"/>
  <c r="P4182" i="2"/>
  <c r="P4682" i="2"/>
  <c r="P4985" i="2"/>
  <c r="P4997" i="2"/>
  <c r="P4944" i="2"/>
  <c r="P5088" i="2"/>
  <c r="P5877" i="2"/>
  <c r="P7313" i="2"/>
  <c r="P743" i="2"/>
  <c r="P1281" i="2"/>
  <c r="P5750" i="2"/>
  <c r="P6815" i="2"/>
  <c r="P6839" i="2"/>
  <c r="P7278" i="2"/>
  <c r="P7554" i="2"/>
  <c r="P1669" i="2"/>
  <c r="P2616" i="2"/>
  <c r="P4990" i="2"/>
  <c r="P5002" i="2"/>
  <c r="P6580" i="2"/>
  <c r="P3055" i="2"/>
  <c r="P3747" i="2"/>
  <c r="P3746" i="2"/>
  <c r="P4014" i="2"/>
  <c r="P4628" i="2"/>
  <c r="P6027" i="2"/>
  <c r="P7019" i="2"/>
  <c r="P7441" i="2"/>
  <c r="P7477" i="2"/>
  <c r="P44" i="2"/>
  <c r="P3752" i="2"/>
  <c r="P5948" i="2"/>
  <c r="P5982" i="2"/>
  <c r="P1224" i="2"/>
  <c r="P87" i="2"/>
  <c r="P3456" i="2"/>
  <c r="P4675" i="2"/>
  <c r="P4602" i="2"/>
  <c r="P6555" i="2"/>
  <c r="P227" i="2"/>
  <c r="P1503" i="2"/>
  <c r="P1485" i="2"/>
  <c r="P1504" i="2"/>
  <c r="P1899" i="2"/>
  <c r="P2028" i="2"/>
  <c r="P2485" i="2"/>
  <c r="P2622" i="2"/>
  <c r="P3612" i="2"/>
  <c r="P4052" i="2"/>
  <c r="P4076" i="2"/>
  <c r="P5122" i="2"/>
  <c r="P5707" i="2"/>
  <c r="P6505" i="2"/>
  <c r="P958" i="2"/>
  <c r="P1231" i="2"/>
  <c r="P2388" i="2"/>
  <c r="P2511" i="2"/>
  <c r="P2974" i="2"/>
  <c r="P7588" i="2"/>
  <c r="P5975" i="2"/>
  <c r="P124" i="2"/>
  <c r="P200" i="2"/>
  <c r="P199" i="2"/>
  <c r="P211" i="2"/>
  <c r="P348" i="2"/>
  <c r="P2123" i="2"/>
  <c r="P2466" i="2"/>
  <c r="P2274" i="2"/>
  <c r="P3574" i="2"/>
  <c r="P4714" i="2"/>
  <c r="P4673" i="2"/>
  <c r="P4923" i="2"/>
  <c r="P5043" i="2"/>
  <c r="P5079" i="2"/>
  <c r="P6446" i="2"/>
  <c r="P6867" i="2"/>
  <c r="P569" i="2"/>
  <c r="P2015" i="2"/>
  <c r="P4001" i="2"/>
  <c r="P6346" i="2"/>
  <c r="P6335" i="2"/>
  <c r="P7411" i="2"/>
  <c r="P7519" i="2"/>
  <c r="P7563" i="2"/>
  <c r="P3600" i="2"/>
  <c r="P5856" i="2"/>
  <c r="P6038" i="2"/>
  <c r="P347" i="2"/>
  <c r="P380" i="2"/>
  <c r="P650" i="2"/>
  <c r="P2271" i="2"/>
  <c r="P2473" i="2"/>
  <c r="P4909" i="2"/>
  <c r="P4933" i="2"/>
  <c r="P5053" i="2"/>
  <c r="P5108" i="2"/>
  <c r="P7217" i="2"/>
  <c r="P719" i="2"/>
  <c r="P3755" i="2"/>
  <c r="P6172" i="2"/>
  <c r="P7386" i="2"/>
  <c r="P2396" i="2"/>
  <c r="P5519" i="2"/>
  <c r="P5489" i="2"/>
  <c r="P5368" i="2"/>
  <c r="P1337" i="2"/>
  <c r="P1911" i="2"/>
  <c r="P122" i="2"/>
  <c r="P375" i="2"/>
  <c r="P365" i="2"/>
  <c r="P1135" i="2"/>
  <c r="P1252" i="2"/>
  <c r="P2125" i="2"/>
  <c r="P4637" i="2"/>
  <c r="P5134" i="2"/>
  <c r="P5355" i="2"/>
  <c r="P5697" i="2"/>
  <c r="P6509" i="2"/>
  <c r="P748" i="2"/>
  <c r="P753" i="2"/>
  <c r="P1709" i="2"/>
  <c r="P2207" i="2"/>
  <c r="P3163" i="2"/>
  <c r="P3144" i="2"/>
  <c r="P3466" i="2"/>
  <c r="P5567" i="2"/>
  <c r="P5762" i="2"/>
  <c r="P5842" i="2"/>
  <c r="P6467" i="2"/>
  <c r="P6197" i="2"/>
  <c r="P7353" i="2"/>
  <c r="P778" i="2"/>
  <c r="P89" i="2"/>
  <c r="P107" i="2"/>
  <c r="P202" i="2"/>
  <c r="P364" i="2"/>
  <c r="P1023" i="2"/>
  <c r="P1493" i="2"/>
  <c r="P1480" i="2"/>
  <c r="P2075" i="2"/>
  <c r="P2260" i="2"/>
  <c r="P2823" i="2"/>
  <c r="P3016" i="2"/>
  <c r="P4015" i="2"/>
  <c r="P4718" i="2"/>
  <c r="P4681" i="2"/>
  <c r="P4979" i="2"/>
  <c r="P5015" i="2"/>
  <c r="P57" i="2"/>
  <c r="P764" i="2"/>
  <c r="P735" i="2"/>
  <c r="P1008" i="2"/>
  <c r="P1107" i="2"/>
  <c r="P3349" i="2"/>
  <c r="P3531" i="2"/>
  <c r="P6106" i="2"/>
  <c r="P7373" i="2"/>
  <c r="P7517" i="2"/>
  <c r="P7600" i="2"/>
  <c r="P204" i="2"/>
  <c r="P88" i="2"/>
  <c r="P871" i="2"/>
  <c r="P850" i="2"/>
  <c r="P1100" i="2"/>
  <c r="P2394" i="2"/>
  <c r="P2840" i="2"/>
  <c r="P3164" i="2"/>
  <c r="P4996" i="2"/>
  <c r="P6627" i="2"/>
  <c r="P7099" i="2"/>
  <c r="P1739" i="2"/>
  <c r="P5711" i="2"/>
  <c r="P5582" i="2"/>
  <c r="P5964" i="2"/>
  <c r="P1725" i="2"/>
  <c r="P2567" i="2"/>
  <c r="P3215" i="2"/>
  <c r="P6010" i="2"/>
  <c r="P6632" i="2"/>
  <c r="P6886" i="2"/>
  <c r="P787" i="2"/>
  <c r="P1218" i="2"/>
  <c r="P1339" i="2"/>
  <c r="P1392" i="2"/>
  <c r="P5336" i="2"/>
  <c r="P5380" i="2"/>
  <c r="P2536" i="2"/>
  <c r="P128" i="2"/>
  <c r="P303" i="2"/>
  <c r="P382" i="2"/>
  <c r="P1074" i="2"/>
  <c r="P2918" i="2"/>
  <c r="P3673" i="2"/>
  <c r="P5030" i="2"/>
  <c r="P5656" i="2"/>
  <c r="P5348" i="2"/>
  <c r="P5641" i="2"/>
  <c r="P2155" i="2"/>
  <c r="P3313" i="2"/>
  <c r="P4075" i="2"/>
  <c r="P4111" i="2"/>
  <c r="P4147" i="2"/>
  <c r="P4183" i="2"/>
  <c r="P1759" i="2"/>
  <c r="P195" i="2"/>
  <c r="P475" i="2"/>
  <c r="P2594" i="2"/>
  <c r="P2615" i="2"/>
  <c r="P3278" i="2"/>
  <c r="P3617" i="2"/>
  <c r="P5889" i="2"/>
  <c r="P6677" i="2"/>
  <c r="P1212" i="2"/>
  <c r="P3434" i="2"/>
  <c r="P504" i="2"/>
  <c r="P2821" i="2"/>
  <c r="P4089" i="2"/>
  <c r="P4125" i="2"/>
  <c r="P4161" i="2"/>
  <c r="P4197" i="2"/>
  <c r="P4913" i="2"/>
  <c r="P883" i="2"/>
  <c r="P1070" i="2"/>
  <c r="P1800" i="2"/>
  <c r="P3309" i="2"/>
  <c r="P4621" i="2"/>
  <c r="P5074" i="2"/>
  <c r="P3427" i="2"/>
  <c r="P5626" i="2"/>
  <c r="P23" i="2"/>
  <c r="P404" i="2"/>
  <c r="P1471" i="2"/>
  <c r="P7093" i="2"/>
  <c r="P1783" i="2"/>
  <c r="P7531" i="2"/>
  <c r="P2146" i="2"/>
  <c r="P1691" i="2"/>
  <c r="P62" i="2"/>
  <c r="P3408" i="2"/>
  <c r="P163" i="2"/>
  <c r="P1015" i="2"/>
  <c r="P1650" i="2"/>
  <c r="P2047" i="2"/>
  <c r="P3240" i="2"/>
  <c r="P4057" i="2"/>
  <c r="P2575" i="2"/>
  <c r="P2581" i="2"/>
  <c r="P1080" i="2"/>
  <c r="P1457" i="2"/>
  <c r="P2442" i="2"/>
  <c r="P2330" i="2"/>
  <c r="P2870" i="2"/>
  <c r="P2855" i="2"/>
  <c r="P3905" i="2"/>
  <c r="P293" i="2"/>
  <c r="P1665" i="2"/>
  <c r="P2836" i="2"/>
  <c r="P4047" i="2"/>
  <c r="P6581" i="2"/>
  <c r="P7181" i="2"/>
  <c r="P1061" i="2"/>
  <c r="P85" i="2"/>
  <c r="P370" i="2"/>
  <c r="P531" i="2"/>
  <c r="P1058" i="2"/>
  <c r="P1146" i="2"/>
  <c r="P1265" i="2"/>
  <c r="P1544" i="2"/>
  <c r="P2052" i="2"/>
  <c r="P2687" i="2"/>
  <c r="P3676" i="2"/>
  <c r="P6643" i="2"/>
  <c r="P3699" i="2"/>
  <c r="P5270" i="2"/>
  <c r="P5457" i="2"/>
  <c r="P1309" i="2"/>
  <c r="P485" i="2"/>
  <c r="P1682" i="2"/>
  <c r="P6056" i="2"/>
  <c r="P2007" i="2"/>
  <c r="P2572" i="2"/>
  <c r="P3738" i="2"/>
  <c r="P5914" i="2"/>
  <c r="P6753" i="2"/>
  <c r="P6165" i="2"/>
  <c r="P6135" i="2"/>
  <c r="P1321" i="2"/>
  <c r="P3038" i="2"/>
  <c r="P2370" i="2"/>
  <c r="P6618" i="2"/>
  <c r="P1681" i="2"/>
  <c r="P6466" i="2"/>
  <c r="P1378" i="2"/>
  <c r="P5568" i="2"/>
  <c r="P1563" i="2"/>
  <c r="P1683" i="2"/>
  <c r="P6939" i="2"/>
  <c r="P5679" i="2"/>
  <c r="P6213" i="2"/>
  <c r="P6162" i="2"/>
  <c r="P6501" i="2"/>
  <c r="P292" i="2"/>
  <c r="P2696" i="2"/>
  <c r="P3297" i="2"/>
  <c r="P1673" i="2"/>
  <c r="P2124" i="2"/>
  <c r="P2782" i="2"/>
  <c r="P3277" i="2"/>
  <c r="P969" i="2"/>
  <c r="P924" i="2"/>
  <c r="P4480" i="2"/>
  <c r="P2656" i="2"/>
  <c r="P2778" i="2"/>
  <c r="P3002" i="2"/>
  <c r="P3478" i="2"/>
  <c r="P6664" i="2"/>
  <c r="P3112" i="2"/>
  <c r="P2458" i="2"/>
  <c r="P469" i="2"/>
  <c r="P1497" i="2"/>
  <c r="P2872" i="2"/>
  <c r="P4148" i="2"/>
  <c r="P5142" i="2"/>
  <c r="P1144" i="2"/>
  <c r="P1143" i="2"/>
  <c r="P325" i="2"/>
  <c r="P1624" i="2"/>
  <c r="P1660" i="2"/>
  <c r="P2082" i="2"/>
  <c r="P3933" i="2"/>
  <c r="P4053" i="2"/>
  <c r="P732" i="2"/>
  <c r="P6103" i="2"/>
  <c r="P602" i="2"/>
  <c r="P859" i="2"/>
  <c r="P2094" i="2"/>
  <c r="P2884" i="2"/>
  <c r="P2809" i="2"/>
  <c r="P2857" i="2"/>
  <c r="P4660" i="2"/>
  <c r="P5725" i="2"/>
  <c r="P3304" i="2"/>
  <c r="P2003" i="2"/>
  <c r="P3012" i="2"/>
  <c r="P3943" i="2"/>
  <c r="P1088" i="2"/>
  <c r="P2418" i="2"/>
  <c r="P2790" i="2"/>
  <c r="P3149" i="2"/>
  <c r="P3321" i="2"/>
  <c r="P3248" i="2"/>
  <c r="P6309" i="2"/>
  <c r="P6766" i="2"/>
  <c r="P4523" i="2"/>
  <c r="P4516" i="2"/>
  <c r="P5292" i="2"/>
  <c r="P1317" i="2"/>
  <c r="P1876" i="2"/>
  <c r="P4528" i="2"/>
  <c r="P5598" i="2"/>
  <c r="P5670" i="2"/>
  <c r="P6175" i="2"/>
  <c r="P5635" i="2"/>
  <c r="P1257" i="2"/>
  <c r="P1255" i="2"/>
  <c r="P441" i="2"/>
  <c r="P1390" i="2"/>
  <c r="P996" i="2"/>
  <c r="P1684" i="2"/>
  <c r="P1578" i="2"/>
  <c r="P1540" i="2"/>
  <c r="P5402" i="2"/>
  <c r="P4507" i="2"/>
  <c r="P5475" i="2"/>
  <c r="P5640" i="2"/>
  <c r="P5825" i="2"/>
  <c r="P5774" i="2"/>
  <c r="P5700" i="2"/>
  <c r="P6098" i="2"/>
  <c r="P6005" i="2"/>
  <c r="P6672" i="2"/>
  <c r="P6367" i="2"/>
  <c r="P6361" i="2"/>
  <c r="P6366" i="2"/>
  <c r="P1916" i="2"/>
  <c r="P1200" i="2"/>
  <c r="P59" i="2"/>
  <c r="P1565" i="2"/>
  <c r="P2414" i="2"/>
  <c r="P4577" i="2"/>
  <c r="P5753" i="2"/>
  <c r="P6071" i="2"/>
  <c r="P6328" i="2"/>
  <c r="P6647" i="2"/>
  <c r="P7106" i="2"/>
  <c r="P2427" i="2"/>
  <c r="P740" i="2"/>
  <c r="P6088" i="2"/>
  <c r="P6633" i="2"/>
  <c r="P5754" i="2"/>
  <c r="P5618" i="2"/>
  <c r="P6385" i="2"/>
  <c r="P6275" i="2"/>
  <c r="P5362" i="2"/>
  <c r="P1322" i="2"/>
  <c r="P5353" i="2"/>
  <c r="P5962" i="2"/>
  <c r="P1758" i="2"/>
  <c r="P6291" i="2"/>
  <c r="P530" i="2"/>
  <c r="P1326" i="2"/>
  <c r="P6125" i="2"/>
  <c r="P6524" i="2"/>
  <c r="P1915" i="2"/>
  <c r="P3444" i="2"/>
  <c r="P6376" i="2"/>
  <c r="P6170" i="2"/>
  <c r="P6029" i="2"/>
  <c r="P5748" i="2"/>
  <c r="P5486" i="2"/>
  <c r="P2518" i="2"/>
  <c r="P1434" i="2"/>
  <c r="P1689" i="2"/>
  <c r="P5871" i="2"/>
  <c r="P6269" i="2"/>
  <c r="P6582" i="2"/>
  <c r="P6141" i="2"/>
  <c r="P5688" i="2"/>
  <c r="P5251" i="2"/>
  <c r="P6145" i="2"/>
  <c r="P5570" i="2"/>
  <c r="P100" i="2"/>
  <c r="P209" i="2"/>
  <c r="P349" i="2"/>
  <c r="P601" i="2"/>
  <c r="P987" i="2"/>
  <c r="P1251" i="2"/>
  <c r="P2136" i="2"/>
  <c r="P2283" i="2"/>
  <c r="P2678" i="2"/>
  <c r="P2876" i="2"/>
  <c r="P3279" i="2"/>
  <c r="P4640" i="2"/>
  <c r="P4943" i="2"/>
  <c r="P4967" i="2"/>
  <c r="P5075" i="2"/>
  <c r="P4962" i="2"/>
  <c r="P5716" i="2"/>
  <c r="P1208" i="2"/>
  <c r="P3367" i="2"/>
  <c r="P3423" i="2"/>
  <c r="P5332" i="2"/>
  <c r="P5828" i="2"/>
  <c r="P6431" i="2"/>
  <c r="P7497" i="2"/>
  <c r="P94" i="2"/>
  <c r="P2695" i="2"/>
  <c r="P3008" i="2"/>
  <c r="P4088" i="2"/>
  <c r="P4112" i="2"/>
  <c r="P4184" i="2"/>
  <c r="P2301" i="2"/>
  <c r="P3524" i="2"/>
  <c r="P6259" i="2"/>
  <c r="P7445" i="2"/>
  <c r="P5915" i="2"/>
  <c r="P2191" i="2"/>
  <c r="P3685" i="2"/>
  <c r="P3931" i="2"/>
  <c r="P3890" i="2"/>
  <c r="P4730" i="2"/>
  <c r="P746" i="2"/>
  <c r="P2495" i="2"/>
  <c r="P3358" i="2"/>
  <c r="P3579" i="2"/>
  <c r="P5807" i="2"/>
  <c r="P1844" i="2"/>
  <c r="P4638" i="2"/>
  <c r="P4934" i="2"/>
  <c r="P4970" i="2"/>
  <c r="P4994" i="2"/>
  <c r="P5246" i="2"/>
  <c r="P5154" i="2"/>
  <c r="P5959" i="2"/>
  <c r="P7121" i="2"/>
  <c r="P6796" i="2"/>
  <c r="P790" i="2"/>
  <c r="P2398" i="2"/>
  <c r="P3068" i="2"/>
  <c r="P3953" i="2"/>
  <c r="P6161" i="2"/>
  <c r="P7003" i="2"/>
  <c r="P7506" i="2"/>
  <c r="P720" i="2"/>
  <c r="P1039" i="2"/>
  <c r="P1479" i="2"/>
  <c r="P1536" i="2"/>
  <c r="P1651" i="2"/>
  <c r="P2820" i="2"/>
  <c r="P3019" i="2"/>
  <c r="P3020" i="2"/>
  <c r="P3251" i="2"/>
  <c r="P3562" i="2"/>
  <c r="P4742" i="2"/>
  <c r="P4999" i="2"/>
  <c r="P5403" i="2"/>
  <c r="P6510" i="2"/>
  <c r="P6906" i="2"/>
  <c r="P3193" i="2"/>
  <c r="P3455" i="2"/>
  <c r="P3995" i="2"/>
  <c r="P3479" i="2"/>
  <c r="P4589" i="2"/>
  <c r="P6624" i="2"/>
  <c r="P6383" i="2"/>
  <c r="P7055" i="2"/>
  <c r="P1877" i="2"/>
  <c r="P1126" i="2"/>
  <c r="P1490" i="2"/>
  <c r="P1618" i="2"/>
  <c r="P2117" i="2"/>
  <c r="P2140" i="2"/>
  <c r="P3203" i="2"/>
  <c r="P3539" i="2"/>
  <c r="P3610" i="2"/>
  <c r="P5701" i="2"/>
  <c r="P1241" i="2"/>
  <c r="P3390" i="2"/>
  <c r="P3498" i="2"/>
  <c r="P5906" i="2"/>
  <c r="P6548" i="2"/>
  <c r="P6221" i="2"/>
  <c r="P342" i="2"/>
  <c r="P393" i="2"/>
  <c r="P902" i="2"/>
  <c r="P1459" i="2"/>
  <c r="P1508" i="2"/>
  <c r="P1621" i="2"/>
  <c r="P2964" i="2"/>
  <c r="P3027" i="2"/>
  <c r="P3496" i="2"/>
  <c r="P3901" i="2"/>
  <c r="P4658" i="2"/>
  <c r="P4654" i="2"/>
  <c r="P5141" i="2"/>
  <c r="P6435" i="2"/>
  <c r="P2084" i="2"/>
  <c r="P3381" i="2"/>
  <c r="P4532" i="2"/>
  <c r="P7063" i="2"/>
  <c r="P6957" i="2"/>
  <c r="P7551" i="2"/>
  <c r="P2144" i="2"/>
  <c r="P1977" i="2"/>
  <c r="P327" i="2"/>
  <c r="P2249" i="2"/>
  <c r="P3209" i="2"/>
  <c r="P4039" i="2"/>
  <c r="P5062" i="2"/>
  <c r="P5271" i="2"/>
  <c r="P5152" i="2"/>
  <c r="P6615" i="2"/>
  <c r="P1548" i="2"/>
  <c r="P7463" i="2"/>
  <c r="P7338" i="2"/>
  <c r="P7374" i="2"/>
  <c r="P7482" i="2"/>
  <c r="P7148" i="2"/>
  <c r="P1247" i="2"/>
  <c r="P1441" i="2"/>
  <c r="P2248" i="2"/>
  <c r="P2346" i="2"/>
  <c r="P2464" i="2"/>
  <c r="P2864" i="2"/>
  <c r="P2851" i="2"/>
  <c r="P3035" i="2"/>
  <c r="P3241" i="2"/>
  <c r="P3263" i="2"/>
  <c r="P4766" i="2"/>
  <c r="P5331" i="2"/>
  <c r="P5373" i="2"/>
  <c r="P966" i="2"/>
  <c r="P7162" i="2"/>
  <c r="P7513" i="2"/>
  <c r="P7585" i="2"/>
  <c r="P7282" i="2"/>
  <c r="P7557" i="2"/>
  <c r="P1975" i="2"/>
  <c r="P5119" i="2"/>
  <c r="P6345" i="2"/>
  <c r="P216" i="2"/>
  <c r="P206" i="2"/>
  <c r="P405" i="2"/>
  <c r="P1644" i="2"/>
  <c r="P2116" i="2"/>
  <c r="P2946" i="2"/>
  <c r="P4988" i="2"/>
  <c r="P5000" i="2"/>
  <c r="P5060" i="2"/>
  <c r="P5084" i="2"/>
  <c r="P5204" i="2"/>
  <c r="P5156" i="2"/>
  <c r="P5893" i="2"/>
  <c r="P6457" i="2"/>
  <c r="P7167" i="2"/>
  <c r="P3445" i="2"/>
  <c r="P3743" i="2"/>
  <c r="P5437" i="2"/>
  <c r="P5952" i="2"/>
  <c r="P6086" i="2"/>
  <c r="P6214" i="2"/>
  <c r="P7416" i="2"/>
  <c r="P5469" i="2"/>
  <c r="P1519" i="2"/>
  <c r="P2261" i="2"/>
  <c r="P2280" i="2"/>
  <c r="P2608" i="2"/>
  <c r="P2680" i="2"/>
  <c r="P2577" i="2"/>
  <c r="P3043" i="2"/>
  <c r="P3051" i="2"/>
  <c r="P3748" i="2"/>
  <c r="P3908" i="2"/>
  <c r="P4981" i="2"/>
  <c r="P5240" i="2"/>
  <c r="P6470" i="2"/>
  <c r="P2494" i="2"/>
  <c r="P3181" i="2"/>
  <c r="P5646" i="2"/>
  <c r="P6535" i="2"/>
  <c r="P6048" i="2"/>
  <c r="P6228" i="2"/>
  <c r="P6264" i="2"/>
  <c r="P5815" i="2"/>
  <c r="P6354" i="2"/>
  <c r="P7533" i="2"/>
  <c r="P1354" i="2"/>
  <c r="P2246" i="2"/>
  <c r="P6154" i="2"/>
  <c r="P7111" i="2"/>
  <c r="P2751" i="2"/>
  <c r="P5150" i="2"/>
  <c r="P2817" i="2"/>
  <c r="P3311" i="2"/>
  <c r="P4087" i="2"/>
  <c r="P4123" i="2"/>
  <c r="P4159" i="2"/>
  <c r="P4195" i="2"/>
  <c r="P4902" i="2"/>
  <c r="P3083" i="2"/>
  <c r="P6700" i="2"/>
  <c r="P7179" i="2"/>
  <c r="P1301" i="2"/>
  <c r="P6987" i="2"/>
  <c r="P7367" i="2"/>
  <c r="P7475" i="2"/>
  <c r="P315" i="2"/>
  <c r="P1282" i="2"/>
  <c r="P2259" i="2"/>
  <c r="P2669" i="2"/>
  <c r="P3628" i="2"/>
  <c r="P4157" i="2"/>
  <c r="P6420" i="2"/>
  <c r="P7037" i="2"/>
  <c r="P604" i="2"/>
  <c r="P2633" i="2"/>
  <c r="P5767" i="2"/>
  <c r="P7501" i="2"/>
  <c r="P2858" i="2"/>
  <c r="P3249" i="2"/>
  <c r="P3969" i="2"/>
  <c r="P4101" i="2"/>
  <c r="P4137" i="2"/>
  <c r="P4173" i="2"/>
  <c r="P6568" i="2"/>
  <c r="P2409" i="2"/>
  <c r="P2407" i="2"/>
  <c r="P2631" i="2"/>
  <c r="P4917" i="2"/>
  <c r="P5073" i="2"/>
  <c r="P7053" i="2"/>
  <c r="P734" i="2"/>
  <c r="P1302" i="2"/>
  <c r="P3735" i="2"/>
  <c r="P7169" i="2"/>
  <c r="P7089" i="2"/>
  <c r="P7102" i="2"/>
  <c r="P7391" i="2"/>
  <c r="P7427" i="2"/>
  <c r="P6533" i="2"/>
  <c r="P6246" i="2"/>
  <c r="P6513" i="2"/>
  <c r="P3000" i="2"/>
  <c r="P5897" i="2"/>
  <c r="P2556" i="2"/>
  <c r="P6062" i="2"/>
  <c r="P6768" i="2"/>
  <c r="P5494" i="2"/>
  <c r="P6218" i="2"/>
  <c r="P2415" i="2"/>
  <c r="P5616" i="2"/>
  <c r="P5849" i="2"/>
  <c r="P6294" i="2"/>
  <c r="P5509" i="2"/>
  <c r="P6163" i="2"/>
  <c r="P6159" i="2"/>
  <c r="P3185" i="2"/>
  <c r="P3187" i="2"/>
  <c r="P5462" i="2"/>
  <c r="P1328" i="2"/>
  <c r="P2997" i="2"/>
  <c r="P5562" i="2"/>
  <c r="P5669" i="2"/>
  <c r="P5630" i="2"/>
  <c r="P6097" i="2"/>
  <c r="P6196" i="2"/>
  <c r="P6171" i="2"/>
  <c r="P45" i="2"/>
  <c r="P6042" i="2"/>
  <c r="P6030" i="2"/>
  <c r="P6531" i="2"/>
  <c r="P511" i="2"/>
  <c r="P1352" i="2"/>
  <c r="P620" i="2"/>
  <c r="P1170" i="2"/>
  <c r="P279" i="2"/>
  <c r="P1020" i="2"/>
  <c r="P1688" i="2"/>
  <c r="P1349" i="2"/>
  <c r="P1535" i="2"/>
  <c r="P3198" i="2"/>
  <c r="P3079" i="2"/>
  <c r="P5661" i="2"/>
  <c r="P4744" i="2"/>
  <c r="P3104" i="2"/>
  <c r="P1331" i="2"/>
  <c r="P6792" i="2"/>
  <c r="P3186" i="2"/>
  <c r="P5885" i="2"/>
  <c r="P6129" i="2"/>
  <c r="P3161" i="2"/>
  <c r="P3280" i="2"/>
  <c r="P3643" i="2"/>
  <c r="P3740" i="2"/>
  <c r="P4524" i="2"/>
  <c r="P5838" i="2"/>
  <c r="P5942" i="2"/>
  <c r="P6268" i="2"/>
  <c r="P6295" i="2"/>
  <c r="P237" i="2"/>
  <c r="P699" i="2"/>
  <c r="P1918" i="2"/>
  <c r="P1371" i="2"/>
  <c r="P3139" i="2"/>
  <c r="P3014" i="2"/>
  <c r="P1341" i="2"/>
  <c r="P3168" i="2"/>
  <c r="P3567" i="2"/>
  <c r="P5471" i="2"/>
  <c r="P5868" i="2"/>
  <c r="P5690" i="2"/>
  <c r="P5374" i="2"/>
  <c r="P5736" i="2"/>
  <c r="P5943" i="2"/>
  <c r="P6274" i="2"/>
  <c r="P6594" i="2"/>
  <c r="P6944" i="2"/>
  <c r="P6136" i="2"/>
  <c r="P6250" i="2"/>
  <c r="P6248" i="2"/>
  <c r="P6180" i="2"/>
  <c r="P1411" i="2"/>
  <c r="P733" i="2"/>
  <c r="P1414" i="2"/>
  <c r="P1919" i="2"/>
  <c r="P591" i="2"/>
  <c r="P1889" i="2"/>
  <c r="P3684" i="2"/>
  <c r="P5421" i="2"/>
  <c r="P5680" i="2"/>
  <c r="P6092" i="2"/>
  <c r="P5644" i="2"/>
  <c r="P6147" i="2"/>
  <c r="P6329" i="2"/>
  <c r="P6454" i="2"/>
  <c r="P559" i="2"/>
  <c r="P1312" i="2"/>
  <c r="P1369" i="2"/>
  <c r="P2305" i="2"/>
  <c r="P3591" i="2"/>
  <c r="P5538" i="2"/>
  <c r="P6212" i="2"/>
  <c r="P5211" i="2"/>
  <c r="P6073" i="2"/>
  <c r="P6206" i="2"/>
  <c r="P6920" i="2"/>
  <c r="P2744" i="2"/>
  <c r="P1342" i="2"/>
  <c r="P2467" i="2"/>
  <c r="P291" i="2"/>
  <c r="P976" i="2"/>
  <c r="P6319" i="2"/>
  <c r="P5338" i="2"/>
  <c r="P5622" i="2"/>
  <c r="P6127" i="2"/>
  <c r="P412" i="2"/>
  <c r="P1992" i="2"/>
  <c r="P6113" i="2"/>
  <c r="P6333" i="2"/>
  <c r="P5599" i="2"/>
  <c r="P6126" i="2"/>
  <c r="P657" i="2"/>
  <c r="P2178" i="2"/>
  <c r="P6279" i="2"/>
  <c r="P25" i="2"/>
  <c r="P1671" i="2"/>
  <c r="P2926" i="2"/>
  <c r="P3320" i="2"/>
  <c r="P3695" i="2"/>
  <c r="P6607" i="2"/>
  <c r="P7494" i="2"/>
  <c r="P379" i="2"/>
  <c r="P2354" i="2"/>
  <c r="P2708" i="2"/>
  <c r="P2850" i="2"/>
  <c r="P3938" i="2"/>
  <c r="P4136" i="2"/>
  <c r="P1551" i="2"/>
  <c r="P2336" i="2"/>
  <c r="P4626" i="2"/>
  <c r="P4919" i="2"/>
  <c r="P4955" i="2"/>
  <c r="P5039" i="2"/>
  <c r="P586" i="2"/>
  <c r="P872" i="2"/>
  <c r="P1557" i="2"/>
  <c r="P1627" i="2"/>
  <c r="P3032" i="2"/>
  <c r="P3490" i="2"/>
  <c r="P3514" i="2"/>
  <c r="P2856" i="2"/>
  <c r="P3188" i="2"/>
  <c r="P4043" i="2"/>
  <c r="P4079" i="2"/>
  <c r="P4785" i="2"/>
  <c r="P4568" i="2"/>
  <c r="P6895" i="2"/>
  <c r="P183" i="2"/>
  <c r="P1244" i="2"/>
  <c r="P1443" i="2"/>
  <c r="P1491" i="2"/>
  <c r="P2995" i="2"/>
  <c r="P3962" i="2"/>
  <c r="P5364" i="2"/>
  <c r="P6532" i="2"/>
  <c r="P2096" i="2"/>
  <c r="P991" i="2"/>
  <c r="P2186" i="2"/>
  <c r="P2287" i="2"/>
  <c r="P5361" i="2"/>
  <c r="P269" i="2"/>
  <c r="P3946" i="2"/>
  <c r="P4082" i="2"/>
  <c r="P1530" i="2"/>
  <c r="P2846" i="2"/>
  <c r="P4487" i="2"/>
  <c r="P4709" i="2"/>
  <c r="P514" i="2"/>
  <c r="P1180" i="2"/>
  <c r="P19" i="2"/>
  <c r="P905" i="2"/>
  <c r="P1248" i="2"/>
  <c r="P1477" i="2"/>
  <c r="P1524" i="2"/>
  <c r="P2143" i="2"/>
  <c r="P2278" i="2"/>
  <c r="P2954" i="2"/>
  <c r="P4873" i="2"/>
  <c r="P5121" i="2"/>
  <c r="P14" i="2"/>
  <c r="P17" i="2"/>
  <c r="P2411" i="2"/>
  <c r="P2819" i="2"/>
  <c r="P3192" i="2"/>
  <c r="P3288" i="2"/>
  <c r="P1183" i="2"/>
  <c r="P1327" i="2"/>
  <c r="P2617" i="2"/>
  <c r="P5590" i="2"/>
  <c r="P6583" i="2"/>
  <c r="P6539" i="2"/>
  <c r="P6694" i="2"/>
  <c r="P7042" i="2"/>
  <c r="P7442" i="2"/>
  <c r="P7550" i="2"/>
  <c r="P2935" i="2"/>
  <c r="P6425" i="2"/>
  <c r="P4765" i="2"/>
  <c r="P5102" i="2"/>
  <c r="P4983" i="2"/>
  <c r="P5031" i="2"/>
  <c r="P6904" i="2"/>
  <c r="P668" i="2"/>
  <c r="P609" i="2"/>
  <c r="P1096" i="2"/>
  <c r="P731" i="2"/>
  <c r="P704" i="2"/>
  <c r="P1037" i="2"/>
  <c r="P1182" i="2"/>
  <c r="P1760" i="2"/>
  <c r="P2690" i="2"/>
  <c r="P5579" i="2"/>
  <c r="P7043" i="2"/>
  <c r="P6836" i="2"/>
  <c r="P6730" i="2"/>
  <c r="P6849" i="2"/>
  <c r="P6739" i="2"/>
  <c r="P7334" i="2"/>
  <c r="P7481" i="2"/>
  <c r="P4969" i="2"/>
  <c r="P5029" i="2"/>
  <c r="P5352" i="2"/>
  <c r="P5721" i="2"/>
  <c r="P961" i="2"/>
  <c r="P1388" i="2"/>
  <c r="P1586" i="2"/>
  <c r="P2544" i="2"/>
  <c r="P3436" i="2"/>
  <c r="P4512" i="2"/>
  <c r="P5263" i="2"/>
  <c r="P5898" i="2"/>
  <c r="P5835" i="2"/>
  <c r="P6718" i="2"/>
  <c r="P7050" i="2"/>
  <c r="P7567" i="2"/>
  <c r="P5120" i="2"/>
  <c r="P5140" i="2"/>
  <c r="P6444" i="2"/>
  <c r="P6423" i="2"/>
  <c r="P6498" i="2"/>
  <c r="P6629" i="2"/>
  <c r="P1043" i="2"/>
  <c r="P1898" i="2"/>
  <c r="P2977" i="2"/>
  <c r="P4610" i="2"/>
  <c r="P5472" i="2"/>
  <c r="P5589" i="2"/>
  <c r="P6804" i="2"/>
  <c r="P6052" i="2"/>
  <c r="P6619" i="2"/>
  <c r="P3332" i="2"/>
  <c r="P6970" i="2"/>
  <c r="P5046" i="2"/>
  <c r="P5901" i="2"/>
  <c r="P7263" i="2"/>
  <c r="P5534" i="2"/>
  <c r="P5834" i="2"/>
  <c r="P6477" i="2"/>
  <c r="P6166" i="2"/>
  <c r="P6933" i="2"/>
  <c r="P546" i="2"/>
  <c r="P5056" i="2"/>
  <c r="P5068" i="2"/>
  <c r="P5097" i="2"/>
  <c r="P6009" i="2"/>
  <c r="P4025" i="2"/>
  <c r="P5324" i="2"/>
  <c r="P5653" i="2"/>
  <c r="P6256" i="2"/>
  <c r="P6070" i="2"/>
  <c r="P6031" i="2"/>
  <c r="P7421" i="2"/>
  <c r="P7601" i="2"/>
  <c r="P5597" i="2"/>
  <c r="P1004" i="2"/>
  <c r="P2535" i="2"/>
  <c r="P5453" i="2"/>
  <c r="P5326" i="2"/>
  <c r="P5398" i="2"/>
  <c r="P5665" i="2"/>
  <c r="P7274" i="2"/>
  <c r="P5735" i="2"/>
  <c r="P4946" i="2"/>
  <c r="P4982" i="2"/>
  <c r="P5018" i="2"/>
  <c r="P4953" i="2"/>
  <c r="P5397" i="2"/>
  <c r="P6518" i="2"/>
  <c r="P6438" i="2"/>
  <c r="P7123" i="2"/>
  <c r="P7161" i="2"/>
  <c r="P693" i="2"/>
  <c r="P3194" i="2"/>
  <c r="P3156" i="2"/>
  <c r="P3131" i="2"/>
  <c r="P3687" i="2"/>
  <c r="P3669" i="2"/>
  <c r="P7070" i="2"/>
  <c r="P7618" i="2"/>
  <c r="P7410" i="2"/>
  <c r="P6949" i="2"/>
  <c r="P1192" i="2"/>
  <c r="P5083" i="2"/>
  <c r="P5164" i="2"/>
  <c r="P5995" i="2"/>
  <c r="P5761" i="2"/>
  <c r="P980" i="2"/>
  <c r="P2132" i="2"/>
  <c r="P3199" i="2"/>
  <c r="P3182" i="2"/>
  <c r="P3352" i="2"/>
  <c r="P5664" i="2"/>
  <c r="P5671" i="2"/>
  <c r="P5738" i="2"/>
  <c r="P6584" i="2"/>
  <c r="P6780" i="2"/>
  <c r="P6671" i="2"/>
  <c r="P6185" i="2"/>
  <c r="P6310" i="2"/>
  <c r="P6752" i="2"/>
  <c r="P7449" i="2"/>
  <c r="P7521" i="2"/>
  <c r="P6699" i="2"/>
  <c r="P6772" i="2"/>
  <c r="P510" i="2"/>
  <c r="P3534" i="2"/>
  <c r="P6848" i="2"/>
  <c r="P7172" i="2"/>
  <c r="P1998" i="2"/>
  <c r="P2527" i="2"/>
  <c r="P3749" i="2"/>
  <c r="P6173" i="2"/>
  <c r="P5702" i="2"/>
  <c r="P6124" i="2"/>
  <c r="P6660" i="2"/>
  <c r="P6862" i="2"/>
  <c r="P6315" i="2"/>
  <c r="P5" i="2"/>
  <c r="P316" i="2"/>
  <c r="P1194" i="2"/>
  <c r="P465" i="2"/>
  <c r="P1066" i="2"/>
  <c r="P1416" i="2"/>
  <c r="P1577" i="2"/>
  <c r="P1267" i="2"/>
  <c r="P3992" i="2"/>
  <c r="P3678" i="2"/>
  <c r="P2647" i="2"/>
  <c r="P5308" i="2"/>
  <c r="P5789" i="2"/>
  <c r="P5794" i="2"/>
  <c r="P5655" i="2"/>
  <c r="P5890" i="2"/>
  <c r="P5583" i="2"/>
  <c r="P6069" i="2"/>
  <c r="P5930" i="2"/>
  <c r="P6896" i="2"/>
  <c r="P6912" i="2"/>
  <c r="P6024" i="2"/>
  <c r="P6186" i="2"/>
  <c r="P6300" i="2"/>
  <c r="P6164" i="2"/>
  <c r="P6341" i="2"/>
  <c r="P6828" i="2"/>
  <c r="P6350" i="2"/>
  <c r="P1397" i="2"/>
  <c r="P673" i="2"/>
  <c r="P1338" i="2"/>
  <c r="P644" i="2"/>
  <c r="P1752" i="2"/>
  <c r="P1426" i="2"/>
  <c r="P1396" i="2"/>
  <c r="P1072" i="2"/>
  <c r="P2100" i="2"/>
  <c r="P2762" i="2"/>
  <c r="P4592" i="2"/>
  <c r="P6059" i="2"/>
  <c r="P6148" i="2"/>
  <c r="P5637" i="2"/>
  <c r="P6242" i="2"/>
  <c r="P5550" i="2"/>
  <c r="P2569" i="2"/>
  <c r="P2209" i="2"/>
  <c r="P2196" i="2"/>
  <c r="P5683" i="2"/>
  <c r="P6065" i="2"/>
  <c r="P6026" i="2"/>
  <c r="P6587" i="2"/>
  <c r="P6682" i="2"/>
  <c r="P6158" i="2"/>
  <c r="P1418" i="2"/>
  <c r="P6323" i="2"/>
  <c r="P3968" i="2"/>
  <c r="P3978" i="2"/>
  <c r="P5517" i="2"/>
  <c r="P5981" i="2"/>
  <c r="P1620" i="2"/>
  <c r="P6096" i="2"/>
  <c r="P6273" i="2"/>
  <c r="P498" i="2"/>
  <c r="P1402" i="2"/>
  <c r="P645" i="2"/>
  <c r="P4932" i="2"/>
  <c r="P4980" i="2"/>
  <c r="P2534" i="2"/>
  <c r="P2499" i="2"/>
  <c r="P3061" i="2"/>
  <c r="P5536" i="2"/>
  <c r="P5854" i="2"/>
  <c r="P5698" i="2"/>
  <c r="P5864" i="2"/>
  <c r="P5717" i="2"/>
  <c r="P7034" i="2"/>
  <c r="P7375" i="2"/>
  <c r="P7447" i="2"/>
  <c r="P7555" i="2"/>
  <c r="P2611" i="2"/>
  <c r="P2073" i="2"/>
  <c r="P6338" i="2"/>
  <c r="P201" i="2"/>
  <c r="P275" i="2"/>
  <c r="P775" i="2"/>
  <c r="P2035" i="2"/>
  <c r="P2277" i="2"/>
  <c r="P2975" i="2"/>
  <c r="P3266" i="2"/>
  <c r="P3635" i="2"/>
  <c r="P3589" i="2"/>
  <c r="P5096" i="2"/>
  <c r="P4914" i="2"/>
  <c r="P5212" i="2"/>
  <c r="P5983" i="2"/>
  <c r="P7231" i="2"/>
  <c r="P7335" i="2"/>
  <c r="P683" i="2"/>
  <c r="P2189" i="2"/>
  <c r="P4563" i="2"/>
  <c r="P6247" i="2"/>
  <c r="P6306" i="2"/>
  <c r="P6989" i="2"/>
  <c r="P7572" i="2"/>
  <c r="P526" i="2"/>
  <c r="P1353" i="2"/>
  <c r="P3758" i="2"/>
  <c r="P5304" i="2"/>
  <c r="P6017" i="2"/>
  <c r="P6132" i="2"/>
  <c r="P6666" i="2"/>
  <c r="P1400" i="2"/>
  <c r="P781" i="2"/>
  <c r="P880" i="2"/>
  <c r="P1444" i="2"/>
  <c r="P1880" i="2"/>
  <c r="P3913" i="2"/>
  <c r="P4868" i="2"/>
  <c r="P4912" i="2"/>
  <c r="P4936" i="2"/>
  <c r="P4984" i="2"/>
  <c r="P5044" i="2"/>
  <c r="P5080" i="2"/>
  <c r="P5146" i="2"/>
  <c r="P5812" i="2"/>
  <c r="P6538" i="2"/>
  <c r="P6459" i="2"/>
  <c r="P533" i="2"/>
  <c r="P557" i="2"/>
  <c r="P1734" i="2"/>
  <c r="P2120" i="2"/>
  <c r="P1902" i="2"/>
  <c r="P2126" i="2"/>
  <c r="P3451" i="2"/>
  <c r="P5314" i="2"/>
  <c r="P5464" i="2"/>
  <c r="P6449" i="2"/>
  <c r="P7487" i="2"/>
  <c r="P7498" i="2"/>
  <c r="P7336" i="2"/>
  <c r="P7300" i="2"/>
  <c r="P7395" i="2"/>
  <c r="P1174" i="2"/>
  <c r="P1883" i="2"/>
  <c r="P479" i="2"/>
  <c r="P940" i="2"/>
  <c r="P848" i="2"/>
  <c r="P1128" i="2"/>
  <c r="P2626" i="2"/>
  <c r="P2754" i="2"/>
  <c r="P3047" i="2"/>
  <c r="P3275" i="2"/>
  <c r="P5719" i="2"/>
  <c r="P597" i="2"/>
  <c r="P776" i="2"/>
  <c r="P2090" i="2"/>
  <c r="P3553" i="2"/>
  <c r="P5659" i="2"/>
  <c r="P6455" i="2"/>
  <c r="P6622" i="2"/>
  <c r="P7210" i="2"/>
  <c r="P7573" i="2"/>
  <c r="P262" i="2"/>
  <c r="P417" i="2"/>
  <c r="P749" i="2"/>
  <c r="P1150" i="2"/>
  <c r="P1131" i="2"/>
  <c r="P1514" i="2"/>
  <c r="P1496" i="2"/>
  <c r="P1710" i="2"/>
  <c r="P1632" i="2"/>
  <c r="P2610" i="2"/>
  <c r="P3003" i="2"/>
  <c r="P3950" i="2"/>
  <c r="P4041" i="2"/>
  <c r="P4484" i="2"/>
  <c r="P4870" i="2"/>
  <c r="P5301" i="2"/>
  <c r="P5241" i="2"/>
  <c r="P492" i="2"/>
  <c r="P2529" i="2"/>
  <c r="P4587" i="2"/>
  <c r="P5476" i="2"/>
  <c r="P5778" i="2"/>
  <c r="P6263" i="2"/>
  <c r="P6571" i="2"/>
  <c r="P7011" i="2"/>
  <c r="P7208" i="2"/>
  <c r="P3667" i="2"/>
  <c r="P3698" i="2"/>
  <c r="P4090" i="2"/>
  <c r="P4126" i="2"/>
  <c r="P4162" i="2"/>
  <c r="P4198" i="2"/>
  <c r="P4963" i="2"/>
  <c r="P4975" i="2"/>
  <c r="P5035" i="2"/>
  <c r="P5071" i="2"/>
  <c r="P5169" i="2"/>
  <c r="P6598" i="2"/>
  <c r="P3379" i="2"/>
  <c r="P4500" i="2"/>
  <c r="P7507" i="2"/>
  <c r="P7548" i="2"/>
  <c r="P1196" i="2"/>
  <c r="P2585" i="2"/>
  <c r="P2839" i="2"/>
  <c r="P3069" i="2"/>
  <c r="P15" i="2"/>
  <c r="P366" i="2"/>
  <c r="P933" i="2"/>
  <c r="P2040" i="2"/>
  <c r="P2312" i="2"/>
  <c r="P3075" i="2"/>
  <c r="P2980" i="2"/>
  <c r="P3238" i="2"/>
  <c r="P3573" i="2"/>
  <c r="P4055" i="2"/>
  <c r="P4127" i="2"/>
  <c r="P4187" i="2"/>
  <c r="P4648" i="2"/>
  <c r="P5441" i="2"/>
  <c r="P5755" i="2"/>
  <c r="P6771" i="2"/>
  <c r="P2555" i="2"/>
  <c r="P2513" i="2"/>
  <c r="P2540" i="2"/>
  <c r="P2587" i="2"/>
  <c r="P2780" i="2"/>
  <c r="P3119" i="2"/>
  <c r="P6551" i="2"/>
  <c r="P6971" i="2"/>
  <c r="P7067" i="2"/>
  <c r="P7150" i="2"/>
  <c r="P6974" i="2"/>
  <c r="P7607" i="2"/>
  <c r="P7366" i="2"/>
  <c r="P7244" i="2"/>
  <c r="P7515" i="2"/>
  <c r="P7587" i="2"/>
  <c r="P5539" i="2"/>
  <c r="P1056" i="2"/>
  <c r="P336" i="2"/>
  <c r="P820" i="2"/>
  <c r="P1498" i="2"/>
  <c r="P2098" i="2"/>
  <c r="P2681" i="2"/>
  <c r="P2985" i="2"/>
  <c r="P3312" i="2"/>
  <c r="P3471" i="2"/>
  <c r="P3717" i="2"/>
  <c r="P4068" i="2"/>
  <c r="P4104" i="2"/>
  <c r="P4140" i="2"/>
  <c r="P4176" i="2"/>
  <c r="P4665" i="2"/>
  <c r="P4949" i="2"/>
  <c r="P5045" i="2"/>
  <c r="P5040" i="2"/>
  <c r="P1240" i="2"/>
  <c r="P2385" i="2"/>
  <c r="P3719" i="2"/>
  <c r="P4040" i="2"/>
  <c r="P5290" i="2"/>
  <c r="P5874" i="2"/>
  <c r="P6670" i="2"/>
  <c r="P7023" i="2"/>
  <c r="P6978" i="2"/>
  <c r="P7405" i="2"/>
  <c r="P930" i="2"/>
  <c r="P193" i="2"/>
  <c r="P205" i="2"/>
  <c r="P282" i="2"/>
  <c r="P337" i="2"/>
  <c r="P2148" i="2"/>
  <c r="P2645" i="2"/>
  <c r="P2910" i="2"/>
  <c r="P3563" i="2"/>
  <c r="P4666" i="2"/>
  <c r="P4762" i="2"/>
  <c r="P4625" i="2"/>
  <c r="P5236" i="2"/>
  <c r="P5961" i="2"/>
  <c r="P6553" i="2"/>
  <c r="P2551" i="2"/>
  <c r="P5556" i="2"/>
  <c r="P6014" i="2"/>
  <c r="P6107" i="2"/>
  <c r="P6655" i="2"/>
  <c r="P6058" i="2"/>
  <c r="P7361" i="2"/>
  <c r="P7397" i="2"/>
  <c r="P7433" i="2"/>
  <c r="P7613" i="2"/>
  <c r="P7444" i="2"/>
  <c r="P7485" i="2"/>
  <c r="P1973" i="2"/>
  <c r="P666" i="2"/>
  <c r="P112" i="2"/>
  <c r="P763" i="2"/>
  <c r="P854" i="2"/>
  <c r="P1568" i="2"/>
  <c r="P1562" i="2"/>
  <c r="P1647" i="2"/>
  <c r="P2037" i="2"/>
  <c r="P1971" i="2"/>
  <c r="P2141" i="2"/>
  <c r="P2430" i="2"/>
  <c r="P3323" i="2"/>
  <c r="P3469" i="2"/>
  <c r="P3902" i="2"/>
  <c r="P4166" i="2"/>
  <c r="P5193" i="2"/>
  <c r="P5325" i="2"/>
  <c r="P6387" i="2"/>
  <c r="P6492" i="2"/>
  <c r="P459" i="2"/>
  <c r="P3085" i="2"/>
  <c r="P3360" i="2"/>
  <c r="P3424" i="2"/>
  <c r="P7472" i="2"/>
  <c r="P7524" i="2"/>
  <c r="P7596" i="2"/>
  <c r="P7324" i="2"/>
  <c r="P2201" i="2"/>
  <c r="P26" i="2"/>
  <c r="P454" i="2"/>
  <c r="P13" i="2"/>
  <c r="P90" i="2"/>
  <c r="P464" i="2"/>
  <c r="P856" i="2"/>
  <c r="P999" i="2"/>
  <c r="P1166" i="2"/>
  <c r="P1460" i="2"/>
  <c r="P1766" i="2"/>
  <c r="P2050" i="2"/>
  <c r="P2423" i="2"/>
  <c r="P2609" i="2"/>
  <c r="P2871" i="2"/>
  <c r="P2831" i="2"/>
  <c r="P3099" i="2"/>
  <c r="P3586" i="2"/>
  <c r="P3729" i="2"/>
  <c r="P3911" i="2"/>
  <c r="P4059" i="2"/>
  <c r="P4778" i="2"/>
  <c r="P4928" i="2"/>
  <c r="P5036" i="2"/>
  <c r="P5095" i="2"/>
  <c r="P4899" i="2"/>
  <c r="P4935" i="2"/>
  <c r="P4947" i="2"/>
  <c r="P5144" i="2"/>
  <c r="P6844" i="2"/>
  <c r="P1361" i="2"/>
  <c r="P1735" i="2"/>
  <c r="P1732" i="2"/>
  <c r="P2165" i="2"/>
  <c r="P2431" i="2"/>
  <c r="P6078" i="2"/>
  <c r="P7038" i="2"/>
  <c r="P7284" i="2"/>
  <c r="P7527" i="2"/>
  <c r="P7599" i="2"/>
  <c r="P1094" i="2"/>
  <c r="P1784" i="2"/>
  <c r="P5951" i="2"/>
  <c r="P339" i="2"/>
  <c r="P58" i="2"/>
  <c r="P477" i="2"/>
  <c r="P769" i="2"/>
  <c r="P1653" i="2"/>
  <c r="P3299" i="2"/>
  <c r="P4036" i="2"/>
  <c r="P5005" i="2"/>
  <c r="P5192" i="2"/>
  <c r="P5334" i="2"/>
  <c r="P6858" i="2"/>
  <c r="P7251" i="2"/>
  <c r="P7281" i="2"/>
  <c r="P948" i="2"/>
  <c r="P2162" i="2"/>
  <c r="P3500" i="2"/>
  <c r="P3511" i="2"/>
  <c r="P4687" i="2"/>
  <c r="P6359" i="2"/>
  <c r="P6334" i="2"/>
  <c r="P7478" i="2"/>
  <c r="P7422" i="2"/>
  <c r="P7322" i="2"/>
  <c r="P2764" i="2"/>
  <c r="P6000" i="2"/>
  <c r="P5592" i="2"/>
  <c r="P3335" i="2"/>
  <c r="P5328" i="2"/>
  <c r="P4504" i="2"/>
  <c r="P2525" i="2"/>
  <c r="P791" i="2"/>
  <c r="P1428" i="2"/>
  <c r="P3026" i="2"/>
  <c r="P3639" i="2"/>
  <c r="P4169" i="2"/>
  <c r="P3480" i="2"/>
  <c r="P5811" i="2"/>
  <c r="P7266" i="2"/>
  <c r="P7413" i="2"/>
  <c r="P7593" i="2"/>
  <c r="P2814" i="2"/>
  <c r="P3048" i="2"/>
  <c r="P3893" i="2"/>
  <c r="P5091" i="2"/>
  <c r="P4575" i="2"/>
  <c r="P7031" i="2"/>
  <c r="P7344" i="2"/>
  <c r="P7230" i="2"/>
  <c r="P7188" i="2"/>
  <c r="P4667" i="2"/>
  <c r="P3530" i="2"/>
  <c r="P7209" i="2"/>
  <c r="P3394" i="2"/>
  <c r="P5320" i="2"/>
  <c r="P6237" i="2"/>
  <c r="P7112" i="2"/>
  <c r="P7522" i="2"/>
  <c r="P1306" i="2"/>
  <c r="P1818" i="2"/>
  <c r="P3350" i="2"/>
  <c r="P3382" i="2"/>
  <c r="P6981" i="2"/>
  <c r="P7226" i="2"/>
  <c r="P7586" i="2"/>
  <c r="P4539" i="2"/>
  <c r="P5230" i="2"/>
  <c r="P6149" i="2"/>
  <c r="P7158" i="2"/>
  <c r="P3666" i="2"/>
  <c r="P7325" i="2"/>
  <c r="P4688" i="2"/>
  <c r="P6179" i="2"/>
  <c r="P6249" i="2"/>
  <c r="P6060" i="2"/>
  <c r="P6276" i="2"/>
  <c r="P6999" i="2"/>
  <c r="P6355" i="2"/>
  <c r="P6695" i="2"/>
  <c r="P7459" i="2"/>
  <c r="P5389" i="2"/>
  <c r="P5316" i="2"/>
  <c r="P6128" i="2"/>
  <c r="P6217" i="2"/>
  <c r="P6083" i="2"/>
  <c r="P2498" i="2"/>
  <c r="P5840" i="2"/>
  <c r="P4199" i="2"/>
  <c r="P4769" i="2"/>
  <c r="P3398" i="2"/>
  <c r="P3716" i="2"/>
  <c r="P6281" i="2"/>
  <c r="P7006" i="2"/>
  <c r="P2476" i="2"/>
  <c r="P2651" i="2"/>
  <c r="P5049" i="2"/>
  <c r="P3631" i="2"/>
  <c r="P5287" i="2"/>
  <c r="P6714" i="2"/>
  <c r="P5482" i="2"/>
  <c r="P2345" i="2"/>
  <c r="P6550" i="2"/>
  <c r="P2014" i="2"/>
  <c r="P3540" i="2"/>
  <c r="P5543" i="2"/>
  <c r="P7581" i="2"/>
  <c r="P3941" i="2"/>
  <c r="P5138" i="2"/>
  <c r="P954" i="2"/>
  <c r="P7399" i="2"/>
  <c r="P1176" i="2"/>
  <c r="P6489" i="2"/>
  <c r="P1209" i="2"/>
  <c r="P6668" i="2"/>
  <c r="P6961" i="2"/>
  <c r="P7499" i="2"/>
  <c r="P7443" i="2"/>
  <c r="P667" i="2"/>
  <c r="P525" i="2"/>
  <c r="P2051" i="2"/>
  <c r="P2046" i="2"/>
  <c r="P1118" i="2"/>
  <c r="P979" i="2"/>
  <c r="P1334" i="2"/>
  <c r="P3414" i="2"/>
  <c r="P3956" i="2"/>
  <c r="P2528" i="2"/>
  <c r="P5873" i="2"/>
  <c r="P6715" i="2"/>
  <c r="P6743" i="2"/>
  <c r="P60" i="2"/>
  <c r="P1005" i="2"/>
  <c r="P1696" i="2"/>
  <c r="P1712" i="2"/>
  <c r="P2008" i="2"/>
  <c r="P1377" i="2"/>
  <c r="P1432" i="2"/>
  <c r="P1702" i="2"/>
  <c r="P1366" i="2"/>
  <c r="P3157" i="2"/>
  <c r="P3711" i="2"/>
  <c r="P3659" i="2"/>
  <c r="P5974" i="2"/>
  <c r="P5782" i="2"/>
  <c r="P5882" i="2"/>
  <c r="P6226" i="2"/>
  <c r="P6267" i="2"/>
  <c r="P6860" i="2"/>
  <c r="P6681" i="2"/>
  <c r="P499" i="2"/>
  <c r="P2208" i="2"/>
  <c r="P1365" i="2"/>
  <c r="P1389" i="2"/>
  <c r="P2770" i="2"/>
  <c r="P3702" i="2"/>
  <c r="P3132" i="2"/>
  <c r="P3145" i="2"/>
  <c r="P4544" i="2"/>
  <c r="P5392" i="2"/>
  <c r="P6022" i="2"/>
  <c r="P6272" i="2"/>
  <c r="P6120" i="2"/>
  <c r="P6236" i="2"/>
  <c r="P6351" i="2"/>
  <c r="P6234" i="2"/>
  <c r="P6716" i="2"/>
  <c r="P6375" i="2"/>
  <c r="P1114" i="2"/>
  <c r="P1761" i="2"/>
  <c r="P1921" i="2"/>
  <c r="P1797" i="2"/>
  <c r="P2599" i="2"/>
  <c r="P6085" i="2"/>
  <c r="P5359" i="2"/>
  <c r="P6151" i="2"/>
  <c r="P1324" i="2"/>
  <c r="P5187" i="2"/>
  <c r="P6008" i="2"/>
  <c r="P6035" i="2"/>
  <c r="P6182" i="2"/>
  <c r="P75" i="2"/>
  <c r="P1435" i="2"/>
  <c r="P6195" i="2"/>
  <c r="P1674" i="2"/>
  <c r="P6087" i="2"/>
  <c r="P6875" i="2"/>
  <c r="P1007" i="2"/>
  <c r="P6101" i="2"/>
  <c r="P538" i="2"/>
  <c r="P1851" i="2"/>
  <c r="P6252" i="2"/>
  <c r="P2747" i="2"/>
  <c r="P3326" i="2"/>
  <c r="P3223" i="2"/>
  <c r="P649" i="2"/>
  <c r="P2519" i="2"/>
  <c r="P2507" i="2"/>
  <c r="P2515" i="2"/>
  <c r="P3042" i="2"/>
  <c r="P38" i="2"/>
  <c r="P324" i="2"/>
  <c r="P468" i="2"/>
  <c r="P714" i="2"/>
  <c r="P935" i="2"/>
  <c r="P875" i="2"/>
  <c r="P1138" i="2"/>
  <c r="P2067" i="2"/>
  <c r="P2896" i="2"/>
  <c r="P3958" i="2"/>
  <c r="P4978" i="2"/>
  <c r="P5026" i="2"/>
  <c r="P6007" i="2"/>
  <c r="P6819" i="2"/>
  <c r="P964" i="2"/>
  <c r="P1233" i="2"/>
  <c r="P3548" i="2"/>
  <c r="P6176" i="2"/>
  <c r="P24" i="2"/>
  <c r="P226" i="2"/>
  <c r="P352" i="2"/>
  <c r="P462" i="2"/>
  <c r="P1512" i="2"/>
  <c r="P1719" i="2"/>
  <c r="P2251" i="2"/>
  <c r="P3656" i="2"/>
  <c r="P4022" i="2"/>
  <c r="P6019" i="2"/>
  <c r="P1741" i="2"/>
  <c r="P1792" i="2"/>
  <c r="P3990" i="2"/>
  <c r="P6222" i="2"/>
  <c r="P7434" i="2"/>
  <c r="P726" i="2"/>
  <c r="P1468" i="2"/>
  <c r="P1571" i="2"/>
  <c r="P1894" i="2"/>
  <c r="P2686" i="2"/>
  <c r="P4916" i="2"/>
  <c r="P5261" i="2"/>
  <c r="P5841" i="2"/>
  <c r="P6628" i="2"/>
  <c r="P6663" i="2"/>
  <c r="P952" i="2"/>
  <c r="P1816" i="2"/>
  <c r="P78" i="2"/>
  <c r="P99" i="2"/>
  <c r="P543" i="2"/>
  <c r="P583" i="2"/>
  <c r="P1178" i="2"/>
  <c r="P2174" i="2"/>
  <c r="P2435" i="2"/>
  <c r="P2324" i="2"/>
  <c r="P2509" i="2"/>
  <c r="P4630" i="2"/>
  <c r="P4957" i="2"/>
  <c r="P5017" i="2"/>
  <c r="P5899" i="2"/>
  <c r="P6433" i="2"/>
  <c r="P394" i="2"/>
  <c r="P1690" i="2"/>
  <c r="P1840" i="2"/>
  <c r="P1910" i="2"/>
  <c r="P2740" i="2"/>
  <c r="P3588" i="2"/>
  <c r="P3944" i="2"/>
  <c r="P4583" i="2"/>
  <c r="P5390" i="2"/>
  <c r="P5483" i="2"/>
  <c r="P5496" i="2"/>
  <c r="P5404" i="2"/>
  <c r="P7543" i="2"/>
  <c r="P3707" i="2"/>
  <c r="P3900" i="2"/>
  <c r="P4757" i="2"/>
  <c r="P5208" i="2"/>
  <c r="P5809" i="2"/>
  <c r="P6930" i="2"/>
  <c r="P1811" i="2"/>
  <c r="P2455" i="2"/>
  <c r="P3175" i="2"/>
  <c r="P3405" i="2"/>
  <c r="P3560" i="2"/>
  <c r="P2553" i="2"/>
  <c r="P358" i="2"/>
  <c r="P547" i="2"/>
  <c r="P934" i="2"/>
  <c r="P1274" i="2"/>
  <c r="P4103" i="2"/>
  <c r="P4907" i="2"/>
  <c r="P5003" i="2"/>
  <c r="P5145" i="2"/>
  <c r="P5379" i="2"/>
  <c r="P6879" i="2"/>
  <c r="P7137" i="2"/>
  <c r="P7" i="2"/>
  <c r="P584" i="2"/>
  <c r="P788" i="2"/>
  <c r="P1201" i="2"/>
  <c r="P3485" i="2"/>
  <c r="P5577" i="2"/>
  <c r="P6207" i="2"/>
  <c r="P2010" i="2"/>
  <c r="P686" i="2"/>
  <c r="P1437" i="2"/>
  <c r="P1542" i="2"/>
  <c r="P1636" i="2"/>
  <c r="P2257" i="2"/>
  <c r="P2672" i="2"/>
  <c r="P2788" i="2"/>
  <c r="P2894" i="2"/>
  <c r="P3276" i="2"/>
  <c r="P3679" i="2"/>
  <c r="P4948" i="2"/>
  <c r="P5295" i="2"/>
  <c r="P5791" i="2"/>
  <c r="P6640" i="2"/>
  <c r="P6687" i="2"/>
  <c r="P7119" i="2"/>
  <c r="P6928" i="2"/>
  <c r="P730" i="2"/>
  <c r="P5555" i="2"/>
  <c r="P5563" i="2"/>
  <c r="P1506" i="2"/>
  <c r="P2254" i="2"/>
  <c r="P37" i="2"/>
  <c r="P433" i="2"/>
  <c r="P527" i="2"/>
  <c r="P1521" i="2"/>
  <c r="P2212" i="2"/>
  <c r="P2250" i="2"/>
  <c r="P3488" i="2"/>
  <c r="P6641" i="2"/>
  <c r="P7265" i="2"/>
  <c r="P801" i="2"/>
  <c r="P953" i="2"/>
  <c r="P1742" i="2"/>
  <c r="P2195" i="2"/>
  <c r="P2397" i="2"/>
  <c r="P2552" i="2"/>
  <c r="P3022" i="2"/>
  <c r="P2981" i="2"/>
  <c r="P2943" i="2"/>
  <c r="P4599" i="2"/>
  <c r="P5545" i="2"/>
  <c r="P4656" i="2"/>
  <c r="P5061" i="2"/>
  <c r="P5704" i="2"/>
  <c r="P6426" i="2"/>
  <c r="P6516" i="2"/>
  <c r="P6601" i="2"/>
  <c r="P6798" i="2"/>
  <c r="P7293" i="2"/>
  <c r="P549" i="2"/>
  <c r="P1957" i="2"/>
  <c r="P3507" i="2"/>
  <c r="P3972" i="2"/>
  <c r="P6599" i="2"/>
  <c r="P2798" i="2"/>
  <c r="P174" i="2"/>
  <c r="P341" i="2"/>
  <c r="P1465" i="2"/>
  <c r="P2877" i="2"/>
  <c r="P3982" i="2"/>
  <c r="P4154" i="2"/>
  <c r="P4989" i="2"/>
  <c r="P702" i="2"/>
  <c r="P860" i="2"/>
  <c r="P937" i="2"/>
  <c r="P1659" i="2"/>
  <c r="P2284" i="2"/>
  <c r="P2837" i="2"/>
  <c r="P3727" i="2"/>
  <c r="P5059" i="2"/>
  <c r="P6521" i="2"/>
  <c r="P7094" i="2"/>
  <c r="P1748" i="2"/>
  <c r="P1162" i="2"/>
  <c r="P1467" i="2"/>
  <c r="P4070" i="2"/>
  <c r="P4789" i="2"/>
  <c r="P5198" i="2"/>
  <c r="P4941" i="2"/>
  <c r="P5001" i="2"/>
  <c r="P5025" i="2"/>
  <c r="P110" i="2"/>
  <c r="P121" i="2"/>
  <c r="P245" i="2"/>
  <c r="P561" i="2"/>
  <c r="P1243" i="2"/>
  <c r="P1436" i="2"/>
  <c r="P2054" i="2"/>
  <c r="P2734" i="2"/>
  <c r="P3204" i="2"/>
  <c r="P3907" i="2"/>
  <c r="P6711" i="2"/>
  <c r="P6471" i="2"/>
  <c r="P6541" i="2"/>
  <c r="P6882" i="2"/>
  <c r="P1878" i="2"/>
  <c r="P2328" i="2"/>
  <c r="P3365" i="2"/>
  <c r="P1661" i="2"/>
  <c r="P1978" i="2"/>
  <c r="P2130" i="2"/>
  <c r="P2843" i="2"/>
  <c r="P1891" i="2"/>
  <c r="P2107" i="2"/>
  <c r="P2093" i="2"/>
  <c r="P2139" i="2"/>
  <c r="P2383" i="2"/>
  <c r="P2272" i="2"/>
  <c r="P2698" i="2"/>
  <c r="P2763" i="2"/>
  <c r="P2830" i="2"/>
  <c r="P2842" i="2"/>
  <c r="P2920" i="2"/>
  <c r="P3006" i="2"/>
  <c r="P2976" i="2"/>
  <c r="P2956" i="2"/>
  <c r="P3173" i="2"/>
  <c r="P3482" i="2"/>
  <c r="P3501" i="2"/>
  <c r="P3537" i="2"/>
  <c r="P3624" i="2"/>
  <c r="P3906" i="2"/>
  <c r="P4056" i="2"/>
  <c r="P4160" i="2"/>
  <c r="P5012" i="2"/>
  <c r="P5188" i="2"/>
  <c r="P5857" i="2"/>
  <c r="P1559" i="2"/>
  <c r="P1533" i="2"/>
  <c r="P1518" i="2"/>
  <c r="P1685" i="2"/>
  <c r="P1983" i="2"/>
  <c r="P1953" i="2"/>
  <c r="P1970" i="2"/>
  <c r="P2137" i="2"/>
  <c r="P2064" i="2"/>
  <c r="P2253" i="2"/>
  <c r="P2291" i="2"/>
  <c r="P2737" i="2"/>
  <c r="P2590" i="2"/>
  <c r="P2614" i="2"/>
  <c r="P2638" i="2"/>
  <c r="P2662" i="2"/>
  <c r="P2827" i="2"/>
  <c r="P3007" i="2"/>
  <c r="P2989" i="2"/>
  <c r="P3044" i="2"/>
  <c r="P3152" i="2"/>
  <c r="P3302" i="2"/>
  <c r="P3315" i="2"/>
  <c r="P3317" i="2"/>
  <c r="P3484" i="2"/>
  <c r="P3739" i="2"/>
  <c r="P3640" i="2"/>
  <c r="P3945" i="2"/>
  <c r="P4069" i="2"/>
  <c r="P4081" i="2"/>
  <c r="P4093" i="2"/>
  <c r="P4105" i="2"/>
  <c r="P4117" i="2"/>
  <c r="P4129" i="2"/>
  <c r="P4141" i="2"/>
  <c r="P4153" i="2"/>
  <c r="P4165" i="2"/>
  <c r="P4177" i="2"/>
  <c r="P4189" i="2"/>
  <c r="P4201" i="2"/>
  <c r="P4753" i="2"/>
  <c r="P4973" i="2"/>
  <c r="P5033" i="2"/>
  <c r="P5081" i="2"/>
  <c r="P5089" i="2"/>
  <c r="P4968" i="2"/>
  <c r="P2129" i="2"/>
  <c r="P2188" i="2"/>
  <c r="P2348" i="2"/>
  <c r="P2595" i="2"/>
  <c r="P2619" i="2"/>
  <c r="P2643" i="2"/>
  <c r="P2667" i="2"/>
  <c r="P2866" i="2"/>
  <c r="P2847" i="2"/>
  <c r="P2919" i="2"/>
  <c r="P2791" i="2"/>
  <c r="P2832" i="2"/>
  <c r="P2813" i="2"/>
  <c r="P2873" i="2"/>
  <c r="P3105" i="2"/>
  <c r="P3036" i="2"/>
  <c r="P3140" i="2"/>
  <c r="P3296" i="2"/>
  <c r="P3308" i="2"/>
  <c r="P3285" i="2"/>
  <c r="P3585" i="2"/>
  <c r="P3611" i="2"/>
  <c r="P3935" i="2"/>
  <c r="P4051" i="2"/>
  <c r="P4063" i="2"/>
  <c r="P4071" i="2"/>
  <c r="P4083" i="2"/>
  <c r="P4095" i="2"/>
  <c r="P4107" i="2"/>
  <c r="P4119" i="2"/>
  <c r="P4131" i="2"/>
  <c r="P4143" i="2"/>
  <c r="P4155" i="2"/>
  <c r="P4167" i="2"/>
  <c r="P4179" i="2"/>
  <c r="P4191" i="2"/>
  <c r="P4203" i="2"/>
  <c r="P4931" i="2"/>
  <c r="P5109" i="2"/>
  <c r="P5082" i="2"/>
  <c r="P5800" i="2"/>
  <c r="P6873" i="2"/>
  <c r="P6167" i="2"/>
  <c r="P6741" i="2"/>
  <c r="P6740" i="2"/>
  <c r="P3626" i="2"/>
  <c r="P684" i="2"/>
  <c r="P4595" i="2"/>
  <c r="P5463" i="2"/>
  <c r="P5574" i="2"/>
  <c r="P5666" i="2"/>
  <c r="P5734" i="2"/>
  <c r="P5371" i="2"/>
  <c r="P5310" i="2"/>
  <c r="P5484" i="2"/>
  <c r="P5798" i="2"/>
  <c r="P3292" i="2"/>
  <c r="P3942" i="2"/>
  <c r="P4492" i="2"/>
  <c r="P5227" i="2"/>
  <c r="P5487" i="2"/>
  <c r="P5460" i="2"/>
  <c r="P5604" i="2"/>
  <c r="P5649" i="2"/>
  <c r="P5638" i="2"/>
  <c r="P5607" i="2"/>
  <c r="P6823" i="2"/>
  <c r="P6635" i="2"/>
  <c r="P6528" i="2"/>
  <c r="P3422" i="2"/>
  <c r="P3169" i="2"/>
  <c r="P6754" i="2"/>
  <c r="P523" i="2"/>
  <c r="P5837" i="2"/>
  <c r="P6365" i="2"/>
  <c r="P6191" i="2"/>
  <c r="P5766" i="2"/>
  <c r="P6744" i="2"/>
  <c r="P6684" i="2"/>
  <c r="P6922" i="2"/>
  <c r="P6680" i="2"/>
  <c r="P6936" i="2"/>
  <c r="P6803" i="2"/>
  <c r="P1284" i="2"/>
  <c r="P814" i="2"/>
  <c r="P3606" i="2"/>
  <c r="P3242" i="2"/>
  <c r="P3508" i="2"/>
  <c r="P3899" i="2"/>
  <c r="P3926" i="2"/>
  <c r="P4738" i="2"/>
  <c r="P4550" i="2"/>
  <c r="P4871" i="2"/>
  <c r="P4694" i="2"/>
  <c r="P5066" i="2"/>
  <c r="P5078" i="2"/>
  <c r="P5086" i="2"/>
  <c r="P5158" i="2"/>
  <c r="P4977" i="2"/>
  <c r="P5085" i="2"/>
  <c r="P5105" i="2"/>
  <c r="P5238" i="2"/>
  <c r="P5911" i="2"/>
  <c r="P5406" i="2"/>
  <c r="P6574" i="2"/>
  <c r="P6653" i="2"/>
  <c r="P6820" i="2"/>
  <c r="P7241" i="2"/>
  <c r="P6892" i="2"/>
  <c r="P7113" i="2"/>
  <c r="P80" i="2"/>
  <c r="P130" i="2"/>
  <c r="P67" i="2"/>
  <c r="P971" i="2"/>
  <c r="P1108" i="2"/>
  <c r="P1206" i="2"/>
  <c r="P1785" i="2"/>
  <c r="P6595" i="2"/>
  <c r="P6239" i="2"/>
  <c r="P6704" i="2"/>
  <c r="P6707" i="2"/>
  <c r="P6283" i="2"/>
  <c r="P6307" i="2"/>
  <c r="P5960" i="2"/>
  <c r="P6258" i="2"/>
  <c r="P6563" i="2"/>
  <c r="P6286" i="2"/>
  <c r="P6826" i="2"/>
  <c r="P760" i="2"/>
  <c r="P6447" i="2"/>
  <c r="P7205" i="2"/>
  <c r="P7087" i="2"/>
  <c r="P79" i="2"/>
  <c r="P541" i="2"/>
  <c r="P1168" i="2"/>
  <c r="P1036" i="2"/>
  <c r="P3954" i="2"/>
  <c r="P5302" i="2"/>
  <c r="P6243" i="2"/>
  <c r="P3922" i="2"/>
  <c r="P3994" i="2"/>
  <c r="P4030" i="2"/>
  <c r="P4142" i="2"/>
  <c r="P4178" i="2"/>
  <c r="P4597" i="2"/>
  <c r="P4754" i="2"/>
  <c r="P5019" i="2"/>
  <c r="P5228" i="2"/>
  <c r="P5248" i="2"/>
  <c r="P5414" i="2"/>
  <c r="P5839" i="2"/>
  <c r="P5785" i="2"/>
  <c r="P6021" i="2"/>
  <c r="P6724" i="2"/>
  <c r="P6855" i="2"/>
  <c r="P7207" i="2"/>
  <c r="P7308" i="2"/>
  <c r="P7185" i="2"/>
  <c r="P962" i="2"/>
  <c r="P1011" i="2"/>
  <c r="P1221" i="2"/>
  <c r="P1900" i="2"/>
  <c r="P1873" i="2"/>
  <c r="P1954" i="2"/>
  <c r="P3103" i="2"/>
  <c r="P7363" i="2"/>
  <c r="P7435" i="2"/>
  <c r="P5191" i="2"/>
  <c r="P5541" i="2"/>
  <c r="P5925" i="2"/>
  <c r="P7354" i="2"/>
  <c r="P4669" i="2"/>
  <c r="P5055" i="2"/>
  <c r="P5253" i="2"/>
  <c r="P5779" i="2"/>
  <c r="P5875" i="2"/>
  <c r="P5917" i="2"/>
  <c r="P5853" i="2"/>
  <c r="P7246" i="2"/>
  <c r="P2024" i="2"/>
  <c r="P2184" i="2"/>
  <c r="P5239" i="2"/>
  <c r="P6130" i="2"/>
  <c r="P5888" i="2"/>
  <c r="P6040" i="2"/>
  <c r="P6646" i="2"/>
  <c r="P6791" i="2"/>
  <c r="P6020" i="2"/>
  <c r="P2332" i="2"/>
  <c r="P6631" i="2"/>
  <c r="P6884" i="2"/>
  <c r="P6155" i="2"/>
  <c r="P6816" i="2"/>
  <c r="P6703" i="2"/>
  <c r="P6897" i="2"/>
  <c r="P6384" i="2"/>
  <c r="P6908" i="2"/>
  <c r="P5627" i="2"/>
  <c r="P1303" i="2"/>
  <c r="P1297" i="2"/>
  <c r="P4735" i="2"/>
  <c r="P4724" i="2"/>
  <c r="P5843" i="2"/>
  <c r="P5127" i="2"/>
  <c r="P6360" i="2"/>
  <c r="P6825" i="2"/>
  <c r="P6523" i="2"/>
  <c r="P6432" i="2"/>
  <c r="P6456" i="2"/>
  <c r="P7277" i="2"/>
  <c r="P565" i="2"/>
  <c r="P665" i="2"/>
  <c r="P2001" i="2"/>
  <c r="P2170" i="2"/>
  <c r="P2426" i="2"/>
  <c r="P3098" i="2"/>
  <c r="P4659" i="2"/>
  <c r="P5407" i="2"/>
  <c r="P5282" i="2"/>
  <c r="P5527" i="2"/>
  <c r="P5456" i="2"/>
  <c r="P6765" i="2"/>
  <c r="P6443" i="2"/>
  <c r="P6827" i="2"/>
  <c r="P6951" i="2"/>
  <c r="P6950" i="2"/>
  <c r="P7030" i="2"/>
  <c r="P6985" i="2"/>
  <c r="P7001" i="2"/>
  <c r="P7017" i="2"/>
  <c r="P7033" i="2"/>
  <c r="P7065" i="2"/>
  <c r="P7420" i="2"/>
  <c r="P7468" i="2"/>
  <c r="P7504" i="2"/>
  <c r="P7552" i="2"/>
  <c r="P7359" i="2"/>
  <c r="P7431" i="2"/>
  <c r="P7222" i="2"/>
  <c r="P1198" i="2"/>
  <c r="P2353" i="2"/>
  <c r="P3505" i="2"/>
  <c r="P5708" i="2"/>
  <c r="P5611" i="2"/>
  <c r="P2110" i="2"/>
  <c r="P2127" i="2"/>
  <c r="P6494" i="2"/>
  <c r="P6517" i="2"/>
  <c r="P6725" i="2"/>
  <c r="P6871" i="2"/>
  <c r="P7291" i="2"/>
  <c r="P7337" i="2"/>
  <c r="P7311" i="2"/>
  <c r="P136" i="2"/>
  <c r="P32" i="2"/>
  <c r="P613" i="2"/>
  <c r="P758" i="2"/>
  <c r="P1269" i="2"/>
  <c r="P1422" i="2"/>
  <c r="P1730" i="2"/>
  <c r="P2514" i="2"/>
  <c r="P3030" i="2"/>
  <c r="P3465" i="2"/>
  <c r="P3528" i="2"/>
  <c r="P3535" i="2"/>
  <c r="P3658" i="2"/>
  <c r="P3512" i="2"/>
  <c r="P3915" i="2"/>
  <c r="P3920" i="2"/>
  <c r="P3486" i="2"/>
  <c r="P5312" i="2"/>
  <c r="P5572" i="2"/>
  <c r="P5559" i="2"/>
  <c r="P5549" i="2"/>
  <c r="P6910" i="2"/>
  <c r="P6235" i="2"/>
  <c r="P6251" i="2"/>
  <c r="P6923" i="2"/>
  <c r="P7364" i="2"/>
  <c r="P7400" i="2"/>
  <c r="P7412" i="2"/>
  <c r="P7436" i="2"/>
  <c r="P7460" i="2"/>
  <c r="P7496" i="2"/>
  <c r="P7532" i="2"/>
  <c r="P7568" i="2"/>
  <c r="P7580" i="2"/>
  <c r="P7604" i="2"/>
  <c r="P7339" i="2"/>
  <c r="P7579" i="2"/>
  <c r="P7591" i="2"/>
  <c r="P7603" i="2"/>
  <c r="P7314" i="2"/>
  <c r="P7446" i="2"/>
  <c r="P7590" i="2"/>
  <c r="P458" i="2"/>
  <c r="P705" i="2"/>
  <c r="P1186" i="2"/>
  <c r="P1419" i="2"/>
  <c r="P2298" i="2"/>
  <c r="P2314" i="2"/>
  <c r="P3329" i="2"/>
  <c r="P3341" i="2"/>
  <c r="P3623" i="2"/>
  <c r="P6488" i="2"/>
  <c r="P6481" i="2"/>
  <c r="P6545" i="2"/>
  <c r="P6557" i="2"/>
  <c r="P6569" i="2"/>
  <c r="P6712" i="2"/>
  <c r="P6473" i="2"/>
  <c r="P7079" i="2"/>
  <c r="P7155" i="2"/>
  <c r="P7125" i="2"/>
  <c r="P7221" i="2"/>
  <c r="P7305" i="2"/>
  <c r="P970" i="2"/>
  <c r="P1794" i="2"/>
  <c r="P1821" i="2"/>
  <c r="P1808" i="2"/>
  <c r="P1951" i="2"/>
  <c r="P2969" i="2"/>
  <c r="P3521" i="2"/>
  <c r="P3985" i="2"/>
  <c r="P4711" i="2"/>
  <c r="P6887" i="2"/>
  <c r="P6995" i="2"/>
  <c r="P6946" i="2"/>
  <c r="P7045" i="2"/>
  <c r="P7061" i="2"/>
  <c r="P7370" i="2"/>
  <c r="P7382" i="2"/>
  <c r="P7394" i="2"/>
  <c r="P7538" i="2"/>
  <c r="P7574" i="2"/>
  <c r="P7381" i="2"/>
  <c r="P7393" i="2"/>
  <c r="P7453" i="2"/>
  <c r="P7525" i="2"/>
  <c r="P7621" i="2"/>
  <c r="P7488" i="2"/>
  <c r="P7500" i="2"/>
  <c r="P7512" i="2"/>
  <c r="P7204" i="2"/>
  <c r="P7292" i="2"/>
  <c r="P4703" i="2"/>
  <c r="P5412" i="2"/>
  <c r="P5606" i="2"/>
  <c r="P5636" i="2"/>
  <c r="P2308" i="2"/>
  <c r="P5107" i="2"/>
  <c r="P1293" i="2"/>
  <c r="P729" i="2"/>
  <c r="P1319" i="2"/>
  <c r="P5647" i="2"/>
  <c r="P3421" i="2"/>
  <c r="P3459" i="2"/>
  <c r="P5564" i="2"/>
  <c r="P5867" i="2"/>
  <c r="P5578" i="2"/>
  <c r="P4639" i="2"/>
  <c r="P5500" i="2"/>
  <c r="P5593" i="2"/>
  <c r="P5677" i="2"/>
  <c r="P5215" i="2"/>
  <c r="P5576" i="2"/>
  <c r="P3546" i="2"/>
  <c r="P1258" i="2"/>
  <c r="P1522" i="2"/>
  <c r="P7064" i="2"/>
  <c r="P7052" i="2"/>
  <c r="P1232" i="2"/>
  <c r="P1298" i="2"/>
  <c r="P1315" i="2"/>
  <c r="P2475" i="2"/>
  <c r="P5744" i="2"/>
  <c r="P1731" i="2"/>
  <c r="P3536" i="2"/>
  <c r="P585" i="2"/>
  <c r="P3091" i="2"/>
  <c r="P2931" i="2"/>
  <c r="P7027" i="2"/>
  <c r="P7026" i="2"/>
  <c r="P793" i="2"/>
  <c r="P804" i="2"/>
  <c r="P661" i="2"/>
  <c r="P974" i="2"/>
  <c r="P950" i="2"/>
  <c r="P1283" i="2"/>
  <c r="P1271" i="2"/>
  <c r="P1225" i="2"/>
  <c r="P1259" i="2"/>
  <c r="P1305" i="2"/>
  <c r="P1822" i="2"/>
  <c r="P1728" i="2"/>
  <c r="P1895" i="2"/>
  <c r="P2313" i="2"/>
  <c r="P2402" i="2"/>
  <c r="P2545" i="2"/>
  <c r="P2319" i="2"/>
  <c r="P2433" i="2"/>
  <c r="P2541" i="2"/>
  <c r="P3355" i="2"/>
  <c r="P3438" i="2"/>
  <c r="P3557" i="2"/>
  <c r="P3474" i="2"/>
  <c r="P3647" i="2"/>
  <c r="P4601" i="2"/>
  <c r="P4747" i="2"/>
  <c r="P4676" i="2"/>
  <c r="P4787" i="2"/>
  <c r="P5492" i="2"/>
  <c r="P5551" i="2"/>
  <c r="P5558" i="2"/>
  <c r="P5504" i="2"/>
  <c r="P5723" i="2"/>
  <c r="P5866" i="2"/>
  <c r="P5816" i="2"/>
  <c r="P5775" i="2"/>
  <c r="P6720" i="2"/>
  <c r="P6751" i="2"/>
  <c r="P6667" i="2"/>
  <c r="P6476" i="2"/>
  <c r="P6525" i="2"/>
  <c r="P6642" i="2"/>
  <c r="P6271" i="2"/>
  <c r="P7039" i="2"/>
  <c r="P7071" i="2"/>
  <c r="P7194" i="2"/>
  <c r="P6958" i="2"/>
  <c r="P7184" i="2"/>
  <c r="P7057" i="2"/>
  <c r="P7248" i="2"/>
  <c r="P7310" i="2"/>
  <c r="P7409" i="2"/>
  <c r="P7493" i="2"/>
  <c r="P7589" i="2"/>
  <c r="P7371" i="2"/>
  <c r="P7455" i="2"/>
  <c r="P7491" i="2"/>
  <c r="P7611" i="2"/>
  <c r="P7330" i="2"/>
  <c r="P1431" i="2"/>
  <c r="P3364" i="2"/>
  <c r="P3936" i="2"/>
  <c r="P5428" i="2"/>
  <c r="P4784" i="2"/>
  <c r="P5506" i="2"/>
  <c r="P5525" i="2"/>
  <c r="P5530" i="2"/>
  <c r="P6033" i="2"/>
  <c r="P6194" i="2"/>
  <c r="P6503" i="2"/>
  <c r="P7015" i="2"/>
  <c r="P6982" i="2"/>
  <c r="P6998" i="2"/>
  <c r="P7014" i="2"/>
  <c r="P7062" i="2"/>
  <c r="P7403" i="2"/>
  <c r="P7511" i="2"/>
  <c r="P7583" i="2"/>
  <c r="P7378" i="2"/>
  <c r="P7426" i="2"/>
  <c r="P7474" i="2"/>
  <c r="P7594" i="2"/>
  <c r="P7328" i="2"/>
  <c r="P7341" i="2"/>
  <c r="P7377" i="2"/>
  <c r="P7437" i="2"/>
  <c r="P7569" i="2"/>
  <c r="P7605" i="2"/>
  <c r="P1211" i="2"/>
  <c r="P1854" i="2"/>
  <c r="P2161" i="2"/>
  <c r="P2432" i="2"/>
  <c r="P2574" i="2"/>
  <c r="P3356" i="2"/>
  <c r="P2102" i="2"/>
  <c r="P5696" i="2"/>
  <c r="P5768" i="2"/>
  <c r="P5939" i="2"/>
  <c r="P7170" i="2"/>
  <c r="P5383" i="2"/>
  <c r="P5814" i="2"/>
  <c r="P5609" i="2"/>
  <c r="P5533" i="2"/>
  <c r="P6690" i="2"/>
  <c r="P6322" i="2"/>
  <c r="P6209" i="2"/>
  <c r="P6150" i="2"/>
  <c r="P6549" i="2"/>
  <c r="P6955" i="2"/>
  <c r="P7514" i="2"/>
  <c r="P7357" i="2"/>
  <c r="P7256" i="2"/>
  <c r="P7608" i="2"/>
  <c r="P1042" i="2"/>
  <c r="P3625" i="2"/>
  <c r="P5356" i="2"/>
  <c r="P83" i="2"/>
  <c r="P2326" i="2"/>
  <c r="P5542" i="2"/>
  <c r="P6386" i="2"/>
  <c r="P6561" i="2"/>
  <c r="P2532" i="2"/>
  <c r="P2341" i="2"/>
  <c r="P5663" i="2"/>
  <c r="P5159" i="2"/>
  <c r="P306" i="2"/>
  <c r="P603" i="2"/>
  <c r="P674" i="2"/>
  <c r="P294" i="2"/>
  <c r="P406" i="2"/>
  <c r="P516" i="2"/>
  <c r="P554" i="2"/>
  <c r="P3452" i="2"/>
  <c r="P4007" i="2"/>
  <c r="P4037" i="2"/>
  <c r="P4606" i="2"/>
  <c r="P5255" i="2"/>
  <c r="P5425" i="2"/>
  <c r="P5532" i="2"/>
  <c r="P5377" i="2"/>
  <c r="P6465" i="2"/>
  <c r="P5999" i="2"/>
  <c r="P5850" i="2"/>
  <c r="P5934" i="2"/>
  <c r="P6034" i="2"/>
  <c r="P5993" i="2"/>
  <c r="P6036" i="2"/>
  <c r="P7138" i="2"/>
  <c r="P7051" i="2"/>
  <c r="P7212" i="2"/>
  <c r="P7326" i="2"/>
  <c r="P7358" i="2"/>
  <c r="P7430" i="2"/>
  <c r="P7454" i="2"/>
  <c r="P7490" i="2"/>
  <c r="P7526" i="2"/>
  <c r="P7562" i="2"/>
  <c r="P7598" i="2"/>
  <c r="P7610" i="2"/>
  <c r="P7345" i="2"/>
  <c r="P7417" i="2"/>
  <c r="P7489" i="2"/>
  <c r="P7561" i="2"/>
  <c r="P7290" i="2"/>
  <c r="P7368" i="2"/>
  <c r="P7392" i="2"/>
  <c r="P7404" i="2"/>
  <c r="P7428" i="2"/>
  <c r="P7440" i="2"/>
  <c r="P7584" i="2"/>
  <c r="P7258" i="2"/>
  <c r="P1213" i="2"/>
  <c r="P1261" i="2"/>
  <c r="P1295" i="2"/>
  <c r="P1304" i="2"/>
  <c r="P519" i="2"/>
  <c r="P1754" i="2"/>
  <c r="P1523" i="2"/>
  <c r="P2337" i="2"/>
  <c r="P2559" i="2"/>
  <c r="P2425" i="2"/>
  <c r="P2338" i="2"/>
  <c r="P3336" i="2"/>
  <c r="P2317" i="2"/>
  <c r="P3361" i="2"/>
  <c r="P2408" i="2"/>
  <c r="P3522" i="2"/>
  <c r="P3372" i="2"/>
  <c r="P3473" i="2"/>
  <c r="P3577" i="2"/>
  <c r="P3571" i="2"/>
  <c r="P3543" i="2"/>
  <c r="P5513" i="2"/>
  <c r="P5147" i="2"/>
  <c r="P6039" i="2"/>
  <c r="P6057" i="2"/>
  <c r="P5987" i="2"/>
  <c r="P6205" i="2"/>
  <c r="P5684" i="2"/>
  <c r="P1300" i="2"/>
  <c r="P1286" i="2"/>
  <c r="P1417" i="2"/>
  <c r="P3997" i="2"/>
  <c r="P3386" i="2"/>
  <c r="P3468" i="2"/>
  <c r="P3583" i="2"/>
  <c r="P3126" i="2"/>
  <c r="P3338" i="2"/>
  <c r="P3347" i="2"/>
  <c r="P5103" i="2"/>
  <c r="P4771" i="2"/>
  <c r="P6157" i="2"/>
  <c r="P7236" i="2"/>
  <c r="P10" i="2"/>
  <c r="P1035" i="2"/>
  <c r="P1272" i="2"/>
  <c r="P2335" i="2"/>
  <c r="P592" i="2"/>
  <c r="P3602" i="2"/>
  <c r="P562" i="2"/>
  <c r="P135" i="2"/>
  <c r="P2296" i="2"/>
  <c r="P5115" i="2"/>
  <c r="P5651" i="2"/>
  <c r="P6845" i="2"/>
  <c r="P260" i="2"/>
  <c r="P627" i="2"/>
  <c r="P2304" i="2"/>
  <c r="P4775" i="2"/>
  <c r="P3672" i="2"/>
  <c r="P3724" i="2"/>
  <c r="P3762" i="2"/>
  <c r="P4042" i="2"/>
  <c r="P4054" i="2"/>
  <c r="P5048" i="2"/>
  <c r="P5210" i="2"/>
  <c r="P4995" i="2"/>
  <c r="P5749" i="2"/>
  <c r="P1175" i="2"/>
  <c r="P3373" i="2"/>
  <c r="P3947" i="2"/>
  <c r="P5954" i="2"/>
  <c r="P5880" i="2"/>
  <c r="P6490" i="2"/>
  <c r="P7075" i="2"/>
  <c r="P6997" i="2"/>
  <c r="P7013" i="2"/>
  <c r="P7029" i="2"/>
  <c r="P7352" i="2"/>
  <c r="P7448" i="2"/>
  <c r="P7484" i="2"/>
  <c r="P7520" i="2"/>
  <c r="P7544" i="2"/>
  <c r="P7556" i="2"/>
  <c r="P7592" i="2"/>
  <c r="P7192" i="2"/>
  <c r="P7518" i="2"/>
  <c r="P7602" i="2"/>
  <c r="P5289" i="2"/>
  <c r="P5929" i="2"/>
  <c r="P1807" i="2"/>
  <c r="P1829" i="2"/>
  <c r="P1700" i="2"/>
  <c r="P1736" i="2"/>
  <c r="P4013" i="2"/>
  <c r="P6023" i="2"/>
  <c r="P6903" i="2"/>
  <c r="P6734" i="2"/>
  <c r="P6880" i="2"/>
  <c r="P7255" i="2"/>
  <c r="P7303" i="2"/>
  <c r="P7088" i="2"/>
  <c r="P6685" i="2"/>
  <c r="P7080" i="2"/>
  <c r="P7092" i="2"/>
  <c r="P68" i="2"/>
  <c r="P536" i="2"/>
  <c r="P633" i="2"/>
  <c r="P722" i="2"/>
  <c r="P698" i="2"/>
  <c r="P975" i="2"/>
  <c r="P1048" i="2"/>
  <c r="P1824" i="2"/>
  <c r="P1751" i="2"/>
  <c r="P1805" i="2"/>
  <c r="P1834" i="2"/>
  <c r="P1982" i="2"/>
  <c r="P2343" i="2"/>
  <c r="P2542" i="2"/>
  <c r="P2522" i="2"/>
  <c r="P2531" i="2"/>
  <c r="P2516" i="2"/>
  <c r="P2487" i="2"/>
  <c r="P2517" i="2"/>
  <c r="P2936" i="2"/>
  <c r="P2563" i="2"/>
  <c r="P2993" i="2"/>
  <c r="P2576" i="2"/>
  <c r="P3158" i="2"/>
  <c r="P3110" i="2"/>
  <c r="P3109" i="2"/>
  <c r="P2546" i="2"/>
  <c r="P3143" i="2"/>
  <c r="P3412" i="2"/>
  <c r="P3467" i="2"/>
  <c r="P3378" i="2"/>
  <c r="P3607" i="2"/>
  <c r="P3463" i="2"/>
  <c r="P4679" i="2"/>
  <c r="P5560" i="2"/>
  <c r="P5786" i="2"/>
  <c r="P5603" i="2"/>
  <c r="P6693" i="2"/>
  <c r="P6726" i="2"/>
  <c r="P7040" i="2"/>
  <c r="P6967" i="2"/>
  <c r="P7047" i="2"/>
  <c r="P7046" i="2"/>
  <c r="P7128" i="2"/>
  <c r="P7049" i="2"/>
  <c r="P7318" i="2"/>
  <c r="P7355" i="2"/>
  <c r="P7379" i="2"/>
  <c r="P7451" i="2"/>
  <c r="P7523" i="2"/>
  <c r="P7595" i="2"/>
  <c r="P7342" i="2"/>
  <c r="P7390" i="2"/>
  <c r="P7510" i="2"/>
  <c r="P7401" i="2"/>
  <c r="P7617" i="2"/>
  <c r="P955" i="2"/>
  <c r="P1000" i="2"/>
  <c r="P947" i="2"/>
  <c r="P963" i="2"/>
  <c r="P1172" i="2"/>
  <c r="P1273" i="2"/>
  <c r="P1528" i="2"/>
  <c r="P1812" i="2"/>
  <c r="P1782" i="2"/>
  <c r="P1950" i="2"/>
  <c r="P1960" i="2"/>
  <c r="P2157" i="2"/>
  <c r="P2020" i="2"/>
  <c r="P3086" i="2"/>
  <c r="P3380" i="2"/>
  <c r="P3417" i="2"/>
  <c r="P3559" i="2"/>
  <c r="P3959" i="2"/>
  <c r="P5552" i="2"/>
  <c r="P5561" i="2"/>
  <c r="P5588" i="2"/>
  <c r="P5862" i="2"/>
  <c r="P5922" i="2"/>
  <c r="P6764" i="2"/>
  <c r="P6440" i="2"/>
  <c r="P7144" i="2"/>
  <c r="P6986" i="2"/>
  <c r="P7002" i="2"/>
  <c r="P7018" i="2"/>
  <c r="P6973" i="2"/>
  <c r="P7418" i="2"/>
  <c r="P7466" i="2"/>
  <c r="P7502" i="2"/>
  <c r="P7465" i="2"/>
  <c r="P7597" i="2"/>
  <c r="P7609" i="2"/>
  <c r="P7356" i="2"/>
  <c r="P7380" i="2"/>
  <c r="P7476" i="2"/>
  <c r="P946" i="2"/>
  <c r="P957" i="2"/>
  <c r="P1561" i="2"/>
  <c r="P1572" i="2"/>
  <c r="P1815" i="2"/>
  <c r="P1966" i="2"/>
  <c r="P2121" i="2"/>
  <c r="P2182" i="2"/>
  <c r="P2133" i="2"/>
  <c r="P2340" i="2"/>
  <c r="P2934" i="2"/>
  <c r="P3324" i="2"/>
  <c r="P3433" i="2"/>
  <c r="P3529" i="2"/>
  <c r="P4519" i="2"/>
  <c r="P5587" i="2"/>
  <c r="P5687" i="2"/>
  <c r="P6199" i="2"/>
  <c r="P6479" i="2"/>
  <c r="P6790" i="2"/>
  <c r="P7238" i="2"/>
  <c r="P6975" i="2"/>
  <c r="P7140" i="2"/>
  <c r="P7180" i="2"/>
  <c r="P7457" i="2"/>
  <c r="P7529" i="2"/>
  <c r="P7360" i="2"/>
  <c r="P7432" i="2"/>
  <c r="P7456" i="2"/>
  <c r="P7492" i="2"/>
  <c r="P7516" i="2"/>
  <c r="P7528" i="2"/>
  <c r="P7564" i="2"/>
  <c r="P7612" i="2"/>
  <c r="P7304" i="2"/>
  <c r="P7407" i="2"/>
  <c r="P7306" i="2"/>
  <c r="P615" i="2"/>
  <c r="P1787" i="2"/>
  <c r="P662" i="2"/>
  <c r="P491" i="2"/>
  <c r="P6114" i="2"/>
  <c r="P5458" i="2"/>
  <c r="P6442" i="2"/>
  <c r="P39" i="2"/>
  <c r="P134" i="2"/>
  <c r="P322" i="2"/>
  <c r="P756" i="2"/>
  <c r="P3127" i="2"/>
  <c r="P3462" i="2"/>
  <c r="P589" i="2"/>
  <c r="P816" i="2"/>
  <c r="P6913" i="2"/>
  <c r="P2543" i="2"/>
  <c r="P434" i="2"/>
  <c r="P21" i="2"/>
  <c r="P27" i="2"/>
  <c r="P30" i="2"/>
  <c r="P232" i="2"/>
  <c r="P374" i="2"/>
  <c r="P299" i="2"/>
  <c r="P398" i="2"/>
  <c r="P555" i="2"/>
  <c r="P185" i="2"/>
  <c r="P270" i="2"/>
  <c r="P472" i="2"/>
  <c r="P50" i="2"/>
  <c r="P125" i="2"/>
  <c r="P164" i="2"/>
  <c r="P188" i="2"/>
  <c r="P215" i="2"/>
  <c r="P338" i="2"/>
  <c r="P372" i="2"/>
  <c r="P497" i="2"/>
  <c r="P642" i="2"/>
  <c r="P651" i="2"/>
  <c r="P877" i="2"/>
  <c r="P881" i="2"/>
  <c r="P1912" i="2"/>
  <c r="P2700" i="2"/>
  <c r="P6806" i="2"/>
  <c r="P3021" i="2"/>
  <c r="P5672" i="2"/>
  <c r="P1988" i="2"/>
  <c r="P4349" i="2"/>
  <c r="P4385" i="2"/>
  <c r="P4421" i="2"/>
  <c r="P4457" i="2"/>
  <c r="P4413" i="2"/>
  <c r="P6011" i="2"/>
  <c r="P2596" i="2"/>
  <c r="P2620" i="2"/>
  <c r="P2644" i="2"/>
  <c r="P2668" i="2"/>
  <c r="P2802" i="2"/>
  <c r="P2826" i="2"/>
  <c r="P2833" i="2"/>
  <c r="P3004" i="2"/>
  <c r="P3246" i="2"/>
  <c r="P3951" i="2"/>
  <c r="P4455" i="2"/>
  <c r="P6866" i="2"/>
  <c r="P3429" i="2"/>
  <c r="P6572" i="2"/>
  <c r="P2111" i="2"/>
  <c r="P2179" i="2"/>
  <c r="P2592" i="2"/>
  <c r="P2878" i="2"/>
  <c r="P2787" i="2"/>
  <c r="P2859" i="2"/>
  <c r="P2757" i="2"/>
  <c r="P2779" i="2"/>
  <c r="P2844" i="2"/>
  <c r="P2723" i="2"/>
  <c r="P2783" i="2"/>
  <c r="P2795" i="2"/>
  <c r="P2909" i="2"/>
  <c r="P3123" i="2"/>
  <c r="P2973" i="2"/>
  <c r="P3024" i="2"/>
  <c r="P3040" i="2"/>
  <c r="P6388" i="2"/>
  <c r="P6412" i="2"/>
  <c r="P6835" i="2"/>
  <c r="P6554" i="2"/>
  <c r="P6710" i="2"/>
  <c r="P6926" i="2"/>
  <c r="P6829" i="2"/>
  <c r="P6775" i="2"/>
  <c r="P7189" i="2"/>
  <c r="P6878" i="2"/>
  <c r="A7602" i="2"/>
  <c r="P1667" i="2"/>
  <c r="P1798" i="2"/>
  <c r="P1901" i="2"/>
  <c r="P2076" i="2"/>
  <c r="P2006" i="2"/>
  <c r="P2175" i="2"/>
  <c r="P2270" i="2"/>
  <c r="P2393" i="2"/>
  <c r="P2406" i="2"/>
  <c r="P2441" i="2"/>
  <c r="P2497" i="2"/>
  <c r="P2493" i="2"/>
  <c r="P2613" i="2"/>
  <c r="P2637" i="2"/>
  <c r="P2661" i="2"/>
  <c r="P2824" i="2"/>
  <c r="P2761" i="2"/>
  <c r="P2748" i="2"/>
  <c r="P3063" i="2"/>
  <c r="P3005" i="2"/>
  <c r="P3176" i="2"/>
  <c r="P3287" i="2"/>
  <c r="P3291" i="2"/>
  <c r="P3513" i="2"/>
  <c r="P4366" i="2"/>
  <c r="P4402" i="2"/>
  <c r="P4438" i="2"/>
  <c r="P4422" i="2"/>
  <c r="P4371" i="2"/>
  <c r="P809" i="2"/>
  <c r="P1235" i="2"/>
  <c r="P6399" i="2"/>
  <c r="P6411" i="2"/>
  <c r="P6605" i="2"/>
  <c r="P7147" i="2"/>
  <c r="P3949" i="2"/>
  <c r="P4614" i="2"/>
  <c r="P5512" i="2"/>
  <c r="P5554" i="2"/>
  <c r="P5615" i="2"/>
  <c r="P5674" i="2"/>
  <c r="P6979" i="2"/>
  <c r="P6993" i="2"/>
  <c r="P7009" i="2"/>
  <c r="P7025" i="2"/>
  <c r="P7041" i="2"/>
  <c r="P7073" i="2"/>
  <c r="P7136" i="2"/>
  <c r="P7348" i="2"/>
  <c r="P7540" i="2"/>
  <c r="P7280" i="2"/>
  <c r="P1849" i="2"/>
  <c r="P6962" i="2"/>
  <c r="P214" i="2"/>
  <c r="P2288" i="2"/>
  <c r="P2194" i="2"/>
  <c r="P2664" i="2"/>
  <c r="P5004" i="2"/>
  <c r="P4882" i="2"/>
  <c r="P5189" i="2"/>
  <c r="P5821" i="2"/>
  <c r="P6028" i="2"/>
  <c r="P6748" i="2"/>
  <c r="P6675" i="2"/>
  <c r="P6565" i="2"/>
  <c r="P6589" i="2"/>
  <c r="P6661" i="2"/>
  <c r="P7157" i="2"/>
  <c r="P6649" i="2"/>
  <c r="P6770" i="2"/>
  <c r="P7321" i="2"/>
  <c r="P6625" i="2"/>
  <c r="P6857" i="2"/>
  <c r="P6662" i="2"/>
  <c r="P7103" i="2"/>
  <c r="P7151" i="2"/>
  <c r="P7199" i="2"/>
  <c r="P7247" i="2"/>
  <c r="P7295" i="2"/>
  <c r="P6842" i="2"/>
  <c r="P6883" i="2"/>
  <c r="P443" i="2"/>
  <c r="P1968" i="2"/>
  <c r="P2538" i="2"/>
  <c r="P3401" i="2"/>
  <c r="P3497" i="2"/>
  <c r="P3448" i="2"/>
  <c r="P3622" i="2"/>
  <c r="P3722" i="2"/>
  <c r="P3929" i="2"/>
  <c r="P4760" i="2"/>
  <c r="P6370" i="2"/>
  <c r="P6536" i="2"/>
  <c r="P6738" i="2"/>
  <c r="P5891" i="2"/>
  <c r="P6219" i="2"/>
  <c r="P6353" i="2"/>
  <c r="P6992" i="2"/>
  <c r="P6965" i="2"/>
  <c r="P7124" i="2"/>
  <c r="P7340" i="2"/>
  <c r="P7388" i="2"/>
  <c r="P7508" i="2"/>
  <c r="P7286" i="2"/>
  <c r="P945" i="2"/>
  <c r="P1288" i="2"/>
  <c r="P5410" i="2"/>
  <c r="P6478" i="2"/>
  <c r="P4663" i="2"/>
  <c r="P5944" i="2"/>
  <c r="P6943" i="2"/>
  <c r="P332" i="2"/>
  <c r="P416" i="2"/>
  <c r="P2363" i="2"/>
  <c r="P2729" i="2"/>
  <c r="P3045" i="2"/>
  <c r="P3754" i="2"/>
  <c r="P6650" i="2"/>
  <c r="P765" i="2"/>
  <c r="P742" i="2"/>
  <c r="P1049" i="2"/>
  <c r="P2159" i="2"/>
  <c r="P5449" i="2"/>
  <c r="P6767" i="2"/>
  <c r="P5990" i="2"/>
  <c r="P7004" i="2"/>
  <c r="P403" i="2"/>
  <c r="P1861" i="2"/>
  <c r="P1795" i="2"/>
  <c r="P3017" i="2"/>
  <c r="P3653" i="2"/>
  <c r="P3757" i="2"/>
  <c r="P4222" i="2"/>
  <c r="P4369" i="2"/>
  <c r="P4501" i="2"/>
  <c r="P4440" i="2"/>
  <c r="P4473" i="2"/>
  <c r="P4590" i="2"/>
  <c r="P4458" i="2"/>
  <c r="P5100" i="2"/>
  <c r="P6865" i="2"/>
  <c r="P1380" i="2"/>
  <c r="P6813" i="2"/>
  <c r="P6567" i="2"/>
  <c r="P7028" i="2"/>
  <c r="P7076" i="2"/>
  <c r="P7176" i="2"/>
  <c r="P6657" i="2"/>
  <c r="P7146" i="2"/>
  <c r="P1726" i="2"/>
  <c r="P1391" i="2"/>
  <c r="P3547" i="2"/>
  <c r="P1847" i="2"/>
  <c r="P1962" i="2"/>
  <c r="P3155" i="2"/>
  <c r="P5436" i="2"/>
  <c r="P5712" i="2"/>
  <c r="P5720" i="2"/>
  <c r="P6861" i="2"/>
  <c r="P437" i="2"/>
  <c r="P512" i="2"/>
  <c r="P2733" i="2"/>
  <c r="P6938" i="2"/>
  <c r="P6637" i="2"/>
  <c r="P6674" i="2"/>
  <c r="P6769" i="2"/>
  <c r="P6968" i="2"/>
  <c r="P7104" i="2"/>
  <c r="P1466" i="2"/>
  <c r="P3621" i="2"/>
  <c r="P4425" i="2"/>
  <c r="P4594" i="2"/>
  <c r="P4464" i="2"/>
  <c r="P6673" i="2"/>
  <c r="P4033" i="2"/>
  <c r="P827" i="2"/>
  <c r="P1936" i="2"/>
  <c r="P4556" i="2"/>
  <c r="P6787" i="2"/>
  <c r="P6907" i="2"/>
  <c r="P2558" i="2"/>
  <c r="P2537" i="2"/>
  <c r="P3151" i="2"/>
  <c r="P5884" i="2"/>
  <c r="P6566" i="2"/>
  <c r="P1637" i="2"/>
  <c r="P1897" i="2"/>
  <c r="P1939" i="2"/>
  <c r="P1994" i="2"/>
  <c r="P6436" i="2"/>
  <c r="P3377" i="2"/>
  <c r="P409" i="2"/>
  <c r="P1214" i="2"/>
  <c r="P1716" i="2"/>
  <c r="P1640" i="2"/>
  <c r="P5451" i="2"/>
  <c r="P3425" i="2"/>
  <c r="P1446" i="2"/>
  <c r="P6937" i="2"/>
  <c r="P244" i="2"/>
  <c r="P2066" i="2"/>
  <c r="P2103" i="2"/>
  <c r="P3233" i="2"/>
  <c r="P4377" i="2"/>
  <c r="P4497" i="2"/>
  <c r="P4443" i="2"/>
  <c r="P4558" i="2"/>
  <c r="P6869" i="2"/>
  <c r="P1677" i="2"/>
  <c r="P1806" i="2"/>
  <c r="P1429" i="2"/>
  <c r="P140" i="2"/>
  <c r="P2869" i="2"/>
  <c r="P6760" i="2"/>
  <c r="P861" i="2"/>
  <c r="P2044" i="2"/>
  <c r="P2081" i="2"/>
  <c r="P4380" i="2"/>
  <c r="P4437" i="2"/>
  <c r="P6881" i="2"/>
  <c r="P6890" i="2"/>
  <c r="P156" i="2"/>
  <c r="P824" i="2"/>
  <c r="P310" i="2"/>
  <c r="P1856" i="2"/>
  <c r="P2676" i="2"/>
  <c r="P3763" i="2"/>
  <c r="P4375" i="2"/>
  <c r="P4393" i="2"/>
  <c r="P4465" i="2"/>
  <c r="P4467" i="2"/>
  <c r="P6472" i="2"/>
  <c r="P3437" i="2"/>
  <c r="P5416" i="2"/>
  <c r="P238" i="2"/>
  <c r="P4795" i="2"/>
  <c r="P4807" i="2"/>
  <c r="P4819" i="2"/>
  <c r="P4831" i="2"/>
  <c r="P4843" i="2"/>
  <c r="P4855" i="2"/>
  <c r="P5780" i="2"/>
  <c r="P5792" i="2"/>
  <c r="F7598" i="2"/>
  <c r="P768" i="2"/>
  <c r="P3817" i="2"/>
  <c r="P3835" i="2"/>
  <c r="P3853" i="2"/>
  <c r="P3871" i="2"/>
  <c r="P3686" i="2"/>
  <c r="P3777" i="2"/>
  <c r="P3795" i="2"/>
  <c r="P3813" i="2"/>
  <c r="P3831" i="2"/>
  <c r="P3849" i="2"/>
  <c r="P3867" i="2"/>
  <c r="P3976" i="2"/>
  <c r="P4338" i="2"/>
  <c r="P4428" i="2"/>
  <c r="P5118" i="2"/>
  <c r="P6391" i="2"/>
  <c r="P7129" i="2"/>
  <c r="P7273" i="2"/>
  <c r="P225" i="2"/>
  <c r="P572" i="2"/>
  <c r="P759" i="2"/>
  <c r="P817" i="2"/>
  <c r="P1986" i="2"/>
  <c r="P1884" i="2"/>
  <c r="P4783" i="2"/>
  <c r="P5650" i="2"/>
  <c r="P5924" i="2"/>
  <c r="P3133" i="2"/>
  <c r="P4205" i="2"/>
  <c r="P4217" i="2"/>
  <c r="P4229" i="2"/>
  <c r="P4241" i="2"/>
  <c r="P4253" i="2"/>
  <c r="P4265" i="2"/>
  <c r="P4277" i="2"/>
  <c r="P4289" i="2"/>
  <c r="P4301" i="2"/>
  <c r="P4313" i="2"/>
  <c r="P4325" i="2"/>
  <c r="P4337" i="2"/>
  <c r="P4355" i="2"/>
  <c r="P4373" i="2"/>
  <c r="P4391" i="2"/>
  <c r="P4409" i="2"/>
  <c r="P4427" i="2"/>
  <c r="P4445" i="2"/>
  <c r="P4463" i="2"/>
  <c r="P6709" i="2"/>
  <c r="P6781" i="2"/>
  <c r="P2554" i="2"/>
  <c r="P3046" i="2"/>
  <c r="P1291" i="2"/>
  <c r="P427" i="2"/>
  <c r="P3988" i="2"/>
  <c r="P4356" i="2"/>
  <c r="P6394" i="2"/>
  <c r="P6448" i="2"/>
  <c r="P6818" i="2"/>
  <c r="P251" i="2"/>
  <c r="P1848" i="2"/>
  <c r="P5347" i="2"/>
  <c r="P5269" i="2"/>
  <c r="P5927" i="2"/>
  <c r="P457" i="2"/>
  <c r="P1071" i="2"/>
  <c r="P2000" i="2"/>
  <c r="P2693" i="2"/>
  <c r="P3952" i="2"/>
  <c r="P4720" i="2"/>
  <c r="P6397" i="2"/>
  <c r="P6415" i="2"/>
  <c r="P542" i="2"/>
  <c r="P2530" i="2"/>
  <c r="P1016" i="2"/>
  <c r="P2646" i="2"/>
  <c r="P4513" i="2"/>
  <c r="P4574" i="2"/>
  <c r="P582" i="2"/>
  <c r="P1121" i="2"/>
  <c r="P4506" i="2"/>
  <c r="P6758" i="2"/>
  <c r="P6602" i="2"/>
  <c r="P6746" i="2"/>
  <c r="P6821" i="2"/>
  <c r="P1881" i="2"/>
  <c r="P2401" i="2"/>
  <c r="P1292" i="2"/>
  <c r="P1744" i="2"/>
  <c r="P383" i="2"/>
  <c r="P1002" i="2"/>
  <c r="P3227" i="2"/>
  <c r="P515" i="2"/>
  <c r="P280" i="2"/>
  <c r="P563" i="2"/>
  <c r="P2376" i="2"/>
  <c r="P5491" i="2"/>
  <c r="P2670" i="2"/>
  <c r="P6805" i="2"/>
  <c r="P646" i="2"/>
  <c r="P3634" i="2"/>
  <c r="P4557" i="2"/>
  <c r="P4631" i="2"/>
  <c r="P5493" i="2"/>
  <c r="P5479" i="2"/>
  <c r="P5219" i="2"/>
  <c r="P3049" i="2"/>
  <c r="P6577" i="2"/>
  <c r="P810" i="2"/>
  <c r="P1055" i="2"/>
  <c r="P1336" i="2"/>
  <c r="P1219" i="2"/>
  <c r="P1329" i="2"/>
  <c r="P431" i="2"/>
  <c r="P918" i="2"/>
  <c r="P3025" i="2"/>
  <c r="P3697" i="2"/>
  <c r="P4383" i="2"/>
  <c r="P329" i="2"/>
  <c r="P1427" i="2"/>
  <c r="P2568" i="2"/>
  <c r="P3134" i="2"/>
  <c r="P3428" i="2"/>
  <c r="P5274" i="2"/>
  <c r="P5495" i="2"/>
  <c r="P5430" i="2"/>
  <c r="P5660" i="2"/>
  <c r="P5808" i="2"/>
  <c r="P3932" i="2"/>
  <c r="P259" i="2"/>
  <c r="P307" i="2"/>
  <c r="P390" i="2"/>
  <c r="P837" i="2"/>
  <c r="P2264" i="2"/>
  <c r="P3718" i="2"/>
  <c r="P4359" i="2"/>
  <c r="P5920" i="2"/>
  <c r="P6403" i="2"/>
  <c r="P6918" i="2"/>
  <c r="P6901" i="2"/>
  <c r="P959" i="2"/>
  <c r="P153" i="2"/>
  <c r="P396" i="2"/>
  <c r="P552" i="2"/>
  <c r="P610" i="2"/>
  <c r="P1238" i="2"/>
  <c r="P1098" i="2"/>
  <c r="P1699" i="2"/>
  <c r="P4562" i="2"/>
  <c r="P6389" i="2"/>
  <c r="P6407" i="2"/>
  <c r="P5980" i="2"/>
  <c r="P6406" i="2"/>
  <c r="P6638" i="2"/>
  <c r="P6877" i="2"/>
  <c r="P6698" i="2"/>
  <c r="P6811" i="2"/>
  <c r="P6841" i="2"/>
  <c r="P6733" i="2"/>
  <c r="P560" i="2"/>
  <c r="P1819" i="2"/>
  <c r="P2479" i="2"/>
  <c r="P3432" i="2"/>
  <c r="P3374" i="2"/>
  <c r="P5488" i="2"/>
  <c r="P6606" i="2"/>
  <c r="P7232" i="2"/>
  <c r="P6888" i="2"/>
  <c r="P7218" i="2"/>
  <c r="P402" i="2"/>
  <c r="P1097" i="2"/>
  <c r="P870" i="2"/>
  <c r="P1470" i="2"/>
  <c r="P1934" i="2"/>
  <c r="P1938" i="2"/>
  <c r="P2074" i="2"/>
  <c r="P2384" i="2"/>
  <c r="P2703" i="2"/>
  <c r="P3001" i="2"/>
  <c r="P3041" i="2"/>
  <c r="P3881" i="2"/>
  <c r="P4232" i="2"/>
  <c r="P4244" i="2"/>
  <c r="P4268" i="2"/>
  <c r="P4304" i="2"/>
  <c r="P4538" i="2"/>
  <c r="P4477" i="2"/>
  <c r="P4525" i="2"/>
  <c r="P4368" i="2"/>
  <c r="P4490" i="2"/>
  <c r="P4560" i="2"/>
  <c r="P4389" i="2"/>
  <c r="P5848" i="2"/>
  <c r="P4" i="2"/>
  <c r="P517" i="2"/>
  <c r="P737" i="2"/>
  <c r="P1948" i="2"/>
  <c r="P3400" i="2"/>
  <c r="P5433" i="2"/>
  <c r="P6570" i="2"/>
  <c r="P7016" i="2"/>
  <c r="P6603" i="2"/>
  <c r="P158" i="2"/>
  <c r="P290" i="2"/>
  <c r="P1148" i="2"/>
  <c r="P1589" i="2"/>
  <c r="P1607" i="2"/>
  <c r="P1863" i="2"/>
  <c r="P2083" i="2"/>
  <c r="P2078" i="2"/>
  <c r="P2501" i="2"/>
  <c r="P3009" i="2"/>
  <c r="P3662" i="2"/>
  <c r="P3769" i="2"/>
  <c r="P3781" i="2"/>
  <c r="P3793" i="2"/>
  <c r="P3805" i="2"/>
  <c r="P3823" i="2"/>
  <c r="P3841" i="2"/>
  <c r="P3859" i="2"/>
  <c r="P4374" i="2"/>
  <c r="P4505" i="2"/>
  <c r="P5989" i="2"/>
  <c r="P6889" i="2"/>
  <c r="P6941" i="2"/>
  <c r="P6797" i="2"/>
  <c r="P6917" i="2"/>
  <c r="P6614" i="2"/>
  <c r="P6931" i="2"/>
  <c r="P6902" i="2"/>
  <c r="P640" i="2"/>
  <c r="P2565" i="2"/>
  <c r="P3449" i="2"/>
  <c r="P3764" i="2"/>
  <c r="P3705" i="2"/>
  <c r="P3654" i="2"/>
  <c r="P3713" i="2"/>
  <c r="P4496" i="2"/>
  <c r="P4535" i="2"/>
  <c r="P4609" i="2"/>
  <c r="P5111" i="2"/>
  <c r="P5175" i="2"/>
  <c r="P5461" i="2"/>
  <c r="P6512" i="2"/>
  <c r="P6543" i="2"/>
  <c r="P6859" i="2"/>
  <c r="P786" i="2"/>
  <c r="P879" i="2"/>
  <c r="P1926" i="2"/>
  <c r="P1944" i="2"/>
  <c r="P4284" i="2"/>
  <c r="P4365" i="2"/>
  <c r="P6396" i="2"/>
  <c r="P6408" i="2"/>
  <c r="P513" i="2"/>
  <c r="P1347" i="2"/>
  <c r="P5770" i="2"/>
  <c r="P74" i="2"/>
  <c r="P5442" i="2"/>
  <c r="P2578" i="2"/>
  <c r="P2927" i="2"/>
  <c r="P3222" i="2"/>
  <c r="P3403" i="2"/>
  <c r="P7154" i="2"/>
  <c r="P906" i="2"/>
  <c r="P1606" i="2"/>
  <c r="P3751" i="2"/>
  <c r="P4434" i="2"/>
  <c r="P4570" i="2"/>
  <c r="P4554" i="2"/>
  <c r="P4674" i="2"/>
  <c r="P4431" i="2"/>
  <c r="P4518" i="2"/>
  <c r="P1961" i="2"/>
  <c r="P2500" i="2"/>
  <c r="P4691" i="2"/>
  <c r="P5418" i="2"/>
  <c r="P6143" i="2"/>
  <c r="P6800" i="2"/>
  <c r="P6921" i="2"/>
  <c r="P6777" i="2"/>
  <c r="P160" i="2"/>
  <c r="P900" i="2"/>
  <c r="P762" i="2"/>
  <c r="P995" i="2"/>
  <c r="P1570" i="2"/>
  <c r="P1942" i="2"/>
  <c r="P1929" i="2"/>
  <c r="P2252" i="2"/>
  <c r="P2958" i="2"/>
  <c r="P2899" i="2"/>
  <c r="P3159" i="2"/>
  <c r="P4449" i="2"/>
  <c r="P4541" i="2"/>
  <c r="P5836" i="2"/>
  <c r="P5977" i="2"/>
  <c r="P6745" i="2"/>
  <c r="P6817" i="2"/>
  <c r="P813" i="2"/>
  <c r="P1296" i="2"/>
  <c r="P1870" i="2"/>
  <c r="P2562" i="2"/>
  <c r="P3419" i="2"/>
  <c r="P3092" i="2"/>
  <c r="P3450" i="2"/>
  <c r="P3339" i="2"/>
  <c r="P5511" i="2"/>
  <c r="P1974" i="2"/>
  <c r="P2077" i="2"/>
  <c r="P2753" i="2"/>
  <c r="P3760" i="2"/>
  <c r="P6590" i="2"/>
  <c r="P518" i="2"/>
  <c r="P6802" i="2"/>
  <c r="P6379" i="2"/>
  <c r="P3903" i="2"/>
  <c r="P3996" i="2"/>
  <c r="P3113" i="2"/>
  <c r="P148" i="2"/>
  <c r="P154" i="2"/>
  <c r="P144" i="2"/>
  <c r="P223" i="2"/>
  <c r="P635" i="2"/>
  <c r="P888" i="2"/>
  <c r="P1943" i="2"/>
  <c r="P2211" i="2"/>
  <c r="P2854" i="2"/>
  <c r="P2688" i="2"/>
  <c r="P2941" i="2"/>
  <c r="P3135" i="2"/>
  <c r="P3226" i="2"/>
  <c r="P3592" i="2"/>
  <c r="P4196" i="2"/>
  <c r="P4869" i="2"/>
  <c r="P4386" i="2"/>
  <c r="P4494" i="2"/>
  <c r="P5824" i="2"/>
  <c r="P5408" i="2"/>
  <c r="P6830" i="2"/>
  <c r="P798" i="2"/>
  <c r="P1949" i="2"/>
  <c r="P5409" i="2"/>
  <c r="P5756" i="2"/>
  <c r="P5963" i="2"/>
  <c r="P7196" i="2"/>
  <c r="P695" i="2"/>
  <c r="P4020" i="2"/>
  <c r="P5440" i="2"/>
  <c r="P289" i="2"/>
  <c r="P588" i="2"/>
  <c r="P606" i="2"/>
  <c r="P664" i="2"/>
  <c r="P939" i="2"/>
  <c r="P1009" i="2"/>
  <c r="P1475" i="2"/>
  <c r="P1445" i="2"/>
  <c r="P1652" i="2"/>
  <c r="P1875" i="2"/>
  <c r="P2080" i="2"/>
  <c r="P3029" i="2"/>
  <c r="P3195" i="2"/>
  <c r="P4005" i="2"/>
  <c r="P4358" i="2"/>
  <c r="P4412" i="2"/>
  <c r="P4430" i="2"/>
  <c r="P4466" i="2"/>
  <c r="P3975" i="2"/>
  <c r="P4372" i="2"/>
  <c r="P4390" i="2"/>
  <c r="P4408" i="2"/>
  <c r="P4426" i="2"/>
  <c r="P4444" i="2"/>
  <c r="P4462" i="2"/>
  <c r="P4419" i="2"/>
  <c r="P4485" i="2"/>
  <c r="P4616" i="2"/>
  <c r="P4395" i="2"/>
  <c r="P6853" i="2"/>
  <c r="P7133" i="2"/>
  <c r="P6697" i="2"/>
  <c r="P6925" i="2"/>
  <c r="P6613" i="2"/>
  <c r="P6833" i="2"/>
  <c r="P72" i="2"/>
  <c r="P3179" i="2"/>
  <c r="P4641" i="2"/>
  <c r="P5585" i="2"/>
  <c r="P6144" i="2"/>
  <c r="P6779" i="2"/>
  <c r="P675" i="2"/>
  <c r="P621" i="2"/>
  <c r="P267" i="2"/>
  <c r="P304" i="2"/>
  <c r="P401" i="2"/>
  <c r="P435" i="2"/>
  <c r="P483" i="2"/>
  <c r="P897" i="2"/>
  <c r="P855" i="2"/>
  <c r="P1234" i="2"/>
  <c r="P1896" i="2"/>
  <c r="P1928" i="2"/>
  <c r="P2452" i="2"/>
  <c r="P2689" i="2"/>
  <c r="P2891" i="2"/>
  <c r="P3271" i="2"/>
  <c r="P3472" i="2"/>
  <c r="P3770" i="2"/>
  <c r="P3788" i="2"/>
  <c r="P3806" i="2"/>
  <c r="P3824" i="2"/>
  <c r="P3842" i="2"/>
  <c r="P3860" i="2"/>
  <c r="P3879" i="2"/>
  <c r="P3970" i="2"/>
  <c r="P3964" i="2"/>
  <c r="P4208" i="2"/>
  <c r="P4280" i="2"/>
  <c r="P4316" i="2"/>
  <c r="P4225" i="2"/>
  <c r="P4261" i="2"/>
  <c r="P4297" i="2"/>
  <c r="P4333" i="2"/>
  <c r="P4347" i="2"/>
  <c r="P4493" i="2"/>
  <c r="P4588" i="2"/>
  <c r="P5034" i="2"/>
  <c r="P5743" i="2"/>
  <c r="P6393" i="2"/>
  <c r="P6405" i="2"/>
  <c r="P6417" i="2"/>
  <c r="P7141" i="2"/>
  <c r="P7213" i="2"/>
  <c r="P7285" i="2"/>
  <c r="P1060" i="2"/>
  <c r="P1855" i="2"/>
  <c r="P2373" i="2"/>
  <c r="P4172" i="2"/>
  <c r="P229" i="2"/>
  <c r="P432" i="2"/>
  <c r="P654" i="2"/>
  <c r="P689" i="2"/>
  <c r="P1695" i="2"/>
  <c r="P1835" i="2"/>
  <c r="P2655" i="2"/>
  <c r="P3525" i="2"/>
  <c r="P3991" i="2"/>
  <c r="P4175" i="2"/>
  <c r="P4725" i="2"/>
  <c r="P4773" i="2"/>
  <c r="P5090" i="2"/>
  <c r="P5252" i="2"/>
  <c r="P6001" i="2"/>
  <c r="P6782" i="2"/>
  <c r="P6905" i="2"/>
  <c r="P6578" i="2"/>
  <c r="P6495" i="2"/>
  <c r="P6854" i="2"/>
  <c r="P797" i="2"/>
  <c r="P652" i="2"/>
  <c r="P446" i="2"/>
  <c r="P1290" i="2"/>
  <c r="P5596" i="2"/>
  <c r="P5947" i="2"/>
  <c r="P6045" i="2"/>
  <c r="P6611" i="2"/>
  <c r="P6899" i="2"/>
  <c r="P825" i="2"/>
  <c r="P893" i="2"/>
  <c r="P2039" i="2"/>
  <c r="P5117" i="2"/>
  <c r="P143" i="2"/>
  <c r="P167" i="2"/>
  <c r="P212" i="2"/>
  <c r="P268" i="2"/>
  <c r="P450" i="2"/>
  <c r="P581" i="2"/>
  <c r="P641" i="2"/>
  <c r="P634" i="2"/>
  <c r="P694" i="2"/>
  <c r="P943" i="2"/>
  <c r="P1591" i="2"/>
  <c r="P1609" i="2"/>
  <c r="P1872" i="2"/>
  <c r="P1931" i="2"/>
  <c r="P1935" i="2"/>
  <c r="P1908" i="2"/>
  <c r="P2711" i="2"/>
  <c r="P2706" i="2"/>
  <c r="P3037" i="2"/>
  <c r="P3262" i="2"/>
  <c r="P4003" i="2"/>
  <c r="P3904" i="2"/>
  <c r="P4216" i="2"/>
  <c r="P4228" i="2"/>
  <c r="P4240" i="2"/>
  <c r="P4252" i="2"/>
  <c r="P4264" i="2"/>
  <c r="P4276" i="2"/>
  <c r="P4288" i="2"/>
  <c r="P4300" i="2"/>
  <c r="P4312" i="2"/>
  <c r="P4324" i="2"/>
  <c r="P4336" i="2"/>
  <c r="P4348" i="2"/>
  <c r="P4360" i="2"/>
  <c r="P4378" i="2"/>
  <c r="P4396" i="2"/>
  <c r="P4414" i="2"/>
  <c r="P4432" i="2"/>
  <c r="P4450" i="2"/>
  <c r="P4468" i="2"/>
  <c r="P4514" i="2"/>
  <c r="P4881" i="2"/>
  <c r="P5037" i="2"/>
  <c r="P5291" i="2"/>
  <c r="P5345" i="2"/>
  <c r="P5908" i="2"/>
  <c r="P6409" i="2"/>
  <c r="P6530" i="2"/>
  <c r="P6856" i="2"/>
  <c r="P7183" i="2"/>
  <c r="P6785" i="2"/>
  <c r="P6626" i="2"/>
  <c r="P6794" i="2"/>
  <c r="P6686" i="2"/>
  <c r="P6893" i="2"/>
  <c r="P6761" i="2"/>
  <c r="P6542" i="2"/>
  <c r="P568" i="2"/>
  <c r="P802" i="2"/>
  <c r="P1729" i="2"/>
  <c r="P2310" i="2"/>
  <c r="P3210" i="2"/>
  <c r="P3555" i="2"/>
  <c r="P6441" i="2"/>
  <c r="P7160" i="2"/>
  <c r="P2379" i="2"/>
  <c r="P5203" i="2"/>
  <c r="P98" i="2"/>
  <c r="P145" i="2"/>
  <c r="P152" i="2"/>
  <c r="P149" i="2"/>
  <c r="P384" i="2"/>
  <c r="P700" i="2"/>
  <c r="P915" i="2"/>
  <c r="P908" i="2"/>
  <c r="P1592" i="2"/>
  <c r="P1610" i="2"/>
  <c r="P1704" i="2"/>
  <c r="P2905" i="2"/>
  <c r="P5956" i="2"/>
  <c r="P5965" i="2"/>
  <c r="P6004" i="2"/>
  <c r="P6737" i="2"/>
  <c r="P7165" i="2"/>
  <c r="P566" i="2"/>
  <c r="P7242" i="2"/>
  <c r="P18" i="2"/>
  <c r="P258" i="2"/>
  <c r="P146" i="2"/>
  <c r="P1159" i="2"/>
  <c r="P1612" i="2"/>
  <c r="P1678" i="2"/>
  <c r="P1828" i="2"/>
  <c r="P2685" i="2"/>
  <c r="P2697" i="2"/>
  <c r="P2921" i="2"/>
  <c r="P3649" i="2"/>
  <c r="P3878" i="2"/>
  <c r="P4227" i="2"/>
  <c r="P4263" i="2"/>
  <c r="P4299" i="2"/>
  <c r="P4335" i="2"/>
  <c r="P4214" i="2"/>
  <c r="P4226" i="2"/>
  <c r="P4238" i="2"/>
  <c r="P4250" i="2"/>
  <c r="P4262" i="2"/>
  <c r="P4274" i="2"/>
  <c r="P4286" i="2"/>
  <c r="P4298" i="2"/>
  <c r="P4310" i="2"/>
  <c r="P4363" i="2"/>
  <c r="P4399" i="2"/>
  <c r="P4435" i="2"/>
  <c r="P4471" i="2"/>
  <c r="P4341" i="2"/>
  <c r="P4509" i="2"/>
  <c r="P4576" i="2"/>
  <c r="P4690" i="2"/>
  <c r="P4353" i="2"/>
  <c r="P4461" i="2"/>
  <c r="P4416" i="2"/>
  <c r="P4684" i="2"/>
  <c r="P4521" i="2"/>
  <c r="P5136" i="2"/>
  <c r="P4883" i="2"/>
  <c r="P6493" i="2"/>
  <c r="P5992" i="2"/>
  <c r="P6757" i="2"/>
  <c r="P7327" i="2"/>
  <c r="P263" i="2"/>
  <c r="P1788" i="2"/>
  <c r="P2334" i="2"/>
  <c r="P2571" i="2"/>
  <c r="P3354" i="2"/>
  <c r="P3351" i="2"/>
  <c r="P5623" i="2"/>
  <c r="P5783" i="2"/>
  <c r="P5759" i="2"/>
  <c r="P6491" i="2"/>
  <c r="P6851" i="2"/>
  <c r="P1972" i="2"/>
  <c r="P2115" i="2"/>
  <c r="P2361" i="2"/>
  <c r="P4739" i="2"/>
  <c r="P2713" i="2"/>
  <c r="P3093" i="2"/>
  <c r="P4072" i="2"/>
  <c r="P4108" i="2"/>
  <c r="P4144" i="2"/>
  <c r="P4180" i="2"/>
  <c r="P4908" i="2"/>
  <c r="P5052" i="2"/>
  <c r="P5349" i="2"/>
  <c r="P6593" i="2"/>
  <c r="P3111" i="2"/>
  <c r="P218" i="2"/>
  <c r="P323" i="2"/>
  <c r="P670" i="2"/>
  <c r="P725" i="2"/>
  <c r="P917" i="2"/>
  <c r="P1833" i="2"/>
  <c r="P2727" i="2"/>
  <c r="P2861" i="2"/>
  <c r="P2911" i="2"/>
  <c r="P2987" i="2"/>
  <c r="P3070" i="2"/>
  <c r="P3102" i="2"/>
  <c r="P3219" i="2"/>
  <c r="P3772" i="2"/>
  <c r="P3784" i="2"/>
  <c r="P3796" i="2"/>
  <c r="P3721" i="2"/>
  <c r="P4145" i="2"/>
  <c r="P4023" i="2"/>
  <c r="P4352" i="2"/>
  <c r="P4370" i="2"/>
  <c r="P4388" i="2"/>
  <c r="P4406" i="2"/>
  <c r="P4424" i="2"/>
  <c r="P4442" i="2"/>
  <c r="P4460" i="2"/>
  <c r="P4976" i="2"/>
  <c r="P6392" i="2"/>
  <c r="P6410" i="2"/>
  <c r="P6809" i="2"/>
  <c r="P6507" i="2"/>
  <c r="P951" i="2"/>
  <c r="P1307" i="2"/>
  <c r="P1823" i="2"/>
  <c r="P2470" i="2"/>
  <c r="P6063" i="2"/>
  <c r="P6051" i="2"/>
  <c r="P6055" i="2"/>
  <c r="P6864" i="2"/>
  <c r="P6600" i="2"/>
  <c r="P6824" i="2"/>
  <c r="P6911" i="2"/>
  <c r="P1171" i="2"/>
  <c r="P2992" i="2"/>
  <c r="P3636" i="2"/>
  <c r="P34" i="2"/>
  <c r="P162" i="2"/>
  <c r="P755" i="2"/>
  <c r="P885" i="2"/>
  <c r="P1438" i="2"/>
  <c r="P1605" i="2"/>
  <c r="P1703" i="2"/>
  <c r="P1616" i="2"/>
  <c r="P1643" i="2"/>
  <c r="P1941" i="2"/>
  <c r="P2072" i="2"/>
  <c r="P2724" i="2"/>
  <c r="P3720" i="2"/>
  <c r="P3736" i="2"/>
  <c r="P4098" i="2"/>
  <c r="P4134" i="2"/>
  <c r="P4170" i="2"/>
  <c r="P4584" i="2"/>
  <c r="P4401" i="2"/>
  <c r="P4534" i="2"/>
  <c r="P4549" i="2"/>
  <c r="P4888" i="2"/>
  <c r="P6390" i="2"/>
  <c r="P6402" i="2"/>
  <c r="P6414" i="2"/>
  <c r="P5896" i="2"/>
  <c r="P6689" i="2"/>
  <c r="P6400" i="2"/>
  <c r="P7117" i="2"/>
  <c r="P7261" i="2"/>
  <c r="P1038" i="2"/>
  <c r="P754" i="2"/>
  <c r="P1867" i="2"/>
  <c r="P3122" i="2"/>
  <c r="P3984" i="2"/>
  <c r="P6066" i="2"/>
  <c r="P150" i="2"/>
  <c r="P73" i="2"/>
  <c r="P235" i="2"/>
  <c r="P413" i="2"/>
  <c r="F7599" i="2"/>
  <c r="P70" i="2"/>
  <c r="P419" i="2"/>
  <c r="P248" i="2"/>
  <c r="P425" i="2"/>
  <c r="P1057" i="2"/>
  <c r="P330" i="2"/>
  <c r="P681" i="2"/>
  <c r="P3674" i="2"/>
  <c r="P1474" i="2"/>
  <c r="P147" i="2"/>
  <c r="P2990" i="2"/>
  <c r="P141" i="2"/>
  <c r="P247" i="2"/>
  <c r="P241" i="2"/>
  <c r="P4566" i="2"/>
  <c r="P4446" i="2"/>
  <c r="P4572" i="2"/>
  <c r="P302" i="2"/>
  <c r="P414" i="2"/>
  <c r="P823" i="2"/>
  <c r="P2634" i="2"/>
  <c r="P4585" i="2"/>
  <c r="P159" i="2"/>
  <c r="P395" i="2"/>
  <c r="P2903" i="2"/>
  <c r="P82" i="2"/>
  <c r="P407" i="2"/>
  <c r="P587" i="2"/>
  <c r="P688" i="2"/>
  <c r="P912" i="2"/>
  <c r="P1116" i="2"/>
  <c r="P1203" i="2"/>
  <c r="P1195" i="2"/>
  <c r="P1600" i="2"/>
  <c r="P1711" i="2"/>
  <c r="P1930" i="2"/>
  <c r="P1932" i="2"/>
  <c r="P2089" i="2"/>
  <c r="P2640" i="2"/>
  <c r="P2881" i="2"/>
  <c r="P3229" i="2"/>
  <c r="P3147" i="2"/>
  <c r="P3201" i="2"/>
  <c r="P3641" i="2"/>
  <c r="P3885" i="2"/>
  <c r="P4084" i="2"/>
  <c r="P4120" i="2"/>
  <c r="P4156" i="2"/>
  <c r="P4192" i="2"/>
  <c r="P4012" i="2"/>
  <c r="P4604" i="2"/>
  <c r="P4481" i="2"/>
  <c r="P4529" i="2"/>
  <c r="P4707" i="2"/>
  <c r="P4350" i="2"/>
  <c r="P4486" i="2"/>
  <c r="P6016" i="2"/>
  <c r="P6398" i="2"/>
  <c r="P6416" i="2"/>
  <c r="P6721" i="2"/>
  <c r="P7331" i="2"/>
  <c r="P550" i="2"/>
  <c r="P522" i="2"/>
  <c r="P1101" i="2"/>
  <c r="P1852" i="2"/>
  <c r="P1956" i="2"/>
  <c r="P2456" i="2"/>
  <c r="P2438" i="2"/>
  <c r="P2759" i="2"/>
  <c r="P3146" i="2"/>
  <c r="P3460" i="2"/>
  <c r="P3357" i="2"/>
  <c r="P3918" i="2"/>
  <c r="P5167" i="2"/>
  <c r="P5617" i="2"/>
  <c r="P7264" i="2"/>
  <c r="P1781" i="2"/>
  <c r="P5139" i="2"/>
  <c r="P5171" i="2"/>
  <c r="P391" i="2"/>
  <c r="P445" i="2"/>
  <c r="P574" i="2"/>
  <c r="P706" i="2"/>
  <c r="P921" i="2"/>
  <c r="P986" i="2"/>
  <c r="P1089" i="2"/>
  <c r="P1227" i="2"/>
  <c r="P1210" i="2"/>
  <c r="P1859" i="2"/>
  <c r="P2060" i="2"/>
  <c r="P2218" i="2"/>
  <c r="P2224" i="2"/>
  <c r="P2230" i="2"/>
  <c r="P2236" i="2"/>
  <c r="P2242" i="2"/>
  <c r="P2709" i="2"/>
  <c r="P2682" i="2"/>
  <c r="P2736" i="2"/>
  <c r="P3207" i="2"/>
  <c r="P3703" i="2"/>
  <c r="P3732" i="2"/>
  <c r="P3768" i="2"/>
  <c r="P4212" i="2"/>
  <c r="P4230" i="2"/>
  <c r="P4248" i="2"/>
  <c r="P4266" i="2"/>
  <c r="P4302" i="2"/>
  <c r="P4320" i="2"/>
  <c r="P4340" i="2"/>
  <c r="P4376" i="2"/>
  <c r="P4394" i="2"/>
  <c r="P4448" i="2"/>
  <c r="P4600" i="2"/>
  <c r="P4546" i="2"/>
  <c r="P4611" i="2"/>
  <c r="P5258" i="2"/>
  <c r="P5221" i="2"/>
  <c r="P5137" i="2"/>
  <c r="P5713" i="2"/>
  <c r="P6401" i="2"/>
  <c r="P7084" i="2"/>
  <c r="P7203" i="2"/>
  <c r="P7153" i="2"/>
  <c r="P7297" i="2"/>
  <c r="P1119" i="2"/>
  <c r="P1864" i="2"/>
  <c r="P3924" i="2"/>
  <c r="P3961" i="2"/>
  <c r="P4664" i="2"/>
  <c r="P5473" i="2"/>
  <c r="P6980" i="2"/>
  <c r="P7132" i="2"/>
  <c r="P7214" i="2"/>
  <c r="P7116" i="2"/>
  <c r="P1737" i="2"/>
  <c r="P2658" i="2"/>
  <c r="P3033" i="2"/>
  <c r="P2520" i="2"/>
  <c r="P5195" i="2"/>
  <c r="P3235" i="2"/>
  <c r="P3154" i="2"/>
  <c r="P3221" i="2"/>
  <c r="P3551" i="2"/>
  <c r="P3775" i="2"/>
  <c r="P3787" i="2"/>
  <c r="P3799" i="2"/>
  <c r="P3814" i="2"/>
  <c r="P3832" i="2"/>
  <c r="P3850" i="2"/>
  <c r="P3868" i="2"/>
  <c r="P3668" i="2"/>
  <c r="P4215" i="2"/>
  <c r="P4233" i="2"/>
  <c r="P4251" i="2"/>
  <c r="P4269" i="2"/>
  <c r="P4287" i="2"/>
  <c r="P4305" i="2"/>
  <c r="P4323" i="2"/>
  <c r="P4220" i="2"/>
  <c r="P4256" i="2"/>
  <c r="P4292" i="2"/>
  <c r="P4328" i="2"/>
  <c r="P3940" i="2"/>
  <c r="P4564" i="2"/>
  <c r="P4567" i="2"/>
  <c r="P4798" i="2"/>
  <c r="P4810" i="2"/>
  <c r="P4822" i="2"/>
  <c r="P4834" i="2"/>
  <c r="P4846" i="2"/>
  <c r="P4858" i="2"/>
  <c r="P4746" i="2"/>
  <c r="P5181" i="2"/>
  <c r="P5160" i="2"/>
  <c r="P5303" i="2"/>
  <c r="P5357" i="2"/>
  <c r="P5267" i="2"/>
  <c r="P6404" i="2"/>
  <c r="P6451" i="2"/>
  <c r="P6604" i="2"/>
  <c r="P6774" i="2"/>
  <c r="P7307" i="2"/>
  <c r="P84" i="2"/>
  <c r="P529" i="2"/>
  <c r="P439" i="2"/>
  <c r="P637" i="2"/>
  <c r="P2483" i="2"/>
  <c r="P3056" i="2"/>
  <c r="P3348" i="2"/>
  <c r="P3973" i="2"/>
  <c r="P3937" i="2"/>
  <c r="P5223" i="2"/>
  <c r="P5819" i="2"/>
  <c r="P6609" i="2"/>
  <c r="P7234" i="2"/>
  <c r="P7178" i="2"/>
  <c r="P1106" i="2"/>
  <c r="P3217" i="2"/>
  <c r="P313" i="2"/>
  <c r="P397" i="2"/>
  <c r="P452" i="2"/>
  <c r="P864" i="2"/>
  <c r="P873" i="2"/>
  <c r="P1547" i="2"/>
  <c r="P1590" i="2"/>
  <c r="P1622" i="2"/>
  <c r="P1634" i="2"/>
  <c r="P1658" i="2"/>
  <c r="P1619" i="2"/>
  <c r="P1631" i="2"/>
  <c r="P1655" i="2"/>
  <c r="P1940" i="2"/>
  <c r="P2071" i="2"/>
  <c r="P2043" i="2"/>
  <c r="P2730" i="2"/>
  <c r="P2718" i="2"/>
  <c r="P2963" i="2"/>
  <c r="P3013" i="2"/>
  <c r="P3999" i="2"/>
  <c r="P4343" i="2"/>
  <c r="P4361" i="2"/>
  <c r="P4379" i="2"/>
  <c r="P4397" i="2"/>
  <c r="P4415" i="2"/>
  <c r="P4433" i="2"/>
  <c r="P4451" i="2"/>
  <c r="P4469" i="2"/>
  <c r="P4603" i="2"/>
  <c r="P4956" i="2"/>
  <c r="P5692" i="2"/>
  <c r="P5764" i="2"/>
  <c r="P6914" i="2"/>
  <c r="P707" i="2"/>
  <c r="P1803" i="2"/>
  <c r="P5207" i="2"/>
  <c r="P4699" i="2"/>
  <c r="P6585" i="2"/>
  <c r="P6837" i="2"/>
  <c r="P7110" i="2"/>
  <c r="P7200" i="2"/>
  <c r="P7260" i="2"/>
  <c r="P844" i="2"/>
  <c r="P849" i="2"/>
  <c r="P833" i="2"/>
  <c r="P5051" i="2"/>
  <c r="P7105" i="2"/>
  <c r="P7249" i="2"/>
  <c r="P7127" i="2"/>
  <c r="P7175" i="2"/>
  <c r="P7223" i="2"/>
  <c r="P7271" i="2"/>
  <c r="P544" i="2"/>
  <c r="P968" i="2"/>
  <c r="P5639" i="2"/>
  <c r="P5581" i="2"/>
  <c r="P594" i="2"/>
  <c r="P1574" i="2"/>
  <c r="P1907" i="2"/>
  <c r="P1841" i="2"/>
  <c r="P2206" i="2"/>
  <c r="P2369" i="2"/>
  <c r="P3058" i="2"/>
  <c r="P3213" i="2"/>
  <c r="P3259" i="2"/>
  <c r="P3680" i="2"/>
  <c r="P3745" i="2"/>
  <c r="P3657" i="2"/>
  <c r="P3645" i="2"/>
  <c r="P4211" i="2"/>
  <c r="P4223" i="2"/>
  <c r="P4247" i="2"/>
  <c r="P4259" i="2"/>
  <c r="P4283" i="2"/>
  <c r="P4295" i="2"/>
  <c r="P4319" i="2"/>
  <c r="P4331" i="2"/>
  <c r="P4346" i="2"/>
  <c r="P4382" i="2"/>
  <c r="P4418" i="2"/>
  <c r="P4454" i="2"/>
  <c r="P4210" i="2"/>
  <c r="P4234" i="2"/>
  <c r="P4246" i="2"/>
  <c r="P4258" i="2"/>
  <c r="P4270" i="2"/>
  <c r="P4282" i="2"/>
  <c r="P4294" i="2"/>
  <c r="P4306" i="2"/>
  <c r="P4318" i="2"/>
  <c r="P4330" i="2"/>
  <c r="P4342" i="2"/>
  <c r="P4354" i="2"/>
  <c r="P4387" i="2"/>
  <c r="P4405" i="2"/>
  <c r="P4423" i="2"/>
  <c r="P4441" i="2"/>
  <c r="P4459" i="2"/>
  <c r="P4537" i="2"/>
  <c r="P4741" i="2"/>
  <c r="P5273" i="2"/>
  <c r="P5327" i="2"/>
  <c r="P6013" i="2"/>
  <c r="P6480" i="2"/>
  <c r="P5860" i="2"/>
  <c r="P521" i="2"/>
  <c r="P505" i="2"/>
  <c r="P1099" i="2"/>
  <c r="P2421" i="2"/>
  <c r="P2138" i="2"/>
  <c r="P3073" i="2"/>
  <c r="P3458" i="2"/>
  <c r="P5537" i="2"/>
  <c r="P5413" i="2"/>
  <c r="P6453" i="2"/>
  <c r="P7252" i="2"/>
  <c r="P2437" i="2"/>
  <c r="P421" i="2"/>
  <c r="P678" i="2"/>
  <c r="P876" i="2"/>
  <c r="P1051" i="2"/>
  <c r="P1044" i="2"/>
  <c r="P1109" i="2"/>
  <c r="P1139" i="2"/>
  <c r="P1078" i="2"/>
  <c r="P1594" i="2"/>
  <c r="P2694" i="2"/>
  <c r="P3216" i="2"/>
  <c r="P4080" i="2"/>
  <c r="P4116" i="2"/>
  <c r="P4152" i="2"/>
  <c r="P4188" i="2"/>
  <c r="P4410" i="2"/>
  <c r="P4542" i="2"/>
  <c r="P4612" i="2"/>
  <c r="P5257" i="2"/>
  <c r="P5321" i="2"/>
  <c r="P6610" i="2"/>
  <c r="P7333" i="2"/>
  <c r="P7319" i="2"/>
  <c r="P7320" i="2"/>
  <c r="P7101" i="2"/>
  <c r="P7197" i="2"/>
  <c r="P6956" i="2"/>
  <c r="P1425" i="2"/>
  <c r="P480" i="2"/>
  <c r="P780" i="2"/>
  <c r="P822" i="2"/>
  <c r="P1442" i="2"/>
  <c r="P1601" i="2"/>
  <c r="P2062" i="2"/>
  <c r="P2390" i="2"/>
  <c r="P2715" i="2"/>
  <c r="P2887" i="2"/>
  <c r="P3265" i="2"/>
  <c r="P3197" i="2"/>
  <c r="P3137" i="2"/>
  <c r="P3733" i="2"/>
  <c r="P4017" i="2"/>
  <c r="P4322" i="2"/>
  <c r="P4334" i="2"/>
  <c r="P4791" i="2"/>
  <c r="P4803" i="2"/>
  <c r="P4815" i="2"/>
  <c r="P4827" i="2"/>
  <c r="P4839" i="2"/>
  <c r="P4851" i="2"/>
  <c r="P4863" i="2"/>
  <c r="P4580" i="2"/>
  <c r="P6722" i="2"/>
  <c r="P7267" i="2"/>
  <c r="P7139" i="2"/>
  <c r="P7187" i="2"/>
  <c r="P7235" i="2"/>
  <c r="P7283" i="2"/>
  <c r="P3097" i="2"/>
  <c r="P3453" i="2"/>
  <c r="P3965" i="2"/>
  <c r="P4751" i="2"/>
  <c r="P6678" i="2"/>
  <c r="P6885" i="2"/>
  <c r="P845" i="2"/>
  <c r="P1546" i="2"/>
  <c r="P1604" i="2"/>
  <c r="P2056" i="2"/>
  <c r="P2276" i="2"/>
  <c r="P2805" i="2"/>
  <c r="P3183" i="2"/>
  <c r="P3268" i="2"/>
  <c r="P3756" i="2"/>
  <c r="P4224" i="2"/>
  <c r="P4260" i="2"/>
  <c r="P4296" i="2"/>
  <c r="P4332" i="2"/>
  <c r="P4411" i="2"/>
  <c r="P4429" i="2"/>
  <c r="P4447" i="2"/>
  <c r="P4407" i="2"/>
  <c r="P4392" i="2"/>
  <c r="P5092" i="2"/>
  <c r="P4770" i="2"/>
  <c r="P5220" i="2"/>
  <c r="P5731" i="2"/>
  <c r="P6395" i="2"/>
  <c r="P6413" i="2"/>
  <c r="P6487" i="2"/>
  <c r="P6847" i="2"/>
  <c r="P7201" i="2"/>
  <c r="P7332" i="2"/>
  <c r="P534" i="2"/>
  <c r="P647" i="2"/>
  <c r="P1012" i="2"/>
  <c r="P1809" i="2"/>
  <c r="P2030" i="2"/>
  <c r="P1955" i="2"/>
  <c r="P3416" i="2"/>
  <c r="P5480" i="2"/>
  <c r="P6573" i="2"/>
  <c r="P622" i="2"/>
  <c r="P573" i="2"/>
  <c r="P774" i="2"/>
  <c r="P891" i="2"/>
  <c r="P1193" i="2"/>
  <c r="P1202" i="2"/>
  <c r="P1136" i="2"/>
  <c r="P1597" i="2"/>
  <c r="P1772" i="2"/>
  <c r="P4206" i="2"/>
  <c r="P4242" i="2"/>
  <c r="P4278" i="2"/>
  <c r="P4314" i="2"/>
  <c r="P4235" i="2"/>
  <c r="P4271" i="2"/>
  <c r="P4307" i="2"/>
  <c r="P4364" i="2"/>
  <c r="P4400" i="2"/>
  <c r="P4436" i="2"/>
  <c r="P4472" i="2"/>
  <c r="P4034" i="2"/>
  <c r="P4381" i="2"/>
  <c r="P4417" i="2"/>
  <c r="P4453" i="2"/>
  <c r="P4474" i="2"/>
  <c r="P4686" i="2"/>
  <c r="P4799" i="2"/>
  <c r="P4811" i="2"/>
  <c r="P4823" i="2"/>
  <c r="P4835" i="2"/>
  <c r="P4847" i="2"/>
  <c r="P4859" i="2"/>
  <c r="P4502" i="2"/>
  <c r="P4758" i="2"/>
  <c r="P4897" i="2"/>
  <c r="P4894" i="2"/>
  <c r="P5225" i="2"/>
  <c r="P5185" i="2"/>
  <c r="P5444" i="2"/>
  <c r="P5435" i="2"/>
  <c r="P5279" i="2"/>
  <c r="P5333" i="2"/>
  <c r="P334" i="2"/>
  <c r="P545" i="2"/>
  <c r="P1018" i="2"/>
  <c r="P1205" i="2"/>
  <c r="P2364" i="2"/>
  <c r="P2355" i="2"/>
  <c r="P2810" i="2"/>
  <c r="P3050" i="2"/>
  <c r="P3404" i="2"/>
  <c r="P3397" i="2"/>
  <c r="P3960" i="2"/>
  <c r="P5243" i="2"/>
  <c r="P5123" i="2"/>
  <c r="P5155" i="2"/>
  <c r="P5467" i="2"/>
  <c r="P6515" i="2"/>
  <c r="P7182" i="2"/>
  <c r="P7166" i="2"/>
  <c r="F7615" i="2"/>
  <c r="H7615" i="2"/>
  <c r="F7603" i="2"/>
  <c r="H7603" i="2"/>
  <c r="P301" i="2"/>
  <c r="P385" i="2"/>
  <c r="P677" i="2"/>
  <c r="P625" i="2"/>
  <c r="P794" i="2"/>
  <c r="P840" i="2"/>
  <c r="P744" i="2"/>
  <c r="P858" i="2"/>
  <c r="P1104" i="2"/>
  <c r="P1027" i="2"/>
  <c r="P1215" i="2"/>
  <c r="P1226" i="2"/>
  <c r="P1569" i="2"/>
  <c r="P1608" i="2"/>
  <c r="P1723" i="2"/>
  <c r="P1625" i="2"/>
  <c r="P1649" i="2"/>
  <c r="P1869" i="2"/>
  <c r="P1933" i="2"/>
  <c r="P1991" i="2"/>
  <c r="P2059" i="2"/>
  <c r="P2091" i="2"/>
  <c r="P2404" i="2"/>
  <c r="P2489" i="2"/>
  <c r="P2712" i="2"/>
  <c r="P2705" i="2"/>
  <c r="P3054" i="2"/>
  <c r="P3125" i="2"/>
  <c r="P3160" i="2"/>
  <c r="P3580" i="2"/>
  <c r="P3604" i="2"/>
  <c r="P3730" i="2"/>
  <c r="P3987" i="2"/>
  <c r="P4779" i="2"/>
  <c r="P5124" i="2"/>
  <c r="P5932" i="2"/>
  <c r="P6025" i="2"/>
  <c r="P1537" i="2"/>
  <c r="P3074" i="2"/>
  <c r="P4657" i="2"/>
  <c r="P6984" i="2"/>
  <c r="P7000" i="2"/>
  <c r="P7032" i="2"/>
  <c r="P7068" i="2"/>
  <c r="F7595" i="2"/>
  <c r="H7595" i="2"/>
  <c r="P426" i="2"/>
  <c r="P843" i="2"/>
  <c r="P3742" i="2"/>
  <c r="P3632" i="2"/>
  <c r="P4207" i="2"/>
  <c r="P4219" i="2"/>
  <c r="P4231" i="2"/>
  <c r="P4243" i="2"/>
  <c r="P4255" i="2"/>
  <c r="P4267" i="2"/>
  <c r="P4279" i="2"/>
  <c r="P4291" i="2"/>
  <c r="P4303" i="2"/>
  <c r="P4315" i="2"/>
  <c r="P4327" i="2"/>
  <c r="P4339" i="2"/>
  <c r="P4351" i="2"/>
  <c r="P4362" i="2"/>
  <c r="P4470" i="2"/>
  <c r="P4522" i="2"/>
  <c r="P4643" i="2"/>
  <c r="P4801" i="2"/>
  <c r="P4813" i="2"/>
  <c r="P4825" i="2"/>
  <c r="P4837" i="2"/>
  <c r="P4849" i="2"/>
  <c r="P4861" i="2"/>
  <c r="P4596" i="2"/>
  <c r="P5153" i="2"/>
  <c r="P5149" i="2"/>
  <c r="P5148" i="2"/>
  <c r="P556" i="2"/>
  <c r="P1963" i="2"/>
  <c r="P2804" i="2"/>
  <c r="P3442" i="2"/>
  <c r="P5135" i="2"/>
  <c r="P5424" i="2"/>
  <c r="P5143" i="2"/>
  <c r="P5510" i="2"/>
  <c r="P5584" i="2"/>
  <c r="P7108" i="2"/>
  <c r="P7270" i="2"/>
  <c r="P6972" i="2"/>
  <c r="P7254" i="2"/>
  <c r="P7224" i="2"/>
  <c r="P28" i="2"/>
  <c r="P157" i="2"/>
  <c r="P151" i="2"/>
  <c r="P335" i="2"/>
  <c r="P298" i="2"/>
  <c r="P460" i="2"/>
  <c r="P506" i="2"/>
  <c r="P679" i="2"/>
  <c r="P579" i="2"/>
  <c r="P818" i="2"/>
  <c r="P718" i="2"/>
  <c r="P909" i="2"/>
  <c r="P903" i="2"/>
  <c r="P867" i="2"/>
  <c r="P890" i="2"/>
  <c r="P998" i="2"/>
  <c r="P1040" i="2"/>
  <c r="P1157" i="2"/>
  <c r="P1458" i="2"/>
  <c r="P1584" i="2"/>
  <c r="P1593" i="2"/>
  <c r="P1611" i="2"/>
  <c r="P1692" i="2"/>
  <c r="P2405" i="2"/>
  <c r="P2691" i="2"/>
  <c r="P2901" i="2"/>
  <c r="P3253" i="2"/>
  <c r="P3224" i="2"/>
  <c r="P3118" i="2"/>
  <c r="P3767" i="2"/>
  <c r="P3785" i="2"/>
  <c r="P3803" i="2"/>
  <c r="P3821" i="2"/>
  <c r="P3839" i="2"/>
  <c r="P3857" i="2"/>
  <c r="P3875" i="2"/>
  <c r="P3692" i="2"/>
  <c r="P4209" i="2"/>
  <c r="P4245" i="2"/>
  <c r="P4281" i="2"/>
  <c r="P4317" i="2"/>
  <c r="P4367" i="2"/>
  <c r="P4403" i="2"/>
  <c r="P4439" i="2"/>
  <c r="P3963" i="2"/>
  <c r="P4384" i="2"/>
  <c r="P4420" i="2"/>
  <c r="P4456" i="2"/>
  <c r="P4533" i="2"/>
  <c r="P4517" i="2"/>
  <c r="P4482" i="2"/>
  <c r="P4530" i="2"/>
  <c r="P4545" i="2"/>
  <c r="P4615" i="2"/>
  <c r="P4732" i="2"/>
  <c r="P4802" i="2"/>
  <c r="P4814" i="2"/>
  <c r="P4826" i="2"/>
  <c r="P4838" i="2"/>
  <c r="P4850" i="2"/>
  <c r="P4862" i="2"/>
  <c r="P4510" i="2"/>
  <c r="P5101" i="2"/>
  <c r="P6520" i="2"/>
  <c r="P6773" i="2"/>
  <c r="P532" i="2"/>
  <c r="P3897" i="2"/>
  <c r="P4759" i="2"/>
  <c r="P7302" i="2"/>
  <c r="P7048" i="2"/>
  <c r="P389" i="2"/>
  <c r="P489" i="2"/>
  <c r="P653" i="2"/>
  <c r="P680" i="2"/>
  <c r="P882" i="2"/>
  <c r="P1090" i="2"/>
  <c r="P1169" i="2"/>
  <c r="P1239" i="2"/>
  <c r="P1276" i="2"/>
  <c r="P1585" i="2"/>
  <c r="P1603" i="2"/>
  <c r="P1596" i="2"/>
  <c r="P1675" i="2"/>
  <c r="P1874" i="2"/>
  <c r="P1903" i="2"/>
  <c r="P2222" i="2"/>
  <c r="P2228" i="2"/>
  <c r="P2234" i="2"/>
  <c r="P2240" i="2"/>
  <c r="P2453" i="2"/>
  <c r="P2221" i="2"/>
  <c r="P2227" i="2"/>
  <c r="P2233" i="2"/>
  <c r="P2239" i="2"/>
  <c r="P2416" i="2"/>
  <c r="P2449" i="2"/>
  <c r="P2459" i="2"/>
  <c r="P2484" i="2"/>
  <c r="P2508" i="2"/>
  <c r="P2735" i="2"/>
  <c r="P2938" i="2"/>
  <c r="P2853" i="2"/>
  <c r="P3256" i="2"/>
  <c r="P3786" i="2"/>
  <c r="P3804" i="2"/>
  <c r="P3822" i="2"/>
  <c r="P3840" i="2"/>
  <c r="P3858" i="2"/>
  <c r="P4649" i="2"/>
  <c r="P4695" i="2"/>
  <c r="P4743" i="2"/>
  <c r="P5165" i="2"/>
  <c r="P5369" i="2"/>
  <c r="P5297" i="2"/>
  <c r="P5351" i="2"/>
  <c r="P6793" i="2"/>
  <c r="P1024" i="2"/>
  <c r="P2786" i="2"/>
  <c r="P2792" i="2"/>
  <c r="P2816" i="2"/>
  <c r="P3464" i="2"/>
  <c r="P3150" i="2"/>
  <c r="P3366" i="2"/>
  <c r="P3909" i="2"/>
  <c r="P4009" i="2"/>
  <c r="P4021" i="2"/>
  <c r="P4736" i="2"/>
  <c r="P5099" i="2"/>
  <c r="P5485" i="2"/>
  <c r="P5600" i="2"/>
  <c r="P7114" i="2"/>
  <c r="P6988" i="2"/>
  <c r="P7020" i="2"/>
  <c r="P7036" i="2"/>
  <c r="P7216" i="2"/>
  <c r="P6960" i="2"/>
  <c r="P7072" i="2"/>
  <c r="P4740" i="2"/>
  <c r="P5968" i="2"/>
  <c r="P7142" i="2"/>
  <c r="F7590" i="2"/>
  <c r="H7590" i="2"/>
  <c r="A7599" i="2"/>
  <c r="F7591" i="2"/>
  <c r="H7591" i="2"/>
  <c r="P127" i="2"/>
  <c r="P142" i="2"/>
  <c r="P264" i="2"/>
  <c r="P415" i="2"/>
  <c r="P611" i="2"/>
  <c r="P838" i="2"/>
  <c r="P750" i="2"/>
  <c r="P1053" i="2"/>
  <c r="P1155" i="2"/>
  <c r="P1223" i="2"/>
  <c r="P1450" i="2"/>
  <c r="P1588" i="2"/>
  <c r="P1858" i="2"/>
  <c r="P1775" i="2"/>
  <c r="P1774" i="2"/>
  <c r="P1831" i="2"/>
  <c r="P1799" i="2"/>
  <c r="P2781" i="2"/>
  <c r="P2749" i="2"/>
  <c r="P2886" i="2"/>
  <c r="P2917" i="2"/>
  <c r="P3052" i="2"/>
  <c r="P3088" i="2"/>
  <c r="P3096" i="2"/>
  <c r="P3228" i="2"/>
  <c r="P3225" i="2"/>
  <c r="P3212" i="2"/>
  <c r="P3090" i="2"/>
  <c r="P3627" i="2"/>
  <c r="P3771" i="2"/>
  <c r="P3789" i="2"/>
  <c r="P3807" i="2"/>
  <c r="P3825" i="2"/>
  <c r="P3843" i="2"/>
  <c r="P3861" i="2"/>
  <c r="P3939" i="2"/>
  <c r="P3927" i="2"/>
  <c r="P4398" i="2"/>
  <c r="P4578" i="2"/>
  <c r="P4655" i="2"/>
  <c r="P4478" i="2"/>
  <c r="P4526" i="2"/>
  <c r="P5113" i="2"/>
  <c r="P4710" i="2"/>
  <c r="P4875" i="2"/>
  <c r="P5177" i="2"/>
  <c r="P4782" i="2"/>
  <c r="P5173" i="2"/>
  <c r="P5439" i="2"/>
  <c r="P537" i="2"/>
  <c r="P1791" i="2"/>
  <c r="P1846" i="2"/>
  <c r="P2395" i="2"/>
  <c r="P2822" i="2"/>
  <c r="P3218" i="2"/>
  <c r="P7164" i="2"/>
  <c r="P7294" i="2"/>
  <c r="P6952" i="2"/>
  <c r="F7611" i="2"/>
  <c r="H7611" i="2"/>
  <c r="F7592" i="2"/>
  <c r="H7592" i="2"/>
  <c r="P133" i="2"/>
  <c r="P420" i="2"/>
  <c r="P1462" i="2"/>
  <c r="P1454" i="2"/>
  <c r="P1573" i="2"/>
  <c r="P1599" i="2"/>
  <c r="P1595" i="2"/>
  <c r="P1646" i="2"/>
  <c r="P2065" i="2"/>
  <c r="P2428" i="2"/>
  <c r="P2436" i="2"/>
  <c r="P2460" i="2"/>
  <c r="P2699" i="2"/>
  <c r="P2652" i="2"/>
  <c r="P2760" i="2"/>
  <c r="P3234" i="2"/>
  <c r="P4213" i="2"/>
  <c r="P4237" i="2"/>
  <c r="P4249" i="2"/>
  <c r="P4273" i="2"/>
  <c r="P4285" i="2"/>
  <c r="P4309" i="2"/>
  <c r="P4321" i="2"/>
  <c r="P4345" i="2"/>
  <c r="P4357" i="2"/>
  <c r="P4404" i="2"/>
  <c r="P4498" i="2"/>
  <c r="P4582" i="2"/>
  <c r="P4344" i="2"/>
  <c r="P4756" i="2"/>
  <c r="P4552" i="2"/>
  <c r="P1113" i="2"/>
  <c r="P3138" i="2"/>
  <c r="P4613" i="2"/>
  <c r="P7008" i="2"/>
  <c r="P7024" i="2"/>
  <c r="P7262" i="2"/>
  <c r="P7120" i="2"/>
  <c r="P6964" i="2"/>
  <c r="P7060" i="2"/>
  <c r="P4752" i="2"/>
  <c r="P466" i="2"/>
  <c r="P1433" i="2"/>
  <c r="P2998" i="2"/>
  <c r="P6976" i="2"/>
  <c r="P7288" i="2"/>
  <c r="F7607" i="2"/>
  <c r="H7607" i="2"/>
  <c r="A7598" i="2"/>
  <c r="P55" i="2"/>
  <c r="P61" i="2"/>
  <c r="P155" i="2"/>
  <c r="P265" i="2"/>
  <c r="P161" i="2"/>
  <c r="P495" i="2"/>
  <c r="P617" i="2"/>
  <c r="P847" i="2"/>
  <c r="P828" i="2"/>
  <c r="P894" i="2"/>
  <c r="P1158" i="2"/>
  <c r="P1602" i="2"/>
  <c r="P1598" i="2"/>
  <c r="P1937" i="2"/>
  <c r="P1927" i="2"/>
  <c r="P1997" i="2"/>
  <c r="P2360" i="2"/>
  <c r="P2375" i="2"/>
  <c r="P2429" i="2"/>
  <c r="P2717" i="2"/>
  <c r="P2863" i="2"/>
  <c r="P2865" i="2"/>
  <c r="P2928" i="2"/>
  <c r="P3136" i="2"/>
  <c r="P3177" i="2"/>
  <c r="P3709" i="2"/>
  <c r="P4218" i="2"/>
  <c r="P4236" i="2"/>
  <c r="P4254" i="2"/>
  <c r="P4272" i="2"/>
  <c r="P4290" i="2"/>
  <c r="P4308" i="2"/>
  <c r="P4326" i="2"/>
  <c r="P4011" i="2"/>
  <c r="P4452" i="2"/>
  <c r="P4768" i="2"/>
  <c r="P4489" i="2"/>
  <c r="P4796" i="2"/>
  <c r="P4808" i="2"/>
  <c r="P4820" i="2"/>
  <c r="P4832" i="2"/>
  <c r="P4844" i="2"/>
  <c r="P4856" i="2"/>
  <c r="P4895" i="2"/>
  <c r="P5399" i="2"/>
  <c r="P6421" i="2"/>
  <c r="P6929" i="2"/>
  <c r="P501" i="2"/>
  <c r="P956" i="2"/>
  <c r="P1756" i="2"/>
  <c r="P2391" i="2"/>
  <c r="P3174" i="2"/>
  <c r="P3170" i="2"/>
  <c r="P3342" i="2"/>
  <c r="P3345" i="2"/>
  <c r="P5183" i="2"/>
  <c r="P5498" i="2"/>
  <c r="P5503" i="2"/>
  <c r="P7174" i="2"/>
  <c r="P7056" i="2"/>
  <c r="P1063" i="2"/>
  <c r="P318" i="2"/>
  <c r="P408" i="2"/>
  <c r="P438" i="2"/>
  <c r="P712" i="2"/>
  <c r="P806" i="2"/>
  <c r="P1065" i="2"/>
  <c r="P993" i="2"/>
  <c r="P1145" i="2"/>
  <c r="P1266" i="2"/>
  <c r="P1576" i="2"/>
  <c r="P1779" i="2"/>
  <c r="P1628" i="2"/>
  <c r="P1687" i="2"/>
  <c r="P1780" i="2"/>
  <c r="P1909" i="2"/>
  <c r="P2068" i="2"/>
  <c r="P2055" i="2"/>
  <c r="P2097" i="2"/>
  <c r="P2472" i="2"/>
  <c r="P2412" i="2"/>
  <c r="P2721" i="2"/>
  <c r="P2965" i="2"/>
  <c r="P3076" i="2"/>
  <c r="P2874" i="2"/>
  <c r="P3064" i="2"/>
  <c r="P3272" i="2"/>
  <c r="P3148" i="2"/>
  <c r="P3744" i="2"/>
  <c r="P4035" i="2"/>
  <c r="P4221" i="2"/>
  <c r="P4239" i="2"/>
  <c r="P4257" i="2"/>
  <c r="P4275" i="2"/>
  <c r="P4293" i="2"/>
  <c r="P4311" i="2"/>
  <c r="P4329" i="2"/>
  <c r="P4892" i="2"/>
  <c r="P5432" i="2"/>
  <c r="P6475" i="2"/>
  <c r="P697" i="2"/>
  <c r="P981" i="2"/>
  <c r="P2042" i="2"/>
  <c r="P2434" i="2"/>
  <c r="P2410" i="2"/>
  <c r="P2322" i="2"/>
  <c r="P2774" i="2"/>
  <c r="P3363" i="2"/>
  <c r="P3461" i="2"/>
  <c r="P4651" i="2"/>
  <c r="P4619" i="2"/>
  <c r="P5455" i="2"/>
  <c r="P5518" i="2"/>
  <c r="P4635" i="2"/>
  <c r="P6502" i="2"/>
  <c r="P7168" i="2"/>
  <c r="P6996" i="2"/>
  <c r="P7012" i="2"/>
  <c r="P7126" i="2"/>
  <c r="P3171" i="2"/>
  <c r="P4716" i="2"/>
  <c r="P4764" i="2"/>
  <c r="P5872" i="2"/>
  <c r="P6519" i="2"/>
  <c r="P5446" i="2"/>
  <c r="P5474" i="2"/>
  <c r="P6948" i="2"/>
  <c r="P7044" i="2"/>
  <c r="P1879" i="2"/>
  <c r="P4672" i="2"/>
  <c r="P4683" i="2"/>
  <c r="P4800" i="2"/>
  <c r="P4812" i="2"/>
  <c r="P4824" i="2"/>
  <c r="P4836" i="2"/>
  <c r="P4848" i="2"/>
  <c r="P4860" i="2"/>
  <c r="P4879" i="2"/>
  <c r="P5237" i="2"/>
  <c r="P4877" i="2"/>
  <c r="P5172" i="2"/>
  <c r="P5245" i="2"/>
  <c r="P5209" i="2"/>
  <c r="P272" i="2"/>
  <c r="P631" i="2"/>
  <c r="P807" i="2"/>
  <c r="P1124" i="2"/>
  <c r="P1228" i="2"/>
  <c r="P1173" i="2"/>
  <c r="P1151" i="2"/>
  <c r="P1778" i="2"/>
  <c r="P1945" i="2"/>
  <c r="P2032" i="2"/>
  <c r="P2465" i="2"/>
  <c r="P2477" i="2"/>
  <c r="P2793" i="2"/>
  <c r="P2999" i="2"/>
  <c r="P3082" i="2"/>
  <c r="P3130" i="2"/>
  <c r="P3165" i="2"/>
  <c r="P3108" i="2"/>
  <c r="P3520" i="2"/>
  <c r="P3882" i="2"/>
  <c r="P3808" i="2"/>
  <c r="P3826" i="2"/>
  <c r="P3844" i="2"/>
  <c r="P3862" i="2"/>
  <c r="P3780" i="2"/>
  <c r="P3798" i="2"/>
  <c r="P3816" i="2"/>
  <c r="P3834" i="2"/>
  <c r="P3852" i="2"/>
  <c r="P3870" i="2"/>
  <c r="P4024" i="2"/>
  <c r="P846" i="2"/>
  <c r="P2002" i="2"/>
  <c r="P2868" i="2"/>
  <c r="P2904" i="2"/>
  <c r="P4704" i="2"/>
  <c r="P449" i="2"/>
  <c r="P305" i="2"/>
  <c r="P461" i="2"/>
  <c r="P623" i="2"/>
  <c r="P567" i="2"/>
  <c r="P715" i="2"/>
  <c r="P1081" i="2"/>
  <c r="P1133" i="2"/>
  <c r="P1127" i="2"/>
  <c r="P1142" i="2"/>
  <c r="P1552" i="2"/>
  <c r="P1770" i="2"/>
  <c r="P1857" i="2"/>
  <c r="P1771" i="2"/>
  <c r="P2005" i="2"/>
  <c r="P2193" i="2"/>
  <c r="P2205" i="2"/>
  <c r="P2381" i="2"/>
  <c r="P3172" i="2"/>
  <c r="P3220" i="2"/>
  <c r="P3060" i="2"/>
  <c r="P3124" i="2"/>
  <c r="P3184" i="2"/>
  <c r="P3141" i="2"/>
  <c r="P3587" i="2"/>
  <c r="P3886" i="2"/>
  <c r="P3811" i="2"/>
  <c r="P3829" i="2"/>
  <c r="P3847" i="2"/>
  <c r="P3865" i="2"/>
  <c r="P3783" i="2"/>
  <c r="P3801" i="2"/>
  <c r="P3819" i="2"/>
  <c r="P3837" i="2"/>
  <c r="P3855" i="2"/>
  <c r="P3873" i="2"/>
  <c r="P4000" i="2"/>
  <c r="P4698" i="2"/>
  <c r="P4893" i="2"/>
  <c r="P4876" i="2"/>
  <c r="P5196" i="2"/>
  <c r="P5233" i="2"/>
  <c r="P5184" i="2"/>
  <c r="P5447" i="2"/>
  <c r="P6484" i="2"/>
  <c r="P131" i="2"/>
  <c r="P284" i="2"/>
  <c r="P564" i="2"/>
  <c r="P724" i="2"/>
  <c r="P676" i="2"/>
  <c r="P852" i="2"/>
  <c r="P836" i="2"/>
  <c r="P1105" i="2"/>
  <c r="P1083" i="2"/>
  <c r="P1075" i="2"/>
  <c r="P1177" i="2"/>
  <c r="P1185" i="2"/>
  <c r="P1229" i="2"/>
  <c r="P1190" i="2"/>
  <c r="P1769" i="2"/>
  <c r="P2220" i="2"/>
  <c r="P2226" i="2"/>
  <c r="P2232" i="2"/>
  <c r="P2238" i="2"/>
  <c r="P2387" i="2"/>
  <c r="P2217" i="2"/>
  <c r="P2223" i="2"/>
  <c r="P2229" i="2"/>
  <c r="P2235" i="2"/>
  <c r="P2241" i="2"/>
  <c r="P2400" i="2"/>
  <c r="P2892" i="2"/>
  <c r="P2923" i="2"/>
  <c r="P2907" i="2"/>
  <c r="P2983" i="2"/>
  <c r="P3153" i="2"/>
  <c r="P3142" i="2"/>
  <c r="P3236" i="2"/>
  <c r="P3066" i="2"/>
  <c r="P3544" i="2"/>
  <c r="P3876" i="2"/>
  <c r="P3773" i="2"/>
  <c r="P3791" i="2"/>
  <c r="P3809" i="2"/>
  <c r="P3827" i="2"/>
  <c r="P3845" i="2"/>
  <c r="P3863" i="2"/>
  <c r="P3883" i="2"/>
  <c r="P3928" i="2"/>
  <c r="P4792" i="2"/>
  <c r="P4804" i="2"/>
  <c r="P4816" i="2"/>
  <c r="P4828" i="2"/>
  <c r="P4840" i="2"/>
  <c r="P4852" i="2"/>
  <c r="P4864" i="2"/>
  <c r="P4891" i="2"/>
  <c r="P4889" i="2"/>
  <c r="P5197" i="2"/>
  <c r="P5285" i="2"/>
  <c r="P5339" i="2"/>
  <c r="P5315" i="2"/>
  <c r="P5393" i="2"/>
  <c r="P5309" i="2"/>
  <c r="P5375" i="2"/>
  <c r="P6499" i="2"/>
  <c r="P6460" i="2"/>
  <c r="P3094" i="2"/>
  <c r="P4793" i="2"/>
  <c r="P4805" i="2"/>
  <c r="P4817" i="2"/>
  <c r="P4829" i="2"/>
  <c r="P4841" i="2"/>
  <c r="P4853" i="2"/>
  <c r="P4865" i="2"/>
  <c r="P4668" i="2"/>
  <c r="P6427" i="2"/>
  <c r="P576" i="2"/>
  <c r="P616" i="2"/>
  <c r="P570" i="2"/>
  <c r="P826" i="2"/>
  <c r="P842" i="2"/>
  <c r="P1003" i="2"/>
  <c r="P1189" i="2"/>
  <c r="P1161" i="2"/>
  <c r="P1197" i="2"/>
  <c r="P1860" i="2"/>
  <c r="P2027" i="2"/>
  <c r="P2440" i="2"/>
  <c r="P2496" i="2"/>
  <c r="P2490" i="2"/>
  <c r="P2502" i="2"/>
  <c r="P2875" i="2"/>
  <c r="P2898" i="2"/>
  <c r="P3166" i="2"/>
  <c r="P3230" i="2"/>
  <c r="P3072" i="2"/>
  <c r="P3232" i="2"/>
  <c r="P3202" i="2"/>
  <c r="P3231" i="2"/>
  <c r="P3532" i="2"/>
  <c r="P3880" i="2"/>
  <c r="P3776" i="2"/>
  <c r="P3794" i="2"/>
  <c r="P3812" i="2"/>
  <c r="P3830" i="2"/>
  <c r="P3848" i="2"/>
  <c r="P3866" i="2"/>
  <c r="P3887" i="2"/>
  <c r="P4696" i="2"/>
  <c r="P4755" i="2"/>
  <c r="P4794" i="2"/>
  <c r="P4806" i="2"/>
  <c r="P4818" i="2"/>
  <c r="P4830" i="2"/>
  <c r="P4842" i="2"/>
  <c r="P4854" i="2"/>
  <c r="P4866" i="2"/>
  <c r="P4886" i="2"/>
  <c r="P5125" i="2"/>
  <c r="P4734" i="2"/>
  <c r="P4878" i="2"/>
  <c r="P4887" i="2"/>
  <c r="P5104" i="2"/>
  <c r="P4884" i="2"/>
  <c r="P5161" i="2"/>
  <c r="P6439" i="2"/>
  <c r="P6511" i="2"/>
  <c r="P6418" i="2"/>
  <c r="P6496" i="2"/>
  <c r="P7225" i="2"/>
  <c r="P496" i="2"/>
  <c r="P829" i="2"/>
  <c r="P1022" i="2"/>
  <c r="P2085" i="2"/>
  <c r="P3100" i="2"/>
  <c r="P4661" i="2"/>
  <c r="P5381" i="2"/>
  <c r="P5405" i="2"/>
  <c r="P6422" i="2"/>
  <c r="P832" i="2"/>
  <c r="P992" i="2"/>
  <c r="P1115" i="2"/>
  <c r="P1006" i="2"/>
  <c r="P1154" i="2"/>
  <c r="P1164" i="2"/>
  <c r="P1773" i="2"/>
  <c r="P2219" i="2"/>
  <c r="P2225" i="2"/>
  <c r="P2231" i="2"/>
  <c r="P2237" i="2"/>
  <c r="P2243" i="2"/>
  <c r="P2829" i="2"/>
  <c r="P2925" i="2"/>
  <c r="P3575" i="2"/>
  <c r="P3599" i="2"/>
  <c r="P3884" i="2"/>
  <c r="P3779" i="2"/>
  <c r="P3797" i="2"/>
  <c r="P3815" i="2"/>
  <c r="P3833" i="2"/>
  <c r="P3851" i="2"/>
  <c r="P3869" i="2"/>
  <c r="P3766" i="2"/>
  <c r="P3778" i="2"/>
  <c r="P3790" i="2"/>
  <c r="P3802" i="2"/>
  <c r="P3568" i="2"/>
  <c r="P3556" i="2"/>
  <c r="P4680" i="2"/>
  <c r="P4728" i="2"/>
  <c r="P4776" i="2"/>
  <c r="P5112" i="2"/>
  <c r="P5116" i="2"/>
  <c r="P5450" i="2"/>
  <c r="P6428" i="2"/>
  <c r="P7237" i="2"/>
  <c r="P7309" i="2"/>
  <c r="P6508" i="2"/>
  <c r="P253" i="2"/>
  <c r="P558" i="2"/>
  <c r="P599" i="2"/>
  <c r="P682" i="2"/>
  <c r="P595" i="2"/>
  <c r="P835" i="2"/>
  <c r="P831" i="2"/>
  <c r="P1093" i="2"/>
  <c r="P1087" i="2"/>
  <c r="P1130" i="2"/>
  <c r="P1117" i="2"/>
  <c r="P1777" i="2"/>
  <c r="P1827" i="2"/>
  <c r="P2029" i="2"/>
  <c r="P2031" i="2"/>
  <c r="P2366" i="2"/>
  <c r="P2424" i="2"/>
  <c r="P2916" i="2"/>
  <c r="P2913" i="2"/>
  <c r="P2883" i="2"/>
  <c r="P3106" i="2"/>
  <c r="P3189" i="2"/>
  <c r="P3084" i="2"/>
  <c r="P3117" i="2"/>
  <c r="P3129" i="2"/>
  <c r="P3196" i="2"/>
  <c r="P3208" i="2"/>
  <c r="P3178" i="2"/>
  <c r="P3820" i="2"/>
  <c r="P3838" i="2"/>
  <c r="P3856" i="2"/>
  <c r="P3874" i="2"/>
  <c r="P3774" i="2"/>
  <c r="P3792" i="2"/>
  <c r="P3810" i="2"/>
  <c r="P3828" i="2"/>
  <c r="P3846" i="2"/>
  <c r="P3864" i="2"/>
  <c r="P4708" i="2"/>
  <c r="P4780" i="2"/>
  <c r="P4671" i="2"/>
  <c r="P4719" i="2"/>
  <c r="P4767" i="2"/>
  <c r="P4797" i="2"/>
  <c r="P4809" i="2"/>
  <c r="P4821" i="2"/>
  <c r="P4833" i="2"/>
  <c r="P4845" i="2"/>
  <c r="P4857" i="2"/>
  <c r="P5201" i="2"/>
  <c r="P508" i="2"/>
  <c r="P252" i="2"/>
  <c r="P257" i="2"/>
  <c r="P278" i="2"/>
  <c r="P507" i="2"/>
  <c r="P600" i="2"/>
  <c r="P655" i="2"/>
  <c r="P619" i="2"/>
  <c r="P660" i="2"/>
  <c r="P834" i="2"/>
  <c r="P819" i="2"/>
  <c r="P795" i="2"/>
  <c r="P1069" i="2"/>
  <c r="P1077" i="2"/>
  <c r="P1059" i="2"/>
  <c r="P1160" i="2"/>
  <c r="P1181" i="2"/>
  <c r="P1217" i="2"/>
  <c r="P1264" i="2"/>
  <c r="P1558" i="2"/>
  <c r="P1776" i="2"/>
  <c r="P1885" i="2"/>
  <c r="P1830" i="2"/>
  <c r="P1862" i="2"/>
  <c r="P2041" i="2"/>
  <c r="P1979" i="2"/>
  <c r="P2109" i="2"/>
  <c r="P2372" i="2"/>
  <c r="P2471" i="2"/>
  <c r="P2448" i="2"/>
  <c r="P2841" i="2"/>
  <c r="P2893" i="2"/>
  <c r="P3078" i="2"/>
  <c r="P3190" i="2"/>
  <c r="P3782" i="2"/>
  <c r="P3800" i="2"/>
  <c r="P3818" i="2"/>
  <c r="P3836" i="2"/>
  <c r="P3854" i="2"/>
  <c r="P3872" i="2"/>
  <c r="P3877" i="2"/>
  <c r="P3594" i="2"/>
  <c r="P4898" i="2"/>
  <c r="P4722" i="2"/>
  <c r="P4890" i="2"/>
  <c r="P4885" i="2"/>
  <c r="P4880" i="2"/>
  <c r="P5213" i="2"/>
  <c r="P4896" i="2"/>
  <c r="P5128" i="2"/>
  <c r="P5387" i="2"/>
  <c r="P5420" i="2"/>
  <c r="P5423" i="2"/>
  <c r="P6463" i="2"/>
  <c r="P6483" i="2"/>
  <c r="P7177" i="2"/>
  <c r="P7115" i="2"/>
  <c r="P7163" i="2"/>
  <c r="P7211" i="2"/>
  <c r="P7259" i="2"/>
  <c r="P841" i="2"/>
  <c r="P1868" i="2"/>
  <c r="P2378" i="2"/>
  <c r="P2417" i="2"/>
  <c r="P2922" i="2"/>
  <c r="P4692" i="2"/>
  <c r="P4788" i="2"/>
  <c r="P5106" i="2"/>
  <c r="P5427" i="2"/>
  <c r="P5363" i="2"/>
  <c r="P5415" i="2"/>
  <c r="F7619" i="2"/>
  <c r="A7619" i="2"/>
  <c r="A7595" i="2"/>
  <c r="F7602" i="2"/>
  <c r="F7609" i="2"/>
  <c r="A7594" i="2"/>
  <c r="F7618" i="2"/>
  <c r="F7606" i="2"/>
  <c r="A7592" i="2"/>
  <c r="F7594" i="2"/>
  <c r="A7614" i="2"/>
  <c r="A7607" i="2"/>
  <c r="F7614" i="2"/>
  <c r="A7610" i="2"/>
  <c r="A7603" i="2"/>
  <c r="A7591" i="2"/>
  <c r="F7610" i="2"/>
  <c r="A7618" i="2"/>
  <c r="A7611" i="2"/>
  <c r="A7606" i="2"/>
  <c r="A7620" i="2"/>
  <c r="A7604" i="2"/>
  <c r="A7608" i="2"/>
  <c r="A7612" i="2"/>
  <c r="A7596" i="2"/>
  <c r="A7616" i="2"/>
  <c r="A7600" i="2"/>
  <c r="F7613" i="2"/>
  <c r="F7601" i="2"/>
  <c r="F7621" i="2"/>
  <c r="F7617" i="2"/>
  <c r="F7605" i="2"/>
  <c r="F7597" i="2"/>
  <c r="F7593" i="2"/>
  <c r="A7621" i="2"/>
  <c r="A7617" i="2"/>
  <c r="A7613" i="2"/>
  <c r="A7609" i="2"/>
  <c r="A7605" i="2"/>
  <c r="A7601" i="2"/>
  <c r="A7597" i="2"/>
  <c r="A7593" i="2"/>
  <c r="F7620" i="2"/>
  <c r="F7616" i="2"/>
  <c r="F7612" i="2"/>
  <c r="F7608" i="2"/>
  <c r="F7604" i="2"/>
  <c r="F7600" i="2"/>
  <c r="F7596" i="2"/>
  <c r="A7590" i="2"/>
  <c r="G7559" i="2"/>
  <c r="G7560" i="2"/>
  <c r="G7561" i="2"/>
  <c r="H7561" i="2" s="1"/>
  <c r="G7562" i="2"/>
  <c r="G7563" i="2"/>
  <c r="G7564" i="2"/>
  <c r="G7565" i="2"/>
  <c r="H7565" i="2" s="1"/>
  <c r="G7566" i="2"/>
  <c r="G7567" i="2"/>
  <c r="G7568" i="2"/>
  <c r="G7569" i="2"/>
  <c r="H7569" i="2" s="1"/>
  <c r="G7570" i="2"/>
  <c r="H7570" i="2" s="1"/>
  <c r="G7571" i="2"/>
  <c r="G7572" i="2"/>
  <c r="G7573" i="2"/>
  <c r="H7573" i="2" s="1"/>
  <c r="G7574" i="2"/>
  <c r="A7574" i="2" s="1"/>
  <c r="G7575" i="2"/>
  <c r="G7576" i="2"/>
  <c r="G7577" i="2"/>
  <c r="G7578" i="2"/>
  <c r="G7579" i="2"/>
  <c r="A7579" i="2" s="1"/>
  <c r="G7580" i="2"/>
  <c r="H7580" i="2" s="1"/>
  <c r="G7581" i="2"/>
  <c r="G7582" i="2"/>
  <c r="H7582" i="2" s="1"/>
  <c r="G7583" i="2"/>
  <c r="G7584" i="2"/>
  <c r="H7584" i="2" s="1"/>
  <c r="G7585" i="2"/>
  <c r="H7585" i="2" s="1"/>
  <c r="G7586" i="2"/>
  <c r="G7587" i="2"/>
  <c r="G7588" i="2"/>
  <c r="G7589" i="2"/>
  <c r="G7558" i="2"/>
  <c r="F7581" i="2" l="1"/>
  <c r="H7581" i="2"/>
  <c r="F7571" i="2"/>
  <c r="H7571" i="2"/>
  <c r="F7560" i="2"/>
  <c r="H7560" i="2"/>
  <c r="F7562" i="2"/>
  <c r="H7562" i="2"/>
  <c r="F7572" i="2"/>
  <c r="H7572" i="2"/>
  <c r="F7559" i="2"/>
  <c r="H7559" i="2"/>
  <c r="F7579" i="2"/>
  <c r="H7579" i="2"/>
  <c r="F7568" i="2"/>
  <c r="H7568" i="2"/>
  <c r="F7558" i="2"/>
  <c r="H7558" i="2"/>
  <c r="F7583" i="2"/>
  <c r="H7583" i="2"/>
  <c r="F7589" i="2"/>
  <c r="H7589" i="2"/>
  <c r="F7578" i="2"/>
  <c r="H7578" i="2"/>
  <c r="F7567" i="2"/>
  <c r="H7567" i="2"/>
  <c r="F7588" i="2"/>
  <c r="H7588" i="2"/>
  <c r="F7577" i="2"/>
  <c r="H7577" i="2"/>
  <c r="F7566" i="2"/>
  <c r="H7566" i="2"/>
  <c r="F7587" i="2"/>
  <c r="H7587" i="2"/>
  <c r="F7576" i="2"/>
  <c r="H7576" i="2"/>
  <c r="F7586" i="2"/>
  <c r="H7586" i="2"/>
  <c r="F7575" i="2"/>
  <c r="H7575" i="2"/>
  <c r="F7564" i="2"/>
  <c r="H7564" i="2"/>
  <c r="F7563" i="2"/>
  <c r="H7563" i="2"/>
  <c r="F7574" i="2"/>
  <c r="H7574" i="2"/>
  <c r="A7562" i="2"/>
  <c r="A7584" i="2"/>
  <c r="A7568" i="2"/>
  <c r="A7571" i="2"/>
  <c r="A7567" i="2"/>
  <c r="A7559" i="2"/>
  <c r="A7578" i="2"/>
  <c r="A7587" i="2"/>
  <c r="A7566" i="2"/>
  <c r="F7570" i="2"/>
  <c r="A7588" i="2"/>
  <c r="A7570" i="2"/>
  <c r="F7582" i="2"/>
  <c r="A7572" i="2"/>
  <c r="A7586" i="2"/>
  <c r="A7563" i="2"/>
  <c r="A7582" i="2"/>
  <c r="A7575" i="2"/>
  <c r="A7580" i="2"/>
  <c r="A7585" i="2"/>
  <c r="A7573" i="2"/>
  <c r="A7569" i="2"/>
  <c r="A7565" i="2"/>
  <c r="F7584" i="2"/>
  <c r="A7561" i="2"/>
  <c r="A7576" i="2"/>
  <c r="A7560" i="2"/>
  <c r="F7580" i="2"/>
  <c r="F7573" i="2"/>
  <c r="F7569" i="2"/>
  <c r="F7565" i="2"/>
  <c r="F7561" i="2"/>
  <c r="A7583" i="2"/>
  <c r="F7585" i="2"/>
  <c r="A7581" i="2"/>
  <c r="A7577" i="2"/>
  <c r="A7564" i="2"/>
  <c r="A7589" i="2"/>
  <c r="A7558" i="2"/>
  <c r="G7527" i="2"/>
  <c r="H7527" i="2" s="1"/>
  <c r="G7528" i="2"/>
  <c r="A7528" i="2" s="1"/>
  <c r="G7529" i="2"/>
  <c r="G7530" i="2"/>
  <c r="H7530" i="2" s="1"/>
  <c r="G7531" i="2"/>
  <c r="H7531" i="2" s="1"/>
  <c r="G7532" i="2"/>
  <c r="G7533" i="2"/>
  <c r="G7534" i="2"/>
  <c r="H7534" i="2" s="1"/>
  <c r="G7535" i="2"/>
  <c r="G7536" i="2"/>
  <c r="G7537" i="2"/>
  <c r="G7538" i="2"/>
  <c r="H7538" i="2" s="1"/>
  <c r="G7539" i="2"/>
  <c r="H7539" i="2" s="1"/>
  <c r="G7540" i="2"/>
  <c r="G7541" i="2"/>
  <c r="G7542" i="2"/>
  <c r="H7542" i="2" s="1"/>
  <c r="G7543" i="2"/>
  <c r="G7544" i="2"/>
  <c r="G7545" i="2"/>
  <c r="G7546" i="2"/>
  <c r="H7546" i="2" s="1"/>
  <c r="G7547" i="2"/>
  <c r="G7548" i="2"/>
  <c r="G7549" i="2"/>
  <c r="G7550" i="2"/>
  <c r="H7550" i="2" s="1"/>
  <c r="G7551" i="2"/>
  <c r="G7552" i="2"/>
  <c r="G7553" i="2"/>
  <c r="G7554" i="2"/>
  <c r="H7554" i="2" s="1"/>
  <c r="G7555" i="2"/>
  <c r="H7555" i="2" s="1"/>
  <c r="G7556" i="2"/>
  <c r="G7557" i="2"/>
  <c r="G7526" i="2"/>
  <c r="A7539" i="2" l="1"/>
  <c r="F7539" i="2"/>
  <c r="F7543" i="2"/>
  <c r="H7543" i="2"/>
  <c r="F7541" i="2"/>
  <c r="H7541" i="2"/>
  <c r="F7533" i="2"/>
  <c r="H7533" i="2"/>
  <c r="F7532" i="2"/>
  <c r="H7532" i="2"/>
  <c r="F7553" i="2"/>
  <c r="H7553" i="2"/>
  <c r="F7552" i="2"/>
  <c r="H7552" i="2"/>
  <c r="F7540" i="2"/>
  <c r="H7540" i="2"/>
  <c r="F7544" i="2"/>
  <c r="H7544" i="2"/>
  <c r="F7551" i="2"/>
  <c r="H7551" i="2"/>
  <c r="F7529" i="2"/>
  <c r="H7529" i="2"/>
  <c r="F7548" i="2"/>
  <c r="H7548" i="2"/>
  <c r="A7527" i="2"/>
  <c r="F7556" i="2"/>
  <c r="H7556" i="2"/>
  <c r="F7549" i="2"/>
  <c r="H7549" i="2"/>
  <c r="F7528" i="2"/>
  <c r="H7528" i="2"/>
  <c r="F7547" i="2"/>
  <c r="H7547" i="2"/>
  <c r="F7526" i="2"/>
  <c r="H7526" i="2"/>
  <c r="F7537" i="2"/>
  <c r="H7537" i="2"/>
  <c r="F7557" i="2"/>
  <c r="H7557" i="2"/>
  <c r="F7536" i="2"/>
  <c r="H7536" i="2"/>
  <c r="F7527" i="2"/>
  <c r="A7556" i="2"/>
  <c r="F7545" i="2"/>
  <c r="H7545" i="2"/>
  <c r="F7535" i="2"/>
  <c r="H7535" i="2"/>
  <c r="A7544" i="2"/>
  <c r="A7538" i="2"/>
  <c r="A7532" i="2"/>
  <c r="A7549" i="2"/>
  <c r="F7530" i="2"/>
  <c r="A7554" i="2"/>
  <c r="A7548" i="2"/>
  <c r="A7537" i="2"/>
  <c r="A7533" i="2"/>
  <c r="A7531" i="2"/>
  <c r="F7531" i="2"/>
  <c r="A7540" i="2"/>
  <c r="A7555" i="2"/>
  <c r="F7555" i="2"/>
  <c r="A7547" i="2"/>
  <c r="F7534" i="2"/>
  <c r="A7535" i="2"/>
  <c r="A7530" i="2"/>
  <c r="A7551" i="2"/>
  <c r="A7552" i="2"/>
  <c r="A7536" i="2"/>
  <c r="A7543" i="2"/>
  <c r="A7553" i="2"/>
  <c r="A7542" i="2"/>
  <c r="F7550" i="2"/>
  <c r="F7546" i="2"/>
  <c r="F7542" i="2"/>
  <c r="F7538" i="2"/>
  <c r="F7554" i="2"/>
  <c r="A7557" i="2"/>
  <c r="A7546" i="2"/>
  <c r="A7541" i="2"/>
  <c r="A7550" i="2"/>
  <c r="A7545" i="2"/>
  <c r="A7534" i="2"/>
  <c r="A7529" i="2"/>
  <c r="A7526" i="2"/>
  <c r="G7495" i="2"/>
  <c r="G7496" i="2"/>
  <c r="G7497" i="2"/>
  <c r="H7497" i="2" s="1"/>
  <c r="G7498" i="2"/>
  <c r="G7499" i="2"/>
  <c r="A7499" i="2" s="1"/>
  <c r="G7500" i="2"/>
  <c r="G7501" i="2"/>
  <c r="H7501" i="2" s="1"/>
  <c r="G7502" i="2"/>
  <c r="H7502" i="2" s="1"/>
  <c r="G7503" i="2"/>
  <c r="G7504" i="2"/>
  <c r="G7505" i="2"/>
  <c r="H7505" i="2" s="1"/>
  <c r="G7506" i="2"/>
  <c r="H7506" i="2" s="1"/>
  <c r="G7507" i="2"/>
  <c r="G7508" i="2"/>
  <c r="G7509" i="2"/>
  <c r="H7509" i="2" s="1"/>
  <c r="G7510" i="2"/>
  <c r="G7511" i="2"/>
  <c r="G7512" i="2"/>
  <c r="G7513" i="2"/>
  <c r="H7513" i="2" s="1"/>
  <c r="G7514" i="2"/>
  <c r="G7515" i="2"/>
  <c r="G7516" i="2"/>
  <c r="G7517" i="2"/>
  <c r="H7517" i="2" s="1"/>
  <c r="G7518" i="2"/>
  <c r="H7518" i="2" s="1"/>
  <c r="G7519" i="2"/>
  <c r="G7520" i="2"/>
  <c r="G7521" i="2"/>
  <c r="H7521" i="2" s="1"/>
  <c r="G7522" i="2"/>
  <c r="G7523" i="2"/>
  <c r="G7524" i="2"/>
  <c r="G7525" i="2"/>
  <c r="H7525" i="2" s="1"/>
  <c r="G7494" i="2"/>
  <c r="A7509" i="2" l="1"/>
  <c r="A7497" i="2"/>
  <c r="A7506" i="2"/>
  <c r="F7518" i="2"/>
  <c r="A7518" i="2"/>
  <c r="F7506" i="2"/>
  <c r="F7497" i="2"/>
  <c r="F7523" i="2"/>
  <c r="H7523" i="2"/>
  <c r="F7504" i="2"/>
  <c r="H7504" i="2"/>
  <c r="F7520" i="2"/>
  <c r="H7520" i="2"/>
  <c r="F7510" i="2"/>
  <c r="H7510" i="2"/>
  <c r="F7519" i="2"/>
  <c r="H7519" i="2"/>
  <c r="F7503" i="2"/>
  <c r="H7503" i="2"/>
  <c r="F7511" i="2"/>
  <c r="H7511" i="2"/>
  <c r="F7500" i="2"/>
  <c r="H7500" i="2"/>
  <c r="F7508" i="2"/>
  <c r="H7508" i="2"/>
  <c r="F7499" i="2"/>
  <c r="H7499" i="2"/>
  <c r="F7512" i="2"/>
  <c r="H7512" i="2"/>
  <c r="F7495" i="2"/>
  <c r="H7495" i="2"/>
  <c r="F7507" i="2"/>
  <c r="H7507" i="2"/>
  <c r="F7498" i="2"/>
  <c r="H7498" i="2"/>
  <c r="F7522" i="2"/>
  <c r="H7522" i="2"/>
  <c r="F7494" i="2"/>
  <c r="H7494" i="2"/>
  <c r="A7525" i="2"/>
  <c r="F7516" i="2"/>
  <c r="H7516" i="2"/>
  <c r="F7515" i="2"/>
  <c r="H7515" i="2"/>
  <c r="F7496" i="2"/>
  <c r="H7496" i="2"/>
  <c r="F7524" i="2"/>
  <c r="H7524" i="2"/>
  <c r="F7514" i="2"/>
  <c r="H7514" i="2"/>
  <c r="A7496" i="2"/>
  <c r="A7512" i="2"/>
  <c r="A7500" i="2"/>
  <c r="A7495" i="2"/>
  <c r="A7521" i="2"/>
  <c r="A7517" i="2"/>
  <c r="A7515" i="2"/>
  <c r="A7504" i="2"/>
  <c r="A7524" i="2"/>
  <c r="A7522" i="2"/>
  <c r="A7513" i="2"/>
  <c r="A7511" i="2"/>
  <c r="F7502" i="2"/>
  <c r="A7516" i="2"/>
  <c r="A7503" i="2"/>
  <c r="A7514" i="2"/>
  <c r="A7510" i="2"/>
  <c r="A7505" i="2"/>
  <c r="A7498" i="2"/>
  <c r="F7505" i="2"/>
  <c r="F7517" i="2"/>
  <c r="A7520" i="2"/>
  <c r="A7508" i="2"/>
  <c r="A7501" i="2"/>
  <c r="A7523" i="2"/>
  <c r="F7525" i="2"/>
  <c r="F7513" i="2"/>
  <c r="F7501" i="2"/>
  <c r="A7502" i="2"/>
  <c r="A7519" i="2"/>
  <c r="A7507" i="2"/>
  <c r="F7521" i="2"/>
  <c r="F7509" i="2"/>
  <c r="A7494" i="2"/>
  <c r="G7463" i="2"/>
  <c r="G7464" i="2"/>
  <c r="G7465" i="2"/>
  <c r="H7465" i="2" s="1"/>
  <c r="G7466" i="2"/>
  <c r="H7466" i="2" s="1"/>
  <c r="G7467" i="2"/>
  <c r="H7467" i="2" s="1"/>
  <c r="G7468" i="2"/>
  <c r="G7469" i="2"/>
  <c r="H7469" i="2" s="1"/>
  <c r="G7470" i="2"/>
  <c r="H7470" i="2" s="1"/>
  <c r="G7471" i="2"/>
  <c r="H7471" i="2" s="1"/>
  <c r="G7472" i="2"/>
  <c r="G7473" i="2"/>
  <c r="H7473" i="2" s="1"/>
  <c r="G7474" i="2"/>
  <c r="H7474" i="2" s="1"/>
  <c r="G7475" i="2"/>
  <c r="H7475" i="2" s="1"/>
  <c r="G7476" i="2"/>
  <c r="A7476" i="2" s="1"/>
  <c r="G7477" i="2"/>
  <c r="H7477" i="2" s="1"/>
  <c r="G7478" i="2"/>
  <c r="H7478" i="2" s="1"/>
  <c r="G7479" i="2"/>
  <c r="G7480" i="2"/>
  <c r="G7481" i="2"/>
  <c r="H7481" i="2" s="1"/>
  <c r="G7482" i="2"/>
  <c r="H7482" i="2" s="1"/>
  <c r="G7483" i="2"/>
  <c r="G7484" i="2"/>
  <c r="G7485" i="2"/>
  <c r="H7485" i="2" s="1"/>
  <c r="G7486" i="2"/>
  <c r="H7486" i="2" s="1"/>
  <c r="G7487" i="2"/>
  <c r="G7488" i="2"/>
  <c r="A7488" i="2"/>
  <c r="G7489" i="2"/>
  <c r="H7489" i="2" s="1"/>
  <c r="G7490" i="2"/>
  <c r="H7490" i="2" s="1"/>
  <c r="G7491" i="2"/>
  <c r="G7492" i="2"/>
  <c r="G7493" i="2"/>
  <c r="H7493" i="2" s="1"/>
  <c r="G7462" i="2"/>
  <c r="A7485" i="2" l="1"/>
  <c r="A7489" i="2"/>
  <c r="F7468" i="2"/>
  <c r="H7468" i="2"/>
  <c r="F7479" i="2"/>
  <c r="H7479" i="2"/>
  <c r="F7487" i="2"/>
  <c r="H7487" i="2"/>
  <c r="A7486" i="2"/>
  <c r="F7483" i="2"/>
  <c r="H7483" i="2"/>
  <c r="F7488" i="2"/>
  <c r="H7488" i="2"/>
  <c r="F7476" i="2"/>
  <c r="H7476" i="2"/>
  <c r="A7465" i="2"/>
  <c r="F7464" i="2"/>
  <c r="H7464" i="2"/>
  <c r="F7491" i="2"/>
  <c r="H7491" i="2"/>
  <c r="F7462" i="2"/>
  <c r="H7462" i="2"/>
  <c r="F7475" i="2"/>
  <c r="F7492" i="2"/>
  <c r="H7492" i="2"/>
  <c r="F7484" i="2"/>
  <c r="H7484" i="2"/>
  <c r="F7463" i="2"/>
  <c r="H7463" i="2"/>
  <c r="F7472" i="2"/>
  <c r="H7472" i="2"/>
  <c r="F7480" i="2"/>
  <c r="H7480" i="2"/>
  <c r="F7471" i="2"/>
  <c r="A7474" i="2"/>
  <c r="A7463" i="2"/>
  <c r="A7483" i="2"/>
  <c r="A7479" i="2"/>
  <c r="A7477" i="2"/>
  <c r="A7471" i="2"/>
  <c r="A7491" i="2"/>
  <c r="A7467" i="2"/>
  <c r="A7487" i="2"/>
  <c r="F7467" i="2"/>
  <c r="A7464" i="2"/>
  <c r="A7475" i="2"/>
  <c r="A7473" i="2"/>
  <c r="A7490" i="2"/>
  <c r="A7478" i="2"/>
  <c r="A7466" i="2"/>
  <c r="A7469" i="2"/>
  <c r="F7490" i="2"/>
  <c r="F7478" i="2"/>
  <c r="F7466" i="2"/>
  <c r="A7493" i="2"/>
  <c r="A7481" i="2"/>
  <c r="A7484" i="2"/>
  <c r="A7472" i="2"/>
  <c r="F7486" i="2"/>
  <c r="F7474" i="2"/>
  <c r="A7482" i="2"/>
  <c r="A7470" i="2"/>
  <c r="A7468" i="2"/>
  <c r="A7492" i="2"/>
  <c r="A7480" i="2"/>
  <c r="F7482" i="2"/>
  <c r="F7470" i="2"/>
  <c r="F7493" i="2"/>
  <c r="F7485" i="2"/>
  <c r="F7481" i="2"/>
  <c r="F7473" i="2"/>
  <c r="F7469" i="2"/>
  <c r="F7465" i="2"/>
  <c r="F7477" i="2"/>
  <c r="F7489" i="2"/>
  <c r="A7462" i="2"/>
  <c r="G7431" i="2"/>
  <c r="G7432" i="2"/>
  <c r="G7433" i="2"/>
  <c r="H7433" i="2" s="1"/>
  <c r="G7434" i="2"/>
  <c r="G7435" i="2"/>
  <c r="G7436" i="2"/>
  <c r="A7436" i="2" s="1"/>
  <c r="G7437" i="2"/>
  <c r="H7437" i="2" s="1"/>
  <c r="G7438" i="2"/>
  <c r="G7439" i="2"/>
  <c r="G7440" i="2"/>
  <c r="G7441" i="2"/>
  <c r="H7441" i="2" s="1"/>
  <c r="G7442" i="2"/>
  <c r="H7442" i="2" s="1"/>
  <c r="G7443" i="2"/>
  <c r="G7444" i="2"/>
  <c r="G7445" i="2"/>
  <c r="H7445" i="2" s="1"/>
  <c r="G7446" i="2"/>
  <c r="G7447" i="2"/>
  <c r="G7448" i="2"/>
  <c r="G7449" i="2"/>
  <c r="H7449" i="2" s="1"/>
  <c r="G7450" i="2"/>
  <c r="G7451" i="2"/>
  <c r="A7451" i="2" s="1"/>
  <c r="G7452" i="2"/>
  <c r="G7453" i="2"/>
  <c r="H7453" i="2" s="1"/>
  <c r="G7454" i="2"/>
  <c r="H7454" i="2" s="1"/>
  <c r="G7455" i="2"/>
  <c r="G7456" i="2"/>
  <c r="H7456" i="2" s="1"/>
  <c r="G7457" i="2"/>
  <c r="H7457" i="2" s="1"/>
  <c r="G7458" i="2"/>
  <c r="G7459" i="2"/>
  <c r="G7460" i="2"/>
  <c r="G7461" i="2"/>
  <c r="H7461" i="2" s="1"/>
  <c r="G7430" i="2"/>
  <c r="A7441" i="2" l="1"/>
  <c r="A7461" i="2"/>
  <c r="A7454" i="2"/>
  <c r="F7458" i="2"/>
  <c r="H7458" i="2"/>
  <c r="F7438" i="2"/>
  <c r="H7438" i="2"/>
  <c r="F7450" i="2"/>
  <c r="H7450" i="2"/>
  <c r="F7447" i="2"/>
  <c r="H7447" i="2"/>
  <c r="F7448" i="2"/>
  <c r="H7448" i="2"/>
  <c r="F7455" i="2"/>
  <c r="H7455" i="2"/>
  <c r="F7446" i="2"/>
  <c r="H7446" i="2"/>
  <c r="F7436" i="2"/>
  <c r="H7436" i="2"/>
  <c r="F7459" i="2"/>
  <c r="H7459" i="2"/>
  <c r="F7439" i="2"/>
  <c r="H7439" i="2"/>
  <c r="F7444" i="2"/>
  <c r="H7444" i="2"/>
  <c r="F7435" i="2"/>
  <c r="H7435" i="2"/>
  <c r="F7430" i="2"/>
  <c r="H7430" i="2"/>
  <c r="F7454" i="2"/>
  <c r="F7452" i="2"/>
  <c r="H7452" i="2"/>
  <c r="F7431" i="2"/>
  <c r="H7431" i="2"/>
  <c r="F7443" i="2"/>
  <c r="H7443" i="2"/>
  <c r="F7432" i="2"/>
  <c r="H7432" i="2"/>
  <c r="F7461" i="2"/>
  <c r="F7434" i="2"/>
  <c r="H7434" i="2"/>
  <c r="F7460" i="2"/>
  <c r="H7460" i="2"/>
  <c r="F7451" i="2"/>
  <c r="H7451" i="2"/>
  <c r="F7440" i="2"/>
  <c r="H7440" i="2"/>
  <c r="A7459" i="2"/>
  <c r="A7457" i="2"/>
  <c r="A7446" i="2"/>
  <c r="A7431" i="2"/>
  <c r="A7442" i="2"/>
  <c r="F7442" i="2"/>
  <c r="A7460" i="2"/>
  <c r="A7443" i="2"/>
  <c r="A7439" i="2"/>
  <c r="A7450" i="2"/>
  <c r="A7445" i="2"/>
  <c r="A7438" i="2"/>
  <c r="A7434" i="2"/>
  <c r="A7458" i="2"/>
  <c r="A7447" i="2"/>
  <c r="A7435" i="2"/>
  <c r="A7452" i="2"/>
  <c r="A7440" i="2"/>
  <c r="F7457" i="2"/>
  <c r="A7455" i="2"/>
  <c r="A7444" i="2"/>
  <c r="F7453" i="2"/>
  <c r="F7449" i="2"/>
  <c r="F7445" i="2"/>
  <c r="F7441" i="2"/>
  <c r="F7437" i="2"/>
  <c r="F7433" i="2"/>
  <c r="A7456" i="2"/>
  <c r="F7456" i="2"/>
  <c r="A7449" i="2"/>
  <c r="A7433" i="2"/>
  <c r="A7453" i="2"/>
  <c r="A7448" i="2"/>
  <c r="A7437" i="2"/>
  <c r="A7432" i="2"/>
  <c r="A7430" i="2"/>
  <c r="G7399" i="2"/>
  <c r="G7400" i="2"/>
  <c r="G7401" i="2"/>
  <c r="H7401" i="2" s="1"/>
  <c r="G7402" i="2"/>
  <c r="H7402" i="2" s="1"/>
  <c r="G7403" i="2"/>
  <c r="H7403" i="2" s="1"/>
  <c r="G7404" i="2"/>
  <c r="H7404" i="2" s="1"/>
  <c r="G7405" i="2"/>
  <c r="H7405" i="2" s="1"/>
  <c r="G7406" i="2"/>
  <c r="H7406" i="2" s="1"/>
  <c r="G7407" i="2"/>
  <c r="H7407" i="2" s="1"/>
  <c r="G7408" i="2"/>
  <c r="H7408" i="2" s="1"/>
  <c r="G7409" i="2"/>
  <c r="H7409" i="2" s="1"/>
  <c r="G7410" i="2"/>
  <c r="H7410" i="2" s="1"/>
  <c r="G7411" i="2"/>
  <c r="H7411" i="2" s="1"/>
  <c r="G7412" i="2"/>
  <c r="G7413" i="2"/>
  <c r="H7413" i="2" s="1"/>
  <c r="G7414" i="2"/>
  <c r="H7414" i="2" s="1"/>
  <c r="G7415" i="2"/>
  <c r="H7415" i="2" s="1"/>
  <c r="G7416" i="2"/>
  <c r="G7417" i="2"/>
  <c r="H7417" i="2" s="1"/>
  <c r="G7418" i="2"/>
  <c r="H7418" i="2" s="1"/>
  <c r="G7419" i="2"/>
  <c r="H7419" i="2" s="1"/>
  <c r="G7420" i="2"/>
  <c r="H7420" i="2" s="1"/>
  <c r="G7421" i="2"/>
  <c r="H7421" i="2" s="1"/>
  <c r="G7422" i="2"/>
  <c r="H7422" i="2" s="1"/>
  <c r="G7423" i="2"/>
  <c r="H7423" i="2" s="1"/>
  <c r="G7424" i="2"/>
  <c r="A7424" i="2" s="1"/>
  <c r="G7425" i="2"/>
  <c r="H7425" i="2" s="1"/>
  <c r="G7426" i="2"/>
  <c r="H7426" i="2" s="1"/>
  <c r="G7427" i="2"/>
  <c r="H7427" i="2" s="1"/>
  <c r="G7428" i="2"/>
  <c r="H7428" i="2" s="1"/>
  <c r="G7429" i="2"/>
  <c r="H7429" i="2" s="1"/>
  <c r="G7398" i="2"/>
  <c r="A7419" i="2" l="1"/>
  <c r="A7407" i="2"/>
  <c r="F7412" i="2"/>
  <c r="H7412" i="2"/>
  <c r="F7399" i="2"/>
  <c r="H7399" i="2"/>
  <c r="F7398" i="2"/>
  <c r="H7398" i="2"/>
  <c r="F7416" i="2"/>
  <c r="H7416" i="2"/>
  <c r="F7400" i="2"/>
  <c r="H7400" i="2"/>
  <c r="A7416" i="2"/>
  <c r="F7424" i="2"/>
  <c r="H7424" i="2"/>
  <c r="A7423" i="2"/>
  <c r="F7419" i="2"/>
  <c r="F7404" i="2"/>
  <c r="A7428" i="2"/>
  <c r="F7428" i="2"/>
  <c r="F7407" i="2"/>
  <c r="F7403" i="2"/>
  <c r="A7412" i="2"/>
  <c r="F7427" i="2"/>
  <c r="A7415" i="2"/>
  <c r="A7400" i="2"/>
  <c r="F7415" i="2"/>
  <c r="A7427" i="2"/>
  <c r="F7420" i="2"/>
  <c r="A7411" i="2"/>
  <c r="A7404" i="2"/>
  <c r="A7399" i="2"/>
  <c r="F7423" i="2"/>
  <c r="F7411" i="2"/>
  <c r="F7408" i="2"/>
  <c r="F7402" i="2"/>
  <c r="A7420" i="2"/>
  <c r="A7408" i="2"/>
  <c r="A7403" i="2"/>
  <c r="A7425" i="2"/>
  <c r="A7421" i="2"/>
  <c r="A7405" i="2"/>
  <c r="A7409" i="2"/>
  <c r="A7429" i="2"/>
  <c r="A7413" i="2"/>
  <c r="A7417" i="2"/>
  <c r="F7426" i="2"/>
  <c r="F7410" i="2"/>
  <c r="A7426" i="2"/>
  <c r="A7422" i="2"/>
  <c r="A7418" i="2"/>
  <c r="A7414" i="2"/>
  <c r="A7410" i="2"/>
  <c r="A7406" i="2"/>
  <c r="A7402" i="2"/>
  <c r="F7429" i="2"/>
  <c r="F7425" i="2"/>
  <c r="F7421" i="2"/>
  <c r="F7417" i="2"/>
  <c r="F7413" i="2"/>
  <c r="F7409" i="2"/>
  <c r="F7405" i="2"/>
  <c r="F7401" i="2"/>
  <c r="F7422" i="2"/>
  <c r="F7418" i="2"/>
  <c r="F7414" i="2"/>
  <c r="F7406" i="2"/>
  <c r="A7401" i="2"/>
  <c r="A7398" i="2"/>
  <c r="G7366" i="2"/>
  <c r="G7367" i="2"/>
  <c r="G7368" i="2"/>
  <c r="H7368" i="2" s="1"/>
  <c r="G7369" i="2"/>
  <c r="G7370" i="2"/>
  <c r="G7371" i="2"/>
  <c r="G7372" i="2"/>
  <c r="G7373" i="2"/>
  <c r="G7374" i="2"/>
  <c r="G7375" i="2"/>
  <c r="G7376" i="2"/>
  <c r="G7377" i="2"/>
  <c r="G7378" i="2"/>
  <c r="G7379" i="2"/>
  <c r="G7380" i="2"/>
  <c r="G7381" i="2"/>
  <c r="H7381" i="2" s="1"/>
  <c r="G7382" i="2"/>
  <c r="G7383" i="2"/>
  <c r="A7383" i="2" s="1"/>
  <c r="G7384" i="2"/>
  <c r="G7385" i="2"/>
  <c r="G7386" i="2"/>
  <c r="G7387" i="2"/>
  <c r="G7388" i="2"/>
  <c r="G7389" i="2"/>
  <c r="G7390" i="2"/>
  <c r="G7391" i="2"/>
  <c r="G7392" i="2"/>
  <c r="G7393" i="2"/>
  <c r="G7394" i="2"/>
  <c r="G7395" i="2"/>
  <c r="H7395" i="2" s="1"/>
  <c r="G7396" i="2"/>
  <c r="G7397" i="2"/>
  <c r="G7365" i="2"/>
  <c r="F7370" i="2" l="1"/>
  <c r="H7370" i="2"/>
  <c r="F7381" i="2"/>
  <c r="F7369" i="2"/>
  <c r="H7369" i="2"/>
  <c r="F7392" i="2"/>
  <c r="H7392" i="2"/>
  <c r="F7366" i="2"/>
  <c r="H7366" i="2"/>
  <c r="F7390" i="2"/>
  <c r="H7390" i="2"/>
  <c r="F7391" i="2"/>
  <c r="H7391" i="2"/>
  <c r="F7380" i="2"/>
  <c r="H7380" i="2"/>
  <c r="F7367" i="2"/>
  <c r="H7367" i="2"/>
  <c r="F7388" i="2"/>
  <c r="H7388" i="2"/>
  <c r="F7386" i="2"/>
  <c r="H7386" i="2"/>
  <c r="F7375" i="2"/>
  <c r="H7375" i="2"/>
  <c r="F7378" i="2"/>
  <c r="H7378" i="2"/>
  <c r="F7365" i="2"/>
  <c r="H7365" i="2"/>
  <c r="F7397" i="2"/>
  <c r="H7397" i="2"/>
  <c r="F7385" i="2"/>
  <c r="H7385" i="2"/>
  <c r="F7396" i="2"/>
  <c r="H7396" i="2"/>
  <c r="F7384" i="2"/>
  <c r="H7384" i="2"/>
  <c r="F7374" i="2"/>
  <c r="H7374" i="2"/>
  <c r="F7379" i="2"/>
  <c r="H7379" i="2"/>
  <c r="F7377" i="2"/>
  <c r="H7377" i="2"/>
  <c r="F7376" i="2"/>
  <c r="H7376" i="2"/>
  <c r="F7373" i="2"/>
  <c r="H7373" i="2"/>
  <c r="F7394" i="2"/>
  <c r="H7394" i="2"/>
  <c r="F7383" i="2"/>
  <c r="H7383" i="2"/>
  <c r="F7372" i="2"/>
  <c r="H7372" i="2"/>
  <c r="F7389" i="2"/>
  <c r="H7389" i="2"/>
  <c r="F7387" i="2"/>
  <c r="H7387" i="2"/>
  <c r="F7393" i="2"/>
  <c r="H7393" i="2"/>
  <c r="F7382" i="2"/>
  <c r="H7382" i="2"/>
  <c r="F7371" i="2"/>
  <c r="H7371" i="2"/>
  <c r="A7393" i="2"/>
  <c r="A7379" i="2"/>
  <c r="A7373" i="2"/>
  <c r="A7389" i="2"/>
  <c r="A7387" i="2"/>
  <c r="A7378" i="2"/>
  <c r="A7371" i="2"/>
  <c r="A7369" i="2"/>
  <c r="A7374" i="2"/>
  <c r="A7397" i="2"/>
  <c r="F7395" i="2"/>
  <c r="A7386" i="2"/>
  <c r="A7394" i="2"/>
  <c r="A7382" i="2"/>
  <c r="A7377" i="2"/>
  <c r="A7367" i="2"/>
  <c r="A7385" i="2"/>
  <c r="A7375" i="2"/>
  <c r="A7370" i="2"/>
  <c r="A7395" i="2"/>
  <c r="A7390" i="2"/>
  <c r="A7381" i="2"/>
  <c r="A7366" i="2"/>
  <c r="A7391" i="2"/>
  <c r="A7396" i="2"/>
  <c r="A7392" i="2"/>
  <c r="A7388" i="2"/>
  <c r="A7384" i="2"/>
  <c r="A7380" i="2"/>
  <c r="A7376" i="2"/>
  <c r="A7372" i="2"/>
  <c r="A7368" i="2"/>
  <c r="F7368" i="2"/>
  <c r="A7365" i="2"/>
  <c r="G7334" i="2"/>
  <c r="G7335" i="2"/>
  <c r="G7336" i="2"/>
  <c r="G7337" i="2"/>
  <c r="H7337" i="2" s="1"/>
  <c r="G7338" i="2"/>
  <c r="G7339" i="2"/>
  <c r="G7340" i="2"/>
  <c r="G7341" i="2"/>
  <c r="H7341" i="2" s="1"/>
  <c r="G7342" i="2"/>
  <c r="A7342" i="2" s="1"/>
  <c r="G7343" i="2"/>
  <c r="G7344" i="2"/>
  <c r="G7345" i="2"/>
  <c r="H7345" i="2" s="1"/>
  <c r="G7346" i="2"/>
  <c r="G7347" i="2"/>
  <c r="A7347" i="2" s="1"/>
  <c r="G7348" i="2"/>
  <c r="G7349" i="2"/>
  <c r="H7349" i="2" s="1"/>
  <c r="G7350" i="2"/>
  <c r="G7351" i="2"/>
  <c r="G7352" i="2"/>
  <c r="G7353" i="2"/>
  <c r="H7353" i="2" s="1"/>
  <c r="G7354" i="2"/>
  <c r="G7355" i="2"/>
  <c r="G7356" i="2"/>
  <c r="G7357" i="2"/>
  <c r="H7357" i="2" s="1"/>
  <c r="G7358" i="2"/>
  <c r="G7359" i="2"/>
  <c r="A7359" i="2" s="1"/>
  <c r="G7360" i="2"/>
  <c r="G7361" i="2"/>
  <c r="H7361" i="2" s="1"/>
  <c r="G7362" i="2"/>
  <c r="G7363" i="2"/>
  <c r="G7364" i="2"/>
  <c r="G7333" i="2"/>
  <c r="F7355" i="2" l="1"/>
  <c r="H7355" i="2"/>
  <c r="F7344" i="2"/>
  <c r="H7344" i="2"/>
  <c r="F7342" i="2"/>
  <c r="H7342" i="2"/>
  <c r="F7335" i="2"/>
  <c r="H7335" i="2"/>
  <c r="F7333" i="2"/>
  <c r="H7333" i="2"/>
  <c r="F7351" i="2"/>
  <c r="H7351" i="2"/>
  <c r="F7346" i="2"/>
  <c r="H7346" i="2"/>
  <c r="F7364" i="2"/>
  <c r="H7364" i="2"/>
  <c r="F7360" i="2"/>
  <c r="H7360" i="2"/>
  <c r="F7339" i="2"/>
  <c r="H7339" i="2"/>
  <c r="F7356" i="2"/>
  <c r="H7356" i="2"/>
  <c r="F7334" i="2"/>
  <c r="H7334" i="2"/>
  <c r="F7348" i="2"/>
  <c r="H7348" i="2"/>
  <c r="F7352" i="2"/>
  <c r="H7352" i="2"/>
  <c r="F7350" i="2"/>
  <c r="H7350" i="2"/>
  <c r="F7338" i="2"/>
  <c r="H7338" i="2"/>
  <c r="F7359" i="2"/>
  <c r="H7359" i="2"/>
  <c r="F7354" i="2"/>
  <c r="H7354" i="2"/>
  <c r="F7343" i="2"/>
  <c r="H7343" i="2"/>
  <c r="F7363" i="2"/>
  <c r="H7363" i="2"/>
  <c r="F7362" i="2"/>
  <c r="H7362" i="2"/>
  <c r="F7340" i="2"/>
  <c r="H7340" i="2"/>
  <c r="F7358" i="2"/>
  <c r="H7358" i="2"/>
  <c r="F7347" i="2"/>
  <c r="H7347" i="2"/>
  <c r="F7336" i="2"/>
  <c r="H7336" i="2"/>
  <c r="A7335" i="2"/>
  <c r="A7362" i="2"/>
  <c r="A7360" i="2"/>
  <c r="A7358" i="2"/>
  <c r="A7346" i="2"/>
  <c r="A7344" i="2"/>
  <c r="A7336" i="2"/>
  <c r="A7334" i="2"/>
  <c r="A7354" i="2"/>
  <c r="A7339" i="2"/>
  <c r="A7348" i="2"/>
  <c r="A7350" i="2"/>
  <c r="A7338" i="2"/>
  <c r="A7355" i="2"/>
  <c r="A7343" i="2"/>
  <c r="A7363" i="2"/>
  <c r="A7351" i="2"/>
  <c r="A7356" i="2"/>
  <c r="A7364" i="2"/>
  <c r="A7352" i="2"/>
  <c r="A7340" i="2"/>
  <c r="F7361" i="2"/>
  <c r="F7349" i="2"/>
  <c r="F7345" i="2"/>
  <c r="F7341" i="2"/>
  <c r="F7337" i="2"/>
  <c r="F7357" i="2"/>
  <c r="F7353" i="2"/>
  <c r="A7361" i="2"/>
  <c r="A7357" i="2"/>
  <c r="A7353" i="2"/>
  <c r="A7349" i="2"/>
  <c r="A7345" i="2"/>
  <c r="A7341" i="2"/>
  <c r="A7337" i="2"/>
  <c r="A7333" i="2"/>
  <c r="G7302" i="2"/>
  <c r="H7302" i="2" s="1"/>
  <c r="G7303" i="2"/>
  <c r="G7304" i="2"/>
  <c r="H7304" i="2" s="1"/>
  <c r="G7305" i="2"/>
  <c r="H7305" i="2" s="1"/>
  <c r="G7306" i="2"/>
  <c r="G7307" i="2"/>
  <c r="G7308" i="2"/>
  <c r="H7308" i="2" s="1"/>
  <c r="G7309" i="2"/>
  <c r="H7309" i="2" s="1"/>
  <c r="G7310" i="2"/>
  <c r="G7311" i="2"/>
  <c r="H7311" i="2" s="1"/>
  <c r="G7312" i="2"/>
  <c r="H7312" i="2" s="1"/>
  <c r="G7313" i="2"/>
  <c r="G7314" i="2"/>
  <c r="G7315" i="2"/>
  <c r="H7315" i="2" s="1"/>
  <c r="G7316" i="2"/>
  <c r="H7316" i="2" s="1"/>
  <c r="G7317" i="2"/>
  <c r="G7318" i="2"/>
  <c r="G7319" i="2"/>
  <c r="H7319" i="2" s="1"/>
  <c r="G7320" i="2"/>
  <c r="H7320" i="2" s="1"/>
  <c r="G7321" i="2"/>
  <c r="G7322" i="2"/>
  <c r="G7323" i="2"/>
  <c r="H7323" i="2" s="1"/>
  <c r="G7324" i="2"/>
  <c r="H7324" i="2" s="1"/>
  <c r="G7325" i="2"/>
  <c r="G7326" i="2"/>
  <c r="G7327" i="2"/>
  <c r="H7327" i="2" s="1"/>
  <c r="G7328" i="2"/>
  <c r="H7328" i="2" s="1"/>
  <c r="G7329" i="2"/>
  <c r="A7329" i="2" s="1"/>
  <c r="G7330" i="2"/>
  <c r="G7331" i="2"/>
  <c r="H7331" i="2" s="1"/>
  <c r="G7332" i="2"/>
  <c r="H7332" i="2" s="1"/>
  <c r="G7301" i="2"/>
  <c r="F7322" i="2" l="1"/>
  <c r="H7322" i="2"/>
  <c r="F7321" i="2"/>
  <c r="H7321" i="2"/>
  <c r="F7325" i="2"/>
  <c r="H7325" i="2"/>
  <c r="F7313" i="2"/>
  <c r="H7313" i="2"/>
  <c r="F7310" i="2"/>
  <c r="H7310" i="2"/>
  <c r="F7330" i="2"/>
  <c r="H7330" i="2"/>
  <c r="F7307" i="2"/>
  <c r="H7307" i="2"/>
  <c r="F7301" i="2"/>
  <c r="H7301" i="2"/>
  <c r="F7318" i="2"/>
  <c r="H7318" i="2"/>
  <c r="F7306" i="2"/>
  <c r="H7306" i="2"/>
  <c r="F7329" i="2"/>
  <c r="H7329" i="2"/>
  <c r="F7317" i="2"/>
  <c r="H7317" i="2"/>
  <c r="F7303" i="2"/>
  <c r="H7303" i="2"/>
  <c r="F7326" i="2"/>
  <c r="H7326" i="2"/>
  <c r="F7314" i="2"/>
  <c r="H7314" i="2"/>
  <c r="A7306" i="2"/>
  <c r="A7325" i="2"/>
  <c r="A7303" i="2"/>
  <c r="A7310" i="2"/>
  <c r="A7321" i="2"/>
  <c r="F7309" i="2"/>
  <c r="A7313" i="2"/>
  <c r="A7322" i="2"/>
  <c r="A7309" i="2"/>
  <c r="A7305" i="2"/>
  <c r="A7317" i="2"/>
  <c r="F7302" i="2"/>
  <c r="F7305" i="2"/>
  <c r="F7324" i="2"/>
  <c r="A7330" i="2"/>
  <c r="A7318" i="2"/>
  <c r="F7332" i="2"/>
  <c r="F7320" i="2"/>
  <c r="F7308" i="2"/>
  <c r="F7312" i="2"/>
  <c r="A7326" i="2"/>
  <c r="A7314" i="2"/>
  <c r="F7328" i="2"/>
  <c r="F7316" i="2"/>
  <c r="A7302" i="2"/>
  <c r="F7331" i="2"/>
  <c r="F7327" i="2"/>
  <c r="F7323" i="2"/>
  <c r="F7319" i="2"/>
  <c r="F7315" i="2"/>
  <c r="F7311" i="2"/>
  <c r="A7331" i="2"/>
  <c r="A7327" i="2"/>
  <c r="A7323" i="2"/>
  <c r="A7319" i="2"/>
  <c r="A7315" i="2"/>
  <c r="A7311" i="2"/>
  <c r="A7307" i="2"/>
  <c r="F7304" i="2"/>
  <c r="A7332" i="2"/>
  <c r="A7328" i="2"/>
  <c r="A7324" i="2"/>
  <c r="A7320" i="2"/>
  <c r="A7316" i="2"/>
  <c r="A7312" i="2"/>
  <c r="A7308" i="2"/>
  <c r="A7304" i="2"/>
  <c r="A7301" i="2"/>
  <c r="G7270" i="2"/>
  <c r="G7271" i="2"/>
  <c r="G7272" i="2"/>
  <c r="H7272" i="2" s="1"/>
  <c r="G7273" i="2"/>
  <c r="H7273" i="2" s="1"/>
  <c r="G7274" i="2"/>
  <c r="H7274" i="2" s="1"/>
  <c r="G7275" i="2"/>
  <c r="A7275" i="2" s="1"/>
  <c r="G7276" i="2"/>
  <c r="H7276" i="2" s="1"/>
  <c r="G7277" i="2"/>
  <c r="H7277" i="2" s="1"/>
  <c r="G7278" i="2"/>
  <c r="H7278" i="2" s="1"/>
  <c r="G7279" i="2"/>
  <c r="G7280" i="2"/>
  <c r="H7280" i="2" s="1"/>
  <c r="G7281" i="2"/>
  <c r="H7281" i="2" s="1"/>
  <c r="G7282" i="2"/>
  <c r="G7283" i="2"/>
  <c r="G7284" i="2"/>
  <c r="H7284" i="2" s="1"/>
  <c r="G7285" i="2"/>
  <c r="H7285" i="2" s="1"/>
  <c r="G7286" i="2"/>
  <c r="A7286" i="2" s="1"/>
  <c r="G7287" i="2"/>
  <c r="G7288" i="2"/>
  <c r="H7288" i="2" s="1"/>
  <c r="G7289" i="2"/>
  <c r="H7289" i="2" s="1"/>
  <c r="G7290" i="2"/>
  <c r="H7290" i="2" s="1"/>
  <c r="G7291" i="2"/>
  <c r="G7292" i="2"/>
  <c r="H7292" i="2" s="1"/>
  <c r="G7293" i="2"/>
  <c r="H7293" i="2" s="1"/>
  <c r="G7294" i="2"/>
  <c r="A7294" i="2" s="1"/>
  <c r="G7295" i="2"/>
  <c r="G7296" i="2"/>
  <c r="H7296" i="2" s="1"/>
  <c r="G7297" i="2"/>
  <c r="H7297" i="2" s="1"/>
  <c r="G7298" i="2"/>
  <c r="H7298" i="2" s="1"/>
  <c r="G7299" i="2"/>
  <c r="G7300" i="2"/>
  <c r="H7300" i="2" s="1"/>
  <c r="G7269" i="2"/>
  <c r="A7276" i="2" l="1"/>
  <c r="A7298" i="2"/>
  <c r="A7290" i="2"/>
  <c r="F7279" i="2"/>
  <c r="H7279" i="2"/>
  <c r="F7291" i="2"/>
  <c r="H7291" i="2"/>
  <c r="F7297" i="2"/>
  <c r="F7272" i="2"/>
  <c r="F7299" i="2"/>
  <c r="H7299" i="2"/>
  <c r="F7282" i="2"/>
  <c r="H7282" i="2"/>
  <c r="A7296" i="2"/>
  <c r="F7287" i="2"/>
  <c r="H7287" i="2"/>
  <c r="A7277" i="2"/>
  <c r="F7271" i="2"/>
  <c r="H7271" i="2"/>
  <c r="F7270" i="2"/>
  <c r="H7270" i="2"/>
  <c r="F7274" i="2"/>
  <c r="F7295" i="2"/>
  <c r="H7295" i="2"/>
  <c r="F7269" i="2"/>
  <c r="H7269" i="2"/>
  <c r="F7294" i="2"/>
  <c r="H7294" i="2"/>
  <c r="F7285" i="2"/>
  <c r="F7298" i="2"/>
  <c r="F7286" i="2"/>
  <c r="H7286" i="2"/>
  <c r="F7275" i="2"/>
  <c r="H7275" i="2"/>
  <c r="F7283" i="2"/>
  <c r="H7283" i="2"/>
  <c r="A7274" i="2"/>
  <c r="A7273" i="2"/>
  <c r="F7278" i="2"/>
  <c r="A7272" i="2"/>
  <c r="A7287" i="2"/>
  <c r="F7289" i="2"/>
  <c r="A7281" i="2"/>
  <c r="A7270" i="2"/>
  <c r="F7290" i="2"/>
  <c r="F7277" i="2"/>
  <c r="A7284" i="2"/>
  <c r="A7282" i="2"/>
  <c r="A7278" i="2"/>
  <c r="F7273" i="2"/>
  <c r="A7283" i="2"/>
  <c r="A7271" i="2"/>
  <c r="A7288" i="2"/>
  <c r="F7276" i="2"/>
  <c r="F7300" i="2"/>
  <c r="F7288" i="2"/>
  <c r="F7293" i="2"/>
  <c r="A7291" i="2"/>
  <c r="F7281" i="2"/>
  <c r="A7279" i="2"/>
  <c r="F7296" i="2"/>
  <c r="F7284" i="2"/>
  <c r="A7292" i="2"/>
  <c r="A7280" i="2"/>
  <c r="F7292" i="2"/>
  <c r="F7280" i="2"/>
  <c r="A7299" i="2"/>
  <c r="A7295" i="2"/>
  <c r="A7297" i="2"/>
  <c r="A7293" i="2"/>
  <c r="A7289" i="2"/>
  <c r="A7285" i="2"/>
  <c r="A7300" i="2"/>
  <c r="A7269" i="2"/>
  <c r="G7238" i="2"/>
  <c r="H7238" i="2" s="1"/>
  <c r="G7239" i="2"/>
  <c r="G7240" i="2"/>
  <c r="H7240" i="2" s="1"/>
  <c r="G7241" i="2"/>
  <c r="H7241" i="2" s="1"/>
  <c r="G7242" i="2"/>
  <c r="H7242" i="2" s="1"/>
  <c r="G7243" i="2"/>
  <c r="H7243" i="2" s="1"/>
  <c r="G7244" i="2"/>
  <c r="H7244" i="2" s="1"/>
  <c r="G7245" i="2"/>
  <c r="H7245" i="2" s="1"/>
  <c r="G7246" i="2"/>
  <c r="H7246" i="2" s="1"/>
  <c r="G7247" i="2"/>
  <c r="H7247" i="2" s="1"/>
  <c r="G7248" i="2"/>
  <c r="H7248" i="2" s="1"/>
  <c r="G7249" i="2"/>
  <c r="H7249" i="2" s="1"/>
  <c r="G7250" i="2"/>
  <c r="H7250" i="2" s="1"/>
  <c r="G7251" i="2"/>
  <c r="G7252" i="2"/>
  <c r="H7252" i="2" s="1"/>
  <c r="G7253" i="2"/>
  <c r="H7253" i="2" s="1"/>
  <c r="G7254" i="2"/>
  <c r="H7254" i="2" s="1"/>
  <c r="G7255" i="2"/>
  <c r="H7255" i="2" s="1"/>
  <c r="G7256" i="2"/>
  <c r="H7256" i="2" s="1"/>
  <c r="G7257" i="2"/>
  <c r="H7257" i="2" s="1"/>
  <c r="G7258" i="2"/>
  <c r="H7258" i="2" s="1"/>
  <c r="G7259" i="2"/>
  <c r="H7259" i="2" s="1"/>
  <c r="G7260" i="2"/>
  <c r="H7260" i="2" s="1"/>
  <c r="G7261" i="2"/>
  <c r="H7261" i="2" s="1"/>
  <c r="G7262" i="2"/>
  <c r="H7262" i="2" s="1"/>
  <c r="G7263" i="2"/>
  <c r="A7263" i="2" s="1"/>
  <c r="G7264" i="2"/>
  <c r="H7264" i="2" s="1"/>
  <c r="G7265" i="2"/>
  <c r="H7265" i="2" s="1"/>
  <c r="G7266" i="2"/>
  <c r="H7266" i="2" s="1"/>
  <c r="G7267" i="2"/>
  <c r="G7268" i="2"/>
  <c r="H7268" i="2" s="1"/>
  <c r="G7237" i="2"/>
  <c r="A7265" i="2" l="1"/>
  <c r="A7256" i="2"/>
  <c r="A7246" i="2"/>
  <c r="F7241" i="2"/>
  <c r="A7244" i="2"/>
  <c r="F7267" i="2"/>
  <c r="H7267" i="2"/>
  <c r="F7254" i="2"/>
  <c r="F7263" i="2"/>
  <c r="H7263" i="2"/>
  <c r="F7251" i="2"/>
  <c r="H7251" i="2"/>
  <c r="F7237" i="2"/>
  <c r="H7237" i="2"/>
  <c r="F7239" i="2"/>
  <c r="H7239" i="2"/>
  <c r="F7247" i="2"/>
  <c r="A7250" i="2"/>
  <c r="F7250" i="2"/>
  <c r="F7259" i="2"/>
  <c r="A7255" i="2"/>
  <c r="A7242" i="2"/>
  <c r="A7268" i="2"/>
  <c r="A7266" i="2"/>
  <c r="F7255" i="2"/>
  <c r="A7253" i="2"/>
  <c r="A7251" i="2"/>
  <c r="F7242" i="2"/>
  <c r="A7262" i="2"/>
  <c r="A7238" i="2"/>
  <c r="F7262" i="2"/>
  <c r="A7258" i="2"/>
  <c r="A7243" i="2"/>
  <c r="F7258" i="2"/>
  <c r="A7254" i="2"/>
  <c r="F7243" i="2"/>
  <c r="A7241" i="2"/>
  <c r="F7266" i="2"/>
  <c r="A7267" i="2"/>
  <c r="A7239" i="2"/>
  <c r="A7264" i="2"/>
  <c r="A7252" i="2"/>
  <c r="A7240" i="2"/>
  <c r="A7257" i="2"/>
  <c r="A7245" i="2"/>
  <c r="F7257" i="2"/>
  <c r="F7245" i="2"/>
  <c r="A7260" i="2"/>
  <c r="A7248" i="2"/>
  <c r="F7238" i="2"/>
  <c r="F7265" i="2"/>
  <c r="F7253" i="2"/>
  <c r="F7246" i="2"/>
  <c r="A7261" i="2"/>
  <c r="A7249" i="2"/>
  <c r="A7259" i="2"/>
  <c r="A7247" i="2"/>
  <c r="F7261" i="2"/>
  <c r="F7249" i="2"/>
  <c r="F7268" i="2"/>
  <c r="F7264" i="2"/>
  <c r="F7260" i="2"/>
  <c r="F7256" i="2"/>
  <c r="F7252" i="2"/>
  <c r="F7248" i="2"/>
  <c r="F7244" i="2"/>
  <c r="F7240" i="2"/>
  <c r="A7237" i="2"/>
  <c r="G7206" i="2"/>
  <c r="G7207" i="2"/>
  <c r="A7207" i="2" s="1"/>
  <c r="G7208" i="2"/>
  <c r="H7208" i="2" s="1"/>
  <c r="G7209" i="2"/>
  <c r="G7210" i="2"/>
  <c r="G7211" i="2"/>
  <c r="H7211" i="2" s="1"/>
  <c r="G7212" i="2"/>
  <c r="H7212" i="2" s="1"/>
  <c r="G7213" i="2"/>
  <c r="H7213" i="2" s="1"/>
  <c r="G7214" i="2"/>
  <c r="G7215" i="2"/>
  <c r="G7216" i="2"/>
  <c r="H7216" i="2" s="1"/>
  <c r="G7217" i="2"/>
  <c r="G7218" i="2"/>
  <c r="G7219" i="2"/>
  <c r="G7220" i="2"/>
  <c r="H7220" i="2" s="1"/>
  <c r="G7221" i="2"/>
  <c r="G7222" i="2"/>
  <c r="G7223" i="2"/>
  <c r="H7223" i="2" s="1"/>
  <c r="G7224" i="2"/>
  <c r="H7224" i="2" s="1"/>
  <c r="G7225" i="2"/>
  <c r="H7225" i="2" s="1"/>
  <c r="G7226" i="2"/>
  <c r="G7227" i="2"/>
  <c r="G7228" i="2"/>
  <c r="H7228" i="2" s="1"/>
  <c r="G7229" i="2"/>
  <c r="H7229" i="2" s="1"/>
  <c r="G7230" i="2"/>
  <c r="H7230" i="2" s="1"/>
  <c r="G7231" i="2"/>
  <c r="G7232" i="2"/>
  <c r="H7232" i="2" s="1"/>
  <c r="G7233" i="2"/>
  <c r="G7234" i="2"/>
  <c r="H7234" i="2" s="1"/>
  <c r="G7235" i="2"/>
  <c r="H7235" i="2" s="1"/>
  <c r="G7236" i="2"/>
  <c r="H7236" i="2" s="1"/>
  <c r="G7205" i="2"/>
  <c r="A7229" i="2" l="1"/>
  <c r="F7235" i="2"/>
  <c r="F7233" i="2"/>
  <c r="H7233" i="2"/>
  <c r="F7223" i="2"/>
  <c r="F7222" i="2"/>
  <c r="H7222" i="2"/>
  <c r="F7209" i="2"/>
  <c r="H7209" i="2"/>
  <c r="F7219" i="2"/>
  <c r="H7219" i="2"/>
  <c r="F7211" i="2"/>
  <c r="F7210" i="2"/>
  <c r="H7210" i="2"/>
  <c r="F7218" i="2"/>
  <c r="H7218" i="2"/>
  <c r="F7227" i="2"/>
  <c r="H7227" i="2"/>
  <c r="F7207" i="2"/>
  <c r="H7207" i="2"/>
  <c r="F7226" i="2"/>
  <c r="H7226" i="2"/>
  <c r="F7206" i="2"/>
  <c r="H7206" i="2"/>
  <c r="F7231" i="2"/>
  <c r="H7231" i="2"/>
  <c r="F7217" i="2"/>
  <c r="H7217" i="2"/>
  <c r="A7225" i="2"/>
  <c r="F7215" i="2"/>
  <c r="H7215" i="2"/>
  <c r="F7221" i="2"/>
  <c r="H7221" i="2"/>
  <c r="F7214" i="2"/>
  <c r="H7214" i="2"/>
  <c r="F7205" i="2"/>
  <c r="H7205" i="2"/>
  <c r="A7217" i="2"/>
  <c r="F7229" i="2"/>
  <c r="F7225" i="2"/>
  <c r="A7221" i="2"/>
  <c r="A7219" i="2"/>
  <c r="A7213" i="2"/>
  <c r="A7233" i="2"/>
  <c r="F7213" i="2"/>
  <c r="A7231" i="2"/>
  <c r="A7209" i="2"/>
  <c r="A7227" i="2"/>
  <c r="A7215" i="2"/>
  <c r="A7235" i="2"/>
  <c r="A7223" i="2"/>
  <c r="A7211" i="2"/>
  <c r="F7234" i="2"/>
  <c r="A7234" i="2"/>
  <c r="A7224" i="2"/>
  <c r="F7224" i="2"/>
  <c r="F7230" i="2"/>
  <c r="A7230" i="2"/>
  <c r="A7236" i="2"/>
  <c r="F7236" i="2"/>
  <c r="A7232" i="2"/>
  <c r="F7232" i="2"/>
  <c r="A7228" i="2"/>
  <c r="F7228" i="2"/>
  <c r="A7226" i="2"/>
  <c r="A7222" i="2"/>
  <c r="A7218" i="2"/>
  <c r="A7214" i="2"/>
  <c r="A7210" i="2"/>
  <c r="A7206" i="2"/>
  <c r="F7220" i="2"/>
  <c r="F7216" i="2"/>
  <c r="F7212" i="2"/>
  <c r="F7208" i="2"/>
  <c r="A7220" i="2"/>
  <c r="A7216" i="2"/>
  <c r="A7212" i="2"/>
  <c r="A7208" i="2"/>
  <c r="A7205" i="2"/>
  <c r="G7174" i="2"/>
  <c r="A7174" i="2" s="1"/>
  <c r="G7175" i="2"/>
  <c r="G7176" i="2"/>
  <c r="H7176" i="2" s="1"/>
  <c r="G7177" i="2"/>
  <c r="H7177" i="2" s="1"/>
  <c r="G7178" i="2"/>
  <c r="G7179" i="2"/>
  <c r="G7180" i="2"/>
  <c r="H7180" i="2" s="1"/>
  <c r="G7181" i="2"/>
  <c r="H7181" i="2" s="1"/>
  <c r="G7182" i="2"/>
  <c r="H7182" i="2" s="1"/>
  <c r="G7183" i="2"/>
  <c r="A7183" i="2" s="1"/>
  <c r="G7184" i="2"/>
  <c r="H7184" i="2" s="1"/>
  <c r="G7185" i="2"/>
  <c r="H7185" i="2" s="1"/>
  <c r="G7186" i="2"/>
  <c r="H7186" i="2" s="1"/>
  <c r="G7187" i="2"/>
  <c r="G7188" i="2"/>
  <c r="H7188" i="2" s="1"/>
  <c r="G7189" i="2"/>
  <c r="H7189" i="2" s="1"/>
  <c r="G7190" i="2"/>
  <c r="H7190" i="2" s="1"/>
  <c r="G7191" i="2"/>
  <c r="G7192" i="2"/>
  <c r="H7192" i="2" s="1"/>
  <c r="G7193" i="2"/>
  <c r="H7193" i="2" s="1"/>
  <c r="G7194" i="2"/>
  <c r="H7194" i="2" s="1"/>
  <c r="G7195" i="2"/>
  <c r="G7196" i="2"/>
  <c r="H7196" i="2" s="1"/>
  <c r="G7197" i="2"/>
  <c r="H7197" i="2" s="1"/>
  <c r="G7198" i="2"/>
  <c r="H7198" i="2" s="1"/>
  <c r="G7199" i="2"/>
  <c r="G7200" i="2"/>
  <c r="H7200" i="2" s="1"/>
  <c r="G7201" i="2"/>
  <c r="H7201" i="2" s="1"/>
  <c r="G7202" i="2"/>
  <c r="H7202" i="2" s="1"/>
  <c r="G7203" i="2"/>
  <c r="G7204" i="2"/>
  <c r="H7204" i="2" s="1"/>
  <c r="G7173" i="2"/>
  <c r="A7177" i="2" l="1"/>
  <c r="A7190" i="2"/>
  <c r="A7186" i="2"/>
  <c r="A7204" i="2"/>
  <c r="A7188" i="2"/>
  <c r="F7195" i="2"/>
  <c r="H7195" i="2"/>
  <c r="F7199" i="2"/>
  <c r="H7199" i="2"/>
  <c r="F7179" i="2"/>
  <c r="H7179" i="2"/>
  <c r="F7187" i="2"/>
  <c r="H7187" i="2"/>
  <c r="A7202" i="2"/>
  <c r="F7186" i="2"/>
  <c r="A7176" i="2"/>
  <c r="F7183" i="2"/>
  <c r="H7183" i="2"/>
  <c r="F7190" i="2"/>
  <c r="F7173" i="2"/>
  <c r="H7173" i="2"/>
  <c r="F7178" i="2"/>
  <c r="H7178" i="2"/>
  <c r="F7203" i="2"/>
  <c r="H7203" i="2"/>
  <c r="F7202" i="2"/>
  <c r="F7191" i="2"/>
  <c r="H7191" i="2"/>
  <c r="F7175" i="2"/>
  <c r="H7175" i="2"/>
  <c r="F7174" i="2"/>
  <c r="H7174" i="2"/>
  <c r="F7198" i="2"/>
  <c r="F7189" i="2"/>
  <c r="A7203" i="2"/>
  <c r="A7197" i="2"/>
  <c r="A7195" i="2"/>
  <c r="A7184" i="2"/>
  <c r="F7177" i="2"/>
  <c r="A7191" i="2"/>
  <c r="A7189" i="2"/>
  <c r="F7182" i="2"/>
  <c r="A7178" i="2"/>
  <c r="A7200" i="2"/>
  <c r="A7198" i="2"/>
  <c r="A7196" i="2"/>
  <c r="A7194" i="2"/>
  <c r="A7185" i="2"/>
  <c r="F7201" i="2"/>
  <c r="F7194" i="2"/>
  <c r="A7179" i="2"/>
  <c r="A7201" i="2"/>
  <c r="A7192" i="2"/>
  <c r="A7180" i="2"/>
  <c r="F7197" i="2"/>
  <c r="F7185" i="2"/>
  <c r="A7193" i="2"/>
  <c r="A7181" i="2"/>
  <c r="F7193" i="2"/>
  <c r="F7181" i="2"/>
  <c r="A7182" i="2"/>
  <c r="A7199" i="2"/>
  <c r="A7187" i="2"/>
  <c r="A7175" i="2"/>
  <c r="F7200" i="2"/>
  <c r="F7196" i="2"/>
  <c r="F7184" i="2"/>
  <c r="F7180" i="2"/>
  <c r="F7192" i="2"/>
  <c r="F7188" i="2"/>
  <c r="F7176" i="2"/>
  <c r="F7204" i="2"/>
  <c r="A7173" i="2"/>
  <c r="G7142" i="2"/>
  <c r="A7142" i="2" s="1"/>
  <c r="G7143" i="2"/>
  <c r="A7143" i="2" s="1"/>
  <c r="G7144" i="2"/>
  <c r="A7144" i="2" s="1"/>
  <c r="G7145" i="2"/>
  <c r="H7145" i="2" s="1"/>
  <c r="G7146" i="2"/>
  <c r="A7146" i="2" s="1"/>
  <c r="G7147" i="2"/>
  <c r="G7148" i="2"/>
  <c r="G7149" i="2"/>
  <c r="H7149" i="2" s="1"/>
  <c r="G7150" i="2"/>
  <c r="H7150" i="2" s="1"/>
  <c r="G7151" i="2"/>
  <c r="G7152" i="2"/>
  <c r="G7153" i="2"/>
  <c r="H7153" i="2" s="1"/>
  <c r="G7154" i="2"/>
  <c r="H7154" i="2" s="1"/>
  <c r="G7155" i="2"/>
  <c r="G7156" i="2"/>
  <c r="G7157" i="2"/>
  <c r="H7157" i="2" s="1"/>
  <c r="G7158" i="2"/>
  <c r="G7159" i="2"/>
  <c r="G7160" i="2"/>
  <c r="G7161" i="2"/>
  <c r="H7161" i="2" s="1"/>
  <c r="G7162" i="2"/>
  <c r="G7163" i="2"/>
  <c r="G7164" i="2"/>
  <c r="G7165" i="2"/>
  <c r="H7165" i="2" s="1"/>
  <c r="G7166" i="2"/>
  <c r="A7166" i="2" s="1"/>
  <c r="G7167" i="2"/>
  <c r="G7168" i="2"/>
  <c r="G7169" i="2"/>
  <c r="H7169" i="2" s="1"/>
  <c r="G7170" i="2"/>
  <c r="G7171" i="2"/>
  <c r="G7172" i="2"/>
  <c r="G7141" i="2"/>
  <c r="F7164" i="2" l="1"/>
  <c r="H7164" i="2"/>
  <c r="F7152" i="2"/>
  <c r="H7152" i="2"/>
  <c r="F7143" i="2"/>
  <c r="H7143" i="2"/>
  <c r="F7167" i="2"/>
  <c r="H7167" i="2"/>
  <c r="F7163" i="2"/>
  <c r="H7163" i="2"/>
  <c r="F7151" i="2"/>
  <c r="H7151" i="2"/>
  <c r="F7142" i="2"/>
  <c r="H7142" i="2"/>
  <c r="F7141" i="2"/>
  <c r="H7141" i="2"/>
  <c r="F7172" i="2"/>
  <c r="H7172" i="2"/>
  <c r="F7162" i="2"/>
  <c r="H7162" i="2"/>
  <c r="F7160" i="2"/>
  <c r="H7160" i="2"/>
  <c r="F7148" i="2"/>
  <c r="H7148" i="2"/>
  <c r="F7171" i="2"/>
  <c r="H7171" i="2"/>
  <c r="F7170" i="2"/>
  <c r="H7170" i="2"/>
  <c r="F7159" i="2"/>
  <c r="H7159" i="2"/>
  <c r="F7147" i="2"/>
  <c r="H7147" i="2"/>
  <c r="F7158" i="2"/>
  <c r="H7158" i="2"/>
  <c r="F7168" i="2"/>
  <c r="H7168" i="2"/>
  <c r="F7146" i="2"/>
  <c r="H7146" i="2"/>
  <c r="F7156" i="2"/>
  <c r="H7156" i="2"/>
  <c r="F7155" i="2"/>
  <c r="H7155" i="2"/>
  <c r="F7166" i="2"/>
  <c r="H7166" i="2"/>
  <c r="F7144" i="2"/>
  <c r="H7144" i="2"/>
  <c r="A7155" i="2"/>
  <c r="A7156" i="2"/>
  <c r="A7162" i="2"/>
  <c r="F7150" i="2"/>
  <c r="A7150" i="2"/>
  <c r="A7172" i="2"/>
  <c r="F7154" i="2"/>
  <c r="A7159" i="2"/>
  <c r="A7145" i="2"/>
  <c r="A7171" i="2"/>
  <c r="A7164" i="2"/>
  <c r="A7148" i="2"/>
  <c r="A7167" i="2"/>
  <c r="A7151" i="2"/>
  <c r="A7158" i="2"/>
  <c r="A7163" i="2"/>
  <c r="A7147" i="2"/>
  <c r="A7170" i="2"/>
  <c r="A7154" i="2"/>
  <c r="A7169" i="2"/>
  <c r="A7161" i="2"/>
  <c r="A7153" i="2"/>
  <c r="F7169" i="2"/>
  <c r="F7157" i="2"/>
  <c r="F7153" i="2"/>
  <c r="F7149" i="2"/>
  <c r="F7145" i="2"/>
  <c r="F7165" i="2"/>
  <c r="F7161" i="2"/>
  <c r="A7168" i="2"/>
  <c r="A7160" i="2"/>
  <c r="A7152" i="2"/>
  <c r="A7165" i="2"/>
  <c r="A7157" i="2"/>
  <c r="A7149" i="2"/>
  <c r="A7141" i="2"/>
  <c r="G7110" i="2"/>
  <c r="A7110" i="2" s="1"/>
  <c r="G7111" i="2"/>
  <c r="H7111" i="2" s="1"/>
  <c r="G7112" i="2"/>
  <c r="H7112" i="2" s="1"/>
  <c r="G7113" i="2"/>
  <c r="G7114" i="2"/>
  <c r="A7114" i="2" s="1"/>
  <c r="G7115" i="2"/>
  <c r="H7115" i="2" s="1"/>
  <c r="G7116" i="2"/>
  <c r="H7116" i="2" s="1"/>
  <c r="G7117" i="2"/>
  <c r="G7118" i="2"/>
  <c r="G7119" i="2"/>
  <c r="H7119" i="2" s="1"/>
  <c r="G7120" i="2"/>
  <c r="H7120" i="2" s="1"/>
  <c r="G7121" i="2"/>
  <c r="G7122" i="2"/>
  <c r="G7123" i="2"/>
  <c r="A7123" i="2" s="1"/>
  <c r="G7124" i="2"/>
  <c r="H7124" i="2" s="1"/>
  <c r="G7125" i="2"/>
  <c r="G7126" i="2"/>
  <c r="G7127" i="2"/>
  <c r="H7127" i="2" s="1"/>
  <c r="G7128" i="2"/>
  <c r="H7128" i="2" s="1"/>
  <c r="G7129" i="2"/>
  <c r="G7130" i="2"/>
  <c r="A7130" i="2" s="1"/>
  <c r="G7131" i="2"/>
  <c r="H7131" i="2" s="1"/>
  <c r="G7132" i="2"/>
  <c r="H7132" i="2" s="1"/>
  <c r="G7133" i="2"/>
  <c r="G7134" i="2"/>
  <c r="A7134" i="2" s="1"/>
  <c r="G7135" i="2"/>
  <c r="G7136" i="2"/>
  <c r="H7136" i="2" s="1"/>
  <c r="G7137" i="2"/>
  <c r="G7138" i="2"/>
  <c r="G7139" i="2"/>
  <c r="H7139" i="2" s="1"/>
  <c r="G7140" i="2"/>
  <c r="H7140" i="2" s="1"/>
  <c r="G7109" i="2"/>
  <c r="A7119" i="2" l="1"/>
  <c r="F7115" i="2"/>
  <c r="F7121" i="2"/>
  <c r="H7121" i="2"/>
  <c r="F7110" i="2"/>
  <c r="H7110" i="2"/>
  <c r="F7138" i="2"/>
  <c r="H7138" i="2"/>
  <c r="F7129" i="2"/>
  <c r="H7129" i="2"/>
  <c r="F7109" i="2"/>
  <c r="H7109" i="2"/>
  <c r="F7113" i="2"/>
  <c r="H7113" i="2"/>
  <c r="F7117" i="2"/>
  <c r="H7117" i="2"/>
  <c r="F7137" i="2"/>
  <c r="H7137" i="2"/>
  <c r="F7125" i="2"/>
  <c r="H7125" i="2"/>
  <c r="F7126" i="2"/>
  <c r="H7126" i="2"/>
  <c r="F7122" i="2"/>
  <c r="H7122" i="2"/>
  <c r="F7130" i="2"/>
  <c r="H7130" i="2"/>
  <c r="F7118" i="2"/>
  <c r="H7118" i="2"/>
  <c r="F7135" i="2"/>
  <c r="H7135" i="2"/>
  <c r="F7134" i="2"/>
  <c r="H7134" i="2"/>
  <c r="F7133" i="2"/>
  <c r="H7133" i="2"/>
  <c r="A7112" i="2"/>
  <c r="A7132" i="2"/>
  <c r="F7123" i="2"/>
  <c r="H7123" i="2"/>
  <c r="F7114" i="2"/>
  <c r="H7114" i="2"/>
  <c r="F7111" i="2"/>
  <c r="A7135" i="2"/>
  <c r="A7131" i="2"/>
  <c r="A7129" i="2"/>
  <c r="F7119" i="2"/>
  <c r="A7111" i="2"/>
  <c r="A7128" i="2"/>
  <c r="A7126" i="2"/>
  <c r="A7137" i="2"/>
  <c r="A7118" i="2"/>
  <c r="F7131" i="2"/>
  <c r="A7125" i="2"/>
  <c r="A7140" i="2"/>
  <c r="A7138" i="2"/>
  <c r="A7117" i="2"/>
  <c r="A7133" i="2"/>
  <c r="A7121" i="2"/>
  <c r="A7116" i="2"/>
  <c r="F7139" i="2"/>
  <c r="A7136" i="2"/>
  <c r="A7124" i="2"/>
  <c r="F7127" i="2"/>
  <c r="A7139" i="2"/>
  <c r="A7127" i="2"/>
  <c r="A7122" i="2"/>
  <c r="A7115" i="2"/>
  <c r="A7120" i="2"/>
  <c r="A7113" i="2"/>
  <c r="F7140" i="2"/>
  <c r="F7136" i="2"/>
  <c r="F7132" i="2"/>
  <c r="F7128" i="2"/>
  <c r="F7124" i="2"/>
  <c r="F7120" i="2"/>
  <c r="F7116" i="2"/>
  <c r="F7112" i="2"/>
  <c r="A7109" i="2"/>
  <c r="G7078" i="2"/>
  <c r="G7079" i="2"/>
  <c r="G7080" i="2"/>
  <c r="H7080" i="2" s="1"/>
  <c r="G7081" i="2"/>
  <c r="H7081" i="2" s="1"/>
  <c r="G7082" i="2"/>
  <c r="G7083" i="2"/>
  <c r="A7083" i="2" s="1"/>
  <c r="G7084" i="2"/>
  <c r="H7084" i="2" s="1"/>
  <c r="G7085" i="2"/>
  <c r="H7085" i="2" s="1"/>
  <c r="G7086" i="2"/>
  <c r="H7086" i="2" s="1"/>
  <c r="G7087" i="2"/>
  <c r="A7087" i="2" s="1"/>
  <c r="G7088" i="2"/>
  <c r="H7088" i="2" s="1"/>
  <c r="G7089" i="2"/>
  <c r="H7089" i="2" s="1"/>
  <c r="G7090" i="2"/>
  <c r="G7091" i="2"/>
  <c r="G7092" i="2"/>
  <c r="H7092" i="2" s="1"/>
  <c r="G7093" i="2"/>
  <c r="H7093" i="2" s="1"/>
  <c r="G7094" i="2"/>
  <c r="G7095" i="2"/>
  <c r="G7096" i="2"/>
  <c r="H7096" i="2" s="1"/>
  <c r="G7097" i="2"/>
  <c r="H7097" i="2" s="1"/>
  <c r="G7098" i="2"/>
  <c r="H7098" i="2" s="1"/>
  <c r="G7099" i="2"/>
  <c r="G7100" i="2"/>
  <c r="H7100" i="2" s="1"/>
  <c r="G7101" i="2"/>
  <c r="H7101" i="2" s="1"/>
  <c r="G7102" i="2"/>
  <c r="G7103" i="2"/>
  <c r="G7104" i="2"/>
  <c r="H7104" i="2" s="1"/>
  <c r="G7105" i="2"/>
  <c r="H7105" i="2" s="1"/>
  <c r="G7106" i="2"/>
  <c r="G7107" i="2"/>
  <c r="A7107" i="2" s="1"/>
  <c r="G7108" i="2"/>
  <c r="H7108" i="2" s="1"/>
  <c r="G7077" i="2"/>
  <c r="A7092" i="2" l="1"/>
  <c r="A7100" i="2"/>
  <c r="A7088" i="2"/>
  <c r="A7105" i="2"/>
  <c r="A7096" i="2"/>
  <c r="A7104" i="2"/>
  <c r="A7093" i="2"/>
  <c r="A7084" i="2"/>
  <c r="F7106" i="2"/>
  <c r="H7106" i="2"/>
  <c r="A7098" i="2"/>
  <c r="F7091" i="2"/>
  <c r="H7091" i="2"/>
  <c r="F7090" i="2"/>
  <c r="H7090" i="2"/>
  <c r="F7077" i="2"/>
  <c r="H7077" i="2"/>
  <c r="F7083" i="2"/>
  <c r="H7083" i="2"/>
  <c r="F7099" i="2"/>
  <c r="H7099" i="2"/>
  <c r="F7096" i="2"/>
  <c r="F7082" i="2"/>
  <c r="H7082" i="2"/>
  <c r="F7087" i="2"/>
  <c r="H7087" i="2"/>
  <c r="F7086" i="2"/>
  <c r="F7107" i="2"/>
  <c r="H7107" i="2"/>
  <c r="F7105" i="2"/>
  <c r="F7103" i="2"/>
  <c r="H7103" i="2"/>
  <c r="F7095" i="2"/>
  <c r="H7095" i="2"/>
  <c r="F7079" i="2"/>
  <c r="H7079" i="2"/>
  <c r="F7102" i="2"/>
  <c r="H7102" i="2"/>
  <c r="F7094" i="2"/>
  <c r="H7094" i="2"/>
  <c r="A7086" i="2"/>
  <c r="F7078" i="2"/>
  <c r="H7078" i="2"/>
  <c r="F7093" i="2"/>
  <c r="A7085" i="2"/>
  <c r="F7085" i="2"/>
  <c r="A7097" i="2"/>
  <c r="A7099" i="2"/>
  <c r="A7108" i="2"/>
  <c r="F7097" i="2"/>
  <c r="A7095" i="2"/>
  <c r="F7084" i="2"/>
  <c r="A7078" i="2"/>
  <c r="F7108" i="2"/>
  <c r="F7098" i="2"/>
  <c r="A7081" i="2"/>
  <c r="A7106" i="2"/>
  <c r="A7101" i="2"/>
  <c r="A7094" i="2"/>
  <c r="A7089" i="2"/>
  <c r="A7082" i="2"/>
  <c r="A7080" i="2"/>
  <c r="A7090" i="2"/>
  <c r="A7102" i="2"/>
  <c r="F7104" i="2"/>
  <c r="F7092" i="2"/>
  <c r="F7080" i="2"/>
  <c r="F7101" i="2"/>
  <c r="F7100" i="2"/>
  <c r="F7088" i="2"/>
  <c r="F7089" i="2"/>
  <c r="A7103" i="2"/>
  <c r="A7091" i="2"/>
  <c r="F7081" i="2"/>
  <c r="A7079" i="2"/>
  <c r="A7077" i="2"/>
  <c r="G7046" i="2"/>
  <c r="G7047" i="2"/>
  <c r="G7048" i="2"/>
  <c r="H7048" i="2" s="1"/>
  <c r="G7049" i="2"/>
  <c r="G7050" i="2"/>
  <c r="G7051" i="2"/>
  <c r="G7052" i="2"/>
  <c r="H7052" i="2" s="1"/>
  <c r="G7053" i="2"/>
  <c r="H7053" i="2" s="1"/>
  <c r="G7054" i="2"/>
  <c r="A7054" i="2" s="1"/>
  <c r="G7055" i="2"/>
  <c r="G7056" i="2"/>
  <c r="H7056" i="2" s="1"/>
  <c r="G7057" i="2"/>
  <c r="G7058" i="2"/>
  <c r="G7059" i="2"/>
  <c r="G7060" i="2"/>
  <c r="H7060" i="2" s="1"/>
  <c r="G7061" i="2"/>
  <c r="H7061" i="2" s="1"/>
  <c r="G7062" i="2"/>
  <c r="G7063" i="2"/>
  <c r="G7064" i="2"/>
  <c r="H7064" i="2" s="1"/>
  <c r="G7065" i="2"/>
  <c r="G7066" i="2"/>
  <c r="G7067" i="2"/>
  <c r="A7067" i="2" s="1"/>
  <c r="G7068" i="2"/>
  <c r="H7068" i="2" s="1"/>
  <c r="G7069" i="2"/>
  <c r="G7070" i="2"/>
  <c r="G7071" i="2"/>
  <c r="H7071" i="2" s="1"/>
  <c r="G7072" i="2"/>
  <c r="H7072" i="2" s="1"/>
  <c r="G7073" i="2"/>
  <c r="H7073" i="2" s="1"/>
  <c r="G7074" i="2"/>
  <c r="G7075" i="2"/>
  <c r="G7076" i="2"/>
  <c r="H7076" i="2" s="1"/>
  <c r="G7045" i="2"/>
  <c r="A7073" i="2" l="1"/>
  <c r="F7073" i="2"/>
  <c r="F7053" i="2"/>
  <c r="F7070" i="2"/>
  <c r="H7070" i="2"/>
  <c r="F7050" i="2"/>
  <c r="H7050" i="2"/>
  <c r="F7069" i="2"/>
  <c r="H7069" i="2"/>
  <c r="F7059" i="2"/>
  <c r="H7059" i="2"/>
  <c r="F7049" i="2"/>
  <c r="H7049" i="2"/>
  <c r="F7058" i="2"/>
  <c r="H7058" i="2"/>
  <c r="F7057" i="2"/>
  <c r="H7057" i="2"/>
  <c r="F7062" i="2"/>
  <c r="H7062" i="2"/>
  <c r="F7047" i="2"/>
  <c r="H7047" i="2"/>
  <c r="F7067" i="2"/>
  <c r="H7067" i="2"/>
  <c r="F7045" i="2"/>
  <c r="H7045" i="2"/>
  <c r="F7046" i="2"/>
  <c r="H7046" i="2"/>
  <c r="F7075" i="2"/>
  <c r="H7075" i="2"/>
  <c r="F7065" i="2"/>
  <c r="H7065" i="2"/>
  <c r="F7061" i="2"/>
  <c r="F7051" i="2"/>
  <c r="H7051" i="2"/>
  <c r="F7066" i="2"/>
  <c r="H7066" i="2"/>
  <c r="F7055" i="2"/>
  <c r="H7055" i="2"/>
  <c r="F7074" i="2"/>
  <c r="H7074" i="2"/>
  <c r="F7054" i="2"/>
  <c r="H7054" i="2"/>
  <c r="F7063" i="2"/>
  <c r="H7063" i="2"/>
  <c r="A7060" i="2"/>
  <c r="A7056" i="2"/>
  <c r="A7065" i="2"/>
  <c r="A7074" i="2"/>
  <c r="A7053" i="2"/>
  <c r="A7072" i="2"/>
  <c r="A7051" i="2"/>
  <c r="A7075" i="2"/>
  <c r="F7064" i="2"/>
  <c r="A7049" i="2"/>
  <c r="A7052" i="2"/>
  <c r="A7061" i="2"/>
  <c r="F7052" i="2"/>
  <c r="A7068" i="2"/>
  <c r="A7057" i="2"/>
  <c r="A7055" i="2"/>
  <c r="A7064" i="2"/>
  <c r="A7076" i="2"/>
  <c r="A7069" i="2"/>
  <c r="A7062" i="2"/>
  <c r="A7050" i="2"/>
  <c r="A7048" i="2"/>
  <c r="F7076" i="2"/>
  <c r="A7058" i="2"/>
  <c r="A7046" i="2"/>
  <c r="F7060" i="2"/>
  <c r="F7048" i="2"/>
  <c r="A7070" i="2"/>
  <c r="A7063" i="2"/>
  <c r="A7066" i="2"/>
  <c r="F7056" i="2"/>
  <c r="A7059" i="2"/>
  <c r="A7047" i="2"/>
  <c r="A7071" i="2"/>
  <c r="F7072" i="2"/>
  <c r="F7071" i="2"/>
  <c r="F7068" i="2"/>
  <c r="A7045" i="2"/>
  <c r="G7014" i="2"/>
  <c r="G7015" i="2"/>
  <c r="H7015" i="2" s="1"/>
  <c r="G7016" i="2"/>
  <c r="H7016" i="2" s="1"/>
  <c r="G7017" i="2"/>
  <c r="G7018" i="2"/>
  <c r="G7019" i="2"/>
  <c r="G7020" i="2"/>
  <c r="H7020" i="2" s="1"/>
  <c r="G7021" i="2"/>
  <c r="G7022" i="2"/>
  <c r="G7023" i="2"/>
  <c r="H7023" i="2" s="1"/>
  <c r="G7024" i="2"/>
  <c r="H7024" i="2" s="1"/>
  <c r="G7025" i="2"/>
  <c r="G7026" i="2"/>
  <c r="G7027" i="2"/>
  <c r="H7027" i="2" s="1"/>
  <c r="G7028" i="2"/>
  <c r="H7028" i="2" s="1"/>
  <c r="G7029" i="2"/>
  <c r="G7030" i="2"/>
  <c r="G7031" i="2"/>
  <c r="A7031" i="2" s="1"/>
  <c r="G7032" i="2"/>
  <c r="H7032" i="2" s="1"/>
  <c r="G7033" i="2"/>
  <c r="G7034" i="2"/>
  <c r="G7035" i="2"/>
  <c r="G7036" i="2"/>
  <c r="H7036" i="2" s="1"/>
  <c r="G7037" i="2"/>
  <c r="G7038" i="2"/>
  <c r="G7039" i="2"/>
  <c r="H7039" i="2" s="1"/>
  <c r="G7040" i="2"/>
  <c r="H7040" i="2" s="1"/>
  <c r="G7041" i="2"/>
  <c r="G7042" i="2"/>
  <c r="G7043" i="2"/>
  <c r="G7044" i="2"/>
  <c r="H7044" i="2" s="1"/>
  <c r="G7013" i="2"/>
  <c r="A7023" i="2" l="1"/>
  <c r="F7017" i="2"/>
  <c r="H7017" i="2"/>
  <c r="F7038" i="2"/>
  <c r="H7038" i="2"/>
  <c r="F7018" i="2"/>
  <c r="H7018" i="2"/>
  <c r="F7037" i="2"/>
  <c r="H7037" i="2"/>
  <c r="F7026" i="2"/>
  <c r="H7026" i="2"/>
  <c r="F7025" i="2"/>
  <c r="H7025" i="2"/>
  <c r="F7035" i="2"/>
  <c r="H7035" i="2"/>
  <c r="F7014" i="2"/>
  <c r="H7014" i="2"/>
  <c r="F7019" i="2"/>
  <c r="H7019" i="2"/>
  <c r="F7013" i="2"/>
  <c r="H7013" i="2"/>
  <c r="F7033" i="2"/>
  <c r="H7033" i="2"/>
  <c r="F7023" i="2"/>
  <c r="F7034" i="2"/>
  <c r="H7034" i="2"/>
  <c r="F7043" i="2"/>
  <c r="H7043" i="2"/>
  <c r="F7022" i="2"/>
  <c r="H7022" i="2"/>
  <c r="F7042" i="2"/>
  <c r="H7042" i="2"/>
  <c r="F7031" i="2"/>
  <c r="H7031" i="2"/>
  <c r="F7021" i="2"/>
  <c r="H7021" i="2"/>
  <c r="F7041" i="2"/>
  <c r="H7041" i="2"/>
  <c r="F7030" i="2"/>
  <c r="H7030" i="2"/>
  <c r="A7020" i="2"/>
  <c r="F7029" i="2"/>
  <c r="H7029" i="2"/>
  <c r="A7044" i="2"/>
  <c r="A7032" i="2"/>
  <c r="A7035" i="2"/>
  <c r="A7033" i="2"/>
  <c r="A7042" i="2"/>
  <c r="A7040" i="2"/>
  <c r="A7038" i="2"/>
  <c r="A7036" i="2"/>
  <c r="A7034" i="2"/>
  <c r="A7030" i="2"/>
  <c r="A7026" i="2"/>
  <c r="A7024" i="2"/>
  <c r="A7022" i="2"/>
  <c r="A7043" i="2"/>
  <c r="A7018" i="2"/>
  <c r="A7021" i="2"/>
  <c r="A7019" i="2"/>
  <c r="A7025" i="2"/>
  <c r="A7037" i="2"/>
  <c r="F7039" i="2"/>
  <c r="F7027" i="2"/>
  <c r="F7015" i="2"/>
  <c r="A7028" i="2"/>
  <c r="A7016" i="2"/>
  <c r="A7014" i="2"/>
  <c r="A7029" i="2"/>
  <c r="A7017" i="2"/>
  <c r="A7041" i="2"/>
  <c r="A7027" i="2"/>
  <c r="A7015" i="2"/>
  <c r="A7039" i="2"/>
  <c r="F7044" i="2"/>
  <c r="F7040" i="2"/>
  <c r="F7036" i="2"/>
  <c r="F7032" i="2"/>
  <c r="F7028" i="2"/>
  <c r="F7024" i="2"/>
  <c r="F7020" i="2"/>
  <c r="F7016" i="2"/>
  <c r="A7013" i="2"/>
  <c r="G6982" i="2"/>
  <c r="G6983" i="2"/>
  <c r="G6984" i="2"/>
  <c r="H6984" i="2" s="1"/>
  <c r="G6985" i="2"/>
  <c r="H6985" i="2" s="1"/>
  <c r="G6986" i="2"/>
  <c r="H6986" i="2" s="1"/>
  <c r="G6987" i="2"/>
  <c r="H6987" i="2" s="1"/>
  <c r="G6988" i="2"/>
  <c r="H6988" i="2" s="1"/>
  <c r="G6989" i="2"/>
  <c r="H6989" i="2" s="1"/>
  <c r="G6990" i="2"/>
  <c r="G6991" i="2"/>
  <c r="H6991" i="2" s="1"/>
  <c r="G6992" i="2"/>
  <c r="H6992" i="2" s="1"/>
  <c r="G6993" i="2"/>
  <c r="H6993" i="2" s="1"/>
  <c r="G6994" i="2"/>
  <c r="H6994" i="2" s="1"/>
  <c r="G6995" i="2"/>
  <c r="H6995" i="2" s="1"/>
  <c r="G6996" i="2"/>
  <c r="H6996" i="2" s="1"/>
  <c r="G6997" i="2"/>
  <c r="H6997" i="2" s="1"/>
  <c r="G6998" i="2"/>
  <c r="H6998" i="2" s="1"/>
  <c r="G6999" i="2"/>
  <c r="H6999" i="2" s="1"/>
  <c r="G7000" i="2"/>
  <c r="H7000" i="2" s="1"/>
  <c r="G7001" i="2"/>
  <c r="H7001" i="2" s="1"/>
  <c r="G7002" i="2"/>
  <c r="G7003" i="2"/>
  <c r="H7003" i="2" s="1"/>
  <c r="G7004" i="2"/>
  <c r="H7004" i="2" s="1"/>
  <c r="G7005" i="2"/>
  <c r="H7005" i="2" s="1"/>
  <c r="G7006" i="2"/>
  <c r="G7007" i="2"/>
  <c r="H7007" i="2" s="1"/>
  <c r="G7008" i="2"/>
  <c r="H7008" i="2" s="1"/>
  <c r="G7009" i="2"/>
  <c r="H7009" i="2" s="1"/>
  <c r="G7010" i="2"/>
  <c r="H7010" i="2" s="1"/>
  <c r="G7011" i="2"/>
  <c r="H7011" i="2" s="1"/>
  <c r="G7012" i="2"/>
  <c r="H7012" i="2" s="1"/>
  <c r="G6981" i="2"/>
  <c r="A7010" i="2" l="1"/>
  <c r="A6994" i="2"/>
  <c r="F7006" i="2"/>
  <c r="H7006" i="2"/>
  <c r="F6986" i="2"/>
  <c r="F6994" i="2"/>
  <c r="F6981" i="2"/>
  <c r="H6981" i="2"/>
  <c r="F6983" i="2"/>
  <c r="H6983" i="2"/>
  <c r="F7002" i="2"/>
  <c r="H7002" i="2"/>
  <c r="F6982" i="2"/>
  <c r="H6982" i="2"/>
  <c r="F6990" i="2"/>
  <c r="H6990" i="2"/>
  <c r="F7010" i="2"/>
  <c r="A6986" i="2"/>
  <c r="F6998" i="2"/>
  <c r="A6990" i="2"/>
  <c r="A6981" i="2"/>
  <c r="A7002" i="2"/>
  <c r="A6993" i="2"/>
  <c r="A6998" i="2"/>
  <c r="A7009" i="2"/>
  <c r="A7005" i="2"/>
  <c r="A7006" i="2"/>
  <c r="A6997" i="2"/>
  <c r="F7005" i="2"/>
  <c r="F6993" i="2"/>
  <c r="A7001" i="2"/>
  <c r="A6989" i="2"/>
  <c r="A6982" i="2"/>
  <c r="F7001" i="2"/>
  <c r="F6989" i="2"/>
  <c r="A6985" i="2"/>
  <c r="A6983" i="2"/>
  <c r="F7009" i="2"/>
  <c r="F6997" i="2"/>
  <c r="F6985" i="2"/>
  <c r="A6987" i="2"/>
  <c r="A7003" i="2"/>
  <c r="A6999" i="2"/>
  <c r="A6991" i="2"/>
  <c r="A7007" i="2"/>
  <c r="A7011" i="2"/>
  <c r="A6995" i="2"/>
  <c r="F6992" i="2"/>
  <c r="F7008" i="2"/>
  <c r="F7000" i="2"/>
  <c r="F6988" i="2"/>
  <c r="F6984" i="2"/>
  <c r="A7012" i="2"/>
  <c r="A7008" i="2"/>
  <c r="A7004" i="2"/>
  <c r="A7000" i="2"/>
  <c r="A6996" i="2"/>
  <c r="A6992" i="2"/>
  <c r="A6988" i="2"/>
  <c r="A6984" i="2"/>
  <c r="F7011" i="2"/>
  <c r="F7007" i="2"/>
  <c r="F7003" i="2"/>
  <c r="F6999" i="2"/>
  <c r="F6995" i="2"/>
  <c r="F6991" i="2"/>
  <c r="F6987" i="2"/>
  <c r="F7012" i="2"/>
  <c r="F7004" i="2"/>
  <c r="F6996" i="2"/>
  <c r="G6950" i="2"/>
  <c r="G6951" i="2"/>
  <c r="G6952" i="2"/>
  <c r="H6952" i="2" s="1"/>
  <c r="G6953" i="2"/>
  <c r="H6953" i="2" s="1"/>
  <c r="G6954" i="2"/>
  <c r="G6955" i="2"/>
  <c r="G6956" i="2"/>
  <c r="H6956" i="2" s="1"/>
  <c r="G6957" i="2"/>
  <c r="H6957" i="2" s="1"/>
  <c r="G6958" i="2"/>
  <c r="H6958" i="2" s="1"/>
  <c r="G6959" i="2"/>
  <c r="G6960" i="2"/>
  <c r="H6960" i="2" s="1"/>
  <c r="G6961" i="2"/>
  <c r="H6961" i="2" s="1"/>
  <c r="G6962" i="2"/>
  <c r="G6963" i="2"/>
  <c r="G6964" i="2"/>
  <c r="H6964" i="2" s="1"/>
  <c r="G6965" i="2"/>
  <c r="H6965" i="2" s="1"/>
  <c r="G6966" i="2"/>
  <c r="A6966" i="2" s="1"/>
  <c r="G6967" i="2"/>
  <c r="G6968" i="2"/>
  <c r="A6968" i="2" s="1"/>
  <c r="G6969" i="2"/>
  <c r="H6969" i="2" s="1"/>
  <c r="G6970" i="2"/>
  <c r="A6970" i="2" s="1"/>
  <c r="G6971" i="2"/>
  <c r="G6972" i="2"/>
  <c r="G6973" i="2"/>
  <c r="H6973" i="2" s="1"/>
  <c r="G6974" i="2"/>
  <c r="A6974" i="2" s="1"/>
  <c r="G6975" i="2"/>
  <c r="G6976" i="2"/>
  <c r="H6976" i="2" s="1"/>
  <c r="G6977" i="2"/>
  <c r="H6977" i="2" s="1"/>
  <c r="G6978" i="2"/>
  <c r="A6978" i="2" s="1"/>
  <c r="G6979" i="2"/>
  <c r="G6980" i="2"/>
  <c r="A6980" i="2" s="1"/>
  <c r="G6949" i="2"/>
  <c r="H6949" i="2" s="1"/>
  <c r="F6949" i="2" l="1"/>
  <c r="A6952" i="2"/>
  <c r="F6972" i="2"/>
  <c r="H6972" i="2"/>
  <c r="F6963" i="2"/>
  <c r="H6963" i="2"/>
  <c r="F6971" i="2"/>
  <c r="H6971" i="2"/>
  <c r="F6962" i="2"/>
  <c r="H6962" i="2"/>
  <c r="F6955" i="2"/>
  <c r="H6955" i="2"/>
  <c r="F6979" i="2"/>
  <c r="H6979" i="2"/>
  <c r="F6970" i="2"/>
  <c r="H6970" i="2"/>
  <c r="F6950" i="2"/>
  <c r="H6950" i="2"/>
  <c r="F6959" i="2"/>
  <c r="H6959" i="2"/>
  <c r="F6980" i="2"/>
  <c r="H6980" i="2"/>
  <c r="F6951" i="2"/>
  <c r="H6951" i="2"/>
  <c r="F6978" i="2"/>
  <c r="H6978" i="2"/>
  <c r="F6968" i="2"/>
  <c r="H6968" i="2"/>
  <c r="F6958" i="2"/>
  <c r="F6967" i="2"/>
  <c r="H6967" i="2"/>
  <c r="F6974" i="2"/>
  <c r="H6974" i="2"/>
  <c r="F6954" i="2"/>
  <c r="H6954" i="2"/>
  <c r="F6975" i="2"/>
  <c r="H6975" i="2"/>
  <c r="F6966" i="2"/>
  <c r="H6966" i="2"/>
  <c r="A6962" i="2"/>
  <c r="A6960" i="2"/>
  <c r="F6960" i="2"/>
  <c r="F6952" i="2"/>
  <c r="A6956" i="2"/>
  <c r="A6954" i="2"/>
  <c r="A6959" i="2"/>
  <c r="A6955" i="2"/>
  <c r="A6958" i="2"/>
  <c r="F6976" i="2"/>
  <c r="F6964" i="2"/>
  <c r="F6957" i="2"/>
  <c r="A6972" i="2"/>
  <c r="A6953" i="2"/>
  <c r="F6953" i="2"/>
  <c r="A6951" i="2"/>
  <c r="A6961" i="2"/>
  <c r="F6956" i="2"/>
  <c r="A6976" i="2"/>
  <c r="A6964" i="2"/>
  <c r="A6957" i="2"/>
  <c r="A6950" i="2"/>
  <c r="A6979" i="2"/>
  <c r="A6975" i="2"/>
  <c r="A6971" i="2"/>
  <c r="A6967" i="2"/>
  <c r="A6963" i="2"/>
  <c r="F6977" i="2"/>
  <c r="F6973" i="2"/>
  <c r="F6969" i="2"/>
  <c r="F6965" i="2"/>
  <c r="F6961" i="2"/>
  <c r="A6977" i="2"/>
  <c r="A6973" i="2"/>
  <c r="A6969" i="2"/>
  <c r="A6965" i="2"/>
  <c r="A6949" i="2"/>
  <c r="G6918" i="2"/>
  <c r="G6919" i="2"/>
  <c r="G6920" i="2"/>
  <c r="H6920" i="2" s="1"/>
  <c r="G6921" i="2"/>
  <c r="H6921" i="2" s="1"/>
  <c r="G6922" i="2"/>
  <c r="G6923" i="2"/>
  <c r="G6924" i="2"/>
  <c r="H6924" i="2" s="1"/>
  <c r="G6925" i="2"/>
  <c r="H6925" i="2" s="1"/>
  <c r="G6926" i="2"/>
  <c r="G6927" i="2"/>
  <c r="G6928" i="2"/>
  <c r="H6928" i="2" s="1"/>
  <c r="G6929" i="2"/>
  <c r="G6930" i="2"/>
  <c r="G6931" i="2"/>
  <c r="G6932" i="2"/>
  <c r="H6932" i="2" s="1"/>
  <c r="G6933" i="2"/>
  <c r="H6933" i="2" s="1"/>
  <c r="G6934" i="2"/>
  <c r="G6935" i="2"/>
  <c r="A6935" i="2" s="1"/>
  <c r="G6936" i="2"/>
  <c r="H6936" i="2" s="1"/>
  <c r="G6937" i="2"/>
  <c r="H6937" i="2" s="1"/>
  <c r="G6938" i="2"/>
  <c r="G6939" i="2"/>
  <c r="G6940" i="2"/>
  <c r="H6940" i="2" s="1"/>
  <c r="G6941" i="2"/>
  <c r="A6941" i="2" s="1"/>
  <c r="G6942" i="2"/>
  <c r="G6943" i="2"/>
  <c r="G6944" i="2"/>
  <c r="H6944" i="2" s="1"/>
  <c r="G6945" i="2"/>
  <c r="H6945" i="2" s="1"/>
  <c r="G6946" i="2"/>
  <c r="G6947" i="2"/>
  <c r="G6948" i="2"/>
  <c r="H6948" i="2" s="1"/>
  <c r="G6917" i="2"/>
  <c r="F6938" i="2" l="1"/>
  <c r="H6938" i="2"/>
  <c r="F6947" i="2"/>
  <c r="H6947" i="2"/>
  <c r="F6926" i="2"/>
  <c r="H6926" i="2"/>
  <c r="F6931" i="2"/>
  <c r="H6931" i="2"/>
  <c r="F6943" i="2"/>
  <c r="H6943" i="2"/>
  <c r="F6919" i="2"/>
  <c r="H6919" i="2"/>
  <c r="F6946" i="2"/>
  <c r="H6946" i="2"/>
  <c r="F6927" i="2"/>
  <c r="H6927" i="2"/>
  <c r="F6935" i="2"/>
  <c r="H6935" i="2"/>
  <c r="F6923" i="2"/>
  <c r="H6923" i="2"/>
  <c r="A6943" i="2"/>
  <c r="F6934" i="2"/>
  <c r="H6934" i="2"/>
  <c r="F6922" i="2"/>
  <c r="H6922" i="2"/>
  <c r="F6942" i="2"/>
  <c r="H6942" i="2"/>
  <c r="F6918" i="2"/>
  <c r="H6918" i="2"/>
  <c r="F6930" i="2"/>
  <c r="H6930" i="2"/>
  <c r="F6929" i="2"/>
  <c r="H6929" i="2"/>
  <c r="F6941" i="2"/>
  <c r="H6941" i="2"/>
  <c r="F6917" i="2"/>
  <c r="H6917" i="2"/>
  <c r="F6939" i="2"/>
  <c r="H6939" i="2"/>
  <c r="F6925" i="2"/>
  <c r="A6947" i="2"/>
  <c r="A6925" i="2"/>
  <c r="A6923" i="2"/>
  <c r="A6919" i="2"/>
  <c r="A6937" i="2"/>
  <c r="F6937" i="2"/>
  <c r="A6931" i="2"/>
  <c r="A6929" i="2"/>
  <c r="F6945" i="2"/>
  <c r="F6933" i="2"/>
  <c r="A6921" i="2"/>
  <c r="A6927" i="2"/>
  <c r="A6939" i="2"/>
  <c r="F6921" i="2"/>
  <c r="A6918" i="2"/>
  <c r="A6933" i="2"/>
  <c r="A6945" i="2"/>
  <c r="A6946" i="2"/>
  <c r="A6942" i="2"/>
  <c r="A6938" i="2"/>
  <c r="A6934" i="2"/>
  <c r="A6930" i="2"/>
  <c r="A6926" i="2"/>
  <c r="A6922" i="2"/>
  <c r="F6948" i="2"/>
  <c r="F6944" i="2"/>
  <c r="F6940" i="2"/>
  <c r="F6936" i="2"/>
  <c r="F6932" i="2"/>
  <c r="F6928" i="2"/>
  <c r="F6924" i="2"/>
  <c r="F6920" i="2"/>
  <c r="A6948" i="2"/>
  <c r="A6944" i="2"/>
  <c r="A6940" i="2"/>
  <c r="A6936" i="2"/>
  <c r="A6932" i="2"/>
  <c r="A6928" i="2"/>
  <c r="A6924" i="2"/>
  <c r="A6920" i="2"/>
  <c r="A6917" i="2"/>
  <c r="G6886" i="2"/>
  <c r="H6886" i="2" s="1"/>
  <c r="G6887" i="2"/>
  <c r="H6887" i="2" s="1"/>
  <c r="G6888" i="2"/>
  <c r="H6888" i="2" s="1"/>
  <c r="G6889" i="2"/>
  <c r="H6889" i="2" s="1"/>
  <c r="G6890" i="2"/>
  <c r="H6890" i="2" s="1"/>
  <c r="G6891" i="2"/>
  <c r="H6891" i="2" s="1"/>
  <c r="G6892" i="2"/>
  <c r="H6892" i="2" s="1"/>
  <c r="G6893" i="2"/>
  <c r="H6893" i="2" s="1"/>
  <c r="G6894" i="2"/>
  <c r="H6894" i="2" s="1"/>
  <c r="G6895" i="2"/>
  <c r="H6895" i="2" s="1"/>
  <c r="G6896" i="2"/>
  <c r="H6896" i="2" s="1"/>
  <c r="G6897" i="2"/>
  <c r="H6897" i="2" s="1"/>
  <c r="G6898" i="2"/>
  <c r="H6898" i="2" s="1"/>
  <c r="G6899" i="2"/>
  <c r="H6899" i="2" s="1"/>
  <c r="G6900" i="2"/>
  <c r="H6900" i="2" s="1"/>
  <c r="G6901" i="2"/>
  <c r="A6901" i="2" s="1"/>
  <c r="G6902" i="2"/>
  <c r="G6903" i="2"/>
  <c r="A6903" i="2" s="1"/>
  <c r="G6904" i="2"/>
  <c r="H6904" i="2" s="1"/>
  <c r="G6905" i="2"/>
  <c r="H6905" i="2" s="1"/>
  <c r="G6906" i="2"/>
  <c r="H6906" i="2" s="1"/>
  <c r="G6907" i="2"/>
  <c r="H6907" i="2" s="1"/>
  <c r="G6908" i="2"/>
  <c r="H6908" i="2" s="1"/>
  <c r="G6909" i="2"/>
  <c r="G6910" i="2"/>
  <c r="H6910" i="2" s="1"/>
  <c r="G6911" i="2"/>
  <c r="H6911" i="2" s="1"/>
  <c r="G6912" i="2"/>
  <c r="H6912" i="2" s="1"/>
  <c r="G6913" i="2"/>
  <c r="H6913" i="2" s="1"/>
  <c r="G6914" i="2"/>
  <c r="G6915" i="2"/>
  <c r="H6915" i="2" s="1"/>
  <c r="G6916" i="2"/>
  <c r="H6916" i="2" s="1"/>
  <c r="G6885" i="2"/>
  <c r="H6885" i="2" s="1"/>
  <c r="A6894" i="2"/>
  <c r="A6893" i="2" l="1"/>
  <c r="F6915" i="2"/>
  <c r="A6904" i="2"/>
  <c r="F6897" i="2"/>
  <c r="F6894" i="2"/>
  <c r="F6885" i="2"/>
  <c r="F6893" i="2"/>
  <c r="A6913" i="2"/>
  <c r="F6905" i="2"/>
  <c r="A6911" i="2"/>
  <c r="A6907" i="2"/>
  <c r="A6912" i="2"/>
  <c r="A6905" i="2"/>
  <c r="A6887" i="2"/>
  <c r="A6910" i="2"/>
  <c r="A6916" i="2"/>
  <c r="F6899" i="2"/>
  <c r="A6898" i="2"/>
  <c r="F6910" i="2"/>
  <c r="F6887" i="2"/>
  <c r="F6898" i="2"/>
  <c r="A6891" i="2"/>
  <c r="F6911" i="2"/>
  <c r="A6899" i="2"/>
  <c r="F6891" i="2"/>
  <c r="F6909" i="2"/>
  <c r="H6909" i="2"/>
  <c r="F6901" i="2"/>
  <c r="H6901" i="2"/>
  <c r="A6889" i="2"/>
  <c r="F6889" i="2"/>
  <c r="F6913" i="2"/>
  <c r="F6907" i="2"/>
  <c r="A6895" i="2"/>
  <c r="A6906" i="2"/>
  <c r="A6915" i="2"/>
  <c r="F6906" i="2"/>
  <c r="F6895" i="2"/>
  <c r="F6903" i="2"/>
  <c r="H6903" i="2"/>
  <c r="F6914" i="2"/>
  <c r="H6914" i="2"/>
  <c r="F6902" i="2"/>
  <c r="H6902" i="2"/>
  <c r="A6886" i="2"/>
  <c r="F6886" i="2"/>
  <c r="A6902" i="2"/>
  <c r="A6900" i="2"/>
  <c r="A6914" i="2"/>
  <c r="F6890" i="2"/>
  <c r="A6888" i="2"/>
  <c r="A6909" i="2"/>
  <c r="A6896" i="2"/>
  <c r="A6908" i="2"/>
  <c r="A6892" i="2"/>
  <c r="A6890" i="2"/>
  <c r="A6897" i="2"/>
  <c r="F6916" i="2"/>
  <c r="F6900" i="2"/>
  <c r="F6908" i="2"/>
  <c r="F6904" i="2"/>
  <c r="F6912" i="2"/>
  <c r="F6896" i="2"/>
  <c r="F6892" i="2"/>
  <c r="F6888" i="2"/>
  <c r="A6885" i="2"/>
  <c r="G6854" i="2"/>
  <c r="G6855" i="2"/>
  <c r="H6855" i="2" s="1"/>
  <c r="G6856" i="2"/>
  <c r="H6856" i="2" s="1"/>
  <c r="G6857" i="2"/>
  <c r="H6857" i="2" s="1"/>
  <c r="G6858" i="2"/>
  <c r="G6859" i="2"/>
  <c r="G6860" i="2"/>
  <c r="H6860" i="2" s="1"/>
  <c r="G6861" i="2"/>
  <c r="H6861" i="2" s="1"/>
  <c r="G6862" i="2"/>
  <c r="G6863" i="2"/>
  <c r="G6864" i="2"/>
  <c r="H6864" i="2" s="1"/>
  <c r="G6865" i="2"/>
  <c r="G6866" i="2"/>
  <c r="G6867" i="2"/>
  <c r="G6868" i="2"/>
  <c r="H6868" i="2" s="1"/>
  <c r="G6869" i="2"/>
  <c r="H6869" i="2" s="1"/>
  <c r="G6870" i="2"/>
  <c r="G6871" i="2"/>
  <c r="A6871" i="2" s="1"/>
  <c r="G6872" i="2"/>
  <c r="H6872" i="2" s="1"/>
  <c r="G6873" i="2"/>
  <c r="H6873" i="2" s="1"/>
  <c r="G6874" i="2"/>
  <c r="G6875" i="2"/>
  <c r="G6876" i="2"/>
  <c r="H6876" i="2" s="1"/>
  <c r="G6877" i="2"/>
  <c r="G6878" i="2"/>
  <c r="G6879" i="2"/>
  <c r="G6880" i="2"/>
  <c r="H6880" i="2" s="1"/>
  <c r="G6881" i="2"/>
  <c r="G6882" i="2"/>
  <c r="G6883" i="2"/>
  <c r="G6884" i="2"/>
  <c r="H6884" i="2" s="1"/>
  <c r="G6853" i="2"/>
  <c r="A6869" i="2" l="1"/>
  <c r="F6878" i="2"/>
  <c r="H6878" i="2"/>
  <c r="F6877" i="2"/>
  <c r="H6877" i="2"/>
  <c r="F6867" i="2"/>
  <c r="H6867" i="2"/>
  <c r="F6875" i="2"/>
  <c r="H6875" i="2"/>
  <c r="F6866" i="2"/>
  <c r="H6866" i="2"/>
  <c r="F6855" i="2"/>
  <c r="F6859" i="2"/>
  <c r="H6859" i="2"/>
  <c r="F6879" i="2"/>
  <c r="H6879" i="2"/>
  <c r="F6874" i="2"/>
  <c r="H6874" i="2"/>
  <c r="F6865" i="2"/>
  <c r="H6865" i="2"/>
  <c r="F6854" i="2"/>
  <c r="H6854" i="2"/>
  <c r="F6858" i="2"/>
  <c r="H6858" i="2"/>
  <c r="F6869" i="2"/>
  <c r="F6853" i="2"/>
  <c r="H6853" i="2"/>
  <c r="F6863" i="2"/>
  <c r="H6863" i="2"/>
  <c r="F6862" i="2"/>
  <c r="H6862" i="2"/>
  <c r="F6883" i="2"/>
  <c r="H6883" i="2"/>
  <c r="F6882" i="2"/>
  <c r="H6882" i="2"/>
  <c r="F6871" i="2"/>
  <c r="H6871" i="2"/>
  <c r="F6881" i="2"/>
  <c r="H6881" i="2"/>
  <c r="F6870" i="2"/>
  <c r="H6870" i="2"/>
  <c r="A6858" i="2"/>
  <c r="A6856" i="2"/>
  <c r="A6883" i="2"/>
  <c r="A6881" i="2"/>
  <c r="A6879" i="2"/>
  <c r="A6865" i="2"/>
  <c r="A6863" i="2"/>
  <c r="A6859" i="2"/>
  <c r="A6877" i="2"/>
  <c r="A6875" i="2"/>
  <c r="A6854" i="2"/>
  <c r="A6857" i="2"/>
  <c r="F6857" i="2"/>
  <c r="A6867" i="2"/>
  <c r="A6855" i="2"/>
  <c r="F6861" i="2"/>
  <c r="A6873" i="2"/>
  <c r="A6861" i="2"/>
  <c r="F6873" i="2"/>
  <c r="A6882" i="2"/>
  <c r="A6878" i="2"/>
  <c r="A6874" i="2"/>
  <c r="A6870" i="2"/>
  <c r="A6866" i="2"/>
  <c r="A6862" i="2"/>
  <c r="F6884" i="2"/>
  <c r="F6880" i="2"/>
  <c r="F6876" i="2"/>
  <c r="F6872" i="2"/>
  <c r="F6868" i="2"/>
  <c r="F6864" i="2"/>
  <c r="F6860" i="2"/>
  <c r="F6856" i="2"/>
  <c r="A6884" i="2"/>
  <c r="A6880" i="2"/>
  <c r="A6876" i="2"/>
  <c r="A6872" i="2"/>
  <c r="A6868" i="2"/>
  <c r="A6864" i="2"/>
  <c r="A6860" i="2"/>
  <c r="A6853" i="2"/>
  <c r="G6822" i="2"/>
  <c r="G6823" i="2"/>
  <c r="G6824" i="2"/>
  <c r="H6824" i="2" s="1"/>
  <c r="G6825" i="2"/>
  <c r="H6825" i="2" s="1"/>
  <c r="G6826" i="2"/>
  <c r="H6826" i="2" s="1"/>
  <c r="G6827" i="2"/>
  <c r="H6827" i="2" s="1"/>
  <c r="G6828" i="2"/>
  <c r="H6828" i="2" s="1"/>
  <c r="G6829" i="2"/>
  <c r="H6829" i="2" s="1"/>
  <c r="G6830" i="2"/>
  <c r="H6830" i="2" s="1"/>
  <c r="G6831" i="2"/>
  <c r="A6831" i="2" s="1"/>
  <c r="G6832" i="2"/>
  <c r="H6832" i="2" s="1"/>
  <c r="G6833" i="2"/>
  <c r="H6833" i="2" s="1"/>
  <c r="G6834" i="2"/>
  <c r="H6834" i="2" s="1"/>
  <c r="G6835" i="2"/>
  <c r="H6835" i="2" s="1"/>
  <c r="G6836" i="2"/>
  <c r="H6836" i="2" s="1"/>
  <c r="G6837" i="2"/>
  <c r="H6837" i="2" s="1"/>
  <c r="G6838" i="2"/>
  <c r="H6838" i="2" s="1"/>
  <c r="G6839" i="2"/>
  <c r="G6840" i="2"/>
  <c r="H6840" i="2" s="1"/>
  <c r="G6841" i="2"/>
  <c r="H6841" i="2" s="1"/>
  <c r="G6842" i="2"/>
  <c r="G6843" i="2"/>
  <c r="H6843" i="2" s="1"/>
  <c r="G6844" i="2"/>
  <c r="H6844" i="2" s="1"/>
  <c r="G6845" i="2"/>
  <c r="G6846" i="2"/>
  <c r="G6847" i="2"/>
  <c r="G6848" i="2"/>
  <c r="H6848" i="2" s="1"/>
  <c r="G6849" i="2"/>
  <c r="G6850" i="2"/>
  <c r="G6851" i="2"/>
  <c r="G6852" i="2"/>
  <c r="H6852" i="2" s="1"/>
  <c r="G6821" i="2"/>
  <c r="H6821" i="2" s="1"/>
  <c r="A6827" i="2" l="1"/>
  <c r="F6827" i="2"/>
  <c r="F6846" i="2"/>
  <c r="H6846" i="2"/>
  <c r="F6823" i="2"/>
  <c r="H6823" i="2"/>
  <c r="F6825" i="2"/>
  <c r="F6842" i="2"/>
  <c r="H6842" i="2"/>
  <c r="F6831" i="2"/>
  <c r="H6831" i="2"/>
  <c r="F6822" i="2"/>
  <c r="H6822" i="2"/>
  <c r="F6851" i="2"/>
  <c r="H6851" i="2"/>
  <c r="F6839" i="2"/>
  <c r="H6839" i="2"/>
  <c r="F6850" i="2"/>
  <c r="H6850" i="2"/>
  <c r="F6849" i="2"/>
  <c r="H6849" i="2"/>
  <c r="F6847" i="2"/>
  <c r="H6847" i="2"/>
  <c r="F6845" i="2"/>
  <c r="H6845" i="2"/>
  <c r="A6837" i="2"/>
  <c r="F6835" i="2"/>
  <c r="F6833" i="2"/>
  <c r="F6830" i="2"/>
  <c r="A6833" i="2"/>
  <c r="A6822" i="2"/>
  <c r="A6829" i="2"/>
  <c r="A6851" i="2"/>
  <c r="A6849" i="2"/>
  <c r="A6834" i="2"/>
  <c r="A6825" i="2"/>
  <c r="A6845" i="2"/>
  <c r="A6841" i="2"/>
  <c r="A6839" i="2"/>
  <c r="A6830" i="2"/>
  <c r="F6841" i="2"/>
  <c r="F6829" i="2"/>
  <c r="F6834" i="2"/>
  <c r="A6835" i="2"/>
  <c r="A6823" i="2"/>
  <c r="A6847" i="2"/>
  <c r="F6837" i="2"/>
  <c r="A6826" i="2"/>
  <c r="F6843" i="2"/>
  <c r="A6843" i="2"/>
  <c r="F6838" i="2"/>
  <c r="F6826" i="2"/>
  <c r="A6821" i="2"/>
  <c r="A6850" i="2"/>
  <c r="A6846" i="2"/>
  <c r="A6842" i="2"/>
  <c r="A6838" i="2"/>
  <c r="F6852" i="2"/>
  <c r="F6848" i="2"/>
  <c r="F6844" i="2"/>
  <c r="F6840" i="2"/>
  <c r="F6836" i="2"/>
  <c r="F6832" i="2"/>
  <c r="F6828" i="2"/>
  <c r="F6824" i="2"/>
  <c r="A6852" i="2"/>
  <c r="A6848" i="2"/>
  <c r="A6844" i="2"/>
  <c r="A6840" i="2"/>
  <c r="A6836" i="2"/>
  <c r="A6832" i="2"/>
  <c r="A6828" i="2"/>
  <c r="A6824" i="2"/>
  <c r="F6821" i="2"/>
  <c r="G6790" i="2"/>
  <c r="G6791" i="2"/>
  <c r="G6792" i="2"/>
  <c r="H6792" i="2" s="1"/>
  <c r="G6793" i="2"/>
  <c r="H6793" i="2" s="1"/>
  <c r="G6794" i="2"/>
  <c r="H6794" i="2" s="1"/>
  <c r="G6795" i="2"/>
  <c r="A6795" i="2" s="1"/>
  <c r="G6796" i="2"/>
  <c r="H6796" i="2" s="1"/>
  <c r="G6797" i="2"/>
  <c r="H6797" i="2" s="1"/>
  <c r="G6798" i="2"/>
  <c r="H6798" i="2" s="1"/>
  <c r="G6799" i="2"/>
  <c r="G6800" i="2"/>
  <c r="H6800" i="2" s="1"/>
  <c r="G6801" i="2"/>
  <c r="H6801" i="2" s="1"/>
  <c r="G6802" i="2"/>
  <c r="G6803" i="2"/>
  <c r="G6804" i="2"/>
  <c r="H6804" i="2" s="1"/>
  <c r="G6805" i="2"/>
  <c r="H6805" i="2" s="1"/>
  <c r="G6806" i="2"/>
  <c r="G6807" i="2"/>
  <c r="G6808" i="2"/>
  <c r="H6808" i="2" s="1"/>
  <c r="G6809" i="2"/>
  <c r="H6809" i="2" s="1"/>
  <c r="G6810" i="2"/>
  <c r="H6810" i="2" s="1"/>
  <c r="G6811" i="2"/>
  <c r="G6812" i="2"/>
  <c r="H6812" i="2" s="1"/>
  <c r="G6813" i="2"/>
  <c r="H6813" i="2" s="1"/>
  <c r="G6814" i="2"/>
  <c r="G6815" i="2"/>
  <c r="G6816" i="2"/>
  <c r="H6816" i="2" s="1"/>
  <c r="G6817" i="2"/>
  <c r="H6817" i="2" s="1"/>
  <c r="G6818" i="2"/>
  <c r="A6818" i="2" s="1"/>
  <c r="G6819" i="2"/>
  <c r="A6819" i="2" s="1"/>
  <c r="G6820" i="2"/>
  <c r="H6820" i="2" s="1"/>
  <c r="G6789" i="2"/>
  <c r="A6794" i="2" l="1"/>
  <c r="F6794" i="2"/>
  <c r="A6798" i="2"/>
  <c r="A6801" i="2"/>
  <c r="F6807" i="2"/>
  <c r="H6807" i="2"/>
  <c r="F6806" i="2"/>
  <c r="H6806" i="2"/>
  <c r="F6795" i="2"/>
  <c r="H6795" i="2"/>
  <c r="F6803" i="2"/>
  <c r="H6803" i="2"/>
  <c r="F6814" i="2"/>
  <c r="H6814" i="2"/>
  <c r="F6802" i="2"/>
  <c r="H6802" i="2"/>
  <c r="F6815" i="2"/>
  <c r="H6815" i="2"/>
  <c r="F6790" i="2"/>
  <c r="H6790" i="2"/>
  <c r="F6819" i="2"/>
  <c r="H6819" i="2"/>
  <c r="F6789" i="2"/>
  <c r="H6789" i="2"/>
  <c r="F6811" i="2"/>
  <c r="H6811" i="2"/>
  <c r="F6818" i="2"/>
  <c r="H6818" i="2"/>
  <c r="F6799" i="2"/>
  <c r="H6799" i="2"/>
  <c r="F6791" i="2"/>
  <c r="H6791" i="2"/>
  <c r="F6798" i="2"/>
  <c r="A6807" i="2"/>
  <c r="A6810" i="2"/>
  <c r="A6791" i="2"/>
  <c r="F6810" i="2"/>
  <c r="A6806" i="2"/>
  <c r="A6814" i="2"/>
  <c r="A6803" i="2"/>
  <c r="A6793" i="2"/>
  <c r="F6797" i="2"/>
  <c r="A6815" i="2"/>
  <c r="F6817" i="2"/>
  <c r="F6805" i="2"/>
  <c r="F6793" i="2"/>
  <c r="F6809" i="2"/>
  <c r="A6811" i="2"/>
  <c r="A6799" i="2"/>
  <c r="F6813" i="2"/>
  <c r="F6801" i="2"/>
  <c r="A6802" i="2"/>
  <c r="A6797" i="2"/>
  <c r="A6790" i="2"/>
  <c r="F6820" i="2"/>
  <c r="F6816" i="2"/>
  <c r="F6812" i="2"/>
  <c r="F6808" i="2"/>
  <c r="F6804" i="2"/>
  <c r="F6800" i="2"/>
  <c r="F6796" i="2"/>
  <c r="F6792" i="2"/>
  <c r="A6817" i="2"/>
  <c r="A6813" i="2"/>
  <c r="A6809" i="2"/>
  <c r="A6805" i="2"/>
  <c r="A6820" i="2"/>
  <c r="A6816" i="2"/>
  <c r="A6812" i="2"/>
  <c r="A6808" i="2"/>
  <c r="A6804" i="2"/>
  <c r="A6800" i="2"/>
  <c r="A6796" i="2"/>
  <c r="A6792" i="2"/>
  <c r="A6789" i="2"/>
  <c r="G6758" i="2"/>
  <c r="A6758" i="2" s="1"/>
  <c r="G6759" i="2"/>
  <c r="G6760" i="2"/>
  <c r="H6760" i="2" s="1"/>
  <c r="G6761" i="2"/>
  <c r="H6761" i="2" s="1"/>
  <c r="G6762" i="2"/>
  <c r="G6763" i="2"/>
  <c r="G6764" i="2"/>
  <c r="H6764" i="2" s="1"/>
  <c r="G6765" i="2"/>
  <c r="H6765" i="2" s="1"/>
  <c r="G6766" i="2"/>
  <c r="G6767" i="2"/>
  <c r="A6767" i="2" s="1"/>
  <c r="G6768" i="2"/>
  <c r="H6768" i="2" s="1"/>
  <c r="G6769" i="2"/>
  <c r="H6769" i="2" s="1"/>
  <c r="G6770" i="2"/>
  <c r="H6770" i="2" s="1"/>
  <c r="G6771" i="2"/>
  <c r="H6771" i="2" s="1"/>
  <c r="G6772" i="2"/>
  <c r="H6772" i="2" s="1"/>
  <c r="G6773" i="2"/>
  <c r="H6773" i="2" s="1"/>
  <c r="G6774" i="2"/>
  <c r="G6775" i="2"/>
  <c r="H6775" i="2" s="1"/>
  <c r="G6776" i="2"/>
  <c r="H6776" i="2" s="1"/>
  <c r="G6777" i="2"/>
  <c r="H6777" i="2" s="1"/>
  <c r="G6778" i="2"/>
  <c r="G6779" i="2"/>
  <c r="H6779" i="2" s="1"/>
  <c r="G6780" i="2"/>
  <c r="H6780" i="2" s="1"/>
  <c r="G6781" i="2"/>
  <c r="H6781" i="2" s="1"/>
  <c r="G6782" i="2"/>
  <c r="G6783" i="2"/>
  <c r="H6783" i="2" s="1"/>
  <c r="G6784" i="2"/>
  <c r="H6784" i="2" s="1"/>
  <c r="G6785" i="2"/>
  <c r="H6785" i="2" s="1"/>
  <c r="G6786" i="2"/>
  <c r="G6787" i="2"/>
  <c r="H6787" i="2" s="1"/>
  <c r="G6788" i="2"/>
  <c r="H6788" i="2" s="1"/>
  <c r="E6788" i="2"/>
  <c r="O6788" i="2" s="1"/>
  <c r="G6757" i="2"/>
  <c r="A6765" i="2" l="1"/>
  <c r="A6777" i="2"/>
  <c r="F6770" i="2"/>
  <c r="F6758" i="2"/>
  <c r="H6758" i="2"/>
  <c r="F6786" i="2"/>
  <c r="H6786" i="2"/>
  <c r="F6767" i="2"/>
  <c r="H6767" i="2"/>
  <c r="F6766" i="2"/>
  <c r="H6766" i="2"/>
  <c r="A6773" i="2"/>
  <c r="F6782" i="2"/>
  <c r="H6782" i="2"/>
  <c r="F6763" i="2"/>
  <c r="H6763" i="2"/>
  <c r="F6762" i="2"/>
  <c r="H6762" i="2"/>
  <c r="F6774" i="2"/>
  <c r="H6774" i="2"/>
  <c r="A6785" i="2"/>
  <c r="F6757" i="2"/>
  <c r="H6757" i="2"/>
  <c r="Q6788" i="2"/>
  <c r="P6788" i="2"/>
  <c r="F6778" i="2"/>
  <c r="H6778" i="2"/>
  <c r="F6759" i="2"/>
  <c r="H6759" i="2"/>
  <c r="A6786" i="2"/>
  <c r="A6782" i="2"/>
  <c r="A6778" i="2"/>
  <c r="A6770" i="2"/>
  <c r="A6766" i="2"/>
  <c r="A6762" i="2"/>
  <c r="A6774" i="2"/>
  <c r="A6761" i="2"/>
  <c r="A6759" i="2"/>
  <c r="F6785" i="2"/>
  <c r="F6773" i="2"/>
  <c r="F6761" i="2"/>
  <c r="A6781" i="2"/>
  <c r="A6769" i="2"/>
  <c r="F6781" i="2"/>
  <c r="F6769" i="2"/>
  <c r="A6763" i="2"/>
  <c r="F6777" i="2"/>
  <c r="F6765" i="2"/>
  <c r="A6779" i="2"/>
  <c r="A6775" i="2"/>
  <c r="A6783" i="2"/>
  <c r="A6787" i="2"/>
  <c r="A6771" i="2"/>
  <c r="F6788" i="2"/>
  <c r="F6784" i="2"/>
  <c r="F6780" i="2"/>
  <c r="F6776" i="2"/>
  <c r="F6768" i="2"/>
  <c r="F6764" i="2"/>
  <c r="F6760" i="2"/>
  <c r="A6788" i="2"/>
  <c r="A6784" i="2"/>
  <c r="A6780" i="2"/>
  <c r="A6776" i="2"/>
  <c r="A6772" i="2"/>
  <c r="A6768" i="2"/>
  <c r="A6764" i="2"/>
  <c r="A6760" i="2"/>
  <c r="F6787" i="2"/>
  <c r="F6783" i="2"/>
  <c r="F6779" i="2"/>
  <c r="F6775" i="2"/>
  <c r="F6771" i="2"/>
  <c r="F6772" i="2"/>
  <c r="A6757" i="2"/>
  <c r="G6726" i="2"/>
  <c r="G6727" i="2"/>
  <c r="A6727" i="2" s="1"/>
  <c r="G6728" i="2"/>
  <c r="H6728" i="2" s="1"/>
  <c r="G6729" i="2"/>
  <c r="G6730" i="2"/>
  <c r="G6731" i="2"/>
  <c r="G6732" i="2"/>
  <c r="H6732" i="2" s="1"/>
  <c r="G6733" i="2"/>
  <c r="H6733" i="2" s="1"/>
  <c r="G6734" i="2"/>
  <c r="G6735" i="2"/>
  <c r="G6736" i="2"/>
  <c r="H6736" i="2" s="1"/>
  <c r="G6737" i="2"/>
  <c r="G6738" i="2"/>
  <c r="G6739" i="2"/>
  <c r="G6740" i="2"/>
  <c r="H6740" i="2" s="1"/>
  <c r="G6741" i="2"/>
  <c r="G6742" i="2"/>
  <c r="G6743" i="2"/>
  <c r="G6744" i="2"/>
  <c r="H6744" i="2" s="1"/>
  <c r="G6745" i="2"/>
  <c r="H6745" i="2" s="1"/>
  <c r="G6746" i="2"/>
  <c r="G6747" i="2"/>
  <c r="G6748" i="2"/>
  <c r="H6748" i="2" s="1"/>
  <c r="G6749" i="2"/>
  <c r="G6750" i="2"/>
  <c r="H6750" i="2" s="1"/>
  <c r="G6751" i="2"/>
  <c r="G6752" i="2"/>
  <c r="H6752" i="2" s="1"/>
  <c r="G6753" i="2"/>
  <c r="G6754" i="2"/>
  <c r="H6754" i="2" s="1"/>
  <c r="G6755" i="2"/>
  <c r="G6756" i="2"/>
  <c r="H6756" i="2" s="1"/>
  <c r="G6725" i="2"/>
  <c r="F6746" i="2" l="1"/>
  <c r="H6746" i="2"/>
  <c r="F6734" i="2"/>
  <c r="H6734" i="2"/>
  <c r="F6747" i="2"/>
  <c r="H6747" i="2"/>
  <c r="F6725" i="2"/>
  <c r="H6725" i="2"/>
  <c r="F6726" i="2"/>
  <c r="H6726" i="2"/>
  <c r="F6735" i="2"/>
  <c r="H6735" i="2"/>
  <c r="F6743" i="2"/>
  <c r="H6743" i="2"/>
  <c r="F6753" i="2"/>
  <c r="H6753" i="2"/>
  <c r="F6729" i="2"/>
  <c r="H6729" i="2"/>
  <c r="F6755" i="2"/>
  <c r="H6755" i="2"/>
  <c r="F6741" i="2"/>
  <c r="H6741" i="2"/>
  <c r="F6739" i="2"/>
  <c r="H6739" i="2"/>
  <c r="F6731" i="2"/>
  <c r="H6731" i="2"/>
  <c r="F6742" i="2"/>
  <c r="H6742" i="2"/>
  <c r="F6730" i="2"/>
  <c r="H6730" i="2"/>
  <c r="F6738" i="2"/>
  <c r="H6738" i="2"/>
  <c r="F6727" i="2"/>
  <c r="H6727" i="2"/>
  <c r="F6751" i="2"/>
  <c r="H6751" i="2"/>
  <c r="F6749" i="2"/>
  <c r="H6749" i="2"/>
  <c r="F6737" i="2"/>
  <c r="H6737" i="2"/>
  <c r="A6726" i="2"/>
  <c r="A6753" i="2"/>
  <c r="A6752" i="2"/>
  <c r="A6750" i="2"/>
  <c r="A6748" i="2"/>
  <c r="A6746" i="2"/>
  <c r="A6742" i="2"/>
  <c r="A6740" i="2"/>
  <c r="A6738" i="2"/>
  <c r="A6736" i="2"/>
  <c r="A6734" i="2"/>
  <c r="A6732" i="2"/>
  <c r="A6730" i="2"/>
  <c r="F6745" i="2"/>
  <c r="F6733" i="2"/>
  <c r="A6729" i="2"/>
  <c r="A6741" i="2"/>
  <c r="A6749" i="2"/>
  <c r="A6737" i="2"/>
  <c r="A6745" i="2"/>
  <c r="A6733" i="2"/>
  <c r="A6728" i="2"/>
  <c r="A6751" i="2"/>
  <c r="A6754" i="2"/>
  <c r="A6756" i="2"/>
  <c r="A6755" i="2"/>
  <c r="A6743" i="2"/>
  <c r="A6739" i="2"/>
  <c r="A6735" i="2"/>
  <c r="A6747" i="2"/>
  <c r="A6731" i="2"/>
  <c r="F6744" i="2"/>
  <c r="F6750" i="2"/>
  <c r="A6744" i="2"/>
  <c r="F6752" i="2"/>
  <c r="F6748" i="2"/>
  <c r="F6740" i="2"/>
  <c r="F6756" i="2"/>
  <c r="F6754" i="2"/>
  <c r="F6736" i="2"/>
  <c r="F6732" i="2"/>
  <c r="F6728" i="2"/>
  <c r="A6725" i="2"/>
  <c r="G6694" i="2"/>
  <c r="G6695" i="2"/>
  <c r="A6695" i="2" s="1"/>
  <c r="G6696" i="2"/>
  <c r="H6696" i="2" s="1"/>
  <c r="G6697" i="2"/>
  <c r="G6698" i="2"/>
  <c r="G6699" i="2"/>
  <c r="H6699" i="2" s="1"/>
  <c r="G6700" i="2"/>
  <c r="H6700" i="2" s="1"/>
  <c r="G6701" i="2"/>
  <c r="G6702" i="2"/>
  <c r="G6703" i="2"/>
  <c r="H6703" i="2" s="1"/>
  <c r="G6704" i="2"/>
  <c r="H6704" i="2" s="1"/>
  <c r="G6705" i="2"/>
  <c r="H6705" i="2" s="1"/>
  <c r="G6706" i="2"/>
  <c r="G6707" i="2"/>
  <c r="H6707" i="2" s="1"/>
  <c r="G6708" i="2"/>
  <c r="H6708" i="2" s="1"/>
  <c r="G6709" i="2"/>
  <c r="G6710" i="2"/>
  <c r="G6711" i="2"/>
  <c r="G6712" i="2"/>
  <c r="H6712" i="2" s="1"/>
  <c r="G6713" i="2"/>
  <c r="H6713" i="2" s="1"/>
  <c r="G6714" i="2"/>
  <c r="G6715" i="2"/>
  <c r="H6715" i="2" s="1"/>
  <c r="G6716" i="2"/>
  <c r="G6717" i="2"/>
  <c r="A6717" i="2" s="1"/>
  <c r="G6718" i="2"/>
  <c r="H6718" i="2" s="1"/>
  <c r="G6719" i="2"/>
  <c r="A6719" i="2" s="1"/>
  <c r="G6720" i="2"/>
  <c r="G6721" i="2"/>
  <c r="G6722" i="2"/>
  <c r="H6722" i="2" s="1"/>
  <c r="G6723" i="2"/>
  <c r="G6724" i="2"/>
  <c r="G6693" i="2"/>
  <c r="A6699" i="2" l="1"/>
  <c r="F6704" i="2"/>
  <c r="A6704" i="2"/>
  <c r="F6721" i="2"/>
  <c r="H6721" i="2"/>
  <c r="F6702" i="2"/>
  <c r="H6702" i="2"/>
  <c r="F6720" i="2"/>
  <c r="H6720" i="2"/>
  <c r="F6711" i="2"/>
  <c r="H6711" i="2"/>
  <c r="F6701" i="2"/>
  <c r="H6701" i="2"/>
  <c r="F6723" i="2"/>
  <c r="H6723" i="2"/>
  <c r="F6713" i="2"/>
  <c r="F6709" i="2"/>
  <c r="H6709" i="2"/>
  <c r="F6698" i="2"/>
  <c r="H6698" i="2"/>
  <c r="F6717" i="2"/>
  <c r="H6717" i="2"/>
  <c r="F6706" i="2"/>
  <c r="H6706" i="2"/>
  <c r="F6697" i="2"/>
  <c r="H6697" i="2"/>
  <c r="F6710" i="2"/>
  <c r="H6710" i="2"/>
  <c r="F6693" i="2"/>
  <c r="H6693" i="2"/>
  <c r="F6716" i="2"/>
  <c r="H6716" i="2"/>
  <c r="F6724" i="2"/>
  <c r="H6724" i="2"/>
  <c r="F6694" i="2"/>
  <c r="H6694" i="2"/>
  <c r="F6719" i="2"/>
  <c r="H6719" i="2"/>
  <c r="A6723" i="2"/>
  <c r="F6714" i="2"/>
  <c r="H6714" i="2"/>
  <c r="F6695" i="2"/>
  <c r="H6695" i="2"/>
  <c r="A6694" i="2"/>
  <c r="F6705" i="2"/>
  <c r="A6712" i="2"/>
  <c r="A6708" i="2"/>
  <c r="A6705" i="2"/>
  <c r="A6716" i="2"/>
  <c r="A6714" i="2"/>
  <c r="A6701" i="2"/>
  <c r="A6713" i="2"/>
  <c r="A6702" i="2"/>
  <c r="A6724" i="2"/>
  <c r="A6700" i="2"/>
  <c r="A6698" i="2"/>
  <c r="A6696" i="2"/>
  <c r="A6722" i="2"/>
  <c r="A6707" i="2"/>
  <c r="F6715" i="2"/>
  <c r="A6718" i="2"/>
  <c r="A6711" i="2"/>
  <c r="F6708" i="2"/>
  <c r="A6706" i="2"/>
  <c r="F6696" i="2"/>
  <c r="F6703" i="2"/>
  <c r="A6709" i="2"/>
  <c r="A6697" i="2"/>
  <c r="A6721" i="2"/>
  <c r="F6699" i="2"/>
  <c r="F6707" i="2"/>
  <c r="A6715" i="2"/>
  <c r="A6710" i="2"/>
  <c r="F6700" i="2"/>
  <c r="A6720" i="2"/>
  <c r="A6703" i="2"/>
  <c r="F6722" i="2"/>
  <c r="F6718" i="2"/>
  <c r="F6712" i="2"/>
  <c r="A6693" i="2"/>
  <c r="G6662" i="2"/>
  <c r="G6663" i="2"/>
  <c r="G6664" i="2"/>
  <c r="H6664" i="2" s="1"/>
  <c r="G6665" i="2"/>
  <c r="H6665" i="2" s="1"/>
  <c r="G6666" i="2"/>
  <c r="H6666" i="2" s="1"/>
  <c r="G6667" i="2"/>
  <c r="G6668" i="2"/>
  <c r="G6669" i="2"/>
  <c r="H6669" i="2" s="1"/>
  <c r="G6670" i="2"/>
  <c r="H6670" i="2" s="1"/>
  <c r="G6671" i="2"/>
  <c r="G6672" i="2"/>
  <c r="G6673" i="2"/>
  <c r="H6673" i="2" s="1"/>
  <c r="G6674" i="2"/>
  <c r="G6675" i="2"/>
  <c r="G6676" i="2"/>
  <c r="G6677" i="2"/>
  <c r="G6678" i="2"/>
  <c r="G6679" i="2"/>
  <c r="A6679" i="2" s="1"/>
  <c r="G6680" i="2"/>
  <c r="G6681" i="2"/>
  <c r="G6682" i="2"/>
  <c r="H6682" i="2" s="1"/>
  <c r="G6683" i="2"/>
  <c r="G6684" i="2"/>
  <c r="G6685" i="2"/>
  <c r="G6686" i="2"/>
  <c r="A6686" i="2" s="1"/>
  <c r="G6687" i="2"/>
  <c r="G6688" i="2"/>
  <c r="G6689" i="2"/>
  <c r="G6690" i="2"/>
  <c r="G6691" i="2"/>
  <c r="G6692" i="2"/>
  <c r="G6661" i="2"/>
  <c r="H6661" i="2" s="1"/>
  <c r="F6666" i="2" l="1"/>
  <c r="F6661" i="2"/>
  <c r="F6676" i="2"/>
  <c r="H6676" i="2"/>
  <c r="F6675" i="2"/>
  <c r="H6675" i="2"/>
  <c r="F6665" i="2"/>
  <c r="F6677" i="2"/>
  <c r="H6677" i="2"/>
  <c r="F6686" i="2"/>
  <c r="H6686" i="2"/>
  <c r="F6685" i="2"/>
  <c r="H6685" i="2"/>
  <c r="F6674" i="2"/>
  <c r="H6674" i="2"/>
  <c r="A6664" i="2"/>
  <c r="F6663" i="2"/>
  <c r="H6663" i="2"/>
  <c r="F6684" i="2"/>
  <c r="H6684" i="2"/>
  <c r="F6683" i="2"/>
  <c r="H6683" i="2"/>
  <c r="F6672" i="2"/>
  <c r="H6672" i="2"/>
  <c r="F6671" i="2"/>
  <c r="H6671" i="2"/>
  <c r="F6662" i="2"/>
  <c r="H6662" i="2"/>
  <c r="F6687" i="2"/>
  <c r="H6687" i="2"/>
  <c r="F6692" i="2"/>
  <c r="H6692" i="2"/>
  <c r="F6681" i="2"/>
  <c r="H6681" i="2"/>
  <c r="F6691" i="2"/>
  <c r="H6691" i="2"/>
  <c r="F6680" i="2"/>
  <c r="H6680" i="2"/>
  <c r="F6690" i="2"/>
  <c r="H6690" i="2"/>
  <c r="F6668" i="2"/>
  <c r="H6668" i="2"/>
  <c r="F6689" i="2"/>
  <c r="H6689" i="2"/>
  <c r="F6679" i="2"/>
  <c r="H6679" i="2"/>
  <c r="F6667" i="2"/>
  <c r="H6667" i="2"/>
  <c r="F6688" i="2"/>
  <c r="H6688" i="2"/>
  <c r="F6678" i="2"/>
  <c r="H6678" i="2"/>
  <c r="A6671" i="2"/>
  <c r="A6667" i="2"/>
  <c r="A6678" i="2"/>
  <c r="A6691" i="2"/>
  <c r="A6666" i="2"/>
  <c r="A6690" i="2"/>
  <c r="A6683" i="2"/>
  <c r="A6672" i="2"/>
  <c r="A6668" i="2"/>
  <c r="F6682" i="2"/>
  <c r="A6680" i="2"/>
  <c r="F6670" i="2"/>
  <c r="A6688" i="2"/>
  <c r="A6674" i="2"/>
  <c r="A6662" i="2"/>
  <c r="A6670" i="2"/>
  <c r="A6682" i="2"/>
  <c r="A6687" i="2"/>
  <c r="A6675" i="2"/>
  <c r="A6663" i="2"/>
  <c r="A6669" i="2"/>
  <c r="F6669" i="2"/>
  <c r="A6692" i="2"/>
  <c r="A6684" i="2"/>
  <c r="A6676" i="2"/>
  <c r="A6689" i="2"/>
  <c r="A6685" i="2"/>
  <c r="A6681" i="2"/>
  <c r="A6677" i="2"/>
  <c r="A6673" i="2"/>
  <c r="F6673" i="2"/>
  <c r="F6664" i="2"/>
  <c r="A6665" i="2"/>
  <c r="A6661" i="2"/>
  <c r="G6630" i="2"/>
  <c r="G6631" i="2"/>
  <c r="A6631" i="2" s="1"/>
  <c r="G6632" i="2"/>
  <c r="H6632" i="2" s="1"/>
  <c r="G6633" i="2"/>
  <c r="H6633" i="2" s="1"/>
  <c r="G6634" i="2"/>
  <c r="G6635" i="2"/>
  <c r="A6635" i="2" s="1"/>
  <c r="G6636" i="2"/>
  <c r="H6636" i="2" s="1"/>
  <c r="G6637" i="2"/>
  <c r="G6638" i="2"/>
  <c r="G6639" i="2"/>
  <c r="G6640" i="2"/>
  <c r="H6640" i="2" s="1"/>
  <c r="G6641" i="2"/>
  <c r="G6642" i="2"/>
  <c r="G6643" i="2"/>
  <c r="G6644" i="2"/>
  <c r="H6644" i="2" s="1"/>
  <c r="G6645" i="2"/>
  <c r="H6645" i="2" s="1"/>
  <c r="G6646" i="2"/>
  <c r="G6647" i="2"/>
  <c r="G6648" i="2"/>
  <c r="H6648" i="2" s="1"/>
  <c r="G6649" i="2"/>
  <c r="G6650" i="2"/>
  <c r="G6651" i="2"/>
  <c r="G6652" i="2"/>
  <c r="H6652" i="2" s="1"/>
  <c r="G6653" i="2"/>
  <c r="G6654" i="2"/>
  <c r="G6655" i="2"/>
  <c r="G6656" i="2"/>
  <c r="H6656" i="2" s="1"/>
  <c r="G6657" i="2"/>
  <c r="H6657" i="2" s="1"/>
  <c r="G6658" i="2"/>
  <c r="G6659" i="2"/>
  <c r="G6660" i="2"/>
  <c r="H6660" i="2" s="1"/>
  <c r="G6629" i="2"/>
  <c r="A6633" i="2" l="1"/>
  <c r="F6650" i="2"/>
  <c r="H6650" i="2"/>
  <c r="F6649" i="2"/>
  <c r="H6649" i="2"/>
  <c r="F6637" i="2"/>
  <c r="H6637" i="2"/>
  <c r="F6659" i="2"/>
  <c r="H6659" i="2"/>
  <c r="F6647" i="2"/>
  <c r="H6647" i="2"/>
  <c r="F6658" i="2"/>
  <c r="H6658" i="2"/>
  <c r="F6646" i="2"/>
  <c r="H6646" i="2"/>
  <c r="F6635" i="2"/>
  <c r="H6635" i="2"/>
  <c r="F6638" i="2"/>
  <c r="H6638" i="2"/>
  <c r="F6629" i="2"/>
  <c r="H6629" i="2"/>
  <c r="F6634" i="2"/>
  <c r="H6634" i="2"/>
  <c r="F6655" i="2"/>
  <c r="H6655" i="2"/>
  <c r="F6642" i="2"/>
  <c r="H6642" i="2"/>
  <c r="F6643" i="2"/>
  <c r="H6643" i="2"/>
  <c r="F6654" i="2"/>
  <c r="H6654" i="2"/>
  <c r="F6653" i="2"/>
  <c r="H6653" i="2"/>
  <c r="F6641" i="2"/>
  <c r="H6641" i="2"/>
  <c r="F6631" i="2"/>
  <c r="H6631" i="2"/>
  <c r="F6651" i="2"/>
  <c r="H6651" i="2"/>
  <c r="F6639" i="2"/>
  <c r="H6639" i="2"/>
  <c r="F6630" i="2"/>
  <c r="H6630" i="2"/>
  <c r="A6659" i="2"/>
  <c r="A6657" i="2"/>
  <c r="A6655" i="2"/>
  <c r="A6651" i="2"/>
  <c r="A6647" i="2"/>
  <c r="A6643" i="2"/>
  <c r="A6639" i="2"/>
  <c r="F6657" i="2"/>
  <c r="F6645" i="2"/>
  <c r="F6633" i="2"/>
  <c r="A6653" i="2"/>
  <c r="A6641" i="2"/>
  <c r="A6649" i="2"/>
  <c r="A6637" i="2"/>
  <c r="A6645" i="2"/>
  <c r="A6658" i="2"/>
  <c r="A6654" i="2"/>
  <c r="A6650" i="2"/>
  <c r="A6646" i="2"/>
  <c r="A6642" i="2"/>
  <c r="A6638" i="2"/>
  <c r="A6634" i="2"/>
  <c r="A6630" i="2"/>
  <c r="F6660" i="2"/>
  <c r="F6656" i="2"/>
  <c r="F6652" i="2"/>
  <c r="F6648" i="2"/>
  <c r="F6644" i="2"/>
  <c r="F6640" i="2"/>
  <c r="F6636" i="2"/>
  <c r="F6632" i="2"/>
  <c r="A6660" i="2"/>
  <c r="A6656" i="2"/>
  <c r="A6652" i="2"/>
  <c r="A6648" i="2"/>
  <c r="A6644" i="2"/>
  <c r="A6640" i="2"/>
  <c r="A6636" i="2"/>
  <c r="A6632" i="2"/>
  <c r="A6629" i="2"/>
  <c r="G6598" i="2"/>
  <c r="G6599" i="2"/>
  <c r="G6600" i="2"/>
  <c r="G6601" i="2"/>
  <c r="H6601" i="2" s="1"/>
  <c r="G6602" i="2"/>
  <c r="G6603" i="2"/>
  <c r="G6604" i="2"/>
  <c r="G6605" i="2"/>
  <c r="H6605" i="2" s="1"/>
  <c r="G6606" i="2"/>
  <c r="H6606" i="2" s="1"/>
  <c r="G6607" i="2"/>
  <c r="G6608" i="2"/>
  <c r="G6609" i="2"/>
  <c r="H6609" i="2" s="1"/>
  <c r="G6610" i="2"/>
  <c r="G6611" i="2"/>
  <c r="G6612" i="2"/>
  <c r="A6612" i="2" s="1"/>
  <c r="G6613" i="2"/>
  <c r="H6613" i="2" s="1"/>
  <c r="G6614" i="2"/>
  <c r="G6615" i="2"/>
  <c r="G6616" i="2"/>
  <c r="G6617" i="2"/>
  <c r="H6617" i="2" s="1"/>
  <c r="G6618" i="2"/>
  <c r="G6619" i="2"/>
  <c r="G6620" i="2"/>
  <c r="G6621" i="2"/>
  <c r="H6621" i="2" s="1"/>
  <c r="G6622" i="2"/>
  <c r="H6622" i="2" s="1"/>
  <c r="G6623" i="2"/>
  <c r="G6624" i="2"/>
  <c r="G6625" i="2"/>
  <c r="H6625" i="2" s="1"/>
  <c r="G6626" i="2"/>
  <c r="G6627" i="2"/>
  <c r="H6627" i="2" s="1"/>
  <c r="G6628" i="2"/>
  <c r="G6597" i="2"/>
  <c r="F6606" i="2" l="1"/>
  <c r="F6622" i="2"/>
  <c r="F6624" i="2"/>
  <c r="H6624" i="2"/>
  <c r="F6623" i="2"/>
  <c r="H6623" i="2"/>
  <c r="F6610" i="2"/>
  <c r="H6610" i="2"/>
  <c r="F6599" i="2"/>
  <c r="H6599" i="2"/>
  <c r="F6598" i="2"/>
  <c r="H6598" i="2"/>
  <c r="F6597" i="2"/>
  <c r="H6597" i="2"/>
  <c r="F6620" i="2"/>
  <c r="H6620" i="2"/>
  <c r="F6608" i="2"/>
  <c r="H6608" i="2"/>
  <c r="F6618" i="2"/>
  <c r="H6618" i="2"/>
  <c r="F6607" i="2"/>
  <c r="H6607" i="2"/>
  <c r="F6628" i="2"/>
  <c r="H6628" i="2"/>
  <c r="F6619" i="2"/>
  <c r="H6619" i="2"/>
  <c r="F6616" i="2"/>
  <c r="H6616" i="2"/>
  <c r="F6626" i="2"/>
  <c r="H6626" i="2"/>
  <c r="F6615" i="2"/>
  <c r="H6615" i="2"/>
  <c r="F6614" i="2"/>
  <c r="H6614" i="2"/>
  <c r="F6604" i="2"/>
  <c r="H6604" i="2"/>
  <c r="F6603" i="2"/>
  <c r="H6603" i="2"/>
  <c r="F6602" i="2"/>
  <c r="H6602" i="2"/>
  <c r="F6612" i="2"/>
  <c r="H6612" i="2"/>
  <c r="F6611" i="2"/>
  <c r="H6611" i="2"/>
  <c r="F6600" i="2"/>
  <c r="H6600" i="2"/>
  <c r="A6606" i="2"/>
  <c r="A6598" i="2"/>
  <c r="A6622" i="2"/>
  <c r="A6605" i="2"/>
  <c r="F6625" i="2"/>
  <c r="A6602" i="2"/>
  <c r="A6628" i="2"/>
  <c r="A6617" i="2"/>
  <c r="A6626" i="2"/>
  <c r="A6614" i="2"/>
  <c r="A6600" i="2"/>
  <c r="A6624" i="2"/>
  <c r="A6610" i="2"/>
  <c r="F6605" i="2"/>
  <c r="A6601" i="2"/>
  <c r="A6625" i="2"/>
  <c r="F6601" i="2"/>
  <c r="A6618" i="2"/>
  <c r="A6621" i="2"/>
  <c r="F6621" i="2"/>
  <c r="F6617" i="2"/>
  <c r="A6620" i="2"/>
  <c r="A6609" i="2"/>
  <c r="A6604" i="2"/>
  <c r="A6616" i="2"/>
  <c r="F6613" i="2"/>
  <c r="F6609" i="2"/>
  <c r="F6627" i="2"/>
  <c r="A6627" i="2"/>
  <c r="A6613" i="2"/>
  <c r="A6608" i="2"/>
  <c r="A6623" i="2"/>
  <c r="A6619" i="2"/>
  <c r="A6615" i="2"/>
  <c r="A6611" i="2"/>
  <c r="A6607" i="2"/>
  <c r="A6603" i="2"/>
  <c r="A6599" i="2"/>
  <c r="A6597" i="2"/>
  <c r="G6566" i="2"/>
  <c r="G6567" i="2"/>
  <c r="H6567" i="2" s="1"/>
  <c r="G6568" i="2"/>
  <c r="H6568" i="2" s="1"/>
  <c r="G6569" i="2"/>
  <c r="H6569" i="2" s="1"/>
  <c r="G6570" i="2"/>
  <c r="G6571" i="2"/>
  <c r="A6571" i="2" s="1"/>
  <c r="G6572" i="2"/>
  <c r="H6572" i="2" s="1"/>
  <c r="G6573" i="2"/>
  <c r="G6574" i="2"/>
  <c r="G6575" i="2"/>
  <c r="G6576" i="2"/>
  <c r="H6576" i="2" s="1"/>
  <c r="G6577" i="2"/>
  <c r="H6577" i="2" s="1"/>
  <c r="G6578" i="2"/>
  <c r="G6579" i="2"/>
  <c r="G6580" i="2"/>
  <c r="H6580" i="2" s="1"/>
  <c r="G6581" i="2"/>
  <c r="H6581" i="2" s="1"/>
  <c r="G6582" i="2"/>
  <c r="G6583" i="2"/>
  <c r="G6584" i="2"/>
  <c r="H6584" i="2" s="1"/>
  <c r="G6585" i="2"/>
  <c r="G6586" i="2"/>
  <c r="G6587" i="2"/>
  <c r="G6588" i="2"/>
  <c r="H6588" i="2" s="1"/>
  <c r="G6589" i="2"/>
  <c r="H6589" i="2" s="1"/>
  <c r="G6590" i="2"/>
  <c r="G6591" i="2"/>
  <c r="A6591" i="2" s="1"/>
  <c r="G6592" i="2"/>
  <c r="H6592" i="2" s="1"/>
  <c r="G6593" i="2"/>
  <c r="G6594" i="2"/>
  <c r="G6595" i="2"/>
  <c r="G6596" i="2"/>
  <c r="H6596" i="2" s="1"/>
  <c r="G6565" i="2"/>
  <c r="F6567" i="2" l="1"/>
  <c r="A6567" i="2"/>
  <c r="F6569" i="2"/>
  <c r="F6566" i="2"/>
  <c r="H6566" i="2"/>
  <c r="F6595" i="2"/>
  <c r="H6595" i="2"/>
  <c r="A6595" i="2"/>
  <c r="F6594" i="2"/>
  <c r="H6594" i="2"/>
  <c r="F6582" i="2"/>
  <c r="H6582" i="2"/>
  <c r="F6585" i="2"/>
  <c r="H6585" i="2"/>
  <c r="F6583" i="2"/>
  <c r="H6583" i="2"/>
  <c r="F6571" i="2"/>
  <c r="H6571" i="2"/>
  <c r="F6573" i="2"/>
  <c r="H6573" i="2"/>
  <c r="A6573" i="2"/>
  <c r="F6593" i="2"/>
  <c r="H6593" i="2"/>
  <c r="F6570" i="2"/>
  <c r="H6570" i="2"/>
  <c r="F6591" i="2"/>
  <c r="H6591" i="2"/>
  <c r="F6579" i="2"/>
  <c r="H6579" i="2"/>
  <c r="F6586" i="2"/>
  <c r="H6586" i="2"/>
  <c r="F6578" i="2"/>
  <c r="H6578" i="2"/>
  <c r="F6574" i="2"/>
  <c r="H6574" i="2"/>
  <c r="F6590" i="2"/>
  <c r="H6590" i="2"/>
  <c r="F6565" i="2"/>
  <c r="H6565" i="2"/>
  <c r="F6587" i="2"/>
  <c r="H6587" i="2"/>
  <c r="F6575" i="2"/>
  <c r="H6575" i="2"/>
  <c r="A6575" i="2"/>
  <c r="A6566" i="2"/>
  <c r="A6587" i="2"/>
  <c r="A6585" i="2"/>
  <c r="A6583" i="2"/>
  <c r="A6581" i="2"/>
  <c r="A6579" i="2"/>
  <c r="F6581" i="2"/>
  <c r="A6569" i="2"/>
  <c r="F6589" i="2"/>
  <c r="F6577" i="2"/>
  <c r="A6593" i="2"/>
  <c r="A6577" i="2"/>
  <c r="A6589" i="2"/>
  <c r="A6594" i="2"/>
  <c r="A6590" i="2"/>
  <c r="A6586" i="2"/>
  <c r="A6582" i="2"/>
  <c r="A6578" i="2"/>
  <c r="A6574" i="2"/>
  <c r="A6570" i="2"/>
  <c r="F6596" i="2"/>
  <c r="F6592" i="2"/>
  <c r="F6588" i="2"/>
  <c r="F6584" i="2"/>
  <c r="F6580" i="2"/>
  <c r="F6576" i="2"/>
  <c r="F6572" i="2"/>
  <c r="F6568" i="2"/>
  <c r="A6596" i="2"/>
  <c r="A6592" i="2"/>
  <c r="A6588" i="2"/>
  <c r="A6584" i="2"/>
  <c r="A6580" i="2"/>
  <c r="A6576" i="2"/>
  <c r="A6572" i="2"/>
  <c r="A6568" i="2"/>
  <c r="A6565" i="2"/>
  <c r="H6536" i="2"/>
  <c r="H6540" i="2"/>
  <c r="A6541" i="2"/>
  <c r="H6544" i="2"/>
  <c r="H6545" i="2"/>
  <c r="H6548" i="2"/>
  <c r="A6550" i="2"/>
  <c r="H6552" i="2"/>
  <c r="H6553" i="2"/>
  <c r="A6554" i="2"/>
  <c r="H6556" i="2"/>
  <c r="H6560" i="2"/>
  <c r="H6564" i="2"/>
  <c r="F6555" i="2" l="1"/>
  <c r="H6555" i="2"/>
  <c r="F6547" i="2"/>
  <c r="H6547" i="2"/>
  <c r="F6539" i="2"/>
  <c r="H6539" i="2"/>
  <c r="F6533" i="2"/>
  <c r="H6533" i="2"/>
  <c r="F6554" i="2"/>
  <c r="H6554" i="2"/>
  <c r="A6545" i="2"/>
  <c r="F6537" i="2"/>
  <c r="H6537" i="2"/>
  <c r="F6538" i="2"/>
  <c r="H6538" i="2"/>
  <c r="F6562" i="2"/>
  <c r="H6562" i="2"/>
  <c r="A6552" i="2"/>
  <c r="F6545" i="2"/>
  <c r="F6535" i="2"/>
  <c r="H6535" i="2"/>
  <c r="F6534" i="2"/>
  <c r="H6534" i="2"/>
  <c r="F6543" i="2"/>
  <c r="H6543" i="2"/>
  <c r="F6551" i="2"/>
  <c r="H6551" i="2"/>
  <c r="F6542" i="2"/>
  <c r="H6542" i="2"/>
  <c r="F6546" i="2"/>
  <c r="H6546" i="2"/>
  <c r="F6563" i="2"/>
  <c r="H6563" i="2"/>
  <c r="F6561" i="2"/>
  <c r="H6561" i="2"/>
  <c r="F6559" i="2"/>
  <c r="H6559" i="2"/>
  <c r="F6558" i="2"/>
  <c r="H6558" i="2"/>
  <c r="F6550" i="2"/>
  <c r="H6550" i="2"/>
  <c r="F6549" i="2"/>
  <c r="H6549" i="2"/>
  <c r="F6557" i="2"/>
  <c r="H6557" i="2"/>
  <c r="F6541" i="2"/>
  <c r="H6541" i="2"/>
  <c r="A6548" i="2"/>
  <c r="A6555" i="2"/>
  <c r="A6539" i="2"/>
  <c r="F6556" i="2"/>
  <c r="A6542" i="2"/>
  <c r="A6563" i="2"/>
  <c r="A6561" i="2"/>
  <c r="A6557" i="2"/>
  <c r="F6553" i="2"/>
  <c r="A6544" i="2"/>
  <c r="A6553" i="2"/>
  <c r="F6544" i="2"/>
  <c r="A6564" i="2"/>
  <c r="A6562" i="2"/>
  <c r="A6560" i="2"/>
  <c r="A6551" i="2"/>
  <c r="A6540" i="2"/>
  <c r="A6538" i="2"/>
  <c r="A6536" i="2"/>
  <c r="A6534" i="2"/>
  <c r="A6556" i="2"/>
  <c r="A6543" i="2"/>
  <c r="F6564" i="2"/>
  <c r="F6552" i="2"/>
  <c r="F6540" i="2"/>
  <c r="A6558" i="2"/>
  <c r="A6546" i="2"/>
  <c r="F6560" i="2"/>
  <c r="F6548" i="2"/>
  <c r="F6536" i="2"/>
  <c r="A6549" i="2"/>
  <c r="A6537" i="2"/>
  <c r="A6559" i="2"/>
  <c r="A6547" i="2"/>
  <c r="A6535" i="2"/>
  <c r="A6533" i="2"/>
  <c r="G6502" i="2"/>
  <c r="A6502" i="2" s="1"/>
  <c r="G6503" i="2"/>
  <c r="G6504" i="2"/>
  <c r="H6504" i="2" s="1"/>
  <c r="G6505" i="2"/>
  <c r="G6506" i="2"/>
  <c r="G6507" i="2"/>
  <c r="G6508" i="2"/>
  <c r="H6508" i="2" s="1"/>
  <c r="G6509" i="2"/>
  <c r="G6510" i="2"/>
  <c r="G6511" i="2"/>
  <c r="G6512" i="2"/>
  <c r="H6512" i="2" s="1"/>
  <c r="G6513" i="2"/>
  <c r="G6514" i="2"/>
  <c r="G6515" i="2"/>
  <c r="G6516" i="2"/>
  <c r="H6516" i="2" s="1"/>
  <c r="G6517" i="2"/>
  <c r="G6518" i="2"/>
  <c r="G6519" i="2"/>
  <c r="H6519" i="2" s="1"/>
  <c r="G6520" i="2"/>
  <c r="H6520" i="2" s="1"/>
  <c r="G6521" i="2"/>
  <c r="G6522" i="2"/>
  <c r="G6523" i="2"/>
  <c r="G6524" i="2"/>
  <c r="H6524" i="2" s="1"/>
  <c r="G6525" i="2"/>
  <c r="G6526" i="2"/>
  <c r="G6527" i="2"/>
  <c r="G6528" i="2"/>
  <c r="H6528" i="2" s="1"/>
  <c r="G6529" i="2"/>
  <c r="G6530" i="2"/>
  <c r="G6531" i="2"/>
  <c r="H6531" i="2" s="1"/>
  <c r="G6532" i="2"/>
  <c r="H6532" i="2" s="1"/>
  <c r="G6501" i="2"/>
  <c r="A6504" i="2" l="1"/>
  <c r="F6513" i="2"/>
  <c r="H6513" i="2"/>
  <c r="F6525" i="2"/>
  <c r="H6525" i="2"/>
  <c r="F6522" i="2"/>
  <c r="H6522" i="2"/>
  <c r="F6511" i="2"/>
  <c r="H6511" i="2"/>
  <c r="F6501" i="2"/>
  <c r="H6501" i="2"/>
  <c r="F6521" i="2"/>
  <c r="H6521" i="2"/>
  <c r="F6510" i="2"/>
  <c r="H6510" i="2"/>
  <c r="F6530" i="2"/>
  <c r="H6530" i="2"/>
  <c r="F6519" i="2"/>
  <c r="F6507" i="2"/>
  <c r="H6507" i="2"/>
  <c r="F6502" i="2"/>
  <c r="H6502" i="2"/>
  <c r="F6506" i="2"/>
  <c r="H6506" i="2"/>
  <c r="F6509" i="2"/>
  <c r="H6509" i="2"/>
  <c r="F6518" i="2"/>
  <c r="H6518" i="2"/>
  <c r="F6505" i="2"/>
  <c r="H6505" i="2"/>
  <c r="F6523" i="2"/>
  <c r="H6523" i="2"/>
  <c r="F6527" i="2"/>
  <c r="H6527" i="2"/>
  <c r="F6514" i="2"/>
  <c r="H6514" i="2"/>
  <c r="F6529" i="2"/>
  <c r="H6529" i="2"/>
  <c r="F6517" i="2"/>
  <c r="H6517" i="2"/>
  <c r="F6526" i="2"/>
  <c r="H6526" i="2"/>
  <c r="F6515" i="2"/>
  <c r="H6515" i="2"/>
  <c r="F6503" i="2"/>
  <c r="H6503" i="2"/>
  <c r="A6527" i="2"/>
  <c r="A6525" i="2"/>
  <c r="A6515" i="2"/>
  <c r="A6513" i="2"/>
  <c r="A6509" i="2"/>
  <c r="A6507" i="2"/>
  <c r="A6522" i="2"/>
  <c r="A6510" i="2"/>
  <c r="A6508" i="2"/>
  <c r="A6506" i="2"/>
  <c r="A6518" i="2"/>
  <c r="A6514" i="2"/>
  <c r="A6523" i="2"/>
  <c r="A6521" i="2"/>
  <c r="A6519" i="2"/>
  <c r="A6503" i="2"/>
  <c r="A6529" i="2"/>
  <c r="F6531" i="2"/>
  <c r="A6511" i="2"/>
  <c r="A6530" i="2"/>
  <c r="A6531" i="2"/>
  <c r="A6526" i="2"/>
  <c r="A6517" i="2"/>
  <c r="A6505" i="2"/>
  <c r="F6532" i="2"/>
  <c r="F6528" i="2"/>
  <c r="F6524" i="2"/>
  <c r="F6520" i="2"/>
  <c r="F6516" i="2"/>
  <c r="F6512" i="2"/>
  <c r="F6508" i="2"/>
  <c r="F6504" i="2"/>
  <c r="A6528" i="2"/>
  <c r="A6524" i="2"/>
  <c r="A6516" i="2"/>
  <c r="A6512" i="2"/>
  <c r="A6532" i="2"/>
  <c r="A6520" i="2"/>
  <c r="A6501" i="2"/>
  <c r="G6470" i="2"/>
  <c r="G6471" i="2"/>
  <c r="G6472" i="2"/>
  <c r="H6472" i="2" s="1"/>
  <c r="G6473" i="2"/>
  <c r="A6473" i="2" s="1"/>
  <c r="G6474" i="2"/>
  <c r="G6475" i="2"/>
  <c r="A6475" i="2" s="1"/>
  <c r="G6476" i="2"/>
  <c r="H6476" i="2" s="1"/>
  <c r="G6477" i="2"/>
  <c r="G6478" i="2"/>
  <c r="G6479" i="2"/>
  <c r="G6480" i="2"/>
  <c r="H6480" i="2" s="1"/>
  <c r="G6481" i="2"/>
  <c r="G6482" i="2"/>
  <c r="G6483" i="2"/>
  <c r="G6484" i="2"/>
  <c r="H6484" i="2" s="1"/>
  <c r="G6485" i="2"/>
  <c r="G6486" i="2"/>
  <c r="G6487" i="2"/>
  <c r="G6488" i="2"/>
  <c r="H6488" i="2" s="1"/>
  <c r="G6489" i="2"/>
  <c r="G6490" i="2"/>
  <c r="G6491" i="2"/>
  <c r="G6492" i="2"/>
  <c r="H6492" i="2" s="1"/>
  <c r="G6493" i="2"/>
  <c r="G6494" i="2"/>
  <c r="G6495" i="2"/>
  <c r="G6496" i="2"/>
  <c r="H6496" i="2" s="1"/>
  <c r="G6497" i="2"/>
  <c r="G6498" i="2"/>
  <c r="G6499" i="2"/>
  <c r="G6500" i="2"/>
  <c r="H6500" i="2" s="1"/>
  <c r="G6469" i="2"/>
  <c r="H6469" i="2" s="1"/>
  <c r="F6469" i="2" l="1"/>
  <c r="F6478" i="2"/>
  <c r="H6478" i="2"/>
  <c r="F6491" i="2"/>
  <c r="H6491" i="2"/>
  <c r="F6487" i="2"/>
  <c r="H6487" i="2"/>
  <c r="F6498" i="2"/>
  <c r="H6498" i="2"/>
  <c r="F6486" i="2"/>
  <c r="H6486" i="2"/>
  <c r="F6475" i="2"/>
  <c r="H6475" i="2"/>
  <c r="F6499" i="2"/>
  <c r="H6499" i="2"/>
  <c r="F6497" i="2"/>
  <c r="H6497" i="2"/>
  <c r="F6485" i="2"/>
  <c r="H6485" i="2"/>
  <c r="F6474" i="2"/>
  <c r="H6474" i="2"/>
  <c r="F6490" i="2"/>
  <c r="H6490" i="2"/>
  <c r="F6495" i="2"/>
  <c r="H6495" i="2"/>
  <c r="F6477" i="2"/>
  <c r="H6477" i="2"/>
  <c r="F6473" i="2"/>
  <c r="H6473" i="2"/>
  <c r="F6482" i="2"/>
  <c r="H6482" i="2"/>
  <c r="F6493" i="2"/>
  <c r="H6493" i="2"/>
  <c r="F6481" i="2"/>
  <c r="H6481" i="2"/>
  <c r="F6471" i="2"/>
  <c r="H6471" i="2"/>
  <c r="F6479" i="2"/>
  <c r="H6479" i="2"/>
  <c r="F6489" i="2"/>
  <c r="H6489" i="2"/>
  <c r="F6483" i="2"/>
  <c r="H6483" i="2"/>
  <c r="F6494" i="2"/>
  <c r="H6494" i="2"/>
  <c r="F6470" i="2"/>
  <c r="H6470" i="2"/>
  <c r="A6482" i="2"/>
  <c r="A6470" i="2"/>
  <c r="A6485" i="2"/>
  <c r="A6481" i="2"/>
  <c r="A6494" i="2"/>
  <c r="A6489" i="2"/>
  <c r="A6477" i="2"/>
  <c r="A6497" i="2"/>
  <c r="A6493" i="2"/>
  <c r="A6486" i="2"/>
  <c r="A6474" i="2"/>
  <c r="A6498" i="2"/>
  <c r="A6491" i="2"/>
  <c r="A6479" i="2"/>
  <c r="F6476" i="2"/>
  <c r="A6499" i="2"/>
  <c r="A6487" i="2"/>
  <c r="F6472" i="2"/>
  <c r="A6490" i="2"/>
  <c r="A6478" i="2"/>
  <c r="A6483" i="2"/>
  <c r="A6495" i="2"/>
  <c r="A6471" i="2"/>
  <c r="F6500" i="2"/>
  <c r="F6484" i="2"/>
  <c r="F6480" i="2"/>
  <c r="F6496" i="2"/>
  <c r="F6492" i="2"/>
  <c r="F6488" i="2"/>
  <c r="A6500" i="2"/>
  <c r="A6496" i="2"/>
  <c r="A6492" i="2"/>
  <c r="A6488" i="2"/>
  <c r="A6484" i="2"/>
  <c r="A6480" i="2"/>
  <c r="A6476" i="2"/>
  <c r="A6472" i="2"/>
  <c r="A6469" i="2"/>
  <c r="G6438" i="2"/>
  <c r="G6439" i="2"/>
  <c r="A6439" i="2" s="1"/>
  <c r="G6440" i="2"/>
  <c r="H6440" i="2" s="1"/>
  <c r="G6441" i="2"/>
  <c r="H6441" i="2" s="1"/>
  <c r="G6442" i="2"/>
  <c r="A6442" i="2" s="1"/>
  <c r="G6443" i="2"/>
  <c r="G6444" i="2"/>
  <c r="H6444" i="2" s="1"/>
  <c r="G6445" i="2"/>
  <c r="H6445" i="2" s="1"/>
  <c r="G6446" i="2"/>
  <c r="G6447" i="2"/>
  <c r="A6447" i="2" s="1"/>
  <c r="G6448" i="2"/>
  <c r="H6448" i="2" s="1"/>
  <c r="G6449" i="2"/>
  <c r="H6449" i="2" s="1"/>
  <c r="G6450" i="2"/>
  <c r="H6450" i="2" s="1"/>
  <c r="G6451" i="2"/>
  <c r="G6452" i="2"/>
  <c r="H6452" i="2" s="1"/>
  <c r="G6453" i="2"/>
  <c r="H6453" i="2" s="1"/>
  <c r="G6454" i="2"/>
  <c r="G6455" i="2"/>
  <c r="G6456" i="2"/>
  <c r="H6456" i="2" s="1"/>
  <c r="G6457" i="2"/>
  <c r="H6457" i="2" s="1"/>
  <c r="G6458" i="2"/>
  <c r="G6459" i="2"/>
  <c r="A6459" i="2" s="1"/>
  <c r="G6460" i="2"/>
  <c r="H6460" i="2" s="1"/>
  <c r="G6461" i="2"/>
  <c r="H6461" i="2" s="1"/>
  <c r="G6462" i="2"/>
  <c r="H6462" i="2" s="1"/>
  <c r="G6463" i="2"/>
  <c r="G6464" i="2"/>
  <c r="H6464" i="2" s="1"/>
  <c r="G6465" i="2"/>
  <c r="H6465" i="2" s="1"/>
  <c r="G6466" i="2"/>
  <c r="H6466" i="2" s="1"/>
  <c r="G6467" i="2"/>
  <c r="G6468" i="2"/>
  <c r="H6468" i="2" s="1"/>
  <c r="G6437" i="2"/>
  <c r="F6466" i="2" l="1"/>
  <c r="A6461" i="2"/>
  <c r="F6446" i="2"/>
  <c r="H6446" i="2"/>
  <c r="F6454" i="2"/>
  <c r="H6454" i="2"/>
  <c r="F6443" i="2"/>
  <c r="H6443" i="2"/>
  <c r="F6455" i="2"/>
  <c r="H6455" i="2"/>
  <c r="F6463" i="2"/>
  <c r="H6463" i="2"/>
  <c r="F6442" i="2"/>
  <c r="H6442" i="2"/>
  <c r="F6451" i="2"/>
  <c r="H6451" i="2"/>
  <c r="A6441" i="2"/>
  <c r="A6465" i="2"/>
  <c r="F6437" i="2"/>
  <c r="H6437" i="2"/>
  <c r="F6449" i="2"/>
  <c r="F6467" i="2"/>
  <c r="H6467" i="2"/>
  <c r="F6459" i="2"/>
  <c r="H6459" i="2"/>
  <c r="F6458" i="2"/>
  <c r="H6458" i="2"/>
  <c r="F6439" i="2"/>
  <c r="H6439" i="2"/>
  <c r="F6447" i="2"/>
  <c r="H6447" i="2"/>
  <c r="F6438" i="2"/>
  <c r="H6438" i="2"/>
  <c r="A6460" i="2"/>
  <c r="A6456" i="2"/>
  <c r="A6454" i="2"/>
  <c r="A6450" i="2"/>
  <c r="F6450" i="2"/>
  <c r="A6448" i="2"/>
  <c r="A6446" i="2"/>
  <c r="F6462" i="2"/>
  <c r="A6458" i="2"/>
  <c r="A6445" i="2"/>
  <c r="F6445" i="2"/>
  <c r="A6468" i="2"/>
  <c r="A6466" i="2"/>
  <c r="A6457" i="2"/>
  <c r="A6453" i="2"/>
  <c r="A6444" i="2"/>
  <c r="A6462" i="2"/>
  <c r="A6449" i="2"/>
  <c r="A6463" i="2"/>
  <c r="A6451" i="2"/>
  <c r="F6465" i="2"/>
  <c r="F6453" i="2"/>
  <c r="F6441" i="2"/>
  <c r="F6461" i="2"/>
  <c r="A6464" i="2"/>
  <c r="A6452" i="2"/>
  <c r="A6440" i="2"/>
  <c r="A6438" i="2"/>
  <c r="A6455" i="2"/>
  <c r="A6443" i="2"/>
  <c r="A6467" i="2"/>
  <c r="F6457" i="2"/>
  <c r="F6448" i="2"/>
  <c r="F6444" i="2"/>
  <c r="F6440" i="2"/>
  <c r="F6464" i="2"/>
  <c r="F6460" i="2"/>
  <c r="F6456" i="2"/>
  <c r="F6452" i="2"/>
  <c r="F6468" i="2"/>
  <c r="A6437" i="2"/>
  <c r="G6406" i="2"/>
  <c r="H6406" i="2" s="1"/>
  <c r="G6407" i="2"/>
  <c r="H6407" i="2" s="1"/>
  <c r="G6408" i="2"/>
  <c r="H6408" i="2" s="1"/>
  <c r="G6409" i="2"/>
  <c r="H6409" i="2" s="1"/>
  <c r="G6410" i="2"/>
  <c r="H6410" i="2" s="1"/>
  <c r="G6411" i="2"/>
  <c r="H6411" i="2" s="1"/>
  <c r="G6412" i="2"/>
  <c r="H6412" i="2" s="1"/>
  <c r="G6413" i="2"/>
  <c r="H6413" i="2" s="1"/>
  <c r="G6414" i="2"/>
  <c r="H6414" i="2" s="1"/>
  <c r="G6415" i="2"/>
  <c r="H6415" i="2" s="1"/>
  <c r="G6416" i="2"/>
  <c r="H6416" i="2" s="1"/>
  <c r="G6417" i="2"/>
  <c r="H6417" i="2" s="1"/>
  <c r="G6418" i="2"/>
  <c r="H6418" i="2" s="1"/>
  <c r="G6419" i="2"/>
  <c r="H6419" i="2" s="1"/>
  <c r="G6420" i="2"/>
  <c r="H6420" i="2" s="1"/>
  <c r="G6421" i="2"/>
  <c r="H6421" i="2" s="1"/>
  <c r="G6422" i="2"/>
  <c r="H6422" i="2" s="1"/>
  <c r="G6423" i="2"/>
  <c r="H6423" i="2" s="1"/>
  <c r="G6424" i="2"/>
  <c r="H6424" i="2" s="1"/>
  <c r="G6425" i="2"/>
  <c r="H6425" i="2" s="1"/>
  <c r="G6426" i="2"/>
  <c r="H6426" i="2" s="1"/>
  <c r="G6427" i="2"/>
  <c r="H6427" i="2" s="1"/>
  <c r="G6428" i="2"/>
  <c r="H6428" i="2" s="1"/>
  <c r="G6429" i="2"/>
  <c r="H6429" i="2" s="1"/>
  <c r="G6430" i="2"/>
  <c r="H6430" i="2" s="1"/>
  <c r="G6431" i="2"/>
  <c r="H6431" i="2" s="1"/>
  <c r="G6432" i="2"/>
  <c r="H6432" i="2" s="1"/>
  <c r="G6433" i="2"/>
  <c r="H6433" i="2" s="1"/>
  <c r="G6434" i="2"/>
  <c r="H6434" i="2" s="1"/>
  <c r="G6435" i="2"/>
  <c r="H6435" i="2" s="1"/>
  <c r="G6436" i="2"/>
  <c r="H6436" i="2" s="1"/>
  <c r="G6405" i="2"/>
  <c r="H6405" i="2" s="1"/>
  <c r="G6374" i="2"/>
  <c r="H6374" i="2" s="1"/>
  <c r="G6375" i="2"/>
  <c r="H6375" i="2" s="1"/>
  <c r="G6376" i="2"/>
  <c r="H6376" i="2" s="1"/>
  <c r="G6377" i="2"/>
  <c r="H6377" i="2" s="1"/>
  <c r="G6378" i="2"/>
  <c r="H6378" i="2" s="1"/>
  <c r="G6379" i="2"/>
  <c r="H6379" i="2" s="1"/>
  <c r="G6380" i="2"/>
  <c r="H6380" i="2" s="1"/>
  <c r="G6381" i="2"/>
  <c r="H6381" i="2" s="1"/>
  <c r="G6382" i="2"/>
  <c r="H6382" i="2" s="1"/>
  <c r="G6383" i="2"/>
  <c r="H6383" i="2" s="1"/>
  <c r="G6384" i="2"/>
  <c r="H6384" i="2" s="1"/>
  <c r="G6385" i="2"/>
  <c r="H6385" i="2" s="1"/>
  <c r="G6386" i="2"/>
  <c r="H6386" i="2" s="1"/>
  <c r="G6387" i="2"/>
  <c r="H6387" i="2" s="1"/>
  <c r="G6388" i="2"/>
  <c r="H6388" i="2" s="1"/>
  <c r="G6389" i="2"/>
  <c r="H6389" i="2" s="1"/>
  <c r="G6390" i="2"/>
  <c r="H6390" i="2" s="1"/>
  <c r="G6391" i="2"/>
  <c r="H6391" i="2" s="1"/>
  <c r="G6392" i="2"/>
  <c r="H6392" i="2" s="1"/>
  <c r="G6393" i="2"/>
  <c r="H6393" i="2" s="1"/>
  <c r="G6394" i="2"/>
  <c r="H6394" i="2" s="1"/>
  <c r="G6395" i="2"/>
  <c r="H6395" i="2" s="1"/>
  <c r="G6396" i="2"/>
  <c r="H6396" i="2" s="1"/>
  <c r="G6397" i="2"/>
  <c r="H6397" i="2" s="1"/>
  <c r="G6398" i="2"/>
  <c r="H6398" i="2" s="1"/>
  <c r="G6399" i="2"/>
  <c r="H6399" i="2" s="1"/>
  <c r="G6400" i="2"/>
  <c r="H6400" i="2" s="1"/>
  <c r="G6401" i="2"/>
  <c r="H6401" i="2" s="1"/>
  <c r="G6402" i="2"/>
  <c r="H6402" i="2" s="1"/>
  <c r="G6403" i="2"/>
  <c r="H6403" i="2" s="1"/>
  <c r="G6404" i="2"/>
  <c r="H6404" i="2" s="1"/>
  <c r="G6373" i="2"/>
  <c r="H6373" i="2" s="1"/>
  <c r="F6406" i="2" l="1"/>
  <c r="A6406" i="2"/>
  <c r="F6407" i="2"/>
  <c r="A6408" i="2"/>
  <c r="F6409" i="2"/>
  <c r="F6410" i="2"/>
  <c r="A6410" i="2"/>
  <c r="F6411" i="2"/>
  <c r="A6411" i="2"/>
  <c r="A6412" i="2"/>
  <c r="F6413" i="2"/>
  <c r="A6413" i="2"/>
  <c r="F6414" i="2"/>
  <c r="A6414" i="2"/>
  <c r="F6415" i="2"/>
  <c r="A6415" i="2"/>
  <c r="A6416" i="2"/>
  <c r="F6417" i="2"/>
  <c r="A6417" i="2"/>
  <c r="F6418" i="2"/>
  <c r="A6418" i="2"/>
  <c r="F6419" i="2"/>
  <c r="A6419" i="2"/>
  <c r="A6420" i="2"/>
  <c r="F6421" i="2"/>
  <c r="A6421" i="2"/>
  <c r="F6422" i="2"/>
  <c r="A6422" i="2"/>
  <c r="F6423" i="2"/>
  <c r="A6423" i="2"/>
  <c r="A6424" i="2"/>
  <c r="F6425" i="2"/>
  <c r="A6425" i="2"/>
  <c r="F6426" i="2"/>
  <c r="A6426" i="2"/>
  <c r="F6427" i="2"/>
  <c r="A6427" i="2"/>
  <c r="A6428" i="2"/>
  <c r="F6429" i="2"/>
  <c r="A6429" i="2"/>
  <c r="F6430" i="2"/>
  <c r="A6430" i="2"/>
  <c r="F6431" i="2"/>
  <c r="A6431" i="2"/>
  <c r="A6432" i="2"/>
  <c r="F6433" i="2"/>
  <c r="A6433" i="2"/>
  <c r="F6434" i="2"/>
  <c r="A6434" i="2"/>
  <c r="F6435" i="2"/>
  <c r="A6435" i="2"/>
  <c r="A6436" i="2"/>
  <c r="F6405" i="2"/>
  <c r="A6407" i="2"/>
  <c r="A6409" i="2"/>
  <c r="F6436" i="2" l="1"/>
  <c r="F6428" i="2"/>
  <c r="F6420" i="2"/>
  <c r="F6416" i="2"/>
  <c r="F6412" i="2"/>
  <c r="F6408" i="2"/>
  <c r="F6432" i="2"/>
  <c r="F6424" i="2"/>
  <c r="A6405" i="2"/>
  <c r="F6374" i="2"/>
  <c r="A6374" i="2"/>
  <c r="F6375" i="2"/>
  <c r="A6376" i="2"/>
  <c r="F6377" i="2"/>
  <c r="A6377" i="2"/>
  <c r="F6378" i="2"/>
  <c r="A6378" i="2"/>
  <c r="F6379" i="2"/>
  <c r="A6379" i="2"/>
  <c r="A6380" i="2"/>
  <c r="F6381" i="2"/>
  <c r="A6381" i="2"/>
  <c r="F6382" i="2"/>
  <c r="A6382" i="2"/>
  <c r="F6383" i="2"/>
  <c r="A6384" i="2"/>
  <c r="F6385" i="2"/>
  <c r="A6385" i="2"/>
  <c r="F6386" i="2"/>
  <c r="A6386" i="2"/>
  <c r="F6387" i="2"/>
  <c r="A6387" i="2"/>
  <c r="A6388" i="2"/>
  <c r="F6389" i="2"/>
  <c r="A6389" i="2"/>
  <c r="F6390" i="2"/>
  <c r="A6390" i="2"/>
  <c r="F6391" i="2"/>
  <c r="A6391" i="2"/>
  <c r="A6392" i="2"/>
  <c r="F6393" i="2"/>
  <c r="A6393" i="2"/>
  <c r="F6394" i="2"/>
  <c r="A6394" i="2"/>
  <c r="F6395" i="2"/>
  <c r="A6395" i="2"/>
  <c r="A6396" i="2"/>
  <c r="F6397" i="2"/>
  <c r="A6397" i="2"/>
  <c r="F6398" i="2"/>
  <c r="A6398" i="2"/>
  <c r="F6399" i="2"/>
  <c r="A6399" i="2"/>
  <c r="A6400" i="2"/>
  <c r="F6401" i="2"/>
  <c r="A6401" i="2"/>
  <c r="F6402" i="2"/>
  <c r="A6402" i="2"/>
  <c r="F6403" i="2"/>
  <c r="A6403" i="2"/>
  <c r="A6404" i="2"/>
  <c r="F6373" i="2"/>
  <c r="A6375" i="2"/>
  <c r="A6383" i="2"/>
  <c r="F6404" i="2" l="1"/>
  <c r="F6400" i="2"/>
  <c r="F6392" i="2"/>
  <c r="F6384" i="2"/>
  <c r="F6376" i="2"/>
  <c r="F6396" i="2"/>
  <c r="F6388" i="2"/>
  <c r="F6380" i="2"/>
  <c r="A6373" i="2"/>
  <c r="G6342" i="2"/>
  <c r="G6343" i="2"/>
  <c r="G6344" i="2"/>
  <c r="H6344" i="2" s="1"/>
  <c r="G6345" i="2"/>
  <c r="H6345" i="2" s="1"/>
  <c r="G6346" i="2"/>
  <c r="G6347" i="2"/>
  <c r="A6347" i="2" s="1"/>
  <c r="G6348" i="2"/>
  <c r="H6348" i="2" s="1"/>
  <c r="G6349" i="2"/>
  <c r="A6349" i="2" s="1"/>
  <c r="G6350" i="2"/>
  <c r="G6351" i="2"/>
  <c r="G6352" i="2"/>
  <c r="H6352" i="2" s="1"/>
  <c r="G6353" i="2"/>
  <c r="G6354" i="2"/>
  <c r="G6355" i="2"/>
  <c r="G6356" i="2"/>
  <c r="H6356" i="2" s="1"/>
  <c r="G6357" i="2"/>
  <c r="H6357" i="2" s="1"/>
  <c r="G6358" i="2"/>
  <c r="G6359" i="2"/>
  <c r="G6360" i="2"/>
  <c r="H6360" i="2" s="1"/>
  <c r="G6361" i="2"/>
  <c r="G6362" i="2"/>
  <c r="G6363" i="2"/>
  <c r="A6363" i="2" s="1"/>
  <c r="G6364" i="2"/>
  <c r="H6364" i="2" s="1"/>
  <c r="G6365" i="2"/>
  <c r="A6365" i="2" s="1"/>
  <c r="G6366" i="2"/>
  <c r="G6367" i="2"/>
  <c r="G6368" i="2"/>
  <c r="H6368" i="2" s="1"/>
  <c r="G6369" i="2"/>
  <c r="G6370" i="2"/>
  <c r="H6370" i="2" s="1"/>
  <c r="G6371" i="2"/>
  <c r="G6372" i="2"/>
  <c r="H6372" i="2" s="1"/>
  <c r="G6341" i="2"/>
  <c r="H6341" i="2" s="1"/>
  <c r="F6341" i="2" l="1"/>
  <c r="F6343" i="2"/>
  <c r="H6343" i="2"/>
  <c r="F6342" i="2"/>
  <c r="H6342" i="2"/>
  <c r="F6362" i="2"/>
  <c r="H6362" i="2"/>
  <c r="F6350" i="2"/>
  <c r="H6350" i="2"/>
  <c r="A6341" i="2"/>
  <c r="F6353" i="2"/>
  <c r="H6353" i="2"/>
  <c r="F6363" i="2"/>
  <c r="H6363" i="2"/>
  <c r="F6371" i="2"/>
  <c r="H6371" i="2"/>
  <c r="F6349" i="2"/>
  <c r="H6349" i="2"/>
  <c r="F6358" i="2"/>
  <c r="H6358" i="2"/>
  <c r="F6359" i="2"/>
  <c r="H6359" i="2"/>
  <c r="F6347" i="2"/>
  <c r="H6347" i="2"/>
  <c r="F6367" i="2"/>
  <c r="H6367" i="2"/>
  <c r="F6366" i="2"/>
  <c r="H6366" i="2"/>
  <c r="F6346" i="2"/>
  <c r="H6346" i="2"/>
  <c r="F6369" i="2"/>
  <c r="H6369" i="2"/>
  <c r="F6355" i="2"/>
  <c r="H6355" i="2"/>
  <c r="F6351" i="2"/>
  <c r="H6351" i="2"/>
  <c r="F6361" i="2"/>
  <c r="H6361" i="2"/>
  <c r="F6365" i="2"/>
  <c r="H6365" i="2"/>
  <c r="F6354" i="2"/>
  <c r="H6354" i="2"/>
  <c r="A6344" i="2"/>
  <c r="A6348" i="2"/>
  <c r="A6361" i="2"/>
  <c r="A6353" i="2"/>
  <c r="A6372" i="2"/>
  <c r="A6357" i="2"/>
  <c r="A6368" i="2"/>
  <c r="F6357" i="2"/>
  <c r="A6364" i="2"/>
  <c r="A6369" i="2"/>
  <c r="A6345" i="2"/>
  <c r="A6352" i="2"/>
  <c r="F6345" i="2"/>
  <c r="A6359" i="2"/>
  <c r="A6343" i="2"/>
  <c r="A6367" i="2"/>
  <c r="A6356" i="2"/>
  <c r="A6351" i="2"/>
  <c r="F6364" i="2"/>
  <c r="F6360" i="2"/>
  <c r="F6356" i="2"/>
  <c r="F6352" i="2"/>
  <c r="F6348" i="2"/>
  <c r="F6344" i="2"/>
  <c r="F6370" i="2"/>
  <c r="A6370" i="2"/>
  <c r="F6368" i="2"/>
  <c r="A6371" i="2"/>
  <c r="A6360" i="2"/>
  <c r="A6355" i="2"/>
  <c r="F6372" i="2"/>
  <c r="A6366" i="2"/>
  <c r="A6362" i="2"/>
  <c r="A6358" i="2"/>
  <c r="A6354" i="2"/>
  <c r="A6350" i="2"/>
  <c r="A6346" i="2"/>
  <c r="A6342" i="2"/>
  <c r="G6310" i="2"/>
  <c r="A6310" i="2" s="1"/>
  <c r="G6311" i="2"/>
  <c r="G6312" i="2"/>
  <c r="H6312" i="2" s="1"/>
  <c r="G6313" i="2"/>
  <c r="H6313" i="2" s="1"/>
  <c r="G6314" i="2"/>
  <c r="H6314" i="2" s="1"/>
  <c r="G6315" i="2"/>
  <c r="G6316" i="2"/>
  <c r="H6316" i="2" s="1"/>
  <c r="G6317" i="2"/>
  <c r="H6317" i="2" s="1"/>
  <c r="G6318" i="2"/>
  <c r="G6319" i="2"/>
  <c r="G6320" i="2"/>
  <c r="H6320" i="2" s="1"/>
  <c r="G6321" i="2"/>
  <c r="H6321" i="2" s="1"/>
  <c r="G6322" i="2"/>
  <c r="G6323" i="2"/>
  <c r="G6324" i="2"/>
  <c r="H6324" i="2" s="1"/>
  <c r="G6325" i="2"/>
  <c r="H6325" i="2" s="1"/>
  <c r="G6326" i="2"/>
  <c r="H6326" i="2" s="1"/>
  <c r="G6327" i="2"/>
  <c r="G6328" i="2"/>
  <c r="H6328" i="2" s="1"/>
  <c r="G6329" i="2"/>
  <c r="H6329" i="2" s="1"/>
  <c r="G6330" i="2"/>
  <c r="G6331" i="2"/>
  <c r="G6332" i="2"/>
  <c r="H6332" i="2" s="1"/>
  <c r="G6333" i="2"/>
  <c r="H6333" i="2" s="1"/>
  <c r="G6334" i="2"/>
  <c r="A6334" i="2" s="1"/>
  <c r="G6335" i="2"/>
  <c r="H6335" i="2" s="1"/>
  <c r="G6336" i="2"/>
  <c r="H6336" i="2" s="1"/>
  <c r="G6337" i="2"/>
  <c r="H6337" i="2" s="1"/>
  <c r="G6338" i="2"/>
  <c r="A6338" i="2" s="1"/>
  <c r="G6339" i="2"/>
  <c r="H6339" i="2" s="1"/>
  <c r="G6340" i="2"/>
  <c r="H6340" i="2" s="1"/>
  <c r="G6309" i="2"/>
  <c r="A6328" i="2" l="1"/>
  <c r="F6314" i="2"/>
  <c r="F6309" i="2"/>
  <c r="H6309" i="2"/>
  <c r="A6332" i="2"/>
  <c r="F6323" i="2"/>
  <c r="H6323" i="2"/>
  <c r="F6340" i="2"/>
  <c r="F6331" i="2"/>
  <c r="H6331" i="2"/>
  <c r="F6322" i="2"/>
  <c r="H6322" i="2"/>
  <c r="F6311" i="2"/>
  <c r="H6311" i="2"/>
  <c r="F6310" i="2"/>
  <c r="H6310" i="2"/>
  <c r="F6330" i="2"/>
  <c r="H6330" i="2"/>
  <c r="F6319" i="2"/>
  <c r="H6319" i="2"/>
  <c r="F6318" i="2"/>
  <c r="H6318" i="2"/>
  <c r="F6338" i="2"/>
  <c r="H6338" i="2"/>
  <c r="F6327" i="2"/>
  <c r="H6327" i="2"/>
  <c r="A6326" i="2"/>
  <c r="F6315" i="2"/>
  <c r="H6315" i="2"/>
  <c r="A6312" i="2"/>
  <c r="F6334" i="2"/>
  <c r="H6334" i="2"/>
  <c r="F6326" i="2"/>
  <c r="A6320" i="2"/>
  <c r="A6314" i="2"/>
  <c r="A6333" i="2"/>
  <c r="A6329" i="2"/>
  <c r="A6321" i="2"/>
  <c r="A6317" i="2"/>
  <c r="A6337" i="2"/>
  <c r="A6324" i="2"/>
  <c r="A6322" i="2"/>
  <c r="F6337" i="2"/>
  <c r="A6309" i="2"/>
  <c r="F6325" i="2"/>
  <c r="F6313" i="2"/>
  <c r="A6336" i="2"/>
  <c r="F6333" i="2"/>
  <c r="F6321" i="2"/>
  <c r="F6336" i="2"/>
  <c r="F6329" i="2"/>
  <c r="F6317" i="2"/>
  <c r="A6340" i="2"/>
  <c r="A6330" i="2"/>
  <c r="A6325" i="2"/>
  <c r="A6318" i="2"/>
  <c r="A6313" i="2"/>
  <c r="F6316" i="2"/>
  <c r="F6320" i="2"/>
  <c r="A6316" i="2"/>
  <c r="F6339" i="2"/>
  <c r="A6339" i="2"/>
  <c r="F6335" i="2"/>
  <c r="A6335" i="2"/>
  <c r="F6332" i="2"/>
  <c r="F6328" i="2"/>
  <c r="F6324" i="2"/>
  <c r="F6312" i="2"/>
  <c r="A6331" i="2"/>
  <c r="A6327" i="2"/>
  <c r="A6323" i="2"/>
  <c r="A6319" i="2"/>
  <c r="A6315" i="2"/>
  <c r="A6311" i="2"/>
  <c r="G6278" i="2"/>
  <c r="G6279" i="2"/>
  <c r="G6280" i="2"/>
  <c r="G6281" i="2"/>
  <c r="H6281" i="2" s="1"/>
  <c r="G6282" i="2"/>
  <c r="A6282" i="2" s="1"/>
  <c r="G6283" i="2"/>
  <c r="G6284" i="2"/>
  <c r="G6285" i="2"/>
  <c r="H6285" i="2" s="1"/>
  <c r="G6286" i="2"/>
  <c r="G6287" i="2"/>
  <c r="A6287" i="2" s="1"/>
  <c r="G6288" i="2"/>
  <c r="G6289" i="2"/>
  <c r="H6289" i="2" s="1"/>
  <c r="G6290" i="2"/>
  <c r="G6291" i="2"/>
  <c r="G6292" i="2"/>
  <c r="G6293" i="2"/>
  <c r="G6294" i="2"/>
  <c r="G6295" i="2"/>
  <c r="A6295" i="2" s="1"/>
  <c r="G6296" i="2"/>
  <c r="G6297" i="2"/>
  <c r="G6298" i="2"/>
  <c r="G6299" i="2"/>
  <c r="G6300" i="2"/>
  <c r="H6300" i="2" s="1"/>
  <c r="G6301" i="2"/>
  <c r="G6302" i="2"/>
  <c r="A6302" i="2" s="1"/>
  <c r="G6303" i="2"/>
  <c r="G6304" i="2"/>
  <c r="G6305" i="2"/>
  <c r="G6306" i="2"/>
  <c r="G6307" i="2"/>
  <c r="G6308" i="2"/>
  <c r="G6277" i="2"/>
  <c r="F6306" i="2" l="1"/>
  <c r="H6306" i="2"/>
  <c r="F6296" i="2"/>
  <c r="H6296" i="2"/>
  <c r="F6286" i="2"/>
  <c r="H6286" i="2"/>
  <c r="F6285" i="2"/>
  <c r="F6294" i="2"/>
  <c r="H6294" i="2"/>
  <c r="F6284" i="2"/>
  <c r="H6284" i="2"/>
  <c r="F6293" i="2"/>
  <c r="H6293" i="2"/>
  <c r="F6283" i="2"/>
  <c r="H6283" i="2"/>
  <c r="F6295" i="2"/>
  <c r="H6295" i="2"/>
  <c r="F6303" i="2"/>
  <c r="H6303" i="2"/>
  <c r="F6301" i="2"/>
  <c r="H6301" i="2"/>
  <c r="F6291" i="2"/>
  <c r="H6291" i="2"/>
  <c r="F6282" i="2"/>
  <c r="H6282" i="2"/>
  <c r="F6302" i="2"/>
  <c r="H6302" i="2"/>
  <c r="F6281" i="2"/>
  <c r="F6305" i="2"/>
  <c r="H6305" i="2"/>
  <c r="F6304" i="2"/>
  <c r="H6304" i="2"/>
  <c r="F6292" i="2"/>
  <c r="H6292" i="2"/>
  <c r="F6290" i="2"/>
  <c r="H6290" i="2"/>
  <c r="F6277" i="2"/>
  <c r="H6277" i="2"/>
  <c r="F6299" i="2"/>
  <c r="H6299" i="2"/>
  <c r="F6288" i="2"/>
  <c r="H6288" i="2"/>
  <c r="F6280" i="2"/>
  <c r="H6280" i="2"/>
  <c r="F6300" i="2"/>
  <c r="F6308" i="2"/>
  <c r="H6308" i="2"/>
  <c r="F6298" i="2"/>
  <c r="H6298" i="2"/>
  <c r="F6279" i="2"/>
  <c r="H6279" i="2"/>
  <c r="F6307" i="2"/>
  <c r="H6307" i="2"/>
  <c r="F6297" i="2"/>
  <c r="H6297" i="2"/>
  <c r="F6287" i="2"/>
  <c r="H6287" i="2"/>
  <c r="F6278" i="2"/>
  <c r="H6278" i="2"/>
  <c r="A6307" i="2"/>
  <c r="A6286" i="2"/>
  <c r="A6297" i="2"/>
  <c r="A6291" i="2"/>
  <c r="A6305" i="2"/>
  <c r="F6289" i="2"/>
  <c r="A6285" i="2"/>
  <c r="A6290" i="2"/>
  <c r="A6301" i="2"/>
  <c r="A6306" i="2"/>
  <c r="A6281" i="2"/>
  <c r="A6303" i="2"/>
  <c r="A6298" i="2"/>
  <c r="A6293" i="2"/>
  <c r="A6283" i="2"/>
  <c r="A6278" i="2"/>
  <c r="A6294" i="2"/>
  <c r="A6289" i="2"/>
  <c r="A6279" i="2"/>
  <c r="A6308" i="2"/>
  <c r="A6304" i="2"/>
  <c r="A6300" i="2"/>
  <c r="A6296" i="2"/>
  <c r="A6292" i="2"/>
  <c r="A6288" i="2"/>
  <c r="A6284" i="2"/>
  <c r="A6280" i="2"/>
  <c r="A6299" i="2"/>
  <c r="A6277" i="2"/>
  <c r="G6247" i="2"/>
  <c r="A6247" i="2" s="1"/>
  <c r="G6248" i="2"/>
  <c r="G6249" i="2"/>
  <c r="H6249" i="2" s="1"/>
  <c r="G6250" i="2"/>
  <c r="H6250" i="2" s="1"/>
  <c r="G6251" i="2"/>
  <c r="G6252" i="2"/>
  <c r="G6253" i="2"/>
  <c r="H6253" i="2" s="1"/>
  <c r="G6254" i="2"/>
  <c r="H6254" i="2" s="1"/>
  <c r="G6255" i="2"/>
  <c r="G6256" i="2"/>
  <c r="G6257" i="2"/>
  <c r="H6257" i="2" s="1"/>
  <c r="G6258" i="2"/>
  <c r="H6258" i="2" s="1"/>
  <c r="G6259" i="2"/>
  <c r="A6259" i="2" s="1"/>
  <c r="G6260" i="2"/>
  <c r="G6261" i="2"/>
  <c r="H6261" i="2" s="1"/>
  <c r="G6262" i="2"/>
  <c r="H6262" i="2" s="1"/>
  <c r="G6263" i="2"/>
  <c r="A6263" i="2" s="1"/>
  <c r="G6264" i="2"/>
  <c r="G6265" i="2"/>
  <c r="H6265" i="2" s="1"/>
  <c r="G6266" i="2"/>
  <c r="H6266" i="2" s="1"/>
  <c r="G6267" i="2"/>
  <c r="G6268" i="2"/>
  <c r="G6269" i="2"/>
  <c r="H6269" i="2" s="1"/>
  <c r="G6270" i="2"/>
  <c r="H6270" i="2" s="1"/>
  <c r="G6271" i="2"/>
  <c r="G6272" i="2"/>
  <c r="G6273" i="2"/>
  <c r="H6273" i="2" s="1"/>
  <c r="G6274" i="2"/>
  <c r="H6274" i="2" s="1"/>
  <c r="G6275" i="2"/>
  <c r="G6276" i="2"/>
  <c r="G6246" i="2"/>
  <c r="A6250" i="2" l="1"/>
  <c r="A6262" i="2"/>
  <c r="F6252" i="2"/>
  <c r="H6252" i="2"/>
  <c r="F6260" i="2"/>
  <c r="H6260" i="2"/>
  <c r="F6251" i="2"/>
  <c r="H6251" i="2"/>
  <c r="F6268" i="2"/>
  <c r="H6268" i="2"/>
  <c r="F6248" i="2"/>
  <c r="H6248" i="2"/>
  <c r="F6267" i="2"/>
  <c r="H6267" i="2"/>
  <c r="F6272" i="2"/>
  <c r="H6272" i="2"/>
  <c r="F6271" i="2"/>
  <c r="H6271" i="2"/>
  <c r="F6259" i="2"/>
  <c r="H6259" i="2"/>
  <c r="F6256" i="2"/>
  <c r="H6256" i="2"/>
  <c r="F6275" i="2"/>
  <c r="H6275" i="2"/>
  <c r="F6264" i="2"/>
  <c r="H6264" i="2"/>
  <c r="F6255" i="2"/>
  <c r="H6255" i="2"/>
  <c r="F6246" i="2"/>
  <c r="H6246" i="2"/>
  <c r="F6247" i="2"/>
  <c r="H6247" i="2"/>
  <c r="F6276" i="2"/>
  <c r="H6276" i="2"/>
  <c r="F6274" i="2"/>
  <c r="F6263" i="2"/>
  <c r="H6263" i="2"/>
  <c r="A6275" i="2"/>
  <c r="F6262" i="2"/>
  <c r="A6269" i="2"/>
  <c r="F6250" i="2"/>
  <c r="A6274" i="2"/>
  <c r="A6251" i="2"/>
  <c r="A6270" i="2"/>
  <c r="A6266" i="2"/>
  <c r="A6257" i="2"/>
  <c r="A6273" i="2"/>
  <c r="A6271" i="2"/>
  <c r="A6258" i="2"/>
  <c r="A6256" i="2"/>
  <c r="A6254" i="2"/>
  <c r="A6261" i="2"/>
  <c r="A6248" i="2"/>
  <c r="A6264" i="2"/>
  <c r="F6266" i="2"/>
  <c r="F6254" i="2"/>
  <c r="A6267" i="2"/>
  <c r="A6255" i="2"/>
  <c r="A6272" i="2"/>
  <c r="A6260" i="2"/>
  <c r="A6265" i="2"/>
  <c r="A6253" i="2"/>
  <c r="A6268" i="2"/>
  <c r="F6270" i="2"/>
  <c r="F6258" i="2"/>
  <c r="A6249" i="2"/>
  <c r="A6276" i="2"/>
  <c r="A6252" i="2"/>
  <c r="F6273" i="2"/>
  <c r="F6269" i="2"/>
  <c r="F6265" i="2"/>
  <c r="F6261" i="2"/>
  <c r="F6257" i="2"/>
  <c r="F6253" i="2"/>
  <c r="F6249" i="2"/>
  <c r="A6246" i="2"/>
  <c r="G6216" i="2"/>
  <c r="G6217" i="2"/>
  <c r="G6218" i="2"/>
  <c r="H6218" i="2" s="1"/>
  <c r="G6219" i="2"/>
  <c r="H6219" i="2" s="1"/>
  <c r="G6220" i="2"/>
  <c r="G6221" i="2"/>
  <c r="G6222" i="2"/>
  <c r="H6222" i="2" s="1"/>
  <c r="F6223" i="2"/>
  <c r="G6223" i="2"/>
  <c r="H6223" i="2" s="1"/>
  <c r="G6224" i="2"/>
  <c r="G6225" i="2"/>
  <c r="A6225" i="2" s="1"/>
  <c r="G6226" i="2"/>
  <c r="H6226" i="2" s="1"/>
  <c r="G6227" i="2"/>
  <c r="H6227" i="2" s="1"/>
  <c r="G6228" i="2"/>
  <c r="G6229" i="2"/>
  <c r="H6229" i="2" s="1"/>
  <c r="G6230" i="2"/>
  <c r="H6230" i="2" s="1"/>
  <c r="G6231" i="2"/>
  <c r="H6231" i="2" s="1"/>
  <c r="G6232" i="2"/>
  <c r="G6233" i="2"/>
  <c r="H6233" i="2" s="1"/>
  <c r="G6234" i="2"/>
  <c r="H6234" i="2" s="1"/>
  <c r="G6235" i="2"/>
  <c r="A6235" i="2" s="1"/>
  <c r="G6236" i="2"/>
  <c r="G6237" i="2"/>
  <c r="H6237" i="2" s="1"/>
  <c r="G6238" i="2"/>
  <c r="H6238" i="2" s="1"/>
  <c r="G6239" i="2"/>
  <c r="H6239" i="2" s="1"/>
  <c r="G6240" i="2"/>
  <c r="G6241" i="2"/>
  <c r="H6241" i="2" s="1"/>
  <c r="G6242" i="2"/>
  <c r="H6242" i="2" s="1"/>
  <c r="G6243" i="2"/>
  <c r="H6243" i="2" s="1"/>
  <c r="G6244" i="2"/>
  <c r="G6245" i="2"/>
  <c r="H6245" i="2" s="1"/>
  <c r="G6215" i="2"/>
  <c r="A6237" i="2" l="1"/>
  <c r="A6227" i="2"/>
  <c r="A6223" i="2"/>
  <c r="F6221" i="2"/>
  <c r="H6221" i="2"/>
  <c r="A6242" i="2"/>
  <c r="F6235" i="2"/>
  <c r="H6235" i="2"/>
  <c r="F6219" i="2"/>
  <c r="F6215" i="2"/>
  <c r="H6215" i="2"/>
  <c r="F6244" i="2"/>
  <c r="H6244" i="2"/>
  <c r="F6225" i="2"/>
  <c r="H6225" i="2"/>
  <c r="F6228" i="2"/>
  <c r="H6228" i="2"/>
  <c r="F6224" i="2"/>
  <c r="H6224" i="2"/>
  <c r="F6217" i="2"/>
  <c r="H6217" i="2"/>
  <c r="F6236" i="2"/>
  <c r="H6236" i="2"/>
  <c r="F6222" i="2"/>
  <c r="F6232" i="2"/>
  <c r="H6232" i="2"/>
  <c r="F6216" i="2"/>
  <c r="H6216" i="2"/>
  <c r="A6239" i="2"/>
  <c r="F6220" i="2"/>
  <c r="H6220" i="2"/>
  <c r="F6240" i="2"/>
  <c r="H6240" i="2"/>
  <c r="A6238" i="2"/>
  <c r="A6229" i="2"/>
  <c r="A6222" i="2"/>
  <c r="A6221" i="2"/>
  <c r="A6217" i="2"/>
  <c r="F6234" i="2"/>
  <c r="F6231" i="2"/>
  <c r="F6227" i="2"/>
  <c r="F6238" i="2"/>
  <c r="A6234" i="2"/>
  <c r="A6245" i="2"/>
  <c r="A6243" i="2"/>
  <c r="A6226" i="2"/>
  <c r="F6243" i="2"/>
  <c r="F6226" i="2"/>
  <c r="F6239" i="2"/>
  <c r="A6233" i="2"/>
  <c r="A6231" i="2"/>
  <c r="A6240" i="2"/>
  <c r="A6228" i="2"/>
  <c r="A6216" i="2"/>
  <c r="F6242" i="2"/>
  <c r="F6230" i="2"/>
  <c r="F6218" i="2"/>
  <c r="A6219" i="2"/>
  <c r="A6236" i="2"/>
  <c r="A6224" i="2"/>
  <c r="A6244" i="2"/>
  <c r="A6232" i="2"/>
  <c r="A6220" i="2"/>
  <c r="A6230" i="2"/>
  <c r="A6218" i="2"/>
  <c r="A6241" i="2"/>
  <c r="F6245" i="2"/>
  <c r="F6241" i="2"/>
  <c r="F6237" i="2"/>
  <c r="F6233" i="2"/>
  <c r="F6229" i="2"/>
  <c r="A6215" i="2"/>
  <c r="G6185" i="2"/>
  <c r="G6186" i="2"/>
  <c r="G6187" i="2"/>
  <c r="H6187" i="2" s="1"/>
  <c r="G6188" i="2"/>
  <c r="H6188" i="2" s="1"/>
  <c r="G6189" i="2"/>
  <c r="G6190" i="2"/>
  <c r="G6191" i="2"/>
  <c r="H6191" i="2" s="1"/>
  <c r="G6192" i="2"/>
  <c r="H6192" i="2" s="1"/>
  <c r="G6193" i="2"/>
  <c r="G6194" i="2"/>
  <c r="G6195" i="2"/>
  <c r="H6195" i="2" s="1"/>
  <c r="G6196" i="2"/>
  <c r="H6196" i="2" s="1"/>
  <c r="G6197" i="2"/>
  <c r="A6197" i="2" s="1"/>
  <c r="G6198" i="2"/>
  <c r="G6199" i="2"/>
  <c r="H6199" i="2" s="1"/>
  <c r="G6200" i="2"/>
  <c r="H6200" i="2" s="1"/>
  <c r="G6201" i="2"/>
  <c r="H6201" i="2" s="1"/>
  <c r="G6202" i="2"/>
  <c r="G6203" i="2"/>
  <c r="H6203" i="2" s="1"/>
  <c r="G6204" i="2"/>
  <c r="H6204" i="2" s="1"/>
  <c r="G6205" i="2"/>
  <c r="G6206" i="2"/>
  <c r="G6207" i="2"/>
  <c r="H6207" i="2" s="1"/>
  <c r="G6208" i="2"/>
  <c r="H6208" i="2" s="1"/>
  <c r="G6209" i="2"/>
  <c r="A6209" i="2" s="1"/>
  <c r="G6210" i="2"/>
  <c r="G6211" i="2"/>
  <c r="H6211" i="2" s="1"/>
  <c r="G6212" i="2"/>
  <c r="H6212" i="2" s="1"/>
  <c r="G6213" i="2"/>
  <c r="H6213" i="2" s="1"/>
  <c r="G6214" i="2"/>
  <c r="G6184" i="2"/>
  <c r="A6212" i="2" l="1"/>
  <c r="F6184" i="2"/>
  <c r="H6184" i="2"/>
  <c r="F6214" i="2"/>
  <c r="H6214" i="2"/>
  <c r="F6196" i="2"/>
  <c r="F6186" i="2"/>
  <c r="H6186" i="2"/>
  <c r="F6185" i="2"/>
  <c r="H6185" i="2"/>
  <c r="F6202" i="2"/>
  <c r="H6202" i="2"/>
  <c r="F6193" i="2"/>
  <c r="H6193" i="2"/>
  <c r="A6192" i="2"/>
  <c r="F6205" i="2"/>
  <c r="H6205" i="2"/>
  <c r="F6210" i="2"/>
  <c r="H6210" i="2"/>
  <c r="F6206" i="2"/>
  <c r="H6206" i="2"/>
  <c r="F6198" i="2"/>
  <c r="H6198" i="2"/>
  <c r="F6190" i="2"/>
  <c r="H6190" i="2"/>
  <c r="F6189" i="2"/>
  <c r="H6189" i="2"/>
  <c r="F6209" i="2"/>
  <c r="H6209" i="2"/>
  <c r="F6208" i="2"/>
  <c r="F6197" i="2"/>
  <c r="H6197" i="2"/>
  <c r="A6188" i="2"/>
  <c r="F6194" i="2"/>
  <c r="H6194" i="2"/>
  <c r="A6196" i="2"/>
  <c r="A6208" i="2"/>
  <c r="F6188" i="2"/>
  <c r="F6201" i="2"/>
  <c r="A6213" i="2"/>
  <c r="A6204" i="2"/>
  <c r="A6200" i="2"/>
  <c r="A6193" i="2"/>
  <c r="A6189" i="2"/>
  <c r="F6213" i="2"/>
  <c r="F6200" i="2"/>
  <c r="A6185" i="2"/>
  <c r="F6212" i="2"/>
  <c r="A6205" i="2"/>
  <c r="A6201" i="2"/>
  <c r="A6187" i="2"/>
  <c r="F6204" i="2"/>
  <c r="F6192" i="2"/>
  <c r="A6211" i="2"/>
  <c r="A6207" i="2"/>
  <c r="A6199" i="2"/>
  <c r="A6191" i="2"/>
  <c r="F6211" i="2"/>
  <c r="F6207" i="2"/>
  <c r="F6203" i="2"/>
  <c r="F6199" i="2"/>
  <c r="F6195" i="2"/>
  <c r="F6191" i="2"/>
  <c r="F6187" i="2"/>
  <c r="A6214" i="2"/>
  <c r="A6210" i="2"/>
  <c r="A6206" i="2"/>
  <c r="A6202" i="2"/>
  <c r="A6198" i="2"/>
  <c r="A6194" i="2"/>
  <c r="A6190" i="2"/>
  <c r="A6186" i="2"/>
  <c r="A6203" i="2"/>
  <c r="A6195" i="2"/>
  <c r="A6184" i="2"/>
  <c r="G6154" i="2"/>
  <c r="G6155" i="2"/>
  <c r="G6156" i="2"/>
  <c r="G6157" i="2"/>
  <c r="H6157" i="2" s="1"/>
  <c r="G6158" i="2"/>
  <c r="G6159" i="2"/>
  <c r="G6160" i="2"/>
  <c r="G6161" i="2"/>
  <c r="H6161" i="2" s="1"/>
  <c r="G6162" i="2"/>
  <c r="G6163" i="2"/>
  <c r="G6164" i="2"/>
  <c r="G6165" i="2"/>
  <c r="H6165" i="2" s="1"/>
  <c r="G6166" i="2"/>
  <c r="G6167" i="2"/>
  <c r="G6168" i="2"/>
  <c r="G6169" i="2"/>
  <c r="H6169" i="2" s="1"/>
  <c r="G6170" i="2"/>
  <c r="G6171" i="2"/>
  <c r="G6172" i="2"/>
  <c r="G6173" i="2"/>
  <c r="H6173" i="2" s="1"/>
  <c r="G6174" i="2"/>
  <c r="G6175" i="2"/>
  <c r="G6176" i="2"/>
  <c r="G6177" i="2"/>
  <c r="H6177" i="2" s="1"/>
  <c r="G6178" i="2"/>
  <c r="H6178" i="2" s="1"/>
  <c r="G6179" i="2"/>
  <c r="G6180" i="2"/>
  <c r="G6181" i="2"/>
  <c r="H6181" i="2" s="1"/>
  <c r="G6182" i="2"/>
  <c r="A6182" i="2" s="1"/>
  <c r="G6183" i="2"/>
  <c r="G6153" i="2"/>
  <c r="A6181" i="2" l="1"/>
  <c r="A6165" i="2"/>
  <c r="F6174" i="2"/>
  <c r="H6174" i="2"/>
  <c r="F6163" i="2"/>
  <c r="H6163" i="2"/>
  <c r="F6170" i="2"/>
  <c r="H6170" i="2"/>
  <c r="F6183" i="2"/>
  <c r="H6183" i="2"/>
  <c r="F6182" i="2"/>
  <c r="H6182" i="2"/>
  <c r="F6160" i="2"/>
  <c r="H6160" i="2"/>
  <c r="F6159" i="2"/>
  <c r="H6159" i="2"/>
  <c r="F6180" i="2"/>
  <c r="H6180" i="2"/>
  <c r="F6158" i="2"/>
  <c r="H6158" i="2"/>
  <c r="F6172" i="2"/>
  <c r="H6172" i="2"/>
  <c r="F6179" i="2"/>
  <c r="H6179" i="2"/>
  <c r="F6168" i="2"/>
  <c r="H6168" i="2"/>
  <c r="F6167" i="2"/>
  <c r="H6167" i="2"/>
  <c r="F6156" i="2"/>
  <c r="H6156" i="2"/>
  <c r="F6178" i="2"/>
  <c r="F6166" i="2"/>
  <c r="H6166" i="2"/>
  <c r="F6155" i="2"/>
  <c r="H6155" i="2"/>
  <c r="F6162" i="2"/>
  <c r="H6162" i="2"/>
  <c r="F6154" i="2"/>
  <c r="H6154" i="2"/>
  <c r="F6176" i="2"/>
  <c r="H6176" i="2"/>
  <c r="F6171" i="2"/>
  <c r="H6171" i="2"/>
  <c r="F6153" i="2"/>
  <c r="H6153" i="2"/>
  <c r="F6175" i="2"/>
  <c r="H6175" i="2"/>
  <c r="F6164" i="2"/>
  <c r="H6164" i="2"/>
  <c r="A6178" i="2"/>
  <c r="A6164" i="2"/>
  <c r="A6162" i="2"/>
  <c r="A6179" i="2"/>
  <c r="F6161" i="2"/>
  <c r="A6157" i="2"/>
  <c r="A6155" i="2"/>
  <c r="A6175" i="2"/>
  <c r="A6171" i="2"/>
  <c r="A6163" i="2"/>
  <c r="A6176" i="2"/>
  <c r="A6167" i="2"/>
  <c r="F6157" i="2"/>
  <c r="A6174" i="2"/>
  <c r="A6160" i="2"/>
  <c r="A6158" i="2"/>
  <c r="A6170" i="2"/>
  <c r="A6154" i="2"/>
  <c r="A6166" i="2"/>
  <c r="A6159" i="2"/>
  <c r="F6177" i="2"/>
  <c r="A6180" i="2"/>
  <c r="A6169" i="2"/>
  <c r="F6181" i="2"/>
  <c r="F6173" i="2"/>
  <c r="F6169" i="2"/>
  <c r="F6165" i="2"/>
  <c r="A6173" i="2"/>
  <c r="A6168" i="2"/>
  <c r="A6183" i="2"/>
  <c r="A6177" i="2"/>
  <c r="A6172" i="2"/>
  <c r="A6161" i="2"/>
  <c r="A6156" i="2"/>
  <c r="A6153" i="2"/>
  <c r="G6123" i="2"/>
  <c r="A6123" i="2" s="1"/>
  <c r="G6124" i="2"/>
  <c r="G6125" i="2"/>
  <c r="H6125" i="2" s="1"/>
  <c r="G6126" i="2"/>
  <c r="H6126" i="2" s="1"/>
  <c r="G6127" i="2"/>
  <c r="H6127" i="2" s="1"/>
  <c r="G6128" i="2"/>
  <c r="G6129" i="2"/>
  <c r="H6129" i="2" s="1"/>
  <c r="G6130" i="2"/>
  <c r="H6130" i="2" s="1"/>
  <c r="G6131" i="2"/>
  <c r="H6131" i="2" s="1"/>
  <c r="G6132" i="2"/>
  <c r="G6133" i="2"/>
  <c r="H6133" i="2" s="1"/>
  <c r="G6134" i="2"/>
  <c r="H6134" i="2" s="1"/>
  <c r="G6135" i="2"/>
  <c r="G6136" i="2"/>
  <c r="G6137" i="2"/>
  <c r="H6137" i="2" s="1"/>
  <c r="G6138" i="2"/>
  <c r="H6138" i="2" s="1"/>
  <c r="G6139" i="2"/>
  <c r="H6139" i="2" s="1"/>
  <c r="G6140" i="2"/>
  <c r="G6141" i="2"/>
  <c r="H6141" i="2" s="1"/>
  <c r="G6142" i="2"/>
  <c r="H6142" i="2" s="1"/>
  <c r="G6143" i="2"/>
  <c r="H6143" i="2" s="1"/>
  <c r="G6144" i="2"/>
  <c r="G6145" i="2"/>
  <c r="H6145" i="2" s="1"/>
  <c r="G6146" i="2"/>
  <c r="H6146" i="2" s="1"/>
  <c r="G6147" i="2"/>
  <c r="G6148" i="2"/>
  <c r="G6149" i="2"/>
  <c r="H6149" i="2" s="1"/>
  <c r="G6150" i="2"/>
  <c r="H6150" i="2" s="1"/>
  <c r="G6151" i="2"/>
  <c r="H6151" i="2" s="1"/>
  <c r="G6152" i="2"/>
  <c r="G6122" i="2"/>
  <c r="A6149" i="2" l="1"/>
  <c r="A6131" i="2"/>
  <c r="A6141" i="2"/>
  <c r="A6125" i="2"/>
  <c r="F6146" i="2"/>
  <c r="F6142" i="2"/>
  <c r="F6139" i="2"/>
  <c r="A6151" i="2"/>
  <c r="A6142" i="2"/>
  <c r="F6128" i="2"/>
  <c r="H6128" i="2"/>
  <c r="A6127" i="2"/>
  <c r="A6129" i="2"/>
  <c r="F6138" i="2"/>
  <c r="F6136" i="2"/>
  <c r="H6136" i="2"/>
  <c r="F6135" i="2"/>
  <c r="H6135" i="2"/>
  <c r="F6127" i="2"/>
  <c r="A6126" i="2"/>
  <c r="F6122" i="2"/>
  <c r="H6122" i="2"/>
  <c r="F6152" i="2"/>
  <c r="H6152" i="2"/>
  <c r="F6132" i="2"/>
  <c r="H6132" i="2"/>
  <c r="F6126" i="2"/>
  <c r="F6123" i="2"/>
  <c r="H6123" i="2"/>
  <c r="F6148" i="2"/>
  <c r="H6148" i="2"/>
  <c r="F6140" i="2"/>
  <c r="H6140" i="2"/>
  <c r="F6144" i="2"/>
  <c r="H6144" i="2"/>
  <c r="F6147" i="2"/>
  <c r="H6147" i="2"/>
  <c r="A6139" i="2"/>
  <c r="F6124" i="2"/>
  <c r="H6124" i="2"/>
  <c r="A6128" i="2"/>
  <c r="F6151" i="2"/>
  <c r="A6146" i="2"/>
  <c r="F6131" i="2"/>
  <c r="A6138" i="2"/>
  <c r="F6150" i="2"/>
  <c r="A6140" i="2"/>
  <c r="A6134" i="2"/>
  <c r="A6143" i="2"/>
  <c r="F6134" i="2"/>
  <c r="A6130" i="2"/>
  <c r="F6143" i="2"/>
  <c r="F6130" i="2"/>
  <c r="A6152" i="2"/>
  <c r="A6150" i="2"/>
  <c r="A6137" i="2"/>
  <c r="F6141" i="2"/>
  <c r="F6129" i="2"/>
  <c r="A6144" i="2"/>
  <c r="A6132" i="2"/>
  <c r="A6147" i="2"/>
  <c r="A6135" i="2"/>
  <c r="F6149" i="2"/>
  <c r="F6137" i="2"/>
  <c r="F6125" i="2"/>
  <c r="A6145" i="2"/>
  <c r="A6133" i="2"/>
  <c r="A6124" i="2"/>
  <c r="F6145" i="2"/>
  <c r="F6133" i="2"/>
  <c r="A6148" i="2"/>
  <c r="A6136" i="2"/>
  <c r="A6122" i="2"/>
  <c r="G6092" i="2"/>
  <c r="A6092" i="2" s="1"/>
  <c r="G6093" i="2"/>
  <c r="G6094" i="2"/>
  <c r="H6094" i="2" s="1"/>
  <c r="G6095" i="2"/>
  <c r="H6095" i="2" s="1"/>
  <c r="G6096" i="2"/>
  <c r="G6097" i="2"/>
  <c r="G6098" i="2"/>
  <c r="H6098" i="2" s="1"/>
  <c r="G6099" i="2"/>
  <c r="G6100" i="2"/>
  <c r="G6101" i="2"/>
  <c r="G6102" i="2"/>
  <c r="H6102" i="2" s="1"/>
  <c r="G6103" i="2"/>
  <c r="G6104" i="2"/>
  <c r="G6105" i="2"/>
  <c r="G6106" i="2"/>
  <c r="H6106" i="2" s="1"/>
  <c r="G6107" i="2"/>
  <c r="H6107" i="2" s="1"/>
  <c r="G6108" i="2"/>
  <c r="G6109" i="2"/>
  <c r="G6110" i="2"/>
  <c r="H6110" i="2" s="1"/>
  <c r="G6111" i="2"/>
  <c r="G6112" i="2"/>
  <c r="G6113" i="2"/>
  <c r="G6114" i="2"/>
  <c r="H6114" i="2" s="1"/>
  <c r="G6115" i="2"/>
  <c r="A6115" i="2" s="1"/>
  <c r="G6116" i="2"/>
  <c r="G6117" i="2"/>
  <c r="G6118" i="2"/>
  <c r="H6118" i="2" s="1"/>
  <c r="G6119" i="2"/>
  <c r="H6119" i="2" s="1"/>
  <c r="G6120" i="2"/>
  <c r="G6121" i="2"/>
  <c r="G6091" i="2"/>
  <c r="A6107" i="2" l="1"/>
  <c r="F6096" i="2"/>
  <c r="H6096" i="2"/>
  <c r="F6107" i="2"/>
  <c r="F6117" i="2"/>
  <c r="H6117" i="2"/>
  <c r="F6116" i="2"/>
  <c r="H6116" i="2"/>
  <c r="F6115" i="2"/>
  <c r="H6115" i="2"/>
  <c r="F6093" i="2"/>
  <c r="H6093" i="2"/>
  <c r="F6108" i="2"/>
  <c r="H6108" i="2"/>
  <c r="F6104" i="2"/>
  <c r="H6104" i="2"/>
  <c r="F6113" i="2"/>
  <c r="H6113" i="2"/>
  <c r="F6103" i="2"/>
  <c r="H6103" i="2"/>
  <c r="F6112" i="2"/>
  <c r="H6112" i="2"/>
  <c r="F6097" i="2"/>
  <c r="H6097" i="2"/>
  <c r="F6092" i="2"/>
  <c r="H6092" i="2"/>
  <c r="F6091" i="2"/>
  <c r="H6091" i="2"/>
  <c r="F6111" i="2"/>
  <c r="H6111" i="2"/>
  <c r="F6101" i="2"/>
  <c r="H6101" i="2"/>
  <c r="F6105" i="2"/>
  <c r="H6105" i="2"/>
  <c r="F6121" i="2"/>
  <c r="H6121" i="2"/>
  <c r="F6100" i="2"/>
  <c r="H6100" i="2"/>
  <c r="F6120" i="2"/>
  <c r="H6120" i="2"/>
  <c r="F6109" i="2"/>
  <c r="H6109" i="2"/>
  <c r="F6099" i="2"/>
  <c r="H6099" i="2"/>
  <c r="A6111" i="2"/>
  <c r="A6099" i="2"/>
  <c r="A6119" i="2"/>
  <c r="F6119" i="2"/>
  <c r="A6096" i="2"/>
  <c r="F6095" i="2"/>
  <c r="A6100" i="2"/>
  <c r="A6098" i="2"/>
  <c r="A6094" i="2"/>
  <c r="A6103" i="2"/>
  <c r="A6095" i="2"/>
  <c r="A6093" i="2"/>
  <c r="A6114" i="2"/>
  <c r="F6114" i="2"/>
  <c r="F6110" i="2"/>
  <c r="F6106" i="2"/>
  <c r="F6094" i="2"/>
  <c r="A6106" i="2"/>
  <c r="F6118" i="2"/>
  <c r="F6102" i="2"/>
  <c r="F6098" i="2"/>
  <c r="A6121" i="2"/>
  <c r="A6117" i="2"/>
  <c r="A6113" i="2"/>
  <c r="A6109" i="2"/>
  <c r="A6105" i="2"/>
  <c r="A6101" i="2"/>
  <c r="A6097" i="2"/>
  <c r="A6118" i="2"/>
  <c r="A6110" i="2"/>
  <c r="A6102" i="2"/>
  <c r="A6120" i="2"/>
  <c r="A6116" i="2"/>
  <c r="A6112" i="2"/>
  <c r="A6108" i="2"/>
  <c r="A6104" i="2"/>
  <c r="A6091" i="2"/>
  <c r="G6061" i="2"/>
  <c r="G6062" i="2"/>
  <c r="A6062" i="2" s="1"/>
  <c r="G6063" i="2"/>
  <c r="H6063" i="2" s="1"/>
  <c r="G6064" i="2"/>
  <c r="G6065" i="2"/>
  <c r="G6066" i="2"/>
  <c r="H6066" i="2" s="1"/>
  <c r="G6067" i="2"/>
  <c r="H6067" i="2" s="1"/>
  <c r="G6068" i="2"/>
  <c r="G6069" i="2"/>
  <c r="G6070" i="2"/>
  <c r="A6070" i="2" s="1"/>
  <c r="G6071" i="2"/>
  <c r="H6071" i="2" s="1"/>
  <c r="G6072" i="2"/>
  <c r="H6072" i="2" s="1"/>
  <c r="G6073" i="2"/>
  <c r="G6074" i="2"/>
  <c r="G6075" i="2"/>
  <c r="H6075" i="2" s="1"/>
  <c r="G6076" i="2"/>
  <c r="G6077" i="2"/>
  <c r="A6077" i="2" s="1"/>
  <c r="G6078" i="2"/>
  <c r="H6078" i="2" s="1"/>
  <c r="G6079" i="2"/>
  <c r="H6079" i="2" s="1"/>
  <c r="G6080" i="2"/>
  <c r="G6081" i="2"/>
  <c r="G6082" i="2"/>
  <c r="G6083" i="2"/>
  <c r="H6083" i="2" s="1"/>
  <c r="G6084" i="2"/>
  <c r="H6084" i="2" s="1"/>
  <c r="G6085" i="2"/>
  <c r="A6085" i="2" s="1"/>
  <c r="G6086" i="2"/>
  <c r="A6086" i="2" s="1"/>
  <c r="G6087" i="2"/>
  <c r="H6087" i="2" s="1"/>
  <c r="G6088" i="2"/>
  <c r="G6089" i="2"/>
  <c r="A6089" i="2" s="1"/>
  <c r="G6090" i="2"/>
  <c r="G6060" i="2"/>
  <c r="A6078" i="2" l="1"/>
  <c r="A6087" i="2"/>
  <c r="F6078" i="2"/>
  <c r="F6061" i="2"/>
  <c r="H6061" i="2"/>
  <c r="F6080" i="2"/>
  <c r="H6080" i="2"/>
  <c r="F6070" i="2"/>
  <c r="H6070" i="2"/>
  <c r="F6062" i="2"/>
  <c r="H6062" i="2"/>
  <c r="F6069" i="2"/>
  <c r="H6069" i="2"/>
  <c r="F6088" i="2"/>
  <c r="H6088" i="2"/>
  <c r="F6068" i="2"/>
  <c r="H6068" i="2"/>
  <c r="F6089" i="2"/>
  <c r="H6089" i="2"/>
  <c r="F6086" i="2"/>
  <c r="H6086" i="2"/>
  <c r="F6073" i="2"/>
  <c r="H6073" i="2"/>
  <c r="F6082" i="2"/>
  <c r="H6082" i="2"/>
  <c r="F6081" i="2"/>
  <c r="H6081" i="2"/>
  <c r="F6085" i="2"/>
  <c r="H6085" i="2"/>
  <c r="F6076" i="2"/>
  <c r="H6076" i="2"/>
  <c r="F6066" i="2"/>
  <c r="F6077" i="2"/>
  <c r="H6077" i="2"/>
  <c r="F6060" i="2"/>
  <c r="H6060" i="2"/>
  <c r="F6065" i="2"/>
  <c r="H6065" i="2"/>
  <c r="F6090" i="2"/>
  <c r="H6090" i="2"/>
  <c r="A6082" i="2"/>
  <c r="F6074" i="2"/>
  <c r="H6074" i="2"/>
  <c r="F6064" i="2"/>
  <c r="H6064" i="2"/>
  <c r="A6065" i="2"/>
  <c r="A6090" i="2"/>
  <c r="A6088" i="2"/>
  <c r="A6074" i="2"/>
  <c r="A6064" i="2"/>
  <c r="A6081" i="2"/>
  <c r="A6079" i="2"/>
  <c r="A6066" i="2"/>
  <c r="A6075" i="2"/>
  <c r="A6073" i="2"/>
  <c r="A6069" i="2"/>
  <c r="A6067" i="2"/>
  <c r="A6061" i="2"/>
  <c r="F6072" i="2"/>
  <c r="F6084" i="2"/>
  <c r="A6068" i="2"/>
  <c r="A6063" i="2"/>
  <c r="A6080" i="2"/>
  <c r="A6083" i="2"/>
  <c r="A6076" i="2"/>
  <c r="A6071" i="2"/>
  <c r="A6072" i="2"/>
  <c r="A6084" i="2"/>
  <c r="F6087" i="2"/>
  <c r="F6083" i="2"/>
  <c r="F6079" i="2"/>
  <c r="F6075" i="2"/>
  <c r="F6071" i="2"/>
  <c r="F6067" i="2"/>
  <c r="F6063" i="2"/>
  <c r="A6060" i="2"/>
  <c r="G6030" i="2"/>
  <c r="G6031" i="2"/>
  <c r="A6031" i="2" s="1"/>
  <c r="G6032" i="2"/>
  <c r="H6032" i="2" s="1"/>
  <c r="G6033" i="2"/>
  <c r="H6033" i="2" s="1"/>
  <c r="G6034" i="2"/>
  <c r="G6035" i="2"/>
  <c r="G6036" i="2"/>
  <c r="H6036" i="2" s="1"/>
  <c r="G6037" i="2"/>
  <c r="H6037" i="2" s="1"/>
  <c r="G6038" i="2"/>
  <c r="G6039" i="2"/>
  <c r="G6040" i="2"/>
  <c r="H6040" i="2" s="1"/>
  <c r="G6041" i="2"/>
  <c r="H6041" i="2" s="1"/>
  <c r="G6042" i="2"/>
  <c r="G6043" i="2"/>
  <c r="G6044" i="2"/>
  <c r="H6044" i="2" s="1"/>
  <c r="G6045" i="2"/>
  <c r="H6045" i="2" s="1"/>
  <c r="G6046" i="2"/>
  <c r="G6047" i="2"/>
  <c r="G6048" i="2"/>
  <c r="H6048" i="2" s="1"/>
  <c r="G6049" i="2"/>
  <c r="H6049" i="2" s="1"/>
  <c r="G6050" i="2"/>
  <c r="G6051" i="2"/>
  <c r="A6051" i="2" s="1"/>
  <c r="G6052" i="2"/>
  <c r="H6052" i="2" s="1"/>
  <c r="G6053" i="2"/>
  <c r="H6053" i="2" s="1"/>
  <c r="G6054" i="2"/>
  <c r="G6055" i="2"/>
  <c r="A6055" i="2" s="1"/>
  <c r="G6056" i="2"/>
  <c r="H6056" i="2" s="1"/>
  <c r="G6057" i="2"/>
  <c r="H6057" i="2" s="1"/>
  <c r="G6058" i="2"/>
  <c r="G6059" i="2"/>
  <c r="G6029" i="2"/>
  <c r="F6049" i="2" l="1"/>
  <c r="F6039" i="2"/>
  <c r="H6039" i="2"/>
  <c r="F6038" i="2"/>
  <c r="H6038" i="2"/>
  <c r="F6058" i="2"/>
  <c r="H6058" i="2"/>
  <c r="F6047" i="2"/>
  <c r="H6047" i="2"/>
  <c r="F6046" i="2"/>
  <c r="H6046" i="2"/>
  <c r="F6042" i="2"/>
  <c r="H6042" i="2"/>
  <c r="F6031" i="2"/>
  <c r="H6031" i="2"/>
  <c r="F6045" i="2"/>
  <c r="F6043" i="2"/>
  <c r="H6043" i="2"/>
  <c r="F6051" i="2"/>
  <c r="H6051" i="2"/>
  <c r="F6029" i="2"/>
  <c r="H6029" i="2"/>
  <c r="F6050" i="2"/>
  <c r="H6050" i="2"/>
  <c r="F6041" i="2"/>
  <c r="F6030" i="2"/>
  <c r="H6030" i="2"/>
  <c r="F6055" i="2"/>
  <c r="H6055" i="2"/>
  <c r="F6035" i="2"/>
  <c r="H6035" i="2"/>
  <c r="F6054" i="2"/>
  <c r="H6054" i="2"/>
  <c r="F6034" i="2"/>
  <c r="H6034" i="2"/>
  <c r="F6059" i="2"/>
  <c r="H6059" i="2"/>
  <c r="A6047" i="2"/>
  <c r="A6035" i="2"/>
  <c r="F6033" i="2"/>
  <c r="A6040" i="2"/>
  <c r="A6059" i="2"/>
  <c r="A6036" i="2"/>
  <c r="F6053" i="2"/>
  <c r="F6057" i="2"/>
  <c r="A6043" i="2"/>
  <c r="A6041" i="2"/>
  <c r="A6039" i="2"/>
  <c r="A6037" i="2"/>
  <c r="F6037" i="2"/>
  <c r="A6048" i="2"/>
  <c r="A6042" i="2"/>
  <c r="A6054" i="2"/>
  <c r="A6030" i="2"/>
  <c r="F6056" i="2"/>
  <c r="F6044" i="2"/>
  <c r="F6032" i="2"/>
  <c r="A6050" i="2"/>
  <c r="A6038" i="2"/>
  <c r="A6033" i="2"/>
  <c r="F6052" i="2"/>
  <c r="F6040" i="2"/>
  <c r="A6034" i="2"/>
  <c r="A6058" i="2"/>
  <c r="A6046" i="2"/>
  <c r="F6048" i="2"/>
  <c r="F6036" i="2"/>
  <c r="A6044" i="2"/>
  <c r="A6032" i="2"/>
  <c r="A6057" i="2"/>
  <c r="A6053" i="2"/>
  <c r="A6049" i="2"/>
  <c r="A6045" i="2"/>
  <c r="A6056" i="2"/>
  <c r="A6052" i="2"/>
  <c r="A6029" i="2"/>
  <c r="G5999" i="2"/>
  <c r="G6000" i="2"/>
  <c r="G6001" i="2"/>
  <c r="H6001" i="2" s="1"/>
  <c r="G6002" i="2"/>
  <c r="H6002" i="2" s="1"/>
  <c r="G6003" i="2"/>
  <c r="H6003" i="2" s="1"/>
  <c r="G6004" i="2"/>
  <c r="G6005" i="2"/>
  <c r="H6005" i="2" s="1"/>
  <c r="G6006" i="2"/>
  <c r="H6006" i="2" s="1"/>
  <c r="G6007" i="2"/>
  <c r="G6008" i="2"/>
  <c r="G6009" i="2"/>
  <c r="H6009" i="2" s="1"/>
  <c r="G6010" i="2"/>
  <c r="H6010" i="2" s="1"/>
  <c r="G6011" i="2"/>
  <c r="G6012" i="2"/>
  <c r="G6013" i="2"/>
  <c r="H6013" i="2" s="1"/>
  <c r="G6014" i="2"/>
  <c r="H6014" i="2" s="1"/>
  <c r="G6015" i="2"/>
  <c r="G6016" i="2"/>
  <c r="G6017" i="2"/>
  <c r="H6017" i="2" s="1"/>
  <c r="G6018" i="2"/>
  <c r="H6018" i="2" s="1"/>
  <c r="G6019" i="2"/>
  <c r="G6020" i="2"/>
  <c r="G6021" i="2"/>
  <c r="H6021" i="2" s="1"/>
  <c r="G6022" i="2"/>
  <c r="H6022" i="2" s="1"/>
  <c r="G6023" i="2"/>
  <c r="G6024" i="2"/>
  <c r="G6025" i="2"/>
  <c r="H6025" i="2" s="1"/>
  <c r="G6026" i="2"/>
  <c r="H6026" i="2" s="1"/>
  <c r="G6027" i="2"/>
  <c r="H6027" i="2" s="1"/>
  <c r="G6028" i="2"/>
  <c r="G5998" i="2"/>
  <c r="F5998" i="2" l="1"/>
  <c r="H5998" i="2"/>
  <c r="F6016" i="2"/>
  <c r="H6016" i="2"/>
  <c r="F6004" i="2"/>
  <c r="H6004" i="2"/>
  <c r="F6028" i="2"/>
  <c r="H6028" i="2"/>
  <c r="F6015" i="2"/>
  <c r="H6015" i="2"/>
  <c r="F6012" i="2"/>
  <c r="H6012" i="2"/>
  <c r="F6011" i="2"/>
  <c r="H6011" i="2"/>
  <c r="F5999" i="2"/>
  <c r="H5999" i="2"/>
  <c r="F6007" i="2"/>
  <c r="H6007" i="2"/>
  <c r="F6024" i="2"/>
  <c r="H6024" i="2"/>
  <c r="F6023" i="2"/>
  <c r="H6023" i="2"/>
  <c r="F6020" i="2"/>
  <c r="H6020" i="2"/>
  <c r="F6008" i="2"/>
  <c r="H6008" i="2"/>
  <c r="F6000" i="2"/>
  <c r="H6000" i="2"/>
  <c r="F6019" i="2"/>
  <c r="H6019" i="2"/>
  <c r="A6007" i="2"/>
  <c r="A6026" i="2"/>
  <c r="A6022" i="2"/>
  <c r="A6018" i="2"/>
  <c r="A6014" i="2"/>
  <c r="A6010" i="2"/>
  <c r="A6023" i="2"/>
  <c r="A6019" i="2"/>
  <c r="A6015" i="2"/>
  <c r="A5999" i="2"/>
  <c r="F6027" i="2"/>
  <c r="F6003" i="2"/>
  <c r="A6006" i="2"/>
  <c r="A6011" i="2"/>
  <c r="A6000" i="2"/>
  <c r="A6027" i="2"/>
  <c r="A6003" i="2"/>
  <c r="F6018" i="2"/>
  <c r="F6006" i="2"/>
  <c r="A6002" i="2"/>
  <c r="F6026" i="2"/>
  <c r="F6014" i="2"/>
  <c r="F6002" i="2"/>
  <c r="F6022" i="2"/>
  <c r="F6010" i="2"/>
  <c r="A6013" i="2"/>
  <c r="F6017" i="2"/>
  <c r="F6013" i="2"/>
  <c r="F6009" i="2"/>
  <c r="F6001" i="2"/>
  <c r="A6025" i="2"/>
  <c r="F6005" i="2"/>
  <c r="A6028" i="2"/>
  <c r="A6024" i="2"/>
  <c r="A6020" i="2"/>
  <c r="A6016" i="2"/>
  <c r="A6012" i="2"/>
  <c r="A6008" i="2"/>
  <c r="A6004" i="2"/>
  <c r="A6021" i="2"/>
  <c r="A6017" i="2"/>
  <c r="A6009" i="2"/>
  <c r="A6005" i="2"/>
  <c r="A6001" i="2"/>
  <c r="F6025" i="2"/>
  <c r="F6021" i="2"/>
  <c r="A5998" i="2"/>
  <c r="G5968" i="2"/>
  <c r="G5969" i="2"/>
  <c r="G5970" i="2"/>
  <c r="H5970" i="2" s="1"/>
  <c r="G5971" i="2"/>
  <c r="H5971" i="2" s="1"/>
  <c r="G5972" i="2"/>
  <c r="G5973" i="2"/>
  <c r="G5974" i="2"/>
  <c r="H5974" i="2" s="1"/>
  <c r="G5975" i="2"/>
  <c r="H5975" i="2" s="1"/>
  <c r="G5976" i="2"/>
  <c r="G5977" i="2"/>
  <c r="H5977" i="2" s="1"/>
  <c r="G5978" i="2"/>
  <c r="H5978" i="2" s="1"/>
  <c r="G5979" i="2"/>
  <c r="G5980" i="2"/>
  <c r="G5981" i="2"/>
  <c r="H5981" i="2" s="1"/>
  <c r="G5982" i="2"/>
  <c r="H5982" i="2" s="1"/>
  <c r="G5983" i="2"/>
  <c r="G5984" i="2"/>
  <c r="G5985" i="2"/>
  <c r="G5986" i="2"/>
  <c r="H5986" i="2" s="1"/>
  <c r="G5987" i="2"/>
  <c r="G5988" i="2"/>
  <c r="G5989" i="2"/>
  <c r="G5990" i="2"/>
  <c r="H5990" i="2" s="1"/>
  <c r="G5991" i="2"/>
  <c r="G5992" i="2"/>
  <c r="G5993" i="2"/>
  <c r="H5993" i="2" s="1"/>
  <c r="G5994" i="2"/>
  <c r="H5994" i="2" s="1"/>
  <c r="G5995" i="2"/>
  <c r="H5995" i="2" s="1"/>
  <c r="G5996" i="2"/>
  <c r="A5996" i="2" s="1"/>
  <c r="G5997" i="2"/>
  <c r="G5967" i="2"/>
  <c r="F5995" i="2" l="1"/>
  <c r="F5973" i="2"/>
  <c r="H5973" i="2"/>
  <c r="F5992" i="2"/>
  <c r="H5992" i="2"/>
  <c r="F5991" i="2"/>
  <c r="H5991" i="2"/>
  <c r="F5980" i="2"/>
  <c r="H5980" i="2"/>
  <c r="F5971" i="2"/>
  <c r="F5979" i="2"/>
  <c r="H5979" i="2"/>
  <c r="F5983" i="2"/>
  <c r="H5983" i="2"/>
  <c r="F5972" i="2"/>
  <c r="H5972" i="2"/>
  <c r="A5990" i="2"/>
  <c r="A5979" i="2"/>
  <c r="F5967" i="2"/>
  <c r="H5967" i="2"/>
  <c r="F5989" i="2"/>
  <c r="H5989" i="2"/>
  <c r="F5968" i="2"/>
  <c r="H5968" i="2"/>
  <c r="F5976" i="2"/>
  <c r="H5976" i="2"/>
  <c r="F5969" i="2"/>
  <c r="H5969" i="2"/>
  <c r="F5988" i="2"/>
  <c r="H5988" i="2"/>
  <c r="F5987" i="2"/>
  <c r="H5987" i="2"/>
  <c r="F5996" i="2"/>
  <c r="H5996" i="2"/>
  <c r="F5985" i="2"/>
  <c r="H5985" i="2"/>
  <c r="F5997" i="2"/>
  <c r="H5997" i="2"/>
  <c r="F5984" i="2"/>
  <c r="H5984" i="2"/>
  <c r="A5973" i="2"/>
  <c r="A5984" i="2"/>
  <c r="A5980" i="2"/>
  <c r="A5985" i="2"/>
  <c r="A5983" i="2"/>
  <c r="A5972" i="2"/>
  <c r="A5994" i="2"/>
  <c r="A5992" i="2"/>
  <c r="F5981" i="2"/>
  <c r="A5977" i="2"/>
  <c r="F5977" i="2"/>
  <c r="F5975" i="2"/>
  <c r="A5997" i="2"/>
  <c r="A5995" i="2"/>
  <c r="A5991" i="2"/>
  <c r="A5978" i="2"/>
  <c r="A5989" i="2"/>
  <c r="F5993" i="2"/>
  <c r="A5987" i="2"/>
  <c r="A5982" i="2"/>
  <c r="A5975" i="2"/>
  <c r="A5970" i="2"/>
  <c r="A5968" i="2"/>
  <c r="A5971" i="2"/>
  <c r="A5993" i="2"/>
  <c r="A5988" i="2"/>
  <c r="A5981" i="2"/>
  <c r="A5976" i="2"/>
  <c r="A5969" i="2"/>
  <c r="A5986" i="2"/>
  <c r="A5974" i="2"/>
  <c r="F5994" i="2"/>
  <c r="F5990" i="2"/>
  <c r="F5986" i="2"/>
  <c r="F5982" i="2"/>
  <c r="F5978" i="2"/>
  <c r="F5974" i="2"/>
  <c r="F5970" i="2"/>
  <c r="A5967" i="2"/>
  <c r="G5937" i="2"/>
  <c r="G5938" i="2"/>
  <c r="H5938" i="2" s="1"/>
  <c r="G5939" i="2"/>
  <c r="H5939" i="2" s="1"/>
  <c r="G5940" i="2"/>
  <c r="H5940" i="2" s="1"/>
  <c r="G5941" i="2"/>
  <c r="G5942" i="2"/>
  <c r="G5943" i="2"/>
  <c r="H5943" i="2" s="1"/>
  <c r="G5944" i="2"/>
  <c r="A5944" i="2" s="1"/>
  <c r="G5945" i="2"/>
  <c r="G5946" i="2"/>
  <c r="G5947" i="2"/>
  <c r="H5947" i="2" s="1"/>
  <c r="G5948" i="2"/>
  <c r="G5949" i="2"/>
  <c r="G5950" i="2"/>
  <c r="G5951" i="2"/>
  <c r="H5951" i="2" s="1"/>
  <c r="G5952" i="2"/>
  <c r="G5953" i="2"/>
  <c r="G5954" i="2"/>
  <c r="G5955" i="2"/>
  <c r="H5955" i="2" s="1"/>
  <c r="G5956" i="2"/>
  <c r="A5956" i="2" s="1"/>
  <c r="G5957" i="2"/>
  <c r="A5957" i="2" s="1"/>
  <c r="G5958" i="2"/>
  <c r="G5959" i="2"/>
  <c r="H5959" i="2" s="1"/>
  <c r="G5960" i="2"/>
  <c r="G5961" i="2"/>
  <c r="G5962" i="2"/>
  <c r="G5963" i="2"/>
  <c r="H5963" i="2" s="1"/>
  <c r="G5964" i="2"/>
  <c r="G5965" i="2"/>
  <c r="G5966" i="2"/>
  <c r="A5966" i="2" s="1"/>
  <c r="G5936" i="2"/>
  <c r="H5936" i="2" s="1"/>
  <c r="F5941" i="2" l="1"/>
  <c r="H5941" i="2"/>
  <c r="F5958" i="2"/>
  <c r="H5958" i="2"/>
  <c r="F5950" i="2"/>
  <c r="H5950" i="2"/>
  <c r="F5957" i="2"/>
  <c r="H5957" i="2"/>
  <c r="F5947" i="2"/>
  <c r="F5946" i="2"/>
  <c r="H5946" i="2"/>
  <c r="F5937" i="2"/>
  <c r="H5937" i="2"/>
  <c r="F5942" i="2"/>
  <c r="H5942" i="2"/>
  <c r="F5966" i="2"/>
  <c r="H5966" i="2"/>
  <c r="F5956" i="2"/>
  <c r="H5956" i="2"/>
  <c r="F5945" i="2"/>
  <c r="H5945" i="2"/>
  <c r="F5965" i="2"/>
  <c r="H5965" i="2"/>
  <c r="F5948" i="2"/>
  <c r="H5948" i="2"/>
  <c r="F5964" i="2"/>
  <c r="H5964" i="2"/>
  <c r="F5954" i="2"/>
  <c r="H5954" i="2"/>
  <c r="F5944" i="2"/>
  <c r="H5944" i="2"/>
  <c r="F5953" i="2"/>
  <c r="H5953" i="2"/>
  <c r="A5943" i="2"/>
  <c r="F5960" i="2"/>
  <c r="H5960" i="2"/>
  <c r="F5949" i="2"/>
  <c r="H5949" i="2"/>
  <c r="F5962" i="2"/>
  <c r="H5962" i="2"/>
  <c r="F5952" i="2"/>
  <c r="H5952" i="2"/>
  <c r="F5961" i="2"/>
  <c r="H5961" i="2"/>
  <c r="F5943" i="2"/>
  <c r="A5939" i="2"/>
  <c r="A5937" i="2"/>
  <c r="A5961" i="2"/>
  <c r="A5938" i="2"/>
  <c r="A5945" i="2"/>
  <c r="F5940" i="2"/>
  <c r="A5963" i="2"/>
  <c r="F5963" i="2"/>
  <c r="A5940" i="2"/>
  <c r="A5962" i="2"/>
  <c r="F5955" i="2"/>
  <c r="A5951" i="2"/>
  <c r="A5949" i="2"/>
  <c r="A5964" i="2"/>
  <c r="F5951" i="2"/>
  <c r="A5942" i="2"/>
  <c r="F5939" i="2"/>
  <c r="A5952" i="2"/>
  <c r="A5947" i="2"/>
  <c r="F5959" i="2"/>
  <c r="A5950" i="2"/>
  <c r="A5960" i="2"/>
  <c r="A5948" i="2"/>
  <c r="A5953" i="2"/>
  <c r="A5941" i="2"/>
  <c r="A5958" i="2"/>
  <c r="A5946" i="2"/>
  <c r="A5936" i="2"/>
  <c r="A5955" i="2"/>
  <c r="A5965" i="2"/>
  <c r="A5959" i="2"/>
  <c r="A5954" i="2"/>
  <c r="F5938" i="2"/>
  <c r="F5936" i="2"/>
  <c r="G5906" i="2"/>
  <c r="G5907" i="2"/>
  <c r="G5908" i="2"/>
  <c r="H5908" i="2" s="1"/>
  <c r="G5909" i="2"/>
  <c r="G5910" i="2"/>
  <c r="G5911" i="2"/>
  <c r="G5912" i="2"/>
  <c r="H5912" i="2" s="1"/>
  <c r="G5913" i="2"/>
  <c r="G5914" i="2"/>
  <c r="A5914" i="2" s="1"/>
  <c r="G5915" i="2"/>
  <c r="G5916" i="2"/>
  <c r="H5916" i="2" s="1"/>
  <c r="G5917" i="2"/>
  <c r="G5918" i="2"/>
  <c r="G5919" i="2"/>
  <c r="G5920" i="2"/>
  <c r="H5920" i="2" s="1"/>
  <c r="G5921" i="2"/>
  <c r="H5921" i="2" s="1"/>
  <c r="G5922" i="2"/>
  <c r="G5923" i="2"/>
  <c r="G5924" i="2"/>
  <c r="H5924" i="2" s="1"/>
  <c r="G5925" i="2"/>
  <c r="G5926" i="2"/>
  <c r="G5927" i="2"/>
  <c r="G5928" i="2"/>
  <c r="H5928" i="2" s="1"/>
  <c r="G5929" i="2"/>
  <c r="G5930" i="2"/>
  <c r="G5931" i="2"/>
  <c r="G5932" i="2"/>
  <c r="H5932" i="2" s="1"/>
  <c r="G5933" i="2"/>
  <c r="G5934" i="2"/>
  <c r="G5935" i="2"/>
  <c r="G5905" i="2"/>
  <c r="F5921" i="2" l="1"/>
  <c r="A5921" i="2"/>
  <c r="F5909" i="2"/>
  <c r="H5909" i="2"/>
  <c r="F5930" i="2"/>
  <c r="H5930" i="2"/>
  <c r="F5918" i="2"/>
  <c r="H5918" i="2"/>
  <c r="F5907" i="2"/>
  <c r="H5907" i="2"/>
  <c r="F5910" i="2"/>
  <c r="H5910" i="2"/>
  <c r="F5917" i="2"/>
  <c r="H5917" i="2"/>
  <c r="F5926" i="2"/>
  <c r="H5926" i="2"/>
  <c r="F5927" i="2"/>
  <c r="H5927" i="2"/>
  <c r="F5925" i="2"/>
  <c r="H5925" i="2"/>
  <c r="F5915" i="2"/>
  <c r="H5915" i="2"/>
  <c r="F5905" i="2"/>
  <c r="H5905" i="2"/>
  <c r="F5919" i="2"/>
  <c r="H5919" i="2"/>
  <c r="F5906" i="2"/>
  <c r="H5906" i="2"/>
  <c r="F5914" i="2"/>
  <c r="H5914" i="2"/>
  <c r="F5931" i="2"/>
  <c r="H5931" i="2"/>
  <c r="F5923" i="2"/>
  <c r="H5923" i="2"/>
  <c r="F5934" i="2"/>
  <c r="H5934" i="2"/>
  <c r="F5922" i="2"/>
  <c r="H5922" i="2"/>
  <c r="F5913" i="2"/>
  <c r="H5913" i="2"/>
  <c r="F5933" i="2"/>
  <c r="H5933" i="2"/>
  <c r="F5929" i="2"/>
  <c r="H5929" i="2"/>
  <c r="F5935" i="2"/>
  <c r="H5935" i="2"/>
  <c r="F5911" i="2"/>
  <c r="H5911" i="2"/>
  <c r="A5911" i="2"/>
  <c r="A5933" i="2"/>
  <c r="A5913" i="2"/>
  <c r="A5910" i="2"/>
  <c r="A5917" i="2"/>
  <c r="A5908" i="2"/>
  <c r="A5924" i="2"/>
  <c r="A5932" i="2"/>
  <c r="A5930" i="2"/>
  <c r="A5916" i="2"/>
  <c r="A5909" i="2"/>
  <c r="A5907" i="2"/>
  <c r="A5926" i="2"/>
  <c r="A5922" i="2"/>
  <c r="A5915" i="2"/>
  <c r="A5929" i="2"/>
  <c r="A5918" i="2"/>
  <c r="A5906" i="2"/>
  <c r="A5934" i="2"/>
  <c r="A5925" i="2"/>
  <c r="F5908" i="2"/>
  <c r="F5932" i="2"/>
  <c r="A5935" i="2"/>
  <c r="A5927" i="2"/>
  <c r="A5919" i="2"/>
  <c r="F5916" i="2"/>
  <c r="F5912" i="2"/>
  <c r="A5923" i="2"/>
  <c r="F5924" i="2"/>
  <c r="F5920" i="2"/>
  <c r="A5931" i="2"/>
  <c r="F5928" i="2"/>
  <c r="A5928" i="2"/>
  <c r="A5920" i="2"/>
  <c r="A5912" i="2"/>
  <c r="A5905" i="2"/>
  <c r="G5876" i="2"/>
  <c r="G5877" i="2"/>
  <c r="G5878" i="2"/>
  <c r="H5878" i="2" s="1"/>
  <c r="G5879" i="2"/>
  <c r="H5879" i="2" s="1"/>
  <c r="G5880" i="2"/>
  <c r="G5881" i="2"/>
  <c r="G5882" i="2"/>
  <c r="H5882" i="2" s="1"/>
  <c r="G5883" i="2"/>
  <c r="H5883" i="2" s="1"/>
  <c r="G5884" i="2"/>
  <c r="G5885" i="2"/>
  <c r="G5886" i="2"/>
  <c r="H5886" i="2" s="1"/>
  <c r="G5887" i="2"/>
  <c r="H5887" i="2" s="1"/>
  <c r="G5888" i="2"/>
  <c r="H5888" i="2" s="1"/>
  <c r="G5889" i="2"/>
  <c r="G5890" i="2"/>
  <c r="H5890" i="2" s="1"/>
  <c r="G5891" i="2"/>
  <c r="H5891" i="2" s="1"/>
  <c r="G5892" i="2"/>
  <c r="A5892" i="2" s="1"/>
  <c r="G5893" i="2"/>
  <c r="G5894" i="2"/>
  <c r="H5894" i="2" s="1"/>
  <c r="G5895" i="2"/>
  <c r="H5895" i="2" s="1"/>
  <c r="G5896" i="2"/>
  <c r="G5897" i="2"/>
  <c r="G5898" i="2"/>
  <c r="H5898" i="2" s="1"/>
  <c r="G5899" i="2"/>
  <c r="H5899" i="2" s="1"/>
  <c r="G5900" i="2"/>
  <c r="A5900" i="2" s="1"/>
  <c r="G5901" i="2"/>
  <c r="G5902" i="2"/>
  <c r="H5902" i="2" s="1"/>
  <c r="G5903" i="2"/>
  <c r="H5903" i="2" s="1"/>
  <c r="G5904" i="2"/>
  <c r="G5875" i="2"/>
  <c r="F5877" i="2" l="1"/>
  <c r="H5877" i="2"/>
  <c r="F5876" i="2"/>
  <c r="H5876" i="2"/>
  <c r="F5896" i="2"/>
  <c r="H5896" i="2"/>
  <c r="F5875" i="2"/>
  <c r="H5875" i="2"/>
  <c r="F5885" i="2"/>
  <c r="H5885" i="2"/>
  <c r="F5897" i="2"/>
  <c r="H5897" i="2"/>
  <c r="F5904" i="2"/>
  <c r="H5904" i="2"/>
  <c r="F5893" i="2"/>
  <c r="H5893" i="2"/>
  <c r="F5884" i="2"/>
  <c r="H5884" i="2"/>
  <c r="F5901" i="2"/>
  <c r="H5901" i="2"/>
  <c r="F5881" i="2"/>
  <c r="H5881" i="2"/>
  <c r="F5892" i="2"/>
  <c r="H5892" i="2"/>
  <c r="F5880" i="2"/>
  <c r="H5880" i="2"/>
  <c r="F5888" i="2"/>
  <c r="F5900" i="2"/>
  <c r="H5900" i="2"/>
  <c r="F5889" i="2"/>
  <c r="H5889" i="2"/>
  <c r="A5888" i="2"/>
  <c r="F5887" i="2"/>
  <c r="A5883" i="2"/>
  <c r="A5877" i="2"/>
  <c r="A5901" i="2"/>
  <c r="A5885" i="2"/>
  <c r="A5897" i="2"/>
  <c r="F5899" i="2"/>
  <c r="A5904" i="2"/>
  <c r="A5889" i="2"/>
  <c r="A5880" i="2"/>
  <c r="A5896" i="2"/>
  <c r="A5884" i="2"/>
  <c r="A5879" i="2"/>
  <c r="F5903" i="2"/>
  <c r="F5891" i="2"/>
  <c r="F5879" i="2"/>
  <c r="A5878" i="2"/>
  <c r="A5876" i="2"/>
  <c r="A5881" i="2"/>
  <c r="A5893" i="2"/>
  <c r="F5895" i="2"/>
  <c r="F5883" i="2"/>
  <c r="F5898" i="2"/>
  <c r="F5882" i="2"/>
  <c r="F5878" i="2"/>
  <c r="F5902" i="2"/>
  <c r="F5894" i="2"/>
  <c r="F5890" i="2"/>
  <c r="F5886" i="2"/>
  <c r="A5903" i="2"/>
  <c r="A5899" i="2"/>
  <c r="A5895" i="2"/>
  <c r="A5891" i="2"/>
  <c r="A5887" i="2"/>
  <c r="A5902" i="2"/>
  <c r="A5898" i="2"/>
  <c r="A5894" i="2"/>
  <c r="A5890" i="2"/>
  <c r="A5886" i="2"/>
  <c r="A5882" i="2"/>
  <c r="A5875" i="2"/>
  <c r="G5846" i="2"/>
  <c r="G5847" i="2"/>
  <c r="H5847" i="2" s="1"/>
  <c r="G5848" i="2"/>
  <c r="H5848" i="2" s="1"/>
  <c r="G5849" i="2"/>
  <c r="H5849" i="2" s="1"/>
  <c r="G5850" i="2"/>
  <c r="G5851" i="2"/>
  <c r="H5851" i="2" s="1"/>
  <c r="G5852" i="2"/>
  <c r="H5852" i="2" s="1"/>
  <c r="G5853" i="2"/>
  <c r="H5853" i="2" s="1"/>
  <c r="G5854" i="2"/>
  <c r="G5855" i="2"/>
  <c r="H5855" i="2" s="1"/>
  <c r="A5855" i="2"/>
  <c r="G5856" i="2"/>
  <c r="H5856" i="2" s="1"/>
  <c r="G5857" i="2"/>
  <c r="G5858" i="2"/>
  <c r="G5859" i="2"/>
  <c r="H5859" i="2" s="1"/>
  <c r="G5860" i="2"/>
  <c r="H5860" i="2" s="1"/>
  <c r="G5861" i="2"/>
  <c r="A5861" i="2" s="1"/>
  <c r="G5862" i="2"/>
  <c r="G5863" i="2"/>
  <c r="H5863" i="2" s="1"/>
  <c r="G5864" i="2"/>
  <c r="H5864" i="2" s="1"/>
  <c r="G5865" i="2"/>
  <c r="H5865" i="2" s="1"/>
  <c r="G5866" i="2"/>
  <c r="G5867" i="2"/>
  <c r="H5867" i="2" s="1"/>
  <c r="G5868" i="2"/>
  <c r="H5868" i="2" s="1"/>
  <c r="G5869" i="2"/>
  <c r="H5869" i="2" s="1"/>
  <c r="A5869" i="2"/>
  <c r="G5870" i="2"/>
  <c r="G5871" i="2"/>
  <c r="G5872" i="2"/>
  <c r="H5872" i="2" s="1"/>
  <c r="G5873" i="2"/>
  <c r="G5874" i="2"/>
  <c r="H5874" i="2" s="1"/>
  <c r="G5845" i="2"/>
  <c r="A5848" i="2" l="1"/>
  <c r="A5863" i="2"/>
  <c r="F5871" i="2"/>
  <c r="H5871" i="2"/>
  <c r="F5870" i="2"/>
  <c r="H5870" i="2"/>
  <c r="F5854" i="2"/>
  <c r="H5854" i="2"/>
  <c r="F5850" i="2"/>
  <c r="H5850" i="2"/>
  <c r="A5868" i="2"/>
  <c r="F5849" i="2"/>
  <c r="F5861" i="2"/>
  <c r="H5861" i="2"/>
  <c r="F5858" i="2"/>
  <c r="H5858" i="2"/>
  <c r="F5857" i="2"/>
  <c r="H5857" i="2"/>
  <c r="F5848" i="2"/>
  <c r="F5845" i="2"/>
  <c r="H5845" i="2"/>
  <c r="F5873" i="2"/>
  <c r="H5873" i="2"/>
  <c r="F5862" i="2"/>
  <c r="H5862" i="2"/>
  <c r="F5866" i="2"/>
  <c r="H5866" i="2"/>
  <c r="F5846" i="2"/>
  <c r="H5846" i="2"/>
  <c r="A5873" i="2"/>
  <c r="F5869" i="2"/>
  <c r="A5853" i="2"/>
  <c r="A5851" i="2"/>
  <c r="A5849" i="2"/>
  <c r="A5847" i="2"/>
  <c r="A5864" i="2"/>
  <c r="F5853" i="2"/>
  <c r="A5860" i="2"/>
  <c r="F5860" i="2"/>
  <c r="A5867" i="2"/>
  <c r="A5865" i="2"/>
  <c r="A5856" i="2"/>
  <c r="A5852" i="2"/>
  <c r="F5865" i="2"/>
  <c r="A5872" i="2"/>
  <c r="A5859" i="2"/>
  <c r="A5857" i="2"/>
  <c r="F5864" i="2"/>
  <c r="F5852" i="2"/>
  <c r="F5872" i="2"/>
  <c r="A5846" i="2"/>
  <c r="A5871" i="2"/>
  <c r="F5868" i="2"/>
  <c r="F5856" i="2"/>
  <c r="F5863" i="2"/>
  <c r="F5859" i="2"/>
  <c r="F5847" i="2"/>
  <c r="F5867" i="2"/>
  <c r="F5851" i="2"/>
  <c r="F5874" i="2"/>
  <c r="A5874" i="2"/>
  <c r="F5855" i="2"/>
  <c r="A5870" i="2"/>
  <c r="A5866" i="2"/>
  <c r="A5862" i="2"/>
  <c r="A5858" i="2"/>
  <c r="A5854" i="2"/>
  <c r="A5850" i="2"/>
  <c r="A5845" i="2"/>
  <c r="G5815" i="2"/>
  <c r="H5815" i="2" s="1"/>
  <c r="G5816" i="2"/>
  <c r="A5816" i="2"/>
  <c r="G5817" i="2"/>
  <c r="H5817" i="2" s="1"/>
  <c r="G5818" i="2"/>
  <c r="A5818" i="2" s="1"/>
  <c r="G5819" i="2"/>
  <c r="G5820" i="2"/>
  <c r="G5821" i="2"/>
  <c r="H5821" i="2" s="1"/>
  <c r="G5822" i="2"/>
  <c r="H5822" i="2" s="1"/>
  <c r="G5823" i="2"/>
  <c r="G5824" i="2"/>
  <c r="G5825" i="2"/>
  <c r="H5825" i="2" s="1"/>
  <c r="G5826" i="2"/>
  <c r="H5826" i="2" s="1"/>
  <c r="G5827" i="2"/>
  <c r="G5828" i="2"/>
  <c r="G5829" i="2"/>
  <c r="H5829" i="2" s="1"/>
  <c r="G5830" i="2"/>
  <c r="G5831" i="2"/>
  <c r="G5832" i="2"/>
  <c r="G5833" i="2"/>
  <c r="H5833" i="2" s="1"/>
  <c r="G5834" i="2"/>
  <c r="G5835" i="2"/>
  <c r="G5836" i="2"/>
  <c r="G5837" i="2"/>
  <c r="H5837" i="2" s="1"/>
  <c r="G5838" i="2"/>
  <c r="H5838" i="2" s="1"/>
  <c r="G5839" i="2"/>
  <c r="G5840" i="2"/>
  <c r="G5841" i="2"/>
  <c r="H5841" i="2" s="1"/>
  <c r="G5842" i="2"/>
  <c r="G5843" i="2"/>
  <c r="G5844" i="2"/>
  <c r="G5814" i="2"/>
  <c r="A5815" i="2" l="1"/>
  <c r="F5827" i="2"/>
  <c r="H5827" i="2"/>
  <c r="F5835" i="2"/>
  <c r="H5835" i="2"/>
  <c r="F5839" i="2"/>
  <c r="H5839" i="2"/>
  <c r="F5824" i="2"/>
  <c r="H5824" i="2"/>
  <c r="F5834" i="2"/>
  <c r="H5834" i="2"/>
  <c r="F5815" i="2"/>
  <c r="F5814" i="2"/>
  <c r="H5814" i="2"/>
  <c r="F5844" i="2"/>
  <c r="H5844" i="2"/>
  <c r="F5820" i="2"/>
  <c r="H5820" i="2"/>
  <c r="F5843" i="2"/>
  <c r="H5843" i="2"/>
  <c r="F5831" i="2"/>
  <c r="H5831" i="2"/>
  <c r="F5819" i="2"/>
  <c r="H5819" i="2"/>
  <c r="F5816" i="2"/>
  <c r="H5816" i="2"/>
  <c r="F5836" i="2"/>
  <c r="H5836" i="2"/>
  <c r="F5823" i="2"/>
  <c r="H5823" i="2"/>
  <c r="F5832" i="2"/>
  <c r="H5832" i="2"/>
  <c r="F5842" i="2"/>
  <c r="H5842" i="2"/>
  <c r="F5830" i="2"/>
  <c r="H5830" i="2"/>
  <c r="F5818" i="2"/>
  <c r="H5818" i="2"/>
  <c r="F5840" i="2"/>
  <c r="H5840" i="2"/>
  <c r="F5828" i="2"/>
  <c r="H5828" i="2"/>
  <c r="A5820" i="2"/>
  <c r="A5841" i="2"/>
  <c r="A5831" i="2"/>
  <c r="A5827" i="2"/>
  <c r="A5836" i="2"/>
  <c r="A5834" i="2"/>
  <c r="A5825" i="2"/>
  <c r="F5826" i="2"/>
  <c r="A5817" i="2"/>
  <c r="A5843" i="2"/>
  <c r="F5838" i="2"/>
  <c r="A5823" i="2"/>
  <c r="F5822" i="2"/>
  <c r="A5839" i="2"/>
  <c r="A5830" i="2"/>
  <c r="A5835" i="2"/>
  <c r="A5819" i="2"/>
  <c r="A5842" i="2"/>
  <c r="A5826" i="2"/>
  <c r="A5838" i="2"/>
  <c r="A5822" i="2"/>
  <c r="A5840" i="2"/>
  <c r="A5829" i="2"/>
  <c r="A5824" i="2"/>
  <c r="F5841" i="2"/>
  <c r="A5837" i="2"/>
  <c r="A5832" i="2"/>
  <c r="A5821" i="2"/>
  <c r="F5837" i="2"/>
  <c r="F5833" i="2"/>
  <c r="F5829" i="2"/>
  <c r="F5825" i="2"/>
  <c r="F5821" i="2"/>
  <c r="F5817" i="2"/>
  <c r="A5844" i="2"/>
  <c r="A5833" i="2"/>
  <c r="A5828" i="2"/>
  <c r="A5814" i="2"/>
  <c r="G5784" i="2"/>
  <c r="G5785" i="2"/>
  <c r="H5785" i="2" s="1"/>
  <c r="G5786" i="2"/>
  <c r="H5786" i="2" s="1"/>
  <c r="G5787" i="2"/>
  <c r="G5788" i="2"/>
  <c r="G5789" i="2"/>
  <c r="H5789" i="2" s="1"/>
  <c r="G5790" i="2"/>
  <c r="H5790" i="2" s="1"/>
  <c r="G5791" i="2"/>
  <c r="G5792" i="2"/>
  <c r="G5793" i="2"/>
  <c r="H5793" i="2" s="1"/>
  <c r="G5794" i="2"/>
  <c r="H5794" i="2" s="1"/>
  <c r="G5795" i="2"/>
  <c r="H5795" i="2" s="1"/>
  <c r="G5796" i="2"/>
  <c r="G5797" i="2"/>
  <c r="H5797" i="2" s="1"/>
  <c r="G5798" i="2"/>
  <c r="H5798" i="2" s="1"/>
  <c r="G5799" i="2"/>
  <c r="G5800" i="2"/>
  <c r="G5801" i="2"/>
  <c r="G5802" i="2"/>
  <c r="H5802" i="2" s="1"/>
  <c r="G5803" i="2"/>
  <c r="A5803" i="2" s="1"/>
  <c r="G5804" i="2"/>
  <c r="G5805" i="2"/>
  <c r="H5805" i="2" s="1"/>
  <c r="G5806" i="2"/>
  <c r="H5806" i="2" s="1"/>
  <c r="G5807" i="2"/>
  <c r="G5808" i="2"/>
  <c r="G5809" i="2"/>
  <c r="H5809" i="2" s="1"/>
  <c r="G5810" i="2"/>
  <c r="H5810" i="2" s="1"/>
  <c r="G5811" i="2"/>
  <c r="A5811" i="2" s="1"/>
  <c r="G5812" i="2"/>
  <c r="G5813" i="2"/>
  <c r="G5783" i="2"/>
  <c r="F5807" i="2" l="1"/>
  <c r="H5807" i="2"/>
  <c r="F5796" i="2"/>
  <c r="H5796" i="2"/>
  <c r="F5788" i="2"/>
  <c r="H5788" i="2"/>
  <c r="F5784" i="2"/>
  <c r="H5784" i="2"/>
  <c r="F5795" i="2"/>
  <c r="F5804" i="2"/>
  <c r="H5804" i="2"/>
  <c r="F5783" i="2"/>
  <c r="H5783" i="2"/>
  <c r="F5799" i="2"/>
  <c r="H5799" i="2"/>
  <c r="F5792" i="2"/>
  <c r="H5792" i="2"/>
  <c r="F5787" i="2"/>
  <c r="H5787" i="2"/>
  <c r="F5803" i="2"/>
  <c r="H5803" i="2"/>
  <c r="F5812" i="2"/>
  <c r="H5812" i="2"/>
  <c r="F5791" i="2"/>
  <c r="H5791" i="2"/>
  <c r="F5808" i="2"/>
  <c r="H5808" i="2"/>
  <c r="F5813" i="2"/>
  <c r="H5813" i="2"/>
  <c r="F5801" i="2"/>
  <c r="H5801" i="2"/>
  <c r="F5811" i="2"/>
  <c r="H5811" i="2"/>
  <c r="F5800" i="2"/>
  <c r="H5800" i="2"/>
  <c r="A5795" i="2"/>
  <c r="A5788" i="2"/>
  <c r="A5784" i="2"/>
  <c r="A5807" i="2"/>
  <c r="A5794" i="2"/>
  <c r="A5786" i="2"/>
  <c r="A5791" i="2"/>
  <c r="A5799" i="2"/>
  <c r="A5787" i="2"/>
  <c r="A5790" i="2"/>
  <c r="A5785" i="2"/>
  <c r="A5809" i="2"/>
  <c r="A5805" i="2"/>
  <c r="A5797" i="2"/>
  <c r="A5793" i="2"/>
  <c r="A5789" i="2"/>
  <c r="A5810" i="2"/>
  <c r="A5806" i="2"/>
  <c r="A5802" i="2"/>
  <c r="A5798" i="2"/>
  <c r="F5810" i="2"/>
  <c r="F5806" i="2"/>
  <c r="F5802" i="2"/>
  <c r="F5794" i="2"/>
  <c r="F5790" i="2"/>
  <c r="F5786" i="2"/>
  <c r="F5809" i="2"/>
  <c r="F5805" i="2"/>
  <c r="F5797" i="2"/>
  <c r="F5793" i="2"/>
  <c r="F5789" i="2"/>
  <c r="F5785" i="2"/>
  <c r="F5798" i="2"/>
  <c r="A5813" i="2"/>
  <c r="A5801" i="2"/>
  <c r="A5812" i="2"/>
  <c r="A5808" i="2"/>
  <c r="A5804" i="2"/>
  <c r="A5800" i="2"/>
  <c r="A5796" i="2"/>
  <c r="A5792" i="2"/>
  <c r="A5783" i="2"/>
  <c r="G5753" i="2"/>
  <c r="A5753" i="2" s="1"/>
  <c r="G5754" i="2"/>
  <c r="H5754" i="2" s="1"/>
  <c r="G5755" i="2"/>
  <c r="H5755" i="2" s="1"/>
  <c r="G5756" i="2"/>
  <c r="G5757" i="2"/>
  <c r="H5757" i="2" s="1"/>
  <c r="G5758" i="2"/>
  <c r="H5758" i="2" s="1"/>
  <c r="G5759" i="2"/>
  <c r="G5760" i="2"/>
  <c r="H5760" i="2" s="1"/>
  <c r="G5761" i="2"/>
  <c r="G5762" i="2"/>
  <c r="A5762" i="2" s="1"/>
  <c r="G5763" i="2"/>
  <c r="H5763" i="2" s="1"/>
  <c r="G5764" i="2"/>
  <c r="G5765" i="2"/>
  <c r="G5766" i="2"/>
  <c r="H5766" i="2" s="1"/>
  <c r="G5767" i="2"/>
  <c r="A5767" i="2" s="1"/>
  <c r="G5768" i="2"/>
  <c r="G5769" i="2"/>
  <c r="H5769" i="2" s="1"/>
  <c r="G5770" i="2"/>
  <c r="G5771" i="2"/>
  <c r="G5772" i="2"/>
  <c r="H5772" i="2" s="1"/>
  <c r="G5773" i="2"/>
  <c r="A5773" i="2" s="1"/>
  <c r="G5774" i="2"/>
  <c r="G5775" i="2"/>
  <c r="H5775" i="2" s="1"/>
  <c r="G5776" i="2"/>
  <c r="G5777" i="2"/>
  <c r="H5777" i="2" s="1"/>
  <c r="G5778" i="2"/>
  <c r="H5778" i="2" s="1"/>
  <c r="G5779" i="2"/>
  <c r="G5780" i="2"/>
  <c r="H5780" i="2" s="1"/>
  <c r="G5781" i="2"/>
  <c r="H5781" i="2" s="1"/>
  <c r="G5782" i="2"/>
  <c r="H5782" i="2" s="1"/>
  <c r="G5752" i="2"/>
  <c r="H5752" i="2" s="1"/>
  <c r="F5769" i="2" l="1"/>
  <c r="F5774" i="2"/>
  <c r="H5774" i="2"/>
  <c r="F5768" i="2"/>
  <c r="H5768" i="2"/>
  <c r="F5782" i="2"/>
  <c r="F5765" i="2"/>
  <c r="H5765" i="2"/>
  <c r="F5773" i="2"/>
  <c r="H5773" i="2"/>
  <c r="F5764" i="2"/>
  <c r="H5764" i="2"/>
  <c r="A5775" i="2"/>
  <c r="F5771" i="2"/>
  <c r="H5771" i="2"/>
  <c r="F5762" i="2"/>
  <c r="H5762" i="2"/>
  <c r="F5756" i="2"/>
  <c r="H5756" i="2"/>
  <c r="A5777" i="2"/>
  <c r="F5761" i="2"/>
  <c r="H5761" i="2"/>
  <c r="F5767" i="2"/>
  <c r="H5767" i="2"/>
  <c r="F5776" i="2"/>
  <c r="H5776" i="2"/>
  <c r="F5753" i="2"/>
  <c r="H5753" i="2"/>
  <c r="F5779" i="2"/>
  <c r="H5779" i="2"/>
  <c r="F5770" i="2"/>
  <c r="H5770" i="2"/>
  <c r="F5777" i="2"/>
  <c r="A5768" i="2"/>
  <c r="F5759" i="2"/>
  <c r="H5759" i="2"/>
  <c r="A5782" i="2"/>
  <c r="A5771" i="2"/>
  <c r="A5759" i="2"/>
  <c r="A5780" i="2"/>
  <c r="A5766" i="2"/>
  <c r="F5780" i="2"/>
  <c r="A5778" i="2"/>
  <c r="F5766" i="2"/>
  <c r="A5764" i="2"/>
  <c r="A5755" i="2"/>
  <c r="A5760" i="2"/>
  <c r="F5755" i="2"/>
  <c r="A5781" i="2"/>
  <c r="F5760" i="2"/>
  <c r="A5779" i="2"/>
  <c r="A5770" i="2"/>
  <c r="A5756" i="2"/>
  <c r="F5781" i="2"/>
  <c r="A5776" i="2"/>
  <c r="A5765" i="2"/>
  <c r="F5772" i="2"/>
  <c r="F5752" i="2"/>
  <c r="A5774" i="2"/>
  <c r="F5754" i="2"/>
  <c r="F5778" i="2"/>
  <c r="A5763" i="2"/>
  <c r="F5757" i="2"/>
  <c r="F5775" i="2"/>
  <c r="A5769" i="2"/>
  <c r="F5763" i="2"/>
  <c r="A5758" i="2"/>
  <c r="F5758" i="2"/>
  <c r="A5772" i="2"/>
  <c r="A5761" i="2"/>
  <c r="A5752" i="2"/>
  <c r="A5757" i="2"/>
  <c r="A5754" i="2"/>
  <c r="G5722" i="2"/>
  <c r="A5722" i="2" s="1"/>
  <c r="G5723" i="2"/>
  <c r="G5724" i="2"/>
  <c r="G5725" i="2"/>
  <c r="G5726" i="2"/>
  <c r="G5727" i="2"/>
  <c r="G5728" i="2"/>
  <c r="G5729" i="2"/>
  <c r="A5729" i="2" s="1"/>
  <c r="G5730" i="2"/>
  <c r="G5731" i="2"/>
  <c r="G5732" i="2"/>
  <c r="A5732" i="2" s="1"/>
  <c r="G5733" i="2"/>
  <c r="G5734" i="2"/>
  <c r="G5735" i="2"/>
  <c r="G5736" i="2"/>
  <c r="G5737" i="2"/>
  <c r="G5738" i="2"/>
  <c r="G5739" i="2"/>
  <c r="A5739" i="2" s="1"/>
  <c r="G5740" i="2"/>
  <c r="G5741" i="2"/>
  <c r="G5742" i="2"/>
  <c r="G5743" i="2"/>
  <c r="G5744" i="2"/>
  <c r="A5744" i="2" s="1"/>
  <c r="G5745" i="2"/>
  <c r="G5746" i="2"/>
  <c r="G5747" i="2"/>
  <c r="G5748" i="2"/>
  <c r="G5749" i="2"/>
  <c r="G5750" i="2"/>
  <c r="G5751" i="2"/>
  <c r="G5721" i="2"/>
  <c r="F5751" i="2" l="1"/>
  <c r="H5751" i="2"/>
  <c r="F5748" i="2"/>
  <c r="H5748" i="2"/>
  <c r="F5739" i="2"/>
  <c r="H5739" i="2"/>
  <c r="F5729" i="2"/>
  <c r="H5729" i="2"/>
  <c r="F5750" i="2"/>
  <c r="H5750" i="2"/>
  <c r="F5746" i="2"/>
  <c r="H5746" i="2"/>
  <c r="F5737" i="2"/>
  <c r="H5737" i="2"/>
  <c r="F5727" i="2"/>
  <c r="H5727" i="2"/>
  <c r="F5741" i="2"/>
  <c r="H5741" i="2"/>
  <c r="F5730" i="2"/>
  <c r="H5730" i="2"/>
  <c r="F5744" i="2"/>
  <c r="H5744" i="2"/>
  <c r="F5734" i="2"/>
  <c r="H5734" i="2"/>
  <c r="F5724" i="2"/>
  <c r="H5724" i="2"/>
  <c r="F5740" i="2"/>
  <c r="H5740" i="2"/>
  <c r="F5749" i="2"/>
  <c r="H5749" i="2"/>
  <c r="F5738" i="2"/>
  <c r="H5738" i="2"/>
  <c r="F5745" i="2"/>
  <c r="H5745" i="2"/>
  <c r="F5723" i="2"/>
  <c r="H5723" i="2"/>
  <c r="F5747" i="2"/>
  <c r="H5747" i="2"/>
  <c r="F5726" i="2"/>
  <c r="H5726" i="2"/>
  <c r="F5725" i="2"/>
  <c r="H5725" i="2"/>
  <c r="F5733" i="2"/>
  <c r="H5733" i="2"/>
  <c r="F5721" i="2"/>
  <c r="H5721" i="2"/>
  <c r="F5742" i="2"/>
  <c r="H5742" i="2"/>
  <c r="F5731" i="2"/>
  <c r="H5731" i="2"/>
  <c r="F5728" i="2"/>
  <c r="H5728" i="2"/>
  <c r="F5736" i="2"/>
  <c r="H5736" i="2"/>
  <c r="F5735" i="2"/>
  <c r="H5735" i="2"/>
  <c r="F5743" i="2"/>
  <c r="H5743" i="2"/>
  <c r="A5751" i="2"/>
  <c r="A5741" i="2"/>
  <c r="F5732" i="2"/>
  <c r="H5732" i="2"/>
  <c r="F5722" i="2"/>
  <c r="H5722" i="2"/>
  <c r="A5723" i="2"/>
  <c r="A5730" i="2"/>
  <c r="A5743" i="2"/>
  <c r="A5726" i="2"/>
  <c r="A5735" i="2"/>
  <c r="A5738" i="2"/>
  <c r="A5727" i="2"/>
  <c r="A5747" i="2"/>
  <c r="A5734" i="2"/>
  <c r="A5731" i="2"/>
  <c r="A5748" i="2"/>
  <c r="A5736" i="2"/>
  <c r="A5724" i="2"/>
  <c r="A5721" i="2"/>
  <c r="A5749" i="2"/>
  <c r="A5737" i="2"/>
  <c r="A5725" i="2"/>
  <c r="A5740" i="2"/>
  <c r="A5728" i="2"/>
  <c r="A5745" i="2"/>
  <c r="A5733" i="2"/>
  <c r="A5750" i="2"/>
  <c r="A5746" i="2"/>
  <c r="A5742" i="2"/>
  <c r="G5692" i="2"/>
  <c r="G5693" i="2"/>
  <c r="G5694" i="2"/>
  <c r="G5695" i="2"/>
  <c r="G5696" i="2"/>
  <c r="G5697" i="2"/>
  <c r="G5698" i="2"/>
  <c r="G5699" i="2"/>
  <c r="G5700" i="2"/>
  <c r="G5701" i="2"/>
  <c r="G5702" i="2"/>
  <c r="A5702" i="2" s="1"/>
  <c r="G5703" i="2"/>
  <c r="A5703" i="2" s="1"/>
  <c r="G5704" i="2"/>
  <c r="G5705" i="2"/>
  <c r="G5706" i="2"/>
  <c r="G5707" i="2"/>
  <c r="G5708" i="2"/>
  <c r="G5709" i="2"/>
  <c r="G5710" i="2"/>
  <c r="G5711" i="2"/>
  <c r="G5712" i="2"/>
  <c r="G5713" i="2"/>
  <c r="G5714" i="2"/>
  <c r="G5715" i="2"/>
  <c r="A5715" i="2" s="1"/>
  <c r="G5716" i="2"/>
  <c r="G5717" i="2"/>
  <c r="G5718" i="2"/>
  <c r="G5719" i="2"/>
  <c r="G5720" i="2"/>
  <c r="G5691" i="2"/>
  <c r="H5691" i="2" s="1"/>
  <c r="F5712" i="2" l="1"/>
  <c r="H5712" i="2"/>
  <c r="F5720" i="2"/>
  <c r="H5720" i="2"/>
  <c r="F5709" i="2"/>
  <c r="H5709" i="2"/>
  <c r="F5699" i="2"/>
  <c r="H5699" i="2"/>
  <c r="F5708" i="2"/>
  <c r="H5708" i="2"/>
  <c r="F5718" i="2"/>
  <c r="H5718" i="2"/>
  <c r="F5707" i="2"/>
  <c r="H5707" i="2"/>
  <c r="F5697" i="2"/>
  <c r="H5697" i="2"/>
  <c r="F5696" i="2"/>
  <c r="H5696" i="2"/>
  <c r="F5716" i="2"/>
  <c r="H5716" i="2"/>
  <c r="F5705" i="2"/>
  <c r="H5705" i="2"/>
  <c r="F5695" i="2"/>
  <c r="H5695" i="2"/>
  <c r="F5719" i="2"/>
  <c r="H5719" i="2"/>
  <c r="F5717" i="2"/>
  <c r="H5717" i="2"/>
  <c r="F5694" i="2"/>
  <c r="H5694" i="2"/>
  <c r="F5704" i="2"/>
  <c r="H5704" i="2"/>
  <c r="F5715" i="2"/>
  <c r="H5715" i="2"/>
  <c r="F5693" i="2"/>
  <c r="H5693" i="2"/>
  <c r="F5698" i="2"/>
  <c r="H5698" i="2"/>
  <c r="F5692" i="2"/>
  <c r="H5692" i="2"/>
  <c r="F5706" i="2"/>
  <c r="H5706" i="2"/>
  <c r="F5714" i="2"/>
  <c r="H5714" i="2"/>
  <c r="F5703" i="2"/>
  <c r="H5703" i="2"/>
  <c r="F5713" i="2"/>
  <c r="H5713" i="2"/>
  <c r="F5702" i="2"/>
  <c r="H5702" i="2"/>
  <c r="F5711" i="2"/>
  <c r="H5711" i="2"/>
  <c r="F5701" i="2"/>
  <c r="H5701" i="2"/>
  <c r="F5710" i="2"/>
  <c r="H5710" i="2"/>
  <c r="F5700" i="2"/>
  <c r="H5700" i="2"/>
  <c r="A5710" i="2"/>
  <c r="A5706" i="2"/>
  <c r="A5698" i="2"/>
  <c r="A5718" i="2"/>
  <c r="A5699" i="2"/>
  <c r="A5714" i="2"/>
  <c r="A5694" i="2"/>
  <c r="A5711" i="2"/>
  <c r="A5720" i="2"/>
  <c r="A5708" i="2"/>
  <c r="A5696" i="2"/>
  <c r="A5691" i="2"/>
  <c r="A5704" i="2"/>
  <c r="A5692" i="2"/>
  <c r="A5716" i="2"/>
  <c r="A5719" i="2"/>
  <c r="A5695" i="2"/>
  <c r="A5707" i="2"/>
  <c r="A5712" i="2"/>
  <c r="A5700" i="2"/>
  <c r="A5717" i="2"/>
  <c r="A5713" i="2"/>
  <c r="A5709" i="2"/>
  <c r="A5705" i="2"/>
  <c r="A5701" i="2"/>
  <c r="A5697" i="2"/>
  <c r="A5693" i="2"/>
  <c r="F5691" i="2"/>
  <c r="G5661" i="2"/>
  <c r="G5662" i="2"/>
  <c r="A5662" i="2" s="1"/>
  <c r="G5663" i="2"/>
  <c r="G5664" i="2"/>
  <c r="G5665" i="2"/>
  <c r="G5666" i="2"/>
  <c r="G5667" i="2"/>
  <c r="G5668" i="2"/>
  <c r="G5669" i="2"/>
  <c r="G5670" i="2"/>
  <c r="G5671" i="2"/>
  <c r="G5672" i="2"/>
  <c r="A5672" i="2" s="1"/>
  <c r="G5673" i="2"/>
  <c r="G5674" i="2"/>
  <c r="A5674" i="2" s="1"/>
  <c r="G5675" i="2"/>
  <c r="G5676" i="2"/>
  <c r="G5677" i="2"/>
  <c r="A5677" i="2" s="1"/>
  <c r="G5678" i="2"/>
  <c r="G5679" i="2"/>
  <c r="G5680" i="2"/>
  <c r="G5681" i="2"/>
  <c r="G5682" i="2"/>
  <c r="G5683" i="2"/>
  <c r="G5684" i="2"/>
  <c r="G5685" i="2"/>
  <c r="G5686" i="2"/>
  <c r="A5686" i="2" s="1"/>
  <c r="G5687" i="2"/>
  <c r="G5688" i="2"/>
  <c r="G5689" i="2"/>
  <c r="A5689" i="2" s="1"/>
  <c r="G5690" i="2"/>
  <c r="A5690" i="2" s="1"/>
  <c r="G5660" i="2"/>
  <c r="H5660" i="2" s="1"/>
  <c r="F5660" i="2" l="1"/>
  <c r="F5681" i="2"/>
  <c r="H5681" i="2"/>
  <c r="F5679" i="2"/>
  <c r="H5679" i="2"/>
  <c r="F5670" i="2"/>
  <c r="H5670" i="2"/>
  <c r="F5689" i="2"/>
  <c r="H5689" i="2"/>
  <c r="F5678" i="2"/>
  <c r="H5678" i="2"/>
  <c r="F5669" i="2"/>
  <c r="H5669" i="2"/>
  <c r="F5688" i="2"/>
  <c r="H5688" i="2"/>
  <c r="F5687" i="2"/>
  <c r="H5687" i="2"/>
  <c r="F5677" i="2"/>
  <c r="H5677" i="2"/>
  <c r="F5667" i="2"/>
  <c r="H5667" i="2"/>
  <c r="F5666" i="2"/>
  <c r="H5666" i="2"/>
  <c r="F5668" i="2"/>
  <c r="H5668" i="2"/>
  <c r="F5676" i="2"/>
  <c r="H5676" i="2"/>
  <c r="F5686" i="2"/>
  <c r="H5686" i="2"/>
  <c r="F5675" i="2"/>
  <c r="H5675" i="2"/>
  <c r="F5665" i="2"/>
  <c r="H5665" i="2"/>
  <c r="F5684" i="2"/>
  <c r="H5684" i="2"/>
  <c r="F5674" i="2"/>
  <c r="H5674" i="2"/>
  <c r="F5663" i="2"/>
  <c r="H5663" i="2"/>
  <c r="F5683" i="2"/>
  <c r="H5683" i="2"/>
  <c r="F5664" i="2"/>
  <c r="H5664" i="2"/>
  <c r="F5673" i="2"/>
  <c r="H5673" i="2"/>
  <c r="F5682" i="2"/>
  <c r="H5682" i="2"/>
  <c r="F5662" i="2"/>
  <c r="H5662" i="2"/>
  <c r="F5661" i="2"/>
  <c r="H5661" i="2"/>
  <c r="F5685" i="2"/>
  <c r="H5685" i="2"/>
  <c r="F5672" i="2"/>
  <c r="H5672" i="2"/>
  <c r="F5680" i="2"/>
  <c r="H5680" i="2"/>
  <c r="F5671" i="2"/>
  <c r="H5671" i="2"/>
  <c r="F5690" i="2"/>
  <c r="H5690" i="2"/>
  <c r="A5669" i="2"/>
  <c r="A5665" i="2"/>
  <c r="A5664" i="2"/>
  <c r="A5678" i="2"/>
  <c r="A5676" i="2"/>
  <c r="A5683" i="2"/>
  <c r="A5681" i="2"/>
  <c r="A5666" i="2"/>
  <c r="A5671" i="2"/>
  <c r="A5679" i="2"/>
  <c r="A5667" i="2"/>
  <c r="A5682" i="2"/>
  <c r="A5670" i="2"/>
  <c r="A5687" i="2"/>
  <c r="A5675" i="2"/>
  <c r="A5663" i="2"/>
  <c r="A5680" i="2"/>
  <c r="A5668" i="2"/>
  <c r="A5685" i="2"/>
  <c r="A5673" i="2"/>
  <c r="A5661" i="2"/>
  <c r="A5688" i="2"/>
  <c r="A5684" i="2"/>
  <c r="A5660" i="2"/>
  <c r="G5629" i="2"/>
  <c r="G5630" i="2"/>
  <c r="G5631" i="2"/>
  <c r="A5631" i="2" s="1"/>
  <c r="G5632" i="2"/>
  <c r="G5633" i="2"/>
  <c r="G5634" i="2"/>
  <c r="G5635" i="2"/>
  <c r="G5636" i="2"/>
  <c r="G5637" i="2"/>
  <c r="G5638" i="2"/>
  <c r="G5639" i="2"/>
  <c r="A5639" i="2" s="1"/>
  <c r="G5640" i="2"/>
  <c r="G5641" i="2"/>
  <c r="G5642" i="2"/>
  <c r="G5643" i="2"/>
  <c r="G5644" i="2"/>
  <c r="G5645" i="2"/>
  <c r="G5646" i="2"/>
  <c r="G5647" i="2"/>
  <c r="A5647" i="2" s="1"/>
  <c r="G5648" i="2"/>
  <c r="G5649" i="2"/>
  <c r="G5650" i="2"/>
  <c r="G5651" i="2"/>
  <c r="G5652" i="2"/>
  <c r="G5653" i="2"/>
  <c r="G5654" i="2"/>
  <c r="G5655" i="2"/>
  <c r="G5656" i="2"/>
  <c r="G5657" i="2"/>
  <c r="G5658" i="2"/>
  <c r="G5659" i="2"/>
  <c r="G5628" i="2"/>
  <c r="H5628" i="2" s="1"/>
  <c r="F5649" i="2" l="1"/>
  <c r="H5649" i="2"/>
  <c r="F5629" i="2"/>
  <c r="H5629" i="2"/>
  <c r="F5659" i="2"/>
  <c r="H5659" i="2"/>
  <c r="F5648" i="2"/>
  <c r="H5648" i="2"/>
  <c r="F5638" i="2"/>
  <c r="H5638" i="2"/>
  <c r="F5658" i="2"/>
  <c r="H5658" i="2"/>
  <c r="F5657" i="2"/>
  <c r="H5657" i="2"/>
  <c r="F5647" i="2"/>
  <c r="H5647" i="2"/>
  <c r="F5636" i="2"/>
  <c r="H5636" i="2"/>
  <c r="F5655" i="2"/>
  <c r="H5655" i="2"/>
  <c r="F5645" i="2"/>
  <c r="H5645" i="2"/>
  <c r="F5634" i="2"/>
  <c r="H5634" i="2"/>
  <c r="F5635" i="2"/>
  <c r="H5635" i="2"/>
  <c r="F5633" i="2"/>
  <c r="H5633" i="2"/>
  <c r="F5653" i="2"/>
  <c r="H5653" i="2"/>
  <c r="F5643" i="2"/>
  <c r="H5643" i="2"/>
  <c r="F5632" i="2"/>
  <c r="H5632" i="2"/>
  <c r="F5637" i="2"/>
  <c r="H5637" i="2"/>
  <c r="F5646" i="2"/>
  <c r="H5646" i="2"/>
  <c r="F5651" i="2"/>
  <c r="H5651" i="2"/>
  <c r="F5641" i="2"/>
  <c r="H5641" i="2"/>
  <c r="F5631" i="2"/>
  <c r="H5631" i="2"/>
  <c r="F5644" i="2"/>
  <c r="H5644" i="2"/>
  <c r="F5642" i="2"/>
  <c r="H5642" i="2"/>
  <c r="F5640" i="2"/>
  <c r="H5640" i="2"/>
  <c r="F5654" i="2"/>
  <c r="H5654" i="2"/>
  <c r="F5652" i="2"/>
  <c r="H5652" i="2"/>
  <c r="F5650" i="2"/>
  <c r="H5650" i="2"/>
  <c r="F5630" i="2"/>
  <c r="H5630" i="2"/>
  <c r="A5649" i="2"/>
  <c r="A5629" i="2"/>
  <c r="F5656" i="2"/>
  <c r="H5656" i="2"/>
  <c r="F5639" i="2"/>
  <c r="H5639" i="2"/>
  <c r="A5655" i="2"/>
  <c r="A5653" i="2"/>
  <c r="A5643" i="2"/>
  <c r="A5641" i="2"/>
  <c r="A5637" i="2"/>
  <c r="A5659" i="2"/>
  <c r="A5635" i="2"/>
  <c r="A5648" i="2"/>
  <c r="A5636" i="2"/>
  <c r="A5651" i="2"/>
  <c r="A5656" i="2"/>
  <c r="A5644" i="2"/>
  <c r="A5632" i="2"/>
  <c r="A5652" i="2"/>
  <c r="A5640" i="2"/>
  <c r="A5628" i="2"/>
  <c r="A5657" i="2"/>
  <c r="A5645" i="2"/>
  <c r="A5633" i="2"/>
  <c r="A5658" i="2"/>
  <c r="A5654" i="2"/>
  <c r="A5650" i="2"/>
  <c r="A5646" i="2"/>
  <c r="A5642" i="2"/>
  <c r="A5638" i="2"/>
  <c r="A5634" i="2"/>
  <c r="A5630" i="2"/>
  <c r="F5628" i="2"/>
  <c r="G5597" i="2"/>
  <c r="G5598" i="2"/>
  <c r="G5599" i="2"/>
  <c r="G5600" i="2"/>
  <c r="G5601" i="2"/>
  <c r="G5602" i="2"/>
  <c r="G5603" i="2"/>
  <c r="G5604" i="2"/>
  <c r="G5605" i="2"/>
  <c r="G5606" i="2"/>
  <c r="A5606" i="2" s="1"/>
  <c r="G5607" i="2"/>
  <c r="A5607" i="2" s="1"/>
  <c r="G5608" i="2"/>
  <c r="G5609" i="2"/>
  <c r="A5609" i="2" s="1"/>
  <c r="G5610" i="2"/>
  <c r="A5610" i="2" s="1"/>
  <c r="G5611" i="2"/>
  <c r="G5612" i="2"/>
  <c r="G5613" i="2"/>
  <c r="G5614" i="2"/>
  <c r="G5615" i="2"/>
  <c r="G5616" i="2"/>
  <c r="G5617" i="2"/>
  <c r="G5618" i="2"/>
  <c r="G5619" i="2"/>
  <c r="G5620" i="2"/>
  <c r="G5621" i="2"/>
  <c r="G5622" i="2"/>
  <c r="G5623" i="2"/>
  <c r="G5624" i="2"/>
  <c r="G5625" i="2"/>
  <c r="A5625" i="2" s="1"/>
  <c r="G5626" i="2"/>
  <c r="G5627" i="2"/>
  <c r="G5596" i="2"/>
  <c r="H5596" i="2" s="1"/>
  <c r="F5621" i="2" l="1"/>
  <c r="H5621" i="2"/>
  <c r="F5601" i="2"/>
  <c r="H5601" i="2"/>
  <c r="F5620" i="2"/>
  <c r="H5620" i="2"/>
  <c r="F5600" i="2"/>
  <c r="H5600" i="2"/>
  <c r="F5596" i="2"/>
  <c r="F5618" i="2"/>
  <c r="H5618" i="2"/>
  <c r="F5608" i="2"/>
  <c r="H5608" i="2"/>
  <c r="F5598" i="2"/>
  <c r="H5598" i="2"/>
  <c r="F5627" i="2"/>
  <c r="H5627" i="2"/>
  <c r="F5616" i="2"/>
  <c r="H5616" i="2"/>
  <c r="F5607" i="2"/>
  <c r="H5607" i="2"/>
  <c r="F5626" i="2"/>
  <c r="H5626" i="2"/>
  <c r="F5609" i="2"/>
  <c r="H5609" i="2"/>
  <c r="F5614" i="2"/>
  <c r="H5614" i="2"/>
  <c r="F5606" i="2"/>
  <c r="H5606" i="2"/>
  <c r="F5625" i="2"/>
  <c r="H5625" i="2"/>
  <c r="F5597" i="2"/>
  <c r="H5597" i="2"/>
  <c r="F5624" i="2"/>
  <c r="H5624" i="2"/>
  <c r="F5612" i="2"/>
  <c r="H5612" i="2"/>
  <c r="F5604" i="2"/>
  <c r="H5604" i="2"/>
  <c r="F5617" i="2"/>
  <c r="H5617" i="2"/>
  <c r="F5613" i="2"/>
  <c r="H5613" i="2"/>
  <c r="F5623" i="2"/>
  <c r="H5623" i="2"/>
  <c r="F5603" i="2"/>
  <c r="H5603" i="2"/>
  <c r="F5619" i="2"/>
  <c r="H5619" i="2"/>
  <c r="F5615" i="2"/>
  <c r="H5615" i="2"/>
  <c r="F5605" i="2"/>
  <c r="H5605" i="2"/>
  <c r="F5611" i="2"/>
  <c r="H5611" i="2"/>
  <c r="F5622" i="2"/>
  <c r="H5622" i="2"/>
  <c r="F5602" i="2"/>
  <c r="H5602" i="2"/>
  <c r="F5599" i="2"/>
  <c r="H5599" i="2"/>
  <c r="F5610" i="2"/>
  <c r="H5610" i="2"/>
  <c r="A5596" i="2"/>
  <c r="A5621" i="2"/>
  <c r="A5619" i="2"/>
  <c r="A5615" i="2"/>
  <c r="A5598" i="2"/>
  <c r="A5618" i="2"/>
  <c r="A5603" i="2"/>
  <c r="A5614" i="2"/>
  <c r="A5601" i="2"/>
  <c r="A5627" i="2"/>
  <c r="A5597" i="2"/>
  <c r="A5622" i="2"/>
  <c r="A5613" i="2"/>
  <c r="A5602" i="2"/>
  <c r="A5620" i="2"/>
  <c r="A5608" i="2"/>
  <c r="A5623" i="2"/>
  <c r="A5611" i="2"/>
  <c r="A5599" i="2"/>
  <c r="A5616" i="2"/>
  <c r="A5604" i="2"/>
  <c r="A5624" i="2"/>
  <c r="A5612" i="2"/>
  <c r="A5600" i="2"/>
  <c r="A5617" i="2"/>
  <c r="A5605" i="2"/>
  <c r="A5626" i="2"/>
  <c r="G5565" i="2"/>
  <c r="A5565" i="2" s="1"/>
  <c r="G5566" i="2"/>
  <c r="G5567" i="2"/>
  <c r="G5568" i="2"/>
  <c r="G5569" i="2"/>
  <c r="G5570" i="2"/>
  <c r="G5571" i="2"/>
  <c r="G5572" i="2"/>
  <c r="G5573" i="2"/>
  <c r="G5574" i="2"/>
  <c r="G5575" i="2"/>
  <c r="A5575" i="2" s="1"/>
  <c r="G5576" i="2"/>
  <c r="G5577" i="2"/>
  <c r="A5577" i="2" s="1"/>
  <c r="G5578" i="2"/>
  <c r="G5579" i="2"/>
  <c r="G5580" i="2"/>
  <c r="G5581" i="2"/>
  <c r="G5582" i="2"/>
  <c r="G5583" i="2"/>
  <c r="A5583" i="2" s="1"/>
  <c r="G5584" i="2"/>
  <c r="G5585" i="2"/>
  <c r="G5586" i="2"/>
  <c r="G5587" i="2"/>
  <c r="A5587" i="2" s="1"/>
  <c r="G5588" i="2"/>
  <c r="G5589" i="2"/>
  <c r="G5590" i="2"/>
  <c r="G5591" i="2"/>
  <c r="G5592" i="2"/>
  <c r="G5593" i="2"/>
  <c r="G5594" i="2"/>
  <c r="G5595" i="2"/>
  <c r="G5564" i="2"/>
  <c r="H5564" i="2" s="1"/>
  <c r="F5588" i="2" l="1"/>
  <c r="H5588" i="2"/>
  <c r="F5578" i="2"/>
  <c r="H5578" i="2"/>
  <c r="F5568" i="2"/>
  <c r="H5568" i="2"/>
  <c r="F5587" i="2"/>
  <c r="H5587" i="2"/>
  <c r="F5577" i="2"/>
  <c r="H5577" i="2"/>
  <c r="F5566" i="2"/>
  <c r="H5566" i="2"/>
  <c r="F5576" i="2"/>
  <c r="H5576" i="2"/>
  <c r="F5586" i="2"/>
  <c r="H5586" i="2"/>
  <c r="F5595" i="2"/>
  <c r="H5595" i="2"/>
  <c r="F5585" i="2"/>
  <c r="H5585" i="2"/>
  <c r="F5565" i="2"/>
  <c r="H5565" i="2"/>
  <c r="F5569" i="2"/>
  <c r="H5569" i="2"/>
  <c r="F5594" i="2"/>
  <c r="H5594" i="2"/>
  <c r="F5593" i="2"/>
  <c r="H5593" i="2"/>
  <c r="F5574" i="2"/>
  <c r="H5574" i="2"/>
  <c r="F5567" i="2"/>
  <c r="H5567" i="2"/>
  <c r="F5592" i="2"/>
  <c r="H5592" i="2"/>
  <c r="F5583" i="2"/>
  <c r="H5583" i="2"/>
  <c r="F5573" i="2"/>
  <c r="H5573" i="2"/>
  <c r="F5575" i="2"/>
  <c r="H5575" i="2"/>
  <c r="F5591" i="2"/>
  <c r="H5591" i="2"/>
  <c r="F5582" i="2"/>
  <c r="H5582" i="2"/>
  <c r="F5572" i="2"/>
  <c r="H5572" i="2"/>
  <c r="F5579" i="2"/>
  <c r="H5579" i="2"/>
  <c r="F5590" i="2"/>
  <c r="H5590" i="2"/>
  <c r="F5571" i="2"/>
  <c r="H5571" i="2"/>
  <c r="F5589" i="2"/>
  <c r="H5589" i="2"/>
  <c r="F5584" i="2"/>
  <c r="H5584" i="2"/>
  <c r="F5581" i="2"/>
  <c r="H5581" i="2"/>
  <c r="A5589" i="2"/>
  <c r="F5580" i="2"/>
  <c r="H5580" i="2"/>
  <c r="F5570" i="2"/>
  <c r="H5570" i="2"/>
  <c r="A5579" i="2"/>
  <c r="A5572" i="2"/>
  <c r="A5584" i="2"/>
  <c r="A5571" i="2"/>
  <c r="A5567" i="2"/>
  <c r="A5591" i="2"/>
  <c r="A5592" i="2"/>
  <c r="A5580" i="2"/>
  <c r="A5568" i="2"/>
  <c r="A5585" i="2"/>
  <c r="A5573" i="2"/>
  <c r="A5595" i="2"/>
  <c r="A5588" i="2"/>
  <c r="A5576" i="2"/>
  <c r="A5593" i="2"/>
  <c r="A5581" i="2"/>
  <c r="A5569" i="2"/>
  <c r="A5564" i="2"/>
  <c r="A5594" i="2"/>
  <c r="A5590" i="2"/>
  <c r="A5586" i="2"/>
  <c r="A5582" i="2"/>
  <c r="A5578" i="2"/>
  <c r="A5574" i="2"/>
  <c r="A5570" i="2"/>
  <c r="A5566" i="2"/>
  <c r="F5564" i="2"/>
  <c r="G5533" i="2"/>
  <c r="G5534" i="2"/>
  <c r="A5534" i="2" s="1"/>
  <c r="G5535" i="2"/>
  <c r="G5536" i="2"/>
  <c r="G5537" i="2"/>
  <c r="G5538" i="2"/>
  <c r="A5538" i="2" s="1"/>
  <c r="G5539" i="2"/>
  <c r="G5540" i="2"/>
  <c r="G5541" i="2"/>
  <c r="G5542" i="2"/>
  <c r="G5543" i="2"/>
  <c r="G5544" i="2"/>
  <c r="G5545" i="2"/>
  <c r="G5546" i="2"/>
  <c r="G5547" i="2"/>
  <c r="G5548" i="2"/>
  <c r="G5549" i="2"/>
  <c r="G5550" i="2"/>
  <c r="A5550" i="2" s="1"/>
  <c r="G5551" i="2"/>
  <c r="G5552" i="2"/>
  <c r="G5553" i="2"/>
  <c r="G5554" i="2"/>
  <c r="G5555" i="2"/>
  <c r="G5556" i="2"/>
  <c r="G5557" i="2"/>
  <c r="A5557" i="2" s="1"/>
  <c r="G5558" i="2"/>
  <c r="G5559" i="2"/>
  <c r="G5560" i="2"/>
  <c r="G5561" i="2"/>
  <c r="G5562" i="2"/>
  <c r="G5563" i="2"/>
  <c r="G5532" i="2"/>
  <c r="H5532" i="2" s="1"/>
  <c r="F5549" i="2" l="1"/>
  <c r="H5549" i="2"/>
  <c r="F5548" i="2"/>
  <c r="H5548" i="2"/>
  <c r="F5537" i="2"/>
  <c r="H5537" i="2"/>
  <c r="F5556" i="2"/>
  <c r="H5556" i="2"/>
  <c r="F5546" i="2"/>
  <c r="H5546" i="2"/>
  <c r="F5535" i="2"/>
  <c r="H5535" i="2"/>
  <c r="F5557" i="2"/>
  <c r="H5557" i="2"/>
  <c r="F5555" i="2"/>
  <c r="H5555" i="2"/>
  <c r="F5547" i="2"/>
  <c r="H5547" i="2"/>
  <c r="F5545" i="2"/>
  <c r="H5545" i="2"/>
  <c r="F5554" i="2"/>
  <c r="H5554" i="2"/>
  <c r="F5544" i="2"/>
  <c r="H5544" i="2"/>
  <c r="F5534" i="2"/>
  <c r="H5534" i="2"/>
  <c r="F5563" i="2"/>
  <c r="H5563" i="2"/>
  <c r="F5552" i="2"/>
  <c r="H5552" i="2"/>
  <c r="F5542" i="2"/>
  <c r="H5542" i="2"/>
  <c r="F5543" i="2"/>
  <c r="H5543" i="2"/>
  <c r="F5541" i="2"/>
  <c r="H5541" i="2"/>
  <c r="F5561" i="2"/>
  <c r="H5561" i="2"/>
  <c r="F5540" i="2"/>
  <c r="H5540" i="2"/>
  <c r="F5536" i="2"/>
  <c r="H5536" i="2"/>
  <c r="F5553" i="2"/>
  <c r="H5553" i="2"/>
  <c r="F5533" i="2"/>
  <c r="H5533" i="2"/>
  <c r="F5562" i="2"/>
  <c r="H5562" i="2"/>
  <c r="F5550" i="2"/>
  <c r="H5550" i="2"/>
  <c r="F5551" i="2"/>
  <c r="H5551" i="2"/>
  <c r="F5560" i="2"/>
  <c r="H5560" i="2"/>
  <c r="F5539" i="2"/>
  <c r="H5539" i="2"/>
  <c r="F5559" i="2"/>
  <c r="H5559" i="2"/>
  <c r="A5549" i="2"/>
  <c r="F5558" i="2"/>
  <c r="H5558" i="2"/>
  <c r="F5538" i="2"/>
  <c r="H5538" i="2"/>
  <c r="A5545" i="2"/>
  <c r="A5555" i="2"/>
  <c r="A5543" i="2"/>
  <c r="A5537" i="2"/>
  <c r="A5563" i="2"/>
  <c r="A5561" i="2"/>
  <c r="A5546" i="2"/>
  <c r="A5560" i="2"/>
  <c r="A5548" i="2"/>
  <c r="A5536" i="2"/>
  <c r="A5553" i="2"/>
  <c r="A5541" i="2"/>
  <c r="A5551" i="2"/>
  <c r="A5539" i="2"/>
  <c r="A5556" i="2"/>
  <c r="A5544" i="2"/>
  <c r="A5554" i="2"/>
  <c r="A5542" i="2"/>
  <c r="A5559" i="2"/>
  <c r="A5547" i="2"/>
  <c r="A5535" i="2"/>
  <c r="A5552" i="2"/>
  <c r="A5540" i="2"/>
  <c r="A5533" i="2"/>
  <c r="A5562" i="2"/>
  <c r="A5558" i="2"/>
  <c r="A5532" i="2"/>
  <c r="F5532" i="2"/>
  <c r="G5501" i="2"/>
  <c r="G5502" i="2"/>
  <c r="G5503" i="2"/>
  <c r="G5504" i="2"/>
  <c r="G5505" i="2"/>
  <c r="G5506" i="2"/>
  <c r="G5507" i="2"/>
  <c r="G5508" i="2"/>
  <c r="G5509" i="2"/>
  <c r="G5510" i="2"/>
  <c r="G5511" i="2"/>
  <c r="G5512" i="2"/>
  <c r="G5513" i="2"/>
  <c r="G5514" i="2"/>
  <c r="A5514" i="2" s="1"/>
  <c r="G5515" i="2"/>
  <c r="G5516" i="2"/>
  <c r="G5517" i="2"/>
  <c r="G5518" i="2"/>
  <c r="G5519" i="2"/>
  <c r="G5520" i="2"/>
  <c r="G5521" i="2"/>
  <c r="G5522" i="2"/>
  <c r="G5523" i="2"/>
  <c r="G5524" i="2"/>
  <c r="A5524" i="2" s="1"/>
  <c r="G5525" i="2"/>
  <c r="G5526" i="2"/>
  <c r="G5527" i="2"/>
  <c r="G5528" i="2"/>
  <c r="G5529" i="2"/>
  <c r="G5530" i="2"/>
  <c r="G5531" i="2"/>
  <c r="G5500" i="2"/>
  <c r="H5500" i="2" s="1"/>
  <c r="F5526" i="2" l="1"/>
  <c r="H5526" i="2"/>
  <c r="F5525" i="2"/>
  <c r="H5525" i="2"/>
  <c r="F5503" i="2"/>
  <c r="H5503" i="2"/>
  <c r="F5504" i="2"/>
  <c r="H5504" i="2"/>
  <c r="F5502" i="2"/>
  <c r="H5502" i="2"/>
  <c r="F5505" i="2"/>
  <c r="H5505" i="2"/>
  <c r="F5524" i="2"/>
  <c r="H5524" i="2"/>
  <c r="F5513" i="2"/>
  <c r="H5513" i="2"/>
  <c r="F5501" i="2"/>
  <c r="H5501" i="2"/>
  <c r="F5522" i="2"/>
  <c r="H5522" i="2"/>
  <c r="F5511" i="2"/>
  <c r="H5511" i="2"/>
  <c r="F5521" i="2"/>
  <c r="H5521" i="2"/>
  <c r="F5516" i="2"/>
  <c r="H5516" i="2"/>
  <c r="F5515" i="2"/>
  <c r="H5515" i="2"/>
  <c r="F5531" i="2"/>
  <c r="H5531" i="2"/>
  <c r="F5520" i="2"/>
  <c r="H5520" i="2"/>
  <c r="F5509" i="2"/>
  <c r="H5509" i="2"/>
  <c r="F5514" i="2"/>
  <c r="H5514" i="2"/>
  <c r="F5512" i="2"/>
  <c r="H5512" i="2"/>
  <c r="F5510" i="2"/>
  <c r="H5510" i="2"/>
  <c r="F5519" i="2"/>
  <c r="H5519" i="2"/>
  <c r="F5523" i="2"/>
  <c r="H5523" i="2"/>
  <c r="F5530" i="2"/>
  <c r="H5530" i="2"/>
  <c r="F5508" i="2"/>
  <c r="H5508" i="2"/>
  <c r="F5529" i="2"/>
  <c r="H5529" i="2"/>
  <c r="F5518" i="2"/>
  <c r="H5518" i="2"/>
  <c r="F5507" i="2"/>
  <c r="H5507" i="2"/>
  <c r="F5527" i="2"/>
  <c r="H5527" i="2"/>
  <c r="F5528" i="2"/>
  <c r="H5528" i="2"/>
  <c r="F5517" i="2"/>
  <c r="H5517" i="2"/>
  <c r="F5506" i="2"/>
  <c r="H5506" i="2"/>
  <c r="A5520" i="2"/>
  <c r="A5512" i="2"/>
  <c r="A5525" i="2"/>
  <c r="A5502" i="2"/>
  <c r="A5519" i="2"/>
  <c r="A5513" i="2"/>
  <c r="A5507" i="2"/>
  <c r="A5503" i="2"/>
  <c r="A5501" i="2"/>
  <c r="A5516" i="2"/>
  <c r="A5530" i="2"/>
  <c r="A5528" i="2"/>
  <c r="A5526" i="2"/>
  <c r="A5515" i="2"/>
  <c r="A5508" i="2"/>
  <c r="A5504" i="2"/>
  <c r="A5518" i="2"/>
  <c r="A5506" i="2"/>
  <c r="A5511" i="2"/>
  <c r="A5521" i="2"/>
  <c r="A5509" i="2"/>
  <c r="A5529" i="2"/>
  <c r="A5505" i="2"/>
  <c r="A5517" i="2"/>
  <c r="A5522" i="2"/>
  <c r="A5510" i="2"/>
  <c r="A5500" i="2"/>
  <c r="A5531" i="2"/>
  <c r="A5527" i="2"/>
  <c r="A5523" i="2"/>
  <c r="F5500" i="2"/>
  <c r="G5469" i="2"/>
  <c r="A5469" i="2" s="1"/>
  <c r="G5470" i="2"/>
  <c r="G5471" i="2"/>
  <c r="G5472" i="2"/>
  <c r="H5472" i="2" s="1"/>
  <c r="G5473" i="2"/>
  <c r="G5474" i="2"/>
  <c r="A5474" i="2" s="1"/>
  <c r="G5475" i="2"/>
  <c r="H5475" i="2" s="1"/>
  <c r="G5476" i="2"/>
  <c r="A5476" i="2" s="1"/>
  <c r="G5477" i="2"/>
  <c r="G5478" i="2"/>
  <c r="H5478" i="2" s="1"/>
  <c r="G5479" i="2"/>
  <c r="A5479" i="2" s="1"/>
  <c r="G5480" i="2"/>
  <c r="G5481" i="2"/>
  <c r="H5481" i="2" s="1"/>
  <c r="G5482" i="2"/>
  <c r="G5483" i="2"/>
  <c r="G5484" i="2"/>
  <c r="H5484" i="2" s="1"/>
  <c r="G5485" i="2"/>
  <c r="G5486" i="2"/>
  <c r="A5486" i="2" s="1"/>
  <c r="G5487" i="2"/>
  <c r="H5487" i="2" s="1"/>
  <c r="G5488" i="2"/>
  <c r="A5488" i="2" s="1"/>
  <c r="G5489" i="2"/>
  <c r="G5490" i="2"/>
  <c r="H5490" i="2" s="1"/>
  <c r="G5491" i="2"/>
  <c r="G5492" i="2"/>
  <c r="G5493" i="2"/>
  <c r="H5493" i="2" s="1"/>
  <c r="G5494" i="2"/>
  <c r="A5494" i="2" s="1"/>
  <c r="G5495" i="2"/>
  <c r="G5496" i="2"/>
  <c r="H5496" i="2" s="1"/>
  <c r="G5497" i="2"/>
  <c r="A5497" i="2" s="1"/>
  <c r="G5498" i="2"/>
  <c r="G5499" i="2"/>
  <c r="H5499" i="2" s="1"/>
  <c r="G5468" i="2"/>
  <c r="H5468" i="2" s="1"/>
  <c r="F5485" i="2" l="1"/>
  <c r="H5485" i="2"/>
  <c r="F5471" i="2"/>
  <c r="H5471" i="2"/>
  <c r="A5499" i="2"/>
  <c r="F5492" i="2"/>
  <c r="H5492" i="2"/>
  <c r="A5484" i="2"/>
  <c r="F5470" i="2"/>
  <c r="H5470" i="2"/>
  <c r="F5498" i="2"/>
  <c r="H5498" i="2"/>
  <c r="F5483" i="2"/>
  <c r="H5483" i="2"/>
  <c r="A5475" i="2"/>
  <c r="F5469" i="2"/>
  <c r="H5469" i="2"/>
  <c r="F5482" i="2"/>
  <c r="H5482" i="2"/>
  <c r="F5497" i="2"/>
  <c r="H5497" i="2"/>
  <c r="A5481" i="2"/>
  <c r="F5475" i="2"/>
  <c r="F5476" i="2"/>
  <c r="H5476" i="2"/>
  <c r="F5491" i="2"/>
  <c r="H5491" i="2"/>
  <c r="F5496" i="2"/>
  <c r="A5487" i="2"/>
  <c r="F5480" i="2"/>
  <c r="H5480" i="2"/>
  <c r="F5474" i="2"/>
  <c r="H5474" i="2"/>
  <c r="F5488" i="2"/>
  <c r="H5488" i="2"/>
  <c r="F5473" i="2"/>
  <c r="H5473" i="2"/>
  <c r="F5487" i="2"/>
  <c r="F5479" i="2"/>
  <c r="H5479" i="2"/>
  <c r="A5472" i="2"/>
  <c r="F5489" i="2"/>
  <c r="H5489" i="2"/>
  <c r="F5495" i="2"/>
  <c r="H5495" i="2"/>
  <c r="F5494" i="2"/>
  <c r="H5494" i="2"/>
  <c r="A5471" i="2"/>
  <c r="A5493" i="2"/>
  <c r="F5486" i="2"/>
  <c r="H5486" i="2"/>
  <c r="F5478" i="2"/>
  <c r="F5472" i="2"/>
  <c r="F5477" i="2"/>
  <c r="H5477" i="2"/>
  <c r="A5485" i="2"/>
  <c r="F5490" i="2"/>
  <c r="F5499" i="2"/>
  <c r="F5484" i="2"/>
  <c r="A5482" i="2"/>
  <c r="A5496" i="2"/>
  <c r="A5473" i="2"/>
  <c r="A5490" i="2"/>
  <c r="A5478" i="2"/>
  <c r="A5495" i="2"/>
  <c r="A5483" i="2"/>
  <c r="A5498" i="2"/>
  <c r="F5493" i="2"/>
  <c r="A5491" i="2"/>
  <c r="F5481" i="2"/>
  <c r="A5489" i="2"/>
  <c r="A5477" i="2"/>
  <c r="A5492" i="2"/>
  <c r="A5480" i="2"/>
  <c r="A5470" i="2"/>
  <c r="F5468" i="2"/>
  <c r="A5468" i="2"/>
  <c r="G5437" i="2"/>
  <c r="G5438" i="2"/>
  <c r="G5439" i="2"/>
  <c r="G5440" i="2"/>
  <c r="G5441" i="2"/>
  <c r="G5442" i="2"/>
  <c r="G5443" i="2"/>
  <c r="G5444" i="2"/>
  <c r="G5445" i="2"/>
  <c r="G5446" i="2"/>
  <c r="G5447" i="2"/>
  <c r="G5448" i="2"/>
  <c r="G5449" i="2"/>
  <c r="G5450" i="2"/>
  <c r="G5451" i="2"/>
  <c r="G5452" i="2"/>
  <c r="G5453" i="2"/>
  <c r="G5454" i="2"/>
  <c r="G5455" i="2"/>
  <c r="G5456" i="2"/>
  <c r="G5457" i="2"/>
  <c r="A5457" i="2" s="1"/>
  <c r="G5458" i="2"/>
  <c r="G5459" i="2"/>
  <c r="G5460" i="2"/>
  <c r="A5460" i="2" s="1"/>
  <c r="G5461" i="2"/>
  <c r="G5462" i="2"/>
  <c r="G5463" i="2"/>
  <c r="G5464" i="2"/>
  <c r="G5465" i="2"/>
  <c r="G5466" i="2"/>
  <c r="G5467" i="2"/>
  <c r="G5436" i="2"/>
  <c r="H5436" i="2" s="1"/>
  <c r="F5465" i="2" l="1"/>
  <c r="H5465" i="2"/>
  <c r="F5464" i="2"/>
  <c r="H5464" i="2"/>
  <c r="F5451" i="2"/>
  <c r="H5451" i="2"/>
  <c r="F5441" i="2"/>
  <c r="H5441" i="2"/>
  <c r="F5452" i="2"/>
  <c r="H5452" i="2"/>
  <c r="F5439" i="2"/>
  <c r="H5439" i="2"/>
  <c r="F5450" i="2"/>
  <c r="H5450" i="2"/>
  <c r="F5438" i="2"/>
  <c r="H5438" i="2"/>
  <c r="F5454" i="2"/>
  <c r="H5454" i="2"/>
  <c r="F5443" i="2"/>
  <c r="H5443" i="2"/>
  <c r="F5459" i="2"/>
  <c r="H5459" i="2"/>
  <c r="F5448" i="2"/>
  <c r="H5448" i="2"/>
  <c r="F5463" i="2"/>
  <c r="H5463" i="2"/>
  <c r="F5440" i="2"/>
  <c r="H5440" i="2"/>
  <c r="F5467" i="2"/>
  <c r="H5467" i="2"/>
  <c r="F5446" i="2"/>
  <c r="H5446" i="2"/>
  <c r="F5455" i="2"/>
  <c r="H5455" i="2"/>
  <c r="F5442" i="2"/>
  <c r="H5442" i="2"/>
  <c r="F5453" i="2"/>
  <c r="H5453" i="2"/>
  <c r="F5462" i="2"/>
  <c r="H5462" i="2"/>
  <c r="F5460" i="2"/>
  <c r="H5460" i="2"/>
  <c r="F5449" i="2"/>
  <c r="H5449" i="2"/>
  <c r="F5437" i="2"/>
  <c r="H5437" i="2"/>
  <c r="F5447" i="2"/>
  <c r="H5447" i="2"/>
  <c r="F5445" i="2"/>
  <c r="H5445" i="2"/>
  <c r="F5461" i="2"/>
  <c r="H5461" i="2"/>
  <c r="F5458" i="2"/>
  <c r="H5458" i="2"/>
  <c r="F5466" i="2"/>
  <c r="H5466" i="2"/>
  <c r="F5457" i="2"/>
  <c r="H5457" i="2"/>
  <c r="A5465" i="2"/>
  <c r="F5456" i="2"/>
  <c r="H5456" i="2"/>
  <c r="F5444" i="2"/>
  <c r="H5444" i="2"/>
  <c r="A5441" i="2"/>
  <c r="A5436" i="2"/>
  <c r="A5459" i="2"/>
  <c r="A5447" i="2"/>
  <c r="A5440" i="2"/>
  <c r="A5445" i="2"/>
  <c r="A5464" i="2"/>
  <c r="A5452" i="2"/>
  <c r="A5467" i="2"/>
  <c r="A5455" i="2"/>
  <c r="A5443" i="2"/>
  <c r="A5448" i="2"/>
  <c r="A5453" i="2"/>
  <c r="A5463" i="2"/>
  <c r="A5451" i="2"/>
  <c r="A5439" i="2"/>
  <c r="A5456" i="2"/>
  <c r="A5444" i="2"/>
  <c r="A5437" i="2"/>
  <c r="A5461" i="2"/>
  <c r="A5449" i="2"/>
  <c r="A5466" i="2"/>
  <c r="A5462" i="2"/>
  <c r="A5458" i="2"/>
  <c r="A5454" i="2"/>
  <c r="A5450" i="2"/>
  <c r="A5446" i="2"/>
  <c r="A5442" i="2"/>
  <c r="A5438" i="2"/>
  <c r="F5436" i="2"/>
  <c r="G5406" i="2"/>
  <c r="G5407" i="2"/>
  <c r="G5408" i="2"/>
  <c r="G5409" i="2"/>
  <c r="A5409" i="2" s="1"/>
  <c r="G5410" i="2"/>
  <c r="G5411" i="2"/>
  <c r="G5412" i="2"/>
  <c r="G5413" i="2"/>
  <c r="G5414" i="2"/>
  <c r="G5415" i="2"/>
  <c r="G5416" i="2"/>
  <c r="G5417" i="2"/>
  <c r="G5418" i="2"/>
  <c r="G5419" i="2"/>
  <c r="G5420" i="2"/>
  <c r="G5421" i="2"/>
  <c r="G5422" i="2"/>
  <c r="G5423" i="2"/>
  <c r="G5424" i="2"/>
  <c r="G5425" i="2"/>
  <c r="G5426" i="2"/>
  <c r="G5427" i="2"/>
  <c r="G5428" i="2"/>
  <c r="G5429" i="2"/>
  <c r="G5430" i="2"/>
  <c r="G5431" i="2"/>
  <c r="G5432" i="2"/>
  <c r="A5432" i="2" s="1"/>
  <c r="G5433" i="2"/>
  <c r="G5434" i="2"/>
  <c r="A5434" i="2" s="1"/>
  <c r="G5435" i="2"/>
  <c r="G5405" i="2"/>
  <c r="H5405" i="2" s="1"/>
  <c r="F5419" i="2" l="1"/>
  <c r="H5419" i="2"/>
  <c r="F5408" i="2"/>
  <c r="H5408" i="2"/>
  <c r="F5429" i="2"/>
  <c r="H5429" i="2"/>
  <c r="F5417" i="2"/>
  <c r="H5417" i="2"/>
  <c r="F5406" i="2"/>
  <c r="H5406" i="2"/>
  <c r="F5407" i="2"/>
  <c r="H5407" i="2"/>
  <c r="A5406" i="2"/>
  <c r="F5427" i="2"/>
  <c r="H5427" i="2"/>
  <c r="F5415" i="2"/>
  <c r="H5415" i="2"/>
  <c r="F5426" i="2"/>
  <c r="H5426" i="2"/>
  <c r="F5414" i="2"/>
  <c r="H5414" i="2"/>
  <c r="F5435" i="2"/>
  <c r="H5435" i="2"/>
  <c r="F5425" i="2"/>
  <c r="H5425" i="2"/>
  <c r="F5413" i="2"/>
  <c r="H5413" i="2"/>
  <c r="F5418" i="2"/>
  <c r="H5418" i="2"/>
  <c r="F5428" i="2"/>
  <c r="H5428" i="2"/>
  <c r="F5424" i="2"/>
  <c r="H5424" i="2"/>
  <c r="F5430" i="2"/>
  <c r="H5430" i="2"/>
  <c r="F5416" i="2"/>
  <c r="H5416" i="2"/>
  <c r="F5434" i="2"/>
  <c r="H5434" i="2"/>
  <c r="F5423" i="2"/>
  <c r="H5423" i="2"/>
  <c r="F5411" i="2"/>
  <c r="H5411" i="2"/>
  <c r="F5412" i="2"/>
  <c r="H5412" i="2"/>
  <c r="F5422" i="2"/>
  <c r="H5422" i="2"/>
  <c r="F5431" i="2"/>
  <c r="H5431" i="2"/>
  <c r="F5433" i="2"/>
  <c r="H5433" i="2"/>
  <c r="F5410" i="2"/>
  <c r="H5410" i="2"/>
  <c r="F5421" i="2"/>
  <c r="H5421" i="2"/>
  <c r="F5432" i="2"/>
  <c r="H5432" i="2"/>
  <c r="F5420" i="2"/>
  <c r="H5420" i="2"/>
  <c r="F5409" i="2"/>
  <c r="H5409" i="2"/>
  <c r="A5428" i="2"/>
  <c r="A5426" i="2"/>
  <c r="A5420" i="2"/>
  <c r="A5416" i="2"/>
  <c r="A5408" i="2"/>
  <c r="A5414" i="2"/>
  <c r="A5421" i="2"/>
  <c r="A5410" i="2"/>
  <c r="A5422" i="2"/>
  <c r="A5433" i="2"/>
  <c r="A5425" i="2"/>
  <c r="A5413" i="2"/>
  <c r="A5430" i="2"/>
  <c r="A5418" i="2"/>
  <c r="A5424" i="2"/>
  <c r="A5412" i="2"/>
  <c r="A5405" i="2"/>
  <c r="A5429" i="2"/>
  <c r="A5417" i="2"/>
  <c r="A5435" i="2"/>
  <c r="A5431" i="2"/>
  <c r="A5427" i="2"/>
  <c r="A5423" i="2"/>
  <c r="A5419" i="2"/>
  <c r="A5415" i="2"/>
  <c r="A5411" i="2"/>
  <c r="A5407" i="2"/>
  <c r="F5405" i="2"/>
  <c r="G5375" i="2"/>
  <c r="A5375" i="2" s="1"/>
  <c r="G5376" i="2"/>
  <c r="G5377" i="2"/>
  <c r="G5378" i="2"/>
  <c r="G5379" i="2"/>
  <c r="G5380" i="2"/>
  <c r="G5381" i="2"/>
  <c r="G5382" i="2"/>
  <c r="G5383" i="2"/>
  <c r="G5384" i="2"/>
  <c r="G5385" i="2"/>
  <c r="A5385" i="2" s="1"/>
  <c r="G5386" i="2"/>
  <c r="G5387" i="2"/>
  <c r="G5388" i="2"/>
  <c r="A5388" i="2" s="1"/>
  <c r="G5389" i="2"/>
  <c r="G5390" i="2"/>
  <c r="G5391" i="2"/>
  <c r="G5392" i="2"/>
  <c r="G5393" i="2"/>
  <c r="G5394" i="2"/>
  <c r="G5395" i="2"/>
  <c r="G5396" i="2"/>
  <c r="A5396" i="2" s="1"/>
  <c r="G5397" i="2"/>
  <c r="A5397" i="2" s="1"/>
  <c r="G5398" i="2"/>
  <c r="G5399" i="2"/>
  <c r="G5400" i="2"/>
  <c r="G5401" i="2"/>
  <c r="G5402" i="2"/>
  <c r="G5403" i="2"/>
  <c r="G5404" i="2"/>
  <c r="G5374" i="2"/>
  <c r="H5374" i="2" s="1"/>
  <c r="F5399" i="2" l="1"/>
  <c r="H5399" i="2"/>
  <c r="F5388" i="2"/>
  <c r="H5388" i="2"/>
  <c r="F5377" i="2"/>
  <c r="H5377" i="2"/>
  <c r="F5387" i="2"/>
  <c r="H5387" i="2"/>
  <c r="F5376" i="2"/>
  <c r="H5376" i="2"/>
  <c r="F5397" i="2"/>
  <c r="H5397" i="2"/>
  <c r="A5377" i="2"/>
  <c r="F5386" i="2"/>
  <c r="H5386" i="2"/>
  <c r="F5379" i="2"/>
  <c r="H5379" i="2"/>
  <c r="F5396" i="2"/>
  <c r="H5396" i="2"/>
  <c r="F5404" i="2"/>
  <c r="H5404" i="2"/>
  <c r="F5385" i="2"/>
  <c r="H5385" i="2"/>
  <c r="F5380" i="2"/>
  <c r="H5380" i="2"/>
  <c r="F5378" i="2"/>
  <c r="H5378" i="2"/>
  <c r="F5384" i="2"/>
  <c r="H5384" i="2"/>
  <c r="F5398" i="2"/>
  <c r="H5398" i="2"/>
  <c r="F5394" i="2"/>
  <c r="H5394" i="2"/>
  <c r="F5402" i="2"/>
  <c r="H5402" i="2"/>
  <c r="F5393" i="2"/>
  <c r="H5393" i="2"/>
  <c r="F5383" i="2"/>
  <c r="H5383" i="2"/>
  <c r="F5400" i="2"/>
  <c r="H5400" i="2"/>
  <c r="F5389" i="2"/>
  <c r="H5389" i="2"/>
  <c r="F5395" i="2"/>
  <c r="H5395" i="2"/>
  <c r="F5403" i="2"/>
  <c r="H5403" i="2"/>
  <c r="F5392" i="2"/>
  <c r="H5392" i="2"/>
  <c r="F5382" i="2"/>
  <c r="H5382" i="2"/>
  <c r="F5390" i="2"/>
  <c r="H5390" i="2"/>
  <c r="F5375" i="2"/>
  <c r="H5375" i="2"/>
  <c r="F5401" i="2"/>
  <c r="H5401" i="2"/>
  <c r="A5400" i="2"/>
  <c r="F5391" i="2"/>
  <c r="H5391" i="2"/>
  <c r="F5381" i="2"/>
  <c r="H5381" i="2"/>
  <c r="A5392" i="2"/>
  <c r="A5384" i="2"/>
  <c r="A5380" i="2"/>
  <c r="A5376" i="2"/>
  <c r="A5381" i="2"/>
  <c r="A5404" i="2"/>
  <c r="A5393" i="2"/>
  <c r="A5374" i="2"/>
  <c r="A5398" i="2"/>
  <c r="A5386" i="2"/>
  <c r="A5401" i="2"/>
  <c r="A5389" i="2"/>
  <c r="A5394" i="2"/>
  <c r="A5382" i="2"/>
  <c r="A5390" i="2"/>
  <c r="A5378" i="2"/>
  <c r="A5402" i="2"/>
  <c r="A5403" i="2"/>
  <c r="A5399" i="2"/>
  <c r="A5395" i="2"/>
  <c r="A5391" i="2"/>
  <c r="A5387" i="2"/>
  <c r="A5383" i="2"/>
  <c r="A5379" i="2"/>
  <c r="F5374" i="2"/>
  <c r="G5344" i="2"/>
  <c r="G5345" i="2"/>
  <c r="G5346" i="2"/>
  <c r="G5347" i="2"/>
  <c r="G5348" i="2"/>
  <c r="G5349" i="2"/>
  <c r="G5350" i="2"/>
  <c r="G5351" i="2"/>
  <c r="A5351" i="2" s="1"/>
  <c r="G5352" i="2"/>
  <c r="G5353" i="2"/>
  <c r="G5354" i="2"/>
  <c r="G5355" i="2"/>
  <c r="G5356" i="2"/>
  <c r="G5357" i="2"/>
  <c r="A5357" i="2" s="1"/>
  <c r="G5358" i="2"/>
  <c r="G5359" i="2"/>
  <c r="G5360" i="2"/>
  <c r="G5361" i="2"/>
  <c r="A5361" i="2" s="1"/>
  <c r="G5362" i="2"/>
  <c r="G5363" i="2"/>
  <c r="G5364" i="2"/>
  <c r="G5365" i="2"/>
  <c r="G5366" i="2"/>
  <c r="G5367" i="2"/>
  <c r="G5368" i="2"/>
  <c r="G5369" i="2"/>
  <c r="G5370" i="2"/>
  <c r="G5371" i="2"/>
  <c r="G5372" i="2"/>
  <c r="G5373" i="2"/>
  <c r="G5343" i="2"/>
  <c r="H5343" i="2" s="1"/>
  <c r="F5371" i="2" l="1"/>
  <c r="H5371" i="2"/>
  <c r="F5350" i="2"/>
  <c r="H5350" i="2"/>
  <c r="F5373" i="2"/>
  <c r="H5373" i="2"/>
  <c r="F5372" i="2"/>
  <c r="H5372" i="2"/>
  <c r="F5351" i="2"/>
  <c r="H5351" i="2"/>
  <c r="F5360" i="2"/>
  <c r="H5360" i="2"/>
  <c r="F5370" i="2"/>
  <c r="H5370" i="2"/>
  <c r="F5359" i="2"/>
  <c r="H5359" i="2"/>
  <c r="F5349" i="2"/>
  <c r="H5349" i="2"/>
  <c r="F5358" i="2"/>
  <c r="H5358" i="2"/>
  <c r="F5368" i="2"/>
  <c r="H5368" i="2"/>
  <c r="F5347" i="2"/>
  <c r="H5347" i="2"/>
  <c r="F5348" i="2"/>
  <c r="H5348" i="2"/>
  <c r="F5367" i="2"/>
  <c r="H5367" i="2"/>
  <c r="F5346" i="2"/>
  <c r="H5346" i="2"/>
  <c r="F5366" i="2"/>
  <c r="H5366" i="2"/>
  <c r="F5356" i="2"/>
  <c r="H5356" i="2"/>
  <c r="F5345" i="2"/>
  <c r="H5345" i="2"/>
  <c r="F5355" i="2"/>
  <c r="H5355" i="2"/>
  <c r="F5361" i="2"/>
  <c r="H5361" i="2"/>
  <c r="F5357" i="2"/>
  <c r="H5357" i="2"/>
  <c r="F5365" i="2"/>
  <c r="H5365" i="2"/>
  <c r="F5344" i="2"/>
  <c r="H5344" i="2"/>
  <c r="F5364" i="2"/>
  <c r="H5364" i="2"/>
  <c r="F5354" i="2"/>
  <c r="H5354" i="2"/>
  <c r="F5369" i="2"/>
  <c r="H5369" i="2"/>
  <c r="F5353" i="2"/>
  <c r="H5353" i="2"/>
  <c r="F5363" i="2"/>
  <c r="H5363" i="2"/>
  <c r="A5373" i="2"/>
  <c r="F5362" i="2"/>
  <c r="H5362" i="2"/>
  <c r="F5352" i="2"/>
  <c r="H5352" i="2"/>
  <c r="A5345" i="2"/>
  <c r="A5364" i="2"/>
  <c r="A5362" i="2"/>
  <c r="A5370" i="2"/>
  <c r="A5366" i="2"/>
  <c r="A5353" i="2"/>
  <c r="A5346" i="2"/>
  <c r="A5369" i="2"/>
  <c r="A5365" i="2"/>
  <c r="A5358" i="2"/>
  <c r="A5354" i="2"/>
  <c r="A5363" i="2"/>
  <c r="A5352" i="2"/>
  <c r="A5368" i="2"/>
  <c r="A5356" i="2"/>
  <c r="A5344" i="2"/>
  <c r="A5349" i="2"/>
  <c r="A5371" i="2"/>
  <c r="A5359" i="2"/>
  <c r="A5347" i="2"/>
  <c r="A5350" i="2"/>
  <c r="A5355" i="2"/>
  <c r="A5367" i="2"/>
  <c r="A5372" i="2"/>
  <c r="A5360" i="2"/>
  <c r="A5348" i="2"/>
  <c r="A5343" i="2"/>
  <c r="F5343" i="2"/>
  <c r="G5313" i="2"/>
  <c r="A5313" i="2" s="1"/>
  <c r="G5314" i="2"/>
  <c r="A5314" i="2" s="1"/>
  <c r="G5315" i="2"/>
  <c r="A5315" i="2" s="1"/>
  <c r="G5316" i="2"/>
  <c r="G5317" i="2"/>
  <c r="G5318" i="2"/>
  <c r="G5319" i="2"/>
  <c r="G5320" i="2"/>
  <c r="G5321" i="2"/>
  <c r="G5322" i="2"/>
  <c r="G5323" i="2"/>
  <c r="G5324" i="2"/>
  <c r="G5325" i="2"/>
  <c r="G5326" i="2"/>
  <c r="G5327" i="2"/>
  <c r="G5328" i="2"/>
  <c r="G5329" i="2"/>
  <c r="G5330" i="2"/>
  <c r="G5331" i="2"/>
  <c r="G5332" i="2"/>
  <c r="G5333" i="2"/>
  <c r="G5334" i="2"/>
  <c r="G5335" i="2"/>
  <c r="G5336" i="2"/>
  <c r="G5337" i="2"/>
  <c r="G5338" i="2"/>
  <c r="G5339" i="2"/>
  <c r="G5340" i="2"/>
  <c r="G5341" i="2"/>
  <c r="G5342" i="2"/>
  <c r="G5312" i="2"/>
  <c r="F5316" i="2" l="1"/>
  <c r="H5316" i="2"/>
  <c r="F5337" i="2"/>
  <c r="H5337" i="2"/>
  <c r="F5326" i="2"/>
  <c r="H5326" i="2"/>
  <c r="F5315" i="2"/>
  <c r="H5315" i="2"/>
  <c r="F5339" i="2"/>
  <c r="H5339" i="2"/>
  <c r="F5335" i="2"/>
  <c r="H5335" i="2"/>
  <c r="F5324" i="2"/>
  <c r="H5324" i="2"/>
  <c r="F5314" i="2"/>
  <c r="H5314" i="2"/>
  <c r="F5328" i="2"/>
  <c r="H5328" i="2"/>
  <c r="F5334" i="2"/>
  <c r="H5334" i="2"/>
  <c r="F5333" i="2"/>
  <c r="H5333" i="2"/>
  <c r="F5322" i="2"/>
  <c r="H5322" i="2"/>
  <c r="F5313" i="2"/>
  <c r="H5313" i="2"/>
  <c r="F5338" i="2"/>
  <c r="H5338" i="2"/>
  <c r="F5325" i="2"/>
  <c r="H5325" i="2"/>
  <c r="F5312" i="2"/>
  <c r="H5312" i="2"/>
  <c r="F5321" i="2"/>
  <c r="H5321" i="2"/>
  <c r="F5327" i="2"/>
  <c r="H5327" i="2"/>
  <c r="F5336" i="2"/>
  <c r="H5336" i="2"/>
  <c r="F5342" i="2"/>
  <c r="H5342" i="2"/>
  <c r="F5331" i="2"/>
  <c r="H5331" i="2"/>
  <c r="F5320" i="2"/>
  <c r="H5320" i="2"/>
  <c r="F5341" i="2"/>
  <c r="H5341" i="2"/>
  <c r="F5319" i="2"/>
  <c r="H5319" i="2"/>
  <c r="F5340" i="2"/>
  <c r="H5340" i="2"/>
  <c r="F5323" i="2"/>
  <c r="H5323" i="2"/>
  <c r="F5332" i="2"/>
  <c r="H5332" i="2"/>
  <c r="F5330" i="2"/>
  <c r="H5330" i="2"/>
  <c r="A5340" i="2"/>
  <c r="F5329" i="2"/>
  <c r="H5329" i="2"/>
  <c r="F5318" i="2"/>
  <c r="H5318" i="2"/>
  <c r="A5328" i="2"/>
  <c r="F5317" i="2"/>
  <c r="H5317" i="2"/>
  <c r="A5326" i="2"/>
  <c r="A5324" i="2"/>
  <c r="A5339" i="2"/>
  <c r="A5335" i="2"/>
  <c r="A5325" i="2"/>
  <c r="A5323" i="2"/>
  <c r="A5320" i="2"/>
  <c r="A5338" i="2"/>
  <c r="A5336" i="2"/>
  <c r="A5327" i="2"/>
  <c r="A5316" i="2"/>
  <c r="A5312" i="2"/>
  <c r="A5332" i="2"/>
  <c r="A5321" i="2"/>
  <c r="A5342" i="2"/>
  <c r="A5330" i="2"/>
  <c r="A5318" i="2"/>
  <c r="A5331" i="2"/>
  <c r="A5319" i="2"/>
  <c r="A5329" i="2"/>
  <c r="A5317" i="2"/>
  <c r="A5334" i="2"/>
  <c r="A5322" i="2"/>
  <c r="A5341" i="2"/>
  <c r="A5337" i="2"/>
  <c r="A5333" i="2"/>
  <c r="G5282" i="2"/>
  <c r="G5283" i="2"/>
  <c r="G5284" i="2"/>
  <c r="G5285" i="2"/>
  <c r="G5286" i="2"/>
  <c r="G5287" i="2"/>
  <c r="G5288" i="2"/>
  <c r="G5289" i="2"/>
  <c r="G5290" i="2"/>
  <c r="A5290" i="2" s="1"/>
  <c r="G5291" i="2"/>
  <c r="G5292" i="2"/>
  <c r="G5293" i="2"/>
  <c r="A5293" i="2" s="1"/>
  <c r="G5294" i="2"/>
  <c r="A5294" i="2" s="1"/>
  <c r="G5295" i="2"/>
  <c r="G5296" i="2"/>
  <c r="G5297" i="2"/>
  <c r="G5298" i="2"/>
  <c r="G5299" i="2"/>
  <c r="G5300" i="2"/>
  <c r="G5301" i="2"/>
  <c r="G5302" i="2"/>
  <c r="G5303" i="2"/>
  <c r="G5304" i="2"/>
  <c r="G5305" i="2"/>
  <c r="A5305" i="2" s="1"/>
  <c r="G5306" i="2"/>
  <c r="G5307" i="2"/>
  <c r="G5308" i="2"/>
  <c r="G5309" i="2"/>
  <c r="G5310" i="2"/>
  <c r="G5311" i="2"/>
  <c r="A5311" i="2" s="1"/>
  <c r="G5281" i="2"/>
  <c r="H5281" i="2" s="1"/>
  <c r="F5287" i="2" l="1"/>
  <c r="H5287" i="2"/>
  <c r="F5286" i="2"/>
  <c r="H5286" i="2"/>
  <c r="F5285" i="2"/>
  <c r="H5285" i="2"/>
  <c r="F5284" i="2"/>
  <c r="H5284" i="2"/>
  <c r="F5295" i="2"/>
  <c r="H5295" i="2"/>
  <c r="F5304" i="2"/>
  <c r="H5304" i="2"/>
  <c r="F5283" i="2"/>
  <c r="H5283" i="2"/>
  <c r="F5282" i="2"/>
  <c r="H5282" i="2"/>
  <c r="F5306" i="2"/>
  <c r="H5306" i="2"/>
  <c r="F5302" i="2"/>
  <c r="H5302" i="2"/>
  <c r="F5292" i="2"/>
  <c r="H5292" i="2"/>
  <c r="F5303" i="2"/>
  <c r="H5303" i="2"/>
  <c r="F5291" i="2"/>
  <c r="H5291" i="2"/>
  <c r="F5311" i="2"/>
  <c r="H5311" i="2"/>
  <c r="F5300" i="2"/>
  <c r="H5300" i="2"/>
  <c r="F5296" i="2"/>
  <c r="H5296" i="2"/>
  <c r="F5305" i="2"/>
  <c r="H5305" i="2"/>
  <c r="F5293" i="2"/>
  <c r="H5293" i="2"/>
  <c r="F5301" i="2"/>
  <c r="H5301" i="2"/>
  <c r="F5310" i="2"/>
  <c r="H5310" i="2"/>
  <c r="F5290" i="2"/>
  <c r="H5290" i="2"/>
  <c r="F5307" i="2"/>
  <c r="H5307" i="2"/>
  <c r="F5294" i="2"/>
  <c r="H5294" i="2"/>
  <c r="F5299" i="2"/>
  <c r="H5299" i="2"/>
  <c r="F5309" i="2"/>
  <c r="H5309" i="2"/>
  <c r="F5298" i="2"/>
  <c r="H5298" i="2"/>
  <c r="F5289" i="2"/>
  <c r="H5289" i="2"/>
  <c r="F5308" i="2"/>
  <c r="H5308" i="2"/>
  <c r="F5297" i="2"/>
  <c r="H5297" i="2"/>
  <c r="F5288" i="2"/>
  <c r="H5288" i="2"/>
  <c r="A5306" i="2"/>
  <c r="A5287" i="2"/>
  <c r="A5282" i="2"/>
  <c r="A5309" i="2"/>
  <c r="A5283" i="2"/>
  <c r="A5307" i="2"/>
  <c r="A5301" i="2"/>
  <c r="A5299" i="2"/>
  <c r="A5295" i="2"/>
  <c r="A5302" i="2"/>
  <c r="A5289" i="2"/>
  <c r="A5297" i="2"/>
  <c r="A5285" i="2"/>
  <c r="A5298" i="2"/>
  <c r="A5286" i="2"/>
  <c r="A5310" i="2"/>
  <c r="A5303" i="2"/>
  <c r="A5291" i="2"/>
  <c r="A5281" i="2"/>
  <c r="A5308" i="2"/>
  <c r="A5304" i="2"/>
  <c r="A5300" i="2"/>
  <c r="A5296" i="2"/>
  <c r="A5292" i="2"/>
  <c r="A5288" i="2"/>
  <c r="A5284" i="2"/>
  <c r="F5281" i="2"/>
  <c r="G5251" i="2"/>
  <c r="G5252" i="2"/>
  <c r="A5252" i="2" s="1"/>
  <c r="G5253" i="2"/>
  <c r="H5253" i="2" s="1"/>
  <c r="G5254" i="2"/>
  <c r="G5255" i="2"/>
  <c r="H5255" i="2" s="1"/>
  <c r="G5256" i="2"/>
  <c r="A5256" i="2" s="1"/>
  <c r="G5257" i="2"/>
  <c r="A5257" i="2" s="1"/>
  <c r="G5258" i="2"/>
  <c r="H5258" i="2" s="1"/>
  <c r="G5259" i="2"/>
  <c r="H5259" i="2" s="1"/>
  <c r="G5260" i="2"/>
  <c r="A5260" i="2" s="1"/>
  <c r="G5261" i="2"/>
  <c r="H5261" i="2" s="1"/>
  <c r="G5262" i="2"/>
  <c r="G5263" i="2"/>
  <c r="G5264" i="2"/>
  <c r="H5264" i="2" s="1"/>
  <c r="G5265" i="2"/>
  <c r="A5265" i="2" s="1"/>
  <c r="G5266" i="2"/>
  <c r="G5267" i="2"/>
  <c r="H5267" i="2" s="1"/>
  <c r="G5268" i="2"/>
  <c r="H5268" i="2" s="1"/>
  <c r="G5269" i="2"/>
  <c r="A5269" i="2" s="1"/>
  <c r="G5270" i="2"/>
  <c r="H5270" i="2" s="1"/>
  <c r="G5271" i="2"/>
  <c r="H5271" i="2" s="1"/>
  <c r="G5272" i="2"/>
  <c r="G5273" i="2"/>
  <c r="H5273" i="2" s="1"/>
  <c r="G5274" i="2"/>
  <c r="A5274" i="2" s="1"/>
  <c r="G5275" i="2"/>
  <c r="A5275" i="2" s="1"/>
  <c r="G5276" i="2"/>
  <c r="H5276" i="2" s="1"/>
  <c r="G5277" i="2"/>
  <c r="G5278" i="2"/>
  <c r="G5279" i="2"/>
  <c r="H5279" i="2" s="1"/>
  <c r="G5280" i="2"/>
  <c r="G5250" i="2"/>
  <c r="H5250" i="2" s="1"/>
  <c r="A5267" i="2" l="1"/>
  <c r="F5273" i="2"/>
  <c r="F5270" i="2"/>
  <c r="F5276" i="2"/>
  <c r="A5258" i="2"/>
  <c r="F5280" i="2"/>
  <c r="H5280" i="2"/>
  <c r="F5272" i="2"/>
  <c r="H5272" i="2"/>
  <c r="A5264" i="2"/>
  <c r="F5257" i="2"/>
  <c r="H5257" i="2"/>
  <c r="F5278" i="2"/>
  <c r="H5278" i="2"/>
  <c r="F5264" i="2"/>
  <c r="F5256" i="2"/>
  <c r="H5256" i="2"/>
  <c r="F5262" i="2"/>
  <c r="H5262" i="2"/>
  <c r="F5254" i="2"/>
  <c r="H5254" i="2"/>
  <c r="F5275" i="2"/>
  <c r="H5275" i="2"/>
  <c r="F5277" i="2"/>
  <c r="H5277" i="2"/>
  <c r="F5260" i="2"/>
  <c r="H5260" i="2"/>
  <c r="F5252" i="2"/>
  <c r="H5252" i="2"/>
  <c r="F5251" i="2"/>
  <c r="H5251" i="2"/>
  <c r="F5263" i="2"/>
  <c r="H5263" i="2"/>
  <c r="F5269" i="2"/>
  <c r="H5269" i="2"/>
  <c r="F5274" i="2"/>
  <c r="H5274" i="2"/>
  <c r="F5266" i="2"/>
  <c r="H5266" i="2"/>
  <c r="F5265" i="2"/>
  <c r="H5265" i="2"/>
  <c r="F5255" i="2"/>
  <c r="F5258" i="2"/>
  <c r="A5279" i="2"/>
  <c r="A5270" i="2"/>
  <c r="A5261" i="2"/>
  <c r="A5273" i="2"/>
  <c r="F5268" i="2"/>
  <c r="F5259" i="2"/>
  <c r="A5280" i="2"/>
  <c r="A5278" i="2"/>
  <c r="A5262" i="2"/>
  <c r="A5255" i="2"/>
  <c r="F5279" i="2"/>
  <c r="F5261" i="2"/>
  <c r="A5259" i="2"/>
  <c r="A5277" i="2"/>
  <c r="A5272" i="2"/>
  <c r="A5254" i="2"/>
  <c r="F5267" i="2"/>
  <c r="A5268" i="2"/>
  <c r="F5271" i="2"/>
  <c r="A5250" i="2"/>
  <c r="A5263" i="2"/>
  <c r="A5276" i="2"/>
  <c r="A5271" i="2"/>
  <c r="A5253" i="2"/>
  <c r="F5253" i="2"/>
  <c r="A5266" i="2"/>
  <c r="A5251" i="2"/>
  <c r="F5250" i="2"/>
  <c r="G5220" i="2"/>
  <c r="A5220" i="2" s="1"/>
  <c r="G5221" i="2"/>
  <c r="G5222" i="2"/>
  <c r="G5223" i="2"/>
  <c r="G5224" i="2"/>
  <c r="G5225" i="2"/>
  <c r="G5226" i="2"/>
  <c r="G5227" i="2"/>
  <c r="G5228" i="2"/>
  <c r="G5229" i="2"/>
  <c r="G5230" i="2"/>
  <c r="G5231" i="2"/>
  <c r="G5232" i="2"/>
  <c r="G5233" i="2"/>
  <c r="G5234" i="2"/>
  <c r="G5235" i="2"/>
  <c r="G5236" i="2"/>
  <c r="G5237" i="2"/>
  <c r="G5238" i="2"/>
  <c r="G5239" i="2"/>
  <c r="G5240" i="2"/>
  <c r="G5241" i="2"/>
  <c r="G5242" i="2"/>
  <c r="A5242" i="2"/>
  <c r="G5243" i="2"/>
  <c r="G5244" i="2"/>
  <c r="G5245" i="2"/>
  <c r="G5246" i="2"/>
  <c r="G5247" i="2"/>
  <c r="G5248" i="2"/>
  <c r="G5249" i="2"/>
  <c r="G5219" i="2"/>
  <c r="H5219" i="2" s="1"/>
  <c r="F5223" i="2" l="1"/>
  <c r="H5223" i="2"/>
  <c r="F5237" i="2"/>
  <c r="H5237" i="2"/>
  <c r="F5247" i="2"/>
  <c r="H5247" i="2"/>
  <c r="F5236" i="2"/>
  <c r="H5236" i="2"/>
  <c r="F5224" i="2"/>
  <c r="H5224" i="2"/>
  <c r="F5246" i="2"/>
  <c r="H5246" i="2"/>
  <c r="F5234" i="2"/>
  <c r="H5234" i="2"/>
  <c r="F5245" i="2"/>
  <c r="H5245" i="2"/>
  <c r="F5244" i="2"/>
  <c r="H5244" i="2"/>
  <c r="F5232" i="2"/>
  <c r="H5232" i="2"/>
  <c r="F5222" i="2"/>
  <c r="H5222" i="2"/>
  <c r="F5221" i="2"/>
  <c r="H5221" i="2"/>
  <c r="F5243" i="2"/>
  <c r="H5243" i="2"/>
  <c r="F5231" i="2"/>
  <c r="H5231" i="2"/>
  <c r="F5230" i="2"/>
  <c r="H5230" i="2"/>
  <c r="F5220" i="2"/>
  <c r="H5220" i="2"/>
  <c r="F5242" i="2"/>
  <c r="H5242" i="2"/>
  <c r="F5241" i="2"/>
  <c r="H5241" i="2"/>
  <c r="F5229" i="2"/>
  <c r="H5229" i="2"/>
  <c r="F5240" i="2"/>
  <c r="H5240" i="2"/>
  <c r="F5228" i="2"/>
  <c r="H5228" i="2"/>
  <c r="F5235" i="2"/>
  <c r="H5235" i="2"/>
  <c r="F5233" i="2"/>
  <c r="H5233" i="2"/>
  <c r="F5239" i="2"/>
  <c r="H5239" i="2"/>
  <c r="F5227" i="2"/>
  <c r="H5227" i="2"/>
  <c r="F5249" i="2"/>
  <c r="H5249" i="2"/>
  <c r="F5238" i="2"/>
  <c r="H5238" i="2"/>
  <c r="F5226" i="2"/>
  <c r="H5226" i="2"/>
  <c r="F5248" i="2"/>
  <c r="H5248" i="2"/>
  <c r="F5225" i="2"/>
  <c r="H5225" i="2"/>
  <c r="A5248" i="2"/>
  <c r="A5246" i="2"/>
  <c r="A5236" i="2"/>
  <c r="A5234" i="2"/>
  <c r="A5230" i="2"/>
  <c r="A5244" i="2"/>
  <c r="A5224" i="2"/>
  <c r="A5222" i="2"/>
  <c r="A5232" i="2"/>
  <c r="A5239" i="2"/>
  <c r="A5227" i="2"/>
  <c r="A5219" i="2"/>
  <c r="A5247" i="2"/>
  <c r="A5235" i="2"/>
  <c r="A5223" i="2"/>
  <c r="A5240" i="2"/>
  <c r="A5228" i="2"/>
  <c r="A5238" i="2"/>
  <c r="A5243" i="2"/>
  <c r="A5231" i="2"/>
  <c r="A5226" i="2"/>
  <c r="A5249" i="2"/>
  <c r="A5245" i="2"/>
  <c r="A5241" i="2"/>
  <c r="A5237" i="2"/>
  <c r="A5233" i="2"/>
  <c r="A5229" i="2"/>
  <c r="A5225" i="2"/>
  <c r="A5221" i="2"/>
  <c r="F5219" i="2"/>
  <c r="G5189" i="2"/>
  <c r="A5189" i="2" s="1"/>
  <c r="G5190" i="2"/>
  <c r="G5191" i="2"/>
  <c r="G5192" i="2"/>
  <c r="G5193" i="2"/>
  <c r="G5194" i="2"/>
  <c r="G5195" i="2"/>
  <c r="G5196" i="2"/>
  <c r="G5197" i="2"/>
  <c r="G5198" i="2"/>
  <c r="G5199" i="2"/>
  <c r="G5200" i="2"/>
  <c r="G5201" i="2"/>
  <c r="A5201" i="2" s="1"/>
  <c r="G5202" i="2"/>
  <c r="G5203" i="2"/>
  <c r="A5203" i="2" s="1"/>
  <c r="G5204" i="2"/>
  <c r="G5205" i="2"/>
  <c r="G5206" i="2"/>
  <c r="G5207" i="2"/>
  <c r="G5208" i="2"/>
  <c r="G5209" i="2"/>
  <c r="A5209" i="2" s="1"/>
  <c r="G5210" i="2"/>
  <c r="H5210" i="2" s="1"/>
  <c r="G5211" i="2"/>
  <c r="G5212" i="2"/>
  <c r="G5213" i="2"/>
  <c r="G5214" i="2"/>
  <c r="G5215" i="2"/>
  <c r="G5216" i="2"/>
  <c r="H5216" i="2" s="1"/>
  <c r="G5217" i="2"/>
  <c r="A5217" i="2" s="1"/>
  <c r="G5218" i="2"/>
  <c r="G5188" i="2"/>
  <c r="H5188" i="2" s="1"/>
  <c r="F5190" i="2" l="1"/>
  <c r="H5190" i="2"/>
  <c r="F5213" i="2"/>
  <c r="H5213" i="2"/>
  <c r="F5204" i="2"/>
  <c r="H5204" i="2"/>
  <c r="F5194" i="2"/>
  <c r="H5194" i="2"/>
  <c r="F5212" i="2"/>
  <c r="H5212" i="2"/>
  <c r="F5193" i="2"/>
  <c r="H5193" i="2"/>
  <c r="A5210" i="2"/>
  <c r="F5202" i="2"/>
  <c r="H5202" i="2"/>
  <c r="F5191" i="2"/>
  <c r="H5191" i="2"/>
  <c r="F5218" i="2"/>
  <c r="H5218" i="2"/>
  <c r="F5210" i="2"/>
  <c r="F5201" i="2"/>
  <c r="H5201" i="2"/>
  <c r="F5192" i="2"/>
  <c r="H5192" i="2"/>
  <c r="F5200" i="2"/>
  <c r="H5200" i="2"/>
  <c r="F5189" i="2"/>
  <c r="H5189" i="2"/>
  <c r="F5217" i="2"/>
  <c r="H5217" i="2"/>
  <c r="F5209" i="2"/>
  <c r="H5209" i="2"/>
  <c r="F5199" i="2"/>
  <c r="H5199" i="2"/>
  <c r="F5211" i="2"/>
  <c r="H5211" i="2"/>
  <c r="F5208" i="2"/>
  <c r="H5208" i="2"/>
  <c r="F5215" i="2"/>
  <c r="H5215" i="2"/>
  <c r="F5207" i="2"/>
  <c r="H5207" i="2"/>
  <c r="F5197" i="2"/>
  <c r="H5197" i="2"/>
  <c r="F5203" i="2"/>
  <c r="H5203" i="2"/>
  <c r="F5206" i="2"/>
  <c r="H5206" i="2"/>
  <c r="F5198" i="2"/>
  <c r="H5198" i="2"/>
  <c r="F5214" i="2"/>
  <c r="H5214" i="2"/>
  <c r="F5196" i="2"/>
  <c r="H5196" i="2"/>
  <c r="A5213" i="2"/>
  <c r="F5205" i="2"/>
  <c r="H5205" i="2"/>
  <c r="F5195" i="2"/>
  <c r="H5195" i="2"/>
  <c r="A5192" i="2"/>
  <c r="A5212" i="2"/>
  <c r="A5191" i="2"/>
  <c r="A5204" i="2"/>
  <c r="F5216" i="2"/>
  <c r="A5205" i="2"/>
  <c r="A5215" i="2"/>
  <c r="A5197" i="2"/>
  <c r="A5193" i="2"/>
  <c r="A5200" i="2"/>
  <c r="A5218" i="2"/>
  <c r="F5188" i="2"/>
  <c r="A5216" i="2"/>
  <c r="A5202" i="2"/>
  <c r="A5190" i="2"/>
  <c r="A5188" i="2"/>
  <c r="A5207" i="2"/>
  <c r="A5195" i="2"/>
  <c r="A5198" i="2"/>
  <c r="A5208" i="2"/>
  <c r="A5196" i="2"/>
  <c r="A5214" i="2"/>
  <c r="A5211" i="2"/>
  <c r="A5194" i="2"/>
  <c r="A5206" i="2"/>
  <c r="A5199" i="2"/>
  <c r="G5158" i="2"/>
  <c r="G5159" i="2"/>
  <c r="A5159" i="2" s="1"/>
  <c r="G5160" i="2"/>
  <c r="H5160" i="2" s="1"/>
  <c r="G5161" i="2"/>
  <c r="G5162" i="2"/>
  <c r="G5163" i="2"/>
  <c r="G5164" i="2"/>
  <c r="G5165" i="2"/>
  <c r="H5165" i="2" s="1"/>
  <c r="G5166" i="2"/>
  <c r="A5166" i="2" s="1"/>
  <c r="G5167" i="2"/>
  <c r="G5168" i="2"/>
  <c r="G5169" i="2"/>
  <c r="G5170" i="2"/>
  <c r="A5170" i="2" s="1"/>
  <c r="G5171" i="2"/>
  <c r="G5172" i="2"/>
  <c r="A5172" i="2" s="1"/>
  <c r="G5173" i="2"/>
  <c r="G5174" i="2"/>
  <c r="G5175" i="2"/>
  <c r="G5176" i="2"/>
  <c r="A5176" i="2" s="1"/>
  <c r="G5177" i="2"/>
  <c r="H5177" i="2" s="1"/>
  <c r="G5178" i="2"/>
  <c r="H5178" i="2" s="1"/>
  <c r="G5179" i="2"/>
  <c r="G5180" i="2"/>
  <c r="G5181" i="2"/>
  <c r="G5182" i="2"/>
  <c r="A5182" i="2" s="1"/>
  <c r="G5183" i="2"/>
  <c r="H5183" i="2" s="1"/>
  <c r="G5184" i="2"/>
  <c r="G5185" i="2"/>
  <c r="G5186" i="2"/>
  <c r="G5187" i="2"/>
  <c r="G5157" i="2"/>
  <c r="H5157" i="2" s="1"/>
  <c r="F5178" i="2" l="1"/>
  <c r="A5178" i="2"/>
  <c r="F5160" i="2"/>
  <c r="F5181" i="2"/>
  <c r="H5181" i="2"/>
  <c r="F5179" i="2"/>
  <c r="H5179" i="2"/>
  <c r="F5172" i="2"/>
  <c r="H5172" i="2"/>
  <c r="F5164" i="2"/>
  <c r="H5164" i="2"/>
  <c r="F5180" i="2"/>
  <c r="H5180" i="2"/>
  <c r="F5165" i="2"/>
  <c r="F5163" i="2"/>
  <c r="H5163" i="2"/>
  <c r="F5171" i="2"/>
  <c r="H5171" i="2"/>
  <c r="F5187" i="2"/>
  <c r="H5187" i="2"/>
  <c r="F5162" i="2"/>
  <c r="H5162" i="2"/>
  <c r="F5185" i="2"/>
  <c r="H5185" i="2"/>
  <c r="A5177" i="2"/>
  <c r="F5169" i="2"/>
  <c r="H5169" i="2"/>
  <c r="F5170" i="2"/>
  <c r="H5170" i="2"/>
  <c r="F5161" i="2"/>
  <c r="H5161" i="2"/>
  <c r="A5183" i="2"/>
  <c r="F5167" i="2"/>
  <c r="H5167" i="2"/>
  <c r="F5159" i="2"/>
  <c r="H5159" i="2"/>
  <c r="F5173" i="2"/>
  <c r="H5173" i="2"/>
  <c r="F5184" i="2"/>
  <c r="H5184" i="2"/>
  <c r="F5168" i="2"/>
  <c r="H5168" i="2"/>
  <c r="F5176" i="2"/>
  <c r="H5176" i="2"/>
  <c r="F5175" i="2"/>
  <c r="H5175" i="2"/>
  <c r="F5166" i="2"/>
  <c r="H5166" i="2"/>
  <c r="F5158" i="2"/>
  <c r="H5158" i="2"/>
  <c r="F5186" i="2"/>
  <c r="H5186" i="2"/>
  <c r="F5182" i="2"/>
  <c r="H5182" i="2"/>
  <c r="F5174" i="2"/>
  <c r="H5174" i="2"/>
  <c r="A5165" i="2"/>
  <c r="A5171" i="2"/>
  <c r="F5183" i="2"/>
  <c r="A5179" i="2"/>
  <c r="A5164" i="2"/>
  <c r="A5184" i="2"/>
  <c r="F5177" i="2"/>
  <c r="A5160" i="2"/>
  <c r="A5187" i="2"/>
  <c r="A5174" i="2"/>
  <c r="A5169" i="2"/>
  <c r="A5185" i="2"/>
  <c r="A5180" i="2"/>
  <c r="A5175" i="2"/>
  <c r="A5167" i="2"/>
  <c r="A5162" i="2"/>
  <c r="A5186" i="2"/>
  <c r="A5181" i="2"/>
  <c r="A5173" i="2"/>
  <c r="A5168" i="2"/>
  <c r="A5163" i="2"/>
  <c r="A5161" i="2"/>
  <c r="A5158" i="2"/>
  <c r="A5157" i="2"/>
  <c r="F5157" i="2"/>
  <c r="G5127" i="2"/>
  <c r="G5128" i="2"/>
  <c r="G5129" i="2"/>
  <c r="G5130" i="2"/>
  <c r="G5131" i="2"/>
  <c r="G5132" i="2"/>
  <c r="G5133" i="2"/>
  <c r="G5134" i="2"/>
  <c r="G5135" i="2"/>
  <c r="G5136" i="2"/>
  <c r="G5137" i="2"/>
  <c r="A5137" i="2" s="1"/>
  <c r="G5138" i="2"/>
  <c r="A5138" i="2" s="1"/>
  <c r="G5139" i="2"/>
  <c r="A5139" i="2" s="1"/>
  <c r="G5140" i="2"/>
  <c r="G5141" i="2"/>
  <c r="G5142" i="2"/>
  <c r="G5143" i="2"/>
  <c r="G5144" i="2"/>
  <c r="G5145" i="2"/>
  <c r="G5146" i="2"/>
  <c r="G5147" i="2"/>
  <c r="G5148" i="2"/>
  <c r="G5149" i="2"/>
  <c r="A5149" i="2" s="1"/>
  <c r="G5150" i="2"/>
  <c r="G5151" i="2"/>
  <c r="A5151" i="2" s="1"/>
  <c r="G5152" i="2"/>
  <c r="G5153" i="2"/>
  <c r="G5154" i="2"/>
  <c r="G5155" i="2"/>
  <c r="G5156" i="2"/>
  <c r="G5126" i="2"/>
  <c r="H5126" i="2" s="1"/>
  <c r="F5140" i="2" l="1"/>
  <c r="H5140" i="2"/>
  <c r="F5132" i="2"/>
  <c r="H5132" i="2"/>
  <c r="F5130" i="2"/>
  <c r="H5130" i="2"/>
  <c r="F5139" i="2"/>
  <c r="H5139" i="2"/>
  <c r="F5129" i="2"/>
  <c r="H5129" i="2"/>
  <c r="F5141" i="2"/>
  <c r="H5141" i="2"/>
  <c r="F5149" i="2"/>
  <c r="H5149" i="2"/>
  <c r="F5128" i="2"/>
  <c r="H5128" i="2"/>
  <c r="F5131" i="2"/>
  <c r="H5131" i="2"/>
  <c r="F5148" i="2"/>
  <c r="H5148" i="2"/>
  <c r="F5138" i="2"/>
  <c r="H5138" i="2"/>
  <c r="F5127" i="2"/>
  <c r="H5127" i="2"/>
  <c r="F5147" i="2"/>
  <c r="H5147" i="2"/>
  <c r="F5151" i="2"/>
  <c r="H5151" i="2"/>
  <c r="F5150" i="2"/>
  <c r="H5150" i="2"/>
  <c r="F5156" i="2"/>
  <c r="H5156" i="2"/>
  <c r="F5146" i="2"/>
  <c r="H5146" i="2"/>
  <c r="F5137" i="2"/>
  <c r="H5137" i="2"/>
  <c r="F5154" i="2"/>
  <c r="H5154" i="2"/>
  <c r="F5144" i="2"/>
  <c r="H5144" i="2"/>
  <c r="F5135" i="2"/>
  <c r="H5135" i="2"/>
  <c r="F5145" i="2"/>
  <c r="H5145" i="2"/>
  <c r="F5153" i="2"/>
  <c r="H5153" i="2"/>
  <c r="F5134" i="2"/>
  <c r="H5134" i="2"/>
  <c r="F5155" i="2"/>
  <c r="H5155" i="2"/>
  <c r="F5136" i="2"/>
  <c r="H5136" i="2"/>
  <c r="F5143" i="2"/>
  <c r="H5143" i="2"/>
  <c r="F5152" i="2"/>
  <c r="H5152" i="2"/>
  <c r="F5142" i="2"/>
  <c r="H5142" i="2"/>
  <c r="F5133" i="2"/>
  <c r="H5133" i="2"/>
  <c r="A5132" i="2"/>
  <c r="A5146" i="2"/>
  <c r="A5129" i="2"/>
  <c r="A5127" i="2"/>
  <c r="A5153" i="2"/>
  <c r="A5134" i="2"/>
  <c r="A5150" i="2"/>
  <c r="A5141" i="2"/>
  <c r="A5126" i="2"/>
  <c r="A5142" i="2"/>
  <c r="A5130" i="2"/>
  <c r="A5154" i="2"/>
  <c r="A5147" i="2"/>
  <c r="A5135" i="2"/>
  <c r="A5128" i="2"/>
  <c r="A5145" i="2"/>
  <c r="A5133" i="2"/>
  <c r="A5155" i="2"/>
  <c r="A5143" i="2"/>
  <c r="A5131" i="2"/>
  <c r="A5156" i="2"/>
  <c r="A5152" i="2"/>
  <c r="A5148" i="2"/>
  <c r="A5144" i="2"/>
  <c r="A5140" i="2"/>
  <c r="A5136" i="2"/>
  <c r="F5126" i="2"/>
  <c r="G5096" i="2"/>
  <c r="G5097" i="2"/>
  <c r="G5098" i="2"/>
  <c r="G5099" i="2"/>
  <c r="G5100" i="2"/>
  <c r="G5101" i="2"/>
  <c r="G5102" i="2"/>
  <c r="G5103" i="2"/>
  <c r="G5104" i="2"/>
  <c r="G5105" i="2"/>
  <c r="G5106" i="2"/>
  <c r="G5107" i="2"/>
  <c r="G5108" i="2"/>
  <c r="G5109" i="2"/>
  <c r="G5110" i="2"/>
  <c r="G5111" i="2"/>
  <c r="G5112" i="2"/>
  <c r="G5113" i="2"/>
  <c r="G5114" i="2"/>
  <c r="G5115" i="2"/>
  <c r="A5115" i="2" s="1"/>
  <c r="G5116" i="2"/>
  <c r="A5116" i="2" s="1"/>
  <c r="G5117" i="2"/>
  <c r="G5118" i="2"/>
  <c r="A5118" i="2" s="1"/>
  <c r="G5119" i="2"/>
  <c r="G5120" i="2"/>
  <c r="G5121" i="2"/>
  <c r="G5122" i="2"/>
  <c r="G5123" i="2"/>
  <c r="G5124" i="2"/>
  <c r="G5125" i="2"/>
  <c r="G5095" i="2"/>
  <c r="F5125" i="2" l="1"/>
  <c r="H5125" i="2"/>
  <c r="F5104" i="2"/>
  <c r="H5104" i="2"/>
  <c r="F5123" i="2"/>
  <c r="H5123" i="2"/>
  <c r="F5114" i="2"/>
  <c r="H5114" i="2"/>
  <c r="F5102" i="2"/>
  <c r="H5102" i="2"/>
  <c r="F5124" i="2"/>
  <c r="H5124" i="2"/>
  <c r="F5113" i="2"/>
  <c r="H5113" i="2"/>
  <c r="F5101" i="2"/>
  <c r="H5101" i="2"/>
  <c r="F5121" i="2"/>
  <c r="H5121" i="2"/>
  <c r="F5112" i="2"/>
  <c r="H5112" i="2"/>
  <c r="F5100" i="2"/>
  <c r="H5100" i="2"/>
  <c r="F5119" i="2"/>
  <c r="H5119" i="2"/>
  <c r="F5110" i="2"/>
  <c r="H5110" i="2"/>
  <c r="F5098" i="2"/>
  <c r="H5098" i="2"/>
  <c r="F5103" i="2"/>
  <c r="H5103" i="2"/>
  <c r="F5120" i="2"/>
  <c r="H5120" i="2"/>
  <c r="F5109" i="2"/>
  <c r="H5109" i="2"/>
  <c r="F5118" i="2"/>
  <c r="H5118" i="2"/>
  <c r="F5108" i="2"/>
  <c r="H5108" i="2"/>
  <c r="F5096" i="2"/>
  <c r="H5096" i="2"/>
  <c r="F5115" i="2"/>
  <c r="H5115" i="2"/>
  <c r="F5117" i="2"/>
  <c r="H5117" i="2"/>
  <c r="F5107" i="2"/>
  <c r="H5107" i="2"/>
  <c r="F5106" i="2"/>
  <c r="H5106" i="2"/>
  <c r="F5122" i="2"/>
  <c r="H5122" i="2"/>
  <c r="F5111" i="2"/>
  <c r="H5111" i="2"/>
  <c r="F5099" i="2"/>
  <c r="H5099" i="2"/>
  <c r="F5097" i="2"/>
  <c r="H5097" i="2"/>
  <c r="F5095" i="2"/>
  <c r="H5095" i="2"/>
  <c r="F5116" i="2"/>
  <c r="H5116" i="2"/>
  <c r="F5105" i="2"/>
  <c r="H5105" i="2"/>
  <c r="A5104" i="2"/>
  <c r="A5103" i="2"/>
  <c r="A5099" i="2"/>
  <c r="A5111" i="2"/>
  <c r="A5105" i="2"/>
  <c r="A5098" i="2"/>
  <c r="A5123" i="2"/>
  <c r="A5095" i="2"/>
  <c r="A5117" i="2"/>
  <c r="A5106" i="2"/>
  <c r="A5121" i="2"/>
  <c r="A5109" i="2"/>
  <c r="A5097" i="2"/>
  <c r="A5114" i="2"/>
  <c r="A5102" i="2"/>
  <c r="A5119" i="2"/>
  <c r="A5107" i="2"/>
  <c r="A5124" i="2"/>
  <c r="A5112" i="2"/>
  <c r="A5100" i="2"/>
  <c r="A5110" i="2"/>
  <c r="A5096" i="2"/>
  <c r="A5120" i="2"/>
  <c r="A5108" i="2"/>
  <c r="A5125" i="2"/>
  <c r="A5113" i="2"/>
  <c r="A5101" i="2"/>
  <c r="A5122" i="2"/>
  <c r="G5065" i="2"/>
  <c r="G5066" i="2"/>
  <c r="G5067" i="2"/>
  <c r="G5068" i="2"/>
  <c r="A5068" i="2" s="1"/>
  <c r="G5069" i="2"/>
  <c r="G5070" i="2"/>
  <c r="G5071" i="2"/>
  <c r="G5072" i="2"/>
  <c r="G5073" i="2"/>
  <c r="G5074" i="2"/>
  <c r="G5075" i="2"/>
  <c r="G5076" i="2"/>
  <c r="G5077" i="2"/>
  <c r="G5078" i="2"/>
  <c r="G5079" i="2"/>
  <c r="G5080" i="2"/>
  <c r="G5081" i="2"/>
  <c r="G5082" i="2"/>
  <c r="G5083" i="2"/>
  <c r="G5084" i="2"/>
  <c r="G5085" i="2"/>
  <c r="G5086" i="2"/>
  <c r="G5087" i="2"/>
  <c r="G5088" i="2"/>
  <c r="G5089" i="2"/>
  <c r="G5090" i="2"/>
  <c r="G5091" i="2"/>
  <c r="G5092" i="2"/>
  <c r="G5093" i="2"/>
  <c r="G5094" i="2"/>
  <c r="G5064" i="2"/>
  <c r="F5090" i="2" l="1"/>
  <c r="H5090" i="2"/>
  <c r="F5091" i="2"/>
  <c r="H5091" i="2"/>
  <c r="F5079" i="2"/>
  <c r="H5079" i="2"/>
  <c r="F5088" i="2"/>
  <c r="H5088" i="2"/>
  <c r="F5078" i="2"/>
  <c r="H5078" i="2"/>
  <c r="F5067" i="2"/>
  <c r="H5067" i="2"/>
  <c r="F5087" i="2"/>
  <c r="H5087" i="2"/>
  <c r="F5066" i="2"/>
  <c r="H5066" i="2"/>
  <c r="F5069" i="2"/>
  <c r="H5069" i="2"/>
  <c r="F5076" i="2"/>
  <c r="H5076" i="2"/>
  <c r="F5085" i="2"/>
  <c r="H5085" i="2"/>
  <c r="F5080" i="2"/>
  <c r="H5080" i="2"/>
  <c r="F5068" i="2"/>
  <c r="H5068" i="2"/>
  <c r="F5084" i="2"/>
  <c r="H5084" i="2"/>
  <c r="F5064" i="2"/>
  <c r="H5064" i="2"/>
  <c r="F5083" i="2"/>
  <c r="H5083" i="2"/>
  <c r="F5073" i="2"/>
  <c r="H5073" i="2"/>
  <c r="F5089" i="2"/>
  <c r="H5089" i="2"/>
  <c r="F5077" i="2"/>
  <c r="H5077" i="2"/>
  <c r="A5076" i="2"/>
  <c r="F5094" i="2"/>
  <c r="H5094" i="2"/>
  <c r="F5082" i="2"/>
  <c r="H5082" i="2"/>
  <c r="F5072" i="2"/>
  <c r="H5072" i="2"/>
  <c r="F5075" i="2"/>
  <c r="H5075" i="2"/>
  <c r="F5074" i="2"/>
  <c r="H5074" i="2"/>
  <c r="F5093" i="2"/>
  <c r="H5093" i="2"/>
  <c r="F5081" i="2"/>
  <c r="H5081" i="2"/>
  <c r="F5071" i="2"/>
  <c r="H5071" i="2"/>
  <c r="F5086" i="2"/>
  <c r="H5086" i="2"/>
  <c r="F5065" i="2"/>
  <c r="H5065" i="2"/>
  <c r="F5092" i="2"/>
  <c r="H5092" i="2"/>
  <c r="A5080" i="2"/>
  <c r="F5070" i="2"/>
  <c r="H5070" i="2"/>
  <c r="A5064" i="2"/>
  <c r="A5084" i="2"/>
  <c r="A5092" i="2"/>
  <c r="A5072" i="2"/>
  <c r="A5088" i="2"/>
  <c r="A5094" i="2"/>
  <c r="A5082" i="2"/>
  <c r="A5070" i="2"/>
  <c r="A5087" i="2"/>
  <c r="A5075" i="2"/>
  <c r="A5078" i="2"/>
  <c r="A5066" i="2"/>
  <c r="A5090" i="2"/>
  <c r="A5083" i="2"/>
  <c r="A5071" i="2"/>
  <c r="A5086" i="2"/>
  <c r="A5074" i="2"/>
  <c r="A5091" i="2"/>
  <c r="A5079" i="2"/>
  <c r="A5067" i="2"/>
  <c r="A5093" i="2"/>
  <c r="A5089" i="2"/>
  <c r="A5085" i="2"/>
  <c r="A5081" i="2"/>
  <c r="A5077" i="2"/>
  <c r="A5073" i="2"/>
  <c r="A5069" i="2"/>
  <c r="A5065" i="2"/>
  <c r="G5034" i="2"/>
  <c r="G5035" i="2"/>
  <c r="A5035" i="2" s="1"/>
  <c r="G5036" i="2"/>
  <c r="G5037" i="2"/>
  <c r="G5038" i="2"/>
  <c r="G5039" i="2"/>
  <c r="G5040" i="2"/>
  <c r="G5041" i="2"/>
  <c r="G5042" i="2"/>
  <c r="G5043" i="2"/>
  <c r="G5044" i="2"/>
  <c r="G5045" i="2"/>
  <c r="G5046" i="2"/>
  <c r="A5046" i="2" s="1"/>
  <c r="G5047" i="2"/>
  <c r="G5048" i="2"/>
  <c r="G5049" i="2"/>
  <c r="G5050" i="2"/>
  <c r="G5051" i="2"/>
  <c r="G5052" i="2"/>
  <c r="G5053" i="2"/>
  <c r="G5054" i="2"/>
  <c r="G5055" i="2"/>
  <c r="G5056" i="2"/>
  <c r="G5057" i="2"/>
  <c r="G5058" i="2"/>
  <c r="G5059" i="2"/>
  <c r="G5060" i="2"/>
  <c r="G5061" i="2"/>
  <c r="G5062" i="2"/>
  <c r="G5063" i="2"/>
  <c r="G5033" i="2"/>
  <c r="H5033" i="2" s="1"/>
  <c r="F5036" i="2" l="1"/>
  <c r="H5036" i="2"/>
  <c r="F5057" i="2"/>
  <c r="H5057" i="2"/>
  <c r="F5058" i="2"/>
  <c r="H5058" i="2"/>
  <c r="F5046" i="2"/>
  <c r="H5046" i="2"/>
  <c r="F5055" i="2"/>
  <c r="H5055" i="2"/>
  <c r="F5044" i="2"/>
  <c r="H5044" i="2"/>
  <c r="F5034" i="2"/>
  <c r="H5034" i="2"/>
  <c r="F5063" i="2"/>
  <c r="H5063" i="2"/>
  <c r="F5053" i="2"/>
  <c r="H5053" i="2"/>
  <c r="F5042" i="2"/>
  <c r="H5042" i="2"/>
  <c r="F5035" i="2"/>
  <c r="H5035" i="2"/>
  <c r="F5043" i="2"/>
  <c r="H5043" i="2"/>
  <c r="F5052" i="2"/>
  <c r="H5052" i="2"/>
  <c r="F5051" i="2"/>
  <c r="H5051" i="2"/>
  <c r="F5040" i="2"/>
  <c r="H5040" i="2"/>
  <c r="F5060" i="2"/>
  <c r="H5060" i="2"/>
  <c r="F5050" i="2"/>
  <c r="H5050" i="2"/>
  <c r="F5039" i="2"/>
  <c r="H5039" i="2"/>
  <c r="A5057" i="2"/>
  <c r="F5056" i="2"/>
  <c r="H5056" i="2"/>
  <c r="F5054" i="2"/>
  <c r="H5054" i="2"/>
  <c r="F5062" i="2"/>
  <c r="H5062" i="2"/>
  <c r="F5041" i="2"/>
  <c r="H5041" i="2"/>
  <c r="F5059" i="2"/>
  <c r="H5059" i="2"/>
  <c r="F5049" i="2"/>
  <c r="H5049" i="2"/>
  <c r="F5038" i="2"/>
  <c r="H5038" i="2"/>
  <c r="F5047" i="2"/>
  <c r="H5047" i="2"/>
  <c r="F5045" i="2"/>
  <c r="H5045" i="2"/>
  <c r="F5061" i="2"/>
  <c r="H5061" i="2"/>
  <c r="A5058" i="2"/>
  <c r="F5048" i="2"/>
  <c r="H5048" i="2"/>
  <c r="F5037" i="2"/>
  <c r="H5037" i="2"/>
  <c r="A5054" i="2"/>
  <c r="A5042" i="2"/>
  <c r="A5038" i="2"/>
  <c r="A5050" i="2"/>
  <c r="A5039" i="2"/>
  <c r="A5062" i="2"/>
  <c r="A5045" i="2"/>
  <c r="A5036" i="2"/>
  <c r="A5034" i="2"/>
  <c r="A5052" i="2"/>
  <c r="A5040" i="2"/>
  <c r="A5060" i="2"/>
  <c r="A5048" i="2"/>
  <c r="A5053" i="2"/>
  <c r="A5041" i="2"/>
  <c r="A5056" i="2"/>
  <c r="A5044" i="2"/>
  <c r="A5033" i="2"/>
  <c r="A5061" i="2"/>
  <c r="A5049" i="2"/>
  <c r="A5037" i="2"/>
  <c r="A5063" i="2"/>
  <c r="A5059" i="2"/>
  <c r="A5055" i="2"/>
  <c r="A5051" i="2"/>
  <c r="A5047" i="2"/>
  <c r="A5043" i="2"/>
  <c r="F5033" i="2"/>
  <c r="G5003" i="2"/>
  <c r="G5004" i="2"/>
  <c r="G5005" i="2"/>
  <c r="G5006" i="2"/>
  <c r="G5007" i="2"/>
  <c r="G5008" i="2"/>
  <c r="G5009" i="2"/>
  <c r="G5010" i="2"/>
  <c r="G5011" i="2"/>
  <c r="G5012" i="2"/>
  <c r="A5012" i="2" s="1"/>
  <c r="G5013" i="2"/>
  <c r="G5014" i="2"/>
  <c r="G5015" i="2"/>
  <c r="G5016" i="2"/>
  <c r="G5017" i="2"/>
  <c r="G5018" i="2"/>
  <c r="G5019" i="2"/>
  <c r="G5020" i="2"/>
  <c r="A5020" i="2" s="1"/>
  <c r="G5021" i="2"/>
  <c r="G5022" i="2"/>
  <c r="G5023" i="2"/>
  <c r="G5024" i="2"/>
  <c r="G5025" i="2"/>
  <c r="G5026" i="2"/>
  <c r="G5027" i="2"/>
  <c r="G5028" i="2"/>
  <c r="G5029" i="2"/>
  <c r="G5030" i="2"/>
  <c r="G5031" i="2"/>
  <c r="G5032" i="2"/>
  <c r="G5002" i="2"/>
  <c r="H5002" i="2" s="1"/>
  <c r="F5008" i="2" l="1"/>
  <c r="H5008" i="2"/>
  <c r="F5018" i="2"/>
  <c r="H5018" i="2"/>
  <c r="F5005" i="2"/>
  <c r="H5005" i="2"/>
  <c r="F5026" i="2"/>
  <c r="H5026" i="2"/>
  <c r="F5004" i="2"/>
  <c r="H5004" i="2"/>
  <c r="F5019" i="2"/>
  <c r="H5019" i="2"/>
  <c r="F5025" i="2"/>
  <c r="H5025" i="2"/>
  <c r="F5014" i="2"/>
  <c r="H5014" i="2"/>
  <c r="F5003" i="2"/>
  <c r="H5003" i="2"/>
  <c r="F5030" i="2"/>
  <c r="H5030" i="2"/>
  <c r="F5007" i="2"/>
  <c r="H5007" i="2"/>
  <c r="F5027" i="2"/>
  <c r="H5027" i="2"/>
  <c r="F5015" i="2"/>
  <c r="H5015" i="2"/>
  <c r="F5024" i="2"/>
  <c r="H5024" i="2"/>
  <c r="F5013" i="2"/>
  <c r="H5013" i="2"/>
  <c r="F5023" i="2"/>
  <c r="H5023" i="2"/>
  <c r="F5022" i="2"/>
  <c r="H5022" i="2"/>
  <c r="F5012" i="2"/>
  <c r="H5012" i="2"/>
  <c r="F5029" i="2"/>
  <c r="H5029" i="2"/>
  <c r="F5017" i="2"/>
  <c r="H5017" i="2"/>
  <c r="F5021" i="2"/>
  <c r="H5021" i="2"/>
  <c r="F5011" i="2"/>
  <c r="H5011" i="2"/>
  <c r="F5006" i="2"/>
  <c r="H5006" i="2"/>
  <c r="F5032" i="2"/>
  <c r="H5032" i="2"/>
  <c r="F5010" i="2"/>
  <c r="H5010" i="2"/>
  <c r="F5028" i="2"/>
  <c r="H5028" i="2"/>
  <c r="F5016" i="2"/>
  <c r="H5016" i="2"/>
  <c r="F5031" i="2"/>
  <c r="H5031" i="2"/>
  <c r="F5020" i="2"/>
  <c r="H5020" i="2"/>
  <c r="F5009" i="2"/>
  <c r="H5009" i="2"/>
  <c r="A5031" i="2"/>
  <c r="A5004" i="2"/>
  <c r="A5011" i="2"/>
  <c r="A5028" i="2"/>
  <c r="A5026" i="2"/>
  <c r="A5024" i="2"/>
  <c r="A5016" i="2"/>
  <c r="A5014" i="2"/>
  <c r="A5023" i="2"/>
  <c r="A5008" i="2"/>
  <c r="A5032" i="2"/>
  <c r="A5030" i="2"/>
  <c r="A5018" i="2"/>
  <c r="A5006" i="2"/>
  <c r="A5019" i="2"/>
  <c r="A5007" i="2"/>
  <c r="A5022" i="2"/>
  <c r="A5010" i="2"/>
  <c r="A5027" i="2"/>
  <c r="A5015" i="2"/>
  <c r="A5003" i="2"/>
  <c r="A5002" i="2"/>
  <c r="A5029" i="2"/>
  <c r="A5025" i="2"/>
  <c r="A5021" i="2"/>
  <c r="A5017" i="2"/>
  <c r="A5013" i="2"/>
  <c r="A5009" i="2"/>
  <c r="A5005" i="2"/>
  <c r="F5002" i="2"/>
  <c r="G4972" i="2"/>
  <c r="A4972" i="2" s="1"/>
  <c r="G4973" i="2"/>
  <c r="A4973" i="2" s="1"/>
  <c r="G4974" i="2"/>
  <c r="G4975" i="2"/>
  <c r="G4976" i="2"/>
  <c r="G4977" i="2"/>
  <c r="G4978" i="2"/>
  <c r="G4979" i="2"/>
  <c r="G4980" i="2"/>
  <c r="G4981" i="2"/>
  <c r="G4982" i="2"/>
  <c r="G4983" i="2"/>
  <c r="A4983" i="2" s="1"/>
  <c r="G4984" i="2"/>
  <c r="G4985" i="2"/>
  <c r="G4986" i="2"/>
  <c r="G4987" i="2"/>
  <c r="G4988" i="2"/>
  <c r="G4989" i="2"/>
  <c r="G4990" i="2"/>
  <c r="A4990" i="2" s="1"/>
  <c r="G4991" i="2"/>
  <c r="G4992" i="2"/>
  <c r="G4993" i="2"/>
  <c r="G4994" i="2"/>
  <c r="A4994" i="2" s="1"/>
  <c r="G4995" i="2"/>
  <c r="G4996" i="2"/>
  <c r="G4997" i="2"/>
  <c r="G4998" i="2"/>
  <c r="G4999" i="2"/>
  <c r="G5000" i="2"/>
  <c r="A5000" i="2" s="1"/>
  <c r="G5001" i="2"/>
  <c r="G4971" i="2"/>
  <c r="H4971" i="2" s="1"/>
  <c r="F4996" i="2" l="1"/>
  <c r="H4996" i="2"/>
  <c r="F4984" i="2"/>
  <c r="H4984" i="2"/>
  <c r="F4975" i="2"/>
  <c r="H4975" i="2"/>
  <c r="F4985" i="2"/>
  <c r="H4985" i="2"/>
  <c r="F4994" i="2"/>
  <c r="H4994" i="2"/>
  <c r="F4993" i="2"/>
  <c r="H4993" i="2"/>
  <c r="F4983" i="2"/>
  <c r="H4983" i="2"/>
  <c r="F5001" i="2"/>
  <c r="H5001" i="2"/>
  <c r="F4991" i="2"/>
  <c r="H4991" i="2"/>
  <c r="F4981" i="2"/>
  <c r="H4981" i="2"/>
  <c r="F4974" i="2"/>
  <c r="H4974" i="2"/>
  <c r="F4972" i="2"/>
  <c r="H4972" i="2"/>
  <c r="F5000" i="2"/>
  <c r="H5000" i="2"/>
  <c r="F4990" i="2"/>
  <c r="H4990" i="2"/>
  <c r="F4979" i="2"/>
  <c r="H4979" i="2"/>
  <c r="F4973" i="2"/>
  <c r="H4973" i="2"/>
  <c r="F4992" i="2"/>
  <c r="H4992" i="2"/>
  <c r="F4999" i="2"/>
  <c r="H4999" i="2"/>
  <c r="F4978" i="2"/>
  <c r="H4978" i="2"/>
  <c r="F4986" i="2"/>
  <c r="H4986" i="2"/>
  <c r="F4995" i="2"/>
  <c r="H4995" i="2"/>
  <c r="F4982" i="2"/>
  <c r="H4982" i="2"/>
  <c r="F4980" i="2"/>
  <c r="H4980" i="2"/>
  <c r="F4989" i="2"/>
  <c r="H4989" i="2"/>
  <c r="F4998" i="2"/>
  <c r="H4998" i="2"/>
  <c r="F4988" i="2"/>
  <c r="H4988" i="2"/>
  <c r="F4977" i="2"/>
  <c r="H4977" i="2"/>
  <c r="F4997" i="2"/>
  <c r="H4997" i="2"/>
  <c r="F4987" i="2"/>
  <c r="H4987" i="2"/>
  <c r="F4976" i="2"/>
  <c r="H4976" i="2"/>
  <c r="A4979" i="2"/>
  <c r="A4988" i="2"/>
  <c r="A4982" i="2"/>
  <c r="A4978" i="2"/>
  <c r="A4989" i="2"/>
  <c r="A4996" i="2"/>
  <c r="A4985" i="2"/>
  <c r="A4976" i="2"/>
  <c r="A4977" i="2"/>
  <c r="A4995" i="2"/>
  <c r="A4984" i="2"/>
  <c r="A4991" i="2"/>
  <c r="A4981" i="2"/>
  <c r="A4998" i="2"/>
  <c r="A4986" i="2"/>
  <c r="A4974" i="2"/>
  <c r="A4999" i="2"/>
  <c r="A4987" i="2"/>
  <c r="A4975" i="2"/>
  <c r="A4971" i="2"/>
  <c r="A4992" i="2"/>
  <c r="A4980" i="2"/>
  <c r="A5001" i="2"/>
  <c r="A4997" i="2"/>
  <c r="A4993" i="2"/>
  <c r="F4971" i="2"/>
  <c r="G4941" i="2"/>
  <c r="A4941" i="2" s="1"/>
  <c r="G4942" i="2"/>
  <c r="G4943" i="2"/>
  <c r="G4944" i="2"/>
  <c r="G4945" i="2"/>
  <c r="G4946" i="2"/>
  <c r="G4947" i="2"/>
  <c r="G4948" i="2"/>
  <c r="G4949" i="2"/>
  <c r="G4950" i="2"/>
  <c r="G4951" i="2"/>
  <c r="G4952" i="2"/>
  <c r="G4953" i="2"/>
  <c r="G4954" i="2"/>
  <c r="G4955" i="2"/>
  <c r="G4956" i="2"/>
  <c r="G4957" i="2"/>
  <c r="G4958" i="2"/>
  <c r="G4959" i="2"/>
  <c r="G4960" i="2"/>
  <c r="G4961" i="2"/>
  <c r="G4962" i="2"/>
  <c r="G4963" i="2"/>
  <c r="G4964" i="2"/>
  <c r="G4965" i="2"/>
  <c r="G4966" i="2"/>
  <c r="G4967" i="2"/>
  <c r="G4968" i="2"/>
  <c r="G4969" i="2"/>
  <c r="G4970" i="2"/>
  <c r="G4940" i="2"/>
  <c r="H4940" i="2" s="1"/>
  <c r="F4948" i="2" l="1"/>
  <c r="H4948" i="2"/>
  <c r="F4970" i="2"/>
  <c r="H4970" i="2"/>
  <c r="F4962" i="2"/>
  <c r="H4962" i="2"/>
  <c r="F4961" i="2"/>
  <c r="H4961" i="2"/>
  <c r="F4949" i="2"/>
  <c r="H4949" i="2"/>
  <c r="F4959" i="2"/>
  <c r="H4959" i="2"/>
  <c r="F4947" i="2"/>
  <c r="H4947" i="2"/>
  <c r="F4969" i="2"/>
  <c r="H4969" i="2"/>
  <c r="F4957" i="2"/>
  <c r="H4957" i="2"/>
  <c r="F4945" i="2"/>
  <c r="H4945" i="2"/>
  <c r="F4956" i="2"/>
  <c r="H4956" i="2"/>
  <c r="F4958" i="2"/>
  <c r="H4958" i="2"/>
  <c r="F4968" i="2"/>
  <c r="H4968" i="2"/>
  <c r="F4944" i="2"/>
  <c r="H4944" i="2"/>
  <c r="F4967" i="2"/>
  <c r="H4967" i="2"/>
  <c r="F4955" i="2"/>
  <c r="H4955" i="2"/>
  <c r="F4943" i="2"/>
  <c r="H4943" i="2"/>
  <c r="F4946" i="2"/>
  <c r="H4946" i="2"/>
  <c r="F4960" i="2"/>
  <c r="H4960" i="2"/>
  <c r="F4942" i="2"/>
  <c r="H4942" i="2"/>
  <c r="F4965" i="2"/>
  <c r="H4965" i="2"/>
  <c r="F4953" i="2"/>
  <c r="H4953" i="2"/>
  <c r="F4964" i="2"/>
  <c r="H4964" i="2"/>
  <c r="F4941" i="2"/>
  <c r="H4941" i="2"/>
  <c r="F4966" i="2"/>
  <c r="H4966" i="2"/>
  <c r="F4954" i="2"/>
  <c r="H4954" i="2"/>
  <c r="F4952" i="2"/>
  <c r="H4952" i="2"/>
  <c r="F4963" i="2"/>
  <c r="H4963" i="2"/>
  <c r="F4951" i="2"/>
  <c r="H4951" i="2"/>
  <c r="F4950" i="2"/>
  <c r="H4950" i="2"/>
  <c r="A4970" i="2"/>
  <c r="A4969" i="2"/>
  <c r="A4965" i="2"/>
  <c r="A4961" i="2"/>
  <c r="A4957" i="2"/>
  <c r="A4955" i="2"/>
  <c r="A4953" i="2"/>
  <c r="A4951" i="2"/>
  <c r="A4949" i="2"/>
  <c r="A4947" i="2"/>
  <c r="A4945" i="2"/>
  <c r="A4943" i="2"/>
  <c r="A4968" i="2"/>
  <c r="A4966" i="2"/>
  <c r="A4964" i="2"/>
  <c r="A4962" i="2"/>
  <c r="A4960" i="2"/>
  <c r="A4958" i="2"/>
  <c r="A4956" i="2"/>
  <c r="A4954" i="2"/>
  <c r="A4952" i="2"/>
  <c r="A4950" i="2"/>
  <c r="A4948" i="2"/>
  <c r="A4946" i="2"/>
  <c r="A4944" i="2"/>
  <c r="A4942" i="2"/>
  <c r="A4940" i="2"/>
  <c r="A4967" i="2"/>
  <c r="A4963" i="2"/>
  <c r="A4959" i="2"/>
  <c r="F4940" i="2"/>
  <c r="G4910" i="2"/>
  <c r="G4911" i="2"/>
  <c r="G4912" i="2"/>
  <c r="G4913" i="2"/>
  <c r="G4914" i="2"/>
  <c r="G4915" i="2"/>
  <c r="G4916" i="2"/>
  <c r="G4917" i="2"/>
  <c r="G4918" i="2"/>
  <c r="G4919" i="2"/>
  <c r="G4920" i="2"/>
  <c r="G4921" i="2"/>
  <c r="G4922" i="2"/>
  <c r="G4923" i="2"/>
  <c r="G4924" i="2"/>
  <c r="G4925" i="2"/>
  <c r="G4926" i="2"/>
  <c r="G4927" i="2"/>
  <c r="G4928" i="2"/>
  <c r="G4929" i="2"/>
  <c r="G4930" i="2"/>
  <c r="G4931" i="2"/>
  <c r="G4932" i="2"/>
  <c r="G4933" i="2"/>
  <c r="G4934" i="2"/>
  <c r="G4935" i="2"/>
  <c r="G4936" i="2"/>
  <c r="H4936" i="2" s="1"/>
  <c r="G4937" i="2"/>
  <c r="H4937" i="2" s="1"/>
  <c r="G4938" i="2"/>
  <c r="H4938" i="2" s="1"/>
  <c r="G4939" i="2"/>
  <c r="H4939" i="2" s="1"/>
  <c r="G4909" i="2"/>
  <c r="H4909" i="2" s="1"/>
  <c r="F4935" i="2" l="1"/>
  <c r="H4935" i="2"/>
  <c r="F4927" i="2"/>
  <c r="H4927" i="2"/>
  <c r="F4915" i="2"/>
  <c r="H4915" i="2"/>
  <c r="F4926" i="2"/>
  <c r="H4926" i="2"/>
  <c r="F4914" i="2"/>
  <c r="H4914" i="2"/>
  <c r="F4924" i="2"/>
  <c r="H4924" i="2"/>
  <c r="F4912" i="2"/>
  <c r="H4912" i="2"/>
  <c r="F4911" i="2"/>
  <c r="H4911" i="2"/>
  <c r="F4925" i="2"/>
  <c r="H4925" i="2"/>
  <c r="F4934" i="2"/>
  <c r="H4934" i="2"/>
  <c r="F4922" i="2"/>
  <c r="H4922" i="2"/>
  <c r="F4910" i="2"/>
  <c r="H4910" i="2"/>
  <c r="F4932" i="2"/>
  <c r="H4932" i="2"/>
  <c r="F4920" i="2"/>
  <c r="H4920" i="2"/>
  <c r="F4913" i="2"/>
  <c r="H4913" i="2"/>
  <c r="F4923" i="2"/>
  <c r="H4923" i="2"/>
  <c r="F4919" i="2"/>
  <c r="H4919" i="2"/>
  <c r="F4930" i="2"/>
  <c r="H4930" i="2"/>
  <c r="F4918" i="2"/>
  <c r="H4918" i="2"/>
  <c r="F4921" i="2"/>
  <c r="H4921" i="2"/>
  <c r="F4917" i="2"/>
  <c r="H4917" i="2"/>
  <c r="F4933" i="2"/>
  <c r="H4933" i="2"/>
  <c r="F4931" i="2"/>
  <c r="H4931" i="2"/>
  <c r="F4929" i="2"/>
  <c r="H4929" i="2"/>
  <c r="F4928" i="2"/>
  <c r="H4928" i="2"/>
  <c r="F4916" i="2"/>
  <c r="H4916" i="2"/>
  <c r="A4909" i="2"/>
  <c r="A4937" i="2"/>
  <c r="A4933" i="2"/>
  <c r="A4929" i="2"/>
  <c r="A4927" i="2"/>
  <c r="A4925" i="2"/>
  <c r="A4923" i="2"/>
  <c r="A4921" i="2"/>
  <c r="A4919" i="2"/>
  <c r="A4917" i="2"/>
  <c r="A4915" i="2"/>
  <c r="A4913" i="2"/>
  <c r="A4911" i="2"/>
  <c r="A4938" i="2"/>
  <c r="A4934" i="2"/>
  <c r="A4932" i="2"/>
  <c r="A4930" i="2"/>
  <c r="A4928" i="2"/>
  <c r="A4926" i="2"/>
  <c r="A4924" i="2"/>
  <c r="A4922" i="2"/>
  <c r="A4920" i="2"/>
  <c r="A4918" i="2"/>
  <c r="A4916" i="2"/>
  <c r="A4914" i="2"/>
  <c r="A4912" i="2"/>
  <c r="A4910" i="2"/>
  <c r="F4938" i="2"/>
  <c r="F4937" i="2"/>
  <c r="F4936" i="2"/>
  <c r="A4936" i="2"/>
  <c r="F4939" i="2"/>
  <c r="A4939" i="2"/>
  <c r="A4935" i="2"/>
  <c r="A4931" i="2"/>
  <c r="F4909" i="2"/>
  <c r="G4879" i="2"/>
  <c r="A4879" i="2" s="1"/>
  <c r="G4880" i="2"/>
  <c r="G4881" i="2"/>
  <c r="G4882" i="2"/>
  <c r="A4882" i="2" s="1"/>
  <c r="G4883" i="2"/>
  <c r="G4884" i="2"/>
  <c r="G4885" i="2"/>
  <c r="G4886" i="2"/>
  <c r="G4887" i="2"/>
  <c r="A4887" i="2" s="1"/>
  <c r="G4888" i="2"/>
  <c r="G4889" i="2"/>
  <c r="G4890" i="2"/>
  <c r="G4891" i="2"/>
  <c r="A4891" i="2" s="1"/>
  <c r="G4892" i="2"/>
  <c r="G4893" i="2"/>
  <c r="G4894" i="2"/>
  <c r="G4895" i="2"/>
  <c r="G4896" i="2"/>
  <c r="A4896" i="2" s="1"/>
  <c r="G4897" i="2"/>
  <c r="G4898" i="2"/>
  <c r="G4899" i="2"/>
  <c r="A4899" i="2" s="1"/>
  <c r="G4900" i="2"/>
  <c r="G4901" i="2"/>
  <c r="G4902" i="2"/>
  <c r="A4902" i="2" s="1"/>
  <c r="G4903" i="2"/>
  <c r="G4904" i="2"/>
  <c r="G4905" i="2"/>
  <c r="G4906" i="2"/>
  <c r="G4907" i="2"/>
  <c r="G4908" i="2"/>
  <c r="G4878" i="2"/>
  <c r="H4878" i="2" s="1"/>
  <c r="F4903" i="2" l="1"/>
  <c r="H4903" i="2"/>
  <c r="F4884" i="2"/>
  <c r="H4884" i="2"/>
  <c r="F4883" i="2"/>
  <c r="H4883" i="2"/>
  <c r="F4892" i="2"/>
  <c r="H4892" i="2"/>
  <c r="F4900" i="2"/>
  <c r="H4900" i="2"/>
  <c r="F4891" i="2"/>
  <c r="H4891" i="2"/>
  <c r="F4881" i="2"/>
  <c r="H4881" i="2"/>
  <c r="F4894" i="2"/>
  <c r="H4894" i="2"/>
  <c r="F4890" i="2"/>
  <c r="H4890" i="2"/>
  <c r="F4880" i="2"/>
  <c r="H4880" i="2"/>
  <c r="F4908" i="2"/>
  <c r="H4908" i="2"/>
  <c r="F4899" i="2"/>
  <c r="H4899" i="2"/>
  <c r="F4889" i="2"/>
  <c r="H4889" i="2"/>
  <c r="F4907" i="2"/>
  <c r="H4907" i="2"/>
  <c r="F4879" i="2"/>
  <c r="H4879" i="2"/>
  <c r="F4902" i="2"/>
  <c r="H4902" i="2"/>
  <c r="F4901" i="2"/>
  <c r="H4901" i="2"/>
  <c r="F4898" i="2"/>
  <c r="H4898" i="2"/>
  <c r="F4888" i="2"/>
  <c r="H4888" i="2"/>
  <c r="F4906" i="2"/>
  <c r="H4906" i="2"/>
  <c r="F4897" i="2"/>
  <c r="H4897" i="2"/>
  <c r="F4905" i="2"/>
  <c r="H4905" i="2"/>
  <c r="F4887" i="2"/>
  <c r="H4887" i="2"/>
  <c r="F4882" i="2"/>
  <c r="H4882" i="2"/>
  <c r="F4904" i="2"/>
  <c r="H4904" i="2"/>
  <c r="F4896" i="2"/>
  <c r="H4896" i="2"/>
  <c r="F4886" i="2"/>
  <c r="H4886" i="2"/>
  <c r="F4893" i="2"/>
  <c r="H4893" i="2"/>
  <c r="A4903" i="2"/>
  <c r="F4895" i="2"/>
  <c r="H4895" i="2"/>
  <c r="F4885" i="2"/>
  <c r="H4885" i="2"/>
  <c r="A4890" i="2"/>
  <c r="A4908" i="2"/>
  <c r="A4895" i="2"/>
  <c r="A4894" i="2"/>
  <c r="A4883" i="2"/>
  <c r="A4888" i="2"/>
  <c r="A4906" i="2"/>
  <c r="A4884" i="2"/>
  <c r="A4900" i="2"/>
  <c r="A4907" i="2"/>
  <c r="A4898" i="2"/>
  <c r="A4886" i="2"/>
  <c r="A4904" i="2"/>
  <c r="A4892" i="2"/>
  <c r="A4880" i="2"/>
  <c r="A4878" i="2"/>
  <c r="A4905" i="2"/>
  <c r="A4901" i="2"/>
  <c r="A4897" i="2"/>
  <c r="A4893" i="2"/>
  <c r="A4889" i="2"/>
  <c r="A4885" i="2"/>
  <c r="A4881" i="2"/>
  <c r="F4878" i="2"/>
  <c r="G4848" i="2"/>
  <c r="A4848" i="2" s="1"/>
  <c r="G4849" i="2"/>
  <c r="A4849" i="2" s="1"/>
  <c r="G4850" i="2"/>
  <c r="G4851" i="2"/>
  <c r="G4852" i="2"/>
  <c r="G4853" i="2"/>
  <c r="G4854" i="2"/>
  <c r="G4855" i="2"/>
  <c r="G4856" i="2"/>
  <c r="G4857" i="2"/>
  <c r="G4858" i="2"/>
  <c r="G4859" i="2"/>
  <c r="G4860" i="2"/>
  <c r="A4860" i="2" s="1"/>
  <c r="G4861" i="2"/>
  <c r="G4862" i="2"/>
  <c r="G4863" i="2"/>
  <c r="G4864" i="2"/>
  <c r="G4865" i="2"/>
  <c r="G4866" i="2"/>
  <c r="G4867" i="2"/>
  <c r="G4868" i="2"/>
  <c r="G4869" i="2"/>
  <c r="G4870" i="2"/>
  <c r="G4871" i="2"/>
  <c r="A4871" i="2" s="1"/>
  <c r="G4872" i="2"/>
  <c r="G4873" i="2"/>
  <c r="G4874" i="2"/>
  <c r="G4875" i="2"/>
  <c r="G4876" i="2"/>
  <c r="G4877" i="2"/>
  <c r="G4847" i="2"/>
  <c r="H4847" i="2" s="1"/>
  <c r="A4847" i="2" l="1"/>
  <c r="F4868" i="2"/>
  <c r="H4868" i="2"/>
  <c r="F4877" i="2"/>
  <c r="H4877" i="2"/>
  <c r="F4854" i="2"/>
  <c r="H4854" i="2"/>
  <c r="F4855" i="2"/>
  <c r="H4855" i="2"/>
  <c r="F4853" i="2"/>
  <c r="H4853" i="2"/>
  <c r="F4876" i="2"/>
  <c r="H4876" i="2"/>
  <c r="F4864" i="2"/>
  <c r="H4864" i="2"/>
  <c r="F4874" i="2"/>
  <c r="H4874" i="2"/>
  <c r="F4863" i="2"/>
  <c r="H4863" i="2"/>
  <c r="F4852" i="2"/>
  <c r="H4852" i="2"/>
  <c r="F4856" i="2"/>
  <c r="H4856" i="2"/>
  <c r="F4873" i="2"/>
  <c r="H4873" i="2"/>
  <c r="F4872" i="2"/>
  <c r="H4872" i="2"/>
  <c r="F4861" i="2"/>
  <c r="H4861" i="2"/>
  <c r="F4850" i="2"/>
  <c r="H4850" i="2"/>
  <c r="F4867" i="2"/>
  <c r="H4867" i="2"/>
  <c r="F4857" i="2"/>
  <c r="H4857" i="2"/>
  <c r="F4866" i="2"/>
  <c r="H4866" i="2"/>
  <c r="F4865" i="2"/>
  <c r="H4865" i="2"/>
  <c r="F4851" i="2"/>
  <c r="H4851" i="2"/>
  <c r="F4871" i="2"/>
  <c r="H4871" i="2"/>
  <c r="F4860" i="2"/>
  <c r="H4860" i="2"/>
  <c r="F4849" i="2"/>
  <c r="H4849" i="2"/>
  <c r="F4875" i="2"/>
  <c r="H4875" i="2"/>
  <c r="F4859" i="2"/>
  <c r="H4859" i="2"/>
  <c r="F4862" i="2"/>
  <c r="H4862" i="2"/>
  <c r="F4870" i="2"/>
  <c r="H4870" i="2"/>
  <c r="F4869" i="2"/>
  <c r="H4869" i="2"/>
  <c r="F4858" i="2"/>
  <c r="H4858" i="2"/>
  <c r="F4848" i="2"/>
  <c r="H4848" i="2"/>
  <c r="A4858" i="2"/>
  <c r="A4859" i="2"/>
  <c r="A4872" i="2"/>
  <c r="A4864" i="2"/>
  <c r="A4868" i="2"/>
  <c r="A4875" i="2"/>
  <c r="A4855" i="2"/>
  <c r="A4853" i="2"/>
  <c r="A4851" i="2"/>
  <c r="A4876" i="2"/>
  <c r="A4856" i="2"/>
  <c r="A4867" i="2"/>
  <c r="A4863" i="2"/>
  <c r="A4852" i="2"/>
  <c r="A4870" i="2"/>
  <c r="A4866" i="2"/>
  <c r="A4854" i="2"/>
  <c r="A4857" i="2"/>
  <c r="A4874" i="2"/>
  <c r="A4862" i="2"/>
  <c r="A4850" i="2"/>
  <c r="A4877" i="2"/>
  <c r="A4873" i="2"/>
  <c r="A4869" i="2"/>
  <c r="A4865" i="2"/>
  <c r="A4861" i="2"/>
  <c r="F4847" i="2"/>
  <c r="G4817" i="2"/>
  <c r="A4817" i="2" s="1"/>
  <c r="G4818" i="2"/>
  <c r="G4819" i="2"/>
  <c r="G4820" i="2"/>
  <c r="G4821" i="2"/>
  <c r="A4821" i="2" s="1"/>
  <c r="G4822" i="2"/>
  <c r="G4823" i="2"/>
  <c r="G4824" i="2"/>
  <c r="G4825" i="2"/>
  <c r="G4826" i="2"/>
  <c r="G4827" i="2"/>
  <c r="G4828" i="2"/>
  <c r="G4829" i="2"/>
  <c r="G4830" i="2"/>
  <c r="G4831" i="2"/>
  <c r="G4832" i="2"/>
  <c r="G4833" i="2"/>
  <c r="G4834" i="2"/>
  <c r="G4835" i="2"/>
  <c r="G4836" i="2"/>
  <c r="G4837" i="2"/>
  <c r="A4837" i="2" s="1"/>
  <c r="G4838" i="2"/>
  <c r="G4839" i="2"/>
  <c r="G4840" i="2"/>
  <c r="G4841" i="2"/>
  <c r="G4842" i="2"/>
  <c r="G4843" i="2"/>
  <c r="G4844" i="2"/>
  <c r="G4845" i="2"/>
  <c r="G4846" i="2"/>
  <c r="G4816" i="2"/>
  <c r="H4816" i="2" s="1"/>
  <c r="A4816" i="2" l="1"/>
  <c r="F4842" i="2"/>
  <c r="H4842" i="2"/>
  <c r="F4836" i="2"/>
  <c r="H4836" i="2"/>
  <c r="F4824" i="2"/>
  <c r="H4824" i="2"/>
  <c r="F4845" i="2"/>
  <c r="H4845" i="2"/>
  <c r="F4835" i="2"/>
  <c r="H4835" i="2"/>
  <c r="F4823" i="2"/>
  <c r="H4823" i="2"/>
  <c r="F4843" i="2"/>
  <c r="H4843" i="2"/>
  <c r="F4833" i="2"/>
  <c r="H4833" i="2"/>
  <c r="F4832" i="2"/>
  <c r="H4832" i="2"/>
  <c r="F4821" i="2"/>
  <c r="H4821" i="2"/>
  <c r="F4841" i="2"/>
  <c r="H4841" i="2"/>
  <c r="F4831" i="2"/>
  <c r="H4831" i="2"/>
  <c r="F4820" i="2"/>
  <c r="H4820" i="2"/>
  <c r="F4830" i="2"/>
  <c r="H4830" i="2"/>
  <c r="F4819" i="2"/>
  <c r="H4819" i="2"/>
  <c r="F4844" i="2"/>
  <c r="H4844" i="2"/>
  <c r="F4839" i="2"/>
  <c r="H4839" i="2"/>
  <c r="F4829" i="2"/>
  <c r="H4829" i="2"/>
  <c r="F4818" i="2"/>
  <c r="H4818" i="2"/>
  <c r="F4834" i="2"/>
  <c r="H4834" i="2"/>
  <c r="F4822" i="2"/>
  <c r="H4822" i="2"/>
  <c r="F4838" i="2"/>
  <c r="H4838" i="2"/>
  <c r="F4828" i="2"/>
  <c r="H4828" i="2"/>
  <c r="F4827" i="2"/>
  <c r="H4827" i="2"/>
  <c r="F4817" i="2"/>
  <c r="H4817" i="2"/>
  <c r="F4840" i="2"/>
  <c r="H4840" i="2"/>
  <c r="F4837" i="2"/>
  <c r="H4837" i="2"/>
  <c r="F4826" i="2"/>
  <c r="H4826" i="2"/>
  <c r="A4836" i="2"/>
  <c r="F4825" i="2"/>
  <c r="H4825" i="2"/>
  <c r="F4846" i="2"/>
  <c r="H4846" i="2"/>
  <c r="A4845" i="2"/>
  <c r="A4820" i="2"/>
  <c r="A4833" i="2"/>
  <c r="A4829" i="2"/>
  <c r="A4825" i="2"/>
  <c r="A4844" i="2"/>
  <c r="A4823" i="2"/>
  <c r="A4832" i="2"/>
  <c r="A4841" i="2"/>
  <c r="A4824" i="2"/>
  <c r="A4835" i="2"/>
  <c r="A4839" i="2"/>
  <c r="A4827" i="2"/>
  <c r="A4840" i="2"/>
  <c r="A4828" i="2"/>
  <c r="A4843" i="2"/>
  <c r="A4831" i="2"/>
  <c r="A4819" i="2"/>
  <c r="A4846" i="2"/>
  <c r="A4842" i="2"/>
  <c r="A4838" i="2"/>
  <c r="A4834" i="2"/>
  <c r="A4830" i="2"/>
  <c r="A4826" i="2"/>
  <c r="A4822" i="2"/>
  <c r="A4818" i="2"/>
  <c r="F4816" i="2"/>
  <c r="G4786" i="2"/>
  <c r="G4787" i="2"/>
  <c r="G4788" i="2"/>
  <c r="G4789" i="2"/>
  <c r="G4790" i="2"/>
  <c r="G4791" i="2"/>
  <c r="G4792" i="2"/>
  <c r="G4793" i="2"/>
  <c r="G4794" i="2"/>
  <c r="G4795" i="2"/>
  <c r="G4796" i="2"/>
  <c r="G4797" i="2"/>
  <c r="G4798" i="2"/>
  <c r="G4799" i="2"/>
  <c r="G4800" i="2"/>
  <c r="G4801" i="2"/>
  <c r="G4802" i="2"/>
  <c r="G4803" i="2"/>
  <c r="G4804" i="2"/>
  <c r="G4805" i="2"/>
  <c r="G4806" i="2"/>
  <c r="G4807" i="2"/>
  <c r="G4808" i="2"/>
  <c r="G4809" i="2"/>
  <c r="G4810" i="2"/>
  <c r="G4811" i="2"/>
  <c r="G4812" i="2"/>
  <c r="G4813" i="2"/>
  <c r="G4814" i="2"/>
  <c r="G4815" i="2"/>
  <c r="G4785" i="2"/>
  <c r="H4785" i="2" s="1"/>
  <c r="A4785" i="2" l="1"/>
  <c r="F4793" i="2"/>
  <c r="H4793" i="2"/>
  <c r="F4803" i="2"/>
  <c r="H4803" i="2"/>
  <c r="F4791" i="2"/>
  <c r="H4791" i="2"/>
  <c r="F4805" i="2"/>
  <c r="H4805" i="2"/>
  <c r="F4802" i="2"/>
  <c r="H4802" i="2"/>
  <c r="F4814" i="2"/>
  <c r="H4814" i="2"/>
  <c r="F4790" i="2"/>
  <c r="H4790" i="2"/>
  <c r="F4813" i="2"/>
  <c r="H4813" i="2"/>
  <c r="F4801" i="2"/>
  <c r="H4801" i="2"/>
  <c r="F4789" i="2"/>
  <c r="H4789" i="2"/>
  <c r="F4806" i="2"/>
  <c r="H4806" i="2"/>
  <c r="F4804" i="2"/>
  <c r="H4804" i="2"/>
  <c r="F4812" i="2"/>
  <c r="H4812" i="2"/>
  <c r="F4811" i="2"/>
  <c r="H4811" i="2"/>
  <c r="F4799" i="2"/>
  <c r="H4799" i="2"/>
  <c r="F4787" i="2"/>
  <c r="H4787" i="2"/>
  <c r="F4810" i="2"/>
  <c r="H4810" i="2"/>
  <c r="F4792" i="2"/>
  <c r="H4792" i="2"/>
  <c r="F4815" i="2"/>
  <c r="H4815" i="2"/>
  <c r="F4788" i="2"/>
  <c r="H4788" i="2"/>
  <c r="F4809" i="2"/>
  <c r="H4809" i="2"/>
  <c r="F4797" i="2"/>
  <c r="H4797" i="2"/>
  <c r="F4786" i="2"/>
  <c r="H4786" i="2"/>
  <c r="F4808" i="2"/>
  <c r="H4808" i="2"/>
  <c r="F4800" i="2"/>
  <c r="H4800" i="2"/>
  <c r="F4798" i="2"/>
  <c r="H4798" i="2"/>
  <c r="F4796" i="2"/>
  <c r="H4796" i="2"/>
  <c r="F4807" i="2"/>
  <c r="H4807" i="2"/>
  <c r="F4795" i="2"/>
  <c r="H4795" i="2"/>
  <c r="F4794" i="2"/>
  <c r="H4794" i="2"/>
  <c r="A4794" i="2"/>
  <c r="A4790" i="2"/>
  <c r="A4802" i="2"/>
  <c r="A4814" i="2"/>
  <c r="A4812" i="2"/>
  <c r="A4797" i="2"/>
  <c r="A4808" i="2"/>
  <c r="A4809" i="2"/>
  <c r="A4796" i="2"/>
  <c r="A4789" i="2"/>
  <c r="A4813" i="2"/>
  <c r="A4801" i="2"/>
  <c r="A4806" i="2"/>
  <c r="A4804" i="2"/>
  <c r="A4792" i="2"/>
  <c r="A4800" i="2"/>
  <c r="A4788" i="2"/>
  <c r="A4805" i="2"/>
  <c r="A4793" i="2"/>
  <c r="A4810" i="2"/>
  <c r="A4798" i="2"/>
  <c r="A4786" i="2"/>
  <c r="A4815" i="2"/>
  <c r="A4811" i="2"/>
  <c r="A4807" i="2"/>
  <c r="A4803" i="2"/>
  <c r="A4799" i="2"/>
  <c r="A4795" i="2"/>
  <c r="A4791" i="2"/>
  <c r="A4787" i="2"/>
  <c r="F4785" i="2"/>
  <c r="G4755" i="2"/>
  <c r="G4756" i="2"/>
  <c r="A4756" i="2" s="1"/>
  <c r="G4757" i="2"/>
  <c r="G4758" i="2"/>
  <c r="G4759" i="2"/>
  <c r="G4760" i="2"/>
  <c r="G4761" i="2"/>
  <c r="G4762" i="2"/>
  <c r="G4763" i="2"/>
  <c r="G4764" i="2"/>
  <c r="G4765" i="2"/>
  <c r="A4765" i="2" s="1"/>
  <c r="G4766" i="2"/>
  <c r="G4767" i="2"/>
  <c r="G4768" i="2"/>
  <c r="G4769" i="2"/>
  <c r="G4770" i="2"/>
  <c r="G4771" i="2"/>
  <c r="G4772" i="2"/>
  <c r="G4773" i="2"/>
  <c r="G4774" i="2"/>
  <c r="G4775" i="2"/>
  <c r="G4776" i="2"/>
  <c r="G4777" i="2"/>
  <c r="G4778" i="2"/>
  <c r="A4778" i="2" s="1"/>
  <c r="G4779" i="2"/>
  <c r="G4780" i="2"/>
  <c r="G4781" i="2"/>
  <c r="G4782" i="2"/>
  <c r="G4783" i="2"/>
  <c r="G4784" i="2"/>
  <c r="G4754" i="2"/>
  <c r="H4754" i="2" s="1"/>
  <c r="F4769" i="2" l="1"/>
  <c r="H4769" i="2"/>
  <c r="F4758" i="2"/>
  <c r="H4758" i="2"/>
  <c r="F4767" i="2"/>
  <c r="H4767" i="2"/>
  <c r="F4766" i="2"/>
  <c r="H4766" i="2"/>
  <c r="F4777" i="2"/>
  <c r="H4777" i="2"/>
  <c r="F4755" i="2"/>
  <c r="H4755" i="2"/>
  <c r="F4757" i="2"/>
  <c r="H4757" i="2"/>
  <c r="F4778" i="2"/>
  <c r="H4778" i="2"/>
  <c r="F4765" i="2"/>
  <c r="H4765" i="2"/>
  <c r="F4775" i="2"/>
  <c r="H4775" i="2"/>
  <c r="F4764" i="2"/>
  <c r="H4764" i="2"/>
  <c r="F4780" i="2"/>
  <c r="H4780" i="2"/>
  <c r="F4779" i="2"/>
  <c r="H4779" i="2"/>
  <c r="F4776" i="2"/>
  <c r="H4776" i="2"/>
  <c r="F4774" i="2"/>
  <c r="H4774" i="2"/>
  <c r="F4784" i="2"/>
  <c r="H4784" i="2"/>
  <c r="F4773" i="2"/>
  <c r="H4773" i="2"/>
  <c r="F4762" i="2"/>
  <c r="H4762" i="2"/>
  <c r="F4756" i="2"/>
  <c r="H4756" i="2"/>
  <c r="F4763" i="2"/>
  <c r="H4763" i="2"/>
  <c r="F4772" i="2"/>
  <c r="H4772" i="2"/>
  <c r="F4783" i="2"/>
  <c r="H4783" i="2"/>
  <c r="F4761" i="2"/>
  <c r="H4761" i="2"/>
  <c r="F4782" i="2"/>
  <c r="H4782" i="2"/>
  <c r="F4771" i="2"/>
  <c r="H4771" i="2"/>
  <c r="F4760" i="2"/>
  <c r="H4760" i="2"/>
  <c r="F4768" i="2"/>
  <c r="H4768" i="2"/>
  <c r="F4781" i="2"/>
  <c r="H4781" i="2"/>
  <c r="F4770" i="2"/>
  <c r="H4770" i="2"/>
  <c r="F4759" i="2"/>
  <c r="H4759" i="2"/>
  <c r="A4776" i="2"/>
  <c r="A4760" i="2"/>
  <c r="A4761" i="2"/>
  <c r="A4780" i="2"/>
  <c r="A4774" i="2"/>
  <c r="A4768" i="2"/>
  <c r="A4766" i="2"/>
  <c r="A4779" i="2"/>
  <c r="A4757" i="2"/>
  <c r="A4755" i="2"/>
  <c r="A4773" i="2"/>
  <c r="A4762" i="2"/>
  <c r="A4769" i="2"/>
  <c r="A4767" i="2"/>
  <c r="A4784" i="2"/>
  <c r="A4772" i="2"/>
  <c r="A4782" i="2"/>
  <c r="A4770" i="2"/>
  <c r="A4758" i="2"/>
  <c r="A4775" i="2"/>
  <c r="A4763" i="2"/>
  <c r="A4783" i="2"/>
  <c r="A4771" i="2"/>
  <c r="A4759" i="2"/>
  <c r="A4764" i="2"/>
  <c r="A4754" i="2"/>
  <c r="A4781" i="2"/>
  <c r="A4777" i="2"/>
  <c r="F4754" i="2"/>
  <c r="G4724" i="2"/>
  <c r="A4724" i="2" s="1"/>
  <c r="G4725" i="2"/>
  <c r="G4726" i="2"/>
  <c r="G4727" i="2"/>
  <c r="G4728" i="2"/>
  <c r="G4729" i="2"/>
  <c r="G4730" i="2"/>
  <c r="G4731" i="2"/>
  <c r="G4732" i="2"/>
  <c r="G4733" i="2"/>
  <c r="G4734" i="2"/>
  <c r="A4734" i="2" s="1"/>
  <c r="G4735" i="2"/>
  <c r="G4736" i="2"/>
  <c r="G4737" i="2"/>
  <c r="G4738" i="2"/>
  <c r="G4739" i="2"/>
  <c r="G4740" i="2"/>
  <c r="G4741" i="2"/>
  <c r="G4742" i="2"/>
  <c r="G4743" i="2"/>
  <c r="G4744" i="2"/>
  <c r="G4745" i="2"/>
  <c r="G4746" i="2"/>
  <c r="A4746" i="2" s="1"/>
  <c r="G4747" i="2"/>
  <c r="G4748" i="2"/>
  <c r="A4748" i="2" s="1"/>
  <c r="G4749" i="2"/>
  <c r="G4750" i="2"/>
  <c r="A4750" i="2" s="1"/>
  <c r="G4751" i="2"/>
  <c r="G4752" i="2"/>
  <c r="G4753" i="2"/>
  <c r="G4723" i="2"/>
  <c r="H4723" i="2" s="1"/>
  <c r="F4741" i="2" l="1"/>
  <c r="H4741" i="2"/>
  <c r="F4730" i="2"/>
  <c r="H4730" i="2"/>
  <c r="F4750" i="2"/>
  <c r="H4750" i="2"/>
  <c r="F4740" i="2"/>
  <c r="H4740" i="2"/>
  <c r="F4729" i="2"/>
  <c r="H4729" i="2"/>
  <c r="F4739" i="2"/>
  <c r="H4739" i="2"/>
  <c r="F4738" i="2"/>
  <c r="H4738" i="2"/>
  <c r="F4727" i="2"/>
  <c r="H4727" i="2"/>
  <c r="F4748" i="2"/>
  <c r="H4748" i="2"/>
  <c r="F4747" i="2"/>
  <c r="H4747" i="2"/>
  <c r="F4736" i="2"/>
  <c r="H4736" i="2"/>
  <c r="F4725" i="2"/>
  <c r="H4725" i="2"/>
  <c r="F4735" i="2"/>
  <c r="H4735" i="2"/>
  <c r="F4746" i="2"/>
  <c r="H4746" i="2"/>
  <c r="F4724" i="2"/>
  <c r="H4724" i="2"/>
  <c r="F4749" i="2"/>
  <c r="H4749" i="2"/>
  <c r="F4753" i="2"/>
  <c r="H4753" i="2"/>
  <c r="F4744" i="2"/>
  <c r="H4744" i="2"/>
  <c r="F4733" i="2"/>
  <c r="H4733" i="2"/>
  <c r="F4726" i="2"/>
  <c r="H4726" i="2"/>
  <c r="F4734" i="2"/>
  <c r="H4734" i="2"/>
  <c r="F4732" i="2"/>
  <c r="H4732" i="2"/>
  <c r="F4728" i="2"/>
  <c r="H4728" i="2"/>
  <c r="F4745" i="2"/>
  <c r="H4745" i="2"/>
  <c r="F4752" i="2"/>
  <c r="H4752" i="2"/>
  <c r="F4743" i="2"/>
  <c r="H4743" i="2"/>
  <c r="F4751" i="2"/>
  <c r="H4751" i="2"/>
  <c r="F4742" i="2"/>
  <c r="H4742" i="2"/>
  <c r="F4731" i="2"/>
  <c r="H4731" i="2"/>
  <c r="F4737" i="2"/>
  <c r="H4737" i="2"/>
  <c r="A4744" i="2"/>
  <c r="A4738" i="2"/>
  <c r="A4736" i="2"/>
  <c r="A4732" i="2"/>
  <c r="F4723" i="2"/>
  <c r="A4753" i="2"/>
  <c r="A4745" i="2"/>
  <c r="A4735" i="2"/>
  <c r="A4733" i="2"/>
  <c r="A4723" i="2"/>
  <c r="A4741" i="2"/>
  <c r="A4739" i="2"/>
  <c r="A4726" i="2"/>
  <c r="A4729" i="2"/>
  <c r="A4731" i="2"/>
  <c r="A4727" i="2"/>
  <c r="A4749" i="2"/>
  <c r="A4737" i="2"/>
  <c r="A4725" i="2"/>
  <c r="A4742" i="2"/>
  <c r="A4730" i="2"/>
  <c r="A4752" i="2"/>
  <c r="A4740" i="2"/>
  <c r="A4728" i="2"/>
  <c r="A4751" i="2"/>
  <c r="A4747" i="2"/>
  <c r="A4743" i="2"/>
  <c r="G4693" i="2"/>
  <c r="A4693" i="2" s="1"/>
  <c r="G4694" i="2"/>
  <c r="A4694" i="2" s="1"/>
  <c r="G4695" i="2"/>
  <c r="G4696" i="2"/>
  <c r="A4696" i="2" s="1"/>
  <c r="G4697" i="2"/>
  <c r="G4698" i="2"/>
  <c r="G4699" i="2"/>
  <c r="G4700" i="2"/>
  <c r="G4701" i="2"/>
  <c r="G4702" i="2"/>
  <c r="G4703" i="2"/>
  <c r="A4703" i="2" s="1"/>
  <c r="G4704" i="2"/>
  <c r="G4705" i="2"/>
  <c r="A4705" i="2" s="1"/>
  <c r="G4706" i="2"/>
  <c r="G4707" i="2"/>
  <c r="G4708" i="2"/>
  <c r="G4709" i="2"/>
  <c r="G4710" i="2"/>
  <c r="G4711" i="2"/>
  <c r="A4711" i="2" s="1"/>
  <c r="G4712" i="2"/>
  <c r="G4713" i="2"/>
  <c r="G4714" i="2"/>
  <c r="G4715" i="2"/>
  <c r="A4715" i="2" s="1"/>
  <c r="G4716" i="2"/>
  <c r="G4717" i="2"/>
  <c r="G4718" i="2"/>
  <c r="G4719" i="2"/>
  <c r="G4720" i="2"/>
  <c r="G4721" i="2"/>
  <c r="G4722" i="2"/>
  <c r="G4692" i="2"/>
  <c r="H4692" i="2" s="1"/>
  <c r="F4719" i="2" l="1"/>
  <c r="H4719" i="2"/>
  <c r="F4699" i="2"/>
  <c r="H4699" i="2"/>
  <c r="F4718" i="2"/>
  <c r="H4718" i="2"/>
  <c r="F4708" i="2"/>
  <c r="H4708" i="2"/>
  <c r="F4698" i="2"/>
  <c r="H4698" i="2"/>
  <c r="F4717" i="2"/>
  <c r="H4717" i="2"/>
  <c r="F4716" i="2"/>
  <c r="H4716" i="2"/>
  <c r="F4706" i="2"/>
  <c r="H4706" i="2"/>
  <c r="F4696" i="2"/>
  <c r="H4696" i="2"/>
  <c r="F4715" i="2"/>
  <c r="H4715" i="2"/>
  <c r="F4705" i="2"/>
  <c r="H4705" i="2"/>
  <c r="F4695" i="2"/>
  <c r="H4695" i="2"/>
  <c r="F4713" i="2"/>
  <c r="H4713" i="2"/>
  <c r="F4694" i="2"/>
  <c r="H4694" i="2"/>
  <c r="F4707" i="2"/>
  <c r="H4707" i="2"/>
  <c r="F4714" i="2"/>
  <c r="H4714" i="2"/>
  <c r="F4703" i="2"/>
  <c r="H4703" i="2"/>
  <c r="F4722" i="2"/>
  <c r="H4722" i="2"/>
  <c r="F4702" i="2"/>
  <c r="H4702" i="2"/>
  <c r="F4693" i="2"/>
  <c r="H4693" i="2"/>
  <c r="F4701" i="2"/>
  <c r="H4701" i="2"/>
  <c r="F4712" i="2"/>
  <c r="H4712" i="2"/>
  <c r="F4721" i="2"/>
  <c r="H4721" i="2"/>
  <c r="F4711" i="2"/>
  <c r="H4711" i="2"/>
  <c r="F4720" i="2"/>
  <c r="H4720" i="2"/>
  <c r="F4710" i="2"/>
  <c r="H4710" i="2"/>
  <c r="F4700" i="2"/>
  <c r="H4700" i="2"/>
  <c r="F4697" i="2"/>
  <c r="H4697" i="2"/>
  <c r="F4704" i="2"/>
  <c r="H4704" i="2"/>
  <c r="F4709" i="2"/>
  <c r="H4709" i="2"/>
  <c r="A4702" i="2"/>
  <c r="A4695" i="2"/>
  <c r="A4720" i="2"/>
  <c r="A4707" i="2"/>
  <c r="A4698" i="2"/>
  <c r="A4719" i="2"/>
  <c r="A4708" i="2"/>
  <c r="A4706" i="2"/>
  <c r="A4699" i="2"/>
  <c r="A4717" i="2"/>
  <c r="A4712" i="2"/>
  <c r="A4700" i="2"/>
  <c r="A4692" i="2"/>
  <c r="A4713" i="2"/>
  <c r="A4701" i="2"/>
  <c r="A4716" i="2"/>
  <c r="A4704" i="2"/>
  <c r="A4721" i="2"/>
  <c r="A4709" i="2"/>
  <c r="A4697" i="2"/>
  <c r="A4722" i="2"/>
  <c r="A4718" i="2"/>
  <c r="A4714" i="2"/>
  <c r="A4710" i="2"/>
  <c r="F4692" i="2"/>
  <c r="G4662" i="2"/>
  <c r="G4663" i="2"/>
  <c r="A4663" i="2" s="1"/>
  <c r="G4664" i="2"/>
  <c r="G4665" i="2"/>
  <c r="G4666" i="2"/>
  <c r="G4667" i="2"/>
  <c r="G4668" i="2"/>
  <c r="G4669" i="2"/>
  <c r="G4670" i="2"/>
  <c r="G4671" i="2"/>
  <c r="G4672" i="2"/>
  <c r="G4673" i="2"/>
  <c r="A4673" i="2" s="1"/>
  <c r="G4674" i="2"/>
  <c r="G4675" i="2"/>
  <c r="G4676" i="2"/>
  <c r="G4677" i="2"/>
  <c r="G4678" i="2"/>
  <c r="G4679" i="2"/>
  <c r="G4680" i="2"/>
  <c r="G4681" i="2"/>
  <c r="G4682" i="2"/>
  <c r="G4683" i="2"/>
  <c r="G4684" i="2"/>
  <c r="A4684" i="2" s="1"/>
  <c r="G4685" i="2"/>
  <c r="G4686" i="2"/>
  <c r="G4687" i="2"/>
  <c r="G4688" i="2"/>
  <c r="G4689" i="2"/>
  <c r="G4690" i="2"/>
  <c r="G4691" i="2"/>
  <c r="G4661" i="2"/>
  <c r="H4661" i="2" s="1"/>
  <c r="F4682" i="2" l="1"/>
  <c r="H4682" i="2"/>
  <c r="F4671" i="2"/>
  <c r="H4671" i="2"/>
  <c r="F4691" i="2"/>
  <c r="H4691" i="2"/>
  <c r="F4680" i="2"/>
  <c r="H4680" i="2"/>
  <c r="F4669" i="2"/>
  <c r="H4669" i="2"/>
  <c r="F4689" i="2"/>
  <c r="H4689" i="2"/>
  <c r="F4678" i="2"/>
  <c r="H4678" i="2"/>
  <c r="F4667" i="2"/>
  <c r="H4667" i="2"/>
  <c r="F4681" i="2"/>
  <c r="H4681" i="2"/>
  <c r="F4690" i="2"/>
  <c r="H4690" i="2"/>
  <c r="F4687" i="2"/>
  <c r="H4687" i="2"/>
  <c r="F4676" i="2"/>
  <c r="H4676" i="2"/>
  <c r="F4665" i="2"/>
  <c r="H4665" i="2"/>
  <c r="F4686" i="2"/>
  <c r="H4686" i="2"/>
  <c r="F4679" i="2"/>
  <c r="H4679" i="2"/>
  <c r="F4688" i="2"/>
  <c r="H4688" i="2"/>
  <c r="F4685" i="2"/>
  <c r="H4685" i="2"/>
  <c r="F4674" i="2"/>
  <c r="H4674" i="2"/>
  <c r="F4666" i="2"/>
  <c r="H4666" i="2"/>
  <c r="F4664" i="2"/>
  <c r="H4664" i="2"/>
  <c r="F4663" i="2"/>
  <c r="H4663" i="2"/>
  <c r="F4670" i="2"/>
  <c r="H4670" i="2"/>
  <c r="F4668" i="2"/>
  <c r="H4668" i="2"/>
  <c r="F4677" i="2"/>
  <c r="H4677" i="2"/>
  <c r="F4675" i="2"/>
  <c r="H4675" i="2"/>
  <c r="F4684" i="2"/>
  <c r="H4684" i="2"/>
  <c r="F4673" i="2"/>
  <c r="H4673" i="2"/>
  <c r="F4662" i="2"/>
  <c r="H4662" i="2"/>
  <c r="F4683" i="2"/>
  <c r="H4683" i="2"/>
  <c r="F4672" i="2"/>
  <c r="H4672" i="2"/>
  <c r="A4672" i="2"/>
  <c r="A4670" i="2"/>
  <c r="A4685" i="2"/>
  <c r="A4681" i="2"/>
  <c r="A4675" i="2"/>
  <c r="A4669" i="2"/>
  <c r="A4686" i="2"/>
  <c r="A4691" i="2"/>
  <c r="A4667" i="2"/>
  <c r="A4687" i="2"/>
  <c r="A4674" i="2"/>
  <c r="A4679" i="2"/>
  <c r="A4662" i="2"/>
  <c r="A4682" i="2"/>
  <c r="A4683" i="2"/>
  <c r="A4671" i="2"/>
  <c r="A4676" i="2"/>
  <c r="A4664" i="2"/>
  <c r="A4689" i="2"/>
  <c r="A4677" i="2"/>
  <c r="A4665" i="2"/>
  <c r="A4680" i="2"/>
  <c r="A4668" i="2"/>
  <c r="A4690" i="2"/>
  <c r="A4678" i="2"/>
  <c r="A4666" i="2"/>
  <c r="A4661" i="2"/>
  <c r="A4688" i="2"/>
  <c r="F4661" i="2"/>
  <c r="G4631" i="2"/>
  <c r="A4631" i="2" s="1"/>
  <c r="G4632" i="2"/>
  <c r="G4633" i="2"/>
  <c r="G4634" i="2"/>
  <c r="G4635" i="2"/>
  <c r="G4636" i="2"/>
  <c r="A4636" i="2" s="1"/>
  <c r="G4637" i="2"/>
  <c r="G4638" i="2"/>
  <c r="G4639" i="2"/>
  <c r="G4640" i="2"/>
  <c r="A4640" i="2" s="1"/>
  <c r="G4641" i="2"/>
  <c r="G4642" i="2"/>
  <c r="G4643" i="2"/>
  <c r="A4643" i="2" s="1"/>
  <c r="G4644" i="2"/>
  <c r="G4645" i="2"/>
  <c r="G4646" i="2"/>
  <c r="G4647" i="2"/>
  <c r="G4648" i="2"/>
  <c r="G4649" i="2"/>
  <c r="G4650" i="2"/>
  <c r="G4651" i="2"/>
  <c r="G4652" i="2"/>
  <c r="G4653" i="2"/>
  <c r="G4654" i="2"/>
  <c r="A4654" i="2" s="1"/>
  <c r="G4655" i="2"/>
  <c r="G4656" i="2"/>
  <c r="G4657" i="2"/>
  <c r="G4658" i="2"/>
  <c r="G4659" i="2"/>
  <c r="G4660" i="2"/>
  <c r="A4660" i="2" s="1"/>
  <c r="G4630" i="2"/>
  <c r="H4630" i="2" s="1"/>
  <c r="F4644" i="2" l="1"/>
  <c r="H4644" i="2"/>
  <c r="F4633" i="2"/>
  <c r="H4633" i="2"/>
  <c r="F4657" i="2"/>
  <c r="H4657" i="2"/>
  <c r="F4646" i="2"/>
  <c r="H4646" i="2"/>
  <c r="F4656" i="2"/>
  <c r="H4656" i="2"/>
  <c r="F4645" i="2"/>
  <c r="H4645" i="2"/>
  <c r="F4636" i="2"/>
  <c r="H4636" i="2"/>
  <c r="F4634" i="2"/>
  <c r="H4634" i="2"/>
  <c r="F4653" i="2"/>
  <c r="H4653" i="2"/>
  <c r="F4642" i="2"/>
  <c r="H4642" i="2"/>
  <c r="F4632" i="2"/>
  <c r="H4632" i="2"/>
  <c r="F4652" i="2"/>
  <c r="H4652" i="2"/>
  <c r="F4651" i="2"/>
  <c r="H4651" i="2"/>
  <c r="F4631" i="2"/>
  <c r="H4631" i="2"/>
  <c r="F4660" i="2"/>
  <c r="H4660" i="2"/>
  <c r="F4649" i="2"/>
  <c r="H4649" i="2"/>
  <c r="F4639" i="2"/>
  <c r="H4639" i="2"/>
  <c r="F4635" i="2"/>
  <c r="H4635" i="2"/>
  <c r="F4654" i="2"/>
  <c r="H4654" i="2"/>
  <c r="F4641" i="2"/>
  <c r="H4641" i="2"/>
  <c r="F4650" i="2"/>
  <c r="H4650" i="2"/>
  <c r="F4638" i="2"/>
  <c r="H4638" i="2"/>
  <c r="F4655" i="2"/>
  <c r="H4655" i="2"/>
  <c r="F4643" i="2"/>
  <c r="H4643" i="2"/>
  <c r="F4640" i="2"/>
  <c r="H4640" i="2"/>
  <c r="F4659" i="2"/>
  <c r="H4659" i="2"/>
  <c r="F4648" i="2"/>
  <c r="H4648" i="2"/>
  <c r="F4658" i="2"/>
  <c r="H4658" i="2"/>
  <c r="F4647" i="2"/>
  <c r="H4647" i="2"/>
  <c r="F4637" i="2"/>
  <c r="H4637" i="2"/>
  <c r="A4635" i="2"/>
  <c r="A4642" i="2"/>
  <c r="A4659" i="2"/>
  <c r="A4655" i="2"/>
  <c r="A4648" i="2"/>
  <c r="A4644" i="2"/>
  <c r="A4656" i="2"/>
  <c r="A4647" i="2"/>
  <c r="A4652" i="2"/>
  <c r="A4632" i="2"/>
  <c r="A4646" i="2"/>
  <c r="A4634" i="2"/>
  <c r="A4658" i="2"/>
  <c r="A4651" i="2"/>
  <c r="A4639" i="2"/>
  <c r="A4650" i="2"/>
  <c r="A4638" i="2"/>
  <c r="A4630" i="2"/>
  <c r="A4657" i="2"/>
  <c r="A4653" i="2"/>
  <c r="A4649" i="2"/>
  <c r="A4645" i="2"/>
  <c r="A4641" i="2"/>
  <c r="A4637" i="2"/>
  <c r="A4633" i="2"/>
  <c r="F4630" i="2"/>
  <c r="G4600" i="2"/>
  <c r="G4601" i="2"/>
  <c r="A4601" i="2" s="1"/>
  <c r="G4602" i="2"/>
  <c r="G4603" i="2"/>
  <c r="G4604" i="2"/>
  <c r="G4605" i="2"/>
  <c r="G4606" i="2"/>
  <c r="G4607" i="2"/>
  <c r="H4607" i="2" s="1"/>
  <c r="G4608" i="2"/>
  <c r="H4608" i="2" s="1"/>
  <c r="G4609" i="2"/>
  <c r="H4609" i="2" s="1"/>
  <c r="G4610" i="2"/>
  <c r="H4610" i="2" s="1"/>
  <c r="G4611" i="2"/>
  <c r="H4611" i="2" s="1"/>
  <c r="G4612" i="2"/>
  <c r="H4612" i="2" s="1"/>
  <c r="G4613" i="2"/>
  <c r="H4613" i="2" s="1"/>
  <c r="G4614" i="2"/>
  <c r="H4614" i="2" s="1"/>
  <c r="G4615" i="2"/>
  <c r="H4615" i="2" s="1"/>
  <c r="G4616" i="2"/>
  <c r="H4616" i="2" s="1"/>
  <c r="G4617" i="2"/>
  <c r="H4617" i="2" s="1"/>
  <c r="G4618" i="2"/>
  <c r="H4618" i="2" s="1"/>
  <c r="G4619" i="2"/>
  <c r="H4619" i="2" s="1"/>
  <c r="G4620" i="2"/>
  <c r="H4620" i="2" s="1"/>
  <c r="G4621" i="2"/>
  <c r="H4621" i="2" s="1"/>
  <c r="G4622" i="2"/>
  <c r="H4622" i="2" s="1"/>
  <c r="G4623" i="2"/>
  <c r="H4623" i="2" s="1"/>
  <c r="G4624" i="2"/>
  <c r="H4624" i="2" s="1"/>
  <c r="G4625" i="2"/>
  <c r="H4625" i="2" s="1"/>
  <c r="G4626" i="2"/>
  <c r="H4626" i="2" s="1"/>
  <c r="G4627" i="2"/>
  <c r="H4627" i="2" s="1"/>
  <c r="G4628" i="2"/>
  <c r="H4628" i="2" s="1"/>
  <c r="G4629" i="2"/>
  <c r="G4599" i="2"/>
  <c r="H4599" i="2" s="1"/>
  <c r="A4627" i="2" l="1"/>
  <c r="F4606" i="2"/>
  <c r="H4606" i="2"/>
  <c r="F4629" i="2"/>
  <c r="H4629" i="2"/>
  <c r="F4604" i="2"/>
  <c r="H4604" i="2"/>
  <c r="F4603" i="2"/>
  <c r="H4603" i="2"/>
  <c r="F4602" i="2"/>
  <c r="H4602" i="2"/>
  <c r="F4601" i="2"/>
  <c r="H4601" i="2"/>
  <c r="F4600" i="2"/>
  <c r="H4600" i="2"/>
  <c r="F4605" i="2"/>
  <c r="H4605" i="2"/>
  <c r="A4621" i="2"/>
  <c r="A4617" i="2"/>
  <c r="A4615" i="2"/>
  <c r="A4611" i="2"/>
  <c r="A4605" i="2"/>
  <c r="A4603" i="2"/>
  <c r="A4599" i="2"/>
  <c r="A4626" i="2"/>
  <c r="A4622" i="2"/>
  <c r="A4610" i="2"/>
  <c r="A4606" i="2"/>
  <c r="A4602" i="2"/>
  <c r="A4629" i="2"/>
  <c r="F4627" i="2"/>
  <c r="F4626" i="2"/>
  <c r="F4625" i="2"/>
  <c r="F4623" i="2"/>
  <c r="F4622" i="2"/>
  <c r="F4620" i="2"/>
  <c r="A4620" i="2"/>
  <c r="F4619" i="2"/>
  <c r="F4618" i="2"/>
  <c r="F4617" i="2"/>
  <c r="F4616" i="2"/>
  <c r="A4616" i="2"/>
  <c r="F4628" i="2"/>
  <c r="A4628" i="2"/>
  <c r="F4624" i="2"/>
  <c r="A4624" i="2"/>
  <c r="F4621" i="2"/>
  <c r="F4615" i="2"/>
  <c r="F4614" i="2"/>
  <c r="F4613" i="2"/>
  <c r="F4612" i="2"/>
  <c r="A4612" i="2"/>
  <c r="F4611" i="2"/>
  <c r="F4610" i="2"/>
  <c r="F4609" i="2"/>
  <c r="F4608" i="2"/>
  <c r="A4608" i="2"/>
  <c r="F4607" i="2"/>
  <c r="A4625" i="2"/>
  <c r="A4619" i="2"/>
  <c r="A4614" i="2"/>
  <c r="A4609" i="2"/>
  <c r="A4623" i="2"/>
  <c r="A4618" i="2"/>
  <c r="A4613" i="2"/>
  <c r="A4607" i="2"/>
  <c r="A4604" i="2"/>
  <c r="A4600" i="2"/>
  <c r="F4599" i="2"/>
  <c r="G4569" i="2"/>
  <c r="G4570" i="2"/>
  <c r="G4571" i="2"/>
  <c r="G4572" i="2"/>
  <c r="G4573" i="2"/>
  <c r="G4574" i="2"/>
  <c r="G4575" i="2"/>
  <c r="G4576" i="2"/>
  <c r="G4577" i="2"/>
  <c r="A4577" i="2" s="1"/>
  <c r="G4578" i="2"/>
  <c r="G4579" i="2"/>
  <c r="G4580" i="2"/>
  <c r="G4581" i="2"/>
  <c r="G4582" i="2"/>
  <c r="G4583" i="2"/>
  <c r="G4584" i="2"/>
  <c r="G4585" i="2"/>
  <c r="G4586" i="2"/>
  <c r="G4587" i="2"/>
  <c r="G4588" i="2"/>
  <c r="G4589" i="2"/>
  <c r="A4589" i="2" s="1"/>
  <c r="G4590" i="2"/>
  <c r="G4591" i="2"/>
  <c r="G4592" i="2"/>
  <c r="G4593" i="2"/>
  <c r="G4594" i="2"/>
  <c r="G4595" i="2"/>
  <c r="G4596" i="2"/>
  <c r="G4597" i="2"/>
  <c r="G4598" i="2"/>
  <c r="G4568" i="2"/>
  <c r="F4594" i="2" l="1"/>
  <c r="H4594" i="2"/>
  <c r="F4583" i="2"/>
  <c r="H4583" i="2"/>
  <c r="F4572" i="2"/>
  <c r="H4572" i="2"/>
  <c r="F4569" i="2"/>
  <c r="H4569" i="2"/>
  <c r="F4570" i="2"/>
  <c r="H4570" i="2"/>
  <c r="F4582" i="2"/>
  <c r="H4582" i="2"/>
  <c r="F4591" i="2"/>
  <c r="H4591" i="2"/>
  <c r="F4579" i="2"/>
  <c r="H4579" i="2"/>
  <c r="F4578" i="2"/>
  <c r="H4578" i="2"/>
  <c r="F4592" i="2"/>
  <c r="H4592" i="2"/>
  <c r="F4590" i="2"/>
  <c r="H4590" i="2"/>
  <c r="F4588" i="2"/>
  <c r="H4588" i="2"/>
  <c r="F4577" i="2"/>
  <c r="H4577" i="2"/>
  <c r="F4598" i="2"/>
  <c r="H4598" i="2"/>
  <c r="F4587" i="2"/>
  <c r="H4587" i="2"/>
  <c r="F4576" i="2"/>
  <c r="H4576" i="2"/>
  <c r="F4571" i="2"/>
  <c r="H4571" i="2"/>
  <c r="F4580" i="2"/>
  <c r="H4580" i="2"/>
  <c r="F4568" i="2"/>
  <c r="H4568" i="2"/>
  <c r="F4575" i="2"/>
  <c r="H4575" i="2"/>
  <c r="F4597" i="2"/>
  <c r="H4597" i="2"/>
  <c r="F4586" i="2"/>
  <c r="H4586" i="2"/>
  <c r="F4596" i="2"/>
  <c r="H4596" i="2"/>
  <c r="F4585" i="2"/>
  <c r="H4585" i="2"/>
  <c r="F4574" i="2"/>
  <c r="H4574" i="2"/>
  <c r="F4593" i="2"/>
  <c r="H4593" i="2"/>
  <c r="F4581" i="2"/>
  <c r="H4581" i="2"/>
  <c r="F4589" i="2"/>
  <c r="H4589" i="2"/>
  <c r="F4595" i="2"/>
  <c r="H4595" i="2"/>
  <c r="F4584" i="2"/>
  <c r="H4584" i="2"/>
  <c r="F4573" i="2"/>
  <c r="H4573" i="2"/>
  <c r="A4576" i="2"/>
  <c r="A4590" i="2"/>
  <c r="A4586" i="2"/>
  <c r="A4580" i="2"/>
  <c r="A4578" i="2"/>
  <c r="A4597" i="2"/>
  <c r="A4573" i="2"/>
  <c r="A4574" i="2"/>
  <c r="A4598" i="2"/>
  <c r="A4585" i="2"/>
  <c r="A4592" i="2"/>
  <c r="A4588" i="2"/>
  <c r="A4571" i="2"/>
  <c r="A4581" i="2"/>
  <c r="A4569" i="2"/>
  <c r="A4593" i="2"/>
  <c r="A4568" i="2"/>
  <c r="A4596" i="2"/>
  <c r="A4584" i="2"/>
  <c r="A4572" i="2"/>
  <c r="A4570" i="2"/>
  <c r="A4594" i="2"/>
  <c r="A4582" i="2"/>
  <c r="A4595" i="2"/>
  <c r="A4591" i="2"/>
  <c r="A4587" i="2"/>
  <c r="A4583" i="2"/>
  <c r="A4579" i="2"/>
  <c r="A4575" i="2"/>
  <c r="G4538" i="2"/>
  <c r="G4539" i="2"/>
  <c r="G4540" i="2"/>
  <c r="G4541" i="2"/>
  <c r="G4542" i="2"/>
  <c r="A4542" i="2" s="1"/>
  <c r="G4543" i="2"/>
  <c r="G4544" i="2"/>
  <c r="G4545" i="2"/>
  <c r="G4546" i="2"/>
  <c r="G4547" i="2"/>
  <c r="G4548" i="2"/>
  <c r="G4549" i="2"/>
  <c r="G4550" i="2"/>
  <c r="G4551" i="2"/>
  <c r="G4552" i="2"/>
  <c r="G4553" i="2"/>
  <c r="G4554" i="2"/>
  <c r="G4555" i="2"/>
  <c r="A4555" i="2" s="1"/>
  <c r="G4556" i="2"/>
  <c r="G4557" i="2"/>
  <c r="G4558" i="2"/>
  <c r="G4559" i="2"/>
  <c r="G4560" i="2"/>
  <c r="G4561" i="2"/>
  <c r="G4562" i="2"/>
  <c r="G4563" i="2"/>
  <c r="A4563" i="2" s="1"/>
  <c r="G4564" i="2"/>
  <c r="G4565" i="2"/>
  <c r="G4566" i="2"/>
  <c r="G4567" i="2"/>
  <c r="G4537" i="2"/>
  <c r="H4537" i="2" s="1"/>
  <c r="F4541" i="2" l="1"/>
  <c r="H4541" i="2"/>
  <c r="F4554" i="2"/>
  <c r="H4554" i="2"/>
  <c r="F4553" i="2"/>
  <c r="H4553" i="2"/>
  <c r="F4542" i="2"/>
  <c r="H4542" i="2"/>
  <c r="F4552" i="2"/>
  <c r="H4552" i="2"/>
  <c r="F4562" i="2"/>
  <c r="H4562" i="2"/>
  <c r="F4551" i="2"/>
  <c r="H4551" i="2"/>
  <c r="F4540" i="2"/>
  <c r="H4540" i="2"/>
  <c r="F4539" i="2"/>
  <c r="H4539" i="2"/>
  <c r="F4560" i="2"/>
  <c r="H4560" i="2"/>
  <c r="F4549" i="2"/>
  <c r="H4549" i="2"/>
  <c r="F4538" i="2"/>
  <c r="H4538" i="2"/>
  <c r="F4558" i="2"/>
  <c r="H4558" i="2"/>
  <c r="F4547" i="2"/>
  <c r="H4547" i="2"/>
  <c r="F4546" i="2"/>
  <c r="H4546" i="2"/>
  <c r="F4567" i="2"/>
  <c r="H4567" i="2"/>
  <c r="F4556" i="2"/>
  <c r="H4556" i="2"/>
  <c r="F4545" i="2"/>
  <c r="H4545" i="2"/>
  <c r="F4563" i="2"/>
  <c r="H4563" i="2"/>
  <c r="F4561" i="2"/>
  <c r="H4561" i="2"/>
  <c r="F4559" i="2"/>
  <c r="H4559" i="2"/>
  <c r="F4557" i="2"/>
  <c r="H4557" i="2"/>
  <c r="F4550" i="2"/>
  <c r="H4550" i="2"/>
  <c r="F4548" i="2"/>
  <c r="H4548" i="2"/>
  <c r="F4566" i="2"/>
  <c r="H4566" i="2"/>
  <c r="F4544" i="2"/>
  <c r="H4544" i="2"/>
  <c r="F4565" i="2"/>
  <c r="H4565" i="2"/>
  <c r="F4555" i="2"/>
  <c r="H4555" i="2"/>
  <c r="F4543" i="2"/>
  <c r="H4543" i="2"/>
  <c r="F4564" i="2"/>
  <c r="H4564" i="2"/>
  <c r="A4553" i="2"/>
  <c r="A4539" i="2"/>
  <c r="A4554" i="2"/>
  <c r="A4548" i="2"/>
  <c r="A4561" i="2"/>
  <c r="A4540" i="2"/>
  <c r="A4552" i="2"/>
  <c r="A4567" i="2"/>
  <c r="A4565" i="2"/>
  <c r="A4566" i="2"/>
  <c r="A4551" i="2"/>
  <c r="A4549" i="2"/>
  <c r="A4558" i="2"/>
  <c r="A4543" i="2"/>
  <c r="A4541" i="2"/>
  <c r="A4546" i="2"/>
  <c r="A4544" i="2"/>
  <c r="A4559" i="2"/>
  <c r="A4547" i="2"/>
  <c r="A4557" i="2"/>
  <c r="A4545" i="2"/>
  <c r="A4562" i="2"/>
  <c r="A4550" i="2"/>
  <c r="A4538" i="2"/>
  <c r="A4537" i="2"/>
  <c r="A4564" i="2"/>
  <c r="A4560" i="2"/>
  <c r="A4556" i="2"/>
  <c r="F4537" i="2"/>
  <c r="G4507" i="2"/>
  <c r="A4507" i="2" s="1"/>
  <c r="G4508" i="2"/>
  <c r="A4508" i="2" s="1"/>
  <c r="G4509" i="2"/>
  <c r="G4510" i="2"/>
  <c r="A4510" i="2" s="1"/>
  <c r="G4511" i="2"/>
  <c r="G4512" i="2"/>
  <c r="A4512" i="2" s="1"/>
  <c r="G4513" i="2"/>
  <c r="G4514" i="2"/>
  <c r="A4514" i="2" s="1"/>
  <c r="G4515" i="2"/>
  <c r="G4516" i="2"/>
  <c r="G4517" i="2"/>
  <c r="G4518" i="2"/>
  <c r="G4519" i="2"/>
  <c r="G4520" i="2"/>
  <c r="G4521" i="2"/>
  <c r="G4522" i="2"/>
  <c r="G4523" i="2"/>
  <c r="G4524" i="2"/>
  <c r="G4525" i="2"/>
  <c r="G4526" i="2"/>
  <c r="G4527" i="2"/>
  <c r="G4528" i="2"/>
  <c r="A4528" i="2" s="1"/>
  <c r="G4529" i="2"/>
  <c r="G4530" i="2"/>
  <c r="A4530" i="2" s="1"/>
  <c r="G4531" i="2"/>
  <c r="G4532" i="2"/>
  <c r="H4532" i="2" s="1"/>
  <c r="G4533" i="2"/>
  <c r="H4533" i="2" s="1"/>
  <c r="G4534" i="2"/>
  <c r="H4534" i="2" s="1"/>
  <c r="G4535" i="2"/>
  <c r="H4535" i="2" s="1"/>
  <c r="G4536" i="2"/>
  <c r="G4506" i="2"/>
  <c r="H4506" i="2" s="1"/>
  <c r="F4518" i="2" l="1"/>
  <c r="H4518" i="2"/>
  <c r="F4522" i="2"/>
  <c r="H4522" i="2"/>
  <c r="F4531" i="2"/>
  <c r="H4531" i="2"/>
  <c r="F4521" i="2"/>
  <c r="H4521" i="2"/>
  <c r="F4511" i="2"/>
  <c r="H4511" i="2"/>
  <c r="F4530" i="2"/>
  <c r="H4530" i="2"/>
  <c r="F4519" i="2"/>
  <c r="H4519" i="2"/>
  <c r="F4510" i="2"/>
  <c r="H4510" i="2"/>
  <c r="F4517" i="2"/>
  <c r="H4517" i="2"/>
  <c r="F4508" i="2"/>
  <c r="H4508" i="2"/>
  <c r="F4529" i="2"/>
  <c r="H4529" i="2"/>
  <c r="F4516" i="2"/>
  <c r="H4516" i="2"/>
  <c r="F4520" i="2"/>
  <c r="H4520" i="2"/>
  <c r="F4527" i="2"/>
  <c r="H4527" i="2"/>
  <c r="F4515" i="2"/>
  <c r="H4515" i="2"/>
  <c r="F4507" i="2"/>
  <c r="H4507" i="2"/>
  <c r="F4536" i="2"/>
  <c r="H4536" i="2"/>
  <c r="F4525" i="2"/>
  <c r="H4525" i="2"/>
  <c r="F4514" i="2"/>
  <c r="H4514" i="2"/>
  <c r="F4509" i="2"/>
  <c r="H4509" i="2"/>
  <c r="F4524" i="2"/>
  <c r="H4524" i="2"/>
  <c r="F4528" i="2"/>
  <c r="H4528" i="2"/>
  <c r="F4526" i="2"/>
  <c r="H4526" i="2"/>
  <c r="F4513" i="2"/>
  <c r="H4513" i="2"/>
  <c r="F4523" i="2"/>
  <c r="H4523" i="2"/>
  <c r="F4512" i="2"/>
  <c r="H4512" i="2"/>
  <c r="A4509" i="2"/>
  <c r="A4536" i="2"/>
  <c r="A4526" i="2"/>
  <c r="A4524" i="2"/>
  <c r="A4522" i="2"/>
  <c r="A4520" i="2"/>
  <c r="A4518" i="2"/>
  <c r="A4516" i="2"/>
  <c r="A4535" i="2"/>
  <c r="A4531" i="2"/>
  <c r="A4527" i="2"/>
  <c r="A4523" i="2"/>
  <c r="A4519" i="2"/>
  <c r="A4517" i="2"/>
  <c r="A4515" i="2"/>
  <c r="A4513" i="2"/>
  <c r="A4511" i="2"/>
  <c r="A4532" i="2"/>
  <c r="A4506" i="2"/>
  <c r="A4534" i="2"/>
  <c r="F4535" i="2"/>
  <c r="F4534" i="2"/>
  <c r="F4533" i="2"/>
  <c r="A4533" i="2"/>
  <c r="F4532" i="2"/>
  <c r="A4529" i="2"/>
  <c r="A4525" i="2"/>
  <c r="A4521" i="2"/>
  <c r="F4506" i="2"/>
  <c r="G4476" i="2"/>
  <c r="G4477" i="2"/>
  <c r="G4478" i="2"/>
  <c r="G4479" i="2"/>
  <c r="G4480" i="2"/>
  <c r="G4481" i="2"/>
  <c r="G4482" i="2"/>
  <c r="G4483" i="2"/>
  <c r="G4484" i="2"/>
  <c r="G4485" i="2"/>
  <c r="G4486" i="2"/>
  <c r="G4487" i="2"/>
  <c r="G4488" i="2"/>
  <c r="G4489" i="2"/>
  <c r="G4490" i="2"/>
  <c r="G4491" i="2"/>
  <c r="A4491" i="2" s="1"/>
  <c r="G4492" i="2"/>
  <c r="G4493" i="2"/>
  <c r="G4494" i="2"/>
  <c r="A4494" i="2" s="1"/>
  <c r="G4495" i="2"/>
  <c r="A4495" i="2" s="1"/>
  <c r="G4496" i="2"/>
  <c r="G4497" i="2"/>
  <c r="G4498" i="2"/>
  <c r="G4499" i="2"/>
  <c r="G4500" i="2"/>
  <c r="A4500" i="2" s="1"/>
  <c r="G4501" i="2"/>
  <c r="G4502" i="2"/>
  <c r="G4503" i="2"/>
  <c r="A4503" i="2" s="1"/>
  <c r="G4504" i="2"/>
  <c r="G4505" i="2"/>
  <c r="G4475" i="2"/>
  <c r="H4475" i="2" s="1"/>
  <c r="F4477" i="2" l="1"/>
  <c r="H4477" i="2"/>
  <c r="F4504" i="2"/>
  <c r="H4504" i="2"/>
  <c r="F4501" i="2"/>
  <c r="H4501" i="2"/>
  <c r="F4499" i="2"/>
  <c r="H4499" i="2"/>
  <c r="F4490" i="2"/>
  <c r="H4490" i="2"/>
  <c r="F4479" i="2"/>
  <c r="H4479" i="2"/>
  <c r="F4498" i="2"/>
  <c r="H4498" i="2"/>
  <c r="F4489" i="2"/>
  <c r="H4489" i="2"/>
  <c r="F4478" i="2"/>
  <c r="H4478" i="2"/>
  <c r="F4505" i="2"/>
  <c r="H4505" i="2"/>
  <c r="F4496" i="2"/>
  <c r="H4496" i="2"/>
  <c r="F4487" i="2"/>
  <c r="H4487" i="2"/>
  <c r="F4476" i="2"/>
  <c r="H4476" i="2"/>
  <c r="F4497" i="2"/>
  <c r="H4497" i="2"/>
  <c r="F4486" i="2"/>
  <c r="H4486" i="2"/>
  <c r="F4495" i="2"/>
  <c r="H4495" i="2"/>
  <c r="F4485" i="2"/>
  <c r="H4485" i="2"/>
  <c r="F4484" i="2"/>
  <c r="H4484" i="2"/>
  <c r="F4502" i="2"/>
  <c r="H4502" i="2"/>
  <c r="F4494" i="2"/>
  <c r="H4494" i="2"/>
  <c r="F4483" i="2"/>
  <c r="H4483" i="2"/>
  <c r="F4493" i="2"/>
  <c r="H4493" i="2"/>
  <c r="F4492" i="2"/>
  <c r="H4492" i="2"/>
  <c r="F4481" i="2"/>
  <c r="H4481" i="2"/>
  <c r="F4482" i="2"/>
  <c r="H4482" i="2"/>
  <c r="F4480" i="2"/>
  <c r="H4480" i="2"/>
  <c r="F4488" i="2"/>
  <c r="H4488" i="2"/>
  <c r="F4503" i="2"/>
  <c r="H4503" i="2"/>
  <c r="F4500" i="2"/>
  <c r="H4500" i="2"/>
  <c r="A4499" i="2"/>
  <c r="F4491" i="2"/>
  <c r="H4491" i="2"/>
  <c r="A4479" i="2"/>
  <c r="A4483" i="2"/>
  <c r="A4486" i="2"/>
  <c r="A4475" i="2"/>
  <c r="A4482" i="2"/>
  <c r="A4476" i="2"/>
  <c r="A4488" i="2"/>
  <c r="A4502" i="2"/>
  <c r="A4498" i="2"/>
  <c r="A4487" i="2"/>
  <c r="A4496" i="2"/>
  <c r="A4484" i="2"/>
  <c r="A4504" i="2"/>
  <c r="A4492" i="2"/>
  <c r="A4480" i="2"/>
  <c r="A4490" i="2"/>
  <c r="A4478" i="2"/>
  <c r="A4505" i="2"/>
  <c r="A4501" i="2"/>
  <c r="A4497" i="2"/>
  <c r="A4493" i="2"/>
  <c r="A4489" i="2"/>
  <c r="A4485" i="2"/>
  <c r="A4481" i="2"/>
  <c r="A4477" i="2"/>
  <c r="F4475" i="2"/>
  <c r="G4445" i="2"/>
  <c r="A4445" i="2" s="1"/>
  <c r="G4446" i="2"/>
  <c r="G4447" i="2"/>
  <c r="G4448" i="2"/>
  <c r="G4449" i="2"/>
  <c r="G4450" i="2"/>
  <c r="G4451" i="2"/>
  <c r="G4452" i="2"/>
  <c r="G4453" i="2"/>
  <c r="G4454" i="2"/>
  <c r="G4455" i="2"/>
  <c r="G4456" i="2"/>
  <c r="G4457" i="2"/>
  <c r="G4458" i="2"/>
  <c r="G4459" i="2"/>
  <c r="G4460" i="2"/>
  <c r="G4461" i="2"/>
  <c r="G4462" i="2"/>
  <c r="G4463" i="2"/>
  <c r="G4464" i="2"/>
  <c r="G4465" i="2"/>
  <c r="H4465" i="2" s="1"/>
  <c r="G4466" i="2"/>
  <c r="G4467" i="2"/>
  <c r="H4467" i="2" s="1"/>
  <c r="G4468" i="2"/>
  <c r="H4468" i="2" s="1"/>
  <c r="G4469" i="2"/>
  <c r="G4470" i="2"/>
  <c r="A4470" i="2" s="1"/>
  <c r="G4471" i="2"/>
  <c r="H4471" i="2" s="1"/>
  <c r="G4472" i="2"/>
  <c r="G4473" i="2"/>
  <c r="G4474" i="2"/>
  <c r="H4474" i="2" s="1"/>
  <c r="G4444" i="2"/>
  <c r="H4444" i="2" s="1"/>
  <c r="A4444" i="2" l="1"/>
  <c r="F4467" i="2"/>
  <c r="A4467" i="2"/>
  <c r="F4444" i="2"/>
  <c r="F4472" i="2"/>
  <c r="H4472" i="2"/>
  <c r="F4464" i="2"/>
  <c r="H4464" i="2"/>
  <c r="F4463" i="2"/>
  <c r="H4463" i="2"/>
  <c r="F4462" i="2"/>
  <c r="H4462" i="2"/>
  <c r="F4450" i="2"/>
  <c r="H4450" i="2"/>
  <c r="F4452" i="2"/>
  <c r="H4452" i="2"/>
  <c r="F4461" i="2"/>
  <c r="H4461" i="2"/>
  <c r="F4449" i="2"/>
  <c r="H4449" i="2"/>
  <c r="F4470" i="2"/>
  <c r="H4470" i="2"/>
  <c r="F4460" i="2"/>
  <c r="H4460" i="2"/>
  <c r="F4448" i="2"/>
  <c r="H4448" i="2"/>
  <c r="F4451" i="2"/>
  <c r="H4451" i="2"/>
  <c r="F4469" i="2"/>
  <c r="H4469" i="2"/>
  <c r="F4447" i="2"/>
  <c r="H4447" i="2"/>
  <c r="F4459" i="2"/>
  <c r="H4459" i="2"/>
  <c r="F4458" i="2"/>
  <c r="H4458" i="2"/>
  <c r="F4446" i="2"/>
  <c r="H4446" i="2"/>
  <c r="F4457" i="2"/>
  <c r="H4457" i="2"/>
  <c r="F4456" i="2"/>
  <c r="H4456" i="2"/>
  <c r="F4445" i="2"/>
  <c r="H4445" i="2"/>
  <c r="F4455" i="2"/>
  <c r="H4455" i="2"/>
  <c r="F4473" i="2"/>
  <c r="H4473" i="2"/>
  <c r="F4466" i="2"/>
  <c r="H4466" i="2"/>
  <c r="F4454" i="2"/>
  <c r="H4454" i="2"/>
  <c r="F4453" i="2"/>
  <c r="H4453" i="2"/>
  <c r="A4459" i="2"/>
  <c r="A4447" i="2"/>
  <c r="F4471" i="2"/>
  <c r="A4474" i="2"/>
  <c r="F4474" i="2"/>
  <c r="A4454" i="2"/>
  <c r="A4472" i="2"/>
  <c r="F4465" i="2"/>
  <c r="A4450" i="2"/>
  <c r="A4473" i="2"/>
  <c r="A4457" i="2"/>
  <c r="F4468" i="2"/>
  <c r="A4453" i="2"/>
  <c r="A4464" i="2"/>
  <c r="A4452" i="2"/>
  <c r="A4471" i="2"/>
  <c r="A4462" i="2"/>
  <c r="A4468" i="2"/>
  <c r="A4465" i="2"/>
  <c r="A4455" i="2"/>
  <c r="A4460" i="2"/>
  <c r="A4448" i="2"/>
  <c r="A4466" i="2"/>
  <c r="A4446" i="2"/>
  <c r="A4469" i="2"/>
  <c r="A4463" i="2"/>
  <c r="A4458" i="2"/>
  <c r="A4451" i="2"/>
  <c r="A4456" i="2"/>
  <c r="A4461" i="2"/>
  <c r="A4449" i="2"/>
  <c r="G4414" i="2"/>
  <c r="G4415" i="2"/>
  <c r="G4416" i="2"/>
  <c r="G4417" i="2"/>
  <c r="G4418" i="2"/>
  <c r="G4419" i="2"/>
  <c r="G4420" i="2"/>
  <c r="G4421" i="2"/>
  <c r="G4422" i="2"/>
  <c r="A4422" i="2" s="1"/>
  <c r="G4423" i="2"/>
  <c r="G4424" i="2"/>
  <c r="G4425" i="2"/>
  <c r="G4426" i="2"/>
  <c r="G4427" i="2"/>
  <c r="G4428" i="2"/>
  <c r="G4429" i="2"/>
  <c r="G4430" i="2"/>
  <c r="G4431" i="2"/>
  <c r="G4432" i="2"/>
  <c r="G4433" i="2"/>
  <c r="G4434" i="2"/>
  <c r="G4435" i="2"/>
  <c r="G4436" i="2"/>
  <c r="G4437" i="2"/>
  <c r="G4438" i="2"/>
  <c r="G4439" i="2"/>
  <c r="G4440" i="2"/>
  <c r="G4441" i="2"/>
  <c r="G4442" i="2"/>
  <c r="G4443" i="2"/>
  <c r="G4413" i="2"/>
  <c r="H4413" i="2" s="1"/>
  <c r="F4427" i="2" l="1"/>
  <c r="H4427" i="2"/>
  <c r="F4416" i="2"/>
  <c r="H4416" i="2"/>
  <c r="F4437" i="2"/>
  <c r="H4437" i="2"/>
  <c r="F4425" i="2"/>
  <c r="H4425" i="2"/>
  <c r="F4414" i="2"/>
  <c r="H4414" i="2"/>
  <c r="F4426" i="2"/>
  <c r="H4426" i="2"/>
  <c r="F4424" i="2"/>
  <c r="H4424" i="2"/>
  <c r="F4438" i="2"/>
  <c r="H4438" i="2"/>
  <c r="F4436" i="2"/>
  <c r="H4436" i="2"/>
  <c r="F4435" i="2"/>
  <c r="H4435" i="2"/>
  <c r="F4423" i="2"/>
  <c r="H4423" i="2"/>
  <c r="F4434" i="2"/>
  <c r="H4434" i="2"/>
  <c r="F4433" i="2"/>
  <c r="H4433" i="2"/>
  <c r="F4422" i="2"/>
  <c r="H4422" i="2"/>
  <c r="F4439" i="2"/>
  <c r="H4439" i="2"/>
  <c r="F4443" i="2"/>
  <c r="H4443" i="2"/>
  <c r="F4431" i="2"/>
  <c r="H4431" i="2"/>
  <c r="F4420" i="2"/>
  <c r="H4420" i="2"/>
  <c r="F4415" i="2"/>
  <c r="H4415" i="2"/>
  <c r="F4432" i="2"/>
  <c r="H4432" i="2"/>
  <c r="F4419" i="2"/>
  <c r="H4419" i="2"/>
  <c r="F4421" i="2"/>
  <c r="H4421" i="2"/>
  <c r="F4442" i="2"/>
  <c r="H4442" i="2"/>
  <c r="F4430" i="2"/>
  <c r="H4430" i="2"/>
  <c r="F4441" i="2"/>
  <c r="H4441" i="2"/>
  <c r="F4429" i="2"/>
  <c r="H4429" i="2"/>
  <c r="F4418" i="2"/>
  <c r="H4418" i="2"/>
  <c r="F4440" i="2"/>
  <c r="H4440" i="2"/>
  <c r="F4428" i="2"/>
  <c r="H4428" i="2"/>
  <c r="F4417" i="2"/>
  <c r="H4417" i="2"/>
  <c r="A4428" i="2"/>
  <c r="A4424" i="2"/>
  <c r="F4413" i="2"/>
  <c r="A4433" i="2"/>
  <c r="A4429" i="2"/>
  <c r="A4417" i="2"/>
  <c r="A4435" i="2"/>
  <c r="A4440" i="2"/>
  <c r="A4436" i="2"/>
  <c r="A4416" i="2"/>
  <c r="A4423" i="2"/>
  <c r="A4421" i="2"/>
  <c r="A4438" i="2"/>
  <c r="A4426" i="2"/>
  <c r="A4414" i="2"/>
  <c r="A4443" i="2"/>
  <c r="A4431" i="2"/>
  <c r="A4419" i="2"/>
  <c r="A4434" i="2"/>
  <c r="A4439" i="2"/>
  <c r="A4427" i="2"/>
  <c r="A4415" i="2"/>
  <c r="A4432" i="2"/>
  <c r="A4420" i="2"/>
  <c r="A4425" i="2"/>
  <c r="A4442" i="2"/>
  <c r="A4430" i="2"/>
  <c r="A4418" i="2"/>
  <c r="A4441" i="2"/>
  <c r="A4437" i="2"/>
  <c r="A4413" i="2"/>
  <c r="G4383" i="2"/>
  <c r="G4384" i="2"/>
  <c r="A4384" i="2" s="1"/>
  <c r="G4385" i="2"/>
  <c r="G4386" i="2"/>
  <c r="G4387" i="2"/>
  <c r="G4388" i="2"/>
  <c r="G4389" i="2"/>
  <c r="G4390" i="2"/>
  <c r="G4391" i="2"/>
  <c r="G4392" i="2"/>
  <c r="G4393" i="2"/>
  <c r="G4394" i="2"/>
  <c r="G4395" i="2"/>
  <c r="G4396" i="2"/>
  <c r="G4397" i="2"/>
  <c r="G4398" i="2"/>
  <c r="G4399" i="2"/>
  <c r="G4400" i="2"/>
  <c r="G4401" i="2"/>
  <c r="G4402" i="2"/>
  <c r="G4403" i="2"/>
  <c r="G4404" i="2"/>
  <c r="G4405" i="2"/>
  <c r="G4406" i="2"/>
  <c r="G4407" i="2"/>
  <c r="G4408" i="2"/>
  <c r="G4409" i="2"/>
  <c r="G4410" i="2"/>
  <c r="G4411" i="2"/>
  <c r="G4412" i="2"/>
  <c r="G4382" i="2"/>
  <c r="H4382" i="2" s="1"/>
  <c r="F4411" i="2" l="1"/>
  <c r="H4411" i="2"/>
  <c r="F4399" i="2"/>
  <c r="H4399" i="2"/>
  <c r="F4410" i="2"/>
  <c r="H4410" i="2"/>
  <c r="F4398" i="2"/>
  <c r="H4398" i="2"/>
  <c r="F4386" i="2"/>
  <c r="H4386" i="2"/>
  <c r="F4397" i="2"/>
  <c r="H4397" i="2"/>
  <c r="F4408" i="2"/>
  <c r="H4408" i="2"/>
  <c r="F4396" i="2"/>
  <c r="H4396" i="2"/>
  <c r="F4395" i="2"/>
  <c r="H4395" i="2"/>
  <c r="F4409" i="2"/>
  <c r="H4409" i="2"/>
  <c r="F4406" i="2"/>
  <c r="H4406" i="2"/>
  <c r="F4394" i="2"/>
  <c r="H4394" i="2"/>
  <c r="F4383" i="2"/>
  <c r="H4383" i="2"/>
  <c r="F4393" i="2"/>
  <c r="H4393" i="2"/>
  <c r="F4405" i="2"/>
  <c r="H4405" i="2"/>
  <c r="F4404" i="2"/>
  <c r="H4404" i="2"/>
  <c r="F4392" i="2"/>
  <c r="H4392" i="2"/>
  <c r="F4391" i="2"/>
  <c r="H4391" i="2"/>
  <c r="F4384" i="2"/>
  <c r="H4384" i="2"/>
  <c r="F4403" i="2"/>
  <c r="H4403" i="2"/>
  <c r="F4402" i="2"/>
  <c r="H4402" i="2"/>
  <c r="F4390" i="2"/>
  <c r="H4390" i="2"/>
  <c r="F4389" i="2"/>
  <c r="H4389" i="2"/>
  <c r="F4401" i="2"/>
  <c r="H4401" i="2"/>
  <c r="F4412" i="2"/>
  <c r="H4412" i="2"/>
  <c r="F4400" i="2"/>
  <c r="H4400" i="2"/>
  <c r="F4388" i="2"/>
  <c r="H4388" i="2"/>
  <c r="F4385" i="2"/>
  <c r="H4385" i="2"/>
  <c r="F4407" i="2"/>
  <c r="H4407" i="2"/>
  <c r="F4387" i="2"/>
  <c r="H4387" i="2"/>
  <c r="A4382" i="2"/>
  <c r="A4387" i="2"/>
  <c r="A4385" i="2"/>
  <c r="A4383" i="2"/>
  <c r="A4410" i="2"/>
  <c r="A4406" i="2"/>
  <c r="A4404" i="2"/>
  <c r="A4402" i="2"/>
  <c r="A4400" i="2"/>
  <c r="A4398" i="2"/>
  <c r="A4396" i="2"/>
  <c r="A4394" i="2"/>
  <c r="A4392" i="2"/>
  <c r="A4390" i="2"/>
  <c r="A4388" i="2"/>
  <c r="A4386" i="2"/>
  <c r="A4411" i="2"/>
  <c r="A4409" i="2"/>
  <c r="A4407" i="2"/>
  <c r="A4405" i="2"/>
  <c r="A4403" i="2"/>
  <c r="A4401" i="2"/>
  <c r="A4399" i="2"/>
  <c r="A4397" i="2"/>
  <c r="A4395" i="2"/>
  <c r="A4393" i="2"/>
  <c r="A4391" i="2"/>
  <c r="A4389" i="2"/>
  <c r="A4412" i="2"/>
  <c r="A4408" i="2"/>
  <c r="F4382" i="2"/>
  <c r="G4352" i="2"/>
  <c r="G4353" i="2"/>
  <c r="G4354" i="2"/>
  <c r="G4355" i="2"/>
  <c r="G4356" i="2"/>
  <c r="G4357" i="2"/>
  <c r="G4358" i="2"/>
  <c r="G4359" i="2"/>
  <c r="G4360" i="2"/>
  <c r="G4361" i="2"/>
  <c r="G4362" i="2"/>
  <c r="A4362" i="2" s="1"/>
  <c r="G4363" i="2"/>
  <c r="G4364" i="2"/>
  <c r="G4365" i="2"/>
  <c r="G4366" i="2"/>
  <c r="G4367" i="2"/>
  <c r="G4368" i="2"/>
  <c r="G4369" i="2"/>
  <c r="G4370" i="2"/>
  <c r="G4371" i="2"/>
  <c r="G4372" i="2"/>
  <c r="G4373" i="2"/>
  <c r="G4374" i="2"/>
  <c r="G4375" i="2"/>
  <c r="G4376" i="2"/>
  <c r="G4377" i="2"/>
  <c r="G4378" i="2"/>
  <c r="G4379" i="2"/>
  <c r="G4380" i="2"/>
  <c r="G4381" i="2"/>
  <c r="G4351" i="2"/>
  <c r="F4366" i="2" l="1"/>
  <c r="H4366" i="2"/>
  <c r="F4376" i="2"/>
  <c r="H4376" i="2"/>
  <c r="F4380" i="2"/>
  <c r="H4380" i="2"/>
  <c r="F4357" i="2"/>
  <c r="H4357" i="2"/>
  <c r="F4379" i="2"/>
  <c r="H4379" i="2"/>
  <c r="F4367" i="2"/>
  <c r="H4367" i="2"/>
  <c r="F4356" i="2"/>
  <c r="H4356" i="2"/>
  <c r="F4377" i="2"/>
  <c r="H4377" i="2"/>
  <c r="F4365" i="2"/>
  <c r="H4365" i="2"/>
  <c r="F4354" i="2"/>
  <c r="H4354" i="2"/>
  <c r="F4364" i="2"/>
  <c r="H4364" i="2"/>
  <c r="F4355" i="2"/>
  <c r="H4355" i="2"/>
  <c r="F4375" i="2"/>
  <c r="H4375" i="2"/>
  <c r="F4363" i="2"/>
  <c r="H4363" i="2"/>
  <c r="F4352" i="2"/>
  <c r="H4352" i="2"/>
  <c r="F4373" i="2"/>
  <c r="H4373" i="2"/>
  <c r="F4362" i="2"/>
  <c r="H4362" i="2"/>
  <c r="F4353" i="2"/>
  <c r="H4353" i="2"/>
  <c r="F4372" i="2"/>
  <c r="H4372" i="2"/>
  <c r="F4351" i="2"/>
  <c r="H4351" i="2"/>
  <c r="F4371" i="2"/>
  <c r="H4371" i="2"/>
  <c r="F4360" i="2"/>
  <c r="H4360" i="2"/>
  <c r="F4370" i="2"/>
  <c r="H4370" i="2"/>
  <c r="F4374" i="2"/>
  <c r="H4374" i="2"/>
  <c r="F4361" i="2"/>
  <c r="H4361" i="2"/>
  <c r="F4381" i="2"/>
  <c r="H4381" i="2"/>
  <c r="F4359" i="2"/>
  <c r="H4359" i="2"/>
  <c r="A4380" i="2"/>
  <c r="F4369" i="2"/>
  <c r="H4369" i="2"/>
  <c r="F4358" i="2"/>
  <c r="H4358" i="2"/>
  <c r="F4378" i="2"/>
  <c r="H4378" i="2"/>
  <c r="F4368" i="2"/>
  <c r="H4368" i="2"/>
  <c r="A4368" i="2"/>
  <c r="A4366" i="2"/>
  <c r="A4356" i="2"/>
  <c r="A4352" i="2"/>
  <c r="A4378" i="2"/>
  <c r="A4354" i="2"/>
  <c r="A4374" i="2"/>
  <c r="A4371" i="2"/>
  <c r="A4359" i="2"/>
  <c r="A4376" i="2"/>
  <c r="A4364" i="2"/>
  <c r="A4379" i="2"/>
  <c r="A4367" i="2"/>
  <c r="A4355" i="2"/>
  <c r="A4351" i="2"/>
  <c r="A4372" i="2"/>
  <c r="A4360" i="2"/>
  <c r="A4370" i="2"/>
  <c r="A4358" i="2"/>
  <c r="A4375" i="2"/>
  <c r="A4363" i="2"/>
  <c r="A4381" i="2"/>
  <c r="A4377" i="2"/>
  <c r="A4373" i="2"/>
  <c r="A4369" i="2"/>
  <c r="A4365" i="2"/>
  <c r="A4361" i="2"/>
  <c r="A4357" i="2"/>
  <c r="A4353" i="2"/>
  <c r="G4321" i="2"/>
  <c r="G4322" i="2"/>
  <c r="G4323" i="2"/>
  <c r="G4324" i="2"/>
  <c r="G4325" i="2"/>
  <c r="G4326" i="2"/>
  <c r="G4327" i="2"/>
  <c r="G4328" i="2"/>
  <c r="G4329" i="2"/>
  <c r="G4330" i="2"/>
  <c r="A4330" i="2"/>
  <c r="G4331" i="2"/>
  <c r="G4332" i="2"/>
  <c r="G4333" i="2"/>
  <c r="G4334" i="2"/>
  <c r="G4335" i="2"/>
  <c r="G4336" i="2"/>
  <c r="G4337" i="2"/>
  <c r="G4338" i="2"/>
  <c r="G4339" i="2"/>
  <c r="G4340" i="2"/>
  <c r="A4340" i="2" s="1"/>
  <c r="G4341" i="2"/>
  <c r="G4342" i="2"/>
  <c r="A4342" i="2" s="1"/>
  <c r="G4343" i="2"/>
  <c r="G4344" i="2"/>
  <c r="G4345" i="2"/>
  <c r="G4346" i="2"/>
  <c r="G4347" i="2"/>
  <c r="G4348" i="2"/>
  <c r="G4349" i="2"/>
  <c r="G4350" i="2"/>
  <c r="G4320" i="2"/>
  <c r="F4345" i="2" l="1"/>
  <c r="H4345" i="2"/>
  <c r="F4324" i="2"/>
  <c r="H4324" i="2"/>
  <c r="F4333" i="2"/>
  <c r="H4333" i="2"/>
  <c r="F4322" i="2"/>
  <c r="H4322" i="2"/>
  <c r="F4335" i="2"/>
  <c r="H4335" i="2"/>
  <c r="F4342" i="2"/>
  <c r="H4342" i="2"/>
  <c r="F4331" i="2"/>
  <c r="H4331" i="2"/>
  <c r="F4341" i="2"/>
  <c r="H4341" i="2"/>
  <c r="F4323" i="2"/>
  <c r="H4323" i="2"/>
  <c r="F4332" i="2"/>
  <c r="H4332" i="2"/>
  <c r="F4320" i="2"/>
  <c r="H4320" i="2"/>
  <c r="F4330" i="2"/>
  <c r="H4330" i="2"/>
  <c r="F4340" i="2"/>
  <c r="H4340" i="2"/>
  <c r="F4344" i="2"/>
  <c r="H4344" i="2"/>
  <c r="F4343" i="2"/>
  <c r="H4343" i="2"/>
  <c r="F4329" i="2"/>
  <c r="H4329" i="2"/>
  <c r="F4349" i="2"/>
  <c r="H4349" i="2"/>
  <c r="F4339" i="2"/>
  <c r="H4339" i="2"/>
  <c r="F4328" i="2"/>
  <c r="H4328" i="2"/>
  <c r="F4334" i="2"/>
  <c r="H4334" i="2"/>
  <c r="F4321" i="2"/>
  <c r="H4321" i="2"/>
  <c r="F4338" i="2"/>
  <c r="H4338" i="2"/>
  <c r="F4350" i="2"/>
  <c r="H4350" i="2"/>
  <c r="F4348" i="2"/>
  <c r="H4348" i="2"/>
  <c r="F4327" i="2"/>
  <c r="H4327" i="2"/>
  <c r="F4347" i="2"/>
  <c r="H4347" i="2"/>
  <c r="F4337" i="2"/>
  <c r="H4337" i="2"/>
  <c r="F4326" i="2"/>
  <c r="H4326" i="2"/>
  <c r="F4346" i="2"/>
  <c r="H4346" i="2"/>
  <c r="F4336" i="2"/>
  <c r="H4336" i="2"/>
  <c r="F4325" i="2"/>
  <c r="H4325" i="2"/>
  <c r="A4332" i="2"/>
  <c r="A4326" i="2"/>
  <c r="A4324" i="2"/>
  <c r="A4335" i="2"/>
  <c r="A4331" i="2"/>
  <c r="A4327" i="2"/>
  <c r="A4343" i="2"/>
  <c r="A4320" i="2"/>
  <c r="A4348" i="2"/>
  <c r="A4336" i="2"/>
  <c r="A4323" i="2"/>
  <c r="A4346" i="2"/>
  <c r="A4334" i="2"/>
  <c r="A4322" i="2"/>
  <c r="A4339" i="2"/>
  <c r="A4344" i="2"/>
  <c r="A4347" i="2"/>
  <c r="A4328" i="2"/>
  <c r="A4350" i="2"/>
  <c r="A4338" i="2"/>
  <c r="A4349" i="2"/>
  <c r="A4345" i="2"/>
  <c r="A4341" i="2"/>
  <c r="A4337" i="2"/>
  <c r="A4333" i="2"/>
  <c r="A4329" i="2"/>
  <c r="A4325" i="2"/>
  <c r="A4321" i="2"/>
  <c r="G4290" i="2"/>
  <c r="G4291" i="2"/>
  <c r="G4292" i="2"/>
  <c r="G4293" i="2"/>
  <c r="G4294" i="2"/>
  <c r="A4294" i="2" s="1"/>
  <c r="G4295" i="2"/>
  <c r="G4296" i="2"/>
  <c r="G4297" i="2"/>
  <c r="G4298" i="2"/>
  <c r="G4299" i="2"/>
  <c r="A4299" i="2" s="1"/>
  <c r="G4300" i="2"/>
  <c r="G4301" i="2"/>
  <c r="G4302" i="2"/>
  <c r="A4302" i="2" s="1"/>
  <c r="G4303" i="2"/>
  <c r="G4304" i="2"/>
  <c r="G4305" i="2"/>
  <c r="G4306" i="2"/>
  <c r="G4307" i="2"/>
  <c r="G4308" i="2"/>
  <c r="G4309" i="2"/>
  <c r="A4309" i="2" s="1"/>
  <c r="G4310" i="2"/>
  <c r="G4311" i="2"/>
  <c r="A4311" i="2" s="1"/>
  <c r="G4312" i="2"/>
  <c r="G4313" i="2"/>
  <c r="A4313" i="2" s="1"/>
  <c r="G4314" i="2"/>
  <c r="G4315" i="2"/>
  <c r="G4316" i="2"/>
  <c r="G4317" i="2"/>
  <c r="G4318" i="2"/>
  <c r="A4318" i="2" s="1"/>
  <c r="G4319" i="2"/>
  <c r="G4289" i="2"/>
  <c r="H4289" i="2" s="1"/>
  <c r="F4305" i="2" l="1"/>
  <c r="H4305" i="2"/>
  <c r="F4295" i="2"/>
  <c r="H4295" i="2"/>
  <c r="F4304" i="2"/>
  <c r="H4304" i="2"/>
  <c r="F4312" i="2"/>
  <c r="H4312" i="2"/>
  <c r="F4293" i="2"/>
  <c r="H4293" i="2"/>
  <c r="F4311" i="2"/>
  <c r="H4311" i="2"/>
  <c r="F4301" i="2"/>
  <c r="H4301" i="2"/>
  <c r="F4291" i="2"/>
  <c r="H4291" i="2"/>
  <c r="F4290" i="2"/>
  <c r="H4290" i="2"/>
  <c r="F4294" i="2"/>
  <c r="H4294" i="2"/>
  <c r="F4302" i="2"/>
  <c r="H4302" i="2"/>
  <c r="F4309" i="2"/>
  <c r="H4309" i="2"/>
  <c r="F4303" i="2"/>
  <c r="H4303" i="2"/>
  <c r="F4300" i="2"/>
  <c r="H4300" i="2"/>
  <c r="F4299" i="2"/>
  <c r="H4299" i="2"/>
  <c r="F4317" i="2"/>
  <c r="H4317" i="2"/>
  <c r="F4308" i="2"/>
  <c r="H4308" i="2"/>
  <c r="F4298" i="2"/>
  <c r="H4298" i="2"/>
  <c r="F4313" i="2"/>
  <c r="H4313" i="2"/>
  <c r="F4319" i="2"/>
  <c r="H4319" i="2"/>
  <c r="F4318" i="2"/>
  <c r="H4318" i="2"/>
  <c r="F4307" i="2"/>
  <c r="H4307" i="2"/>
  <c r="F4292" i="2"/>
  <c r="H4292" i="2"/>
  <c r="F4310" i="2"/>
  <c r="H4310" i="2"/>
  <c r="F4316" i="2"/>
  <c r="H4316" i="2"/>
  <c r="F4297" i="2"/>
  <c r="H4297" i="2"/>
  <c r="F4315" i="2"/>
  <c r="H4315" i="2"/>
  <c r="F4306" i="2"/>
  <c r="H4306" i="2"/>
  <c r="F4296" i="2"/>
  <c r="H4296" i="2"/>
  <c r="F4314" i="2"/>
  <c r="H4314" i="2"/>
  <c r="A4305" i="2"/>
  <c r="A4314" i="2"/>
  <c r="A4293" i="2"/>
  <c r="A4298" i="2"/>
  <c r="A4297" i="2"/>
  <c r="A4317" i="2"/>
  <c r="A4306" i="2"/>
  <c r="A4301" i="2"/>
  <c r="A4310" i="2"/>
  <c r="A4290" i="2"/>
  <c r="A4315" i="2"/>
  <c r="A4303" i="2"/>
  <c r="A4291" i="2"/>
  <c r="A4308" i="2"/>
  <c r="A4296" i="2"/>
  <c r="A4304" i="2"/>
  <c r="A4292" i="2"/>
  <c r="A4319" i="2"/>
  <c r="A4307" i="2"/>
  <c r="A4295" i="2"/>
  <c r="A4300" i="2"/>
  <c r="A4289" i="2"/>
  <c r="A4316" i="2"/>
  <c r="A4312" i="2"/>
  <c r="F4289" i="2"/>
  <c r="G4259" i="2"/>
  <c r="A4259" i="2" s="1"/>
  <c r="G4260" i="2"/>
  <c r="G4261" i="2"/>
  <c r="H4261" i="2" s="1"/>
  <c r="G4262" i="2"/>
  <c r="G4263" i="2"/>
  <c r="G4264" i="2"/>
  <c r="H4264" i="2" s="1"/>
  <c r="G4265" i="2"/>
  <c r="G4266" i="2"/>
  <c r="H4266" i="2" s="1"/>
  <c r="G4267" i="2"/>
  <c r="H4267" i="2" s="1"/>
  <c r="G4268" i="2"/>
  <c r="A4268" i="2" s="1"/>
  <c r="G4269" i="2"/>
  <c r="G4270" i="2"/>
  <c r="H4270" i="2" s="1"/>
  <c r="G4271" i="2"/>
  <c r="G4272" i="2"/>
  <c r="A4272" i="2" s="1"/>
  <c r="G4273" i="2"/>
  <c r="H4273" i="2" s="1"/>
  <c r="G4274" i="2"/>
  <c r="G4275" i="2"/>
  <c r="A4275" i="2" s="1"/>
  <c r="G4276" i="2"/>
  <c r="H4276" i="2" s="1"/>
  <c r="G4277" i="2"/>
  <c r="A4277" i="2" s="1"/>
  <c r="G4278" i="2"/>
  <c r="A4278" i="2" s="1"/>
  <c r="G4279" i="2"/>
  <c r="H4279" i="2" s="1"/>
  <c r="G4280" i="2"/>
  <c r="A4280" i="2" s="1"/>
  <c r="G4281" i="2"/>
  <c r="A4281" i="2" s="1"/>
  <c r="G4282" i="2"/>
  <c r="H4282" i="2" s="1"/>
  <c r="G4283" i="2"/>
  <c r="G4284" i="2"/>
  <c r="H4284" i="2" s="1"/>
  <c r="G4285" i="2"/>
  <c r="H4285" i="2" s="1"/>
  <c r="G4286" i="2"/>
  <c r="G4287" i="2"/>
  <c r="A4287" i="2" s="1"/>
  <c r="G4288" i="2"/>
  <c r="H4288" i="2" s="1"/>
  <c r="G4258" i="2"/>
  <c r="H4258" i="2" s="1"/>
  <c r="F4284" i="2" l="1"/>
  <c r="F4283" i="2"/>
  <c r="H4283" i="2"/>
  <c r="A4266" i="2"/>
  <c r="A4258" i="2"/>
  <c r="F4274" i="2"/>
  <c r="H4274" i="2"/>
  <c r="F4266" i="2"/>
  <c r="F4281" i="2"/>
  <c r="H4281" i="2"/>
  <c r="F4265" i="2"/>
  <c r="H4265" i="2"/>
  <c r="F4272" i="2"/>
  <c r="H4272" i="2"/>
  <c r="F4263" i="2"/>
  <c r="H4263" i="2"/>
  <c r="F4287" i="2"/>
  <c r="H4287" i="2"/>
  <c r="F4271" i="2"/>
  <c r="H4271" i="2"/>
  <c r="F4262" i="2"/>
  <c r="H4262" i="2"/>
  <c r="A4285" i="2"/>
  <c r="F4278" i="2"/>
  <c r="H4278" i="2"/>
  <c r="F4269" i="2"/>
  <c r="H4269" i="2"/>
  <c r="F4260" i="2"/>
  <c r="H4260" i="2"/>
  <c r="F4275" i="2"/>
  <c r="H4275" i="2"/>
  <c r="F4280" i="2"/>
  <c r="H4280" i="2"/>
  <c r="F4286" i="2"/>
  <c r="H4286" i="2"/>
  <c r="F4277" i="2"/>
  <c r="H4277" i="2"/>
  <c r="F4268" i="2"/>
  <c r="H4268" i="2"/>
  <c r="F4259" i="2"/>
  <c r="H4259" i="2"/>
  <c r="A4274" i="2"/>
  <c r="A4283" i="2"/>
  <c r="A4262" i="2"/>
  <c r="A4288" i="2"/>
  <c r="A4286" i="2"/>
  <c r="A4284" i="2"/>
  <c r="A4271" i="2"/>
  <c r="A4260" i="2"/>
  <c r="A4269" i="2"/>
  <c r="A4265" i="2"/>
  <c r="A4263" i="2"/>
  <c r="F4288" i="2"/>
  <c r="F4285" i="2"/>
  <c r="F4282" i="2"/>
  <c r="F4279" i="2"/>
  <c r="F4276" i="2"/>
  <c r="F4273" i="2"/>
  <c r="F4270" i="2"/>
  <c r="F4267" i="2"/>
  <c r="F4264" i="2"/>
  <c r="F4261" i="2"/>
  <c r="A4282" i="2"/>
  <c r="A4276" i="2"/>
  <c r="A4264" i="2"/>
  <c r="A4261" i="2"/>
  <c r="A4279" i="2"/>
  <c r="A4273" i="2"/>
  <c r="A4270" i="2"/>
  <c r="A4267" i="2"/>
  <c r="F4258" i="2"/>
  <c r="G4228" i="2"/>
  <c r="G4229" i="2"/>
  <c r="A4229" i="2" s="1"/>
  <c r="G4230" i="2"/>
  <c r="G4231" i="2"/>
  <c r="A4231" i="2" s="1"/>
  <c r="G4232" i="2"/>
  <c r="G4233" i="2"/>
  <c r="A4233" i="2" s="1"/>
  <c r="G4234" i="2"/>
  <c r="G4235" i="2"/>
  <c r="A4235" i="2"/>
  <c r="G4236" i="2"/>
  <c r="G4237" i="2"/>
  <c r="G4238" i="2"/>
  <c r="G4239" i="2"/>
  <c r="G4240" i="2"/>
  <c r="G4241" i="2"/>
  <c r="A4241" i="2" s="1"/>
  <c r="G4242" i="2"/>
  <c r="G4243" i="2"/>
  <c r="A4243" i="2" s="1"/>
  <c r="G4244" i="2"/>
  <c r="G4245" i="2"/>
  <c r="A4245" i="2" s="1"/>
  <c r="G4246" i="2"/>
  <c r="G4247" i="2"/>
  <c r="G4248" i="2"/>
  <c r="G4249" i="2"/>
  <c r="G4250" i="2"/>
  <c r="G4251" i="2"/>
  <c r="G4252" i="2"/>
  <c r="G4253" i="2"/>
  <c r="G4254" i="2"/>
  <c r="G4255" i="2"/>
  <c r="G4256" i="2"/>
  <c r="G4257" i="2"/>
  <c r="G4227" i="2"/>
  <c r="H4227" i="2" s="1"/>
  <c r="F4247" i="2" l="1"/>
  <c r="H4247" i="2"/>
  <c r="F4257" i="2"/>
  <c r="H4257" i="2"/>
  <c r="F4228" i="2"/>
  <c r="H4228" i="2"/>
  <c r="F4238" i="2"/>
  <c r="H4238" i="2"/>
  <c r="F4245" i="2"/>
  <c r="H4245" i="2"/>
  <c r="F4244" i="2"/>
  <c r="H4244" i="2"/>
  <c r="F4243" i="2"/>
  <c r="H4243" i="2"/>
  <c r="F4229" i="2"/>
  <c r="H4229" i="2"/>
  <c r="F4234" i="2"/>
  <c r="H4234" i="2"/>
  <c r="F4253" i="2"/>
  <c r="H4253" i="2"/>
  <c r="F4252" i="2"/>
  <c r="H4252" i="2"/>
  <c r="F4242" i="2"/>
  <c r="H4242" i="2"/>
  <c r="F4233" i="2"/>
  <c r="H4233" i="2"/>
  <c r="F4256" i="2"/>
  <c r="H4256" i="2"/>
  <c r="F4235" i="2"/>
  <c r="H4235" i="2"/>
  <c r="F4254" i="2"/>
  <c r="H4254" i="2"/>
  <c r="F4241" i="2"/>
  <c r="H4241" i="2"/>
  <c r="F4246" i="2"/>
  <c r="H4246" i="2"/>
  <c r="F4255" i="2"/>
  <c r="H4255" i="2"/>
  <c r="F4250" i="2"/>
  <c r="H4250" i="2"/>
  <c r="F4231" i="2"/>
  <c r="H4231" i="2"/>
  <c r="F4237" i="2"/>
  <c r="H4237" i="2"/>
  <c r="F4236" i="2"/>
  <c r="H4236" i="2"/>
  <c r="F4251" i="2"/>
  <c r="H4251" i="2"/>
  <c r="F4232" i="2"/>
  <c r="H4232" i="2"/>
  <c r="F4249" i="2"/>
  <c r="H4249" i="2"/>
  <c r="F4240" i="2"/>
  <c r="H4240" i="2"/>
  <c r="F4248" i="2"/>
  <c r="H4248" i="2"/>
  <c r="F4239" i="2"/>
  <c r="H4239" i="2"/>
  <c r="F4230" i="2"/>
  <c r="H4230" i="2"/>
  <c r="A4257" i="2"/>
  <c r="A4255" i="2"/>
  <c r="A4239" i="2"/>
  <c r="A4237" i="2"/>
  <c r="A4240" i="2"/>
  <c r="A4236" i="2"/>
  <c r="A4232" i="2"/>
  <c r="A4228" i="2"/>
  <c r="A4252" i="2"/>
  <c r="A4251" i="2"/>
  <c r="A4256" i="2"/>
  <c r="A4244" i="2"/>
  <c r="A4249" i="2"/>
  <c r="A4248" i="2"/>
  <c r="A4253" i="2"/>
  <c r="A4227" i="2"/>
  <c r="A4247" i="2"/>
  <c r="A4254" i="2"/>
  <c r="A4250" i="2"/>
  <c r="A4246" i="2"/>
  <c r="A4242" i="2"/>
  <c r="A4238" i="2"/>
  <c r="A4234" i="2"/>
  <c r="A4230" i="2"/>
  <c r="F4227" i="2"/>
  <c r="G4197" i="2"/>
  <c r="G4198" i="2"/>
  <c r="G4199" i="2"/>
  <c r="H4199" i="2" s="1"/>
  <c r="G4200" i="2"/>
  <c r="A4200" i="2" s="1"/>
  <c r="G4201" i="2"/>
  <c r="H4201" i="2" s="1"/>
  <c r="G4202" i="2"/>
  <c r="H4202" i="2" s="1"/>
  <c r="G4203" i="2"/>
  <c r="H4203" i="2" s="1"/>
  <c r="G4204" i="2"/>
  <c r="G4205" i="2"/>
  <c r="H4205" i="2" s="1"/>
  <c r="G4206" i="2"/>
  <c r="H4206" i="2" s="1"/>
  <c r="G4207" i="2"/>
  <c r="A4207" i="2" s="1"/>
  <c r="G4208" i="2"/>
  <c r="A4208" i="2" s="1"/>
  <c r="G4209" i="2"/>
  <c r="G4210" i="2"/>
  <c r="A4210" i="2" s="1"/>
  <c r="G4211" i="2"/>
  <c r="G4212" i="2"/>
  <c r="H4212" i="2" s="1"/>
  <c r="G4213" i="2"/>
  <c r="H4213" i="2" s="1"/>
  <c r="G4214" i="2"/>
  <c r="H4214" i="2" s="1"/>
  <c r="G4215" i="2"/>
  <c r="H4215" i="2" s="1"/>
  <c r="G4216" i="2"/>
  <c r="H4216" i="2" s="1"/>
  <c r="G4217" i="2"/>
  <c r="H4217" i="2" s="1"/>
  <c r="G4218" i="2"/>
  <c r="H4218" i="2" s="1"/>
  <c r="G4219" i="2"/>
  <c r="G4220" i="2"/>
  <c r="G4221" i="2"/>
  <c r="G4222" i="2"/>
  <c r="A4222" i="2" s="1"/>
  <c r="G4223" i="2"/>
  <c r="H4223" i="2" s="1"/>
  <c r="G4224" i="2"/>
  <c r="H4224" i="2" s="1"/>
  <c r="G4225" i="2"/>
  <c r="H4225" i="2" s="1"/>
  <c r="G4226" i="2"/>
  <c r="H4226" i="2" s="1"/>
  <c r="G4196" i="2"/>
  <c r="H4196" i="2" s="1"/>
  <c r="A4198" i="2"/>
  <c r="F4201" i="2"/>
  <c r="A4201" i="2"/>
  <c r="F4203" i="2"/>
  <c r="A4203" i="2" l="1"/>
  <c r="F4225" i="2"/>
  <c r="F4196" i="2"/>
  <c r="F4215" i="2"/>
  <c r="A4215" i="2"/>
  <c r="F4217" i="2"/>
  <c r="A4217" i="2"/>
  <c r="F4213" i="2"/>
  <c r="F4212" i="2"/>
  <c r="A4196" i="2"/>
  <c r="A4226" i="2"/>
  <c r="A4225" i="2"/>
  <c r="A4205" i="2"/>
  <c r="F4202" i="2"/>
  <c r="F4220" i="2"/>
  <c r="H4220" i="2"/>
  <c r="F4208" i="2"/>
  <c r="H4208" i="2"/>
  <c r="F4219" i="2"/>
  <c r="H4219" i="2"/>
  <c r="F4207" i="2"/>
  <c r="H4207" i="2"/>
  <c r="A4216" i="2"/>
  <c r="F4204" i="2"/>
  <c r="H4204" i="2"/>
  <c r="F4226" i="2"/>
  <c r="F4206" i="2"/>
  <c r="A4214" i="2"/>
  <c r="F4205" i="2"/>
  <c r="F4216" i="2"/>
  <c r="F4200" i="2"/>
  <c r="H4200" i="2"/>
  <c r="F4224" i="2"/>
  <c r="A4213" i="2"/>
  <c r="F4211" i="2"/>
  <c r="H4211" i="2"/>
  <c r="F4214" i="2"/>
  <c r="F4222" i="2"/>
  <c r="H4222" i="2"/>
  <c r="F4210" i="2"/>
  <c r="H4210" i="2"/>
  <c r="A4224" i="2"/>
  <c r="A4204" i="2"/>
  <c r="F4198" i="2"/>
  <c r="H4198" i="2"/>
  <c r="A4218" i="2"/>
  <c r="A4212" i="2"/>
  <c r="A4202" i="2"/>
  <c r="F4221" i="2"/>
  <c r="H4221" i="2"/>
  <c r="F4209" i="2"/>
  <c r="H4209" i="2"/>
  <c r="F4197" i="2"/>
  <c r="H4197" i="2"/>
  <c r="A4206" i="2"/>
  <c r="F4218" i="2"/>
  <c r="A4197" i="2"/>
  <c r="A4221" i="2"/>
  <c r="A4209" i="2"/>
  <c r="A4220" i="2"/>
  <c r="A4219" i="2"/>
  <c r="A4199" i="2"/>
  <c r="A4223" i="2"/>
  <c r="F4199" i="2"/>
  <c r="F4223" i="2"/>
  <c r="A4211" i="2"/>
  <c r="G4166" i="2"/>
  <c r="G4167" i="2"/>
  <c r="G4168" i="2"/>
  <c r="G4169" i="2"/>
  <c r="G4170" i="2"/>
  <c r="G4171" i="2"/>
  <c r="G4172" i="2"/>
  <c r="G4173" i="2"/>
  <c r="G4174" i="2"/>
  <c r="G4175" i="2"/>
  <c r="G4176" i="2"/>
  <c r="G4177" i="2"/>
  <c r="G4178" i="2"/>
  <c r="G4179" i="2"/>
  <c r="G4180" i="2"/>
  <c r="G4181" i="2"/>
  <c r="G4182" i="2"/>
  <c r="G4183" i="2"/>
  <c r="G4184" i="2"/>
  <c r="G4185" i="2"/>
  <c r="G4186" i="2"/>
  <c r="G4187" i="2"/>
  <c r="G4188" i="2"/>
  <c r="G4189" i="2"/>
  <c r="G4190" i="2"/>
  <c r="G4191" i="2"/>
  <c r="G4192" i="2"/>
  <c r="G4193" i="2"/>
  <c r="G4194" i="2"/>
  <c r="G4195" i="2"/>
  <c r="G4165" i="2"/>
  <c r="H4165" i="2" s="1"/>
  <c r="F4172" i="2" l="1"/>
  <c r="H4172" i="2"/>
  <c r="F4171" i="2"/>
  <c r="H4171" i="2"/>
  <c r="F4170" i="2"/>
  <c r="H4170" i="2"/>
  <c r="F4193" i="2"/>
  <c r="H4193" i="2"/>
  <c r="F4181" i="2"/>
  <c r="H4181" i="2"/>
  <c r="F4169" i="2"/>
  <c r="H4169" i="2"/>
  <c r="F4195" i="2"/>
  <c r="H4195" i="2"/>
  <c r="F4194" i="2"/>
  <c r="H4194" i="2"/>
  <c r="F4168" i="2"/>
  <c r="H4168" i="2"/>
  <c r="F4191" i="2"/>
  <c r="H4191" i="2"/>
  <c r="F4179" i="2"/>
  <c r="H4179" i="2"/>
  <c r="F4167" i="2"/>
  <c r="H4167" i="2"/>
  <c r="F4184" i="2"/>
  <c r="H4184" i="2"/>
  <c r="F4190" i="2"/>
  <c r="H4190" i="2"/>
  <c r="F4182" i="2"/>
  <c r="H4182" i="2"/>
  <c r="F4166" i="2"/>
  <c r="H4166" i="2"/>
  <c r="F4189" i="2"/>
  <c r="H4189" i="2"/>
  <c r="F4177" i="2"/>
  <c r="H4177" i="2"/>
  <c r="F4183" i="2"/>
  <c r="H4183" i="2"/>
  <c r="F4188" i="2"/>
  <c r="H4188" i="2"/>
  <c r="F4187" i="2"/>
  <c r="H4187" i="2"/>
  <c r="F4175" i="2"/>
  <c r="H4175" i="2"/>
  <c r="F4180" i="2"/>
  <c r="H4180" i="2"/>
  <c r="F4176" i="2"/>
  <c r="H4176" i="2"/>
  <c r="F4186" i="2"/>
  <c r="H4186" i="2"/>
  <c r="F4174" i="2"/>
  <c r="H4174" i="2"/>
  <c r="F4192" i="2"/>
  <c r="H4192" i="2"/>
  <c r="F4178" i="2"/>
  <c r="H4178" i="2"/>
  <c r="F4185" i="2"/>
  <c r="H4185" i="2"/>
  <c r="F4173" i="2"/>
  <c r="H4173" i="2"/>
  <c r="A4190" i="2"/>
  <c r="A4177" i="2"/>
  <c r="A4178" i="2"/>
  <c r="A4189" i="2"/>
  <c r="A4181" i="2"/>
  <c r="A4170" i="2"/>
  <c r="A4166" i="2"/>
  <c r="A4193" i="2"/>
  <c r="A4182" i="2"/>
  <c r="A4173" i="2"/>
  <c r="A4169" i="2"/>
  <c r="A4194" i="2"/>
  <c r="A4185" i="2"/>
  <c r="A4187" i="2"/>
  <c r="A4175" i="2"/>
  <c r="A4183" i="2"/>
  <c r="A4171" i="2"/>
  <c r="A4195" i="2"/>
  <c r="A4186" i="2"/>
  <c r="A4174" i="2"/>
  <c r="A4191" i="2"/>
  <c r="A4179" i="2"/>
  <c r="A4167" i="2"/>
  <c r="A4165" i="2"/>
  <c r="A4192" i="2"/>
  <c r="A4188" i="2"/>
  <c r="A4184" i="2"/>
  <c r="A4180" i="2"/>
  <c r="A4176" i="2"/>
  <c r="A4172" i="2"/>
  <c r="A4168" i="2"/>
  <c r="F4165" i="2"/>
  <c r="G4135" i="2"/>
  <c r="A4135" i="2" s="1"/>
  <c r="G4136" i="2"/>
  <c r="A4136" i="2" s="1"/>
  <c r="G4137" i="2"/>
  <c r="H4137" i="2" s="1"/>
  <c r="G4138" i="2"/>
  <c r="A4138" i="2" s="1"/>
  <c r="G4139" i="2"/>
  <c r="G4140" i="2"/>
  <c r="G4141" i="2"/>
  <c r="G4142" i="2"/>
  <c r="G4143" i="2"/>
  <c r="H4143" i="2" s="1"/>
  <c r="G4144" i="2"/>
  <c r="G4145" i="2"/>
  <c r="G4146" i="2"/>
  <c r="A4146" i="2" s="1"/>
  <c r="G4147" i="2"/>
  <c r="H4147" i="2" s="1"/>
  <c r="G4148" i="2"/>
  <c r="G4149" i="2"/>
  <c r="H4149" i="2" s="1"/>
  <c r="G4150" i="2"/>
  <c r="G4151" i="2"/>
  <c r="A4151" i="2" s="1"/>
  <c r="G4152" i="2"/>
  <c r="G4153" i="2"/>
  <c r="G4154" i="2"/>
  <c r="G4155" i="2"/>
  <c r="G4156" i="2"/>
  <c r="A4156" i="2" s="1"/>
  <c r="G4157" i="2"/>
  <c r="A4157" i="2" s="1"/>
  <c r="G4158" i="2"/>
  <c r="A4158" i="2" s="1"/>
  <c r="G4159" i="2"/>
  <c r="H4159" i="2" s="1"/>
  <c r="G4160" i="2"/>
  <c r="A4160" i="2" s="1"/>
  <c r="G4161" i="2"/>
  <c r="G4162" i="2"/>
  <c r="G4163" i="2"/>
  <c r="A4163" i="2" s="1"/>
  <c r="G4164" i="2"/>
  <c r="G4134" i="2"/>
  <c r="H4134" i="2" s="1"/>
  <c r="F4137" i="2" l="1"/>
  <c r="F4161" i="2"/>
  <c r="H4161" i="2"/>
  <c r="F4153" i="2"/>
  <c r="H4153" i="2"/>
  <c r="F4152" i="2"/>
  <c r="H4152" i="2"/>
  <c r="F4146" i="2"/>
  <c r="H4146" i="2"/>
  <c r="F4151" i="2"/>
  <c r="H4151" i="2"/>
  <c r="F4144" i="2"/>
  <c r="H4144" i="2"/>
  <c r="F4150" i="2"/>
  <c r="H4150" i="2"/>
  <c r="F4158" i="2"/>
  <c r="H4158" i="2"/>
  <c r="A4149" i="2"/>
  <c r="F4142" i="2"/>
  <c r="H4142" i="2"/>
  <c r="F4141" i="2"/>
  <c r="H4141" i="2"/>
  <c r="F4157" i="2"/>
  <c r="H4157" i="2"/>
  <c r="F4149" i="2"/>
  <c r="F4140" i="2"/>
  <c r="H4140" i="2"/>
  <c r="F4136" i="2"/>
  <c r="H4136" i="2"/>
  <c r="F4164" i="2"/>
  <c r="H4164" i="2"/>
  <c r="F4160" i="2"/>
  <c r="H4160" i="2"/>
  <c r="F4139" i="2"/>
  <c r="H4139" i="2"/>
  <c r="F4156" i="2"/>
  <c r="H4156" i="2"/>
  <c r="A4147" i="2"/>
  <c r="F4145" i="2"/>
  <c r="H4145" i="2"/>
  <c r="F4148" i="2"/>
  <c r="H4148" i="2"/>
  <c r="F4155" i="2"/>
  <c r="H4155" i="2"/>
  <c r="F4138" i="2"/>
  <c r="H4138" i="2"/>
  <c r="F4135" i="2"/>
  <c r="H4135" i="2"/>
  <c r="F4163" i="2"/>
  <c r="H4163" i="2"/>
  <c r="F4162" i="2"/>
  <c r="H4162" i="2"/>
  <c r="F4154" i="2"/>
  <c r="H4154" i="2"/>
  <c r="F4147" i="2"/>
  <c r="F4143" i="2"/>
  <c r="A4141" i="2"/>
  <c r="A4142" i="2"/>
  <c r="A4140" i="2"/>
  <c r="A4154" i="2"/>
  <c r="A4152" i="2"/>
  <c r="A4143" i="2"/>
  <c r="A4155" i="2"/>
  <c r="A4144" i="2"/>
  <c r="F4159" i="2"/>
  <c r="A4161" i="2"/>
  <c r="A4150" i="2"/>
  <c r="A4164" i="2"/>
  <c r="A4153" i="2"/>
  <c r="A4139" i="2"/>
  <c r="A4145" i="2"/>
  <c r="A4159" i="2"/>
  <c r="A4162" i="2"/>
  <c r="A4148" i="2"/>
  <c r="A4137" i="2"/>
  <c r="A4134" i="2"/>
  <c r="F4134" i="2"/>
  <c r="G4104" i="2"/>
  <c r="A4104" i="2" s="1"/>
  <c r="G4105" i="2"/>
  <c r="G4106" i="2"/>
  <c r="G4107" i="2"/>
  <c r="G4108" i="2"/>
  <c r="H4108" i="2" s="1"/>
  <c r="G4109" i="2"/>
  <c r="G4110" i="2"/>
  <c r="G4111" i="2"/>
  <c r="G4112" i="2"/>
  <c r="G4113" i="2"/>
  <c r="G4114" i="2"/>
  <c r="G4115" i="2"/>
  <c r="G4116" i="2"/>
  <c r="G4117" i="2"/>
  <c r="G4118" i="2"/>
  <c r="G4119" i="2"/>
  <c r="G4120" i="2"/>
  <c r="G4121" i="2"/>
  <c r="H4121" i="2" s="1"/>
  <c r="G4122" i="2"/>
  <c r="G4123" i="2"/>
  <c r="G4124" i="2"/>
  <c r="G4125" i="2"/>
  <c r="G4126" i="2"/>
  <c r="H4126" i="2" s="1"/>
  <c r="G4127" i="2"/>
  <c r="G4128" i="2"/>
  <c r="G4129" i="2"/>
  <c r="G4130" i="2"/>
  <c r="G4131" i="2"/>
  <c r="G4132" i="2"/>
  <c r="G4133" i="2"/>
  <c r="G4103" i="2"/>
  <c r="H4103" i="2" s="1"/>
  <c r="F4110" i="2" l="1"/>
  <c r="H4110" i="2"/>
  <c r="F4109" i="2"/>
  <c r="H4109" i="2"/>
  <c r="F4120" i="2"/>
  <c r="H4120" i="2"/>
  <c r="F4119" i="2"/>
  <c r="H4119" i="2"/>
  <c r="F4118" i="2"/>
  <c r="H4118" i="2"/>
  <c r="F4133" i="2"/>
  <c r="H4133" i="2"/>
  <c r="F4132" i="2"/>
  <c r="H4132" i="2"/>
  <c r="F4131" i="2"/>
  <c r="H4131" i="2"/>
  <c r="F4130" i="2"/>
  <c r="H4130" i="2"/>
  <c r="F4107" i="2"/>
  <c r="H4107" i="2"/>
  <c r="F4129" i="2"/>
  <c r="H4129" i="2"/>
  <c r="F4117" i="2"/>
  <c r="H4117" i="2"/>
  <c r="F4106" i="2"/>
  <c r="H4106" i="2"/>
  <c r="F4115" i="2"/>
  <c r="H4115" i="2"/>
  <c r="F4114" i="2"/>
  <c r="H4114" i="2"/>
  <c r="F4104" i="2"/>
  <c r="H4104" i="2"/>
  <c r="F4105" i="2"/>
  <c r="H4105" i="2"/>
  <c r="F4112" i="2"/>
  <c r="H4112" i="2"/>
  <c r="F4116" i="2"/>
  <c r="H4116" i="2"/>
  <c r="F4124" i="2"/>
  <c r="H4124" i="2"/>
  <c r="F4123" i="2"/>
  <c r="H4123" i="2"/>
  <c r="F4111" i="2"/>
  <c r="H4111" i="2"/>
  <c r="F4128" i="2"/>
  <c r="H4128" i="2"/>
  <c r="F4127" i="2"/>
  <c r="H4127" i="2"/>
  <c r="F4125" i="2"/>
  <c r="H4125" i="2"/>
  <c r="F4113" i="2"/>
  <c r="H4113" i="2"/>
  <c r="F4122" i="2"/>
  <c r="H4122" i="2"/>
  <c r="A4110" i="2"/>
  <c r="A4130" i="2"/>
  <c r="A4128" i="2"/>
  <c r="A4124" i="2"/>
  <c r="A4122" i="2"/>
  <c r="A4120" i="2"/>
  <c r="A4118" i="2"/>
  <c r="A4116" i="2"/>
  <c r="A4112" i="2"/>
  <c r="A4106" i="2"/>
  <c r="A4133" i="2"/>
  <c r="A4131" i="2"/>
  <c r="A4129" i="2"/>
  <c r="A4125" i="2"/>
  <c r="A4123" i="2"/>
  <c r="A4119" i="2"/>
  <c r="A4117" i="2"/>
  <c r="A4115" i="2"/>
  <c r="A4113" i="2"/>
  <c r="A4111" i="2"/>
  <c r="A4107" i="2"/>
  <c r="A4132" i="2"/>
  <c r="A4127" i="2"/>
  <c r="A4114" i="2"/>
  <c r="A4109" i="2"/>
  <c r="F4126" i="2"/>
  <c r="F4121" i="2"/>
  <c r="F4108" i="2"/>
  <c r="A4126" i="2"/>
  <c r="A4121" i="2"/>
  <c r="A4103" i="2"/>
  <c r="A4108" i="2"/>
  <c r="A4105" i="2"/>
  <c r="F4103" i="2"/>
  <c r="G4073" i="2"/>
  <c r="G4074" i="2"/>
  <c r="G4075" i="2"/>
  <c r="G4076" i="2"/>
  <c r="G4077" i="2"/>
  <c r="G4078" i="2"/>
  <c r="G4079" i="2"/>
  <c r="G4080" i="2"/>
  <c r="G4081" i="2"/>
  <c r="G4082" i="2"/>
  <c r="G4083" i="2"/>
  <c r="G4084" i="2"/>
  <c r="G4085" i="2"/>
  <c r="G4086" i="2"/>
  <c r="G4087" i="2"/>
  <c r="G4088" i="2"/>
  <c r="G4089" i="2"/>
  <c r="G4090" i="2"/>
  <c r="G4091" i="2"/>
  <c r="G4092" i="2"/>
  <c r="A4092" i="2"/>
  <c r="G4093" i="2"/>
  <c r="G4094" i="2"/>
  <c r="G4095" i="2"/>
  <c r="G4096" i="2"/>
  <c r="G4097" i="2"/>
  <c r="G4098" i="2"/>
  <c r="G4099" i="2"/>
  <c r="G4100" i="2"/>
  <c r="G4101" i="2"/>
  <c r="G4102" i="2"/>
  <c r="G4072" i="2"/>
  <c r="H4072" i="2" s="1"/>
  <c r="F4089" i="2" l="1"/>
  <c r="H4089" i="2"/>
  <c r="F4091" i="2"/>
  <c r="H4091" i="2"/>
  <c r="F4088" i="2"/>
  <c r="H4088" i="2"/>
  <c r="F4100" i="2"/>
  <c r="H4100" i="2"/>
  <c r="F4098" i="2"/>
  <c r="H4098" i="2"/>
  <c r="F4087" i="2"/>
  <c r="H4087" i="2"/>
  <c r="F4075" i="2"/>
  <c r="H4075" i="2"/>
  <c r="F4102" i="2"/>
  <c r="H4102" i="2"/>
  <c r="F4077" i="2"/>
  <c r="H4077" i="2"/>
  <c r="F4099" i="2"/>
  <c r="H4099" i="2"/>
  <c r="F4076" i="2"/>
  <c r="H4076" i="2"/>
  <c r="F4097" i="2"/>
  <c r="H4097" i="2"/>
  <c r="F4074" i="2"/>
  <c r="H4074" i="2"/>
  <c r="F4086" i="2"/>
  <c r="H4086" i="2"/>
  <c r="F4096" i="2"/>
  <c r="H4096" i="2"/>
  <c r="F4085" i="2"/>
  <c r="H4085" i="2"/>
  <c r="F4073" i="2"/>
  <c r="H4073" i="2"/>
  <c r="F4101" i="2"/>
  <c r="H4101" i="2"/>
  <c r="F4095" i="2"/>
  <c r="H4095" i="2"/>
  <c r="F4084" i="2"/>
  <c r="H4084" i="2"/>
  <c r="F4079" i="2"/>
  <c r="H4079" i="2"/>
  <c r="F4090" i="2"/>
  <c r="H4090" i="2"/>
  <c r="F4094" i="2"/>
  <c r="H4094" i="2"/>
  <c r="F4083" i="2"/>
  <c r="H4083" i="2"/>
  <c r="F4078" i="2"/>
  <c r="H4078" i="2"/>
  <c r="F4093" i="2"/>
  <c r="H4093" i="2"/>
  <c r="F4082" i="2"/>
  <c r="H4082" i="2"/>
  <c r="F4081" i="2"/>
  <c r="H4081" i="2"/>
  <c r="F4092" i="2"/>
  <c r="H4092" i="2"/>
  <c r="F4080" i="2"/>
  <c r="H4080" i="2"/>
  <c r="A4082" i="2"/>
  <c r="A4094" i="2"/>
  <c r="A4098" i="2"/>
  <c r="A4096" i="2"/>
  <c r="A4083" i="2"/>
  <c r="A4090" i="2"/>
  <c r="A4079" i="2"/>
  <c r="A4095" i="2"/>
  <c r="A4084" i="2"/>
  <c r="A4091" i="2"/>
  <c r="A4080" i="2"/>
  <c r="A4102" i="2"/>
  <c r="A4086" i="2"/>
  <c r="A4074" i="2"/>
  <c r="A4099" i="2"/>
  <c r="A4087" i="2"/>
  <c r="A4075" i="2"/>
  <c r="A4078" i="2"/>
  <c r="A4088" i="2"/>
  <c r="A4076" i="2"/>
  <c r="A4072" i="2"/>
  <c r="A4100" i="2"/>
  <c r="A4101" i="2"/>
  <c r="A4097" i="2"/>
  <c r="A4093" i="2"/>
  <c r="A4089" i="2"/>
  <c r="A4085" i="2"/>
  <c r="A4081" i="2"/>
  <c r="A4077" i="2"/>
  <c r="A4073" i="2"/>
  <c r="F4072" i="2"/>
  <c r="G4042" i="2"/>
  <c r="G4043" i="2"/>
  <c r="G4044" i="2"/>
  <c r="G4045" i="2"/>
  <c r="G4046" i="2"/>
  <c r="A4046" i="2" s="1"/>
  <c r="G4047" i="2"/>
  <c r="G4048" i="2"/>
  <c r="G4049" i="2"/>
  <c r="G4050" i="2"/>
  <c r="G4051" i="2"/>
  <c r="G4052" i="2"/>
  <c r="G4053" i="2"/>
  <c r="G4054" i="2"/>
  <c r="G4055" i="2"/>
  <c r="G4056" i="2"/>
  <c r="G4057" i="2"/>
  <c r="G4058" i="2"/>
  <c r="G4059" i="2"/>
  <c r="G4060" i="2"/>
  <c r="G4061" i="2"/>
  <c r="G4062" i="2"/>
  <c r="A4062" i="2" s="1"/>
  <c r="G4063" i="2"/>
  <c r="G4064" i="2"/>
  <c r="G4065" i="2"/>
  <c r="G4066" i="2"/>
  <c r="G4067" i="2"/>
  <c r="G4068" i="2"/>
  <c r="A4068" i="2" s="1"/>
  <c r="G4069" i="2"/>
  <c r="G4070" i="2"/>
  <c r="A4070" i="2" s="1"/>
  <c r="G4071" i="2"/>
  <c r="G4041" i="2"/>
  <c r="H4041" i="2" s="1"/>
  <c r="F4048" i="2" l="1"/>
  <c r="H4048" i="2"/>
  <c r="F4068" i="2"/>
  <c r="H4068" i="2"/>
  <c r="F4057" i="2"/>
  <c r="H4057" i="2"/>
  <c r="F4046" i="2"/>
  <c r="H4046" i="2"/>
  <c r="F4069" i="2"/>
  <c r="H4069" i="2"/>
  <c r="F4047" i="2"/>
  <c r="H4047" i="2"/>
  <c r="F4056" i="2"/>
  <c r="H4056" i="2"/>
  <c r="F4067" i="2"/>
  <c r="H4067" i="2"/>
  <c r="F4045" i="2"/>
  <c r="H4045" i="2"/>
  <c r="F4066" i="2"/>
  <c r="H4066" i="2"/>
  <c r="F4055" i="2"/>
  <c r="H4055" i="2"/>
  <c r="F4044" i="2"/>
  <c r="H4044" i="2"/>
  <c r="F4054" i="2"/>
  <c r="H4054" i="2"/>
  <c r="F4064" i="2"/>
  <c r="H4064" i="2"/>
  <c r="F4053" i="2"/>
  <c r="H4053" i="2"/>
  <c r="F4042" i="2"/>
  <c r="H4042" i="2"/>
  <c r="F4060" i="2"/>
  <c r="H4060" i="2"/>
  <c r="F4065" i="2"/>
  <c r="H4065" i="2"/>
  <c r="F4043" i="2"/>
  <c r="H4043" i="2"/>
  <c r="F4063" i="2"/>
  <c r="H4063" i="2"/>
  <c r="F4052" i="2"/>
  <c r="H4052" i="2"/>
  <c r="F4051" i="2"/>
  <c r="H4051" i="2"/>
  <c r="F4071" i="2"/>
  <c r="H4071" i="2"/>
  <c r="F4050" i="2"/>
  <c r="H4050" i="2"/>
  <c r="F4062" i="2"/>
  <c r="H4062" i="2"/>
  <c r="F4061" i="2"/>
  <c r="H4061" i="2"/>
  <c r="F4049" i="2"/>
  <c r="H4049" i="2"/>
  <c r="F4070" i="2"/>
  <c r="H4070" i="2"/>
  <c r="F4059" i="2"/>
  <c r="H4059" i="2"/>
  <c r="F4058" i="2"/>
  <c r="H4058" i="2"/>
  <c r="A4058" i="2"/>
  <c r="A4056" i="2"/>
  <c r="A4052" i="2"/>
  <c r="A4050" i="2"/>
  <c r="A4065" i="2"/>
  <c r="A4060" i="2"/>
  <c r="A4049" i="2"/>
  <c r="A4069" i="2"/>
  <c r="A4041" i="2"/>
  <c r="A4061" i="2"/>
  <c r="A4048" i="2"/>
  <c r="A4053" i="2"/>
  <c r="A4044" i="2"/>
  <c r="A4064" i="2"/>
  <c r="A4057" i="2"/>
  <c r="A4045" i="2"/>
  <c r="A4066" i="2"/>
  <c r="A4054" i="2"/>
  <c r="A4042" i="2"/>
  <c r="A4071" i="2"/>
  <c r="A4067" i="2"/>
  <c r="A4063" i="2"/>
  <c r="A4059" i="2"/>
  <c r="A4055" i="2"/>
  <c r="A4051" i="2"/>
  <c r="A4047" i="2"/>
  <c r="A4043" i="2"/>
  <c r="F4041" i="2"/>
  <c r="G4011" i="2"/>
  <c r="G4012" i="2"/>
  <c r="G4013" i="2"/>
  <c r="G4014" i="2"/>
  <c r="G4015" i="2"/>
  <c r="G4016" i="2"/>
  <c r="G4017" i="2"/>
  <c r="G4018" i="2"/>
  <c r="G4019" i="2"/>
  <c r="G4020" i="2"/>
  <c r="G4021" i="2"/>
  <c r="G4022" i="2"/>
  <c r="G4023" i="2"/>
  <c r="G4024" i="2"/>
  <c r="G4025" i="2"/>
  <c r="G4026" i="2"/>
  <c r="A4026" i="2" s="1"/>
  <c r="G4027" i="2"/>
  <c r="G4028" i="2"/>
  <c r="G4029" i="2"/>
  <c r="G4030" i="2"/>
  <c r="G4031" i="2"/>
  <c r="G4032" i="2"/>
  <c r="A4032" i="2" s="1"/>
  <c r="G4033" i="2"/>
  <c r="G4034" i="2"/>
  <c r="G4035" i="2"/>
  <c r="G4036" i="2"/>
  <c r="G4037" i="2"/>
  <c r="A4037" i="2" s="1"/>
  <c r="G4038" i="2"/>
  <c r="G4039" i="2"/>
  <c r="A4039" i="2" s="1"/>
  <c r="G4040" i="2"/>
  <c r="G4010" i="2"/>
  <c r="H4010" i="2" s="1"/>
  <c r="F4022" i="2" l="1"/>
  <c r="H4022" i="2"/>
  <c r="F4032" i="2"/>
  <c r="H4032" i="2"/>
  <c r="F4021" i="2"/>
  <c r="H4021" i="2"/>
  <c r="F4040" i="2"/>
  <c r="H4040" i="2"/>
  <c r="F4031" i="2"/>
  <c r="H4031" i="2"/>
  <c r="F4030" i="2"/>
  <c r="H4030" i="2"/>
  <c r="F4019" i="2"/>
  <c r="H4019" i="2"/>
  <c r="F4039" i="2"/>
  <c r="H4039" i="2"/>
  <c r="F4029" i="2"/>
  <c r="H4029" i="2"/>
  <c r="F4018" i="2"/>
  <c r="H4018" i="2"/>
  <c r="F4017" i="2"/>
  <c r="H4017" i="2"/>
  <c r="F4028" i="2"/>
  <c r="H4028" i="2"/>
  <c r="F4027" i="2"/>
  <c r="H4027" i="2"/>
  <c r="F4036" i="2"/>
  <c r="H4036" i="2"/>
  <c r="F4038" i="2"/>
  <c r="H4038" i="2"/>
  <c r="F4016" i="2"/>
  <c r="H4016" i="2"/>
  <c r="F4015" i="2"/>
  <c r="H4015" i="2"/>
  <c r="F4033" i="2"/>
  <c r="H4033" i="2"/>
  <c r="F4037" i="2"/>
  <c r="H4037" i="2"/>
  <c r="F4026" i="2"/>
  <c r="H4026" i="2"/>
  <c r="F4014" i="2"/>
  <c r="H4014" i="2"/>
  <c r="F4035" i="2"/>
  <c r="H4035" i="2"/>
  <c r="F4025" i="2"/>
  <c r="H4025" i="2"/>
  <c r="F4013" i="2"/>
  <c r="H4013" i="2"/>
  <c r="F4034" i="2"/>
  <c r="H4034" i="2"/>
  <c r="F4024" i="2"/>
  <c r="H4024" i="2"/>
  <c r="F4012" i="2"/>
  <c r="H4012" i="2"/>
  <c r="F4023" i="2"/>
  <c r="H4023" i="2"/>
  <c r="F4011" i="2"/>
  <c r="H4011" i="2"/>
  <c r="F4020" i="2"/>
  <c r="H4020" i="2"/>
  <c r="A4021" i="2"/>
  <c r="A4015" i="2"/>
  <c r="A4013" i="2"/>
  <c r="A4020" i="2"/>
  <c r="A4025" i="2"/>
  <c r="A4033" i="2"/>
  <c r="A4022" i="2"/>
  <c r="A4027" i="2"/>
  <c r="A4016" i="2"/>
  <c r="A4038" i="2"/>
  <c r="A4014" i="2"/>
  <c r="A4028" i="2"/>
  <c r="A4030" i="2"/>
  <c r="A4018" i="2"/>
  <c r="A4035" i="2"/>
  <c r="A4023" i="2"/>
  <c r="A4011" i="2"/>
  <c r="A4031" i="2"/>
  <c r="A4019" i="2"/>
  <c r="A4024" i="2"/>
  <c r="A4012" i="2"/>
  <c r="A4010" i="2"/>
  <c r="A4029" i="2"/>
  <c r="A4017" i="2"/>
  <c r="A4034" i="2"/>
  <c r="A4040" i="2"/>
  <c r="A4036" i="2"/>
  <c r="F4010" i="2"/>
  <c r="G3980" i="2"/>
  <c r="G3981" i="2"/>
  <c r="A3981" i="2" s="1"/>
  <c r="G3982" i="2"/>
  <c r="G3983" i="2"/>
  <c r="A3983" i="2" s="1"/>
  <c r="G3984" i="2"/>
  <c r="A3984" i="2" s="1"/>
  <c r="G3985" i="2"/>
  <c r="G3986" i="2"/>
  <c r="G3987" i="2"/>
  <c r="G3988" i="2"/>
  <c r="G3989" i="2"/>
  <c r="G3990" i="2"/>
  <c r="G3991" i="2"/>
  <c r="G3992" i="2"/>
  <c r="G3993" i="2"/>
  <c r="G3994" i="2"/>
  <c r="G3995" i="2"/>
  <c r="G3996" i="2"/>
  <c r="A3996" i="2" s="1"/>
  <c r="G3997" i="2"/>
  <c r="G3998" i="2"/>
  <c r="A3998" i="2" s="1"/>
  <c r="G3999" i="2"/>
  <c r="A3999" i="2" s="1"/>
  <c r="G4000" i="2"/>
  <c r="G4001" i="2"/>
  <c r="G4002" i="2"/>
  <c r="A4002" i="2" s="1"/>
  <c r="G4003" i="2"/>
  <c r="G4004" i="2"/>
  <c r="G4005" i="2"/>
  <c r="G4006" i="2"/>
  <c r="G4007" i="2"/>
  <c r="G4008" i="2"/>
  <c r="G4009" i="2"/>
  <c r="G3979" i="2"/>
  <c r="H3979" i="2" s="1"/>
  <c r="F3998" i="2" l="1"/>
  <c r="H3998" i="2"/>
  <c r="F4006" i="2"/>
  <c r="H4006" i="2"/>
  <c r="F3997" i="2"/>
  <c r="H3997" i="2"/>
  <c r="F4004" i="2"/>
  <c r="H4004" i="2"/>
  <c r="F3985" i="2"/>
  <c r="H3985" i="2"/>
  <c r="F4003" i="2"/>
  <c r="H4003" i="2"/>
  <c r="F3995" i="2"/>
  <c r="H3995" i="2"/>
  <c r="F4002" i="2"/>
  <c r="H4002" i="2"/>
  <c r="F3993" i="2"/>
  <c r="H3993" i="2"/>
  <c r="F3992" i="2"/>
  <c r="H3992" i="2"/>
  <c r="F3994" i="2"/>
  <c r="H3994" i="2"/>
  <c r="F3984" i="2"/>
  <c r="H3984" i="2"/>
  <c r="F3983" i="2"/>
  <c r="H3983" i="2"/>
  <c r="F4000" i="2"/>
  <c r="H4000" i="2"/>
  <c r="F3991" i="2"/>
  <c r="H3991" i="2"/>
  <c r="F3982" i="2"/>
  <c r="H3982" i="2"/>
  <c r="F4008" i="2"/>
  <c r="H4008" i="2"/>
  <c r="F4001" i="2"/>
  <c r="H4001" i="2"/>
  <c r="F3990" i="2"/>
  <c r="H3990" i="2"/>
  <c r="F4009" i="2"/>
  <c r="H4009" i="2"/>
  <c r="F3999" i="2"/>
  <c r="H3999" i="2"/>
  <c r="F3989" i="2"/>
  <c r="H3989" i="2"/>
  <c r="F3981" i="2"/>
  <c r="H3981" i="2"/>
  <c r="F3987" i="2"/>
  <c r="H3987" i="2"/>
  <c r="F3988" i="2"/>
  <c r="H3988" i="2"/>
  <c r="F4007" i="2"/>
  <c r="H4007" i="2"/>
  <c r="A3987" i="2"/>
  <c r="F4005" i="2"/>
  <c r="H4005" i="2"/>
  <c r="F3986" i="2"/>
  <c r="H3986" i="2"/>
  <c r="F3980" i="2"/>
  <c r="H3980" i="2"/>
  <c r="F3996" i="2"/>
  <c r="H3996" i="2"/>
  <c r="A3994" i="2"/>
  <c r="A4005" i="2"/>
  <c r="A3990" i="2"/>
  <c r="A3986" i="2"/>
  <c r="A3982" i="2"/>
  <c r="A4006" i="2"/>
  <c r="A3993" i="2"/>
  <c r="A3991" i="2"/>
  <c r="A4007" i="2"/>
  <c r="A3995" i="2"/>
  <c r="A3988" i="2"/>
  <c r="A4003" i="2"/>
  <c r="A4001" i="2"/>
  <c r="A3989" i="2"/>
  <c r="A3992" i="2"/>
  <c r="A3980" i="2"/>
  <c r="A4009" i="2"/>
  <c r="A3997" i="2"/>
  <c r="A3985" i="2"/>
  <c r="A4008" i="2"/>
  <c r="A4004" i="2"/>
  <c r="A4000" i="2"/>
  <c r="A3979" i="2"/>
  <c r="F3979" i="2"/>
  <c r="G3949" i="2"/>
  <c r="A3949" i="2" s="1"/>
  <c r="G3950" i="2"/>
  <c r="G3951" i="2"/>
  <c r="G3952" i="2"/>
  <c r="G3953" i="2"/>
  <c r="G3954" i="2"/>
  <c r="G3955" i="2"/>
  <c r="G3956" i="2"/>
  <c r="G3957" i="2"/>
  <c r="A3957" i="2" s="1"/>
  <c r="G3958" i="2"/>
  <c r="G3959" i="2"/>
  <c r="G3960" i="2"/>
  <c r="G3961" i="2"/>
  <c r="A3961" i="2" s="1"/>
  <c r="G3962" i="2"/>
  <c r="G3963" i="2"/>
  <c r="A3963" i="2" s="1"/>
  <c r="G3964" i="2"/>
  <c r="A3964" i="2" s="1"/>
  <c r="G3965" i="2"/>
  <c r="G3966" i="2"/>
  <c r="G3967" i="2"/>
  <c r="G3968" i="2"/>
  <c r="G3969" i="2"/>
  <c r="A3969" i="2" s="1"/>
  <c r="G3970" i="2"/>
  <c r="G3971" i="2"/>
  <c r="G3972" i="2"/>
  <c r="G3973" i="2"/>
  <c r="G3974" i="2"/>
  <c r="G3975" i="2"/>
  <c r="G3976" i="2"/>
  <c r="A3976" i="2" s="1"/>
  <c r="G3977" i="2"/>
  <c r="G3978" i="2"/>
  <c r="G3948" i="2"/>
  <c r="H3948" i="2" s="1"/>
  <c r="F3960" i="2" l="1"/>
  <c r="H3960" i="2"/>
  <c r="F3978" i="2"/>
  <c r="H3978" i="2"/>
  <c r="F3949" i="2"/>
  <c r="H3949" i="2"/>
  <c r="F3977" i="2"/>
  <c r="H3977" i="2"/>
  <c r="F3967" i="2"/>
  <c r="H3967" i="2"/>
  <c r="F3958" i="2"/>
  <c r="H3958" i="2"/>
  <c r="F3966" i="2"/>
  <c r="H3966" i="2"/>
  <c r="F3976" i="2"/>
  <c r="H3976" i="2"/>
  <c r="F3957" i="2"/>
  <c r="H3957" i="2"/>
  <c r="F3973" i="2"/>
  <c r="H3973" i="2"/>
  <c r="F3965" i="2"/>
  <c r="H3965" i="2"/>
  <c r="F3975" i="2"/>
  <c r="H3975" i="2"/>
  <c r="F3956" i="2"/>
  <c r="H3956" i="2"/>
  <c r="F3974" i="2"/>
  <c r="H3974" i="2"/>
  <c r="F3964" i="2"/>
  <c r="H3964" i="2"/>
  <c r="F3955" i="2"/>
  <c r="H3955" i="2"/>
  <c r="F3954" i="2"/>
  <c r="H3954" i="2"/>
  <c r="F3972" i="2"/>
  <c r="H3972" i="2"/>
  <c r="F3963" i="2"/>
  <c r="H3963" i="2"/>
  <c r="F3953" i="2"/>
  <c r="H3953" i="2"/>
  <c r="F3971" i="2"/>
  <c r="H3971" i="2"/>
  <c r="F3962" i="2"/>
  <c r="H3962" i="2"/>
  <c r="F3952" i="2"/>
  <c r="H3952" i="2"/>
  <c r="F3961" i="2"/>
  <c r="H3961" i="2"/>
  <c r="F3950" i="2"/>
  <c r="H3950" i="2"/>
  <c r="F3959" i="2"/>
  <c r="H3959" i="2"/>
  <c r="F3970" i="2"/>
  <c r="H3970" i="2"/>
  <c r="F3951" i="2"/>
  <c r="H3951" i="2"/>
  <c r="F3969" i="2"/>
  <c r="H3969" i="2"/>
  <c r="F3968" i="2"/>
  <c r="H3968" i="2"/>
  <c r="A3973" i="2"/>
  <c r="A3950" i="2"/>
  <c r="A3948" i="2"/>
  <c r="A3972" i="2"/>
  <c r="A3951" i="2"/>
  <c r="A3975" i="2"/>
  <c r="A3960" i="2"/>
  <c r="A3956" i="2"/>
  <c r="A3952" i="2"/>
  <c r="A3968" i="2"/>
  <c r="A3954" i="2"/>
  <c r="A3971" i="2"/>
  <c r="A3959" i="2"/>
  <c r="A3967" i="2"/>
  <c r="A3955" i="2"/>
  <c r="A3977" i="2"/>
  <c r="A3965" i="2"/>
  <c r="A3953" i="2"/>
  <c r="A3978" i="2"/>
  <c r="A3974" i="2"/>
  <c r="A3970" i="2"/>
  <c r="A3966" i="2"/>
  <c r="A3962" i="2"/>
  <c r="A3958" i="2"/>
  <c r="F3948" i="2"/>
  <c r="G3918" i="2"/>
  <c r="A3918" i="2" s="1"/>
  <c r="G3919" i="2"/>
  <c r="A3919" i="2" s="1"/>
  <c r="G3920" i="2"/>
  <c r="G3921" i="2"/>
  <c r="G3922" i="2"/>
  <c r="G3923" i="2"/>
  <c r="G3924" i="2"/>
  <c r="A3924" i="2" s="1"/>
  <c r="G3925" i="2"/>
  <c r="G3926" i="2"/>
  <c r="A3926" i="2" s="1"/>
  <c r="G3927" i="2"/>
  <c r="G3928" i="2"/>
  <c r="G3929" i="2"/>
  <c r="G3930" i="2"/>
  <c r="G3931" i="2"/>
  <c r="G3932" i="2"/>
  <c r="G3933" i="2"/>
  <c r="G3934" i="2"/>
  <c r="G3935" i="2"/>
  <c r="G3936" i="2"/>
  <c r="G3937" i="2"/>
  <c r="G3938" i="2"/>
  <c r="G3939" i="2"/>
  <c r="G3940" i="2"/>
  <c r="G3941" i="2"/>
  <c r="G3942" i="2"/>
  <c r="G3943" i="2"/>
  <c r="A3943" i="2" s="1"/>
  <c r="G3944" i="2"/>
  <c r="G3945" i="2"/>
  <c r="G3946" i="2"/>
  <c r="G3947" i="2"/>
  <c r="A3947" i="2" s="1"/>
  <c r="G3917" i="2"/>
  <c r="F3941" i="2" l="1"/>
  <c r="H3941" i="2"/>
  <c r="F3928" i="2"/>
  <c r="H3928" i="2"/>
  <c r="F3927" i="2"/>
  <c r="H3927" i="2"/>
  <c r="F3938" i="2"/>
  <c r="H3938" i="2"/>
  <c r="F3918" i="2"/>
  <c r="H3918" i="2"/>
  <c r="F3937" i="2"/>
  <c r="H3937" i="2"/>
  <c r="F3926" i="2"/>
  <c r="H3926" i="2"/>
  <c r="F3947" i="2"/>
  <c r="H3947" i="2"/>
  <c r="F3936" i="2"/>
  <c r="H3936" i="2"/>
  <c r="F3925" i="2"/>
  <c r="H3925" i="2"/>
  <c r="F3935" i="2"/>
  <c r="H3935" i="2"/>
  <c r="F3945" i="2"/>
  <c r="H3945" i="2"/>
  <c r="F3924" i="2"/>
  <c r="H3924" i="2"/>
  <c r="F3944" i="2"/>
  <c r="H3944" i="2"/>
  <c r="F3923" i="2"/>
  <c r="H3923" i="2"/>
  <c r="F3943" i="2"/>
  <c r="H3943" i="2"/>
  <c r="F3921" i="2"/>
  <c r="H3921" i="2"/>
  <c r="F3946" i="2"/>
  <c r="H3946" i="2"/>
  <c r="F3934" i="2"/>
  <c r="H3934" i="2"/>
  <c r="F3933" i="2"/>
  <c r="H3933" i="2"/>
  <c r="F3932" i="2"/>
  <c r="H3932" i="2"/>
  <c r="F3922" i="2"/>
  <c r="H3922" i="2"/>
  <c r="F3931" i="2"/>
  <c r="H3931" i="2"/>
  <c r="F3942" i="2"/>
  <c r="H3942" i="2"/>
  <c r="F3930" i="2"/>
  <c r="H3930" i="2"/>
  <c r="F3920" i="2"/>
  <c r="H3920" i="2"/>
  <c r="F3929" i="2"/>
  <c r="H3929" i="2"/>
  <c r="F3917" i="2"/>
  <c r="H3917" i="2"/>
  <c r="F3940" i="2"/>
  <c r="H3940" i="2"/>
  <c r="F3919" i="2"/>
  <c r="H3919" i="2"/>
  <c r="F3939" i="2"/>
  <c r="H3939" i="2"/>
  <c r="A3930" i="2"/>
  <c r="A3931" i="2"/>
  <c r="A3944" i="2"/>
  <c r="A3927" i="2"/>
  <c r="A3923" i="2"/>
  <c r="A3932" i="2"/>
  <c r="A3939" i="2"/>
  <c r="A3935" i="2"/>
  <c r="A3942" i="2"/>
  <c r="A3938" i="2"/>
  <c r="A3936" i="2"/>
  <c r="A3920" i="2"/>
  <c r="A3940" i="2"/>
  <c r="A3928" i="2"/>
  <c r="A3946" i="2"/>
  <c r="A3934" i="2"/>
  <c r="A3922" i="2"/>
  <c r="A3945" i="2"/>
  <c r="A3941" i="2"/>
  <c r="A3937" i="2"/>
  <c r="A3933" i="2"/>
  <c r="A3929" i="2"/>
  <c r="A3925" i="2"/>
  <c r="A3921" i="2"/>
  <c r="A3917" i="2"/>
  <c r="G3887" i="2"/>
  <c r="A3887" i="2" s="1"/>
  <c r="G3888" i="2"/>
  <c r="A3888" i="2" s="1"/>
  <c r="G3889" i="2"/>
  <c r="G3890" i="2"/>
  <c r="G3891" i="2"/>
  <c r="G3892" i="2"/>
  <c r="G3893" i="2"/>
  <c r="G3894" i="2"/>
  <c r="G3895" i="2"/>
  <c r="G3896" i="2"/>
  <c r="G3897" i="2"/>
  <c r="G3898" i="2"/>
  <c r="G3899" i="2"/>
  <c r="G3900" i="2"/>
  <c r="A3900" i="2" s="1"/>
  <c r="G3901" i="2"/>
  <c r="G3902" i="2"/>
  <c r="G3903" i="2"/>
  <c r="G3904" i="2"/>
  <c r="G3905" i="2"/>
  <c r="G3906" i="2"/>
  <c r="A3906" i="2" s="1"/>
  <c r="G3907" i="2"/>
  <c r="A3907" i="2" s="1"/>
  <c r="G3908" i="2"/>
  <c r="G3909" i="2"/>
  <c r="G3910" i="2"/>
  <c r="G3911" i="2"/>
  <c r="G3912" i="2"/>
  <c r="A3912" i="2" s="1"/>
  <c r="G3913" i="2"/>
  <c r="G3914" i="2"/>
  <c r="G3915" i="2"/>
  <c r="G3916" i="2"/>
  <c r="G3886" i="2"/>
  <c r="F3896" i="2" l="1"/>
  <c r="H3896" i="2"/>
  <c r="F3915" i="2"/>
  <c r="H3915" i="2"/>
  <c r="F3906" i="2"/>
  <c r="H3906" i="2"/>
  <c r="F3914" i="2"/>
  <c r="H3914" i="2"/>
  <c r="F3905" i="2"/>
  <c r="H3905" i="2"/>
  <c r="F3894" i="2"/>
  <c r="H3894" i="2"/>
  <c r="F3913" i="2"/>
  <c r="H3913" i="2"/>
  <c r="F3904" i="2"/>
  <c r="H3904" i="2"/>
  <c r="F3893" i="2"/>
  <c r="H3893" i="2"/>
  <c r="F3892" i="2"/>
  <c r="H3892" i="2"/>
  <c r="F3912" i="2"/>
  <c r="H3912" i="2"/>
  <c r="F3902" i="2"/>
  <c r="H3902" i="2"/>
  <c r="F3891" i="2"/>
  <c r="H3891" i="2"/>
  <c r="F3903" i="2"/>
  <c r="H3903" i="2"/>
  <c r="F3911" i="2"/>
  <c r="H3911" i="2"/>
  <c r="F3890" i="2"/>
  <c r="H3890" i="2"/>
  <c r="F3910" i="2"/>
  <c r="H3910" i="2"/>
  <c r="F3901" i="2"/>
  <c r="H3901" i="2"/>
  <c r="F3889" i="2"/>
  <c r="H3889" i="2"/>
  <c r="F3909" i="2"/>
  <c r="H3909" i="2"/>
  <c r="F3900" i="2"/>
  <c r="H3900" i="2"/>
  <c r="F3908" i="2"/>
  <c r="H3908" i="2"/>
  <c r="F3899" i="2"/>
  <c r="H3899" i="2"/>
  <c r="F3888" i="2"/>
  <c r="H3888" i="2"/>
  <c r="F3886" i="2"/>
  <c r="H3886" i="2"/>
  <c r="F3907" i="2"/>
  <c r="H3907" i="2"/>
  <c r="F3897" i="2"/>
  <c r="H3897" i="2"/>
  <c r="F3887" i="2"/>
  <c r="H3887" i="2"/>
  <c r="F3898" i="2"/>
  <c r="H3898" i="2"/>
  <c r="F3916" i="2"/>
  <c r="H3916" i="2"/>
  <c r="F3895" i="2"/>
  <c r="H3895" i="2"/>
  <c r="A3908" i="2"/>
  <c r="A3895" i="2"/>
  <c r="A3896" i="2"/>
  <c r="A3894" i="2"/>
  <c r="A3915" i="2"/>
  <c r="A3902" i="2"/>
  <c r="A3903" i="2"/>
  <c r="A3914" i="2"/>
  <c r="A3890" i="2"/>
  <c r="A3891" i="2"/>
  <c r="A3909" i="2"/>
  <c r="A3897" i="2"/>
  <c r="A3905" i="2"/>
  <c r="A3893" i="2"/>
  <c r="A3910" i="2"/>
  <c r="A3898" i="2"/>
  <c r="A3913" i="2"/>
  <c r="A3901" i="2"/>
  <c r="A3889" i="2"/>
  <c r="A3899" i="2"/>
  <c r="A3911" i="2"/>
  <c r="A3916" i="2"/>
  <c r="A3904" i="2"/>
  <c r="A3892" i="2"/>
  <c r="A3886" i="2"/>
  <c r="G3856" i="2"/>
  <c r="G3857" i="2"/>
  <c r="G3858" i="2"/>
  <c r="G3859" i="2"/>
  <c r="G3860" i="2"/>
  <c r="G3861" i="2"/>
  <c r="G3862" i="2"/>
  <c r="G3863" i="2"/>
  <c r="G3864" i="2"/>
  <c r="G3865" i="2"/>
  <c r="G3866" i="2"/>
  <c r="A3866" i="2" s="1"/>
  <c r="G3867" i="2"/>
  <c r="G3868" i="2"/>
  <c r="G3869" i="2"/>
  <c r="G3870" i="2"/>
  <c r="G3871" i="2"/>
  <c r="G3872" i="2"/>
  <c r="G3873" i="2"/>
  <c r="G3874" i="2"/>
  <c r="G3875" i="2"/>
  <c r="G3876" i="2"/>
  <c r="G3877" i="2"/>
  <c r="G3878" i="2"/>
  <c r="G3879" i="2"/>
  <c r="G3880" i="2"/>
  <c r="G3881" i="2"/>
  <c r="G3882" i="2"/>
  <c r="G3883" i="2"/>
  <c r="G3884" i="2"/>
  <c r="G3885" i="2"/>
  <c r="G3855" i="2"/>
  <c r="H3855" i="2" s="1"/>
  <c r="F3878" i="2" l="1"/>
  <c r="H3878" i="2"/>
  <c r="F3876" i="2"/>
  <c r="H3876" i="2"/>
  <c r="F3865" i="2"/>
  <c r="H3865" i="2"/>
  <c r="A3855" i="2"/>
  <c r="F3875" i="2"/>
  <c r="H3875" i="2"/>
  <c r="F3864" i="2"/>
  <c r="H3864" i="2"/>
  <c r="F3863" i="2"/>
  <c r="H3863" i="2"/>
  <c r="F3874" i="2"/>
  <c r="H3874" i="2"/>
  <c r="F3885" i="2"/>
  <c r="H3885" i="2"/>
  <c r="F3873" i="2"/>
  <c r="H3873" i="2"/>
  <c r="F3862" i="2"/>
  <c r="H3862" i="2"/>
  <c r="F3872" i="2"/>
  <c r="H3872" i="2"/>
  <c r="F3883" i="2"/>
  <c r="H3883" i="2"/>
  <c r="F3871" i="2"/>
  <c r="H3871" i="2"/>
  <c r="F3860" i="2"/>
  <c r="H3860" i="2"/>
  <c r="F3870" i="2"/>
  <c r="H3870" i="2"/>
  <c r="F3884" i="2"/>
  <c r="H3884" i="2"/>
  <c r="F3861" i="2"/>
  <c r="H3861" i="2"/>
  <c r="F3882" i="2"/>
  <c r="H3882" i="2"/>
  <c r="F3859" i="2"/>
  <c r="H3859" i="2"/>
  <c r="F3881" i="2"/>
  <c r="H3881" i="2"/>
  <c r="F3869" i="2"/>
  <c r="H3869" i="2"/>
  <c r="F3858" i="2"/>
  <c r="H3858" i="2"/>
  <c r="F3879" i="2"/>
  <c r="H3879" i="2"/>
  <c r="F3867" i="2"/>
  <c r="H3867" i="2"/>
  <c r="F3856" i="2"/>
  <c r="H3856" i="2"/>
  <c r="F3868" i="2"/>
  <c r="H3868" i="2"/>
  <c r="F3880" i="2"/>
  <c r="H3880" i="2"/>
  <c r="F3857" i="2"/>
  <c r="H3857" i="2"/>
  <c r="F3877" i="2"/>
  <c r="H3877" i="2"/>
  <c r="F3866" i="2"/>
  <c r="H3866" i="2"/>
  <c r="A3884" i="2"/>
  <c r="A3875" i="2"/>
  <c r="A3862" i="2"/>
  <c r="A3880" i="2"/>
  <c r="A3856" i="2"/>
  <c r="A3867" i="2"/>
  <c r="A3876" i="2"/>
  <c r="A3874" i="2"/>
  <c r="A3863" i="2"/>
  <c r="A3868" i="2"/>
  <c r="A3879" i="2"/>
  <c r="A3864" i="2"/>
  <c r="A3878" i="2"/>
  <c r="A3883" i="2"/>
  <c r="A3871" i="2"/>
  <c r="A3859" i="2"/>
  <c r="A3872" i="2"/>
  <c r="A3860" i="2"/>
  <c r="A3882" i="2"/>
  <c r="A3870" i="2"/>
  <c r="A3858" i="2"/>
  <c r="A3885" i="2"/>
  <c r="A3881" i="2"/>
  <c r="A3877" i="2"/>
  <c r="A3873" i="2"/>
  <c r="A3869" i="2"/>
  <c r="A3865" i="2"/>
  <c r="A3861" i="2"/>
  <c r="A3857" i="2"/>
  <c r="F3855" i="2"/>
  <c r="G3825" i="2"/>
  <c r="G3826" i="2"/>
  <c r="G3827" i="2"/>
  <c r="G3828" i="2"/>
  <c r="G3829" i="2"/>
  <c r="G3830" i="2"/>
  <c r="G3831" i="2"/>
  <c r="G3832" i="2"/>
  <c r="G3833" i="2"/>
  <c r="G3834" i="2"/>
  <c r="G3835" i="2"/>
  <c r="G3836" i="2"/>
  <c r="A3836" i="2" s="1"/>
  <c r="G3837" i="2"/>
  <c r="G3838" i="2"/>
  <c r="G3839" i="2"/>
  <c r="G3840" i="2"/>
  <c r="A3840" i="2" s="1"/>
  <c r="G3841" i="2"/>
  <c r="G3842" i="2"/>
  <c r="G3843" i="2"/>
  <c r="G3844" i="2"/>
  <c r="G3845" i="2"/>
  <c r="G3846" i="2"/>
  <c r="A3846" i="2" s="1"/>
  <c r="G3847" i="2"/>
  <c r="G3848" i="2"/>
  <c r="H3848" i="2" s="1"/>
  <c r="G3849" i="2"/>
  <c r="G3850" i="2"/>
  <c r="A3850" i="2" s="1"/>
  <c r="G3851" i="2"/>
  <c r="H3851" i="2" s="1"/>
  <c r="G3852" i="2"/>
  <c r="A3852" i="2" s="1"/>
  <c r="G3853" i="2"/>
  <c r="G3854" i="2"/>
  <c r="H3854" i="2" s="1"/>
  <c r="G3824" i="2"/>
  <c r="H3824" i="2" s="1"/>
  <c r="A3854" i="2" l="1"/>
  <c r="F3848" i="2"/>
  <c r="F3832" i="2"/>
  <c r="H3832" i="2"/>
  <c r="F3850" i="2"/>
  <c r="H3850" i="2"/>
  <c r="F3841" i="2"/>
  <c r="H3841" i="2"/>
  <c r="F3831" i="2"/>
  <c r="H3831" i="2"/>
  <c r="F3849" i="2"/>
  <c r="H3849" i="2"/>
  <c r="F3830" i="2"/>
  <c r="H3830" i="2"/>
  <c r="A3848" i="2"/>
  <c r="F3840" i="2"/>
  <c r="H3840" i="2"/>
  <c r="F3829" i="2"/>
  <c r="H3829" i="2"/>
  <c r="F3839" i="2"/>
  <c r="H3839" i="2"/>
  <c r="F3828" i="2"/>
  <c r="H3828" i="2"/>
  <c r="F3838" i="2"/>
  <c r="H3838" i="2"/>
  <c r="F3847" i="2"/>
  <c r="H3847" i="2"/>
  <c r="F3837" i="2"/>
  <c r="H3837" i="2"/>
  <c r="F3826" i="2"/>
  <c r="H3826" i="2"/>
  <c r="F3853" i="2"/>
  <c r="H3853" i="2"/>
  <c r="F3825" i="2"/>
  <c r="H3825" i="2"/>
  <c r="F3836" i="2"/>
  <c r="H3836" i="2"/>
  <c r="F3827" i="2"/>
  <c r="H3827" i="2"/>
  <c r="F3846" i="2"/>
  <c r="H3846" i="2"/>
  <c r="F3852" i="2"/>
  <c r="H3852" i="2"/>
  <c r="F3845" i="2"/>
  <c r="H3845" i="2"/>
  <c r="F3835" i="2"/>
  <c r="H3835" i="2"/>
  <c r="A3851" i="2"/>
  <c r="F3844" i="2"/>
  <c r="H3844" i="2"/>
  <c r="F3834" i="2"/>
  <c r="H3834" i="2"/>
  <c r="F3843" i="2"/>
  <c r="H3843" i="2"/>
  <c r="F3833" i="2"/>
  <c r="H3833" i="2"/>
  <c r="F3842" i="2"/>
  <c r="H3842" i="2"/>
  <c r="A3824" i="2"/>
  <c r="A3829" i="2"/>
  <c r="A3830" i="2"/>
  <c r="A3847" i="2"/>
  <c r="A3828" i="2"/>
  <c r="A3841" i="2"/>
  <c r="F3854" i="2"/>
  <c r="A3835" i="2"/>
  <c r="A3853" i="2"/>
  <c r="A3842" i="2"/>
  <c r="A3833" i="2"/>
  <c r="F3851" i="2"/>
  <c r="A3849" i="2"/>
  <c r="A3845" i="2"/>
  <c r="A3838" i="2"/>
  <c r="A3826" i="2"/>
  <c r="A3843" i="2"/>
  <c r="A3831" i="2"/>
  <c r="A3834" i="2"/>
  <c r="A3839" i="2"/>
  <c r="A3827" i="2"/>
  <c r="A3844" i="2"/>
  <c r="A3832" i="2"/>
  <c r="A3837" i="2"/>
  <c r="A3825" i="2"/>
  <c r="F3824" i="2"/>
  <c r="G3794" i="2"/>
  <c r="A3794" i="2" s="1"/>
  <c r="G3795" i="2"/>
  <c r="G3796" i="2"/>
  <c r="G3797" i="2"/>
  <c r="G3798" i="2"/>
  <c r="G3799" i="2"/>
  <c r="G3800" i="2"/>
  <c r="G3801" i="2"/>
  <c r="A3801" i="2" s="1"/>
  <c r="G3802" i="2"/>
  <c r="G3803" i="2"/>
  <c r="G3804" i="2"/>
  <c r="G3805" i="2"/>
  <c r="G3806" i="2"/>
  <c r="G3807" i="2"/>
  <c r="G3808" i="2"/>
  <c r="G3809" i="2"/>
  <c r="G3810" i="2"/>
  <c r="A3810" i="2" s="1"/>
  <c r="G3811" i="2"/>
  <c r="G3812" i="2"/>
  <c r="A3812" i="2" s="1"/>
  <c r="G3813" i="2"/>
  <c r="G3814" i="2"/>
  <c r="G3815" i="2"/>
  <c r="G3816" i="2"/>
  <c r="H3816" i="2" s="1"/>
  <c r="G3817" i="2"/>
  <c r="G3818" i="2"/>
  <c r="G3819" i="2"/>
  <c r="H3819" i="2" s="1"/>
  <c r="G3820" i="2"/>
  <c r="G3821" i="2"/>
  <c r="A3821" i="2" s="1"/>
  <c r="G3822" i="2"/>
  <c r="H3822" i="2" s="1"/>
  <c r="G3823" i="2"/>
  <c r="G3793" i="2"/>
  <c r="H3793" i="2" s="1"/>
  <c r="A3822" i="2" l="1"/>
  <c r="F3799" i="2"/>
  <c r="H3799" i="2"/>
  <c r="F3809" i="2"/>
  <c r="H3809" i="2"/>
  <c r="F3817" i="2"/>
  <c r="H3817" i="2"/>
  <c r="F3807" i="2"/>
  <c r="H3807" i="2"/>
  <c r="F3796" i="2"/>
  <c r="H3796" i="2"/>
  <c r="F3806" i="2"/>
  <c r="H3806" i="2"/>
  <c r="F3815" i="2"/>
  <c r="H3815" i="2"/>
  <c r="F3805" i="2"/>
  <c r="H3805" i="2"/>
  <c r="F3804" i="2"/>
  <c r="H3804" i="2"/>
  <c r="F3814" i="2"/>
  <c r="H3814" i="2"/>
  <c r="F3823" i="2"/>
  <c r="H3823" i="2"/>
  <c r="F3803" i="2"/>
  <c r="H3803" i="2"/>
  <c r="F3802" i="2"/>
  <c r="H3802" i="2"/>
  <c r="F3794" i="2"/>
  <c r="H3794" i="2"/>
  <c r="F3812" i="2"/>
  <c r="H3812" i="2"/>
  <c r="F3801" i="2"/>
  <c r="H3801" i="2"/>
  <c r="F3820" i="2"/>
  <c r="H3820" i="2"/>
  <c r="F3813" i="2"/>
  <c r="H3813" i="2"/>
  <c r="F3811" i="2"/>
  <c r="H3811" i="2"/>
  <c r="F3821" i="2"/>
  <c r="H3821" i="2"/>
  <c r="F3800" i="2"/>
  <c r="H3800" i="2"/>
  <c r="F3798" i="2"/>
  <c r="H3798" i="2"/>
  <c r="F3810" i="2"/>
  <c r="H3810" i="2"/>
  <c r="F3818" i="2"/>
  <c r="H3818" i="2"/>
  <c r="F3808" i="2"/>
  <c r="H3808" i="2"/>
  <c r="F3797" i="2"/>
  <c r="H3797" i="2"/>
  <c r="F3795" i="2"/>
  <c r="H3795" i="2"/>
  <c r="A3797" i="2"/>
  <c r="A3808" i="2"/>
  <c r="A3800" i="2"/>
  <c r="F3816" i="2"/>
  <c r="A3819" i="2"/>
  <c r="A3798" i="2"/>
  <c r="A3809" i="2"/>
  <c r="A3813" i="2"/>
  <c r="F3822" i="2"/>
  <c r="A3796" i="2"/>
  <c r="A3805" i="2"/>
  <c r="A3793" i="2"/>
  <c r="F3819" i="2"/>
  <c r="A3806" i="2"/>
  <c r="A3818" i="2"/>
  <c r="A3815" i="2"/>
  <c r="A3803" i="2"/>
  <c r="A3811" i="2"/>
  <c r="A3799" i="2"/>
  <c r="A3816" i="2"/>
  <c r="A3804" i="2"/>
  <c r="A3802" i="2"/>
  <c r="A3814" i="2"/>
  <c r="A3823" i="2"/>
  <c r="A3820" i="2"/>
  <c r="A3817" i="2"/>
  <c r="A3807" i="2"/>
  <c r="A3795" i="2"/>
  <c r="F3793" i="2"/>
  <c r="G3763" i="2"/>
  <c r="A3763" i="2" s="1"/>
  <c r="G3764" i="2"/>
  <c r="H3764" i="2" s="1"/>
  <c r="G3765" i="2"/>
  <c r="H3765" i="2" s="1"/>
  <c r="G3766" i="2"/>
  <c r="G3767" i="2"/>
  <c r="H3767" i="2" s="1"/>
  <c r="G3768" i="2"/>
  <c r="H3768" i="2" s="1"/>
  <c r="G3769" i="2"/>
  <c r="A3769" i="2" s="1"/>
  <c r="G3770" i="2"/>
  <c r="H3770" i="2" s="1"/>
  <c r="G3771" i="2"/>
  <c r="H3771" i="2" s="1"/>
  <c r="G3772" i="2"/>
  <c r="G3773" i="2"/>
  <c r="H3773" i="2" s="1"/>
  <c r="G3774" i="2"/>
  <c r="G3775" i="2"/>
  <c r="H3775" i="2" s="1"/>
  <c r="G3776" i="2"/>
  <c r="H3776" i="2" s="1"/>
  <c r="G3777" i="2"/>
  <c r="H3777" i="2" s="1"/>
  <c r="G3778" i="2"/>
  <c r="G3779" i="2"/>
  <c r="H3779" i="2" s="1"/>
  <c r="G3780" i="2"/>
  <c r="H3780" i="2" s="1"/>
  <c r="G3781" i="2"/>
  <c r="A3781" i="2" s="1"/>
  <c r="G3782" i="2"/>
  <c r="H3782" i="2" s="1"/>
  <c r="G3783" i="2"/>
  <c r="H3783" i="2" s="1"/>
  <c r="G3784" i="2"/>
  <c r="G3785" i="2"/>
  <c r="G3786" i="2"/>
  <c r="G3787" i="2"/>
  <c r="H3787" i="2" s="1"/>
  <c r="G3788" i="2"/>
  <c r="H3788" i="2" s="1"/>
  <c r="G3789" i="2"/>
  <c r="H3789" i="2" s="1"/>
  <c r="G3790" i="2"/>
  <c r="G3791" i="2"/>
  <c r="H3791" i="2" s="1"/>
  <c r="G3792" i="2"/>
  <c r="G3762" i="2"/>
  <c r="A3762" i="2" s="1"/>
  <c r="F3783" i="2" l="1"/>
  <c r="F3771" i="2"/>
  <c r="F3782" i="2"/>
  <c r="F3770" i="2"/>
  <c r="A3765" i="2"/>
  <c r="F3765" i="2"/>
  <c r="A3764" i="2"/>
  <c r="A3789" i="2"/>
  <c r="F3788" i="2"/>
  <c r="F3787" i="2"/>
  <c r="A3782" i="2"/>
  <c r="F3764" i="2"/>
  <c r="A3787" i="2"/>
  <c r="A3775" i="2"/>
  <c r="F3775" i="2"/>
  <c r="A3770" i="2"/>
  <c r="F3790" i="2"/>
  <c r="H3790" i="2"/>
  <c r="F3766" i="2"/>
  <c r="H3766" i="2"/>
  <c r="A3783" i="2"/>
  <c r="F3763" i="2"/>
  <c r="H3763" i="2"/>
  <c r="F3774" i="2"/>
  <c r="H3774" i="2"/>
  <c r="F3792" i="2"/>
  <c r="H3792" i="2"/>
  <c r="F3786" i="2"/>
  <c r="H3786" i="2"/>
  <c r="F3772" i="2"/>
  <c r="H3772" i="2"/>
  <c r="F3785" i="2"/>
  <c r="H3785" i="2"/>
  <c r="F3784" i="2"/>
  <c r="H3784" i="2"/>
  <c r="F3779" i="2"/>
  <c r="F3776" i="2"/>
  <c r="F3762" i="2"/>
  <c r="H3762" i="2"/>
  <c r="F3781" i="2"/>
  <c r="H3781" i="2"/>
  <c r="F3769" i="2"/>
  <c r="H3769" i="2"/>
  <c r="F3778" i="2"/>
  <c r="H3778" i="2"/>
  <c r="F3773" i="2"/>
  <c r="A3791" i="2"/>
  <c r="A3771" i="2"/>
  <c r="A3767" i="2"/>
  <c r="F3791" i="2"/>
  <c r="F3789" i="2"/>
  <c r="A3785" i="2"/>
  <c r="F3780" i="2"/>
  <c r="A3768" i="2"/>
  <c r="F3768" i="2"/>
  <c r="A3779" i="2"/>
  <c r="A3777" i="2"/>
  <c r="F3777" i="2"/>
  <c r="A3773" i="2"/>
  <c r="F3767" i="2"/>
  <c r="A3778" i="2"/>
  <c r="A3766" i="2"/>
  <c r="A3790" i="2"/>
  <c r="A3786" i="2"/>
  <c r="A3774" i="2"/>
  <c r="A3772" i="2"/>
  <c r="A3792" i="2"/>
  <c r="A3788" i="2"/>
  <c r="A3784" i="2"/>
  <c r="A3780" i="2"/>
  <c r="A3776" i="2"/>
  <c r="G3732" i="2"/>
  <c r="A3732" i="2" s="1"/>
  <c r="G3733" i="2"/>
  <c r="G3734" i="2"/>
  <c r="G3735" i="2"/>
  <c r="A3735" i="2" s="1"/>
  <c r="G3736" i="2"/>
  <c r="A3736" i="2" s="1"/>
  <c r="G3737" i="2"/>
  <c r="G3738" i="2"/>
  <c r="A3738" i="2" s="1"/>
  <c r="G3739" i="2"/>
  <c r="G3740" i="2"/>
  <c r="G3741" i="2"/>
  <c r="G3742" i="2"/>
  <c r="G3743" i="2"/>
  <c r="G3744" i="2"/>
  <c r="G3745" i="2"/>
  <c r="G3746" i="2"/>
  <c r="A3746" i="2"/>
  <c r="G3747" i="2"/>
  <c r="G3748" i="2"/>
  <c r="G3749" i="2"/>
  <c r="G3750" i="2"/>
  <c r="G3751" i="2"/>
  <c r="G3752" i="2"/>
  <c r="G3753" i="2"/>
  <c r="G3754" i="2"/>
  <c r="G3755" i="2"/>
  <c r="G3756" i="2"/>
  <c r="G3757" i="2"/>
  <c r="G3758" i="2"/>
  <c r="G3759" i="2"/>
  <c r="G3760" i="2"/>
  <c r="A3760" i="2" s="1"/>
  <c r="G3761" i="2"/>
  <c r="G3731" i="2"/>
  <c r="H3731" i="2" s="1"/>
  <c r="F3747" i="2" l="1"/>
  <c r="H3747" i="2"/>
  <c r="F3757" i="2"/>
  <c r="H3757" i="2"/>
  <c r="F3746" i="2"/>
  <c r="H3746" i="2"/>
  <c r="F3736" i="2"/>
  <c r="H3736" i="2"/>
  <c r="F3756" i="2"/>
  <c r="H3756" i="2"/>
  <c r="F3745" i="2"/>
  <c r="H3745" i="2"/>
  <c r="F3755" i="2"/>
  <c r="H3755" i="2"/>
  <c r="F3744" i="2"/>
  <c r="H3744" i="2"/>
  <c r="F3735" i="2"/>
  <c r="H3735" i="2"/>
  <c r="F3759" i="2"/>
  <c r="H3759" i="2"/>
  <c r="F3754" i="2"/>
  <c r="H3754" i="2"/>
  <c r="F3753" i="2"/>
  <c r="H3753" i="2"/>
  <c r="F3734" i="2"/>
  <c r="H3734" i="2"/>
  <c r="F3733" i="2"/>
  <c r="H3733" i="2"/>
  <c r="F3742" i="2"/>
  <c r="H3742" i="2"/>
  <c r="F3752" i="2"/>
  <c r="H3752" i="2"/>
  <c r="F3761" i="2"/>
  <c r="H3761" i="2"/>
  <c r="F3740" i="2"/>
  <c r="H3740" i="2"/>
  <c r="F3732" i="2"/>
  <c r="H3732" i="2"/>
  <c r="F3739" i="2"/>
  <c r="H3739" i="2"/>
  <c r="F3743" i="2"/>
  <c r="H3743" i="2"/>
  <c r="F3741" i="2"/>
  <c r="H3741" i="2"/>
  <c r="F3751" i="2"/>
  <c r="H3751" i="2"/>
  <c r="F3750" i="2"/>
  <c r="H3750" i="2"/>
  <c r="F3760" i="2"/>
  <c r="H3760" i="2"/>
  <c r="F3749" i="2"/>
  <c r="H3749" i="2"/>
  <c r="A3759" i="2"/>
  <c r="F3748" i="2"/>
  <c r="H3748" i="2"/>
  <c r="F3738" i="2"/>
  <c r="H3738" i="2"/>
  <c r="F3737" i="2"/>
  <c r="H3737" i="2"/>
  <c r="F3758" i="2"/>
  <c r="H3758" i="2"/>
  <c r="A3756" i="2"/>
  <c r="A3744" i="2"/>
  <c r="A3734" i="2"/>
  <c r="A3747" i="2"/>
  <c r="A3743" i="2"/>
  <c r="A3758" i="2"/>
  <c r="A3754" i="2"/>
  <c r="A3750" i="2"/>
  <c r="A3748" i="2"/>
  <c r="A3741" i="2"/>
  <c r="A3737" i="2"/>
  <c r="A3755" i="2"/>
  <c r="A3742" i="2"/>
  <c r="A3751" i="2"/>
  <c r="A3739" i="2"/>
  <c r="A3731" i="2"/>
  <c r="A3752" i="2"/>
  <c r="A3740" i="2"/>
  <c r="A3745" i="2"/>
  <c r="A3733" i="2"/>
  <c r="A3761" i="2"/>
  <c r="A3757" i="2"/>
  <c r="A3753" i="2"/>
  <c r="A3749" i="2"/>
  <c r="F3731" i="2"/>
  <c r="G3701" i="2"/>
  <c r="G3702" i="2"/>
  <c r="G3703" i="2"/>
  <c r="G3704" i="2"/>
  <c r="G3705" i="2"/>
  <c r="G3706" i="2"/>
  <c r="G3707" i="2"/>
  <c r="G3708" i="2"/>
  <c r="G3709" i="2"/>
  <c r="G3710" i="2"/>
  <c r="G3711" i="2"/>
  <c r="G3712" i="2"/>
  <c r="H3712" i="2" s="1"/>
  <c r="G3713" i="2"/>
  <c r="H3713" i="2" s="1"/>
  <c r="G3714" i="2"/>
  <c r="H3714" i="2" s="1"/>
  <c r="G3715" i="2"/>
  <c r="H3715" i="2" s="1"/>
  <c r="G3716" i="2"/>
  <c r="H3716" i="2" s="1"/>
  <c r="G3717" i="2"/>
  <c r="H3717" i="2" s="1"/>
  <c r="G3718" i="2"/>
  <c r="H3718" i="2" s="1"/>
  <c r="G3719" i="2"/>
  <c r="H3719" i="2" s="1"/>
  <c r="G3720" i="2"/>
  <c r="H3720" i="2" s="1"/>
  <c r="G3721" i="2"/>
  <c r="H3721" i="2" s="1"/>
  <c r="G3722" i="2"/>
  <c r="H3722" i="2" s="1"/>
  <c r="G3723" i="2"/>
  <c r="H3723" i="2" s="1"/>
  <c r="G3724" i="2"/>
  <c r="H3724" i="2" s="1"/>
  <c r="G3725" i="2"/>
  <c r="H3725" i="2" s="1"/>
  <c r="G3726" i="2"/>
  <c r="H3726" i="2" s="1"/>
  <c r="G3727" i="2"/>
  <c r="H3727" i="2" s="1"/>
  <c r="G3728" i="2"/>
  <c r="H3728" i="2" s="1"/>
  <c r="G3729" i="2"/>
  <c r="H3729" i="2" s="1"/>
  <c r="G3730" i="2"/>
  <c r="H3730" i="2" s="1"/>
  <c r="G3700" i="2"/>
  <c r="H3700" i="2" s="1"/>
  <c r="A3720" i="2" l="1"/>
  <c r="A3724" i="2"/>
  <c r="A3722" i="2"/>
  <c r="F3710" i="2"/>
  <c r="H3710" i="2"/>
  <c r="F3709" i="2"/>
  <c r="H3709" i="2"/>
  <c r="F3708" i="2"/>
  <c r="H3708" i="2"/>
  <c r="F3705" i="2"/>
  <c r="H3705" i="2"/>
  <c r="F3706" i="2"/>
  <c r="H3706" i="2"/>
  <c r="F3701" i="2"/>
  <c r="H3701" i="2"/>
  <c r="F3707" i="2"/>
  <c r="H3707" i="2"/>
  <c r="F3704" i="2"/>
  <c r="H3704" i="2"/>
  <c r="F3703" i="2"/>
  <c r="H3703" i="2"/>
  <c r="F3702" i="2"/>
  <c r="H3702" i="2"/>
  <c r="F3711" i="2"/>
  <c r="H3711" i="2"/>
  <c r="F3718" i="2"/>
  <c r="F3719" i="2"/>
  <c r="A3702" i="2"/>
  <c r="F3712" i="2"/>
  <c r="A3729" i="2"/>
  <c r="A3725" i="2"/>
  <c r="A3723" i="2"/>
  <c r="A3721" i="2"/>
  <c r="F3720" i="2"/>
  <c r="A3718" i="2"/>
  <c r="A3716" i="2"/>
  <c r="A3714" i="2"/>
  <c r="F3714" i="2"/>
  <c r="A3704" i="2"/>
  <c r="F3725" i="2"/>
  <c r="F3721" i="2"/>
  <c r="A3715" i="2"/>
  <c r="A3730" i="2"/>
  <c r="F3724" i="2"/>
  <c r="F3729" i="2"/>
  <c r="A3727" i="2"/>
  <c r="F3715" i="2"/>
  <c r="A3713" i="2"/>
  <c r="F3727" i="2"/>
  <c r="F3713" i="2"/>
  <c r="A3711" i="2"/>
  <c r="A3709" i="2"/>
  <c r="A3707" i="2"/>
  <c r="A3705" i="2"/>
  <c r="A3703" i="2"/>
  <c r="A3701" i="2"/>
  <c r="F3730" i="2"/>
  <c r="A3728" i="2"/>
  <c r="F3723" i="2"/>
  <c r="F3716" i="2"/>
  <c r="A3719" i="2"/>
  <c r="F3728" i="2"/>
  <c r="A3712" i="2"/>
  <c r="A3717" i="2"/>
  <c r="A3710" i="2"/>
  <c r="A3708" i="2"/>
  <c r="A3706" i="2"/>
  <c r="F3717" i="2"/>
  <c r="A3700" i="2"/>
  <c r="A3726" i="2"/>
  <c r="F3726" i="2"/>
  <c r="F3722" i="2"/>
  <c r="F3700" i="2"/>
  <c r="G3670" i="2"/>
  <c r="A3670" i="2" s="1"/>
  <c r="G3671" i="2"/>
  <c r="G3672" i="2"/>
  <c r="G3673" i="2"/>
  <c r="G3674" i="2"/>
  <c r="G3675" i="2"/>
  <c r="G3676" i="2"/>
  <c r="G3677" i="2"/>
  <c r="G3678" i="2"/>
  <c r="G3679" i="2"/>
  <c r="G3680" i="2"/>
  <c r="G3681" i="2"/>
  <c r="G3682" i="2"/>
  <c r="G3683" i="2"/>
  <c r="G3684" i="2"/>
  <c r="G3685" i="2"/>
  <c r="G3686" i="2"/>
  <c r="G3687" i="2"/>
  <c r="G3688" i="2"/>
  <c r="G3689" i="2"/>
  <c r="G3690" i="2"/>
  <c r="G3691" i="2"/>
  <c r="G3692" i="2"/>
  <c r="G3693" i="2"/>
  <c r="G3694" i="2"/>
  <c r="G3695" i="2"/>
  <c r="G3696" i="2"/>
  <c r="G3697" i="2"/>
  <c r="G3698" i="2"/>
  <c r="G3699" i="2"/>
  <c r="G3669" i="2"/>
  <c r="H3669" i="2" s="1"/>
  <c r="F3681" i="2" l="1"/>
  <c r="H3681" i="2"/>
  <c r="F3684" i="2"/>
  <c r="H3684" i="2"/>
  <c r="F3694" i="2"/>
  <c r="H3694" i="2"/>
  <c r="F3682" i="2"/>
  <c r="H3682" i="2"/>
  <c r="F3691" i="2"/>
  <c r="H3691" i="2"/>
  <c r="F3690" i="2"/>
  <c r="H3690" i="2"/>
  <c r="F3693" i="2"/>
  <c r="H3693" i="2"/>
  <c r="F3692" i="2"/>
  <c r="H3692" i="2"/>
  <c r="F3689" i="2"/>
  <c r="H3689" i="2"/>
  <c r="F3677" i="2"/>
  <c r="H3677" i="2"/>
  <c r="F3680" i="2"/>
  <c r="H3680" i="2"/>
  <c r="F3679" i="2"/>
  <c r="H3679" i="2"/>
  <c r="F3678" i="2"/>
  <c r="H3678" i="2"/>
  <c r="F3688" i="2"/>
  <c r="H3688" i="2"/>
  <c r="F3699" i="2"/>
  <c r="H3699" i="2"/>
  <c r="F3698" i="2"/>
  <c r="H3698" i="2"/>
  <c r="F3686" i="2"/>
  <c r="H3686" i="2"/>
  <c r="F3674" i="2"/>
  <c r="H3674" i="2"/>
  <c r="F3676" i="2"/>
  <c r="H3676" i="2"/>
  <c r="F3687" i="2"/>
  <c r="H3687" i="2"/>
  <c r="F3675" i="2"/>
  <c r="H3675" i="2"/>
  <c r="F3697" i="2"/>
  <c r="H3697" i="2"/>
  <c r="F3685" i="2"/>
  <c r="H3685" i="2"/>
  <c r="F3673" i="2"/>
  <c r="H3673" i="2"/>
  <c r="F3670" i="2"/>
  <c r="H3670" i="2"/>
  <c r="F3672" i="2"/>
  <c r="H3672" i="2"/>
  <c r="F3696" i="2"/>
  <c r="H3696" i="2"/>
  <c r="F3695" i="2"/>
  <c r="H3695" i="2"/>
  <c r="F3683" i="2"/>
  <c r="H3683" i="2"/>
  <c r="F3671" i="2"/>
  <c r="H3671" i="2"/>
  <c r="A3694" i="2"/>
  <c r="A3684" i="2"/>
  <c r="A3674" i="2"/>
  <c r="A3698" i="2"/>
  <c r="A3696" i="2"/>
  <c r="A3685" i="2"/>
  <c r="A3672" i="2"/>
  <c r="A3692" i="2"/>
  <c r="A3697" i="2"/>
  <c r="A3686" i="2"/>
  <c r="A3673" i="2"/>
  <c r="A3682" i="2"/>
  <c r="A3689" i="2"/>
  <c r="A3677" i="2"/>
  <c r="A3680" i="2"/>
  <c r="A3690" i="2"/>
  <c r="A3678" i="2"/>
  <c r="A3669" i="2"/>
  <c r="A3676" i="2"/>
  <c r="A3688" i="2"/>
  <c r="A3693" i="2"/>
  <c r="A3681" i="2"/>
  <c r="A3699" i="2"/>
  <c r="A3695" i="2"/>
  <c r="A3691" i="2"/>
  <c r="A3687" i="2"/>
  <c r="A3683" i="2"/>
  <c r="A3679" i="2"/>
  <c r="A3675" i="2"/>
  <c r="A3671" i="2"/>
  <c r="F3669" i="2"/>
  <c r="G3639" i="2"/>
  <c r="G3640" i="2"/>
  <c r="H3640" i="2" s="1"/>
  <c r="G3641" i="2"/>
  <c r="G3642" i="2"/>
  <c r="A3642" i="2" s="1"/>
  <c r="G3643" i="2"/>
  <c r="H3643" i="2" s="1"/>
  <c r="G3644" i="2"/>
  <c r="G3645" i="2"/>
  <c r="G3646" i="2"/>
  <c r="H3646" i="2" s="1"/>
  <c r="G3647" i="2"/>
  <c r="G3648" i="2"/>
  <c r="G3649" i="2"/>
  <c r="H3649" i="2" s="1"/>
  <c r="G3650" i="2"/>
  <c r="G3651" i="2"/>
  <c r="G3652" i="2"/>
  <c r="H3652" i="2" s="1"/>
  <c r="G3653" i="2"/>
  <c r="G3654" i="2"/>
  <c r="G3655" i="2"/>
  <c r="H3655" i="2" s="1"/>
  <c r="G3656" i="2"/>
  <c r="G3657" i="2"/>
  <c r="G3658" i="2"/>
  <c r="H3658" i="2" s="1"/>
  <c r="G3659" i="2"/>
  <c r="G3660" i="2"/>
  <c r="G3661" i="2"/>
  <c r="H3661" i="2" s="1"/>
  <c r="G3662" i="2"/>
  <c r="G3663" i="2"/>
  <c r="G3664" i="2"/>
  <c r="H3664" i="2" s="1"/>
  <c r="G3665" i="2"/>
  <c r="G3666" i="2"/>
  <c r="G3667" i="2"/>
  <c r="H3667" i="2" s="1"/>
  <c r="G3668" i="2"/>
  <c r="G3638" i="2"/>
  <c r="H3638" i="2" s="1"/>
  <c r="F3653" i="2" l="1"/>
  <c r="H3653" i="2"/>
  <c r="F3666" i="2"/>
  <c r="H3666" i="2"/>
  <c r="F3654" i="2"/>
  <c r="H3654" i="2"/>
  <c r="F3641" i="2"/>
  <c r="H3641" i="2"/>
  <c r="F3663" i="2"/>
  <c r="H3663" i="2"/>
  <c r="F3662" i="2"/>
  <c r="H3662" i="2"/>
  <c r="F3650" i="2"/>
  <c r="H3650" i="2"/>
  <c r="F3639" i="2"/>
  <c r="H3639" i="2"/>
  <c r="F3660" i="2"/>
  <c r="H3660" i="2"/>
  <c r="F3648" i="2"/>
  <c r="H3648" i="2"/>
  <c r="F3647" i="2"/>
  <c r="H3647" i="2"/>
  <c r="A3638" i="2"/>
  <c r="F3651" i="2"/>
  <c r="H3651" i="2"/>
  <c r="F3659" i="2"/>
  <c r="H3659" i="2"/>
  <c r="F3645" i="2"/>
  <c r="H3645" i="2"/>
  <c r="F3642" i="2"/>
  <c r="H3642" i="2"/>
  <c r="F3657" i="2"/>
  <c r="H3657" i="2"/>
  <c r="F3668" i="2"/>
  <c r="H3668" i="2"/>
  <c r="F3656" i="2"/>
  <c r="H3656" i="2"/>
  <c r="F3644" i="2"/>
  <c r="H3644" i="2"/>
  <c r="F3665" i="2"/>
  <c r="H3665" i="2"/>
  <c r="A3656" i="2"/>
  <c r="A3650" i="2"/>
  <c r="A3659" i="2"/>
  <c r="A3657" i="2"/>
  <c r="A3651" i="2"/>
  <c r="A3641" i="2"/>
  <c r="A3660" i="2"/>
  <c r="A3654" i="2"/>
  <c r="A3665" i="2"/>
  <c r="A3648" i="2"/>
  <c r="A3663" i="2"/>
  <c r="A3644" i="2"/>
  <c r="A3653" i="2"/>
  <c r="A3668" i="2"/>
  <c r="A3666" i="2"/>
  <c r="A3647" i="2"/>
  <c r="A3662" i="2"/>
  <c r="A3645" i="2"/>
  <c r="F3655" i="2"/>
  <c r="F3652" i="2"/>
  <c r="F3664" i="2"/>
  <c r="F3643" i="2"/>
  <c r="F3667" i="2"/>
  <c r="F3658" i="2"/>
  <c r="F3649" i="2"/>
  <c r="F3646" i="2"/>
  <c r="F3640" i="2"/>
  <c r="A3639" i="2"/>
  <c r="F3661" i="2"/>
  <c r="A3664" i="2"/>
  <c r="A3658" i="2"/>
  <c r="A3649" i="2"/>
  <c r="A3640" i="2"/>
  <c r="A3667" i="2"/>
  <c r="A3661" i="2"/>
  <c r="A3655" i="2"/>
  <c r="A3652" i="2"/>
  <c r="A3646" i="2"/>
  <c r="A3643" i="2"/>
  <c r="F3638" i="2"/>
  <c r="G3608" i="2"/>
  <c r="G3609" i="2"/>
  <c r="G3610" i="2"/>
  <c r="G3611" i="2"/>
  <c r="G3612" i="2"/>
  <c r="G3613" i="2"/>
  <c r="G3614" i="2"/>
  <c r="G3615" i="2"/>
  <c r="G3616" i="2"/>
  <c r="G3617" i="2"/>
  <c r="G3618" i="2"/>
  <c r="G3619" i="2"/>
  <c r="G3620" i="2"/>
  <c r="G3621" i="2"/>
  <c r="A3621" i="2" s="1"/>
  <c r="G3622" i="2"/>
  <c r="G3623" i="2"/>
  <c r="G3624" i="2"/>
  <c r="A3624" i="2" s="1"/>
  <c r="G3625" i="2"/>
  <c r="A3625" i="2" s="1"/>
  <c r="G3626" i="2"/>
  <c r="G3627" i="2"/>
  <c r="G3628" i="2"/>
  <c r="A3628" i="2" s="1"/>
  <c r="G3629" i="2"/>
  <c r="G3630" i="2"/>
  <c r="G3631" i="2"/>
  <c r="G3632" i="2"/>
  <c r="G3633" i="2"/>
  <c r="G3634" i="2"/>
  <c r="G3635" i="2"/>
  <c r="G3636" i="2"/>
  <c r="G3637" i="2"/>
  <c r="G3607" i="2"/>
  <c r="H3607" i="2" s="1"/>
  <c r="F3609" i="2" l="1"/>
  <c r="H3609" i="2"/>
  <c r="F3628" i="2"/>
  <c r="H3628" i="2"/>
  <c r="F3627" i="2"/>
  <c r="H3627" i="2"/>
  <c r="F3618" i="2"/>
  <c r="H3618" i="2"/>
  <c r="F3608" i="2"/>
  <c r="H3608" i="2"/>
  <c r="F3619" i="2"/>
  <c r="H3619" i="2"/>
  <c r="F3637" i="2"/>
  <c r="H3637" i="2"/>
  <c r="F3626" i="2"/>
  <c r="H3626" i="2"/>
  <c r="F3617" i="2"/>
  <c r="H3617" i="2"/>
  <c r="F3629" i="2"/>
  <c r="H3629" i="2"/>
  <c r="F3616" i="2"/>
  <c r="H3616" i="2"/>
  <c r="F3615" i="2"/>
  <c r="H3615" i="2"/>
  <c r="F3614" i="2"/>
  <c r="H3614" i="2"/>
  <c r="F3610" i="2"/>
  <c r="H3610" i="2"/>
  <c r="F3636" i="2"/>
  <c r="H3636" i="2"/>
  <c r="F3625" i="2"/>
  <c r="H3625" i="2"/>
  <c r="F3633" i="2"/>
  <c r="H3633" i="2"/>
  <c r="F3624" i="2"/>
  <c r="H3624" i="2"/>
  <c r="F3613" i="2"/>
  <c r="H3613" i="2"/>
  <c r="F3621" i="2"/>
  <c r="H3621" i="2"/>
  <c r="F3632" i="2"/>
  <c r="H3632" i="2"/>
  <c r="F3623" i="2"/>
  <c r="H3623" i="2"/>
  <c r="F3612" i="2"/>
  <c r="H3612" i="2"/>
  <c r="F3630" i="2"/>
  <c r="H3630" i="2"/>
  <c r="F3620" i="2"/>
  <c r="H3620" i="2"/>
  <c r="F3635" i="2"/>
  <c r="H3635" i="2"/>
  <c r="F3634" i="2"/>
  <c r="H3634" i="2"/>
  <c r="F3631" i="2"/>
  <c r="H3631" i="2"/>
  <c r="F3622" i="2"/>
  <c r="H3622" i="2"/>
  <c r="F3611" i="2"/>
  <c r="H3611" i="2"/>
  <c r="A3632" i="2"/>
  <c r="A3613" i="2"/>
  <c r="A3633" i="2"/>
  <c r="A3609" i="2"/>
  <c r="A3616" i="2"/>
  <c r="A3635" i="2"/>
  <c r="A3612" i="2"/>
  <c r="A3619" i="2"/>
  <c r="A3637" i="2"/>
  <c r="A3623" i="2"/>
  <c r="A3611" i="2"/>
  <c r="A3631" i="2"/>
  <c r="A3617" i="2"/>
  <c r="A3636" i="2"/>
  <c r="A3629" i="2"/>
  <c r="A3627" i="2"/>
  <c r="A3615" i="2"/>
  <c r="A3620" i="2"/>
  <c r="A3608" i="2"/>
  <c r="A3607" i="2"/>
  <c r="A3634" i="2"/>
  <c r="A3630" i="2"/>
  <c r="A3626" i="2"/>
  <c r="A3622" i="2"/>
  <c r="A3618" i="2"/>
  <c r="A3614" i="2"/>
  <c r="A3610" i="2"/>
  <c r="F3607" i="2"/>
  <c r="G3577" i="2"/>
  <c r="G3578" i="2"/>
  <c r="A3578" i="2" s="1"/>
  <c r="G3579" i="2"/>
  <c r="G3580" i="2"/>
  <c r="A3580" i="2" s="1"/>
  <c r="G3581" i="2"/>
  <c r="G3582" i="2"/>
  <c r="G3583" i="2"/>
  <c r="G3584" i="2"/>
  <c r="G3585" i="2"/>
  <c r="G3586" i="2"/>
  <c r="G3587" i="2"/>
  <c r="G3588" i="2"/>
  <c r="G3589" i="2"/>
  <c r="G3590" i="2"/>
  <c r="G3591" i="2"/>
  <c r="G3592" i="2"/>
  <c r="G3593" i="2"/>
  <c r="G3594" i="2"/>
  <c r="G3595" i="2"/>
  <c r="G3596" i="2"/>
  <c r="G3597" i="2"/>
  <c r="G3598" i="2"/>
  <c r="G3599" i="2"/>
  <c r="A3599" i="2" s="1"/>
  <c r="G3600" i="2"/>
  <c r="G3601" i="2"/>
  <c r="A3601" i="2" s="1"/>
  <c r="G3602" i="2"/>
  <c r="A3602" i="2" s="1"/>
  <c r="G3603" i="2"/>
  <c r="G3604" i="2"/>
  <c r="G3605" i="2"/>
  <c r="G3606" i="2"/>
  <c r="G3576" i="2"/>
  <c r="H3576" i="2" s="1"/>
  <c r="F3589" i="2" l="1"/>
  <c r="H3589" i="2"/>
  <c r="F3604" i="2"/>
  <c r="H3604" i="2"/>
  <c r="F3595" i="2"/>
  <c r="H3595" i="2"/>
  <c r="F3603" i="2"/>
  <c r="H3603" i="2"/>
  <c r="F3594" i="2"/>
  <c r="H3594" i="2"/>
  <c r="F3582" i="2"/>
  <c r="H3582" i="2"/>
  <c r="F3602" i="2"/>
  <c r="H3602" i="2"/>
  <c r="F3592" i="2"/>
  <c r="H3592" i="2"/>
  <c r="F3593" i="2"/>
  <c r="H3593" i="2"/>
  <c r="F3601" i="2"/>
  <c r="H3601" i="2"/>
  <c r="F3590" i="2"/>
  <c r="H3590" i="2"/>
  <c r="F3579" i="2"/>
  <c r="H3579" i="2"/>
  <c r="F3581" i="2"/>
  <c r="H3581" i="2"/>
  <c r="F3600" i="2"/>
  <c r="H3600" i="2"/>
  <c r="F3588" i="2"/>
  <c r="H3588" i="2"/>
  <c r="F3578" i="2"/>
  <c r="H3578" i="2"/>
  <c r="F3599" i="2"/>
  <c r="H3599" i="2"/>
  <c r="F3598" i="2"/>
  <c r="H3598" i="2"/>
  <c r="F3586" i="2"/>
  <c r="H3586" i="2"/>
  <c r="F3591" i="2"/>
  <c r="H3591" i="2"/>
  <c r="F3577" i="2"/>
  <c r="H3577" i="2"/>
  <c r="F3597" i="2"/>
  <c r="H3597" i="2"/>
  <c r="F3587" i="2"/>
  <c r="H3587" i="2"/>
  <c r="F3606" i="2"/>
  <c r="H3606" i="2"/>
  <c r="F3585" i="2"/>
  <c r="H3585" i="2"/>
  <c r="F3605" i="2"/>
  <c r="H3605" i="2"/>
  <c r="F3596" i="2"/>
  <c r="H3596" i="2"/>
  <c r="F3584" i="2"/>
  <c r="H3584" i="2"/>
  <c r="F3580" i="2"/>
  <c r="H3580" i="2"/>
  <c r="F3583" i="2"/>
  <c r="H3583" i="2"/>
  <c r="A3590" i="2"/>
  <c r="A3597" i="2"/>
  <c r="A3589" i="2"/>
  <c r="A3587" i="2"/>
  <c r="A3577" i="2"/>
  <c r="A3576" i="2"/>
  <c r="A3585" i="2"/>
  <c r="A3594" i="2"/>
  <c r="A3583" i="2"/>
  <c r="F3576" i="2"/>
  <c r="A3606" i="2"/>
  <c r="A3595" i="2"/>
  <c r="A3582" i="2"/>
  <c r="A3605" i="2"/>
  <c r="A3593" i="2"/>
  <c r="A3581" i="2"/>
  <c r="A3598" i="2"/>
  <c r="A3586" i="2"/>
  <c r="A3591" i="2"/>
  <c r="A3579" i="2"/>
  <c r="A3603" i="2"/>
  <c r="A3584" i="2"/>
  <c r="A3604" i="2"/>
  <c r="A3600" i="2"/>
  <c r="A3596" i="2"/>
  <c r="A3592" i="2"/>
  <c r="A3588" i="2"/>
  <c r="G3546" i="2"/>
  <c r="A3546" i="2" s="1"/>
  <c r="G3547" i="2"/>
  <c r="G3548" i="2"/>
  <c r="G3549" i="2"/>
  <c r="G3550" i="2"/>
  <c r="G3551" i="2"/>
  <c r="G3552" i="2"/>
  <c r="G3553" i="2"/>
  <c r="G3554" i="2"/>
  <c r="G3555" i="2"/>
  <c r="G3556" i="2"/>
  <c r="G3557" i="2"/>
  <c r="G3558" i="2"/>
  <c r="G3559" i="2"/>
  <c r="G3560" i="2"/>
  <c r="G3561" i="2"/>
  <c r="G3562" i="2"/>
  <c r="G3563" i="2"/>
  <c r="G3564" i="2"/>
  <c r="G3565" i="2"/>
  <c r="G3566" i="2"/>
  <c r="G3567" i="2"/>
  <c r="G3568" i="2"/>
  <c r="G3569" i="2"/>
  <c r="G3570" i="2"/>
  <c r="G3571" i="2"/>
  <c r="G3572" i="2"/>
  <c r="G3573" i="2"/>
  <c r="G3574" i="2"/>
  <c r="G3575" i="2"/>
  <c r="G3545" i="2"/>
  <c r="H3545" i="2" s="1"/>
  <c r="F3575" i="2" l="1"/>
  <c r="H3575" i="2"/>
  <c r="F3566" i="2"/>
  <c r="H3566" i="2"/>
  <c r="F3565" i="2"/>
  <c r="H3565" i="2"/>
  <c r="F3553" i="2"/>
  <c r="H3553" i="2"/>
  <c r="F3563" i="2"/>
  <c r="H3563" i="2"/>
  <c r="F3551" i="2"/>
  <c r="H3551" i="2"/>
  <c r="F3550" i="2"/>
  <c r="H3550" i="2"/>
  <c r="F3573" i="2"/>
  <c r="H3573" i="2"/>
  <c r="F3561" i="2"/>
  <c r="H3561" i="2"/>
  <c r="F3549" i="2"/>
  <c r="H3549" i="2"/>
  <c r="F3562" i="2"/>
  <c r="H3562" i="2"/>
  <c r="F3571" i="2"/>
  <c r="H3571" i="2"/>
  <c r="F3559" i="2"/>
  <c r="H3559" i="2"/>
  <c r="F3547" i="2"/>
  <c r="H3547" i="2"/>
  <c r="F3558" i="2"/>
  <c r="H3558" i="2"/>
  <c r="F3552" i="2"/>
  <c r="H3552" i="2"/>
  <c r="F3570" i="2"/>
  <c r="H3570" i="2"/>
  <c r="F3569" i="2"/>
  <c r="H3569" i="2"/>
  <c r="F3557" i="2"/>
  <c r="H3557" i="2"/>
  <c r="F3546" i="2"/>
  <c r="H3546" i="2"/>
  <c r="F3560" i="2"/>
  <c r="H3560" i="2"/>
  <c r="F3564" i="2"/>
  <c r="H3564" i="2"/>
  <c r="F3574" i="2"/>
  <c r="H3574" i="2"/>
  <c r="F3572" i="2"/>
  <c r="H3572" i="2"/>
  <c r="F3548" i="2"/>
  <c r="H3548" i="2"/>
  <c r="F3568" i="2"/>
  <c r="H3568" i="2"/>
  <c r="F3556" i="2"/>
  <c r="H3556" i="2"/>
  <c r="F3567" i="2"/>
  <c r="H3567" i="2"/>
  <c r="F3555" i="2"/>
  <c r="H3555" i="2"/>
  <c r="F3554" i="2"/>
  <c r="H3554" i="2"/>
  <c r="A3568" i="2"/>
  <c r="A3566" i="2"/>
  <c r="A3556" i="2"/>
  <c r="A3554" i="2"/>
  <c r="A3574" i="2"/>
  <c r="A3570" i="2"/>
  <c r="A3561" i="2"/>
  <c r="A3550" i="2"/>
  <c r="A3562" i="2"/>
  <c r="A3558" i="2"/>
  <c r="A3573" i="2"/>
  <c r="A3549" i="2"/>
  <c r="A3572" i="2"/>
  <c r="A3560" i="2"/>
  <c r="A3548" i="2"/>
  <c r="A3565" i="2"/>
  <c r="A3553" i="2"/>
  <c r="A3564" i="2"/>
  <c r="A3552" i="2"/>
  <c r="A3569" i="2"/>
  <c r="A3557" i="2"/>
  <c r="A3575" i="2"/>
  <c r="A3571" i="2"/>
  <c r="A3567" i="2"/>
  <c r="A3563" i="2"/>
  <c r="A3559" i="2"/>
  <c r="A3555" i="2"/>
  <c r="A3551" i="2"/>
  <c r="A3547" i="2"/>
  <c r="A3545" i="2"/>
  <c r="F3545" i="2"/>
  <c r="G3515" i="2"/>
  <c r="G3516" i="2"/>
  <c r="G3517" i="2"/>
  <c r="G3518" i="2"/>
  <c r="G3519" i="2"/>
  <c r="G3520" i="2"/>
  <c r="G3521" i="2"/>
  <c r="G3522" i="2"/>
  <c r="G3523" i="2"/>
  <c r="G3524" i="2"/>
  <c r="G3525" i="2"/>
  <c r="G3526" i="2"/>
  <c r="G3527" i="2"/>
  <c r="G3528" i="2"/>
  <c r="G3529" i="2"/>
  <c r="G3530" i="2"/>
  <c r="G3531" i="2"/>
  <c r="A3531" i="2" s="1"/>
  <c r="G3532" i="2"/>
  <c r="A3532" i="2" s="1"/>
  <c r="G3533" i="2"/>
  <c r="G3534" i="2"/>
  <c r="G3535" i="2"/>
  <c r="G3536" i="2"/>
  <c r="G3537" i="2"/>
  <c r="G3538" i="2"/>
  <c r="G3539" i="2"/>
  <c r="G3540" i="2"/>
  <c r="G3541" i="2"/>
  <c r="G3542" i="2"/>
  <c r="G3543" i="2"/>
  <c r="A3543" i="2" s="1"/>
  <c r="G3544" i="2"/>
  <c r="G3514" i="2"/>
  <c r="H3514" i="2" s="1"/>
  <c r="F3518" i="2" l="1"/>
  <c r="H3518" i="2"/>
  <c r="F3528" i="2"/>
  <c r="H3528" i="2"/>
  <c r="F3542" i="2"/>
  <c r="H3542" i="2"/>
  <c r="F3541" i="2"/>
  <c r="H3541" i="2"/>
  <c r="F3531" i="2"/>
  <c r="H3531" i="2"/>
  <c r="F3519" i="2"/>
  <c r="H3519" i="2"/>
  <c r="F3539" i="2"/>
  <c r="H3539" i="2"/>
  <c r="F3529" i="2"/>
  <c r="H3529" i="2"/>
  <c r="F3517" i="2"/>
  <c r="H3517" i="2"/>
  <c r="F3538" i="2"/>
  <c r="H3538" i="2"/>
  <c r="F3537" i="2"/>
  <c r="H3537" i="2"/>
  <c r="F3527" i="2"/>
  <c r="H3527" i="2"/>
  <c r="F3515" i="2"/>
  <c r="H3515" i="2"/>
  <c r="F3530" i="2"/>
  <c r="H3530" i="2"/>
  <c r="F3535" i="2"/>
  <c r="H3535" i="2"/>
  <c r="F3525" i="2"/>
  <c r="H3525" i="2"/>
  <c r="F3544" i="2"/>
  <c r="H3544" i="2"/>
  <c r="F3533" i="2"/>
  <c r="H3533" i="2"/>
  <c r="F3523" i="2"/>
  <c r="H3523" i="2"/>
  <c r="F3526" i="2"/>
  <c r="H3526" i="2"/>
  <c r="F3524" i="2"/>
  <c r="H3524" i="2"/>
  <c r="F3522" i="2"/>
  <c r="H3522" i="2"/>
  <c r="F3540" i="2"/>
  <c r="H3540" i="2"/>
  <c r="F3516" i="2"/>
  <c r="H3516" i="2"/>
  <c r="F3534" i="2"/>
  <c r="H3534" i="2"/>
  <c r="F3543" i="2"/>
  <c r="H3543" i="2"/>
  <c r="F3532" i="2"/>
  <c r="H3532" i="2"/>
  <c r="F3521" i="2"/>
  <c r="H3521" i="2"/>
  <c r="F3536" i="2"/>
  <c r="H3536" i="2"/>
  <c r="F3520" i="2"/>
  <c r="H3520" i="2"/>
  <c r="A3524" i="2"/>
  <c r="A3538" i="2"/>
  <c r="A3536" i="2"/>
  <c r="A3520" i="2"/>
  <c r="A3516" i="2"/>
  <c r="A3525" i="2"/>
  <c r="A3528" i="2"/>
  <c r="A3521" i="2"/>
  <c r="A3544" i="2"/>
  <c r="A3519" i="2"/>
  <c r="A3526" i="2"/>
  <c r="A3542" i="2"/>
  <c r="A3540" i="2"/>
  <c r="A3529" i="2"/>
  <c r="A3530" i="2"/>
  <c r="A3518" i="2"/>
  <c r="A3535" i="2"/>
  <c r="A3523" i="2"/>
  <c r="A3517" i="2"/>
  <c r="A3534" i="2"/>
  <c r="A3522" i="2"/>
  <c r="A3539" i="2"/>
  <c r="A3527" i="2"/>
  <c r="A3515" i="2"/>
  <c r="A3514" i="2"/>
  <c r="A3541" i="2"/>
  <c r="A3537" i="2"/>
  <c r="A3533" i="2"/>
  <c r="F3514" i="2"/>
  <c r="G3484" i="2"/>
  <c r="G3485" i="2"/>
  <c r="G3486" i="2"/>
  <c r="G3487" i="2"/>
  <c r="G3488" i="2"/>
  <c r="G3489" i="2"/>
  <c r="G3490" i="2"/>
  <c r="G3491" i="2"/>
  <c r="G3492" i="2"/>
  <c r="G3493" i="2"/>
  <c r="A3493" i="2" s="1"/>
  <c r="G3494" i="2"/>
  <c r="A3494" i="2" s="1"/>
  <c r="G3495" i="2"/>
  <c r="G3496" i="2"/>
  <c r="G3497" i="2"/>
  <c r="G3498" i="2"/>
  <c r="A3498" i="2" s="1"/>
  <c r="G3499" i="2"/>
  <c r="G3500" i="2"/>
  <c r="G3501" i="2"/>
  <c r="G3502" i="2"/>
  <c r="G3503" i="2"/>
  <c r="G3504" i="2"/>
  <c r="G3505" i="2"/>
  <c r="A3505" i="2" s="1"/>
  <c r="G3506" i="2"/>
  <c r="G3507" i="2"/>
  <c r="G3508" i="2"/>
  <c r="G3509" i="2"/>
  <c r="G3510" i="2"/>
  <c r="G3511" i="2"/>
  <c r="A3511" i="2" s="1"/>
  <c r="G3512" i="2"/>
  <c r="G3513" i="2"/>
  <c r="G3483" i="2"/>
  <c r="F3497" i="2" l="1"/>
  <c r="H3497" i="2"/>
  <c r="F3495" i="2"/>
  <c r="H3495" i="2"/>
  <c r="F3500" i="2"/>
  <c r="H3500" i="2"/>
  <c r="F3491" i="2"/>
  <c r="H3491" i="2"/>
  <c r="F3510" i="2"/>
  <c r="H3510" i="2"/>
  <c r="F3499" i="2"/>
  <c r="H3499" i="2"/>
  <c r="F3490" i="2"/>
  <c r="H3490" i="2"/>
  <c r="F3508" i="2"/>
  <c r="H3508" i="2"/>
  <c r="F3498" i="2"/>
  <c r="H3498" i="2"/>
  <c r="F3488" i="2"/>
  <c r="H3488" i="2"/>
  <c r="F3509" i="2"/>
  <c r="H3509" i="2"/>
  <c r="F3506" i="2"/>
  <c r="H3506" i="2"/>
  <c r="F3496" i="2"/>
  <c r="H3496" i="2"/>
  <c r="F3486" i="2"/>
  <c r="H3486" i="2"/>
  <c r="F3485" i="2"/>
  <c r="H3485" i="2"/>
  <c r="F3505" i="2"/>
  <c r="H3505" i="2"/>
  <c r="F3484" i="2"/>
  <c r="H3484" i="2"/>
  <c r="F3494" i="2"/>
  <c r="H3494" i="2"/>
  <c r="F3487" i="2"/>
  <c r="H3487" i="2"/>
  <c r="F3513" i="2"/>
  <c r="H3513" i="2"/>
  <c r="F3503" i="2"/>
  <c r="H3503" i="2"/>
  <c r="F3489" i="2"/>
  <c r="H3489" i="2"/>
  <c r="F3507" i="2"/>
  <c r="H3507" i="2"/>
  <c r="F3483" i="2"/>
  <c r="H3483" i="2"/>
  <c r="F3504" i="2"/>
  <c r="H3504" i="2"/>
  <c r="F3493" i="2"/>
  <c r="H3493" i="2"/>
  <c r="F3512" i="2"/>
  <c r="H3512" i="2"/>
  <c r="F3502" i="2"/>
  <c r="H3502" i="2"/>
  <c r="F3501" i="2"/>
  <c r="H3501" i="2"/>
  <c r="F3492" i="2"/>
  <c r="H3492" i="2"/>
  <c r="F3511" i="2"/>
  <c r="H3511" i="2"/>
  <c r="A3503" i="2"/>
  <c r="A3483" i="2"/>
  <c r="A3506" i="2"/>
  <c r="A3486" i="2"/>
  <c r="A3507" i="2"/>
  <c r="A3487" i="2"/>
  <c r="A3490" i="2"/>
  <c r="A3510" i="2"/>
  <c r="A3499" i="2"/>
  <c r="A3495" i="2"/>
  <c r="A3502" i="2"/>
  <c r="A3491" i="2"/>
  <c r="A3513" i="2"/>
  <c r="A3501" i="2"/>
  <c r="A3489" i="2"/>
  <c r="A3509" i="2"/>
  <c r="A3497" i="2"/>
  <c r="A3485" i="2"/>
  <c r="A3512" i="2"/>
  <c r="A3508" i="2"/>
  <c r="A3504" i="2"/>
  <c r="A3500" i="2"/>
  <c r="A3496" i="2"/>
  <c r="A3492" i="2"/>
  <c r="A3488" i="2"/>
  <c r="A3484" i="2"/>
  <c r="G3453" i="2"/>
  <c r="G3454" i="2"/>
  <c r="G3455" i="2"/>
  <c r="G3456" i="2"/>
  <c r="G3457" i="2"/>
  <c r="G3458" i="2"/>
  <c r="G3459" i="2"/>
  <c r="G3460" i="2"/>
  <c r="G3461" i="2"/>
  <c r="G3462" i="2"/>
  <c r="G3463" i="2"/>
  <c r="G3464" i="2"/>
  <c r="G3465" i="2"/>
  <c r="G3466" i="2"/>
  <c r="G3467" i="2"/>
  <c r="G3468" i="2"/>
  <c r="A3468" i="2" s="1"/>
  <c r="G3469" i="2"/>
  <c r="A3469" i="2" s="1"/>
  <c r="G3470" i="2"/>
  <c r="G3471" i="2"/>
  <c r="G3472" i="2"/>
  <c r="G3473" i="2"/>
  <c r="G3474" i="2"/>
  <c r="G3475" i="2"/>
  <c r="G3476" i="2"/>
  <c r="G3477" i="2"/>
  <c r="G3478" i="2"/>
  <c r="G3479" i="2"/>
  <c r="G3480" i="2"/>
  <c r="A3480" i="2" s="1"/>
  <c r="G3481" i="2"/>
  <c r="A3481" i="2" s="1"/>
  <c r="G3482" i="2"/>
  <c r="G3452" i="2"/>
  <c r="H3452" i="2" s="1"/>
  <c r="F3461" i="2" l="1"/>
  <c r="H3461" i="2"/>
  <c r="F3481" i="2"/>
  <c r="H3481" i="2"/>
  <c r="F3470" i="2"/>
  <c r="H3470" i="2"/>
  <c r="F3460" i="2"/>
  <c r="H3460" i="2"/>
  <c r="F3480" i="2"/>
  <c r="H3480" i="2"/>
  <c r="F3469" i="2"/>
  <c r="H3469" i="2"/>
  <c r="F3458" i="2"/>
  <c r="H3458" i="2"/>
  <c r="F3478" i="2"/>
  <c r="H3478" i="2"/>
  <c r="F3468" i="2"/>
  <c r="H3468" i="2"/>
  <c r="F3456" i="2"/>
  <c r="H3456" i="2"/>
  <c r="F3477" i="2"/>
  <c r="H3477" i="2"/>
  <c r="F3476" i="2"/>
  <c r="H3476" i="2"/>
  <c r="F3466" i="2"/>
  <c r="H3466" i="2"/>
  <c r="F3454" i="2"/>
  <c r="H3454" i="2"/>
  <c r="F3465" i="2"/>
  <c r="H3465" i="2"/>
  <c r="F3457" i="2"/>
  <c r="H3457" i="2"/>
  <c r="F3467" i="2"/>
  <c r="H3467" i="2"/>
  <c r="F3475" i="2"/>
  <c r="H3475" i="2"/>
  <c r="F3474" i="2"/>
  <c r="H3474" i="2"/>
  <c r="F3464" i="2"/>
  <c r="H3464" i="2"/>
  <c r="F3479" i="2"/>
  <c r="H3479" i="2"/>
  <c r="F3459" i="2"/>
  <c r="H3459" i="2"/>
  <c r="F3455" i="2"/>
  <c r="H3455" i="2"/>
  <c r="F3453" i="2"/>
  <c r="H3453" i="2"/>
  <c r="F3473" i="2"/>
  <c r="H3473" i="2"/>
  <c r="F3463" i="2"/>
  <c r="H3463" i="2"/>
  <c r="F3482" i="2"/>
  <c r="H3482" i="2"/>
  <c r="F3472" i="2"/>
  <c r="H3472" i="2"/>
  <c r="F3462" i="2"/>
  <c r="H3462" i="2"/>
  <c r="F3471" i="2"/>
  <c r="H3471" i="2"/>
  <c r="A3453" i="2"/>
  <c r="A3477" i="2"/>
  <c r="A3456" i="2"/>
  <c r="A3476" i="2"/>
  <c r="A3465" i="2"/>
  <c r="A3461" i="2"/>
  <c r="A3457" i="2"/>
  <c r="A3464" i="2"/>
  <c r="A3473" i="2"/>
  <c r="A3475" i="2"/>
  <c r="A3463" i="2"/>
  <c r="A3471" i="2"/>
  <c r="A3459" i="2"/>
  <c r="A3479" i="2"/>
  <c r="A3467" i="2"/>
  <c r="A3455" i="2"/>
  <c r="A3472" i="2"/>
  <c r="A3460" i="2"/>
  <c r="A3482" i="2"/>
  <c r="A3478" i="2"/>
  <c r="A3474" i="2"/>
  <c r="A3470" i="2"/>
  <c r="A3466" i="2"/>
  <c r="A3462" i="2"/>
  <c r="A3458" i="2"/>
  <c r="A3454" i="2"/>
  <c r="A3452" i="2"/>
  <c r="F3452" i="2"/>
  <c r="G3422" i="2"/>
  <c r="G3423" i="2"/>
  <c r="G3424" i="2"/>
  <c r="G3425" i="2"/>
  <c r="G3426" i="2"/>
  <c r="G3427" i="2"/>
  <c r="G3428" i="2"/>
  <c r="G3429" i="2"/>
  <c r="G3430" i="2"/>
  <c r="G3431" i="2"/>
  <c r="G3432" i="2"/>
  <c r="G3433" i="2"/>
  <c r="G3434" i="2"/>
  <c r="G3435" i="2"/>
  <c r="G3436" i="2"/>
  <c r="H3436" i="2" s="1"/>
  <c r="G3437" i="2"/>
  <c r="H3437" i="2" s="1"/>
  <c r="G3438" i="2"/>
  <c r="H3438" i="2" s="1"/>
  <c r="G3439" i="2"/>
  <c r="H3439" i="2" s="1"/>
  <c r="G3440" i="2"/>
  <c r="H3440" i="2" s="1"/>
  <c r="G3441" i="2"/>
  <c r="H3441" i="2" s="1"/>
  <c r="G3442" i="2"/>
  <c r="H3442" i="2" s="1"/>
  <c r="G3443" i="2"/>
  <c r="H3443" i="2" s="1"/>
  <c r="G3444" i="2"/>
  <c r="H3444" i="2" s="1"/>
  <c r="G3445" i="2"/>
  <c r="H3445" i="2" s="1"/>
  <c r="G3446" i="2"/>
  <c r="H3446" i="2" s="1"/>
  <c r="G3447" i="2"/>
  <c r="H3447" i="2" s="1"/>
  <c r="G3448" i="2"/>
  <c r="H3448" i="2" s="1"/>
  <c r="G3449" i="2"/>
  <c r="H3449" i="2" s="1"/>
  <c r="G3450" i="2"/>
  <c r="H3450" i="2" s="1"/>
  <c r="G3451" i="2"/>
  <c r="G3421" i="2"/>
  <c r="H3421" i="2" s="1"/>
  <c r="F3426" i="2" l="1"/>
  <c r="H3426" i="2"/>
  <c r="F3422" i="2"/>
  <c r="H3422" i="2"/>
  <c r="F3430" i="2"/>
  <c r="H3430" i="2"/>
  <c r="F3429" i="2"/>
  <c r="H3429" i="2"/>
  <c r="F3427" i="2"/>
  <c r="H3427" i="2"/>
  <c r="F3451" i="2"/>
  <c r="H3451" i="2"/>
  <c r="F3437" i="2"/>
  <c r="F3425" i="2"/>
  <c r="H3425" i="2"/>
  <c r="F3424" i="2"/>
  <c r="H3424" i="2"/>
  <c r="F3435" i="2"/>
  <c r="H3435" i="2"/>
  <c r="F3423" i="2"/>
  <c r="H3423" i="2"/>
  <c r="F3433" i="2"/>
  <c r="H3433" i="2"/>
  <c r="F3428" i="2"/>
  <c r="H3428" i="2"/>
  <c r="F3434" i="2"/>
  <c r="H3434" i="2"/>
  <c r="F3432" i="2"/>
  <c r="H3432" i="2"/>
  <c r="F3431" i="2"/>
  <c r="H3431" i="2"/>
  <c r="A3448" i="2"/>
  <c r="A3444" i="2"/>
  <c r="A3440" i="2"/>
  <c r="A3438" i="2"/>
  <c r="A3449" i="2"/>
  <c r="A3447" i="2"/>
  <c r="A3445" i="2"/>
  <c r="A3443" i="2"/>
  <c r="A3439" i="2"/>
  <c r="A3437" i="2"/>
  <c r="F3445" i="2"/>
  <c r="F3443" i="2"/>
  <c r="F3436" i="2"/>
  <c r="A3427" i="2"/>
  <c r="A3425" i="2"/>
  <c r="A3423" i="2"/>
  <c r="F3442" i="2"/>
  <c r="F3439" i="2"/>
  <c r="F3444" i="2"/>
  <c r="A3442" i="2"/>
  <c r="A3435" i="2"/>
  <c r="A3433" i="2"/>
  <c r="A3431" i="2"/>
  <c r="A3429" i="2"/>
  <c r="F3447" i="2"/>
  <c r="F3440" i="2"/>
  <c r="F3441" i="2"/>
  <c r="A3421" i="2"/>
  <c r="F3438" i="2"/>
  <c r="A3436" i="2"/>
  <c r="A3441" i="2"/>
  <c r="A3434" i="2"/>
  <c r="A3432" i="2"/>
  <c r="A3430" i="2"/>
  <c r="A3428" i="2"/>
  <c r="A3426" i="2"/>
  <c r="A3424" i="2"/>
  <c r="A3422" i="2"/>
  <c r="F3446" i="2"/>
  <c r="F3450" i="2"/>
  <c r="A3451" i="2"/>
  <c r="F3449" i="2"/>
  <c r="A3450" i="2"/>
  <c r="A3446" i="2"/>
  <c r="F3448" i="2"/>
  <c r="F3421" i="2"/>
  <c r="G3391" i="2"/>
  <c r="H3391" i="2" s="1"/>
  <c r="G3392" i="2"/>
  <c r="H3392" i="2" s="1"/>
  <c r="G3393" i="2"/>
  <c r="H3393" i="2" s="1"/>
  <c r="G3394" i="2"/>
  <c r="H3394" i="2" s="1"/>
  <c r="G3395" i="2"/>
  <c r="H3395" i="2" s="1"/>
  <c r="G3396" i="2"/>
  <c r="H3396" i="2" s="1"/>
  <c r="G3397" i="2"/>
  <c r="H3397" i="2" s="1"/>
  <c r="G3398" i="2"/>
  <c r="H3398" i="2" s="1"/>
  <c r="G3399" i="2"/>
  <c r="H3399" i="2" s="1"/>
  <c r="G3400" i="2"/>
  <c r="H3400" i="2" s="1"/>
  <c r="G3401" i="2"/>
  <c r="H3401" i="2" s="1"/>
  <c r="G3402" i="2"/>
  <c r="H3402" i="2" s="1"/>
  <c r="G3403" i="2"/>
  <c r="H3403" i="2" s="1"/>
  <c r="G3404" i="2"/>
  <c r="H3404" i="2" s="1"/>
  <c r="G3405" i="2"/>
  <c r="H3405" i="2" s="1"/>
  <c r="G3406" i="2"/>
  <c r="H3406" i="2" s="1"/>
  <c r="G3407" i="2"/>
  <c r="H3407" i="2" s="1"/>
  <c r="G3408" i="2"/>
  <c r="H3408" i="2" s="1"/>
  <c r="G3409" i="2"/>
  <c r="H3409" i="2" s="1"/>
  <c r="G3410" i="2"/>
  <c r="H3410" i="2" s="1"/>
  <c r="G3411" i="2"/>
  <c r="H3411" i="2" s="1"/>
  <c r="G3412" i="2"/>
  <c r="H3412" i="2" s="1"/>
  <c r="G3413" i="2"/>
  <c r="H3413" i="2" s="1"/>
  <c r="G3414" i="2"/>
  <c r="H3414" i="2" s="1"/>
  <c r="G3415" i="2"/>
  <c r="H3415" i="2" s="1"/>
  <c r="G3416" i="2"/>
  <c r="H3416" i="2" s="1"/>
  <c r="G3417" i="2"/>
  <c r="H3417" i="2" s="1"/>
  <c r="G3418" i="2"/>
  <c r="H3418" i="2" s="1"/>
  <c r="G3419" i="2"/>
  <c r="H3419" i="2" s="1"/>
  <c r="G3420" i="2"/>
  <c r="G3390" i="2"/>
  <c r="H3390" i="2" s="1"/>
  <c r="A3407" i="2" l="1"/>
  <c r="F3397" i="2"/>
  <c r="A3411" i="2"/>
  <c r="F3420" i="2"/>
  <c r="H3420" i="2"/>
  <c r="A3410" i="2"/>
  <c r="F3394" i="2"/>
  <c r="F3410" i="2"/>
  <c r="F3398" i="2"/>
  <c r="A3412" i="2"/>
  <c r="F3406" i="2"/>
  <c r="A3396" i="2"/>
  <c r="A3395" i="2"/>
  <c r="A3400" i="2"/>
  <c r="A3398" i="2"/>
  <c r="F3401" i="2"/>
  <c r="F3412" i="2"/>
  <c r="A3397" i="2"/>
  <c r="A3408" i="2"/>
  <c r="F3408" i="2"/>
  <c r="A3404" i="2"/>
  <c r="A3402" i="2"/>
  <c r="F3413" i="2"/>
  <c r="A3409" i="2"/>
  <c r="F3400" i="2"/>
  <c r="F3409" i="2"/>
  <c r="A3418" i="2"/>
  <c r="A3416" i="2"/>
  <c r="F3396" i="2"/>
  <c r="A3392" i="2"/>
  <c r="F3415" i="2"/>
  <c r="A3413" i="2"/>
  <c r="F3403" i="2"/>
  <c r="A3401" i="2"/>
  <c r="F3391" i="2"/>
  <c r="A3406" i="2"/>
  <c r="A3394" i="2"/>
  <c r="A3399" i="2"/>
  <c r="F3411" i="2"/>
  <c r="F3399" i="2"/>
  <c r="F3416" i="2"/>
  <c r="A3414" i="2"/>
  <c r="F3404" i="2"/>
  <c r="F3392" i="2"/>
  <c r="F3414" i="2"/>
  <c r="F3402" i="2"/>
  <c r="A3417" i="2"/>
  <c r="F3407" i="2"/>
  <c r="A3405" i="2"/>
  <c r="F3395" i="2"/>
  <c r="A3393" i="2"/>
  <c r="F3417" i="2"/>
  <c r="A3415" i="2"/>
  <c r="F3405" i="2"/>
  <c r="A3403" i="2"/>
  <c r="F3393" i="2"/>
  <c r="A3391" i="2"/>
  <c r="F3419" i="2"/>
  <c r="A3420" i="2"/>
  <c r="F3418" i="2"/>
  <c r="A3419" i="2"/>
  <c r="A3390" i="2"/>
  <c r="F3390" i="2"/>
  <c r="G3360" i="2"/>
  <c r="G3361" i="2"/>
  <c r="A3361" i="2" s="1"/>
  <c r="G3362" i="2"/>
  <c r="G3363" i="2"/>
  <c r="G3364" i="2"/>
  <c r="G3365" i="2"/>
  <c r="G3366" i="2"/>
  <c r="G3367" i="2"/>
  <c r="G3368" i="2"/>
  <c r="A3368" i="2" s="1"/>
  <c r="G3369" i="2"/>
  <c r="G3370" i="2"/>
  <c r="G3371" i="2"/>
  <c r="G3372" i="2"/>
  <c r="G3373" i="2"/>
  <c r="G3374" i="2"/>
  <c r="G3375" i="2"/>
  <c r="G3376" i="2"/>
  <c r="G3377" i="2"/>
  <c r="A3377" i="2" s="1"/>
  <c r="G3378" i="2"/>
  <c r="G3379" i="2"/>
  <c r="G3380" i="2"/>
  <c r="G3381" i="2"/>
  <c r="A3381" i="2" s="1"/>
  <c r="G3382" i="2"/>
  <c r="A3382" i="2" s="1"/>
  <c r="G3383" i="2"/>
  <c r="G3384" i="2"/>
  <c r="G3385" i="2"/>
  <c r="G3386" i="2"/>
  <c r="G3387" i="2"/>
  <c r="G3388" i="2"/>
  <c r="G3389" i="2"/>
  <c r="G3359" i="2"/>
  <c r="H3359" i="2" s="1"/>
  <c r="F3369" i="2" l="1"/>
  <c r="H3369" i="2"/>
  <c r="F3388" i="2"/>
  <c r="H3388" i="2"/>
  <c r="F3378" i="2"/>
  <c r="H3378" i="2"/>
  <c r="F3368" i="2"/>
  <c r="H3368" i="2"/>
  <c r="F3380" i="2"/>
  <c r="H3380" i="2"/>
  <c r="F3387" i="2"/>
  <c r="H3387" i="2"/>
  <c r="F3367" i="2"/>
  <c r="H3367" i="2"/>
  <c r="F3386" i="2"/>
  <c r="H3386" i="2"/>
  <c r="F3385" i="2"/>
  <c r="H3385" i="2"/>
  <c r="F3376" i="2"/>
  <c r="H3376" i="2"/>
  <c r="F3365" i="2"/>
  <c r="H3365" i="2"/>
  <c r="F3379" i="2"/>
  <c r="H3379" i="2"/>
  <c r="F3364" i="2"/>
  <c r="H3364" i="2"/>
  <c r="F3377" i="2"/>
  <c r="H3377" i="2"/>
  <c r="F3384" i="2"/>
  <c r="H3384" i="2"/>
  <c r="F3374" i="2"/>
  <c r="H3374" i="2"/>
  <c r="F3389" i="2"/>
  <c r="H3389" i="2"/>
  <c r="F3366" i="2"/>
  <c r="H3366" i="2"/>
  <c r="F3375" i="2"/>
  <c r="H3375" i="2"/>
  <c r="F3383" i="2"/>
  <c r="H3383" i="2"/>
  <c r="F3363" i="2"/>
  <c r="H3363" i="2"/>
  <c r="F3373" i="2"/>
  <c r="H3373" i="2"/>
  <c r="F3362" i="2"/>
  <c r="H3362" i="2"/>
  <c r="F3382" i="2"/>
  <c r="H3382" i="2"/>
  <c r="F3372" i="2"/>
  <c r="H3372" i="2"/>
  <c r="F3361" i="2"/>
  <c r="H3361" i="2"/>
  <c r="F3371" i="2"/>
  <c r="H3371" i="2"/>
  <c r="F3381" i="2"/>
  <c r="H3381" i="2"/>
  <c r="F3370" i="2"/>
  <c r="H3370" i="2"/>
  <c r="F3360" i="2"/>
  <c r="H3360" i="2"/>
  <c r="A3366" i="2"/>
  <c r="A3369" i="2"/>
  <c r="A3365" i="2"/>
  <c r="A3378" i="2"/>
  <c r="A3383" i="2"/>
  <c r="A3370" i="2"/>
  <c r="A3375" i="2"/>
  <c r="A3371" i="2"/>
  <c r="A3389" i="2"/>
  <c r="A3387" i="2"/>
  <c r="A3363" i="2"/>
  <c r="A3360" i="2"/>
  <c r="A3372" i="2"/>
  <c r="A3385" i="2"/>
  <c r="A3373" i="2"/>
  <c r="A3376" i="2"/>
  <c r="A3364" i="2"/>
  <c r="A3374" i="2"/>
  <c r="A3362" i="2"/>
  <c r="A3386" i="2"/>
  <c r="A3379" i="2"/>
  <c r="A3367" i="2"/>
  <c r="A3380" i="2"/>
  <c r="A3384" i="2"/>
  <c r="A3388" i="2"/>
  <c r="F3359" i="2"/>
  <c r="A3359" i="2"/>
  <c r="G3329" i="2"/>
  <c r="G3330" i="2"/>
  <c r="A3330" i="2" s="1"/>
  <c r="G3331" i="2"/>
  <c r="A3331" i="2" s="1"/>
  <c r="G3332" i="2"/>
  <c r="G3333" i="2"/>
  <c r="G3334" i="2"/>
  <c r="G3335" i="2"/>
  <c r="G3336" i="2"/>
  <c r="G3337" i="2"/>
  <c r="G3338" i="2"/>
  <c r="G3339" i="2"/>
  <c r="G3340" i="2"/>
  <c r="G3341" i="2"/>
  <c r="G3342" i="2"/>
  <c r="G3343" i="2"/>
  <c r="G3344" i="2"/>
  <c r="G3345" i="2"/>
  <c r="G3346" i="2"/>
  <c r="G3347" i="2"/>
  <c r="G3348" i="2"/>
  <c r="G3349" i="2"/>
  <c r="G3350" i="2"/>
  <c r="A3350" i="2" s="1"/>
  <c r="G3351" i="2"/>
  <c r="G3352" i="2"/>
  <c r="G3353" i="2"/>
  <c r="G3354" i="2"/>
  <c r="G3355" i="2"/>
  <c r="G3356" i="2"/>
  <c r="G3357" i="2"/>
  <c r="G3358" i="2"/>
  <c r="G3328" i="2"/>
  <c r="F3346" i="2" l="1"/>
  <c r="H3346" i="2"/>
  <c r="F3328" i="2"/>
  <c r="H3328" i="2"/>
  <c r="F3348" i="2"/>
  <c r="H3348" i="2"/>
  <c r="F3358" i="2"/>
  <c r="H3358" i="2"/>
  <c r="F3347" i="2"/>
  <c r="H3347" i="2"/>
  <c r="F3335" i="2"/>
  <c r="H3335" i="2"/>
  <c r="F3356" i="2"/>
  <c r="H3356" i="2"/>
  <c r="F3345" i="2"/>
  <c r="H3345" i="2"/>
  <c r="F3333" i="2"/>
  <c r="H3333" i="2"/>
  <c r="F3344" i="2"/>
  <c r="H3344" i="2"/>
  <c r="F3354" i="2"/>
  <c r="H3354" i="2"/>
  <c r="F3343" i="2"/>
  <c r="H3343" i="2"/>
  <c r="F3331" i="2"/>
  <c r="H3331" i="2"/>
  <c r="F3352" i="2"/>
  <c r="H3352" i="2"/>
  <c r="F3341" i="2"/>
  <c r="H3341" i="2"/>
  <c r="F3355" i="2"/>
  <c r="H3355" i="2"/>
  <c r="F3340" i="2"/>
  <c r="H3340" i="2"/>
  <c r="F3339" i="2"/>
  <c r="H3339" i="2"/>
  <c r="F3329" i="2"/>
  <c r="H3329" i="2"/>
  <c r="F3357" i="2"/>
  <c r="H3357" i="2"/>
  <c r="F3332" i="2"/>
  <c r="H3332" i="2"/>
  <c r="F3342" i="2"/>
  <c r="H3342" i="2"/>
  <c r="F3350" i="2"/>
  <c r="H3350" i="2"/>
  <c r="F3334" i="2"/>
  <c r="H3334" i="2"/>
  <c r="F3353" i="2"/>
  <c r="H3353" i="2"/>
  <c r="F3351" i="2"/>
  <c r="H3351" i="2"/>
  <c r="F3330" i="2"/>
  <c r="H3330" i="2"/>
  <c r="F3338" i="2"/>
  <c r="H3338" i="2"/>
  <c r="F3349" i="2"/>
  <c r="H3349" i="2"/>
  <c r="F3337" i="2"/>
  <c r="H3337" i="2"/>
  <c r="F3336" i="2"/>
  <c r="H3336" i="2"/>
  <c r="A3339" i="2"/>
  <c r="A3338" i="2"/>
  <c r="A3332" i="2"/>
  <c r="A3347" i="2"/>
  <c r="A3358" i="2"/>
  <c r="A3334" i="2"/>
  <c r="A3354" i="2"/>
  <c r="A3343" i="2"/>
  <c r="A3341" i="2"/>
  <c r="A3335" i="2"/>
  <c r="A3346" i="2"/>
  <c r="A3344" i="2"/>
  <c r="A3355" i="2"/>
  <c r="A3351" i="2"/>
  <c r="A3329" i="2"/>
  <c r="A3348" i="2"/>
  <c r="A3336" i="2"/>
  <c r="A3356" i="2"/>
  <c r="A3337" i="2"/>
  <c r="A3342" i="2"/>
  <c r="A3352" i="2"/>
  <c r="A3340" i="2"/>
  <c r="A3333" i="2"/>
  <c r="A3357" i="2"/>
  <c r="A3353" i="2"/>
  <c r="A3349" i="2"/>
  <c r="A3345" i="2"/>
  <c r="A3328" i="2"/>
  <c r="M1" i="3"/>
  <c r="M2" i="3"/>
  <c r="G3299" i="2"/>
  <c r="G3300" i="2"/>
  <c r="A3300" i="2" s="1"/>
  <c r="G3301" i="2"/>
  <c r="G3302" i="2"/>
  <c r="G3303" i="2"/>
  <c r="H3303" i="2" s="1"/>
  <c r="G3304" i="2"/>
  <c r="G3305" i="2"/>
  <c r="G3306" i="2"/>
  <c r="G3307" i="2"/>
  <c r="A3307" i="2" s="1"/>
  <c r="G3308" i="2"/>
  <c r="G3309" i="2"/>
  <c r="G3310" i="2"/>
  <c r="G3311" i="2"/>
  <c r="G3312" i="2"/>
  <c r="G3313" i="2"/>
  <c r="A3313" i="2" s="1"/>
  <c r="G3314" i="2"/>
  <c r="G3315" i="2"/>
  <c r="G3316" i="2"/>
  <c r="G3317" i="2"/>
  <c r="G3318" i="2"/>
  <c r="A3318" i="2" s="1"/>
  <c r="G3319" i="2"/>
  <c r="G3320" i="2"/>
  <c r="G3321" i="2"/>
  <c r="G3322" i="2"/>
  <c r="G3323" i="2"/>
  <c r="G3324" i="2"/>
  <c r="A3324" i="2" s="1"/>
  <c r="G3325" i="2"/>
  <c r="G3326" i="2"/>
  <c r="A3326" i="2" s="1"/>
  <c r="G3327" i="2"/>
  <c r="G3298" i="2"/>
  <c r="A3298" i="2" s="1"/>
  <c r="F3321" i="2" l="1"/>
  <c r="H3321" i="2"/>
  <c r="F3311" i="2"/>
  <c r="H3311" i="2"/>
  <c r="F3301" i="2"/>
  <c r="H3301" i="2"/>
  <c r="F3319" i="2"/>
  <c r="H3319" i="2"/>
  <c r="F3309" i="2"/>
  <c r="H3309" i="2"/>
  <c r="F3300" i="2"/>
  <c r="H3300" i="2"/>
  <c r="F3320" i="2"/>
  <c r="H3320" i="2"/>
  <c r="F3327" i="2"/>
  <c r="H3327" i="2"/>
  <c r="F3318" i="2"/>
  <c r="H3318" i="2"/>
  <c r="F3307" i="2"/>
  <c r="H3307" i="2"/>
  <c r="F3326" i="2"/>
  <c r="H3326" i="2"/>
  <c r="F3316" i="2"/>
  <c r="H3316" i="2"/>
  <c r="F3306" i="2"/>
  <c r="H3306" i="2"/>
  <c r="F3298" i="2"/>
  <c r="H3298" i="2"/>
  <c r="F3317" i="2"/>
  <c r="H3317" i="2"/>
  <c r="F3310" i="2"/>
  <c r="H3310" i="2"/>
  <c r="F3299" i="2"/>
  <c r="H3299" i="2"/>
  <c r="F3325" i="2"/>
  <c r="H3325" i="2"/>
  <c r="F3314" i="2"/>
  <c r="H3314" i="2"/>
  <c r="F3304" i="2"/>
  <c r="H3304" i="2"/>
  <c r="F3305" i="2"/>
  <c r="H3305" i="2"/>
  <c r="F3308" i="2"/>
  <c r="H3308" i="2"/>
  <c r="F3315" i="2"/>
  <c r="H3315" i="2"/>
  <c r="F3324" i="2"/>
  <c r="H3324" i="2"/>
  <c r="F3323" i="2"/>
  <c r="H3323" i="2"/>
  <c r="F3313" i="2"/>
  <c r="H3313" i="2"/>
  <c r="F3303" i="2"/>
  <c r="F3322" i="2"/>
  <c r="H3322" i="2"/>
  <c r="F3312" i="2"/>
  <c r="H3312" i="2"/>
  <c r="F3302" i="2"/>
  <c r="H3302" i="2"/>
  <c r="A3302" i="2"/>
  <c r="A3325" i="2"/>
  <c r="A3314" i="2"/>
  <c r="A3312" i="2"/>
  <c r="A3301" i="2"/>
  <c r="A3306" i="2"/>
  <c r="A3320" i="2"/>
  <c r="A3308" i="2"/>
  <c r="A3311" i="2"/>
  <c r="A3299" i="2"/>
  <c r="A3323" i="2"/>
  <c r="A3321" i="2"/>
  <c r="A3316" i="2"/>
  <c r="A3309" i="2"/>
  <c r="A3304" i="2"/>
  <c r="A3319" i="2"/>
  <c r="A3305" i="2"/>
  <c r="A3317" i="2"/>
  <c r="A3327" i="2"/>
  <c r="A3322" i="2"/>
  <c r="A3315" i="2"/>
  <c r="A3310" i="2"/>
  <c r="A3303" i="2"/>
  <c r="G3269" i="2"/>
  <c r="G3270" i="2"/>
  <c r="A3270" i="2" s="1"/>
  <c r="G3271" i="2"/>
  <c r="A3271" i="2" s="1"/>
  <c r="G3272" i="2"/>
  <c r="G3273" i="2"/>
  <c r="H3273" i="2" s="1"/>
  <c r="G3274" i="2"/>
  <c r="H3274" i="2" s="1"/>
  <c r="G3275" i="2"/>
  <c r="G3276" i="2"/>
  <c r="G3277" i="2"/>
  <c r="H3277" i="2" s="1"/>
  <c r="G3278" i="2"/>
  <c r="G3279" i="2"/>
  <c r="H3279" i="2" s="1"/>
  <c r="G3280" i="2"/>
  <c r="H3280" i="2" s="1"/>
  <c r="G3281" i="2"/>
  <c r="G3282" i="2"/>
  <c r="G3283" i="2"/>
  <c r="G3284" i="2"/>
  <c r="G3285" i="2"/>
  <c r="H3285" i="2" s="1"/>
  <c r="G3286" i="2"/>
  <c r="H3286" i="2" s="1"/>
  <c r="G3287" i="2"/>
  <c r="G3288" i="2"/>
  <c r="H3288" i="2" s="1"/>
  <c r="G3289" i="2"/>
  <c r="A3289" i="2" s="1"/>
  <c r="G3290" i="2"/>
  <c r="G3291" i="2"/>
  <c r="H3291" i="2" s="1"/>
  <c r="G3292" i="2"/>
  <c r="G3293" i="2"/>
  <c r="G3294" i="2"/>
  <c r="G3295" i="2"/>
  <c r="H3295" i="2" s="1"/>
  <c r="G3296" i="2"/>
  <c r="G3297" i="2"/>
  <c r="G3268" i="2"/>
  <c r="H3268" i="2" s="1"/>
  <c r="A3295" i="2" l="1"/>
  <c r="F3279" i="2"/>
  <c r="F3286" i="2"/>
  <c r="A3277" i="2"/>
  <c r="F3295" i="2"/>
  <c r="F3280" i="2"/>
  <c r="A3288" i="2"/>
  <c r="F3287" i="2"/>
  <c r="H3287" i="2"/>
  <c r="F3278" i="2"/>
  <c r="H3278" i="2"/>
  <c r="F3270" i="2"/>
  <c r="H3270" i="2"/>
  <c r="F3276" i="2"/>
  <c r="H3276" i="2"/>
  <c r="F3292" i="2"/>
  <c r="H3292" i="2"/>
  <c r="F3284" i="2"/>
  <c r="H3284" i="2"/>
  <c r="F3275" i="2"/>
  <c r="H3275" i="2"/>
  <c r="F3285" i="2"/>
  <c r="F3283" i="2"/>
  <c r="H3283" i="2"/>
  <c r="F3290" i="2"/>
  <c r="H3290" i="2"/>
  <c r="F3282" i="2"/>
  <c r="H3282" i="2"/>
  <c r="F3274" i="2"/>
  <c r="F3294" i="2"/>
  <c r="H3294" i="2"/>
  <c r="F3281" i="2"/>
  <c r="H3281" i="2"/>
  <c r="F3289" i="2"/>
  <c r="H3289" i="2"/>
  <c r="F3272" i="2"/>
  <c r="H3272" i="2"/>
  <c r="F3297" i="2"/>
  <c r="H3297" i="2"/>
  <c r="F3269" i="2"/>
  <c r="H3269" i="2"/>
  <c r="F3293" i="2"/>
  <c r="H3293" i="2"/>
  <c r="F3296" i="2"/>
  <c r="H3296" i="2"/>
  <c r="F3271" i="2"/>
  <c r="H3271" i="2"/>
  <c r="F3288" i="2"/>
  <c r="F3291" i="2"/>
  <c r="F3277" i="2"/>
  <c r="A3285" i="2"/>
  <c r="A3292" i="2"/>
  <c r="F3273" i="2"/>
  <c r="A3279" i="2"/>
  <c r="A3297" i="2"/>
  <c r="A3273" i="2"/>
  <c r="A3276" i="2"/>
  <c r="A3291" i="2"/>
  <c r="A3280" i="2"/>
  <c r="A3283" i="2"/>
  <c r="A3268" i="2"/>
  <c r="A3296" i="2"/>
  <c r="A3293" i="2"/>
  <c r="A3287" i="2"/>
  <c r="A3284" i="2"/>
  <c r="A3281" i="2"/>
  <c r="A3275" i="2"/>
  <c r="A3272" i="2"/>
  <c r="A3269" i="2"/>
  <c r="A3294" i="2"/>
  <c r="A3290" i="2"/>
  <c r="A3286" i="2"/>
  <c r="A3282" i="2"/>
  <c r="A3278" i="2"/>
  <c r="A3274" i="2"/>
  <c r="F3268" i="2"/>
  <c r="G3239" i="2"/>
  <c r="A3239" i="2" s="1"/>
  <c r="G3240" i="2"/>
  <c r="G3241" i="2"/>
  <c r="G3242" i="2"/>
  <c r="G3243" i="2"/>
  <c r="G3244" i="2"/>
  <c r="G3245" i="2"/>
  <c r="G3246" i="2"/>
  <c r="A3246" i="2" s="1"/>
  <c r="G3247" i="2"/>
  <c r="G3248" i="2"/>
  <c r="G3249" i="2"/>
  <c r="G3250" i="2"/>
  <c r="G3251" i="2"/>
  <c r="H3251" i="2" s="1"/>
  <c r="G3252" i="2"/>
  <c r="G3253" i="2"/>
  <c r="G3254" i="2"/>
  <c r="H3254" i="2" s="1"/>
  <c r="G3255" i="2"/>
  <c r="A3255" i="2" s="1"/>
  <c r="G3256" i="2"/>
  <c r="G3257" i="2"/>
  <c r="H3257" i="2" s="1"/>
  <c r="G3258" i="2"/>
  <c r="G3259" i="2"/>
  <c r="G3260" i="2"/>
  <c r="H3260" i="2" s="1"/>
  <c r="G3261" i="2"/>
  <c r="G3262" i="2"/>
  <c r="G3263" i="2"/>
  <c r="H3263" i="2" s="1"/>
  <c r="G3264" i="2"/>
  <c r="G3265" i="2"/>
  <c r="G3266" i="2"/>
  <c r="H3266" i="2" s="1"/>
  <c r="G3267" i="2"/>
  <c r="A3267" i="2" s="1"/>
  <c r="G3238" i="2"/>
  <c r="F3250" i="2" l="1"/>
  <c r="H3250" i="2"/>
  <c r="F3252" i="2"/>
  <c r="H3252" i="2"/>
  <c r="F3238" i="2"/>
  <c r="H3238" i="2"/>
  <c r="F3260" i="2"/>
  <c r="F3251" i="2"/>
  <c r="F3240" i="2"/>
  <c r="H3240" i="2"/>
  <c r="F3258" i="2"/>
  <c r="H3258" i="2"/>
  <c r="F3249" i="2"/>
  <c r="H3249" i="2"/>
  <c r="F3239" i="2"/>
  <c r="H3239" i="2"/>
  <c r="F3248" i="2"/>
  <c r="H3248" i="2"/>
  <c r="F3265" i="2"/>
  <c r="H3265" i="2"/>
  <c r="F3264" i="2"/>
  <c r="H3264" i="2"/>
  <c r="F3255" i="2"/>
  <c r="H3255" i="2"/>
  <c r="F3246" i="2"/>
  <c r="H3246" i="2"/>
  <c r="F3266" i="2"/>
  <c r="F3247" i="2"/>
  <c r="H3247" i="2"/>
  <c r="F3245" i="2"/>
  <c r="H3245" i="2"/>
  <c r="F3263" i="2"/>
  <c r="F3254" i="2"/>
  <c r="F3244" i="2"/>
  <c r="H3244" i="2"/>
  <c r="F3259" i="2"/>
  <c r="H3259" i="2"/>
  <c r="F3267" i="2"/>
  <c r="H3267" i="2"/>
  <c r="F3256" i="2"/>
  <c r="H3256" i="2"/>
  <c r="F3262" i="2"/>
  <c r="H3262" i="2"/>
  <c r="F3253" i="2"/>
  <c r="H3253" i="2"/>
  <c r="F3243" i="2"/>
  <c r="H3243" i="2"/>
  <c r="F3261" i="2"/>
  <c r="H3261" i="2"/>
  <c r="F3242" i="2"/>
  <c r="H3242" i="2"/>
  <c r="F3241" i="2"/>
  <c r="H3241" i="2"/>
  <c r="A3258" i="2"/>
  <c r="A3249" i="2"/>
  <c r="A3263" i="2"/>
  <c r="A3261" i="2"/>
  <c r="A3264" i="2"/>
  <c r="A3252" i="2"/>
  <c r="A3243" i="2"/>
  <c r="F3257" i="2"/>
  <c r="A3244" i="2"/>
  <c r="A3266" i="2"/>
  <c r="A3245" i="2"/>
  <c r="A3254" i="2"/>
  <c r="A3251" i="2"/>
  <c r="A3248" i="2"/>
  <c r="A3260" i="2"/>
  <c r="A3257" i="2"/>
  <c r="A3241" i="2"/>
  <c r="A3242" i="2"/>
  <c r="A3238" i="2"/>
  <c r="A3247" i="2"/>
  <c r="A3265" i="2"/>
  <c r="A3262" i="2"/>
  <c r="A3259" i="2"/>
  <c r="A3256" i="2"/>
  <c r="A3253" i="2"/>
  <c r="A3250" i="2"/>
  <c r="A3240" i="2"/>
  <c r="G3209" i="2"/>
  <c r="G3210" i="2"/>
  <c r="H3210" i="2" s="1"/>
  <c r="G3211" i="2"/>
  <c r="A3211" i="2" s="1"/>
  <c r="G3212" i="2"/>
  <c r="G3213" i="2"/>
  <c r="G3214" i="2"/>
  <c r="G3215" i="2"/>
  <c r="G3216" i="2"/>
  <c r="G3217" i="2"/>
  <c r="G3218" i="2"/>
  <c r="G3219" i="2"/>
  <c r="A3219" i="2" s="1"/>
  <c r="G3220" i="2"/>
  <c r="G3221" i="2"/>
  <c r="G3222" i="2"/>
  <c r="G3223" i="2"/>
  <c r="G3224" i="2"/>
  <c r="G3225" i="2"/>
  <c r="G3226" i="2"/>
  <c r="G3227" i="2"/>
  <c r="G3228" i="2"/>
  <c r="H3228" i="2" s="1"/>
  <c r="G3229" i="2"/>
  <c r="G3230" i="2"/>
  <c r="G3231" i="2"/>
  <c r="G3232" i="2"/>
  <c r="A3232" i="2" s="1"/>
  <c r="G3233" i="2"/>
  <c r="A3233" i="2" s="1"/>
  <c r="G3234" i="2"/>
  <c r="A3234" i="2" s="1"/>
  <c r="G3235" i="2"/>
  <c r="G3236" i="2"/>
  <c r="G3237" i="2"/>
  <c r="G3208" i="2"/>
  <c r="H3208" i="2" s="1"/>
  <c r="F3236" i="2" l="1"/>
  <c r="H3236" i="2"/>
  <c r="F3220" i="2"/>
  <c r="H3220" i="2"/>
  <c r="A3210" i="2"/>
  <c r="F3235" i="2"/>
  <c r="H3235" i="2"/>
  <c r="F3210" i="2"/>
  <c r="F3209" i="2"/>
  <c r="H3209" i="2"/>
  <c r="F3229" i="2"/>
  <c r="H3229" i="2"/>
  <c r="F3217" i="2"/>
  <c r="H3217" i="2"/>
  <c r="F3226" i="2"/>
  <c r="H3226" i="2"/>
  <c r="F3216" i="2"/>
  <c r="H3216" i="2"/>
  <c r="A3235" i="2"/>
  <c r="F3228" i="2"/>
  <c r="F3227" i="2"/>
  <c r="H3227" i="2"/>
  <c r="F3225" i="2"/>
  <c r="H3225" i="2"/>
  <c r="F3215" i="2"/>
  <c r="H3215" i="2"/>
  <c r="F3224" i="2"/>
  <c r="H3224" i="2"/>
  <c r="F3214" i="2"/>
  <c r="H3214" i="2"/>
  <c r="F3218" i="2"/>
  <c r="H3218" i="2"/>
  <c r="F3234" i="2"/>
  <c r="H3234" i="2"/>
  <c r="F3233" i="2"/>
  <c r="H3233" i="2"/>
  <c r="F3223" i="2"/>
  <c r="H3223" i="2"/>
  <c r="F3213" i="2"/>
  <c r="H3213" i="2"/>
  <c r="F3219" i="2"/>
  <c r="H3219" i="2"/>
  <c r="F3232" i="2"/>
  <c r="H3232" i="2"/>
  <c r="F3231" i="2"/>
  <c r="H3231" i="2"/>
  <c r="F3222" i="2"/>
  <c r="H3222" i="2"/>
  <c r="F3212" i="2"/>
  <c r="H3212" i="2"/>
  <c r="A3228" i="2"/>
  <c r="F3221" i="2"/>
  <c r="H3221" i="2"/>
  <c r="F3230" i="2"/>
  <c r="H3230" i="2"/>
  <c r="F3237" i="2"/>
  <c r="H3237" i="2"/>
  <c r="A3229" i="2"/>
  <c r="A3220" i="2"/>
  <c r="F3211" i="2"/>
  <c r="H3211" i="2"/>
  <c r="A3225" i="2"/>
  <c r="A3214" i="2"/>
  <c r="A3226" i="2"/>
  <c r="A3217" i="2"/>
  <c r="A3237" i="2"/>
  <c r="A3216" i="2"/>
  <c r="A3222" i="2"/>
  <c r="A3223" i="2"/>
  <c r="A3236" i="2"/>
  <c r="A3231" i="2"/>
  <c r="A3213" i="2"/>
  <c r="A3230" i="2"/>
  <c r="A3227" i="2"/>
  <c r="A3224" i="2"/>
  <c r="A3221" i="2"/>
  <c r="A3218" i="2"/>
  <c r="A3215" i="2"/>
  <c r="A3212" i="2"/>
  <c r="A3209" i="2"/>
  <c r="A3208" i="2"/>
  <c r="F3208" i="2"/>
  <c r="G3179" i="2"/>
  <c r="G3180" i="2"/>
  <c r="G3181" i="2"/>
  <c r="G3182" i="2"/>
  <c r="G3183" i="2"/>
  <c r="G3184" i="2"/>
  <c r="G3185" i="2"/>
  <c r="G3186" i="2"/>
  <c r="G3187" i="2"/>
  <c r="G3188" i="2"/>
  <c r="G3189" i="2"/>
  <c r="G3190" i="2"/>
  <c r="G3191" i="2"/>
  <c r="G3192" i="2"/>
  <c r="G3193" i="2"/>
  <c r="G3194" i="2"/>
  <c r="G3195" i="2"/>
  <c r="G3196" i="2"/>
  <c r="G3197" i="2"/>
  <c r="G3198" i="2"/>
  <c r="G3199" i="2"/>
  <c r="A3199" i="2"/>
  <c r="G3200" i="2"/>
  <c r="G3201" i="2"/>
  <c r="G3202" i="2"/>
  <c r="G3203" i="2"/>
  <c r="G3204" i="2"/>
  <c r="G3205" i="2"/>
  <c r="G3206" i="2"/>
  <c r="A3206" i="2" s="1"/>
  <c r="G3207" i="2"/>
  <c r="G3178" i="2"/>
  <c r="F3202" i="2" l="1"/>
  <c r="H3202" i="2"/>
  <c r="F3203" i="2"/>
  <c r="H3203" i="2"/>
  <c r="F3192" i="2"/>
  <c r="H3192" i="2"/>
  <c r="F3180" i="2"/>
  <c r="H3180" i="2"/>
  <c r="F3191" i="2"/>
  <c r="H3191" i="2"/>
  <c r="F3201" i="2"/>
  <c r="H3201" i="2"/>
  <c r="F3190" i="2"/>
  <c r="H3190" i="2"/>
  <c r="F3200" i="2"/>
  <c r="H3200" i="2"/>
  <c r="F3179" i="2"/>
  <c r="H3179" i="2"/>
  <c r="F3189" i="2"/>
  <c r="H3189" i="2"/>
  <c r="F3188" i="2"/>
  <c r="H3188" i="2"/>
  <c r="F3199" i="2"/>
  <c r="H3199" i="2"/>
  <c r="F3187" i="2"/>
  <c r="H3187" i="2"/>
  <c r="F3198" i="2"/>
  <c r="H3198" i="2"/>
  <c r="F3186" i="2"/>
  <c r="H3186" i="2"/>
  <c r="F3185" i="2"/>
  <c r="H3185" i="2"/>
  <c r="F3197" i="2"/>
  <c r="H3197" i="2"/>
  <c r="F3196" i="2"/>
  <c r="H3196" i="2"/>
  <c r="F3184" i="2"/>
  <c r="H3184" i="2"/>
  <c r="F3178" i="2"/>
  <c r="H3178" i="2"/>
  <c r="F3183" i="2"/>
  <c r="H3183" i="2"/>
  <c r="F3207" i="2"/>
  <c r="H3207" i="2"/>
  <c r="F3206" i="2"/>
  <c r="H3206" i="2"/>
  <c r="F3195" i="2"/>
  <c r="H3195" i="2"/>
  <c r="F3205" i="2"/>
  <c r="H3205" i="2"/>
  <c r="F3194" i="2"/>
  <c r="H3194" i="2"/>
  <c r="F3182" i="2"/>
  <c r="H3182" i="2"/>
  <c r="F3204" i="2"/>
  <c r="H3204" i="2"/>
  <c r="F3193" i="2"/>
  <c r="H3193" i="2"/>
  <c r="F3181" i="2"/>
  <c r="H3181" i="2"/>
  <c r="A3195" i="2"/>
  <c r="A3188" i="2"/>
  <c r="A3184" i="2"/>
  <c r="A3207" i="2"/>
  <c r="A3194" i="2"/>
  <c r="A3183" i="2"/>
  <c r="A3190" i="2"/>
  <c r="A3202" i="2"/>
  <c r="A3200" i="2"/>
  <c r="A3182" i="2"/>
  <c r="A3180" i="2"/>
  <c r="A3196" i="2"/>
  <c r="A3187" i="2"/>
  <c r="A3204" i="2"/>
  <c r="A3192" i="2"/>
  <c r="A3181" i="2"/>
  <c r="A3178" i="2"/>
  <c r="A3198" i="2"/>
  <c r="A3186" i="2"/>
  <c r="A3203" i="2"/>
  <c r="A3191" i="2"/>
  <c r="A3179" i="2"/>
  <c r="A3205" i="2"/>
  <c r="A3201" i="2"/>
  <c r="A3197" i="2"/>
  <c r="A3193" i="2"/>
  <c r="A3189" i="2"/>
  <c r="A3185" i="2"/>
  <c r="G3149" i="2"/>
  <c r="A3149" i="2" s="1"/>
  <c r="G3150" i="2"/>
  <c r="A3150" i="2" s="1"/>
  <c r="G3151" i="2"/>
  <c r="G3152" i="2"/>
  <c r="G3153" i="2"/>
  <c r="G3154" i="2"/>
  <c r="G3155" i="2"/>
  <c r="G3156" i="2"/>
  <c r="G3157" i="2"/>
  <c r="G3158" i="2"/>
  <c r="G3159" i="2"/>
  <c r="G3160" i="2"/>
  <c r="G3161" i="2"/>
  <c r="A3161" i="2" s="1"/>
  <c r="G3162" i="2"/>
  <c r="G3163" i="2"/>
  <c r="G3164" i="2"/>
  <c r="G3165" i="2"/>
  <c r="G3166" i="2"/>
  <c r="G3167" i="2"/>
  <c r="G3168" i="2"/>
  <c r="G3169" i="2"/>
  <c r="A3169" i="2" s="1"/>
  <c r="G3170" i="2"/>
  <c r="A3170" i="2" s="1"/>
  <c r="G3171" i="2"/>
  <c r="G3172" i="2"/>
  <c r="G3173" i="2"/>
  <c r="G3174" i="2"/>
  <c r="A3174" i="2" s="1"/>
  <c r="G3175" i="2"/>
  <c r="G3176" i="2"/>
  <c r="G3177" i="2"/>
  <c r="G3148" i="2"/>
  <c r="H3148" i="2" s="1"/>
  <c r="F3175" i="2" l="1"/>
  <c r="H3175" i="2"/>
  <c r="F3155" i="2"/>
  <c r="H3155" i="2"/>
  <c r="F3165" i="2"/>
  <c r="H3165" i="2"/>
  <c r="F3154" i="2"/>
  <c r="H3154" i="2"/>
  <c r="F3173" i="2"/>
  <c r="H3173" i="2"/>
  <c r="F3163" i="2"/>
  <c r="H3163" i="2"/>
  <c r="F3152" i="2"/>
  <c r="H3152" i="2"/>
  <c r="F3172" i="2"/>
  <c r="H3172" i="2"/>
  <c r="F3171" i="2"/>
  <c r="H3171" i="2"/>
  <c r="F3174" i="2"/>
  <c r="H3174" i="2"/>
  <c r="F3161" i="2"/>
  <c r="H3161" i="2"/>
  <c r="F3164" i="2"/>
  <c r="H3164" i="2"/>
  <c r="F3170" i="2"/>
  <c r="H3170" i="2"/>
  <c r="F3160" i="2"/>
  <c r="H3160" i="2"/>
  <c r="F3151" i="2"/>
  <c r="H3151" i="2"/>
  <c r="F3153" i="2"/>
  <c r="H3153" i="2"/>
  <c r="F3162" i="2"/>
  <c r="H3162" i="2"/>
  <c r="F3149" i="2"/>
  <c r="H3149" i="2"/>
  <c r="F3169" i="2"/>
  <c r="H3169" i="2"/>
  <c r="F3158" i="2"/>
  <c r="H3158" i="2"/>
  <c r="F3157" i="2"/>
  <c r="H3157" i="2"/>
  <c r="F3150" i="2"/>
  <c r="H3150" i="2"/>
  <c r="F3159" i="2"/>
  <c r="H3159" i="2"/>
  <c r="F3177" i="2"/>
  <c r="H3177" i="2"/>
  <c r="F3168" i="2"/>
  <c r="H3168" i="2"/>
  <c r="F3176" i="2"/>
  <c r="H3176" i="2"/>
  <c r="F3167" i="2"/>
  <c r="H3167" i="2"/>
  <c r="F3156" i="2"/>
  <c r="H3156" i="2"/>
  <c r="F3166" i="2"/>
  <c r="H3166" i="2"/>
  <c r="A3157" i="2"/>
  <c r="A3168" i="2"/>
  <c r="A3158" i="2"/>
  <c r="A3156" i="2"/>
  <c r="A3173" i="2"/>
  <c r="A3162" i="2"/>
  <c r="A3160" i="2"/>
  <c r="A3176" i="2"/>
  <c r="A3152" i="2"/>
  <c r="A3153" i="2"/>
  <c r="A3164" i="2"/>
  <c r="A3172" i="2"/>
  <c r="F3148" i="2"/>
  <c r="A3177" i="2"/>
  <c r="A3165" i="2"/>
  <c r="A3148" i="2"/>
  <c r="A3166" i="2"/>
  <c r="A3154" i="2"/>
  <c r="A3175" i="2"/>
  <c r="A3171" i="2"/>
  <c r="A3167" i="2"/>
  <c r="A3163" i="2"/>
  <c r="A3159" i="2"/>
  <c r="A3155" i="2"/>
  <c r="A3151" i="2"/>
  <c r="G3119" i="2"/>
  <c r="A3119" i="2" s="1"/>
  <c r="G3120" i="2"/>
  <c r="G3121" i="2"/>
  <c r="G3122" i="2"/>
  <c r="G3123" i="2"/>
  <c r="G3124" i="2"/>
  <c r="G3125" i="2"/>
  <c r="G3126" i="2"/>
  <c r="G3127" i="2"/>
  <c r="G3128" i="2"/>
  <c r="G3129" i="2"/>
  <c r="G3130" i="2"/>
  <c r="G3131" i="2"/>
  <c r="G3132" i="2"/>
  <c r="G3133" i="2"/>
  <c r="G3134" i="2"/>
  <c r="G3135" i="2"/>
  <c r="G3136" i="2"/>
  <c r="G3137" i="2"/>
  <c r="G3138" i="2"/>
  <c r="G3139" i="2"/>
  <c r="G3140" i="2"/>
  <c r="G3141" i="2"/>
  <c r="G3142" i="2"/>
  <c r="G3143" i="2"/>
  <c r="G3144" i="2"/>
  <c r="G3145" i="2"/>
  <c r="G3146" i="2"/>
  <c r="G3147" i="2"/>
  <c r="G3118" i="2"/>
  <c r="H3118" i="2" s="1"/>
  <c r="F3143" i="2" l="1"/>
  <c r="H3143" i="2"/>
  <c r="F3142" i="2"/>
  <c r="H3142" i="2"/>
  <c r="F3130" i="2"/>
  <c r="H3130" i="2"/>
  <c r="F3119" i="2"/>
  <c r="H3119" i="2"/>
  <c r="F3140" i="2"/>
  <c r="H3140" i="2"/>
  <c r="F3128" i="2"/>
  <c r="H3128" i="2"/>
  <c r="F3138" i="2"/>
  <c r="H3138" i="2"/>
  <c r="F3126" i="2"/>
  <c r="H3126" i="2"/>
  <c r="F3136" i="2"/>
  <c r="H3136" i="2"/>
  <c r="F3124" i="2"/>
  <c r="H3124" i="2"/>
  <c r="F3139" i="2"/>
  <c r="H3139" i="2"/>
  <c r="F3137" i="2"/>
  <c r="H3137" i="2"/>
  <c r="F3123" i="2"/>
  <c r="H3123" i="2"/>
  <c r="F3146" i="2"/>
  <c r="H3146" i="2"/>
  <c r="F3134" i="2"/>
  <c r="H3134" i="2"/>
  <c r="F3122" i="2"/>
  <c r="H3122" i="2"/>
  <c r="F3135" i="2"/>
  <c r="H3135" i="2"/>
  <c r="F3133" i="2"/>
  <c r="H3133" i="2"/>
  <c r="F3129" i="2"/>
  <c r="H3129" i="2"/>
  <c r="F3127" i="2"/>
  <c r="H3127" i="2"/>
  <c r="F3125" i="2"/>
  <c r="H3125" i="2"/>
  <c r="F3147" i="2"/>
  <c r="H3147" i="2"/>
  <c r="F3145" i="2"/>
  <c r="H3145" i="2"/>
  <c r="F3121" i="2"/>
  <c r="H3121" i="2"/>
  <c r="F3144" i="2"/>
  <c r="H3144" i="2"/>
  <c r="F3132" i="2"/>
  <c r="H3132" i="2"/>
  <c r="F3120" i="2"/>
  <c r="H3120" i="2"/>
  <c r="F3141" i="2"/>
  <c r="H3141" i="2"/>
  <c r="F3131" i="2"/>
  <c r="H3131" i="2"/>
  <c r="A3122" i="2"/>
  <c r="A3141" i="2"/>
  <c r="A3118" i="2"/>
  <c r="A3137" i="2"/>
  <c r="A3129" i="2"/>
  <c r="A3142" i="2"/>
  <c r="A3130" i="2"/>
  <c r="A3143" i="2"/>
  <c r="A3134" i="2"/>
  <c r="A3123" i="2"/>
  <c r="A3146" i="2"/>
  <c r="A3135" i="2"/>
  <c r="A3124" i="2"/>
  <c r="A3131" i="2"/>
  <c r="A3147" i="2"/>
  <c r="A3136" i="2"/>
  <c r="A3125" i="2"/>
  <c r="A3140" i="2"/>
  <c r="A3128" i="2"/>
  <c r="A3145" i="2"/>
  <c r="A3133" i="2"/>
  <c r="A3121" i="2"/>
  <c r="A3138" i="2"/>
  <c r="A3126" i="2"/>
  <c r="A3139" i="2"/>
  <c r="A3127" i="2"/>
  <c r="A3132" i="2"/>
  <c r="A3120" i="2"/>
  <c r="A3144" i="2"/>
  <c r="F3118" i="2"/>
  <c r="G3089" i="2"/>
  <c r="A3089" i="2" s="1"/>
  <c r="G3090" i="2"/>
  <c r="G3091" i="2"/>
  <c r="G3092" i="2"/>
  <c r="A3092" i="2" s="1"/>
  <c r="G3093" i="2"/>
  <c r="G3094" i="2"/>
  <c r="G3095" i="2"/>
  <c r="G3096" i="2"/>
  <c r="G3097" i="2"/>
  <c r="G3098" i="2"/>
  <c r="G3099" i="2"/>
  <c r="G3100" i="2"/>
  <c r="G3101" i="2"/>
  <c r="G3102" i="2"/>
  <c r="G3103" i="2"/>
  <c r="G3104" i="2"/>
  <c r="G3105" i="2"/>
  <c r="G3106" i="2"/>
  <c r="G3107" i="2"/>
  <c r="G3108" i="2"/>
  <c r="G3109" i="2"/>
  <c r="G3110" i="2"/>
  <c r="H3110" i="2" s="1"/>
  <c r="G3111" i="2"/>
  <c r="H3111" i="2" s="1"/>
  <c r="G3112" i="2"/>
  <c r="H3112" i="2" s="1"/>
  <c r="G3113" i="2"/>
  <c r="H3113" i="2" s="1"/>
  <c r="G3114" i="2"/>
  <c r="H3114" i="2" s="1"/>
  <c r="G3115" i="2"/>
  <c r="H3115" i="2" s="1"/>
  <c r="G3116" i="2"/>
  <c r="H3116" i="2" s="1"/>
  <c r="G3117" i="2"/>
  <c r="H3117" i="2" s="1"/>
  <c r="G3088" i="2"/>
  <c r="H3088" i="2" s="1"/>
  <c r="A3116" i="2" l="1"/>
  <c r="F3095" i="2"/>
  <c r="H3095" i="2"/>
  <c r="F3106" i="2"/>
  <c r="H3106" i="2"/>
  <c r="F3094" i="2"/>
  <c r="H3094" i="2"/>
  <c r="F3104" i="2"/>
  <c r="H3104" i="2"/>
  <c r="F3105" i="2"/>
  <c r="H3105" i="2"/>
  <c r="F3102" i="2"/>
  <c r="H3102" i="2"/>
  <c r="F3091" i="2"/>
  <c r="H3091" i="2"/>
  <c r="F3101" i="2"/>
  <c r="H3101" i="2"/>
  <c r="F3090" i="2"/>
  <c r="H3090" i="2"/>
  <c r="F3100" i="2"/>
  <c r="H3100" i="2"/>
  <c r="F3098" i="2"/>
  <c r="H3098" i="2"/>
  <c r="F3093" i="2"/>
  <c r="H3093" i="2"/>
  <c r="F3103" i="2"/>
  <c r="H3103" i="2"/>
  <c r="F3099" i="2"/>
  <c r="H3099" i="2"/>
  <c r="F3109" i="2"/>
  <c r="H3109" i="2"/>
  <c r="F3089" i="2"/>
  <c r="H3089" i="2"/>
  <c r="F3097" i="2"/>
  <c r="H3097" i="2"/>
  <c r="F3108" i="2"/>
  <c r="H3108" i="2"/>
  <c r="F3096" i="2"/>
  <c r="H3096" i="2"/>
  <c r="F3092" i="2"/>
  <c r="H3092" i="2"/>
  <c r="F3107" i="2"/>
  <c r="H3107" i="2"/>
  <c r="A3112" i="2"/>
  <c r="A3100" i="2"/>
  <c r="A3117" i="2"/>
  <c r="A3115" i="2"/>
  <c r="A3113" i="2"/>
  <c r="A3111" i="2"/>
  <c r="A3109" i="2"/>
  <c r="A3107" i="2"/>
  <c r="A3105" i="2"/>
  <c r="A3103" i="2"/>
  <c r="A3101" i="2"/>
  <c r="A3099" i="2"/>
  <c r="A3097" i="2"/>
  <c r="A3095" i="2"/>
  <c r="A3093" i="2"/>
  <c r="A3091" i="2"/>
  <c r="A3108" i="2"/>
  <c r="A3096" i="2"/>
  <c r="A3104" i="2"/>
  <c r="A3098" i="2"/>
  <c r="A3094" i="2"/>
  <c r="A3090" i="2"/>
  <c r="F3117" i="2"/>
  <c r="F3116" i="2"/>
  <c r="F3115" i="2"/>
  <c r="F3114" i="2"/>
  <c r="A3114" i="2"/>
  <c r="F3113" i="2"/>
  <c r="F3112" i="2"/>
  <c r="F3111" i="2"/>
  <c r="F3110" i="2"/>
  <c r="A3110" i="2"/>
  <c r="A3106" i="2"/>
  <c r="A3102" i="2"/>
  <c r="A3088" i="2"/>
  <c r="F3088" i="2"/>
  <c r="G3059" i="2"/>
  <c r="G3060" i="2"/>
  <c r="G3061" i="2"/>
  <c r="G3062" i="2"/>
  <c r="G3063" i="2"/>
  <c r="G3064" i="2"/>
  <c r="G3065" i="2"/>
  <c r="G3066" i="2"/>
  <c r="G3067" i="2"/>
  <c r="G3068" i="2"/>
  <c r="G3069" i="2"/>
  <c r="G3070" i="2"/>
  <c r="G3071" i="2"/>
  <c r="G3072" i="2"/>
  <c r="G3073" i="2"/>
  <c r="G3074" i="2"/>
  <c r="A3074" i="2" s="1"/>
  <c r="G3075" i="2"/>
  <c r="G3076" i="2"/>
  <c r="G3077" i="2"/>
  <c r="G3078" i="2"/>
  <c r="G3079" i="2"/>
  <c r="G3080" i="2"/>
  <c r="G3081" i="2"/>
  <c r="G3082" i="2"/>
  <c r="G3083" i="2"/>
  <c r="G3084" i="2"/>
  <c r="G3085" i="2"/>
  <c r="G3086" i="2"/>
  <c r="G3087" i="2"/>
  <c r="G3058" i="2"/>
  <c r="H3058" i="2" s="1"/>
  <c r="F3075" i="2" l="1"/>
  <c r="H3075" i="2"/>
  <c r="F3064" i="2"/>
  <c r="H3064" i="2"/>
  <c r="F3062" i="2"/>
  <c r="H3062" i="2"/>
  <c r="F3061" i="2"/>
  <c r="H3061" i="2"/>
  <c r="F3063" i="2"/>
  <c r="H3063" i="2"/>
  <c r="F3083" i="2"/>
  <c r="H3083" i="2"/>
  <c r="F3072" i="2"/>
  <c r="H3072" i="2"/>
  <c r="F3060" i="2"/>
  <c r="H3060" i="2"/>
  <c r="F3087" i="2"/>
  <c r="H3087" i="2"/>
  <c r="F3076" i="2"/>
  <c r="H3076" i="2"/>
  <c r="F3085" i="2"/>
  <c r="H3085" i="2"/>
  <c r="F3071" i="2"/>
  <c r="H3071" i="2"/>
  <c r="F3080" i="2"/>
  <c r="H3080" i="2"/>
  <c r="F3084" i="2"/>
  <c r="H3084" i="2"/>
  <c r="F3059" i="2"/>
  <c r="H3059" i="2"/>
  <c r="F3069" i="2"/>
  <c r="H3069" i="2"/>
  <c r="F3079" i="2"/>
  <c r="H3079" i="2"/>
  <c r="F3068" i="2"/>
  <c r="H3068" i="2"/>
  <c r="F3086" i="2"/>
  <c r="H3086" i="2"/>
  <c r="F3074" i="2"/>
  <c r="H3074" i="2"/>
  <c r="F3082" i="2"/>
  <c r="H3082" i="2"/>
  <c r="F3081" i="2"/>
  <c r="H3081" i="2"/>
  <c r="F3070" i="2"/>
  <c r="H3070" i="2"/>
  <c r="F3078" i="2"/>
  <c r="H3078" i="2"/>
  <c r="F3073" i="2"/>
  <c r="H3073" i="2"/>
  <c r="F3067" i="2"/>
  <c r="H3067" i="2"/>
  <c r="F3077" i="2"/>
  <c r="H3077" i="2"/>
  <c r="F3066" i="2"/>
  <c r="H3066" i="2"/>
  <c r="F3065" i="2"/>
  <c r="H3065" i="2"/>
  <c r="A3065" i="2"/>
  <c r="A3063" i="2"/>
  <c r="A3086" i="2"/>
  <c r="A3072" i="2"/>
  <c r="A3060" i="2"/>
  <c r="A3078" i="2"/>
  <c r="A3069" i="2"/>
  <c r="A3070" i="2"/>
  <c r="A3068" i="2"/>
  <c r="A3076" i="2"/>
  <c r="A3061" i="2"/>
  <c r="A3066" i="2"/>
  <c r="A3082" i="2"/>
  <c r="A3064" i="2"/>
  <c r="A3062" i="2"/>
  <c r="A3087" i="2"/>
  <c r="A3083" i="2"/>
  <c r="A3079" i="2"/>
  <c r="A3067" i="2"/>
  <c r="A3059" i="2"/>
  <c r="A3075" i="2"/>
  <c r="A3071" i="2"/>
  <c r="A3084" i="2"/>
  <c r="A3080" i="2"/>
  <c r="A3058" i="2"/>
  <c r="A3085" i="2"/>
  <c r="A3081" i="2"/>
  <c r="A3077" i="2"/>
  <c r="A3073" i="2"/>
  <c r="F3058" i="2"/>
  <c r="G3029" i="2"/>
  <c r="A3029" i="2" s="1"/>
  <c r="G3030" i="2"/>
  <c r="A3030" i="2" s="1"/>
  <c r="G3031" i="2"/>
  <c r="G3032" i="2"/>
  <c r="A3032" i="2" s="1"/>
  <c r="G3033" i="2"/>
  <c r="G3034" i="2"/>
  <c r="G3035" i="2"/>
  <c r="G3036" i="2"/>
  <c r="A3036" i="2" s="1"/>
  <c r="G3037" i="2"/>
  <c r="G3038" i="2"/>
  <c r="G3039" i="2"/>
  <c r="G3040" i="2"/>
  <c r="G3041" i="2"/>
  <c r="G3042" i="2"/>
  <c r="G3043" i="2"/>
  <c r="G3044" i="2"/>
  <c r="G3045" i="2"/>
  <c r="G3046" i="2"/>
  <c r="G3047" i="2"/>
  <c r="G3048" i="2"/>
  <c r="G3049" i="2"/>
  <c r="G3050" i="2"/>
  <c r="H3050" i="2" s="1"/>
  <c r="G3051" i="2"/>
  <c r="H3051" i="2" s="1"/>
  <c r="G3052" i="2"/>
  <c r="H3052" i="2" s="1"/>
  <c r="G3053" i="2"/>
  <c r="H3053" i="2" s="1"/>
  <c r="G3054" i="2"/>
  <c r="H3054" i="2" s="1"/>
  <c r="G3055" i="2"/>
  <c r="H3055" i="2" s="1"/>
  <c r="G3056" i="2"/>
  <c r="H3056" i="2" s="1"/>
  <c r="G3057" i="2"/>
  <c r="H3057" i="2" s="1"/>
  <c r="G3028" i="2"/>
  <c r="H3028" i="2" s="1"/>
  <c r="A3054" i="2" l="1"/>
  <c r="F3042" i="2"/>
  <c r="H3042" i="2"/>
  <c r="F3034" i="2"/>
  <c r="H3034" i="2"/>
  <c r="F3043" i="2"/>
  <c r="H3043" i="2"/>
  <c r="F3033" i="2"/>
  <c r="H3033" i="2"/>
  <c r="A3052" i="2"/>
  <c r="F3041" i="2"/>
  <c r="H3041" i="2"/>
  <c r="F3032" i="2"/>
  <c r="H3032" i="2"/>
  <c r="F3031" i="2"/>
  <c r="H3031" i="2"/>
  <c r="F3039" i="2"/>
  <c r="H3039" i="2"/>
  <c r="F3040" i="2"/>
  <c r="H3040" i="2"/>
  <c r="F3038" i="2"/>
  <c r="H3038" i="2"/>
  <c r="F3030" i="2"/>
  <c r="H3030" i="2"/>
  <c r="F3049" i="2"/>
  <c r="H3049" i="2"/>
  <c r="F3037" i="2"/>
  <c r="H3037" i="2"/>
  <c r="A3056" i="2"/>
  <c r="F3047" i="2"/>
  <c r="H3047" i="2"/>
  <c r="F3036" i="2"/>
  <c r="H3036" i="2"/>
  <c r="F3029" i="2"/>
  <c r="H3029" i="2"/>
  <c r="F3046" i="2"/>
  <c r="H3046" i="2"/>
  <c r="F3048" i="2"/>
  <c r="H3048" i="2"/>
  <c r="F3035" i="2"/>
  <c r="H3035" i="2"/>
  <c r="F3045" i="2"/>
  <c r="H3045" i="2"/>
  <c r="A3034" i="2"/>
  <c r="F3044" i="2"/>
  <c r="H3044" i="2"/>
  <c r="A3031" i="2"/>
  <c r="A3050" i="2"/>
  <c r="A3048" i="2"/>
  <c r="A3046" i="2"/>
  <c r="A3038" i="2"/>
  <c r="A3033" i="2"/>
  <c r="A3044" i="2"/>
  <c r="A3042" i="2"/>
  <c r="A3040" i="2"/>
  <c r="A3057" i="2"/>
  <c r="A3053" i="2"/>
  <c r="A3049" i="2"/>
  <c r="A3045" i="2"/>
  <c r="A3041" i="2"/>
  <c r="A3039" i="2"/>
  <c r="A3037" i="2"/>
  <c r="A3035" i="2"/>
  <c r="A3028" i="2"/>
  <c r="F3057" i="2"/>
  <c r="F3056" i="2"/>
  <c r="F3055" i="2"/>
  <c r="A3055" i="2"/>
  <c r="F3054" i="2"/>
  <c r="F3053" i="2"/>
  <c r="F3052" i="2"/>
  <c r="F3051" i="2"/>
  <c r="A3051" i="2"/>
  <c r="F3050" i="2"/>
  <c r="A3047" i="2"/>
  <c r="A3043" i="2"/>
  <c r="F3028" i="2"/>
  <c r="G2999" i="2"/>
  <c r="G3000" i="2"/>
  <c r="G3001" i="2"/>
  <c r="G3002" i="2"/>
  <c r="G3003" i="2"/>
  <c r="G3004" i="2"/>
  <c r="G3005" i="2"/>
  <c r="G3006" i="2"/>
  <c r="G3007" i="2"/>
  <c r="G3008" i="2"/>
  <c r="A3008" i="2" s="1"/>
  <c r="G3009" i="2"/>
  <c r="G3010" i="2"/>
  <c r="G3011" i="2"/>
  <c r="G3012" i="2"/>
  <c r="G3013" i="2"/>
  <c r="G3014" i="2"/>
  <c r="G3015" i="2"/>
  <c r="G3016" i="2"/>
  <c r="G3017" i="2"/>
  <c r="G3018" i="2"/>
  <c r="G3019" i="2"/>
  <c r="G3020" i="2"/>
  <c r="G3021" i="2"/>
  <c r="G3022" i="2"/>
  <c r="G3023" i="2"/>
  <c r="G3024" i="2"/>
  <c r="G3025" i="2"/>
  <c r="G3026" i="2"/>
  <c r="G3027" i="2"/>
  <c r="G2998" i="2"/>
  <c r="H2998" i="2" s="1"/>
  <c r="F3016" i="2" l="1"/>
  <c r="H3016" i="2"/>
  <c r="F3014" i="2"/>
  <c r="H3014" i="2"/>
  <c r="F3013" i="2"/>
  <c r="H3013" i="2"/>
  <c r="F3005" i="2"/>
  <c r="H3005" i="2"/>
  <c r="F3003" i="2"/>
  <c r="H3003" i="2"/>
  <c r="F3025" i="2"/>
  <c r="H3025" i="2"/>
  <c r="F3002" i="2"/>
  <c r="H3002" i="2"/>
  <c r="F3024" i="2"/>
  <c r="H3024" i="2"/>
  <c r="F3012" i="2"/>
  <c r="H3012" i="2"/>
  <c r="F3001" i="2"/>
  <c r="H3001" i="2"/>
  <c r="F3000" i="2"/>
  <c r="H3000" i="2"/>
  <c r="F3015" i="2"/>
  <c r="H3015" i="2"/>
  <c r="F3004" i="2"/>
  <c r="H3004" i="2"/>
  <c r="F3023" i="2"/>
  <c r="H3023" i="2"/>
  <c r="F2999" i="2"/>
  <c r="H2999" i="2"/>
  <c r="F3021" i="2"/>
  <c r="H3021" i="2"/>
  <c r="F3020" i="2"/>
  <c r="H3020" i="2"/>
  <c r="F3006" i="2"/>
  <c r="H3006" i="2"/>
  <c r="F3027" i="2"/>
  <c r="H3027" i="2"/>
  <c r="F3026" i="2"/>
  <c r="H3026" i="2"/>
  <c r="F3011" i="2"/>
  <c r="H3011" i="2"/>
  <c r="F3010" i="2"/>
  <c r="H3010" i="2"/>
  <c r="F3009" i="2"/>
  <c r="H3009" i="2"/>
  <c r="F3019" i="2"/>
  <c r="H3019" i="2"/>
  <c r="F3008" i="2"/>
  <c r="H3008" i="2"/>
  <c r="F3017" i="2"/>
  <c r="H3017" i="2"/>
  <c r="F3022" i="2"/>
  <c r="H3022" i="2"/>
  <c r="F3018" i="2"/>
  <c r="H3018" i="2"/>
  <c r="F3007" i="2"/>
  <c r="H3007" i="2"/>
  <c r="A3024" i="2"/>
  <c r="A3020" i="2"/>
  <c r="A3016" i="2"/>
  <c r="A2999" i="2"/>
  <c r="A3015" i="2"/>
  <c r="A3013" i="2"/>
  <c r="A3027" i="2"/>
  <c r="A3004" i="2"/>
  <c r="A3019" i="2"/>
  <c r="A3009" i="2"/>
  <c r="A3005" i="2"/>
  <c r="A3012" i="2"/>
  <c r="A3023" i="2"/>
  <c r="A3011" i="2"/>
  <c r="A3007" i="2"/>
  <c r="A3003" i="2"/>
  <c r="A3001" i="2"/>
  <c r="A3021" i="2"/>
  <c r="A3017" i="2"/>
  <c r="A3026" i="2"/>
  <c r="A3022" i="2"/>
  <c r="A3018" i="2"/>
  <c r="A3014" i="2"/>
  <c r="A3010" i="2"/>
  <c r="A3006" i="2"/>
  <c r="A3002" i="2"/>
  <c r="A3000" i="2"/>
  <c r="A2998" i="2"/>
  <c r="A3025" i="2"/>
  <c r="F2998" i="2"/>
  <c r="G2969" i="2"/>
  <c r="G2970" i="2"/>
  <c r="G2971" i="2"/>
  <c r="G2972" i="2"/>
  <c r="G2973" i="2"/>
  <c r="G2974" i="2"/>
  <c r="G2975" i="2"/>
  <c r="G2976" i="2"/>
  <c r="G2977" i="2"/>
  <c r="G2978" i="2"/>
  <c r="G2979" i="2"/>
  <c r="G2980" i="2"/>
  <c r="G2981" i="2"/>
  <c r="G2982" i="2"/>
  <c r="G2983" i="2"/>
  <c r="G2984" i="2"/>
  <c r="G2985" i="2"/>
  <c r="G2986" i="2"/>
  <c r="G2987" i="2"/>
  <c r="G2988" i="2"/>
  <c r="G2989" i="2"/>
  <c r="G2990" i="2"/>
  <c r="G2991" i="2"/>
  <c r="G2992" i="2"/>
  <c r="G2993" i="2"/>
  <c r="G2994" i="2"/>
  <c r="G2995" i="2"/>
  <c r="G2996" i="2"/>
  <c r="G2997" i="2"/>
  <c r="G2968" i="2"/>
  <c r="H2968" i="2" s="1"/>
  <c r="F2985" i="2" l="1"/>
  <c r="H2985" i="2"/>
  <c r="F2983" i="2"/>
  <c r="H2983" i="2"/>
  <c r="F2989" i="2"/>
  <c r="H2989" i="2"/>
  <c r="F2977" i="2"/>
  <c r="H2977" i="2"/>
  <c r="F2988" i="2"/>
  <c r="H2988" i="2"/>
  <c r="F2976" i="2"/>
  <c r="H2976" i="2"/>
  <c r="F2986" i="2"/>
  <c r="H2986" i="2"/>
  <c r="F2974" i="2"/>
  <c r="H2974" i="2"/>
  <c r="F2975" i="2"/>
  <c r="H2975" i="2"/>
  <c r="F2996" i="2"/>
  <c r="H2996" i="2"/>
  <c r="F2984" i="2"/>
  <c r="H2984" i="2"/>
  <c r="F2972" i="2"/>
  <c r="H2972" i="2"/>
  <c r="F2971" i="2"/>
  <c r="H2971" i="2"/>
  <c r="F2994" i="2"/>
  <c r="H2994" i="2"/>
  <c r="F2982" i="2"/>
  <c r="H2982" i="2"/>
  <c r="F2970" i="2"/>
  <c r="H2970" i="2"/>
  <c r="F2987" i="2"/>
  <c r="H2987" i="2"/>
  <c r="F2993" i="2"/>
  <c r="H2993" i="2"/>
  <c r="F2992" i="2"/>
  <c r="H2992" i="2"/>
  <c r="F2980" i="2"/>
  <c r="H2980" i="2"/>
  <c r="F2973" i="2"/>
  <c r="H2973" i="2"/>
  <c r="F2981" i="2"/>
  <c r="H2981" i="2"/>
  <c r="F2991" i="2"/>
  <c r="H2991" i="2"/>
  <c r="F2997" i="2"/>
  <c r="H2997" i="2"/>
  <c r="F2969" i="2"/>
  <c r="H2969" i="2"/>
  <c r="F2979" i="2"/>
  <c r="H2979" i="2"/>
  <c r="F2990" i="2"/>
  <c r="H2990" i="2"/>
  <c r="F2978" i="2"/>
  <c r="H2978" i="2"/>
  <c r="F2995" i="2"/>
  <c r="H2995" i="2"/>
  <c r="A2992" i="2"/>
  <c r="A2980" i="2"/>
  <c r="A2987" i="2"/>
  <c r="A2975" i="2"/>
  <c r="A2971" i="2"/>
  <c r="A2997" i="2"/>
  <c r="A2988" i="2"/>
  <c r="A2984" i="2"/>
  <c r="A2972" i="2"/>
  <c r="A2994" i="2"/>
  <c r="A2976" i="2"/>
  <c r="A2995" i="2"/>
  <c r="A2979" i="2"/>
  <c r="A2996" i="2"/>
  <c r="A2989" i="2"/>
  <c r="A2981" i="2"/>
  <c r="A2977" i="2"/>
  <c r="A2973" i="2"/>
  <c r="A2969" i="2"/>
  <c r="A2990" i="2"/>
  <c r="A2986" i="2"/>
  <c r="A2982" i="2"/>
  <c r="A2978" i="2"/>
  <c r="A2974" i="2"/>
  <c r="A2970" i="2"/>
  <c r="A2991" i="2"/>
  <c r="A2983" i="2"/>
  <c r="A2993" i="2"/>
  <c r="A2985" i="2"/>
  <c r="F2968" i="2"/>
  <c r="A2968" i="2"/>
  <c r="G2940" i="2"/>
  <c r="G2941" i="2"/>
  <c r="A2941" i="2" s="1"/>
  <c r="G2942" i="2"/>
  <c r="G2943" i="2"/>
  <c r="G2944" i="2"/>
  <c r="G2945" i="2"/>
  <c r="G2946" i="2"/>
  <c r="G2947" i="2"/>
  <c r="G2948" i="2"/>
  <c r="G2949" i="2"/>
  <c r="G2950" i="2"/>
  <c r="G2951" i="2"/>
  <c r="G2952" i="2"/>
  <c r="G2953" i="2"/>
  <c r="G2954" i="2"/>
  <c r="G2955" i="2"/>
  <c r="G2956" i="2"/>
  <c r="G2957" i="2"/>
  <c r="G2958" i="2"/>
  <c r="G2959" i="2"/>
  <c r="G2960" i="2"/>
  <c r="G2961" i="2"/>
  <c r="G2962" i="2"/>
  <c r="G2963" i="2"/>
  <c r="G2964" i="2"/>
  <c r="G2965" i="2"/>
  <c r="G2966" i="2"/>
  <c r="G2967" i="2"/>
  <c r="G2939" i="2"/>
  <c r="H2939" i="2" s="1"/>
  <c r="F2952" i="2" l="1"/>
  <c r="H2952" i="2"/>
  <c r="F2950" i="2"/>
  <c r="H2950" i="2"/>
  <c r="F2946" i="2"/>
  <c r="H2946" i="2"/>
  <c r="F2957" i="2"/>
  <c r="H2957" i="2"/>
  <c r="F2945" i="2"/>
  <c r="H2945" i="2"/>
  <c r="F2967" i="2"/>
  <c r="H2967" i="2"/>
  <c r="F2955" i="2"/>
  <c r="H2955" i="2"/>
  <c r="F2943" i="2"/>
  <c r="H2943" i="2"/>
  <c r="F2944" i="2"/>
  <c r="H2944" i="2"/>
  <c r="F2965" i="2"/>
  <c r="H2965" i="2"/>
  <c r="F2953" i="2"/>
  <c r="H2953" i="2"/>
  <c r="F2941" i="2"/>
  <c r="H2941" i="2"/>
  <c r="F2964" i="2"/>
  <c r="H2964" i="2"/>
  <c r="F2963" i="2"/>
  <c r="H2963" i="2"/>
  <c r="F2951" i="2"/>
  <c r="H2951" i="2"/>
  <c r="F2940" i="2"/>
  <c r="H2940" i="2"/>
  <c r="F2966" i="2"/>
  <c r="H2966" i="2"/>
  <c r="F2962" i="2"/>
  <c r="H2962" i="2"/>
  <c r="F2961" i="2"/>
  <c r="H2961" i="2"/>
  <c r="F2949" i="2"/>
  <c r="H2949" i="2"/>
  <c r="F2942" i="2"/>
  <c r="H2942" i="2"/>
  <c r="F2948" i="2"/>
  <c r="H2948" i="2"/>
  <c r="F2956" i="2"/>
  <c r="H2956" i="2"/>
  <c r="F2954" i="2"/>
  <c r="H2954" i="2"/>
  <c r="F2960" i="2"/>
  <c r="H2960" i="2"/>
  <c r="F2959" i="2"/>
  <c r="H2959" i="2"/>
  <c r="F2947" i="2"/>
  <c r="H2947" i="2"/>
  <c r="F2958" i="2"/>
  <c r="H2958" i="2"/>
  <c r="A2958" i="2"/>
  <c r="A2962" i="2"/>
  <c r="A2954" i="2"/>
  <c r="A2963" i="2"/>
  <c r="A2946" i="2"/>
  <c r="A2955" i="2"/>
  <c r="A2942" i="2"/>
  <c r="A2947" i="2"/>
  <c r="A2967" i="2"/>
  <c r="A2951" i="2"/>
  <c r="A2959" i="2"/>
  <c r="A2943" i="2"/>
  <c r="A2966" i="2"/>
  <c r="A2950" i="2"/>
  <c r="A2964" i="2"/>
  <c r="A2960" i="2"/>
  <c r="A2956" i="2"/>
  <c r="A2952" i="2"/>
  <c r="A2948" i="2"/>
  <c r="A2944" i="2"/>
  <c r="A2940" i="2"/>
  <c r="A2965" i="2"/>
  <c r="A2961" i="2"/>
  <c r="A2957" i="2"/>
  <c r="A2953" i="2"/>
  <c r="A2949" i="2"/>
  <c r="A2945" i="2"/>
  <c r="A2939" i="2"/>
  <c r="F2939" i="2"/>
  <c r="G2910" i="2"/>
  <c r="G2911" i="2"/>
  <c r="G2912" i="2"/>
  <c r="G2913" i="2"/>
  <c r="G2914" i="2"/>
  <c r="G2915" i="2"/>
  <c r="G2916" i="2"/>
  <c r="G2917" i="2"/>
  <c r="G2918" i="2"/>
  <c r="G2919" i="2"/>
  <c r="G2920" i="2"/>
  <c r="G2921" i="2"/>
  <c r="G2922" i="2"/>
  <c r="G2923" i="2"/>
  <c r="G2924" i="2"/>
  <c r="G2925" i="2"/>
  <c r="G2926" i="2"/>
  <c r="G2927" i="2"/>
  <c r="G2928" i="2"/>
  <c r="G2929" i="2"/>
  <c r="G2930" i="2"/>
  <c r="G2931" i="2"/>
  <c r="G2932" i="2"/>
  <c r="G2933" i="2"/>
  <c r="G2934" i="2"/>
  <c r="G2935" i="2"/>
  <c r="G2936" i="2"/>
  <c r="G2937" i="2"/>
  <c r="A2937" i="2" s="1"/>
  <c r="G2938" i="2"/>
  <c r="G2909" i="2"/>
  <c r="H2909" i="2" s="1"/>
  <c r="F2932" i="2" l="1"/>
  <c r="H2932" i="2"/>
  <c r="F2920" i="2"/>
  <c r="H2920" i="2"/>
  <c r="F2930" i="2"/>
  <c r="H2930" i="2"/>
  <c r="F2918" i="2"/>
  <c r="H2918" i="2"/>
  <c r="F2928" i="2"/>
  <c r="H2928" i="2"/>
  <c r="F2916" i="2"/>
  <c r="H2916" i="2"/>
  <c r="F2931" i="2"/>
  <c r="H2931" i="2"/>
  <c r="F2927" i="2"/>
  <c r="H2927" i="2"/>
  <c r="F2926" i="2"/>
  <c r="H2926" i="2"/>
  <c r="F2914" i="2"/>
  <c r="H2914" i="2"/>
  <c r="F2917" i="2"/>
  <c r="H2917" i="2"/>
  <c r="F2925" i="2"/>
  <c r="H2925" i="2"/>
  <c r="F2936" i="2"/>
  <c r="H2936" i="2"/>
  <c r="F2924" i="2"/>
  <c r="H2924" i="2"/>
  <c r="F2912" i="2"/>
  <c r="H2912" i="2"/>
  <c r="F2919" i="2"/>
  <c r="H2919" i="2"/>
  <c r="F2929" i="2"/>
  <c r="H2929" i="2"/>
  <c r="F2915" i="2"/>
  <c r="H2915" i="2"/>
  <c r="F2937" i="2"/>
  <c r="H2937" i="2"/>
  <c r="F2935" i="2"/>
  <c r="H2935" i="2"/>
  <c r="F2938" i="2"/>
  <c r="H2938" i="2"/>
  <c r="F2913" i="2"/>
  <c r="H2913" i="2"/>
  <c r="F2923" i="2"/>
  <c r="H2923" i="2"/>
  <c r="F2911" i="2"/>
  <c r="H2911" i="2"/>
  <c r="F2934" i="2"/>
  <c r="H2934" i="2"/>
  <c r="F2922" i="2"/>
  <c r="H2922" i="2"/>
  <c r="F2910" i="2"/>
  <c r="H2910" i="2"/>
  <c r="F2933" i="2"/>
  <c r="H2933" i="2"/>
  <c r="F2921" i="2"/>
  <c r="H2921" i="2"/>
  <c r="A2938" i="2"/>
  <c r="A2918" i="2"/>
  <c r="A2914" i="2"/>
  <c r="A2910" i="2"/>
  <c r="A2933" i="2"/>
  <c r="A2925" i="2"/>
  <c r="A2917" i="2"/>
  <c r="A2934" i="2"/>
  <c r="A2929" i="2"/>
  <c r="A2921" i="2"/>
  <c r="A2930" i="2"/>
  <c r="A2926" i="2"/>
  <c r="A2922" i="2"/>
  <c r="A2909" i="2"/>
  <c r="A2936" i="2"/>
  <c r="A2932" i="2"/>
  <c r="A2928" i="2"/>
  <c r="A2924" i="2"/>
  <c r="A2920" i="2"/>
  <c r="A2916" i="2"/>
  <c r="A2912" i="2"/>
  <c r="A2913" i="2"/>
  <c r="A2935" i="2"/>
  <c r="A2931" i="2"/>
  <c r="A2927" i="2"/>
  <c r="A2923" i="2"/>
  <c r="A2919" i="2"/>
  <c r="A2915" i="2"/>
  <c r="A2911" i="2"/>
  <c r="F2909" i="2"/>
  <c r="G2880" i="2"/>
  <c r="G2881" i="2"/>
  <c r="G2882" i="2"/>
  <c r="G2883" i="2"/>
  <c r="G2884" i="2"/>
  <c r="G2885" i="2"/>
  <c r="G2886" i="2"/>
  <c r="G2887" i="2"/>
  <c r="G2888" i="2"/>
  <c r="G2889" i="2"/>
  <c r="G2890" i="2"/>
  <c r="G2891" i="2"/>
  <c r="G2892" i="2"/>
  <c r="G2893" i="2"/>
  <c r="G2894" i="2"/>
  <c r="G2895" i="2"/>
  <c r="G2896" i="2"/>
  <c r="G2897" i="2"/>
  <c r="G2898" i="2"/>
  <c r="G2899" i="2"/>
  <c r="A2899" i="2" s="1"/>
  <c r="G2900" i="2"/>
  <c r="G2901" i="2"/>
  <c r="G2902" i="2"/>
  <c r="A2902" i="2" s="1"/>
  <c r="G2903" i="2"/>
  <c r="G2904" i="2"/>
  <c r="G2905" i="2"/>
  <c r="G2906" i="2"/>
  <c r="G2907" i="2"/>
  <c r="G2908" i="2"/>
  <c r="G2879" i="2"/>
  <c r="H2879" i="2" s="1"/>
  <c r="F2908" i="2" l="1"/>
  <c r="H2908" i="2"/>
  <c r="F2906" i="2"/>
  <c r="H2906" i="2"/>
  <c r="F2901" i="2"/>
  <c r="H2901" i="2"/>
  <c r="F2888" i="2"/>
  <c r="H2888" i="2"/>
  <c r="F2899" i="2"/>
  <c r="H2899" i="2"/>
  <c r="F2887" i="2"/>
  <c r="H2887" i="2"/>
  <c r="F2907" i="2"/>
  <c r="H2907" i="2"/>
  <c r="F2897" i="2"/>
  <c r="H2897" i="2"/>
  <c r="F2885" i="2"/>
  <c r="H2885" i="2"/>
  <c r="F2905" i="2"/>
  <c r="H2905" i="2"/>
  <c r="F2895" i="2"/>
  <c r="H2895" i="2"/>
  <c r="F2883" i="2"/>
  <c r="H2883" i="2"/>
  <c r="F2898" i="2"/>
  <c r="H2898" i="2"/>
  <c r="F2896" i="2"/>
  <c r="H2896" i="2"/>
  <c r="F2882" i="2"/>
  <c r="H2882" i="2"/>
  <c r="F2894" i="2"/>
  <c r="H2894" i="2"/>
  <c r="F2903" i="2"/>
  <c r="H2903" i="2"/>
  <c r="F2893" i="2"/>
  <c r="H2893" i="2"/>
  <c r="F2881" i="2"/>
  <c r="H2881" i="2"/>
  <c r="F2884" i="2"/>
  <c r="H2884" i="2"/>
  <c r="F2880" i="2"/>
  <c r="H2880" i="2"/>
  <c r="F2892" i="2"/>
  <c r="H2892" i="2"/>
  <c r="F2902" i="2"/>
  <c r="H2902" i="2"/>
  <c r="F2891" i="2"/>
  <c r="H2891" i="2"/>
  <c r="F2890" i="2"/>
  <c r="H2890" i="2"/>
  <c r="F2900" i="2"/>
  <c r="H2900" i="2"/>
  <c r="F2889" i="2"/>
  <c r="H2889" i="2"/>
  <c r="F2886" i="2"/>
  <c r="H2886" i="2"/>
  <c r="F2904" i="2"/>
  <c r="H2904" i="2"/>
  <c r="A2895" i="2"/>
  <c r="A2887" i="2"/>
  <c r="A2886" i="2"/>
  <c r="A2898" i="2"/>
  <c r="A2903" i="2"/>
  <c r="A2894" i="2"/>
  <c r="A2883" i="2"/>
  <c r="A2906" i="2"/>
  <c r="A2890" i="2"/>
  <c r="A2882" i="2"/>
  <c r="A2879" i="2"/>
  <c r="A2907" i="2"/>
  <c r="A2891" i="2"/>
  <c r="A2908" i="2"/>
  <c r="A2904" i="2"/>
  <c r="A2900" i="2"/>
  <c r="A2896" i="2"/>
  <c r="A2892" i="2"/>
  <c r="A2888" i="2"/>
  <c r="A2884" i="2"/>
  <c r="A2880" i="2"/>
  <c r="A2893" i="2"/>
  <c r="A2889" i="2"/>
  <c r="A2885" i="2"/>
  <c r="A2881" i="2"/>
  <c r="A2905" i="2"/>
  <c r="A2901" i="2"/>
  <c r="A2897" i="2"/>
  <c r="F2879" i="2"/>
  <c r="G2850" i="2"/>
  <c r="G2851" i="2"/>
  <c r="G2852" i="2"/>
  <c r="G2853" i="2"/>
  <c r="G2854" i="2"/>
  <c r="G2855" i="2"/>
  <c r="G2856" i="2"/>
  <c r="G2857" i="2"/>
  <c r="G2858" i="2"/>
  <c r="G2859" i="2"/>
  <c r="G2860" i="2"/>
  <c r="G2861" i="2"/>
  <c r="G2862" i="2"/>
  <c r="G2863" i="2"/>
  <c r="G2864" i="2"/>
  <c r="G2865" i="2"/>
  <c r="G2866" i="2"/>
  <c r="G2867" i="2"/>
  <c r="G2868" i="2"/>
  <c r="G2869" i="2"/>
  <c r="G2870" i="2"/>
  <c r="G2871" i="2"/>
  <c r="G2872" i="2"/>
  <c r="G2873" i="2"/>
  <c r="G2874" i="2"/>
  <c r="G2875" i="2"/>
  <c r="G2876" i="2"/>
  <c r="G2877" i="2"/>
  <c r="G2878" i="2"/>
  <c r="G2849" i="2"/>
  <c r="H2849" i="2" s="1"/>
  <c r="F2869" i="2" l="1"/>
  <c r="H2869" i="2"/>
  <c r="F2855" i="2"/>
  <c r="H2855" i="2"/>
  <c r="F2871" i="2"/>
  <c r="H2871" i="2"/>
  <c r="F2870" i="2"/>
  <c r="H2870" i="2"/>
  <c r="F2858" i="2"/>
  <c r="H2858" i="2"/>
  <c r="F2868" i="2"/>
  <c r="H2868" i="2"/>
  <c r="F2856" i="2"/>
  <c r="H2856" i="2"/>
  <c r="F2878" i="2"/>
  <c r="H2878" i="2"/>
  <c r="F2866" i="2"/>
  <c r="H2866" i="2"/>
  <c r="F2854" i="2"/>
  <c r="H2854" i="2"/>
  <c r="F2857" i="2"/>
  <c r="H2857" i="2"/>
  <c r="F2853" i="2"/>
  <c r="H2853" i="2"/>
  <c r="F2876" i="2"/>
  <c r="H2876" i="2"/>
  <c r="F2864" i="2"/>
  <c r="H2864" i="2"/>
  <c r="F2852" i="2"/>
  <c r="H2852" i="2"/>
  <c r="F2867" i="2"/>
  <c r="H2867" i="2"/>
  <c r="F2851" i="2"/>
  <c r="H2851" i="2"/>
  <c r="F2863" i="2"/>
  <c r="H2863" i="2"/>
  <c r="F2874" i="2"/>
  <c r="H2874" i="2"/>
  <c r="F2862" i="2"/>
  <c r="H2862" i="2"/>
  <c r="F2850" i="2"/>
  <c r="H2850" i="2"/>
  <c r="F2877" i="2"/>
  <c r="H2877" i="2"/>
  <c r="F2875" i="2"/>
  <c r="H2875" i="2"/>
  <c r="F2873" i="2"/>
  <c r="H2873" i="2"/>
  <c r="F2861" i="2"/>
  <c r="H2861" i="2"/>
  <c r="F2865" i="2"/>
  <c r="H2865" i="2"/>
  <c r="F2872" i="2"/>
  <c r="H2872" i="2"/>
  <c r="F2860" i="2"/>
  <c r="H2860" i="2"/>
  <c r="F2859" i="2"/>
  <c r="H2859" i="2"/>
  <c r="A2874" i="2"/>
  <c r="A2870" i="2"/>
  <c r="A2858" i="2"/>
  <c r="A2854" i="2"/>
  <c r="A2866" i="2"/>
  <c r="A2850" i="2"/>
  <c r="A2878" i="2"/>
  <c r="A2862" i="2"/>
  <c r="A2849" i="2"/>
  <c r="A2876" i="2"/>
  <c r="A2872" i="2"/>
  <c r="A2868" i="2"/>
  <c r="A2864" i="2"/>
  <c r="A2860" i="2"/>
  <c r="A2856" i="2"/>
  <c r="A2852" i="2"/>
  <c r="A2877" i="2"/>
  <c r="A2873" i="2"/>
  <c r="A2869" i="2"/>
  <c r="A2865" i="2"/>
  <c r="A2861" i="2"/>
  <c r="A2857" i="2"/>
  <c r="A2853" i="2"/>
  <c r="A2875" i="2"/>
  <c r="A2871" i="2"/>
  <c r="A2867" i="2"/>
  <c r="A2863" i="2"/>
  <c r="A2859" i="2"/>
  <c r="A2855" i="2"/>
  <c r="A2851" i="2"/>
  <c r="F2849" i="2"/>
  <c r="G2820" i="2"/>
  <c r="A2820" i="2" s="1"/>
  <c r="G2821" i="2"/>
  <c r="G2822" i="2"/>
  <c r="G2823" i="2"/>
  <c r="G2824" i="2"/>
  <c r="G2825" i="2"/>
  <c r="G2826" i="2"/>
  <c r="G2827" i="2"/>
  <c r="G2828" i="2"/>
  <c r="G2829" i="2"/>
  <c r="G2830" i="2"/>
  <c r="G2831" i="2"/>
  <c r="G2832" i="2"/>
  <c r="G2833" i="2"/>
  <c r="G2834" i="2"/>
  <c r="G2835" i="2"/>
  <c r="G2836" i="2"/>
  <c r="G2837" i="2"/>
  <c r="G2838" i="2"/>
  <c r="G2839" i="2"/>
  <c r="G2840" i="2"/>
  <c r="G2841" i="2"/>
  <c r="G2842" i="2"/>
  <c r="G2843" i="2"/>
  <c r="G2844" i="2"/>
  <c r="G2845" i="2"/>
  <c r="G2846" i="2"/>
  <c r="G2847" i="2"/>
  <c r="G2848" i="2"/>
  <c r="G2819" i="2"/>
  <c r="H2819" i="2" s="1"/>
  <c r="F2826" i="2" l="1"/>
  <c r="H2826" i="2"/>
  <c r="F2837" i="2"/>
  <c r="H2837" i="2"/>
  <c r="F2825" i="2"/>
  <c r="H2825" i="2"/>
  <c r="F2847" i="2"/>
  <c r="H2847" i="2"/>
  <c r="F2835" i="2"/>
  <c r="H2835" i="2"/>
  <c r="F2823" i="2"/>
  <c r="H2823" i="2"/>
  <c r="F2836" i="2"/>
  <c r="H2836" i="2"/>
  <c r="F2845" i="2"/>
  <c r="H2845" i="2"/>
  <c r="F2833" i="2"/>
  <c r="H2833" i="2"/>
  <c r="F2821" i="2"/>
  <c r="H2821" i="2"/>
  <c r="F2848" i="2"/>
  <c r="H2848" i="2"/>
  <c r="F2834" i="2"/>
  <c r="H2834" i="2"/>
  <c r="F2843" i="2"/>
  <c r="H2843" i="2"/>
  <c r="F2831" i="2"/>
  <c r="H2831" i="2"/>
  <c r="F2820" i="2"/>
  <c r="H2820" i="2"/>
  <c r="F2832" i="2"/>
  <c r="H2832" i="2"/>
  <c r="F2841" i="2"/>
  <c r="H2841" i="2"/>
  <c r="F2829" i="2"/>
  <c r="H2829" i="2"/>
  <c r="F2846" i="2"/>
  <c r="H2846" i="2"/>
  <c r="F2842" i="2"/>
  <c r="H2842" i="2"/>
  <c r="F2840" i="2"/>
  <c r="H2840" i="2"/>
  <c r="F2824" i="2"/>
  <c r="H2824" i="2"/>
  <c r="F2822" i="2"/>
  <c r="H2822" i="2"/>
  <c r="F2844" i="2"/>
  <c r="H2844" i="2"/>
  <c r="F2830" i="2"/>
  <c r="H2830" i="2"/>
  <c r="F2828" i="2"/>
  <c r="H2828" i="2"/>
  <c r="F2839" i="2"/>
  <c r="H2839" i="2"/>
  <c r="F2827" i="2"/>
  <c r="H2827" i="2"/>
  <c r="F2838" i="2"/>
  <c r="H2838" i="2"/>
  <c r="A2819" i="2"/>
  <c r="A2847" i="2"/>
  <c r="A2846" i="2"/>
  <c r="A2843" i="2"/>
  <c r="A2839" i="2"/>
  <c r="A2835" i="2"/>
  <c r="A2833" i="2"/>
  <c r="A2831" i="2"/>
  <c r="A2829" i="2"/>
  <c r="A2827" i="2"/>
  <c r="A2825" i="2"/>
  <c r="A2823" i="2"/>
  <c r="A2821" i="2"/>
  <c r="A2848" i="2"/>
  <c r="A2844" i="2"/>
  <c r="A2842" i="2"/>
  <c r="A2840" i="2"/>
  <c r="A2838" i="2"/>
  <c r="A2836" i="2"/>
  <c r="A2834" i="2"/>
  <c r="A2832" i="2"/>
  <c r="A2830" i="2"/>
  <c r="A2828" i="2"/>
  <c r="A2826" i="2"/>
  <c r="A2824" i="2"/>
  <c r="A2822" i="2"/>
  <c r="A2845" i="2"/>
  <c r="A2841" i="2"/>
  <c r="A2837" i="2"/>
  <c r="F2819" i="2"/>
  <c r="G2790" i="2"/>
  <c r="G2791" i="2"/>
  <c r="A2791" i="2" s="1"/>
  <c r="G2792" i="2"/>
  <c r="G2793" i="2"/>
  <c r="G2794" i="2"/>
  <c r="G2795" i="2"/>
  <c r="G2796" i="2"/>
  <c r="G2797" i="2"/>
  <c r="G2798" i="2"/>
  <c r="G2799" i="2"/>
  <c r="G2800" i="2"/>
  <c r="G2801" i="2"/>
  <c r="G2802" i="2"/>
  <c r="G2803" i="2"/>
  <c r="G2804" i="2"/>
  <c r="A2804" i="2" s="1"/>
  <c r="G2805" i="2"/>
  <c r="G2806" i="2"/>
  <c r="G2807" i="2"/>
  <c r="G2808" i="2"/>
  <c r="G2809" i="2"/>
  <c r="G2810" i="2"/>
  <c r="G2811" i="2"/>
  <c r="G2812" i="2"/>
  <c r="G2813" i="2"/>
  <c r="G2814" i="2"/>
  <c r="G2815" i="2"/>
  <c r="G2816" i="2"/>
  <c r="A2816" i="2" s="1"/>
  <c r="G2817" i="2"/>
  <c r="G2818" i="2"/>
  <c r="G2789" i="2"/>
  <c r="H2789" i="2" s="1"/>
  <c r="F2808" i="2" l="1"/>
  <c r="H2808" i="2"/>
  <c r="F2818" i="2"/>
  <c r="H2818" i="2"/>
  <c r="F2807" i="2"/>
  <c r="H2807" i="2"/>
  <c r="F2796" i="2"/>
  <c r="H2796" i="2"/>
  <c r="F2805" i="2"/>
  <c r="H2805" i="2"/>
  <c r="F2794" i="2"/>
  <c r="H2794" i="2"/>
  <c r="F2806" i="2"/>
  <c r="H2806" i="2"/>
  <c r="F2815" i="2"/>
  <c r="H2815" i="2"/>
  <c r="F2804" i="2"/>
  <c r="H2804" i="2"/>
  <c r="F2792" i="2"/>
  <c r="H2792" i="2"/>
  <c r="F2803" i="2"/>
  <c r="H2803" i="2"/>
  <c r="F2813" i="2"/>
  <c r="H2813" i="2"/>
  <c r="F2802" i="2"/>
  <c r="H2802" i="2"/>
  <c r="F2791" i="2"/>
  <c r="H2791" i="2"/>
  <c r="F2812" i="2"/>
  <c r="H2812" i="2"/>
  <c r="F2817" i="2"/>
  <c r="H2817" i="2"/>
  <c r="F2801" i="2"/>
  <c r="H2801" i="2"/>
  <c r="F2811" i="2"/>
  <c r="H2811" i="2"/>
  <c r="F2800" i="2"/>
  <c r="H2800" i="2"/>
  <c r="F2814" i="2"/>
  <c r="H2814" i="2"/>
  <c r="F2790" i="2"/>
  <c r="H2790" i="2"/>
  <c r="F2799" i="2"/>
  <c r="H2799" i="2"/>
  <c r="F2795" i="2"/>
  <c r="H2795" i="2"/>
  <c r="F2816" i="2"/>
  <c r="H2816" i="2"/>
  <c r="F2810" i="2"/>
  <c r="H2810" i="2"/>
  <c r="A2789" i="2"/>
  <c r="F2809" i="2"/>
  <c r="H2809" i="2"/>
  <c r="F2798" i="2"/>
  <c r="H2798" i="2"/>
  <c r="F2793" i="2"/>
  <c r="H2793" i="2"/>
  <c r="F2797" i="2"/>
  <c r="H2797" i="2"/>
  <c r="A2808" i="2"/>
  <c r="A2800" i="2"/>
  <c r="A2796" i="2"/>
  <c r="A2792" i="2"/>
  <c r="A2799" i="2"/>
  <c r="A2795" i="2"/>
  <c r="A2812" i="2"/>
  <c r="A2817" i="2"/>
  <c r="A2813" i="2"/>
  <c r="A2809" i="2"/>
  <c r="A2805" i="2"/>
  <c r="A2801" i="2"/>
  <c r="A2797" i="2"/>
  <c r="A2793" i="2"/>
  <c r="A2818" i="2"/>
  <c r="A2814" i="2"/>
  <c r="A2810" i="2"/>
  <c r="A2806" i="2"/>
  <c r="A2802" i="2"/>
  <c r="A2798" i="2"/>
  <c r="A2794" i="2"/>
  <c r="A2790" i="2"/>
  <c r="A2815" i="2"/>
  <c r="A2811" i="2"/>
  <c r="A2807" i="2"/>
  <c r="A2803" i="2"/>
  <c r="F2789" i="2"/>
  <c r="G2760" i="2"/>
  <c r="G2761" i="2"/>
  <c r="G2762" i="2"/>
  <c r="G2763" i="2"/>
  <c r="G2764" i="2"/>
  <c r="G2765" i="2"/>
  <c r="G2766" i="2"/>
  <c r="G2767" i="2"/>
  <c r="G2768" i="2"/>
  <c r="A2768" i="2" s="1"/>
  <c r="G2769" i="2"/>
  <c r="G2770" i="2"/>
  <c r="G2771" i="2"/>
  <c r="G2772" i="2"/>
  <c r="G2773" i="2"/>
  <c r="G2774" i="2"/>
  <c r="G2775" i="2"/>
  <c r="G2776" i="2"/>
  <c r="G2777" i="2"/>
  <c r="G2778" i="2"/>
  <c r="G2779" i="2"/>
  <c r="G2780" i="2"/>
  <c r="G2781" i="2"/>
  <c r="A2781" i="2" s="1"/>
  <c r="G2782" i="2"/>
  <c r="G2783" i="2"/>
  <c r="G2784" i="2"/>
  <c r="G2785" i="2"/>
  <c r="A2785" i="2" s="1"/>
  <c r="G2786" i="2"/>
  <c r="G2787" i="2"/>
  <c r="G2788" i="2"/>
  <c r="G2759" i="2"/>
  <c r="H2759" i="2" s="1"/>
  <c r="F2781" i="2" l="1"/>
  <c r="H2781" i="2"/>
  <c r="F2780" i="2"/>
  <c r="H2780" i="2"/>
  <c r="F2788" i="2"/>
  <c r="H2788" i="2"/>
  <c r="F2778" i="2"/>
  <c r="H2778" i="2"/>
  <c r="F2767" i="2"/>
  <c r="H2767" i="2"/>
  <c r="F2777" i="2"/>
  <c r="H2777" i="2"/>
  <c r="F2764" i="2"/>
  <c r="H2764" i="2"/>
  <c r="F2768" i="2"/>
  <c r="H2768" i="2"/>
  <c r="F2787" i="2"/>
  <c r="H2787" i="2"/>
  <c r="F2765" i="2"/>
  <c r="H2765" i="2"/>
  <c r="F2775" i="2"/>
  <c r="H2775" i="2"/>
  <c r="F2785" i="2"/>
  <c r="H2785" i="2"/>
  <c r="F2774" i="2"/>
  <c r="H2774" i="2"/>
  <c r="F2763" i="2"/>
  <c r="H2763" i="2"/>
  <c r="F2779" i="2"/>
  <c r="H2779" i="2"/>
  <c r="F2766" i="2"/>
  <c r="H2766" i="2"/>
  <c r="F2762" i="2"/>
  <c r="H2762" i="2"/>
  <c r="F2776" i="2"/>
  <c r="H2776" i="2"/>
  <c r="F2784" i="2"/>
  <c r="H2784" i="2"/>
  <c r="F2773" i="2"/>
  <c r="H2773" i="2"/>
  <c r="F2783" i="2"/>
  <c r="H2783" i="2"/>
  <c r="F2772" i="2"/>
  <c r="H2772" i="2"/>
  <c r="F2761" i="2"/>
  <c r="H2761" i="2"/>
  <c r="F2786" i="2"/>
  <c r="H2786" i="2"/>
  <c r="F2782" i="2"/>
  <c r="H2782" i="2"/>
  <c r="F2771" i="2"/>
  <c r="H2771" i="2"/>
  <c r="F2760" i="2"/>
  <c r="H2760" i="2"/>
  <c r="F2770" i="2"/>
  <c r="H2770" i="2"/>
  <c r="F2769" i="2"/>
  <c r="H2769" i="2"/>
  <c r="A2769" i="2"/>
  <c r="A2780" i="2"/>
  <c r="A2765" i="2"/>
  <c r="A2772" i="2"/>
  <c r="A2784" i="2"/>
  <c r="A2773" i="2"/>
  <c r="A2764" i="2"/>
  <c r="A2776" i="2"/>
  <c r="A2760" i="2"/>
  <c r="A2788" i="2"/>
  <c r="A2777" i="2"/>
  <c r="A2761" i="2"/>
  <c r="A2759" i="2"/>
  <c r="A2786" i="2"/>
  <c r="A2782" i="2"/>
  <c r="A2778" i="2"/>
  <c r="A2774" i="2"/>
  <c r="A2770" i="2"/>
  <c r="A2766" i="2"/>
  <c r="A2762" i="2"/>
  <c r="A2787" i="2"/>
  <c r="A2783" i="2"/>
  <c r="A2779" i="2"/>
  <c r="A2775" i="2"/>
  <c r="A2771" i="2"/>
  <c r="A2767" i="2"/>
  <c r="A2763" i="2"/>
  <c r="F2759" i="2"/>
  <c r="G2730" i="2"/>
  <c r="G2731" i="2"/>
  <c r="G2732" i="2"/>
  <c r="G2733" i="2"/>
  <c r="G2734" i="2"/>
  <c r="G2735" i="2"/>
  <c r="G2736" i="2"/>
  <c r="G2737" i="2"/>
  <c r="G2738" i="2"/>
  <c r="G2739" i="2"/>
  <c r="A2739" i="2" s="1"/>
  <c r="G2740" i="2"/>
  <c r="G2741" i="2"/>
  <c r="G2742" i="2"/>
  <c r="G2743" i="2"/>
  <c r="G2744" i="2"/>
  <c r="G2745" i="2"/>
  <c r="G2746" i="2"/>
  <c r="G2747" i="2"/>
  <c r="G2748" i="2"/>
  <c r="G2749" i="2"/>
  <c r="G2750" i="2"/>
  <c r="G2751" i="2"/>
  <c r="A2751" i="2" s="1"/>
  <c r="G2752" i="2"/>
  <c r="G2753" i="2"/>
  <c r="G2754" i="2"/>
  <c r="G2755" i="2"/>
  <c r="G2756" i="2"/>
  <c r="G2757" i="2"/>
  <c r="G2758" i="2"/>
  <c r="G2729" i="2"/>
  <c r="F2736" i="2" l="1"/>
  <c r="H2736" i="2"/>
  <c r="F2750" i="2"/>
  <c r="H2750" i="2"/>
  <c r="F2739" i="2"/>
  <c r="H2739" i="2"/>
  <c r="F2729" i="2"/>
  <c r="H2729" i="2"/>
  <c r="F2748" i="2"/>
  <c r="H2748" i="2"/>
  <c r="F2737" i="2"/>
  <c r="H2737" i="2"/>
  <c r="F2757" i="2"/>
  <c r="H2757" i="2"/>
  <c r="F2746" i="2"/>
  <c r="H2746" i="2"/>
  <c r="F2735" i="2"/>
  <c r="H2735" i="2"/>
  <c r="F2734" i="2"/>
  <c r="H2734" i="2"/>
  <c r="F2755" i="2"/>
  <c r="H2755" i="2"/>
  <c r="F2744" i="2"/>
  <c r="H2744" i="2"/>
  <c r="F2733" i="2"/>
  <c r="H2733" i="2"/>
  <c r="F2747" i="2"/>
  <c r="H2747" i="2"/>
  <c r="F2743" i="2"/>
  <c r="H2743" i="2"/>
  <c r="F2756" i="2"/>
  <c r="H2756" i="2"/>
  <c r="F2732" i="2"/>
  <c r="H2732" i="2"/>
  <c r="F2753" i="2"/>
  <c r="H2753" i="2"/>
  <c r="F2742" i="2"/>
  <c r="H2742" i="2"/>
  <c r="F2731" i="2"/>
  <c r="H2731" i="2"/>
  <c r="F2745" i="2"/>
  <c r="H2745" i="2"/>
  <c r="F2752" i="2"/>
  <c r="H2752" i="2"/>
  <c r="F2730" i="2"/>
  <c r="H2730" i="2"/>
  <c r="F2738" i="2"/>
  <c r="H2738" i="2"/>
  <c r="F2758" i="2"/>
  <c r="H2758" i="2"/>
  <c r="F2754" i="2"/>
  <c r="H2754" i="2"/>
  <c r="F2741" i="2"/>
  <c r="H2741" i="2"/>
  <c r="F2740" i="2"/>
  <c r="H2740" i="2"/>
  <c r="F2749" i="2"/>
  <c r="H2749" i="2"/>
  <c r="F2751" i="2"/>
  <c r="H2751" i="2"/>
  <c r="A2729" i="2"/>
  <c r="A2743" i="2"/>
  <c r="A2731" i="2"/>
  <c r="A2747" i="2"/>
  <c r="A2755" i="2"/>
  <c r="A2735" i="2"/>
  <c r="A2756" i="2"/>
  <c r="A2748" i="2"/>
  <c r="A2740" i="2"/>
  <c r="A2736" i="2"/>
  <c r="A2732" i="2"/>
  <c r="A2752" i="2"/>
  <c r="A2744" i="2"/>
  <c r="A2757" i="2"/>
  <c r="A2753" i="2"/>
  <c r="A2749" i="2"/>
  <c r="A2745" i="2"/>
  <c r="A2741" i="2"/>
  <c r="A2737" i="2"/>
  <c r="A2733" i="2"/>
  <c r="A2758" i="2"/>
  <c r="A2754" i="2"/>
  <c r="A2750" i="2"/>
  <c r="A2746" i="2"/>
  <c r="A2742" i="2"/>
  <c r="A2738" i="2"/>
  <c r="A2734" i="2"/>
  <c r="A2730" i="2"/>
  <c r="G2700" i="2"/>
  <c r="G2701" i="2"/>
  <c r="G2702" i="2"/>
  <c r="G2703" i="2"/>
  <c r="G2704" i="2"/>
  <c r="G2705" i="2"/>
  <c r="G2706" i="2"/>
  <c r="G2707" i="2"/>
  <c r="G2708" i="2"/>
  <c r="G2709" i="2"/>
  <c r="G2710" i="2"/>
  <c r="G2711" i="2"/>
  <c r="A2711" i="2" s="1"/>
  <c r="G2712" i="2"/>
  <c r="A2712" i="2" s="1"/>
  <c r="G2713" i="2"/>
  <c r="G2714" i="2"/>
  <c r="G2715" i="2"/>
  <c r="G2716" i="2"/>
  <c r="A2716" i="2" s="1"/>
  <c r="G2717" i="2"/>
  <c r="G2718" i="2"/>
  <c r="G2719" i="2"/>
  <c r="A2719" i="2" s="1"/>
  <c r="G2720" i="2"/>
  <c r="G2721" i="2"/>
  <c r="G2722" i="2"/>
  <c r="G2723" i="2"/>
  <c r="G2724" i="2"/>
  <c r="A2724" i="2" s="1"/>
  <c r="G2725" i="2"/>
  <c r="G2726" i="2"/>
  <c r="G2727" i="2"/>
  <c r="G2728" i="2"/>
  <c r="G2699" i="2"/>
  <c r="H2699" i="2" s="1"/>
  <c r="F2725" i="2" l="1"/>
  <c r="H2725" i="2"/>
  <c r="F2714" i="2"/>
  <c r="H2714" i="2"/>
  <c r="F2727" i="2"/>
  <c r="H2727" i="2"/>
  <c r="F2717" i="2"/>
  <c r="H2717" i="2"/>
  <c r="F2726" i="2"/>
  <c r="H2726" i="2"/>
  <c r="F2707" i="2"/>
  <c r="H2707" i="2"/>
  <c r="F2715" i="2"/>
  <c r="H2715" i="2"/>
  <c r="F2705" i="2"/>
  <c r="H2705" i="2"/>
  <c r="F2704" i="2"/>
  <c r="H2704" i="2"/>
  <c r="F2723" i="2"/>
  <c r="H2723" i="2"/>
  <c r="F2713" i="2"/>
  <c r="H2713" i="2"/>
  <c r="F2703" i="2"/>
  <c r="H2703" i="2"/>
  <c r="F2716" i="2"/>
  <c r="H2716" i="2"/>
  <c r="F2722" i="2"/>
  <c r="H2722" i="2"/>
  <c r="F2702" i="2"/>
  <c r="H2702" i="2"/>
  <c r="F2721" i="2"/>
  <c r="H2721" i="2"/>
  <c r="F2712" i="2"/>
  <c r="H2712" i="2"/>
  <c r="F2701" i="2"/>
  <c r="H2701" i="2"/>
  <c r="F2700" i="2"/>
  <c r="H2700" i="2"/>
  <c r="F2711" i="2"/>
  <c r="H2711" i="2"/>
  <c r="F2720" i="2"/>
  <c r="H2720" i="2"/>
  <c r="F2719" i="2"/>
  <c r="H2719" i="2"/>
  <c r="F2710" i="2"/>
  <c r="H2710" i="2"/>
  <c r="F2728" i="2"/>
  <c r="H2728" i="2"/>
  <c r="F2718" i="2"/>
  <c r="H2718" i="2"/>
  <c r="F2709" i="2"/>
  <c r="H2709" i="2"/>
  <c r="F2706" i="2"/>
  <c r="H2706" i="2"/>
  <c r="F2724" i="2"/>
  <c r="H2724" i="2"/>
  <c r="F2708" i="2"/>
  <c r="H2708" i="2"/>
  <c r="A2707" i="2"/>
  <c r="A2728" i="2"/>
  <c r="A2727" i="2"/>
  <c r="A2704" i="2"/>
  <c r="A2702" i="2"/>
  <c r="A2723" i="2"/>
  <c r="A2708" i="2"/>
  <c r="A2715" i="2"/>
  <c r="A2703" i="2"/>
  <c r="F2699" i="2"/>
  <c r="A2699" i="2"/>
  <c r="A2720" i="2"/>
  <c r="A2722" i="2"/>
  <c r="A2718" i="2"/>
  <c r="A2714" i="2"/>
  <c r="A2710" i="2"/>
  <c r="A2706" i="2"/>
  <c r="A2700" i="2"/>
  <c r="A2725" i="2"/>
  <c r="A2721" i="2"/>
  <c r="A2717" i="2"/>
  <c r="A2713" i="2"/>
  <c r="A2709" i="2"/>
  <c r="A2705" i="2"/>
  <c r="A2701" i="2"/>
  <c r="A2726" i="2"/>
  <c r="G2670" i="2"/>
  <c r="G2671" i="2"/>
  <c r="G2672" i="2"/>
  <c r="G2673" i="2"/>
  <c r="G2674" i="2"/>
  <c r="G2675" i="2"/>
  <c r="G2676" i="2"/>
  <c r="G2677" i="2"/>
  <c r="G2678" i="2"/>
  <c r="G2679" i="2"/>
  <c r="G2680" i="2"/>
  <c r="G2681" i="2"/>
  <c r="G2682" i="2"/>
  <c r="G2683" i="2"/>
  <c r="G2684" i="2"/>
  <c r="G2685" i="2"/>
  <c r="G2686" i="2"/>
  <c r="G2687" i="2"/>
  <c r="G2688" i="2"/>
  <c r="G2689" i="2"/>
  <c r="G2690" i="2"/>
  <c r="G2691" i="2"/>
  <c r="G2692" i="2"/>
  <c r="G2693" i="2"/>
  <c r="A2693" i="2" s="1"/>
  <c r="G2694" i="2"/>
  <c r="G2695" i="2"/>
  <c r="G2696" i="2"/>
  <c r="G2697" i="2"/>
  <c r="G2698" i="2"/>
  <c r="G2669" i="2"/>
  <c r="F2670" i="2" l="1"/>
  <c r="H2670" i="2"/>
  <c r="F2693" i="2"/>
  <c r="H2693" i="2"/>
  <c r="F2681" i="2"/>
  <c r="H2681" i="2"/>
  <c r="F2691" i="2"/>
  <c r="H2691" i="2"/>
  <c r="F2679" i="2"/>
  <c r="H2679" i="2"/>
  <c r="F2689" i="2"/>
  <c r="H2689" i="2"/>
  <c r="F2677" i="2"/>
  <c r="H2677" i="2"/>
  <c r="F2688" i="2"/>
  <c r="H2688" i="2"/>
  <c r="F2698" i="2"/>
  <c r="H2698" i="2"/>
  <c r="F2687" i="2"/>
  <c r="H2687" i="2"/>
  <c r="F2675" i="2"/>
  <c r="H2675" i="2"/>
  <c r="F2690" i="2"/>
  <c r="H2690" i="2"/>
  <c r="F2669" i="2"/>
  <c r="H2669" i="2"/>
  <c r="F2696" i="2"/>
  <c r="H2696" i="2"/>
  <c r="F2685" i="2"/>
  <c r="H2685" i="2"/>
  <c r="F2673" i="2"/>
  <c r="H2673" i="2"/>
  <c r="F2692" i="2"/>
  <c r="H2692" i="2"/>
  <c r="F2678" i="2"/>
  <c r="H2678" i="2"/>
  <c r="F2676" i="2"/>
  <c r="H2676" i="2"/>
  <c r="F2686" i="2"/>
  <c r="H2686" i="2"/>
  <c r="F2672" i="2"/>
  <c r="H2672" i="2"/>
  <c r="F2680" i="2"/>
  <c r="H2680" i="2"/>
  <c r="F2697" i="2"/>
  <c r="H2697" i="2"/>
  <c r="F2674" i="2"/>
  <c r="H2674" i="2"/>
  <c r="F2695" i="2"/>
  <c r="H2695" i="2"/>
  <c r="F2684" i="2"/>
  <c r="H2684" i="2"/>
  <c r="F2694" i="2"/>
  <c r="H2694" i="2"/>
  <c r="F2683" i="2"/>
  <c r="H2683" i="2"/>
  <c r="F2671" i="2"/>
  <c r="H2671" i="2"/>
  <c r="F2682" i="2"/>
  <c r="H2682" i="2"/>
  <c r="A2692" i="2"/>
  <c r="A2681" i="2"/>
  <c r="A2673" i="2"/>
  <c r="A2688" i="2"/>
  <c r="A2677" i="2"/>
  <c r="A2689" i="2"/>
  <c r="A2696" i="2"/>
  <c r="A2685" i="2"/>
  <c r="A2697" i="2"/>
  <c r="A2684" i="2"/>
  <c r="A2695" i="2"/>
  <c r="A2691" i="2"/>
  <c r="A2687" i="2"/>
  <c r="A2683" i="2"/>
  <c r="A2679" i="2"/>
  <c r="A2675" i="2"/>
  <c r="A2671" i="2"/>
  <c r="A2669" i="2"/>
  <c r="A2680" i="2"/>
  <c r="A2676" i="2"/>
  <c r="A2672" i="2"/>
  <c r="A2698" i="2"/>
  <c r="A2694" i="2"/>
  <c r="A2690" i="2"/>
  <c r="A2686" i="2"/>
  <c r="A2682" i="2"/>
  <c r="A2678" i="2"/>
  <c r="A2674" i="2"/>
  <c r="A2670" i="2"/>
  <c r="G2640" i="2"/>
  <c r="G2641" i="2"/>
  <c r="G2642" i="2"/>
  <c r="G2643" i="2"/>
  <c r="G2644" i="2"/>
  <c r="G2645" i="2"/>
  <c r="G2646" i="2"/>
  <c r="G2647" i="2"/>
  <c r="G2648" i="2"/>
  <c r="G2649" i="2"/>
  <c r="G2650" i="2"/>
  <c r="G2651" i="2"/>
  <c r="G2652" i="2"/>
  <c r="G2653" i="2"/>
  <c r="G2654" i="2"/>
  <c r="G2655" i="2"/>
  <c r="G2656" i="2"/>
  <c r="G2657" i="2"/>
  <c r="G2658" i="2"/>
  <c r="G2659" i="2"/>
  <c r="G2660" i="2"/>
  <c r="G2661" i="2"/>
  <c r="G2662" i="2"/>
  <c r="G2663" i="2"/>
  <c r="G2664" i="2"/>
  <c r="G2665" i="2"/>
  <c r="A2665" i="2" s="1"/>
  <c r="G2666" i="2"/>
  <c r="G2667" i="2"/>
  <c r="G2668" i="2"/>
  <c r="G2639" i="2"/>
  <c r="H2639" i="2" s="1"/>
  <c r="F2659" i="2" l="1"/>
  <c r="H2659" i="2"/>
  <c r="F2647" i="2"/>
  <c r="H2647" i="2"/>
  <c r="F2658" i="2"/>
  <c r="H2658" i="2"/>
  <c r="F2646" i="2"/>
  <c r="H2646" i="2"/>
  <c r="F2667" i="2"/>
  <c r="H2667" i="2"/>
  <c r="F2656" i="2"/>
  <c r="H2656" i="2"/>
  <c r="F2644" i="2"/>
  <c r="H2644" i="2"/>
  <c r="F2643" i="2"/>
  <c r="H2643" i="2"/>
  <c r="F2654" i="2"/>
  <c r="H2654" i="2"/>
  <c r="F2642" i="2"/>
  <c r="H2642" i="2"/>
  <c r="F2655" i="2"/>
  <c r="H2655" i="2"/>
  <c r="F2657" i="2"/>
  <c r="H2657" i="2"/>
  <c r="F2664" i="2"/>
  <c r="H2664" i="2"/>
  <c r="F2652" i="2"/>
  <c r="H2652" i="2"/>
  <c r="F2640" i="2"/>
  <c r="H2640" i="2"/>
  <c r="F2651" i="2"/>
  <c r="H2651" i="2"/>
  <c r="F2645" i="2"/>
  <c r="H2645" i="2"/>
  <c r="F2653" i="2"/>
  <c r="H2653" i="2"/>
  <c r="F2662" i="2"/>
  <c r="H2662" i="2"/>
  <c r="F2650" i="2"/>
  <c r="H2650" i="2"/>
  <c r="F2666" i="2"/>
  <c r="H2666" i="2"/>
  <c r="F2665" i="2"/>
  <c r="H2665" i="2"/>
  <c r="F2641" i="2"/>
  <c r="H2641" i="2"/>
  <c r="F2649" i="2"/>
  <c r="H2649" i="2"/>
  <c r="F2668" i="2"/>
  <c r="H2668" i="2"/>
  <c r="F2663" i="2"/>
  <c r="H2663" i="2"/>
  <c r="F2661" i="2"/>
  <c r="H2661" i="2"/>
  <c r="F2660" i="2"/>
  <c r="H2660" i="2"/>
  <c r="F2648" i="2"/>
  <c r="H2648" i="2"/>
  <c r="A2658" i="2"/>
  <c r="A2662" i="2"/>
  <c r="A2663" i="2"/>
  <c r="A2657" i="2"/>
  <c r="A2667" i="2"/>
  <c r="A2655" i="2"/>
  <c r="A2660" i="2"/>
  <c r="A2656" i="2"/>
  <c r="A2668" i="2"/>
  <c r="A2661" i="2"/>
  <c r="A2666" i="2"/>
  <c r="A2659" i="2"/>
  <c r="A2664" i="2"/>
  <c r="A2654" i="2"/>
  <c r="A2653" i="2"/>
  <c r="A2652" i="2"/>
  <c r="A2651" i="2"/>
  <c r="A2650" i="2"/>
  <c r="A2649" i="2"/>
  <c r="A2648" i="2"/>
  <c r="A2647" i="2"/>
  <c r="A2646" i="2"/>
  <c r="A2645" i="2"/>
  <c r="A2644" i="2"/>
  <c r="A2643" i="2"/>
  <c r="A2642" i="2"/>
  <c r="A2641" i="2"/>
  <c r="A2640" i="2"/>
  <c r="A2639" i="2"/>
  <c r="F2639" i="2"/>
  <c r="G2610" i="2"/>
  <c r="G2611" i="2"/>
  <c r="G2612" i="2"/>
  <c r="G2613" i="2"/>
  <c r="A2613" i="2" s="1"/>
  <c r="G2614" i="2"/>
  <c r="G2615" i="2"/>
  <c r="G2616" i="2"/>
  <c r="G2617" i="2"/>
  <c r="G2618" i="2"/>
  <c r="G2619" i="2"/>
  <c r="G2620" i="2"/>
  <c r="G2621" i="2"/>
  <c r="G2622" i="2"/>
  <c r="G2623" i="2"/>
  <c r="G2624" i="2"/>
  <c r="G2625" i="2"/>
  <c r="G2626" i="2"/>
  <c r="G2627" i="2"/>
  <c r="G2628" i="2"/>
  <c r="G2629" i="2"/>
  <c r="G2630" i="2"/>
  <c r="G2631" i="2"/>
  <c r="G2632" i="2"/>
  <c r="G2633" i="2"/>
  <c r="G2634" i="2"/>
  <c r="G2635" i="2"/>
  <c r="G2636" i="2"/>
  <c r="G2637" i="2"/>
  <c r="G2638" i="2"/>
  <c r="G2609" i="2"/>
  <c r="H2609" i="2" s="1"/>
  <c r="F2610" i="2" l="1"/>
  <c r="H2610" i="2"/>
  <c r="F2631" i="2"/>
  <c r="H2631" i="2"/>
  <c r="F2617" i="2"/>
  <c r="H2617" i="2"/>
  <c r="F2628" i="2"/>
  <c r="H2628" i="2"/>
  <c r="F2616" i="2"/>
  <c r="H2616" i="2"/>
  <c r="F2638" i="2"/>
  <c r="H2638" i="2"/>
  <c r="F2626" i="2"/>
  <c r="H2626" i="2"/>
  <c r="F2614" i="2"/>
  <c r="H2614" i="2"/>
  <c r="F2625" i="2"/>
  <c r="H2625" i="2"/>
  <c r="F2636" i="2"/>
  <c r="H2636" i="2"/>
  <c r="F2624" i="2"/>
  <c r="H2624" i="2"/>
  <c r="F2613" i="2"/>
  <c r="H2613" i="2"/>
  <c r="F2623" i="2"/>
  <c r="H2623" i="2"/>
  <c r="F2612" i="2"/>
  <c r="H2612" i="2"/>
  <c r="F2634" i="2"/>
  <c r="H2634" i="2"/>
  <c r="F2622" i="2"/>
  <c r="H2622" i="2"/>
  <c r="F2611" i="2"/>
  <c r="H2611" i="2"/>
  <c r="F2615" i="2"/>
  <c r="H2615" i="2"/>
  <c r="F2621" i="2"/>
  <c r="H2621" i="2"/>
  <c r="F2632" i="2"/>
  <c r="H2632" i="2"/>
  <c r="F2620" i="2"/>
  <c r="H2620" i="2"/>
  <c r="F2635" i="2"/>
  <c r="H2635" i="2"/>
  <c r="F2619" i="2"/>
  <c r="H2619" i="2"/>
  <c r="F2630" i="2"/>
  <c r="H2630" i="2"/>
  <c r="F2618" i="2"/>
  <c r="H2618" i="2"/>
  <c r="F2627" i="2"/>
  <c r="H2627" i="2"/>
  <c r="F2637" i="2"/>
  <c r="H2637" i="2"/>
  <c r="F2633" i="2"/>
  <c r="H2633" i="2"/>
  <c r="F2629" i="2"/>
  <c r="H2629" i="2"/>
  <c r="A2617" i="2"/>
  <c r="A2638" i="2"/>
  <c r="A2634" i="2"/>
  <c r="A2626" i="2"/>
  <c r="A2610" i="2"/>
  <c r="A2625" i="2"/>
  <c r="A2624" i="2"/>
  <c r="A2637" i="2"/>
  <c r="A2620" i="2"/>
  <c r="A2629" i="2"/>
  <c r="A2616" i="2"/>
  <c r="A2633" i="2"/>
  <c r="A2621" i="2"/>
  <c r="A2609" i="2"/>
  <c r="A2630" i="2"/>
  <c r="A2612" i="2"/>
  <c r="A2636" i="2"/>
  <c r="A2632" i="2"/>
  <c r="A2622" i="2"/>
  <c r="A2618" i="2"/>
  <c r="A2614" i="2"/>
  <c r="A2635" i="2"/>
  <c r="A2631" i="2"/>
  <c r="A2627" i="2"/>
  <c r="A2623" i="2"/>
  <c r="A2619" i="2"/>
  <c r="A2615" i="2"/>
  <c r="A2611" i="2"/>
  <c r="A2628" i="2"/>
  <c r="F2609" i="2"/>
  <c r="G2580" i="2" l="1"/>
  <c r="H2580" i="2" s="1"/>
  <c r="G2581" i="2"/>
  <c r="H2581" i="2" s="1"/>
  <c r="G2582" i="2"/>
  <c r="H2582" i="2" s="1"/>
  <c r="G2583" i="2"/>
  <c r="H2583" i="2" s="1"/>
  <c r="G2584" i="2"/>
  <c r="H2584" i="2" s="1"/>
  <c r="G2585" i="2"/>
  <c r="H2585" i="2" s="1"/>
  <c r="G2586" i="2"/>
  <c r="H2586" i="2" s="1"/>
  <c r="G2587" i="2"/>
  <c r="H2587" i="2" s="1"/>
  <c r="G2588" i="2"/>
  <c r="H2588" i="2" s="1"/>
  <c r="G2589" i="2"/>
  <c r="H2589" i="2" s="1"/>
  <c r="G2590" i="2"/>
  <c r="H2590" i="2" s="1"/>
  <c r="G2591" i="2"/>
  <c r="H2591" i="2" s="1"/>
  <c r="G2592" i="2"/>
  <c r="H2592" i="2" s="1"/>
  <c r="G2593" i="2"/>
  <c r="H2593" i="2" s="1"/>
  <c r="G2594" i="2"/>
  <c r="H2594" i="2" s="1"/>
  <c r="G2595" i="2"/>
  <c r="H2595" i="2" s="1"/>
  <c r="G2596" i="2"/>
  <c r="H2596" i="2" s="1"/>
  <c r="G2597" i="2"/>
  <c r="H2597" i="2" s="1"/>
  <c r="G2598" i="2"/>
  <c r="H2598" i="2" s="1"/>
  <c r="G2599" i="2"/>
  <c r="H2599" i="2" s="1"/>
  <c r="G2600" i="2"/>
  <c r="H2600" i="2" s="1"/>
  <c r="G2601" i="2"/>
  <c r="H2601" i="2" s="1"/>
  <c r="G2602" i="2"/>
  <c r="H2602" i="2" s="1"/>
  <c r="G2603" i="2"/>
  <c r="H2603" i="2" s="1"/>
  <c r="G2604" i="2"/>
  <c r="H2604" i="2" s="1"/>
  <c r="G2605" i="2"/>
  <c r="H2605" i="2" s="1"/>
  <c r="G2606" i="2"/>
  <c r="H2606" i="2" s="1"/>
  <c r="G2607" i="2"/>
  <c r="H2607" i="2" s="1"/>
  <c r="G2608" i="2"/>
  <c r="H2608" i="2" s="1"/>
  <c r="G2579" i="2"/>
  <c r="H2579" i="2" s="1"/>
  <c r="F2596" i="2" l="1"/>
  <c r="F2592" i="2"/>
  <c r="F2584" i="2"/>
  <c r="F2604" i="2"/>
  <c r="F2588" i="2"/>
  <c r="F2600" i="2"/>
  <c r="F2581" i="2"/>
  <c r="F2585" i="2"/>
  <c r="A2602" i="2"/>
  <c r="A2590" i="2"/>
  <c r="F2605" i="2"/>
  <c r="A2603" i="2"/>
  <c r="F2601" i="2"/>
  <c r="F2597" i="2"/>
  <c r="A2595" i="2"/>
  <c r="F2593" i="2"/>
  <c r="A2591" i="2"/>
  <c r="F2589" i="2"/>
  <c r="A2587" i="2"/>
  <c r="A2606" i="2"/>
  <c r="A2598" i="2"/>
  <c r="A2599" i="2"/>
  <c r="A2583" i="2"/>
  <c r="A2604" i="2"/>
  <c r="F2602" i="2"/>
  <c r="A2600" i="2"/>
  <c r="F2598" i="2"/>
  <c r="A2596" i="2"/>
  <c r="F2594" i="2"/>
  <c r="A2592" i="2"/>
  <c r="F2590" i="2"/>
  <c r="A2588" i="2"/>
  <c r="F2586" i="2"/>
  <c r="A2584" i="2"/>
  <c r="F2582" i="2"/>
  <c r="A2580" i="2"/>
  <c r="A2594" i="2"/>
  <c r="A2579" i="2"/>
  <c r="A2607" i="2"/>
  <c r="F2606" i="2"/>
  <c r="A2608" i="2"/>
  <c r="F2607" i="2"/>
  <c r="A2605" i="2"/>
  <c r="F2603" i="2"/>
  <c r="A2601" i="2"/>
  <c r="F2599" i="2"/>
  <c r="A2597" i="2"/>
  <c r="F2595" i="2"/>
  <c r="A2593" i="2"/>
  <c r="F2591" i="2"/>
  <c r="A2589" i="2"/>
  <c r="F2587" i="2"/>
  <c r="A2585" i="2"/>
  <c r="F2583" i="2"/>
  <c r="A2581" i="2"/>
  <c r="A2586" i="2"/>
  <c r="A2582" i="2"/>
  <c r="F2580" i="2"/>
  <c r="F2608" i="2"/>
  <c r="F2579" i="2"/>
  <c r="G2550" i="2"/>
  <c r="H2550" i="2" s="1"/>
  <c r="G2551" i="2"/>
  <c r="H2551" i="2" s="1"/>
  <c r="G2552" i="2"/>
  <c r="H2552" i="2" s="1"/>
  <c r="G2553" i="2"/>
  <c r="H2553" i="2" s="1"/>
  <c r="G2554" i="2"/>
  <c r="H2554" i="2" s="1"/>
  <c r="G2555" i="2"/>
  <c r="H2555" i="2" s="1"/>
  <c r="G2556" i="2"/>
  <c r="H2556" i="2" s="1"/>
  <c r="G2557" i="2"/>
  <c r="H2557" i="2" s="1"/>
  <c r="G2558" i="2"/>
  <c r="H2558" i="2" s="1"/>
  <c r="G2559" i="2"/>
  <c r="H2559" i="2" s="1"/>
  <c r="A2559" i="2"/>
  <c r="G2560" i="2"/>
  <c r="H2560" i="2" s="1"/>
  <c r="G2561" i="2"/>
  <c r="H2561" i="2" s="1"/>
  <c r="G2562" i="2"/>
  <c r="H2562" i="2" s="1"/>
  <c r="G2563" i="2"/>
  <c r="H2563" i="2" s="1"/>
  <c r="G2564" i="2"/>
  <c r="H2564" i="2" s="1"/>
  <c r="G2565" i="2"/>
  <c r="H2565" i="2" s="1"/>
  <c r="G2566" i="2"/>
  <c r="H2566" i="2" s="1"/>
  <c r="G2567" i="2"/>
  <c r="H2567" i="2" s="1"/>
  <c r="G2568" i="2"/>
  <c r="H2568" i="2" s="1"/>
  <c r="G2569" i="2"/>
  <c r="H2569" i="2" s="1"/>
  <c r="G2570" i="2"/>
  <c r="H2570" i="2" s="1"/>
  <c r="G2571" i="2"/>
  <c r="H2571" i="2" s="1"/>
  <c r="G2572" i="2"/>
  <c r="H2572" i="2" s="1"/>
  <c r="G2573" i="2"/>
  <c r="H2573" i="2" s="1"/>
  <c r="G2574" i="2"/>
  <c r="H2574" i="2" s="1"/>
  <c r="G2575" i="2"/>
  <c r="H2575" i="2" s="1"/>
  <c r="G2576" i="2"/>
  <c r="H2576" i="2" s="1"/>
  <c r="G2577" i="2"/>
  <c r="H2577" i="2" s="1"/>
  <c r="G2578" i="2"/>
  <c r="H2578" i="2" s="1"/>
  <c r="G2549" i="2"/>
  <c r="H2549" i="2" s="1"/>
  <c r="A2553" i="2" l="1"/>
  <c r="F2565" i="2"/>
  <c r="A2565" i="2"/>
  <c r="A2551" i="2"/>
  <c r="A2570" i="2"/>
  <c r="F2561" i="2"/>
  <c r="A2569" i="2"/>
  <c r="F2569" i="2"/>
  <c r="A2561" i="2"/>
  <c r="A2573" i="2"/>
  <c r="F2572" i="2"/>
  <c r="F2567" i="2"/>
  <c r="A2563" i="2"/>
  <c r="F2555" i="2"/>
  <c r="F2559" i="2"/>
  <c r="F2556" i="2"/>
  <c r="F2553" i="2"/>
  <c r="A2574" i="2"/>
  <c r="A2572" i="2"/>
  <c r="A2567" i="2"/>
  <c r="F2563" i="2"/>
  <c r="F2560" i="2"/>
  <c r="F2557" i="2"/>
  <c r="A2555" i="2"/>
  <c r="F2551" i="2"/>
  <c r="A2557" i="2"/>
  <c r="A2549" i="2"/>
  <c r="A2577" i="2"/>
  <c r="A2575" i="2"/>
  <c r="F2571" i="2"/>
  <c r="F2568" i="2"/>
  <c r="A2566" i="2"/>
  <c r="F2564" i="2"/>
  <c r="A2562" i="2"/>
  <c r="A2558" i="2"/>
  <c r="A2554" i="2"/>
  <c r="F2552" i="2"/>
  <c r="A2550" i="2"/>
  <c r="A2578" i="2"/>
  <c r="A2576" i="2"/>
  <c r="F2575" i="2"/>
  <c r="A2571" i="2"/>
  <c r="A2568" i="2"/>
  <c r="F2566" i="2"/>
  <c r="A2564" i="2"/>
  <c r="F2562" i="2"/>
  <c r="A2560" i="2"/>
  <c r="F2558" i="2"/>
  <c r="A2556" i="2"/>
  <c r="F2554" i="2"/>
  <c r="A2552" i="2"/>
  <c r="F2550" i="2"/>
  <c r="F2578" i="2"/>
  <c r="F2573" i="2"/>
  <c r="F2574" i="2"/>
  <c r="F2577" i="2"/>
  <c r="F2576" i="2"/>
  <c r="F2570" i="2"/>
  <c r="F2549" i="2"/>
  <c r="G2520" i="2"/>
  <c r="G2521" i="2"/>
  <c r="G2522" i="2"/>
  <c r="G2523" i="2"/>
  <c r="G2524" i="2"/>
  <c r="G2525" i="2"/>
  <c r="G2526" i="2"/>
  <c r="G2527" i="2"/>
  <c r="G2528" i="2"/>
  <c r="G2529" i="2"/>
  <c r="G2530" i="2"/>
  <c r="G2531" i="2"/>
  <c r="G2532" i="2"/>
  <c r="G2533" i="2"/>
  <c r="G2534" i="2"/>
  <c r="G2535" i="2"/>
  <c r="G2536" i="2"/>
  <c r="G2537" i="2"/>
  <c r="G2538" i="2"/>
  <c r="G2539" i="2"/>
  <c r="G2540" i="2"/>
  <c r="G2541" i="2"/>
  <c r="G2542" i="2"/>
  <c r="G2543" i="2"/>
  <c r="G2544" i="2"/>
  <c r="G2545" i="2"/>
  <c r="G2546" i="2"/>
  <c r="G2547" i="2"/>
  <c r="G2548" i="2"/>
  <c r="G2519" i="2"/>
  <c r="F2543" i="2" l="1"/>
  <c r="H2543" i="2"/>
  <c r="F2541" i="2"/>
  <c r="H2541" i="2"/>
  <c r="F2520" i="2"/>
  <c r="H2520" i="2"/>
  <c r="F2542" i="2"/>
  <c r="H2542" i="2"/>
  <c r="F2540" i="2"/>
  <c r="H2540" i="2"/>
  <c r="F2528" i="2"/>
  <c r="H2528" i="2"/>
  <c r="F2539" i="2"/>
  <c r="H2539" i="2"/>
  <c r="F2527" i="2"/>
  <c r="H2527" i="2"/>
  <c r="F2530" i="2"/>
  <c r="H2530" i="2"/>
  <c r="F2526" i="2"/>
  <c r="H2526" i="2"/>
  <c r="F2529" i="2"/>
  <c r="H2529" i="2"/>
  <c r="F2519" i="2"/>
  <c r="H2519" i="2"/>
  <c r="F2544" i="2"/>
  <c r="H2544" i="2"/>
  <c r="F2531" i="2"/>
  <c r="H2531" i="2"/>
  <c r="F2537" i="2"/>
  <c r="H2537" i="2"/>
  <c r="F2548" i="2"/>
  <c r="H2548" i="2"/>
  <c r="F2536" i="2"/>
  <c r="H2536" i="2"/>
  <c r="F2524" i="2"/>
  <c r="H2524" i="2"/>
  <c r="F2547" i="2"/>
  <c r="H2547" i="2"/>
  <c r="F2535" i="2"/>
  <c r="H2535" i="2"/>
  <c r="F2523" i="2"/>
  <c r="H2523" i="2"/>
  <c r="F2538" i="2"/>
  <c r="H2538" i="2"/>
  <c r="F2546" i="2"/>
  <c r="H2546" i="2"/>
  <c r="F2532" i="2"/>
  <c r="H2532" i="2"/>
  <c r="F2525" i="2"/>
  <c r="H2525" i="2"/>
  <c r="F2534" i="2"/>
  <c r="H2534" i="2"/>
  <c r="F2522" i="2"/>
  <c r="H2522" i="2"/>
  <c r="F2545" i="2"/>
  <c r="H2545" i="2"/>
  <c r="F2533" i="2"/>
  <c r="H2533" i="2"/>
  <c r="F2521" i="2"/>
  <c r="H2521" i="2"/>
  <c r="A2524" i="2"/>
  <c r="A2547" i="2"/>
  <c r="A2527" i="2"/>
  <c r="A2548" i="2"/>
  <c r="A2536" i="2"/>
  <c r="A2543" i="2"/>
  <c r="A2520" i="2"/>
  <c r="A2535" i="2"/>
  <c r="A2523" i="2"/>
  <c r="A2544" i="2"/>
  <c r="A2532" i="2"/>
  <c r="A2531" i="2"/>
  <c r="A2540" i="2"/>
  <c r="A2528" i="2"/>
  <c r="A2539" i="2"/>
  <c r="A2545" i="2"/>
  <c r="A2541" i="2"/>
  <c r="A2537" i="2"/>
  <c r="A2533" i="2"/>
  <c r="A2529" i="2"/>
  <c r="A2525" i="2"/>
  <c r="A2521" i="2"/>
  <c r="A2519" i="2"/>
  <c r="A2546" i="2"/>
  <c r="A2542" i="2"/>
  <c r="A2538" i="2"/>
  <c r="A2534" i="2"/>
  <c r="A2530" i="2"/>
  <c r="A2526" i="2"/>
  <c r="A2522" i="2"/>
  <c r="G2490" i="2"/>
  <c r="G2491" i="2"/>
  <c r="G2492" i="2"/>
  <c r="G2493" i="2"/>
  <c r="H2493" i="2" s="1"/>
  <c r="G2494" i="2"/>
  <c r="H2494" i="2" s="1"/>
  <c r="G2495" i="2"/>
  <c r="H2495" i="2" s="1"/>
  <c r="G2496" i="2"/>
  <c r="H2496" i="2" s="1"/>
  <c r="G2497" i="2"/>
  <c r="H2497" i="2" s="1"/>
  <c r="G2498" i="2"/>
  <c r="H2498" i="2" s="1"/>
  <c r="G2499" i="2"/>
  <c r="H2499" i="2" s="1"/>
  <c r="G2500" i="2"/>
  <c r="H2500" i="2" s="1"/>
  <c r="G2501" i="2"/>
  <c r="H2501" i="2" s="1"/>
  <c r="G2502" i="2"/>
  <c r="H2502" i="2" s="1"/>
  <c r="G2503" i="2"/>
  <c r="H2503" i="2" s="1"/>
  <c r="G2504" i="2"/>
  <c r="H2504" i="2" s="1"/>
  <c r="G2505" i="2"/>
  <c r="H2505" i="2" s="1"/>
  <c r="G2506" i="2"/>
  <c r="H2506" i="2" s="1"/>
  <c r="G2507" i="2"/>
  <c r="H2507" i="2" s="1"/>
  <c r="G2508" i="2"/>
  <c r="H2508" i="2" s="1"/>
  <c r="G2509" i="2"/>
  <c r="H2509" i="2" s="1"/>
  <c r="G2510" i="2"/>
  <c r="H2510" i="2" s="1"/>
  <c r="G2511" i="2"/>
  <c r="H2511" i="2" s="1"/>
  <c r="G2512" i="2"/>
  <c r="H2512" i="2" s="1"/>
  <c r="G2513" i="2"/>
  <c r="H2513" i="2" s="1"/>
  <c r="G2514" i="2"/>
  <c r="H2514" i="2" s="1"/>
  <c r="G2515" i="2"/>
  <c r="H2515" i="2" s="1"/>
  <c r="G2516" i="2"/>
  <c r="H2516" i="2" s="1"/>
  <c r="G2517" i="2"/>
  <c r="H2517" i="2" s="1"/>
  <c r="G2518" i="2"/>
  <c r="H2518" i="2" s="1"/>
  <c r="G2489" i="2"/>
  <c r="H2489" i="2" s="1"/>
  <c r="A2513" i="2" l="1"/>
  <c r="A2515" i="2"/>
  <c r="F2490" i="2"/>
  <c r="H2490" i="2"/>
  <c r="F2491" i="2"/>
  <c r="H2491" i="2"/>
  <c r="A2511" i="2"/>
  <c r="F2492" i="2"/>
  <c r="H2492" i="2"/>
  <c r="A2517" i="2"/>
  <c r="A2509" i="2"/>
  <c r="A2507" i="2"/>
  <c r="A2505" i="2"/>
  <c r="A2503" i="2"/>
  <c r="A2501" i="2"/>
  <c r="A2499" i="2"/>
  <c r="A2497" i="2"/>
  <c r="A2491" i="2"/>
  <c r="A2495" i="2"/>
  <c r="A2493" i="2"/>
  <c r="F2489" i="2"/>
  <c r="A2489" i="2"/>
  <c r="A2518" i="2"/>
  <c r="A2516" i="2"/>
  <c r="A2514" i="2"/>
  <c r="A2512" i="2"/>
  <c r="A2510" i="2"/>
  <c r="A2508" i="2"/>
  <c r="A2506" i="2"/>
  <c r="A2504" i="2"/>
  <c r="A2502" i="2"/>
  <c r="A2500" i="2"/>
  <c r="A2498" i="2"/>
  <c r="A2496" i="2"/>
  <c r="A2494" i="2"/>
  <c r="A2492" i="2"/>
  <c r="A2490" i="2"/>
  <c r="F2518" i="2"/>
  <c r="F2517" i="2"/>
  <c r="F2516" i="2"/>
  <c r="F2515" i="2"/>
  <c r="F2514" i="2"/>
  <c r="F2513" i="2"/>
  <c r="F2512" i="2"/>
  <c r="F2511" i="2"/>
  <c r="F2510" i="2"/>
  <c r="F2509" i="2"/>
  <c r="F2508" i="2"/>
  <c r="F2507" i="2"/>
  <c r="F2506" i="2"/>
  <c r="F2505" i="2"/>
  <c r="F2504" i="2"/>
  <c r="F2503" i="2"/>
  <c r="F2502" i="2"/>
  <c r="F2501" i="2"/>
  <c r="F2500" i="2"/>
  <c r="F2499" i="2"/>
  <c r="F2498" i="2"/>
  <c r="F2497" i="2"/>
  <c r="F2496" i="2"/>
  <c r="F2495" i="2"/>
  <c r="F2494" i="2"/>
  <c r="F2493" i="2"/>
  <c r="G2460" i="2"/>
  <c r="G2461" i="2"/>
  <c r="G2462" i="2"/>
  <c r="G2463" i="2"/>
  <c r="G2464" i="2"/>
  <c r="G2465" i="2"/>
  <c r="G2466" i="2"/>
  <c r="H2466" i="2" s="1"/>
  <c r="G2467" i="2"/>
  <c r="H2467" i="2" s="1"/>
  <c r="G2468" i="2"/>
  <c r="H2468" i="2" s="1"/>
  <c r="G2469" i="2"/>
  <c r="H2469" i="2" s="1"/>
  <c r="G2470" i="2"/>
  <c r="H2470" i="2" s="1"/>
  <c r="G2471" i="2"/>
  <c r="H2471" i="2" s="1"/>
  <c r="G2472" i="2"/>
  <c r="H2472" i="2" s="1"/>
  <c r="G2473" i="2"/>
  <c r="H2473" i="2" s="1"/>
  <c r="G2474" i="2"/>
  <c r="H2474" i="2" s="1"/>
  <c r="G2475" i="2"/>
  <c r="H2475" i="2" s="1"/>
  <c r="G2476" i="2"/>
  <c r="H2476" i="2" s="1"/>
  <c r="G2477" i="2"/>
  <c r="H2477" i="2" s="1"/>
  <c r="G2478" i="2"/>
  <c r="H2478" i="2" s="1"/>
  <c r="G2479" i="2"/>
  <c r="H2479" i="2" s="1"/>
  <c r="G2480" i="2"/>
  <c r="H2480" i="2" s="1"/>
  <c r="G2481" i="2"/>
  <c r="H2481" i="2" s="1"/>
  <c r="G2482" i="2"/>
  <c r="H2482" i="2" s="1"/>
  <c r="G2483" i="2"/>
  <c r="H2483" i="2" s="1"/>
  <c r="G2484" i="2"/>
  <c r="H2484" i="2" s="1"/>
  <c r="G2485" i="2"/>
  <c r="H2485" i="2" s="1"/>
  <c r="G2486" i="2"/>
  <c r="H2486" i="2" s="1"/>
  <c r="G2487" i="2"/>
  <c r="H2487" i="2" s="1"/>
  <c r="G2488" i="2"/>
  <c r="H2488" i="2" s="1"/>
  <c r="G2459" i="2"/>
  <c r="H2459" i="2" s="1"/>
  <c r="F2467" i="2" l="1"/>
  <c r="F2475" i="2"/>
  <c r="F2464" i="2"/>
  <c r="H2464" i="2"/>
  <c r="F2465" i="2"/>
  <c r="H2465" i="2"/>
  <c r="F2463" i="2"/>
  <c r="H2463" i="2"/>
  <c r="F2462" i="2"/>
  <c r="H2462" i="2"/>
  <c r="F2461" i="2"/>
  <c r="H2461" i="2"/>
  <c r="F2460" i="2"/>
  <c r="H2460" i="2"/>
  <c r="F2474" i="2"/>
  <c r="F2485" i="2"/>
  <c r="A2487" i="2"/>
  <c r="F2487" i="2"/>
  <c r="A2481" i="2"/>
  <c r="A2479" i="2"/>
  <c r="A2477" i="2"/>
  <c r="F2466" i="2"/>
  <c r="F2477" i="2"/>
  <c r="F2471" i="2"/>
  <c r="A2469" i="2"/>
  <c r="F2473" i="2"/>
  <c r="A2485" i="2"/>
  <c r="F2469" i="2"/>
  <c r="A2483" i="2"/>
  <c r="A2465" i="2"/>
  <c r="F2483" i="2"/>
  <c r="F2481" i="2"/>
  <c r="F2479" i="2"/>
  <c r="A2475" i="2"/>
  <c r="F2470" i="2"/>
  <c r="A2473" i="2"/>
  <c r="A2460" i="2"/>
  <c r="F2488" i="2"/>
  <c r="A2486" i="2"/>
  <c r="F2484" i="2"/>
  <c r="A2482" i="2"/>
  <c r="F2480" i="2"/>
  <c r="A2478" i="2"/>
  <c r="F2476" i="2"/>
  <c r="A2474" i="2"/>
  <c r="F2472" i="2"/>
  <c r="A2470" i="2"/>
  <c r="F2468" i="2"/>
  <c r="A2466" i="2"/>
  <c r="A2461" i="2"/>
  <c r="A2471" i="2"/>
  <c r="A2467" i="2"/>
  <c r="A2464" i="2"/>
  <c r="A2488" i="2"/>
  <c r="F2486" i="2"/>
  <c r="A2484" i="2"/>
  <c r="F2482" i="2"/>
  <c r="A2480" i="2"/>
  <c r="F2478" i="2"/>
  <c r="A2476" i="2"/>
  <c r="A2472" i="2"/>
  <c r="A2468" i="2"/>
  <c r="A2462" i="2"/>
  <c r="A2459" i="2"/>
  <c r="A2463" i="2"/>
  <c r="F2459" i="2"/>
  <c r="G2430" i="2"/>
  <c r="H2430" i="2" s="1"/>
  <c r="G2431" i="2"/>
  <c r="H2431" i="2" s="1"/>
  <c r="G2432" i="2"/>
  <c r="H2432" i="2" s="1"/>
  <c r="G2433" i="2"/>
  <c r="H2433" i="2" s="1"/>
  <c r="G2434" i="2"/>
  <c r="H2434" i="2" s="1"/>
  <c r="G2435" i="2"/>
  <c r="H2435" i="2" s="1"/>
  <c r="G2436" i="2"/>
  <c r="H2436" i="2" s="1"/>
  <c r="G2437" i="2"/>
  <c r="H2437" i="2" s="1"/>
  <c r="G2438" i="2"/>
  <c r="H2438" i="2" s="1"/>
  <c r="G2439" i="2"/>
  <c r="H2439" i="2" s="1"/>
  <c r="G2440" i="2"/>
  <c r="H2440" i="2" s="1"/>
  <c r="G2441" i="2"/>
  <c r="H2441" i="2" s="1"/>
  <c r="G2442" i="2"/>
  <c r="H2442" i="2" s="1"/>
  <c r="G2443" i="2"/>
  <c r="H2443" i="2" s="1"/>
  <c r="G2444" i="2"/>
  <c r="H2444" i="2" s="1"/>
  <c r="G2445" i="2"/>
  <c r="H2445" i="2" s="1"/>
  <c r="G2446" i="2"/>
  <c r="H2446" i="2" s="1"/>
  <c r="G2447" i="2"/>
  <c r="H2447" i="2" s="1"/>
  <c r="G2448" i="2"/>
  <c r="H2448" i="2" s="1"/>
  <c r="G2449" i="2"/>
  <c r="H2449" i="2" s="1"/>
  <c r="G2450" i="2"/>
  <c r="H2450" i="2" s="1"/>
  <c r="G2451" i="2"/>
  <c r="H2451" i="2" s="1"/>
  <c r="G2452" i="2"/>
  <c r="H2452" i="2" s="1"/>
  <c r="G2453" i="2"/>
  <c r="H2453" i="2" s="1"/>
  <c r="G2454" i="2"/>
  <c r="H2454" i="2" s="1"/>
  <c r="G2455" i="2"/>
  <c r="H2455" i="2" s="1"/>
  <c r="G2456" i="2"/>
  <c r="H2456" i="2" s="1"/>
  <c r="G2457" i="2"/>
  <c r="H2457" i="2" s="1"/>
  <c r="G2458" i="2"/>
  <c r="H2458" i="2" s="1"/>
  <c r="G2429" i="2"/>
  <c r="H2429" i="2" s="1"/>
  <c r="A2431" i="2" l="1"/>
  <c r="A2433" i="2"/>
  <c r="A2438" i="2"/>
  <c r="A2437" i="2"/>
  <c r="F2443" i="2"/>
  <c r="F2429" i="2"/>
  <c r="A2429" i="2"/>
  <c r="A2443" i="2"/>
  <c r="A2453" i="2"/>
  <c r="A2451" i="2"/>
  <c r="F2440" i="2"/>
  <c r="F2451" i="2"/>
  <c r="A2439" i="2"/>
  <c r="F2439" i="2"/>
  <c r="F2437" i="2"/>
  <c r="A2450" i="2"/>
  <c r="A2442" i="2"/>
  <c r="A2458" i="2"/>
  <c r="A2456" i="2"/>
  <c r="A2454" i="2"/>
  <c r="A2447" i="2"/>
  <c r="A2435" i="2"/>
  <c r="F2431" i="2"/>
  <c r="F2447" i="2"/>
  <c r="F2444" i="2"/>
  <c r="F2441" i="2"/>
  <c r="F2435" i="2"/>
  <c r="A2449" i="2"/>
  <c r="F2448" i="2"/>
  <c r="A2446" i="2"/>
  <c r="F2445" i="2"/>
  <c r="F2433" i="2"/>
  <c r="F2449" i="2"/>
  <c r="A2457" i="2"/>
  <c r="A2455" i="2"/>
  <c r="F2454" i="2"/>
  <c r="A2452" i="2"/>
  <c r="F2450" i="2"/>
  <c r="A2448" i="2"/>
  <c r="F2446" i="2"/>
  <c r="A2444" i="2"/>
  <c r="F2442" i="2"/>
  <c r="A2440" i="2"/>
  <c r="F2438" i="2"/>
  <c r="A2436" i="2"/>
  <c r="F2434" i="2"/>
  <c r="A2432" i="2"/>
  <c r="F2430" i="2"/>
  <c r="A2445" i="2"/>
  <c r="A2441" i="2"/>
  <c r="F2452" i="2"/>
  <c r="F2436" i="2"/>
  <c r="A2434" i="2"/>
  <c r="F2432" i="2"/>
  <c r="A2430" i="2"/>
  <c r="F2458" i="2"/>
  <c r="F2453" i="2"/>
  <c r="F2457" i="2"/>
  <c r="F2456" i="2"/>
  <c r="F2455" i="2"/>
  <c r="G2400" i="2"/>
  <c r="G2401" i="2"/>
  <c r="G2402" i="2"/>
  <c r="G2403" i="2"/>
  <c r="G2404" i="2"/>
  <c r="G2405" i="2"/>
  <c r="G2406" i="2"/>
  <c r="G2407" i="2"/>
  <c r="G2408" i="2"/>
  <c r="G2409" i="2"/>
  <c r="G2410" i="2"/>
  <c r="G2411" i="2"/>
  <c r="G2412" i="2"/>
  <c r="G2413" i="2"/>
  <c r="G2414" i="2"/>
  <c r="G2415" i="2"/>
  <c r="G2416" i="2"/>
  <c r="G2417" i="2"/>
  <c r="G2418" i="2"/>
  <c r="G2419" i="2"/>
  <c r="G2420" i="2"/>
  <c r="G2421" i="2"/>
  <c r="G2422" i="2"/>
  <c r="G2423" i="2"/>
  <c r="G2424" i="2"/>
  <c r="G2425" i="2"/>
  <c r="G2426" i="2"/>
  <c r="G2427" i="2"/>
  <c r="G2428" i="2"/>
  <c r="G2399" i="2"/>
  <c r="H2399" i="2" s="1"/>
  <c r="A2399" i="2" l="1"/>
  <c r="F2412" i="2"/>
  <c r="H2412" i="2"/>
  <c r="F2400" i="2"/>
  <c r="H2400" i="2"/>
  <c r="F2411" i="2"/>
  <c r="H2411" i="2"/>
  <c r="F2424" i="2"/>
  <c r="H2424" i="2"/>
  <c r="F2410" i="2"/>
  <c r="H2410" i="2"/>
  <c r="F2421" i="2"/>
  <c r="H2421" i="2"/>
  <c r="F2420" i="2"/>
  <c r="H2420" i="2"/>
  <c r="F2408" i="2"/>
  <c r="H2408" i="2"/>
  <c r="F2419" i="2"/>
  <c r="H2419" i="2"/>
  <c r="F2407" i="2"/>
  <c r="H2407" i="2"/>
  <c r="F2422" i="2"/>
  <c r="H2422" i="2"/>
  <c r="F2418" i="2"/>
  <c r="H2418" i="2"/>
  <c r="F2406" i="2"/>
  <c r="H2406" i="2"/>
  <c r="F2409" i="2"/>
  <c r="H2409" i="2"/>
  <c r="F2417" i="2"/>
  <c r="H2417" i="2"/>
  <c r="F2428" i="2"/>
  <c r="H2428" i="2"/>
  <c r="F2416" i="2"/>
  <c r="H2416" i="2"/>
  <c r="F2404" i="2"/>
  <c r="H2404" i="2"/>
  <c r="F2405" i="2"/>
  <c r="H2405" i="2"/>
  <c r="F2427" i="2"/>
  <c r="H2427" i="2"/>
  <c r="F2415" i="2"/>
  <c r="H2415" i="2"/>
  <c r="F2403" i="2"/>
  <c r="H2403" i="2"/>
  <c r="F2423" i="2"/>
  <c r="H2423" i="2"/>
  <c r="F2414" i="2"/>
  <c r="H2414" i="2"/>
  <c r="F2402" i="2"/>
  <c r="H2402" i="2"/>
  <c r="F2426" i="2"/>
  <c r="H2426" i="2"/>
  <c r="F2425" i="2"/>
  <c r="H2425" i="2"/>
  <c r="F2413" i="2"/>
  <c r="H2413" i="2"/>
  <c r="F2401" i="2"/>
  <c r="H2401" i="2"/>
  <c r="A2418" i="2"/>
  <c r="A2410" i="2"/>
  <c r="A2402" i="2"/>
  <c r="A2411" i="2"/>
  <c r="A2426" i="2"/>
  <c r="A2423" i="2"/>
  <c r="A2406" i="2"/>
  <c r="A2407" i="2"/>
  <c r="A2427" i="2"/>
  <c r="A2414" i="2"/>
  <c r="A2415" i="2"/>
  <c r="A2422" i="2"/>
  <c r="A2419" i="2"/>
  <c r="A2403" i="2"/>
  <c r="A2428" i="2"/>
  <c r="A2416" i="2"/>
  <c r="A2412" i="2"/>
  <c r="A2408" i="2"/>
  <c r="A2404" i="2"/>
  <c r="A2400" i="2"/>
  <c r="A2424" i="2"/>
  <c r="A2420" i="2"/>
  <c r="A2425" i="2"/>
  <c r="A2421" i="2"/>
  <c r="A2417" i="2"/>
  <c r="A2413" i="2"/>
  <c r="A2409" i="2"/>
  <c r="A2405" i="2"/>
  <c r="A2401" i="2"/>
  <c r="F2399" i="2"/>
  <c r="G2370" i="2"/>
  <c r="H2370" i="2" s="1"/>
  <c r="G2371" i="2"/>
  <c r="H2371" i="2" s="1"/>
  <c r="G2372" i="2"/>
  <c r="H2372" i="2" s="1"/>
  <c r="G2373" i="2"/>
  <c r="H2373" i="2" s="1"/>
  <c r="G2374" i="2"/>
  <c r="H2374" i="2" s="1"/>
  <c r="G2375" i="2"/>
  <c r="H2375" i="2" s="1"/>
  <c r="G2376" i="2"/>
  <c r="H2376" i="2" s="1"/>
  <c r="G2377" i="2"/>
  <c r="H2377" i="2" s="1"/>
  <c r="G2378" i="2"/>
  <c r="H2378" i="2" s="1"/>
  <c r="G2379" i="2"/>
  <c r="H2379" i="2" s="1"/>
  <c r="G2380" i="2"/>
  <c r="H2380" i="2" s="1"/>
  <c r="G2381" i="2"/>
  <c r="H2381" i="2" s="1"/>
  <c r="G2382" i="2"/>
  <c r="H2382" i="2" s="1"/>
  <c r="G2383" i="2"/>
  <c r="H2383" i="2" s="1"/>
  <c r="G2384" i="2"/>
  <c r="H2384" i="2" s="1"/>
  <c r="G2385" i="2"/>
  <c r="H2385" i="2" s="1"/>
  <c r="G2386" i="2"/>
  <c r="H2386" i="2" s="1"/>
  <c r="G2387" i="2"/>
  <c r="H2387" i="2" s="1"/>
  <c r="G2388" i="2"/>
  <c r="H2388" i="2" s="1"/>
  <c r="G2389" i="2"/>
  <c r="H2389" i="2" s="1"/>
  <c r="G2390" i="2"/>
  <c r="G2391" i="2"/>
  <c r="G2392" i="2"/>
  <c r="H2392" i="2" s="1"/>
  <c r="G2393" i="2"/>
  <c r="G2394" i="2"/>
  <c r="G2395" i="2"/>
  <c r="H2395" i="2" s="1"/>
  <c r="G2396" i="2"/>
  <c r="G2397" i="2"/>
  <c r="G2398" i="2"/>
  <c r="H2398" i="2" s="1"/>
  <c r="G2369" i="2"/>
  <c r="H2369" i="2" s="1"/>
  <c r="F2377" i="2" l="1"/>
  <c r="F2384" i="2"/>
  <c r="F2395" i="2"/>
  <c r="F2376" i="2"/>
  <c r="F2385" i="2"/>
  <c r="F2394" i="2"/>
  <c r="H2394" i="2"/>
  <c r="F2391" i="2"/>
  <c r="H2391" i="2"/>
  <c r="F2390" i="2"/>
  <c r="H2390" i="2"/>
  <c r="F2389" i="2"/>
  <c r="F2397" i="2"/>
  <c r="H2397" i="2"/>
  <c r="F2393" i="2"/>
  <c r="H2393" i="2"/>
  <c r="F2396" i="2"/>
  <c r="H2396" i="2"/>
  <c r="F2392" i="2"/>
  <c r="F2386" i="2"/>
  <c r="F2374" i="2"/>
  <c r="F2372" i="2"/>
  <c r="F2370" i="2"/>
  <c r="F2388" i="2"/>
  <c r="F2398" i="2"/>
  <c r="F2373" i="2"/>
  <c r="F2382" i="2"/>
  <c r="F2387" i="2"/>
  <c r="F2375" i="2"/>
  <c r="F2380" i="2"/>
  <c r="F2378" i="2"/>
  <c r="F2383" i="2"/>
  <c r="F2371" i="2"/>
  <c r="F2381" i="2"/>
  <c r="F2379" i="2"/>
  <c r="A2398" i="2"/>
  <c r="A2397" i="2"/>
  <c r="A2396" i="2"/>
  <c r="A2395" i="2"/>
  <c r="A2394" i="2"/>
  <c r="A2393" i="2"/>
  <c r="A2392" i="2"/>
  <c r="A2391" i="2"/>
  <c r="A2390" i="2"/>
  <c r="A2389" i="2"/>
  <c r="A2388" i="2"/>
  <c r="A2387" i="2"/>
  <c r="A2386" i="2"/>
  <c r="A2385" i="2"/>
  <c r="A2384" i="2"/>
  <c r="A2383" i="2"/>
  <c r="A2382" i="2"/>
  <c r="A2381" i="2"/>
  <c r="A2380" i="2"/>
  <c r="A2379" i="2"/>
  <c r="A2378" i="2"/>
  <c r="A2377" i="2"/>
  <c r="A2376" i="2"/>
  <c r="A2375" i="2"/>
  <c r="A2374" i="2"/>
  <c r="A2373" i="2"/>
  <c r="A2372" i="2"/>
  <c r="A2371" i="2"/>
  <c r="A2369" i="2"/>
  <c r="A2370" i="2"/>
  <c r="F2369" i="2"/>
  <c r="G2340" i="2"/>
  <c r="G2341" i="2"/>
  <c r="G2342" i="2"/>
  <c r="G2343" i="2"/>
  <c r="G2344" i="2"/>
  <c r="G2345" i="2"/>
  <c r="G2346" i="2"/>
  <c r="G2347" i="2"/>
  <c r="G2348" i="2"/>
  <c r="G2349" i="2"/>
  <c r="G2350" i="2"/>
  <c r="G2351" i="2"/>
  <c r="G2352" i="2"/>
  <c r="G2353" i="2"/>
  <c r="G2354" i="2"/>
  <c r="G2355" i="2"/>
  <c r="G2356" i="2"/>
  <c r="G2357" i="2"/>
  <c r="G2358" i="2"/>
  <c r="G2359" i="2"/>
  <c r="G2360" i="2"/>
  <c r="G2361" i="2"/>
  <c r="G2362" i="2"/>
  <c r="G2363" i="2"/>
  <c r="G2364" i="2"/>
  <c r="G2365" i="2"/>
  <c r="G2366" i="2"/>
  <c r="G2367" i="2"/>
  <c r="G2368" i="2"/>
  <c r="G2339" i="2"/>
  <c r="F2362" i="2" l="1"/>
  <c r="H2362" i="2"/>
  <c r="F2360" i="2"/>
  <c r="H2360" i="2"/>
  <c r="F2359" i="2"/>
  <c r="H2359" i="2"/>
  <c r="F2347" i="2"/>
  <c r="H2347" i="2"/>
  <c r="F2346" i="2"/>
  <c r="H2346" i="2"/>
  <c r="F2358" i="2"/>
  <c r="H2358" i="2"/>
  <c r="F2339" i="2"/>
  <c r="H2339" i="2"/>
  <c r="F2357" i="2"/>
  <c r="H2357" i="2"/>
  <c r="F2345" i="2"/>
  <c r="H2345" i="2"/>
  <c r="F2344" i="2"/>
  <c r="H2344" i="2"/>
  <c r="F2361" i="2"/>
  <c r="H2361" i="2"/>
  <c r="F2366" i="2"/>
  <c r="H2366" i="2"/>
  <c r="F2354" i="2"/>
  <c r="H2354" i="2"/>
  <c r="F2342" i="2"/>
  <c r="H2342" i="2"/>
  <c r="F2356" i="2"/>
  <c r="H2356" i="2"/>
  <c r="F2365" i="2"/>
  <c r="H2365" i="2"/>
  <c r="F2341" i="2"/>
  <c r="H2341" i="2"/>
  <c r="F2349" i="2"/>
  <c r="H2349" i="2"/>
  <c r="F2368" i="2"/>
  <c r="H2368" i="2"/>
  <c r="F2355" i="2"/>
  <c r="H2355" i="2"/>
  <c r="F2353" i="2"/>
  <c r="H2353" i="2"/>
  <c r="F2364" i="2"/>
  <c r="H2364" i="2"/>
  <c r="F2352" i="2"/>
  <c r="H2352" i="2"/>
  <c r="F2340" i="2"/>
  <c r="H2340" i="2"/>
  <c r="F2350" i="2"/>
  <c r="H2350" i="2"/>
  <c r="F2348" i="2"/>
  <c r="H2348" i="2"/>
  <c r="F2367" i="2"/>
  <c r="H2367" i="2"/>
  <c r="F2343" i="2"/>
  <c r="H2343" i="2"/>
  <c r="F2363" i="2"/>
  <c r="H2363" i="2"/>
  <c r="F2351" i="2"/>
  <c r="H2351" i="2"/>
  <c r="A2367" i="2"/>
  <c r="A2351" i="2"/>
  <c r="A2349" i="2"/>
  <c r="A2346" i="2"/>
  <c r="A2354" i="2"/>
  <c r="A2359" i="2"/>
  <c r="A2340" i="2"/>
  <c r="A2339" i="2"/>
  <c r="A2362" i="2"/>
  <c r="A2341" i="2"/>
  <c r="A2366" i="2"/>
  <c r="A2363" i="2"/>
  <c r="A2358" i="2"/>
  <c r="A2355" i="2"/>
  <c r="A2350" i="2"/>
  <c r="A2342" i="2"/>
  <c r="A2345" i="2"/>
  <c r="A2347" i="2"/>
  <c r="A2343" i="2"/>
  <c r="A2368" i="2"/>
  <c r="A2364" i="2"/>
  <c r="A2360" i="2"/>
  <c r="A2356" i="2"/>
  <c r="A2352" i="2"/>
  <c r="A2348" i="2"/>
  <c r="A2344" i="2"/>
  <c r="A2365" i="2"/>
  <c r="A2361" i="2"/>
  <c r="A2357" i="2"/>
  <c r="A2353" i="2"/>
  <c r="G2309" i="2"/>
  <c r="H2309" i="2" s="1"/>
  <c r="G2310" i="2"/>
  <c r="H2310" i="2" s="1"/>
  <c r="G2311" i="2"/>
  <c r="H2311" i="2" s="1"/>
  <c r="G2312" i="2"/>
  <c r="H2312" i="2" s="1"/>
  <c r="G2313" i="2"/>
  <c r="H2313" i="2" s="1"/>
  <c r="G2314" i="2"/>
  <c r="H2314" i="2" s="1"/>
  <c r="G2315" i="2"/>
  <c r="H2315" i="2" s="1"/>
  <c r="G2316" i="2"/>
  <c r="H2316" i="2" s="1"/>
  <c r="G2317" i="2"/>
  <c r="H2317" i="2" s="1"/>
  <c r="G2318" i="2"/>
  <c r="H2318" i="2" s="1"/>
  <c r="G2319" i="2"/>
  <c r="H2319" i="2" s="1"/>
  <c r="G2320" i="2"/>
  <c r="H2320" i="2" s="1"/>
  <c r="G2321" i="2"/>
  <c r="H2321" i="2" s="1"/>
  <c r="G2322" i="2"/>
  <c r="H2322" i="2" s="1"/>
  <c r="G2323" i="2"/>
  <c r="H2323" i="2" s="1"/>
  <c r="G2324" i="2"/>
  <c r="H2324" i="2" s="1"/>
  <c r="G2325" i="2"/>
  <c r="H2325" i="2" s="1"/>
  <c r="G2326" i="2"/>
  <c r="H2326" i="2" s="1"/>
  <c r="G2327" i="2"/>
  <c r="H2327" i="2" s="1"/>
  <c r="G2328" i="2"/>
  <c r="H2328" i="2" s="1"/>
  <c r="G2329" i="2"/>
  <c r="H2329" i="2" s="1"/>
  <c r="G2330" i="2"/>
  <c r="H2330" i="2" s="1"/>
  <c r="G2331" i="2"/>
  <c r="H2331" i="2" s="1"/>
  <c r="G2332" i="2"/>
  <c r="H2332" i="2" s="1"/>
  <c r="G2333" i="2"/>
  <c r="H2333" i="2" s="1"/>
  <c r="G2334" i="2"/>
  <c r="H2334" i="2" s="1"/>
  <c r="G2335" i="2"/>
  <c r="H2335" i="2" s="1"/>
  <c r="G2336" i="2"/>
  <c r="H2336" i="2" s="1"/>
  <c r="G2337" i="2"/>
  <c r="H2337" i="2" s="1"/>
  <c r="G2338" i="2"/>
  <c r="G2308" i="2"/>
  <c r="H2308" i="2" s="1"/>
  <c r="F2338" i="2" l="1"/>
  <c r="H2338" i="2"/>
  <c r="F2320" i="2"/>
  <c r="A2336" i="2"/>
  <c r="A2337" i="2"/>
  <c r="A2328" i="2"/>
  <c r="A2310" i="2"/>
  <c r="A2327" i="2"/>
  <c r="A2325" i="2"/>
  <c r="A2313" i="2"/>
  <c r="F2314" i="2"/>
  <c r="F2323" i="2"/>
  <c r="A2317" i="2"/>
  <c r="A2308" i="2"/>
  <c r="F2336" i="2"/>
  <c r="F2328" i="2"/>
  <c r="F2326" i="2"/>
  <c r="A2322" i="2"/>
  <c r="A2314" i="2"/>
  <c r="A2338" i="2"/>
  <c r="A2335" i="2"/>
  <c r="A2333" i="2"/>
  <c r="A2321" i="2"/>
  <c r="A2318" i="2"/>
  <c r="F2311" i="2"/>
  <c r="A2309" i="2"/>
  <c r="A2332" i="2"/>
  <c r="A2330" i="2"/>
  <c r="F2318" i="2"/>
  <c r="F2315" i="2"/>
  <c r="F2322" i="2"/>
  <c r="F2319" i="2"/>
  <c r="F2316" i="2"/>
  <c r="F2310" i="2"/>
  <c r="A2334" i="2"/>
  <c r="A2331" i="2"/>
  <c r="F2330" i="2"/>
  <c r="A2326" i="2"/>
  <c r="A2323" i="2"/>
  <c r="F2321" i="2"/>
  <c r="A2319" i="2"/>
  <c r="F2317" i="2"/>
  <c r="A2315" i="2"/>
  <c r="F2313" i="2"/>
  <c r="A2311" i="2"/>
  <c r="F2309" i="2"/>
  <c r="A2329" i="2"/>
  <c r="A2324" i="2"/>
  <c r="A2320" i="2"/>
  <c r="A2316" i="2"/>
  <c r="A2312" i="2"/>
  <c r="F2334" i="2"/>
  <c r="F2332" i="2"/>
  <c r="F2324" i="2"/>
  <c r="F2312" i="2"/>
  <c r="F2337" i="2"/>
  <c r="F2333" i="2"/>
  <c r="F2329" i="2"/>
  <c r="F2325" i="2"/>
  <c r="F2335" i="2"/>
  <c r="F2331" i="2"/>
  <c r="F2327" i="2"/>
  <c r="F2308" i="2"/>
  <c r="G2278" i="2"/>
  <c r="G2279" i="2"/>
  <c r="G2280" i="2"/>
  <c r="G2281" i="2"/>
  <c r="G2282" i="2"/>
  <c r="G2283" i="2"/>
  <c r="G2284" i="2"/>
  <c r="G2285" i="2"/>
  <c r="G2286" i="2"/>
  <c r="G2287" i="2"/>
  <c r="G2288" i="2"/>
  <c r="G2289" i="2"/>
  <c r="G2290" i="2"/>
  <c r="G2291" i="2"/>
  <c r="G2292" i="2"/>
  <c r="G2293" i="2"/>
  <c r="G2294" i="2"/>
  <c r="G2295" i="2"/>
  <c r="G2296" i="2"/>
  <c r="G2297" i="2"/>
  <c r="G2298" i="2"/>
  <c r="G2299" i="2"/>
  <c r="G2300" i="2"/>
  <c r="G2301" i="2"/>
  <c r="G2302" i="2"/>
  <c r="G2303" i="2"/>
  <c r="G2304" i="2"/>
  <c r="G2305" i="2"/>
  <c r="G2306" i="2"/>
  <c r="G2307" i="2"/>
  <c r="G2277" i="2"/>
  <c r="G2247" i="2"/>
  <c r="G2248" i="2"/>
  <c r="G2249" i="2"/>
  <c r="G2250" i="2"/>
  <c r="G2251" i="2"/>
  <c r="G2252" i="2"/>
  <c r="A2252" i="2" s="1"/>
  <c r="G2253" i="2"/>
  <c r="G2254" i="2"/>
  <c r="G2255" i="2"/>
  <c r="G2256" i="2"/>
  <c r="G2257" i="2"/>
  <c r="G2258" i="2"/>
  <c r="G2259" i="2"/>
  <c r="G2260" i="2"/>
  <c r="G2261" i="2"/>
  <c r="G2262" i="2"/>
  <c r="G2263" i="2"/>
  <c r="G2264" i="2"/>
  <c r="G2265" i="2"/>
  <c r="G2266" i="2"/>
  <c r="G2267" i="2"/>
  <c r="G2268" i="2"/>
  <c r="G2269" i="2"/>
  <c r="G2270" i="2"/>
  <c r="G2271" i="2"/>
  <c r="G2272" i="2"/>
  <c r="G2273" i="2"/>
  <c r="G2274" i="2"/>
  <c r="G2275" i="2"/>
  <c r="G2276" i="2"/>
  <c r="G2246" i="2"/>
  <c r="H2246" i="2" s="1"/>
  <c r="F2248" i="2" l="1"/>
  <c r="H2248" i="2"/>
  <c r="F2298" i="2"/>
  <c r="H2298" i="2"/>
  <c r="F2286" i="2"/>
  <c r="H2286" i="2"/>
  <c r="F2297" i="2"/>
  <c r="H2297" i="2"/>
  <c r="F2247" i="2"/>
  <c r="H2247" i="2"/>
  <c r="F2268" i="2"/>
  <c r="H2268" i="2"/>
  <c r="F2295" i="2"/>
  <c r="H2295" i="2"/>
  <c r="F2283" i="2"/>
  <c r="H2283" i="2"/>
  <c r="F2270" i="2"/>
  <c r="H2270" i="2"/>
  <c r="F2257" i="2"/>
  <c r="H2257" i="2"/>
  <c r="F2307" i="2"/>
  <c r="H2307" i="2"/>
  <c r="F2255" i="2"/>
  <c r="H2255" i="2"/>
  <c r="F2282" i="2"/>
  <c r="H2282" i="2"/>
  <c r="F2271" i="2"/>
  <c r="H2271" i="2"/>
  <c r="F2296" i="2"/>
  <c r="H2296" i="2"/>
  <c r="F2256" i="2"/>
  <c r="H2256" i="2"/>
  <c r="F2267" i="2"/>
  <c r="H2267" i="2"/>
  <c r="F2306" i="2"/>
  <c r="H2306" i="2"/>
  <c r="F2294" i="2"/>
  <c r="H2294" i="2"/>
  <c r="F2266" i="2"/>
  <c r="H2266" i="2"/>
  <c r="F2254" i="2"/>
  <c r="H2254" i="2"/>
  <c r="F2305" i="2"/>
  <c r="H2305" i="2"/>
  <c r="F2293" i="2"/>
  <c r="H2293" i="2"/>
  <c r="F2281" i="2"/>
  <c r="H2281" i="2"/>
  <c r="F2265" i="2"/>
  <c r="H2265" i="2"/>
  <c r="F2280" i="2"/>
  <c r="H2280" i="2"/>
  <c r="F2285" i="2"/>
  <c r="H2285" i="2"/>
  <c r="F2276" i="2"/>
  <c r="H2276" i="2"/>
  <c r="F2279" i="2"/>
  <c r="H2279" i="2"/>
  <c r="F2292" i="2"/>
  <c r="H2292" i="2"/>
  <c r="F2275" i="2"/>
  <c r="H2275" i="2"/>
  <c r="F2302" i="2"/>
  <c r="H2302" i="2"/>
  <c r="F2278" i="2"/>
  <c r="H2278" i="2"/>
  <c r="F2258" i="2"/>
  <c r="H2258" i="2"/>
  <c r="F2269" i="2"/>
  <c r="H2269" i="2"/>
  <c r="F2304" i="2"/>
  <c r="H2304" i="2"/>
  <c r="F2303" i="2"/>
  <c r="H2303" i="2"/>
  <c r="F2252" i="2"/>
  <c r="H2252" i="2"/>
  <c r="F2262" i="2"/>
  <c r="H2262" i="2"/>
  <c r="F2289" i="2"/>
  <c r="H2289" i="2"/>
  <c r="F2259" i="2"/>
  <c r="H2259" i="2"/>
  <c r="F2277" i="2"/>
  <c r="H2277" i="2"/>
  <c r="F2253" i="2"/>
  <c r="H2253" i="2"/>
  <c r="F2264" i="2"/>
  <c r="H2264" i="2"/>
  <c r="F2263" i="2"/>
  <c r="H2263" i="2"/>
  <c r="F2290" i="2"/>
  <c r="H2290" i="2"/>
  <c r="F2274" i="2"/>
  <c r="H2274" i="2"/>
  <c r="F2251" i="2"/>
  <c r="H2251" i="2"/>
  <c r="F2301" i="2"/>
  <c r="H2301" i="2"/>
  <c r="F2273" i="2"/>
  <c r="H2273" i="2"/>
  <c r="F2261" i="2"/>
  <c r="H2261" i="2"/>
  <c r="F2250" i="2"/>
  <c r="H2250" i="2"/>
  <c r="F2300" i="2"/>
  <c r="H2300" i="2"/>
  <c r="F2288" i="2"/>
  <c r="H2288" i="2"/>
  <c r="F2284" i="2"/>
  <c r="H2284" i="2"/>
  <c r="F2291" i="2"/>
  <c r="H2291" i="2"/>
  <c r="F2272" i="2"/>
  <c r="H2272" i="2"/>
  <c r="F2260" i="2"/>
  <c r="H2260" i="2"/>
  <c r="F2249" i="2"/>
  <c r="H2249" i="2"/>
  <c r="F2299" i="2"/>
  <c r="H2299" i="2"/>
  <c r="F2287" i="2"/>
  <c r="H2287" i="2"/>
  <c r="A2248" i="2"/>
  <c r="A2247" i="2"/>
  <c r="A2272" i="2"/>
  <c r="A2293" i="2"/>
  <c r="A2260" i="2"/>
  <c r="A2256" i="2"/>
  <c r="A2289" i="2"/>
  <c r="A2296" i="2"/>
  <c r="A2271" i="2"/>
  <c r="A2292" i="2"/>
  <c r="A2255" i="2"/>
  <c r="A2276" i="2"/>
  <c r="A2301" i="2"/>
  <c r="A2297" i="2"/>
  <c r="A2264" i="2"/>
  <c r="A2305" i="2"/>
  <c r="A2284" i="2"/>
  <c r="A2263" i="2"/>
  <c r="A2304" i="2"/>
  <c r="A2283" i="2"/>
  <c r="A2268" i="2"/>
  <c r="A2300" i="2"/>
  <c r="A2277" i="2"/>
  <c r="A2287" i="2"/>
  <c r="A2279" i="2"/>
  <c r="A2275" i="2"/>
  <c r="A2259" i="2"/>
  <c r="A2251" i="2"/>
  <c r="A2288" i="2"/>
  <c r="A2280" i="2"/>
  <c r="A2267" i="2"/>
  <c r="A2246" i="2"/>
  <c r="A2274" i="2"/>
  <c r="A2270" i="2"/>
  <c r="A2266" i="2"/>
  <c r="A2262" i="2"/>
  <c r="A2258" i="2"/>
  <c r="A2254" i="2"/>
  <c r="A2250" i="2"/>
  <c r="A2307" i="2"/>
  <c r="A2303" i="2"/>
  <c r="A2299" i="2"/>
  <c r="A2295" i="2"/>
  <c r="A2291" i="2"/>
  <c r="F2246" i="2"/>
  <c r="A2285" i="2"/>
  <c r="A2281" i="2"/>
  <c r="A2273" i="2"/>
  <c r="A2269" i="2"/>
  <c r="A2265" i="2"/>
  <c r="A2261" i="2"/>
  <c r="A2257" i="2"/>
  <c r="A2253" i="2"/>
  <c r="A2249" i="2"/>
  <c r="A2306" i="2"/>
  <c r="A2302" i="2"/>
  <c r="A2298" i="2"/>
  <c r="A2294" i="2"/>
  <c r="A2290" i="2"/>
  <c r="A2286" i="2"/>
  <c r="A2282" i="2"/>
  <c r="A2278" i="2"/>
  <c r="G2216" i="2"/>
  <c r="H2216" i="2" s="1"/>
  <c r="G2217" i="2"/>
  <c r="G2218" i="2"/>
  <c r="G2219" i="2"/>
  <c r="H2219" i="2" s="1"/>
  <c r="G2220" i="2"/>
  <c r="G2221" i="2"/>
  <c r="A2221" i="2" s="1"/>
  <c r="G2222" i="2"/>
  <c r="H2222" i="2" s="1"/>
  <c r="G2223" i="2"/>
  <c r="G2224" i="2"/>
  <c r="G2225" i="2"/>
  <c r="H2225" i="2" s="1"/>
  <c r="G2226" i="2"/>
  <c r="A2226" i="2" s="1"/>
  <c r="G2227" i="2"/>
  <c r="G2228" i="2"/>
  <c r="H2228" i="2" s="1"/>
  <c r="G2229" i="2"/>
  <c r="G2230" i="2"/>
  <c r="H2230" i="2" s="1"/>
  <c r="G2231" i="2"/>
  <c r="H2231" i="2" s="1"/>
  <c r="G2232" i="2"/>
  <c r="G2233" i="2"/>
  <c r="G2234" i="2"/>
  <c r="H2234" i="2" s="1"/>
  <c r="G2235" i="2"/>
  <c r="G2236" i="2"/>
  <c r="A2236" i="2" s="1"/>
  <c r="G2237" i="2"/>
  <c r="H2237" i="2" s="1"/>
  <c r="G2238" i="2"/>
  <c r="G2239" i="2"/>
  <c r="H2239" i="2" s="1"/>
  <c r="G2240" i="2"/>
  <c r="H2240" i="2" s="1"/>
  <c r="G2241" i="2"/>
  <c r="A2241" i="2" s="1"/>
  <c r="G2242" i="2"/>
  <c r="G2243" i="2"/>
  <c r="H2243" i="2" s="1"/>
  <c r="G2244" i="2"/>
  <c r="G2245" i="2"/>
  <c r="A2245" i="2" s="1"/>
  <c r="G2215" i="2"/>
  <c r="G2185" i="2"/>
  <c r="G2186" i="2"/>
  <c r="G2187" i="2"/>
  <c r="G2188" i="2"/>
  <c r="G2189" i="2"/>
  <c r="G2190" i="2"/>
  <c r="G2191" i="2"/>
  <c r="G2192" i="2"/>
  <c r="G2193" i="2"/>
  <c r="G2194" i="2"/>
  <c r="G2195" i="2"/>
  <c r="G2196" i="2"/>
  <c r="G2197" i="2"/>
  <c r="G2198" i="2"/>
  <c r="G2199" i="2"/>
  <c r="G2200" i="2"/>
  <c r="G2201" i="2"/>
  <c r="G2202" i="2"/>
  <c r="G2203" i="2"/>
  <c r="G2204" i="2"/>
  <c r="G2205" i="2"/>
  <c r="G2206" i="2"/>
  <c r="G2207" i="2"/>
  <c r="G2208" i="2"/>
  <c r="G2209" i="2"/>
  <c r="G2210" i="2"/>
  <c r="G2211" i="2"/>
  <c r="G2212" i="2"/>
  <c r="G2213" i="2"/>
  <c r="G2214" i="2"/>
  <c r="G2184" i="2"/>
  <c r="F2216" i="2" l="1"/>
  <c r="A2239" i="2"/>
  <c r="A2234" i="2"/>
  <c r="F2239" i="2"/>
  <c r="A2222" i="2"/>
  <c r="F2209" i="2"/>
  <c r="H2209" i="2"/>
  <c r="F2211" i="2"/>
  <c r="H2211" i="2"/>
  <c r="F2199" i="2"/>
  <c r="H2199" i="2"/>
  <c r="F2187" i="2"/>
  <c r="H2187" i="2"/>
  <c r="F2210" i="2"/>
  <c r="H2210" i="2"/>
  <c r="F2198" i="2"/>
  <c r="H2198" i="2"/>
  <c r="F2186" i="2"/>
  <c r="H2186" i="2"/>
  <c r="F2221" i="2"/>
  <c r="H2221" i="2"/>
  <c r="F2208" i="2"/>
  <c r="H2208" i="2"/>
  <c r="F2196" i="2"/>
  <c r="H2196" i="2"/>
  <c r="F2215" i="2"/>
  <c r="H2215" i="2"/>
  <c r="F2238" i="2"/>
  <c r="H2238" i="2"/>
  <c r="A2219" i="2"/>
  <c r="F2207" i="2"/>
  <c r="H2207" i="2"/>
  <c r="F2227" i="2"/>
  <c r="H2227" i="2"/>
  <c r="F2206" i="2"/>
  <c r="H2206" i="2"/>
  <c r="F2194" i="2"/>
  <c r="H2194" i="2"/>
  <c r="F2245" i="2"/>
  <c r="H2245" i="2"/>
  <c r="F2218" i="2"/>
  <c r="H2218" i="2"/>
  <c r="F2185" i="2"/>
  <c r="H2185" i="2"/>
  <c r="F2193" i="2"/>
  <c r="H2193" i="2"/>
  <c r="F2226" i="2"/>
  <c r="H2226" i="2"/>
  <c r="F2205" i="2"/>
  <c r="H2205" i="2"/>
  <c r="F2244" i="2"/>
  <c r="H2244" i="2"/>
  <c r="F2236" i="2"/>
  <c r="H2236" i="2"/>
  <c r="F2217" i="2"/>
  <c r="H2217" i="2"/>
  <c r="F2204" i="2"/>
  <c r="H2204" i="2"/>
  <c r="F2192" i="2"/>
  <c r="H2192" i="2"/>
  <c r="F2235" i="2"/>
  <c r="H2235" i="2"/>
  <c r="F2220" i="2"/>
  <c r="H2220" i="2"/>
  <c r="F2184" i="2"/>
  <c r="H2184" i="2"/>
  <c r="F2224" i="2"/>
  <c r="H2224" i="2"/>
  <c r="F2214" i="2"/>
  <c r="H2214" i="2"/>
  <c r="F2202" i="2"/>
  <c r="H2202" i="2"/>
  <c r="F2190" i="2"/>
  <c r="H2190" i="2"/>
  <c r="F2223" i="2"/>
  <c r="H2223" i="2"/>
  <c r="F2229" i="2"/>
  <c r="H2229" i="2"/>
  <c r="F2191" i="2"/>
  <c r="H2191" i="2"/>
  <c r="F2213" i="2"/>
  <c r="H2213" i="2"/>
  <c r="F2189" i="2"/>
  <c r="H2189" i="2"/>
  <c r="F2233" i="2"/>
  <c r="H2233" i="2"/>
  <c r="F2195" i="2"/>
  <c r="H2195" i="2"/>
  <c r="F2203" i="2"/>
  <c r="H2203" i="2"/>
  <c r="F2242" i="2"/>
  <c r="H2242" i="2"/>
  <c r="F2201" i="2"/>
  <c r="H2201" i="2"/>
  <c r="F2241" i="2"/>
  <c r="H2241" i="2"/>
  <c r="F2212" i="2"/>
  <c r="H2212" i="2"/>
  <c r="F2200" i="2"/>
  <c r="H2200" i="2"/>
  <c r="F2188" i="2"/>
  <c r="H2188" i="2"/>
  <c r="F2232" i="2"/>
  <c r="H2232" i="2"/>
  <c r="F2197" i="2"/>
  <c r="H2197" i="2"/>
  <c r="A2232" i="2"/>
  <c r="F2234" i="2"/>
  <c r="F2225" i="2"/>
  <c r="A2223" i="2"/>
  <c r="F2230" i="2"/>
  <c r="A2210" i="2"/>
  <c r="A2244" i="2"/>
  <c r="A2227" i="2"/>
  <c r="A2240" i="2"/>
  <c r="A2218" i="2"/>
  <c r="F2243" i="2"/>
  <c r="A2228" i="2"/>
  <c r="A2231" i="2"/>
  <c r="F2228" i="2"/>
  <c r="F2231" i="2"/>
  <c r="A2242" i="2"/>
  <c r="A2229" i="2"/>
  <c r="A2224" i="2"/>
  <c r="A2237" i="2"/>
  <c r="F2237" i="2"/>
  <c r="F2219" i="2"/>
  <c r="A2230" i="2"/>
  <c r="A2217" i="2"/>
  <c r="A2235" i="2"/>
  <c r="A2243" i="2"/>
  <c r="F2240" i="2"/>
  <c r="A2225" i="2"/>
  <c r="F2222" i="2"/>
  <c r="A2238" i="2"/>
  <c r="A2233" i="2"/>
  <c r="A2220" i="2"/>
  <c r="A2207" i="2"/>
  <c r="A2214" i="2"/>
  <c r="A2211" i="2"/>
  <c r="A2206" i="2"/>
  <c r="A2203" i="2"/>
  <c r="A2202" i="2"/>
  <c r="A2200" i="2"/>
  <c r="A2198" i="2"/>
  <c r="A2196" i="2"/>
  <c r="A2194" i="2"/>
  <c r="A2192" i="2"/>
  <c r="A2190" i="2"/>
  <c r="A2188" i="2"/>
  <c r="A2186" i="2"/>
  <c r="A2216" i="2"/>
  <c r="A2184" i="2"/>
  <c r="A2212" i="2"/>
  <c r="A2208" i="2"/>
  <c r="A2204" i="2"/>
  <c r="A2201" i="2"/>
  <c r="A2199" i="2"/>
  <c r="A2197" i="2"/>
  <c r="A2195" i="2"/>
  <c r="A2193" i="2"/>
  <c r="A2191" i="2"/>
  <c r="A2189" i="2"/>
  <c r="A2187" i="2"/>
  <c r="A2185" i="2"/>
  <c r="A2215" i="2"/>
  <c r="A2213" i="2"/>
  <c r="A2209" i="2"/>
  <c r="A2205" i="2"/>
  <c r="G2154" i="2"/>
  <c r="H2154" i="2" s="1"/>
  <c r="G2155" i="2"/>
  <c r="H2155" i="2" s="1"/>
  <c r="G2156" i="2"/>
  <c r="H2156" i="2" s="1"/>
  <c r="G2157" i="2"/>
  <c r="H2157" i="2" s="1"/>
  <c r="G2158" i="2"/>
  <c r="H2158" i="2" s="1"/>
  <c r="G2159" i="2"/>
  <c r="H2159" i="2" s="1"/>
  <c r="G2160" i="2"/>
  <c r="H2160" i="2" s="1"/>
  <c r="G2161" i="2"/>
  <c r="H2161" i="2" s="1"/>
  <c r="G2162" i="2"/>
  <c r="H2162" i="2" s="1"/>
  <c r="G2163" i="2"/>
  <c r="H2163" i="2" s="1"/>
  <c r="G2164" i="2"/>
  <c r="H2164" i="2" s="1"/>
  <c r="G2165" i="2"/>
  <c r="H2165" i="2" s="1"/>
  <c r="G2166" i="2"/>
  <c r="H2166" i="2" s="1"/>
  <c r="G2167" i="2"/>
  <c r="H2167" i="2" s="1"/>
  <c r="G2168" i="2"/>
  <c r="H2168" i="2" s="1"/>
  <c r="G2169" i="2"/>
  <c r="H2169" i="2" s="1"/>
  <c r="G2170" i="2"/>
  <c r="H2170" i="2" s="1"/>
  <c r="G2171" i="2"/>
  <c r="H2171" i="2" s="1"/>
  <c r="G2172" i="2"/>
  <c r="H2172" i="2" s="1"/>
  <c r="G2173" i="2"/>
  <c r="H2173" i="2" s="1"/>
  <c r="G2174" i="2"/>
  <c r="H2174" i="2" s="1"/>
  <c r="G2175" i="2"/>
  <c r="H2175" i="2" s="1"/>
  <c r="G2176" i="2"/>
  <c r="H2176" i="2" s="1"/>
  <c r="G2177" i="2"/>
  <c r="H2177" i="2" s="1"/>
  <c r="G2178" i="2"/>
  <c r="H2178" i="2" s="1"/>
  <c r="G2179" i="2"/>
  <c r="H2179" i="2" s="1"/>
  <c r="G2180" i="2"/>
  <c r="H2180" i="2" s="1"/>
  <c r="G2181" i="2"/>
  <c r="H2181" i="2" s="1"/>
  <c r="G2182" i="2"/>
  <c r="H2182" i="2" s="1"/>
  <c r="G2183" i="2"/>
  <c r="G2153" i="2"/>
  <c r="H2153" i="2" s="1"/>
  <c r="G2123" i="2"/>
  <c r="G2124" i="2"/>
  <c r="G2125" i="2"/>
  <c r="G2126" i="2"/>
  <c r="G2127" i="2"/>
  <c r="G2128" i="2"/>
  <c r="G2129" i="2"/>
  <c r="G2130" i="2"/>
  <c r="G2131" i="2"/>
  <c r="G2132" i="2"/>
  <c r="G2133" i="2"/>
  <c r="G2134" i="2"/>
  <c r="G2135" i="2"/>
  <c r="G2136" i="2"/>
  <c r="G2137" i="2"/>
  <c r="G2138" i="2"/>
  <c r="G2139" i="2"/>
  <c r="G2140" i="2"/>
  <c r="G2141" i="2"/>
  <c r="G2142" i="2"/>
  <c r="G2143" i="2"/>
  <c r="G2144" i="2"/>
  <c r="G2145" i="2"/>
  <c r="G2146" i="2"/>
  <c r="G2147" i="2"/>
  <c r="G2148" i="2"/>
  <c r="G2149" i="2"/>
  <c r="G2150" i="2"/>
  <c r="G2151" i="2"/>
  <c r="G2152" i="2"/>
  <c r="G2122" i="2"/>
  <c r="H2122" i="2" s="1"/>
  <c r="A2156" i="2" l="1"/>
  <c r="A2172" i="2"/>
  <c r="A2164" i="2"/>
  <c r="A2180" i="2"/>
  <c r="A2160" i="2"/>
  <c r="A2168" i="2"/>
  <c r="A2176" i="2"/>
  <c r="F2129" i="2"/>
  <c r="H2129" i="2"/>
  <c r="F2152" i="2"/>
  <c r="H2152" i="2"/>
  <c r="F2140" i="2"/>
  <c r="H2140" i="2"/>
  <c r="F2128" i="2"/>
  <c r="H2128" i="2"/>
  <c r="F2139" i="2"/>
  <c r="H2139" i="2"/>
  <c r="F2150" i="2"/>
  <c r="H2150" i="2"/>
  <c r="F2138" i="2"/>
  <c r="H2138" i="2"/>
  <c r="F2126" i="2"/>
  <c r="H2126" i="2"/>
  <c r="A2178" i="2"/>
  <c r="A2170" i="2"/>
  <c r="A2162" i="2"/>
  <c r="F2125" i="2"/>
  <c r="H2125" i="2"/>
  <c r="F2148" i="2"/>
  <c r="H2148" i="2"/>
  <c r="F2136" i="2"/>
  <c r="H2136" i="2"/>
  <c r="F2124" i="2"/>
  <c r="H2124" i="2"/>
  <c r="F2149" i="2"/>
  <c r="H2149" i="2"/>
  <c r="F2135" i="2"/>
  <c r="H2135" i="2"/>
  <c r="F2123" i="2"/>
  <c r="H2123" i="2"/>
  <c r="F2146" i="2"/>
  <c r="H2146" i="2"/>
  <c r="F2134" i="2"/>
  <c r="H2134" i="2"/>
  <c r="F2145" i="2"/>
  <c r="H2145" i="2"/>
  <c r="F2141" i="2"/>
  <c r="H2141" i="2"/>
  <c r="F2137" i="2"/>
  <c r="H2137" i="2"/>
  <c r="F2147" i="2"/>
  <c r="H2147" i="2"/>
  <c r="F2133" i="2"/>
  <c r="H2133" i="2"/>
  <c r="F2183" i="2"/>
  <c r="H2183" i="2"/>
  <c r="F2144" i="2"/>
  <c r="H2144" i="2"/>
  <c r="F2132" i="2"/>
  <c r="H2132" i="2"/>
  <c r="A2182" i="2"/>
  <c r="A2174" i="2"/>
  <c r="A2166" i="2"/>
  <c r="A2158" i="2"/>
  <c r="F2151" i="2"/>
  <c r="H2151" i="2"/>
  <c r="F2127" i="2"/>
  <c r="H2127" i="2"/>
  <c r="F2143" i="2"/>
  <c r="H2143" i="2"/>
  <c r="F2131" i="2"/>
  <c r="H2131" i="2"/>
  <c r="F2142" i="2"/>
  <c r="H2142" i="2"/>
  <c r="F2130" i="2"/>
  <c r="H2130" i="2"/>
  <c r="A2147" i="2"/>
  <c r="A2139" i="2"/>
  <c r="A2142" i="2"/>
  <c r="A2134" i="2"/>
  <c r="A2154" i="2"/>
  <c r="A2126" i="2"/>
  <c r="A2131" i="2"/>
  <c r="A2150" i="2"/>
  <c r="A2123" i="2"/>
  <c r="A2146" i="2"/>
  <c r="A2138" i="2"/>
  <c r="A2130" i="2"/>
  <c r="F2153" i="2"/>
  <c r="A2181" i="2"/>
  <c r="A2179" i="2"/>
  <c r="A2177" i="2"/>
  <c r="A2175" i="2"/>
  <c r="A2173" i="2"/>
  <c r="A2171" i="2"/>
  <c r="A2169" i="2"/>
  <c r="A2167" i="2"/>
  <c r="A2165" i="2"/>
  <c r="A2163" i="2"/>
  <c r="A2161" i="2"/>
  <c r="A2159" i="2"/>
  <c r="A2157" i="2"/>
  <c r="A2155" i="2"/>
  <c r="A2122" i="2"/>
  <c r="A2151" i="2"/>
  <c r="A2143" i="2"/>
  <c r="A2135" i="2"/>
  <c r="A2127" i="2"/>
  <c r="A2153" i="2"/>
  <c r="A2152" i="2"/>
  <c r="A2148" i="2"/>
  <c r="A2144" i="2"/>
  <c r="A2140" i="2"/>
  <c r="A2136" i="2"/>
  <c r="A2128" i="2"/>
  <c r="A2132" i="2"/>
  <c r="A2124" i="2"/>
  <c r="A2149" i="2"/>
  <c r="A2145" i="2"/>
  <c r="A2141" i="2"/>
  <c r="A2137" i="2"/>
  <c r="A2133" i="2"/>
  <c r="A2129" i="2"/>
  <c r="A2125" i="2"/>
  <c r="A2183" i="2"/>
  <c r="F2182" i="2"/>
  <c r="F2181" i="2"/>
  <c r="F2180" i="2"/>
  <c r="F2179" i="2"/>
  <c r="F2178" i="2"/>
  <c r="F2177" i="2"/>
  <c r="F2176" i="2"/>
  <c r="F2175" i="2"/>
  <c r="F2174" i="2"/>
  <c r="F2173" i="2"/>
  <c r="F2172" i="2"/>
  <c r="F2171" i="2"/>
  <c r="F2170" i="2"/>
  <c r="F2169" i="2"/>
  <c r="F2168" i="2"/>
  <c r="F2167" i="2"/>
  <c r="F2166" i="2"/>
  <c r="F2165" i="2"/>
  <c r="F2164" i="2"/>
  <c r="F2163" i="2"/>
  <c r="F2162" i="2"/>
  <c r="F2161" i="2"/>
  <c r="F2160" i="2"/>
  <c r="F2159" i="2"/>
  <c r="F2158" i="2"/>
  <c r="F2157" i="2"/>
  <c r="F2156" i="2"/>
  <c r="F2155" i="2"/>
  <c r="F2154" i="2"/>
  <c r="F2122" i="2"/>
  <c r="G2092" i="2"/>
  <c r="G2093" i="2"/>
  <c r="G2094" i="2"/>
  <c r="H2094" i="2" s="1"/>
  <c r="G2095" i="2"/>
  <c r="G2096" i="2"/>
  <c r="H2096" i="2" s="1"/>
  <c r="G2097" i="2"/>
  <c r="G2098" i="2"/>
  <c r="H2098" i="2" s="1"/>
  <c r="G2099" i="2"/>
  <c r="G2100" i="2"/>
  <c r="A2100" i="2" s="1"/>
  <c r="G2101" i="2"/>
  <c r="H2101" i="2" s="1"/>
  <c r="G2102" i="2"/>
  <c r="H2102" i="2" s="1"/>
  <c r="G2103" i="2"/>
  <c r="G2104" i="2"/>
  <c r="G2105" i="2"/>
  <c r="H2105" i="2" s="1"/>
  <c r="G2106" i="2"/>
  <c r="H2106" i="2" s="1"/>
  <c r="G2107" i="2"/>
  <c r="G2108" i="2"/>
  <c r="H2108" i="2" s="1"/>
  <c r="G2109" i="2"/>
  <c r="H2109" i="2" s="1"/>
  <c r="G2110" i="2"/>
  <c r="H2110" i="2" s="1"/>
  <c r="G2111" i="2"/>
  <c r="G2112" i="2"/>
  <c r="H2112" i="2" s="1"/>
  <c r="G2113" i="2"/>
  <c r="H2113" i="2" s="1"/>
  <c r="G2114" i="2"/>
  <c r="H2114" i="2" s="1"/>
  <c r="G2115" i="2"/>
  <c r="A2115" i="2" s="1"/>
  <c r="G2116" i="2"/>
  <c r="G2117" i="2"/>
  <c r="H2117" i="2" s="1"/>
  <c r="G2118" i="2"/>
  <c r="H2118" i="2" s="1"/>
  <c r="G2119" i="2"/>
  <c r="G2120" i="2"/>
  <c r="H2120" i="2" s="1"/>
  <c r="G2121" i="2"/>
  <c r="H2121" i="2" s="1"/>
  <c r="G2091" i="2"/>
  <c r="H2091" i="2" s="1"/>
  <c r="A2112" i="2" l="1"/>
  <c r="F2121" i="2"/>
  <c r="F2112" i="2"/>
  <c r="F2118" i="2"/>
  <c r="F2114" i="2"/>
  <c r="A2106" i="2"/>
  <c r="F2106" i="2"/>
  <c r="F2105" i="2"/>
  <c r="F2120" i="2"/>
  <c r="F2102" i="2"/>
  <c r="F2108" i="2"/>
  <c r="A2120" i="2"/>
  <c r="A2118" i="2"/>
  <c r="F2096" i="2"/>
  <c r="A2114" i="2"/>
  <c r="F2119" i="2"/>
  <c r="H2119" i="2"/>
  <c r="F2095" i="2"/>
  <c r="H2095" i="2"/>
  <c r="F2107" i="2"/>
  <c r="H2107" i="2"/>
  <c r="F2093" i="2"/>
  <c r="H2093" i="2"/>
  <c r="A2117" i="2"/>
  <c r="A2102" i="2"/>
  <c r="F2116" i="2"/>
  <c r="H2116" i="2"/>
  <c r="F2104" i="2"/>
  <c r="H2104" i="2"/>
  <c r="F2092" i="2"/>
  <c r="H2092" i="2"/>
  <c r="F2111" i="2"/>
  <c r="H2111" i="2"/>
  <c r="F2103" i="2"/>
  <c r="H2103" i="2"/>
  <c r="A2101" i="2"/>
  <c r="F2097" i="2"/>
  <c r="H2097" i="2"/>
  <c r="F2115" i="2"/>
  <c r="H2115" i="2"/>
  <c r="F2099" i="2"/>
  <c r="H2099" i="2"/>
  <c r="A2111" i="2"/>
  <c r="A2109" i="2"/>
  <c r="A2099" i="2"/>
  <c r="F2100" i="2"/>
  <c r="H2100" i="2"/>
  <c r="F2098" i="2"/>
  <c r="F2110" i="2"/>
  <c r="F2113" i="2"/>
  <c r="A2107" i="2"/>
  <c r="A2110" i="2"/>
  <c r="A2104" i="2"/>
  <c r="A2119" i="2"/>
  <c r="F2091" i="2"/>
  <c r="A2091" i="2"/>
  <c r="A2116" i="2"/>
  <c r="A2092" i="2"/>
  <c r="A2096" i="2"/>
  <c r="A2108" i="2"/>
  <c r="A2098" i="2"/>
  <c r="A2094" i="2"/>
  <c r="A2121" i="2"/>
  <c r="F2117" i="2"/>
  <c r="A2113" i="2"/>
  <c r="F2109" i="2"/>
  <c r="A2105" i="2"/>
  <c r="F2101" i="2"/>
  <c r="F2094" i="2"/>
  <c r="A2097" i="2"/>
  <c r="A2103" i="2"/>
  <c r="A2095" i="2"/>
  <c r="A2093" i="2"/>
  <c r="G2061" i="2"/>
  <c r="G2062" i="2"/>
  <c r="G2063" i="2"/>
  <c r="G2064" i="2"/>
  <c r="G2065" i="2"/>
  <c r="A2065" i="2" s="1"/>
  <c r="G2066" i="2"/>
  <c r="G2067" i="2"/>
  <c r="G2068" i="2"/>
  <c r="G2069" i="2"/>
  <c r="G2070" i="2"/>
  <c r="G2071" i="2"/>
  <c r="G2072" i="2"/>
  <c r="G2073" i="2"/>
  <c r="G2074" i="2"/>
  <c r="G2075" i="2"/>
  <c r="G2076" i="2"/>
  <c r="G2077" i="2"/>
  <c r="G2078" i="2"/>
  <c r="G2079" i="2"/>
  <c r="G2080" i="2"/>
  <c r="G2081" i="2"/>
  <c r="A2081" i="2" s="1"/>
  <c r="G2082" i="2"/>
  <c r="A2082" i="2" s="1"/>
  <c r="G2083" i="2"/>
  <c r="G2084" i="2"/>
  <c r="A2084" i="2" s="1"/>
  <c r="G2085" i="2"/>
  <c r="A2085" i="2" s="1"/>
  <c r="G2086" i="2"/>
  <c r="G2087" i="2"/>
  <c r="G2088" i="2"/>
  <c r="G2089" i="2"/>
  <c r="G2090" i="2"/>
  <c r="G2060" i="2"/>
  <c r="H2060" i="2" s="1"/>
  <c r="F2083" i="2" l="1"/>
  <c r="H2083" i="2"/>
  <c r="F2073" i="2"/>
  <c r="H2073" i="2"/>
  <c r="F2062" i="2"/>
  <c r="H2062" i="2"/>
  <c r="F2061" i="2"/>
  <c r="H2061" i="2"/>
  <c r="F2082" i="2"/>
  <c r="H2082" i="2"/>
  <c r="F2075" i="2"/>
  <c r="H2075" i="2"/>
  <c r="F2071" i="2"/>
  <c r="H2071" i="2"/>
  <c r="F2090" i="2"/>
  <c r="H2090" i="2"/>
  <c r="F2070" i="2"/>
  <c r="H2070" i="2"/>
  <c r="F2072" i="2"/>
  <c r="H2072" i="2"/>
  <c r="F2081" i="2"/>
  <c r="H2081" i="2"/>
  <c r="F2088" i="2"/>
  <c r="H2088" i="2"/>
  <c r="F2068" i="2"/>
  <c r="H2068" i="2"/>
  <c r="F2080" i="2"/>
  <c r="H2080" i="2"/>
  <c r="F2087" i="2"/>
  <c r="H2087" i="2"/>
  <c r="F2079" i="2"/>
  <c r="H2079" i="2"/>
  <c r="F2067" i="2"/>
  <c r="H2067" i="2"/>
  <c r="F2064" i="2"/>
  <c r="H2064" i="2"/>
  <c r="F2086" i="2"/>
  <c r="H2086" i="2"/>
  <c r="F2069" i="2"/>
  <c r="H2069" i="2"/>
  <c r="F2078" i="2"/>
  <c r="H2078" i="2"/>
  <c r="F2066" i="2"/>
  <c r="H2066" i="2"/>
  <c r="F2077" i="2"/>
  <c r="H2077" i="2"/>
  <c r="F2089" i="2"/>
  <c r="H2089" i="2"/>
  <c r="F2085" i="2"/>
  <c r="H2085" i="2"/>
  <c r="F2076" i="2"/>
  <c r="H2076" i="2"/>
  <c r="F2065" i="2"/>
  <c r="H2065" i="2"/>
  <c r="F2084" i="2"/>
  <c r="H2084" i="2"/>
  <c r="F2074" i="2"/>
  <c r="H2074" i="2"/>
  <c r="F2063" i="2"/>
  <c r="H2063" i="2"/>
  <c r="A2076" i="2"/>
  <c r="A2074" i="2"/>
  <c r="A2072" i="2"/>
  <c r="A2070" i="2"/>
  <c r="A2064" i="2"/>
  <c r="A2069" i="2"/>
  <c r="A2089" i="2"/>
  <c r="A2068" i="2"/>
  <c r="A2088" i="2"/>
  <c r="A2077" i="2"/>
  <c r="A2086" i="2"/>
  <c r="A2073" i="2"/>
  <c r="A2079" i="2"/>
  <c r="A2067" i="2"/>
  <c r="A2087" i="2"/>
  <c r="A2075" i="2"/>
  <c r="A2080" i="2"/>
  <c r="A2078" i="2"/>
  <c r="A2066" i="2"/>
  <c r="A2090" i="2"/>
  <c r="A2083" i="2"/>
  <c r="A2071" i="2"/>
  <c r="A2063" i="2"/>
  <c r="A2062" i="2"/>
  <c r="A2061" i="2"/>
  <c r="F2060" i="2"/>
  <c r="A2060" i="2"/>
  <c r="G2030" i="2"/>
  <c r="G2031" i="2"/>
  <c r="G2032" i="2"/>
  <c r="G2033" i="2"/>
  <c r="G2034" i="2"/>
  <c r="G2035" i="2"/>
  <c r="G2036" i="2"/>
  <c r="G2037" i="2"/>
  <c r="G2038" i="2"/>
  <c r="G2039" i="2"/>
  <c r="G2040" i="2"/>
  <c r="G2041" i="2"/>
  <c r="G2042" i="2"/>
  <c r="G2043" i="2"/>
  <c r="G2044" i="2"/>
  <c r="G2045" i="2"/>
  <c r="G2046" i="2"/>
  <c r="G2047" i="2"/>
  <c r="G2048" i="2"/>
  <c r="G2049" i="2"/>
  <c r="G2050" i="2"/>
  <c r="G2051" i="2"/>
  <c r="G2052" i="2"/>
  <c r="G2053" i="2"/>
  <c r="G2054" i="2"/>
  <c r="G2055" i="2"/>
  <c r="G2056" i="2"/>
  <c r="G2057" i="2"/>
  <c r="G2058" i="2"/>
  <c r="G2059" i="2"/>
  <c r="G2029" i="2"/>
  <c r="H2029" i="2" s="1"/>
  <c r="F2049" i="2" l="1"/>
  <c r="H2049" i="2"/>
  <c r="F2035" i="2"/>
  <c r="H2035" i="2"/>
  <c r="F2040" i="2"/>
  <c r="H2040" i="2"/>
  <c r="F2039" i="2"/>
  <c r="H2039" i="2"/>
  <c r="F2050" i="2"/>
  <c r="H2050" i="2"/>
  <c r="F2038" i="2"/>
  <c r="H2038" i="2"/>
  <c r="F2048" i="2"/>
  <c r="H2048" i="2"/>
  <c r="F2036" i="2"/>
  <c r="H2036" i="2"/>
  <c r="F2058" i="2"/>
  <c r="H2058" i="2"/>
  <c r="F2046" i="2"/>
  <c r="H2046" i="2"/>
  <c r="F2034" i="2"/>
  <c r="H2034" i="2"/>
  <c r="F2059" i="2"/>
  <c r="H2059" i="2"/>
  <c r="F2057" i="2"/>
  <c r="H2057" i="2"/>
  <c r="F2033" i="2"/>
  <c r="H2033" i="2"/>
  <c r="F2047" i="2"/>
  <c r="H2047" i="2"/>
  <c r="F2045" i="2"/>
  <c r="H2045" i="2"/>
  <c r="F2056" i="2"/>
  <c r="H2056" i="2"/>
  <c r="F2044" i="2"/>
  <c r="H2044" i="2"/>
  <c r="F2032" i="2"/>
  <c r="H2032" i="2"/>
  <c r="F2037" i="2"/>
  <c r="H2037" i="2"/>
  <c r="F2043" i="2"/>
  <c r="H2043" i="2"/>
  <c r="F2055" i="2"/>
  <c r="H2055" i="2"/>
  <c r="F2031" i="2"/>
  <c r="H2031" i="2"/>
  <c r="F2054" i="2"/>
  <c r="H2054" i="2"/>
  <c r="F2042" i="2"/>
  <c r="H2042" i="2"/>
  <c r="F2030" i="2"/>
  <c r="H2030" i="2"/>
  <c r="F2053" i="2"/>
  <c r="H2053" i="2"/>
  <c r="F2052" i="2"/>
  <c r="H2052" i="2"/>
  <c r="F2041" i="2"/>
  <c r="H2041" i="2"/>
  <c r="F2051" i="2"/>
  <c r="H2051" i="2"/>
  <c r="A2059" i="2"/>
  <c r="A2045" i="2"/>
  <c r="A2056" i="2"/>
  <c r="A2042" i="2"/>
  <c r="A2037" i="2"/>
  <c r="A2051" i="2"/>
  <c r="A2034" i="2"/>
  <c r="F2029" i="2"/>
  <c r="A2044" i="2"/>
  <c r="A2038" i="2"/>
  <c r="A2055" i="2"/>
  <c r="A2052" i="2"/>
  <c r="A2041" i="2"/>
  <c r="A2033" i="2"/>
  <c r="A2030" i="2"/>
  <c r="A2048" i="2"/>
  <c r="A2058" i="2"/>
  <c r="A2054" i="2"/>
  <c r="A2050" i="2"/>
  <c r="A2047" i="2"/>
  <c r="A2043" i="2"/>
  <c r="A2039" i="2"/>
  <c r="A2035" i="2"/>
  <c r="A2031" i="2"/>
  <c r="A2040" i="2"/>
  <c r="A2036" i="2"/>
  <c r="A2032" i="2"/>
  <c r="A2029" i="2"/>
  <c r="A2057" i="2"/>
  <c r="A2053" i="2"/>
  <c r="A2049" i="2"/>
  <c r="A2046" i="2"/>
  <c r="G1999" i="2"/>
  <c r="A1999" i="2" s="1"/>
  <c r="G2000" i="2"/>
  <c r="G2001" i="2"/>
  <c r="A2001" i="2" s="1"/>
  <c r="G2002" i="2"/>
  <c r="G2003" i="2"/>
  <c r="G2004" i="2"/>
  <c r="G2005" i="2"/>
  <c r="G2006" i="2"/>
  <c r="G2007" i="2"/>
  <c r="G2008" i="2"/>
  <c r="H2008" i="2" s="1"/>
  <c r="G2009" i="2"/>
  <c r="H2009" i="2" s="1"/>
  <c r="G2010" i="2"/>
  <c r="H2010" i="2" s="1"/>
  <c r="G2011" i="2"/>
  <c r="G2012" i="2"/>
  <c r="G2013" i="2"/>
  <c r="G2014" i="2"/>
  <c r="G2015" i="2"/>
  <c r="G2016" i="2"/>
  <c r="G2017" i="2"/>
  <c r="G2018" i="2"/>
  <c r="G2019" i="2"/>
  <c r="G2020" i="2"/>
  <c r="G2021" i="2"/>
  <c r="G2022" i="2"/>
  <c r="G2023" i="2"/>
  <c r="G2024" i="2"/>
  <c r="G2025" i="2"/>
  <c r="G2026" i="2"/>
  <c r="G2027" i="2"/>
  <c r="G2028" i="2"/>
  <c r="G1998" i="2"/>
  <c r="H1998" i="2" s="1"/>
  <c r="F2011" i="2" l="1"/>
  <c r="H2011" i="2"/>
  <c r="F2014" i="2"/>
  <c r="H2014" i="2"/>
  <c r="F2013" i="2"/>
  <c r="H2013" i="2"/>
  <c r="F2024" i="2"/>
  <c r="H2024" i="2"/>
  <c r="F2012" i="2"/>
  <c r="H2012" i="2"/>
  <c r="F2001" i="2"/>
  <c r="H2001" i="2"/>
  <c r="F2022" i="2"/>
  <c r="H2022" i="2"/>
  <c r="F1999" i="2"/>
  <c r="H1999" i="2"/>
  <c r="F2023" i="2"/>
  <c r="H2023" i="2"/>
  <c r="F2007" i="2"/>
  <c r="H2007" i="2"/>
  <c r="F2019" i="2"/>
  <c r="H2019" i="2"/>
  <c r="F2018" i="2"/>
  <c r="H2018" i="2"/>
  <c r="F2006" i="2"/>
  <c r="H2006" i="2"/>
  <c r="F2000" i="2"/>
  <c r="H2000" i="2"/>
  <c r="F2020" i="2"/>
  <c r="H2020" i="2"/>
  <c r="F2017" i="2"/>
  <c r="H2017" i="2"/>
  <c r="F2005" i="2"/>
  <c r="H2005" i="2"/>
  <c r="F2028" i="2"/>
  <c r="H2028" i="2"/>
  <c r="F2016" i="2"/>
  <c r="H2016" i="2"/>
  <c r="F2004" i="2"/>
  <c r="H2004" i="2"/>
  <c r="F2021" i="2"/>
  <c r="H2021" i="2"/>
  <c r="F2027" i="2"/>
  <c r="H2027" i="2"/>
  <c r="F2015" i="2"/>
  <c r="H2015" i="2"/>
  <c r="F2003" i="2"/>
  <c r="H2003" i="2"/>
  <c r="F2026" i="2"/>
  <c r="H2026" i="2"/>
  <c r="F2002" i="2"/>
  <c r="H2002" i="2"/>
  <c r="F2025" i="2"/>
  <c r="H2025" i="2"/>
  <c r="A2007" i="2"/>
  <c r="A2006" i="2"/>
  <c r="A2005" i="2"/>
  <c r="A2004" i="2"/>
  <c r="A2003" i="2"/>
  <c r="A2002" i="2"/>
  <c r="A1998" i="2"/>
  <c r="A2000" i="2"/>
  <c r="A2028" i="2"/>
  <c r="F2010" i="2"/>
  <c r="F2009" i="2"/>
  <c r="F2008" i="2"/>
  <c r="A2010" i="2"/>
  <c r="A2008" i="2"/>
  <c r="A2009" i="2"/>
  <c r="A2027" i="2"/>
  <c r="A2026" i="2"/>
  <c r="A2025" i="2"/>
  <c r="A2024" i="2"/>
  <c r="A2023" i="2"/>
  <c r="A2022" i="2"/>
  <c r="A2021" i="2"/>
  <c r="A2020" i="2"/>
  <c r="A2019" i="2"/>
  <c r="A2018" i="2"/>
  <c r="A2017" i="2"/>
  <c r="A2016" i="2"/>
  <c r="A2015" i="2"/>
  <c r="A2014" i="2"/>
  <c r="A2013" i="2"/>
  <c r="A2012" i="2"/>
  <c r="A2011" i="2"/>
  <c r="F1998" i="2"/>
  <c r="G1968" i="2"/>
  <c r="G1969" i="2"/>
  <c r="G1970" i="2"/>
  <c r="G1971" i="2"/>
  <c r="G1972" i="2"/>
  <c r="G1973" i="2"/>
  <c r="G1974" i="2"/>
  <c r="G1975" i="2"/>
  <c r="G1976" i="2"/>
  <c r="G1977" i="2"/>
  <c r="G1978" i="2"/>
  <c r="G1979" i="2"/>
  <c r="A1979" i="2" s="1"/>
  <c r="G1980" i="2"/>
  <c r="G1981" i="2"/>
  <c r="G1982" i="2"/>
  <c r="G1983" i="2"/>
  <c r="G1984" i="2"/>
  <c r="G1985" i="2"/>
  <c r="G1986" i="2"/>
  <c r="G1987" i="2"/>
  <c r="G1988" i="2"/>
  <c r="G1989" i="2"/>
  <c r="G1990" i="2"/>
  <c r="G1991" i="2"/>
  <c r="G1992" i="2"/>
  <c r="G1993" i="2"/>
  <c r="G1994" i="2"/>
  <c r="G1995" i="2"/>
  <c r="G1996" i="2"/>
  <c r="G1997" i="2"/>
  <c r="G1967" i="2"/>
  <c r="H1967" i="2" s="1"/>
  <c r="F1975" i="2" l="1"/>
  <c r="H1975" i="2"/>
  <c r="F1994" i="2"/>
  <c r="H1994" i="2"/>
  <c r="F1988" i="2"/>
  <c r="H1988" i="2"/>
  <c r="F1987" i="2"/>
  <c r="H1987" i="2"/>
  <c r="F1976" i="2"/>
  <c r="H1976" i="2"/>
  <c r="F1997" i="2"/>
  <c r="H1997" i="2"/>
  <c r="F1985" i="2"/>
  <c r="H1985" i="2"/>
  <c r="F1974" i="2"/>
  <c r="H1974" i="2"/>
  <c r="F1984" i="2"/>
  <c r="H1984" i="2"/>
  <c r="F1986" i="2"/>
  <c r="H1986" i="2"/>
  <c r="F1996" i="2"/>
  <c r="H1996" i="2"/>
  <c r="F1973" i="2"/>
  <c r="H1973" i="2"/>
  <c r="F1995" i="2"/>
  <c r="H1995" i="2"/>
  <c r="F1983" i="2"/>
  <c r="H1983" i="2"/>
  <c r="F1972" i="2"/>
  <c r="H1972" i="2"/>
  <c r="F1971" i="2"/>
  <c r="H1971" i="2"/>
  <c r="F1982" i="2"/>
  <c r="H1982" i="2"/>
  <c r="F1993" i="2"/>
  <c r="H1993" i="2"/>
  <c r="F1981" i="2"/>
  <c r="H1981" i="2"/>
  <c r="F1970" i="2"/>
  <c r="H1970" i="2"/>
  <c r="F1969" i="2"/>
  <c r="H1969" i="2"/>
  <c r="F1991" i="2"/>
  <c r="H1991" i="2"/>
  <c r="F1968" i="2"/>
  <c r="H1968" i="2"/>
  <c r="F1992" i="2"/>
  <c r="H1992" i="2"/>
  <c r="F1990" i="2"/>
  <c r="H1990" i="2"/>
  <c r="F1979" i="2"/>
  <c r="H1979" i="2"/>
  <c r="F1980" i="2"/>
  <c r="H1980" i="2"/>
  <c r="F1989" i="2"/>
  <c r="H1989" i="2"/>
  <c r="F1978" i="2"/>
  <c r="H1978" i="2"/>
  <c r="F1977" i="2"/>
  <c r="H1977" i="2"/>
  <c r="A1985" i="2"/>
  <c r="A1996" i="2"/>
  <c r="A1986" i="2"/>
  <c r="A1993" i="2"/>
  <c r="A1973" i="2"/>
  <c r="A1969" i="2"/>
  <c r="A1976" i="2"/>
  <c r="A1988" i="2"/>
  <c r="A1982" i="2"/>
  <c r="A1981" i="2"/>
  <c r="A1972" i="2"/>
  <c r="A1997" i="2"/>
  <c r="A1992" i="2"/>
  <c r="A1989" i="2"/>
  <c r="A1968" i="2"/>
  <c r="A1977" i="2"/>
  <c r="A1974" i="2"/>
  <c r="A1970" i="2"/>
  <c r="A1994" i="2"/>
  <c r="A1990" i="2"/>
  <c r="A1983" i="2"/>
  <c r="A1980" i="2"/>
  <c r="A1978" i="2"/>
  <c r="A1975" i="2"/>
  <c r="A1971" i="2"/>
  <c r="A1967" i="2"/>
  <c r="A1995" i="2"/>
  <c r="A1991" i="2"/>
  <c r="A1987" i="2"/>
  <c r="A1984" i="2"/>
  <c r="F1967" i="2"/>
  <c r="G1937" i="2"/>
  <c r="G1938" i="2"/>
  <c r="G1939" i="2"/>
  <c r="G1940" i="2"/>
  <c r="G1941" i="2"/>
  <c r="G1942" i="2"/>
  <c r="G1943" i="2"/>
  <c r="G1944" i="2"/>
  <c r="G1945" i="2"/>
  <c r="G1946" i="2"/>
  <c r="G1947" i="2"/>
  <c r="G1948" i="2"/>
  <c r="G1949" i="2"/>
  <c r="A1949" i="2" s="1"/>
  <c r="G1950" i="2"/>
  <c r="G1951" i="2"/>
  <c r="G1952" i="2"/>
  <c r="G1953" i="2"/>
  <c r="G1954" i="2"/>
  <c r="G1955" i="2"/>
  <c r="G1956" i="2"/>
  <c r="G1957" i="2"/>
  <c r="G1958" i="2"/>
  <c r="G1959" i="2"/>
  <c r="G1960" i="2"/>
  <c r="G1961" i="2"/>
  <c r="G1962" i="2"/>
  <c r="G1963" i="2"/>
  <c r="G1964" i="2"/>
  <c r="G1965" i="2"/>
  <c r="G1966" i="2"/>
  <c r="G1936" i="2"/>
  <c r="F1965" i="2" l="1"/>
  <c r="H1965" i="2"/>
  <c r="F1953" i="2"/>
  <c r="H1953" i="2"/>
  <c r="F1964" i="2"/>
  <c r="H1964" i="2"/>
  <c r="F1952" i="2"/>
  <c r="H1952" i="2"/>
  <c r="F1941" i="2"/>
  <c r="H1941" i="2"/>
  <c r="F1962" i="2"/>
  <c r="H1962" i="2"/>
  <c r="F1950" i="2"/>
  <c r="H1950" i="2"/>
  <c r="F1939" i="2"/>
  <c r="H1939" i="2"/>
  <c r="F1940" i="2"/>
  <c r="H1940" i="2"/>
  <c r="F1960" i="2"/>
  <c r="H1960" i="2"/>
  <c r="F1949" i="2"/>
  <c r="H1949" i="2"/>
  <c r="F1937" i="2"/>
  <c r="H1937" i="2"/>
  <c r="F1959" i="2"/>
  <c r="H1959" i="2"/>
  <c r="F1958" i="2"/>
  <c r="H1958" i="2"/>
  <c r="F1947" i="2"/>
  <c r="H1947" i="2"/>
  <c r="F1938" i="2"/>
  <c r="H1938" i="2"/>
  <c r="F1951" i="2"/>
  <c r="H1951" i="2"/>
  <c r="F1961" i="2"/>
  <c r="H1961" i="2"/>
  <c r="F1957" i="2"/>
  <c r="H1957" i="2"/>
  <c r="F1956" i="2"/>
  <c r="H1956" i="2"/>
  <c r="F1945" i="2"/>
  <c r="H1945" i="2"/>
  <c r="F1955" i="2"/>
  <c r="H1955" i="2"/>
  <c r="F1963" i="2"/>
  <c r="H1963" i="2"/>
  <c r="F1948" i="2"/>
  <c r="H1948" i="2"/>
  <c r="F1946" i="2"/>
  <c r="H1946" i="2"/>
  <c r="F1936" i="2"/>
  <c r="H1936" i="2"/>
  <c r="F1944" i="2"/>
  <c r="H1944" i="2"/>
  <c r="F1966" i="2"/>
  <c r="H1966" i="2"/>
  <c r="F1954" i="2"/>
  <c r="H1954" i="2"/>
  <c r="F1943" i="2"/>
  <c r="H1943" i="2"/>
  <c r="F1942" i="2"/>
  <c r="H1942" i="2"/>
  <c r="A1964" i="2"/>
  <c r="A1965" i="2"/>
  <c r="A1957" i="2"/>
  <c r="A1943" i="2"/>
  <c r="A1956" i="2"/>
  <c r="A1942" i="2"/>
  <c r="A1960" i="2"/>
  <c r="A1952" i="2"/>
  <c r="A1938" i="2"/>
  <c r="A1961" i="2"/>
  <c r="A1953" i="2"/>
  <c r="A1946" i="2"/>
  <c r="A1939" i="2"/>
  <c r="A1966" i="2"/>
  <c r="A1958" i="2"/>
  <c r="A1954" i="2"/>
  <c r="A1950" i="2"/>
  <c r="A1944" i="2"/>
  <c r="A1940" i="2"/>
  <c r="A1962" i="2"/>
  <c r="A1947" i="2"/>
  <c r="A1963" i="2"/>
  <c r="A1959" i="2"/>
  <c r="A1955" i="2"/>
  <c r="A1951" i="2"/>
  <c r="A1948" i="2"/>
  <c r="A1945" i="2"/>
  <c r="A1941" i="2"/>
  <c r="A1937" i="2"/>
  <c r="A1936" i="2"/>
  <c r="G1906" i="2"/>
  <c r="G1907" i="2"/>
  <c r="G1908" i="2"/>
  <c r="G1909" i="2"/>
  <c r="G1910" i="2"/>
  <c r="G1911" i="2"/>
  <c r="G1912" i="2"/>
  <c r="G1913" i="2"/>
  <c r="G1914" i="2"/>
  <c r="G1915" i="2"/>
  <c r="G1916" i="2"/>
  <c r="G1917" i="2"/>
  <c r="G1918" i="2"/>
  <c r="G1919" i="2"/>
  <c r="G1920" i="2"/>
  <c r="G1921" i="2"/>
  <c r="G1922" i="2"/>
  <c r="G1923" i="2"/>
  <c r="G1924" i="2"/>
  <c r="G1925" i="2"/>
  <c r="G1926" i="2"/>
  <c r="H1926" i="2" s="1"/>
  <c r="G1927" i="2"/>
  <c r="H1927" i="2" s="1"/>
  <c r="G1928" i="2"/>
  <c r="H1928" i="2" s="1"/>
  <c r="G1929" i="2"/>
  <c r="H1929" i="2" s="1"/>
  <c r="G1930" i="2"/>
  <c r="H1930" i="2" s="1"/>
  <c r="G1931" i="2"/>
  <c r="H1931" i="2" s="1"/>
  <c r="G1932" i="2"/>
  <c r="H1932" i="2" s="1"/>
  <c r="G1933" i="2"/>
  <c r="H1933" i="2" s="1"/>
  <c r="G1934" i="2"/>
  <c r="H1934" i="2" s="1"/>
  <c r="G1935" i="2"/>
  <c r="H1935" i="2" s="1"/>
  <c r="G1905" i="2"/>
  <c r="H1905" i="2" s="1"/>
  <c r="F1930" i="2" l="1"/>
  <c r="F1906" i="2"/>
  <c r="H1906" i="2"/>
  <c r="F1922" i="2"/>
  <c r="H1922" i="2"/>
  <c r="F1910" i="2"/>
  <c r="H1910" i="2"/>
  <c r="F1921" i="2"/>
  <c r="H1921" i="2"/>
  <c r="F1909" i="2"/>
  <c r="H1909" i="2"/>
  <c r="F1919" i="2"/>
  <c r="H1919" i="2"/>
  <c r="F1907" i="2"/>
  <c r="H1907" i="2"/>
  <c r="F1917" i="2"/>
  <c r="H1917" i="2"/>
  <c r="F1916" i="2"/>
  <c r="H1916" i="2"/>
  <c r="F1915" i="2"/>
  <c r="H1915" i="2"/>
  <c r="F1920" i="2"/>
  <c r="H1920" i="2"/>
  <c r="F1918" i="2"/>
  <c r="H1918" i="2"/>
  <c r="F1908" i="2"/>
  <c r="H1908" i="2"/>
  <c r="F1925" i="2"/>
  <c r="H1925" i="2"/>
  <c r="F1913" i="2"/>
  <c r="H1913" i="2"/>
  <c r="F1914" i="2"/>
  <c r="H1914" i="2"/>
  <c r="F1924" i="2"/>
  <c r="H1924" i="2"/>
  <c r="F1912" i="2"/>
  <c r="H1912" i="2"/>
  <c r="F1934" i="2"/>
  <c r="F1923" i="2"/>
  <c r="H1923" i="2"/>
  <c r="F1911" i="2"/>
  <c r="H1911" i="2"/>
  <c r="A1917" i="2"/>
  <c r="A1913" i="2"/>
  <c r="F1926" i="2"/>
  <c r="A1914" i="2"/>
  <c r="A1910" i="2"/>
  <c r="A1921" i="2"/>
  <c r="F1929" i="2"/>
  <c r="F1933" i="2"/>
  <c r="A1918" i="2"/>
  <c r="A1909" i="2"/>
  <c r="A1925" i="2"/>
  <c r="A1906" i="2"/>
  <c r="A1922" i="2"/>
  <c r="A1924" i="2"/>
  <c r="A1920" i="2"/>
  <c r="A1916" i="2"/>
  <c r="A1912" i="2"/>
  <c r="A1908" i="2"/>
  <c r="F1935" i="2"/>
  <c r="F1931" i="2"/>
  <c r="F1927" i="2"/>
  <c r="F1932" i="2"/>
  <c r="F1928" i="2"/>
  <c r="A1923" i="2"/>
  <c r="A1919" i="2"/>
  <c r="A1915" i="2"/>
  <c r="A1911" i="2"/>
  <c r="A1907" i="2"/>
  <c r="A1935" i="2"/>
  <c r="A1934" i="2"/>
  <c r="A1932" i="2"/>
  <c r="A1930" i="2"/>
  <c r="A1929" i="2"/>
  <c r="A1933" i="2"/>
  <c r="A1931" i="2"/>
  <c r="A1928" i="2"/>
  <c r="A1927" i="2"/>
  <c r="A1926" i="2"/>
  <c r="A1905" i="2"/>
  <c r="F1905" i="2"/>
  <c r="G1875" i="2"/>
  <c r="H1875" i="2" s="1"/>
  <c r="G1876" i="2"/>
  <c r="G1877" i="2"/>
  <c r="G1878" i="2"/>
  <c r="G1879" i="2"/>
  <c r="H1879" i="2" s="1"/>
  <c r="G1880" i="2"/>
  <c r="H1880" i="2" s="1"/>
  <c r="G1881" i="2"/>
  <c r="H1881" i="2" s="1"/>
  <c r="G1882" i="2"/>
  <c r="H1882" i="2" s="1"/>
  <c r="G1883" i="2"/>
  <c r="H1883" i="2" s="1"/>
  <c r="G1884" i="2"/>
  <c r="H1884" i="2" s="1"/>
  <c r="G1885" i="2"/>
  <c r="A1885" i="2" s="1"/>
  <c r="G1886" i="2"/>
  <c r="H1886" i="2" s="1"/>
  <c r="G1887" i="2"/>
  <c r="H1887" i="2" s="1"/>
  <c r="G1888" i="2"/>
  <c r="G1889" i="2"/>
  <c r="H1889" i="2" s="1"/>
  <c r="G1890" i="2"/>
  <c r="H1890" i="2" s="1"/>
  <c r="G1891" i="2"/>
  <c r="H1891" i="2" s="1"/>
  <c r="G1892" i="2"/>
  <c r="H1892" i="2" s="1"/>
  <c r="G1893" i="2"/>
  <c r="A1893" i="2" s="1"/>
  <c r="G1894" i="2"/>
  <c r="G1895" i="2"/>
  <c r="H1895" i="2" s="1"/>
  <c r="G1896" i="2"/>
  <c r="H1896" i="2" s="1"/>
  <c r="G1897" i="2"/>
  <c r="A1897" i="2" s="1"/>
  <c r="G1898" i="2"/>
  <c r="H1898" i="2" s="1"/>
  <c r="G1899" i="2"/>
  <c r="H1899" i="2" s="1"/>
  <c r="G1900" i="2"/>
  <c r="G1901" i="2"/>
  <c r="H1901" i="2" s="1"/>
  <c r="G1902" i="2"/>
  <c r="H1902" i="2" s="1"/>
  <c r="G1903" i="2"/>
  <c r="H1903" i="2" s="1"/>
  <c r="G1904" i="2"/>
  <c r="H1904" i="2" s="1"/>
  <c r="G1874" i="2"/>
  <c r="H1874" i="2" s="1"/>
  <c r="F1881" i="2"/>
  <c r="F1887" i="2"/>
  <c r="A1899" i="2" l="1"/>
  <c r="A1887" i="2"/>
  <c r="F1883" i="2"/>
  <c r="A1895" i="2"/>
  <c r="F1875" i="2"/>
  <c r="F1895" i="2"/>
  <c r="A1883" i="2"/>
  <c r="A1902" i="2"/>
  <c r="F1899" i="2"/>
  <c r="A1896" i="2"/>
  <c r="F1879" i="2"/>
  <c r="A1875" i="2"/>
  <c r="F1903" i="2"/>
  <c r="A1879" i="2"/>
  <c r="A1891" i="2"/>
  <c r="F1891" i="2"/>
  <c r="A1903" i="2"/>
  <c r="A1904" i="2"/>
  <c r="F1892" i="2"/>
  <c r="F1904" i="2"/>
  <c r="F1898" i="2"/>
  <c r="F1902" i="2"/>
  <c r="A1901" i="2"/>
  <c r="F1901" i="2"/>
  <c r="F1877" i="2"/>
  <c r="H1877" i="2"/>
  <c r="F1888" i="2"/>
  <c r="H1888" i="2"/>
  <c r="F1876" i="2"/>
  <c r="H1876" i="2"/>
  <c r="F1897" i="2"/>
  <c r="H1897" i="2"/>
  <c r="F1885" i="2"/>
  <c r="H1885" i="2"/>
  <c r="F1900" i="2"/>
  <c r="H1900" i="2"/>
  <c r="A1900" i="2"/>
  <c r="F1890" i="2"/>
  <c r="A1877" i="2"/>
  <c r="A1874" i="2"/>
  <c r="A1898" i="2"/>
  <c r="F1889" i="2"/>
  <c r="F1894" i="2"/>
  <c r="H1894" i="2"/>
  <c r="F1893" i="2"/>
  <c r="H1893" i="2"/>
  <c r="A1886" i="2"/>
  <c r="F1896" i="2"/>
  <c r="F1886" i="2"/>
  <c r="F1878" i="2"/>
  <c r="H1878" i="2"/>
  <c r="A1890" i="2"/>
  <c r="F1882" i="2"/>
  <c r="A1878" i="2"/>
  <c r="A1894" i="2"/>
  <c r="F1884" i="2"/>
  <c r="A1882" i="2"/>
  <c r="A1892" i="2"/>
  <c r="A1888" i="2"/>
  <c r="A1889" i="2"/>
  <c r="A1881" i="2"/>
  <c r="F1880" i="2"/>
  <c r="A1876" i="2"/>
  <c r="A1884" i="2"/>
  <c r="A1880" i="2"/>
  <c r="F1874" i="2"/>
  <c r="G1844" i="2" l="1"/>
  <c r="A1844" i="2" s="1"/>
  <c r="G1845" i="2"/>
  <c r="G1846" i="2"/>
  <c r="G1847" i="2"/>
  <c r="G1848" i="2"/>
  <c r="G1849" i="2"/>
  <c r="G1850" i="2"/>
  <c r="G1851" i="2"/>
  <c r="G1852" i="2"/>
  <c r="G1853" i="2"/>
  <c r="G1854" i="2"/>
  <c r="G1855" i="2"/>
  <c r="G1856" i="2"/>
  <c r="G1857" i="2"/>
  <c r="A1857" i="2" s="1"/>
  <c r="G1858" i="2"/>
  <c r="G1859" i="2"/>
  <c r="G1860" i="2"/>
  <c r="A1860" i="2" s="1"/>
  <c r="G1861" i="2"/>
  <c r="G1862" i="2"/>
  <c r="G1863" i="2"/>
  <c r="G1864" i="2"/>
  <c r="G1865" i="2"/>
  <c r="G1866" i="2"/>
  <c r="G1867" i="2"/>
  <c r="G1868" i="2"/>
  <c r="G1869" i="2"/>
  <c r="G1870" i="2"/>
  <c r="G1871" i="2"/>
  <c r="G1872" i="2"/>
  <c r="G1873" i="2"/>
  <c r="G1843" i="2"/>
  <c r="H1843" i="2" s="1"/>
  <c r="A1843" i="2" l="1"/>
  <c r="F1864" i="2"/>
  <c r="H1864" i="2"/>
  <c r="F1854" i="2"/>
  <c r="H1854" i="2"/>
  <c r="F1861" i="2"/>
  <c r="H1861" i="2"/>
  <c r="F1859" i="2"/>
  <c r="H1859" i="2"/>
  <c r="F1853" i="2"/>
  <c r="H1853" i="2"/>
  <c r="F1851" i="2"/>
  <c r="H1851" i="2"/>
  <c r="F1871" i="2"/>
  <c r="H1871" i="2"/>
  <c r="F1849" i="2"/>
  <c r="H1849" i="2"/>
  <c r="F1847" i="2"/>
  <c r="H1847" i="2"/>
  <c r="F1873" i="2"/>
  <c r="H1873" i="2"/>
  <c r="F1872" i="2"/>
  <c r="H1872" i="2"/>
  <c r="F1860" i="2"/>
  <c r="H1860" i="2"/>
  <c r="F1846" i="2"/>
  <c r="H1846" i="2"/>
  <c r="F1863" i="2"/>
  <c r="H1863" i="2"/>
  <c r="F1852" i="2"/>
  <c r="H1852" i="2"/>
  <c r="F1850" i="2"/>
  <c r="H1850" i="2"/>
  <c r="F1870" i="2"/>
  <c r="H1870" i="2"/>
  <c r="F1848" i="2"/>
  <c r="H1848" i="2"/>
  <c r="F1869" i="2"/>
  <c r="H1869" i="2"/>
  <c r="F1858" i="2"/>
  <c r="H1858" i="2"/>
  <c r="F1868" i="2"/>
  <c r="H1868" i="2"/>
  <c r="F1867" i="2"/>
  <c r="H1867" i="2"/>
  <c r="F1857" i="2"/>
  <c r="H1857" i="2"/>
  <c r="F1845" i="2"/>
  <c r="H1845" i="2"/>
  <c r="F1862" i="2"/>
  <c r="H1862" i="2"/>
  <c r="F1866" i="2"/>
  <c r="H1866" i="2"/>
  <c r="F1856" i="2"/>
  <c r="H1856" i="2"/>
  <c r="F1865" i="2"/>
  <c r="H1865" i="2"/>
  <c r="F1855" i="2"/>
  <c r="H1855" i="2"/>
  <c r="F1844" i="2"/>
  <c r="H1844" i="2"/>
  <c r="A1854" i="2"/>
  <c r="A1867" i="2"/>
  <c r="A1861" i="2"/>
  <c r="A1851" i="2"/>
  <c r="A1870" i="2"/>
  <c r="A1863" i="2"/>
  <c r="A1845" i="2"/>
  <c r="A1871" i="2"/>
  <c r="A1866" i="2"/>
  <c r="A1855" i="2"/>
  <c r="A1850" i="2"/>
  <c r="A1847" i="2"/>
  <c r="A1872" i="2"/>
  <c r="A1868" i="2"/>
  <c r="A1864" i="2"/>
  <c r="A1873" i="2"/>
  <c r="A1865" i="2"/>
  <c r="A1862" i="2"/>
  <c r="A1858" i="2"/>
  <c r="A1852" i="2"/>
  <c r="A1848" i="2"/>
  <c r="A1869" i="2"/>
  <c r="A1859" i="2"/>
  <c r="A1856" i="2"/>
  <c r="A1853" i="2"/>
  <c r="A1849" i="2"/>
  <c r="A1846" i="2"/>
  <c r="F1843"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26" i="2"/>
  <c r="H1626" i="2" s="1"/>
  <c r="G1596" i="2"/>
  <c r="G1597" i="2"/>
  <c r="H1597" i="2" s="1"/>
  <c r="G1598" i="2"/>
  <c r="H1598" i="2" s="1"/>
  <c r="G1599" i="2"/>
  <c r="H1599" i="2" s="1"/>
  <c r="G1600" i="2"/>
  <c r="H1600" i="2" s="1"/>
  <c r="G1601" i="2"/>
  <c r="H1601" i="2" s="1"/>
  <c r="G1602" i="2"/>
  <c r="H1602" i="2" s="1"/>
  <c r="G1603" i="2"/>
  <c r="H1603" i="2" s="1"/>
  <c r="G1604" i="2"/>
  <c r="H1604" i="2" s="1"/>
  <c r="G1605" i="2"/>
  <c r="H1605" i="2" s="1"/>
  <c r="G1606" i="2"/>
  <c r="H1606" i="2" s="1"/>
  <c r="G1607" i="2"/>
  <c r="H1607" i="2" s="1"/>
  <c r="G1608" i="2"/>
  <c r="H1608" i="2" s="1"/>
  <c r="G1609" i="2"/>
  <c r="H1609" i="2" s="1"/>
  <c r="G1610" i="2"/>
  <c r="H1610" i="2" s="1"/>
  <c r="G1611" i="2"/>
  <c r="H1611" i="2" s="1"/>
  <c r="G1612" i="2"/>
  <c r="H1612" i="2" s="1"/>
  <c r="G1613" i="2"/>
  <c r="H1613" i="2" s="1"/>
  <c r="G1614" i="2"/>
  <c r="H1614" i="2" s="1"/>
  <c r="G1615" i="2"/>
  <c r="H1615" i="2" s="1"/>
  <c r="G1616" i="2"/>
  <c r="H1616" i="2" s="1"/>
  <c r="G1617" i="2"/>
  <c r="H1617" i="2" s="1"/>
  <c r="G1618" i="2"/>
  <c r="H1618" i="2" s="1"/>
  <c r="G1619" i="2"/>
  <c r="H1619" i="2" s="1"/>
  <c r="G1620" i="2"/>
  <c r="H1620" i="2" s="1"/>
  <c r="G1621" i="2"/>
  <c r="H1621" i="2" s="1"/>
  <c r="G1622" i="2"/>
  <c r="H1622" i="2" s="1"/>
  <c r="G1623" i="2"/>
  <c r="H1623" i="2" s="1"/>
  <c r="G1624" i="2"/>
  <c r="H1624" i="2" s="1"/>
  <c r="G1625" i="2"/>
  <c r="G1595" i="2"/>
  <c r="G1565" i="2"/>
  <c r="G1566" i="2"/>
  <c r="G1567" i="2"/>
  <c r="G1568" i="2"/>
  <c r="G1569" i="2"/>
  <c r="G1570" i="2"/>
  <c r="G1571" i="2"/>
  <c r="G1572" i="2"/>
  <c r="G1573" i="2"/>
  <c r="G1574" i="2"/>
  <c r="G1575" i="2"/>
  <c r="G1576" i="2"/>
  <c r="H1576" i="2" s="1"/>
  <c r="G1577" i="2"/>
  <c r="G1578" i="2"/>
  <c r="G1579" i="2"/>
  <c r="G1580" i="2"/>
  <c r="G1581" i="2"/>
  <c r="G1582" i="2"/>
  <c r="G1583" i="2"/>
  <c r="G1584" i="2"/>
  <c r="H1584" i="2" s="1"/>
  <c r="G1585" i="2"/>
  <c r="G1586" i="2"/>
  <c r="G1587" i="2"/>
  <c r="G1588" i="2"/>
  <c r="G1589" i="2"/>
  <c r="G1590" i="2"/>
  <c r="G1591" i="2"/>
  <c r="G1592" i="2"/>
  <c r="G1593" i="2"/>
  <c r="G1594" i="2"/>
  <c r="H1594" i="2" s="1"/>
  <c r="G1564" i="2"/>
  <c r="H1564" i="2" s="1"/>
  <c r="G1534" i="2"/>
  <c r="H1534" i="2" s="1"/>
  <c r="G1535" i="2"/>
  <c r="G1536" i="2"/>
  <c r="H1536" i="2" s="1"/>
  <c r="G1537" i="2"/>
  <c r="G1538" i="2"/>
  <c r="H1538" i="2" s="1"/>
  <c r="G1539" i="2"/>
  <c r="G1540" i="2"/>
  <c r="H1540" i="2" s="1"/>
  <c r="G1541" i="2"/>
  <c r="G1542" i="2"/>
  <c r="H1542" i="2" s="1"/>
  <c r="G1543" i="2"/>
  <c r="G1544" i="2"/>
  <c r="H1544" i="2" s="1"/>
  <c r="G1545" i="2"/>
  <c r="G1546" i="2"/>
  <c r="H1546" i="2" s="1"/>
  <c r="G1547" i="2"/>
  <c r="G1548" i="2"/>
  <c r="H1548" i="2" s="1"/>
  <c r="G1549" i="2"/>
  <c r="G1550" i="2"/>
  <c r="H1550" i="2" s="1"/>
  <c r="G1551" i="2"/>
  <c r="G1552" i="2"/>
  <c r="H1552" i="2" s="1"/>
  <c r="G1553" i="2"/>
  <c r="G1554" i="2"/>
  <c r="H1554" i="2" s="1"/>
  <c r="G1555" i="2"/>
  <c r="G1556" i="2"/>
  <c r="H1556" i="2" s="1"/>
  <c r="G1557" i="2"/>
  <c r="G1558" i="2"/>
  <c r="H1558" i="2" s="1"/>
  <c r="G1559" i="2"/>
  <c r="G1560" i="2"/>
  <c r="H1560" i="2" s="1"/>
  <c r="G1561" i="2"/>
  <c r="G1562" i="2"/>
  <c r="H1562" i="2" s="1"/>
  <c r="G1563" i="2"/>
  <c r="G1533" i="2"/>
  <c r="H1533" i="2" s="1"/>
  <c r="G1503" i="2"/>
  <c r="H1503" i="2" s="1"/>
  <c r="G1504" i="2"/>
  <c r="G1505" i="2"/>
  <c r="H1505" i="2" s="1"/>
  <c r="G1506" i="2"/>
  <c r="G1507" i="2"/>
  <c r="H1507" i="2" s="1"/>
  <c r="G1508" i="2"/>
  <c r="G1509" i="2"/>
  <c r="H1509" i="2" s="1"/>
  <c r="G1510" i="2"/>
  <c r="G1511" i="2"/>
  <c r="H1511" i="2" s="1"/>
  <c r="G1512" i="2"/>
  <c r="H1512" i="2" s="1"/>
  <c r="G1513" i="2"/>
  <c r="H1513" i="2" s="1"/>
  <c r="G1514" i="2"/>
  <c r="H1514" i="2" s="1"/>
  <c r="G1515" i="2"/>
  <c r="H1515" i="2" s="1"/>
  <c r="G1516" i="2"/>
  <c r="H1516" i="2" s="1"/>
  <c r="G1517" i="2"/>
  <c r="H1517" i="2" s="1"/>
  <c r="G1518" i="2"/>
  <c r="H1518" i="2" s="1"/>
  <c r="G1519" i="2"/>
  <c r="H1519" i="2" s="1"/>
  <c r="G1520" i="2"/>
  <c r="G1521" i="2"/>
  <c r="H1521" i="2" s="1"/>
  <c r="G1522" i="2"/>
  <c r="H1522" i="2" s="1"/>
  <c r="G1523" i="2"/>
  <c r="H1523" i="2" s="1"/>
  <c r="G1524" i="2"/>
  <c r="G1525" i="2"/>
  <c r="H1525" i="2" s="1"/>
  <c r="G1526" i="2"/>
  <c r="H1526" i="2" s="1"/>
  <c r="G1527" i="2"/>
  <c r="H1527" i="2" s="1"/>
  <c r="G1528" i="2"/>
  <c r="G1529" i="2"/>
  <c r="H1529" i="2" s="1"/>
  <c r="G1530" i="2"/>
  <c r="H1530" i="2" s="1"/>
  <c r="G1531" i="2"/>
  <c r="H1531" i="2" s="1"/>
  <c r="G1532" i="2"/>
  <c r="G1502" i="2"/>
  <c r="H1502" i="2" s="1"/>
  <c r="G1472" i="2"/>
  <c r="G1473" i="2"/>
  <c r="G1474" i="2"/>
  <c r="H1474" i="2" s="1"/>
  <c r="G1475" i="2"/>
  <c r="G1476" i="2"/>
  <c r="G1477" i="2"/>
  <c r="H1477" i="2" s="1"/>
  <c r="G1478" i="2"/>
  <c r="H1478" i="2" s="1"/>
  <c r="G1479" i="2"/>
  <c r="H1479" i="2" s="1"/>
  <c r="G1480" i="2"/>
  <c r="H1480" i="2" s="1"/>
  <c r="G1481" i="2"/>
  <c r="G1482" i="2"/>
  <c r="H1482" i="2" s="1"/>
  <c r="G1483" i="2"/>
  <c r="G1484" i="2"/>
  <c r="H1484" i="2" s="1"/>
  <c r="G1485" i="2"/>
  <c r="H1485" i="2" s="1"/>
  <c r="G1486" i="2"/>
  <c r="G1487" i="2"/>
  <c r="G1488" i="2"/>
  <c r="G1489" i="2"/>
  <c r="G1490" i="2"/>
  <c r="H1490" i="2" s="1"/>
  <c r="G1491" i="2"/>
  <c r="G1492" i="2"/>
  <c r="G1493" i="2"/>
  <c r="G1494" i="2"/>
  <c r="H1494" i="2" s="1"/>
  <c r="G1495" i="2"/>
  <c r="G1496" i="2"/>
  <c r="H1496" i="2" s="1"/>
  <c r="G1497" i="2"/>
  <c r="G1498" i="2"/>
  <c r="H1498" i="2" s="1"/>
  <c r="G1499" i="2"/>
  <c r="G1500" i="2"/>
  <c r="H1500" i="2" s="1"/>
  <c r="G1501" i="2"/>
  <c r="G1471" i="2"/>
  <c r="G1441" i="2"/>
  <c r="H1441" i="2" s="1"/>
  <c r="G1442" i="2"/>
  <c r="G1443" i="2"/>
  <c r="H1443" i="2" s="1"/>
  <c r="G1444" i="2"/>
  <c r="G1445" i="2"/>
  <c r="H1445" i="2" s="1"/>
  <c r="G1446" i="2"/>
  <c r="G1447" i="2"/>
  <c r="G1448" i="2"/>
  <c r="G1449" i="2"/>
  <c r="G1450" i="2"/>
  <c r="G1451" i="2"/>
  <c r="H1451" i="2" s="1"/>
  <c r="G1452" i="2"/>
  <c r="G1453" i="2"/>
  <c r="G1454" i="2"/>
  <c r="G1455" i="2"/>
  <c r="G1456" i="2"/>
  <c r="G1457" i="2"/>
  <c r="G1458" i="2"/>
  <c r="G1459" i="2"/>
  <c r="G1460" i="2"/>
  <c r="G1461" i="2"/>
  <c r="G1462" i="2"/>
  <c r="G1463" i="2"/>
  <c r="G1464" i="2"/>
  <c r="G1465" i="2"/>
  <c r="G1466" i="2"/>
  <c r="G1467" i="2"/>
  <c r="G1468" i="2"/>
  <c r="G1469" i="2"/>
  <c r="G1470" i="2"/>
  <c r="G1440" i="2"/>
  <c r="A1440" i="2" s="1"/>
  <c r="G1410" i="2"/>
  <c r="G1411" i="2"/>
  <c r="H1411" i="2" s="1"/>
  <c r="G1412" i="2"/>
  <c r="G1413" i="2"/>
  <c r="H1413" i="2" s="1"/>
  <c r="G1414" i="2"/>
  <c r="G1415" i="2"/>
  <c r="H1415" i="2" s="1"/>
  <c r="G1416" i="2"/>
  <c r="G1417" i="2"/>
  <c r="H1417" i="2" s="1"/>
  <c r="G1418" i="2"/>
  <c r="H1418" i="2" s="1"/>
  <c r="G1419" i="2"/>
  <c r="H1419" i="2" s="1"/>
  <c r="G1420" i="2"/>
  <c r="G1421" i="2"/>
  <c r="H1421" i="2" s="1"/>
  <c r="G1422" i="2"/>
  <c r="G1423" i="2"/>
  <c r="H1423" i="2" s="1"/>
  <c r="G1424" i="2"/>
  <c r="G1425" i="2"/>
  <c r="H1425" i="2" s="1"/>
  <c r="G1426" i="2"/>
  <c r="H1426" i="2" s="1"/>
  <c r="G1427" i="2"/>
  <c r="G1428" i="2"/>
  <c r="G1429" i="2"/>
  <c r="G1430" i="2"/>
  <c r="G1431" i="2"/>
  <c r="G1432" i="2"/>
  <c r="G1433" i="2"/>
  <c r="G1434" i="2"/>
  <c r="G1435" i="2"/>
  <c r="G1436" i="2"/>
  <c r="G1437" i="2"/>
  <c r="G1438" i="2"/>
  <c r="G1439" i="2"/>
  <c r="G1409" i="2"/>
  <c r="H1409" i="2" s="1"/>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H1404" i="2" s="1"/>
  <c r="G1405" i="2"/>
  <c r="G1406" i="2"/>
  <c r="G1407" i="2"/>
  <c r="G1408" i="2"/>
  <c r="G1378" i="2"/>
  <c r="H1378" i="2" s="1"/>
  <c r="G1348" i="2"/>
  <c r="G1349" i="2"/>
  <c r="G1350" i="2"/>
  <c r="G1351" i="2"/>
  <c r="G1352" i="2"/>
  <c r="G1353" i="2"/>
  <c r="G1354" i="2"/>
  <c r="G1355" i="2"/>
  <c r="H1355" i="2" s="1"/>
  <c r="G1356" i="2"/>
  <c r="G1357" i="2"/>
  <c r="H1357" i="2" s="1"/>
  <c r="G1358" i="2"/>
  <c r="G1359" i="2"/>
  <c r="H1359" i="2" s="1"/>
  <c r="G1360" i="2"/>
  <c r="H1360" i="2" s="1"/>
  <c r="G1361" i="2"/>
  <c r="H1361" i="2" s="1"/>
  <c r="G1362" i="2"/>
  <c r="G1363" i="2"/>
  <c r="H1363" i="2" s="1"/>
  <c r="G1364" i="2"/>
  <c r="G1365" i="2"/>
  <c r="H1365" i="2" s="1"/>
  <c r="G1366" i="2"/>
  <c r="G1367" i="2"/>
  <c r="H1367" i="2" s="1"/>
  <c r="G1368" i="2"/>
  <c r="G1369" i="2"/>
  <c r="H1369" i="2" s="1"/>
  <c r="G1370" i="2"/>
  <c r="H1370" i="2" s="1"/>
  <c r="G1371" i="2"/>
  <c r="H1371" i="2" s="1"/>
  <c r="G1372" i="2"/>
  <c r="G1373" i="2"/>
  <c r="H1373" i="2" s="1"/>
  <c r="G1374" i="2"/>
  <c r="G1375" i="2"/>
  <c r="H1375" i="2" s="1"/>
  <c r="G1376" i="2"/>
  <c r="G1377" i="2"/>
  <c r="H1377" i="2" s="1"/>
  <c r="G1347" i="2"/>
  <c r="H1347" i="2" s="1"/>
  <c r="G1317" i="2"/>
  <c r="G1318" i="2"/>
  <c r="H1318" i="2" s="1"/>
  <c r="G1319" i="2"/>
  <c r="G1320" i="2"/>
  <c r="H1320" i="2" s="1"/>
  <c r="G1321" i="2"/>
  <c r="G1322" i="2"/>
  <c r="H1322" i="2" s="1"/>
  <c r="G1323" i="2"/>
  <c r="G1324" i="2"/>
  <c r="H1324" i="2" s="1"/>
  <c r="G1325" i="2"/>
  <c r="H1325" i="2" s="1"/>
  <c r="G1326" i="2"/>
  <c r="G1327" i="2"/>
  <c r="G1328" i="2"/>
  <c r="G1329" i="2"/>
  <c r="G1330" i="2"/>
  <c r="G1331" i="2"/>
  <c r="G1332" i="2"/>
  <c r="G1333" i="2"/>
  <c r="H1333" i="2" s="1"/>
  <c r="G1334" i="2"/>
  <c r="G1335" i="2"/>
  <c r="G1336" i="2"/>
  <c r="G1337" i="2"/>
  <c r="G1338" i="2"/>
  <c r="G1339" i="2"/>
  <c r="G1340" i="2"/>
  <c r="G1341" i="2"/>
  <c r="H1341" i="2" s="1"/>
  <c r="G1342" i="2"/>
  <c r="G1343" i="2"/>
  <c r="G1344" i="2"/>
  <c r="G1345" i="2"/>
  <c r="G1346" i="2"/>
  <c r="G1316" i="2"/>
  <c r="H1316" i="2" s="1"/>
  <c r="G1286" i="2"/>
  <c r="G1287" i="2"/>
  <c r="H1287" i="2" s="1"/>
  <c r="G1288" i="2"/>
  <c r="G1289" i="2"/>
  <c r="G1290" i="2"/>
  <c r="G1291" i="2"/>
  <c r="H1291" i="2" s="1"/>
  <c r="G1292" i="2"/>
  <c r="G1293" i="2"/>
  <c r="G1294" i="2"/>
  <c r="G1295" i="2"/>
  <c r="G1296" i="2"/>
  <c r="G1297" i="2"/>
  <c r="G1298" i="2"/>
  <c r="G1299" i="2"/>
  <c r="G1300" i="2"/>
  <c r="G1301" i="2"/>
  <c r="G1302" i="2"/>
  <c r="G1303" i="2"/>
  <c r="G1304" i="2"/>
  <c r="G1305" i="2"/>
  <c r="G1306" i="2"/>
  <c r="H1306" i="2" s="1"/>
  <c r="G1307" i="2"/>
  <c r="G1308" i="2"/>
  <c r="G1309" i="2"/>
  <c r="H1309" i="2" s="1"/>
  <c r="G1310" i="2"/>
  <c r="G1311" i="2"/>
  <c r="G1312" i="2"/>
  <c r="G1313" i="2"/>
  <c r="G1314" i="2"/>
  <c r="G1315" i="2"/>
  <c r="G1285" i="2"/>
  <c r="H1285" i="2" s="1"/>
  <c r="G1255" i="2"/>
  <c r="G1256" i="2"/>
  <c r="H1256" i="2" s="1"/>
  <c r="G1257" i="2"/>
  <c r="G1258" i="2"/>
  <c r="H1258" i="2" s="1"/>
  <c r="G1259" i="2"/>
  <c r="G1260" i="2"/>
  <c r="G1261" i="2"/>
  <c r="G1262" i="2"/>
  <c r="G1263" i="2"/>
  <c r="G1264" i="2"/>
  <c r="G1265" i="2"/>
  <c r="G1266" i="2"/>
  <c r="H1266" i="2" s="1"/>
  <c r="G1267" i="2"/>
  <c r="G1268" i="2"/>
  <c r="G1269" i="2"/>
  <c r="G1270" i="2"/>
  <c r="G1271" i="2"/>
  <c r="G1272" i="2"/>
  <c r="G1273" i="2"/>
  <c r="G1274" i="2"/>
  <c r="G1275" i="2"/>
  <c r="G1276" i="2"/>
  <c r="G1277" i="2"/>
  <c r="G1278" i="2"/>
  <c r="G1279" i="2"/>
  <c r="G1280" i="2"/>
  <c r="G1281" i="2"/>
  <c r="G1282" i="2"/>
  <c r="G1283" i="2"/>
  <c r="G1284" i="2"/>
  <c r="G1254" i="2"/>
  <c r="H1254" i="2" s="1"/>
  <c r="G1813" i="2"/>
  <c r="G1814" i="2"/>
  <c r="G1815" i="2"/>
  <c r="G1816" i="2"/>
  <c r="G1817" i="2"/>
  <c r="G1818" i="2"/>
  <c r="G1819" i="2"/>
  <c r="G1820" i="2"/>
  <c r="G1821" i="2"/>
  <c r="G1822" i="2"/>
  <c r="G1823" i="2"/>
  <c r="G1824" i="2"/>
  <c r="G1825" i="2"/>
  <c r="G1826" i="2"/>
  <c r="G1827" i="2"/>
  <c r="G1828" i="2"/>
  <c r="G1829" i="2"/>
  <c r="G1830" i="2"/>
  <c r="G1831" i="2"/>
  <c r="G1832" i="2"/>
  <c r="G1833" i="2"/>
  <c r="H1833" i="2" s="1"/>
  <c r="G1834" i="2"/>
  <c r="H1834" i="2" s="1"/>
  <c r="G1835" i="2"/>
  <c r="G1836" i="2"/>
  <c r="G1837" i="2"/>
  <c r="H1837" i="2" s="1"/>
  <c r="G1838" i="2"/>
  <c r="G1839" i="2"/>
  <c r="G1840" i="2"/>
  <c r="G1841" i="2"/>
  <c r="G1842" i="2"/>
  <c r="G1812" i="2"/>
  <c r="H1812" i="2" s="1"/>
  <c r="G1224" i="2"/>
  <c r="H1224" i="2" s="1"/>
  <c r="G1225" i="2"/>
  <c r="H1225" i="2" s="1"/>
  <c r="G1226" i="2"/>
  <c r="H1226" i="2" s="1"/>
  <c r="G1227" i="2"/>
  <c r="G1228" i="2"/>
  <c r="G1229" i="2"/>
  <c r="G1230" i="2"/>
  <c r="G1231" i="2"/>
  <c r="G1232" i="2"/>
  <c r="G1233" i="2"/>
  <c r="H1233" i="2" s="1"/>
  <c r="G1234" i="2"/>
  <c r="H1234" i="2" s="1"/>
  <c r="G1235" i="2"/>
  <c r="G1236" i="2"/>
  <c r="G1237" i="2"/>
  <c r="H1237" i="2" s="1"/>
  <c r="G1238" i="2"/>
  <c r="H1238" i="2" s="1"/>
  <c r="G1239" i="2"/>
  <c r="G1240" i="2"/>
  <c r="H1240" i="2" s="1"/>
  <c r="G1241" i="2"/>
  <c r="H1241" i="2" s="1"/>
  <c r="G1242" i="2"/>
  <c r="H1242" i="2" s="1"/>
  <c r="G1243" i="2"/>
  <c r="G1244" i="2"/>
  <c r="G1245" i="2"/>
  <c r="G1246" i="2"/>
  <c r="G1247" i="2"/>
  <c r="H1247" i="2" s="1"/>
  <c r="G1248" i="2"/>
  <c r="H1248" i="2" s="1"/>
  <c r="G1249" i="2"/>
  <c r="H1249" i="2" s="1"/>
  <c r="G1250" i="2"/>
  <c r="H1250" i="2" s="1"/>
  <c r="G1251" i="2"/>
  <c r="G1252" i="2"/>
  <c r="G1253" i="2"/>
  <c r="G1223" i="2"/>
  <c r="H1223" i="2" s="1"/>
  <c r="G1193" i="2"/>
  <c r="G1194" i="2"/>
  <c r="G1195" i="2"/>
  <c r="G1196" i="2"/>
  <c r="G1197" i="2"/>
  <c r="G1198" i="2"/>
  <c r="G1199" i="2"/>
  <c r="G1200" i="2"/>
  <c r="G1201" i="2"/>
  <c r="G1202" i="2"/>
  <c r="G1203" i="2"/>
  <c r="G1204" i="2"/>
  <c r="G1205" i="2"/>
  <c r="G1206" i="2"/>
  <c r="G1207" i="2"/>
  <c r="G1208" i="2"/>
  <c r="G1209" i="2"/>
  <c r="H1209" i="2" s="1"/>
  <c r="G1210" i="2"/>
  <c r="G1211" i="2"/>
  <c r="H1211" i="2" s="1"/>
  <c r="G1212" i="2"/>
  <c r="G1213" i="2"/>
  <c r="H1213" i="2" s="1"/>
  <c r="G1214" i="2"/>
  <c r="G1215" i="2"/>
  <c r="H1215" i="2" s="1"/>
  <c r="G1216" i="2"/>
  <c r="G1217" i="2"/>
  <c r="H1217" i="2" s="1"/>
  <c r="G1218" i="2"/>
  <c r="G1219" i="2"/>
  <c r="H1219" i="2" s="1"/>
  <c r="G1220" i="2"/>
  <c r="G1221" i="2"/>
  <c r="H1221" i="2" s="1"/>
  <c r="G1222" i="2"/>
  <c r="G1192" i="2"/>
  <c r="H1192" i="2" s="1"/>
  <c r="G1163" i="2"/>
  <c r="H1163" i="2" s="1"/>
  <c r="G1164" i="2"/>
  <c r="G1165" i="2"/>
  <c r="H1165" i="2" s="1"/>
  <c r="G1166" i="2"/>
  <c r="G1167" i="2"/>
  <c r="H1167" i="2" s="1"/>
  <c r="G1168" i="2"/>
  <c r="G1169" i="2"/>
  <c r="G1170" i="2"/>
  <c r="G1171" i="2"/>
  <c r="G1172" i="2"/>
  <c r="G1173" i="2"/>
  <c r="G1174" i="2"/>
  <c r="G1175" i="2"/>
  <c r="H1175" i="2" s="1"/>
  <c r="G1176" i="2"/>
  <c r="G1177" i="2"/>
  <c r="G1178" i="2"/>
  <c r="G1179" i="2"/>
  <c r="G1180" i="2"/>
  <c r="G1181" i="2"/>
  <c r="G1182" i="2"/>
  <c r="G1183" i="2"/>
  <c r="G1184" i="2"/>
  <c r="G1185" i="2"/>
  <c r="G1186" i="2"/>
  <c r="G1187" i="2"/>
  <c r="G1188" i="2"/>
  <c r="H1188" i="2" s="1"/>
  <c r="G1189" i="2"/>
  <c r="G1190" i="2"/>
  <c r="H1190" i="2" s="1"/>
  <c r="G1191" i="2"/>
  <c r="G1162" i="2"/>
  <c r="H1162" i="2" s="1"/>
  <c r="G1133" i="2"/>
  <c r="G1134" i="2"/>
  <c r="G1135" i="2"/>
  <c r="H1135" i="2" s="1"/>
  <c r="G1136" i="2"/>
  <c r="H1136" i="2" s="1"/>
  <c r="G1137" i="2"/>
  <c r="H1137" i="2" s="1"/>
  <c r="G1138" i="2"/>
  <c r="H1138" i="2" s="1"/>
  <c r="G1139" i="2"/>
  <c r="H1139" i="2" s="1"/>
  <c r="G1140" i="2"/>
  <c r="H1140" i="2" s="1"/>
  <c r="G1141" i="2"/>
  <c r="H1141" i="2" s="1"/>
  <c r="G1142" i="2"/>
  <c r="H1142" i="2" s="1"/>
  <c r="G1143" i="2"/>
  <c r="H1143" i="2" s="1"/>
  <c r="G1144" i="2"/>
  <c r="H1144" i="2" s="1"/>
  <c r="G1145" i="2"/>
  <c r="H1145" i="2" s="1"/>
  <c r="G1146" i="2"/>
  <c r="H1146" i="2" s="1"/>
  <c r="G1147" i="2"/>
  <c r="H1147" i="2" s="1"/>
  <c r="G1148" i="2"/>
  <c r="H1148" i="2" s="1"/>
  <c r="G1149" i="2"/>
  <c r="H1149" i="2" s="1"/>
  <c r="G1150" i="2"/>
  <c r="H1150" i="2" s="1"/>
  <c r="G1151" i="2"/>
  <c r="H1151" i="2" s="1"/>
  <c r="G1152" i="2"/>
  <c r="H1152" i="2" s="1"/>
  <c r="G1153" i="2"/>
  <c r="H1153" i="2" s="1"/>
  <c r="G1154" i="2"/>
  <c r="H1154" i="2" s="1"/>
  <c r="G1155" i="2"/>
  <c r="H1155" i="2" s="1"/>
  <c r="G1156" i="2"/>
  <c r="H1156" i="2" s="1"/>
  <c r="G1157" i="2"/>
  <c r="H1157" i="2" s="1"/>
  <c r="G1158" i="2"/>
  <c r="H1158" i="2" s="1"/>
  <c r="G1159" i="2"/>
  <c r="H1159" i="2" s="1"/>
  <c r="G1160" i="2"/>
  <c r="H1160" i="2" s="1"/>
  <c r="G1161" i="2"/>
  <c r="H1161" i="2" s="1"/>
  <c r="G1132" i="2"/>
  <c r="H1132" i="2" s="1"/>
  <c r="G1104" i="2"/>
  <c r="G1105" i="2"/>
  <c r="G1106" i="2"/>
  <c r="G1107" i="2"/>
  <c r="G1108" i="2"/>
  <c r="G1109" i="2"/>
  <c r="G1110" i="2"/>
  <c r="G1111" i="2"/>
  <c r="H1111" i="2" s="1"/>
  <c r="G1112" i="2"/>
  <c r="G1113" i="2"/>
  <c r="G1114" i="2"/>
  <c r="G1115" i="2"/>
  <c r="G1116" i="2"/>
  <c r="G1117" i="2"/>
  <c r="G1118" i="2"/>
  <c r="G1119" i="2"/>
  <c r="G1120" i="2"/>
  <c r="G1121" i="2"/>
  <c r="G1122" i="2"/>
  <c r="G1123" i="2"/>
  <c r="G1124" i="2"/>
  <c r="G1125" i="2"/>
  <c r="G1126" i="2"/>
  <c r="G1127" i="2"/>
  <c r="G1128" i="2"/>
  <c r="G1129" i="2"/>
  <c r="G1130" i="2"/>
  <c r="G1131" i="2"/>
  <c r="G1103" i="2"/>
  <c r="H1103" i="2" s="1"/>
  <c r="G1075" i="2"/>
  <c r="G1076" i="2"/>
  <c r="G1077" i="2"/>
  <c r="H1077" i="2" s="1"/>
  <c r="G1078" i="2"/>
  <c r="G1079" i="2"/>
  <c r="H1079" i="2" s="1"/>
  <c r="G1080" i="2"/>
  <c r="G1081" i="2"/>
  <c r="G1082" i="2"/>
  <c r="G1083" i="2"/>
  <c r="G1084" i="2"/>
  <c r="G1085" i="2"/>
  <c r="H1085" i="2" s="1"/>
  <c r="G1086" i="2"/>
  <c r="H1086" i="2" s="1"/>
  <c r="G1087" i="2"/>
  <c r="G1088" i="2"/>
  <c r="G1089" i="2"/>
  <c r="G1090" i="2"/>
  <c r="G1091" i="2"/>
  <c r="G1092" i="2"/>
  <c r="H1092" i="2" s="1"/>
  <c r="G1093" i="2"/>
  <c r="G1094" i="2"/>
  <c r="G1095" i="2"/>
  <c r="G1096" i="2"/>
  <c r="G1097" i="2"/>
  <c r="G1098" i="2"/>
  <c r="G1099" i="2"/>
  <c r="H1099" i="2" s="1"/>
  <c r="G1100" i="2"/>
  <c r="H1100" i="2" s="1"/>
  <c r="G1101" i="2"/>
  <c r="G1102" i="2"/>
  <c r="H1102" i="2" s="1"/>
  <c r="G1074" i="2"/>
  <c r="H1074" i="2" s="1"/>
  <c r="G1046" i="2"/>
  <c r="G1047" i="2"/>
  <c r="H1047" i="2" s="1"/>
  <c r="G1048" i="2"/>
  <c r="H1048" i="2" s="1"/>
  <c r="G1049" i="2"/>
  <c r="H1049" i="2" s="1"/>
  <c r="G1050" i="2"/>
  <c r="H1050" i="2" s="1"/>
  <c r="G1051" i="2"/>
  <c r="G1052" i="2"/>
  <c r="A1052" i="2" s="1"/>
  <c r="G1053" i="2"/>
  <c r="G1054" i="2"/>
  <c r="A1054" i="2" s="1"/>
  <c r="G1055" i="2"/>
  <c r="G1056" i="2"/>
  <c r="H1056" i="2" s="1"/>
  <c r="G1057" i="2"/>
  <c r="H1057" i="2" s="1"/>
  <c r="G1058" i="2"/>
  <c r="G1059" i="2"/>
  <c r="H1059" i="2" s="1"/>
  <c r="G1060" i="2"/>
  <c r="G1061" i="2"/>
  <c r="G1062" i="2"/>
  <c r="G1063" i="2"/>
  <c r="G1064" i="2"/>
  <c r="H1064" i="2" s="1"/>
  <c r="G1065" i="2"/>
  <c r="H1065" i="2" s="1"/>
  <c r="G1066" i="2"/>
  <c r="G1067" i="2"/>
  <c r="G1068" i="2"/>
  <c r="G1069" i="2"/>
  <c r="G1070" i="2"/>
  <c r="H1070" i="2" s="1"/>
  <c r="G1071" i="2"/>
  <c r="G1072" i="2"/>
  <c r="H1072" i="2" s="1"/>
  <c r="G1073" i="2"/>
  <c r="H1073" i="2" s="1"/>
  <c r="G1045" i="2"/>
  <c r="H1045" i="2" s="1"/>
  <c r="G1017" i="2"/>
  <c r="G1018" i="2"/>
  <c r="H1018" i="2" s="1"/>
  <c r="G1019" i="2"/>
  <c r="H1019" i="2" s="1"/>
  <c r="G1020" i="2"/>
  <c r="G1021" i="2"/>
  <c r="G1022" i="2"/>
  <c r="G1023" i="2"/>
  <c r="G1024" i="2"/>
  <c r="G1025" i="2"/>
  <c r="G1026" i="2"/>
  <c r="H1026" i="2" s="1"/>
  <c r="G1027" i="2"/>
  <c r="H1027" i="2" s="1"/>
  <c r="G1028" i="2"/>
  <c r="H1028" i="2" s="1"/>
  <c r="G1029" i="2"/>
  <c r="G1030" i="2"/>
  <c r="G1031" i="2"/>
  <c r="H1031" i="2" s="1"/>
  <c r="G1032" i="2"/>
  <c r="G1033" i="2"/>
  <c r="G1034" i="2"/>
  <c r="H1034" i="2" s="1"/>
  <c r="G1035" i="2"/>
  <c r="H1035" i="2" s="1"/>
  <c r="G1036" i="2"/>
  <c r="G1037" i="2"/>
  <c r="G1038" i="2"/>
  <c r="H1038" i="2" s="1"/>
  <c r="G1039" i="2"/>
  <c r="H1039" i="2" s="1"/>
  <c r="G1040" i="2"/>
  <c r="G1041" i="2"/>
  <c r="G1042" i="2"/>
  <c r="H1042" i="2" s="1"/>
  <c r="G1043" i="2"/>
  <c r="H1043" i="2" s="1"/>
  <c r="G1044" i="2"/>
  <c r="G1016" i="2"/>
  <c r="H1016" i="2" s="1"/>
  <c r="G988" i="2"/>
  <c r="H988" i="2" s="1"/>
  <c r="G989" i="2"/>
  <c r="G990" i="2"/>
  <c r="H990" i="2" s="1"/>
  <c r="G991" i="2"/>
  <c r="G992" i="2"/>
  <c r="H992" i="2" s="1"/>
  <c r="G993" i="2"/>
  <c r="G994" i="2"/>
  <c r="H994" i="2" s="1"/>
  <c r="G995" i="2"/>
  <c r="G996" i="2"/>
  <c r="H996" i="2" s="1"/>
  <c r="G997" i="2"/>
  <c r="G998" i="2"/>
  <c r="H998" i="2" s="1"/>
  <c r="G999" i="2"/>
  <c r="H999" i="2" s="1"/>
  <c r="G1000" i="2"/>
  <c r="H1000" i="2" s="1"/>
  <c r="G1001" i="2"/>
  <c r="H1001" i="2" s="1"/>
  <c r="G1002" i="2"/>
  <c r="H1002" i="2" s="1"/>
  <c r="G1003" i="2"/>
  <c r="H1003" i="2" s="1"/>
  <c r="G1004" i="2"/>
  <c r="H1004" i="2" s="1"/>
  <c r="G1005" i="2"/>
  <c r="H1005" i="2" s="1"/>
  <c r="G1006" i="2"/>
  <c r="H1006" i="2" s="1"/>
  <c r="G1007" i="2"/>
  <c r="H1007" i="2" s="1"/>
  <c r="G1008" i="2"/>
  <c r="H1008" i="2" s="1"/>
  <c r="G1009" i="2"/>
  <c r="H1009" i="2" s="1"/>
  <c r="G1010" i="2"/>
  <c r="H1010" i="2" s="1"/>
  <c r="G1011" i="2"/>
  <c r="H1011" i="2" s="1"/>
  <c r="G1012" i="2"/>
  <c r="H1012" i="2" s="1"/>
  <c r="G1013" i="2"/>
  <c r="H1013" i="2" s="1"/>
  <c r="G1014" i="2"/>
  <c r="H1014" i="2" s="1"/>
  <c r="G1015" i="2"/>
  <c r="H1015" i="2" s="1"/>
  <c r="G987" i="2"/>
  <c r="G959" i="2"/>
  <c r="H959" i="2" s="1"/>
  <c r="G960" i="2"/>
  <c r="H960" i="2" s="1"/>
  <c r="G961" i="2"/>
  <c r="H961" i="2" s="1"/>
  <c r="G962" i="2"/>
  <c r="H962" i="2" s="1"/>
  <c r="G963" i="2"/>
  <c r="H963" i="2" s="1"/>
  <c r="G964" i="2"/>
  <c r="H964" i="2" s="1"/>
  <c r="G965" i="2"/>
  <c r="H965" i="2" s="1"/>
  <c r="G966" i="2"/>
  <c r="H966" i="2" s="1"/>
  <c r="G967" i="2"/>
  <c r="H967" i="2" s="1"/>
  <c r="G968" i="2"/>
  <c r="H968" i="2" s="1"/>
  <c r="G969" i="2"/>
  <c r="H969" i="2" s="1"/>
  <c r="G970" i="2"/>
  <c r="H970" i="2" s="1"/>
  <c r="G971" i="2"/>
  <c r="H971" i="2" s="1"/>
  <c r="G972" i="2"/>
  <c r="H972" i="2" s="1"/>
  <c r="G973" i="2"/>
  <c r="H973" i="2" s="1"/>
  <c r="G974" i="2"/>
  <c r="H974" i="2" s="1"/>
  <c r="G975" i="2"/>
  <c r="H975" i="2" s="1"/>
  <c r="G976" i="2"/>
  <c r="H976" i="2" s="1"/>
  <c r="G977" i="2"/>
  <c r="H977" i="2" s="1"/>
  <c r="G978" i="2"/>
  <c r="H978" i="2" s="1"/>
  <c r="G979" i="2"/>
  <c r="H979" i="2" s="1"/>
  <c r="G980" i="2"/>
  <c r="H980" i="2" s="1"/>
  <c r="G981" i="2"/>
  <c r="H981" i="2" s="1"/>
  <c r="G982" i="2"/>
  <c r="H982" i="2" s="1"/>
  <c r="G983" i="2"/>
  <c r="H983" i="2" s="1"/>
  <c r="G984" i="2"/>
  <c r="H984" i="2" s="1"/>
  <c r="G985" i="2"/>
  <c r="H985" i="2" s="1"/>
  <c r="G986" i="2"/>
  <c r="H986" i="2" s="1"/>
  <c r="G958" i="2"/>
  <c r="H958" i="2" s="1"/>
  <c r="G930" i="2"/>
  <c r="H930" i="2" s="1"/>
  <c r="G931" i="2"/>
  <c r="A931" i="2" s="1"/>
  <c r="G932" i="2"/>
  <c r="G933" i="2"/>
  <c r="A933" i="2" s="1"/>
  <c r="G934" i="2"/>
  <c r="H934" i="2" s="1"/>
  <c r="G935" i="2"/>
  <c r="A935" i="2" s="1"/>
  <c r="G936" i="2"/>
  <c r="H936" i="2" s="1"/>
  <c r="G937" i="2"/>
  <c r="H937" i="2" s="1"/>
  <c r="G938" i="2"/>
  <c r="H938" i="2" s="1"/>
  <c r="G939" i="2"/>
  <c r="A939" i="2" s="1"/>
  <c r="G940" i="2"/>
  <c r="G941" i="2"/>
  <c r="H941" i="2" s="1"/>
  <c r="G942" i="2"/>
  <c r="H942" i="2" s="1"/>
  <c r="G943" i="2"/>
  <c r="H943" i="2" s="1"/>
  <c r="G944" i="2"/>
  <c r="H944" i="2" s="1"/>
  <c r="G945" i="2"/>
  <c r="H945" i="2" s="1"/>
  <c r="G946" i="2"/>
  <c r="H946" i="2" s="1"/>
  <c r="G947" i="2"/>
  <c r="H947" i="2" s="1"/>
  <c r="G948" i="2"/>
  <c r="A948" i="2" s="1"/>
  <c r="G949" i="2"/>
  <c r="H949" i="2" s="1"/>
  <c r="G950" i="2"/>
  <c r="H950" i="2" s="1"/>
  <c r="G951" i="2"/>
  <c r="H951" i="2" s="1"/>
  <c r="G952" i="2"/>
  <c r="A952" i="2" s="1"/>
  <c r="G953" i="2"/>
  <c r="H953" i="2" s="1"/>
  <c r="G954" i="2"/>
  <c r="H954" i="2" s="1"/>
  <c r="G955" i="2"/>
  <c r="A955" i="2" s="1"/>
  <c r="G956" i="2"/>
  <c r="G957" i="2"/>
  <c r="H957" i="2" s="1"/>
  <c r="G929" i="2"/>
  <c r="H929" i="2" s="1"/>
  <c r="G901" i="2"/>
  <c r="H901" i="2" s="1"/>
  <c r="G902" i="2"/>
  <c r="H902" i="2" s="1"/>
  <c r="G903" i="2"/>
  <c r="G904" i="2"/>
  <c r="H904" i="2" s="1"/>
  <c r="G905" i="2"/>
  <c r="G906" i="2"/>
  <c r="G907" i="2"/>
  <c r="G908" i="2"/>
  <c r="G909" i="2"/>
  <c r="H909" i="2" s="1"/>
  <c r="G910" i="2"/>
  <c r="H910" i="2" s="1"/>
  <c r="G911" i="2"/>
  <c r="G912" i="2"/>
  <c r="H912" i="2" s="1"/>
  <c r="G913" i="2"/>
  <c r="G914" i="2"/>
  <c r="G915" i="2"/>
  <c r="H915" i="2" s="1"/>
  <c r="G916" i="2"/>
  <c r="G917" i="2"/>
  <c r="G918" i="2"/>
  <c r="G919" i="2"/>
  <c r="H919" i="2" s="1"/>
  <c r="G920" i="2"/>
  <c r="G921" i="2"/>
  <c r="G922" i="2"/>
  <c r="G923" i="2"/>
  <c r="H923" i="2" s="1"/>
  <c r="G924" i="2"/>
  <c r="G925" i="2"/>
  <c r="G926" i="2"/>
  <c r="G927" i="2"/>
  <c r="G928" i="2"/>
  <c r="G900" i="2"/>
  <c r="H900" i="2" s="1"/>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871" i="2"/>
  <c r="G843" i="2"/>
  <c r="G844" i="2"/>
  <c r="G845" i="2"/>
  <c r="G846" i="2"/>
  <c r="G847" i="2"/>
  <c r="G848" i="2"/>
  <c r="G849" i="2"/>
  <c r="G850" i="2"/>
  <c r="G851" i="2"/>
  <c r="G852" i="2"/>
  <c r="A852" i="2" s="1"/>
  <c r="G853" i="2"/>
  <c r="G854" i="2"/>
  <c r="A854" i="2" s="1"/>
  <c r="G855" i="2"/>
  <c r="G856" i="2"/>
  <c r="A856" i="2" s="1"/>
  <c r="G857" i="2"/>
  <c r="G858" i="2"/>
  <c r="G859" i="2"/>
  <c r="G860" i="2"/>
  <c r="G861" i="2"/>
  <c r="G862" i="2"/>
  <c r="G863" i="2"/>
  <c r="G864" i="2"/>
  <c r="G865" i="2"/>
  <c r="G866" i="2"/>
  <c r="G867" i="2"/>
  <c r="G868" i="2"/>
  <c r="G869" i="2"/>
  <c r="G870" i="2"/>
  <c r="G842" i="2"/>
  <c r="H842" i="2" s="1"/>
  <c r="G814" i="2"/>
  <c r="G815" i="2"/>
  <c r="G816" i="2"/>
  <c r="G817" i="2"/>
  <c r="G818" i="2"/>
  <c r="G819" i="2"/>
  <c r="G820" i="2"/>
  <c r="G821" i="2"/>
  <c r="G822" i="2"/>
  <c r="G823" i="2"/>
  <c r="G824" i="2"/>
  <c r="G825" i="2"/>
  <c r="G826" i="2"/>
  <c r="H826" i="2" s="1"/>
  <c r="G827" i="2"/>
  <c r="H827" i="2" s="1"/>
  <c r="G828" i="2"/>
  <c r="H828" i="2" s="1"/>
  <c r="G829" i="2"/>
  <c r="H829" i="2" s="1"/>
  <c r="G830" i="2"/>
  <c r="H830" i="2" s="1"/>
  <c r="G831" i="2"/>
  <c r="H831" i="2" s="1"/>
  <c r="G832" i="2"/>
  <c r="H832" i="2" s="1"/>
  <c r="G833" i="2"/>
  <c r="H833" i="2" s="1"/>
  <c r="G834" i="2"/>
  <c r="H834" i="2" s="1"/>
  <c r="G835" i="2"/>
  <c r="H835" i="2" s="1"/>
  <c r="G836" i="2"/>
  <c r="H836" i="2" s="1"/>
  <c r="G837" i="2"/>
  <c r="H837" i="2" s="1"/>
  <c r="G838" i="2"/>
  <c r="H838" i="2" s="1"/>
  <c r="G839" i="2"/>
  <c r="H839" i="2" s="1"/>
  <c r="G840" i="2"/>
  <c r="H840" i="2" s="1"/>
  <c r="G841" i="2"/>
  <c r="H841" i="2" s="1"/>
  <c r="G813" i="2"/>
  <c r="H813" i="2" s="1"/>
  <c r="G785" i="2"/>
  <c r="G786" i="2"/>
  <c r="G787" i="2"/>
  <c r="G788" i="2"/>
  <c r="G789" i="2"/>
  <c r="G790" i="2"/>
  <c r="G791" i="2"/>
  <c r="G792" i="2"/>
  <c r="G793" i="2"/>
  <c r="G794" i="2"/>
  <c r="G795" i="2"/>
  <c r="G796" i="2"/>
  <c r="G797" i="2"/>
  <c r="G798" i="2"/>
  <c r="G799" i="2"/>
  <c r="G800" i="2"/>
  <c r="G801" i="2"/>
  <c r="G802" i="2"/>
  <c r="G803" i="2"/>
  <c r="G804" i="2"/>
  <c r="G805" i="2"/>
  <c r="A805" i="2" s="1"/>
  <c r="G806" i="2"/>
  <c r="G807" i="2"/>
  <c r="G808" i="2"/>
  <c r="G809" i="2"/>
  <c r="G810" i="2"/>
  <c r="G811" i="2"/>
  <c r="G812" i="2"/>
  <c r="G784" i="2"/>
  <c r="H784" i="2" s="1"/>
  <c r="A973" i="2" l="1"/>
  <c r="A979" i="2"/>
  <c r="A950" i="2"/>
  <c r="A975" i="2"/>
  <c r="A983" i="2"/>
  <c r="A946" i="2"/>
  <c r="A981" i="2"/>
  <c r="F812" i="2"/>
  <c r="H812" i="2"/>
  <c r="F801" i="2"/>
  <c r="H801" i="2"/>
  <c r="F789" i="2"/>
  <c r="H789" i="2"/>
  <c r="F823" i="2"/>
  <c r="H823" i="2"/>
  <c r="F869" i="2"/>
  <c r="H869" i="2"/>
  <c r="F858" i="2"/>
  <c r="H858" i="2"/>
  <c r="F849" i="2"/>
  <c r="H849" i="2"/>
  <c r="F895" i="2"/>
  <c r="H895" i="2"/>
  <c r="F883" i="2"/>
  <c r="H883" i="2"/>
  <c r="F917" i="2"/>
  <c r="H917" i="2"/>
  <c r="F905" i="2"/>
  <c r="H905" i="2"/>
  <c r="A953" i="2"/>
  <c r="A985" i="2"/>
  <c r="A977" i="2"/>
  <c r="F1036" i="2"/>
  <c r="H1036" i="2"/>
  <c r="F1024" i="2"/>
  <c r="H1024" i="2"/>
  <c r="F1058" i="2"/>
  <c r="H1058" i="2"/>
  <c r="F1095" i="2"/>
  <c r="H1095" i="2"/>
  <c r="F1083" i="2"/>
  <c r="H1083" i="2"/>
  <c r="F1129" i="2"/>
  <c r="H1129" i="2"/>
  <c r="F1117" i="2"/>
  <c r="H1117" i="2"/>
  <c r="F1105" i="2"/>
  <c r="H1105" i="2"/>
  <c r="F1176" i="2"/>
  <c r="H1176" i="2"/>
  <c r="F1164" i="2"/>
  <c r="H1164" i="2"/>
  <c r="F1201" i="2"/>
  <c r="H1201" i="2"/>
  <c r="F1251" i="2"/>
  <c r="H1251" i="2"/>
  <c r="F1239" i="2"/>
  <c r="H1239" i="2"/>
  <c r="F1227" i="2"/>
  <c r="H1227" i="2"/>
  <c r="F1835" i="2"/>
  <c r="H1835" i="2"/>
  <c r="F1823" i="2"/>
  <c r="H1823" i="2"/>
  <c r="F1284" i="2"/>
  <c r="H1284" i="2"/>
  <c r="F1272" i="2"/>
  <c r="H1272" i="2"/>
  <c r="F1260" i="2"/>
  <c r="H1260" i="2"/>
  <c r="F1310" i="2"/>
  <c r="H1310" i="2"/>
  <c r="F1298" i="2"/>
  <c r="H1298" i="2"/>
  <c r="F1286" i="2"/>
  <c r="H1286" i="2"/>
  <c r="F1336" i="2"/>
  <c r="H1336" i="2"/>
  <c r="F1374" i="2"/>
  <c r="H1374" i="2"/>
  <c r="F1362" i="2"/>
  <c r="H1362" i="2"/>
  <c r="F1350" i="2"/>
  <c r="H1350" i="2"/>
  <c r="F1400" i="2"/>
  <c r="H1400" i="2"/>
  <c r="F1388" i="2"/>
  <c r="H1388" i="2"/>
  <c r="F1438" i="2"/>
  <c r="H1438" i="2"/>
  <c r="F1414" i="2"/>
  <c r="H1414" i="2"/>
  <c r="F1465" i="2"/>
  <c r="H1465" i="2"/>
  <c r="F1453" i="2"/>
  <c r="H1453" i="2"/>
  <c r="F1491" i="2"/>
  <c r="H1491" i="2"/>
  <c r="F1506" i="2"/>
  <c r="H1506" i="2"/>
  <c r="F1582" i="2"/>
  <c r="H1582" i="2"/>
  <c r="F1570" i="2"/>
  <c r="H1570" i="2"/>
  <c r="F1596" i="2"/>
  <c r="H1596" i="2"/>
  <c r="F1646" i="2"/>
  <c r="H1646" i="2"/>
  <c r="F1634" i="2"/>
  <c r="H1634" i="2"/>
  <c r="F868" i="2"/>
  <c r="H868" i="2"/>
  <c r="F857" i="2"/>
  <c r="H857" i="2"/>
  <c r="F848" i="2"/>
  <c r="H848" i="2"/>
  <c r="F894" i="2"/>
  <c r="H894" i="2"/>
  <c r="F882" i="2"/>
  <c r="H882" i="2"/>
  <c r="F928" i="2"/>
  <c r="H928" i="2"/>
  <c r="F916" i="2"/>
  <c r="H916" i="2"/>
  <c r="F989" i="2"/>
  <c r="H989" i="2"/>
  <c r="F1023" i="2"/>
  <c r="H1023" i="2"/>
  <c r="F1069" i="2"/>
  <c r="H1069" i="2"/>
  <c r="F1094" i="2"/>
  <c r="H1094" i="2"/>
  <c r="F1082" i="2"/>
  <c r="H1082" i="2"/>
  <c r="F1128" i="2"/>
  <c r="H1128" i="2"/>
  <c r="F1116" i="2"/>
  <c r="H1116" i="2"/>
  <c r="F1104" i="2"/>
  <c r="H1104" i="2"/>
  <c r="F1187" i="2"/>
  <c r="H1187" i="2"/>
  <c r="F1212" i="2"/>
  <c r="H1212" i="2"/>
  <c r="F1200" i="2"/>
  <c r="H1200" i="2"/>
  <c r="F1822" i="2"/>
  <c r="H1822" i="2"/>
  <c r="F1283" i="2"/>
  <c r="H1283" i="2"/>
  <c r="F1271" i="2"/>
  <c r="H1271" i="2"/>
  <c r="F1259" i="2"/>
  <c r="H1259" i="2"/>
  <c r="F1297" i="2"/>
  <c r="H1297" i="2"/>
  <c r="F1335" i="2"/>
  <c r="H1335" i="2"/>
  <c r="F1323" i="2"/>
  <c r="H1323" i="2"/>
  <c r="F1349" i="2"/>
  <c r="H1349" i="2"/>
  <c r="F1399" i="2"/>
  <c r="H1399" i="2"/>
  <c r="F1387" i="2"/>
  <c r="H1387" i="2"/>
  <c r="F1437" i="2"/>
  <c r="H1437" i="2"/>
  <c r="F1464" i="2"/>
  <c r="H1464" i="2"/>
  <c r="F1452" i="2"/>
  <c r="H1452" i="2"/>
  <c r="F1471" i="2"/>
  <c r="H1471" i="2"/>
  <c r="F1555" i="2"/>
  <c r="H1555" i="2"/>
  <c r="F1543" i="2"/>
  <c r="H1543" i="2"/>
  <c r="F1593" i="2"/>
  <c r="H1593" i="2"/>
  <c r="F1581" i="2"/>
  <c r="H1581" i="2"/>
  <c r="F1569" i="2"/>
  <c r="H1569" i="2"/>
  <c r="F1645" i="2"/>
  <c r="H1645" i="2"/>
  <c r="F1633" i="2"/>
  <c r="H1633" i="2"/>
  <c r="F810" i="2"/>
  <c r="H810" i="2"/>
  <c r="F799" i="2"/>
  <c r="H799" i="2"/>
  <c r="F787" i="2"/>
  <c r="H787" i="2"/>
  <c r="F821" i="2"/>
  <c r="H821" i="2"/>
  <c r="F867" i="2"/>
  <c r="H867" i="2"/>
  <c r="F847" i="2"/>
  <c r="H847" i="2"/>
  <c r="F893" i="2"/>
  <c r="H893" i="2"/>
  <c r="F881" i="2"/>
  <c r="H881" i="2"/>
  <c r="F927" i="2"/>
  <c r="H927" i="2"/>
  <c r="F903" i="2"/>
  <c r="H903" i="2"/>
  <c r="F935" i="2"/>
  <c r="H935" i="2"/>
  <c r="F1022" i="2"/>
  <c r="H1022" i="2"/>
  <c r="F1068" i="2"/>
  <c r="H1068" i="2"/>
  <c r="A1056" i="2"/>
  <c r="F1093" i="2"/>
  <c r="H1093" i="2"/>
  <c r="F1081" i="2"/>
  <c r="H1081" i="2"/>
  <c r="F1127" i="2"/>
  <c r="H1127" i="2"/>
  <c r="F1115" i="2"/>
  <c r="H1115" i="2"/>
  <c r="F1186" i="2"/>
  <c r="H1186" i="2"/>
  <c r="F1174" i="2"/>
  <c r="H1174" i="2"/>
  <c r="F1199" i="2"/>
  <c r="H1199" i="2"/>
  <c r="F1821" i="2"/>
  <c r="H1821" i="2"/>
  <c r="F1282" i="2"/>
  <c r="H1282" i="2"/>
  <c r="F1270" i="2"/>
  <c r="H1270" i="2"/>
  <c r="F1308" i="2"/>
  <c r="H1308" i="2"/>
  <c r="F1296" i="2"/>
  <c r="H1296" i="2"/>
  <c r="F1346" i="2"/>
  <c r="H1346" i="2"/>
  <c r="F1334" i="2"/>
  <c r="H1334" i="2"/>
  <c r="F1372" i="2"/>
  <c r="H1372" i="2"/>
  <c r="F1348" i="2"/>
  <c r="H1348" i="2"/>
  <c r="F1398" i="2"/>
  <c r="H1398" i="2"/>
  <c r="F1386" i="2"/>
  <c r="H1386" i="2"/>
  <c r="F1436" i="2"/>
  <c r="H1436" i="2"/>
  <c r="F1424" i="2"/>
  <c r="H1424" i="2"/>
  <c r="F1412" i="2"/>
  <c r="H1412" i="2"/>
  <c r="F1463" i="2"/>
  <c r="H1463" i="2"/>
  <c r="F1501" i="2"/>
  <c r="H1501" i="2"/>
  <c r="F1489" i="2"/>
  <c r="H1489" i="2"/>
  <c r="F1528" i="2"/>
  <c r="H1528" i="2"/>
  <c r="F1504" i="2"/>
  <c r="H1504" i="2"/>
  <c r="F1592" i="2"/>
  <c r="H1592" i="2"/>
  <c r="F1580" i="2"/>
  <c r="H1580" i="2"/>
  <c r="F1568" i="2"/>
  <c r="H1568" i="2"/>
  <c r="F1656" i="2"/>
  <c r="H1656" i="2"/>
  <c r="F1644" i="2"/>
  <c r="H1644" i="2"/>
  <c r="F1632" i="2"/>
  <c r="H1632" i="2"/>
  <c r="F788" i="2"/>
  <c r="H788" i="2"/>
  <c r="F809" i="2"/>
  <c r="H809" i="2"/>
  <c r="F798" i="2"/>
  <c r="H798" i="2"/>
  <c r="F786" i="2"/>
  <c r="H786" i="2"/>
  <c r="F820" i="2"/>
  <c r="H820" i="2"/>
  <c r="F866" i="2"/>
  <c r="H866" i="2"/>
  <c r="F856" i="2"/>
  <c r="H856" i="2"/>
  <c r="F846" i="2"/>
  <c r="H846" i="2"/>
  <c r="F892" i="2"/>
  <c r="H892" i="2"/>
  <c r="F880" i="2"/>
  <c r="H880" i="2"/>
  <c r="F926" i="2"/>
  <c r="H926" i="2"/>
  <c r="F914" i="2"/>
  <c r="H914" i="2"/>
  <c r="F952" i="2"/>
  <c r="H952" i="2"/>
  <c r="F1033" i="2"/>
  <c r="H1033" i="2"/>
  <c r="F1021" i="2"/>
  <c r="H1021" i="2"/>
  <c r="F1067" i="2"/>
  <c r="H1067" i="2"/>
  <c r="F1046" i="2"/>
  <c r="H1046" i="2"/>
  <c r="F1080" i="2"/>
  <c r="H1080" i="2"/>
  <c r="F1126" i="2"/>
  <c r="H1126" i="2"/>
  <c r="F1114" i="2"/>
  <c r="H1114" i="2"/>
  <c r="F1185" i="2"/>
  <c r="H1185" i="2"/>
  <c r="F1173" i="2"/>
  <c r="H1173" i="2"/>
  <c r="F1222" i="2"/>
  <c r="H1222" i="2"/>
  <c r="F1210" i="2"/>
  <c r="H1210" i="2"/>
  <c r="F1198" i="2"/>
  <c r="H1198" i="2"/>
  <c r="F1236" i="2"/>
  <c r="H1236" i="2"/>
  <c r="F1832" i="2"/>
  <c r="H1832" i="2"/>
  <c r="F1820" i="2"/>
  <c r="H1820" i="2"/>
  <c r="F1281" i="2"/>
  <c r="H1281" i="2"/>
  <c r="F1269" i="2"/>
  <c r="H1269" i="2"/>
  <c r="F1257" i="2"/>
  <c r="H1257" i="2"/>
  <c r="F1307" i="2"/>
  <c r="H1307" i="2"/>
  <c r="F1295" i="2"/>
  <c r="H1295" i="2"/>
  <c r="F1345" i="2"/>
  <c r="H1345" i="2"/>
  <c r="F1321" i="2"/>
  <c r="H1321" i="2"/>
  <c r="F1397" i="2"/>
  <c r="H1397" i="2"/>
  <c r="F1385" i="2"/>
  <c r="H1385" i="2"/>
  <c r="F1435" i="2"/>
  <c r="H1435" i="2"/>
  <c r="F1462" i="2"/>
  <c r="H1462" i="2"/>
  <c r="F1450" i="2"/>
  <c r="H1450" i="2"/>
  <c r="F1488" i="2"/>
  <c r="H1488" i="2"/>
  <c r="F1476" i="2"/>
  <c r="H1476" i="2"/>
  <c r="F1553" i="2"/>
  <c r="H1553" i="2"/>
  <c r="F1541" i="2"/>
  <c r="H1541" i="2"/>
  <c r="F1591" i="2"/>
  <c r="H1591" i="2"/>
  <c r="F1579" i="2"/>
  <c r="H1579" i="2"/>
  <c r="F1567" i="2"/>
  <c r="H1567" i="2"/>
  <c r="F1655" i="2"/>
  <c r="H1655" i="2"/>
  <c r="F1643" i="2"/>
  <c r="H1643" i="2"/>
  <c r="F1631" i="2"/>
  <c r="H1631" i="2"/>
  <c r="F808" i="2"/>
  <c r="H808" i="2"/>
  <c r="F797" i="2"/>
  <c r="H797" i="2"/>
  <c r="F785" i="2"/>
  <c r="H785" i="2"/>
  <c r="F819" i="2"/>
  <c r="H819" i="2"/>
  <c r="F865" i="2"/>
  <c r="H865" i="2"/>
  <c r="F855" i="2"/>
  <c r="H855" i="2"/>
  <c r="F845" i="2"/>
  <c r="H845" i="2"/>
  <c r="F891" i="2"/>
  <c r="H891" i="2"/>
  <c r="F879" i="2"/>
  <c r="H879" i="2"/>
  <c r="F925" i="2"/>
  <c r="H925" i="2"/>
  <c r="F913" i="2"/>
  <c r="H913" i="2"/>
  <c r="F1044" i="2"/>
  <c r="H1044" i="2"/>
  <c r="F1032" i="2"/>
  <c r="H1032" i="2"/>
  <c r="F1020" i="2"/>
  <c r="H1020" i="2"/>
  <c r="F1066" i="2"/>
  <c r="H1066" i="2"/>
  <c r="F1055" i="2"/>
  <c r="H1055" i="2"/>
  <c r="F1091" i="2"/>
  <c r="H1091" i="2"/>
  <c r="F1125" i="2"/>
  <c r="H1125" i="2"/>
  <c r="F1113" i="2"/>
  <c r="H1113" i="2"/>
  <c r="F1184" i="2"/>
  <c r="H1184" i="2"/>
  <c r="F1172" i="2"/>
  <c r="H1172" i="2"/>
  <c r="F1197" i="2"/>
  <c r="H1197" i="2"/>
  <c r="F1235" i="2"/>
  <c r="H1235" i="2"/>
  <c r="F1831" i="2"/>
  <c r="H1831" i="2"/>
  <c r="F1819" i="2"/>
  <c r="H1819" i="2"/>
  <c r="F1280" i="2"/>
  <c r="H1280" i="2"/>
  <c r="F1268" i="2"/>
  <c r="H1268" i="2"/>
  <c r="F1294" i="2"/>
  <c r="H1294" i="2"/>
  <c r="F1344" i="2"/>
  <c r="H1344" i="2"/>
  <c r="F1332" i="2"/>
  <c r="H1332" i="2"/>
  <c r="F1358" i="2"/>
  <c r="H1358" i="2"/>
  <c r="F1408" i="2"/>
  <c r="H1408" i="2"/>
  <c r="F1396" i="2"/>
  <c r="H1396" i="2"/>
  <c r="F1384" i="2"/>
  <c r="H1384" i="2"/>
  <c r="F1434" i="2"/>
  <c r="H1434" i="2"/>
  <c r="F1422" i="2"/>
  <c r="H1422" i="2"/>
  <c r="F1410" i="2"/>
  <c r="H1410" i="2"/>
  <c r="F1461" i="2"/>
  <c r="H1461" i="2"/>
  <c r="F1449" i="2"/>
  <c r="H1449" i="2"/>
  <c r="F1499" i="2"/>
  <c r="H1499" i="2"/>
  <c r="F1487" i="2"/>
  <c r="H1487" i="2"/>
  <c r="F1475" i="2"/>
  <c r="H1475" i="2"/>
  <c r="F1590" i="2"/>
  <c r="H1590" i="2"/>
  <c r="F1578" i="2"/>
  <c r="H1578" i="2"/>
  <c r="F1566" i="2"/>
  <c r="H1566" i="2"/>
  <c r="F1654" i="2"/>
  <c r="H1654" i="2"/>
  <c r="F1642" i="2"/>
  <c r="H1642" i="2"/>
  <c r="F1630" i="2"/>
  <c r="H1630" i="2"/>
  <c r="F807" i="2"/>
  <c r="H807" i="2"/>
  <c r="F796" i="2"/>
  <c r="H796" i="2"/>
  <c r="F818" i="2"/>
  <c r="H818" i="2"/>
  <c r="F864" i="2"/>
  <c r="H864" i="2"/>
  <c r="F844" i="2"/>
  <c r="H844" i="2"/>
  <c r="F890" i="2"/>
  <c r="H890" i="2"/>
  <c r="F878" i="2"/>
  <c r="H878" i="2"/>
  <c r="F924" i="2"/>
  <c r="H924" i="2"/>
  <c r="F933" i="2"/>
  <c r="H933" i="2"/>
  <c r="F997" i="2"/>
  <c r="H997" i="2"/>
  <c r="F1090" i="2"/>
  <c r="H1090" i="2"/>
  <c r="F1078" i="2"/>
  <c r="H1078" i="2"/>
  <c r="F1124" i="2"/>
  <c r="H1124" i="2"/>
  <c r="F1112" i="2"/>
  <c r="H1112" i="2"/>
  <c r="F1183" i="2"/>
  <c r="H1183" i="2"/>
  <c r="F1171" i="2"/>
  <c r="H1171" i="2"/>
  <c r="F1220" i="2"/>
  <c r="H1220" i="2"/>
  <c r="F1208" i="2"/>
  <c r="H1208" i="2"/>
  <c r="F1196" i="2"/>
  <c r="H1196" i="2"/>
  <c r="F1246" i="2"/>
  <c r="H1246" i="2"/>
  <c r="F1842" i="2"/>
  <c r="H1842" i="2"/>
  <c r="F1830" i="2"/>
  <c r="H1830" i="2"/>
  <c r="F1818" i="2"/>
  <c r="H1818" i="2"/>
  <c r="F1279" i="2"/>
  <c r="H1279" i="2"/>
  <c r="F1267" i="2"/>
  <c r="H1267" i="2"/>
  <c r="F1255" i="2"/>
  <c r="H1255" i="2"/>
  <c r="F1305" i="2"/>
  <c r="H1305" i="2"/>
  <c r="F1293" i="2"/>
  <c r="H1293" i="2"/>
  <c r="F1343" i="2"/>
  <c r="H1343" i="2"/>
  <c r="F1331" i="2"/>
  <c r="H1331" i="2"/>
  <c r="F1319" i="2"/>
  <c r="H1319" i="2"/>
  <c r="F1407" i="2"/>
  <c r="H1407" i="2"/>
  <c r="F1395" i="2"/>
  <c r="H1395" i="2"/>
  <c r="F1383" i="2"/>
  <c r="H1383" i="2"/>
  <c r="F1433" i="2"/>
  <c r="H1433" i="2"/>
  <c r="F1460" i="2"/>
  <c r="H1460" i="2"/>
  <c r="F1448" i="2"/>
  <c r="H1448" i="2"/>
  <c r="F1486" i="2"/>
  <c r="H1486" i="2"/>
  <c r="F1563" i="2"/>
  <c r="H1563" i="2"/>
  <c r="F1551" i="2"/>
  <c r="H1551" i="2"/>
  <c r="F1539" i="2"/>
  <c r="H1539" i="2"/>
  <c r="F1589" i="2"/>
  <c r="H1589" i="2"/>
  <c r="F1577" i="2"/>
  <c r="H1577" i="2"/>
  <c r="F1565" i="2"/>
  <c r="H1565" i="2"/>
  <c r="F1653" i="2"/>
  <c r="H1653" i="2"/>
  <c r="F1641" i="2"/>
  <c r="H1641" i="2"/>
  <c r="F1629" i="2"/>
  <c r="H1629" i="2"/>
  <c r="F806" i="2"/>
  <c r="H806" i="2"/>
  <c r="F795" i="2"/>
  <c r="H795" i="2"/>
  <c r="F817" i="2"/>
  <c r="H817" i="2"/>
  <c r="F863" i="2"/>
  <c r="H863" i="2"/>
  <c r="F854" i="2"/>
  <c r="H854" i="2"/>
  <c r="F843" i="2"/>
  <c r="H843" i="2"/>
  <c r="F889" i="2"/>
  <c r="H889" i="2"/>
  <c r="F877" i="2"/>
  <c r="H877" i="2"/>
  <c r="F911" i="2"/>
  <c r="H911" i="2"/>
  <c r="F940" i="2"/>
  <c r="H940" i="2"/>
  <c r="F932" i="2"/>
  <c r="H932" i="2"/>
  <c r="F1030" i="2"/>
  <c r="H1030" i="2"/>
  <c r="F1054" i="2"/>
  <c r="H1054" i="2"/>
  <c r="F1101" i="2"/>
  <c r="H1101" i="2"/>
  <c r="F1089" i="2"/>
  <c r="H1089" i="2"/>
  <c r="F1123" i="2"/>
  <c r="H1123" i="2"/>
  <c r="F1134" i="2"/>
  <c r="H1134" i="2"/>
  <c r="F1182" i="2"/>
  <c r="H1182" i="2"/>
  <c r="F1170" i="2"/>
  <c r="H1170" i="2"/>
  <c r="F1207" i="2"/>
  <c r="H1207" i="2"/>
  <c r="F1195" i="2"/>
  <c r="H1195" i="2"/>
  <c r="F1245" i="2"/>
  <c r="H1245" i="2"/>
  <c r="F1841" i="2"/>
  <c r="H1841" i="2"/>
  <c r="F1829" i="2"/>
  <c r="H1829" i="2"/>
  <c r="F1817" i="2"/>
  <c r="H1817" i="2"/>
  <c r="F1278" i="2"/>
  <c r="H1278" i="2"/>
  <c r="F1304" i="2"/>
  <c r="H1304" i="2"/>
  <c r="F1292" i="2"/>
  <c r="H1292" i="2"/>
  <c r="F1342" i="2"/>
  <c r="H1342" i="2"/>
  <c r="F1330" i="2"/>
  <c r="H1330" i="2"/>
  <c r="F1368" i="2"/>
  <c r="H1368" i="2"/>
  <c r="F1356" i="2"/>
  <c r="H1356" i="2"/>
  <c r="F1406" i="2"/>
  <c r="H1406" i="2"/>
  <c r="F1394" i="2"/>
  <c r="H1394" i="2"/>
  <c r="F1382" i="2"/>
  <c r="H1382" i="2"/>
  <c r="F1432" i="2"/>
  <c r="H1432" i="2"/>
  <c r="F1420" i="2"/>
  <c r="H1420" i="2"/>
  <c r="F1440" i="2"/>
  <c r="H1440" i="2"/>
  <c r="F1459" i="2"/>
  <c r="H1459" i="2"/>
  <c r="F1447" i="2"/>
  <c r="H1447" i="2"/>
  <c r="F1497" i="2"/>
  <c r="H1497" i="2"/>
  <c r="F1473" i="2"/>
  <c r="H1473" i="2"/>
  <c r="F1524" i="2"/>
  <c r="H1524" i="2"/>
  <c r="F1588" i="2"/>
  <c r="H1588" i="2"/>
  <c r="F1595" i="2"/>
  <c r="H1595" i="2"/>
  <c r="F1652" i="2"/>
  <c r="H1652" i="2"/>
  <c r="F1640" i="2"/>
  <c r="H1640" i="2"/>
  <c r="F1628" i="2"/>
  <c r="H1628" i="2"/>
  <c r="F822" i="2"/>
  <c r="H822" i="2"/>
  <c r="F794" i="2"/>
  <c r="H794" i="2"/>
  <c r="F816" i="2"/>
  <c r="H816" i="2"/>
  <c r="F862" i="2"/>
  <c r="H862" i="2"/>
  <c r="F853" i="2"/>
  <c r="H853" i="2"/>
  <c r="F871" i="2"/>
  <c r="H871" i="2"/>
  <c r="F888" i="2"/>
  <c r="H888" i="2"/>
  <c r="F876" i="2"/>
  <c r="H876" i="2"/>
  <c r="F922" i="2"/>
  <c r="H922" i="2"/>
  <c r="F956" i="2"/>
  <c r="H956" i="2"/>
  <c r="F995" i="2"/>
  <c r="H995" i="2"/>
  <c r="F1041" i="2"/>
  <c r="H1041" i="2"/>
  <c r="F1029" i="2"/>
  <c r="H1029" i="2"/>
  <c r="F1017" i="2"/>
  <c r="H1017" i="2"/>
  <c r="F1063" i="2"/>
  <c r="H1063" i="2"/>
  <c r="F1053" i="2"/>
  <c r="H1053" i="2"/>
  <c r="F1088" i="2"/>
  <c r="H1088" i="2"/>
  <c r="F1076" i="2"/>
  <c r="H1076" i="2"/>
  <c r="F1122" i="2"/>
  <c r="H1122" i="2"/>
  <c r="F1110" i="2"/>
  <c r="H1110" i="2"/>
  <c r="F1133" i="2"/>
  <c r="H1133" i="2"/>
  <c r="F1181" i="2"/>
  <c r="H1181" i="2"/>
  <c r="F1169" i="2"/>
  <c r="H1169" i="2"/>
  <c r="F1218" i="2"/>
  <c r="H1218" i="2"/>
  <c r="F1206" i="2"/>
  <c r="H1206" i="2"/>
  <c r="F1194" i="2"/>
  <c r="H1194" i="2"/>
  <c r="F1244" i="2"/>
  <c r="H1244" i="2"/>
  <c r="F1232" i="2"/>
  <c r="H1232" i="2"/>
  <c r="F1840" i="2"/>
  <c r="H1840" i="2"/>
  <c r="F1828" i="2"/>
  <c r="H1828" i="2"/>
  <c r="F1816" i="2"/>
  <c r="H1816" i="2"/>
  <c r="F1277" i="2"/>
  <c r="H1277" i="2"/>
  <c r="F1265" i="2"/>
  <c r="H1265" i="2"/>
  <c r="F1315" i="2"/>
  <c r="H1315" i="2"/>
  <c r="F1303" i="2"/>
  <c r="H1303" i="2"/>
  <c r="F1329" i="2"/>
  <c r="H1329" i="2"/>
  <c r="F1317" i="2"/>
  <c r="H1317" i="2"/>
  <c r="F1405" i="2"/>
  <c r="H1405" i="2"/>
  <c r="F1393" i="2"/>
  <c r="H1393" i="2"/>
  <c r="F1381" i="2"/>
  <c r="H1381" i="2"/>
  <c r="F1431" i="2"/>
  <c r="H1431" i="2"/>
  <c r="F1470" i="2"/>
  <c r="H1470" i="2"/>
  <c r="F1458" i="2"/>
  <c r="H1458" i="2"/>
  <c r="F1446" i="2"/>
  <c r="H1446" i="2"/>
  <c r="F1472" i="2"/>
  <c r="H1472" i="2"/>
  <c r="F1561" i="2"/>
  <c r="H1561" i="2"/>
  <c r="F1549" i="2"/>
  <c r="H1549" i="2"/>
  <c r="F1537" i="2"/>
  <c r="H1537" i="2"/>
  <c r="F1587" i="2"/>
  <c r="H1587" i="2"/>
  <c r="F1575" i="2"/>
  <c r="H1575" i="2"/>
  <c r="F1625" i="2"/>
  <c r="H1625" i="2"/>
  <c r="F1651" i="2"/>
  <c r="H1651" i="2"/>
  <c r="F1639" i="2"/>
  <c r="H1639" i="2"/>
  <c r="F1627" i="2"/>
  <c r="H1627" i="2"/>
  <c r="F805" i="2"/>
  <c r="H805" i="2"/>
  <c r="F793" i="2"/>
  <c r="H793" i="2"/>
  <c r="F815" i="2"/>
  <c r="H815" i="2"/>
  <c r="F861" i="2"/>
  <c r="H861" i="2"/>
  <c r="F899" i="2"/>
  <c r="H899" i="2"/>
  <c r="F887" i="2"/>
  <c r="H887" i="2"/>
  <c r="F875" i="2"/>
  <c r="H875" i="2"/>
  <c r="F921" i="2"/>
  <c r="H921" i="2"/>
  <c r="F939" i="2"/>
  <c r="H939" i="2"/>
  <c r="F931" i="2"/>
  <c r="H931" i="2"/>
  <c r="F1040" i="2"/>
  <c r="H1040" i="2"/>
  <c r="F1062" i="2"/>
  <c r="H1062" i="2"/>
  <c r="F1087" i="2"/>
  <c r="H1087" i="2"/>
  <c r="F1075" i="2"/>
  <c r="H1075" i="2"/>
  <c r="F1121" i="2"/>
  <c r="H1121" i="2"/>
  <c r="F1109" i="2"/>
  <c r="H1109" i="2"/>
  <c r="F1180" i="2"/>
  <c r="H1180" i="2"/>
  <c r="F1168" i="2"/>
  <c r="H1168" i="2"/>
  <c r="F1205" i="2"/>
  <c r="H1205" i="2"/>
  <c r="F1193" i="2"/>
  <c r="H1193" i="2"/>
  <c r="F1243" i="2"/>
  <c r="H1243" i="2"/>
  <c r="F1231" i="2"/>
  <c r="H1231" i="2"/>
  <c r="F1839" i="2"/>
  <c r="H1839" i="2"/>
  <c r="F1827" i="2"/>
  <c r="H1827" i="2"/>
  <c r="F1815" i="2"/>
  <c r="H1815" i="2"/>
  <c r="F1276" i="2"/>
  <c r="H1276" i="2"/>
  <c r="F1264" i="2"/>
  <c r="H1264" i="2"/>
  <c r="F1314" i="2"/>
  <c r="H1314" i="2"/>
  <c r="F1302" i="2"/>
  <c r="H1302" i="2"/>
  <c r="F1290" i="2"/>
  <c r="H1290" i="2"/>
  <c r="F1340" i="2"/>
  <c r="H1340" i="2"/>
  <c r="F1328" i="2"/>
  <c r="H1328" i="2"/>
  <c r="F1366" i="2"/>
  <c r="H1366" i="2"/>
  <c r="F1354" i="2"/>
  <c r="H1354" i="2"/>
  <c r="F1392" i="2"/>
  <c r="H1392" i="2"/>
  <c r="F1380" i="2"/>
  <c r="H1380" i="2"/>
  <c r="F1430" i="2"/>
  <c r="H1430" i="2"/>
  <c r="F1469" i="2"/>
  <c r="H1469" i="2"/>
  <c r="F1457" i="2"/>
  <c r="H1457" i="2"/>
  <c r="F1495" i="2"/>
  <c r="H1495" i="2"/>
  <c r="F1483" i="2"/>
  <c r="H1483" i="2"/>
  <c r="A1502" i="2"/>
  <c r="F1510" i="2"/>
  <c r="H1510" i="2"/>
  <c r="F1586" i="2"/>
  <c r="H1586" i="2"/>
  <c r="F1574" i="2"/>
  <c r="H1574" i="2"/>
  <c r="F1650" i="2"/>
  <c r="H1650" i="2"/>
  <c r="F1638" i="2"/>
  <c r="H1638" i="2"/>
  <c r="F811" i="2"/>
  <c r="H811" i="2"/>
  <c r="F804" i="2"/>
  <c r="H804" i="2"/>
  <c r="F792" i="2"/>
  <c r="H792" i="2"/>
  <c r="F814" i="2"/>
  <c r="H814" i="2"/>
  <c r="F860" i="2"/>
  <c r="H860" i="2"/>
  <c r="F852" i="2"/>
  <c r="H852" i="2"/>
  <c r="F898" i="2"/>
  <c r="H898" i="2"/>
  <c r="F886" i="2"/>
  <c r="H886" i="2"/>
  <c r="F874" i="2"/>
  <c r="H874" i="2"/>
  <c r="F920" i="2"/>
  <c r="H920" i="2"/>
  <c r="F908" i="2"/>
  <c r="H908" i="2"/>
  <c r="F955" i="2"/>
  <c r="H955" i="2"/>
  <c r="F948" i="2"/>
  <c r="H948" i="2"/>
  <c r="F993" i="2"/>
  <c r="H993" i="2"/>
  <c r="F1061" i="2"/>
  <c r="H1061" i="2"/>
  <c r="F1052" i="2"/>
  <c r="H1052" i="2"/>
  <c r="F1098" i="2"/>
  <c r="H1098" i="2"/>
  <c r="F1120" i="2"/>
  <c r="H1120" i="2"/>
  <c r="F1108" i="2"/>
  <c r="H1108" i="2"/>
  <c r="F1191" i="2"/>
  <c r="H1191" i="2"/>
  <c r="F1179" i="2"/>
  <c r="H1179" i="2"/>
  <c r="F1216" i="2"/>
  <c r="H1216" i="2"/>
  <c r="F1204" i="2"/>
  <c r="H1204" i="2"/>
  <c r="F1230" i="2"/>
  <c r="H1230" i="2"/>
  <c r="F1838" i="2"/>
  <c r="H1838" i="2"/>
  <c r="F1826" i="2"/>
  <c r="H1826" i="2"/>
  <c r="F1814" i="2"/>
  <c r="H1814" i="2"/>
  <c r="F1275" i="2"/>
  <c r="H1275" i="2"/>
  <c r="F1263" i="2"/>
  <c r="H1263" i="2"/>
  <c r="F1313" i="2"/>
  <c r="H1313" i="2"/>
  <c r="F1301" i="2"/>
  <c r="H1301" i="2"/>
  <c r="F1289" i="2"/>
  <c r="H1289" i="2"/>
  <c r="F1339" i="2"/>
  <c r="H1339" i="2"/>
  <c r="F1327" i="2"/>
  <c r="H1327" i="2"/>
  <c r="F1353" i="2"/>
  <c r="H1353" i="2"/>
  <c r="F1403" i="2"/>
  <c r="H1403" i="2"/>
  <c r="F1391" i="2"/>
  <c r="H1391" i="2"/>
  <c r="F1379" i="2"/>
  <c r="H1379" i="2"/>
  <c r="F1429" i="2"/>
  <c r="H1429" i="2"/>
  <c r="F1468" i="2"/>
  <c r="H1468" i="2"/>
  <c r="F1456" i="2"/>
  <c r="H1456" i="2"/>
  <c r="F1444" i="2"/>
  <c r="H1444" i="2"/>
  <c r="F1559" i="2"/>
  <c r="H1559" i="2"/>
  <c r="F1547" i="2"/>
  <c r="H1547" i="2"/>
  <c r="F1535" i="2"/>
  <c r="H1535" i="2"/>
  <c r="F1585" i="2"/>
  <c r="H1585" i="2"/>
  <c r="F1573" i="2"/>
  <c r="H1573" i="2"/>
  <c r="F1649" i="2"/>
  <c r="H1649" i="2"/>
  <c r="F1637" i="2"/>
  <c r="H1637" i="2"/>
  <c r="F800" i="2"/>
  <c r="H800" i="2"/>
  <c r="F803" i="2"/>
  <c r="H803" i="2"/>
  <c r="F791" i="2"/>
  <c r="H791" i="2"/>
  <c r="F825" i="2"/>
  <c r="H825" i="2"/>
  <c r="F859" i="2"/>
  <c r="H859" i="2"/>
  <c r="F851" i="2"/>
  <c r="H851" i="2"/>
  <c r="F897" i="2"/>
  <c r="H897" i="2"/>
  <c r="F885" i="2"/>
  <c r="H885" i="2"/>
  <c r="F873" i="2"/>
  <c r="H873" i="2"/>
  <c r="F907" i="2"/>
  <c r="H907" i="2"/>
  <c r="A954" i="2"/>
  <c r="A937" i="2"/>
  <c r="F987" i="2"/>
  <c r="H987" i="2"/>
  <c r="F1060" i="2"/>
  <c r="H1060" i="2"/>
  <c r="F1051" i="2"/>
  <c r="H1051" i="2"/>
  <c r="F1097" i="2"/>
  <c r="H1097" i="2"/>
  <c r="F1131" i="2"/>
  <c r="H1131" i="2"/>
  <c r="F1119" i="2"/>
  <c r="H1119" i="2"/>
  <c r="F1107" i="2"/>
  <c r="H1107" i="2"/>
  <c r="F1178" i="2"/>
  <c r="H1178" i="2"/>
  <c r="F1166" i="2"/>
  <c r="H1166" i="2"/>
  <c r="F1203" i="2"/>
  <c r="H1203" i="2"/>
  <c r="F1253" i="2"/>
  <c r="H1253" i="2"/>
  <c r="F1229" i="2"/>
  <c r="H1229" i="2"/>
  <c r="F1825" i="2"/>
  <c r="H1825" i="2"/>
  <c r="F1813" i="2"/>
  <c r="H1813" i="2"/>
  <c r="F1274" i="2"/>
  <c r="H1274" i="2"/>
  <c r="F1262" i="2"/>
  <c r="H1262" i="2"/>
  <c r="F1312" i="2"/>
  <c r="H1312" i="2"/>
  <c r="F1300" i="2"/>
  <c r="H1300" i="2"/>
  <c r="F1288" i="2"/>
  <c r="H1288" i="2"/>
  <c r="F1338" i="2"/>
  <c r="H1338" i="2"/>
  <c r="F1326" i="2"/>
  <c r="H1326" i="2"/>
  <c r="F1376" i="2"/>
  <c r="H1376" i="2"/>
  <c r="F1364" i="2"/>
  <c r="H1364" i="2"/>
  <c r="F1352" i="2"/>
  <c r="H1352" i="2"/>
  <c r="F1402" i="2"/>
  <c r="H1402" i="2"/>
  <c r="F1390" i="2"/>
  <c r="H1390" i="2"/>
  <c r="F1428" i="2"/>
  <c r="H1428" i="2"/>
  <c r="F1416" i="2"/>
  <c r="H1416" i="2"/>
  <c r="F1467" i="2"/>
  <c r="H1467" i="2"/>
  <c r="F1455" i="2"/>
  <c r="H1455" i="2"/>
  <c r="F1493" i="2"/>
  <c r="H1493" i="2"/>
  <c r="F1481" i="2"/>
  <c r="H1481" i="2"/>
  <c r="F1532" i="2"/>
  <c r="H1532" i="2"/>
  <c r="F1520" i="2"/>
  <c r="H1520" i="2"/>
  <c r="F1508" i="2"/>
  <c r="H1508" i="2"/>
  <c r="F1572" i="2"/>
  <c r="H1572" i="2"/>
  <c r="F1648" i="2"/>
  <c r="H1648" i="2"/>
  <c r="F1636" i="2"/>
  <c r="H1636" i="2"/>
  <c r="F802" i="2"/>
  <c r="H802" i="2"/>
  <c r="F790" i="2"/>
  <c r="H790" i="2"/>
  <c r="F824" i="2"/>
  <c r="H824" i="2"/>
  <c r="F870" i="2"/>
  <c r="H870" i="2"/>
  <c r="A858" i="2"/>
  <c r="F850" i="2"/>
  <c r="H850" i="2"/>
  <c r="F896" i="2"/>
  <c r="H896" i="2"/>
  <c r="F884" i="2"/>
  <c r="H884" i="2"/>
  <c r="F872" i="2"/>
  <c r="H872" i="2"/>
  <c r="F918" i="2"/>
  <c r="H918" i="2"/>
  <c r="F906" i="2"/>
  <c r="H906" i="2"/>
  <c r="F991" i="2"/>
  <c r="H991" i="2"/>
  <c r="F1037" i="2"/>
  <c r="H1037" i="2"/>
  <c r="F1025" i="2"/>
  <c r="H1025" i="2"/>
  <c r="F1071" i="2"/>
  <c r="H1071" i="2"/>
  <c r="F1096" i="2"/>
  <c r="H1096" i="2"/>
  <c r="F1084" i="2"/>
  <c r="H1084" i="2"/>
  <c r="F1130" i="2"/>
  <c r="H1130" i="2"/>
  <c r="F1118" i="2"/>
  <c r="H1118" i="2"/>
  <c r="F1106" i="2"/>
  <c r="H1106" i="2"/>
  <c r="F1189" i="2"/>
  <c r="H1189" i="2"/>
  <c r="F1177" i="2"/>
  <c r="H1177" i="2"/>
  <c r="F1214" i="2"/>
  <c r="H1214" i="2"/>
  <c r="F1202" i="2"/>
  <c r="H1202" i="2"/>
  <c r="F1252" i="2"/>
  <c r="H1252" i="2"/>
  <c r="F1228" i="2"/>
  <c r="H1228" i="2"/>
  <c r="F1836" i="2"/>
  <c r="H1836" i="2"/>
  <c r="F1824" i="2"/>
  <c r="H1824" i="2"/>
  <c r="F1273" i="2"/>
  <c r="H1273" i="2"/>
  <c r="F1261" i="2"/>
  <c r="H1261" i="2"/>
  <c r="F1311" i="2"/>
  <c r="H1311" i="2"/>
  <c r="F1299" i="2"/>
  <c r="H1299" i="2"/>
  <c r="F1337" i="2"/>
  <c r="H1337" i="2"/>
  <c r="F1351" i="2"/>
  <c r="H1351" i="2"/>
  <c r="F1401" i="2"/>
  <c r="H1401" i="2"/>
  <c r="F1389" i="2"/>
  <c r="H1389" i="2"/>
  <c r="F1439" i="2"/>
  <c r="H1439" i="2"/>
  <c r="F1427" i="2"/>
  <c r="H1427" i="2"/>
  <c r="F1466" i="2"/>
  <c r="H1466" i="2"/>
  <c r="F1454" i="2"/>
  <c r="H1454" i="2"/>
  <c r="F1442" i="2"/>
  <c r="H1442" i="2"/>
  <c r="F1492" i="2"/>
  <c r="H1492" i="2"/>
  <c r="F1557" i="2"/>
  <c r="H1557" i="2"/>
  <c r="F1545" i="2"/>
  <c r="H1545" i="2"/>
  <c r="F1583" i="2"/>
  <c r="H1583" i="2"/>
  <c r="F1571" i="2"/>
  <c r="H1571" i="2"/>
  <c r="F1647" i="2"/>
  <c r="H1647" i="2"/>
  <c r="F1635" i="2"/>
  <c r="H1635" i="2"/>
  <c r="A898" i="2"/>
  <c r="A896" i="2"/>
  <c r="A894" i="2"/>
  <c r="A892" i="2"/>
  <c r="A1337" i="2"/>
  <c r="A1335" i="2"/>
  <c r="A1319" i="2"/>
  <c r="A1361" i="2"/>
  <c r="A1353" i="2"/>
  <c r="A1192" i="2"/>
  <c r="A958" i="2"/>
  <c r="A897" i="2"/>
  <c r="A895" i="2"/>
  <c r="A893" i="2"/>
  <c r="A1074" i="2"/>
  <c r="A919" i="2"/>
  <c r="A917" i="2"/>
  <c r="A915" i="2"/>
  <c r="A913" i="2"/>
  <c r="A911" i="2"/>
  <c r="A909" i="2"/>
  <c r="A1582" i="2"/>
  <c r="A1580" i="2"/>
  <c r="A1578" i="2"/>
  <c r="A1576" i="2"/>
  <c r="A1574" i="2"/>
  <c r="A1572" i="2"/>
  <c r="A1570" i="2"/>
  <c r="A1568" i="2"/>
  <c r="A1566" i="2"/>
  <c r="A1656" i="2"/>
  <c r="A1310" i="2"/>
  <c r="A1308" i="2"/>
  <c r="A1294" i="2"/>
  <c r="A1292" i="2"/>
  <c r="A1290" i="2"/>
  <c r="A1286" i="2"/>
  <c r="A900" i="2"/>
  <c r="A1020" i="2"/>
  <c r="A1647" i="2"/>
  <c r="A1643" i="2"/>
  <c r="A849" i="2"/>
  <c r="A847" i="2"/>
  <c r="A845" i="2"/>
  <c r="A843" i="2"/>
  <c r="A899" i="2"/>
  <c r="A1018" i="2"/>
  <c r="A1072" i="2"/>
  <c r="A1250" i="2"/>
  <c r="A1248" i="2"/>
  <c r="A1246" i="2"/>
  <c r="A1244" i="2"/>
  <c r="A1242" i="2"/>
  <c r="A1396" i="2"/>
  <c r="A1394" i="2"/>
  <c r="A1392" i="2"/>
  <c r="A1390" i="2"/>
  <c r="A1388" i="2"/>
  <c r="A1386" i="2"/>
  <c r="A1384" i="2"/>
  <c r="A1382" i="2"/>
  <c r="A889" i="2"/>
  <c r="A887" i="2"/>
  <c r="A885" i="2"/>
  <c r="A883" i="2"/>
  <c r="A881" i="2"/>
  <c r="A1840" i="2"/>
  <c r="A1838" i="2"/>
  <c r="A1836" i="2"/>
  <c r="A1436" i="2"/>
  <c r="A1434" i="2"/>
  <c r="A1432" i="2"/>
  <c r="A1430" i="2"/>
  <c r="A1343" i="2"/>
  <c r="A1061" i="2"/>
  <c r="A1059" i="2"/>
  <c r="A1351" i="2"/>
  <c r="A1349" i="2"/>
  <c r="A1405" i="2"/>
  <c r="A1403" i="2"/>
  <c r="A1636" i="2"/>
  <c r="A1057" i="2"/>
  <c r="A1055" i="2"/>
  <c r="A1053" i="2"/>
  <c r="A1049" i="2"/>
  <c r="A1047" i="2"/>
  <c r="A1101" i="2"/>
  <c r="A1813" i="2"/>
  <c r="A1284" i="2"/>
  <c r="A1628" i="2"/>
  <c r="A890" i="2"/>
  <c r="A888" i="2"/>
  <c r="A1081" i="2"/>
  <c r="A1079" i="2"/>
  <c r="A1258" i="2"/>
  <c r="A1256" i="2"/>
  <c r="A798" i="2"/>
  <c r="A796" i="2"/>
  <c r="A1038" i="2"/>
  <c r="A1045" i="2"/>
  <c r="A1099" i="2"/>
  <c r="A1230" i="2"/>
  <c r="A1228" i="2"/>
  <c r="A1226" i="2"/>
  <c r="A1842" i="2"/>
  <c r="A1822" i="2"/>
  <c r="A1820" i="2"/>
  <c r="A1818" i="2"/>
  <c r="A1317" i="2"/>
  <c r="A1371" i="2"/>
  <c r="A1412" i="2"/>
  <c r="A1410" i="2"/>
  <c r="A1456" i="2"/>
  <c r="A1454" i="2"/>
  <c r="A1452" i="2"/>
  <c r="A1450" i="2"/>
  <c r="A1448" i="2"/>
  <c r="A1446" i="2"/>
  <c r="A1444" i="2"/>
  <c r="A1442" i="2"/>
  <c r="A1016" i="2"/>
  <c r="A1277" i="2"/>
  <c r="A866" i="2"/>
  <c r="A864" i="2"/>
  <c r="A1083" i="2"/>
  <c r="A1182" i="2"/>
  <c r="A1180" i="2"/>
  <c r="A1178" i="2"/>
  <c r="A1176" i="2"/>
  <c r="A1174" i="2"/>
  <c r="A1172" i="2"/>
  <c r="A1170" i="2"/>
  <c r="A1168" i="2"/>
  <c r="A1166" i="2"/>
  <c r="A1164" i="2"/>
  <c r="A1221" i="2"/>
  <c r="A1219" i="2"/>
  <c r="A1217" i="2"/>
  <c r="A1215" i="2"/>
  <c r="A1213" i="2"/>
  <c r="A1211" i="2"/>
  <c r="A1209" i="2"/>
  <c r="A1207" i="2"/>
  <c r="A1205" i="2"/>
  <c r="A1203" i="2"/>
  <c r="A1201" i="2"/>
  <c r="A1199" i="2"/>
  <c r="A1197" i="2"/>
  <c r="A1195" i="2"/>
  <c r="A1193" i="2"/>
  <c r="A1253" i="2"/>
  <c r="A1275" i="2"/>
  <c r="A1639" i="2"/>
  <c r="A809" i="2"/>
  <c r="A807" i="2"/>
  <c r="A1223" i="2"/>
  <c r="A1249" i="2"/>
  <c r="A1247" i="2"/>
  <c r="A1245" i="2"/>
  <c r="A1243" i="2"/>
  <c r="A1241" i="2"/>
  <c r="A1239" i="2"/>
  <c r="A1397" i="2"/>
  <c r="A1395" i="2"/>
  <c r="A1393" i="2"/>
  <c r="A1391" i="2"/>
  <c r="A1389" i="2"/>
  <c r="A1387" i="2"/>
  <c r="A971" i="2"/>
  <c r="A969" i="2"/>
  <c r="A967" i="2"/>
  <c r="A965" i="2"/>
  <c r="A963" i="2"/>
  <c r="A961" i="2"/>
  <c r="A959" i="2"/>
  <c r="A1015" i="2"/>
  <c r="A1013" i="2"/>
  <c r="A1011" i="2"/>
  <c r="A1009" i="2"/>
  <c r="A1007" i="2"/>
  <c r="A1005" i="2"/>
  <c r="A1003" i="2"/>
  <c r="A1001" i="2"/>
  <c r="A999" i="2"/>
  <c r="A997" i="2"/>
  <c r="A995" i="2"/>
  <c r="A993" i="2"/>
  <c r="A991" i="2"/>
  <c r="A989" i="2"/>
  <c r="A1043" i="2"/>
  <c r="A1041" i="2"/>
  <c r="A1237" i="2"/>
  <c r="A1235" i="2"/>
  <c r="A1233" i="2"/>
  <c r="A1313" i="2"/>
  <c r="A1326" i="2"/>
  <c r="A1324" i="2"/>
  <c r="A1322" i="2"/>
  <c r="A1421" i="2"/>
  <c r="A1419" i="2"/>
  <c r="A1631" i="2"/>
  <c r="A797" i="2"/>
  <c r="A1823" i="2"/>
  <c r="A1821" i="2"/>
  <c r="A1819" i="2"/>
  <c r="A1285" i="2"/>
  <c r="A1644" i="2"/>
  <c r="A1096" i="2"/>
  <c r="A1094" i="2"/>
  <c r="A1092" i="2"/>
  <c r="A1090" i="2"/>
  <c r="A1364" i="2"/>
  <c r="A1358" i="2"/>
  <c r="A1491" i="2"/>
  <c r="A1489" i="2"/>
  <c r="A1531" i="2"/>
  <c r="A1529" i="2"/>
  <c r="A1587" i="2"/>
  <c r="A865" i="2"/>
  <c r="A872" i="2"/>
  <c r="A928" i="2"/>
  <c r="A1027" i="2"/>
  <c r="A1025" i="2"/>
  <c r="A1023" i="2"/>
  <c r="A1104" i="2"/>
  <c r="A1161" i="2"/>
  <c r="A1159" i="2"/>
  <c r="A1157" i="2"/>
  <c r="A1155" i="2"/>
  <c r="A1153" i="2"/>
  <c r="A1151" i="2"/>
  <c r="A1149" i="2"/>
  <c r="A1147" i="2"/>
  <c r="A1145" i="2"/>
  <c r="A1143" i="2"/>
  <c r="A1141" i="2"/>
  <c r="A1139" i="2"/>
  <c r="A1137" i="2"/>
  <c r="A1135" i="2"/>
  <c r="A1133" i="2"/>
  <c r="A1191" i="2"/>
  <c r="A1189" i="2"/>
  <c r="A1187" i="2"/>
  <c r="A1185" i="2"/>
  <c r="A1183" i="2"/>
  <c r="A1177" i="2"/>
  <c r="A1252" i="2"/>
  <c r="A1268" i="2"/>
  <c r="A1305" i="2"/>
  <c r="A1585" i="2"/>
  <c r="A1625" i="2"/>
  <c r="A1640" i="2"/>
  <c r="A812" i="2"/>
  <c r="A857" i="2"/>
  <c r="A920" i="2"/>
  <c r="A918" i="2"/>
  <c r="A916" i="2"/>
  <c r="A914" i="2"/>
  <c r="A912" i="2"/>
  <c r="A910" i="2"/>
  <c r="A1260" i="2"/>
  <c r="A1345" i="2"/>
  <c r="A1352" i="2"/>
  <c r="A868" i="2"/>
  <c r="F945" i="2"/>
  <c r="F1059" i="2"/>
  <c r="A1087" i="2"/>
  <c r="A1085" i="2"/>
  <c r="A795" i="2"/>
  <c r="A863" i="2"/>
  <c r="A927" i="2"/>
  <c r="A908" i="2"/>
  <c r="A905" i="2"/>
  <c r="A784" i="2"/>
  <c r="A811" i="2"/>
  <c r="A806" i="2"/>
  <c r="A804" i="2"/>
  <c r="A802" i="2"/>
  <c r="A800" i="2"/>
  <c r="A793" i="2"/>
  <c r="A791" i="2"/>
  <c r="A789" i="2"/>
  <c r="A787" i="2"/>
  <c r="A785" i="2"/>
  <c r="A841" i="2"/>
  <c r="A839" i="2"/>
  <c r="A837" i="2"/>
  <c r="A835" i="2"/>
  <c r="A833" i="2"/>
  <c r="A831" i="2"/>
  <c r="A829" i="2"/>
  <c r="A827" i="2"/>
  <c r="A825" i="2"/>
  <c r="A823" i="2"/>
  <c r="A821" i="2"/>
  <c r="A819" i="2"/>
  <c r="A817" i="2"/>
  <c r="A815" i="2"/>
  <c r="A842" i="2"/>
  <c r="A869" i="2"/>
  <c r="A861" i="2"/>
  <c r="A859" i="2"/>
  <c r="A850" i="2"/>
  <c r="A848" i="2"/>
  <c r="A846" i="2"/>
  <c r="A844" i="2"/>
  <c r="A878" i="2"/>
  <c r="A876" i="2"/>
  <c r="A874" i="2"/>
  <c r="A925" i="2"/>
  <c r="A923" i="2"/>
  <c r="A921" i="2"/>
  <c r="A906" i="2"/>
  <c r="A903" i="2"/>
  <c r="A901" i="2"/>
  <c r="A957" i="2"/>
  <c r="A944" i="2"/>
  <c r="A942" i="2"/>
  <c r="A938" i="2"/>
  <c r="A1039" i="2"/>
  <c r="A1028" i="2"/>
  <c r="F1070" i="2"/>
  <c r="A1060" i="2"/>
  <c r="F1833" i="2"/>
  <c r="A1031" i="2"/>
  <c r="F1028" i="2"/>
  <c r="A1022" i="2"/>
  <c r="A1069" i="2"/>
  <c r="A1067" i="2"/>
  <c r="A1065" i="2"/>
  <c r="F1111" i="2"/>
  <c r="F938" i="2"/>
  <c r="F1031" i="2"/>
  <c r="F1050" i="2"/>
  <c r="A1316" i="2"/>
  <c r="A1334" i="2"/>
  <c r="A1332" i="2"/>
  <c r="A1327" i="2"/>
  <c r="A1374" i="2"/>
  <c r="A1366" i="2"/>
  <c r="A1404" i="2"/>
  <c r="A1402" i="2"/>
  <c r="A1398" i="2"/>
  <c r="A1437" i="2"/>
  <c r="A1435" i="2"/>
  <c r="A1433" i="2"/>
  <c r="A1431" i="2"/>
  <c r="A1420" i="2"/>
  <c r="A1414" i="2"/>
  <c r="A1465" i="2"/>
  <c r="A1463" i="2"/>
  <c r="A1461" i="2"/>
  <c r="A1459" i="2"/>
  <c r="A1457" i="2"/>
  <c r="A1522" i="2"/>
  <c r="A1520" i="2"/>
  <c r="A1518" i="2"/>
  <c r="A1516" i="2"/>
  <c r="A1514" i="2"/>
  <c r="A1512" i="2"/>
  <c r="A1510" i="2"/>
  <c r="A1508" i="2"/>
  <c r="A1506" i="2"/>
  <c r="A1504" i="2"/>
  <c r="A1533" i="2"/>
  <c r="A1562" i="2"/>
  <c r="A1560" i="2"/>
  <c r="A1558" i="2"/>
  <c r="A1556" i="2"/>
  <c r="A1554" i="2"/>
  <c r="A1552" i="2"/>
  <c r="A1550" i="2"/>
  <c r="A1548" i="2"/>
  <c r="A1546" i="2"/>
  <c r="A1544" i="2"/>
  <c r="A1542" i="2"/>
  <c r="A1540" i="2"/>
  <c r="A1538" i="2"/>
  <c r="A1536" i="2"/>
  <c r="A1534" i="2"/>
  <c r="A1594" i="2"/>
  <c r="A1592" i="2"/>
  <c r="A1590" i="2"/>
  <c r="A1655" i="2"/>
  <c r="A1652" i="2"/>
  <c r="A1627" i="2"/>
  <c r="A1110" i="2"/>
  <c r="A1108" i="2"/>
  <c r="A1833" i="2"/>
  <c r="A1825" i="2"/>
  <c r="A1816" i="2"/>
  <c r="A1282" i="2"/>
  <c r="A1304" i="2"/>
  <c r="A1301" i="2"/>
  <c r="A1036" i="2"/>
  <c r="A1034" i="2"/>
  <c r="A1032" i="2"/>
  <c r="A1026" i="2"/>
  <c r="A1019" i="2"/>
  <c r="A1017" i="2"/>
  <c r="A1073" i="2"/>
  <c r="A1071" i="2"/>
  <c r="A1068" i="2"/>
  <c r="A1066" i="2"/>
  <c r="A1064" i="2"/>
  <c r="A1062" i="2"/>
  <c r="A1048" i="2"/>
  <c r="A1046" i="2"/>
  <c r="A1102" i="2"/>
  <c r="A1109" i="2"/>
  <c r="A1232" i="2"/>
  <c r="A1841" i="2"/>
  <c r="A1839" i="2"/>
  <c r="A1837" i="2"/>
  <c r="A1835" i="2"/>
  <c r="A1831" i="2"/>
  <c r="A1829" i="2"/>
  <c r="A1827" i="2"/>
  <c r="A1280" i="2"/>
  <c r="A1278" i="2"/>
  <c r="A1265" i="2"/>
  <c r="A1263" i="2"/>
  <c r="A1261" i="2"/>
  <c r="A1299" i="2"/>
  <c r="A1297" i="2"/>
  <c r="A1295" i="2"/>
  <c r="A1289" i="2"/>
  <c r="A1342" i="2"/>
  <c r="A1340" i="2"/>
  <c r="A1329" i="2"/>
  <c r="A1376" i="2"/>
  <c r="A1350" i="2"/>
  <c r="A1385" i="2"/>
  <c r="A1383" i="2"/>
  <c r="A1381" i="2"/>
  <c r="A1428" i="2"/>
  <c r="A1469" i="2"/>
  <c r="A1467" i="2"/>
  <c r="A1480" i="2"/>
  <c r="A1478" i="2"/>
  <c r="A1476" i="2"/>
  <c r="A1524" i="2"/>
  <c r="A1623" i="2"/>
  <c r="A1621" i="2"/>
  <c r="A1619" i="2"/>
  <c r="A1617" i="2"/>
  <c r="A1615" i="2"/>
  <c r="A1613" i="2"/>
  <c r="A1611" i="2"/>
  <c r="A1609" i="2"/>
  <c r="A1607" i="2"/>
  <c r="A1605" i="2"/>
  <c r="A1603" i="2"/>
  <c r="A1601" i="2"/>
  <c r="A1599" i="2"/>
  <c r="A1597" i="2"/>
  <c r="A1651" i="2"/>
  <c r="A1648" i="2"/>
  <c r="A1635" i="2"/>
  <c r="A1632" i="2"/>
  <c r="F1309" i="2"/>
  <c r="F1291" i="2"/>
  <c r="F1370" i="2"/>
  <c r="F1357" i="2"/>
  <c r="F1418" i="2"/>
  <c r="F941" i="2"/>
  <c r="F1047" i="2"/>
  <c r="F1074" i="2"/>
  <c r="A1077" i="2"/>
  <c r="F1175" i="2"/>
  <c r="F1223" i="2"/>
  <c r="F1333" i="2"/>
  <c r="F1360" i="2"/>
  <c r="A855" i="2"/>
  <c r="A886" i="2"/>
  <c r="A879" i="2"/>
  <c r="A951" i="2"/>
  <c r="A949" i="2"/>
  <c r="A947" i="2"/>
  <c r="A945" i="2"/>
  <c r="A940" i="2"/>
  <c r="A1037" i="2"/>
  <c r="A1029" i="2"/>
  <c r="A1024" i="2"/>
  <c r="A1021" i="2"/>
  <c r="A1063" i="2"/>
  <c r="A1051" i="2"/>
  <c r="F1077" i="2"/>
  <c r="F1224" i="2"/>
  <c r="F1266" i="2"/>
  <c r="F1287" i="2"/>
  <c r="F1834" i="2"/>
  <c r="A803" i="2"/>
  <c r="A810" i="2"/>
  <c r="A808" i="2"/>
  <c r="A801" i="2"/>
  <c r="A799" i="2"/>
  <c r="A794" i="2"/>
  <c r="A792" i="2"/>
  <c r="A790" i="2"/>
  <c r="A788" i="2"/>
  <c r="A786" i="2"/>
  <c r="A813" i="2"/>
  <c r="A840" i="2"/>
  <c r="A838" i="2"/>
  <c r="A836" i="2"/>
  <c r="A834" i="2"/>
  <c r="A832" i="2"/>
  <c r="A830" i="2"/>
  <c r="A828" i="2"/>
  <c r="A826" i="2"/>
  <c r="A824" i="2"/>
  <c r="A822" i="2"/>
  <c r="A820" i="2"/>
  <c r="A818" i="2"/>
  <c r="A816" i="2"/>
  <c r="A814" i="2"/>
  <c r="A870" i="2"/>
  <c r="A867" i="2"/>
  <c r="A862" i="2"/>
  <c r="A860" i="2"/>
  <c r="A853" i="2"/>
  <c r="A851" i="2"/>
  <c r="A871" i="2"/>
  <c r="A891" i="2"/>
  <c r="A884" i="2"/>
  <c r="A882" i="2"/>
  <c r="A880" i="2"/>
  <c r="A877" i="2"/>
  <c r="A875" i="2"/>
  <c r="A873" i="2"/>
  <c r="A926" i="2"/>
  <c r="A924" i="2"/>
  <c r="A922" i="2"/>
  <c r="A907" i="2"/>
  <c r="A904" i="2"/>
  <c r="A902" i="2"/>
  <c r="A929" i="2"/>
  <c r="A956" i="2"/>
  <c r="A943" i="2"/>
  <c r="A941" i="2"/>
  <c r="A936" i="2"/>
  <c r="A934" i="2"/>
  <c r="A932" i="2"/>
  <c r="A930" i="2"/>
  <c r="A986" i="2"/>
  <c r="A984" i="2"/>
  <c r="A982" i="2"/>
  <c r="A980" i="2"/>
  <c r="A978" i="2"/>
  <c r="A976" i="2"/>
  <c r="A974" i="2"/>
  <c r="A972" i="2"/>
  <c r="A970" i="2"/>
  <c r="A968" i="2"/>
  <c r="A966" i="2"/>
  <c r="A964" i="2"/>
  <c r="A962" i="2"/>
  <c r="A960" i="2"/>
  <c r="A987" i="2"/>
  <c r="A1014" i="2"/>
  <c r="A1012" i="2"/>
  <c r="A1010" i="2"/>
  <c r="A1008" i="2"/>
  <c r="A1006" i="2"/>
  <c r="A1004" i="2"/>
  <c r="A1002" i="2"/>
  <c r="A1000" i="2"/>
  <c r="A998" i="2"/>
  <c r="A996" i="2"/>
  <c r="A994" i="2"/>
  <c r="A992" i="2"/>
  <c r="A990" i="2"/>
  <c r="A988" i="2"/>
  <c r="A1044" i="2"/>
  <c r="A1042" i="2"/>
  <c r="A1040" i="2"/>
  <c r="A1035" i="2"/>
  <c r="A1033" i="2"/>
  <c r="A1030" i="2"/>
  <c r="A1070" i="2"/>
  <c r="A1058" i="2"/>
  <c r="F1102" i="2"/>
  <c r="A1100" i="2"/>
  <c r="A1098" i="2"/>
  <c r="A1089" i="2"/>
  <c r="A1082" i="2"/>
  <c r="A1080" i="2"/>
  <c r="A1078" i="2"/>
  <c r="A1076" i="2"/>
  <c r="A1103" i="2"/>
  <c r="A1130" i="2"/>
  <c r="A1128" i="2"/>
  <c r="A1126" i="2"/>
  <c r="A1124" i="2"/>
  <c r="A1122" i="2"/>
  <c r="A1120" i="2"/>
  <c r="A1118" i="2"/>
  <c r="A1116" i="2"/>
  <c r="A1114" i="2"/>
  <c r="A1112" i="2"/>
  <c r="F1240" i="2"/>
  <c r="A1238" i="2"/>
  <c r="A1236" i="2"/>
  <c r="A1234" i="2"/>
  <c r="A1229" i="2"/>
  <c r="A1227" i="2"/>
  <c r="A1225" i="2"/>
  <c r="F1812" i="2"/>
  <c r="A1272" i="2"/>
  <c r="A1270" i="2"/>
  <c r="F1306" i="2"/>
  <c r="F1341" i="2"/>
  <c r="F1325" i="2"/>
  <c r="F1451" i="2"/>
  <c r="A1050" i="2"/>
  <c r="A1097" i="2"/>
  <c r="A1095" i="2"/>
  <c r="A1093" i="2"/>
  <c r="A1091" i="2"/>
  <c r="A1088" i="2"/>
  <c r="A1086" i="2"/>
  <c r="A1084" i="2"/>
  <c r="A1075" i="2"/>
  <c r="A1131" i="2"/>
  <c r="A1129" i="2"/>
  <c r="A1127" i="2"/>
  <c r="A1125" i="2"/>
  <c r="A1123" i="2"/>
  <c r="A1121" i="2"/>
  <c r="A1119" i="2"/>
  <c r="A1117" i="2"/>
  <c r="A1115" i="2"/>
  <c r="A1113" i="2"/>
  <c r="A1111" i="2"/>
  <c r="A1106" i="2"/>
  <c r="A1181" i="2"/>
  <c r="A1179" i="2"/>
  <c r="A1175" i="2"/>
  <c r="A1240" i="2"/>
  <c r="A1224" i="2"/>
  <c r="A1834" i="2"/>
  <c r="A1817" i="2"/>
  <c r="A1814" i="2"/>
  <c r="A1254" i="2"/>
  <c r="A1283" i="2"/>
  <c r="A1273" i="2"/>
  <c r="A1271" i="2"/>
  <c r="A1269" i="2"/>
  <c r="A1266" i="2"/>
  <c r="A1314" i="2"/>
  <c r="A1311" i="2"/>
  <c r="A1309" i="2"/>
  <c r="A1306" i="2"/>
  <c r="A1302" i="2"/>
  <c r="A1293" i="2"/>
  <c r="A1291" i="2"/>
  <c r="A1287" i="2"/>
  <c r="A1346" i="2"/>
  <c r="A1341" i="2"/>
  <c r="A1338" i="2"/>
  <c r="A1333" i="2"/>
  <c r="A1330" i="2"/>
  <c r="A1325" i="2"/>
  <c r="A1320" i="2"/>
  <c r="A1377" i="2"/>
  <c r="A1372" i="2"/>
  <c r="A1369" i="2"/>
  <c r="A1367" i="2"/>
  <c r="A1362" i="2"/>
  <c r="A1359" i="2"/>
  <c r="A1356" i="2"/>
  <c r="A1354" i="2"/>
  <c r="A1378" i="2"/>
  <c r="A1407" i="2"/>
  <c r="A1400" i="2"/>
  <c r="A1379" i="2"/>
  <c r="A1439" i="2"/>
  <c r="A1426" i="2"/>
  <c r="A1107" i="2"/>
  <c r="A1105" i="2"/>
  <c r="A1132" i="2"/>
  <c r="A1160" i="2"/>
  <c r="A1158" i="2"/>
  <c r="A1156" i="2"/>
  <c r="A1154" i="2"/>
  <c r="A1152" i="2"/>
  <c r="A1150" i="2"/>
  <c r="A1148" i="2"/>
  <c r="A1146" i="2"/>
  <c r="A1144" i="2"/>
  <c r="A1142" i="2"/>
  <c r="A1140" i="2"/>
  <c r="A1138" i="2"/>
  <c r="A1136" i="2"/>
  <c r="A1134" i="2"/>
  <c r="A1162" i="2"/>
  <c r="A1190" i="2"/>
  <c r="A1188" i="2"/>
  <c r="A1186" i="2"/>
  <c r="A1184" i="2"/>
  <c r="A1173" i="2"/>
  <c r="A1171" i="2"/>
  <c r="A1169" i="2"/>
  <c r="A1167" i="2"/>
  <c r="A1165" i="2"/>
  <c r="A1163" i="2"/>
  <c r="A1222" i="2"/>
  <c r="A1220" i="2"/>
  <c r="A1218" i="2"/>
  <c r="A1216" i="2"/>
  <c r="A1214" i="2"/>
  <c r="A1212" i="2"/>
  <c r="A1210" i="2"/>
  <c r="A1208" i="2"/>
  <c r="A1206" i="2"/>
  <c r="A1204" i="2"/>
  <c r="A1202" i="2"/>
  <c r="A1200" i="2"/>
  <c r="A1198" i="2"/>
  <c r="A1196" i="2"/>
  <c r="A1194" i="2"/>
  <c r="A1251" i="2"/>
  <c r="A1231" i="2"/>
  <c r="A1812" i="2"/>
  <c r="A1832" i="2"/>
  <c r="A1830" i="2"/>
  <c r="A1828" i="2"/>
  <c r="A1826" i="2"/>
  <c r="A1824" i="2"/>
  <c r="A1815" i="2"/>
  <c r="A1281" i="2"/>
  <c r="A1279" i="2"/>
  <c r="A1276" i="2"/>
  <c r="A1274" i="2"/>
  <c r="A1267" i="2"/>
  <c r="A1264" i="2"/>
  <c r="A1262" i="2"/>
  <c r="A1259" i="2"/>
  <c r="A1257" i="2"/>
  <c r="A1255" i="2"/>
  <c r="A1315" i="2"/>
  <c r="A1312" i="2"/>
  <c r="A1307" i="2"/>
  <c r="A1303" i="2"/>
  <c r="A1300" i="2"/>
  <c r="A1298" i="2"/>
  <c r="A1296" i="2"/>
  <c r="A1288" i="2"/>
  <c r="A1344" i="2"/>
  <c r="A1339" i="2"/>
  <c r="A1336" i="2"/>
  <c r="A1331" i="2"/>
  <c r="A1328" i="2"/>
  <c r="A1323" i="2"/>
  <c r="A1321" i="2"/>
  <c r="A1318" i="2"/>
  <c r="A1375" i="2"/>
  <c r="A1370" i="2"/>
  <c r="A1365" i="2"/>
  <c r="A1360" i="2"/>
  <c r="A1357" i="2"/>
  <c r="F1426" i="2"/>
  <c r="A1347" i="2"/>
  <c r="A1373" i="2"/>
  <c r="A1368" i="2"/>
  <c r="A1363" i="2"/>
  <c r="A1355" i="2"/>
  <c r="A1348" i="2"/>
  <c r="A1408" i="2"/>
  <c r="A1406" i="2"/>
  <c r="A1401" i="2"/>
  <c r="A1399" i="2"/>
  <c r="A1380" i="2"/>
  <c r="A1409" i="2"/>
  <c r="A1438" i="2"/>
  <c r="A1429" i="2"/>
  <c r="A1427" i="2"/>
  <c r="A1425" i="2"/>
  <c r="A1423" i="2"/>
  <c r="A1416" i="2"/>
  <c r="F1626" i="2"/>
  <c r="A1424" i="2"/>
  <c r="A1422" i="2"/>
  <c r="A1417" i="2"/>
  <c r="A1415" i="2"/>
  <c r="A1470" i="2"/>
  <c r="A1468" i="2"/>
  <c r="A1455" i="2"/>
  <c r="A1453" i="2"/>
  <c r="A1451" i="2"/>
  <c r="A1471" i="2"/>
  <c r="A1500" i="2"/>
  <c r="A1498" i="2"/>
  <c r="A1496" i="2"/>
  <c r="A1494" i="2"/>
  <c r="A1492" i="2"/>
  <c r="A1487" i="2"/>
  <c r="A1485" i="2"/>
  <c r="A1483" i="2"/>
  <c r="A1481" i="2"/>
  <c r="A1474" i="2"/>
  <c r="A1472" i="2"/>
  <c r="A1527" i="2"/>
  <c r="A1525" i="2"/>
  <c r="A1588" i="2"/>
  <c r="A1583" i="2"/>
  <c r="A1653" i="2"/>
  <c r="A1649" i="2"/>
  <c r="A1645" i="2"/>
  <c r="A1641" i="2"/>
  <c r="A1637" i="2"/>
  <c r="A1633" i="2"/>
  <c r="A1629" i="2"/>
  <c r="A1418" i="2"/>
  <c r="A1413" i="2"/>
  <c r="A1411" i="2"/>
  <c r="A1466" i="2"/>
  <c r="A1464" i="2"/>
  <c r="A1462" i="2"/>
  <c r="A1460" i="2"/>
  <c r="A1458" i="2"/>
  <c r="A1449" i="2"/>
  <c r="A1447" i="2"/>
  <c r="A1445" i="2"/>
  <c r="A1443" i="2"/>
  <c r="A1441" i="2"/>
  <c r="A1490" i="2"/>
  <c r="A1479" i="2"/>
  <c r="A1477" i="2"/>
  <c r="A1532" i="2"/>
  <c r="A1530" i="2"/>
  <c r="A1528" i="2"/>
  <c r="A1523" i="2"/>
  <c r="A1521" i="2"/>
  <c r="A1519" i="2"/>
  <c r="A1517" i="2"/>
  <c r="A1515" i="2"/>
  <c r="A1513" i="2"/>
  <c r="A1511" i="2"/>
  <c r="A1509" i="2"/>
  <c r="A1507" i="2"/>
  <c r="A1505" i="2"/>
  <c r="A1503" i="2"/>
  <c r="A1563" i="2"/>
  <c r="A1561" i="2"/>
  <c r="A1559" i="2"/>
  <c r="A1557" i="2"/>
  <c r="A1555" i="2"/>
  <c r="A1553" i="2"/>
  <c r="A1551" i="2"/>
  <c r="A1549" i="2"/>
  <c r="A1547" i="2"/>
  <c r="A1545" i="2"/>
  <c r="A1543" i="2"/>
  <c r="A1541" i="2"/>
  <c r="A1539" i="2"/>
  <c r="A1537" i="2"/>
  <c r="A1535" i="2"/>
  <c r="A1581" i="2"/>
  <c r="A1579" i="2"/>
  <c r="A1595" i="2"/>
  <c r="A1624" i="2"/>
  <c r="A1622" i="2"/>
  <c r="A1620" i="2"/>
  <c r="A1618" i="2"/>
  <c r="A1616" i="2"/>
  <c r="A1614" i="2"/>
  <c r="A1612" i="2"/>
  <c r="A1610" i="2"/>
  <c r="A1608" i="2"/>
  <c r="A1606" i="2"/>
  <c r="A1604" i="2"/>
  <c r="A1602" i="2"/>
  <c r="A1600" i="2"/>
  <c r="A1598" i="2"/>
  <c r="A1596" i="2"/>
  <c r="A1626" i="2"/>
  <c r="A1654" i="2"/>
  <c r="A1650" i="2"/>
  <c r="A1646" i="2"/>
  <c r="A1642" i="2"/>
  <c r="A1638" i="2"/>
  <c r="A1634" i="2"/>
  <c r="A1630" i="2"/>
  <c r="A1501" i="2"/>
  <c r="A1499" i="2"/>
  <c r="A1497" i="2"/>
  <c r="A1495" i="2"/>
  <c r="A1493" i="2"/>
  <c r="A1488" i="2"/>
  <c r="A1486" i="2"/>
  <c r="A1484" i="2"/>
  <c r="A1482" i="2"/>
  <c r="A1475" i="2"/>
  <c r="A1473" i="2"/>
  <c r="A1526" i="2"/>
  <c r="A1564" i="2"/>
  <c r="A1593" i="2"/>
  <c r="A1591" i="2"/>
  <c r="A1589" i="2"/>
  <c r="A1586" i="2"/>
  <c r="A1584" i="2"/>
  <c r="A1577" i="2"/>
  <c r="A1575" i="2"/>
  <c r="A1573" i="2"/>
  <c r="A1571" i="2"/>
  <c r="A1569" i="2"/>
  <c r="A1567" i="2"/>
  <c r="A1565" i="2"/>
  <c r="F957" i="2"/>
  <c r="F954" i="2"/>
  <c r="F1086" i="2"/>
  <c r="F1079" i="2"/>
  <c r="F1247" i="2"/>
  <c r="F1238" i="2"/>
  <c r="F1085" i="2"/>
  <c r="F1248" i="2"/>
  <c r="F1237" i="2"/>
  <c r="F1443" i="2"/>
  <c r="F1474" i="2"/>
  <c r="F1479" i="2"/>
  <c r="F1477" i="2"/>
  <c r="F1584" i="2"/>
  <c r="F1484" i="2"/>
  <c r="F1482" i="2"/>
  <c r="F1594" i="2"/>
  <c r="F1500" i="2"/>
  <c r="F1496" i="2"/>
  <c r="F1480" i="2"/>
  <c r="F1478" i="2"/>
  <c r="F1502" i="2"/>
  <c r="F1576" i="2"/>
  <c r="F919" i="2"/>
  <c r="F909" i="2"/>
  <c r="F944" i="2"/>
  <c r="F813" i="2"/>
  <c r="F915" i="2"/>
  <c r="F901" i="2"/>
  <c r="F1043" i="2"/>
  <c r="F912" i="2"/>
  <c r="F910" i="2"/>
  <c r="F953" i="2"/>
  <c r="F951" i="2"/>
  <c r="F923" i="2"/>
  <c r="F904" i="2"/>
  <c r="F902" i="2"/>
  <c r="F949" i="2"/>
  <c r="F943" i="2"/>
  <c r="F937" i="2"/>
  <c r="F930" i="2"/>
  <c r="F1038" i="2"/>
  <c r="F1065" i="2"/>
  <c r="F1048" i="2"/>
  <c r="F1099" i="2"/>
  <c r="F1042" i="2"/>
  <c r="F1035" i="2"/>
  <c r="F1027" i="2"/>
  <c r="F1018" i="2"/>
  <c r="F1072" i="2"/>
  <c r="F1057" i="2"/>
  <c r="F1039" i="2"/>
  <c r="F1064" i="2"/>
  <c r="F1049" i="2"/>
  <c r="F1100" i="2"/>
  <c r="F1034" i="2"/>
  <c r="F1026" i="2"/>
  <c r="F1019" i="2"/>
  <c r="F1073" i="2"/>
  <c r="F1056" i="2"/>
  <c r="F1092" i="2"/>
  <c r="F1241" i="2"/>
  <c r="F1250" i="2"/>
  <c r="F1233" i="2"/>
  <c r="F1225" i="2"/>
  <c r="F1242" i="2"/>
  <c r="F1045" i="2"/>
  <c r="F1249" i="2"/>
  <c r="F1234" i="2"/>
  <c r="F1226" i="2"/>
  <c r="F1837" i="2"/>
  <c r="F1318" i="2"/>
  <c r="F1375" i="2"/>
  <c r="F1367" i="2"/>
  <c r="F1359" i="2"/>
  <c r="F1320" i="2"/>
  <c r="F1377" i="2"/>
  <c r="F1369" i="2"/>
  <c r="F1361" i="2"/>
  <c r="F1355" i="2"/>
  <c r="F1322" i="2"/>
  <c r="F1371" i="2"/>
  <c r="F1363" i="2"/>
  <c r="F1254" i="2"/>
  <c r="F1324" i="2"/>
  <c r="F1373" i="2"/>
  <c r="F1365" i="2"/>
  <c r="F1404" i="2"/>
  <c r="F1445" i="2"/>
  <c r="F1498" i="2"/>
  <c r="F1490" i="2"/>
  <c r="F1441" i="2"/>
  <c r="F1494" i="2"/>
  <c r="F1485" i="2"/>
  <c r="F996" i="2"/>
  <c r="F988" i="2"/>
  <c r="F841" i="2"/>
  <c r="F840" i="2"/>
  <c r="F839" i="2"/>
  <c r="F838" i="2"/>
  <c r="F837" i="2"/>
  <c r="F836" i="2"/>
  <c r="F835" i="2"/>
  <c r="F834" i="2"/>
  <c r="F833" i="2"/>
  <c r="F832" i="2"/>
  <c r="F831" i="2"/>
  <c r="F830" i="2"/>
  <c r="F829" i="2"/>
  <c r="F828" i="2"/>
  <c r="F827" i="2"/>
  <c r="F826" i="2"/>
  <c r="F947" i="2"/>
  <c r="F942" i="2"/>
  <c r="F1015" i="2"/>
  <c r="F1014" i="2"/>
  <c r="F1013" i="2"/>
  <c r="F1012" i="2"/>
  <c r="F1011" i="2"/>
  <c r="F1010" i="2"/>
  <c r="F1009" i="2"/>
  <c r="F1008" i="2"/>
  <c r="F1007" i="2"/>
  <c r="F1006" i="2"/>
  <c r="F1005" i="2"/>
  <c r="F1004" i="2"/>
  <c r="F1003" i="2"/>
  <c r="F1002" i="2"/>
  <c r="F1001" i="2"/>
  <c r="F1000" i="2"/>
  <c r="F999" i="2"/>
  <c r="F998" i="2"/>
  <c r="F990" i="2"/>
  <c r="F946" i="2"/>
  <c r="F936" i="2"/>
  <c r="F986" i="2"/>
  <c r="F985" i="2"/>
  <c r="F984" i="2"/>
  <c r="F983" i="2"/>
  <c r="F982" i="2"/>
  <c r="F981" i="2"/>
  <c r="F980" i="2"/>
  <c r="F979" i="2"/>
  <c r="F978" i="2"/>
  <c r="F977" i="2"/>
  <c r="F976" i="2"/>
  <c r="F975" i="2"/>
  <c r="F974" i="2"/>
  <c r="F973" i="2"/>
  <c r="F972" i="2"/>
  <c r="F971" i="2"/>
  <c r="F970" i="2"/>
  <c r="F969" i="2"/>
  <c r="F968" i="2"/>
  <c r="F967" i="2"/>
  <c r="F966" i="2"/>
  <c r="F965" i="2"/>
  <c r="F964" i="2"/>
  <c r="F963" i="2"/>
  <c r="F962" i="2"/>
  <c r="F961" i="2"/>
  <c r="F960" i="2"/>
  <c r="F959" i="2"/>
  <c r="F992" i="2"/>
  <c r="F929" i="2"/>
  <c r="F950" i="2"/>
  <c r="F934" i="2"/>
  <c r="F994" i="2"/>
  <c r="F1188" i="2"/>
  <c r="F1167" i="2"/>
  <c r="F1192" i="2"/>
  <c r="F1215" i="2"/>
  <c r="F1132" i="2"/>
  <c r="F1217" i="2"/>
  <c r="F1209" i="2"/>
  <c r="F1190" i="2"/>
  <c r="F1163" i="2"/>
  <c r="F1219" i="2"/>
  <c r="F1211" i="2"/>
  <c r="F1165" i="2"/>
  <c r="F1221" i="2"/>
  <c r="F1213" i="2"/>
  <c r="F1258" i="2"/>
  <c r="F1256" i="2"/>
  <c r="F1425" i="2"/>
  <c r="F1421" i="2"/>
  <c r="F1417" i="2"/>
  <c r="F1413" i="2"/>
  <c r="F1316" i="2"/>
  <c r="F1347" i="2"/>
  <c r="F1378" i="2"/>
  <c r="F1409" i="2"/>
  <c r="F1423" i="2"/>
  <c r="F1419" i="2"/>
  <c r="F1415" i="2"/>
  <c r="F1411" i="2"/>
  <c r="F1521" i="2"/>
  <c r="F1518" i="2"/>
  <c r="F1509" i="2"/>
  <c r="F1550" i="2"/>
  <c r="F1534" i="2"/>
  <c r="F1525" i="2"/>
  <c r="F1522" i="2"/>
  <c r="F1529" i="2"/>
  <c r="F1526" i="2"/>
  <c r="F1558" i="2"/>
  <c r="F1542" i="2"/>
  <c r="F1530" i="2"/>
  <c r="F1517" i="2"/>
  <c r="F1516" i="2"/>
  <c r="F1515" i="2"/>
  <c r="F1514" i="2"/>
  <c r="F1513" i="2"/>
  <c r="F1512" i="2"/>
  <c r="F1511" i="2"/>
  <c r="F1503" i="2"/>
  <c r="F1560" i="2"/>
  <c r="F1552" i="2"/>
  <c r="F1544" i="2"/>
  <c r="F1536" i="2"/>
  <c r="F1531" i="2"/>
  <c r="F1527" i="2"/>
  <c r="F1523" i="2"/>
  <c r="F1519" i="2"/>
  <c r="F1505" i="2"/>
  <c r="F1562" i="2"/>
  <c r="F1554" i="2"/>
  <c r="F1546" i="2"/>
  <c r="F1538" i="2"/>
  <c r="F1507" i="2"/>
  <c r="F1533" i="2"/>
  <c r="F1556" i="2"/>
  <c r="F1548" i="2"/>
  <c r="F1540" i="2"/>
  <c r="F1624" i="2"/>
  <c r="F1623" i="2"/>
  <c r="F1622" i="2"/>
  <c r="F1621" i="2"/>
  <c r="F1620" i="2"/>
  <c r="F1619" i="2"/>
  <c r="F1618" i="2"/>
  <c r="F1617" i="2"/>
  <c r="F1616" i="2"/>
  <c r="F1615" i="2"/>
  <c r="F1614" i="2"/>
  <c r="F1613" i="2"/>
  <c r="F1612" i="2"/>
  <c r="F1611" i="2"/>
  <c r="F1610" i="2"/>
  <c r="F1609" i="2"/>
  <c r="F1608" i="2"/>
  <c r="F1607" i="2"/>
  <c r="F1606" i="2"/>
  <c r="F1605" i="2"/>
  <c r="F1604" i="2"/>
  <c r="F1603" i="2"/>
  <c r="F1602" i="2"/>
  <c r="F1601" i="2"/>
  <c r="F1600" i="2"/>
  <c r="F1599" i="2"/>
  <c r="F1598" i="2"/>
  <c r="F1597" i="2"/>
  <c r="F1564" i="2"/>
  <c r="F1285" i="2"/>
  <c r="F1162" i="2"/>
  <c r="F1161" i="2"/>
  <c r="F1160" i="2"/>
  <c r="F1159" i="2"/>
  <c r="F1158" i="2"/>
  <c r="F1157" i="2"/>
  <c r="F1156" i="2"/>
  <c r="F1155" i="2"/>
  <c r="F1154" i="2"/>
  <c r="F1153" i="2"/>
  <c r="F1152" i="2"/>
  <c r="F1151" i="2"/>
  <c r="F1150" i="2"/>
  <c r="F1149" i="2"/>
  <c r="F1148" i="2"/>
  <c r="F1147" i="2"/>
  <c r="F1146" i="2"/>
  <c r="F1145" i="2"/>
  <c r="F1144" i="2"/>
  <c r="F1143" i="2"/>
  <c r="F1142" i="2"/>
  <c r="F1141" i="2"/>
  <c r="F1140" i="2"/>
  <c r="F1139" i="2"/>
  <c r="F1138" i="2"/>
  <c r="F1137" i="2"/>
  <c r="F1136" i="2"/>
  <c r="F1135" i="2"/>
  <c r="F1103" i="2"/>
  <c r="F1016" i="2"/>
  <c r="F958" i="2"/>
  <c r="F900" i="2"/>
  <c r="F842" i="2"/>
  <c r="F784"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55" i="2"/>
  <c r="H755" i="2" s="1"/>
  <c r="G727" i="2"/>
  <c r="H727" i="2" s="1"/>
  <c r="G728" i="2"/>
  <c r="G729" i="2"/>
  <c r="G730" i="2"/>
  <c r="H730" i="2" s="1"/>
  <c r="G731" i="2"/>
  <c r="H731" i="2" s="1"/>
  <c r="G732" i="2"/>
  <c r="G733" i="2"/>
  <c r="G734" i="2"/>
  <c r="H734" i="2" s="1"/>
  <c r="G735" i="2"/>
  <c r="H735" i="2" s="1"/>
  <c r="G736" i="2"/>
  <c r="H736" i="2" s="1"/>
  <c r="G737" i="2"/>
  <c r="G738" i="2"/>
  <c r="G739" i="2"/>
  <c r="H739" i="2" s="1"/>
  <c r="G740" i="2"/>
  <c r="G741" i="2"/>
  <c r="G742" i="2"/>
  <c r="G743" i="2"/>
  <c r="H743" i="2" s="1"/>
  <c r="G744" i="2"/>
  <c r="G745" i="2"/>
  <c r="G746" i="2"/>
  <c r="G747" i="2"/>
  <c r="H747" i="2" s="1"/>
  <c r="G748" i="2"/>
  <c r="G749" i="2"/>
  <c r="G750" i="2"/>
  <c r="G751" i="2"/>
  <c r="H751" i="2" s="1"/>
  <c r="G752" i="2"/>
  <c r="G753" i="2"/>
  <c r="G754" i="2"/>
  <c r="G726" i="2"/>
  <c r="A726" i="2" s="1"/>
  <c r="G698" i="2"/>
  <c r="H698" i="2" s="1"/>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697" i="2"/>
  <c r="H697" i="2" s="1"/>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68" i="2"/>
  <c r="H668" i="2" s="1"/>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39" i="2"/>
  <c r="H639" i="2" s="1"/>
  <c r="F665" i="2" l="1"/>
  <c r="H665" i="2"/>
  <c r="F687" i="2"/>
  <c r="H687" i="2"/>
  <c r="F661" i="2"/>
  <c r="H661" i="2"/>
  <c r="F671" i="2"/>
  <c r="H671" i="2"/>
  <c r="F740" i="2"/>
  <c r="H740" i="2"/>
  <c r="F660" i="2"/>
  <c r="H660" i="2"/>
  <c r="F648" i="2"/>
  <c r="H648" i="2"/>
  <c r="F694" i="2"/>
  <c r="H694" i="2"/>
  <c r="F682" i="2"/>
  <c r="H682" i="2"/>
  <c r="F670" i="2"/>
  <c r="H670" i="2"/>
  <c r="F716" i="2"/>
  <c r="H716" i="2"/>
  <c r="F704" i="2"/>
  <c r="H704" i="2"/>
  <c r="F773" i="2"/>
  <c r="H773" i="2"/>
  <c r="F761" i="2"/>
  <c r="H761" i="2"/>
  <c r="F653" i="2"/>
  <c r="H653" i="2"/>
  <c r="F732" i="2"/>
  <c r="H732" i="2"/>
  <c r="F683" i="2"/>
  <c r="H683" i="2"/>
  <c r="F647" i="2"/>
  <c r="H647" i="2"/>
  <c r="F669" i="2"/>
  <c r="H669" i="2"/>
  <c r="F750" i="2"/>
  <c r="H750" i="2"/>
  <c r="F744" i="2"/>
  <c r="H744" i="2"/>
  <c r="F695" i="2"/>
  <c r="H695" i="2"/>
  <c r="F717" i="2"/>
  <c r="H717" i="2"/>
  <c r="F752" i="2"/>
  <c r="H752" i="2"/>
  <c r="F728" i="2"/>
  <c r="H728" i="2"/>
  <c r="F774" i="2"/>
  <c r="H774" i="2"/>
  <c r="F762" i="2"/>
  <c r="H762" i="2"/>
  <c r="F659" i="2"/>
  <c r="H659" i="2"/>
  <c r="F693" i="2"/>
  <c r="H693" i="2"/>
  <c r="F681" i="2"/>
  <c r="H681" i="2"/>
  <c r="F715" i="2"/>
  <c r="H715" i="2"/>
  <c r="F703" i="2"/>
  <c r="H703" i="2"/>
  <c r="F738" i="2"/>
  <c r="H738" i="2"/>
  <c r="F772" i="2"/>
  <c r="H772" i="2"/>
  <c r="F760" i="2"/>
  <c r="H760" i="2"/>
  <c r="F658" i="2"/>
  <c r="H658" i="2"/>
  <c r="F646" i="2"/>
  <c r="H646" i="2"/>
  <c r="F692" i="2"/>
  <c r="H692" i="2"/>
  <c r="F680" i="2"/>
  <c r="H680" i="2"/>
  <c r="F714" i="2"/>
  <c r="H714" i="2"/>
  <c r="F702" i="2"/>
  <c r="H702" i="2"/>
  <c r="F749" i="2"/>
  <c r="H749" i="2"/>
  <c r="F737" i="2"/>
  <c r="H737" i="2"/>
  <c r="F783" i="2"/>
  <c r="H783" i="2"/>
  <c r="F771" i="2"/>
  <c r="H771" i="2"/>
  <c r="F759" i="2"/>
  <c r="H759" i="2"/>
  <c r="F721" i="2"/>
  <c r="H721" i="2"/>
  <c r="F657" i="2"/>
  <c r="H657" i="2"/>
  <c r="F691" i="2"/>
  <c r="H691" i="2"/>
  <c r="F725" i="2"/>
  <c r="H725" i="2"/>
  <c r="F701" i="2"/>
  <c r="H701" i="2"/>
  <c r="F782" i="2"/>
  <c r="H782" i="2"/>
  <c r="F770" i="2"/>
  <c r="H770" i="2"/>
  <c r="F758" i="2"/>
  <c r="H758" i="2"/>
  <c r="F645" i="2"/>
  <c r="H645" i="2"/>
  <c r="F679" i="2"/>
  <c r="H679" i="2"/>
  <c r="F713" i="2"/>
  <c r="H713" i="2"/>
  <c r="F748" i="2"/>
  <c r="H748" i="2"/>
  <c r="F656" i="2"/>
  <c r="H656" i="2"/>
  <c r="F644" i="2"/>
  <c r="H644" i="2"/>
  <c r="F690" i="2"/>
  <c r="H690" i="2"/>
  <c r="F678" i="2"/>
  <c r="H678" i="2"/>
  <c r="F724" i="2"/>
  <c r="H724" i="2"/>
  <c r="F712" i="2"/>
  <c r="H712" i="2"/>
  <c r="F700" i="2"/>
  <c r="H700" i="2"/>
  <c r="F781" i="2"/>
  <c r="H781" i="2"/>
  <c r="F769" i="2"/>
  <c r="H769" i="2"/>
  <c r="F757" i="2"/>
  <c r="H757" i="2"/>
  <c r="F655" i="2"/>
  <c r="H655" i="2"/>
  <c r="F689" i="2"/>
  <c r="H689" i="2"/>
  <c r="F723" i="2"/>
  <c r="H723" i="2"/>
  <c r="F667" i="2"/>
  <c r="H667" i="2"/>
  <c r="F643" i="2"/>
  <c r="H643" i="2"/>
  <c r="F677" i="2"/>
  <c r="H677" i="2"/>
  <c r="F711" i="2"/>
  <c r="H711" i="2"/>
  <c r="F699" i="2"/>
  <c r="H699" i="2"/>
  <c r="F746" i="2"/>
  <c r="H746" i="2"/>
  <c r="F780" i="2"/>
  <c r="H780" i="2"/>
  <c r="F768" i="2"/>
  <c r="H768" i="2"/>
  <c r="F756" i="2"/>
  <c r="H756" i="2"/>
  <c r="F666" i="2"/>
  <c r="H666" i="2"/>
  <c r="F654" i="2"/>
  <c r="H654" i="2"/>
  <c r="F642" i="2"/>
  <c r="H642" i="2"/>
  <c r="F688" i="2"/>
  <c r="H688" i="2"/>
  <c r="F676" i="2"/>
  <c r="H676" i="2"/>
  <c r="F722" i="2"/>
  <c r="H722" i="2"/>
  <c r="F710" i="2"/>
  <c r="H710" i="2"/>
  <c r="F745" i="2"/>
  <c r="H745" i="2"/>
  <c r="F733" i="2"/>
  <c r="H733" i="2"/>
  <c r="F779" i="2"/>
  <c r="H779" i="2"/>
  <c r="F767" i="2"/>
  <c r="H767" i="2"/>
  <c r="F664" i="2"/>
  <c r="H664" i="2"/>
  <c r="F652" i="2"/>
  <c r="H652" i="2"/>
  <c r="F640" i="2"/>
  <c r="H640" i="2"/>
  <c r="F686" i="2"/>
  <c r="H686" i="2"/>
  <c r="F674" i="2"/>
  <c r="H674" i="2"/>
  <c r="F720" i="2"/>
  <c r="H720" i="2"/>
  <c r="F708" i="2"/>
  <c r="H708" i="2"/>
  <c r="F726" i="2"/>
  <c r="H726" i="2"/>
  <c r="F777" i="2"/>
  <c r="H777" i="2"/>
  <c r="F765" i="2"/>
  <c r="H765" i="2"/>
  <c r="F778" i="2"/>
  <c r="H778" i="2"/>
  <c r="F719" i="2"/>
  <c r="H719" i="2"/>
  <c r="F742" i="2"/>
  <c r="H742" i="2"/>
  <c r="F675" i="2"/>
  <c r="H675" i="2"/>
  <c r="F766" i="2"/>
  <c r="H766" i="2"/>
  <c r="F663" i="2"/>
  <c r="H663" i="2"/>
  <c r="F651" i="2"/>
  <c r="H651" i="2"/>
  <c r="F685" i="2"/>
  <c r="H685" i="2"/>
  <c r="F673" i="2"/>
  <c r="H673" i="2"/>
  <c r="F707" i="2"/>
  <c r="H707" i="2"/>
  <c r="F754" i="2"/>
  <c r="H754" i="2"/>
  <c r="F776" i="2"/>
  <c r="H776" i="2"/>
  <c r="F764" i="2"/>
  <c r="H764" i="2"/>
  <c r="F662" i="2"/>
  <c r="H662" i="2"/>
  <c r="F650" i="2"/>
  <c r="H650" i="2"/>
  <c r="F696" i="2"/>
  <c r="H696" i="2"/>
  <c r="F684" i="2"/>
  <c r="H684" i="2"/>
  <c r="F672" i="2"/>
  <c r="H672" i="2"/>
  <c r="F718" i="2"/>
  <c r="H718" i="2"/>
  <c r="F706" i="2"/>
  <c r="H706" i="2"/>
  <c r="F753" i="2"/>
  <c r="H753" i="2"/>
  <c r="F741" i="2"/>
  <c r="H741" i="2"/>
  <c r="F729" i="2"/>
  <c r="H729" i="2"/>
  <c r="F775" i="2"/>
  <c r="H775" i="2"/>
  <c r="F763" i="2"/>
  <c r="H763" i="2"/>
  <c r="F641" i="2"/>
  <c r="H641" i="2"/>
  <c r="F709" i="2"/>
  <c r="H709" i="2"/>
  <c r="F649" i="2"/>
  <c r="H649" i="2"/>
  <c r="F705" i="2"/>
  <c r="H705" i="2"/>
  <c r="A761" i="2"/>
  <c r="A759" i="2"/>
  <c r="A757" i="2"/>
  <c r="A755" i="2"/>
  <c r="A750" i="2"/>
  <c r="A748" i="2"/>
  <c r="A746" i="2"/>
  <c r="A760" i="2"/>
  <c r="A758" i="2"/>
  <c r="A756" i="2"/>
  <c r="A753" i="2"/>
  <c r="A668" i="2"/>
  <c r="A782" i="2"/>
  <c r="A776" i="2"/>
  <c r="A667" i="2"/>
  <c r="A665" i="2"/>
  <c r="A663" i="2"/>
  <c r="A661" i="2"/>
  <c r="A659" i="2"/>
  <c r="A657" i="2"/>
  <c r="A655" i="2"/>
  <c r="A653" i="2"/>
  <c r="A651" i="2"/>
  <c r="A649" i="2"/>
  <c r="A647" i="2"/>
  <c r="A645" i="2"/>
  <c r="A643" i="2"/>
  <c r="A641" i="2"/>
  <c r="A695" i="2"/>
  <c r="A693" i="2"/>
  <c r="A691" i="2"/>
  <c r="A689" i="2"/>
  <c r="A687" i="2"/>
  <c r="A685" i="2"/>
  <c r="A683" i="2"/>
  <c r="A681" i="2"/>
  <c r="A679" i="2"/>
  <c r="A677" i="2"/>
  <c r="A675" i="2"/>
  <c r="A673" i="2"/>
  <c r="A671" i="2"/>
  <c r="A669" i="2"/>
  <c r="A725" i="2"/>
  <c r="A723" i="2"/>
  <c r="A721" i="2"/>
  <c r="A719" i="2"/>
  <c r="A717" i="2"/>
  <c r="A715" i="2"/>
  <c r="A713" i="2"/>
  <c r="A711" i="2"/>
  <c r="A709" i="2"/>
  <c r="A707" i="2"/>
  <c r="A705" i="2"/>
  <c r="A703" i="2"/>
  <c r="A701" i="2"/>
  <c r="A699" i="2"/>
  <c r="A774" i="2"/>
  <c r="A739" i="2"/>
  <c r="A727" i="2"/>
  <c r="A783" i="2"/>
  <c r="A781" i="2"/>
  <c r="A779" i="2"/>
  <c r="A771" i="2"/>
  <c r="A769" i="2"/>
  <c r="A767" i="2"/>
  <c r="A765" i="2"/>
  <c r="A763" i="2"/>
  <c r="A738" i="2"/>
  <c r="A777" i="2"/>
  <c r="A772" i="2"/>
  <c r="A754" i="2"/>
  <c r="A752" i="2"/>
  <c r="A747" i="2"/>
  <c r="A745" i="2"/>
  <c r="A743" i="2"/>
  <c r="A741" i="2"/>
  <c r="A736" i="2"/>
  <c r="A734" i="2"/>
  <c r="A732" i="2"/>
  <c r="A730" i="2"/>
  <c r="A728" i="2"/>
  <c r="A770" i="2"/>
  <c r="A639" i="2"/>
  <c r="A666" i="2"/>
  <c r="A664" i="2"/>
  <c r="A662" i="2"/>
  <c r="A660" i="2"/>
  <c r="A658" i="2"/>
  <c r="A656" i="2"/>
  <c r="A654" i="2"/>
  <c r="A652" i="2"/>
  <c r="A650" i="2"/>
  <c r="A648" i="2"/>
  <c r="A646" i="2"/>
  <c r="A644" i="2"/>
  <c r="A642" i="2"/>
  <c r="A640" i="2"/>
  <c r="A696" i="2"/>
  <c r="A694" i="2"/>
  <c r="A692" i="2"/>
  <c r="A690" i="2"/>
  <c r="A688" i="2"/>
  <c r="A686" i="2"/>
  <c r="A684" i="2"/>
  <c r="A682" i="2"/>
  <c r="A680" i="2"/>
  <c r="A678" i="2"/>
  <c r="A676" i="2"/>
  <c r="A674" i="2"/>
  <c r="A672" i="2"/>
  <c r="A670" i="2"/>
  <c r="A697" i="2"/>
  <c r="A724" i="2"/>
  <c r="A722" i="2"/>
  <c r="A720" i="2"/>
  <c r="A718" i="2"/>
  <c r="A716" i="2"/>
  <c r="A714" i="2"/>
  <c r="A712" i="2"/>
  <c r="A710" i="2"/>
  <c r="A708" i="2"/>
  <c r="A706" i="2"/>
  <c r="A704" i="2"/>
  <c r="A702" i="2"/>
  <c r="A700" i="2"/>
  <c r="A698" i="2"/>
  <c r="A751" i="2"/>
  <c r="A749" i="2"/>
  <c r="A742" i="2"/>
  <c r="A740" i="2"/>
  <c r="A737" i="2"/>
  <c r="A735" i="2"/>
  <c r="A733" i="2"/>
  <c r="A731" i="2"/>
  <c r="A729" i="2"/>
  <c r="A778" i="2"/>
  <c r="A775" i="2"/>
  <c r="A773" i="2"/>
  <c r="A768" i="2"/>
  <c r="A766" i="2"/>
  <c r="A764" i="2"/>
  <c r="A762" i="2"/>
  <c r="A744" i="2"/>
  <c r="A780" i="2"/>
  <c r="F734" i="2"/>
  <c r="F730" i="2"/>
  <c r="F736" i="2"/>
  <c r="F755" i="2"/>
  <c r="F639" i="2"/>
  <c r="F668" i="2"/>
  <c r="F697" i="2"/>
  <c r="F698" i="2"/>
  <c r="F751" i="2"/>
  <c r="F747" i="2"/>
  <c r="F743" i="2"/>
  <c r="F739" i="2"/>
  <c r="F735" i="2"/>
  <c r="F731" i="2"/>
  <c r="F727"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10" i="2"/>
  <c r="H610" i="2" s="1"/>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581" i="2"/>
  <c r="G553" i="2"/>
  <c r="H553" i="2" s="1"/>
  <c r="G554" i="2"/>
  <c r="H554" i="2" s="1"/>
  <c r="G555" i="2"/>
  <c r="H555" i="2" s="1"/>
  <c r="G556" i="2"/>
  <c r="H556" i="2" s="1"/>
  <c r="G557" i="2"/>
  <c r="H557" i="2" s="1"/>
  <c r="G558" i="2"/>
  <c r="H558" i="2" s="1"/>
  <c r="G559" i="2"/>
  <c r="G560" i="2"/>
  <c r="G561" i="2"/>
  <c r="G562" i="2"/>
  <c r="G563" i="2"/>
  <c r="G564" i="2"/>
  <c r="H564" i="2" s="1"/>
  <c r="G565" i="2"/>
  <c r="G566" i="2"/>
  <c r="H566" i="2" s="1"/>
  <c r="G567" i="2"/>
  <c r="G568" i="2"/>
  <c r="H568" i="2" s="1"/>
  <c r="G569" i="2"/>
  <c r="G570" i="2"/>
  <c r="G571" i="2"/>
  <c r="G572" i="2"/>
  <c r="G573" i="2"/>
  <c r="G574" i="2"/>
  <c r="H574" i="2" s="1"/>
  <c r="G575" i="2"/>
  <c r="G576" i="2"/>
  <c r="G577" i="2"/>
  <c r="G578" i="2"/>
  <c r="G579" i="2"/>
  <c r="G580" i="2"/>
  <c r="G552" i="2"/>
  <c r="H552" i="2" s="1"/>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23" i="2"/>
  <c r="H523" i="2" s="1"/>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494" i="2"/>
  <c r="H494" i="2" s="1"/>
  <c r="G466" i="2"/>
  <c r="G467" i="2"/>
  <c r="H467" i="2" s="1"/>
  <c r="G468" i="2"/>
  <c r="G469" i="2"/>
  <c r="H469" i="2" s="1"/>
  <c r="G470" i="2"/>
  <c r="G471" i="2"/>
  <c r="H471" i="2" s="1"/>
  <c r="G472" i="2"/>
  <c r="G473" i="2"/>
  <c r="H473" i="2" s="1"/>
  <c r="G474" i="2"/>
  <c r="G475" i="2"/>
  <c r="H475" i="2" s="1"/>
  <c r="G476" i="2"/>
  <c r="G477" i="2"/>
  <c r="H477" i="2" s="1"/>
  <c r="G478" i="2"/>
  <c r="G479" i="2"/>
  <c r="H479" i="2" s="1"/>
  <c r="G480" i="2"/>
  <c r="G481" i="2"/>
  <c r="H481" i="2" s="1"/>
  <c r="G482" i="2"/>
  <c r="G483" i="2"/>
  <c r="H483" i="2" s="1"/>
  <c r="G484" i="2"/>
  <c r="G485" i="2"/>
  <c r="H485" i="2" s="1"/>
  <c r="G486" i="2"/>
  <c r="G487" i="2"/>
  <c r="H487" i="2" s="1"/>
  <c r="G488" i="2"/>
  <c r="G489" i="2"/>
  <c r="H489" i="2" s="1"/>
  <c r="G490" i="2"/>
  <c r="G491" i="2"/>
  <c r="H491" i="2" s="1"/>
  <c r="G492" i="2"/>
  <c r="G493" i="2"/>
  <c r="H493" i="2" s="1"/>
  <c r="G465" i="2"/>
  <c r="G437" i="2"/>
  <c r="G438" i="2"/>
  <c r="H438" i="2" s="1"/>
  <c r="G439" i="2"/>
  <c r="G440" i="2"/>
  <c r="H440" i="2" s="1"/>
  <c r="G441" i="2"/>
  <c r="G442" i="2"/>
  <c r="H442" i="2" s="1"/>
  <c r="G443" i="2"/>
  <c r="G444" i="2"/>
  <c r="H444" i="2" s="1"/>
  <c r="G445" i="2"/>
  <c r="G446" i="2"/>
  <c r="H446" i="2" s="1"/>
  <c r="G447" i="2"/>
  <c r="G448" i="2"/>
  <c r="H448" i="2" s="1"/>
  <c r="G449" i="2"/>
  <c r="H449" i="2" s="1"/>
  <c r="G450" i="2"/>
  <c r="H450" i="2" s="1"/>
  <c r="G451" i="2"/>
  <c r="H451" i="2" s="1"/>
  <c r="G452" i="2"/>
  <c r="H452" i="2" s="1"/>
  <c r="G453" i="2"/>
  <c r="H453" i="2" s="1"/>
  <c r="G454" i="2"/>
  <c r="H454" i="2" s="1"/>
  <c r="G455" i="2"/>
  <c r="H455" i="2" s="1"/>
  <c r="G456" i="2"/>
  <c r="H456" i="2" s="1"/>
  <c r="G457" i="2"/>
  <c r="H457" i="2" s="1"/>
  <c r="G458" i="2"/>
  <c r="H458" i="2" s="1"/>
  <c r="G459" i="2"/>
  <c r="H459" i="2" s="1"/>
  <c r="G460" i="2"/>
  <c r="H460" i="2" s="1"/>
  <c r="G461" i="2"/>
  <c r="H461" i="2" s="1"/>
  <c r="G462" i="2"/>
  <c r="H462" i="2" s="1"/>
  <c r="G463" i="2"/>
  <c r="H463" i="2" s="1"/>
  <c r="G464" i="2"/>
  <c r="H464" i="2" s="1"/>
  <c r="G436" i="2"/>
  <c r="H436" i="2" s="1"/>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07" i="2"/>
  <c r="H407" i="2" s="1"/>
  <c r="G379" i="2"/>
  <c r="G380" i="2"/>
  <c r="G381" i="2"/>
  <c r="H381" i="2" s="1"/>
  <c r="G382" i="2"/>
  <c r="H382" i="2" s="1"/>
  <c r="G383" i="2"/>
  <c r="G384" i="2"/>
  <c r="G385" i="2"/>
  <c r="H385" i="2" s="1"/>
  <c r="G386" i="2"/>
  <c r="H386" i="2" s="1"/>
  <c r="G387" i="2"/>
  <c r="G388" i="2"/>
  <c r="G389" i="2"/>
  <c r="H389" i="2" s="1"/>
  <c r="G390" i="2"/>
  <c r="H390" i="2" s="1"/>
  <c r="G391" i="2"/>
  <c r="G392" i="2"/>
  <c r="G393" i="2"/>
  <c r="H393" i="2" s="1"/>
  <c r="G394" i="2"/>
  <c r="H394" i="2" s="1"/>
  <c r="G395" i="2"/>
  <c r="G396" i="2"/>
  <c r="G397" i="2"/>
  <c r="H397" i="2" s="1"/>
  <c r="G398" i="2"/>
  <c r="H398" i="2" s="1"/>
  <c r="G399" i="2"/>
  <c r="G400" i="2"/>
  <c r="G401" i="2"/>
  <c r="H401" i="2" s="1"/>
  <c r="G402" i="2"/>
  <c r="H402" i="2" s="1"/>
  <c r="G403" i="2"/>
  <c r="G404" i="2"/>
  <c r="H404" i="2" s="1"/>
  <c r="G405" i="2"/>
  <c r="H405" i="2" s="1"/>
  <c r="G406" i="2"/>
  <c r="H406" i="2" s="1"/>
  <c r="G378" i="2"/>
  <c r="G351" i="2"/>
  <c r="H351" i="2" s="1"/>
  <c r="G352" i="2"/>
  <c r="G353" i="2"/>
  <c r="G354" i="2"/>
  <c r="G355" i="2"/>
  <c r="G356" i="2"/>
  <c r="G357" i="2"/>
  <c r="G358" i="2"/>
  <c r="G359" i="2"/>
  <c r="H359" i="2" s="1"/>
  <c r="G360" i="2"/>
  <c r="G361" i="2"/>
  <c r="G362" i="2"/>
  <c r="G363" i="2"/>
  <c r="G364" i="2"/>
  <c r="G365" i="2"/>
  <c r="G366" i="2"/>
  <c r="G367" i="2"/>
  <c r="H367" i="2" s="1"/>
  <c r="G368" i="2"/>
  <c r="G369" i="2"/>
  <c r="G370" i="2"/>
  <c r="G371" i="2"/>
  <c r="G372" i="2"/>
  <c r="G373" i="2"/>
  <c r="G374" i="2"/>
  <c r="G375" i="2"/>
  <c r="G376" i="2"/>
  <c r="G377" i="2"/>
  <c r="H377" i="2" s="1"/>
  <c r="G350" i="2"/>
  <c r="H350" i="2" s="1"/>
  <c r="G322" i="2"/>
  <c r="H322" i="2" s="1"/>
  <c r="G323" i="2"/>
  <c r="H323" i="2" s="1"/>
  <c r="G324" i="2"/>
  <c r="G325" i="2"/>
  <c r="H325" i="2" s="1"/>
  <c r="G326" i="2"/>
  <c r="G327" i="2"/>
  <c r="H327" i="2" s="1"/>
  <c r="G328" i="2"/>
  <c r="G329" i="2"/>
  <c r="H329" i="2" s="1"/>
  <c r="G330" i="2"/>
  <c r="H330" i="2" s="1"/>
  <c r="G331" i="2"/>
  <c r="H331" i="2" s="1"/>
  <c r="G332" i="2"/>
  <c r="G333" i="2"/>
  <c r="G334" i="2"/>
  <c r="G335" i="2"/>
  <c r="H335" i="2" s="1"/>
  <c r="G336" i="2"/>
  <c r="H336" i="2" s="1"/>
  <c r="G337" i="2"/>
  <c r="G338" i="2"/>
  <c r="H338" i="2" s="1"/>
  <c r="G339" i="2"/>
  <c r="H339" i="2" s="1"/>
  <c r="G340" i="2"/>
  <c r="G341" i="2"/>
  <c r="G342" i="2"/>
  <c r="H342" i="2" s="1"/>
  <c r="G343" i="2"/>
  <c r="H343" i="2" s="1"/>
  <c r="G344" i="2"/>
  <c r="H344" i="2" s="1"/>
  <c r="G345" i="2"/>
  <c r="G346" i="2"/>
  <c r="H346" i="2" s="1"/>
  <c r="G347" i="2"/>
  <c r="H347" i="2" s="1"/>
  <c r="G348" i="2"/>
  <c r="H348" i="2" s="1"/>
  <c r="G349" i="2"/>
  <c r="H349" i="2" s="1"/>
  <c r="G321" i="2"/>
  <c r="H321" i="2" s="1"/>
  <c r="G293" i="2"/>
  <c r="G294" i="2"/>
  <c r="H294" i="2" s="1"/>
  <c r="G295" i="2"/>
  <c r="G296" i="2"/>
  <c r="G297" i="2"/>
  <c r="G298" i="2"/>
  <c r="H298" i="2" s="1"/>
  <c r="G299" i="2"/>
  <c r="G300" i="2"/>
  <c r="G301" i="2"/>
  <c r="G302" i="2"/>
  <c r="G303" i="2"/>
  <c r="G304" i="2"/>
  <c r="G305" i="2"/>
  <c r="G306" i="2"/>
  <c r="H306" i="2" s="1"/>
  <c r="G307" i="2"/>
  <c r="G308" i="2"/>
  <c r="G309" i="2"/>
  <c r="G310" i="2"/>
  <c r="H310" i="2" s="1"/>
  <c r="G311" i="2"/>
  <c r="G312" i="2"/>
  <c r="H312" i="2" s="1"/>
  <c r="G313" i="2"/>
  <c r="G314" i="2"/>
  <c r="H314" i="2" s="1"/>
  <c r="G315" i="2"/>
  <c r="G316" i="2"/>
  <c r="G317" i="2"/>
  <c r="G318" i="2"/>
  <c r="G319" i="2"/>
  <c r="G320" i="2"/>
  <c r="G292" i="2"/>
  <c r="H292" i="2" s="1"/>
  <c r="G264" i="2"/>
  <c r="G265" i="2"/>
  <c r="G266" i="2"/>
  <c r="G267" i="2"/>
  <c r="G268" i="2"/>
  <c r="G269" i="2"/>
  <c r="H269" i="2" s="1"/>
  <c r="G270" i="2"/>
  <c r="G271" i="2"/>
  <c r="H271" i="2" s="1"/>
  <c r="G272" i="2"/>
  <c r="G273" i="2"/>
  <c r="G274" i="2"/>
  <c r="G275" i="2"/>
  <c r="H275" i="2" s="1"/>
  <c r="G276" i="2"/>
  <c r="G277" i="2"/>
  <c r="G278" i="2"/>
  <c r="G279" i="2"/>
  <c r="G280" i="2"/>
  <c r="G281" i="2"/>
  <c r="G282" i="2"/>
  <c r="G283" i="2"/>
  <c r="G284" i="2"/>
  <c r="G285" i="2"/>
  <c r="G286" i="2"/>
  <c r="G287" i="2"/>
  <c r="G288" i="2"/>
  <c r="G289" i="2"/>
  <c r="G290" i="2"/>
  <c r="G291" i="2"/>
  <c r="G263" i="2"/>
  <c r="H263" i="2" s="1"/>
  <c r="G1782" i="2"/>
  <c r="G1783" i="2"/>
  <c r="G1784" i="2"/>
  <c r="G1785" i="2"/>
  <c r="G1786" i="2"/>
  <c r="G1787" i="2"/>
  <c r="G1788" i="2"/>
  <c r="G1789" i="2"/>
  <c r="H1789" i="2" s="1"/>
  <c r="G1790" i="2"/>
  <c r="G1791" i="2"/>
  <c r="G1792" i="2"/>
  <c r="G1793" i="2"/>
  <c r="G1794" i="2"/>
  <c r="G1795" i="2"/>
  <c r="H1795" i="2" s="1"/>
  <c r="G1796" i="2"/>
  <c r="G1797" i="2"/>
  <c r="G1798" i="2"/>
  <c r="G1799" i="2"/>
  <c r="G1800" i="2"/>
  <c r="G1801" i="2"/>
  <c r="G1802" i="2"/>
  <c r="G1803" i="2"/>
  <c r="G1804" i="2"/>
  <c r="G1805" i="2"/>
  <c r="H1805" i="2" s="1"/>
  <c r="G1806" i="2"/>
  <c r="G1807" i="2"/>
  <c r="G1808" i="2"/>
  <c r="G1809" i="2"/>
  <c r="G1810" i="2"/>
  <c r="G1811" i="2"/>
  <c r="G1781" i="2"/>
  <c r="F286" i="2" l="1"/>
  <c r="H286" i="2"/>
  <c r="F290" i="2"/>
  <c r="H290" i="2"/>
  <c r="F276" i="2"/>
  <c r="H276" i="2"/>
  <c r="F332" i="2"/>
  <c r="H332" i="2"/>
  <c r="F366" i="2"/>
  <c r="H366" i="2"/>
  <c r="F399" i="2"/>
  <c r="H399" i="2"/>
  <c r="F388" i="2"/>
  <c r="H388" i="2"/>
  <c r="F422" i="2"/>
  <c r="H422" i="2"/>
  <c r="F410" i="2"/>
  <c r="H410" i="2"/>
  <c r="F478" i="2"/>
  <c r="H478" i="2"/>
  <c r="F466" i="2"/>
  <c r="H466" i="2"/>
  <c r="F500" i="2"/>
  <c r="H500" i="2"/>
  <c r="F546" i="2"/>
  <c r="H546" i="2"/>
  <c r="F534" i="2"/>
  <c r="H534" i="2"/>
  <c r="F580" i="2"/>
  <c r="H580" i="2"/>
  <c r="F602" i="2"/>
  <c r="H602" i="2"/>
  <c r="F590" i="2"/>
  <c r="H590" i="2"/>
  <c r="F636" i="2"/>
  <c r="H636" i="2"/>
  <c r="F624" i="2"/>
  <c r="H624" i="2"/>
  <c r="F612" i="2"/>
  <c r="H612" i="2"/>
  <c r="F1781" i="2"/>
  <c r="H1781" i="2"/>
  <c r="F1800" i="2"/>
  <c r="H1800" i="2"/>
  <c r="F1788" i="2"/>
  <c r="H1788" i="2"/>
  <c r="F287" i="2"/>
  <c r="H287" i="2"/>
  <c r="F309" i="2"/>
  <c r="H309" i="2"/>
  <c r="F297" i="2"/>
  <c r="H297" i="2"/>
  <c r="F365" i="2"/>
  <c r="H365" i="2"/>
  <c r="F353" i="2"/>
  <c r="H353" i="2"/>
  <c r="F387" i="2"/>
  <c r="H387" i="2"/>
  <c r="F433" i="2"/>
  <c r="H433" i="2"/>
  <c r="F421" i="2"/>
  <c r="H421" i="2"/>
  <c r="F409" i="2"/>
  <c r="H409" i="2"/>
  <c r="F443" i="2"/>
  <c r="H443" i="2"/>
  <c r="F511" i="2"/>
  <c r="H511" i="2"/>
  <c r="F499" i="2"/>
  <c r="H499" i="2"/>
  <c r="F545" i="2"/>
  <c r="H545" i="2"/>
  <c r="F533" i="2"/>
  <c r="H533" i="2"/>
  <c r="F579" i="2"/>
  <c r="H579" i="2"/>
  <c r="F567" i="2"/>
  <c r="H567" i="2"/>
  <c r="F601" i="2"/>
  <c r="H601" i="2"/>
  <c r="F589" i="2"/>
  <c r="H589" i="2"/>
  <c r="F635" i="2"/>
  <c r="H635" i="2"/>
  <c r="F623" i="2"/>
  <c r="H623" i="2"/>
  <c r="F611" i="2"/>
  <c r="H611" i="2"/>
  <c r="F1799" i="2"/>
  <c r="H1799" i="2"/>
  <c r="F308" i="2"/>
  <c r="H308" i="2"/>
  <c r="F376" i="2"/>
  <c r="H376" i="2"/>
  <c r="F352" i="2"/>
  <c r="H352" i="2"/>
  <c r="F420" i="2"/>
  <c r="H420" i="2"/>
  <c r="F488" i="2"/>
  <c r="H488" i="2"/>
  <c r="F510" i="2"/>
  <c r="H510" i="2"/>
  <c r="F544" i="2"/>
  <c r="H544" i="2"/>
  <c r="F578" i="2"/>
  <c r="H578" i="2"/>
  <c r="F634" i="2"/>
  <c r="H634" i="2"/>
  <c r="F1811" i="2"/>
  <c r="H1811" i="2"/>
  <c r="F320" i="2"/>
  <c r="H320" i="2"/>
  <c r="F296" i="2"/>
  <c r="H296" i="2"/>
  <c r="F364" i="2"/>
  <c r="H364" i="2"/>
  <c r="F432" i="2"/>
  <c r="H432" i="2"/>
  <c r="F408" i="2"/>
  <c r="H408" i="2"/>
  <c r="F476" i="2"/>
  <c r="H476" i="2"/>
  <c r="F522" i="2"/>
  <c r="H522" i="2"/>
  <c r="F498" i="2"/>
  <c r="H498" i="2"/>
  <c r="F532" i="2"/>
  <c r="H532" i="2"/>
  <c r="F600" i="2"/>
  <c r="H600" i="2"/>
  <c r="F588" i="2"/>
  <c r="H588" i="2"/>
  <c r="F622" i="2"/>
  <c r="H622" i="2"/>
  <c r="F1810" i="2"/>
  <c r="H1810" i="2"/>
  <c r="F1798" i="2"/>
  <c r="H1798" i="2"/>
  <c r="F1786" i="2"/>
  <c r="H1786" i="2"/>
  <c r="F285" i="2"/>
  <c r="H285" i="2"/>
  <c r="F273" i="2"/>
  <c r="H273" i="2"/>
  <c r="F319" i="2"/>
  <c r="H319" i="2"/>
  <c r="F307" i="2"/>
  <c r="H307" i="2"/>
  <c r="F295" i="2"/>
  <c r="H295" i="2"/>
  <c r="F341" i="2"/>
  <c r="H341" i="2"/>
  <c r="F375" i="2"/>
  <c r="H375" i="2"/>
  <c r="F363" i="2"/>
  <c r="H363" i="2"/>
  <c r="F396" i="2"/>
  <c r="H396" i="2"/>
  <c r="F431" i="2"/>
  <c r="H431" i="2"/>
  <c r="F419" i="2"/>
  <c r="H419" i="2"/>
  <c r="F441" i="2"/>
  <c r="H441" i="2"/>
  <c r="F521" i="2"/>
  <c r="H521" i="2"/>
  <c r="F509" i="2"/>
  <c r="H509" i="2"/>
  <c r="F497" i="2"/>
  <c r="H497" i="2"/>
  <c r="F543" i="2"/>
  <c r="H543" i="2"/>
  <c r="F531" i="2"/>
  <c r="H531" i="2"/>
  <c r="F577" i="2"/>
  <c r="H577" i="2"/>
  <c r="F565" i="2"/>
  <c r="H565" i="2"/>
  <c r="F599" i="2"/>
  <c r="H599" i="2"/>
  <c r="F587" i="2"/>
  <c r="H587" i="2"/>
  <c r="F633" i="2"/>
  <c r="H633" i="2"/>
  <c r="F621" i="2"/>
  <c r="H621" i="2"/>
  <c r="F1809" i="2"/>
  <c r="H1809" i="2"/>
  <c r="F284" i="2"/>
  <c r="H284" i="2"/>
  <c r="F318" i="2"/>
  <c r="H318" i="2"/>
  <c r="F374" i="2"/>
  <c r="H374" i="2"/>
  <c r="F378" i="2"/>
  <c r="H378" i="2"/>
  <c r="F384" i="2"/>
  <c r="H384" i="2"/>
  <c r="F474" i="2"/>
  <c r="H474" i="2"/>
  <c r="F508" i="2"/>
  <c r="H508" i="2"/>
  <c r="F542" i="2"/>
  <c r="H542" i="2"/>
  <c r="F598" i="2"/>
  <c r="H598" i="2"/>
  <c r="F632" i="2"/>
  <c r="H632" i="2"/>
  <c r="F620" i="2"/>
  <c r="H620" i="2"/>
  <c r="F1797" i="2"/>
  <c r="H1797" i="2"/>
  <c r="F272" i="2"/>
  <c r="H272" i="2"/>
  <c r="F340" i="2"/>
  <c r="H340" i="2"/>
  <c r="F328" i="2"/>
  <c r="H328" i="2"/>
  <c r="F362" i="2"/>
  <c r="H362" i="2"/>
  <c r="F395" i="2"/>
  <c r="H395" i="2"/>
  <c r="F430" i="2"/>
  <c r="H430" i="2"/>
  <c r="F418" i="2"/>
  <c r="H418" i="2"/>
  <c r="F486" i="2"/>
  <c r="H486" i="2"/>
  <c r="F520" i="2"/>
  <c r="H520" i="2"/>
  <c r="F496" i="2"/>
  <c r="H496" i="2"/>
  <c r="F530" i="2"/>
  <c r="H530" i="2"/>
  <c r="F576" i="2"/>
  <c r="H576" i="2"/>
  <c r="F581" i="2"/>
  <c r="H581" i="2"/>
  <c r="F586" i="2"/>
  <c r="H586" i="2"/>
  <c r="F1808" i="2"/>
  <c r="H1808" i="2"/>
  <c r="F1796" i="2"/>
  <c r="H1796" i="2"/>
  <c r="F1784" i="2"/>
  <c r="H1784" i="2"/>
  <c r="F283" i="2"/>
  <c r="H283" i="2"/>
  <c r="F317" i="2"/>
  <c r="H317" i="2"/>
  <c r="F305" i="2"/>
  <c r="H305" i="2"/>
  <c r="F293" i="2"/>
  <c r="H293" i="2"/>
  <c r="F373" i="2"/>
  <c r="H373" i="2"/>
  <c r="F361" i="2"/>
  <c r="H361" i="2"/>
  <c r="F383" i="2"/>
  <c r="H383" i="2"/>
  <c r="F429" i="2"/>
  <c r="H429" i="2"/>
  <c r="F417" i="2"/>
  <c r="H417" i="2"/>
  <c r="F439" i="2"/>
  <c r="H439" i="2"/>
  <c r="F519" i="2"/>
  <c r="H519" i="2"/>
  <c r="F507" i="2"/>
  <c r="H507" i="2"/>
  <c r="F495" i="2"/>
  <c r="H495" i="2"/>
  <c r="F541" i="2"/>
  <c r="H541" i="2"/>
  <c r="F529" i="2"/>
  <c r="H529" i="2"/>
  <c r="F575" i="2"/>
  <c r="H575" i="2"/>
  <c r="F563" i="2"/>
  <c r="H563" i="2"/>
  <c r="F609" i="2"/>
  <c r="H609" i="2"/>
  <c r="F597" i="2"/>
  <c r="H597" i="2"/>
  <c r="F585" i="2"/>
  <c r="H585" i="2"/>
  <c r="F631" i="2"/>
  <c r="H631" i="2"/>
  <c r="F619" i="2"/>
  <c r="H619" i="2"/>
  <c r="F1787" i="2"/>
  <c r="H1787" i="2"/>
  <c r="F1785" i="2"/>
  <c r="H1785" i="2"/>
  <c r="F1807" i="2"/>
  <c r="H1807" i="2"/>
  <c r="F1783" i="2"/>
  <c r="H1783" i="2"/>
  <c r="F270" i="2"/>
  <c r="H270" i="2"/>
  <c r="F304" i="2"/>
  <c r="H304" i="2"/>
  <c r="F372" i="2"/>
  <c r="H372" i="2"/>
  <c r="F360" i="2"/>
  <c r="H360" i="2"/>
  <c r="F428" i="2"/>
  <c r="H428" i="2"/>
  <c r="F416" i="2"/>
  <c r="H416" i="2"/>
  <c r="F484" i="2"/>
  <c r="H484" i="2"/>
  <c r="F608" i="2"/>
  <c r="H608" i="2"/>
  <c r="F596" i="2"/>
  <c r="H596" i="2"/>
  <c r="F584" i="2"/>
  <c r="H584" i="2"/>
  <c r="F630" i="2"/>
  <c r="H630" i="2"/>
  <c r="F618" i="2"/>
  <c r="H618" i="2"/>
  <c r="F274" i="2"/>
  <c r="H274" i="2"/>
  <c r="F282" i="2"/>
  <c r="H282" i="2"/>
  <c r="F316" i="2"/>
  <c r="H316" i="2"/>
  <c r="F326" i="2"/>
  <c r="H326" i="2"/>
  <c r="F472" i="2"/>
  <c r="H472" i="2"/>
  <c r="F518" i="2"/>
  <c r="H518" i="2"/>
  <c r="F506" i="2"/>
  <c r="H506" i="2"/>
  <c r="F540" i="2"/>
  <c r="H540" i="2"/>
  <c r="F528" i="2"/>
  <c r="H528" i="2"/>
  <c r="F562" i="2"/>
  <c r="H562" i="2"/>
  <c r="F1806" i="2"/>
  <c r="H1806" i="2"/>
  <c r="F1794" i="2"/>
  <c r="H1794" i="2"/>
  <c r="F1782" i="2"/>
  <c r="H1782" i="2"/>
  <c r="F281" i="2"/>
  <c r="H281" i="2"/>
  <c r="F315" i="2"/>
  <c r="H315" i="2"/>
  <c r="F303" i="2"/>
  <c r="H303" i="2"/>
  <c r="F337" i="2"/>
  <c r="H337" i="2"/>
  <c r="F371" i="2"/>
  <c r="H371" i="2"/>
  <c r="F393" i="2"/>
  <c r="F427" i="2"/>
  <c r="H427" i="2"/>
  <c r="F415" i="2"/>
  <c r="H415" i="2"/>
  <c r="F437" i="2"/>
  <c r="H437" i="2"/>
  <c r="F517" i="2"/>
  <c r="H517" i="2"/>
  <c r="F505" i="2"/>
  <c r="H505" i="2"/>
  <c r="F551" i="2"/>
  <c r="H551" i="2"/>
  <c r="F539" i="2"/>
  <c r="H539" i="2"/>
  <c r="F527" i="2"/>
  <c r="H527" i="2"/>
  <c r="F573" i="2"/>
  <c r="H573" i="2"/>
  <c r="F561" i="2"/>
  <c r="H561" i="2"/>
  <c r="F607" i="2"/>
  <c r="H607" i="2"/>
  <c r="F595" i="2"/>
  <c r="H595" i="2"/>
  <c r="F583" i="2"/>
  <c r="H583" i="2"/>
  <c r="F629" i="2"/>
  <c r="H629" i="2"/>
  <c r="F617" i="2"/>
  <c r="H617" i="2"/>
  <c r="F324" i="2"/>
  <c r="H324" i="2"/>
  <c r="F358" i="2"/>
  <c r="H358" i="2"/>
  <c r="F392" i="2"/>
  <c r="H392" i="2"/>
  <c r="F414" i="2"/>
  <c r="H414" i="2"/>
  <c r="F482" i="2"/>
  <c r="H482" i="2"/>
  <c r="F516" i="2"/>
  <c r="H516" i="2"/>
  <c r="F550" i="2"/>
  <c r="H550" i="2"/>
  <c r="F560" i="2"/>
  <c r="H560" i="2"/>
  <c r="F1793" i="2"/>
  <c r="H1793" i="2"/>
  <c r="F280" i="2"/>
  <c r="H280" i="2"/>
  <c r="F268" i="2"/>
  <c r="H268" i="2"/>
  <c r="F302" i="2"/>
  <c r="H302" i="2"/>
  <c r="F370" i="2"/>
  <c r="H370" i="2"/>
  <c r="F403" i="2"/>
  <c r="H403" i="2"/>
  <c r="F380" i="2"/>
  <c r="H380" i="2"/>
  <c r="F426" i="2"/>
  <c r="H426" i="2"/>
  <c r="F465" i="2"/>
  <c r="H465" i="2"/>
  <c r="F470" i="2"/>
  <c r="H470" i="2"/>
  <c r="F504" i="2"/>
  <c r="H504" i="2"/>
  <c r="F538" i="2"/>
  <c r="H538" i="2"/>
  <c r="F526" i="2"/>
  <c r="H526" i="2"/>
  <c r="F572" i="2"/>
  <c r="H572" i="2"/>
  <c r="F606" i="2"/>
  <c r="H606" i="2"/>
  <c r="F594" i="2"/>
  <c r="H594" i="2"/>
  <c r="F582" i="2"/>
  <c r="H582" i="2"/>
  <c r="F628" i="2"/>
  <c r="H628" i="2"/>
  <c r="F616" i="2"/>
  <c r="H616" i="2"/>
  <c r="F1804" i="2"/>
  <c r="H1804" i="2"/>
  <c r="F1792" i="2"/>
  <c r="H1792" i="2"/>
  <c r="F291" i="2"/>
  <c r="H291" i="2"/>
  <c r="F279" i="2"/>
  <c r="H279" i="2"/>
  <c r="F267" i="2"/>
  <c r="H267" i="2"/>
  <c r="F313" i="2"/>
  <c r="H313" i="2"/>
  <c r="F301" i="2"/>
  <c r="H301" i="2"/>
  <c r="F369" i="2"/>
  <c r="H369" i="2"/>
  <c r="F357" i="2"/>
  <c r="H357" i="2"/>
  <c r="F391" i="2"/>
  <c r="H391" i="2"/>
  <c r="F379" i="2"/>
  <c r="H379" i="2"/>
  <c r="F425" i="2"/>
  <c r="H425" i="2"/>
  <c r="F413" i="2"/>
  <c r="H413" i="2"/>
  <c r="F447" i="2"/>
  <c r="H447" i="2"/>
  <c r="F515" i="2"/>
  <c r="H515" i="2"/>
  <c r="F503" i="2"/>
  <c r="H503" i="2"/>
  <c r="F549" i="2"/>
  <c r="H549" i="2"/>
  <c r="F537" i="2"/>
  <c r="H537" i="2"/>
  <c r="F525" i="2"/>
  <c r="H525" i="2"/>
  <c r="F571" i="2"/>
  <c r="H571" i="2"/>
  <c r="F559" i="2"/>
  <c r="H559" i="2"/>
  <c r="F605" i="2"/>
  <c r="H605" i="2"/>
  <c r="F593" i="2"/>
  <c r="H593" i="2"/>
  <c r="F627" i="2"/>
  <c r="H627" i="2"/>
  <c r="F615" i="2"/>
  <c r="H615" i="2"/>
  <c r="F1791" i="2"/>
  <c r="H1791" i="2"/>
  <c r="F266" i="2"/>
  <c r="H266" i="2"/>
  <c r="F300" i="2"/>
  <c r="H300" i="2"/>
  <c r="F412" i="2"/>
  <c r="H412" i="2"/>
  <c r="F468" i="2"/>
  <c r="H468" i="2"/>
  <c r="F502" i="2"/>
  <c r="H502" i="2"/>
  <c r="F536" i="2"/>
  <c r="H536" i="2"/>
  <c r="F592" i="2"/>
  <c r="H592" i="2"/>
  <c r="F638" i="2"/>
  <c r="H638" i="2"/>
  <c r="F626" i="2"/>
  <c r="H626" i="2"/>
  <c r="F614" i="2"/>
  <c r="H614" i="2"/>
  <c r="F1803" i="2"/>
  <c r="H1803" i="2"/>
  <c r="F334" i="2"/>
  <c r="H334" i="2"/>
  <c r="F368" i="2"/>
  <c r="H368" i="2"/>
  <c r="F356" i="2"/>
  <c r="H356" i="2"/>
  <c r="F424" i="2"/>
  <c r="H424" i="2"/>
  <c r="F492" i="2"/>
  <c r="H492" i="2"/>
  <c r="F480" i="2"/>
  <c r="H480" i="2"/>
  <c r="F514" i="2"/>
  <c r="H514" i="2"/>
  <c r="F548" i="2"/>
  <c r="H548" i="2"/>
  <c r="F524" i="2"/>
  <c r="H524" i="2"/>
  <c r="F570" i="2"/>
  <c r="H570" i="2"/>
  <c r="F604" i="2"/>
  <c r="H604" i="2"/>
  <c r="F1802" i="2"/>
  <c r="H1802" i="2"/>
  <c r="F1790" i="2"/>
  <c r="H1790" i="2"/>
  <c r="F289" i="2"/>
  <c r="H289" i="2"/>
  <c r="F277" i="2"/>
  <c r="H277" i="2"/>
  <c r="F265" i="2"/>
  <c r="H265" i="2"/>
  <c r="F311" i="2"/>
  <c r="H311" i="2"/>
  <c r="F299" i="2"/>
  <c r="H299" i="2"/>
  <c r="F345" i="2"/>
  <c r="H345" i="2"/>
  <c r="F333" i="2"/>
  <c r="H333" i="2"/>
  <c r="A350" i="2"/>
  <c r="F355" i="2"/>
  <c r="H355" i="2"/>
  <c r="F400" i="2"/>
  <c r="H400" i="2"/>
  <c r="F435" i="2"/>
  <c r="H435" i="2"/>
  <c r="F423" i="2"/>
  <c r="H423" i="2"/>
  <c r="F411" i="2"/>
  <c r="H411" i="2"/>
  <c r="F445" i="2"/>
  <c r="H445" i="2"/>
  <c r="F513" i="2"/>
  <c r="H513" i="2"/>
  <c r="F501" i="2"/>
  <c r="H501" i="2"/>
  <c r="F547" i="2"/>
  <c r="H547" i="2"/>
  <c r="F535" i="2"/>
  <c r="H535" i="2"/>
  <c r="F569" i="2"/>
  <c r="H569" i="2"/>
  <c r="F603" i="2"/>
  <c r="H603" i="2"/>
  <c r="F591" i="2"/>
  <c r="H591" i="2"/>
  <c r="F637" i="2"/>
  <c r="H637" i="2"/>
  <c r="F625" i="2"/>
  <c r="H625" i="2"/>
  <c r="F613" i="2"/>
  <c r="H613" i="2"/>
  <c r="F278" i="2"/>
  <c r="H278" i="2"/>
  <c r="F1801" i="2"/>
  <c r="H1801" i="2"/>
  <c r="F288" i="2"/>
  <c r="H288" i="2"/>
  <c r="F264" i="2"/>
  <c r="H264" i="2"/>
  <c r="F354" i="2"/>
  <c r="H354" i="2"/>
  <c r="F434" i="2"/>
  <c r="H434" i="2"/>
  <c r="F490" i="2"/>
  <c r="H490" i="2"/>
  <c r="F512" i="2"/>
  <c r="H512" i="2"/>
  <c r="A1806" i="2"/>
  <c r="A1804" i="2"/>
  <c r="A1807" i="2"/>
  <c r="A1805" i="2"/>
  <c r="A571" i="2"/>
  <c r="A576" i="2"/>
  <c r="A566" i="2"/>
  <c r="A564" i="2"/>
  <c r="A590" i="2"/>
  <c r="A579" i="2"/>
  <c r="A588" i="2"/>
  <c r="A586" i="2"/>
  <c r="A584" i="2"/>
  <c r="A582" i="2"/>
  <c r="A638" i="2"/>
  <c r="A636" i="2"/>
  <c r="A634" i="2"/>
  <c r="A632" i="2"/>
  <c r="A630" i="2"/>
  <c r="A628" i="2"/>
  <c r="A626" i="2"/>
  <c r="A624" i="2"/>
  <c r="A622" i="2"/>
  <c r="A620" i="2"/>
  <c r="A618" i="2"/>
  <c r="A616" i="2"/>
  <c r="A614" i="2"/>
  <c r="A612" i="2"/>
  <c r="A1791" i="2"/>
  <c r="A1789" i="2"/>
  <c r="A1787" i="2"/>
  <c r="A610" i="2"/>
  <c r="A1801" i="2"/>
  <c r="A314" i="2"/>
  <c r="A312" i="2"/>
  <c r="A310" i="2"/>
  <c r="A308" i="2"/>
  <c r="A306" i="2"/>
  <c r="A304" i="2"/>
  <c r="A302" i="2"/>
  <c r="A377" i="2"/>
  <c r="A375" i="2"/>
  <c r="A373" i="2"/>
  <c r="A371" i="2"/>
  <c r="A369" i="2"/>
  <c r="A367" i="2"/>
  <c r="A365" i="2"/>
  <c r="A363" i="2"/>
  <c r="A361" i="2"/>
  <c r="A359" i="2"/>
  <c r="A404" i="2"/>
  <c r="A402" i="2"/>
  <c r="A569" i="2"/>
  <c r="A388" i="2"/>
  <c r="A386" i="2"/>
  <c r="A430" i="2"/>
  <c r="A428" i="2"/>
  <c r="A426" i="2"/>
  <c r="A424" i="2"/>
  <c r="A422" i="2"/>
  <c r="A420" i="2"/>
  <c r="A418" i="2"/>
  <c r="A416" i="2"/>
  <c r="A414" i="2"/>
  <c r="A412" i="2"/>
  <c r="A410" i="2"/>
  <c r="A408" i="2"/>
  <c r="A464" i="2"/>
  <c r="A462" i="2"/>
  <c r="A460" i="2"/>
  <c r="A458" i="2"/>
  <c r="A456" i="2"/>
  <c r="A454" i="2"/>
  <c r="A452" i="2"/>
  <c r="A450" i="2"/>
  <c r="A448" i="2"/>
  <c r="A446" i="2"/>
  <c r="A444" i="2"/>
  <c r="A442" i="2"/>
  <c r="A440" i="2"/>
  <c r="A438" i="2"/>
  <c r="A506" i="2"/>
  <c r="A637" i="2"/>
  <c r="A635" i="2"/>
  <c r="A633" i="2"/>
  <c r="A631" i="2"/>
  <c r="A629" i="2"/>
  <c r="A627" i="2"/>
  <c r="A625" i="2"/>
  <c r="A623" i="2"/>
  <c r="A621" i="2"/>
  <c r="A619" i="2"/>
  <c r="A617" i="2"/>
  <c r="A615" i="2"/>
  <c r="A613" i="2"/>
  <c r="A611" i="2"/>
  <c r="A1792" i="2"/>
  <c r="A1790" i="2"/>
  <c r="A1788" i="2"/>
  <c r="A1786" i="2"/>
  <c r="A1784" i="2"/>
  <c r="A1782" i="2"/>
  <c r="A291" i="2"/>
  <c r="A289" i="2"/>
  <c r="A287" i="2"/>
  <c r="A285" i="2"/>
  <c r="A283" i="2"/>
  <c r="A552" i="2"/>
  <c r="A1798" i="2"/>
  <c r="A1794" i="2"/>
  <c r="A315" i="2"/>
  <c r="A313" i="2"/>
  <c r="A311" i="2"/>
  <c r="A309" i="2"/>
  <c r="A307" i="2"/>
  <c r="A305" i="2"/>
  <c r="A303" i="2"/>
  <c r="A301" i="2"/>
  <c r="A299" i="2"/>
  <c r="A297" i="2"/>
  <c r="A329" i="2"/>
  <c r="A327" i="2"/>
  <c r="A325" i="2"/>
  <c r="A323" i="2"/>
  <c r="A376" i="2"/>
  <c r="A374" i="2"/>
  <c r="A372" i="2"/>
  <c r="A370" i="2"/>
  <c r="A368" i="2"/>
  <c r="A366" i="2"/>
  <c r="A364" i="2"/>
  <c r="A362" i="2"/>
  <c r="A360" i="2"/>
  <c r="A358" i="2"/>
  <c r="A399" i="2"/>
  <c r="A397" i="2"/>
  <c r="A395" i="2"/>
  <c r="A393" i="2"/>
  <c r="A606" i="2"/>
  <c r="A1796" i="2"/>
  <c r="A383" i="2"/>
  <c r="A381" i="2"/>
  <c r="A379" i="2"/>
  <c r="A435" i="2"/>
  <c r="A433" i="2"/>
  <c r="A604" i="2"/>
  <c r="A1781" i="2"/>
  <c r="A1802" i="2"/>
  <c r="A281" i="2"/>
  <c r="A294" i="2"/>
  <c r="A321" i="2"/>
  <c r="A348" i="2"/>
  <c r="A346" i="2"/>
  <c r="A344" i="2"/>
  <c r="A342" i="2"/>
  <c r="A340" i="2"/>
  <c r="A338" i="2"/>
  <c r="A336" i="2"/>
  <c r="A334" i="2"/>
  <c r="A332" i="2"/>
  <c r="A330" i="2"/>
  <c r="A392" i="2"/>
  <c r="A390" i="2"/>
  <c r="F389" i="2"/>
  <c r="A515" i="2"/>
  <c r="A513" i="2"/>
  <c r="A511" i="2"/>
  <c r="A509" i="2"/>
  <c r="A507" i="2"/>
  <c r="A504" i="2"/>
  <c r="A502" i="2"/>
  <c r="A500" i="2"/>
  <c r="A498" i="2"/>
  <c r="A496" i="2"/>
  <c r="A523" i="2"/>
  <c r="A550" i="2"/>
  <c r="A548" i="2"/>
  <c r="A546" i="2"/>
  <c r="A544" i="2"/>
  <c r="A532" i="2"/>
  <c r="A530" i="2"/>
  <c r="A528" i="2"/>
  <c r="A526" i="2"/>
  <c r="A609" i="2"/>
  <c r="A607" i="2"/>
  <c r="A598" i="2"/>
  <c r="A593" i="2"/>
  <c r="A591" i="2"/>
  <c r="A357" i="2"/>
  <c r="A562" i="2"/>
  <c r="A596" i="2"/>
  <c r="A1811" i="2"/>
  <c r="A1809" i="2"/>
  <c r="A1799" i="2"/>
  <c r="A282" i="2"/>
  <c r="A280" i="2"/>
  <c r="A278" i="2"/>
  <c r="A276" i="2"/>
  <c r="A274" i="2"/>
  <c r="A272" i="2"/>
  <c r="A270" i="2"/>
  <c r="A268" i="2"/>
  <c r="A266" i="2"/>
  <c r="A264" i="2"/>
  <c r="A320" i="2"/>
  <c r="A318" i="2"/>
  <c r="A316" i="2"/>
  <c r="A295" i="2"/>
  <c r="A293" i="2"/>
  <c r="A349" i="2"/>
  <c r="A347" i="2"/>
  <c r="A337" i="2"/>
  <c r="A335" i="2"/>
  <c r="A333" i="2"/>
  <c r="A331" i="2"/>
  <c r="F330" i="2"/>
  <c r="A355" i="2"/>
  <c r="A353" i="2"/>
  <c r="A351" i="2"/>
  <c r="A406" i="2"/>
  <c r="F405" i="2"/>
  <c r="A465" i="2"/>
  <c r="A492" i="2"/>
  <c r="A490" i="2"/>
  <c r="A488" i="2"/>
  <c r="A486" i="2"/>
  <c r="A484" i="2"/>
  <c r="A482" i="2"/>
  <c r="A480" i="2"/>
  <c r="A478" i="2"/>
  <c r="A476" i="2"/>
  <c r="A474" i="2"/>
  <c r="A472" i="2"/>
  <c r="A470" i="2"/>
  <c r="A468" i="2"/>
  <c r="A466" i="2"/>
  <c r="A522" i="2"/>
  <c r="A520" i="2"/>
  <c r="A518" i="2"/>
  <c r="A541" i="2"/>
  <c r="A539" i="2"/>
  <c r="A537" i="2"/>
  <c r="A535" i="2"/>
  <c r="A575" i="2"/>
  <c r="A573" i="2"/>
  <c r="A560" i="2"/>
  <c r="A558" i="2"/>
  <c r="A556" i="2"/>
  <c r="A554" i="2"/>
  <c r="A601" i="2"/>
  <c r="A599" i="2"/>
  <c r="A403" i="2"/>
  <c r="A401" i="2"/>
  <c r="A396" i="2"/>
  <c r="A394" i="2"/>
  <c r="A387" i="2"/>
  <c r="A385" i="2"/>
  <c r="A380" i="2"/>
  <c r="A407" i="2"/>
  <c r="A434" i="2"/>
  <c r="A432" i="2"/>
  <c r="A493" i="2"/>
  <c r="A491" i="2"/>
  <c r="A489" i="2"/>
  <c r="A487" i="2"/>
  <c r="A485" i="2"/>
  <c r="A483" i="2"/>
  <c r="A481" i="2"/>
  <c r="A479" i="2"/>
  <c r="A477" i="2"/>
  <c r="A475" i="2"/>
  <c r="A473" i="2"/>
  <c r="A471" i="2"/>
  <c r="A469" i="2"/>
  <c r="A467" i="2"/>
  <c r="A494" i="2"/>
  <c r="A521" i="2"/>
  <c r="A519" i="2"/>
  <c r="A517" i="2"/>
  <c r="A547" i="2"/>
  <c r="A545" i="2"/>
  <c r="A543" i="2"/>
  <c r="A538" i="2"/>
  <c r="A536" i="2"/>
  <c r="A534" i="2"/>
  <c r="A525" i="2"/>
  <c r="A578" i="2"/>
  <c r="A570" i="2"/>
  <c r="A568" i="2"/>
  <c r="A561" i="2"/>
  <c r="A559" i="2"/>
  <c r="A557" i="2"/>
  <c r="A555" i="2"/>
  <c r="A553" i="2"/>
  <c r="A603" i="2"/>
  <c r="A595" i="2"/>
  <c r="F322" i="2"/>
  <c r="A1810" i="2"/>
  <c r="A1803" i="2"/>
  <c r="A300" i="2"/>
  <c r="A345" i="2"/>
  <c r="F401" i="2"/>
  <c r="F385" i="2"/>
  <c r="A431" i="2"/>
  <c r="A516" i="2"/>
  <c r="A542" i="2"/>
  <c r="A533" i="2"/>
  <c r="A524" i="2"/>
  <c r="A577" i="2"/>
  <c r="A567" i="2"/>
  <c r="A602" i="2"/>
  <c r="A594" i="2"/>
  <c r="A1793" i="2"/>
  <c r="A1785" i="2"/>
  <c r="A279" i="2"/>
  <c r="A1808" i="2"/>
  <c r="A1800" i="2"/>
  <c r="A1797" i="2"/>
  <c r="A1795" i="2"/>
  <c r="A1783" i="2"/>
  <c r="A263" i="2"/>
  <c r="A290" i="2"/>
  <c r="A288" i="2"/>
  <c r="A286" i="2"/>
  <c r="A284" i="2"/>
  <c r="A277" i="2"/>
  <c r="A275" i="2"/>
  <c r="A273" i="2"/>
  <c r="A271" i="2"/>
  <c r="A269" i="2"/>
  <c r="A267" i="2"/>
  <c r="A265" i="2"/>
  <c r="A292" i="2"/>
  <c r="A319" i="2"/>
  <c r="A317" i="2"/>
  <c r="A298" i="2"/>
  <c r="A296" i="2"/>
  <c r="A343" i="2"/>
  <c r="A341" i="2"/>
  <c r="A339" i="2"/>
  <c r="F338" i="2"/>
  <c r="A328" i="2"/>
  <c r="A326" i="2"/>
  <c r="A324" i="2"/>
  <c r="A322" i="2"/>
  <c r="A356" i="2"/>
  <c r="A354" i="2"/>
  <c r="A352" i="2"/>
  <c r="A378" i="2"/>
  <c r="A405" i="2"/>
  <c r="A400" i="2"/>
  <c r="A398" i="2"/>
  <c r="F397" i="2"/>
  <c r="A391" i="2"/>
  <c r="A389" i="2"/>
  <c r="A384" i="2"/>
  <c r="A382" i="2"/>
  <c r="F381" i="2"/>
  <c r="A429" i="2"/>
  <c r="A427" i="2"/>
  <c r="A425" i="2"/>
  <c r="A423" i="2"/>
  <c r="A421" i="2"/>
  <c r="A419" i="2"/>
  <c r="A417" i="2"/>
  <c r="A415" i="2"/>
  <c r="A413" i="2"/>
  <c r="A411" i="2"/>
  <c r="A409" i="2"/>
  <c r="A436" i="2"/>
  <c r="A463" i="2"/>
  <c r="A461" i="2"/>
  <c r="A459" i="2"/>
  <c r="A457" i="2"/>
  <c r="A455" i="2"/>
  <c r="A453" i="2"/>
  <c r="A451" i="2"/>
  <c r="A449" i="2"/>
  <c r="A447" i="2"/>
  <c r="A445" i="2"/>
  <c r="A443" i="2"/>
  <c r="A441" i="2"/>
  <c r="A439" i="2"/>
  <c r="A437" i="2"/>
  <c r="A514" i="2"/>
  <c r="A512" i="2"/>
  <c r="A510" i="2"/>
  <c r="A508" i="2"/>
  <c r="A505" i="2"/>
  <c r="A503" i="2"/>
  <c r="A501" i="2"/>
  <c r="A499" i="2"/>
  <c r="A497" i="2"/>
  <c r="A495" i="2"/>
  <c r="A551" i="2"/>
  <c r="A549" i="2"/>
  <c r="A540" i="2"/>
  <c r="A531" i="2"/>
  <c r="A529" i="2"/>
  <c r="A527" i="2"/>
  <c r="A580" i="2"/>
  <c r="A574" i="2"/>
  <c r="A572" i="2"/>
  <c r="A565" i="2"/>
  <c r="A563" i="2"/>
  <c r="A581" i="2"/>
  <c r="A608" i="2"/>
  <c r="A605" i="2"/>
  <c r="A600" i="2"/>
  <c r="A597" i="2"/>
  <c r="A592" i="2"/>
  <c r="A589" i="2"/>
  <c r="A587" i="2"/>
  <c r="A585" i="2"/>
  <c r="A583" i="2"/>
  <c r="F610" i="2"/>
  <c r="F271" i="2"/>
  <c r="F348" i="2"/>
  <c r="F275" i="2"/>
  <c r="F312" i="2"/>
  <c r="F1789" i="2"/>
  <c r="F310" i="2"/>
  <c r="F349" i="2"/>
  <c r="F1805" i="2"/>
  <c r="F1795" i="2"/>
  <c r="F294" i="2"/>
  <c r="F342" i="2"/>
  <c r="F329" i="2"/>
  <c r="F494" i="2"/>
  <c r="F523" i="2"/>
  <c r="F574" i="2"/>
  <c r="F298" i="2"/>
  <c r="F346" i="2"/>
  <c r="F344" i="2"/>
  <c r="F377" i="2"/>
  <c r="F359" i="2"/>
  <c r="F269" i="2"/>
  <c r="F306" i="2"/>
  <c r="F336" i="2"/>
  <c r="F404" i="2"/>
  <c r="F314" i="2"/>
  <c r="F325" i="2"/>
  <c r="F367" i="2"/>
  <c r="F351" i="2"/>
  <c r="F568" i="2"/>
  <c r="F566" i="2"/>
  <c r="F564" i="2"/>
  <c r="F444" i="2"/>
  <c r="F487" i="2"/>
  <c r="F479" i="2"/>
  <c r="F471" i="2"/>
  <c r="F263" i="2"/>
  <c r="F292" i="2"/>
  <c r="F321" i="2"/>
  <c r="F347" i="2"/>
  <c r="F343" i="2"/>
  <c r="F339" i="2"/>
  <c r="F335" i="2"/>
  <c r="F331" i="2"/>
  <c r="F327" i="2"/>
  <c r="F323" i="2"/>
  <c r="F350" i="2"/>
  <c r="F406" i="2"/>
  <c r="F402" i="2"/>
  <c r="F398" i="2"/>
  <c r="F394" i="2"/>
  <c r="F390" i="2"/>
  <c r="F386" i="2"/>
  <c r="F382" i="2"/>
  <c r="F407" i="2"/>
  <c r="F446" i="2"/>
  <c r="F438" i="2"/>
  <c r="F489" i="2"/>
  <c r="F481" i="2"/>
  <c r="F473" i="2"/>
  <c r="F464" i="2"/>
  <c r="F463" i="2"/>
  <c r="F462" i="2"/>
  <c r="F461" i="2"/>
  <c r="F460" i="2"/>
  <c r="F459" i="2"/>
  <c r="F458" i="2"/>
  <c r="F457" i="2"/>
  <c r="F456" i="2"/>
  <c r="F455" i="2"/>
  <c r="F454" i="2"/>
  <c r="F453" i="2"/>
  <c r="F452" i="2"/>
  <c r="F451" i="2"/>
  <c r="F450" i="2"/>
  <c r="F449" i="2"/>
  <c r="F448" i="2"/>
  <c r="F440" i="2"/>
  <c r="F491" i="2"/>
  <c r="F483" i="2"/>
  <c r="F475" i="2"/>
  <c r="F467" i="2"/>
  <c r="F442" i="2"/>
  <c r="F493" i="2"/>
  <c r="F485" i="2"/>
  <c r="F477" i="2"/>
  <c r="F469" i="2"/>
  <c r="F558" i="2"/>
  <c r="F557" i="2"/>
  <c r="F556" i="2"/>
  <c r="F555" i="2"/>
  <c r="F554" i="2"/>
  <c r="F553" i="2"/>
  <c r="F552" i="2"/>
  <c r="F436"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34" i="2"/>
  <c r="H234" i="2" s="1"/>
  <c r="G206" i="2"/>
  <c r="H206" i="2" s="1"/>
  <c r="G207" i="2"/>
  <c r="G208" i="2"/>
  <c r="G209" i="2"/>
  <c r="G210" i="2"/>
  <c r="G211" i="2"/>
  <c r="G212" i="2"/>
  <c r="G213" i="2"/>
  <c r="G214" i="2"/>
  <c r="G215" i="2"/>
  <c r="A215" i="2" s="1"/>
  <c r="G216" i="2"/>
  <c r="G217" i="2"/>
  <c r="G218" i="2"/>
  <c r="H218" i="2" s="1"/>
  <c r="G219" i="2"/>
  <c r="G220" i="2"/>
  <c r="G221" i="2"/>
  <c r="G222" i="2"/>
  <c r="G223" i="2"/>
  <c r="G224" i="2"/>
  <c r="G225" i="2"/>
  <c r="H225" i="2" s="1"/>
  <c r="G226" i="2"/>
  <c r="G227" i="2"/>
  <c r="G228" i="2"/>
  <c r="G229" i="2"/>
  <c r="G230" i="2"/>
  <c r="G231" i="2"/>
  <c r="G232" i="2"/>
  <c r="G233" i="2"/>
  <c r="G205" i="2"/>
  <c r="H205" i="2" s="1"/>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176" i="2"/>
  <c r="H176" i="2" s="1"/>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47"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18" i="2"/>
  <c r="G90" i="2"/>
  <c r="H90" i="2" s="1"/>
  <c r="G91" i="2"/>
  <c r="H91" i="2" s="1"/>
  <c r="G92" i="2"/>
  <c r="H92" i="2" s="1"/>
  <c r="G93" i="2"/>
  <c r="G94" i="2"/>
  <c r="H94" i="2" s="1"/>
  <c r="G95" i="2"/>
  <c r="G96" i="2"/>
  <c r="H96" i="2" s="1"/>
  <c r="G97" i="2"/>
  <c r="G98" i="2"/>
  <c r="G99" i="2"/>
  <c r="G100" i="2"/>
  <c r="H100" i="2" s="1"/>
  <c r="G101" i="2"/>
  <c r="H101" i="2" s="1"/>
  <c r="G102" i="2"/>
  <c r="G103" i="2"/>
  <c r="G104" i="2"/>
  <c r="H104" i="2" s="1"/>
  <c r="G105" i="2"/>
  <c r="H105" i="2" s="1"/>
  <c r="G106" i="2"/>
  <c r="G107" i="2"/>
  <c r="G108" i="2"/>
  <c r="H108" i="2" s="1"/>
  <c r="G109" i="2"/>
  <c r="H109" i="2" s="1"/>
  <c r="G110" i="2"/>
  <c r="G111" i="2"/>
  <c r="G112" i="2"/>
  <c r="H112" i="2" s="1"/>
  <c r="G113" i="2"/>
  <c r="H113" i="2" s="1"/>
  <c r="G114" i="2"/>
  <c r="G115" i="2"/>
  <c r="G116" i="2"/>
  <c r="H116" i="2" s="1"/>
  <c r="G117" i="2"/>
  <c r="H117" i="2" s="1"/>
  <c r="G89" i="2"/>
  <c r="H89" i="2" s="1"/>
  <c r="G61" i="2"/>
  <c r="G62" i="2"/>
  <c r="H62" i="2" s="1"/>
  <c r="G63" i="2"/>
  <c r="H63" i="2" s="1"/>
  <c r="G64" i="2"/>
  <c r="H64" i="2" s="1"/>
  <c r="G65" i="2"/>
  <c r="H65" i="2" s="1"/>
  <c r="G66" i="2"/>
  <c r="H66" i="2" s="1"/>
  <c r="G67" i="2"/>
  <c r="H67" i="2" s="1"/>
  <c r="G68" i="2"/>
  <c r="G69" i="2"/>
  <c r="G70" i="2"/>
  <c r="H70" i="2" s="1"/>
  <c r="G71" i="2"/>
  <c r="H71" i="2" s="1"/>
  <c r="G72" i="2"/>
  <c r="H72" i="2" s="1"/>
  <c r="G73" i="2"/>
  <c r="G74" i="2"/>
  <c r="H74" i="2" s="1"/>
  <c r="G75" i="2"/>
  <c r="H75" i="2" s="1"/>
  <c r="G76" i="2"/>
  <c r="G77" i="2"/>
  <c r="G78" i="2"/>
  <c r="H78" i="2" s="1"/>
  <c r="G79" i="2"/>
  <c r="H79" i="2" s="1"/>
  <c r="G80" i="2"/>
  <c r="G81" i="2"/>
  <c r="G82" i="2"/>
  <c r="H82" i="2" s="1"/>
  <c r="G83" i="2"/>
  <c r="H83" i="2" s="1"/>
  <c r="G84" i="2"/>
  <c r="G85" i="2"/>
  <c r="G86" i="2"/>
  <c r="H86" i="2" s="1"/>
  <c r="G87" i="2"/>
  <c r="H87" i="2" s="1"/>
  <c r="G88" i="2"/>
  <c r="G60" i="2"/>
  <c r="H60" i="2" s="1"/>
  <c r="G32" i="2"/>
  <c r="H32" i="2" s="1"/>
  <c r="G33" i="2"/>
  <c r="H33" i="2" s="1"/>
  <c r="G34" i="2"/>
  <c r="H34" i="2" s="1"/>
  <c r="G35" i="2"/>
  <c r="G36" i="2"/>
  <c r="H36" i="2" s="1"/>
  <c r="G37" i="2"/>
  <c r="G38" i="2"/>
  <c r="G39" i="2"/>
  <c r="G40" i="2"/>
  <c r="H40" i="2" s="1"/>
  <c r="G41" i="2"/>
  <c r="H41" i="2" s="1"/>
  <c r="G42" i="2"/>
  <c r="H42" i="2" s="1"/>
  <c r="G43" i="2"/>
  <c r="G44" i="2"/>
  <c r="H44" i="2" s="1"/>
  <c r="G45" i="2"/>
  <c r="G46" i="2"/>
  <c r="G47" i="2"/>
  <c r="G48" i="2"/>
  <c r="H48" i="2" s="1"/>
  <c r="G49" i="2"/>
  <c r="H49" i="2" s="1"/>
  <c r="G50" i="2"/>
  <c r="H50" i="2" s="1"/>
  <c r="G51" i="2"/>
  <c r="G52" i="2"/>
  <c r="H52" i="2" s="1"/>
  <c r="G53" i="2"/>
  <c r="G54" i="2"/>
  <c r="H54" i="2" s="1"/>
  <c r="G55" i="2"/>
  <c r="G56" i="2"/>
  <c r="H56" i="2" s="1"/>
  <c r="G57" i="2"/>
  <c r="H57" i="2" s="1"/>
  <c r="G58" i="2"/>
  <c r="H58" i="2" s="1"/>
  <c r="G59" i="2"/>
  <c r="G31" i="2"/>
  <c r="H31" i="2" s="1"/>
  <c r="E64" i="1"/>
  <c r="F64" i="1"/>
  <c r="G64" i="1"/>
  <c r="H64" i="1"/>
  <c r="E65" i="1"/>
  <c r="F65" i="1"/>
  <c r="G65" i="1"/>
  <c r="H65" i="1"/>
  <c r="E66" i="1"/>
  <c r="F66" i="1"/>
  <c r="G66" i="1"/>
  <c r="H66" i="1"/>
  <c r="E67" i="1"/>
  <c r="F67" i="1"/>
  <c r="G67" i="1"/>
  <c r="H67" i="1"/>
  <c r="E68" i="1"/>
  <c r="F68" i="1"/>
  <c r="G68" i="1"/>
  <c r="H68" i="1"/>
  <c r="E69" i="1"/>
  <c r="F69" i="1"/>
  <c r="G69" i="1"/>
  <c r="H69" i="1"/>
  <c r="E70" i="1"/>
  <c r="F70" i="1"/>
  <c r="G70" i="1"/>
  <c r="H70" i="1"/>
  <c r="E71" i="1"/>
  <c r="F71" i="1"/>
  <c r="G71" i="1"/>
  <c r="H71" i="1"/>
  <c r="E72" i="1"/>
  <c r="F72" i="1"/>
  <c r="G72" i="1"/>
  <c r="H72" i="1"/>
  <c r="E73" i="1"/>
  <c r="F73" i="1"/>
  <c r="G73" i="1"/>
  <c r="H73" i="1"/>
  <c r="E74" i="1"/>
  <c r="F74" i="1"/>
  <c r="G74" i="1"/>
  <c r="H74" i="1"/>
  <c r="E75" i="1"/>
  <c r="F75" i="1"/>
  <c r="G75" i="1"/>
  <c r="H75" i="1"/>
  <c r="E76" i="1"/>
  <c r="F76" i="1"/>
  <c r="G76" i="1"/>
  <c r="H76" i="1"/>
  <c r="E77" i="1"/>
  <c r="F77" i="1"/>
  <c r="G77" i="1"/>
  <c r="H77" i="1"/>
  <c r="E78" i="1"/>
  <c r="F78" i="1"/>
  <c r="G78" i="1"/>
  <c r="H78" i="1"/>
  <c r="E79" i="1"/>
  <c r="F79" i="1"/>
  <c r="G79" i="1"/>
  <c r="H79" i="1"/>
  <c r="E80" i="1"/>
  <c r="F80" i="1"/>
  <c r="G80" i="1"/>
  <c r="H80" i="1"/>
  <c r="E81" i="1"/>
  <c r="F81" i="1"/>
  <c r="G81" i="1"/>
  <c r="H81" i="1"/>
  <c r="E82" i="1"/>
  <c r="F82" i="1"/>
  <c r="G82" i="1"/>
  <c r="H82" i="1"/>
  <c r="E83" i="1"/>
  <c r="F83" i="1"/>
  <c r="G83" i="1"/>
  <c r="H83" i="1"/>
  <c r="E84" i="1"/>
  <c r="F84" i="1"/>
  <c r="G84" i="1"/>
  <c r="H84" i="1"/>
  <c r="E85" i="1"/>
  <c r="F85" i="1"/>
  <c r="G85" i="1"/>
  <c r="H85" i="1"/>
  <c r="E86" i="1"/>
  <c r="F86" i="1"/>
  <c r="G86" i="1"/>
  <c r="H86" i="1"/>
  <c r="E87" i="1"/>
  <c r="F87" i="1"/>
  <c r="G87" i="1"/>
  <c r="H87" i="1"/>
  <c r="E88" i="1"/>
  <c r="F88" i="1"/>
  <c r="G88" i="1"/>
  <c r="H88" i="1"/>
  <c r="E89" i="1"/>
  <c r="F89" i="1"/>
  <c r="G89" i="1"/>
  <c r="H89" i="1"/>
  <c r="E90" i="1"/>
  <c r="F90" i="1"/>
  <c r="G90" i="1"/>
  <c r="H90" i="1"/>
  <c r="E91" i="1"/>
  <c r="F91" i="1"/>
  <c r="G91" i="1"/>
  <c r="H91" i="1"/>
  <c r="E92" i="1"/>
  <c r="F92" i="1"/>
  <c r="G92" i="1"/>
  <c r="H92" i="1"/>
  <c r="E93" i="1"/>
  <c r="F93" i="1"/>
  <c r="G93" i="1"/>
  <c r="H93" i="1"/>
  <c r="E94" i="1"/>
  <c r="F94" i="1"/>
  <c r="G94" i="1"/>
  <c r="H94" i="1"/>
  <c r="E95" i="1"/>
  <c r="F95" i="1"/>
  <c r="G95" i="1"/>
  <c r="H95" i="1"/>
  <c r="E96" i="1"/>
  <c r="F96" i="1"/>
  <c r="G96" i="1"/>
  <c r="H96" i="1"/>
  <c r="E97" i="1"/>
  <c r="F97" i="1"/>
  <c r="G97" i="1"/>
  <c r="H97" i="1"/>
  <c r="E98" i="1"/>
  <c r="F98" i="1"/>
  <c r="G98" i="1"/>
  <c r="H98" i="1"/>
  <c r="E99" i="1"/>
  <c r="F99" i="1"/>
  <c r="G99" i="1"/>
  <c r="H99" i="1"/>
  <c r="E100" i="1"/>
  <c r="F100" i="1"/>
  <c r="G100" i="1"/>
  <c r="H100" i="1"/>
  <c r="E101" i="1"/>
  <c r="F101" i="1"/>
  <c r="G101" i="1"/>
  <c r="H101" i="1"/>
  <c r="E102" i="1"/>
  <c r="F102" i="1"/>
  <c r="G102" i="1"/>
  <c r="H102" i="1"/>
  <c r="E103" i="1"/>
  <c r="F103" i="1"/>
  <c r="G103" i="1"/>
  <c r="H103" i="1"/>
  <c r="E104" i="1"/>
  <c r="F104" i="1"/>
  <c r="G104" i="1"/>
  <c r="H104" i="1"/>
  <c r="E105" i="1"/>
  <c r="F105" i="1"/>
  <c r="G105" i="1"/>
  <c r="H105" i="1"/>
  <c r="E106" i="1"/>
  <c r="F106" i="1"/>
  <c r="G106" i="1"/>
  <c r="H106" i="1"/>
  <c r="E107" i="1"/>
  <c r="F107" i="1"/>
  <c r="G107" i="1"/>
  <c r="H107" i="1"/>
  <c r="E108" i="1"/>
  <c r="F108" i="1"/>
  <c r="G108" i="1"/>
  <c r="H108" i="1"/>
  <c r="E109" i="1"/>
  <c r="F109" i="1"/>
  <c r="G109" i="1"/>
  <c r="H109" i="1"/>
  <c r="E110" i="1"/>
  <c r="F110" i="1"/>
  <c r="G110" i="1"/>
  <c r="H110" i="1"/>
  <c r="E111" i="1"/>
  <c r="F111" i="1"/>
  <c r="G111" i="1"/>
  <c r="H111" i="1"/>
  <c r="E112" i="1"/>
  <c r="F112" i="1"/>
  <c r="G112" i="1"/>
  <c r="H112" i="1"/>
  <c r="E113" i="1"/>
  <c r="F113" i="1"/>
  <c r="G113" i="1"/>
  <c r="H113" i="1"/>
  <c r="E114" i="1"/>
  <c r="F114" i="1"/>
  <c r="G114" i="1"/>
  <c r="H114" i="1"/>
  <c r="E115" i="1"/>
  <c r="F115" i="1"/>
  <c r="G115" i="1"/>
  <c r="H115" i="1"/>
  <c r="E116" i="1"/>
  <c r="F116" i="1"/>
  <c r="G116" i="1"/>
  <c r="H116" i="1"/>
  <c r="E117" i="1"/>
  <c r="F117" i="1"/>
  <c r="G117" i="1"/>
  <c r="H117" i="1"/>
  <c r="E118" i="1"/>
  <c r="F118" i="1"/>
  <c r="G118" i="1"/>
  <c r="H118" i="1"/>
  <c r="E119" i="1"/>
  <c r="F119" i="1"/>
  <c r="G119" i="1"/>
  <c r="H119" i="1"/>
  <c r="E120" i="1"/>
  <c r="F120" i="1"/>
  <c r="G120" i="1"/>
  <c r="H120" i="1"/>
  <c r="E121" i="1"/>
  <c r="F121" i="1"/>
  <c r="G121" i="1"/>
  <c r="H121" i="1"/>
  <c r="E122" i="1"/>
  <c r="F122" i="1"/>
  <c r="G122" i="1"/>
  <c r="H122" i="1"/>
  <c r="E123" i="1"/>
  <c r="F123" i="1"/>
  <c r="G123" i="1"/>
  <c r="H123" i="1"/>
  <c r="E124" i="1"/>
  <c r="F124" i="1"/>
  <c r="G124" i="1"/>
  <c r="H124" i="1"/>
  <c r="E125" i="1"/>
  <c r="F125" i="1"/>
  <c r="G125" i="1"/>
  <c r="H125" i="1"/>
  <c r="E126" i="1"/>
  <c r="F126" i="1"/>
  <c r="G126" i="1"/>
  <c r="H126" i="1"/>
  <c r="E127" i="1"/>
  <c r="F127" i="1"/>
  <c r="G127" i="1"/>
  <c r="H127" i="1"/>
  <c r="E128" i="1"/>
  <c r="F128" i="1"/>
  <c r="G128" i="1"/>
  <c r="H128" i="1"/>
  <c r="E129" i="1"/>
  <c r="F129" i="1"/>
  <c r="G129" i="1"/>
  <c r="H129" i="1"/>
  <c r="E130" i="1"/>
  <c r="F130" i="1"/>
  <c r="G130" i="1"/>
  <c r="H130" i="1"/>
  <c r="E131" i="1"/>
  <c r="F131" i="1"/>
  <c r="G131" i="1"/>
  <c r="H131" i="1"/>
  <c r="E132" i="1"/>
  <c r="F132" i="1"/>
  <c r="G132" i="1"/>
  <c r="H132" i="1"/>
  <c r="E133" i="1"/>
  <c r="F133" i="1"/>
  <c r="G133" i="1"/>
  <c r="H133" i="1"/>
  <c r="E134" i="1"/>
  <c r="F134" i="1"/>
  <c r="G134" i="1"/>
  <c r="H134" i="1"/>
  <c r="E135" i="1"/>
  <c r="F135" i="1"/>
  <c r="G135" i="1"/>
  <c r="H135" i="1"/>
  <c r="E136" i="1"/>
  <c r="F136" i="1"/>
  <c r="G136" i="1"/>
  <c r="H136" i="1"/>
  <c r="E137" i="1"/>
  <c r="F137" i="1"/>
  <c r="G137" i="1"/>
  <c r="H137" i="1"/>
  <c r="E138" i="1"/>
  <c r="F138" i="1"/>
  <c r="G138" i="1"/>
  <c r="H138" i="1"/>
  <c r="E139" i="1"/>
  <c r="F139" i="1"/>
  <c r="G139" i="1"/>
  <c r="H139" i="1"/>
  <c r="E140" i="1"/>
  <c r="F140" i="1"/>
  <c r="G140" i="1"/>
  <c r="H140" i="1"/>
  <c r="E141" i="1"/>
  <c r="F141" i="1"/>
  <c r="G141" i="1"/>
  <c r="H141" i="1"/>
  <c r="E142" i="1"/>
  <c r="F142" i="1"/>
  <c r="G142" i="1"/>
  <c r="H142" i="1"/>
  <c r="E143" i="1"/>
  <c r="F143" i="1"/>
  <c r="G143" i="1"/>
  <c r="H143" i="1"/>
  <c r="E144" i="1"/>
  <c r="F144" i="1"/>
  <c r="G144" i="1"/>
  <c r="H144" i="1"/>
  <c r="E145" i="1"/>
  <c r="F145" i="1"/>
  <c r="G145" i="1"/>
  <c r="H145" i="1"/>
  <c r="E146" i="1"/>
  <c r="F146" i="1"/>
  <c r="G146" i="1"/>
  <c r="H146" i="1"/>
  <c r="E147" i="1"/>
  <c r="F147" i="1"/>
  <c r="G147" i="1"/>
  <c r="H147" i="1"/>
  <c r="E148" i="1"/>
  <c r="F148" i="1"/>
  <c r="G148" i="1"/>
  <c r="H148" i="1"/>
  <c r="E149" i="1"/>
  <c r="F149" i="1"/>
  <c r="G149" i="1"/>
  <c r="H149" i="1"/>
  <c r="E150" i="1"/>
  <c r="F150" i="1"/>
  <c r="G150" i="1"/>
  <c r="H150" i="1"/>
  <c r="E151" i="1"/>
  <c r="F151" i="1"/>
  <c r="G151" i="1"/>
  <c r="H151" i="1"/>
  <c r="E152" i="1"/>
  <c r="F152" i="1"/>
  <c r="G152" i="1"/>
  <c r="H152" i="1"/>
  <c r="E153" i="1"/>
  <c r="F153" i="1"/>
  <c r="G153" i="1"/>
  <c r="H153" i="1"/>
  <c r="E154" i="1"/>
  <c r="F154" i="1"/>
  <c r="G154" i="1"/>
  <c r="H154" i="1"/>
  <c r="E155" i="1"/>
  <c r="F155" i="1"/>
  <c r="G155" i="1"/>
  <c r="H155" i="1"/>
  <c r="E156" i="1"/>
  <c r="F156" i="1"/>
  <c r="G156" i="1"/>
  <c r="H156" i="1"/>
  <c r="E157" i="1"/>
  <c r="F157" i="1"/>
  <c r="G157" i="1"/>
  <c r="H157" i="1"/>
  <c r="E158" i="1"/>
  <c r="F158" i="1"/>
  <c r="G158" i="1"/>
  <c r="H158" i="1"/>
  <c r="E159" i="1"/>
  <c r="F159" i="1"/>
  <c r="G159" i="1"/>
  <c r="H159" i="1"/>
  <c r="E160" i="1"/>
  <c r="F160" i="1"/>
  <c r="G160" i="1"/>
  <c r="H160" i="1"/>
  <c r="E161" i="1"/>
  <c r="F161" i="1"/>
  <c r="G161" i="1"/>
  <c r="H161" i="1"/>
  <c r="E162" i="1"/>
  <c r="F162" i="1"/>
  <c r="G162" i="1"/>
  <c r="H162" i="1"/>
  <c r="E163" i="1"/>
  <c r="F163" i="1"/>
  <c r="G163" i="1"/>
  <c r="H163" i="1"/>
  <c r="E164" i="1"/>
  <c r="F164" i="1"/>
  <c r="G164" i="1"/>
  <c r="H164" i="1"/>
  <c r="E165" i="1"/>
  <c r="F165" i="1"/>
  <c r="G165" i="1"/>
  <c r="H165" i="1"/>
  <c r="E166" i="1"/>
  <c r="F166" i="1"/>
  <c r="G166" i="1"/>
  <c r="H166" i="1"/>
  <c r="E167" i="1"/>
  <c r="F167" i="1"/>
  <c r="G167" i="1"/>
  <c r="H167" i="1"/>
  <c r="E168" i="1"/>
  <c r="F168" i="1"/>
  <c r="G168" i="1"/>
  <c r="H168" i="1"/>
  <c r="E169" i="1"/>
  <c r="F169" i="1"/>
  <c r="G169" i="1"/>
  <c r="H169" i="1"/>
  <c r="E170" i="1"/>
  <c r="F170" i="1"/>
  <c r="G170" i="1"/>
  <c r="H170" i="1"/>
  <c r="E171" i="1"/>
  <c r="F171" i="1"/>
  <c r="G171" i="1"/>
  <c r="H171" i="1"/>
  <c r="E172" i="1"/>
  <c r="F172" i="1"/>
  <c r="G172" i="1"/>
  <c r="H172" i="1"/>
  <c r="E173" i="1"/>
  <c r="F173" i="1"/>
  <c r="G173" i="1"/>
  <c r="H173" i="1"/>
  <c r="E174" i="1"/>
  <c r="F174" i="1"/>
  <c r="G174" i="1"/>
  <c r="H174" i="1"/>
  <c r="E175" i="1"/>
  <c r="F175" i="1"/>
  <c r="G175" i="1"/>
  <c r="H175" i="1"/>
  <c r="E176" i="1"/>
  <c r="F176" i="1"/>
  <c r="G176" i="1"/>
  <c r="H176" i="1"/>
  <c r="E177" i="1"/>
  <c r="F177" i="1"/>
  <c r="G177" i="1"/>
  <c r="H177" i="1"/>
  <c r="E178" i="1"/>
  <c r="F178" i="1"/>
  <c r="G178" i="1"/>
  <c r="H178" i="1"/>
  <c r="E179" i="1"/>
  <c r="F179" i="1"/>
  <c r="G179" i="1"/>
  <c r="H179" i="1"/>
  <c r="E180" i="1"/>
  <c r="F180" i="1"/>
  <c r="G180" i="1"/>
  <c r="H180" i="1"/>
  <c r="E181" i="1"/>
  <c r="F181" i="1"/>
  <c r="G181" i="1"/>
  <c r="H181" i="1"/>
  <c r="E182" i="1"/>
  <c r="F182" i="1"/>
  <c r="G182" i="1"/>
  <c r="H182" i="1"/>
  <c r="E183" i="1"/>
  <c r="F183" i="1"/>
  <c r="G183" i="1"/>
  <c r="H183" i="1"/>
  <c r="E184" i="1"/>
  <c r="F184" i="1"/>
  <c r="G184" i="1"/>
  <c r="H184" i="1"/>
  <c r="E185" i="1"/>
  <c r="F185" i="1"/>
  <c r="G185" i="1"/>
  <c r="H185" i="1"/>
  <c r="E186" i="1"/>
  <c r="F186" i="1"/>
  <c r="G186" i="1"/>
  <c r="H186" i="1"/>
  <c r="E187" i="1"/>
  <c r="F187" i="1"/>
  <c r="G187" i="1"/>
  <c r="H187" i="1"/>
  <c r="E188" i="1"/>
  <c r="F188" i="1"/>
  <c r="G188" i="1"/>
  <c r="H188" i="1"/>
  <c r="E189" i="1"/>
  <c r="F189" i="1"/>
  <c r="G189" i="1"/>
  <c r="H189" i="1"/>
  <c r="E190" i="1"/>
  <c r="F190" i="1"/>
  <c r="G190" i="1"/>
  <c r="H190" i="1"/>
  <c r="E191" i="1"/>
  <c r="F191" i="1"/>
  <c r="G191" i="1"/>
  <c r="H191" i="1"/>
  <c r="E192" i="1"/>
  <c r="F192" i="1"/>
  <c r="G192" i="1"/>
  <c r="H192" i="1"/>
  <c r="E193" i="1"/>
  <c r="F193" i="1"/>
  <c r="G193" i="1"/>
  <c r="H193" i="1"/>
  <c r="E194" i="1"/>
  <c r="F194" i="1"/>
  <c r="G194" i="1"/>
  <c r="H194" i="1"/>
  <c r="E195" i="1"/>
  <c r="F195" i="1"/>
  <c r="G195" i="1"/>
  <c r="H195" i="1"/>
  <c r="E196" i="1"/>
  <c r="F196" i="1"/>
  <c r="G196" i="1"/>
  <c r="H196" i="1"/>
  <c r="E197" i="1"/>
  <c r="F197" i="1"/>
  <c r="G197" i="1"/>
  <c r="H197" i="1"/>
  <c r="E198" i="1"/>
  <c r="F198" i="1"/>
  <c r="G198" i="1"/>
  <c r="H198" i="1"/>
  <c r="E199" i="1"/>
  <c r="F199" i="1"/>
  <c r="G199" i="1"/>
  <c r="H199" i="1"/>
  <c r="E200" i="1"/>
  <c r="F200" i="1"/>
  <c r="G200" i="1"/>
  <c r="H200" i="1"/>
  <c r="E201" i="1"/>
  <c r="F201" i="1"/>
  <c r="G201" i="1"/>
  <c r="H201" i="1"/>
  <c r="E202" i="1"/>
  <c r="F202" i="1"/>
  <c r="G202" i="1"/>
  <c r="H202" i="1"/>
  <c r="E203" i="1"/>
  <c r="F203" i="1"/>
  <c r="G203" i="1"/>
  <c r="H203" i="1"/>
  <c r="E204" i="1"/>
  <c r="F204" i="1"/>
  <c r="G204" i="1"/>
  <c r="H204" i="1"/>
  <c r="E205" i="1"/>
  <c r="F205" i="1"/>
  <c r="G205" i="1"/>
  <c r="H205" i="1"/>
  <c r="E206" i="1"/>
  <c r="F206" i="1"/>
  <c r="G206" i="1"/>
  <c r="H206" i="1"/>
  <c r="E207" i="1"/>
  <c r="F207" i="1"/>
  <c r="G207" i="1"/>
  <c r="H207" i="1"/>
  <c r="E208" i="1"/>
  <c r="F208" i="1"/>
  <c r="G208" i="1"/>
  <c r="H208" i="1"/>
  <c r="E209" i="1"/>
  <c r="F209" i="1"/>
  <c r="G209" i="1"/>
  <c r="H209" i="1"/>
  <c r="E210" i="1"/>
  <c r="F210" i="1"/>
  <c r="G210" i="1"/>
  <c r="H210" i="1"/>
  <c r="E211" i="1"/>
  <c r="F211" i="1"/>
  <c r="G211" i="1"/>
  <c r="H211" i="1"/>
  <c r="E212" i="1"/>
  <c r="F212" i="1"/>
  <c r="G212" i="1"/>
  <c r="H212" i="1"/>
  <c r="E213" i="1"/>
  <c r="F213" i="1"/>
  <c r="G213" i="1"/>
  <c r="H213" i="1"/>
  <c r="E214" i="1"/>
  <c r="F214" i="1"/>
  <c r="G214" i="1"/>
  <c r="H214" i="1"/>
  <c r="E215" i="1"/>
  <c r="F215" i="1"/>
  <c r="G215" i="1"/>
  <c r="H215" i="1"/>
  <c r="E216" i="1"/>
  <c r="F216" i="1"/>
  <c r="G216" i="1"/>
  <c r="H216" i="1"/>
  <c r="E217" i="1"/>
  <c r="F217" i="1"/>
  <c r="G217" i="1"/>
  <c r="H217" i="1"/>
  <c r="E218" i="1"/>
  <c r="F218" i="1"/>
  <c r="G218" i="1"/>
  <c r="H218" i="1"/>
  <c r="E219" i="1"/>
  <c r="F219" i="1"/>
  <c r="G219" i="1"/>
  <c r="H219" i="1"/>
  <c r="E220" i="1"/>
  <c r="F220" i="1"/>
  <c r="G220" i="1"/>
  <c r="H220" i="1"/>
  <c r="E221" i="1"/>
  <c r="F221" i="1"/>
  <c r="G221" i="1"/>
  <c r="H221" i="1"/>
  <c r="E222" i="1"/>
  <c r="F222" i="1"/>
  <c r="G222" i="1"/>
  <c r="H222" i="1"/>
  <c r="E223" i="1"/>
  <c r="F223" i="1"/>
  <c r="G223" i="1"/>
  <c r="H223" i="1"/>
  <c r="E224" i="1"/>
  <c r="F224" i="1"/>
  <c r="G224" i="1"/>
  <c r="H224" i="1"/>
  <c r="E225" i="1"/>
  <c r="F225" i="1"/>
  <c r="G225" i="1"/>
  <c r="H225" i="1"/>
  <c r="E226" i="1"/>
  <c r="F226" i="1"/>
  <c r="G226" i="1"/>
  <c r="H226" i="1"/>
  <c r="E227" i="1"/>
  <c r="F227" i="1"/>
  <c r="G227" i="1"/>
  <c r="H227" i="1"/>
  <c r="E228" i="1"/>
  <c r="F228" i="1"/>
  <c r="G228" i="1"/>
  <c r="H228" i="1"/>
  <c r="E229" i="1"/>
  <c r="F229" i="1"/>
  <c r="G229" i="1"/>
  <c r="H229" i="1"/>
  <c r="E230" i="1"/>
  <c r="F230" i="1"/>
  <c r="G230" i="1"/>
  <c r="H230" i="1"/>
  <c r="E231" i="1"/>
  <c r="F231" i="1"/>
  <c r="G231" i="1"/>
  <c r="H231" i="1"/>
  <c r="E232" i="1"/>
  <c r="F232" i="1"/>
  <c r="G232" i="1"/>
  <c r="H232" i="1"/>
  <c r="E233" i="1"/>
  <c r="F233" i="1"/>
  <c r="G233" i="1"/>
  <c r="H233" i="1"/>
  <c r="E234" i="1"/>
  <c r="F234" i="1"/>
  <c r="G234" i="1"/>
  <c r="H234" i="1"/>
  <c r="E235" i="1"/>
  <c r="F235" i="1"/>
  <c r="G235" i="1"/>
  <c r="H235" i="1"/>
  <c r="E236" i="1"/>
  <c r="F236" i="1"/>
  <c r="G236" i="1"/>
  <c r="H236" i="1"/>
  <c r="E237" i="1"/>
  <c r="F237" i="1"/>
  <c r="G237" i="1"/>
  <c r="H237" i="1"/>
  <c r="E238" i="1"/>
  <c r="F238" i="1"/>
  <c r="G238" i="1"/>
  <c r="H238" i="1"/>
  <c r="E239" i="1"/>
  <c r="F239" i="1"/>
  <c r="G239" i="1"/>
  <c r="H239" i="1"/>
  <c r="E240" i="1"/>
  <c r="F240" i="1"/>
  <c r="G240" i="1"/>
  <c r="H240" i="1"/>
  <c r="E241" i="1"/>
  <c r="F241" i="1"/>
  <c r="G241" i="1"/>
  <c r="H241" i="1"/>
  <c r="E242" i="1"/>
  <c r="F242" i="1"/>
  <c r="G242" i="1"/>
  <c r="H242" i="1"/>
  <c r="E243" i="1"/>
  <c r="F243" i="1"/>
  <c r="G243" i="1"/>
  <c r="H243" i="1"/>
  <c r="E244" i="1"/>
  <c r="F244" i="1"/>
  <c r="G244" i="1"/>
  <c r="H244" i="1"/>
  <c r="E245" i="1"/>
  <c r="F245" i="1"/>
  <c r="G245" i="1"/>
  <c r="H245" i="1"/>
  <c r="E246" i="1"/>
  <c r="F246" i="1"/>
  <c r="G246" i="1"/>
  <c r="H246" i="1"/>
  <c r="E247" i="1"/>
  <c r="F247" i="1"/>
  <c r="G247" i="1"/>
  <c r="H247" i="1"/>
  <c r="E248" i="1"/>
  <c r="F248" i="1"/>
  <c r="G248" i="1"/>
  <c r="H248" i="1"/>
  <c r="E249" i="1"/>
  <c r="F249" i="1"/>
  <c r="G249" i="1"/>
  <c r="H249" i="1"/>
  <c r="E250" i="1"/>
  <c r="F250" i="1"/>
  <c r="G250" i="1"/>
  <c r="H250" i="1"/>
  <c r="E251" i="1"/>
  <c r="F251" i="1"/>
  <c r="G251" i="1"/>
  <c r="H251" i="1"/>
  <c r="E252" i="1"/>
  <c r="F252" i="1"/>
  <c r="G252" i="1"/>
  <c r="H252" i="1"/>
  <c r="E253" i="1"/>
  <c r="F253" i="1"/>
  <c r="G253" i="1"/>
  <c r="H253" i="1"/>
  <c r="E254" i="1"/>
  <c r="F254" i="1"/>
  <c r="G254" i="1"/>
  <c r="H254" i="1"/>
  <c r="E255" i="1"/>
  <c r="F255" i="1"/>
  <c r="G255" i="1"/>
  <c r="H255" i="1"/>
  <c r="E256" i="1"/>
  <c r="F256" i="1"/>
  <c r="G256" i="1"/>
  <c r="H256" i="1"/>
  <c r="E257" i="1"/>
  <c r="F257" i="1"/>
  <c r="G257" i="1"/>
  <c r="H257" i="1"/>
  <c r="E258" i="1"/>
  <c r="F258" i="1"/>
  <c r="G258" i="1"/>
  <c r="H258" i="1"/>
  <c r="E259" i="1"/>
  <c r="F259" i="1"/>
  <c r="G259" i="1"/>
  <c r="H259" i="1"/>
  <c r="E260" i="1"/>
  <c r="F260" i="1"/>
  <c r="G260" i="1"/>
  <c r="H260" i="1"/>
  <c r="E261" i="1"/>
  <c r="F261" i="1"/>
  <c r="G261" i="1"/>
  <c r="H261" i="1"/>
  <c r="E262" i="1"/>
  <c r="F262" i="1"/>
  <c r="G262" i="1"/>
  <c r="H262" i="1"/>
  <c r="E263" i="1"/>
  <c r="F263" i="1"/>
  <c r="G263" i="1"/>
  <c r="H263" i="1"/>
  <c r="E264" i="1"/>
  <c r="F264" i="1"/>
  <c r="G264" i="1"/>
  <c r="H264" i="1"/>
  <c r="E265" i="1"/>
  <c r="F265" i="1"/>
  <c r="G265" i="1"/>
  <c r="H265" i="1"/>
  <c r="E266" i="1"/>
  <c r="F266" i="1"/>
  <c r="G266" i="1"/>
  <c r="H266" i="1"/>
  <c r="E267" i="1"/>
  <c r="F267" i="1"/>
  <c r="G267" i="1"/>
  <c r="H267" i="1"/>
  <c r="E268" i="1"/>
  <c r="F268" i="1"/>
  <c r="G268" i="1"/>
  <c r="H268" i="1"/>
  <c r="E269" i="1"/>
  <c r="F269" i="1"/>
  <c r="G269" i="1"/>
  <c r="H269" i="1"/>
  <c r="E270" i="1"/>
  <c r="F270" i="1"/>
  <c r="G270" i="1"/>
  <c r="H270" i="1"/>
  <c r="E271" i="1"/>
  <c r="F271" i="1"/>
  <c r="G271" i="1"/>
  <c r="H271" i="1"/>
  <c r="E272" i="1"/>
  <c r="F272" i="1"/>
  <c r="G272" i="1"/>
  <c r="H272" i="1"/>
  <c r="E273" i="1"/>
  <c r="F273" i="1"/>
  <c r="G273" i="1"/>
  <c r="H273" i="1"/>
  <c r="E274" i="1"/>
  <c r="F274" i="1"/>
  <c r="G274" i="1"/>
  <c r="H274" i="1"/>
  <c r="E275" i="1"/>
  <c r="F275" i="1"/>
  <c r="G275" i="1"/>
  <c r="H275" i="1"/>
  <c r="E276" i="1"/>
  <c r="F276" i="1"/>
  <c r="G276" i="1"/>
  <c r="H276" i="1"/>
  <c r="E277" i="1"/>
  <c r="F277" i="1"/>
  <c r="G277" i="1"/>
  <c r="H277" i="1"/>
  <c r="E278" i="1"/>
  <c r="F278" i="1"/>
  <c r="G278" i="1"/>
  <c r="H278" i="1"/>
  <c r="E279" i="1"/>
  <c r="F279" i="1"/>
  <c r="G279" i="1"/>
  <c r="H279" i="1"/>
  <c r="E280" i="1"/>
  <c r="F280" i="1"/>
  <c r="G280" i="1"/>
  <c r="H280" i="1"/>
  <c r="E281" i="1"/>
  <c r="F281" i="1"/>
  <c r="G281" i="1"/>
  <c r="H281" i="1"/>
  <c r="E282" i="1"/>
  <c r="F282" i="1"/>
  <c r="G282" i="1"/>
  <c r="H282" i="1"/>
  <c r="E283" i="1"/>
  <c r="F283" i="1"/>
  <c r="G283" i="1"/>
  <c r="H283" i="1"/>
  <c r="E284" i="1"/>
  <c r="F284" i="1"/>
  <c r="G284" i="1"/>
  <c r="H284" i="1"/>
  <c r="E285" i="1"/>
  <c r="F285" i="1"/>
  <c r="G285" i="1"/>
  <c r="H285" i="1"/>
  <c r="E286" i="1"/>
  <c r="F286" i="1"/>
  <c r="G286" i="1"/>
  <c r="H286" i="1"/>
  <c r="E287" i="1"/>
  <c r="F287" i="1"/>
  <c r="G287" i="1"/>
  <c r="H287" i="1"/>
  <c r="E288" i="1"/>
  <c r="F288" i="1"/>
  <c r="G288" i="1"/>
  <c r="H288" i="1"/>
  <c r="E289" i="1"/>
  <c r="F289" i="1"/>
  <c r="G289" i="1"/>
  <c r="H289" i="1"/>
  <c r="E290" i="1"/>
  <c r="F290" i="1"/>
  <c r="G290" i="1"/>
  <c r="H290" i="1"/>
  <c r="E291" i="1"/>
  <c r="F291" i="1"/>
  <c r="G291" i="1"/>
  <c r="H291" i="1"/>
  <c r="E292" i="1"/>
  <c r="F292" i="1"/>
  <c r="G292" i="1"/>
  <c r="H292" i="1"/>
  <c r="E293" i="1"/>
  <c r="F293" i="1"/>
  <c r="G293" i="1"/>
  <c r="H293" i="1"/>
  <c r="E294" i="1"/>
  <c r="F294" i="1"/>
  <c r="G294" i="1"/>
  <c r="H294" i="1"/>
  <c r="E295" i="1"/>
  <c r="F295" i="1"/>
  <c r="G295" i="1"/>
  <c r="H295" i="1"/>
  <c r="E296" i="1"/>
  <c r="F296" i="1"/>
  <c r="G296" i="1"/>
  <c r="H296" i="1"/>
  <c r="E297" i="1"/>
  <c r="F297" i="1"/>
  <c r="G297" i="1"/>
  <c r="H297" i="1"/>
  <c r="E298" i="1"/>
  <c r="F298" i="1"/>
  <c r="G298" i="1"/>
  <c r="H298" i="1"/>
  <c r="E299" i="1"/>
  <c r="F299" i="1"/>
  <c r="G299" i="1"/>
  <c r="H299" i="1"/>
  <c r="E300" i="1"/>
  <c r="F300" i="1"/>
  <c r="G300" i="1"/>
  <c r="H300" i="1"/>
  <c r="E301" i="1"/>
  <c r="F301" i="1"/>
  <c r="G301" i="1"/>
  <c r="H301" i="1"/>
  <c r="E302" i="1"/>
  <c r="F302" i="1"/>
  <c r="G302" i="1"/>
  <c r="H302" i="1"/>
  <c r="E303" i="1"/>
  <c r="F303" i="1"/>
  <c r="G303" i="1"/>
  <c r="H303" i="1"/>
  <c r="E304" i="1"/>
  <c r="F304" i="1"/>
  <c r="G304" i="1"/>
  <c r="H304" i="1"/>
  <c r="E305" i="1"/>
  <c r="F305" i="1"/>
  <c r="G305" i="1"/>
  <c r="H305" i="1"/>
  <c r="E306" i="1"/>
  <c r="F306" i="1"/>
  <c r="G306" i="1"/>
  <c r="H306" i="1"/>
  <c r="E307" i="1"/>
  <c r="F307" i="1"/>
  <c r="G307" i="1"/>
  <c r="H307" i="1"/>
  <c r="E308" i="1"/>
  <c r="F308" i="1"/>
  <c r="G308" i="1"/>
  <c r="H308" i="1"/>
  <c r="E309" i="1"/>
  <c r="F309" i="1"/>
  <c r="G309" i="1"/>
  <c r="H309" i="1"/>
  <c r="E310" i="1"/>
  <c r="F310" i="1"/>
  <c r="G310" i="1"/>
  <c r="H310" i="1"/>
  <c r="E311" i="1"/>
  <c r="F311" i="1"/>
  <c r="G311" i="1"/>
  <c r="H311" i="1"/>
  <c r="E312" i="1"/>
  <c r="F312" i="1"/>
  <c r="G312" i="1"/>
  <c r="H312" i="1"/>
  <c r="E313" i="1"/>
  <c r="F313" i="1"/>
  <c r="G313" i="1"/>
  <c r="H313" i="1"/>
  <c r="E314" i="1"/>
  <c r="F314" i="1"/>
  <c r="G314" i="1"/>
  <c r="H314" i="1"/>
  <c r="E315" i="1"/>
  <c r="F315" i="1"/>
  <c r="G315" i="1"/>
  <c r="H315" i="1"/>
  <c r="E316" i="1"/>
  <c r="F316" i="1"/>
  <c r="G316" i="1"/>
  <c r="H316" i="1"/>
  <c r="E317" i="1"/>
  <c r="F317" i="1"/>
  <c r="G317" i="1"/>
  <c r="H317" i="1"/>
  <c r="E318" i="1"/>
  <c r="F318" i="1"/>
  <c r="G318" i="1"/>
  <c r="H318" i="1"/>
  <c r="E319" i="1"/>
  <c r="F319" i="1"/>
  <c r="G319" i="1"/>
  <c r="H319" i="1"/>
  <c r="E320" i="1"/>
  <c r="F320" i="1"/>
  <c r="G320" i="1"/>
  <c r="H320" i="1"/>
  <c r="E321" i="1"/>
  <c r="F321" i="1"/>
  <c r="G321" i="1"/>
  <c r="H321" i="1"/>
  <c r="E322" i="1"/>
  <c r="F322" i="1"/>
  <c r="G322" i="1"/>
  <c r="H322" i="1"/>
  <c r="E323" i="1"/>
  <c r="F323" i="1"/>
  <c r="G323" i="1"/>
  <c r="H323" i="1"/>
  <c r="E324" i="1"/>
  <c r="F324" i="1"/>
  <c r="G324" i="1"/>
  <c r="H324" i="1"/>
  <c r="E325" i="1"/>
  <c r="F325" i="1"/>
  <c r="G325" i="1"/>
  <c r="H325" i="1"/>
  <c r="E326" i="1"/>
  <c r="F326" i="1"/>
  <c r="G326" i="1"/>
  <c r="H326" i="1"/>
  <c r="E327" i="1"/>
  <c r="F327" i="1"/>
  <c r="G327" i="1"/>
  <c r="H327" i="1"/>
  <c r="E328" i="1"/>
  <c r="F328" i="1"/>
  <c r="G328" i="1"/>
  <c r="H328" i="1"/>
  <c r="E329" i="1"/>
  <c r="F329" i="1"/>
  <c r="G329" i="1"/>
  <c r="H329" i="1"/>
  <c r="E330" i="1"/>
  <c r="F330" i="1"/>
  <c r="G330" i="1"/>
  <c r="H330" i="1"/>
  <c r="E331" i="1"/>
  <c r="F331" i="1"/>
  <c r="G331" i="1"/>
  <c r="H331" i="1"/>
  <c r="E332" i="1"/>
  <c r="F332" i="1"/>
  <c r="G332" i="1"/>
  <c r="H332" i="1"/>
  <c r="E333" i="1"/>
  <c r="F333" i="1"/>
  <c r="G333" i="1"/>
  <c r="H333" i="1"/>
  <c r="E334" i="1"/>
  <c r="F334" i="1"/>
  <c r="G334" i="1"/>
  <c r="H334" i="1"/>
  <c r="E335" i="1"/>
  <c r="F335" i="1"/>
  <c r="G335" i="1"/>
  <c r="H335" i="1"/>
  <c r="E336" i="1"/>
  <c r="F336" i="1"/>
  <c r="G336" i="1"/>
  <c r="H336" i="1"/>
  <c r="E337" i="1"/>
  <c r="F337" i="1"/>
  <c r="G337" i="1"/>
  <c r="H337" i="1"/>
  <c r="E338" i="1"/>
  <c r="F338" i="1"/>
  <c r="G338" i="1"/>
  <c r="H338" i="1"/>
  <c r="E339" i="1"/>
  <c r="F339" i="1"/>
  <c r="G339" i="1"/>
  <c r="H339" i="1"/>
  <c r="E340" i="1"/>
  <c r="F340" i="1"/>
  <c r="G340" i="1"/>
  <c r="H340" i="1"/>
  <c r="E341" i="1"/>
  <c r="F341" i="1"/>
  <c r="G341" i="1"/>
  <c r="H341" i="1"/>
  <c r="E342" i="1"/>
  <c r="F342" i="1"/>
  <c r="G342" i="1"/>
  <c r="H342" i="1"/>
  <c r="E343" i="1"/>
  <c r="F343" i="1"/>
  <c r="G343" i="1"/>
  <c r="H343" i="1"/>
  <c r="E344" i="1"/>
  <c r="F344" i="1"/>
  <c r="G344" i="1"/>
  <c r="H344" i="1"/>
  <c r="E345" i="1"/>
  <c r="F345" i="1"/>
  <c r="G345" i="1"/>
  <c r="H345" i="1"/>
  <c r="E346" i="1"/>
  <c r="F346" i="1"/>
  <c r="G346" i="1"/>
  <c r="H346" i="1"/>
  <c r="E347" i="1"/>
  <c r="F347" i="1"/>
  <c r="G347" i="1"/>
  <c r="H347" i="1"/>
  <c r="E348" i="1"/>
  <c r="F348" i="1"/>
  <c r="G348" i="1"/>
  <c r="H348" i="1"/>
  <c r="E349" i="1"/>
  <c r="F349" i="1"/>
  <c r="G349" i="1"/>
  <c r="H349" i="1"/>
  <c r="E350" i="1"/>
  <c r="F350" i="1"/>
  <c r="G350" i="1"/>
  <c r="H350" i="1"/>
  <c r="E351" i="1"/>
  <c r="F351" i="1"/>
  <c r="G351" i="1"/>
  <c r="H351" i="1"/>
  <c r="E352" i="1"/>
  <c r="F352" i="1"/>
  <c r="G352" i="1"/>
  <c r="H352" i="1"/>
  <c r="E353" i="1"/>
  <c r="F353" i="1"/>
  <c r="G353" i="1"/>
  <c r="H353" i="1"/>
  <c r="E354" i="1"/>
  <c r="F354" i="1"/>
  <c r="G354" i="1"/>
  <c r="H354" i="1"/>
  <c r="E355" i="1"/>
  <c r="F355" i="1"/>
  <c r="G355" i="1"/>
  <c r="H355" i="1"/>
  <c r="E356" i="1"/>
  <c r="F356" i="1"/>
  <c r="G356" i="1"/>
  <c r="H356" i="1"/>
  <c r="E357" i="1"/>
  <c r="F357" i="1"/>
  <c r="G357" i="1"/>
  <c r="H357" i="1"/>
  <c r="E358" i="1"/>
  <c r="F358" i="1"/>
  <c r="G358" i="1"/>
  <c r="H358" i="1"/>
  <c r="E359" i="1"/>
  <c r="F359" i="1"/>
  <c r="G359" i="1"/>
  <c r="H359" i="1"/>
  <c r="E360" i="1"/>
  <c r="F360" i="1"/>
  <c r="G360" i="1"/>
  <c r="H360" i="1"/>
  <c r="E361" i="1"/>
  <c r="F361" i="1"/>
  <c r="G361" i="1"/>
  <c r="H361" i="1"/>
  <c r="E362" i="1"/>
  <c r="F362" i="1"/>
  <c r="G362" i="1"/>
  <c r="H362" i="1"/>
  <c r="E363" i="1"/>
  <c r="F363" i="1"/>
  <c r="G363" i="1"/>
  <c r="H363" i="1"/>
  <c r="E364" i="1"/>
  <c r="F364" i="1"/>
  <c r="G364" i="1"/>
  <c r="H364" i="1"/>
  <c r="E365" i="1"/>
  <c r="F365" i="1"/>
  <c r="G365" i="1"/>
  <c r="H365" i="1"/>
  <c r="E366" i="1"/>
  <c r="F366" i="1"/>
  <c r="G366" i="1"/>
  <c r="H366" i="1"/>
  <c r="E367" i="1"/>
  <c r="F367" i="1"/>
  <c r="G367" i="1"/>
  <c r="H367" i="1"/>
  <c r="E368" i="1"/>
  <c r="F368" i="1"/>
  <c r="G368" i="1"/>
  <c r="H368" i="1"/>
  <c r="E369" i="1"/>
  <c r="F369" i="1"/>
  <c r="G369" i="1"/>
  <c r="H369" i="1"/>
  <c r="E370" i="1"/>
  <c r="F370" i="1"/>
  <c r="G370" i="1"/>
  <c r="H370" i="1"/>
  <c r="E371" i="1"/>
  <c r="F371" i="1"/>
  <c r="G371" i="1"/>
  <c r="H371" i="1"/>
  <c r="E372" i="1"/>
  <c r="F372" i="1"/>
  <c r="G372" i="1"/>
  <c r="H372" i="1"/>
  <c r="E373" i="1"/>
  <c r="F373" i="1"/>
  <c r="G373" i="1"/>
  <c r="H373" i="1"/>
  <c r="E374" i="1"/>
  <c r="F374" i="1"/>
  <c r="G374" i="1"/>
  <c r="H374" i="1"/>
  <c r="E375" i="1"/>
  <c r="F375" i="1"/>
  <c r="G375" i="1"/>
  <c r="H375" i="1"/>
  <c r="E376" i="1"/>
  <c r="F376" i="1"/>
  <c r="G376" i="1"/>
  <c r="H376" i="1"/>
  <c r="E377" i="1"/>
  <c r="F377" i="1"/>
  <c r="G377" i="1"/>
  <c r="H377" i="1"/>
  <c r="E378" i="1"/>
  <c r="F378" i="1"/>
  <c r="G378" i="1"/>
  <c r="H378" i="1"/>
  <c r="E379" i="1"/>
  <c r="F379" i="1"/>
  <c r="G379" i="1"/>
  <c r="H379" i="1"/>
  <c r="E380" i="1"/>
  <c r="F380" i="1"/>
  <c r="G380" i="1"/>
  <c r="H380" i="1"/>
  <c r="E381" i="1"/>
  <c r="F381" i="1"/>
  <c r="G381" i="1"/>
  <c r="H381" i="1"/>
  <c r="E382" i="1"/>
  <c r="F382" i="1"/>
  <c r="G382" i="1"/>
  <c r="H382" i="1"/>
  <c r="E383" i="1"/>
  <c r="F383" i="1"/>
  <c r="G383" i="1"/>
  <c r="H383" i="1"/>
  <c r="E384" i="1"/>
  <c r="F384" i="1"/>
  <c r="G384" i="1"/>
  <c r="H384" i="1"/>
  <c r="E385" i="1"/>
  <c r="F385" i="1"/>
  <c r="G385" i="1"/>
  <c r="H385" i="1"/>
  <c r="E386" i="1"/>
  <c r="F386" i="1"/>
  <c r="G386" i="1"/>
  <c r="H386" i="1"/>
  <c r="E387" i="1"/>
  <c r="F387" i="1"/>
  <c r="G387" i="1"/>
  <c r="H387" i="1"/>
  <c r="E388" i="1"/>
  <c r="F388" i="1"/>
  <c r="G388" i="1"/>
  <c r="H388" i="1"/>
  <c r="E389" i="1"/>
  <c r="F389" i="1"/>
  <c r="G389" i="1"/>
  <c r="H389" i="1"/>
  <c r="E390" i="1"/>
  <c r="F390" i="1"/>
  <c r="G390" i="1"/>
  <c r="H390" i="1"/>
  <c r="E391" i="1"/>
  <c r="F391" i="1"/>
  <c r="G391" i="1"/>
  <c r="H391" i="1"/>
  <c r="E392" i="1"/>
  <c r="F392" i="1"/>
  <c r="G392" i="1"/>
  <c r="H392" i="1"/>
  <c r="E393" i="1"/>
  <c r="F393" i="1"/>
  <c r="G393" i="1"/>
  <c r="H393" i="1"/>
  <c r="E394" i="1"/>
  <c r="F394" i="1"/>
  <c r="G394" i="1"/>
  <c r="H394" i="1"/>
  <c r="E395" i="1"/>
  <c r="F395" i="1"/>
  <c r="G395" i="1"/>
  <c r="H395" i="1"/>
  <c r="E396" i="1"/>
  <c r="F396" i="1"/>
  <c r="G396" i="1"/>
  <c r="H396" i="1"/>
  <c r="E397" i="1"/>
  <c r="F397" i="1"/>
  <c r="G397" i="1"/>
  <c r="H397" i="1"/>
  <c r="E398" i="1"/>
  <c r="F398" i="1"/>
  <c r="G398" i="1"/>
  <c r="H398" i="1"/>
  <c r="E399" i="1"/>
  <c r="F399" i="1"/>
  <c r="G399" i="1"/>
  <c r="H399" i="1"/>
  <c r="E400" i="1"/>
  <c r="F400" i="1"/>
  <c r="G400" i="1"/>
  <c r="H400" i="1"/>
  <c r="E401" i="1"/>
  <c r="F401" i="1"/>
  <c r="G401" i="1"/>
  <c r="H401" i="1"/>
  <c r="E402" i="1"/>
  <c r="F402" i="1"/>
  <c r="G402" i="1"/>
  <c r="H402" i="1"/>
  <c r="E403" i="1"/>
  <c r="F403" i="1"/>
  <c r="G403" i="1"/>
  <c r="H403" i="1"/>
  <c r="E404" i="1"/>
  <c r="F404" i="1"/>
  <c r="G404" i="1"/>
  <c r="H404" i="1"/>
  <c r="E405" i="1"/>
  <c r="F405" i="1"/>
  <c r="G405" i="1"/>
  <c r="H405" i="1"/>
  <c r="E406" i="1"/>
  <c r="F406" i="1"/>
  <c r="G406" i="1"/>
  <c r="H406" i="1"/>
  <c r="E407" i="1"/>
  <c r="F407" i="1"/>
  <c r="G407" i="1"/>
  <c r="H407" i="1"/>
  <c r="E408" i="1"/>
  <c r="F408" i="1"/>
  <c r="G408" i="1"/>
  <c r="H408" i="1"/>
  <c r="E409" i="1"/>
  <c r="F409" i="1"/>
  <c r="G409" i="1"/>
  <c r="H409" i="1"/>
  <c r="E410" i="1"/>
  <c r="F410" i="1"/>
  <c r="G410" i="1"/>
  <c r="H410" i="1"/>
  <c r="E411" i="1"/>
  <c r="F411" i="1"/>
  <c r="G411" i="1"/>
  <c r="H411" i="1"/>
  <c r="E412" i="1"/>
  <c r="F412" i="1"/>
  <c r="G412" i="1"/>
  <c r="H412" i="1"/>
  <c r="E413" i="1"/>
  <c r="F413" i="1"/>
  <c r="G413" i="1"/>
  <c r="H413" i="1"/>
  <c r="E414" i="1"/>
  <c r="F414" i="1"/>
  <c r="G414" i="1"/>
  <c r="H414" i="1"/>
  <c r="E415" i="1"/>
  <c r="F415" i="1"/>
  <c r="G415" i="1"/>
  <c r="H415" i="1"/>
  <c r="E416" i="1"/>
  <c r="F416" i="1"/>
  <c r="G416" i="1"/>
  <c r="H416" i="1"/>
  <c r="E417" i="1"/>
  <c r="F417" i="1"/>
  <c r="G417" i="1"/>
  <c r="H417" i="1"/>
  <c r="E418" i="1"/>
  <c r="F418" i="1"/>
  <c r="G418" i="1"/>
  <c r="H418" i="1"/>
  <c r="E419" i="1"/>
  <c r="F419" i="1"/>
  <c r="G419" i="1"/>
  <c r="H419" i="1"/>
  <c r="E420" i="1"/>
  <c r="F420" i="1"/>
  <c r="G420" i="1"/>
  <c r="H420" i="1"/>
  <c r="E421" i="1"/>
  <c r="F421" i="1"/>
  <c r="G421" i="1"/>
  <c r="H421" i="1"/>
  <c r="E422" i="1"/>
  <c r="F422" i="1"/>
  <c r="G422" i="1"/>
  <c r="H422" i="1"/>
  <c r="E423" i="1"/>
  <c r="F423" i="1"/>
  <c r="G423" i="1"/>
  <c r="H423" i="1"/>
  <c r="E424" i="1"/>
  <c r="F424" i="1"/>
  <c r="G424" i="1"/>
  <c r="H424" i="1"/>
  <c r="E425" i="1"/>
  <c r="F425" i="1"/>
  <c r="G425" i="1"/>
  <c r="H425" i="1"/>
  <c r="E426" i="1"/>
  <c r="F426" i="1"/>
  <c r="G426" i="1"/>
  <c r="H426" i="1"/>
  <c r="E427" i="1"/>
  <c r="F427" i="1"/>
  <c r="G427" i="1"/>
  <c r="H427" i="1"/>
  <c r="E428" i="1"/>
  <c r="F428" i="1"/>
  <c r="G428" i="1"/>
  <c r="H428" i="1"/>
  <c r="E429" i="1"/>
  <c r="F429" i="1"/>
  <c r="G429" i="1"/>
  <c r="H429" i="1"/>
  <c r="E430" i="1"/>
  <c r="F430" i="1"/>
  <c r="G430" i="1"/>
  <c r="H430" i="1"/>
  <c r="E431" i="1"/>
  <c r="F431" i="1"/>
  <c r="G431" i="1"/>
  <c r="H431" i="1"/>
  <c r="E432" i="1"/>
  <c r="F432" i="1"/>
  <c r="G432" i="1"/>
  <c r="H432" i="1"/>
  <c r="E433" i="1"/>
  <c r="F433" i="1"/>
  <c r="G433" i="1"/>
  <c r="H433" i="1"/>
  <c r="E434" i="1"/>
  <c r="F434" i="1"/>
  <c r="G434" i="1"/>
  <c r="H434" i="1"/>
  <c r="E435" i="1"/>
  <c r="F435" i="1"/>
  <c r="G435" i="1"/>
  <c r="H435" i="1"/>
  <c r="E436" i="1"/>
  <c r="F436" i="1"/>
  <c r="G436" i="1"/>
  <c r="H436" i="1"/>
  <c r="E437" i="1"/>
  <c r="F437" i="1"/>
  <c r="G437" i="1"/>
  <c r="H437" i="1"/>
  <c r="E438" i="1"/>
  <c r="F438" i="1"/>
  <c r="G438" i="1"/>
  <c r="H438" i="1"/>
  <c r="E439" i="1"/>
  <c r="F439" i="1"/>
  <c r="G439" i="1"/>
  <c r="H439" i="1"/>
  <c r="E440" i="1"/>
  <c r="F440" i="1"/>
  <c r="G440" i="1"/>
  <c r="H440" i="1"/>
  <c r="E441" i="1"/>
  <c r="F441" i="1"/>
  <c r="G441" i="1"/>
  <c r="H441" i="1"/>
  <c r="E442" i="1"/>
  <c r="F442" i="1"/>
  <c r="G442" i="1"/>
  <c r="H442" i="1"/>
  <c r="E443" i="1"/>
  <c r="F443" i="1"/>
  <c r="G443" i="1"/>
  <c r="H443" i="1"/>
  <c r="E444" i="1"/>
  <c r="F444" i="1"/>
  <c r="G444" i="1"/>
  <c r="H444" i="1"/>
  <c r="E445" i="1"/>
  <c r="F445" i="1"/>
  <c r="G445" i="1"/>
  <c r="H445" i="1"/>
  <c r="E446" i="1"/>
  <c r="F446" i="1"/>
  <c r="G446" i="1"/>
  <c r="H446" i="1"/>
  <c r="E447" i="1"/>
  <c r="F447" i="1"/>
  <c r="G447" i="1"/>
  <c r="H447" i="1"/>
  <c r="E448" i="1"/>
  <c r="F448" i="1"/>
  <c r="G448" i="1"/>
  <c r="H448" i="1"/>
  <c r="E449" i="1"/>
  <c r="F449" i="1"/>
  <c r="G449" i="1"/>
  <c r="H449" i="1"/>
  <c r="E450" i="1"/>
  <c r="F450" i="1"/>
  <c r="G450" i="1"/>
  <c r="H450" i="1"/>
  <c r="E451" i="1"/>
  <c r="F451" i="1"/>
  <c r="G451" i="1"/>
  <c r="H451" i="1"/>
  <c r="E452" i="1"/>
  <c r="F452" i="1"/>
  <c r="G452" i="1"/>
  <c r="H452" i="1"/>
  <c r="E453" i="1"/>
  <c r="F453" i="1"/>
  <c r="G453" i="1"/>
  <c r="H453" i="1"/>
  <c r="E454" i="1"/>
  <c r="F454" i="1"/>
  <c r="G454" i="1"/>
  <c r="H454" i="1"/>
  <c r="E455" i="1"/>
  <c r="F455" i="1"/>
  <c r="G455" i="1"/>
  <c r="H455" i="1"/>
  <c r="E456" i="1"/>
  <c r="F456" i="1"/>
  <c r="G456" i="1"/>
  <c r="H456" i="1"/>
  <c r="E457" i="1"/>
  <c r="F457" i="1"/>
  <c r="G457" i="1"/>
  <c r="H457" i="1"/>
  <c r="E458" i="1"/>
  <c r="F458" i="1"/>
  <c r="G458" i="1"/>
  <c r="H458" i="1"/>
  <c r="E459" i="1"/>
  <c r="F459" i="1"/>
  <c r="G459" i="1"/>
  <c r="H459" i="1"/>
  <c r="E460" i="1"/>
  <c r="F460" i="1"/>
  <c r="G460" i="1"/>
  <c r="H460" i="1"/>
  <c r="E461" i="1"/>
  <c r="F461" i="1"/>
  <c r="G461" i="1"/>
  <c r="H461" i="1"/>
  <c r="E462" i="1"/>
  <c r="F462" i="1"/>
  <c r="G462" i="1"/>
  <c r="H462" i="1"/>
  <c r="E463" i="1"/>
  <c r="F463" i="1"/>
  <c r="G463" i="1"/>
  <c r="H463" i="1"/>
  <c r="E464" i="1"/>
  <c r="F464" i="1"/>
  <c r="G464" i="1"/>
  <c r="H464" i="1"/>
  <c r="E465" i="1"/>
  <c r="F465" i="1"/>
  <c r="G465" i="1"/>
  <c r="H465" i="1"/>
  <c r="E466" i="1"/>
  <c r="F466" i="1"/>
  <c r="G466" i="1"/>
  <c r="H466" i="1"/>
  <c r="E467" i="1"/>
  <c r="F467" i="1"/>
  <c r="G467" i="1"/>
  <c r="H467" i="1"/>
  <c r="E468" i="1"/>
  <c r="F468" i="1"/>
  <c r="G468" i="1"/>
  <c r="H468" i="1"/>
  <c r="E469" i="1"/>
  <c r="F469" i="1"/>
  <c r="G469" i="1"/>
  <c r="H469" i="1"/>
  <c r="E470" i="1"/>
  <c r="F470" i="1"/>
  <c r="G470" i="1"/>
  <c r="H470" i="1"/>
  <c r="E471" i="1"/>
  <c r="F471" i="1"/>
  <c r="G471" i="1"/>
  <c r="H471" i="1"/>
  <c r="E472" i="1"/>
  <c r="F472" i="1"/>
  <c r="G472" i="1"/>
  <c r="H472" i="1"/>
  <c r="E473" i="1"/>
  <c r="F473" i="1"/>
  <c r="G473" i="1"/>
  <c r="H473" i="1"/>
  <c r="E474" i="1"/>
  <c r="F474" i="1"/>
  <c r="G474" i="1"/>
  <c r="H474" i="1"/>
  <c r="E475" i="1"/>
  <c r="F475" i="1"/>
  <c r="G475" i="1"/>
  <c r="H475" i="1"/>
  <c r="E476" i="1"/>
  <c r="F476" i="1"/>
  <c r="G476" i="1"/>
  <c r="H476" i="1"/>
  <c r="E477" i="1"/>
  <c r="F477" i="1"/>
  <c r="G477" i="1"/>
  <c r="H477" i="1"/>
  <c r="E478" i="1"/>
  <c r="F478" i="1"/>
  <c r="G478" i="1"/>
  <c r="H478" i="1"/>
  <c r="E479" i="1"/>
  <c r="F479" i="1"/>
  <c r="G479" i="1"/>
  <c r="H479" i="1"/>
  <c r="E480" i="1"/>
  <c r="F480" i="1"/>
  <c r="G480" i="1"/>
  <c r="H480" i="1"/>
  <c r="E481" i="1"/>
  <c r="F481" i="1"/>
  <c r="G481" i="1"/>
  <c r="H481" i="1"/>
  <c r="E482" i="1"/>
  <c r="F482" i="1"/>
  <c r="G482" i="1"/>
  <c r="H482" i="1"/>
  <c r="E483" i="1"/>
  <c r="F483" i="1"/>
  <c r="G483" i="1"/>
  <c r="H483" i="1"/>
  <c r="E484" i="1"/>
  <c r="F484" i="1"/>
  <c r="G484" i="1"/>
  <c r="H484" i="1"/>
  <c r="E485" i="1"/>
  <c r="F485" i="1"/>
  <c r="G485" i="1"/>
  <c r="H485" i="1"/>
  <c r="E486" i="1"/>
  <c r="F486" i="1"/>
  <c r="G486" i="1"/>
  <c r="H486" i="1"/>
  <c r="E487" i="1"/>
  <c r="F487" i="1"/>
  <c r="G487" i="1"/>
  <c r="H487" i="1"/>
  <c r="E488" i="1"/>
  <c r="F488" i="1"/>
  <c r="G488" i="1"/>
  <c r="H488" i="1"/>
  <c r="E489" i="1"/>
  <c r="F489" i="1"/>
  <c r="G489" i="1"/>
  <c r="H489" i="1"/>
  <c r="E490" i="1"/>
  <c r="F490" i="1"/>
  <c r="G490" i="1"/>
  <c r="H490" i="1"/>
  <c r="E491" i="1"/>
  <c r="F491" i="1"/>
  <c r="G491" i="1"/>
  <c r="H491" i="1"/>
  <c r="E492" i="1"/>
  <c r="F492" i="1"/>
  <c r="G492" i="1"/>
  <c r="H492" i="1"/>
  <c r="E493" i="1"/>
  <c r="F493" i="1"/>
  <c r="G493" i="1"/>
  <c r="H493" i="1"/>
  <c r="E494" i="1"/>
  <c r="F494" i="1"/>
  <c r="G494" i="1"/>
  <c r="H494" i="1"/>
  <c r="E495" i="1"/>
  <c r="F495" i="1"/>
  <c r="G495" i="1"/>
  <c r="H495" i="1"/>
  <c r="E496" i="1"/>
  <c r="F496" i="1"/>
  <c r="G496" i="1"/>
  <c r="H496" i="1"/>
  <c r="E497" i="1"/>
  <c r="F497" i="1"/>
  <c r="G497" i="1"/>
  <c r="H497" i="1"/>
  <c r="E498" i="1"/>
  <c r="F498" i="1"/>
  <c r="G498" i="1"/>
  <c r="H498" i="1"/>
  <c r="E499" i="1"/>
  <c r="F499" i="1"/>
  <c r="G499" i="1"/>
  <c r="H499" i="1"/>
  <c r="E500" i="1"/>
  <c r="F500" i="1"/>
  <c r="G500" i="1"/>
  <c r="H500" i="1"/>
  <c r="E501" i="1"/>
  <c r="F501" i="1"/>
  <c r="G501" i="1"/>
  <c r="H501" i="1"/>
  <c r="E502" i="1"/>
  <c r="F502" i="1"/>
  <c r="G502" i="1"/>
  <c r="H502" i="1"/>
  <c r="E503" i="1"/>
  <c r="F503" i="1"/>
  <c r="G503" i="1"/>
  <c r="H503" i="1"/>
  <c r="E504" i="1"/>
  <c r="F504" i="1"/>
  <c r="G504" i="1"/>
  <c r="H504" i="1"/>
  <c r="E505" i="1"/>
  <c r="F505" i="1"/>
  <c r="G505" i="1"/>
  <c r="H505" i="1"/>
  <c r="E506" i="1"/>
  <c r="F506" i="1"/>
  <c r="G506" i="1"/>
  <c r="H506" i="1"/>
  <c r="E507" i="1"/>
  <c r="F507" i="1"/>
  <c r="G507" i="1"/>
  <c r="H507" i="1"/>
  <c r="E508" i="1"/>
  <c r="F508" i="1"/>
  <c r="G508" i="1"/>
  <c r="H508" i="1"/>
  <c r="E509" i="1"/>
  <c r="F509" i="1"/>
  <c r="G509" i="1"/>
  <c r="H509" i="1"/>
  <c r="E510" i="1"/>
  <c r="F510" i="1"/>
  <c r="G510" i="1"/>
  <c r="H510" i="1"/>
  <c r="E511" i="1"/>
  <c r="F511" i="1"/>
  <c r="G511" i="1"/>
  <c r="H511" i="1"/>
  <c r="E512" i="1"/>
  <c r="F512" i="1"/>
  <c r="G512" i="1"/>
  <c r="H512" i="1"/>
  <c r="E513" i="1"/>
  <c r="F513" i="1"/>
  <c r="G513" i="1"/>
  <c r="H513" i="1"/>
  <c r="E514" i="1"/>
  <c r="F514" i="1"/>
  <c r="G514" i="1"/>
  <c r="H514" i="1"/>
  <c r="E515" i="1"/>
  <c r="F515" i="1"/>
  <c r="G515" i="1"/>
  <c r="H515" i="1"/>
  <c r="E516" i="1"/>
  <c r="F516" i="1"/>
  <c r="G516" i="1"/>
  <c r="H516" i="1"/>
  <c r="E517" i="1"/>
  <c r="F517" i="1"/>
  <c r="G517" i="1"/>
  <c r="H517" i="1"/>
  <c r="E518" i="1"/>
  <c r="F518" i="1"/>
  <c r="G518" i="1"/>
  <c r="H518" i="1"/>
  <c r="E519" i="1"/>
  <c r="F519" i="1"/>
  <c r="G519" i="1"/>
  <c r="H519" i="1"/>
  <c r="E520" i="1"/>
  <c r="F520" i="1"/>
  <c r="G520" i="1"/>
  <c r="H520" i="1"/>
  <c r="E521" i="1"/>
  <c r="F521" i="1"/>
  <c r="G521" i="1"/>
  <c r="H521" i="1"/>
  <c r="E522" i="1"/>
  <c r="F522" i="1"/>
  <c r="G522" i="1"/>
  <c r="H522" i="1"/>
  <c r="E523" i="1"/>
  <c r="F523" i="1"/>
  <c r="G523" i="1"/>
  <c r="H523" i="1"/>
  <c r="E524" i="1"/>
  <c r="F524" i="1"/>
  <c r="G524" i="1"/>
  <c r="H524" i="1"/>
  <c r="E525" i="1"/>
  <c r="F525" i="1"/>
  <c r="G525" i="1"/>
  <c r="H525" i="1"/>
  <c r="E526" i="1"/>
  <c r="F526" i="1"/>
  <c r="G526" i="1"/>
  <c r="H526" i="1"/>
  <c r="E527" i="1"/>
  <c r="F527" i="1"/>
  <c r="G527" i="1"/>
  <c r="H527" i="1"/>
  <c r="E528" i="1"/>
  <c r="F528" i="1"/>
  <c r="G528" i="1"/>
  <c r="H528" i="1"/>
  <c r="E529" i="1"/>
  <c r="F529" i="1"/>
  <c r="G529" i="1"/>
  <c r="H529" i="1"/>
  <c r="E530" i="1"/>
  <c r="F530" i="1"/>
  <c r="G530" i="1"/>
  <c r="H530" i="1"/>
  <c r="E531" i="1"/>
  <c r="F531" i="1"/>
  <c r="G531" i="1"/>
  <c r="H531" i="1"/>
  <c r="E532" i="1"/>
  <c r="F532" i="1"/>
  <c r="G532" i="1"/>
  <c r="H532" i="1"/>
  <c r="E533" i="1"/>
  <c r="F533" i="1"/>
  <c r="G533" i="1"/>
  <c r="H533" i="1"/>
  <c r="E534" i="1"/>
  <c r="F534" i="1"/>
  <c r="G534" i="1"/>
  <c r="H534" i="1"/>
  <c r="E535" i="1"/>
  <c r="F535" i="1"/>
  <c r="G535" i="1"/>
  <c r="H535" i="1"/>
  <c r="E536" i="1"/>
  <c r="F536" i="1"/>
  <c r="G536" i="1"/>
  <c r="H536" i="1"/>
  <c r="E537" i="1"/>
  <c r="F537" i="1"/>
  <c r="G537" i="1"/>
  <c r="H537" i="1"/>
  <c r="E538" i="1"/>
  <c r="F538" i="1"/>
  <c r="G538" i="1"/>
  <c r="H538" i="1"/>
  <c r="E539" i="1"/>
  <c r="F539" i="1"/>
  <c r="G539" i="1"/>
  <c r="H539" i="1"/>
  <c r="E540" i="1"/>
  <c r="F540" i="1"/>
  <c r="G540" i="1"/>
  <c r="H540" i="1"/>
  <c r="E541" i="1"/>
  <c r="F541" i="1"/>
  <c r="G541" i="1"/>
  <c r="H541" i="1"/>
  <c r="E542" i="1"/>
  <c r="F542" i="1"/>
  <c r="G542" i="1"/>
  <c r="H542" i="1"/>
  <c r="E543" i="1"/>
  <c r="F543" i="1"/>
  <c r="G543" i="1"/>
  <c r="H543" i="1"/>
  <c r="E544" i="1"/>
  <c r="F544" i="1"/>
  <c r="G544" i="1"/>
  <c r="H544" i="1"/>
  <c r="E545" i="1"/>
  <c r="F545" i="1"/>
  <c r="G545" i="1"/>
  <c r="H545" i="1"/>
  <c r="E546" i="1"/>
  <c r="F546" i="1"/>
  <c r="G546" i="1"/>
  <c r="H546" i="1"/>
  <c r="E547" i="1"/>
  <c r="F547" i="1"/>
  <c r="G547" i="1"/>
  <c r="H547" i="1"/>
  <c r="E548" i="1"/>
  <c r="F548" i="1"/>
  <c r="G548" i="1"/>
  <c r="H548" i="1"/>
  <c r="E549" i="1"/>
  <c r="F549" i="1"/>
  <c r="G549" i="1"/>
  <c r="H549" i="1"/>
  <c r="E550" i="1"/>
  <c r="F550" i="1"/>
  <c r="G550" i="1"/>
  <c r="H550" i="1"/>
  <c r="E551" i="1"/>
  <c r="F551" i="1"/>
  <c r="G551" i="1"/>
  <c r="H551" i="1"/>
  <c r="E552" i="1"/>
  <c r="F552" i="1"/>
  <c r="G552" i="1"/>
  <c r="H552" i="1"/>
  <c r="E553" i="1"/>
  <c r="F553" i="1"/>
  <c r="G553" i="1"/>
  <c r="H553" i="1"/>
  <c r="E554" i="1"/>
  <c r="F554" i="1"/>
  <c r="G554" i="1"/>
  <c r="H554" i="1"/>
  <c r="E555" i="1"/>
  <c r="F555" i="1"/>
  <c r="G555" i="1"/>
  <c r="H555" i="1"/>
  <c r="E556" i="1"/>
  <c r="F556" i="1"/>
  <c r="G556" i="1"/>
  <c r="H556" i="1"/>
  <c r="E557" i="1"/>
  <c r="F557" i="1"/>
  <c r="G557" i="1"/>
  <c r="H557" i="1"/>
  <c r="E558" i="1"/>
  <c r="F558" i="1"/>
  <c r="G558" i="1"/>
  <c r="H558" i="1"/>
  <c r="E559" i="1"/>
  <c r="F559" i="1"/>
  <c r="G559" i="1"/>
  <c r="H559" i="1"/>
  <c r="E560" i="1"/>
  <c r="F560" i="1"/>
  <c r="G560" i="1"/>
  <c r="H560" i="1"/>
  <c r="E561" i="1"/>
  <c r="F561" i="1"/>
  <c r="G561" i="1"/>
  <c r="H561" i="1"/>
  <c r="E562" i="1"/>
  <c r="F562" i="1"/>
  <c r="G562" i="1"/>
  <c r="H562" i="1"/>
  <c r="E563" i="1"/>
  <c r="F563" i="1"/>
  <c r="G563" i="1"/>
  <c r="H563" i="1"/>
  <c r="E564" i="1"/>
  <c r="F564" i="1"/>
  <c r="G564" i="1"/>
  <c r="H564" i="1"/>
  <c r="E565" i="1"/>
  <c r="F565" i="1"/>
  <c r="G565" i="1"/>
  <c r="H565" i="1"/>
  <c r="E566" i="1"/>
  <c r="F566" i="1"/>
  <c r="G566" i="1"/>
  <c r="H566" i="1"/>
  <c r="E567" i="1"/>
  <c r="F567" i="1"/>
  <c r="G567" i="1"/>
  <c r="H567" i="1"/>
  <c r="E568" i="1"/>
  <c r="F568" i="1"/>
  <c r="G568" i="1"/>
  <c r="H568" i="1"/>
  <c r="E569" i="1"/>
  <c r="F569" i="1"/>
  <c r="G569" i="1"/>
  <c r="H569" i="1"/>
  <c r="E570" i="1"/>
  <c r="F570" i="1"/>
  <c r="G570" i="1"/>
  <c r="H570" i="1"/>
  <c r="E571" i="1"/>
  <c r="F571" i="1"/>
  <c r="G571" i="1"/>
  <c r="H571" i="1"/>
  <c r="E572" i="1"/>
  <c r="F572" i="1"/>
  <c r="G572" i="1"/>
  <c r="H572" i="1"/>
  <c r="E573" i="1"/>
  <c r="F573" i="1"/>
  <c r="G573" i="1"/>
  <c r="H573" i="1"/>
  <c r="E574" i="1"/>
  <c r="F574" i="1"/>
  <c r="G574" i="1"/>
  <c r="H574" i="1"/>
  <c r="E575" i="1"/>
  <c r="F575" i="1"/>
  <c r="G575" i="1"/>
  <c r="H575" i="1"/>
  <c r="E576" i="1"/>
  <c r="F576" i="1"/>
  <c r="G576" i="1"/>
  <c r="H576" i="1"/>
  <c r="E577" i="1"/>
  <c r="F577" i="1"/>
  <c r="G577" i="1"/>
  <c r="H577" i="1"/>
  <c r="E578" i="1"/>
  <c r="F578" i="1"/>
  <c r="G578" i="1"/>
  <c r="H578" i="1"/>
  <c r="E579" i="1"/>
  <c r="F579" i="1"/>
  <c r="G579" i="1"/>
  <c r="H579" i="1"/>
  <c r="E580" i="1"/>
  <c r="F580" i="1"/>
  <c r="G580" i="1"/>
  <c r="H580" i="1"/>
  <c r="E581" i="1"/>
  <c r="F581" i="1"/>
  <c r="G581" i="1"/>
  <c r="H581" i="1"/>
  <c r="E582" i="1"/>
  <c r="F582" i="1"/>
  <c r="G582" i="1"/>
  <c r="H582" i="1"/>
  <c r="E583" i="1"/>
  <c r="F583" i="1"/>
  <c r="G583" i="1"/>
  <c r="H583" i="1"/>
  <c r="E584" i="1"/>
  <c r="F584" i="1"/>
  <c r="G584" i="1"/>
  <c r="H584" i="1"/>
  <c r="E585" i="1"/>
  <c r="F585" i="1"/>
  <c r="G585" i="1"/>
  <c r="H585" i="1"/>
  <c r="E586" i="1"/>
  <c r="F586" i="1"/>
  <c r="G586" i="1"/>
  <c r="H586" i="1"/>
  <c r="E587" i="1"/>
  <c r="F587" i="1"/>
  <c r="G587" i="1"/>
  <c r="H587" i="1"/>
  <c r="E588" i="1"/>
  <c r="F588" i="1"/>
  <c r="G588" i="1"/>
  <c r="H588" i="1"/>
  <c r="E589" i="1"/>
  <c r="F589" i="1"/>
  <c r="G589" i="1"/>
  <c r="H589" i="1"/>
  <c r="E590" i="1"/>
  <c r="F590" i="1"/>
  <c r="G590" i="1"/>
  <c r="H590" i="1"/>
  <c r="E591" i="1"/>
  <c r="F591" i="1"/>
  <c r="G591" i="1"/>
  <c r="H591" i="1"/>
  <c r="E592" i="1"/>
  <c r="F592" i="1"/>
  <c r="G592" i="1"/>
  <c r="H592" i="1"/>
  <c r="E593" i="1"/>
  <c r="F593" i="1"/>
  <c r="G593" i="1"/>
  <c r="H593" i="1"/>
  <c r="E594" i="1"/>
  <c r="F594" i="1"/>
  <c r="G594" i="1"/>
  <c r="H594" i="1"/>
  <c r="E595" i="1"/>
  <c r="F595" i="1"/>
  <c r="G595" i="1"/>
  <c r="H595" i="1"/>
  <c r="E596" i="1"/>
  <c r="F596" i="1"/>
  <c r="G596" i="1"/>
  <c r="H596" i="1"/>
  <c r="E597" i="1"/>
  <c r="F597" i="1"/>
  <c r="G597" i="1"/>
  <c r="H597" i="1"/>
  <c r="E598" i="1"/>
  <c r="F598" i="1"/>
  <c r="G598" i="1"/>
  <c r="H598" i="1"/>
  <c r="E599" i="1"/>
  <c r="F599" i="1"/>
  <c r="G599" i="1"/>
  <c r="H599" i="1"/>
  <c r="E600" i="1"/>
  <c r="F600" i="1"/>
  <c r="G600" i="1"/>
  <c r="H600" i="1"/>
  <c r="E601" i="1"/>
  <c r="F601" i="1"/>
  <c r="G601" i="1"/>
  <c r="H601" i="1"/>
  <c r="E602" i="1"/>
  <c r="F602" i="1"/>
  <c r="G602" i="1"/>
  <c r="H602" i="1"/>
  <c r="E603" i="1"/>
  <c r="F603" i="1"/>
  <c r="G603" i="1"/>
  <c r="H603" i="1"/>
  <c r="E604" i="1"/>
  <c r="F604" i="1"/>
  <c r="G604" i="1"/>
  <c r="H604" i="1"/>
  <c r="E605" i="1"/>
  <c r="F605" i="1"/>
  <c r="G605" i="1"/>
  <c r="H605" i="1"/>
  <c r="E606" i="1"/>
  <c r="F606" i="1"/>
  <c r="G606" i="1"/>
  <c r="H606" i="1"/>
  <c r="E607" i="1"/>
  <c r="F607" i="1"/>
  <c r="G607" i="1"/>
  <c r="H607" i="1"/>
  <c r="E608" i="1"/>
  <c r="F608" i="1"/>
  <c r="G608" i="1"/>
  <c r="H608" i="1"/>
  <c r="E609" i="1"/>
  <c r="F609" i="1"/>
  <c r="G609" i="1"/>
  <c r="H609" i="1"/>
  <c r="E610" i="1"/>
  <c r="F610" i="1"/>
  <c r="G610" i="1"/>
  <c r="H610" i="1"/>
  <c r="E611" i="1"/>
  <c r="F611" i="1"/>
  <c r="G611" i="1"/>
  <c r="H611" i="1"/>
  <c r="E612" i="1"/>
  <c r="F612" i="1"/>
  <c r="G612" i="1"/>
  <c r="H612" i="1"/>
  <c r="E613" i="1"/>
  <c r="F613" i="1"/>
  <c r="G613" i="1"/>
  <c r="H613" i="1"/>
  <c r="E614" i="1"/>
  <c r="F614" i="1"/>
  <c r="G614" i="1"/>
  <c r="H614" i="1"/>
  <c r="E615" i="1"/>
  <c r="F615" i="1"/>
  <c r="G615" i="1"/>
  <c r="H615" i="1"/>
  <c r="E616" i="1"/>
  <c r="F616" i="1"/>
  <c r="G616" i="1"/>
  <c r="H616" i="1"/>
  <c r="E617" i="1"/>
  <c r="F617" i="1"/>
  <c r="G617" i="1"/>
  <c r="H617" i="1"/>
  <c r="E618" i="1"/>
  <c r="F618" i="1"/>
  <c r="G618" i="1"/>
  <c r="H618" i="1"/>
  <c r="E619" i="1"/>
  <c r="F619" i="1"/>
  <c r="G619" i="1"/>
  <c r="H619" i="1"/>
  <c r="E620" i="1"/>
  <c r="F620" i="1"/>
  <c r="G620" i="1"/>
  <c r="H620" i="1"/>
  <c r="E621" i="1"/>
  <c r="F621" i="1"/>
  <c r="G621" i="1"/>
  <c r="H621" i="1"/>
  <c r="E622" i="1"/>
  <c r="F622" i="1"/>
  <c r="G622" i="1"/>
  <c r="H622" i="1"/>
  <c r="E623" i="1"/>
  <c r="F623" i="1"/>
  <c r="G623" i="1"/>
  <c r="H623" i="1"/>
  <c r="E624" i="1"/>
  <c r="F624" i="1"/>
  <c r="G624" i="1"/>
  <c r="H624" i="1"/>
  <c r="E625" i="1"/>
  <c r="F625" i="1"/>
  <c r="G625" i="1"/>
  <c r="H625" i="1"/>
  <c r="E626" i="1"/>
  <c r="F626" i="1"/>
  <c r="G626" i="1"/>
  <c r="H626" i="1"/>
  <c r="E627" i="1"/>
  <c r="F627" i="1"/>
  <c r="G627" i="1"/>
  <c r="H627" i="1"/>
  <c r="E628" i="1"/>
  <c r="F628" i="1"/>
  <c r="G628" i="1"/>
  <c r="H628" i="1"/>
  <c r="E629" i="1"/>
  <c r="F629" i="1"/>
  <c r="G629" i="1"/>
  <c r="H629" i="1"/>
  <c r="E630" i="1"/>
  <c r="F630" i="1"/>
  <c r="G630" i="1"/>
  <c r="H630" i="1"/>
  <c r="E631" i="1"/>
  <c r="F631" i="1"/>
  <c r="G631" i="1"/>
  <c r="H631" i="1"/>
  <c r="E632" i="1"/>
  <c r="F632" i="1"/>
  <c r="G632" i="1"/>
  <c r="H632" i="1"/>
  <c r="E633" i="1"/>
  <c r="F633" i="1"/>
  <c r="G633" i="1"/>
  <c r="H633" i="1"/>
  <c r="E634" i="1"/>
  <c r="F634" i="1"/>
  <c r="G634" i="1"/>
  <c r="H634" i="1"/>
  <c r="E635" i="1"/>
  <c r="F635" i="1"/>
  <c r="G635" i="1"/>
  <c r="H635" i="1"/>
  <c r="E636" i="1"/>
  <c r="F636" i="1"/>
  <c r="G636" i="1"/>
  <c r="H636" i="1"/>
  <c r="E637" i="1"/>
  <c r="F637" i="1"/>
  <c r="G637" i="1"/>
  <c r="H637" i="1"/>
  <c r="E638" i="1"/>
  <c r="F638" i="1"/>
  <c r="G638" i="1"/>
  <c r="H638" i="1"/>
  <c r="E639" i="1"/>
  <c r="F639" i="1"/>
  <c r="G639" i="1"/>
  <c r="H639" i="1"/>
  <c r="E640" i="1"/>
  <c r="F640" i="1"/>
  <c r="G640" i="1"/>
  <c r="H640" i="1"/>
  <c r="E641" i="1"/>
  <c r="F641" i="1"/>
  <c r="G641" i="1"/>
  <c r="H641" i="1"/>
  <c r="E642" i="1"/>
  <c r="F642" i="1"/>
  <c r="G642" i="1"/>
  <c r="H642" i="1"/>
  <c r="E643" i="1"/>
  <c r="F643" i="1"/>
  <c r="G643" i="1"/>
  <c r="H643" i="1"/>
  <c r="E644" i="1"/>
  <c r="F644" i="1"/>
  <c r="G644" i="1"/>
  <c r="H644" i="1"/>
  <c r="E645" i="1"/>
  <c r="F645" i="1"/>
  <c r="G645" i="1"/>
  <c r="H645" i="1"/>
  <c r="E646" i="1"/>
  <c r="F646" i="1"/>
  <c r="G646" i="1"/>
  <c r="H646" i="1"/>
  <c r="E647" i="1"/>
  <c r="F647" i="1"/>
  <c r="G647" i="1"/>
  <c r="H647" i="1"/>
  <c r="E648" i="1"/>
  <c r="F648" i="1"/>
  <c r="G648" i="1"/>
  <c r="H648" i="1"/>
  <c r="E649" i="1"/>
  <c r="F649" i="1"/>
  <c r="G649" i="1"/>
  <c r="H649" i="1"/>
  <c r="E650" i="1"/>
  <c r="F650" i="1"/>
  <c r="G650" i="1"/>
  <c r="H650" i="1"/>
  <c r="E651" i="1"/>
  <c r="F651" i="1"/>
  <c r="G651" i="1"/>
  <c r="H651" i="1"/>
  <c r="E652" i="1"/>
  <c r="F652" i="1"/>
  <c r="G652" i="1"/>
  <c r="H652" i="1"/>
  <c r="E653" i="1"/>
  <c r="F653" i="1"/>
  <c r="G653" i="1"/>
  <c r="H653" i="1"/>
  <c r="E654" i="1"/>
  <c r="F654" i="1"/>
  <c r="G654" i="1"/>
  <c r="H654" i="1"/>
  <c r="E655" i="1"/>
  <c r="F655" i="1"/>
  <c r="G655" i="1"/>
  <c r="H655" i="1"/>
  <c r="E656" i="1"/>
  <c r="F656" i="1"/>
  <c r="G656" i="1"/>
  <c r="H656" i="1"/>
  <c r="E657" i="1"/>
  <c r="F657" i="1"/>
  <c r="G657" i="1"/>
  <c r="H657" i="1"/>
  <c r="E658" i="1"/>
  <c r="F658" i="1"/>
  <c r="G658" i="1"/>
  <c r="H658" i="1"/>
  <c r="E659" i="1"/>
  <c r="F659" i="1"/>
  <c r="G659" i="1"/>
  <c r="H659" i="1"/>
  <c r="E660" i="1"/>
  <c r="F660" i="1"/>
  <c r="G660" i="1"/>
  <c r="H660" i="1"/>
  <c r="E661" i="1"/>
  <c r="F661" i="1"/>
  <c r="G661" i="1"/>
  <c r="H661" i="1"/>
  <c r="E662" i="1"/>
  <c r="F662" i="1"/>
  <c r="G662" i="1"/>
  <c r="H662" i="1"/>
  <c r="E663" i="1"/>
  <c r="F663" i="1"/>
  <c r="G663" i="1"/>
  <c r="H663" i="1"/>
  <c r="E664" i="1"/>
  <c r="F664" i="1"/>
  <c r="G664" i="1"/>
  <c r="H664" i="1"/>
  <c r="E665" i="1"/>
  <c r="F665" i="1"/>
  <c r="G665" i="1"/>
  <c r="H665" i="1"/>
  <c r="E666" i="1"/>
  <c r="F666" i="1"/>
  <c r="G666" i="1"/>
  <c r="H666" i="1"/>
  <c r="E667" i="1"/>
  <c r="F667" i="1"/>
  <c r="G667" i="1"/>
  <c r="H667" i="1"/>
  <c r="E668" i="1"/>
  <c r="F668" i="1"/>
  <c r="G668" i="1"/>
  <c r="H668" i="1"/>
  <c r="E669" i="1"/>
  <c r="F669" i="1"/>
  <c r="G669" i="1"/>
  <c r="H669" i="1"/>
  <c r="E670" i="1"/>
  <c r="F670" i="1"/>
  <c r="G670" i="1"/>
  <c r="H670" i="1"/>
  <c r="E671" i="1"/>
  <c r="F671" i="1"/>
  <c r="G671" i="1"/>
  <c r="H671" i="1"/>
  <c r="E672" i="1"/>
  <c r="F672" i="1"/>
  <c r="G672" i="1"/>
  <c r="H672" i="1"/>
  <c r="E673" i="1"/>
  <c r="F673" i="1"/>
  <c r="G673" i="1"/>
  <c r="H673" i="1"/>
  <c r="E674" i="1"/>
  <c r="F674" i="1"/>
  <c r="G674" i="1"/>
  <c r="H674" i="1"/>
  <c r="E675" i="1"/>
  <c r="F675" i="1"/>
  <c r="G675" i="1"/>
  <c r="H675" i="1"/>
  <c r="E676" i="1"/>
  <c r="F676" i="1"/>
  <c r="G676" i="1"/>
  <c r="H676" i="1"/>
  <c r="E677" i="1"/>
  <c r="F677" i="1"/>
  <c r="G677" i="1"/>
  <c r="H677" i="1"/>
  <c r="E678" i="1"/>
  <c r="F678" i="1"/>
  <c r="G678" i="1"/>
  <c r="H678" i="1"/>
  <c r="E679" i="1"/>
  <c r="F679" i="1"/>
  <c r="G679" i="1"/>
  <c r="H679" i="1"/>
  <c r="E680" i="1"/>
  <c r="F680" i="1"/>
  <c r="G680" i="1"/>
  <c r="H680" i="1"/>
  <c r="E681" i="1"/>
  <c r="F681" i="1"/>
  <c r="G681" i="1"/>
  <c r="H681" i="1"/>
  <c r="E682" i="1"/>
  <c r="F682" i="1"/>
  <c r="G682" i="1"/>
  <c r="H682" i="1"/>
  <c r="E683" i="1"/>
  <c r="F683" i="1"/>
  <c r="G683" i="1"/>
  <c r="H683" i="1"/>
  <c r="E684" i="1"/>
  <c r="F684" i="1"/>
  <c r="G684" i="1"/>
  <c r="H684" i="1"/>
  <c r="E685" i="1"/>
  <c r="F685" i="1"/>
  <c r="G685" i="1"/>
  <c r="H685" i="1"/>
  <c r="E686" i="1"/>
  <c r="F686" i="1"/>
  <c r="G686" i="1"/>
  <c r="H686" i="1"/>
  <c r="E687" i="1"/>
  <c r="F687" i="1"/>
  <c r="G687" i="1"/>
  <c r="H687" i="1"/>
  <c r="E688" i="1"/>
  <c r="F688" i="1"/>
  <c r="G688" i="1"/>
  <c r="H688" i="1"/>
  <c r="E689" i="1"/>
  <c r="F689" i="1"/>
  <c r="G689" i="1"/>
  <c r="H689" i="1"/>
  <c r="E690" i="1"/>
  <c r="F690" i="1"/>
  <c r="G690" i="1"/>
  <c r="H690" i="1"/>
  <c r="E691" i="1"/>
  <c r="F691" i="1"/>
  <c r="G691" i="1"/>
  <c r="H691" i="1"/>
  <c r="E692" i="1"/>
  <c r="F692" i="1"/>
  <c r="G692" i="1"/>
  <c r="H692" i="1"/>
  <c r="E693" i="1"/>
  <c r="F693" i="1"/>
  <c r="G693" i="1"/>
  <c r="H693" i="1"/>
  <c r="E694" i="1"/>
  <c r="F694" i="1"/>
  <c r="G694" i="1"/>
  <c r="H694" i="1"/>
  <c r="E695" i="1"/>
  <c r="F695" i="1"/>
  <c r="G695" i="1"/>
  <c r="H695" i="1"/>
  <c r="E696" i="1"/>
  <c r="F696" i="1"/>
  <c r="G696" i="1"/>
  <c r="H696" i="1"/>
  <c r="E697" i="1"/>
  <c r="F697" i="1"/>
  <c r="G697" i="1"/>
  <c r="H697" i="1"/>
  <c r="E698" i="1"/>
  <c r="F698" i="1"/>
  <c r="G698" i="1"/>
  <c r="H698" i="1"/>
  <c r="E699" i="1"/>
  <c r="F699" i="1"/>
  <c r="G699" i="1"/>
  <c r="H699" i="1"/>
  <c r="E700" i="1"/>
  <c r="F700" i="1"/>
  <c r="G700" i="1"/>
  <c r="H700" i="1"/>
  <c r="E701" i="1"/>
  <c r="F701" i="1"/>
  <c r="G701" i="1"/>
  <c r="H701" i="1"/>
  <c r="E702" i="1"/>
  <c r="F702" i="1"/>
  <c r="G702" i="1"/>
  <c r="H702" i="1"/>
  <c r="E703" i="1"/>
  <c r="F703" i="1"/>
  <c r="G703" i="1"/>
  <c r="H703" i="1"/>
  <c r="G3" i="2"/>
  <c r="G4" i="2"/>
  <c r="H4" i="2" s="1"/>
  <c r="G5" i="2"/>
  <c r="H5" i="2" s="1"/>
  <c r="G6" i="2"/>
  <c r="H6" i="2" s="1"/>
  <c r="G7" i="2"/>
  <c r="H7" i="2" s="1"/>
  <c r="G8" i="2"/>
  <c r="H8" i="2" s="1"/>
  <c r="G9" i="2"/>
  <c r="H9" i="2" s="1"/>
  <c r="G10" i="2"/>
  <c r="H10" i="2" s="1"/>
  <c r="G11" i="2"/>
  <c r="H11" i="2" s="1"/>
  <c r="G12" i="2"/>
  <c r="H12" i="2" s="1"/>
  <c r="G13" i="2"/>
  <c r="H13" i="2" s="1"/>
  <c r="G14" i="2"/>
  <c r="H14" i="2" s="1"/>
  <c r="G15" i="2"/>
  <c r="H15" i="2" s="1"/>
  <c r="G16" i="2"/>
  <c r="H16" i="2" s="1"/>
  <c r="G17" i="2"/>
  <c r="H17" i="2" s="1"/>
  <c r="G18" i="2"/>
  <c r="H18" i="2" s="1"/>
  <c r="G19" i="2"/>
  <c r="G20" i="2"/>
  <c r="H20" i="2" s="1"/>
  <c r="G21" i="2"/>
  <c r="H21" i="2" s="1"/>
  <c r="G22" i="2"/>
  <c r="H22" i="2" s="1"/>
  <c r="G23" i="2"/>
  <c r="H23" i="2" s="1"/>
  <c r="G24" i="2"/>
  <c r="H24" i="2" s="1"/>
  <c r="G25" i="2"/>
  <c r="H25" i="2" s="1"/>
  <c r="G26" i="2"/>
  <c r="H26" i="2" s="1"/>
  <c r="G27" i="2"/>
  <c r="H27" i="2" s="1"/>
  <c r="G28" i="2"/>
  <c r="H28" i="2" s="1"/>
  <c r="G29" i="2"/>
  <c r="H29" i="2" s="1"/>
  <c r="G30" i="2"/>
  <c r="H30" i="2" s="1"/>
  <c r="G2" i="2"/>
  <c r="R2" i="2"/>
  <c r="S2" i="2" s="1"/>
  <c r="O2" i="2"/>
  <c r="K2" i="2"/>
  <c r="J2" i="2"/>
  <c r="I2" i="2"/>
  <c r="G1751" i="2"/>
  <c r="H1751" i="2" s="1"/>
  <c r="G1752" i="2"/>
  <c r="G1753" i="2"/>
  <c r="H1753" i="2" s="1"/>
  <c r="G1754" i="2"/>
  <c r="G1755" i="2"/>
  <c r="G1756" i="2"/>
  <c r="A1756" i="2" s="1"/>
  <c r="G1757" i="2"/>
  <c r="H1757" i="2" s="1"/>
  <c r="G1758" i="2"/>
  <c r="G1759" i="2"/>
  <c r="H1759" i="2" s="1"/>
  <c r="G1760" i="2"/>
  <c r="G1761" i="2"/>
  <c r="H1761" i="2" s="1"/>
  <c r="G1762" i="2"/>
  <c r="G1763" i="2"/>
  <c r="H1763" i="2" s="1"/>
  <c r="G1764" i="2"/>
  <c r="G1765" i="2"/>
  <c r="H1765" i="2" s="1"/>
  <c r="G1766" i="2"/>
  <c r="G1767" i="2"/>
  <c r="H1767" i="2" s="1"/>
  <c r="G1768" i="2"/>
  <c r="G1769" i="2"/>
  <c r="H1769" i="2" s="1"/>
  <c r="G1770" i="2"/>
  <c r="G1771" i="2"/>
  <c r="H1771" i="2" s="1"/>
  <c r="G1772" i="2"/>
  <c r="G1773" i="2"/>
  <c r="H1773" i="2" s="1"/>
  <c r="G1774" i="2"/>
  <c r="G1775" i="2"/>
  <c r="G1776" i="2"/>
  <c r="A1776" i="2" s="1"/>
  <c r="G1777" i="2"/>
  <c r="H1777" i="2" s="1"/>
  <c r="G1778" i="2"/>
  <c r="G1779" i="2"/>
  <c r="H1779" i="2" s="1"/>
  <c r="G1780" i="2"/>
  <c r="G1750" i="2"/>
  <c r="H1750" i="2" s="1"/>
  <c r="G1657" i="2"/>
  <c r="H1657" i="2" s="1"/>
  <c r="G1658" i="2"/>
  <c r="H1658" i="2" s="1"/>
  <c r="G1659" i="2"/>
  <c r="G1660" i="2"/>
  <c r="H1660" i="2" s="1"/>
  <c r="G1661" i="2"/>
  <c r="H1661" i="2" s="1"/>
  <c r="G1662" i="2"/>
  <c r="G1663" i="2"/>
  <c r="H1663" i="2" s="1"/>
  <c r="G1664" i="2"/>
  <c r="H1664" i="2" s="1"/>
  <c r="G1665" i="2"/>
  <c r="G1666" i="2"/>
  <c r="H1666" i="2" s="1"/>
  <c r="G1667" i="2"/>
  <c r="G1668" i="2"/>
  <c r="H1668" i="2" s="1"/>
  <c r="G1669" i="2"/>
  <c r="H1669" i="2" s="1"/>
  <c r="G1670" i="2"/>
  <c r="G1671" i="2"/>
  <c r="H1671" i="2" s="1"/>
  <c r="G1672" i="2"/>
  <c r="G1673" i="2"/>
  <c r="H1673" i="2" s="1"/>
  <c r="G1674" i="2"/>
  <c r="H1674" i="2" s="1"/>
  <c r="G1675" i="2"/>
  <c r="G1676" i="2"/>
  <c r="H1676" i="2" s="1"/>
  <c r="G1677" i="2"/>
  <c r="H1677" i="2" s="1"/>
  <c r="G1678" i="2"/>
  <c r="G1679" i="2"/>
  <c r="H1679" i="2" s="1"/>
  <c r="G1680" i="2"/>
  <c r="H1680" i="2" s="1"/>
  <c r="G1681" i="2"/>
  <c r="H1681" i="2" s="1"/>
  <c r="G1682" i="2"/>
  <c r="H1682" i="2" s="1"/>
  <c r="G1683" i="2"/>
  <c r="G1684" i="2"/>
  <c r="H1684" i="2" s="1"/>
  <c r="G1685" i="2"/>
  <c r="H1685" i="2" s="1"/>
  <c r="G1686" i="2"/>
  <c r="H1686" i="2" s="1"/>
  <c r="G1687" i="2"/>
  <c r="H1687" i="2" s="1"/>
  <c r="E3" i="1"/>
  <c r="F3" i="1"/>
  <c r="G3" i="1"/>
  <c r="H3" i="1"/>
  <c r="E4" i="1"/>
  <c r="F4" i="1"/>
  <c r="G4" i="1"/>
  <c r="H4" i="1"/>
  <c r="E5" i="1"/>
  <c r="F5" i="1"/>
  <c r="G5" i="1"/>
  <c r="H5" i="1"/>
  <c r="E6" i="1"/>
  <c r="F6" i="1"/>
  <c r="G6" i="1"/>
  <c r="H6" i="1"/>
  <c r="E7" i="1"/>
  <c r="F7" i="1"/>
  <c r="G7" i="1"/>
  <c r="H7" i="1"/>
  <c r="E8" i="1"/>
  <c r="F8" i="1"/>
  <c r="G8" i="1"/>
  <c r="H8" i="1"/>
  <c r="E9" i="1"/>
  <c r="F9" i="1"/>
  <c r="G9" i="1"/>
  <c r="H9" i="1"/>
  <c r="E10" i="1"/>
  <c r="F10" i="1"/>
  <c r="G10" i="1"/>
  <c r="H10" i="1"/>
  <c r="E11" i="1"/>
  <c r="F11" i="1"/>
  <c r="G11" i="1"/>
  <c r="H11" i="1"/>
  <c r="E12" i="1"/>
  <c r="F12" i="1"/>
  <c r="G12" i="1"/>
  <c r="H12" i="1"/>
  <c r="E13" i="1"/>
  <c r="F13" i="1"/>
  <c r="G13" i="1"/>
  <c r="H13" i="1"/>
  <c r="E14" i="1"/>
  <c r="F14" i="1"/>
  <c r="G14" i="1"/>
  <c r="H14" i="1"/>
  <c r="E15" i="1"/>
  <c r="F15" i="1"/>
  <c r="G15" i="1"/>
  <c r="H15" i="1"/>
  <c r="E16" i="1"/>
  <c r="F16" i="1"/>
  <c r="G16" i="1"/>
  <c r="H16" i="1"/>
  <c r="E17" i="1"/>
  <c r="F17" i="1"/>
  <c r="G17" i="1"/>
  <c r="H17" i="1"/>
  <c r="E18" i="1"/>
  <c r="F18" i="1"/>
  <c r="G18" i="1"/>
  <c r="H18" i="1"/>
  <c r="E19" i="1"/>
  <c r="F19" i="1"/>
  <c r="G19" i="1"/>
  <c r="H19" i="1"/>
  <c r="E20" i="1"/>
  <c r="F20" i="1"/>
  <c r="G20" i="1"/>
  <c r="H20" i="1"/>
  <c r="E21" i="1"/>
  <c r="F21" i="1"/>
  <c r="G21" i="1"/>
  <c r="H21" i="1"/>
  <c r="E22" i="1"/>
  <c r="F22" i="1"/>
  <c r="G22" i="1"/>
  <c r="H22" i="1"/>
  <c r="E23" i="1"/>
  <c r="F23" i="1"/>
  <c r="G23" i="1"/>
  <c r="H23" i="1"/>
  <c r="E24" i="1"/>
  <c r="F24" i="1"/>
  <c r="G24" i="1"/>
  <c r="H24" i="1"/>
  <c r="E25" i="1"/>
  <c r="F25" i="1"/>
  <c r="G25" i="1"/>
  <c r="H25" i="1"/>
  <c r="E26" i="1"/>
  <c r="F26" i="1"/>
  <c r="G26" i="1"/>
  <c r="H26" i="1"/>
  <c r="E27" i="1"/>
  <c r="F27" i="1"/>
  <c r="G27" i="1"/>
  <c r="H27" i="1"/>
  <c r="E28" i="1"/>
  <c r="F28" i="1"/>
  <c r="G28" i="1"/>
  <c r="H28" i="1"/>
  <c r="E29" i="1"/>
  <c r="F29" i="1"/>
  <c r="G29" i="1"/>
  <c r="H29" i="1"/>
  <c r="E30" i="1"/>
  <c r="F30" i="1"/>
  <c r="G30" i="1"/>
  <c r="H30" i="1"/>
  <c r="E31" i="1"/>
  <c r="F31" i="1"/>
  <c r="G31" i="1"/>
  <c r="H31" i="1"/>
  <c r="E32" i="1"/>
  <c r="F32" i="1"/>
  <c r="G32" i="1"/>
  <c r="H32" i="1"/>
  <c r="E33" i="1"/>
  <c r="F33" i="1"/>
  <c r="G33" i="1"/>
  <c r="H33" i="1"/>
  <c r="E34" i="1"/>
  <c r="F34" i="1"/>
  <c r="G34" i="1"/>
  <c r="H34" i="1"/>
  <c r="E35" i="1"/>
  <c r="F35" i="1"/>
  <c r="G35" i="1"/>
  <c r="H35" i="1"/>
  <c r="E36" i="1"/>
  <c r="F36" i="1"/>
  <c r="G36" i="1"/>
  <c r="H36" i="1"/>
  <c r="E37" i="1"/>
  <c r="F37" i="1"/>
  <c r="G37" i="1"/>
  <c r="H37" i="1"/>
  <c r="E38" i="1"/>
  <c r="F38" i="1"/>
  <c r="G38" i="1"/>
  <c r="H38" i="1"/>
  <c r="E39" i="1"/>
  <c r="F39" i="1"/>
  <c r="G39" i="1"/>
  <c r="H39" i="1"/>
  <c r="E40" i="1"/>
  <c r="F40" i="1"/>
  <c r="G40" i="1"/>
  <c r="H40" i="1"/>
  <c r="E41" i="1"/>
  <c r="F41" i="1"/>
  <c r="G41" i="1"/>
  <c r="H41" i="1"/>
  <c r="E42" i="1"/>
  <c r="F42" i="1"/>
  <c r="G42" i="1"/>
  <c r="H42" i="1"/>
  <c r="E43" i="1"/>
  <c r="F43" i="1"/>
  <c r="G43" i="1"/>
  <c r="H43" i="1"/>
  <c r="E44" i="1"/>
  <c r="F44" i="1"/>
  <c r="G44" i="1"/>
  <c r="H44" i="1"/>
  <c r="E45" i="1"/>
  <c r="F45" i="1"/>
  <c r="G45" i="1"/>
  <c r="H45" i="1"/>
  <c r="E46" i="1"/>
  <c r="F46" i="1"/>
  <c r="G46" i="1"/>
  <c r="H46" i="1"/>
  <c r="E47" i="1"/>
  <c r="F47" i="1"/>
  <c r="G47" i="1"/>
  <c r="H47" i="1"/>
  <c r="E48" i="1"/>
  <c r="F48" i="1"/>
  <c r="G48" i="1"/>
  <c r="H48" i="1"/>
  <c r="E49" i="1"/>
  <c r="F49" i="1"/>
  <c r="G49" i="1"/>
  <c r="H49" i="1"/>
  <c r="E50" i="1"/>
  <c r="F50" i="1"/>
  <c r="G50" i="1"/>
  <c r="H50" i="1"/>
  <c r="E51" i="1"/>
  <c r="F51" i="1"/>
  <c r="G51" i="1"/>
  <c r="H51" i="1"/>
  <c r="E52" i="1"/>
  <c r="F52" i="1"/>
  <c r="G52" i="1"/>
  <c r="H52" i="1"/>
  <c r="E53" i="1"/>
  <c r="F53" i="1"/>
  <c r="G53" i="1"/>
  <c r="H53" i="1"/>
  <c r="E54" i="1"/>
  <c r="F54" i="1"/>
  <c r="G54" i="1"/>
  <c r="H54" i="1"/>
  <c r="E55" i="1"/>
  <c r="F55" i="1"/>
  <c r="G55" i="1"/>
  <c r="H55" i="1"/>
  <c r="E56" i="1"/>
  <c r="F56" i="1"/>
  <c r="G56" i="1"/>
  <c r="H56" i="1"/>
  <c r="E57" i="1"/>
  <c r="F57" i="1"/>
  <c r="G57" i="1"/>
  <c r="H57" i="1"/>
  <c r="E58" i="1"/>
  <c r="F58" i="1"/>
  <c r="G58" i="1"/>
  <c r="H58" i="1"/>
  <c r="E59" i="1"/>
  <c r="F59" i="1"/>
  <c r="G59" i="1"/>
  <c r="H59" i="1"/>
  <c r="E60" i="1"/>
  <c r="F60" i="1"/>
  <c r="G60" i="1"/>
  <c r="H60" i="1"/>
  <c r="E61" i="1"/>
  <c r="F61" i="1"/>
  <c r="G61" i="1"/>
  <c r="H61" i="1"/>
  <c r="E62" i="1"/>
  <c r="F62" i="1"/>
  <c r="G62" i="1"/>
  <c r="H62" i="1"/>
  <c r="E63" i="1"/>
  <c r="F63" i="1"/>
  <c r="G63" i="1"/>
  <c r="H63" i="1"/>
  <c r="G2" i="1"/>
  <c r="H2" i="1"/>
  <c r="F2" i="1"/>
  <c r="E2" i="1"/>
  <c r="G1749" i="2"/>
  <c r="G1748" i="2"/>
  <c r="G1747" i="2"/>
  <c r="G1746" i="2"/>
  <c r="G1745" i="2"/>
  <c r="H1745" i="2" s="1"/>
  <c r="G1744" i="2"/>
  <c r="H1744" i="2" s="1"/>
  <c r="G1743" i="2"/>
  <c r="G1742" i="2"/>
  <c r="G1741" i="2"/>
  <c r="H1741" i="2" s="1"/>
  <c r="G1740" i="2"/>
  <c r="H1740" i="2" s="1"/>
  <c r="G1739" i="2"/>
  <c r="G1738" i="2"/>
  <c r="H1738" i="2" s="1"/>
  <c r="G1737" i="2"/>
  <c r="H1737" i="2" s="1"/>
  <c r="G1736" i="2"/>
  <c r="H1736" i="2" s="1"/>
  <c r="G1735" i="2"/>
  <c r="G1734" i="2"/>
  <c r="H1734" i="2" s="1"/>
  <c r="G1733" i="2"/>
  <c r="G1732" i="2"/>
  <c r="G1731" i="2"/>
  <c r="G1730" i="2"/>
  <c r="G1729" i="2"/>
  <c r="H1729" i="2" s="1"/>
  <c r="G1728" i="2"/>
  <c r="H1728" i="2" s="1"/>
  <c r="G1727" i="2"/>
  <c r="G1726" i="2"/>
  <c r="G1725" i="2"/>
  <c r="H1725" i="2" s="1"/>
  <c r="G1724" i="2"/>
  <c r="H1724" i="2" s="1"/>
  <c r="G1723" i="2"/>
  <c r="G1722" i="2"/>
  <c r="H1722" i="2" s="1"/>
  <c r="G1721" i="2"/>
  <c r="H1721" i="2" s="1"/>
  <c r="G1720" i="2"/>
  <c r="H1720" i="2" s="1"/>
  <c r="G1719" i="2"/>
  <c r="G1718" i="2"/>
  <c r="H1718" i="2" s="1"/>
  <c r="G1717" i="2"/>
  <c r="G1716" i="2"/>
  <c r="H1716" i="2" s="1"/>
  <c r="G1715" i="2"/>
  <c r="G1714" i="2"/>
  <c r="G1713" i="2"/>
  <c r="H1713" i="2" s="1"/>
  <c r="G1712" i="2"/>
  <c r="H1712" i="2" s="1"/>
  <c r="G1711" i="2"/>
  <c r="G1710" i="2"/>
  <c r="G1709" i="2"/>
  <c r="H1709" i="2" s="1"/>
  <c r="G1708" i="2"/>
  <c r="H1708" i="2" s="1"/>
  <c r="G1707" i="2"/>
  <c r="G1706" i="2"/>
  <c r="H1706" i="2" s="1"/>
  <c r="G1705" i="2"/>
  <c r="H1705" i="2" s="1"/>
  <c r="G1704" i="2"/>
  <c r="H1704" i="2" s="1"/>
  <c r="G1703" i="2"/>
  <c r="G1702" i="2"/>
  <c r="H1702" i="2" s="1"/>
  <c r="G1701" i="2"/>
  <c r="G1700" i="2"/>
  <c r="H1700" i="2" s="1"/>
  <c r="G1699" i="2"/>
  <c r="G1698" i="2"/>
  <c r="G1697" i="2"/>
  <c r="H1697" i="2" s="1"/>
  <c r="G1696" i="2"/>
  <c r="H1696" i="2" s="1"/>
  <c r="G1695" i="2"/>
  <c r="G1694" i="2"/>
  <c r="G1693" i="2"/>
  <c r="H1693" i="2" s="1"/>
  <c r="G1692" i="2"/>
  <c r="H1692" i="2" s="1"/>
  <c r="G1691" i="2"/>
  <c r="G1690" i="2"/>
  <c r="H1690" i="2" s="1"/>
  <c r="G1689" i="2"/>
  <c r="H1689" i="2" s="1"/>
  <c r="G1688" i="2"/>
  <c r="H1688" i="2" s="1"/>
  <c r="F2" i="2" l="1"/>
  <c r="L7" i="3"/>
  <c r="N2" i="2"/>
  <c r="F1773" i="2"/>
  <c r="F1699" i="2"/>
  <c r="H1699" i="2"/>
  <c r="F1717" i="2"/>
  <c r="H1717" i="2"/>
  <c r="F1758" i="2"/>
  <c r="H1758" i="2"/>
  <c r="F1719" i="2"/>
  <c r="H1719" i="2"/>
  <c r="F1780" i="2"/>
  <c r="H1780" i="2"/>
  <c r="F1778" i="2"/>
  <c r="H1778" i="2"/>
  <c r="F1698" i="2"/>
  <c r="H1698" i="2"/>
  <c r="F1710" i="2"/>
  <c r="H1710" i="2"/>
  <c r="F1746" i="2"/>
  <c r="H1746" i="2"/>
  <c r="F1675" i="2"/>
  <c r="H1675" i="2"/>
  <c r="F55" i="2"/>
  <c r="H55" i="2"/>
  <c r="F43" i="2"/>
  <c r="H43" i="2"/>
  <c r="F77" i="2"/>
  <c r="H77" i="2"/>
  <c r="F111" i="2"/>
  <c r="H111" i="2"/>
  <c r="F99" i="2"/>
  <c r="H99" i="2"/>
  <c r="F145" i="2"/>
  <c r="H145" i="2"/>
  <c r="F133" i="2"/>
  <c r="H133" i="2"/>
  <c r="F121" i="2"/>
  <c r="H121" i="2"/>
  <c r="F167" i="2"/>
  <c r="H167" i="2"/>
  <c r="F155" i="2"/>
  <c r="H155" i="2"/>
  <c r="F201" i="2"/>
  <c r="H201" i="2"/>
  <c r="F189" i="2"/>
  <c r="H189" i="2"/>
  <c r="F177" i="2"/>
  <c r="H177" i="2"/>
  <c r="F223" i="2"/>
  <c r="H223" i="2"/>
  <c r="F212" i="2"/>
  <c r="H212" i="2"/>
  <c r="F258" i="2"/>
  <c r="H258" i="2"/>
  <c r="F246" i="2"/>
  <c r="H246" i="2"/>
  <c r="F1662" i="2"/>
  <c r="H1662" i="2"/>
  <c r="F88" i="2"/>
  <c r="H88" i="2"/>
  <c r="F76" i="2"/>
  <c r="H76" i="2"/>
  <c r="F110" i="2"/>
  <c r="H110" i="2"/>
  <c r="F98" i="2"/>
  <c r="H98" i="2"/>
  <c r="F144" i="2"/>
  <c r="H144" i="2"/>
  <c r="F120" i="2"/>
  <c r="H120" i="2"/>
  <c r="F166" i="2"/>
  <c r="H166" i="2"/>
  <c r="F154" i="2"/>
  <c r="H154" i="2"/>
  <c r="F200" i="2"/>
  <c r="H200" i="2"/>
  <c r="F188" i="2"/>
  <c r="H188" i="2"/>
  <c r="F222" i="2"/>
  <c r="H222" i="2"/>
  <c r="F211" i="2"/>
  <c r="H211" i="2"/>
  <c r="F257" i="2"/>
  <c r="H257" i="2"/>
  <c r="F245" i="2"/>
  <c r="H245" i="2"/>
  <c r="F132" i="2"/>
  <c r="H132" i="2"/>
  <c r="F1748" i="2"/>
  <c r="H1748" i="2"/>
  <c r="F1775" i="2"/>
  <c r="H1775" i="2"/>
  <c r="F3" i="2"/>
  <c r="H3" i="2"/>
  <c r="F53" i="2"/>
  <c r="H53" i="2"/>
  <c r="F97" i="2"/>
  <c r="H97" i="2"/>
  <c r="F143" i="2"/>
  <c r="H143" i="2"/>
  <c r="F131" i="2"/>
  <c r="H131" i="2"/>
  <c r="F119" i="2"/>
  <c r="H119" i="2"/>
  <c r="F165" i="2"/>
  <c r="H165" i="2"/>
  <c r="F153" i="2"/>
  <c r="H153" i="2"/>
  <c r="F199" i="2"/>
  <c r="H199" i="2"/>
  <c r="F187" i="2"/>
  <c r="H187" i="2"/>
  <c r="F233" i="2"/>
  <c r="H233" i="2"/>
  <c r="F221" i="2"/>
  <c r="H221" i="2"/>
  <c r="F210" i="2"/>
  <c r="H210" i="2"/>
  <c r="F256" i="2"/>
  <c r="H256" i="2"/>
  <c r="F244" i="2"/>
  <c r="H244" i="2"/>
  <c r="F1701" i="2"/>
  <c r="H1701" i="2"/>
  <c r="F1749" i="2"/>
  <c r="H1749" i="2"/>
  <c r="F1672" i="2"/>
  <c r="H1672" i="2"/>
  <c r="F1762" i="2"/>
  <c r="H1762" i="2"/>
  <c r="F142" i="2"/>
  <c r="H142" i="2"/>
  <c r="F130" i="2"/>
  <c r="H130" i="2"/>
  <c r="F147" i="2"/>
  <c r="H147" i="2"/>
  <c r="F164" i="2"/>
  <c r="H164" i="2"/>
  <c r="F152" i="2"/>
  <c r="H152" i="2"/>
  <c r="F198" i="2"/>
  <c r="H198" i="2"/>
  <c r="F186" i="2"/>
  <c r="H186" i="2"/>
  <c r="F232" i="2"/>
  <c r="H232" i="2"/>
  <c r="F220" i="2"/>
  <c r="H220" i="2"/>
  <c r="F209" i="2"/>
  <c r="H209" i="2"/>
  <c r="F255" i="2"/>
  <c r="H255" i="2"/>
  <c r="F243" i="2"/>
  <c r="H243" i="2"/>
  <c r="F1735" i="2"/>
  <c r="H1735" i="2"/>
  <c r="F1752" i="2"/>
  <c r="H1752" i="2"/>
  <c r="F1714" i="2"/>
  <c r="H1714" i="2"/>
  <c r="F1726" i="2"/>
  <c r="H1726" i="2"/>
  <c r="F1683" i="2"/>
  <c r="H1683" i="2"/>
  <c r="F1659" i="2"/>
  <c r="H1659" i="2"/>
  <c r="F51" i="2"/>
  <c r="H51" i="2"/>
  <c r="F39" i="2"/>
  <c r="H39" i="2"/>
  <c r="F85" i="2"/>
  <c r="H85" i="2"/>
  <c r="F73" i="2"/>
  <c r="H73" i="2"/>
  <c r="F61" i="2"/>
  <c r="H61" i="2"/>
  <c r="F107" i="2"/>
  <c r="H107" i="2"/>
  <c r="F95" i="2"/>
  <c r="H95" i="2"/>
  <c r="F141" i="2"/>
  <c r="H141" i="2"/>
  <c r="F129" i="2"/>
  <c r="H129" i="2"/>
  <c r="F175" i="2"/>
  <c r="H175" i="2"/>
  <c r="F163" i="2"/>
  <c r="H163" i="2"/>
  <c r="F151" i="2"/>
  <c r="H151" i="2"/>
  <c r="F197" i="2"/>
  <c r="H197" i="2"/>
  <c r="F185" i="2"/>
  <c r="H185" i="2"/>
  <c r="F231" i="2"/>
  <c r="H231" i="2"/>
  <c r="F219" i="2"/>
  <c r="H219" i="2"/>
  <c r="F208" i="2"/>
  <c r="H208" i="2"/>
  <c r="F254" i="2"/>
  <c r="H254" i="2"/>
  <c r="F242" i="2"/>
  <c r="H242" i="2"/>
  <c r="F1776" i="2"/>
  <c r="H1776" i="2"/>
  <c r="F1774" i="2"/>
  <c r="H1774" i="2"/>
  <c r="F1703" i="2"/>
  <c r="H1703" i="2"/>
  <c r="F1739" i="2"/>
  <c r="H1739" i="2"/>
  <c r="F38" i="2"/>
  <c r="H38" i="2"/>
  <c r="F84" i="2"/>
  <c r="H84" i="2"/>
  <c r="F106" i="2"/>
  <c r="H106" i="2"/>
  <c r="F140" i="2"/>
  <c r="H140" i="2"/>
  <c r="F128" i="2"/>
  <c r="H128" i="2"/>
  <c r="F174" i="2"/>
  <c r="H174" i="2"/>
  <c r="F162" i="2"/>
  <c r="H162" i="2"/>
  <c r="F150" i="2"/>
  <c r="H150" i="2"/>
  <c r="F196" i="2"/>
  <c r="H196" i="2"/>
  <c r="F184" i="2"/>
  <c r="H184" i="2"/>
  <c r="F230" i="2"/>
  <c r="H230" i="2"/>
  <c r="F207" i="2"/>
  <c r="H207" i="2"/>
  <c r="F253" i="2"/>
  <c r="H253" i="2"/>
  <c r="F241" i="2"/>
  <c r="H241" i="2"/>
  <c r="F1711" i="2"/>
  <c r="H1711" i="2"/>
  <c r="F1764" i="2"/>
  <c r="H1764" i="2"/>
  <c r="F1691" i="2"/>
  <c r="H1691" i="2"/>
  <c r="F1715" i="2"/>
  <c r="H1715" i="2"/>
  <c r="F1727" i="2"/>
  <c r="H1727" i="2"/>
  <c r="F1670" i="2"/>
  <c r="H1670" i="2"/>
  <c r="F1772" i="2"/>
  <c r="H1772" i="2"/>
  <c r="F1760" i="2"/>
  <c r="H1760" i="2"/>
  <c r="F37" i="2"/>
  <c r="H37" i="2"/>
  <c r="F93" i="2"/>
  <c r="H93" i="2"/>
  <c r="F139" i="2"/>
  <c r="H139" i="2"/>
  <c r="F127" i="2"/>
  <c r="H127" i="2"/>
  <c r="F173" i="2"/>
  <c r="H173" i="2"/>
  <c r="F161" i="2"/>
  <c r="H161" i="2"/>
  <c r="F149" i="2"/>
  <c r="H149" i="2"/>
  <c r="F195" i="2"/>
  <c r="H195" i="2"/>
  <c r="F183" i="2"/>
  <c r="H183" i="2"/>
  <c r="F229" i="2"/>
  <c r="H229" i="2"/>
  <c r="F217" i="2"/>
  <c r="H217" i="2"/>
  <c r="F252" i="2"/>
  <c r="H252" i="2"/>
  <c r="F240" i="2"/>
  <c r="H240" i="2"/>
  <c r="F1747" i="2"/>
  <c r="H1747" i="2"/>
  <c r="F138" i="2"/>
  <c r="H138" i="2"/>
  <c r="F126" i="2"/>
  <c r="H126" i="2"/>
  <c r="F172" i="2"/>
  <c r="H172" i="2"/>
  <c r="F160" i="2"/>
  <c r="H160" i="2"/>
  <c r="F148" i="2"/>
  <c r="H148" i="2"/>
  <c r="F194" i="2"/>
  <c r="H194" i="2"/>
  <c r="F182" i="2"/>
  <c r="H182" i="2"/>
  <c r="F228" i="2"/>
  <c r="H228" i="2"/>
  <c r="F216" i="2"/>
  <c r="H216" i="2"/>
  <c r="F251" i="2"/>
  <c r="H251" i="2"/>
  <c r="F239" i="2"/>
  <c r="H239" i="2"/>
  <c r="F1694" i="2"/>
  <c r="H1694" i="2"/>
  <c r="F1730" i="2"/>
  <c r="H1730" i="2"/>
  <c r="F1742" i="2"/>
  <c r="H1742" i="2"/>
  <c r="F1667" i="2"/>
  <c r="H1667" i="2"/>
  <c r="F59" i="2"/>
  <c r="H59" i="2"/>
  <c r="F47" i="2"/>
  <c r="H47" i="2"/>
  <c r="F35" i="2"/>
  <c r="H35" i="2"/>
  <c r="F81" i="2"/>
  <c r="H81" i="2"/>
  <c r="F69" i="2"/>
  <c r="H69" i="2"/>
  <c r="F115" i="2"/>
  <c r="H115" i="2"/>
  <c r="F103" i="2"/>
  <c r="H103" i="2"/>
  <c r="F137" i="2"/>
  <c r="H137" i="2"/>
  <c r="F125" i="2"/>
  <c r="H125" i="2"/>
  <c r="F171" i="2"/>
  <c r="H171" i="2"/>
  <c r="F159" i="2"/>
  <c r="H159" i="2"/>
  <c r="F193" i="2"/>
  <c r="H193" i="2"/>
  <c r="F181" i="2"/>
  <c r="H181" i="2"/>
  <c r="F227" i="2"/>
  <c r="H227" i="2"/>
  <c r="F262" i="2"/>
  <c r="H262" i="2"/>
  <c r="F250" i="2"/>
  <c r="H250" i="2"/>
  <c r="F238" i="2"/>
  <c r="H238" i="2"/>
  <c r="F1695" i="2"/>
  <c r="H1695" i="2"/>
  <c r="F80" i="2"/>
  <c r="H80" i="2"/>
  <c r="F68" i="2"/>
  <c r="H68" i="2"/>
  <c r="F114" i="2"/>
  <c r="H114" i="2"/>
  <c r="F102" i="2"/>
  <c r="H102" i="2"/>
  <c r="F136" i="2"/>
  <c r="H136" i="2"/>
  <c r="F124" i="2"/>
  <c r="H124" i="2"/>
  <c r="F170" i="2"/>
  <c r="H170" i="2"/>
  <c r="F158" i="2"/>
  <c r="H158" i="2"/>
  <c r="F204" i="2"/>
  <c r="H204" i="2"/>
  <c r="F192" i="2"/>
  <c r="H192" i="2"/>
  <c r="F180" i="2"/>
  <c r="H180" i="2"/>
  <c r="F226" i="2"/>
  <c r="H226" i="2"/>
  <c r="F215" i="2"/>
  <c r="H215" i="2"/>
  <c r="F261" i="2"/>
  <c r="H261" i="2"/>
  <c r="F249" i="2"/>
  <c r="H249" i="2"/>
  <c r="F237" i="2"/>
  <c r="H237" i="2"/>
  <c r="F1723" i="2"/>
  <c r="H1723" i="2"/>
  <c r="F1770" i="2"/>
  <c r="H1770" i="2"/>
  <c r="F1707" i="2"/>
  <c r="H1707" i="2"/>
  <c r="F1743" i="2"/>
  <c r="H1743" i="2"/>
  <c r="F1768" i="2"/>
  <c r="H1768" i="2"/>
  <c r="F1756" i="2"/>
  <c r="H1756" i="2"/>
  <c r="F46" i="2"/>
  <c r="H46" i="2"/>
  <c r="F1732" i="2"/>
  <c r="H1732" i="2"/>
  <c r="F1665" i="2"/>
  <c r="H1665" i="2"/>
  <c r="F1755" i="2"/>
  <c r="H1755" i="2"/>
  <c r="F19" i="2"/>
  <c r="H19" i="2"/>
  <c r="F45" i="2"/>
  <c r="H45" i="2"/>
  <c r="F118" i="2"/>
  <c r="H118" i="2"/>
  <c r="F135" i="2"/>
  <c r="H135" i="2"/>
  <c r="F123" i="2"/>
  <c r="H123" i="2"/>
  <c r="F169" i="2"/>
  <c r="H169" i="2"/>
  <c r="F157" i="2"/>
  <c r="H157" i="2"/>
  <c r="F203" i="2"/>
  <c r="H203" i="2"/>
  <c r="F191" i="2"/>
  <c r="H191" i="2"/>
  <c r="F179" i="2"/>
  <c r="H179" i="2"/>
  <c r="F214" i="2"/>
  <c r="H214" i="2"/>
  <c r="F260" i="2"/>
  <c r="H260" i="2"/>
  <c r="F248" i="2"/>
  <c r="H248" i="2"/>
  <c r="F236" i="2"/>
  <c r="H236" i="2"/>
  <c r="F1731" i="2"/>
  <c r="H1731" i="2"/>
  <c r="F1678" i="2"/>
  <c r="H1678" i="2"/>
  <c r="F1733" i="2"/>
  <c r="H1733" i="2"/>
  <c r="F1766" i="2"/>
  <c r="H1766" i="2"/>
  <c r="F1754" i="2"/>
  <c r="H1754" i="2"/>
  <c r="F146" i="2"/>
  <c r="H146" i="2"/>
  <c r="F134" i="2"/>
  <c r="H134" i="2"/>
  <c r="F122" i="2"/>
  <c r="H122" i="2"/>
  <c r="F168" i="2"/>
  <c r="H168" i="2"/>
  <c r="F156" i="2"/>
  <c r="H156" i="2"/>
  <c r="F202" i="2"/>
  <c r="H202" i="2"/>
  <c r="F190" i="2"/>
  <c r="H190" i="2"/>
  <c r="F178" i="2"/>
  <c r="H178" i="2"/>
  <c r="F224" i="2"/>
  <c r="H224" i="2"/>
  <c r="F213" i="2"/>
  <c r="H213" i="2"/>
  <c r="F259" i="2"/>
  <c r="H259" i="2"/>
  <c r="F247" i="2"/>
  <c r="H247" i="2"/>
  <c r="F235" i="2"/>
  <c r="H235" i="2"/>
  <c r="Q2" i="2"/>
  <c r="F1725" i="2"/>
  <c r="A262" i="2"/>
  <c r="A260" i="2"/>
  <c r="A258" i="2"/>
  <c r="A256" i="2"/>
  <c r="A254" i="2"/>
  <c r="A252" i="2"/>
  <c r="A250" i="2"/>
  <c r="A248" i="2"/>
  <c r="A246" i="2"/>
  <c r="A244" i="2"/>
  <c r="A242" i="2"/>
  <c r="A240" i="2"/>
  <c r="A238" i="2"/>
  <c r="A236" i="2"/>
  <c r="A1662" i="2"/>
  <c r="F1738" i="2"/>
  <c r="A1780" i="2"/>
  <c r="A1760" i="2"/>
  <c r="A231" i="2"/>
  <c r="A229" i="2"/>
  <c r="A1752" i="2"/>
  <c r="F1722" i="2"/>
  <c r="A69" i="2"/>
  <c r="A216" i="2"/>
  <c r="A214" i="2"/>
  <c r="A81" i="2"/>
  <c r="A24" i="2"/>
  <c r="F1741" i="2"/>
  <c r="A20" i="2"/>
  <c r="A222" i="2"/>
  <c r="A220" i="2"/>
  <c r="F1763" i="2"/>
  <c r="A234" i="2"/>
  <c r="A28" i="2"/>
  <c r="A1658" i="2"/>
  <c r="A261" i="2"/>
  <c r="A259" i="2"/>
  <c r="A257" i="2"/>
  <c r="A255" i="2"/>
  <c r="A253" i="2"/>
  <c r="A251" i="2"/>
  <c r="A249" i="2"/>
  <c r="A247" i="2"/>
  <c r="A245" i="2"/>
  <c r="A243" i="2"/>
  <c r="A241" i="2"/>
  <c r="A239" i="2"/>
  <c r="A237" i="2"/>
  <c r="A235" i="2"/>
  <c r="A1771" i="2"/>
  <c r="A1766" i="2"/>
  <c r="F16" i="2"/>
  <c r="A16" i="2"/>
  <c r="A42" i="2"/>
  <c r="A38" i="2"/>
  <c r="A211" i="2"/>
  <c r="A209" i="2"/>
  <c r="A207" i="2"/>
  <c r="A1778" i="2"/>
  <c r="A15" i="2"/>
  <c r="A37" i="2"/>
  <c r="A33" i="2"/>
  <c r="A87" i="2"/>
  <c r="A83" i="2"/>
  <c r="A71" i="2"/>
  <c r="A67" i="2"/>
  <c r="A63" i="2"/>
  <c r="F1681" i="2"/>
  <c r="A1685" i="2"/>
  <c r="A1681" i="2"/>
  <c r="A1677" i="2"/>
  <c r="A1673" i="2"/>
  <c r="A1669" i="2"/>
  <c r="A1665" i="2"/>
  <c r="F1669" i="2"/>
  <c r="A1661" i="2"/>
  <c r="A1657" i="2"/>
  <c r="A1774" i="2"/>
  <c r="A1768" i="2"/>
  <c r="A1762" i="2"/>
  <c r="A1758" i="2"/>
  <c r="A1754" i="2"/>
  <c r="A27" i="2"/>
  <c r="A1749" i="2"/>
  <c r="A1746" i="2"/>
  <c r="A1743" i="2"/>
  <c r="A1741" i="2"/>
  <c r="A1740" i="2"/>
  <c r="A1738" i="2"/>
  <c r="A1733" i="2"/>
  <c r="A1729" i="2"/>
  <c r="A1725" i="2"/>
  <c r="A1722" i="2"/>
  <c r="A1719" i="2"/>
  <c r="A1709" i="2"/>
  <c r="A1705" i="2"/>
  <c r="A1698" i="2"/>
  <c r="A1687" i="2"/>
  <c r="A1683" i="2"/>
  <c r="A1679" i="2"/>
  <c r="A1675" i="2"/>
  <c r="A1671" i="2"/>
  <c r="A1667" i="2"/>
  <c r="A1772" i="2"/>
  <c r="A30" i="2"/>
  <c r="A22" i="2"/>
  <c r="A10" i="2"/>
  <c r="A44" i="2"/>
  <c r="A40" i="2"/>
  <c r="A36" i="2"/>
  <c r="A32" i="2"/>
  <c r="A86" i="2"/>
  <c r="A66" i="2"/>
  <c r="A117" i="2"/>
  <c r="A232" i="2"/>
  <c r="A230" i="2"/>
  <c r="A221" i="2"/>
  <c r="A219" i="2"/>
  <c r="A217" i="2"/>
  <c r="A212" i="2"/>
  <c r="A210" i="2"/>
  <c r="A208" i="2"/>
  <c r="F23" i="2"/>
  <c r="A55" i="2"/>
  <c r="F8" i="2"/>
  <c r="A12" i="2"/>
  <c r="A8" i="2"/>
  <c r="A4" i="2"/>
  <c r="A115" i="2"/>
  <c r="A111" i="2"/>
  <c r="A107" i="2"/>
  <c r="A103" i="2"/>
  <c r="A99" i="2"/>
  <c r="A95" i="2"/>
  <c r="A91" i="2"/>
  <c r="A59" i="2"/>
  <c r="A47" i="2"/>
  <c r="F72" i="2"/>
  <c r="F1702" i="2"/>
  <c r="F1713" i="2"/>
  <c r="F1716" i="2"/>
  <c r="F1736" i="2"/>
  <c r="F1745" i="2"/>
  <c r="A1684" i="2"/>
  <c r="A1680" i="2"/>
  <c r="A1750" i="2"/>
  <c r="F11" i="2"/>
  <c r="A79" i="2"/>
  <c r="A75" i="2"/>
  <c r="F218" i="2"/>
  <c r="A51" i="2"/>
  <c r="F1734" i="2"/>
  <c r="A1748" i="2"/>
  <c r="A1747" i="2"/>
  <c r="A1745" i="2"/>
  <c r="A1744" i="2"/>
  <c r="A1742" i="2"/>
  <c r="A1739" i="2"/>
  <c r="A1737" i="2"/>
  <c r="A1736" i="2"/>
  <c r="A1735" i="2"/>
  <c r="A1734" i="2"/>
  <c r="A1732" i="2"/>
  <c r="A1731" i="2"/>
  <c r="A1730" i="2"/>
  <c r="A1728" i="2"/>
  <c r="A1727" i="2"/>
  <c r="A1726" i="2"/>
  <c r="A1724" i="2"/>
  <c r="A1723" i="2"/>
  <c r="A1721" i="2"/>
  <c r="A1720" i="2"/>
  <c r="A1718" i="2"/>
  <c r="A1717" i="2"/>
  <c r="A1716" i="2"/>
  <c r="A1715" i="2"/>
  <c r="A1714" i="2"/>
  <c r="A1713" i="2"/>
  <c r="A1712" i="2"/>
  <c r="A1711" i="2"/>
  <c r="A1710" i="2"/>
  <c r="A1708" i="2"/>
  <c r="A1707" i="2"/>
  <c r="A1706" i="2"/>
  <c r="A1704" i="2"/>
  <c r="A1703" i="2"/>
  <c r="A1702" i="2"/>
  <c r="A1701" i="2"/>
  <c r="A1700" i="2"/>
  <c r="A1699" i="2"/>
  <c r="A1697" i="2"/>
  <c r="A1696" i="2"/>
  <c r="A1695" i="2"/>
  <c r="A1694" i="2"/>
  <c r="A1693" i="2"/>
  <c r="A1692" i="2"/>
  <c r="A1691" i="2"/>
  <c r="A1690" i="2"/>
  <c r="A1689" i="2"/>
  <c r="A1664" i="2"/>
  <c r="A1660" i="2"/>
  <c r="F1779" i="2"/>
  <c r="F1767" i="2"/>
  <c r="F28" i="2"/>
  <c r="F20" i="2"/>
  <c r="A26" i="2"/>
  <c r="A18" i="2"/>
  <c r="A14" i="2"/>
  <c r="A6" i="2"/>
  <c r="F62" i="2"/>
  <c r="F225" i="2"/>
  <c r="F206" i="2"/>
  <c r="A1676" i="2"/>
  <c r="A1672" i="2"/>
  <c r="A1668" i="2"/>
  <c r="A1777" i="2"/>
  <c r="A1773" i="2"/>
  <c r="A1767" i="2"/>
  <c r="A1761" i="2"/>
  <c r="A1757" i="2"/>
  <c r="A1753" i="2"/>
  <c r="A23" i="2"/>
  <c r="A19" i="2"/>
  <c r="A11" i="2"/>
  <c r="A7" i="2"/>
  <c r="A3" i="2"/>
  <c r="A58" i="2"/>
  <c r="A54" i="2"/>
  <c r="A50" i="2"/>
  <c r="A46" i="2"/>
  <c r="A43" i="2"/>
  <c r="A39" i="2"/>
  <c r="A82" i="2"/>
  <c r="A78" i="2"/>
  <c r="A74" i="2"/>
  <c r="A70" i="2"/>
  <c r="A62" i="2"/>
  <c r="A114" i="2"/>
  <c r="A110" i="2"/>
  <c r="A106" i="2"/>
  <c r="A102" i="2"/>
  <c r="A98" i="2"/>
  <c r="A94" i="2"/>
  <c r="A90" i="2"/>
  <c r="A146" i="2"/>
  <c r="A144" i="2"/>
  <c r="A142" i="2"/>
  <c r="A140" i="2"/>
  <c r="A138" i="2"/>
  <c r="A136" i="2"/>
  <c r="A134" i="2"/>
  <c r="A132" i="2"/>
  <c r="A130" i="2"/>
  <c r="A128" i="2"/>
  <c r="A126" i="2"/>
  <c r="A124" i="2"/>
  <c r="A122" i="2"/>
  <c r="A120" i="2"/>
  <c r="A147" i="2"/>
  <c r="A174" i="2"/>
  <c r="A172" i="2"/>
  <c r="A170" i="2"/>
  <c r="A168" i="2"/>
  <c r="A166" i="2"/>
  <c r="A164" i="2"/>
  <c r="A162" i="2"/>
  <c r="A160" i="2"/>
  <c r="A158" i="2"/>
  <c r="A156" i="2"/>
  <c r="A154" i="2"/>
  <c r="A152" i="2"/>
  <c r="A150" i="2"/>
  <c r="A148" i="2"/>
  <c r="A204" i="2"/>
  <c r="A202" i="2"/>
  <c r="A200" i="2"/>
  <c r="A198" i="2"/>
  <c r="A196" i="2"/>
  <c r="A194" i="2"/>
  <c r="A192" i="2"/>
  <c r="A190" i="2"/>
  <c r="A188" i="2"/>
  <c r="A186" i="2"/>
  <c r="A184" i="2"/>
  <c r="A182" i="2"/>
  <c r="A180" i="2"/>
  <c r="A178" i="2"/>
  <c r="A205" i="2"/>
  <c r="A227" i="2"/>
  <c r="A224" i="2"/>
  <c r="A57" i="2"/>
  <c r="A53" i="2"/>
  <c r="A49" i="2"/>
  <c r="A45" i="2"/>
  <c r="A35" i="2"/>
  <c r="A31" i="2"/>
  <c r="A85" i="2"/>
  <c r="A77" i="2"/>
  <c r="A73" i="2"/>
  <c r="A65" i="2"/>
  <c r="A61" i="2"/>
  <c r="A113" i="2"/>
  <c r="A109" i="2"/>
  <c r="A105" i="2"/>
  <c r="A101" i="2"/>
  <c r="A97" i="2"/>
  <c r="A93" i="2"/>
  <c r="A89" i="2"/>
  <c r="A225" i="2"/>
  <c r="A218" i="2"/>
  <c r="A206" i="2"/>
  <c r="A1688" i="2"/>
  <c r="A1686" i="2"/>
  <c r="A1682" i="2"/>
  <c r="A1678" i="2"/>
  <c r="A1674" i="2"/>
  <c r="A1670" i="2"/>
  <c r="A1666" i="2"/>
  <c r="A1663" i="2"/>
  <c r="A1659" i="2"/>
  <c r="A1779" i="2"/>
  <c r="A1775" i="2"/>
  <c r="A1770" i="2"/>
  <c r="A1769" i="2"/>
  <c r="A1765" i="2"/>
  <c r="A1764" i="2"/>
  <c r="A1763" i="2"/>
  <c r="A1759" i="2"/>
  <c r="A1755" i="2"/>
  <c r="A1751" i="2"/>
  <c r="A29" i="2"/>
  <c r="A25" i="2"/>
  <c r="A21" i="2"/>
  <c r="A17" i="2"/>
  <c r="A13" i="2"/>
  <c r="A9" i="2"/>
  <c r="A5" i="2"/>
  <c r="F50" i="2"/>
  <c r="A56" i="2"/>
  <c r="A52" i="2"/>
  <c r="A48" i="2"/>
  <c r="A41" i="2"/>
  <c r="A34" i="2"/>
  <c r="A88" i="2"/>
  <c r="A84" i="2"/>
  <c r="A80" i="2"/>
  <c r="A76" i="2"/>
  <c r="A72" i="2"/>
  <c r="A68" i="2"/>
  <c r="A64" i="2"/>
  <c r="A60" i="2"/>
  <c r="F116" i="2"/>
  <c r="A116" i="2"/>
  <c r="A112" i="2"/>
  <c r="A108" i="2"/>
  <c r="A104" i="2"/>
  <c r="A100" i="2"/>
  <c r="A96" i="2"/>
  <c r="A92" i="2"/>
  <c r="A118" i="2"/>
  <c r="A145" i="2"/>
  <c r="A143" i="2"/>
  <c r="A141" i="2"/>
  <c r="A139" i="2"/>
  <c r="A137" i="2"/>
  <c r="A135" i="2"/>
  <c r="A133" i="2"/>
  <c r="A131" i="2"/>
  <c r="A129" i="2"/>
  <c r="A127" i="2"/>
  <c r="A125" i="2"/>
  <c r="A123" i="2"/>
  <c r="A121" i="2"/>
  <c r="A119" i="2"/>
  <c r="A175" i="2"/>
  <c r="A173" i="2"/>
  <c r="A171" i="2"/>
  <c r="A169" i="2"/>
  <c r="A167" i="2"/>
  <c r="A165" i="2"/>
  <c r="A163" i="2"/>
  <c r="A161" i="2"/>
  <c r="A159" i="2"/>
  <c r="A157" i="2"/>
  <c r="A155" i="2"/>
  <c r="A153" i="2"/>
  <c r="A151" i="2"/>
  <c r="A149" i="2"/>
  <c r="A176" i="2"/>
  <c r="A203" i="2"/>
  <c r="A201" i="2"/>
  <c r="A199" i="2"/>
  <c r="A197" i="2"/>
  <c r="A195" i="2"/>
  <c r="A193" i="2"/>
  <c r="A191" i="2"/>
  <c r="A189" i="2"/>
  <c r="A187" i="2"/>
  <c r="A185" i="2"/>
  <c r="A183" i="2"/>
  <c r="A181" i="2"/>
  <c r="A179" i="2"/>
  <c r="A177" i="2"/>
  <c r="A233" i="2"/>
  <c r="A228" i="2"/>
  <c r="A226" i="2"/>
  <c r="A223" i="2"/>
  <c r="A213" i="2"/>
  <c r="A2" i="2"/>
  <c r="F1674" i="2"/>
  <c r="F1686" i="2"/>
  <c r="F1673" i="2"/>
  <c r="F1658" i="2"/>
  <c r="F1759" i="2"/>
  <c r="F42" i="2"/>
  <c r="F1704" i="2"/>
  <c r="F1685" i="2"/>
  <c r="F1657" i="2"/>
  <c r="F1771" i="2"/>
  <c r="F1751" i="2"/>
  <c r="F31" i="2"/>
  <c r="F1660" i="2"/>
  <c r="F82" i="2"/>
  <c r="F66" i="2"/>
  <c r="F113" i="2"/>
  <c r="F105" i="2"/>
  <c r="F1680" i="2"/>
  <c r="F1664" i="2"/>
  <c r="F24" i="2"/>
  <c r="F4" i="2"/>
  <c r="F54" i="2"/>
  <c r="F34" i="2"/>
  <c r="F78" i="2"/>
  <c r="F65" i="2"/>
  <c r="F108" i="2"/>
  <c r="F1676" i="2"/>
  <c r="F1684" i="2"/>
  <c r="F1668" i="2"/>
  <c r="F1757" i="2"/>
  <c r="F27" i="2"/>
  <c r="F12" i="2"/>
  <c r="F7" i="2"/>
  <c r="F74" i="2"/>
  <c r="F64" i="2"/>
  <c r="F91" i="2"/>
  <c r="F1690" i="2"/>
  <c r="F1693" i="2"/>
  <c r="F1706" i="2"/>
  <c r="F1709" i="2"/>
  <c r="F1718" i="2"/>
  <c r="F1682" i="2"/>
  <c r="F1677" i="2"/>
  <c r="F1666" i="2"/>
  <c r="F1661" i="2"/>
  <c r="F1765" i="2"/>
  <c r="F15" i="2"/>
  <c r="F58" i="2"/>
  <c r="F40" i="2"/>
  <c r="F86" i="2"/>
  <c r="F70" i="2"/>
  <c r="M2" i="2"/>
  <c r="H2" i="2"/>
  <c r="F112" i="2"/>
  <c r="F109" i="2"/>
  <c r="F104" i="2"/>
  <c r="F101" i="2"/>
  <c r="F30" i="2"/>
  <c r="F14" i="2"/>
  <c r="F52" i="2"/>
  <c r="F44" i="2"/>
  <c r="F36" i="2"/>
  <c r="F60" i="2"/>
  <c r="F89" i="2"/>
  <c r="F1750" i="2"/>
  <c r="F18" i="2"/>
  <c r="F48" i="2"/>
  <c r="F90" i="2"/>
  <c r="F22" i="2"/>
  <c r="F6" i="2"/>
  <c r="F56" i="2"/>
  <c r="F1688" i="2"/>
  <c r="F1697" i="2"/>
  <c r="F1700" i="2"/>
  <c r="F1720" i="2"/>
  <c r="F1729" i="2"/>
  <c r="F1687" i="2"/>
  <c r="F1679" i="2"/>
  <c r="F1671" i="2"/>
  <c r="F1663" i="2"/>
  <c r="F1777" i="2"/>
  <c r="F1769" i="2"/>
  <c r="F1761" i="2"/>
  <c r="F1753" i="2"/>
  <c r="F26" i="2"/>
  <c r="F10" i="2"/>
  <c r="F32" i="2"/>
  <c r="F57" i="2"/>
  <c r="F49" i="2"/>
  <c r="F41" i="2"/>
  <c r="F33" i="2"/>
  <c r="F94" i="2"/>
  <c r="F117" i="2"/>
  <c r="F234" i="2"/>
  <c r="F205" i="2"/>
  <c r="F176" i="2"/>
  <c r="F100" i="2"/>
  <c r="F96" i="2"/>
  <c r="F92" i="2"/>
  <c r="F87" i="2"/>
  <c r="F83" i="2"/>
  <c r="F79" i="2"/>
  <c r="F75" i="2"/>
  <c r="F71" i="2"/>
  <c r="F67" i="2"/>
  <c r="F63" i="2"/>
  <c r="F29" i="2"/>
  <c r="F17" i="2"/>
  <c r="F13" i="2"/>
  <c r="F9" i="2"/>
  <c r="F25" i="2"/>
  <c r="F5" i="2"/>
  <c r="F21" i="2"/>
  <c r="L2" i="2"/>
  <c r="F1689" i="2"/>
  <c r="F1696" i="2"/>
  <c r="F1705" i="2"/>
  <c r="F1712" i="2"/>
  <c r="F1721" i="2"/>
  <c r="F1728" i="2"/>
  <c r="F1737" i="2"/>
  <c r="F1744" i="2"/>
  <c r="F1692" i="2"/>
  <c r="F1708" i="2"/>
  <c r="F1724" i="2"/>
  <c r="F1740" i="2"/>
  <c r="L6" i="3" l="1"/>
  <c r="G2" i="3" a="1"/>
  <c r="G2" i="3" s="1"/>
  <c r="H2" i="3"/>
  <c r="P2" i="2"/>
  <c r="O11" i="3" l="1" a="1"/>
  <c r="O11" i="3" s="1"/>
  <c r="O12" i="3" a="1"/>
  <c r="O12" i="3" s="1"/>
  <c r="O9" i="3" a="1"/>
  <c r="O9" i="3" s="1"/>
  <c r="O10" i="3" a="1"/>
  <c r="O10" i="3" s="1"/>
  <c r="O7" i="3" a="1"/>
  <c r="O7" i="3" s="1"/>
  <c r="O8" i="3" a="1"/>
  <c r="O8" i="3" s="1"/>
  <c r="O6" i="3" a="1"/>
  <c r="O6" i="3" s="1"/>
  <c r="F2" i="3"/>
  <c r="C2" i="3" l="1"/>
  <c r="J2" i="3"/>
  <c r="E2" i="3"/>
  <c r="D2" i="3"/>
  <c r="K2" i="3"/>
  <c r="I2"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<sst xmlns="http://schemas.openxmlformats.org/spreadsheetml/2006/main" count="9648" uniqueCount="895">
  <si>
    <t xml:space="preserve">INDEX </t>
  </si>
  <si>
    <t xml:space="preserve">BUY TRADE </t>
  </si>
  <si>
    <t xml:space="preserve">SELL TRADE </t>
  </si>
  <si>
    <t>PREV. CLOSE</t>
  </si>
  <si>
    <t>UST10Y (BEARISH)10-Year U.S. Treasury Yield</t>
  </si>
  <si>
    <t>UST2Y (BEARISH)2-Year U.S. Treasury Yield</t>
  </si>
  <si>
    <t>SPX (BEARISH)S&amp;P 500</t>
  </si>
  <si>
    <t>RUT (BEARISH)Russell 2000</t>
  </si>
  <si>
    <t>COMPQ (BULLISH)NASDAQ Composite</t>
  </si>
  <si>
    <t>XLV (BULLISH)Health Care Select Sector SPDR Fund</t>
  </si>
  <si>
    <t>XLK (BULLISH)Technology Select Sector SPDR Fund</t>
  </si>
  <si>
    <t>XLP (BEARISH)Consumer Staples Select Sector SPDR Fund</t>
  </si>
  <si>
    <t>XLF (BEARISH)Financial Select Sector SPDR Fund</t>
  </si>
  <si>
    <t>XLI (BEARISH)Industrial Select Sector SPDR Fund</t>
  </si>
  <si>
    <t>SSEC (BEARISH)Shanghai Composite</t>
  </si>
  <si>
    <t>NIKK (BEARISH)Nikkei 225 Index</t>
  </si>
  <si>
    <t>DAX (BEARISH)German DAX Composite</t>
  </si>
  <si>
    <t>VIX (BULLISH)Volatility Index</t>
  </si>
  <si>
    <t>USD (BULLISH)U.S. Dollar Index</t>
  </si>
  <si>
    <t>EUR/USD (BEARISH)Euro to U.S. Dollar</t>
  </si>
  <si>
    <t>USD/JPY (BEARISH)U.S. Dollar to Japanese Yen</t>
  </si>
  <si>
    <t>GBP/USD (BEARISH)British Pound to U.S. Dollar</t>
  </si>
  <si>
    <t>USD/CHF (NEUTRAL)U.S. Dollar to Swiss Franc</t>
  </si>
  <si>
    <t>WTIC (BEARISH)Light Crude Oil Spot Price</t>
  </si>
  <si>
    <t>NATGAS (BEARISH)Natural Gas Spot Price</t>
  </si>
  <si>
    <t>GOLD (BULLISH)Gold Spot Price</t>
  </si>
  <si>
    <t>COPPER (BEARISH)Copper Spot Price</t>
  </si>
  <si>
    <t>MSFT (BULLISH)Microsoft Corp.</t>
  </si>
  <si>
    <t>AAPL (BULLISH)Apple Inc.</t>
  </si>
  <si>
    <t>AMZN (BULLISH)Amazon Inc.</t>
  </si>
  <si>
    <t>FB (BULLISH)Facebook Inc.</t>
  </si>
  <si>
    <t>GOOGL (BULLISH)Alphabet Inc.</t>
  </si>
  <si>
    <t>NFLX (BULLISH)Netflix Inc.</t>
  </si>
  <si>
    <t>TSLA (BULLISH)Tesla Inc.</t>
  </si>
  <si>
    <t>NYXBT (BULLISH)Bitcoin Index</t>
  </si>
  <si>
    <t>DAY</t>
  </si>
  <si>
    <t>DATE</t>
  </si>
  <si>
    <t>DAYS AGO</t>
  </si>
  <si>
    <t>TICKER</t>
  </si>
  <si>
    <t>LOWER</t>
  </si>
  <si>
    <t>UPPER</t>
  </si>
  <si>
    <t>MIDPOINT</t>
  </si>
  <si>
    <t>STDEV</t>
  </si>
  <si>
    <t>SPOT</t>
  </si>
  <si>
    <t>Z-SCORE</t>
  </si>
  <si>
    <t>PARTIALITY</t>
  </si>
  <si>
    <t>SENTIMENT</t>
  </si>
  <si>
    <t>INDEX</t>
  </si>
  <si>
    <t>BUY TRADE</t>
  </si>
  <si>
    <t>SELL TRADE</t>
  </si>
  <si>
    <t>XLP (NEUTRAL)Consumer Staples Select Sector SPDR Fund</t>
  </si>
  <si>
    <t>SPX (NEUTRAL)S&amp;P 500</t>
  </si>
  <si>
    <t>XLU (BULLISH)Utilities Select Sector SPDR Fund</t>
  </si>
  <si>
    <t>VNQ (BULLISH)Vanguard Real Estate ETF</t>
  </si>
  <si>
    <t>XLP (BULLISH)Consumer Staples Select Sector SPDR Fund</t>
  </si>
  <si>
    <t>SSEC (NEUTRAL)Shanghai Composite</t>
  </si>
  <si>
    <t>USD/JPY (BULLISH)U.S. Dollar to Japanese Yen</t>
  </si>
  <si>
    <t>USD/CHF (BULLISH)U.S. Dollar to Swiss Franc</t>
  </si>
  <si>
    <t>FB (BEARISH)Facebook Inc.</t>
  </si>
  <si>
    <t>GOOGL (NEUTRAL)Alphabet Inc.</t>
  </si>
  <si>
    <t>NYXBT (BULLISH)NYSE Bitcoin Index</t>
  </si>
  <si>
    <t>COMPQ (NEUTRAL)NASDAQ Composite</t>
  </si>
  <si>
    <t>XLK (NEUTRAL)Technology Select Sector SPDR Fund</t>
  </si>
  <si>
    <t>AAPL (NEUTRAL)Apple Inc.</t>
  </si>
  <si>
    <t>COMPQ (BEARISH)NASDAQ Composite</t>
  </si>
  <si>
    <t>XLK (BEARISH)Technology Select Sector SPDR Fund</t>
  </si>
  <si>
    <t>GOOGL (BEARISH)Alphabet Inc.</t>
  </si>
  <si>
    <t>VNQ (BEARISH)Vanguard Real Estate ETF</t>
  </si>
  <si>
    <t>AAPL (BEARISH)Apple Inc.</t>
  </si>
  <si>
    <t>AMZN (NEUTRAL)Amazon Inc.</t>
  </si>
  <si>
    <t>NFLX (NEUTRAL)Netflix Inc.</t>
  </si>
  <si>
    <t>TSLA (NEUTRAL)Tesla Inc.</t>
  </si>
  <si>
    <t>NYXBT (NEUTRAL)NYSE Bitcoin Index</t>
  </si>
  <si>
    <t>AMZN (BEARISH)Amazon Inc.</t>
  </si>
  <si>
    <t>NYXBT (BEARISH)NYSE Bitcoin Index</t>
  </si>
  <si>
    <t>VNQ (NEUTRAL)Vanguard Real Estate ETF</t>
  </si>
  <si>
    <t>USD/CHF (BEARISH)U.S. Dollar to Swiss Franc</t>
  </si>
  <si>
    <t>EUR/USD (NEUTRAL)Euro to U.S. Dollar</t>
  </si>
  <si>
    <t>USD (NEUTRAL)U.S. Dollar Index</t>
  </si>
  <si>
    <t>GBP/USD (NEUTRAL)British Pound to U.S. Dollar</t>
  </si>
  <si>
    <t>XLU (NEUTRAL)Utilities Select Sector SPDR Fund</t>
  </si>
  <si>
    <t>NFLX (BEARISH)Netflix Inc.</t>
  </si>
  <si>
    <t>XLU (BEARISH)Utilities Select Sector SPDR Fund</t>
  </si>
  <si>
    <t>TSLA (BEARISH)Tesla Inc.</t>
  </si>
  <si>
    <t>NYXBT (BEARISH)Bitcoin Index</t>
  </si>
  <si>
    <t>GOLD (BEARISH)Gold Spot Price</t>
  </si>
  <si>
    <t>USD/JPY (NEUTRAL)U.S. Dollar to Japanese Yen</t>
  </si>
  <si>
    <t>NATGAS (NEUTRAL)Natural Gas Spot Price</t>
  </si>
  <si>
    <t>COPPER (NEUTRAL)Copper Spot Price</t>
  </si>
  <si>
    <t>NATGAS (BULLISH)Natural Gas Spot Price</t>
  </si>
  <si>
    <t>NIKK (NEUTRAL)Nikkei 225 Index</t>
  </si>
  <si>
    <t>NIKK (BULLISH)Nikkei 225 Index</t>
  </si>
  <si>
    <t>DAX (NEUTRAL)German DAX Composite</t>
  </si>
  <si>
    <t>SPX (BULLISH)S&amp;P 500</t>
  </si>
  <si>
    <t>USD (BEARISH)U.S. Dollar Index</t>
  </si>
  <si>
    <t>XLI (NEUTRAL)Industrial Select Sector SPDR Fund</t>
  </si>
  <si>
    <t>VIX (BEARISH)Volatility Index</t>
  </si>
  <si>
    <t>XLRE (BULLISH)Real Estate Select Sector SPDR Fund</t>
  </si>
  <si>
    <t>DAX (BULLISH)German DAX Composite</t>
  </si>
  <si>
    <t>EUR/USD (BULLISH)Euro to U.S. Dollar</t>
  </si>
  <si>
    <t>COPPER (BULLISH)Copper Spot Price</t>
  </si>
  <si>
    <t>XLV (BEARISH)Health Care Select Sector SPDR Fund</t>
  </si>
  <si>
    <t>GBP/USD (BULLISH)British Pound to U.S. Dollar</t>
  </si>
  <si>
    <t>WTIC (NEUTRAL)Light Crude Oil Spot Price</t>
  </si>
  <si>
    <t>SSEC (BULLISH)Shanghai Composite</t>
  </si>
  <si>
    <t>Product</t>
  </si>
  <si>
    <t>Ticker</t>
  </si>
  <si>
    <t>WTIC</t>
  </si>
  <si>
    <t>AAPL</t>
  </si>
  <si>
    <t>AMZN</t>
  </si>
  <si>
    <t>COMPQ</t>
  </si>
  <si>
    <t>COPPER</t>
  </si>
  <si>
    <t>DAX</t>
  </si>
  <si>
    <t>EUR/USD</t>
  </si>
  <si>
    <t>FB</t>
  </si>
  <si>
    <t>GBP/USD</t>
  </si>
  <si>
    <t>GOLD</t>
  </si>
  <si>
    <t>GOOGL</t>
  </si>
  <si>
    <t>MSFT</t>
  </si>
  <si>
    <t>NATGAS</t>
  </si>
  <si>
    <t>NFLX</t>
  </si>
  <si>
    <t>NIKK</t>
  </si>
  <si>
    <t>NYXBT</t>
  </si>
  <si>
    <t>RUT</t>
  </si>
  <si>
    <t>SPX</t>
  </si>
  <si>
    <t>SSEC</t>
  </si>
  <si>
    <t>TSLA</t>
  </si>
  <si>
    <t>USD</t>
  </si>
  <si>
    <t>USD/CHF</t>
  </si>
  <si>
    <t>USD/JPY</t>
  </si>
  <si>
    <t>UST10Y</t>
  </si>
  <si>
    <t>UST2Y</t>
  </si>
  <si>
    <t>VIX</t>
  </si>
  <si>
    <t>VNQ</t>
  </si>
  <si>
    <t>XLF</t>
  </si>
  <si>
    <t>XLI</t>
  </si>
  <si>
    <t>XLK</t>
  </si>
  <si>
    <t>XLP</t>
  </si>
  <si>
    <t>XLRE</t>
  </si>
  <si>
    <t>XLU</t>
  </si>
  <si>
    <t>XLV</t>
  </si>
  <si>
    <t>sID</t>
  </si>
  <si>
    <t>STEP ONE</t>
  </si>
  <si>
    <t>STEP TWO</t>
  </si>
  <si>
    <t>Click 'Refresh Graph'.</t>
  </si>
  <si>
    <t>Select the ticker from the dropdown list in worksheet "Product".</t>
  </si>
  <si>
    <t>STEP THREE</t>
  </si>
  <si>
    <t>Observe the day trade price range.</t>
  </si>
  <si>
    <t>Buy when the Spot Price gets close to the Day Price Floor.</t>
  </si>
  <si>
    <t>Sell when the Spot Price gets close to the Day Price Ceiling.</t>
  </si>
  <si>
    <t>Price range indications are only good for the day.</t>
  </si>
  <si>
    <t>New price ranges for select tickers are published daily 30 minutes before NYSE market open.</t>
  </si>
  <si>
    <t>STEP FOUR</t>
  </si>
  <si>
    <t>NOTES</t>
  </si>
  <si>
    <t>Caution must be exercised when selling products with BULLISH sentiment and BUYING products with BEARISH sentiment</t>
  </si>
  <si>
    <t>BEARISH</t>
  </si>
  <si>
    <t>XLRE (NEUTRAL)Real Estate Select Sector SPDR Fund</t>
  </si>
  <si>
    <t>FB (NEUTRAL)Facebook Inc.</t>
  </si>
  <si>
    <t>WTIC (BULLISH)Light Crude Oil Spot Price</t>
  </si>
  <si>
    <t>VIX (NEUTRAL)Volatility Index</t>
  </si>
  <si>
    <t>SPX (bullish)S&amp;P 500</t>
  </si>
  <si>
    <t>UST10Y (BEARISH) 10-YEAR U.S. TREASURY YIELD</t>
  </si>
  <si>
    <t>UST2Y (BEARISH) 2-YEAR U.S. TREASURY YIELD</t>
  </si>
  <si>
    <t>SPX (NEUTRAL) S&amp;P 500</t>
  </si>
  <si>
    <t>RUT (BEARISH) RUSSELL 2000</t>
  </si>
  <si>
    <t>COMPQ (BULLISH) NASDAQ COMPOSITE</t>
  </si>
  <si>
    <t>XLK (BULLISH) TECHNOLOGY SELECT SECTOR SPDR FUND</t>
  </si>
  <si>
    <t>XLRE (BULLISH) REAL ESTATE SELECT SECTOR SPDR FUND</t>
  </si>
  <si>
    <t>XLU (BULLISH) UTILITIES SELECT SECTOR SPDR FUND</t>
  </si>
  <si>
    <t>XLF (BEARISH) FINANCIAL SELECT SECTOR SPDR FUND</t>
  </si>
  <si>
    <t>SSEC (BULLISH) SHANGHAI COMPOSITE</t>
  </si>
  <si>
    <t>NIKK (NEUTRAL) NIKKEI 225 INDEX</t>
  </si>
  <si>
    <t>DAX (BULLISH) GERMAN DAX COMPOSITE</t>
  </si>
  <si>
    <t>VIX (NEUTRAL) VOLATILITY INDEX</t>
  </si>
  <si>
    <t>USD (BEARISH) U.S. DOLLAR INDEX</t>
  </si>
  <si>
    <t>EUR/USD (BULLISH) EURO TO U.S. DOLLAR</t>
  </si>
  <si>
    <t>USD/JPY (BEARISH) U.S. DOLLAR TO JAPANESE YEN</t>
  </si>
  <si>
    <t>GBP/USD (BULLISH) BRITISH POUND TO U.S. DOLLAR</t>
  </si>
  <si>
    <t>USD/CHF (BEARISH) U.S. DOLLAR TO SWISS FRANC</t>
  </si>
  <si>
    <t>WTIC (BULLISH) LIGHT CRUDE OIL SPOT PRICE</t>
  </si>
  <si>
    <t>NATGAS (BULLISH) NATURAL GAS SPOT PRICE</t>
  </si>
  <si>
    <t>GOLD (BULLISH) GOLD SPOT PRICE</t>
  </si>
  <si>
    <t>COPPER (BULLISH) COPPER SPOT PRICE</t>
  </si>
  <si>
    <t>MSFT (BULLISH) MICROSOFT CORP.</t>
  </si>
  <si>
    <t>AAPL (BULLISH) APPLE INC.</t>
  </si>
  <si>
    <t>AMZN (BULLISH) AMAZON INC.</t>
  </si>
  <si>
    <t>FB (BULLISH) FACEBOOK INC.</t>
  </si>
  <si>
    <t>GOOGL (BULLISH) ALPHABET INC.</t>
  </si>
  <si>
    <t>NFLX (NEUTRAL) NETFLIX INC.</t>
  </si>
  <si>
    <t>TSLA (BULLISH) TESLA INC.</t>
  </si>
  <si>
    <t>NYXBT (BULLISH) NYSE BITCOIN INDEX</t>
  </si>
  <si>
    <t>SPX (BULLISH) S&amp;P 500</t>
  </si>
  <si>
    <t>VIX (BEARISH) VOLATILITY INDEX</t>
  </si>
  <si>
    <t>NATGAS (NEUTRAL) NATURAL GAS SPOT PRICE</t>
  </si>
  <si>
    <t>NFLX (BULLISH) NETFLIX INC.</t>
  </si>
  <si>
    <t>SILVER (BULLISH)Silver Spot Price</t>
  </si>
  <si>
    <t>SILVER</t>
  </si>
  <si>
    <t>NIKK (BEARISH) NIKKEI 225 INDEX</t>
  </si>
  <si>
    <t>DAX (NEUTRAL) GERMAN DAX COMPOSITE</t>
  </si>
  <si>
    <t>SILVER (BULLISH) SILVER SPOT PRICE</t>
  </si>
  <si>
    <t>N/A</t>
  </si>
  <si>
    <t>NIKK (BULLISH) NIKKEI 225 INDEX</t>
  </si>
  <si>
    <t>VIX (BULLISH) VOLATILITY INDEX</t>
  </si>
  <si>
    <t>XLK (NEUTRAL) TECHNOLOGY SELECT SECTOR SPDR FUND</t>
  </si>
  <si>
    <t>XLU (NEUTRAL) UTILITIES SELECT SECTOR SPDR FUND</t>
  </si>
  <si>
    <t>WTIC (NEUTRAL) LIGHT CRUDE OIL SPOT PRICE</t>
  </si>
  <si>
    <t>MSFT (NEUTRAL) MICROSOFT CORP.</t>
  </si>
  <si>
    <t>AAPL (NEUTRAL) APPLE INC.</t>
  </si>
  <si>
    <t>GOOGL (NEUTRAL) ALPHABET INC.</t>
  </si>
  <si>
    <t>TSLA (NEUTRAL) TESLA INC.</t>
  </si>
  <si>
    <t>NYXBT (NEUTRAL) NYSE BITCOIN INDEX</t>
  </si>
  <si>
    <t>SPX (BEARISH) S&amp;P 500</t>
  </si>
  <si>
    <t>COMPQ (NEUTRAL) NASDAQ COMPOSITE</t>
  </si>
  <si>
    <t>NFLX (BEARISH) NETFLIX INC.</t>
  </si>
  <si>
    <t>GBP/USD (NEUTRAL) BRITISH POUND TO U.S. DOLLAR</t>
  </si>
  <si>
    <t>WTIC (BEARISH) LIGHT CRUDE OIL SPOT PRICE</t>
  </si>
  <si>
    <t>AMZN (NEUTRAL) AMAZON INC.</t>
  </si>
  <si>
    <t>COMPQ (BEARISH) NASDAQ COMPOSITE</t>
  </si>
  <si>
    <t>XLK (BEARISH) TECHNOLOGY SELECT SECTOR SPDR FUND</t>
  </si>
  <si>
    <t>MSFT (BEARISH) MICROSOFT CORP.</t>
  </si>
  <si>
    <t>AAPL (BEARISH) APPLE INC.</t>
  </si>
  <si>
    <t>GOOGL (BEARISH) ALPHABET INC.</t>
  </si>
  <si>
    <t>NATGAS (BEARISH) NATURAL GAS SPOT PRICE</t>
  </si>
  <si>
    <t>FB (NEUTRAL) FACEBOOK INC.</t>
  </si>
  <si>
    <t>AMZN (BEARISH) AMAZON INC.</t>
  </si>
  <si>
    <t>XLRE (BEARISH) REAL ESTATE SELECT SECTOR SPDR FUND</t>
  </si>
  <si>
    <t>XLU (BEARISH) UTILITIES SELECT SECTOR SPDR FUND</t>
  </si>
  <si>
    <t>DAX (BEARISH) GERMAN DAX COMPOSITE</t>
  </si>
  <si>
    <t>GBP/USD (BEARISH) BRITISH POUND TO U.S. DOLLAR</t>
  </si>
  <si>
    <t>SILVER (BEARISH) SILVER SPOT PRICE</t>
  </si>
  <si>
    <t>FB (BEARISH) FACEBOOK INC.</t>
  </si>
  <si>
    <t>SILVER (NEUTRAL) SILVER SPOT PRICE</t>
  </si>
  <si>
    <t>XLRE (NEUTRAL) REAL ESTATE SELECT SECTOR SPDR FUND</t>
  </si>
  <si>
    <t>COPPER (NEUTRAL) COPPER SPOT PRICE</t>
  </si>
  <si>
    <t>SILVER (BEARISH)Silver Spot Price</t>
  </si>
  <si>
    <t>MSFT (NEUTRAL)Microsoft Corp.</t>
  </si>
  <si>
    <t>MSFT (BEARISH)Microsoft Corp.</t>
  </si>
  <si>
    <t>USD (NEUTRAL) U.S. DOLLAR INDEX</t>
  </si>
  <si>
    <t>EUR/USD (NEUTRAL) EURO TO U.S. DOLLAR</t>
  </si>
  <si>
    <t>USD/JPY (NEUTRAL) U.S. DOLLAR TO JAPANESE YEN</t>
  </si>
  <si>
    <t>RUT (NEUTRAL)Russell 2000</t>
  </si>
  <si>
    <t>SILVER (NEUTRAL)Silver Spot Price</t>
  </si>
  <si>
    <t>RUT (NEUTRAL) RUSSELL 2000</t>
  </si>
  <si>
    <t>XLRE (BEARISH)Real Estate Select Sector SPDR Fund</t>
  </si>
  <si>
    <t>CAD/USD (BULLISH)Canadian Dollar to U.S. Dollar</t>
  </si>
  <si>
    <t>CAD/USD</t>
  </si>
  <si>
    <t>UST10Y (NEUTRAL)10-Year U.S. Treasury Yield</t>
  </si>
  <si>
    <t>RUT (BULLISH)Russell 2000</t>
  </si>
  <si>
    <t>XLF (NEUTRAL)Financial Select Sector SPDR Fund</t>
  </si>
  <si>
    <t>GOLD (NEUTRAL)Gold Spot Price</t>
  </si>
  <si>
    <t>XLE (BULLISH)Energy Select Sector SPDR Fund</t>
  </si>
  <si>
    <t>XLE</t>
  </si>
  <si>
    <t>XLF (BULLISH)Financial Select Sector SPDR Fund</t>
  </si>
  <si>
    <t>UST2Y (NEUTRAL)2-Year U.S. Treasury Yield</t>
  </si>
  <si>
    <t>GDX (BEARISH)VanEck Vectors Gold Miners ETF</t>
  </si>
  <si>
    <t>GDX</t>
  </si>
  <si>
    <t>SENT_PLOT</t>
  </si>
  <si>
    <t>UST10Y (BULLISH)10-Year U.S. Treasury Yield</t>
  </si>
  <si>
    <t>XLF (BULLISH)Financials Select Sector SPDR Fund</t>
  </si>
  <si>
    <t>UST2Y (BULLISH)2-Year U.S. Treasury Yield</t>
  </si>
  <si>
    <t>GME (BULLISH)Gamestop Corp.</t>
  </si>
  <si>
    <t>GME</t>
  </si>
  <si>
    <t>UST10Y (BULLISH)</t>
  </si>
  <si>
    <t>10-Year U.S. Treasury Yield</t>
  </si>
  <si>
    <t>2-Year U.S. Treasury Yield</t>
  </si>
  <si>
    <t>SPX (BULLISH)</t>
  </si>
  <si>
    <t>S&amp;P 500</t>
  </si>
  <si>
    <t>RUT (BULLISH)</t>
  </si>
  <si>
    <t>Russell 2000</t>
  </si>
  <si>
    <t>COMPQ (BULLISH)</t>
  </si>
  <si>
    <t>NASDAQ Composite</t>
  </si>
  <si>
    <t>XLK (BULLISH)</t>
  </si>
  <si>
    <t>Technology Select Sector SPDR Fund</t>
  </si>
  <si>
    <t>XLE (BULLISH)</t>
  </si>
  <si>
    <t>Energy Select Sector SPDR Fund</t>
  </si>
  <si>
    <t>XLU (BEARISH)</t>
  </si>
  <si>
    <t>Utilities Select Sector SPDR Fund</t>
  </si>
  <si>
    <t>GDX (BEARISH)</t>
  </si>
  <si>
    <t>VanEck Vectors Gold Miners ETF</t>
  </si>
  <si>
    <t>SSEC (BULLISH)</t>
  </si>
  <si>
    <t>Shanghai Composite</t>
  </si>
  <si>
    <t>NIKK (BULLISH)</t>
  </si>
  <si>
    <t>Nikkei 225 Index</t>
  </si>
  <si>
    <t>DAX (BULLISH)</t>
  </si>
  <si>
    <t>German DAX Composite</t>
  </si>
  <si>
    <t>VIX (BEARISH)</t>
  </si>
  <si>
    <t>Volatility Index</t>
  </si>
  <si>
    <t>USD (BEARISH)</t>
  </si>
  <si>
    <t>U.S. Dollar Index</t>
  </si>
  <si>
    <t>EUR/USD (BULLISH)</t>
  </si>
  <si>
    <t>Euro to U.S. Dollar</t>
  </si>
  <si>
    <t>USD/JPY (BULLISH)</t>
  </si>
  <si>
    <t>U.S. Dollar to Japanese Yen</t>
  </si>
  <si>
    <t>GBP/USD (BULLISH)</t>
  </si>
  <si>
    <t>British Pound to U.S. Dollar</t>
  </si>
  <si>
    <t>CAD/USD (BULLISH)</t>
  </si>
  <si>
    <t>Canadian Dollar to U.S. Dollar</t>
  </si>
  <si>
    <t>USD/CHF (BEARISH)</t>
  </si>
  <si>
    <t>U.S. Dollar to Swiss Franc</t>
  </si>
  <si>
    <t>WTIC (BULLISH)</t>
  </si>
  <si>
    <t>Light Crude Oil Spot Price</t>
  </si>
  <si>
    <t>NATGAS (BULLISH)</t>
  </si>
  <si>
    <t>Natural Gas Spot Price</t>
  </si>
  <si>
    <t>GOLD (BEARISH)</t>
  </si>
  <si>
    <t>Gold Spot Price</t>
  </si>
  <si>
    <t>COPPER (BULLISH)</t>
  </si>
  <si>
    <t>Copper Spot Price</t>
  </si>
  <si>
    <t>SILVER (BULLISH)</t>
  </si>
  <si>
    <t>Silver Spot Price</t>
  </si>
  <si>
    <t>MSFT (BULLISH)</t>
  </si>
  <si>
    <t>Microsoft Corp.</t>
  </si>
  <si>
    <t>Apple Inc.</t>
  </si>
  <si>
    <t>Amazon Inc.</t>
  </si>
  <si>
    <t>Facebook Inc.</t>
  </si>
  <si>
    <t>GOOGL (BULLISH)</t>
  </si>
  <si>
    <t>Alphabet Inc.</t>
  </si>
  <si>
    <t>NFLX (BULLISH)</t>
  </si>
  <si>
    <t>Netflix Inc.</t>
  </si>
  <si>
    <t>Tesla Inc.</t>
  </si>
  <si>
    <t>NYXBT (BULLISH)</t>
  </si>
  <si>
    <t>NYSE Bitcoin Index</t>
  </si>
  <si>
    <t>CHANNEL_WIDTH</t>
    <phoneticPr fontId="5" type="noConversion"/>
  </si>
  <si>
    <t>WIDTH</t>
    <phoneticPr fontId="5" type="noConversion"/>
  </si>
  <si>
    <t>CHANNEL_WIDTH</t>
    <phoneticPr fontId="5" type="noConversion"/>
  </si>
  <si>
    <t>TICKER</t>
    <phoneticPr fontId="5" type="noConversion"/>
  </si>
  <si>
    <t>BULLISH</t>
  </si>
  <si>
    <t>END DATE</t>
  </si>
  <si>
    <t>DON'T PRESS THIS BUTTON!!!!</t>
  </si>
  <si>
    <t>&lt;------------</t>
  </si>
  <si>
    <t>TUE</t>
  </si>
  <si>
    <t>WED</t>
  </si>
  <si>
    <t>THU</t>
  </si>
  <si>
    <t>FRI</t>
  </si>
  <si>
    <t>MON</t>
  </si>
  <si>
    <t>NEUTRAL</t>
  </si>
  <si>
    <t>MONTH</t>
  </si>
  <si>
    <t>YEAR</t>
  </si>
  <si>
    <t>x-axis</t>
  </si>
  <si>
    <t>STDEV.S</t>
  </si>
  <si>
    <t>WIDTH</t>
  </si>
  <si>
    <t>TSLA (BEARISH)</t>
  </si>
  <si>
    <t>Chart Start</t>
    <phoneticPr fontId="5" type="noConversion"/>
  </si>
  <si>
    <t>Chart End</t>
    <phoneticPr fontId="5" type="noConversion"/>
  </si>
  <si>
    <t>=INDEX(Staging!G:G,MATCH(Product!$L$6,Staging!G:G,0)):INDEX(Staging!G:G,MATCH(Product!$L$7,Staging!G:G,0))</t>
    <phoneticPr fontId="5" type="noConversion"/>
  </si>
  <si>
    <t>=INDEX(Staging!J:J,MATCH($L$6,Staging!G:G,0)):INDEX(Staging!J:J,MATCH($L$7,Staging!G:G,0))</t>
    <phoneticPr fontId="5" type="noConversion"/>
  </si>
  <si>
    <t>=INDEX(Staging!K:K,MATCH($L$6,Staging!G:G,0)):INDEX(Staging!K:K,MATCH($L$7,Staging!G:G,0))</t>
    <phoneticPr fontId="5" type="noConversion"/>
  </si>
  <si>
    <t>=INDEX(Staging!O:O,MATCH($L$6,Staging!G:G,0)):INDEX(Staging!O:O,MATCH($L$7,Staging!G:G,0))</t>
    <phoneticPr fontId="5" type="noConversion"/>
  </si>
  <si>
    <t>=INDEX(Staging!M:M,MATCH($L$6,Staging!G:G,0)):INDEX(Staging!M:M,MATCH($L$7,Staging!G:G,0))</t>
    <phoneticPr fontId="5" type="noConversion"/>
  </si>
  <si>
    <t>=INDEX(Staging!N:N,MATCH($L$6,Staging!G:G,0)):INDEX(Staging!N:N,MATCH($L$7,Staging!G:G,0))</t>
    <phoneticPr fontId="5" type="noConversion"/>
  </si>
  <si>
    <t>XLF (BULLISH)</t>
  </si>
  <si>
    <t>Financials Select Sector SPDR Fund</t>
  </si>
  <si>
    <t>FB (NEUTRAL)</t>
  </si>
  <si>
    <t>0% | 1.27%</t>
  </si>
  <si>
    <t>2.22% | 1.11%</t>
  </si>
  <si>
    <t>1.58% | 14.9%</t>
  </si>
  <si>
    <t>UST2Y (NEUTRAL)</t>
  </si>
  <si>
    <t>AAPL (BEARISH)</t>
  </si>
  <si>
    <t>AMZN (BEARISH)</t>
  </si>
  <si>
    <t>6.52% | 9.42%</t>
  </si>
  <si>
    <t>25% | 8.33%</t>
  </si>
  <si>
    <t>1.4% | 0.89%</t>
  </si>
  <si>
    <t>3.11% | 1.01%</t>
  </si>
  <si>
    <t>1.74% | 5.08%</t>
  </si>
  <si>
    <t>2% | 4.07%</t>
  </si>
  <si>
    <t>8.17% | 2.05%</t>
  </si>
  <si>
    <t>4.92% | 1.13%</t>
  </si>
  <si>
    <t>1.08% | 2.8%</t>
  </si>
  <si>
    <t>5.1% | 3.77%</t>
  </si>
  <si>
    <t>2.79% | 4.32%</t>
  </si>
  <si>
    <t>2.64% | 1.66%</t>
  </si>
  <si>
    <t>1.19% | 1.3%</t>
  </si>
  <si>
    <t>11.72% | 12.84%</t>
  </si>
  <si>
    <t>0.54% | 0.73%</t>
  </si>
  <si>
    <t>0.82% | 0.66%</t>
  </si>
  <si>
    <t>1.17% | 0.58%</t>
  </si>
  <si>
    <t>2.19% | 0.5%</t>
  </si>
  <si>
    <t>8.38% | 0.68%</t>
  </si>
  <si>
    <t>3.57% | 15.71%</t>
  </si>
  <si>
    <t>2.34% | 1.39%</t>
  </si>
  <si>
    <t>7.67% | 1.86%</t>
  </si>
  <si>
    <t>3.8% | 1.62%</t>
  </si>
  <si>
    <t>1.28% | 6.84%</t>
  </si>
  <si>
    <t>3.2% | 5.6%</t>
  </si>
  <si>
    <t>1.61% | 3.26%</t>
  </si>
  <si>
    <t>3.41% | 4.55%</t>
  </si>
  <si>
    <t>2.02% | 2.45%</t>
  </si>
  <si>
    <t>3.98% | 2.71%</t>
  </si>
  <si>
    <t>7.55% | 7.55%</t>
  </si>
  <si>
    <t>9.31% | 11.09%</t>
  </si>
  <si>
    <t>5.45% | 5.45%</t>
  </si>
  <si>
    <t>43886TSLA</t>
  </si>
  <si>
    <t>13.09% | 13.57%</t>
  </si>
  <si>
    <t>43887TSLA</t>
  </si>
  <si>
    <t>8.64% | 18.02%</t>
  </si>
  <si>
    <t>43888TSLA</t>
  </si>
  <si>
    <t>6.04% | 20.82%</t>
  </si>
  <si>
    <t>43889TSLA</t>
  </si>
  <si>
    <t>9.87% | 22.24%</t>
  </si>
  <si>
    <t>43892TSLA</t>
  </si>
  <si>
    <t>15.29% | 22.34%</t>
  </si>
  <si>
    <t>43893TSLA</t>
  </si>
  <si>
    <t>17.23% | 9.83%</t>
  </si>
  <si>
    <t>43894TSLA</t>
  </si>
  <si>
    <t>16.64% | 9.4%</t>
  </si>
  <si>
    <t>43895TSLA</t>
  </si>
  <si>
    <t>16.82% | 6.94%</t>
  </si>
  <si>
    <t>43896TSLA</t>
  </si>
  <si>
    <t>13.54% | 10.64%</t>
  </si>
  <si>
    <t>43899TSLA</t>
  </si>
  <si>
    <t>18.07% | 13.94%</t>
  </si>
  <si>
    <t>43900TSLA</t>
  </si>
  <si>
    <t>5.92% | 18.26%</t>
  </si>
  <si>
    <t>43901TSLA</t>
  </si>
  <si>
    <t>11.16% | 10.7%</t>
  </si>
  <si>
    <t>43902TSLA</t>
  </si>
  <si>
    <t>11.67% | 11.51%</t>
  </si>
  <si>
    <t>43903TSLA</t>
  </si>
  <si>
    <t>5.71% | 22.86%</t>
  </si>
  <si>
    <t>43906TSLA</t>
  </si>
  <si>
    <t>17.4% | 20.15%</t>
  </si>
  <si>
    <t>43907TSLA</t>
  </si>
  <si>
    <t>7.87% | 31.46%</t>
  </si>
  <si>
    <t>43908TSLA</t>
  </si>
  <si>
    <t>15.58% | 32.56%</t>
  </si>
  <si>
    <t>43909TSLA</t>
  </si>
  <si>
    <t>10.53% | 49.58%</t>
  </si>
  <si>
    <t>43910TSLA</t>
  </si>
  <si>
    <t>29.51% | 18.74%</t>
  </si>
  <si>
    <t>43913TSLA</t>
  </si>
  <si>
    <t>29.51% | 16.63%</t>
  </si>
  <si>
    <t>43914TSLA</t>
  </si>
  <si>
    <t>30.65% | 13.82%</t>
  </si>
  <si>
    <t>43915TSLA</t>
  </si>
  <si>
    <t>25.74% | 4.55%</t>
  </si>
  <si>
    <t>43916TSLA</t>
  </si>
  <si>
    <t>24.86% | 7.79%</t>
  </si>
  <si>
    <t>43917TSLA</t>
  </si>
  <si>
    <t>30.49% | 9.66%</t>
  </si>
  <si>
    <t>43920TSLA</t>
  </si>
  <si>
    <t>31.91% | 11.48%</t>
  </si>
  <si>
    <t>43921TSLA</t>
  </si>
  <si>
    <t>30.88% | 13.15%</t>
  </si>
  <si>
    <t>43922TSLA</t>
  </si>
  <si>
    <t>23.85% | 7.82%</t>
  </si>
  <si>
    <t>43923TSLA</t>
  </si>
  <si>
    <t>15.18% | 17.67%</t>
  </si>
  <si>
    <t>43924TSLA</t>
  </si>
  <si>
    <t>6.39% | 24.45%</t>
  </si>
  <si>
    <t>43927TSLA</t>
  </si>
  <si>
    <t>8.33% | 16.46%</t>
  </si>
  <si>
    <t>43928TSLA</t>
  </si>
  <si>
    <t>13.76% | 9.69%</t>
  </si>
  <si>
    <t>43929TSLA</t>
  </si>
  <si>
    <t>19.08% | 3.12%</t>
  </si>
  <si>
    <t>43930TSLA</t>
  </si>
  <si>
    <t>18.8% | 4.01%</t>
  </si>
  <si>
    <t>43934TSLA</t>
  </si>
  <si>
    <t>23.04% | 2.79%</t>
  </si>
  <si>
    <t>43935TSLA</t>
  </si>
  <si>
    <t>33.85% | 4.31%</t>
  </si>
  <si>
    <t>43936TSLA</t>
  </si>
  <si>
    <t>22.14% | 6.63%</t>
  </si>
  <si>
    <t>43937TSLA</t>
  </si>
  <si>
    <t>20.85% | 4.8%</t>
  </si>
  <si>
    <t>43938TSLA</t>
  </si>
  <si>
    <t>24.7% | 7.25%</t>
  </si>
  <si>
    <t>43941TSLA</t>
  </si>
  <si>
    <t>38.38% | 9.56%</t>
  </si>
  <si>
    <t>43942TSLA</t>
  </si>
  <si>
    <t>34.58% | 12.06%</t>
  </si>
  <si>
    <t>43943TSLA</t>
  </si>
  <si>
    <t>21.28% | 21.28%</t>
  </si>
  <si>
    <t>43944TSLA</t>
  </si>
  <si>
    <t>21.17% | 11.89%</t>
  </si>
  <si>
    <t>43945TSLA</t>
  </si>
  <si>
    <t>17.73% | 12.06%</t>
  </si>
  <si>
    <t>43948TSLA</t>
  </si>
  <si>
    <t>12.14% | 6.21%</t>
  </si>
  <si>
    <t>43949TSLA</t>
  </si>
  <si>
    <t>18.8% | 3.13%</t>
  </si>
  <si>
    <t>43950TSLA</t>
  </si>
  <si>
    <t>14.56% | 4.68%</t>
  </si>
  <si>
    <t>43951TSLA</t>
  </si>
  <si>
    <t>15.75% | 9.5%</t>
  </si>
  <si>
    <t>43952TSLA</t>
  </si>
  <si>
    <t>14.21% | 6.15%</t>
  </si>
  <si>
    <t>43955TSLA</t>
  </si>
  <si>
    <t>13.55% | 18.12%</t>
  </si>
  <si>
    <t>43956TSLA</t>
  </si>
  <si>
    <t>10.64% | 8.67%</t>
  </si>
  <si>
    <t>43957TSLA</t>
  </si>
  <si>
    <t>11.07% | 7.94%</t>
  </si>
  <si>
    <t>43958TSLA</t>
  </si>
  <si>
    <t>10.49% | 6.01%</t>
  </si>
  <si>
    <t>43959TSLA</t>
  </si>
  <si>
    <t>9.87% | 6.28%</t>
  </si>
  <si>
    <t>43962TSLA</t>
  </si>
  <si>
    <t>13.31% | 2.32%</t>
  </si>
  <si>
    <t>43963TSLA</t>
  </si>
  <si>
    <t>12.33% | 4.19%</t>
  </si>
  <si>
    <t>43964TSLA</t>
  </si>
  <si>
    <t>12.24% | 4.82%</t>
  </si>
  <si>
    <t>43965TSLA</t>
  </si>
  <si>
    <t>10% | 7.34%</t>
  </si>
  <si>
    <t>43966TSLA</t>
  </si>
  <si>
    <t>8.59% | 3.74%</t>
  </si>
  <si>
    <t>43969TSLA</t>
  </si>
  <si>
    <t>7.38% | 3.88%</t>
  </si>
  <si>
    <t>43970TSLA</t>
  </si>
  <si>
    <t>6.03% | 1.97%</t>
  </si>
  <si>
    <t>43971TSLA</t>
  </si>
  <si>
    <t>4.58% | 2.48%</t>
  </si>
  <si>
    <t>43972TSLA</t>
  </si>
  <si>
    <t>4.17% | 1.35%</t>
  </si>
  <si>
    <t>43973TSLA</t>
  </si>
  <si>
    <t>5.2% | 0.36%</t>
  </si>
  <si>
    <t>43977TSLA</t>
  </si>
  <si>
    <t>3.55% | 2.08%</t>
  </si>
  <si>
    <t>43978TSLA</t>
  </si>
  <si>
    <t>4.03% | 1.71%</t>
  </si>
  <si>
    <t>43979TSLA</t>
  </si>
  <si>
    <t>4.02% | 1.46%</t>
  </si>
  <si>
    <t>43980TSLA</t>
  </si>
  <si>
    <t>3.98% | 3.23%</t>
  </si>
  <si>
    <t>43983TSLA</t>
  </si>
  <si>
    <t>10.02% | 4.1%</t>
  </si>
  <si>
    <t>43984TSLA</t>
  </si>
  <si>
    <t>13.7% | 1.45%</t>
  </si>
  <si>
    <t>43985TSLA</t>
  </si>
  <si>
    <t>12.03% | 2.27%</t>
  </si>
  <si>
    <t>43986TSLA</t>
  </si>
  <si>
    <t>12.02% | 3.06%</t>
  </si>
  <si>
    <t>43987TSLA</t>
  </si>
  <si>
    <t>9.84% | 5.9%</t>
  </si>
  <si>
    <t>43990TSLA</t>
  </si>
  <si>
    <t>11.75% | 4.18%</t>
  </si>
  <si>
    <t>43991TSLA</t>
  </si>
  <si>
    <t>17.07% | 0.63%</t>
  </si>
  <si>
    <t>43992TSLA</t>
  </si>
  <si>
    <t>12.98% | 3.19%</t>
  </si>
  <si>
    <t>43993TSLA</t>
  </si>
  <si>
    <t>17.85% | 0.78%</t>
  </si>
  <si>
    <t>43994TSLA</t>
  </si>
  <si>
    <t>15.64% | 5.45%</t>
  </si>
  <si>
    <t>43997TSLA</t>
  </si>
  <si>
    <t>11.98% | 9.63%</t>
  </si>
  <si>
    <t>43998TSLA</t>
  </si>
  <si>
    <t>16.46% | 5.56%</t>
  </si>
  <si>
    <t>43999TSLA</t>
  </si>
  <si>
    <t>13.44% | 6.52%</t>
  </si>
  <si>
    <t>44000TSLA</t>
  </si>
  <si>
    <t>10.7% | 5.05%</t>
  </si>
  <si>
    <t>44001TSLA</t>
  </si>
  <si>
    <t>9.07% | 3.59%</t>
  </si>
  <si>
    <t>44004TSLA</t>
  </si>
  <si>
    <t>7.5% | 3.9%</t>
  </si>
  <si>
    <t>44005TSLA</t>
  </si>
  <si>
    <t>5.53% | 4.43%</t>
  </si>
  <si>
    <t>44006TSLA</t>
  </si>
  <si>
    <t>5.99% | 2.6%</t>
  </si>
  <si>
    <t>44007TSLA</t>
  </si>
  <si>
    <t>4.48% | 6.98%</t>
  </si>
  <si>
    <t>44008TSLA</t>
  </si>
  <si>
    <t>6.4% | 3.45%</t>
  </si>
  <si>
    <t>44011TSLA</t>
  </si>
  <si>
    <t>3.65% | 6.05%</t>
  </si>
  <si>
    <t>44012TSLA</t>
  </si>
  <si>
    <t>7.93% | 1.68%</t>
  </si>
  <si>
    <t>44013TSLA</t>
  </si>
  <si>
    <t>12.7% | 1.85%</t>
  </si>
  <si>
    <t>44014TSLA</t>
  </si>
  <si>
    <t>14.75% | 0.98%</t>
  </si>
  <si>
    <t>44018TSLA</t>
  </si>
  <si>
    <t>14.32% | 2.9%</t>
  </si>
  <si>
    <t>44019TSLA</t>
  </si>
  <si>
    <t>21.37% | 5.18%</t>
  </si>
  <si>
    <t>44020TSLA</t>
  </si>
  <si>
    <t>19.29% | 3.53%</t>
  </si>
  <si>
    <t>44021TSLA</t>
  </si>
  <si>
    <t>14.58% | 9.52%</t>
  </si>
  <si>
    <t>44022TSLA</t>
  </si>
  <si>
    <t>13.85% | 10.83%</t>
  </si>
  <si>
    <t>44025TSLA</t>
  </si>
  <si>
    <t>17.36% | 4.47%</t>
  </si>
  <si>
    <t>44026TSLA</t>
  </si>
  <si>
    <t>11.82% | 9.69%</t>
  </si>
  <si>
    <t>44027TSLA</t>
  </si>
  <si>
    <t>9.76% | 8.51%</t>
  </si>
  <si>
    <t>44028TSLA</t>
  </si>
  <si>
    <t>8.41% | 5.76%</t>
  </si>
  <si>
    <t>44029TSLA</t>
  </si>
  <si>
    <t>11.73% | 6.87%</t>
  </si>
  <si>
    <t>44032TSLA</t>
  </si>
  <si>
    <t>10.67% | 7%</t>
  </si>
  <si>
    <t>44033TSLA</t>
  </si>
  <si>
    <t>17.47% | 2.56%</t>
  </si>
  <si>
    <t>44034TSLA</t>
  </si>
  <si>
    <t>11.03% | 5.29%</t>
  </si>
  <si>
    <t>44035TSLA</t>
  </si>
  <si>
    <t>8.92% | 6.03%</t>
  </si>
  <si>
    <t>44036TSLA</t>
  </si>
  <si>
    <t>4.49% | 8.26%</t>
  </si>
  <si>
    <t>44039TSLA</t>
  </si>
  <si>
    <t>1.13% | 16.8%</t>
  </si>
  <si>
    <t>44040TSLA</t>
  </si>
  <si>
    <t>8.25% | 7.73%</t>
  </si>
  <si>
    <t>44041TSLA</t>
  </si>
  <si>
    <t>5.01% | 12.13%</t>
  </si>
  <si>
    <t>44042TSLA</t>
  </si>
  <si>
    <t>6.6% | 10.47%</t>
  </si>
  <si>
    <t>44043TSLA</t>
  </si>
  <si>
    <t>5.92% | 11.37%</t>
  </si>
  <si>
    <t>44046TSLA</t>
  </si>
  <si>
    <t>3.85% | 12.87%</t>
  </si>
  <si>
    <t>44047TSLA</t>
  </si>
  <si>
    <t>6.73% | 8.01%</t>
  </si>
  <si>
    <t>44048TSLA</t>
  </si>
  <si>
    <t>6.46% | 4.57%</t>
  </si>
  <si>
    <t>44049TSLA</t>
  </si>
  <si>
    <t>5.93% | 4.38%</t>
  </si>
  <si>
    <t>44050TSLA</t>
  </si>
  <si>
    <t>5.64% | 3.76%</t>
  </si>
  <si>
    <t>44053TSLA</t>
  </si>
  <si>
    <t>3.17% | 4.68%</t>
  </si>
  <si>
    <t>44054TSLA</t>
  </si>
  <si>
    <t>1.13% | 7.33%</t>
  </si>
  <si>
    <t>44055TSLA</t>
  </si>
  <si>
    <t>1.75% | 7.71%</t>
  </si>
  <si>
    <t>44056TSLA</t>
  </si>
  <si>
    <t>12.16% | 1.8%</t>
  </si>
  <si>
    <t>44057TSLA</t>
  </si>
  <si>
    <t>16.1% | 1.11%</t>
  </si>
  <si>
    <t>44060TSLA</t>
  </si>
  <si>
    <t>12.24% | 1.88%</t>
  </si>
  <si>
    <t>44061TSLA</t>
  </si>
  <si>
    <t>19.56% | 3.16%</t>
  </si>
  <si>
    <t>44062TSLA</t>
  </si>
  <si>
    <t>16.43% | 2.12%</t>
  </si>
  <si>
    <t>44063TSLA</t>
  </si>
  <si>
    <t>14.64% | 6.34%</t>
  </si>
  <si>
    <t>44064TSLA</t>
  </si>
  <si>
    <t>15.54% | 5.85%</t>
  </si>
  <si>
    <t>44067TSLA</t>
  </si>
  <si>
    <t>14.1% | 7.03%</t>
  </si>
  <si>
    <t>44068TSLA</t>
  </si>
  <si>
    <t>9.53% | 8.24%</t>
  </si>
  <si>
    <t>44069TSLA</t>
  </si>
  <si>
    <t>7.32% | 8.11%</t>
  </si>
  <si>
    <t>44070TSLA</t>
  </si>
  <si>
    <t>11.15% | 3.67%</t>
  </si>
  <si>
    <t>44071TSLA</t>
  </si>
  <si>
    <t>10.59% | 1.25%</t>
  </si>
  <si>
    <t>44074TSLA</t>
  </si>
  <si>
    <t>7.77% | 3.8%</t>
  </si>
  <si>
    <t>44075TSLA</t>
  </si>
  <si>
    <t>14.66% | 3.01%</t>
  </si>
  <si>
    <t>44076TSLA</t>
  </si>
  <si>
    <t>8.84% | 5.89%</t>
  </si>
  <si>
    <t>44077TSLA</t>
  </si>
  <si>
    <t>5.82% | 12.08%</t>
  </si>
  <si>
    <t>44078TSLA</t>
  </si>
  <si>
    <t>7.62% | 23.1%</t>
  </si>
  <si>
    <t>44082TSLA</t>
  </si>
  <si>
    <t>12.68% | 18.42%</t>
  </si>
  <si>
    <t>44083TSLA</t>
  </si>
  <si>
    <t>7.58% | 30.3%</t>
  </si>
  <si>
    <t>44084TSLA</t>
  </si>
  <si>
    <t>18.31% | 15.85%</t>
  </si>
  <si>
    <t>44085TSLA</t>
  </si>
  <si>
    <t>19.95% | 12.67%</t>
  </si>
  <si>
    <t>44088TSLA</t>
  </si>
  <si>
    <t>19.62% | 12.63%</t>
  </si>
  <si>
    <t>44089TSLA</t>
  </si>
  <si>
    <t>25.78% | 15.99%</t>
  </si>
  <si>
    <t>44090TSLA</t>
  </si>
  <si>
    <t>28.95% | 6.01%</t>
  </si>
  <si>
    <t>44091TSLA</t>
  </si>
  <si>
    <t>27.44% | 7.03%</t>
  </si>
  <si>
    <t>44092TSLA</t>
  </si>
  <si>
    <t>23.88% | 12.53%</t>
  </si>
  <si>
    <t>44095TSLA</t>
  </si>
  <si>
    <t>27.6% | 9.28%</t>
  </si>
  <si>
    <t>44096TSLA</t>
  </si>
  <si>
    <t>22.49% | 7.8%</t>
  </si>
  <si>
    <t>44097TSLA</t>
  </si>
  <si>
    <t>15.09% | 13.44%</t>
  </si>
  <si>
    <t>44098TSLA</t>
  </si>
  <si>
    <t>5.79% | 25.53%</t>
  </si>
  <si>
    <t>44099TSLA</t>
  </si>
  <si>
    <t>5.43% | 22.22%</t>
  </si>
  <si>
    <t>44102TSLA</t>
  </si>
  <si>
    <t>9.34% | 16.22%</t>
  </si>
  <si>
    <t>44103TSLA</t>
  </si>
  <si>
    <t>11.64% | 10.69%</t>
  </si>
  <si>
    <t>44104TSLA</t>
  </si>
  <si>
    <t>11.46% | 9.79%</t>
  </si>
  <si>
    <t>44105TSLA</t>
  </si>
  <si>
    <t>13.05% | 7.69%</t>
  </si>
  <si>
    <t>44106TSLA</t>
  </si>
  <si>
    <t>17.41% | 3.13%</t>
  </si>
  <si>
    <t>44109TSLA</t>
  </si>
  <si>
    <t>10.6% | 9.64%</t>
  </si>
  <si>
    <t>44110TSLA</t>
  </si>
  <si>
    <t>12% | 7.06%</t>
  </si>
  <si>
    <t>44111TSLA</t>
  </si>
  <si>
    <t>8.72% | 8.96%</t>
  </si>
  <si>
    <t>44112TSLA</t>
  </si>
  <si>
    <t>6.59% | 5.41%</t>
  </si>
  <si>
    <t>44113TSLA</t>
  </si>
  <si>
    <t>5.65% | 4.71%</t>
  </si>
  <si>
    <t>44116TSLA</t>
  </si>
  <si>
    <t>6.91% | 3.23%</t>
  </si>
  <si>
    <t>44117TSLA</t>
  </si>
  <si>
    <t>7.92% | 2.49%</t>
  </si>
  <si>
    <t>44118TSLA</t>
  </si>
  <si>
    <t>8.74% | 2.02%</t>
  </si>
  <si>
    <t>44119TSLA</t>
  </si>
  <si>
    <t>13.02% | 2.17%</t>
  </si>
  <si>
    <t>44120TSLA</t>
  </si>
  <si>
    <t>9.38% | 4.02%</t>
  </si>
  <si>
    <t>44123TSLA</t>
  </si>
  <si>
    <t>7.06% | 5.92%</t>
  </si>
  <si>
    <t>44124TSLA</t>
  </si>
  <si>
    <t>4.42% | 7.67%</t>
  </si>
  <si>
    <t>44125TSLA</t>
  </si>
  <si>
    <t>2.38% | 9.98%</t>
  </si>
  <si>
    <t>44126TSLA</t>
  </si>
  <si>
    <t>2.37% | 10.43%</t>
  </si>
  <si>
    <t>44127TSLA</t>
  </si>
  <si>
    <t>3.29% | 9.41%</t>
  </si>
  <si>
    <t>44130TSLA</t>
  </si>
  <si>
    <t>4.29% | 10.24%</t>
  </si>
  <si>
    <t>44131TSLA</t>
  </si>
  <si>
    <t>4.52% | 9.52%</t>
  </si>
  <si>
    <t>44132TSLA</t>
  </si>
  <si>
    <t>4.95% | 6.13%</t>
  </si>
  <si>
    <t>44133TSLA</t>
  </si>
  <si>
    <t>1.23% | 8.87%</t>
  </si>
  <si>
    <t>44134TSLA</t>
  </si>
  <si>
    <t>2.2% | 6.34%</t>
  </si>
  <si>
    <t>44137TSLA</t>
  </si>
  <si>
    <t>2.06% | 12.63%</t>
  </si>
  <si>
    <t>44138TSLA</t>
  </si>
  <si>
    <t>5% | 9.25%</t>
  </si>
  <si>
    <t>44139TSLA</t>
  </si>
  <si>
    <t>11.58% | 4.26%</t>
  </si>
  <si>
    <t>44140TSLA</t>
  </si>
  <si>
    <t>7.62% | 5%</t>
  </si>
  <si>
    <t>44141TSLA</t>
  </si>
  <si>
    <t>12.1% | 1.6%</t>
  </si>
  <si>
    <t>44144TSLA</t>
  </si>
  <si>
    <t>9.79% | 4.2%</t>
  </si>
  <si>
    <t>44145TSLA</t>
  </si>
  <si>
    <t>8.55% | 5.7%</t>
  </si>
  <si>
    <t>44146TSLA</t>
  </si>
  <si>
    <t>7.56% | 8.29%</t>
  </si>
  <si>
    <t>44147TSLA</t>
  </si>
  <si>
    <t>7.43% | 6.95%</t>
  </si>
  <si>
    <t>44148TSLA</t>
  </si>
  <si>
    <t>4.87% | 7.3%</t>
  </si>
  <si>
    <t>44151TSLA</t>
  </si>
  <si>
    <t>2.21% | 7.84%</t>
  </si>
  <si>
    <t>44152TSLA</t>
  </si>
  <si>
    <t>2.21% | 13.97%</t>
  </si>
  <si>
    <t>44153TSLA</t>
  </si>
  <si>
    <t>10.43% | 2.27%</t>
  </si>
  <si>
    <t>44154TSLA</t>
  </si>
  <si>
    <t>20.16% | 4.73%</t>
  </si>
  <si>
    <t>44155TSLA</t>
  </si>
  <si>
    <t>13.83% | 1.2%</t>
  </si>
  <si>
    <t>44158TSLA</t>
  </si>
  <si>
    <t>11.45% | 5.52%</t>
  </si>
  <si>
    <t>44159TSLA</t>
  </si>
  <si>
    <t>12.86% | 4.41%</t>
  </si>
  <si>
    <t>44160TSLA</t>
  </si>
  <si>
    <t>15.32% | 4.5%</t>
  </si>
  <si>
    <t>44162TSLA</t>
  </si>
  <si>
    <t>14.81% | 4.7%</t>
  </si>
  <si>
    <t>44165TSLA</t>
  </si>
  <si>
    <t>13.33% | 5.81%</t>
  </si>
  <si>
    <t>44166TSLA</t>
  </si>
  <si>
    <t>9.35% | 8.99%</t>
  </si>
  <si>
    <t>44167TSLA</t>
  </si>
  <si>
    <t>11.99% | 5.99%</t>
  </si>
  <si>
    <t>44168TSLA</t>
  </si>
  <si>
    <t>12.5% | 8.98%</t>
  </si>
  <si>
    <t>44169TSLA</t>
  </si>
  <si>
    <t>14.67% | 6.07%</t>
  </si>
  <si>
    <t>44172TSLA</t>
  </si>
  <si>
    <t>12.02% | 3.17%</t>
  </si>
  <si>
    <t>44173TSLA</t>
  </si>
  <si>
    <t>15.76% | 2.18%</t>
  </si>
  <si>
    <t>44174TSLA</t>
  </si>
  <si>
    <t>15.1% | 1.08%</t>
  </si>
  <si>
    <t>44175TSLA</t>
  </si>
  <si>
    <t>9.77% | 8.44%</t>
  </si>
  <si>
    <t>44176TSLA</t>
  </si>
  <si>
    <t>13.08% | 5.58%</t>
  </si>
  <si>
    <t>44179TSLA</t>
  </si>
  <si>
    <t>8.37% | 8.37%</t>
  </si>
  <si>
    <t>44180TSLA</t>
  </si>
  <si>
    <t>11.42% | 4.69%</t>
  </si>
  <si>
    <t>44181TSLA</t>
  </si>
  <si>
    <t>8.21% | 5.06%</t>
  </si>
  <si>
    <t>44182TSLA</t>
  </si>
  <si>
    <t>5.14% | 6.11%</t>
  </si>
  <si>
    <t>44183TSLA</t>
  </si>
  <si>
    <t>8.7% | 1.68%</t>
  </si>
  <si>
    <t>44186TSLA</t>
  </si>
  <si>
    <t>15.68% | 0.58%</t>
  </si>
  <si>
    <t>44187TSLA</t>
  </si>
  <si>
    <t>10.02% | 6.32%</t>
  </si>
  <si>
    <t>44188TSLA</t>
  </si>
  <si>
    <t>7.34% | 7.81%</t>
  </si>
  <si>
    <t>44189TSLA</t>
  </si>
  <si>
    <t>7.44% | 7.13%</t>
  </si>
  <si>
    <t>44193TSLA</t>
  </si>
  <si>
    <t>8.02% | 4.69%</t>
  </si>
  <si>
    <t>44194TSLA</t>
  </si>
  <si>
    <t>7.99% | 4.68%</t>
  </si>
  <si>
    <t>44195TSLA</t>
  </si>
  <si>
    <t>7.37% | 4.66%</t>
  </si>
  <si>
    <t>44196TSLA</t>
  </si>
  <si>
    <t>9.94% | 1.44%</t>
  </si>
  <si>
    <t>44200TSLA</t>
  </si>
  <si>
    <t>7.94% | 2.55%</t>
  </si>
  <si>
    <t>44201TSLA</t>
  </si>
  <si>
    <t>9.05% | 0.69%</t>
  </si>
  <si>
    <t>44202TSLA</t>
  </si>
  <si>
    <t>8.57% | 2.18%</t>
  </si>
  <si>
    <t>44203TSLA</t>
  </si>
  <si>
    <t>10.6% | 1.99%</t>
  </si>
  <si>
    <t>44204TSLA</t>
  </si>
  <si>
    <t>12.38% | 2.82%</t>
  </si>
  <si>
    <t>44207TSLA</t>
  </si>
  <si>
    <t>17.27% | 1.36%</t>
  </si>
  <si>
    <t>44208TSLA</t>
  </si>
  <si>
    <t>8.26% | 9.12%</t>
  </si>
  <si>
    <t>44209TSLA</t>
  </si>
  <si>
    <t>8.6% | 6.12%</t>
  </si>
  <si>
    <t>44210TSLA</t>
  </si>
  <si>
    <t>8.31% | 6.91%</t>
  </si>
  <si>
    <t>44211TSLA</t>
  </si>
  <si>
    <t>6.75% | 8.28%</t>
  </si>
  <si>
    <t>44215TSLA</t>
  </si>
  <si>
    <t>10.29% | 10.17%</t>
  </si>
  <si>
    <t>44216TSLA</t>
  </si>
  <si>
    <t>9.36% | 6.75%</t>
  </si>
  <si>
    <t>44217TSLA</t>
  </si>
  <si>
    <t>6.47% | 4.94%</t>
  </si>
  <si>
    <t>44218TSLA</t>
  </si>
  <si>
    <t>44221TSLA</t>
  </si>
  <si>
    <t>4.85% | 4.85%</t>
  </si>
  <si>
    <t>44222TSLA</t>
  </si>
  <si>
    <t>6.7% | 0.68%</t>
  </si>
  <si>
    <t>44223TSLA</t>
  </si>
  <si>
    <t>7.59% | 1.59%</t>
  </si>
  <si>
    <t>44224TSLA</t>
  </si>
  <si>
    <t>6.48% | 3.01%</t>
  </si>
  <si>
    <t>44225TSLA</t>
  </si>
  <si>
    <t>2.99% | 6.71%</t>
  </si>
  <si>
    <t>44228TSLA</t>
  </si>
  <si>
    <t>2.14% | 13.62%</t>
  </si>
  <si>
    <t>44229TSLA</t>
  </si>
  <si>
    <t>6.08% | 7.39%</t>
  </si>
  <si>
    <t>44230TSLA</t>
  </si>
  <si>
    <t>8.94% | 4.93%</t>
  </si>
  <si>
    <t>44231TSLA</t>
  </si>
  <si>
    <t>6.91% | 6.56%</t>
  </si>
  <si>
    <t>44232TSLA</t>
  </si>
  <si>
    <t>6.12% | 7.07%</t>
  </si>
  <si>
    <t>44235TSLA</t>
  </si>
  <si>
    <t>6.22% | 5.52%</t>
  </si>
  <si>
    <t>44236TSLA</t>
  </si>
  <si>
    <t>7.42% | 3.71%</t>
  </si>
  <si>
    <t>44237TSLA</t>
  </si>
  <si>
    <t>5.89% | 4.95%</t>
  </si>
  <si>
    <t>44238TSLA</t>
  </si>
  <si>
    <t>1.74% | 11.07%</t>
  </si>
  <si>
    <t>44239TSLA</t>
  </si>
  <si>
    <t>1.6% | 9.74%</t>
  </si>
  <si>
    <t>44243TSLA</t>
  </si>
  <si>
    <t>2.82% | 8.95%</t>
  </si>
  <si>
    <t>44244TSLA</t>
  </si>
  <si>
    <t>1.63% | 11.06%</t>
  </si>
  <si>
    <t>44245TSLA</t>
  </si>
  <si>
    <t>3.76% | 10.28%</t>
  </si>
  <si>
    <t>44246TSLA</t>
  </si>
  <si>
    <t>2.67% | 10.93%</t>
  </si>
  <si>
    <t>44249TSLA</t>
  </si>
  <si>
    <t>4.1% | 10.76%</t>
  </si>
  <si>
    <t>44250TSLA</t>
  </si>
  <si>
    <t>8.12% | 15.97%</t>
  </si>
  <si>
    <t>44251TSLA</t>
  </si>
  <si>
    <t>44252TSLA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</si>
</sst>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dd\-mmm\-yyyy"/>
    <numFmt numFmtId="177" formatCode="dd/mm/yyyy"/>
  </numFmts>
  <fonts count="9" x14ac:knownFonts="1">
    <font>
      <sz val="12"/>
      <color theme="1"/>
      <name val="等线"/>
      <family val="2"/>
      <scheme val="minor"/>
    </font>
    <font>
      <b/>
      <sz val="12"/>
      <color rgb="FFFA7D00"/>
      <name val="等线"/>
      <family val="2"/>
      <scheme val="minor"/>
    </font>
    <font>
      <sz val="12"/>
      <color rgb="FF3F3F76"/>
      <name val="等线"/>
      <family val="2"/>
      <scheme val="minor"/>
    </font>
    <font>
      <b/>
      <sz val="16"/>
      <color rgb="FFFF0000"/>
      <name val="等线"/>
      <family val="2"/>
      <scheme val="minor"/>
    </font>
    <font>
      <sz val="12"/>
      <color rgb="FF000000"/>
      <name val="Calibri"/>
      <family val="2"/>
    </font>
    <font>
      <sz val="9"/>
      <name val="等线"/>
      <family val="3"/>
      <charset val="134"/>
      <scheme val="minor"/>
    </font>
    <font>
      <b/>
      <sz val="12"/>
      <color theme="1"/>
      <name val="等线"/>
      <family val="3"/>
      <charset val="134"/>
      <scheme val="minor"/>
    </font>
    <font>
      <b/>
      <sz val="14"/>
      <color rgb="FFFF0000"/>
      <name val="等线"/>
      <family val="2"/>
      <scheme val="minor"/>
    </font>
    <font>
      <sz val="12"/>
      <color theme="0"/>
      <name val="等线"/>
      <family val="2"/>
      <scheme val="minor"/>
    </font>
  </fonts>
  <fills count="6">
    <fill>
      <patternFill patternType="none"/>
    </fill>
    <fill>
      <patternFill patternType="gray125"/>
    </fill>
    <fill>
      <patternFill patternType="solid">
        <fgColor rgb="FFF2F2F2"/>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CC99"/>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 fillId="2" borderId="1" applyNumberFormat="0" applyAlignment="0" applyProtection="0"/>
    <xf numFmtId="0" fontId="2" fillId="5" borderId="1" applyNumberFormat="0" applyAlignment="0" applyProtection="0"/>
  </cellStyleXfs>
  <cellXfs count="19">
    <xf numFmtId="0" fontId="0" fillId="0" borderId="0" xfId="0"/>
    <xf numFmtId="14" fontId="0" fillId="3" borderId="0" xfId="0" applyNumberFormat="1" applyFill="1"/>
    <xf numFmtId="1" fontId="0" fillId="0" borderId="0" xfId="0" applyNumberFormat="1"/>
    <xf numFmtId="14" fontId="0" fillId="4" borderId="0" xfId="0" applyNumberFormat="1" applyFill="1"/>
    <xf numFmtId="3" fontId="0" fillId="0" borderId="0" xfId="0" applyNumberFormat="1"/>
    <xf numFmtId="0" fontId="1" fillId="2" borderId="1" xfId="1"/>
    <xf numFmtId="0" fontId="2" fillId="5" borderId="1" xfId="2"/>
    <xf numFmtId="0" fontId="0" fillId="0" borderId="0" xfId="0" applyAlignment="1">
      <alignment horizontal="center"/>
    </xf>
    <xf numFmtId="0" fontId="3" fillId="0" borderId="0" xfId="0" applyFont="1"/>
    <xf numFmtId="0" fontId="3" fillId="0" borderId="0" xfId="0" applyFont="1" applyAlignment="1">
      <alignment wrapText="1"/>
    </xf>
    <xf numFmtId="176" fontId="1" fillId="2" borderId="1" xfId="1" applyNumberFormat="1"/>
    <xf numFmtId="176" fontId="0" fillId="0" borderId="0" xfId="0" applyNumberFormat="1"/>
    <xf numFmtId="14" fontId="0" fillId="0" borderId="0" xfId="0" applyNumberFormat="1"/>
    <xf numFmtId="0" fontId="6" fillId="0" borderId="0" xfId="0" applyFont="1"/>
    <xf numFmtId="177" fontId="0" fillId="0" borderId="0" xfId="0" applyNumberFormat="1"/>
    <xf numFmtId="0" fontId="7" fillId="0" borderId="0" xfId="0" applyFont="1"/>
    <xf numFmtId="0" fontId="6" fillId="0" borderId="0" xfId="0" applyFont="1" applyAlignment="1">
      <alignment horizontal="right"/>
    </xf>
    <xf numFmtId="0" fontId="8" fillId="0" borderId="0" xfId="0" applyFont="1"/>
    <xf numFmtId="0" fontId="8" fillId="0" borderId="0" xfId="0" quotePrefix="1" applyFont="1"/>
  </cellXfs>
  <cellStyles count="3">
    <cellStyle name="Calculation" xfId="1" builtinId="22"/>
    <cellStyle name="Input" xfId="2" builtinId="20"/>
    <cellStyle name="Normal" xfId="0" builtinId="0"/>
  </cellStyles>
  <dxfs count="7473">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
      <font>
        <color rgb="FF9C0006"/>
      </font>
      <fill>
        <patternFill>
          <bgColor rgb="FFFFC7CE"/>
        </patternFill>
      </fill>
    </dxf>
    <dxf>
      <font>
        <color rgb="FF006100"/>
      </font>
      <fill>
        <patternFill>
          <bgColor rgb="FFC6EFCE"/>
        </patternFill>
      </fill>
    </dxf>
    <dxf>
      <font>
        <color theme="4"/>
      </font>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strRef>
          <c:f>RR!$V$1</c:f>
          <c:strCache>
            <c:ptCount val="1"/>
            <c:pt idx="0">
              <c:v>TICKER: TSLA</c:v>
            </c:pt>
          </c:strCache>
        </c:strRef>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5.1858311099542309E-2"/>
          <c:y val="9.4376590330788809E-2"/>
          <c:w val="0.93299017374894255"/>
          <c:h val="0.78389713690368856"/>
        </c:manualLayout>
      </c:layout>
      <c:lineChart>
        <c:grouping val="standard"/>
        <c:varyColors val="0"/>
        <c:ser>
          <c:idx val="0"/>
          <c:order val="0"/>
          <c:tx>
            <c:strRef>
              <c:f>RR!$J$1</c:f>
              <c:strCache>
                <c:ptCount val="1"/>
                <c:pt idx="0">
                  <c:v>LOWER</c:v>
                </c:pt>
              </c:strCache>
            </c:strRef>
          </c:tx>
          <c:spPr>
            <a:ln w="28575" cap="rnd">
              <a:solidFill>
                <a:srgbClr val="00B050"/>
              </a:solidFill>
              <a:round/>
            </a:ln>
            <a:effectLst/>
          </c:spPr>
          <c:marker>
            <c:symbol val="none"/>
          </c:marker>
          <c:cat>
            <c:numRef>
              <c:f>RR!$G$2:$G$9999</c:f>
              <c:numCache>
                <c:formatCode>m/d/yyyy</c:formatCode>
                <c:ptCount val="2438"/>
                <c:pt idx="0">
                  <c:v>43886</c:v>
                </c:pt>
                <c:pt idx="1">
                  <c:v>43887</c:v>
                </c:pt>
                <c:pt idx="2">
                  <c:v>43888</c:v>
                </c:pt>
                <c:pt idx="3">
                  <c:v>43889</c:v>
                </c:pt>
                <c:pt idx="4">
                  <c:v>43892</c:v>
                </c:pt>
                <c:pt idx="5">
                  <c:v>43893</c:v>
                </c:pt>
                <c:pt idx="6">
                  <c:v>43894</c:v>
                </c:pt>
                <c:pt idx="7">
                  <c:v>43895</c:v>
                </c:pt>
                <c:pt idx="8">
                  <c:v>43896</c:v>
                </c:pt>
                <c:pt idx="9">
                  <c:v>43899</c:v>
                </c:pt>
                <c:pt idx="10">
                  <c:v>43900</c:v>
                </c:pt>
                <c:pt idx="11">
                  <c:v>43901</c:v>
                </c:pt>
                <c:pt idx="12">
                  <c:v>43902</c:v>
                </c:pt>
                <c:pt idx="13">
                  <c:v>43903</c:v>
                </c:pt>
                <c:pt idx="14">
                  <c:v>43906</c:v>
                </c:pt>
                <c:pt idx="15">
                  <c:v>43907</c:v>
                </c:pt>
                <c:pt idx="16">
                  <c:v>43908</c:v>
                </c:pt>
                <c:pt idx="17">
                  <c:v>43909</c:v>
                </c:pt>
                <c:pt idx="18">
                  <c:v>43910</c:v>
                </c:pt>
                <c:pt idx="19">
                  <c:v>43913</c:v>
                </c:pt>
                <c:pt idx="20">
                  <c:v>43914</c:v>
                </c:pt>
                <c:pt idx="21">
                  <c:v>43915</c:v>
                </c:pt>
                <c:pt idx="22">
                  <c:v>43916</c:v>
                </c:pt>
                <c:pt idx="23">
                  <c:v>43917</c:v>
                </c:pt>
                <c:pt idx="24">
                  <c:v>43920</c:v>
                </c:pt>
                <c:pt idx="25">
                  <c:v>43921</c:v>
                </c:pt>
                <c:pt idx="26">
                  <c:v>43922</c:v>
                </c:pt>
                <c:pt idx="27">
                  <c:v>43923</c:v>
                </c:pt>
                <c:pt idx="28">
                  <c:v>43924</c:v>
                </c:pt>
                <c:pt idx="29">
                  <c:v>43927</c:v>
                </c:pt>
                <c:pt idx="30">
                  <c:v>43928</c:v>
                </c:pt>
                <c:pt idx="31">
                  <c:v>43929</c:v>
                </c:pt>
                <c:pt idx="32">
                  <c:v>43930</c:v>
                </c:pt>
                <c:pt idx="33">
                  <c:v>43934</c:v>
                </c:pt>
                <c:pt idx="34">
                  <c:v>43935</c:v>
                </c:pt>
                <c:pt idx="35">
                  <c:v>43936</c:v>
                </c:pt>
                <c:pt idx="36">
                  <c:v>43937</c:v>
                </c:pt>
                <c:pt idx="37">
                  <c:v>43938</c:v>
                </c:pt>
                <c:pt idx="38">
                  <c:v>43941</c:v>
                </c:pt>
                <c:pt idx="39">
                  <c:v>43942</c:v>
                </c:pt>
                <c:pt idx="40">
                  <c:v>43943</c:v>
                </c:pt>
                <c:pt idx="41">
                  <c:v>43944</c:v>
                </c:pt>
                <c:pt idx="42">
                  <c:v>43945</c:v>
                </c:pt>
                <c:pt idx="43">
                  <c:v>43948</c:v>
                </c:pt>
                <c:pt idx="44">
                  <c:v>43949</c:v>
                </c:pt>
                <c:pt idx="45">
                  <c:v>43950</c:v>
                </c:pt>
                <c:pt idx="46">
                  <c:v>43951</c:v>
                </c:pt>
                <c:pt idx="47">
                  <c:v>43952</c:v>
                </c:pt>
                <c:pt idx="48">
                  <c:v>43955</c:v>
                </c:pt>
                <c:pt idx="49">
                  <c:v>43956</c:v>
                </c:pt>
                <c:pt idx="50">
                  <c:v>43957</c:v>
                </c:pt>
                <c:pt idx="51">
                  <c:v>43958</c:v>
                </c:pt>
                <c:pt idx="52">
                  <c:v>43959</c:v>
                </c:pt>
                <c:pt idx="53">
                  <c:v>43962</c:v>
                </c:pt>
                <c:pt idx="54">
                  <c:v>43963</c:v>
                </c:pt>
                <c:pt idx="55">
                  <c:v>43964</c:v>
                </c:pt>
                <c:pt idx="56">
                  <c:v>43965</c:v>
                </c:pt>
                <c:pt idx="57">
                  <c:v>43966</c:v>
                </c:pt>
                <c:pt idx="58">
                  <c:v>43969</c:v>
                </c:pt>
                <c:pt idx="59">
                  <c:v>43970</c:v>
                </c:pt>
                <c:pt idx="60">
                  <c:v>43971</c:v>
                </c:pt>
                <c:pt idx="61">
                  <c:v>43972</c:v>
                </c:pt>
                <c:pt idx="62">
                  <c:v>43973</c:v>
                </c:pt>
                <c:pt idx="63">
                  <c:v>43977</c:v>
                </c:pt>
                <c:pt idx="64">
                  <c:v>43978</c:v>
                </c:pt>
                <c:pt idx="65">
                  <c:v>43979</c:v>
                </c:pt>
                <c:pt idx="66">
                  <c:v>43980</c:v>
                </c:pt>
                <c:pt idx="67">
                  <c:v>43983</c:v>
                </c:pt>
                <c:pt idx="68">
                  <c:v>43984</c:v>
                </c:pt>
                <c:pt idx="69">
                  <c:v>43985</c:v>
                </c:pt>
                <c:pt idx="70">
                  <c:v>43986</c:v>
                </c:pt>
                <c:pt idx="71">
                  <c:v>43987</c:v>
                </c:pt>
                <c:pt idx="72">
                  <c:v>43990</c:v>
                </c:pt>
                <c:pt idx="73">
                  <c:v>43991</c:v>
                </c:pt>
                <c:pt idx="74">
                  <c:v>43992</c:v>
                </c:pt>
                <c:pt idx="75">
                  <c:v>43993</c:v>
                </c:pt>
                <c:pt idx="76">
                  <c:v>43994</c:v>
                </c:pt>
                <c:pt idx="77">
                  <c:v>43997</c:v>
                </c:pt>
                <c:pt idx="78">
                  <c:v>43998</c:v>
                </c:pt>
                <c:pt idx="79">
                  <c:v>43999</c:v>
                </c:pt>
                <c:pt idx="80">
                  <c:v>44000</c:v>
                </c:pt>
                <c:pt idx="81">
                  <c:v>44001</c:v>
                </c:pt>
                <c:pt idx="82">
                  <c:v>44004</c:v>
                </c:pt>
                <c:pt idx="83">
                  <c:v>44005</c:v>
                </c:pt>
                <c:pt idx="84">
                  <c:v>44006</c:v>
                </c:pt>
                <c:pt idx="85">
                  <c:v>44007</c:v>
                </c:pt>
                <c:pt idx="86">
                  <c:v>44008</c:v>
                </c:pt>
                <c:pt idx="87">
                  <c:v>44011</c:v>
                </c:pt>
                <c:pt idx="88">
                  <c:v>44012</c:v>
                </c:pt>
                <c:pt idx="89">
                  <c:v>44013</c:v>
                </c:pt>
                <c:pt idx="90">
                  <c:v>44014</c:v>
                </c:pt>
                <c:pt idx="91">
                  <c:v>44018</c:v>
                </c:pt>
                <c:pt idx="92">
                  <c:v>44019</c:v>
                </c:pt>
                <c:pt idx="93">
                  <c:v>44020</c:v>
                </c:pt>
                <c:pt idx="94">
                  <c:v>44021</c:v>
                </c:pt>
                <c:pt idx="95">
                  <c:v>44022</c:v>
                </c:pt>
                <c:pt idx="96">
                  <c:v>44025</c:v>
                </c:pt>
                <c:pt idx="97">
                  <c:v>44026</c:v>
                </c:pt>
                <c:pt idx="98">
                  <c:v>44027</c:v>
                </c:pt>
                <c:pt idx="99">
                  <c:v>44028</c:v>
                </c:pt>
                <c:pt idx="100">
                  <c:v>44029</c:v>
                </c:pt>
                <c:pt idx="101">
                  <c:v>44032</c:v>
                </c:pt>
                <c:pt idx="102">
                  <c:v>44033</c:v>
                </c:pt>
                <c:pt idx="103">
                  <c:v>44034</c:v>
                </c:pt>
                <c:pt idx="104">
                  <c:v>44035</c:v>
                </c:pt>
                <c:pt idx="105">
                  <c:v>44036</c:v>
                </c:pt>
                <c:pt idx="106">
                  <c:v>44039</c:v>
                </c:pt>
                <c:pt idx="107">
                  <c:v>44040</c:v>
                </c:pt>
                <c:pt idx="108">
                  <c:v>44041</c:v>
                </c:pt>
                <c:pt idx="109">
                  <c:v>44042</c:v>
                </c:pt>
                <c:pt idx="110">
                  <c:v>44043</c:v>
                </c:pt>
                <c:pt idx="111">
                  <c:v>44046</c:v>
                </c:pt>
                <c:pt idx="112">
                  <c:v>44047</c:v>
                </c:pt>
                <c:pt idx="113">
                  <c:v>44048</c:v>
                </c:pt>
                <c:pt idx="114">
                  <c:v>44049</c:v>
                </c:pt>
                <c:pt idx="115">
                  <c:v>44050</c:v>
                </c:pt>
                <c:pt idx="116">
                  <c:v>44053</c:v>
                </c:pt>
                <c:pt idx="117">
                  <c:v>44054</c:v>
                </c:pt>
                <c:pt idx="118">
                  <c:v>44055</c:v>
                </c:pt>
                <c:pt idx="119">
                  <c:v>44056</c:v>
                </c:pt>
                <c:pt idx="120">
                  <c:v>44057</c:v>
                </c:pt>
                <c:pt idx="121">
                  <c:v>44060</c:v>
                </c:pt>
                <c:pt idx="122">
                  <c:v>44061</c:v>
                </c:pt>
                <c:pt idx="123">
                  <c:v>44062</c:v>
                </c:pt>
                <c:pt idx="124">
                  <c:v>44063</c:v>
                </c:pt>
                <c:pt idx="125">
                  <c:v>44064</c:v>
                </c:pt>
                <c:pt idx="126">
                  <c:v>44067</c:v>
                </c:pt>
                <c:pt idx="127">
                  <c:v>44068</c:v>
                </c:pt>
                <c:pt idx="128">
                  <c:v>44069</c:v>
                </c:pt>
                <c:pt idx="129">
                  <c:v>44070</c:v>
                </c:pt>
                <c:pt idx="130">
                  <c:v>44071</c:v>
                </c:pt>
                <c:pt idx="131">
                  <c:v>44074</c:v>
                </c:pt>
                <c:pt idx="132">
                  <c:v>44075</c:v>
                </c:pt>
                <c:pt idx="133">
                  <c:v>44076</c:v>
                </c:pt>
                <c:pt idx="134">
                  <c:v>44077</c:v>
                </c:pt>
                <c:pt idx="135">
                  <c:v>44078</c:v>
                </c:pt>
                <c:pt idx="136">
                  <c:v>44082</c:v>
                </c:pt>
                <c:pt idx="137">
                  <c:v>44083</c:v>
                </c:pt>
                <c:pt idx="138">
                  <c:v>44084</c:v>
                </c:pt>
                <c:pt idx="139">
                  <c:v>44085</c:v>
                </c:pt>
                <c:pt idx="140">
                  <c:v>44088</c:v>
                </c:pt>
                <c:pt idx="141">
                  <c:v>44089</c:v>
                </c:pt>
                <c:pt idx="142">
                  <c:v>44090</c:v>
                </c:pt>
                <c:pt idx="143">
                  <c:v>44091</c:v>
                </c:pt>
                <c:pt idx="144">
                  <c:v>44092</c:v>
                </c:pt>
                <c:pt idx="145">
                  <c:v>44095</c:v>
                </c:pt>
                <c:pt idx="146">
                  <c:v>44096</c:v>
                </c:pt>
                <c:pt idx="147">
                  <c:v>44097</c:v>
                </c:pt>
                <c:pt idx="148">
                  <c:v>44098</c:v>
                </c:pt>
                <c:pt idx="149">
                  <c:v>44099</c:v>
                </c:pt>
                <c:pt idx="150">
                  <c:v>44102</c:v>
                </c:pt>
                <c:pt idx="151">
                  <c:v>44103</c:v>
                </c:pt>
                <c:pt idx="152">
                  <c:v>44104</c:v>
                </c:pt>
                <c:pt idx="153">
                  <c:v>44105</c:v>
                </c:pt>
                <c:pt idx="154">
                  <c:v>44106</c:v>
                </c:pt>
                <c:pt idx="155">
                  <c:v>44109</c:v>
                </c:pt>
                <c:pt idx="156">
                  <c:v>44110</c:v>
                </c:pt>
                <c:pt idx="157">
                  <c:v>44111</c:v>
                </c:pt>
                <c:pt idx="158">
                  <c:v>44112</c:v>
                </c:pt>
                <c:pt idx="159">
                  <c:v>44113</c:v>
                </c:pt>
                <c:pt idx="160">
                  <c:v>44116</c:v>
                </c:pt>
                <c:pt idx="161">
                  <c:v>44117</c:v>
                </c:pt>
                <c:pt idx="162">
                  <c:v>44118</c:v>
                </c:pt>
                <c:pt idx="163">
                  <c:v>44119</c:v>
                </c:pt>
                <c:pt idx="164">
                  <c:v>44120</c:v>
                </c:pt>
                <c:pt idx="165">
                  <c:v>44123</c:v>
                </c:pt>
                <c:pt idx="166">
                  <c:v>44124</c:v>
                </c:pt>
                <c:pt idx="167">
                  <c:v>44125</c:v>
                </c:pt>
                <c:pt idx="168">
                  <c:v>44126</c:v>
                </c:pt>
                <c:pt idx="169">
                  <c:v>44127</c:v>
                </c:pt>
                <c:pt idx="170">
                  <c:v>44130</c:v>
                </c:pt>
                <c:pt idx="171">
                  <c:v>44131</c:v>
                </c:pt>
                <c:pt idx="172">
                  <c:v>44132</c:v>
                </c:pt>
                <c:pt idx="173">
                  <c:v>44133</c:v>
                </c:pt>
                <c:pt idx="174">
                  <c:v>44134</c:v>
                </c:pt>
                <c:pt idx="175">
                  <c:v>44137</c:v>
                </c:pt>
                <c:pt idx="176">
                  <c:v>44138</c:v>
                </c:pt>
                <c:pt idx="177">
                  <c:v>44139</c:v>
                </c:pt>
                <c:pt idx="178">
                  <c:v>44140</c:v>
                </c:pt>
                <c:pt idx="179">
                  <c:v>44141</c:v>
                </c:pt>
                <c:pt idx="180">
                  <c:v>44144</c:v>
                </c:pt>
                <c:pt idx="181">
                  <c:v>44145</c:v>
                </c:pt>
                <c:pt idx="182">
                  <c:v>44146</c:v>
                </c:pt>
                <c:pt idx="183">
                  <c:v>44147</c:v>
                </c:pt>
                <c:pt idx="184">
                  <c:v>44148</c:v>
                </c:pt>
                <c:pt idx="185">
                  <c:v>44151</c:v>
                </c:pt>
                <c:pt idx="186">
                  <c:v>44152</c:v>
                </c:pt>
                <c:pt idx="187">
                  <c:v>44153</c:v>
                </c:pt>
                <c:pt idx="188">
                  <c:v>44154</c:v>
                </c:pt>
                <c:pt idx="189">
                  <c:v>44155</c:v>
                </c:pt>
                <c:pt idx="190">
                  <c:v>44158</c:v>
                </c:pt>
                <c:pt idx="191">
                  <c:v>44159</c:v>
                </c:pt>
                <c:pt idx="192">
                  <c:v>44160</c:v>
                </c:pt>
                <c:pt idx="193">
                  <c:v>44162</c:v>
                </c:pt>
                <c:pt idx="194">
                  <c:v>44165</c:v>
                </c:pt>
                <c:pt idx="195">
                  <c:v>44166</c:v>
                </c:pt>
                <c:pt idx="196">
                  <c:v>44167</c:v>
                </c:pt>
                <c:pt idx="197">
                  <c:v>44168</c:v>
                </c:pt>
                <c:pt idx="198">
                  <c:v>44169</c:v>
                </c:pt>
                <c:pt idx="199">
                  <c:v>44172</c:v>
                </c:pt>
                <c:pt idx="200">
                  <c:v>44173</c:v>
                </c:pt>
                <c:pt idx="201">
                  <c:v>44174</c:v>
                </c:pt>
                <c:pt idx="202">
                  <c:v>44175</c:v>
                </c:pt>
                <c:pt idx="203">
                  <c:v>44176</c:v>
                </c:pt>
                <c:pt idx="204">
                  <c:v>44179</c:v>
                </c:pt>
                <c:pt idx="205">
                  <c:v>44180</c:v>
                </c:pt>
                <c:pt idx="206">
                  <c:v>44181</c:v>
                </c:pt>
                <c:pt idx="207">
                  <c:v>44182</c:v>
                </c:pt>
                <c:pt idx="208">
                  <c:v>44183</c:v>
                </c:pt>
                <c:pt idx="209">
                  <c:v>44186</c:v>
                </c:pt>
                <c:pt idx="210">
                  <c:v>44187</c:v>
                </c:pt>
                <c:pt idx="211">
                  <c:v>44188</c:v>
                </c:pt>
                <c:pt idx="212">
                  <c:v>44189</c:v>
                </c:pt>
                <c:pt idx="213">
                  <c:v>44193</c:v>
                </c:pt>
                <c:pt idx="214">
                  <c:v>44194</c:v>
                </c:pt>
                <c:pt idx="215">
                  <c:v>44195</c:v>
                </c:pt>
                <c:pt idx="216">
                  <c:v>44196</c:v>
                </c:pt>
                <c:pt idx="217">
                  <c:v>44200</c:v>
                </c:pt>
                <c:pt idx="218">
                  <c:v>44201</c:v>
                </c:pt>
                <c:pt idx="219">
                  <c:v>44202</c:v>
                </c:pt>
                <c:pt idx="220">
                  <c:v>44203</c:v>
                </c:pt>
                <c:pt idx="221">
                  <c:v>44204</c:v>
                </c:pt>
                <c:pt idx="222">
                  <c:v>44207</c:v>
                </c:pt>
                <c:pt idx="223">
                  <c:v>44208</c:v>
                </c:pt>
                <c:pt idx="224">
                  <c:v>44209</c:v>
                </c:pt>
                <c:pt idx="225">
                  <c:v>44210</c:v>
                </c:pt>
                <c:pt idx="226">
                  <c:v>44211</c:v>
                </c:pt>
                <c:pt idx="227">
                  <c:v>44215</c:v>
                </c:pt>
                <c:pt idx="228">
                  <c:v>44216</c:v>
                </c:pt>
                <c:pt idx="229">
                  <c:v>44217</c:v>
                </c:pt>
                <c:pt idx="230">
                  <c:v>44218</c:v>
                </c:pt>
                <c:pt idx="231">
                  <c:v>44221</c:v>
                </c:pt>
                <c:pt idx="232">
                  <c:v>44222</c:v>
                </c:pt>
                <c:pt idx="233">
                  <c:v>44223</c:v>
                </c:pt>
                <c:pt idx="234">
                  <c:v>44224</c:v>
                </c:pt>
                <c:pt idx="235">
                  <c:v>44225</c:v>
                </c:pt>
                <c:pt idx="236">
                  <c:v>44228</c:v>
                </c:pt>
                <c:pt idx="237">
                  <c:v>44229</c:v>
                </c:pt>
                <c:pt idx="238">
                  <c:v>44230</c:v>
                </c:pt>
                <c:pt idx="239">
                  <c:v>44231</c:v>
                </c:pt>
                <c:pt idx="240">
                  <c:v>44232</c:v>
                </c:pt>
                <c:pt idx="241">
                  <c:v>44235</c:v>
                </c:pt>
                <c:pt idx="242">
                  <c:v>44236</c:v>
                </c:pt>
                <c:pt idx="243">
                  <c:v>44237</c:v>
                </c:pt>
                <c:pt idx="244">
                  <c:v>44238</c:v>
                </c:pt>
                <c:pt idx="245">
                  <c:v>44239</c:v>
                </c:pt>
                <c:pt idx="246">
                  <c:v>44243</c:v>
                </c:pt>
                <c:pt idx="247">
                  <c:v>44244</c:v>
                </c:pt>
                <c:pt idx="248" formatCode="dd/mm/yyyy">
                  <c:v>44245</c:v>
                </c:pt>
                <c:pt idx="249" formatCode="dd/mm/yyyy">
                  <c:v>44246</c:v>
                </c:pt>
                <c:pt idx="250" formatCode="dd/mm/yyyy">
                  <c:v>44249</c:v>
                </c:pt>
                <c:pt idx="251" formatCode="dd/mm/yyyy">
                  <c:v>44250</c:v>
                </c:pt>
                <c:pt idx="252" formatCode="dd/mm/yyyy">
                  <c:v>44251</c:v>
                </c:pt>
                <c:pt idx="253" formatCode="dd/mm/yyyy">
                  <c:v>44252</c:v>
                </c:pt>
              </c:numCache>
            </c:numRef>
          </c:cat>
          <c:val>
            <c:numRef>
              <c:f>RR!$J$2:$J$9999</c:f>
              <c:numCache>
                <c:formatCode>General</c:formatCode>
                <c:ptCount val="2438"/>
                <c:pt idx="0">
                  <c:v>724</c:v>
                </c:pt>
                <c:pt idx="1">
                  <c:v>730</c:v>
                </c:pt>
                <c:pt idx="2">
                  <c:v>731</c:v>
                </c:pt>
                <c:pt idx="3">
                  <c:v>612</c:v>
                </c:pt>
                <c:pt idx="4">
                  <c:v>565</c:v>
                </c:pt>
                <c:pt idx="5">
                  <c:v>615</c:v>
                </c:pt>
                <c:pt idx="6">
                  <c:v>621</c:v>
                </c:pt>
                <c:pt idx="7">
                  <c:v>623</c:v>
                </c:pt>
                <c:pt idx="8">
                  <c:v>626</c:v>
                </c:pt>
                <c:pt idx="9">
                  <c:v>576</c:v>
                </c:pt>
                <c:pt idx="10">
                  <c:v>572</c:v>
                </c:pt>
                <c:pt idx="11">
                  <c:v>573</c:v>
                </c:pt>
                <c:pt idx="12">
                  <c:v>560</c:v>
                </c:pt>
                <c:pt idx="13">
                  <c:v>528</c:v>
                </c:pt>
                <c:pt idx="14">
                  <c:v>451</c:v>
                </c:pt>
                <c:pt idx="15">
                  <c:v>410</c:v>
                </c:pt>
                <c:pt idx="16">
                  <c:v>363</c:v>
                </c:pt>
                <c:pt idx="17">
                  <c:v>323</c:v>
                </c:pt>
                <c:pt idx="18">
                  <c:v>301</c:v>
                </c:pt>
                <c:pt idx="19">
                  <c:v>301</c:v>
                </c:pt>
                <c:pt idx="20">
                  <c:v>301</c:v>
                </c:pt>
                <c:pt idx="21">
                  <c:v>375</c:v>
                </c:pt>
                <c:pt idx="22">
                  <c:v>405</c:v>
                </c:pt>
                <c:pt idx="23">
                  <c:v>367</c:v>
                </c:pt>
                <c:pt idx="24">
                  <c:v>350</c:v>
                </c:pt>
                <c:pt idx="25">
                  <c:v>347</c:v>
                </c:pt>
                <c:pt idx="26">
                  <c:v>399</c:v>
                </c:pt>
                <c:pt idx="27">
                  <c:v>408</c:v>
                </c:pt>
                <c:pt idx="28">
                  <c:v>425</c:v>
                </c:pt>
                <c:pt idx="29">
                  <c:v>440</c:v>
                </c:pt>
                <c:pt idx="30">
                  <c:v>445</c:v>
                </c:pt>
                <c:pt idx="31">
                  <c:v>441</c:v>
                </c:pt>
                <c:pt idx="32">
                  <c:v>445</c:v>
                </c:pt>
                <c:pt idx="33">
                  <c:v>441</c:v>
                </c:pt>
                <c:pt idx="34">
                  <c:v>430</c:v>
                </c:pt>
                <c:pt idx="35">
                  <c:v>552</c:v>
                </c:pt>
                <c:pt idx="36">
                  <c:v>577</c:v>
                </c:pt>
                <c:pt idx="37">
                  <c:v>561</c:v>
                </c:pt>
                <c:pt idx="38">
                  <c:v>464</c:v>
                </c:pt>
                <c:pt idx="39">
                  <c:v>488</c:v>
                </c:pt>
                <c:pt idx="40">
                  <c:v>540</c:v>
                </c:pt>
                <c:pt idx="41">
                  <c:v>577</c:v>
                </c:pt>
                <c:pt idx="42">
                  <c:v>580</c:v>
                </c:pt>
                <c:pt idx="43">
                  <c:v>637</c:v>
                </c:pt>
                <c:pt idx="44">
                  <c:v>648</c:v>
                </c:pt>
                <c:pt idx="45">
                  <c:v>657</c:v>
                </c:pt>
                <c:pt idx="46">
                  <c:v>674</c:v>
                </c:pt>
                <c:pt idx="47">
                  <c:v>670</c:v>
                </c:pt>
                <c:pt idx="48">
                  <c:v>606</c:v>
                </c:pt>
                <c:pt idx="49">
                  <c:v>680</c:v>
                </c:pt>
                <c:pt idx="50">
                  <c:v>683</c:v>
                </c:pt>
                <c:pt idx="51">
                  <c:v>700</c:v>
                </c:pt>
                <c:pt idx="52">
                  <c:v>703</c:v>
                </c:pt>
                <c:pt idx="53">
                  <c:v>710</c:v>
                </c:pt>
                <c:pt idx="54">
                  <c:v>711</c:v>
                </c:pt>
                <c:pt idx="55">
                  <c:v>710</c:v>
                </c:pt>
                <c:pt idx="56">
                  <c:v>711</c:v>
                </c:pt>
                <c:pt idx="57">
                  <c:v>734</c:v>
                </c:pt>
                <c:pt idx="58">
                  <c:v>740</c:v>
                </c:pt>
                <c:pt idx="59">
                  <c:v>764</c:v>
                </c:pt>
                <c:pt idx="60">
                  <c:v>771</c:v>
                </c:pt>
                <c:pt idx="61">
                  <c:v>781</c:v>
                </c:pt>
                <c:pt idx="62">
                  <c:v>784</c:v>
                </c:pt>
                <c:pt idx="63">
                  <c:v>787</c:v>
                </c:pt>
                <c:pt idx="64">
                  <c:v>785</c:v>
                </c:pt>
                <c:pt idx="65">
                  <c:v>787</c:v>
                </c:pt>
                <c:pt idx="66">
                  <c:v>773</c:v>
                </c:pt>
                <c:pt idx="67">
                  <c:v>790</c:v>
                </c:pt>
                <c:pt idx="68">
                  <c:v>775</c:v>
                </c:pt>
                <c:pt idx="69">
                  <c:v>775</c:v>
                </c:pt>
                <c:pt idx="70">
                  <c:v>776</c:v>
                </c:pt>
                <c:pt idx="71">
                  <c:v>779</c:v>
                </c:pt>
                <c:pt idx="72">
                  <c:v>781</c:v>
                </c:pt>
                <c:pt idx="73">
                  <c:v>787</c:v>
                </c:pt>
                <c:pt idx="74">
                  <c:v>818</c:v>
                </c:pt>
                <c:pt idx="75">
                  <c:v>842</c:v>
                </c:pt>
                <c:pt idx="76">
                  <c:v>820</c:v>
                </c:pt>
                <c:pt idx="77">
                  <c:v>823</c:v>
                </c:pt>
                <c:pt idx="78">
                  <c:v>827</c:v>
                </c:pt>
                <c:pt idx="79">
                  <c:v>850</c:v>
                </c:pt>
                <c:pt idx="80">
                  <c:v>885</c:v>
                </c:pt>
                <c:pt idx="81">
                  <c:v>912</c:v>
                </c:pt>
                <c:pt idx="82">
                  <c:v>925</c:v>
                </c:pt>
                <c:pt idx="83">
                  <c:v>939</c:v>
                </c:pt>
                <c:pt idx="84">
                  <c:v>941</c:v>
                </c:pt>
                <c:pt idx="85">
                  <c:v>917</c:v>
                </c:pt>
                <c:pt idx="86">
                  <c:v>922</c:v>
                </c:pt>
                <c:pt idx="87">
                  <c:v>924</c:v>
                </c:pt>
                <c:pt idx="88">
                  <c:v>929</c:v>
                </c:pt>
                <c:pt idx="89">
                  <c:v>942</c:v>
                </c:pt>
                <c:pt idx="90">
                  <c:v>954</c:v>
                </c:pt>
                <c:pt idx="91">
                  <c:v>1035</c:v>
                </c:pt>
                <c:pt idx="92">
                  <c:v>1078</c:v>
                </c:pt>
                <c:pt idx="93">
                  <c:v>1121</c:v>
                </c:pt>
                <c:pt idx="94">
                  <c:v>1166</c:v>
                </c:pt>
                <c:pt idx="95">
                  <c:v>1201</c:v>
                </c:pt>
                <c:pt idx="96">
                  <c:v>1276</c:v>
                </c:pt>
                <c:pt idx="97">
                  <c:v>1320</c:v>
                </c:pt>
                <c:pt idx="98">
                  <c:v>1368</c:v>
                </c:pt>
                <c:pt idx="99">
                  <c:v>1416</c:v>
                </c:pt>
                <c:pt idx="100">
                  <c:v>1324</c:v>
                </c:pt>
                <c:pt idx="101">
                  <c:v>1340</c:v>
                </c:pt>
                <c:pt idx="102">
                  <c:v>1356</c:v>
                </c:pt>
                <c:pt idx="103">
                  <c:v>1395</c:v>
                </c:pt>
                <c:pt idx="104">
                  <c:v>1450</c:v>
                </c:pt>
                <c:pt idx="105">
                  <c:v>1445</c:v>
                </c:pt>
                <c:pt idx="106">
                  <c:v>1401</c:v>
                </c:pt>
                <c:pt idx="107">
                  <c:v>1412</c:v>
                </c:pt>
                <c:pt idx="108">
                  <c:v>1402</c:v>
                </c:pt>
                <c:pt idx="109">
                  <c:v>1400</c:v>
                </c:pt>
                <c:pt idx="110">
                  <c:v>1399</c:v>
                </c:pt>
                <c:pt idx="111">
                  <c:v>1375</c:v>
                </c:pt>
                <c:pt idx="112">
                  <c:v>1385</c:v>
                </c:pt>
                <c:pt idx="113">
                  <c:v>1391</c:v>
                </c:pt>
                <c:pt idx="114">
                  <c:v>1397</c:v>
                </c:pt>
                <c:pt idx="115">
                  <c:v>1405</c:v>
                </c:pt>
                <c:pt idx="116">
                  <c:v>1406</c:v>
                </c:pt>
                <c:pt idx="117">
                  <c:v>1402</c:v>
                </c:pt>
                <c:pt idx="118">
                  <c:v>1350</c:v>
                </c:pt>
                <c:pt idx="119">
                  <c:v>1365</c:v>
                </c:pt>
                <c:pt idx="120">
                  <c:v>1360</c:v>
                </c:pt>
                <c:pt idx="121">
                  <c:v>1448</c:v>
                </c:pt>
                <c:pt idx="122">
                  <c:v>1476</c:v>
                </c:pt>
                <c:pt idx="123">
                  <c:v>1577</c:v>
                </c:pt>
                <c:pt idx="124">
                  <c:v>1603</c:v>
                </c:pt>
                <c:pt idx="125">
                  <c:v>1690</c:v>
                </c:pt>
                <c:pt idx="126">
                  <c:v>1760</c:v>
                </c:pt>
                <c:pt idx="127">
                  <c:v>1822</c:v>
                </c:pt>
                <c:pt idx="128">
                  <c:v>1875</c:v>
                </c:pt>
                <c:pt idx="129">
                  <c:v>1913</c:v>
                </c:pt>
                <c:pt idx="130">
                  <c:v>2001</c:v>
                </c:pt>
                <c:pt idx="131">
                  <c:v>2041</c:v>
                </c:pt>
                <c:pt idx="132">
                  <c:v>425</c:v>
                </c:pt>
                <c:pt idx="133">
                  <c:v>433</c:v>
                </c:pt>
                <c:pt idx="134">
                  <c:v>421</c:v>
                </c:pt>
                <c:pt idx="135">
                  <c:v>376</c:v>
                </c:pt>
                <c:pt idx="136">
                  <c:v>365</c:v>
                </c:pt>
                <c:pt idx="137">
                  <c:v>305</c:v>
                </c:pt>
                <c:pt idx="138">
                  <c:v>299</c:v>
                </c:pt>
                <c:pt idx="139">
                  <c:v>297</c:v>
                </c:pt>
                <c:pt idx="140">
                  <c:v>299</c:v>
                </c:pt>
                <c:pt idx="141">
                  <c:v>311</c:v>
                </c:pt>
                <c:pt idx="142">
                  <c:v>319</c:v>
                </c:pt>
                <c:pt idx="143">
                  <c:v>320</c:v>
                </c:pt>
                <c:pt idx="144">
                  <c:v>322</c:v>
                </c:pt>
                <c:pt idx="145">
                  <c:v>320</c:v>
                </c:pt>
                <c:pt idx="146">
                  <c:v>348</c:v>
                </c:pt>
                <c:pt idx="147">
                  <c:v>360</c:v>
                </c:pt>
                <c:pt idx="148">
                  <c:v>358</c:v>
                </c:pt>
                <c:pt idx="149">
                  <c:v>366</c:v>
                </c:pt>
                <c:pt idx="150">
                  <c:v>369</c:v>
                </c:pt>
                <c:pt idx="151">
                  <c:v>372</c:v>
                </c:pt>
                <c:pt idx="152">
                  <c:v>371</c:v>
                </c:pt>
                <c:pt idx="153">
                  <c:v>373</c:v>
                </c:pt>
                <c:pt idx="154">
                  <c:v>370</c:v>
                </c:pt>
                <c:pt idx="155">
                  <c:v>371</c:v>
                </c:pt>
                <c:pt idx="156">
                  <c:v>374</c:v>
                </c:pt>
                <c:pt idx="157">
                  <c:v>377</c:v>
                </c:pt>
                <c:pt idx="158">
                  <c:v>397</c:v>
                </c:pt>
                <c:pt idx="159">
                  <c:v>401</c:v>
                </c:pt>
                <c:pt idx="160">
                  <c:v>404</c:v>
                </c:pt>
                <c:pt idx="161">
                  <c:v>407</c:v>
                </c:pt>
                <c:pt idx="162">
                  <c:v>407</c:v>
                </c:pt>
                <c:pt idx="163">
                  <c:v>401</c:v>
                </c:pt>
                <c:pt idx="164">
                  <c:v>406</c:v>
                </c:pt>
                <c:pt idx="165">
                  <c:v>408</c:v>
                </c:pt>
                <c:pt idx="166">
                  <c:v>411</c:v>
                </c:pt>
                <c:pt idx="167">
                  <c:v>411</c:v>
                </c:pt>
                <c:pt idx="168">
                  <c:v>412</c:v>
                </c:pt>
                <c:pt idx="169">
                  <c:v>411</c:v>
                </c:pt>
                <c:pt idx="170">
                  <c:v>402</c:v>
                </c:pt>
                <c:pt idx="171">
                  <c:v>401</c:v>
                </c:pt>
                <c:pt idx="172">
                  <c:v>403</c:v>
                </c:pt>
                <c:pt idx="173">
                  <c:v>401</c:v>
                </c:pt>
                <c:pt idx="174">
                  <c:v>401</c:v>
                </c:pt>
                <c:pt idx="175">
                  <c:v>380</c:v>
                </c:pt>
                <c:pt idx="176">
                  <c:v>380</c:v>
                </c:pt>
                <c:pt idx="177">
                  <c:v>374</c:v>
                </c:pt>
                <c:pt idx="178">
                  <c:v>388</c:v>
                </c:pt>
                <c:pt idx="179">
                  <c:v>385</c:v>
                </c:pt>
                <c:pt idx="180">
                  <c:v>387</c:v>
                </c:pt>
                <c:pt idx="181">
                  <c:v>385</c:v>
                </c:pt>
                <c:pt idx="182">
                  <c:v>379</c:v>
                </c:pt>
                <c:pt idx="183">
                  <c:v>386</c:v>
                </c:pt>
                <c:pt idx="184">
                  <c:v>391</c:v>
                </c:pt>
                <c:pt idx="185">
                  <c:v>399</c:v>
                </c:pt>
                <c:pt idx="186">
                  <c:v>399</c:v>
                </c:pt>
                <c:pt idx="187">
                  <c:v>395</c:v>
                </c:pt>
                <c:pt idx="188">
                  <c:v>388</c:v>
                </c:pt>
                <c:pt idx="189">
                  <c:v>430</c:v>
                </c:pt>
                <c:pt idx="190">
                  <c:v>433</c:v>
                </c:pt>
                <c:pt idx="191">
                  <c:v>454</c:v>
                </c:pt>
                <c:pt idx="192">
                  <c:v>470</c:v>
                </c:pt>
                <c:pt idx="193">
                  <c:v>489</c:v>
                </c:pt>
                <c:pt idx="194">
                  <c:v>507</c:v>
                </c:pt>
                <c:pt idx="195">
                  <c:v>514</c:v>
                </c:pt>
                <c:pt idx="196">
                  <c:v>514</c:v>
                </c:pt>
                <c:pt idx="197">
                  <c:v>497</c:v>
                </c:pt>
                <c:pt idx="198">
                  <c:v>506</c:v>
                </c:pt>
                <c:pt idx="199">
                  <c:v>527</c:v>
                </c:pt>
                <c:pt idx="200">
                  <c:v>540</c:v>
                </c:pt>
                <c:pt idx="201">
                  <c:v>551</c:v>
                </c:pt>
                <c:pt idx="202">
                  <c:v>545</c:v>
                </c:pt>
                <c:pt idx="203">
                  <c:v>545</c:v>
                </c:pt>
                <c:pt idx="204">
                  <c:v>558</c:v>
                </c:pt>
                <c:pt idx="205">
                  <c:v>566</c:v>
                </c:pt>
                <c:pt idx="206">
                  <c:v>581</c:v>
                </c:pt>
                <c:pt idx="207">
                  <c:v>590</c:v>
                </c:pt>
                <c:pt idx="208">
                  <c:v>598</c:v>
                </c:pt>
                <c:pt idx="209">
                  <c:v>586</c:v>
                </c:pt>
                <c:pt idx="210">
                  <c:v>584</c:v>
                </c:pt>
                <c:pt idx="211">
                  <c:v>593</c:v>
                </c:pt>
                <c:pt idx="212">
                  <c:v>597</c:v>
                </c:pt>
                <c:pt idx="213">
                  <c:v>608</c:v>
                </c:pt>
                <c:pt idx="214">
                  <c:v>610</c:v>
                </c:pt>
                <c:pt idx="215">
                  <c:v>616</c:v>
                </c:pt>
                <c:pt idx="216">
                  <c:v>625</c:v>
                </c:pt>
                <c:pt idx="217">
                  <c:v>649</c:v>
                </c:pt>
                <c:pt idx="218">
                  <c:v>663</c:v>
                </c:pt>
                <c:pt idx="219">
                  <c:v>672</c:v>
                </c:pt>
                <c:pt idx="220">
                  <c:v>675</c:v>
                </c:pt>
                <c:pt idx="221">
                  <c:v>715</c:v>
                </c:pt>
                <c:pt idx="222">
                  <c:v>728</c:v>
                </c:pt>
                <c:pt idx="223">
                  <c:v>744</c:v>
                </c:pt>
                <c:pt idx="224">
                  <c:v>776</c:v>
                </c:pt>
                <c:pt idx="225">
                  <c:v>783</c:v>
                </c:pt>
                <c:pt idx="226">
                  <c:v>788</c:v>
                </c:pt>
                <c:pt idx="227">
                  <c:v>741</c:v>
                </c:pt>
                <c:pt idx="228">
                  <c:v>765</c:v>
                </c:pt>
                <c:pt idx="229">
                  <c:v>795</c:v>
                </c:pt>
                <c:pt idx="230">
                  <c:v>798</c:v>
                </c:pt>
                <c:pt idx="231">
                  <c:v>805</c:v>
                </c:pt>
                <c:pt idx="232">
                  <c:v>821</c:v>
                </c:pt>
                <c:pt idx="233">
                  <c:v>816</c:v>
                </c:pt>
                <c:pt idx="234">
                  <c:v>808</c:v>
                </c:pt>
                <c:pt idx="235">
                  <c:v>810</c:v>
                </c:pt>
                <c:pt idx="236">
                  <c:v>776</c:v>
                </c:pt>
                <c:pt idx="237">
                  <c:v>788</c:v>
                </c:pt>
                <c:pt idx="238">
                  <c:v>794</c:v>
                </c:pt>
                <c:pt idx="239">
                  <c:v>795</c:v>
                </c:pt>
                <c:pt idx="240">
                  <c:v>797</c:v>
                </c:pt>
                <c:pt idx="241">
                  <c:v>799</c:v>
                </c:pt>
                <c:pt idx="242">
                  <c:v>799</c:v>
                </c:pt>
                <c:pt idx="243">
                  <c:v>799</c:v>
                </c:pt>
                <c:pt idx="244">
                  <c:v>790</c:v>
                </c:pt>
                <c:pt idx="245">
                  <c:v>798</c:v>
                </c:pt>
                <c:pt idx="246">
                  <c:v>793</c:v>
                </c:pt>
                <c:pt idx="247">
                  <c:v>783</c:v>
                </c:pt>
                <c:pt idx="248">
                  <c:v>768</c:v>
                </c:pt>
                <c:pt idx="249">
                  <c:v>766</c:v>
                </c:pt>
                <c:pt idx="250">
                  <c:v>749</c:v>
                </c:pt>
                <c:pt idx="251">
                  <c:v>656</c:v>
                </c:pt>
                <c:pt idx="252">
                  <c:v>687</c:v>
                </c:pt>
                <c:pt idx="253">
                  <c:v>686</c:v>
                </c:pt>
              </c:numCache>
            </c:numRef>
          </c:val>
          <c:smooth val="0"/>
          <c:extLst>
            <c:ext xmlns:c16="http://schemas.microsoft.com/office/drawing/2014/chart" uri="{C3380CC4-5D6E-409C-BE32-E72D297353CC}">
              <c16:uniqueId val="{00000000-9846-4485-A868-2132CC784430}"/>
            </c:ext>
          </c:extLst>
        </c:ser>
        <c:ser>
          <c:idx val="1"/>
          <c:order val="1"/>
          <c:tx>
            <c:strRef>
              <c:f>RR!$K$1</c:f>
              <c:strCache>
                <c:ptCount val="1"/>
                <c:pt idx="0">
                  <c:v>UPPER</c:v>
                </c:pt>
              </c:strCache>
            </c:strRef>
          </c:tx>
          <c:spPr>
            <a:ln w="28575" cap="rnd">
              <a:solidFill>
                <a:srgbClr val="FF0000"/>
              </a:solidFill>
              <a:round/>
            </a:ln>
            <a:effectLst/>
          </c:spPr>
          <c:marker>
            <c:symbol val="none"/>
          </c:marker>
          <c:cat>
            <c:numRef>
              <c:f>RR!$G$2:$G$9999</c:f>
              <c:numCache>
                <c:formatCode>m/d/yyyy</c:formatCode>
                <c:ptCount val="2438"/>
                <c:pt idx="0">
                  <c:v>43886</c:v>
                </c:pt>
                <c:pt idx="1">
                  <c:v>43887</c:v>
                </c:pt>
                <c:pt idx="2">
                  <c:v>43888</c:v>
                </c:pt>
                <c:pt idx="3">
                  <c:v>43889</c:v>
                </c:pt>
                <c:pt idx="4">
                  <c:v>43892</c:v>
                </c:pt>
                <c:pt idx="5">
                  <c:v>43893</c:v>
                </c:pt>
                <c:pt idx="6">
                  <c:v>43894</c:v>
                </c:pt>
                <c:pt idx="7">
                  <c:v>43895</c:v>
                </c:pt>
                <c:pt idx="8">
                  <c:v>43896</c:v>
                </c:pt>
                <c:pt idx="9">
                  <c:v>43899</c:v>
                </c:pt>
                <c:pt idx="10">
                  <c:v>43900</c:v>
                </c:pt>
                <c:pt idx="11">
                  <c:v>43901</c:v>
                </c:pt>
                <c:pt idx="12">
                  <c:v>43902</c:v>
                </c:pt>
                <c:pt idx="13">
                  <c:v>43903</c:v>
                </c:pt>
                <c:pt idx="14">
                  <c:v>43906</c:v>
                </c:pt>
                <c:pt idx="15">
                  <c:v>43907</c:v>
                </c:pt>
                <c:pt idx="16">
                  <c:v>43908</c:v>
                </c:pt>
                <c:pt idx="17">
                  <c:v>43909</c:v>
                </c:pt>
                <c:pt idx="18">
                  <c:v>43910</c:v>
                </c:pt>
                <c:pt idx="19">
                  <c:v>43913</c:v>
                </c:pt>
                <c:pt idx="20">
                  <c:v>43914</c:v>
                </c:pt>
                <c:pt idx="21">
                  <c:v>43915</c:v>
                </c:pt>
                <c:pt idx="22">
                  <c:v>43916</c:v>
                </c:pt>
                <c:pt idx="23">
                  <c:v>43917</c:v>
                </c:pt>
                <c:pt idx="24">
                  <c:v>43920</c:v>
                </c:pt>
                <c:pt idx="25">
                  <c:v>43921</c:v>
                </c:pt>
                <c:pt idx="26">
                  <c:v>43922</c:v>
                </c:pt>
                <c:pt idx="27">
                  <c:v>43923</c:v>
                </c:pt>
                <c:pt idx="28">
                  <c:v>43924</c:v>
                </c:pt>
                <c:pt idx="29">
                  <c:v>43927</c:v>
                </c:pt>
                <c:pt idx="30">
                  <c:v>43928</c:v>
                </c:pt>
                <c:pt idx="31">
                  <c:v>43929</c:v>
                </c:pt>
                <c:pt idx="32">
                  <c:v>43930</c:v>
                </c:pt>
                <c:pt idx="33">
                  <c:v>43934</c:v>
                </c:pt>
                <c:pt idx="34">
                  <c:v>43935</c:v>
                </c:pt>
                <c:pt idx="35">
                  <c:v>43936</c:v>
                </c:pt>
                <c:pt idx="36">
                  <c:v>43937</c:v>
                </c:pt>
                <c:pt idx="37">
                  <c:v>43938</c:v>
                </c:pt>
                <c:pt idx="38">
                  <c:v>43941</c:v>
                </c:pt>
                <c:pt idx="39">
                  <c:v>43942</c:v>
                </c:pt>
                <c:pt idx="40">
                  <c:v>43943</c:v>
                </c:pt>
                <c:pt idx="41">
                  <c:v>43944</c:v>
                </c:pt>
                <c:pt idx="42">
                  <c:v>43945</c:v>
                </c:pt>
                <c:pt idx="43">
                  <c:v>43948</c:v>
                </c:pt>
                <c:pt idx="44">
                  <c:v>43949</c:v>
                </c:pt>
                <c:pt idx="45">
                  <c:v>43950</c:v>
                </c:pt>
                <c:pt idx="46">
                  <c:v>43951</c:v>
                </c:pt>
                <c:pt idx="47">
                  <c:v>43952</c:v>
                </c:pt>
                <c:pt idx="48">
                  <c:v>43955</c:v>
                </c:pt>
                <c:pt idx="49">
                  <c:v>43956</c:v>
                </c:pt>
                <c:pt idx="50">
                  <c:v>43957</c:v>
                </c:pt>
                <c:pt idx="51">
                  <c:v>43958</c:v>
                </c:pt>
                <c:pt idx="52">
                  <c:v>43959</c:v>
                </c:pt>
                <c:pt idx="53">
                  <c:v>43962</c:v>
                </c:pt>
                <c:pt idx="54">
                  <c:v>43963</c:v>
                </c:pt>
                <c:pt idx="55">
                  <c:v>43964</c:v>
                </c:pt>
                <c:pt idx="56">
                  <c:v>43965</c:v>
                </c:pt>
                <c:pt idx="57">
                  <c:v>43966</c:v>
                </c:pt>
                <c:pt idx="58">
                  <c:v>43969</c:v>
                </c:pt>
                <c:pt idx="59">
                  <c:v>43970</c:v>
                </c:pt>
                <c:pt idx="60">
                  <c:v>43971</c:v>
                </c:pt>
                <c:pt idx="61">
                  <c:v>43972</c:v>
                </c:pt>
                <c:pt idx="62">
                  <c:v>43973</c:v>
                </c:pt>
                <c:pt idx="63">
                  <c:v>43977</c:v>
                </c:pt>
                <c:pt idx="64">
                  <c:v>43978</c:v>
                </c:pt>
                <c:pt idx="65">
                  <c:v>43979</c:v>
                </c:pt>
                <c:pt idx="66">
                  <c:v>43980</c:v>
                </c:pt>
                <c:pt idx="67">
                  <c:v>43983</c:v>
                </c:pt>
                <c:pt idx="68">
                  <c:v>43984</c:v>
                </c:pt>
                <c:pt idx="69">
                  <c:v>43985</c:v>
                </c:pt>
                <c:pt idx="70">
                  <c:v>43986</c:v>
                </c:pt>
                <c:pt idx="71">
                  <c:v>43987</c:v>
                </c:pt>
                <c:pt idx="72">
                  <c:v>43990</c:v>
                </c:pt>
                <c:pt idx="73">
                  <c:v>43991</c:v>
                </c:pt>
                <c:pt idx="74">
                  <c:v>43992</c:v>
                </c:pt>
                <c:pt idx="75">
                  <c:v>43993</c:v>
                </c:pt>
                <c:pt idx="76">
                  <c:v>43994</c:v>
                </c:pt>
                <c:pt idx="77">
                  <c:v>43997</c:v>
                </c:pt>
                <c:pt idx="78">
                  <c:v>43998</c:v>
                </c:pt>
                <c:pt idx="79">
                  <c:v>43999</c:v>
                </c:pt>
                <c:pt idx="80">
                  <c:v>44000</c:v>
                </c:pt>
                <c:pt idx="81">
                  <c:v>44001</c:v>
                </c:pt>
                <c:pt idx="82">
                  <c:v>44004</c:v>
                </c:pt>
                <c:pt idx="83">
                  <c:v>44005</c:v>
                </c:pt>
                <c:pt idx="84">
                  <c:v>44006</c:v>
                </c:pt>
                <c:pt idx="85">
                  <c:v>44007</c:v>
                </c:pt>
                <c:pt idx="86">
                  <c:v>44008</c:v>
                </c:pt>
                <c:pt idx="87">
                  <c:v>44011</c:v>
                </c:pt>
                <c:pt idx="88">
                  <c:v>44012</c:v>
                </c:pt>
                <c:pt idx="89">
                  <c:v>44013</c:v>
                </c:pt>
                <c:pt idx="90">
                  <c:v>44014</c:v>
                </c:pt>
                <c:pt idx="91">
                  <c:v>44018</c:v>
                </c:pt>
                <c:pt idx="92">
                  <c:v>44019</c:v>
                </c:pt>
                <c:pt idx="93">
                  <c:v>44020</c:v>
                </c:pt>
                <c:pt idx="94">
                  <c:v>44021</c:v>
                </c:pt>
                <c:pt idx="95">
                  <c:v>44022</c:v>
                </c:pt>
                <c:pt idx="96">
                  <c:v>44025</c:v>
                </c:pt>
                <c:pt idx="97">
                  <c:v>44026</c:v>
                </c:pt>
                <c:pt idx="98">
                  <c:v>44027</c:v>
                </c:pt>
                <c:pt idx="99">
                  <c:v>44028</c:v>
                </c:pt>
                <c:pt idx="100">
                  <c:v>44029</c:v>
                </c:pt>
                <c:pt idx="101">
                  <c:v>44032</c:v>
                </c:pt>
                <c:pt idx="102">
                  <c:v>44033</c:v>
                </c:pt>
                <c:pt idx="103">
                  <c:v>44034</c:v>
                </c:pt>
                <c:pt idx="104">
                  <c:v>44035</c:v>
                </c:pt>
                <c:pt idx="105">
                  <c:v>44036</c:v>
                </c:pt>
                <c:pt idx="106">
                  <c:v>44039</c:v>
                </c:pt>
                <c:pt idx="107">
                  <c:v>44040</c:v>
                </c:pt>
                <c:pt idx="108">
                  <c:v>44041</c:v>
                </c:pt>
                <c:pt idx="109">
                  <c:v>44042</c:v>
                </c:pt>
                <c:pt idx="110">
                  <c:v>44043</c:v>
                </c:pt>
                <c:pt idx="111">
                  <c:v>44046</c:v>
                </c:pt>
                <c:pt idx="112">
                  <c:v>44047</c:v>
                </c:pt>
                <c:pt idx="113">
                  <c:v>44048</c:v>
                </c:pt>
                <c:pt idx="114">
                  <c:v>44049</c:v>
                </c:pt>
                <c:pt idx="115">
                  <c:v>44050</c:v>
                </c:pt>
                <c:pt idx="116">
                  <c:v>44053</c:v>
                </c:pt>
                <c:pt idx="117">
                  <c:v>44054</c:v>
                </c:pt>
                <c:pt idx="118">
                  <c:v>44055</c:v>
                </c:pt>
                <c:pt idx="119">
                  <c:v>44056</c:v>
                </c:pt>
                <c:pt idx="120">
                  <c:v>44057</c:v>
                </c:pt>
                <c:pt idx="121">
                  <c:v>44060</c:v>
                </c:pt>
                <c:pt idx="122">
                  <c:v>44061</c:v>
                </c:pt>
                <c:pt idx="123">
                  <c:v>44062</c:v>
                </c:pt>
                <c:pt idx="124">
                  <c:v>44063</c:v>
                </c:pt>
                <c:pt idx="125">
                  <c:v>44064</c:v>
                </c:pt>
                <c:pt idx="126">
                  <c:v>44067</c:v>
                </c:pt>
                <c:pt idx="127">
                  <c:v>44068</c:v>
                </c:pt>
                <c:pt idx="128">
                  <c:v>44069</c:v>
                </c:pt>
                <c:pt idx="129">
                  <c:v>44070</c:v>
                </c:pt>
                <c:pt idx="130">
                  <c:v>44071</c:v>
                </c:pt>
                <c:pt idx="131">
                  <c:v>44074</c:v>
                </c:pt>
                <c:pt idx="132">
                  <c:v>44075</c:v>
                </c:pt>
                <c:pt idx="133">
                  <c:v>44076</c:v>
                </c:pt>
                <c:pt idx="134">
                  <c:v>44077</c:v>
                </c:pt>
                <c:pt idx="135">
                  <c:v>44078</c:v>
                </c:pt>
                <c:pt idx="136">
                  <c:v>44082</c:v>
                </c:pt>
                <c:pt idx="137">
                  <c:v>44083</c:v>
                </c:pt>
                <c:pt idx="138">
                  <c:v>44084</c:v>
                </c:pt>
                <c:pt idx="139">
                  <c:v>44085</c:v>
                </c:pt>
                <c:pt idx="140">
                  <c:v>44088</c:v>
                </c:pt>
                <c:pt idx="141">
                  <c:v>44089</c:v>
                </c:pt>
                <c:pt idx="142">
                  <c:v>44090</c:v>
                </c:pt>
                <c:pt idx="143">
                  <c:v>44091</c:v>
                </c:pt>
                <c:pt idx="144">
                  <c:v>44092</c:v>
                </c:pt>
                <c:pt idx="145">
                  <c:v>44095</c:v>
                </c:pt>
                <c:pt idx="146">
                  <c:v>44096</c:v>
                </c:pt>
                <c:pt idx="147">
                  <c:v>44097</c:v>
                </c:pt>
                <c:pt idx="148">
                  <c:v>44098</c:v>
                </c:pt>
                <c:pt idx="149">
                  <c:v>44099</c:v>
                </c:pt>
                <c:pt idx="150">
                  <c:v>44102</c:v>
                </c:pt>
                <c:pt idx="151">
                  <c:v>44103</c:v>
                </c:pt>
                <c:pt idx="152">
                  <c:v>44104</c:v>
                </c:pt>
                <c:pt idx="153">
                  <c:v>44105</c:v>
                </c:pt>
                <c:pt idx="154">
                  <c:v>44106</c:v>
                </c:pt>
                <c:pt idx="155">
                  <c:v>44109</c:v>
                </c:pt>
                <c:pt idx="156">
                  <c:v>44110</c:v>
                </c:pt>
                <c:pt idx="157">
                  <c:v>44111</c:v>
                </c:pt>
                <c:pt idx="158">
                  <c:v>44112</c:v>
                </c:pt>
                <c:pt idx="159">
                  <c:v>44113</c:v>
                </c:pt>
                <c:pt idx="160">
                  <c:v>44116</c:v>
                </c:pt>
                <c:pt idx="161">
                  <c:v>44117</c:v>
                </c:pt>
                <c:pt idx="162">
                  <c:v>44118</c:v>
                </c:pt>
                <c:pt idx="163">
                  <c:v>44119</c:v>
                </c:pt>
                <c:pt idx="164">
                  <c:v>44120</c:v>
                </c:pt>
                <c:pt idx="165">
                  <c:v>44123</c:v>
                </c:pt>
                <c:pt idx="166">
                  <c:v>44124</c:v>
                </c:pt>
                <c:pt idx="167">
                  <c:v>44125</c:v>
                </c:pt>
                <c:pt idx="168">
                  <c:v>44126</c:v>
                </c:pt>
                <c:pt idx="169">
                  <c:v>44127</c:v>
                </c:pt>
                <c:pt idx="170">
                  <c:v>44130</c:v>
                </c:pt>
                <c:pt idx="171">
                  <c:v>44131</c:v>
                </c:pt>
                <c:pt idx="172">
                  <c:v>44132</c:v>
                </c:pt>
                <c:pt idx="173">
                  <c:v>44133</c:v>
                </c:pt>
                <c:pt idx="174">
                  <c:v>44134</c:v>
                </c:pt>
                <c:pt idx="175">
                  <c:v>44137</c:v>
                </c:pt>
                <c:pt idx="176">
                  <c:v>44138</c:v>
                </c:pt>
                <c:pt idx="177">
                  <c:v>44139</c:v>
                </c:pt>
                <c:pt idx="178">
                  <c:v>44140</c:v>
                </c:pt>
                <c:pt idx="179">
                  <c:v>44141</c:v>
                </c:pt>
                <c:pt idx="180">
                  <c:v>44144</c:v>
                </c:pt>
                <c:pt idx="181">
                  <c:v>44145</c:v>
                </c:pt>
                <c:pt idx="182">
                  <c:v>44146</c:v>
                </c:pt>
                <c:pt idx="183">
                  <c:v>44147</c:v>
                </c:pt>
                <c:pt idx="184">
                  <c:v>44148</c:v>
                </c:pt>
                <c:pt idx="185">
                  <c:v>44151</c:v>
                </c:pt>
                <c:pt idx="186">
                  <c:v>44152</c:v>
                </c:pt>
                <c:pt idx="187">
                  <c:v>44153</c:v>
                </c:pt>
                <c:pt idx="188">
                  <c:v>44154</c:v>
                </c:pt>
                <c:pt idx="189">
                  <c:v>44155</c:v>
                </c:pt>
                <c:pt idx="190">
                  <c:v>44158</c:v>
                </c:pt>
                <c:pt idx="191">
                  <c:v>44159</c:v>
                </c:pt>
                <c:pt idx="192">
                  <c:v>44160</c:v>
                </c:pt>
                <c:pt idx="193">
                  <c:v>44162</c:v>
                </c:pt>
                <c:pt idx="194">
                  <c:v>44165</c:v>
                </c:pt>
                <c:pt idx="195">
                  <c:v>44166</c:v>
                </c:pt>
                <c:pt idx="196">
                  <c:v>44167</c:v>
                </c:pt>
                <c:pt idx="197">
                  <c:v>44168</c:v>
                </c:pt>
                <c:pt idx="198">
                  <c:v>44169</c:v>
                </c:pt>
                <c:pt idx="199">
                  <c:v>44172</c:v>
                </c:pt>
                <c:pt idx="200">
                  <c:v>44173</c:v>
                </c:pt>
                <c:pt idx="201">
                  <c:v>44174</c:v>
                </c:pt>
                <c:pt idx="202">
                  <c:v>44175</c:v>
                </c:pt>
                <c:pt idx="203">
                  <c:v>44176</c:v>
                </c:pt>
                <c:pt idx="204">
                  <c:v>44179</c:v>
                </c:pt>
                <c:pt idx="205">
                  <c:v>44180</c:v>
                </c:pt>
                <c:pt idx="206">
                  <c:v>44181</c:v>
                </c:pt>
                <c:pt idx="207">
                  <c:v>44182</c:v>
                </c:pt>
                <c:pt idx="208">
                  <c:v>44183</c:v>
                </c:pt>
                <c:pt idx="209">
                  <c:v>44186</c:v>
                </c:pt>
                <c:pt idx="210">
                  <c:v>44187</c:v>
                </c:pt>
                <c:pt idx="211">
                  <c:v>44188</c:v>
                </c:pt>
                <c:pt idx="212">
                  <c:v>44189</c:v>
                </c:pt>
                <c:pt idx="213">
                  <c:v>44193</c:v>
                </c:pt>
                <c:pt idx="214">
                  <c:v>44194</c:v>
                </c:pt>
                <c:pt idx="215">
                  <c:v>44195</c:v>
                </c:pt>
                <c:pt idx="216">
                  <c:v>44196</c:v>
                </c:pt>
                <c:pt idx="217">
                  <c:v>44200</c:v>
                </c:pt>
                <c:pt idx="218">
                  <c:v>44201</c:v>
                </c:pt>
                <c:pt idx="219">
                  <c:v>44202</c:v>
                </c:pt>
                <c:pt idx="220">
                  <c:v>44203</c:v>
                </c:pt>
                <c:pt idx="221">
                  <c:v>44204</c:v>
                </c:pt>
                <c:pt idx="222">
                  <c:v>44207</c:v>
                </c:pt>
                <c:pt idx="223">
                  <c:v>44208</c:v>
                </c:pt>
                <c:pt idx="224">
                  <c:v>44209</c:v>
                </c:pt>
                <c:pt idx="225">
                  <c:v>44210</c:v>
                </c:pt>
                <c:pt idx="226">
                  <c:v>44211</c:v>
                </c:pt>
                <c:pt idx="227">
                  <c:v>44215</c:v>
                </c:pt>
                <c:pt idx="228">
                  <c:v>44216</c:v>
                </c:pt>
                <c:pt idx="229">
                  <c:v>44217</c:v>
                </c:pt>
                <c:pt idx="230">
                  <c:v>44218</c:v>
                </c:pt>
                <c:pt idx="231">
                  <c:v>44221</c:v>
                </c:pt>
                <c:pt idx="232">
                  <c:v>44222</c:v>
                </c:pt>
                <c:pt idx="233">
                  <c:v>44223</c:v>
                </c:pt>
                <c:pt idx="234">
                  <c:v>44224</c:v>
                </c:pt>
                <c:pt idx="235">
                  <c:v>44225</c:v>
                </c:pt>
                <c:pt idx="236">
                  <c:v>44228</c:v>
                </c:pt>
                <c:pt idx="237">
                  <c:v>44229</c:v>
                </c:pt>
                <c:pt idx="238">
                  <c:v>44230</c:v>
                </c:pt>
                <c:pt idx="239">
                  <c:v>44231</c:v>
                </c:pt>
                <c:pt idx="240">
                  <c:v>44232</c:v>
                </c:pt>
                <c:pt idx="241">
                  <c:v>44235</c:v>
                </c:pt>
                <c:pt idx="242">
                  <c:v>44236</c:v>
                </c:pt>
                <c:pt idx="243">
                  <c:v>44237</c:v>
                </c:pt>
                <c:pt idx="244">
                  <c:v>44238</c:v>
                </c:pt>
                <c:pt idx="245">
                  <c:v>44239</c:v>
                </c:pt>
                <c:pt idx="246">
                  <c:v>44243</c:v>
                </c:pt>
                <c:pt idx="247">
                  <c:v>44244</c:v>
                </c:pt>
                <c:pt idx="248" formatCode="dd/mm/yyyy">
                  <c:v>44245</c:v>
                </c:pt>
                <c:pt idx="249" formatCode="dd/mm/yyyy">
                  <c:v>44246</c:v>
                </c:pt>
                <c:pt idx="250" formatCode="dd/mm/yyyy">
                  <c:v>44249</c:v>
                </c:pt>
                <c:pt idx="251" formatCode="dd/mm/yyyy">
                  <c:v>44250</c:v>
                </c:pt>
                <c:pt idx="252" formatCode="dd/mm/yyyy">
                  <c:v>44251</c:v>
                </c:pt>
                <c:pt idx="253" formatCode="dd/mm/yyyy">
                  <c:v>44252</c:v>
                </c:pt>
              </c:numCache>
            </c:numRef>
          </c:cat>
          <c:val>
            <c:numRef>
              <c:f>RR!$K$2:$K$9999</c:f>
              <c:numCache>
                <c:formatCode>General</c:formatCode>
                <c:ptCount val="2438"/>
                <c:pt idx="0">
                  <c:v>946</c:v>
                </c:pt>
                <c:pt idx="1">
                  <c:v>943</c:v>
                </c:pt>
                <c:pt idx="2">
                  <c:v>940</c:v>
                </c:pt>
                <c:pt idx="3">
                  <c:v>830</c:v>
                </c:pt>
                <c:pt idx="4">
                  <c:v>816</c:v>
                </c:pt>
                <c:pt idx="5">
                  <c:v>816</c:v>
                </c:pt>
                <c:pt idx="6">
                  <c:v>815</c:v>
                </c:pt>
                <c:pt idx="7">
                  <c:v>801</c:v>
                </c:pt>
                <c:pt idx="8">
                  <c:v>801</c:v>
                </c:pt>
                <c:pt idx="9">
                  <c:v>801</c:v>
                </c:pt>
                <c:pt idx="10">
                  <c:v>719</c:v>
                </c:pt>
                <c:pt idx="11">
                  <c:v>714</c:v>
                </c:pt>
                <c:pt idx="12">
                  <c:v>707</c:v>
                </c:pt>
                <c:pt idx="13">
                  <c:v>688</c:v>
                </c:pt>
                <c:pt idx="14">
                  <c:v>656</c:v>
                </c:pt>
                <c:pt idx="15">
                  <c:v>585</c:v>
                </c:pt>
                <c:pt idx="16">
                  <c:v>570</c:v>
                </c:pt>
                <c:pt idx="17">
                  <c:v>540</c:v>
                </c:pt>
                <c:pt idx="18">
                  <c:v>507</c:v>
                </c:pt>
                <c:pt idx="19">
                  <c:v>498</c:v>
                </c:pt>
                <c:pt idx="20">
                  <c:v>494</c:v>
                </c:pt>
                <c:pt idx="21">
                  <c:v>528</c:v>
                </c:pt>
                <c:pt idx="22">
                  <c:v>581</c:v>
                </c:pt>
                <c:pt idx="23">
                  <c:v>579</c:v>
                </c:pt>
                <c:pt idx="24">
                  <c:v>573</c:v>
                </c:pt>
                <c:pt idx="25">
                  <c:v>568</c:v>
                </c:pt>
                <c:pt idx="26">
                  <c:v>565</c:v>
                </c:pt>
                <c:pt idx="27">
                  <c:v>566</c:v>
                </c:pt>
                <c:pt idx="28">
                  <c:v>565</c:v>
                </c:pt>
                <c:pt idx="29">
                  <c:v>559</c:v>
                </c:pt>
                <c:pt idx="30">
                  <c:v>566</c:v>
                </c:pt>
                <c:pt idx="31">
                  <c:v>562</c:v>
                </c:pt>
                <c:pt idx="32">
                  <c:v>570</c:v>
                </c:pt>
                <c:pt idx="33">
                  <c:v>589</c:v>
                </c:pt>
                <c:pt idx="34">
                  <c:v>678</c:v>
                </c:pt>
                <c:pt idx="35">
                  <c:v>756</c:v>
                </c:pt>
                <c:pt idx="36">
                  <c:v>764</c:v>
                </c:pt>
                <c:pt idx="37">
                  <c:v>799</c:v>
                </c:pt>
                <c:pt idx="38">
                  <c:v>825</c:v>
                </c:pt>
                <c:pt idx="39">
                  <c:v>836</c:v>
                </c:pt>
                <c:pt idx="40">
                  <c:v>832</c:v>
                </c:pt>
                <c:pt idx="41">
                  <c:v>819</c:v>
                </c:pt>
                <c:pt idx="42">
                  <c:v>790</c:v>
                </c:pt>
                <c:pt idx="43">
                  <c:v>770</c:v>
                </c:pt>
                <c:pt idx="44">
                  <c:v>823</c:v>
                </c:pt>
                <c:pt idx="45">
                  <c:v>805</c:v>
                </c:pt>
                <c:pt idx="46">
                  <c:v>876</c:v>
                </c:pt>
                <c:pt idx="47">
                  <c:v>829</c:v>
                </c:pt>
                <c:pt idx="48">
                  <c:v>828</c:v>
                </c:pt>
                <c:pt idx="49">
                  <c:v>827</c:v>
                </c:pt>
                <c:pt idx="50">
                  <c:v>829</c:v>
                </c:pt>
                <c:pt idx="51">
                  <c:v>829</c:v>
                </c:pt>
                <c:pt idx="52">
                  <c:v>829</c:v>
                </c:pt>
                <c:pt idx="53">
                  <c:v>838</c:v>
                </c:pt>
                <c:pt idx="54">
                  <c:v>845</c:v>
                </c:pt>
                <c:pt idx="55">
                  <c:v>848</c:v>
                </c:pt>
                <c:pt idx="56">
                  <c:v>848</c:v>
                </c:pt>
                <c:pt idx="57">
                  <c:v>833</c:v>
                </c:pt>
                <c:pt idx="58">
                  <c:v>830</c:v>
                </c:pt>
                <c:pt idx="59">
                  <c:v>829</c:v>
                </c:pt>
                <c:pt idx="60">
                  <c:v>828</c:v>
                </c:pt>
                <c:pt idx="61">
                  <c:v>826</c:v>
                </c:pt>
                <c:pt idx="62">
                  <c:v>830</c:v>
                </c:pt>
                <c:pt idx="63">
                  <c:v>833</c:v>
                </c:pt>
                <c:pt idx="64">
                  <c:v>832</c:v>
                </c:pt>
                <c:pt idx="65">
                  <c:v>832</c:v>
                </c:pt>
                <c:pt idx="66">
                  <c:v>831</c:v>
                </c:pt>
                <c:pt idx="67">
                  <c:v>842</c:v>
                </c:pt>
                <c:pt idx="68">
                  <c:v>911</c:v>
                </c:pt>
                <c:pt idx="69">
                  <c:v>901</c:v>
                </c:pt>
                <c:pt idx="70">
                  <c:v>909</c:v>
                </c:pt>
                <c:pt idx="71">
                  <c:v>915</c:v>
                </c:pt>
                <c:pt idx="72">
                  <c:v>922</c:v>
                </c:pt>
                <c:pt idx="73">
                  <c:v>955</c:v>
                </c:pt>
                <c:pt idx="74">
                  <c:v>970</c:v>
                </c:pt>
                <c:pt idx="75">
                  <c:v>1033</c:v>
                </c:pt>
                <c:pt idx="76">
                  <c:v>1025</c:v>
                </c:pt>
                <c:pt idx="77">
                  <c:v>1025</c:v>
                </c:pt>
                <c:pt idx="78">
                  <c:v>1045</c:v>
                </c:pt>
                <c:pt idx="79">
                  <c:v>1046</c:v>
                </c:pt>
                <c:pt idx="80">
                  <c:v>1041</c:v>
                </c:pt>
                <c:pt idx="81">
                  <c:v>1039</c:v>
                </c:pt>
                <c:pt idx="82">
                  <c:v>1039</c:v>
                </c:pt>
                <c:pt idx="83">
                  <c:v>1038</c:v>
                </c:pt>
                <c:pt idx="84">
                  <c:v>1027</c:v>
                </c:pt>
                <c:pt idx="85">
                  <c:v>1027</c:v>
                </c:pt>
                <c:pt idx="86">
                  <c:v>1019</c:v>
                </c:pt>
                <c:pt idx="87">
                  <c:v>1017</c:v>
                </c:pt>
                <c:pt idx="88">
                  <c:v>1026</c:v>
                </c:pt>
                <c:pt idx="89">
                  <c:v>1099</c:v>
                </c:pt>
                <c:pt idx="90">
                  <c:v>1130</c:v>
                </c:pt>
                <c:pt idx="91">
                  <c:v>1243</c:v>
                </c:pt>
                <c:pt idx="92">
                  <c:v>1442</c:v>
                </c:pt>
                <c:pt idx="93">
                  <c:v>1438</c:v>
                </c:pt>
                <c:pt idx="94">
                  <c:v>1495</c:v>
                </c:pt>
                <c:pt idx="95">
                  <c:v>1545</c:v>
                </c:pt>
                <c:pt idx="96">
                  <c:v>1613</c:v>
                </c:pt>
                <c:pt idx="97">
                  <c:v>1642</c:v>
                </c:pt>
                <c:pt idx="98">
                  <c:v>1645</c:v>
                </c:pt>
                <c:pt idx="99">
                  <c:v>1635</c:v>
                </c:pt>
                <c:pt idx="100">
                  <c:v>1603</c:v>
                </c:pt>
                <c:pt idx="101">
                  <c:v>1605</c:v>
                </c:pt>
                <c:pt idx="102">
                  <c:v>1685</c:v>
                </c:pt>
                <c:pt idx="103">
                  <c:v>1651</c:v>
                </c:pt>
                <c:pt idx="104">
                  <c:v>1688</c:v>
                </c:pt>
                <c:pt idx="105">
                  <c:v>1638</c:v>
                </c:pt>
                <c:pt idx="106">
                  <c:v>1655</c:v>
                </c:pt>
                <c:pt idx="107">
                  <c:v>1658</c:v>
                </c:pt>
                <c:pt idx="108">
                  <c:v>1655</c:v>
                </c:pt>
                <c:pt idx="109">
                  <c:v>1656</c:v>
                </c:pt>
                <c:pt idx="110">
                  <c:v>1656</c:v>
                </c:pt>
                <c:pt idx="111">
                  <c:v>1614</c:v>
                </c:pt>
                <c:pt idx="112">
                  <c:v>1604</c:v>
                </c:pt>
                <c:pt idx="113">
                  <c:v>1555</c:v>
                </c:pt>
                <c:pt idx="114">
                  <c:v>1550</c:v>
                </c:pt>
                <c:pt idx="115">
                  <c:v>1545</c:v>
                </c:pt>
                <c:pt idx="116">
                  <c:v>1520</c:v>
                </c:pt>
                <c:pt idx="117">
                  <c:v>1522</c:v>
                </c:pt>
                <c:pt idx="118">
                  <c:v>1480</c:v>
                </c:pt>
                <c:pt idx="119">
                  <c:v>1582</c:v>
                </c:pt>
                <c:pt idx="120">
                  <c:v>1639</c:v>
                </c:pt>
                <c:pt idx="121">
                  <c:v>1681</c:v>
                </c:pt>
                <c:pt idx="122">
                  <c:v>1893</c:v>
                </c:pt>
                <c:pt idx="123">
                  <c:v>1927</c:v>
                </c:pt>
                <c:pt idx="124">
                  <c:v>1997</c:v>
                </c:pt>
                <c:pt idx="125">
                  <c:v>2118</c:v>
                </c:pt>
                <c:pt idx="126">
                  <c:v>2193</c:v>
                </c:pt>
                <c:pt idx="127">
                  <c:v>2180</c:v>
                </c:pt>
                <c:pt idx="128">
                  <c:v>2187</c:v>
                </c:pt>
                <c:pt idx="129">
                  <c:v>2232</c:v>
                </c:pt>
                <c:pt idx="130">
                  <c:v>2266</c:v>
                </c:pt>
                <c:pt idx="131">
                  <c:v>2297</c:v>
                </c:pt>
                <c:pt idx="132">
                  <c:v>513</c:v>
                </c:pt>
                <c:pt idx="133">
                  <c:v>503</c:v>
                </c:pt>
                <c:pt idx="134">
                  <c:v>501</c:v>
                </c:pt>
                <c:pt idx="135">
                  <c:v>501</c:v>
                </c:pt>
                <c:pt idx="136">
                  <c:v>495</c:v>
                </c:pt>
                <c:pt idx="137">
                  <c:v>430</c:v>
                </c:pt>
                <c:pt idx="138">
                  <c:v>424</c:v>
                </c:pt>
                <c:pt idx="139">
                  <c:v>418</c:v>
                </c:pt>
                <c:pt idx="140">
                  <c:v>419</c:v>
                </c:pt>
                <c:pt idx="141">
                  <c:v>486</c:v>
                </c:pt>
                <c:pt idx="142">
                  <c:v>476</c:v>
                </c:pt>
                <c:pt idx="143">
                  <c:v>472</c:v>
                </c:pt>
                <c:pt idx="144">
                  <c:v>476</c:v>
                </c:pt>
                <c:pt idx="145">
                  <c:v>483</c:v>
                </c:pt>
                <c:pt idx="146">
                  <c:v>484</c:v>
                </c:pt>
                <c:pt idx="147">
                  <c:v>481</c:v>
                </c:pt>
                <c:pt idx="148">
                  <c:v>477</c:v>
                </c:pt>
                <c:pt idx="149">
                  <c:v>473</c:v>
                </c:pt>
                <c:pt idx="150">
                  <c:v>473</c:v>
                </c:pt>
                <c:pt idx="151">
                  <c:v>466</c:v>
                </c:pt>
                <c:pt idx="152">
                  <c:v>460</c:v>
                </c:pt>
                <c:pt idx="153">
                  <c:v>462</c:v>
                </c:pt>
                <c:pt idx="154">
                  <c:v>462</c:v>
                </c:pt>
                <c:pt idx="155">
                  <c:v>455</c:v>
                </c:pt>
                <c:pt idx="156">
                  <c:v>455</c:v>
                </c:pt>
                <c:pt idx="157">
                  <c:v>450</c:v>
                </c:pt>
                <c:pt idx="158">
                  <c:v>448</c:v>
                </c:pt>
                <c:pt idx="159">
                  <c:v>445</c:v>
                </c:pt>
                <c:pt idx="160">
                  <c:v>448</c:v>
                </c:pt>
                <c:pt idx="161">
                  <c:v>453</c:v>
                </c:pt>
                <c:pt idx="162">
                  <c:v>455</c:v>
                </c:pt>
                <c:pt idx="163">
                  <c:v>471</c:v>
                </c:pt>
                <c:pt idx="164">
                  <c:v>466</c:v>
                </c:pt>
                <c:pt idx="165">
                  <c:v>465</c:v>
                </c:pt>
                <c:pt idx="166">
                  <c:v>463</c:v>
                </c:pt>
                <c:pt idx="167">
                  <c:v>463</c:v>
                </c:pt>
                <c:pt idx="168">
                  <c:v>466</c:v>
                </c:pt>
                <c:pt idx="169">
                  <c:v>465</c:v>
                </c:pt>
                <c:pt idx="170">
                  <c:v>463</c:v>
                </c:pt>
                <c:pt idx="171">
                  <c:v>460</c:v>
                </c:pt>
                <c:pt idx="172">
                  <c:v>450</c:v>
                </c:pt>
                <c:pt idx="173">
                  <c:v>442</c:v>
                </c:pt>
                <c:pt idx="174">
                  <c:v>436</c:v>
                </c:pt>
                <c:pt idx="175">
                  <c:v>437</c:v>
                </c:pt>
                <c:pt idx="176">
                  <c:v>437</c:v>
                </c:pt>
                <c:pt idx="177">
                  <c:v>441</c:v>
                </c:pt>
                <c:pt idx="178">
                  <c:v>441</c:v>
                </c:pt>
                <c:pt idx="179">
                  <c:v>445</c:v>
                </c:pt>
                <c:pt idx="180">
                  <c:v>447</c:v>
                </c:pt>
                <c:pt idx="181">
                  <c:v>445</c:v>
                </c:pt>
                <c:pt idx="182">
                  <c:v>444</c:v>
                </c:pt>
                <c:pt idx="183">
                  <c:v>446</c:v>
                </c:pt>
                <c:pt idx="184">
                  <c:v>441</c:v>
                </c:pt>
                <c:pt idx="185">
                  <c:v>440</c:v>
                </c:pt>
                <c:pt idx="186">
                  <c:v>465</c:v>
                </c:pt>
                <c:pt idx="187">
                  <c:v>451</c:v>
                </c:pt>
                <c:pt idx="188">
                  <c:v>509</c:v>
                </c:pt>
                <c:pt idx="189">
                  <c:v>505</c:v>
                </c:pt>
                <c:pt idx="190">
                  <c:v>516</c:v>
                </c:pt>
                <c:pt idx="191">
                  <c:v>544</c:v>
                </c:pt>
                <c:pt idx="192">
                  <c:v>580</c:v>
                </c:pt>
                <c:pt idx="193">
                  <c:v>601</c:v>
                </c:pt>
                <c:pt idx="194">
                  <c:v>619</c:v>
                </c:pt>
                <c:pt idx="195">
                  <c:v>618</c:v>
                </c:pt>
                <c:pt idx="196">
                  <c:v>619</c:v>
                </c:pt>
                <c:pt idx="197">
                  <c:v>619</c:v>
                </c:pt>
                <c:pt idx="198">
                  <c:v>629</c:v>
                </c:pt>
                <c:pt idx="199">
                  <c:v>618</c:v>
                </c:pt>
                <c:pt idx="200">
                  <c:v>655</c:v>
                </c:pt>
                <c:pt idx="201">
                  <c:v>656</c:v>
                </c:pt>
                <c:pt idx="202">
                  <c:v>655</c:v>
                </c:pt>
                <c:pt idx="203">
                  <c:v>662</c:v>
                </c:pt>
                <c:pt idx="204">
                  <c:v>660</c:v>
                </c:pt>
                <c:pt idx="205">
                  <c:v>669</c:v>
                </c:pt>
                <c:pt idx="206">
                  <c:v>665</c:v>
                </c:pt>
                <c:pt idx="207">
                  <c:v>660</c:v>
                </c:pt>
                <c:pt idx="208">
                  <c:v>666</c:v>
                </c:pt>
                <c:pt idx="209">
                  <c:v>699</c:v>
                </c:pt>
                <c:pt idx="210">
                  <c:v>690</c:v>
                </c:pt>
                <c:pt idx="211">
                  <c:v>690</c:v>
                </c:pt>
                <c:pt idx="212">
                  <c:v>691</c:v>
                </c:pt>
                <c:pt idx="213">
                  <c:v>692</c:v>
                </c:pt>
                <c:pt idx="214">
                  <c:v>694</c:v>
                </c:pt>
                <c:pt idx="215">
                  <c:v>696</c:v>
                </c:pt>
                <c:pt idx="216">
                  <c:v>704</c:v>
                </c:pt>
                <c:pt idx="217">
                  <c:v>723</c:v>
                </c:pt>
                <c:pt idx="218">
                  <c:v>734</c:v>
                </c:pt>
                <c:pt idx="219">
                  <c:v>751</c:v>
                </c:pt>
                <c:pt idx="220">
                  <c:v>770</c:v>
                </c:pt>
                <c:pt idx="221">
                  <c:v>839</c:v>
                </c:pt>
                <c:pt idx="222">
                  <c:v>892</c:v>
                </c:pt>
                <c:pt idx="223">
                  <c:v>885</c:v>
                </c:pt>
                <c:pt idx="224">
                  <c:v>901</c:v>
                </c:pt>
                <c:pt idx="225">
                  <c:v>913</c:v>
                </c:pt>
                <c:pt idx="226">
                  <c:v>915</c:v>
                </c:pt>
                <c:pt idx="227">
                  <c:v>910</c:v>
                </c:pt>
                <c:pt idx="228">
                  <c:v>901</c:v>
                </c:pt>
                <c:pt idx="229">
                  <c:v>892</c:v>
                </c:pt>
                <c:pt idx="230">
                  <c:v>890</c:v>
                </c:pt>
                <c:pt idx="231">
                  <c:v>887</c:v>
                </c:pt>
                <c:pt idx="232">
                  <c:v>886</c:v>
                </c:pt>
                <c:pt idx="233">
                  <c:v>897</c:v>
                </c:pt>
                <c:pt idx="234">
                  <c:v>890</c:v>
                </c:pt>
                <c:pt idx="235">
                  <c:v>891</c:v>
                </c:pt>
                <c:pt idx="236">
                  <c:v>901</c:v>
                </c:pt>
                <c:pt idx="237">
                  <c:v>901</c:v>
                </c:pt>
                <c:pt idx="238">
                  <c:v>915</c:v>
                </c:pt>
                <c:pt idx="239">
                  <c:v>910</c:v>
                </c:pt>
                <c:pt idx="240">
                  <c:v>909</c:v>
                </c:pt>
                <c:pt idx="241">
                  <c:v>899</c:v>
                </c:pt>
                <c:pt idx="242">
                  <c:v>895</c:v>
                </c:pt>
                <c:pt idx="243">
                  <c:v>891</c:v>
                </c:pt>
                <c:pt idx="244">
                  <c:v>893</c:v>
                </c:pt>
                <c:pt idx="245">
                  <c:v>890</c:v>
                </c:pt>
                <c:pt idx="246">
                  <c:v>889</c:v>
                </c:pt>
                <c:pt idx="247">
                  <c:v>884</c:v>
                </c:pt>
                <c:pt idx="248">
                  <c:v>880</c:v>
                </c:pt>
                <c:pt idx="249">
                  <c:v>873</c:v>
                </c:pt>
                <c:pt idx="250">
                  <c:v>865</c:v>
                </c:pt>
                <c:pt idx="251">
                  <c:v>828</c:v>
                </c:pt>
                <c:pt idx="252">
                  <c:v>802</c:v>
                </c:pt>
                <c:pt idx="253">
                  <c:v>798</c:v>
                </c:pt>
              </c:numCache>
            </c:numRef>
          </c:val>
          <c:smooth val="0"/>
          <c:extLst>
            <c:ext xmlns:c16="http://schemas.microsoft.com/office/drawing/2014/chart" uri="{C3380CC4-5D6E-409C-BE32-E72D297353CC}">
              <c16:uniqueId val="{00000001-9846-4485-A868-2132CC784430}"/>
            </c:ext>
          </c:extLst>
        </c:ser>
        <c:ser>
          <c:idx val="2"/>
          <c:order val="2"/>
          <c:tx>
            <c:strRef>
              <c:f>RR!$O$1</c:f>
              <c:strCache>
                <c:ptCount val="1"/>
                <c:pt idx="0">
                  <c:v>SPOT</c:v>
                </c:pt>
              </c:strCache>
            </c:strRef>
          </c:tx>
          <c:spPr>
            <a:ln w="28575" cap="rnd">
              <a:solidFill>
                <a:srgbClr val="7030A0"/>
              </a:solidFill>
              <a:round/>
            </a:ln>
            <a:effectLst/>
          </c:spPr>
          <c:marker>
            <c:symbol val="none"/>
          </c:marker>
          <c:cat>
            <c:numRef>
              <c:f>RR!$G$2:$G$9999</c:f>
              <c:numCache>
                <c:formatCode>m/d/yyyy</c:formatCode>
                <c:ptCount val="2438"/>
                <c:pt idx="0">
                  <c:v>43886</c:v>
                </c:pt>
                <c:pt idx="1">
                  <c:v>43887</c:v>
                </c:pt>
                <c:pt idx="2">
                  <c:v>43888</c:v>
                </c:pt>
                <c:pt idx="3">
                  <c:v>43889</c:v>
                </c:pt>
                <c:pt idx="4">
                  <c:v>43892</c:v>
                </c:pt>
                <c:pt idx="5">
                  <c:v>43893</c:v>
                </c:pt>
                <c:pt idx="6">
                  <c:v>43894</c:v>
                </c:pt>
                <c:pt idx="7">
                  <c:v>43895</c:v>
                </c:pt>
                <c:pt idx="8">
                  <c:v>43896</c:v>
                </c:pt>
                <c:pt idx="9">
                  <c:v>43899</c:v>
                </c:pt>
                <c:pt idx="10">
                  <c:v>43900</c:v>
                </c:pt>
                <c:pt idx="11">
                  <c:v>43901</c:v>
                </c:pt>
                <c:pt idx="12">
                  <c:v>43902</c:v>
                </c:pt>
                <c:pt idx="13">
                  <c:v>43903</c:v>
                </c:pt>
                <c:pt idx="14">
                  <c:v>43906</c:v>
                </c:pt>
                <c:pt idx="15">
                  <c:v>43907</c:v>
                </c:pt>
                <c:pt idx="16">
                  <c:v>43908</c:v>
                </c:pt>
                <c:pt idx="17">
                  <c:v>43909</c:v>
                </c:pt>
                <c:pt idx="18">
                  <c:v>43910</c:v>
                </c:pt>
                <c:pt idx="19">
                  <c:v>43913</c:v>
                </c:pt>
                <c:pt idx="20">
                  <c:v>43914</c:v>
                </c:pt>
                <c:pt idx="21">
                  <c:v>43915</c:v>
                </c:pt>
                <c:pt idx="22">
                  <c:v>43916</c:v>
                </c:pt>
                <c:pt idx="23">
                  <c:v>43917</c:v>
                </c:pt>
                <c:pt idx="24">
                  <c:v>43920</c:v>
                </c:pt>
                <c:pt idx="25">
                  <c:v>43921</c:v>
                </c:pt>
                <c:pt idx="26">
                  <c:v>43922</c:v>
                </c:pt>
                <c:pt idx="27">
                  <c:v>43923</c:v>
                </c:pt>
                <c:pt idx="28">
                  <c:v>43924</c:v>
                </c:pt>
                <c:pt idx="29">
                  <c:v>43927</c:v>
                </c:pt>
                <c:pt idx="30">
                  <c:v>43928</c:v>
                </c:pt>
                <c:pt idx="31">
                  <c:v>43929</c:v>
                </c:pt>
                <c:pt idx="32">
                  <c:v>43930</c:v>
                </c:pt>
                <c:pt idx="33">
                  <c:v>43934</c:v>
                </c:pt>
                <c:pt idx="34">
                  <c:v>43935</c:v>
                </c:pt>
                <c:pt idx="35">
                  <c:v>43936</c:v>
                </c:pt>
                <c:pt idx="36">
                  <c:v>43937</c:v>
                </c:pt>
                <c:pt idx="37">
                  <c:v>43938</c:v>
                </c:pt>
                <c:pt idx="38">
                  <c:v>43941</c:v>
                </c:pt>
                <c:pt idx="39">
                  <c:v>43942</c:v>
                </c:pt>
                <c:pt idx="40">
                  <c:v>43943</c:v>
                </c:pt>
                <c:pt idx="41">
                  <c:v>43944</c:v>
                </c:pt>
                <c:pt idx="42">
                  <c:v>43945</c:v>
                </c:pt>
                <c:pt idx="43">
                  <c:v>43948</c:v>
                </c:pt>
                <c:pt idx="44">
                  <c:v>43949</c:v>
                </c:pt>
                <c:pt idx="45">
                  <c:v>43950</c:v>
                </c:pt>
                <c:pt idx="46">
                  <c:v>43951</c:v>
                </c:pt>
                <c:pt idx="47">
                  <c:v>43952</c:v>
                </c:pt>
                <c:pt idx="48">
                  <c:v>43955</c:v>
                </c:pt>
                <c:pt idx="49">
                  <c:v>43956</c:v>
                </c:pt>
                <c:pt idx="50">
                  <c:v>43957</c:v>
                </c:pt>
                <c:pt idx="51">
                  <c:v>43958</c:v>
                </c:pt>
                <c:pt idx="52">
                  <c:v>43959</c:v>
                </c:pt>
                <c:pt idx="53">
                  <c:v>43962</c:v>
                </c:pt>
                <c:pt idx="54">
                  <c:v>43963</c:v>
                </c:pt>
                <c:pt idx="55">
                  <c:v>43964</c:v>
                </c:pt>
                <c:pt idx="56">
                  <c:v>43965</c:v>
                </c:pt>
                <c:pt idx="57">
                  <c:v>43966</c:v>
                </c:pt>
                <c:pt idx="58">
                  <c:v>43969</c:v>
                </c:pt>
                <c:pt idx="59">
                  <c:v>43970</c:v>
                </c:pt>
                <c:pt idx="60">
                  <c:v>43971</c:v>
                </c:pt>
                <c:pt idx="61">
                  <c:v>43972</c:v>
                </c:pt>
                <c:pt idx="62">
                  <c:v>43973</c:v>
                </c:pt>
                <c:pt idx="63">
                  <c:v>43977</c:v>
                </c:pt>
                <c:pt idx="64">
                  <c:v>43978</c:v>
                </c:pt>
                <c:pt idx="65">
                  <c:v>43979</c:v>
                </c:pt>
                <c:pt idx="66">
                  <c:v>43980</c:v>
                </c:pt>
                <c:pt idx="67">
                  <c:v>43983</c:v>
                </c:pt>
                <c:pt idx="68">
                  <c:v>43984</c:v>
                </c:pt>
                <c:pt idx="69">
                  <c:v>43985</c:v>
                </c:pt>
                <c:pt idx="70">
                  <c:v>43986</c:v>
                </c:pt>
                <c:pt idx="71">
                  <c:v>43987</c:v>
                </c:pt>
                <c:pt idx="72">
                  <c:v>43990</c:v>
                </c:pt>
                <c:pt idx="73">
                  <c:v>43991</c:v>
                </c:pt>
                <c:pt idx="74">
                  <c:v>43992</c:v>
                </c:pt>
                <c:pt idx="75">
                  <c:v>43993</c:v>
                </c:pt>
                <c:pt idx="76">
                  <c:v>43994</c:v>
                </c:pt>
                <c:pt idx="77">
                  <c:v>43997</c:v>
                </c:pt>
                <c:pt idx="78">
                  <c:v>43998</c:v>
                </c:pt>
                <c:pt idx="79">
                  <c:v>43999</c:v>
                </c:pt>
                <c:pt idx="80">
                  <c:v>44000</c:v>
                </c:pt>
                <c:pt idx="81">
                  <c:v>44001</c:v>
                </c:pt>
                <c:pt idx="82">
                  <c:v>44004</c:v>
                </c:pt>
                <c:pt idx="83">
                  <c:v>44005</c:v>
                </c:pt>
                <c:pt idx="84">
                  <c:v>44006</c:v>
                </c:pt>
                <c:pt idx="85">
                  <c:v>44007</c:v>
                </c:pt>
                <c:pt idx="86">
                  <c:v>44008</c:v>
                </c:pt>
                <c:pt idx="87">
                  <c:v>44011</c:v>
                </c:pt>
                <c:pt idx="88">
                  <c:v>44012</c:v>
                </c:pt>
                <c:pt idx="89">
                  <c:v>44013</c:v>
                </c:pt>
                <c:pt idx="90">
                  <c:v>44014</c:v>
                </c:pt>
                <c:pt idx="91">
                  <c:v>44018</c:v>
                </c:pt>
                <c:pt idx="92">
                  <c:v>44019</c:v>
                </c:pt>
                <c:pt idx="93">
                  <c:v>44020</c:v>
                </c:pt>
                <c:pt idx="94">
                  <c:v>44021</c:v>
                </c:pt>
                <c:pt idx="95">
                  <c:v>44022</c:v>
                </c:pt>
                <c:pt idx="96">
                  <c:v>44025</c:v>
                </c:pt>
                <c:pt idx="97">
                  <c:v>44026</c:v>
                </c:pt>
                <c:pt idx="98">
                  <c:v>44027</c:v>
                </c:pt>
                <c:pt idx="99">
                  <c:v>44028</c:v>
                </c:pt>
                <c:pt idx="100">
                  <c:v>44029</c:v>
                </c:pt>
                <c:pt idx="101">
                  <c:v>44032</c:v>
                </c:pt>
                <c:pt idx="102">
                  <c:v>44033</c:v>
                </c:pt>
                <c:pt idx="103">
                  <c:v>44034</c:v>
                </c:pt>
                <c:pt idx="104">
                  <c:v>44035</c:v>
                </c:pt>
                <c:pt idx="105">
                  <c:v>44036</c:v>
                </c:pt>
                <c:pt idx="106">
                  <c:v>44039</c:v>
                </c:pt>
                <c:pt idx="107">
                  <c:v>44040</c:v>
                </c:pt>
                <c:pt idx="108">
                  <c:v>44041</c:v>
                </c:pt>
                <c:pt idx="109">
                  <c:v>44042</c:v>
                </c:pt>
                <c:pt idx="110">
                  <c:v>44043</c:v>
                </c:pt>
                <c:pt idx="111">
                  <c:v>44046</c:v>
                </c:pt>
                <c:pt idx="112">
                  <c:v>44047</c:v>
                </c:pt>
                <c:pt idx="113">
                  <c:v>44048</c:v>
                </c:pt>
                <c:pt idx="114">
                  <c:v>44049</c:v>
                </c:pt>
                <c:pt idx="115">
                  <c:v>44050</c:v>
                </c:pt>
                <c:pt idx="116">
                  <c:v>44053</c:v>
                </c:pt>
                <c:pt idx="117">
                  <c:v>44054</c:v>
                </c:pt>
                <c:pt idx="118">
                  <c:v>44055</c:v>
                </c:pt>
                <c:pt idx="119">
                  <c:v>44056</c:v>
                </c:pt>
                <c:pt idx="120">
                  <c:v>44057</c:v>
                </c:pt>
                <c:pt idx="121">
                  <c:v>44060</c:v>
                </c:pt>
                <c:pt idx="122">
                  <c:v>44061</c:v>
                </c:pt>
                <c:pt idx="123">
                  <c:v>44062</c:v>
                </c:pt>
                <c:pt idx="124">
                  <c:v>44063</c:v>
                </c:pt>
                <c:pt idx="125">
                  <c:v>44064</c:v>
                </c:pt>
                <c:pt idx="126">
                  <c:v>44067</c:v>
                </c:pt>
                <c:pt idx="127">
                  <c:v>44068</c:v>
                </c:pt>
                <c:pt idx="128">
                  <c:v>44069</c:v>
                </c:pt>
                <c:pt idx="129">
                  <c:v>44070</c:v>
                </c:pt>
                <c:pt idx="130">
                  <c:v>44071</c:v>
                </c:pt>
                <c:pt idx="131">
                  <c:v>44074</c:v>
                </c:pt>
                <c:pt idx="132">
                  <c:v>44075</c:v>
                </c:pt>
                <c:pt idx="133">
                  <c:v>44076</c:v>
                </c:pt>
                <c:pt idx="134">
                  <c:v>44077</c:v>
                </c:pt>
                <c:pt idx="135">
                  <c:v>44078</c:v>
                </c:pt>
                <c:pt idx="136">
                  <c:v>44082</c:v>
                </c:pt>
                <c:pt idx="137">
                  <c:v>44083</c:v>
                </c:pt>
                <c:pt idx="138">
                  <c:v>44084</c:v>
                </c:pt>
                <c:pt idx="139">
                  <c:v>44085</c:v>
                </c:pt>
                <c:pt idx="140">
                  <c:v>44088</c:v>
                </c:pt>
                <c:pt idx="141">
                  <c:v>44089</c:v>
                </c:pt>
                <c:pt idx="142">
                  <c:v>44090</c:v>
                </c:pt>
                <c:pt idx="143">
                  <c:v>44091</c:v>
                </c:pt>
                <c:pt idx="144">
                  <c:v>44092</c:v>
                </c:pt>
                <c:pt idx="145">
                  <c:v>44095</c:v>
                </c:pt>
                <c:pt idx="146">
                  <c:v>44096</c:v>
                </c:pt>
                <c:pt idx="147">
                  <c:v>44097</c:v>
                </c:pt>
                <c:pt idx="148">
                  <c:v>44098</c:v>
                </c:pt>
                <c:pt idx="149">
                  <c:v>44099</c:v>
                </c:pt>
                <c:pt idx="150">
                  <c:v>44102</c:v>
                </c:pt>
                <c:pt idx="151">
                  <c:v>44103</c:v>
                </c:pt>
                <c:pt idx="152">
                  <c:v>44104</c:v>
                </c:pt>
                <c:pt idx="153">
                  <c:v>44105</c:v>
                </c:pt>
                <c:pt idx="154">
                  <c:v>44106</c:v>
                </c:pt>
                <c:pt idx="155">
                  <c:v>44109</c:v>
                </c:pt>
                <c:pt idx="156">
                  <c:v>44110</c:v>
                </c:pt>
                <c:pt idx="157">
                  <c:v>44111</c:v>
                </c:pt>
                <c:pt idx="158">
                  <c:v>44112</c:v>
                </c:pt>
                <c:pt idx="159">
                  <c:v>44113</c:v>
                </c:pt>
                <c:pt idx="160">
                  <c:v>44116</c:v>
                </c:pt>
                <c:pt idx="161">
                  <c:v>44117</c:v>
                </c:pt>
                <c:pt idx="162">
                  <c:v>44118</c:v>
                </c:pt>
                <c:pt idx="163">
                  <c:v>44119</c:v>
                </c:pt>
                <c:pt idx="164">
                  <c:v>44120</c:v>
                </c:pt>
                <c:pt idx="165">
                  <c:v>44123</c:v>
                </c:pt>
                <c:pt idx="166">
                  <c:v>44124</c:v>
                </c:pt>
                <c:pt idx="167">
                  <c:v>44125</c:v>
                </c:pt>
                <c:pt idx="168">
                  <c:v>44126</c:v>
                </c:pt>
                <c:pt idx="169">
                  <c:v>44127</c:v>
                </c:pt>
                <c:pt idx="170">
                  <c:v>44130</c:v>
                </c:pt>
                <c:pt idx="171">
                  <c:v>44131</c:v>
                </c:pt>
                <c:pt idx="172">
                  <c:v>44132</c:v>
                </c:pt>
                <c:pt idx="173">
                  <c:v>44133</c:v>
                </c:pt>
                <c:pt idx="174">
                  <c:v>44134</c:v>
                </c:pt>
                <c:pt idx="175">
                  <c:v>44137</c:v>
                </c:pt>
                <c:pt idx="176">
                  <c:v>44138</c:v>
                </c:pt>
                <c:pt idx="177">
                  <c:v>44139</c:v>
                </c:pt>
                <c:pt idx="178">
                  <c:v>44140</c:v>
                </c:pt>
                <c:pt idx="179">
                  <c:v>44141</c:v>
                </c:pt>
                <c:pt idx="180">
                  <c:v>44144</c:v>
                </c:pt>
                <c:pt idx="181">
                  <c:v>44145</c:v>
                </c:pt>
                <c:pt idx="182">
                  <c:v>44146</c:v>
                </c:pt>
                <c:pt idx="183">
                  <c:v>44147</c:v>
                </c:pt>
                <c:pt idx="184">
                  <c:v>44148</c:v>
                </c:pt>
                <c:pt idx="185">
                  <c:v>44151</c:v>
                </c:pt>
                <c:pt idx="186">
                  <c:v>44152</c:v>
                </c:pt>
                <c:pt idx="187">
                  <c:v>44153</c:v>
                </c:pt>
                <c:pt idx="188">
                  <c:v>44154</c:v>
                </c:pt>
                <c:pt idx="189">
                  <c:v>44155</c:v>
                </c:pt>
                <c:pt idx="190">
                  <c:v>44158</c:v>
                </c:pt>
                <c:pt idx="191">
                  <c:v>44159</c:v>
                </c:pt>
                <c:pt idx="192">
                  <c:v>44160</c:v>
                </c:pt>
                <c:pt idx="193">
                  <c:v>44162</c:v>
                </c:pt>
                <c:pt idx="194">
                  <c:v>44165</c:v>
                </c:pt>
                <c:pt idx="195">
                  <c:v>44166</c:v>
                </c:pt>
                <c:pt idx="196">
                  <c:v>44167</c:v>
                </c:pt>
                <c:pt idx="197">
                  <c:v>44168</c:v>
                </c:pt>
                <c:pt idx="198">
                  <c:v>44169</c:v>
                </c:pt>
                <c:pt idx="199">
                  <c:v>44172</c:v>
                </c:pt>
                <c:pt idx="200">
                  <c:v>44173</c:v>
                </c:pt>
                <c:pt idx="201">
                  <c:v>44174</c:v>
                </c:pt>
                <c:pt idx="202">
                  <c:v>44175</c:v>
                </c:pt>
                <c:pt idx="203">
                  <c:v>44176</c:v>
                </c:pt>
                <c:pt idx="204">
                  <c:v>44179</c:v>
                </c:pt>
                <c:pt idx="205">
                  <c:v>44180</c:v>
                </c:pt>
                <c:pt idx="206">
                  <c:v>44181</c:v>
                </c:pt>
                <c:pt idx="207">
                  <c:v>44182</c:v>
                </c:pt>
                <c:pt idx="208">
                  <c:v>44183</c:v>
                </c:pt>
                <c:pt idx="209">
                  <c:v>44186</c:v>
                </c:pt>
                <c:pt idx="210">
                  <c:v>44187</c:v>
                </c:pt>
                <c:pt idx="211">
                  <c:v>44188</c:v>
                </c:pt>
                <c:pt idx="212">
                  <c:v>44189</c:v>
                </c:pt>
                <c:pt idx="213">
                  <c:v>44193</c:v>
                </c:pt>
                <c:pt idx="214">
                  <c:v>44194</c:v>
                </c:pt>
                <c:pt idx="215">
                  <c:v>44195</c:v>
                </c:pt>
                <c:pt idx="216">
                  <c:v>44196</c:v>
                </c:pt>
                <c:pt idx="217">
                  <c:v>44200</c:v>
                </c:pt>
                <c:pt idx="218">
                  <c:v>44201</c:v>
                </c:pt>
                <c:pt idx="219">
                  <c:v>44202</c:v>
                </c:pt>
                <c:pt idx="220">
                  <c:v>44203</c:v>
                </c:pt>
                <c:pt idx="221">
                  <c:v>44204</c:v>
                </c:pt>
                <c:pt idx="222">
                  <c:v>44207</c:v>
                </c:pt>
                <c:pt idx="223">
                  <c:v>44208</c:v>
                </c:pt>
                <c:pt idx="224">
                  <c:v>44209</c:v>
                </c:pt>
                <c:pt idx="225">
                  <c:v>44210</c:v>
                </c:pt>
                <c:pt idx="226">
                  <c:v>44211</c:v>
                </c:pt>
                <c:pt idx="227">
                  <c:v>44215</c:v>
                </c:pt>
                <c:pt idx="228">
                  <c:v>44216</c:v>
                </c:pt>
                <c:pt idx="229">
                  <c:v>44217</c:v>
                </c:pt>
                <c:pt idx="230">
                  <c:v>44218</c:v>
                </c:pt>
                <c:pt idx="231">
                  <c:v>44221</c:v>
                </c:pt>
                <c:pt idx="232">
                  <c:v>44222</c:v>
                </c:pt>
                <c:pt idx="233">
                  <c:v>44223</c:v>
                </c:pt>
                <c:pt idx="234">
                  <c:v>44224</c:v>
                </c:pt>
                <c:pt idx="235">
                  <c:v>44225</c:v>
                </c:pt>
                <c:pt idx="236">
                  <c:v>44228</c:v>
                </c:pt>
                <c:pt idx="237">
                  <c:v>44229</c:v>
                </c:pt>
                <c:pt idx="238">
                  <c:v>44230</c:v>
                </c:pt>
                <c:pt idx="239">
                  <c:v>44231</c:v>
                </c:pt>
                <c:pt idx="240">
                  <c:v>44232</c:v>
                </c:pt>
                <c:pt idx="241">
                  <c:v>44235</c:v>
                </c:pt>
                <c:pt idx="242">
                  <c:v>44236</c:v>
                </c:pt>
                <c:pt idx="243">
                  <c:v>44237</c:v>
                </c:pt>
                <c:pt idx="244">
                  <c:v>44238</c:v>
                </c:pt>
                <c:pt idx="245">
                  <c:v>44239</c:v>
                </c:pt>
                <c:pt idx="246">
                  <c:v>44243</c:v>
                </c:pt>
                <c:pt idx="247">
                  <c:v>44244</c:v>
                </c:pt>
                <c:pt idx="248" formatCode="dd/mm/yyyy">
                  <c:v>44245</c:v>
                </c:pt>
                <c:pt idx="249" formatCode="dd/mm/yyyy">
                  <c:v>44246</c:v>
                </c:pt>
                <c:pt idx="250" formatCode="dd/mm/yyyy">
                  <c:v>44249</c:v>
                </c:pt>
                <c:pt idx="251" formatCode="dd/mm/yyyy">
                  <c:v>44250</c:v>
                </c:pt>
                <c:pt idx="252" formatCode="dd/mm/yyyy">
                  <c:v>44251</c:v>
                </c:pt>
                <c:pt idx="253" formatCode="dd/mm/yyyy">
                  <c:v>44252</c:v>
                </c:pt>
              </c:numCache>
            </c:numRef>
          </c:cat>
          <c:val>
            <c:numRef>
              <c:f>RR!$O$2:$O$9999</c:f>
              <c:numCache>
                <c:formatCode>General</c:formatCode>
                <c:ptCount val="2438"/>
                <c:pt idx="0">
                  <c:v>833</c:v>
                </c:pt>
                <c:pt idx="1">
                  <c:v>799</c:v>
                </c:pt>
                <c:pt idx="2">
                  <c:v>778</c:v>
                </c:pt>
                <c:pt idx="3">
                  <c:v>679</c:v>
                </c:pt>
                <c:pt idx="4">
                  <c:v>667</c:v>
                </c:pt>
                <c:pt idx="5">
                  <c:v>743</c:v>
                </c:pt>
                <c:pt idx="6">
                  <c:v>745</c:v>
                </c:pt>
                <c:pt idx="7">
                  <c:v>749</c:v>
                </c:pt>
                <c:pt idx="8">
                  <c:v>724</c:v>
                </c:pt>
                <c:pt idx="9">
                  <c:v>703</c:v>
                </c:pt>
                <c:pt idx="10">
                  <c:v>608</c:v>
                </c:pt>
                <c:pt idx="11">
                  <c:v>645</c:v>
                </c:pt>
                <c:pt idx="12">
                  <c:v>634</c:v>
                </c:pt>
                <c:pt idx="13">
                  <c:v>560</c:v>
                </c:pt>
                <c:pt idx="14">
                  <c:v>546</c:v>
                </c:pt>
                <c:pt idx="15">
                  <c:v>445</c:v>
                </c:pt>
                <c:pt idx="16">
                  <c:v>430</c:v>
                </c:pt>
                <c:pt idx="17">
                  <c:v>361</c:v>
                </c:pt>
                <c:pt idx="18">
                  <c:v>427</c:v>
                </c:pt>
                <c:pt idx="19">
                  <c:v>427</c:v>
                </c:pt>
                <c:pt idx="20">
                  <c:v>434</c:v>
                </c:pt>
                <c:pt idx="21">
                  <c:v>505</c:v>
                </c:pt>
                <c:pt idx="22">
                  <c:v>539</c:v>
                </c:pt>
                <c:pt idx="23">
                  <c:v>528</c:v>
                </c:pt>
                <c:pt idx="24">
                  <c:v>514</c:v>
                </c:pt>
                <c:pt idx="25">
                  <c:v>502</c:v>
                </c:pt>
                <c:pt idx="26">
                  <c:v>524</c:v>
                </c:pt>
                <c:pt idx="27">
                  <c:v>481</c:v>
                </c:pt>
                <c:pt idx="28">
                  <c:v>454</c:v>
                </c:pt>
                <c:pt idx="29">
                  <c:v>480</c:v>
                </c:pt>
                <c:pt idx="30">
                  <c:v>516</c:v>
                </c:pt>
                <c:pt idx="31">
                  <c:v>545</c:v>
                </c:pt>
                <c:pt idx="32">
                  <c:v>548</c:v>
                </c:pt>
                <c:pt idx="33">
                  <c:v>573</c:v>
                </c:pt>
                <c:pt idx="34">
                  <c:v>650</c:v>
                </c:pt>
                <c:pt idx="35">
                  <c:v>709</c:v>
                </c:pt>
                <c:pt idx="36">
                  <c:v>729</c:v>
                </c:pt>
                <c:pt idx="37">
                  <c:v>745</c:v>
                </c:pt>
                <c:pt idx="38">
                  <c:v>753</c:v>
                </c:pt>
                <c:pt idx="39">
                  <c:v>746</c:v>
                </c:pt>
                <c:pt idx="40">
                  <c:v>686</c:v>
                </c:pt>
                <c:pt idx="41">
                  <c:v>732</c:v>
                </c:pt>
                <c:pt idx="42">
                  <c:v>705</c:v>
                </c:pt>
                <c:pt idx="43">
                  <c:v>725</c:v>
                </c:pt>
                <c:pt idx="44">
                  <c:v>798</c:v>
                </c:pt>
                <c:pt idx="45">
                  <c:v>769</c:v>
                </c:pt>
                <c:pt idx="46">
                  <c:v>800</c:v>
                </c:pt>
                <c:pt idx="47">
                  <c:v>781</c:v>
                </c:pt>
                <c:pt idx="48">
                  <c:v>701</c:v>
                </c:pt>
                <c:pt idx="49">
                  <c:v>761</c:v>
                </c:pt>
                <c:pt idx="50">
                  <c:v>768</c:v>
                </c:pt>
                <c:pt idx="51">
                  <c:v>782</c:v>
                </c:pt>
                <c:pt idx="52">
                  <c:v>780</c:v>
                </c:pt>
                <c:pt idx="53">
                  <c:v>819</c:v>
                </c:pt>
                <c:pt idx="54">
                  <c:v>811</c:v>
                </c:pt>
                <c:pt idx="55">
                  <c:v>809</c:v>
                </c:pt>
                <c:pt idx="56">
                  <c:v>790</c:v>
                </c:pt>
                <c:pt idx="57">
                  <c:v>803</c:v>
                </c:pt>
                <c:pt idx="58">
                  <c:v>799</c:v>
                </c:pt>
                <c:pt idx="59">
                  <c:v>813</c:v>
                </c:pt>
                <c:pt idx="60">
                  <c:v>808</c:v>
                </c:pt>
                <c:pt idx="61">
                  <c:v>815</c:v>
                </c:pt>
                <c:pt idx="62">
                  <c:v>827</c:v>
                </c:pt>
                <c:pt idx="63">
                  <c:v>816</c:v>
                </c:pt>
                <c:pt idx="64">
                  <c:v>818</c:v>
                </c:pt>
                <c:pt idx="65">
                  <c:v>820</c:v>
                </c:pt>
                <c:pt idx="66">
                  <c:v>805</c:v>
                </c:pt>
                <c:pt idx="67">
                  <c:v>878</c:v>
                </c:pt>
                <c:pt idx="68">
                  <c:v>898</c:v>
                </c:pt>
                <c:pt idx="69">
                  <c:v>881</c:v>
                </c:pt>
                <c:pt idx="70">
                  <c:v>882</c:v>
                </c:pt>
                <c:pt idx="71">
                  <c:v>864</c:v>
                </c:pt>
                <c:pt idx="72">
                  <c:v>885</c:v>
                </c:pt>
                <c:pt idx="73">
                  <c:v>949</c:v>
                </c:pt>
                <c:pt idx="74">
                  <c:v>940</c:v>
                </c:pt>
                <c:pt idx="75">
                  <c:v>1025</c:v>
                </c:pt>
                <c:pt idx="76">
                  <c:v>972</c:v>
                </c:pt>
                <c:pt idx="77">
                  <c:v>935</c:v>
                </c:pt>
                <c:pt idx="78">
                  <c:v>990</c:v>
                </c:pt>
                <c:pt idx="79">
                  <c:v>982</c:v>
                </c:pt>
                <c:pt idx="80">
                  <c:v>991</c:v>
                </c:pt>
                <c:pt idx="81">
                  <c:v>1003</c:v>
                </c:pt>
                <c:pt idx="82">
                  <c:v>1000</c:v>
                </c:pt>
                <c:pt idx="83">
                  <c:v>994</c:v>
                </c:pt>
                <c:pt idx="84">
                  <c:v>1001</c:v>
                </c:pt>
                <c:pt idx="85">
                  <c:v>960</c:v>
                </c:pt>
                <c:pt idx="86">
                  <c:v>985</c:v>
                </c:pt>
                <c:pt idx="87">
                  <c:v>959</c:v>
                </c:pt>
                <c:pt idx="88">
                  <c:v>1009</c:v>
                </c:pt>
                <c:pt idx="89">
                  <c:v>1079</c:v>
                </c:pt>
                <c:pt idx="90">
                  <c:v>1119</c:v>
                </c:pt>
                <c:pt idx="91">
                  <c:v>1208</c:v>
                </c:pt>
                <c:pt idx="92">
                  <c:v>1371</c:v>
                </c:pt>
                <c:pt idx="93">
                  <c:v>1389</c:v>
                </c:pt>
                <c:pt idx="94">
                  <c:v>1365</c:v>
                </c:pt>
                <c:pt idx="95">
                  <c:v>1394</c:v>
                </c:pt>
                <c:pt idx="96">
                  <c:v>1544</c:v>
                </c:pt>
                <c:pt idx="97">
                  <c:v>1497</c:v>
                </c:pt>
                <c:pt idx="98">
                  <c:v>1516</c:v>
                </c:pt>
                <c:pt idx="99">
                  <c:v>1546</c:v>
                </c:pt>
                <c:pt idx="100">
                  <c:v>1500</c:v>
                </c:pt>
                <c:pt idx="101">
                  <c:v>1500</c:v>
                </c:pt>
                <c:pt idx="102">
                  <c:v>1643</c:v>
                </c:pt>
                <c:pt idx="103">
                  <c:v>1568</c:v>
                </c:pt>
                <c:pt idx="104">
                  <c:v>1592</c:v>
                </c:pt>
                <c:pt idx="105">
                  <c:v>1513</c:v>
                </c:pt>
                <c:pt idx="106">
                  <c:v>1417</c:v>
                </c:pt>
                <c:pt idx="107">
                  <c:v>1539</c:v>
                </c:pt>
                <c:pt idx="108">
                  <c:v>1476</c:v>
                </c:pt>
                <c:pt idx="109">
                  <c:v>1499</c:v>
                </c:pt>
                <c:pt idx="110">
                  <c:v>1487</c:v>
                </c:pt>
                <c:pt idx="111">
                  <c:v>1430</c:v>
                </c:pt>
                <c:pt idx="112">
                  <c:v>1485</c:v>
                </c:pt>
                <c:pt idx="113">
                  <c:v>1487</c:v>
                </c:pt>
                <c:pt idx="114">
                  <c:v>1485</c:v>
                </c:pt>
                <c:pt idx="115">
                  <c:v>1489</c:v>
                </c:pt>
                <c:pt idx="116">
                  <c:v>1452</c:v>
                </c:pt>
                <c:pt idx="117">
                  <c:v>1418</c:v>
                </c:pt>
                <c:pt idx="118">
                  <c:v>1374</c:v>
                </c:pt>
                <c:pt idx="119">
                  <c:v>1554</c:v>
                </c:pt>
                <c:pt idx="120">
                  <c:v>1621</c:v>
                </c:pt>
                <c:pt idx="121">
                  <c:v>1650</c:v>
                </c:pt>
                <c:pt idx="122">
                  <c:v>1835</c:v>
                </c:pt>
                <c:pt idx="123">
                  <c:v>1887</c:v>
                </c:pt>
                <c:pt idx="124">
                  <c:v>1878</c:v>
                </c:pt>
                <c:pt idx="125">
                  <c:v>2001</c:v>
                </c:pt>
                <c:pt idx="126">
                  <c:v>2049</c:v>
                </c:pt>
                <c:pt idx="127">
                  <c:v>2014</c:v>
                </c:pt>
                <c:pt idx="128">
                  <c:v>2023</c:v>
                </c:pt>
                <c:pt idx="129">
                  <c:v>2153</c:v>
                </c:pt>
                <c:pt idx="130">
                  <c:v>2238</c:v>
                </c:pt>
                <c:pt idx="131">
                  <c:v>2213</c:v>
                </c:pt>
                <c:pt idx="132">
                  <c:v>498</c:v>
                </c:pt>
                <c:pt idx="133">
                  <c:v>475</c:v>
                </c:pt>
                <c:pt idx="134">
                  <c:v>447</c:v>
                </c:pt>
                <c:pt idx="135">
                  <c:v>407</c:v>
                </c:pt>
                <c:pt idx="136">
                  <c:v>418</c:v>
                </c:pt>
                <c:pt idx="137">
                  <c:v>330</c:v>
                </c:pt>
                <c:pt idx="138">
                  <c:v>366</c:v>
                </c:pt>
                <c:pt idx="139">
                  <c:v>371</c:v>
                </c:pt>
                <c:pt idx="140">
                  <c:v>372</c:v>
                </c:pt>
                <c:pt idx="141">
                  <c:v>419</c:v>
                </c:pt>
                <c:pt idx="142">
                  <c:v>449</c:v>
                </c:pt>
                <c:pt idx="143">
                  <c:v>441</c:v>
                </c:pt>
                <c:pt idx="144">
                  <c:v>423</c:v>
                </c:pt>
                <c:pt idx="145">
                  <c:v>442</c:v>
                </c:pt>
                <c:pt idx="146">
                  <c:v>449</c:v>
                </c:pt>
                <c:pt idx="147">
                  <c:v>424</c:v>
                </c:pt>
                <c:pt idx="148">
                  <c:v>380</c:v>
                </c:pt>
                <c:pt idx="149">
                  <c:v>387</c:v>
                </c:pt>
                <c:pt idx="150">
                  <c:v>407</c:v>
                </c:pt>
                <c:pt idx="151">
                  <c:v>421</c:v>
                </c:pt>
                <c:pt idx="152">
                  <c:v>419</c:v>
                </c:pt>
                <c:pt idx="153">
                  <c:v>429</c:v>
                </c:pt>
                <c:pt idx="154">
                  <c:v>448</c:v>
                </c:pt>
                <c:pt idx="155">
                  <c:v>415</c:v>
                </c:pt>
                <c:pt idx="156">
                  <c:v>425</c:v>
                </c:pt>
                <c:pt idx="157">
                  <c:v>413</c:v>
                </c:pt>
                <c:pt idx="158">
                  <c:v>425</c:v>
                </c:pt>
                <c:pt idx="159">
                  <c:v>425</c:v>
                </c:pt>
                <c:pt idx="160">
                  <c:v>434</c:v>
                </c:pt>
                <c:pt idx="161">
                  <c:v>442</c:v>
                </c:pt>
                <c:pt idx="162">
                  <c:v>446</c:v>
                </c:pt>
                <c:pt idx="163">
                  <c:v>461</c:v>
                </c:pt>
                <c:pt idx="164">
                  <c:v>448</c:v>
                </c:pt>
                <c:pt idx="165">
                  <c:v>439</c:v>
                </c:pt>
                <c:pt idx="166">
                  <c:v>430</c:v>
                </c:pt>
                <c:pt idx="167">
                  <c:v>421</c:v>
                </c:pt>
                <c:pt idx="168">
                  <c:v>422</c:v>
                </c:pt>
                <c:pt idx="169">
                  <c:v>425</c:v>
                </c:pt>
                <c:pt idx="170">
                  <c:v>420</c:v>
                </c:pt>
                <c:pt idx="171">
                  <c:v>420</c:v>
                </c:pt>
                <c:pt idx="172">
                  <c:v>424</c:v>
                </c:pt>
                <c:pt idx="173">
                  <c:v>406</c:v>
                </c:pt>
                <c:pt idx="174">
                  <c:v>410</c:v>
                </c:pt>
                <c:pt idx="175">
                  <c:v>388</c:v>
                </c:pt>
                <c:pt idx="176">
                  <c:v>400</c:v>
                </c:pt>
                <c:pt idx="177">
                  <c:v>423</c:v>
                </c:pt>
                <c:pt idx="178">
                  <c:v>420</c:v>
                </c:pt>
                <c:pt idx="179">
                  <c:v>438</c:v>
                </c:pt>
                <c:pt idx="180">
                  <c:v>429</c:v>
                </c:pt>
                <c:pt idx="181">
                  <c:v>421</c:v>
                </c:pt>
                <c:pt idx="182">
                  <c:v>410</c:v>
                </c:pt>
                <c:pt idx="183">
                  <c:v>417</c:v>
                </c:pt>
                <c:pt idx="184">
                  <c:v>411</c:v>
                </c:pt>
                <c:pt idx="185">
                  <c:v>408</c:v>
                </c:pt>
                <c:pt idx="186">
                  <c:v>408</c:v>
                </c:pt>
                <c:pt idx="187">
                  <c:v>441</c:v>
                </c:pt>
                <c:pt idx="188">
                  <c:v>486</c:v>
                </c:pt>
                <c:pt idx="189">
                  <c:v>499</c:v>
                </c:pt>
                <c:pt idx="190">
                  <c:v>489</c:v>
                </c:pt>
                <c:pt idx="191">
                  <c:v>521</c:v>
                </c:pt>
                <c:pt idx="192">
                  <c:v>555</c:v>
                </c:pt>
                <c:pt idx="193">
                  <c:v>574</c:v>
                </c:pt>
                <c:pt idx="194">
                  <c:v>585</c:v>
                </c:pt>
                <c:pt idx="195">
                  <c:v>567</c:v>
                </c:pt>
                <c:pt idx="196">
                  <c:v>584</c:v>
                </c:pt>
                <c:pt idx="197">
                  <c:v>568</c:v>
                </c:pt>
                <c:pt idx="198">
                  <c:v>593</c:v>
                </c:pt>
                <c:pt idx="199">
                  <c:v>599</c:v>
                </c:pt>
                <c:pt idx="200">
                  <c:v>641</c:v>
                </c:pt>
                <c:pt idx="201">
                  <c:v>649</c:v>
                </c:pt>
                <c:pt idx="202">
                  <c:v>604</c:v>
                </c:pt>
                <c:pt idx="203">
                  <c:v>627</c:v>
                </c:pt>
                <c:pt idx="204">
                  <c:v>609</c:v>
                </c:pt>
                <c:pt idx="205">
                  <c:v>639</c:v>
                </c:pt>
                <c:pt idx="206">
                  <c:v>633</c:v>
                </c:pt>
                <c:pt idx="207">
                  <c:v>622</c:v>
                </c:pt>
                <c:pt idx="208">
                  <c:v>655</c:v>
                </c:pt>
                <c:pt idx="209">
                  <c:v>695</c:v>
                </c:pt>
                <c:pt idx="210">
                  <c:v>649</c:v>
                </c:pt>
                <c:pt idx="211">
                  <c:v>640</c:v>
                </c:pt>
                <c:pt idx="212">
                  <c:v>645</c:v>
                </c:pt>
                <c:pt idx="213">
                  <c:v>661</c:v>
                </c:pt>
                <c:pt idx="214">
                  <c:v>663</c:v>
                </c:pt>
                <c:pt idx="215">
                  <c:v>665</c:v>
                </c:pt>
                <c:pt idx="216">
                  <c:v>694</c:v>
                </c:pt>
                <c:pt idx="217">
                  <c:v>705</c:v>
                </c:pt>
                <c:pt idx="218">
                  <c:v>729</c:v>
                </c:pt>
                <c:pt idx="219">
                  <c:v>735</c:v>
                </c:pt>
                <c:pt idx="220">
                  <c:v>755</c:v>
                </c:pt>
                <c:pt idx="221">
                  <c:v>816</c:v>
                </c:pt>
                <c:pt idx="222">
                  <c:v>880</c:v>
                </c:pt>
                <c:pt idx="223">
                  <c:v>811</c:v>
                </c:pt>
                <c:pt idx="224">
                  <c:v>849</c:v>
                </c:pt>
                <c:pt idx="225">
                  <c:v>854</c:v>
                </c:pt>
                <c:pt idx="226">
                  <c:v>845</c:v>
                </c:pt>
                <c:pt idx="227">
                  <c:v>826</c:v>
                </c:pt>
                <c:pt idx="228">
                  <c:v>844</c:v>
                </c:pt>
                <c:pt idx="229">
                  <c:v>850</c:v>
                </c:pt>
                <c:pt idx="230">
                  <c:v>844</c:v>
                </c:pt>
                <c:pt idx="231">
                  <c:v>846</c:v>
                </c:pt>
                <c:pt idx="232">
                  <c:v>880</c:v>
                </c:pt>
                <c:pt idx="233">
                  <c:v>883</c:v>
                </c:pt>
                <c:pt idx="234">
                  <c:v>864</c:v>
                </c:pt>
                <c:pt idx="235">
                  <c:v>835</c:v>
                </c:pt>
                <c:pt idx="236">
                  <c:v>793</c:v>
                </c:pt>
                <c:pt idx="237">
                  <c:v>839</c:v>
                </c:pt>
                <c:pt idx="238">
                  <c:v>872</c:v>
                </c:pt>
                <c:pt idx="239">
                  <c:v>854</c:v>
                </c:pt>
                <c:pt idx="240">
                  <c:v>849</c:v>
                </c:pt>
                <c:pt idx="241">
                  <c:v>852</c:v>
                </c:pt>
                <c:pt idx="242">
                  <c:v>863</c:v>
                </c:pt>
                <c:pt idx="243">
                  <c:v>849</c:v>
                </c:pt>
                <c:pt idx="244">
                  <c:v>804</c:v>
                </c:pt>
                <c:pt idx="245">
                  <c:v>811</c:v>
                </c:pt>
                <c:pt idx="246">
                  <c:v>816</c:v>
                </c:pt>
                <c:pt idx="247">
                  <c:v>796</c:v>
                </c:pt>
                <c:pt idx="248">
                  <c:v>798</c:v>
                </c:pt>
                <c:pt idx="249">
                  <c:v>787</c:v>
                </c:pt>
                <c:pt idx="250">
                  <c:v>781</c:v>
                </c:pt>
                <c:pt idx="251">
                  <c:v>714</c:v>
                </c:pt>
                <c:pt idx="252">
                  <c:v>698</c:v>
                </c:pt>
                <c:pt idx="253">
                  <c:v>742</c:v>
                </c:pt>
              </c:numCache>
            </c:numRef>
          </c:val>
          <c:smooth val="0"/>
          <c:extLst>
            <c:ext xmlns:c16="http://schemas.microsoft.com/office/drawing/2014/chart" uri="{C3380CC4-5D6E-409C-BE32-E72D297353CC}">
              <c16:uniqueId val="{00000002-9846-4485-A868-2132CC784430}"/>
            </c:ext>
          </c:extLst>
        </c:ser>
        <c:dLbls>
          <c:showLegendKey val="0"/>
          <c:showVal val="0"/>
          <c:showCatName val="0"/>
          <c:showSerName val="0"/>
          <c:showPercent val="0"/>
          <c:showBubbleSize val="0"/>
        </c:dLbls>
        <c:smooth val="0"/>
        <c:axId val="1065223887"/>
        <c:axId val="1064585055"/>
      </c:lineChart>
      <c:dateAx>
        <c:axId val="1065223887"/>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64585055"/>
        <c:crosses val="autoZero"/>
        <c:auto val="1"/>
        <c:lblOffset val="100"/>
        <c:baseTimeUnit val="days"/>
      </c:dateAx>
      <c:valAx>
        <c:axId val="1064585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65223887"/>
        <c:crosses val="autoZero"/>
        <c:crossBetween val="between"/>
      </c:valAx>
      <c:spPr>
        <a:noFill/>
        <a:ln>
          <a:noFill/>
        </a:ln>
        <a:effectLst/>
      </c:spPr>
    </c:plotArea>
    <c:legend>
      <c:legendPos val="b"/>
      <c:layout>
        <c:manualLayout>
          <c:xMode val="edge"/>
          <c:yMode val="edge"/>
          <c:x val="8.3661138102418073E-3"/>
          <c:y val="2.067399971950076E-2"/>
          <c:w val="0.32445064299969761"/>
          <c:h val="5.2380122850241469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a:t>VOLATILITY</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5.1858311099542309E-2"/>
          <c:y val="9.4376590330788809E-2"/>
          <c:w val="0.93299017374894255"/>
          <c:h val="0.78389713690368856"/>
        </c:manualLayout>
      </c:layout>
      <c:lineChart>
        <c:grouping val="standard"/>
        <c:varyColors val="0"/>
        <c:ser>
          <c:idx val="0"/>
          <c:order val="0"/>
          <c:tx>
            <c:strRef>
              <c:f>RR!$M$1</c:f>
              <c:strCache>
                <c:ptCount val="1"/>
                <c:pt idx="0">
                  <c:v>STDEV</c:v>
                </c:pt>
              </c:strCache>
            </c:strRef>
          </c:tx>
          <c:spPr>
            <a:ln w="28575" cap="rnd">
              <a:solidFill>
                <a:schemeClr val="accent1">
                  <a:shade val="76000"/>
                </a:schemeClr>
              </a:solidFill>
              <a:round/>
            </a:ln>
            <a:effectLst/>
          </c:spPr>
          <c:marker>
            <c:symbol val="none"/>
          </c:marker>
          <c:cat>
            <c:numRef>
              <c:f>RR!$G$2:$G$9999</c:f>
              <c:numCache>
                <c:formatCode>m/d/yyyy</c:formatCode>
                <c:ptCount val="2438"/>
                <c:pt idx="0">
                  <c:v>43886</c:v>
                </c:pt>
                <c:pt idx="1">
                  <c:v>43887</c:v>
                </c:pt>
                <c:pt idx="2">
                  <c:v>43888</c:v>
                </c:pt>
                <c:pt idx="3">
                  <c:v>43889</c:v>
                </c:pt>
                <c:pt idx="4">
                  <c:v>43892</c:v>
                </c:pt>
                <c:pt idx="5">
                  <c:v>43893</c:v>
                </c:pt>
                <c:pt idx="6">
                  <c:v>43894</c:v>
                </c:pt>
                <c:pt idx="7">
                  <c:v>43895</c:v>
                </c:pt>
                <c:pt idx="8">
                  <c:v>43896</c:v>
                </c:pt>
                <c:pt idx="9">
                  <c:v>43899</c:v>
                </c:pt>
                <c:pt idx="10">
                  <c:v>43900</c:v>
                </c:pt>
                <c:pt idx="11">
                  <c:v>43901</c:v>
                </c:pt>
                <c:pt idx="12">
                  <c:v>43902</c:v>
                </c:pt>
                <c:pt idx="13">
                  <c:v>43903</c:v>
                </c:pt>
                <c:pt idx="14">
                  <c:v>43906</c:v>
                </c:pt>
                <c:pt idx="15">
                  <c:v>43907</c:v>
                </c:pt>
                <c:pt idx="16">
                  <c:v>43908</c:v>
                </c:pt>
                <c:pt idx="17">
                  <c:v>43909</c:v>
                </c:pt>
                <c:pt idx="18">
                  <c:v>43910</c:v>
                </c:pt>
                <c:pt idx="19">
                  <c:v>43913</c:v>
                </c:pt>
                <c:pt idx="20">
                  <c:v>43914</c:v>
                </c:pt>
                <c:pt idx="21">
                  <c:v>43915</c:v>
                </c:pt>
                <c:pt idx="22">
                  <c:v>43916</c:v>
                </c:pt>
                <c:pt idx="23">
                  <c:v>43917</c:v>
                </c:pt>
                <c:pt idx="24">
                  <c:v>43920</c:v>
                </c:pt>
                <c:pt idx="25">
                  <c:v>43921</c:v>
                </c:pt>
                <c:pt idx="26">
                  <c:v>43922</c:v>
                </c:pt>
                <c:pt idx="27">
                  <c:v>43923</c:v>
                </c:pt>
                <c:pt idx="28">
                  <c:v>43924</c:v>
                </c:pt>
                <c:pt idx="29">
                  <c:v>43927</c:v>
                </c:pt>
                <c:pt idx="30">
                  <c:v>43928</c:v>
                </c:pt>
                <c:pt idx="31">
                  <c:v>43929</c:v>
                </c:pt>
                <c:pt idx="32">
                  <c:v>43930</c:v>
                </c:pt>
                <c:pt idx="33">
                  <c:v>43934</c:v>
                </c:pt>
                <c:pt idx="34">
                  <c:v>43935</c:v>
                </c:pt>
                <c:pt idx="35">
                  <c:v>43936</c:v>
                </c:pt>
                <c:pt idx="36">
                  <c:v>43937</c:v>
                </c:pt>
                <c:pt idx="37">
                  <c:v>43938</c:v>
                </c:pt>
                <c:pt idx="38">
                  <c:v>43941</c:v>
                </c:pt>
                <c:pt idx="39">
                  <c:v>43942</c:v>
                </c:pt>
                <c:pt idx="40">
                  <c:v>43943</c:v>
                </c:pt>
                <c:pt idx="41">
                  <c:v>43944</c:v>
                </c:pt>
                <c:pt idx="42">
                  <c:v>43945</c:v>
                </c:pt>
                <c:pt idx="43">
                  <c:v>43948</c:v>
                </c:pt>
                <c:pt idx="44">
                  <c:v>43949</c:v>
                </c:pt>
                <c:pt idx="45">
                  <c:v>43950</c:v>
                </c:pt>
                <c:pt idx="46">
                  <c:v>43951</c:v>
                </c:pt>
                <c:pt idx="47">
                  <c:v>43952</c:v>
                </c:pt>
                <c:pt idx="48">
                  <c:v>43955</c:v>
                </c:pt>
                <c:pt idx="49">
                  <c:v>43956</c:v>
                </c:pt>
                <c:pt idx="50">
                  <c:v>43957</c:v>
                </c:pt>
                <c:pt idx="51">
                  <c:v>43958</c:v>
                </c:pt>
                <c:pt idx="52">
                  <c:v>43959</c:v>
                </c:pt>
                <c:pt idx="53">
                  <c:v>43962</c:v>
                </c:pt>
                <c:pt idx="54">
                  <c:v>43963</c:v>
                </c:pt>
                <c:pt idx="55">
                  <c:v>43964</c:v>
                </c:pt>
                <c:pt idx="56">
                  <c:v>43965</c:v>
                </c:pt>
                <c:pt idx="57">
                  <c:v>43966</c:v>
                </c:pt>
                <c:pt idx="58">
                  <c:v>43969</c:v>
                </c:pt>
                <c:pt idx="59">
                  <c:v>43970</c:v>
                </c:pt>
                <c:pt idx="60">
                  <c:v>43971</c:v>
                </c:pt>
                <c:pt idx="61">
                  <c:v>43972</c:v>
                </c:pt>
                <c:pt idx="62">
                  <c:v>43973</c:v>
                </c:pt>
                <c:pt idx="63">
                  <c:v>43977</c:v>
                </c:pt>
                <c:pt idx="64">
                  <c:v>43978</c:v>
                </c:pt>
                <c:pt idx="65">
                  <c:v>43979</c:v>
                </c:pt>
                <c:pt idx="66">
                  <c:v>43980</c:v>
                </c:pt>
                <c:pt idx="67">
                  <c:v>43983</c:v>
                </c:pt>
                <c:pt idx="68">
                  <c:v>43984</c:v>
                </c:pt>
                <c:pt idx="69">
                  <c:v>43985</c:v>
                </c:pt>
                <c:pt idx="70">
                  <c:v>43986</c:v>
                </c:pt>
                <c:pt idx="71">
                  <c:v>43987</c:v>
                </c:pt>
                <c:pt idx="72">
                  <c:v>43990</c:v>
                </c:pt>
                <c:pt idx="73">
                  <c:v>43991</c:v>
                </c:pt>
                <c:pt idx="74">
                  <c:v>43992</c:v>
                </c:pt>
                <c:pt idx="75">
                  <c:v>43993</c:v>
                </c:pt>
                <c:pt idx="76">
                  <c:v>43994</c:v>
                </c:pt>
                <c:pt idx="77">
                  <c:v>43997</c:v>
                </c:pt>
                <c:pt idx="78">
                  <c:v>43998</c:v>
                </c:pt>
                <c:pt idx="79">
                  <c:v>43999</c:v>
                </c:pt>
                <c:pt idx="80">
                  <c:v>44000</c:v>
                </c:pt>
                <c:pt idx="81">
                  <c:v>44001</c:v>
                </c:pt>
                <c:pt idx="82">
                  <c:v>44004</c:v>
                </c:pt>
                <c:pt idx="83">
                  <c:v>44005</c:v>
                </c:pt>
                <c:pt idx="84">
                  <c:v>44006</c:v>
                </c:pt>
                <c:pt idx="85">
                  <c:v>44007</c:v>
                </c:pt>
                <c:pt idx="86">
                  <c:v>44008</c:v>
                </c:pt>
                <c:pt idx="87">
                  <c:v>44011</c:v>
                </c:pt>
                <c:pt idx="88">
                  <c:v>44012</c:v>
                </c:pt>
                <c:pt idx="89">
                  <c:v>44013</c:v>
                </c:pt>
                <c:pt idx="90">
                  <c:v>44014</c:v>
                </c:pt>
                <c:pt idx="91">
                  <c:v>44018</c:v>
                </c:pt>
                <c:pt idx="92">
                  <c:v>44019</c:v>
                </c:pt>
                <c:pt idx="93">
                  <c:v>44020</c:v>
                </c:pt>
                <c:pt idx="94">
                  <c:v>44021</c:v>
                </c:pt>
                <c:pt idx="95">
                  <c:v>44022</c:v>
                </c:pt>
                <c:pt idx="96">
                  <c:v>44025</c:v>
                </c:pt>
                <c:pt idx="97">
                  <c:v>44026</c:v>
                </c:pt>
                <c:pt idx="98">
                  <c:v>44027</c:v>
                </c:pt>
                <c:pt idx="99">
                  <c:v>44028</c:v>
                </c:pt>
                <c:pt idx="100">
                  <c:v>44029</c:v>
                </c:pt>
                <c:pt idx="101">
                  <c:v>44032</c:v>
                </c:pt>
                <c:pt idx="102">
                  <c:v>44033</c:v>
                </c:pt>
                <c:pt idx="103">
                  <c:v>44034</c:v>
                </c:pt>
                <c:pt idx="104">
                  <c:v>44035</c:v>
                </c:pt>
                <c:pt idx="105">
                  <c:v>44036</c:v>
                </c:pt>
                <c:pt idx="106">
                  <c:v>44039</c:v>
                </c:pt>
                <c:pt idx="107">
                  <c:v>44040</c:v>
                </c:pt>
                <c:pt idx="108">
                  <c:v>44041</c:v>
                </c:pt>
                <c:pt idx="109">
                  <c:v>44042</c:v>
                </c:pt>
                <c:pt idx="110">
                  <c:v>44043</c:v>
                </c:pt>
                <c:pt idx="111">
                  <c:v>44046</c:v>
                </c:pt>
                <c:pt idx="112">
                  <c:v>44047</c:v>
                </c:pt>
                <c:pt idx="113">
                  <c:v>44048</c:v>
                </c:pt>
                <c:pt idx="114">
                  <c:v>44049</c:v>
                </c:pt>
                <c:pt idx="115">
                  <c:v>44050</c:v>
                </c:pt>
                <c:pt idx="116">
                  <c:v>44053</c:v>
                </c:pt>
                <c:pt idx="117">
                  <c:v>44054</c:v>
                </c:pt>
                <c:pt idx="118">
                  <c:v>44055</c:v>
                </c:pt>
                <c:pt idx="119">
                  <c:v>44056</c:v>
                </c:pt>
                <c:pt idx="120">
                  <c:v>44057</c:v>
                </c:pt>
                <c:pt idx="121">
                  <c:v>44060</c:v>
                </c:pt>
                <c:pt idx="122">
                  <c:v>44061</c:v>
                </c:pt>
                <c:pt idx="123">
                  <c:v>44062</c:v>
                </c:pt>
                <c:pt idx="124">
                  <c:v>44063</c:v>
                </c:pt>
                <c:pt idx="125">
                  <c:v>44064</c:v>
                </c:pt>
                <c:pt idx="126">
                  <c:v>44067</c:v>
                </c:pt>
                <c:pt idx="127">
                  <c:v>44068</c:v>
                </c:pt>
                <c:pt idx="128">
                  <c:v>44069</c:v>
                </c:pt>
                <c:pt idx="129">
                  <c:v>44070</c:v>
                </c:pt>
                <c:pt idx="130">
                  <c:v>44071</c:v>
                </c:pt>
                <c:pt idx="131">
                  <c:v>44074</c:v>
                </c:pt>
                <c:pt idx="132">
                  <c:v>44075</c:v>
                </c:pt>
                <c:pt idx="133">
                  <c:v>44076</c:v>
                </c:pt>
                <c:pt idx="134">
                  <c:v>44077</c:v>
                </c:pt>
                <c:pt idx="135">
                  <c:v>44078</c:v>
                </c:pt>
                <c:pt idx="136">
                  <c:v>44082</c:v>
                </c:pt>
                <c:pt idx="137">
                  <c:v>44083</c:v>
                </c:pt>
                <c:pt idx="138">
                  <c:v>44084</c:v>
                </c:pt>
                <c:pt idx="139">
                  <c:v>44085</c:v>
                </c:pt>
                <c:pt idx="140">
                  <c:v>44088</c:v>
                </c:pt>
                <c:pt idx="141">
                  <c:v>44089</c:v>
                </c:pt>
                <c:pt idx="142">
                  <c:v>44090</c:v>
                </c:pt>
                <c:pt idx="143">
                  <c:v>44091</c:v>
                </c:pt>
                <c:pt idx="144">
                  <c:v>44092</c:v>
                </c:pt>
                <c:pt idx="145">
                  <c:v>44095</c:v>
                </c:pt>
                <c:pt idx="146">
                  <c:v>44096</c:v>
                </c:pt>
                <c:pt idx="147">
                  <c:v>44097</c:v>
                </c:pt>
                <c:pt idx="148">
                  <c:v>44098</c:v>
                </c:pt>
                <c:pt idx="149">
                  <c:v>44099</c:v>
                </c:pt>
                <c:pt idx="150">
                  <c:v>44102</c:v>
                </c:pt>
                <c:pt idx="151">
                  <c:v>44103</c:v>
                </c:pt>
                <c:pt idx="152">
                  <c:v>44104</c:v>
                </c:pt>
                <c:pt idx="153">
                  <c:v>44105</c:v>
                </c:pt>
                <c:pt idx="154">
                  <c:v>44106</c:v>
                </c:pt>
                <c:pt idx="155">
                  <c:v>44109</c:v>
                </c:pt>
                <c:pt idx="156">
                  <c:v>44110</c:v>
                </c:pt>
                <c:pt idx="157">
                  <c:v>44111</c:v>
                </c:pt>
                <c:pt idx="158">
                  <c:v>44112</c:v>
                </c:pt>
                <c:pt idx="159">
                  <c:v>44113</c:v>
                </c:pt>
                <c:pt idx="160">
                  <c:v>44116</c:v>
                </c:pt>
                <c:pt idx="161">
                  <c:v>44117</c:v>
                </c:pt>
                <c:pt idx="162">
                  <c:v>44118</c:v>
                </c:pt>
                <c:pt idx="163">
                  <c:v>44119</c:v>
                </c:pt>
                <c:pt idx="164">
                  <c:v>44120</c:v>
                </c:pt>
                <c:pt idx="165">
                  <c:v>44123</c:v>
                </c:pt>
                <c:pt idx="166">
                  <c:v>44124</c:v>
                </c:pt>
                <c:pt idx="167">
                  <c:v>44125</c:v>
                </c:pt>
                <c:pt idx="168">
                  <c:v>44126</c:v>
                </c:pt>
                <c:pt idx="169">
                  <c:v>44127</c:v>
                </c:pt>
                <c:pt idx="170">
                  <c:v>44130</c:v>
                </c:pt>
                <c:pt idx="171">
                  <c:v>44131</c:v>
                </c:pt>
                <c:pt idx="172">
                  <c:v>44132</c:v>
                </c:pt>
                <c:pt idx="173">
                  <c:v>44133</c:v>
                </c:pt>
                <c:pt idx="174">
                  <c:v>44134</c:v>
                </c:pt>
                <c:pt idx="175">
                  <c:v>44137</c:v>
                </c:pt>
                <c:pt idx="176">
                  <c:v>44138</c:v>
                </c:pt>
                <c:pt idx="177">
                  <c:v>44139</c:v>
                </c:pt>
                <c:pt idx="178">
                  <c:v>44140</c:v>
                </c:pt>
                <c:pt idx="179">
                  <c:v>44141</c:v>
                </c:pt>
                <c:pt idx="180">
                  <c:v>44144</c:v>
                </c:pt>
                <c:pt idx="181">
                  <c:v>44145</c:v>
                </c:pt>
                <c:pt idx="182">
                  <c:v>44146</c:v>
                </c:pt>
                <c:pt idx="183">
                  <c:v>44147</c:v>
                </c:pt>
                <c:pt idx="184">
                  <c:v>44148</c:v>
                </c:pt>
                <c:pt idx="185">
                  <c:v>44151</c:v>
                </c:pt>
                <c:pt idx="186">
                  <c:v>44152</c:v>
                </c:pt>
                <c:pt idx="187">
                  <c:v>44153</c:v>
                </c:pt>
                <c:pt idx="188">
                  <c:v>44154</c:v>
                </c:pt>
                <c:pt idx="189">
                  <c:v>44155</c:v>
                </c:pt>
                <c:pt idx="190">
                  <c:v>44158</c:v>
                </c:pt>
                <c:pt idx="191">
                  <c:v>44159</c:v>
                </c:pt>
                <c:pt idx="192">
                  <c:v>44160</c:v>
                </c:pt>
                <c:pt idx="193">
                  <c:v>44162</c:v>
                </c:pt>
                <c:pt idx="194">
                  <c:v>44165</c:v>
                </c:pt>
                <c:pt idx="195">
                  <c:v>44166</c:v>
                </c:pt>
                <c:pt idx="196">
                  <c:v>44167</c:v>
                </c:pt>
                <c:pt idx="197">
                  <c:v>44168</c:v>
                </c:pt>
                <c:pt idx="198">
                  <c:v>44169</c:v>
                </c:pt>
                <c:pt idx="199">
                  <c:v>44172</c:v>
                </c:pt>
                <c:pt idx="200">
                  <c:v>44173</c:v>
                </c:pt>
                <c:pt idx="201">
                  <c:v>44174</c:v>
                </c:pt>
                <c:pt idx="202">
                  <c:v>44175</c:v>
                </c:pt>
                <c:pt idx="203">
                  <c:v>44176</c:v>
                </c:pt>
                <c:pt idx="204">
                  <c:v>44179</c:v>
                </c:pt>
                <c:pt idx="205">
                  <c:v>44180</c:v>
                </c:pt>
                <c:pt idx="206">
                  <c:v>44181</c:v>
                </c:pt>
                <c:pt idx="207">
                  <c:v>44182</c:v>
                </c:pt>
                <c:pt idx="208">
                  <c:v>44183</c:v>
                </c:pt>
                <c:pt idx="209">
                  <c:v>44186</c:v>
                </c:pt>
                <c:pt idx="210">
                  <c:v>44187</c:v>
                </c:pt>
                <c:pt idx="211">
                  <c:v>44188</c:v>
                </c:pt>
                <c:pt idx="212">
                  <c:v>44189</c:v>
                </c:pt>
                <c:pt idx="213">
                  <c:v>44193</c:v>
                </c:pt>
                <c:pt idx="214">
                  <c:v>44194</c:v>
                </c:pt>
                <c:pt idx="215">
                  <c:v>44195</c:v>
                </c:pt>
                <c:pt idx="216">
                  <c:v>44196</c:v>
                </c:pt>
                <c:pt idx="217">
                  <c:v>44200</c:v>
                </c:pt>
                <c:pt idx="218">
                  <c:v>44201</c:v>
                </c:pt>
                <c:pt idx="219">
                  <c:v>44202</c:v>
                </c:pt>
                <c:pt idx="220">
                  <c:v>44203</c:v>
                </c:pt>
                <c:pt idx="221">
                  <c:v>44204</c:v>
                </c:pt>
                <c:pt idx="222">
                  <c:v>44207</c:v>
                </c:pt>
                <c:pt idx="223">
                  <c:v>44208</c:v>
                </c:pt>
                <c:pt idx="224">
                  <c:v>44209</c:v>
                </c:pt>
                <c:pt idx="225">
                  <c:v>44210</c:v>
                </c:pt>
                <c:pt idx="226">
                  <c:v>44211</c:v>
                </c:pt>
                <c:pt idx="227">
                  <c:v>44215</c:v>
                </c:pt>
                <c:pt idx="228">
                  <c:v>44216</c:v>
                </c:pt>
                <c:pt idx="229">
                  <c:v>44217</c:v>
                </c:pt>
                <c:pt idx="230">
                  <c:v>44218</c:v>
                </c:pt>
                <c:pt idx="231">
                  <c:v>44221</c:v>
                </c:pt>
                <c:pt idx="232">
                  <c:v>44222</c:v>
                </c:pt>
                <c:pt idx="233">
                  <c:v>44223</c:v>
                </c:pt>
                <c:pt idx="234">
                  <c:v>44224</c:v>
                </c:pt>
                <c:pt idx="235">
                  <c:v>44225</c:v>
                </c:pt>
                <c:pt idx="236">
                  <c:v>44228</c:v>
                </c:pt>
                <c:pt idx="237">
                  <c:v>44229</c:v>
                </c:pt>
                <c:pt idx="238">
                  <c:v>44230</c:v>
                </c:pt>
                <c:pt idx="239">
                  <c:v>44231</c:v>
                </c:pt>
                <c:pt idx="240">
                  <c:v>44232</c:v>
                </c:pt>
                <c:pt idx="241">
                  <c:v>44235</c:v>
                </c:pt>
                <c:pt idx="242">
                  <c:v>44236</c:v>
                </c:pt>
                <c:pt idx="243">
                  <c:v>44237</c:v>
                </c:pt>
                <c:pt idx="244">
                  <c:v>44238</c:v>
                </c:pt>
                <c:pt idx="245">
                  <c:v>44239</c:v>
                </c:pt>
                <c:pt idx="246">
                  <c:v>44243</c:v>
                </c:pt>
                <c:pt idx="247">
                  <c:v>44244</c:v>
                </c:pt>
                <c:pt idx="248" formatCode="dd/mm/yyyy">
                  <c:v>44245</c:v>
                </c:pt>
                <c:pt idx="249" formatCode="dd/mm/yyyy">
                  <c:v>44246</c:v>
                </c:pt>
                <c:pt idx="250" formatCode="dd/mm/yyyy">
                  <c:v>44249</c:v>
                </c:pt>
                <c:pt idx="251" formatCode="dd/mm/yyyy">
                  <c:v>44250</c:v>
                </c:pt>
                <c:pt idx="252" formatCode="dd/mm/yyyy">
                  <c:v>44251</c:v>
                </c:pt>
                <c:pt idx="253" formatCode="dd/mm/yyyy">
                  <c:v>44252</c:v>
                </c:pt>
              </c:numCache>
            </c:numRef>
          </c:cat>
          <c:val>
            <c:numRef>
              <c:f>RR!$M$2:$M$9999</c:f>
              <c:numCache>
                <c:formatCode>General</c:formatCode>
                <c:ptCount val="2438"/>
                <c:pt idx="0">
                  <c:v>111</c:v>
                </c:pt>
                <c:pt idx="1">
                  <c:v>106.5</c:v>
                </c:pt>
                <c:pt idx="2">
                  <c:v>104.5</c:v>
                </c:pt>
                <c:pt idx="3">
                  <c:v>109</c:v>
                </c:pt>
                <c:pt idx="4">
                  <c:v>125.5</c:v>
                </c:pt>
                <c:pt idx="5">
                  <c:v>100.5</c:v>
                </c:pt>
                <c:pt idx="6">
                  <c:v>97</c:v>
                </c:pt>
                <c:pt idx="7">
                  <c:v>89</c:v>
                </c:pt>
                <c:pt idx="8">
                  <c:v>87.5</c:v>
                </c:pt>
                <c:pt idx="9">
                  <c:v>112.5</c:v>
                </c:pt>
                <c:pt idx="10">
                  <c:v>73.5</c:v>
                </c:pt>
                <c:pt idx="11">
                  <c:v>70.5</c:v>
                </c:pt>
                <c:pt idx="12">
                  <c:v>73.5</c:v>
                </c:pt>
                <c:pt idx="13">
                  <c:v>80</c:v>
                </c:pt>
                <c:pt idx="14">
                  <c:v>102.5</c:v>
                </c:pt>
                <c:pt idx="15">
                  <c:v>87.5</c:v>
                </c:pt>
                <c:pt idx="16">
                  <c:v>103.5</c:v>
                </c:pt>
                <c:pt idx="17">
                  <c:v>108.5</c:v>
                </c:pt>
                <c:pt idx="18">
                  <c:v>103</c:v>
                </c:pt>
                <c:pt idx="19">
                  <c:v>98.5</c:v>
                </c:pt>
                <c:pt idx="20">
                  <c:v>96.5</c:v>
                </c:pt>
                <c:pt idx="21">
                  <c:v>76.5</c:v>
                </c:pt>
                <c:pt idx="22">
                  <c:v>88</c:v>
                </c:pt>
                <c:pt idx="23">
                  <c:v>106</c:v>
                </c:pt>
                <c:pt idx="24">
                  <c:v>111.5</c:v>
                </c:pt>
                <c:pt idx="25">
                  <c:v>110.5</c:v>
                </c:pt>
                <c:pt idx="26">
                  <c:v>83</c:v>
                </c:pt>
                <c:pt idx="27">
                  <c:v>79</c:v>
                </c:pt>
                <c:pt idx="28">
                  <c:v>70</c:v>
                </c:pt>
                <c:pt idx="29">
                  <c:v>59.5</c:v>
                </c:pt>
                <c:pt idx="30">
                  <c:v>60.5</c:v>
                </c:pt>
                <c:pt idx="31">
                  <c:v>60.5</c:v>
                </c:pt>
                <c:pt idx="32">
                  <c:v>62.5</c:v>
                </c:pt>
                <c:pt idx="33">
                  <c:v>74</c:v>
                </c:pt>
                <c:pt idx="34">
                  <c:v>124</c:v>
                </c:pt>
                <c:pt idx="35">
                  <c:v>102</c:v>
                </c:pt>
                <c:pt idx="36">
                  <c:v>93.5</c:v>
                </c:pt>
                <c:pt idx="37">
                  <c:v>119</c:v>
                </c:pt>
                <c:pt idx="38">
                  <c:v>180.5</c:v>
                </c:pt>
                <c:pt idx="39">
                  <c:v>174</c:v>
                </c:pt>
                <c:pt idx="40">
                  <c:v>146</c:v>
                </c:pt>
                <c:pt idx="41">
                  <c:v>121</c:v>
                </c:pt>
                <c:pt idx="42">
                  <c:v>105</c:v>
                </c:pt>
                <c:pt idx="43">
                  <c:v>66.5</c:v>
                </c:pt>
                <c:pt idx="44">
                  <c:v>87.5</c:v>
                </c:pt>
                <c:pt idx="45">
                  <c:v>74</c:v>
                </c:pt>
                <c:pt idx="46">
                  <c:v>101</c:v>
                </c:pt>
                <c:pt idx="47">
                  <c:v>79.5</c:v>
                </c:pt>
                <c:pt idx="48">
                  <c:v>111</c:v>
                </c:pt>
                <c:pt idx="49">
                  <c:v>73.5</c:v>
                </c:pt>
                <c:pt idx="50">
                  <c:v>73</c:v>
                </c:pt>
                <c:pt idx="51">
                  <c:v>64.5</c:v>
                </c:pt>
                <c:pt idx="52">
                  <c:v>63</c:v>
                </c:pt>
                <c:pt idx="53">
                  <c:v>64</c:v>
                </c:pt>
                <c:pt idx="54">
                  <c:v>67</c:v>
                </c:pt>
                <c:pt idx="55">
                  <c:v>69</c:v>
                </c:pt>
                <c:pt idx="56">
                  <c:v>68.5</c:v>
                </c:pt>
                <c:pt idx="57">
                  <c:v>49.5</c:v>
                </c:pt>
                <c:pt idx="58">
                  <c:v>45</c:v>
                </c:pt>
                <c:pt idx="59">
                  <c:v>32.5</c:v>
                </c:pt>
                <c:pt idx="60">
                  <c:v>28.5</c:v>
                </c:pt>
                <c:pt idx="61">
                  <c:v>22.5</c:v>
                </c:pt>
                <c:pt idx="62">
                  <c:v>23</c:v>
                </c:pt>
                <c:pt idx="63">
                  <c:v>23</c:v>
                </c:pt>
                <c:pt idx="64">
                  <c:v>23.5</c:v>
                </c:pt>
                <c:pt idx="65">
                  <c:v>22.5</c:v>
                </c:pt>
                <c:pt idx="66">
                  <c:v>29</c:v>
                </c:pt>
                <c:pt idx="67">
                  <c:v>26</c:v>
                </c:pt>
                <c:pt idx="68">
                  <c:v>68</c:v>
                </c:pt>
                <c:pt idx="69">
                  <c:v>63</c:v>
                </c:pt>
                <c:pt idx="70">
                  <c:v>66.5</c:v>
                </c:pt>
                <c:pt idx="71">
                  <c:v>68</c:v>
                </c:pt>
                <c:pt idx="72">
                  <c:v>70.5</c:v>
                </c:pt>
                <c:pt idx="73">
                  <c:v>84</c:v>
                </c:pt>
                <c:pt idx="74">
                  <c:v>76</c:v>
                </c:pt>
                <c:pt idx="75">
                  <c:v>95.5</c:v>
                </c:pt>
                <c:pt idx="76">
                  <c:v>102.5</c:v>
                </c:pt>
                <c:pt idx="77">
                  <c:v>101</c:v>
                </c:pt>
                <c:pt idx="78">
                  <c:v>109</c:v>
                </c:pt>
                <c:pt idx="79">
                  <c:v>98</c:v>
                </c:pt>
                <c:pt idx="80">
                  <c:v>78</c:v>
                </c:pt>
                <c:pt idx="81">
                  <c:v>63.5</c:v>
                </c:pt>
                <c:pt idx="82">
                  <c:v>57</c:v>
                </c:pt>
                <c:pt idx="83">
                  <c:v>49.5</c:v>
                </c:pt>
                <c:pt idx="84">
                  <c:v>43</c:v>
                </c:pt>
                <c:pt idx="85">
                  <c:v>55</c:v>
                </c:pt>
                <c:pt idx="86">
                  <c:v>48.5</c:v>
                </c:pt>
                <c:pt idx="87">
                  <c:v>46.5</c:v>
                </c:pt>
                <c:pt idx="88">
                  <c:v>48.5</c:v>
                </c:pt>
                <c:pt idx="89">
                  <c:v>78.5</c:v>
                </c:pt>
                <c:pt idx="90">
                  <c:v>88</c:v>
                </c:pt>
                <c:pt idx="91">
                  <c:v>104</c:v>
                </c:pt>
                <c:pt idx="92">
                  <c:v>182</c:v>
                </c:pt>
                <c:pt idx="93">
                  <c:v>158.5</c:v>
                </c:pt>
                <c:pt idx="94">
                  <c:v>164.5</c:v>
                </c:pt>
                <c:pt idx="95">
                  <c:v>172</c:v>
                </c:pt>
                <c:pt idx="96">
                  <c:v>168.5</c:v>
                </c:pt>
                <c:pt idx="97">
                  <c:v>161</c:v>
                </c:pt>
                <c:pt idx="98">
                  <c:v>138.5</c:v>
                </c:pt>
                <c:pt idx="99">
                  <c:v>109.5</c:v>
                </c:pt>
                <c:pt idx="100">
                  <c:v>139.5</c:v>
                </c:pt>
                <c:pt idx="101">
                  <c:v>132.5</c:v>
                </c:pt>
                <c:pt idx="102">
                  <c:v>164.5</c:v>
                </c:pt>
                <c:pt idx="103">
                  <c:v>128</c:v>
                </c:pt>
                <c:pt idx="104">
                  <c:v>119</c:v>
                </c:pt>
                <c:pt idx="105">
                  <c:v>96.5</c:v>
                </c:pt>
                <c:pt idx="106">
                  <c:v>127</c:v>
                </c:pt>
                <c:pt idx="107">
                  <c:v>123</c:v>
                </c:pt>
                <c:pt idx="108">
                  <c:v>126.5</c:v>
                </c:pt>
                <c:pt idx="109">
                  <c:v>128</c:v>
                </c:pt>
                <c:pt idx="110">
                  <c:v>128.5</c:v>
                </c:pt>
                <c:pt idx="111">
                  <c:v>119.5</c:v>
                </c:pt>
                <c:pt idx="112">
                  <c:v>109.5</c:v>
                </c:pt>
                <c:pt idx="113">
                  <c:v>82</c:v>
                </c:pt>
                <c:pt idx="114">
                  <c:v>76.5</c:v>
                </c:pt>
                <c:pt idx="115">
                  <c:v>70</c:v>
                </c:pt>
                <c:pt idx="116">
                  <c:v>57</c:v>
                </c:pt>
                <c:pt idx="117">
                  <c:v>60</c:v>
                </c:pt>
                <c:pt idx="118">
                  <c:v>65</c:v>
                </c:pt>
                <c:pt idx="119">
                  <c:v>108.5</c:v>
                </c:pt>
                <c:pt idx="120">
                  <c:v>139.5</c:v>
                </c:pt>
                <c:pt idx="121">
                  <c:v>116.5</c:v>
                </c:pt>
                <c:pt idx="122">
                  <c:v>208.5</c:v>
                </c:pt>
                <c:pt idx="123">
                  <c:v>175</c:v>
                </c:pt>
                <c:pt idx="124">
                  <c:v>197</c:v>
                </c:pt>
                <c:pt idx="125">
                  <c:v>214</c:v>
                </c:pt>
                <c:pt idx="126">
                  <c:v>216.5</c:v>
                </c:pt>
                <c:pt idx="127">
                  <c:v>179</c:v>
                </c:pt>
                <c:pt idx="128">
                  <c:v>156</c:v>
                </c:pt>
                <c:pt idx="129">
                  <c:v>159.5</c:v>
                </c:pt>
                <c:pt idx="130">
                  <c:v>132.5</c:v>
                </c:pt>
                <c:pt idx="131">
                  <c:v>128</c:v>
                </c:pt>
                <c:pt idx="132">
                  <c:v>44</c:v>
                </c:pt>
                <c:pt idx="133">
                  <c:v>35</c:v>
                </c:pt>
                <c:pt idx="134">
                  <c:v>40</c:v>
                </c:pt>
                <c:pt idx="135">
                  <c:v>62.5</c:v>
                </c:pt>
                <c:pt idx="136">
                  <c:v>65</c:v>
                </c:pt>
                <c:pt idx="137">
                  <c:v>62.5</c:v>
                </c:pt>
                <c:pt idx="138">
                  <c:v>62.5</c:v>
                </c:pt>
                <c:pt idx="139">
                  <c:v>60.5</c:v>
                </c:pt>
                <c:pt idx="140">
                  <c:v>60</c:v>
                </c:pt>
                <c:pt idx="141">
                  <c:v>87.5</c:v>
                </c:pt>
                <c:pt idx="142">
                  <c:v>78.5</c:v>
                </c:pt>
                <c:pt idx="143">
                  <c:v>76</c:v>
                </c:pt>
                <c:pt idx="144">
                  <c:v>77</c:v>
                </c:pt>
                <c:pt idx="145">
                  <c:v>81.5</c:v>
                </c:pt>
                <c:pt idx="146">
                  <c:v>68</c:v>
                </c:pt>
                <c:pt idx="147">
                  <c:v>60.5</c:v>
                </c:pt>
                <c:pt idx="148">
                  <c:v>59.5</c:v>
                </c:pt>
                <c:pt idx="149">
                  <c:v>53.5</c:v>
                </c:pt>
                <c:pt idx="150">
                  <c:v>52</c:v>
                </c:pt>
                <c:pt idx="151">
                  <c:v>47</c:v>
                </c:pt>
                <c:pt idx="152">
                  <c:v>44.5</c:v>
                </c:pt>
                <c:pt idx="153">
                  <c:v>44.5</c:v>
                </c:pt>
                <c:pt idx="154">
                  <c:v>46</c:v>
                </c:pt>
                <c:pt idx="155">
                  <c:v>42</c:v>
                </c:pt>
                <c:pt idx="156">
                  <c:v>40.5</c:v>
                </c:pt>
                <c:pt idx="157">
                  <c:v>36.5</c:v>
                </c:pt>
                <c:pt idx="158">
                  <c:v>25.5</c:v>
                </c:pt>
                <c:pt idx="159">
                  <c:v>22</c:v>
                </c:pt>
                <c:pt idx="160">
                  <c:v>22</c:v>
                </c:pt>
                <c:pt idx="161">
                  <c:v>23</c:v>
                </c:pt>
                <c:pt idx="162">
                  <c:v>24</c:v>
                </c:pt>
                <c:pt idx="163">
                  <c:v>35</c:v>
                </c:pt>
                <c:pt idx="164">
                  <c:v>30</c:v>
                </c:pt>
                <c:pt idx="165">
                  <c:v>28.5</c:v>
                </c:pt>
                <c:pt idx="166">
                  <c:v>26</c:v>
                </c:pt>
                <c:pt idx="167">
                  <c:v>26</c:v>
                </c:pt>
                <c:pt idx="168">
                  <c:v>27</c:v>
                </c:pt>
                <c:pt idx="169">
                  <c:v>27</c:v>
                </c:pt>
                <c:pt idx="170">
                  <c:v>30.5</c:v>
                </c:pt>
                <c:pt idx="171">
                  <c:v>29.5</c:v>
                </c:pt>
                <c:pt idx="172">
                  <c:v>23.5</c:v>
                </c:pt>
                <c:pt idx="173">
                  <c:v>20.5</c:v>
                </c:pt>
                <c:pt idx="174">
                  <c:v>17.5</c:v>
                </c:pt>
                <c:pt idx="175">
                  <c:v>28.5</c:v>
                </c:pt>
                <c:pt idx="176">
                  <c:v>28.5</c:v>
                </c:pt>
                <c:pt idx="177">
                  <c:v>33.5</c:v>
                </c:pt>
                <c:pt idx="178">
                  <c:v>26.5</c:v>
                </c:pt>
                <c:pt idx="179">
                  <c:v>30</c:v>
                </c:pt>
                <c:pt idx="180">
                  <c:v>30</c:v>
                </c:pt>
                <c:pt idx="181">
                  <c:v>30</c:v>
                </c:pt>
                <c:pt idx="182">
                  <c:v>32.5</c:v>
                </c:pt>
                <c:pt idx="183">
                  <c:v>30</c:v>
                </c:pt>
                <c:pt idx="184">
                  <c:v>25</c:v>
                </c:pt>
                <c:pt idx="185">
                  <c:v>20.5</c:v>
                </c:pt>
                <c:pt idx="186">
                  <c:v>33</c:v>
                </c:pt>
                <c:pt idx="187">
                  <c:v>28</c:v>
                </c:pt>
                <c:pt idx="188">
                  <c:v>60.5</c:v>
                </c:pt>
                <c:pt idx="189">
                  <c:v>37.5</c:v>
                </c:pt>
                <c:pt idx="190">
                  <c:v>41.5</c:v>
                </c:pt>
                <c:pt idx="191">
                  <c:v>45</c:v>
                </c:pt>
                <c:pt idx="192">
                  <c:v>55</c:v>
                </c:pt>
                <c:pt idx="193">
                  <c:v>56</c:v>
                </c:pt>
                <c:pt idx="194">
                  <c:v>56</c:v>
                </c:pt>
                <c:pt idx="195">
                  <c:v>52</c:v>
                </c:pt>
                <c:pt idx="196">
                  <c:v>52.5</c:v>
                </c:pt>
                <c:pt idx="197">
                  <c:v>61</c:v>
                </c:pt>
                <c:pt idx="198">
                  <c:v>61.5</c:v>
                </c:pt>
                <c:pt idx="199">
                  <c:v>45.5</c:v>
                </c:pt>
                <c:pt idx="200">
                  <c:v>57.5</c:v>
                </c:pt>
                <c:pt idx="201">
                  <c:v>52.5</c:v>
                </c:pt>
                <c:pt idx="202">
                  <c:v>55</c:v>
                </c:pt>
                <c:pt idx="203">
                  <c:v>58.5</c:v>
                </c:pt>
                <c:pt idx="204">
                  <c:v>51</c:v>
                </c:pt>
                <c:pt idx="205">
                  <c:v>51.5</c:v>
                </c:pt>
                <c:pt idx="206">
                  <c:v>42</c:v>
                </c:pt>
                <c:pt idx="207">
                  <c:v>35</c:v>
                </c:pt>
                <c:pt idx="208">
                  <c:v>34</c:v>
                </c:pt>
                <c:pt idx="209">
                  <c:v>56.5</c:v>
                </c:pt>
                <c:pt idx="210">
                  <c:v>53</c:v>
                </c:pt>
                <c:pt idx="211">
                  <c:v>48.5</c:v>
                </c:pt>
                <c:pt idx="212">
                  <c:v>47</c:v>
                </c:pt>
                <c:pt idx="213">
                  <c:v>42</c:v>
                </c:pt>
                <c:pt idx="214">
                  <c:v>42</c:v>
                </c:pt>
                <c:pt idx="215">
                  <c:v>40</c:v>
                </c:pt>
                <c:pt idx="216">
                  <c:v>39.5</c:v>
                </c:pt>
                <c:pt idx="217">
                  <c:v>37</c:v>
                </c:pt>
                <c:pt idx="218">
                  <c:v>35.5</c:v>
                </c:pt>
                <c:pt idx="219">
                  <c:v>39.5</c:v>
                </c:pt>
                <c:pt idx="220">
                  <c:v>47.5</c:v>
                </c:pt>
                <c:pt idx="221">
                  <c:v>62</c:v>
                </c:pt>
                <c:pt idx="222">
                  <c:v>82</c:v>
                </c:pt>
                <c:pt idx="223">
                  <c:v>70.5</c:v>
                </c:pt>
                <c:pt idx="224">
                  <c:v>62.5</c:v>
                </c:pt>
                <c:pt idx="225">
                  <c:v>65</c:v>
                </c:pt>
                <c:pt idx="226">
                  <c:v>63.5</c:v>
                </c:pt>
                <c:pt idx="227">
                  <c:v>84.5</c:v>
                </c:pt>
                <c:pt idx="228">
                  <c:v>68</c:v>
                </c:pt>
                <c:pt idx="229">
                  <c:v>48.5</c:v>
                </c:pt>
                <c:pt idx="230">
                  <c:v>46</c:v>
                </c:pt>
                <c:pt idx="231">
                  <c:v>41</c:v>
                </c:pt>
                <c:pt idx="232">
                  <c:v>32.5</c:v>
                </c:pt>
                <c:pt idx="233">
                  <c:v>40.5</c:v>
                </c:pt>
                <c:pt idx="234">
                  <c:v>41</c:v>
                </c:pt>
                <c:pt idx="235">
                  <c:v>40.5</c:v>
                </c:pt>
                <c:pt idx="236">
                  <c:v>62.5</c:v>
                </c:pt>
                <c:pt idx="237">
                  <c:v>56.5</c:v>
                </c:pt>
                <c:pt idx="238">
                  <c:v>60.5</c:v>
                </c:pt>
                <c:pt idx="239">
                  <c:v>57.5</c:v>
                </c:pt>
                <c:pt idx="240">
                  <c:v>56</c:v>
                </c:pt>
                <c:pt idx="241">
                  <c:v>50</c:v>
                </c:pt>
                <c:pt idx="242">
                  <c:v>48</c:v>
                </c:pt>
                <c:pt idx="243">
                  <c:v>46</c:v>
                </c:pt>
                <c:pt idx="244">
                  <c:v>51.5</c:v>
                </c:pt>
                <c:pt idx="245">
                  <c:v>46</c:v>
                </c:pt>
                <c:pt idx="246">
                  <c:v>48</c:v>
                </c:pt>
                <c:pt idx="247">
                  <c:v>50.5</c:v>
                </c:pt>
                <c:pt idx="248">
                  <c:v>56</c:v>
                </c:pt>
                <c:pt idx="249">
                  <c:v>53.5</c:v>
                </c:pt>
                <c:pt idx="250">
                  <c:v>58</c:v>
                </c:pt>
                <c:pt idx="251">
                  <c:v>86</c:v>
                </c:pt>
                <c:pt idx="252">
                  <c:v>57.5</c:v>
                </c:pt>
                <c:pt idx="253">
                  <c:v>56</c:v>
                </c:pt>
              </c:numCache>
            </c:numRef>
          </c:val>
          <c:smooth val="0"/>
          <c:extLst>
            <c:ext xmlns:c16="http://schemas.microsoft.com/office/drawing/2014/chart" uri="{C3380CC4-5D6E-409C-BE32-E72D297353CC}">
              <c16:uniqueId val="{00000000-3176-4DE9-89F5-031AAC5EA3CB}"/>
            </c:ext>
          </c:extLst>
        </c:ser>
        <c:ser>
          <c:idx val="1"/>
          <c:order val="1"/>
          <c:tx>
            <c:strRef>
              <c:f>RR!$N$1</c:f>
              <c:strCache>
                <c:ptCount val="1"/>
                <c:pt idx="0">
                  <c:v>CHANNEL_WIDTH</c:v>
                </c:pt>
              </c:strCache>
            </c:strRef>
          </c:tx>
          <c:spPr>
            <a:ln w="28575" cap="rnd">
              <a:solidFill>
                <a:schemeClr val="accent1">
                  <a:tint val="77000"/>
                </a:schemeClr>
              </a:solidFill>
              <a:round/>
            </a:ln>
            <a:effectLst/>
          </c:spPr>
          <c:marker>
            <c:symbol val="none"/>
          </c:marker>
          <c:cat>
            <c:numRef>
              <c:f>RR!$G$2:$G$9999</c:f>
              <c:numCache>
                <c:formatCode>m/d/yyyy</c:formatCode>
                <c:ptCount val="2438"/>
                <c:pt idx="0">
                  <c:v>43886</c:v>
                </c:pt>
                <c:pt idx="1">
                  <c:v>43887</c:v>
                </c:pt>
                <c:pt idx="2">
                  <c:v>43888</c:v>
                </c:pt>
                <c:pt idx="3">
                  <c:v>43889</c:v>
                </c:pt>
                <c:pt idx="4">
                  <c:v>43892</c:v>
                </c:pt>
                <c:pt idx="5">
                  <c:v>43893</c:v>
                </c:pt>
                <c:pt idx="6">
                  <c:v>43894</c:v>
                </c:pt>
                <c:pt idx="7">
                  <c:v>43895</c:v>
                </c:pt>
                <c:pt idx="8">
                  <c:v>43896</c:v>
                </c:pt>
                <c:pt idx="9">
                  <c:v>43899</c:v>
                </c:pt>
                <c:pt idx="10">
                  <c:v>43900</c:v>
                </c:pt>
                <c:pt idx="11">
                  <c:v>43901</c:v>
                </c:pt>
                <c:pt idx="12">
                  <c:v>43902</c:v>
                </c:pt>
                <c:pt idx="13">
                  <c:v>43903</c:v>
                </c:pt>
                <c:pt idx="14">
                  <c:v>43906</c:v>
                </c:pt>
                <c:pt idx="15">
                  <c:v>43907</c:v>
                </c:pt>
                <c:pt idx="16">
                  <c:v>43908</c:v>
                </c:pt>
                <c:pt idx="17">
                  <c:v>43909</c:v>
                </c:pt>
                <c:pt idx="18">
                  <c:v>43910</c:v>
                </c:pt>
                <c:pt idx="19">
                  <c:v>43913</c:v>
                </c:pt>
                <c:pt idx="20">
                  <c:v>43914</c:v>
                </c:pt>
                <c:pt idx="21">
                  <c:v>43915</c:v>
                </c:pt>
                <c:pt idx="22">
                  <c:v>43916</c:v>
                </c:pt>
                <c:pt idx="23">
                  <c:v>43917</c:v>
                </c:pt>
                <c:pt idx="24">
                  <c:v>43920</c:v>
                </c:pt>
                <c:pt idx="25">
                  <c:v>43921</c:v>
                </c:pt>
                <c:pt idx="26">
                  <c:v>43922</c:v>
                </c:pt>
                <c:pt idx="27">
                  <c:v>43923</c:v>
                </c:pt>
                <c:pt idx="28">
                  <c:v>43924</c:v>
                </c:pt>
                <c:pt idx="29">
                  <c:v>43927</c:v>
                </c:pt>
                <c:pt idx="30">
                  <c:v>43928</c:v>
                </c:pt>
                <c:pt idx="31">
                  <c:v>43929</c:v>
                </c:pt>
                <c:pt idx="32">
                  <c:v>43930</c:v>
                </c:pt>
                <c:pt idx="33">
                  <c:v>43934</c:v>
                </c:pt>
                <c:pt idx="34">
                  <c:v>43935</c:v>
                </c:pt>
                <c:pt idx="35">
                  <c:v>43936</c:v>
                </c:pt>
                <c:pt idx="36">
                  <c:v>43937</c:v>
                </c:pt>
                <c:pt idx="37">
                  <c:v>43938</c:v>
                </c:pt>
                <c:pt idx="38">
                  <c:v>43941</c:v>
                </c:pt>
                <c:pt idx="39">
                  <c:v>43942</c:v>
                </c:pt>
                <c:pt idx="40">
                  <c:v>43943</c:v>
                </c:pt>
                <c:pt idx="41">
                  <c:v>43944</c:v>
                </c:pt>
                <c:pt idx="42">
                  <c:v>43945</c:v>
                </c:pt>
                <c:pt idx="43">
                  <c:v>43948</c:v>
                </c:pt>
                <c:pt idx="44">
                  <c:v>43949</c:v>
                </c:pt>
                <c:pt idx="45">
                  <c:v>43950</c:v>
                </c:pt>
                <c:pt idx="46">
                  <c:v>43951</c:v>
                </c:pt>
                <c:pt idx="47">
                  <c:v>43952</c:v>
                </c:pt>
                <c:pt idx="48">
                  <c:v>43955</c:v>
                </c:pt>
                <c:pt idx="49">
                  <c:v>43956</c:v>
                </c:pt>
                <c:pt idx="50">
                  <c:v>43957</c:v>
                </c:pt>
                <c:pt idx="51">
                  <c:v>43958</c:v>
                </c:pt>
                <c:pt idx="52">
                  <c:v>43959</c:v>
                </c:pt>
                <c:pt idx="53">
                  <c:v>43962</c:v>
                </c:pt>
                <c:pt idx="54">
                  <c:v>43963</c:v>
                </c:pt>
                <c:pt idx="55">
                  <c:v>43964</c:v>
                </c:pt>
                <c:pt idx="56">
                  <c:v>43965</c:v>
                </c:pt>
                <c:pt idx="57">
                  <c:v>43966</c:v>
                </c:pt>
                <c:pt idx="58">
                  <c:v>43969</c:v>
                </c:pt>
                <c:pt idx="59">
                  <c:v>43970</c:v>
                </c:pt>
                <c:pt idx="60">
                  <c:v>43971</c:v>
                </c:pt>
                <c:pt idx="61">
                  <c:v>43972</c:v>
                </c:pt>
                <c:pt idx="62">
                  <c:v>43973</c:v>
                </c:pt>
                <c:pt idx="63">
                  <c:v>43977</c:v>
                </c:pt>
                <c:pt idx="64">
                  <c:v>43978</c:v>
                </c:pt>
                <c:pt idx="65">
                  <c:v>43979</c:v>
                </c:pt>
                <c:pt idx="66">
                  <c:v>43980</c:v>
                </c:pt>
                <c:pt idx="67">
                  <c:v>43983</c:v>
                </c:pt>
                <c:pt idx="68">
                  <c:v>43984</c:v>
                </c:pt>
                <c:pt idx="69">
                  <c:v>43985</c:v>
                </c:pt>
                <c:pt idx="70">
                  <c:v>43986</c:v>
                </c:pt>
                <c:pt idx="71">
                  <c:v>43987</c:v>
                </c:pt>
                <c:pt idx="72">
                  <c:v>43990</c:v>
                </c:pt>
                <c:pt idx="73">
                  <c:v>43991</c:v>
                </c:pt>
                <c:pt idx="74">
                  <c:v>43992</c:v>
                </c:pt>
                <c:pt idx="75">
                  <c:v>43993</c:v>
                </c:pt>
                <c:pt idx="76">
                  <c:v>43994</c:v>
                </c:pt>
                <c:pt idx="77">
                  <c:v>43997</c:v>
                </c:pt>
                <c:pt idx="78">
                  <c:v>43998</c:v>
                </c:pt>
                <c:pt idx="79">
                  <c:v>43999</c:v>
                </c:pt>
                <c:pt idx="80">
                  <c:v>44000</c:v>
                </c:pt>
                <c:pt idx="81">
                  <c:v>44001</c:v>
                </c:pt>
                <c:pt idx="82">
                  <c:v>44004</c:v>
                </c:pt>
                <c:pt idx="83">
                  <c:v>44005</c:v>
                </c:pt>
                <c:pt idx="84">
                  <c:v>44006</c:v>
                </c:pt>
                <c:pt idx="85">
                  <c:v>44007</c:v>
                </c:pt>
                <c:pt idx="86">
                  <c:v>44008</c:v>
                </c:pt>
                <c:pt idx="87">
                  <c:v>44011</c:v>
                </c:pt>
                <c:pt idx="88">
                  <c:v>44012</c:v>
                </c:pt>
                <c:pt idx="89">
                  <c:v>44013</c:v>
                </c:pt>
                <c:pt idx="90">
                  <c:v>44014</c:v>
                </c:pt>
                <c:pt idx="91">
                  <c:v>44018</c:v>
                </c:pt>
                <c:pt idx="92">
                  <c:v>44019</c:v>
                </c:pt>
                <c:pt idx="93">
                  <c:v>44020</c:v>
                </c:pt>
                <c:pt idx="94">
                  <c:v>44021</c:v>
                </c:pt>
                <c:pt idx="95">
                  <c:v>44022</c:v>
                </c:pt>
                <c:pt idx="96">
                  <c:v>44025</c:v>
                </c:pt>
                <c:pt idx="97">
                  <c:v>44026</c:v>
                </c:pt>
                <c:pt idx="98">
                  <c:v>44027</c:v>
                </c:pt>
                <c:pt idx="99">
                  <c:v>44028</c:v>
                </c:pt>
                <c:pt idx="100">
                  <c:v>44029</c:v>
                </c:pt>
                <c:pt idx="101">
                  <c:v>44032</c:v>
                </c:pt>
                <c:pt idx="102">
                  <c:v>44033</c:v>
                </c:pt>
                <c:pt idx="103">
                  <c:v>44034</c:v>
                </c:pt>
                <c:pt idx="104">
                  <c:v>44035</c:v>
                </c:pt>
                <c:pt idx="105">
                  <c:v>44036</c:v>
                </c:pt>
                <c:pt idx="106">
                  <c:v>44039</c:v>
                </c:pt>
                <c:pt idx="107">
                  <c:v>44040</c:v>
                </c:pt>
                <c:pt idx="108">
                  <c:v>44041</c:v>
                </c:pt>
                <c:pt idx="109">
                  <c:v>44042</c:v>
                </c:pt>
                <c:pt idx="110">
                  <c:v>44043</c:v>
                </c:pt>
                <c:pt idx="111">
                  <c:v>44046</c:v>
                </c:pt>
                <c:pt idx="112">
                  <c:v>44047</c:v>
                </c:pt>
                <c:pt idx="113">
                  <c:v>44048</c:v>
                </c:pt>
                <c:pt idx="114">
                  <c:v>44049</c:v>
                </c:pt>
                <c:pt idx="115">
                  <c:v>44050</c:v>
                </c:pt>
                <c:pt idx="116">
                  <c:v>44053</c:v>
                </c:pt>
                <c:pt idx="117">
                  <c:v>44054</c:v>
                </c:pt>
                <c:pt idx="118">
                  <c:v>44055</c:v>
                </c:pt>
                <c:pt idx="119">
                  <c:v>44056</c:v>
                </c:pt>
                <c:pt idx="120">
                  <c:v>44057</c:v>
                </c:pt>
                <c:pt idx="121">
                  <c:v>44060</c:v>
                </c:pt>
                <c:pt idx="122">
                  <c:v>44061</c:v>
                </c:pt>
                <c:pt idx="123">
                  <c:v>44062</c:v>
                </c:pt>
                <c:pt idx="124">
                  <c:v>44063</c:v>
                </c:pt>
                <c:pt idx="125">
                  <c:v>44064</c:v>
                </c:pt>
                <c:pt idx="126">
                  <c:v>44067</c:v>
                </c:pt>
                <c:pt idx="127">
                  <c:v>44068</c:v>
                </c:pt>
                <c:pt idx="128">
                  <c:v>44069</c:v>
                </c:pt>
                <c:pt idx="129">
                  <c:v>44070</c:v>
                </c:pt>
                <c:pt idx="130">
                  <c:v>44071</c:v>
                </c:pt>
                <c:pt idx="131">
                  <c:v>44074</c:v>
                </c:pt>
                <c:pt idx="132">
                  <c:v>44075</c:v>
                </c:pt>
                <c:pt idx="133">
                  <c:v>44076</c:v>
                </c:pt>
                <c:pt idx="134">
                  <c:v>44077</c:v>
                </c:pt>
                <c:pt idx="135">
                  <c:v>44078</c:v>
                </c:pt>
                <c:pt idx="136">
                  <c:v>44082</c:v>
                </c:pt>
                <c:pt idx="137">
                  <c:v>44083</c:v>
                </c:pt>
                <c:pt idx="138">
                  <c:v>44084</c:v>
                </c:pt>
                <c:pt idx="139">
                  <c:v>44085</c:v>
                </c:pt>
                <c:pt idx="140">
                  <c:v>44088</c:v>
                </c:pt>
                <c:pt idx="141">
                  <c:v>44089</c:v>
                </c:pt>
                <c:pt idx="142">
                  <c:v>44090</c:v>
                </c:pt>
                <c:pt idx="143">
                  <c:v>44091</c:v>
                </c:pt>
                <c:pt idx="144">
                  <c:v>44092</c:v>
                </c:pt>
                <c:pt idx="145">
                  <c:v>44095</c:v>
                </c:pt>
                <c:pt idx="146">
                  <c:v>44096</c:v>
                </c:pt>
                <c:pt idx="147">
                  <c:v>44097</c:v>
                </c:pt>
                <c:pt idx="148">
                  <c:v>44098</c:v>
                </c:pt>
                <c:pt idx="149">
                  <c:v>44099</c:v>
                </c:pt>
                <c:pt idx="150">
                  <c:v>44102</c:v>
                </c:pt>
                <c:pt idx="151">
                  <c:v>44103</c:v>
                </c:pt>
                <c:pt idx="152">
                  <c:v>44104</c:v>
                </c:pt>
                <c:pt idx="153">
                  <c:v>44105</c:v>
                </c:pt>
                <c:pt idx="154">
                  <c:v>44106</c:v>
                </c:pt>
                <c:pt idx="155">
                  <c:v>44109</c:v>
                </c:pt>
                <c:pt idx="156">
                  <c:v>44110</c:v>
                </c:pt>
                <c:pt idx="157">
                  <c:v>44111</c:v>
                </c:pt>
                <c:pt idx="158">
                  <c:v>44112</c:v>
                </c:pt>
                <c:pt idx="159">
                  <c:v>44113</c:v>
                </c:pt>
                <c:pt idx="160">
                  <c:v>44116</c:v>
                </c:pt>
                <c:pt idx="161">
                  <c:v>44117</c:v>
                </c:pt>
                <c:pt idx="162">
                  <c:v>44118</c:v>
                </c:pt>
                <c:pt idx="163">
                  <c:v>44119</c:v>
                </c:pt>
                <c:pt idx="164">
                  <c:v>44120</c:v>
                </c:pt>
                <c:pt idx="165">
                  <c:v>44123</c:v>
                </c:pt>
                <c:pt idx="166">
                  <c:v>44124</c:v>
                </c:pt>
                <c:pt idx="167">
                  <c:v>44125</c:v>
                </c:pt>
                <c:pt idx="168">
                  <c:v>44126</c:v>
                </c:pt>
                <c:pt idx="169">
                  <c:v>44127</c:v>
                </c:pt>
                <c:pt idx="170">
                  <c:v>44130</c:v>
                </c:pt>
                <c:pt idx="171">
                  <c:v>44131</c:v>
                </c:pt>
                <c:pt idx="172">
                  <c:v>44132</c:v>
                </c:pt>
                <c:pt idx="173">
                  <c:v>44133</c:v>
                </c:pt>
                <c:pt idx="174">
                  <c:v>44134</c:v>
                </c:pt>
                <c:pt idx="175">
                  <c:v>44137</c:v>
                </c:pt>
                <c:pt idx="176">
                  <c:v>44138</c:v>
                </c:pt>
                <c:pt idx="177">
                  <c:v>44139</c:v>
                </c:pt>
                <c:pt idx="178">
                  <c:v>44140</c:v>
                </c:pt>
                <c:pt idx="179">
                  <c:v>44141</c:v>
                </c:pt>
                <c:pt idx="180">
                  <c:v>44144</c:v>
                </c:pt>
                <c:pt idx="181">
                  <c:v>44145</c:v>
                </c:pt>
                <c:pt idx="182">
                  <c:v>44146</c:v>
                </c:pt>
                <c:pt idx="183">
                  <c:v>44147</c:v>
                </c:pt>
                <c:pt idx="184">
                  <c:v>44148</c:v>
                </c:pt>
                <c:pt idx="185">
                  <c:v>44151</c:v>
                </c:pt>
                <c:pt idx="186">
                  <c:v>44152</c:v>
                </c:pt>
                <c:pt idx="187">
                  <c:v>44153</c:v>
                </c:pt>
                <c:pt idx="188">
                  <c:v>44154</c:v>
                </c:pt>
                <c:pt idx="189">
                  <c:v>44155</c:v>
                </c:pt>
                <c:pt idx="190">
                  <c:v>44158</c:v>
                </c:pt>
                <c:pt idx="191">
                  <c:v>44159</c:v>
                </c:pt>
                <c:pt idx="192">
                  <c:v>44160</c:v>
                </c:pt>
                <c:pt idx="193">
                  <c:v>44162</c:v>
                </c:pt>
                <c:pt idx="194">
                  <c:v>44165</c:v>
                </c:pt>
                <c:pt idx="195">
                  <c:v>44166</c:v>
                </c:pt>
                <c:pt idx="196">
                  <c:v>44167</c:v>
                </c:pt>
                <c:pt idx="197">
                  <c:v>44168</c:v>
                </c:pt>
                <c:pt idx="198">
                  <c:v>44169</c:v>
                </c:pt>
                <c:pt idx="199">
                  <c:v>44172</c:v>
                </c:pt>
                <c:pt idx="200">
                  <c:v>44173</c:v>
                </c:pt>
                <c:pt idx="201">
                  <c:v>44174</c:v>
                </c:pt>
                <c:pt idx="202">
                  <c:v>44175</c:v>
                </c:pt>
                <c:pt idx="203">
                  <c:v>44176</c:v>
                </c:pt>
                <c:pt idx="204">
                  <c:v>44179</c:v>
                </c:pt>
                <c:pt idx="205">
                  <c:v>44180</c:v>
                </c:pt>
                <c:pt idx="206">
                  <c:v>44181</c:v>
                </c:pt>
                <c:pt idx="207">
                  <c:v>44182</c:v>
                </c:pt>
                <c:pt idx="208">
                  <c:v>44183</c:v>
                </c:pt>
                <c:pt idx="209">
                  <c:v>44186</c:v>
                </c:pt>
                <c:pt idx="210">
                  <c:v>44187</c:v>
                </c:pt>
                <c:pt idx="211">
                  <c:v>44188</c:v>
                </c:pt>
                <c:pt idx="212">
                  <c:v>44189</c:v>
                </c:pt>
                <c:pt idx="213">
                  <c:v>44193</c:v>
                </c:pt>
                <c:pt idx="214">
                  <c:v>44194</c:v>
                </c:pt>
                <c:pt idx="215">
                  <c:v>44195</c:v>
                </c:pt>
                <c:pt idx="216">
                  <c:v>44196</c:v>
                </c:pt>
                <c:pt idx="217">
                  <c:v>44200</c:v>
                </c:pt>
                <c:pt idx="218">
                  <c:v>44201</c:v>
                </c:pt>
                <c:pt idx="219">
                  <c:v>44202</c:v>
                </c:pt>
                <c:pt idx="220">
                  <c:v>44203</c:v>
                </c:pt>
                <c:pt idx="221">
                  <c:v>44204</c:v>
                </c:pt>
                <c:pt idx="222">
                  <c:v>44207</c:v>
                </c:pt>
                <c:pt idx="223">
                  <c:v>44208</c:v>
                </c:pt>
                <c:pt idx="224">
                  <c:v>44209</c:v>
                </c:pt>
                <c:pt idx="225">
                  <c:v>44210</c:v>
                </c:pt>
                <c:pt idx="226">
                  <c:v>44211</c:v>
                </c:pt>
                <c:pt idx="227">
                  <c:v>44215</c:v>
                </c:pt>
                <c:pt idx="228">
                  <c:v>44216</c:v>
                </c:pt>
                <c:pt idx="229">
                  <c:v>44217</c:v>
                </c:pt>
                <c:pt idx="230">
                  <c:v>44218</c:v>
                </c:pt>
                <c:pt idx="231">
                  <c:v>44221</c:v>
                </c:pt>
                <c:pt idx="232">
                  <c:v>44222</c:v>
                </c:pt>
                <c:pt idx="233">
                  <c:v>44223</c:v>
                </c:pt>
                <c:pt idx="234">
                  <c:v>44224</c:v>
                </c:pt>
                <c:pt idx="235">
                  <c:v>44225</c:v>
                </c:pt>
                <c:pt idx="236">
                  <c:v>44228</c:v>
                </c:pt>
                <c:pt idx="237">
                  <c:v>44229</c:v>
                </c:pt>
                <c:pt idx="238">
                  <c:v>44230</c:v>
                </c:pt>
                <c:pt idx="239">
                  <c:v>44231</c:v>
                </c:pt>
                <c:pt idx="240">
                  <c:v>44232</c:v>
                </c:pt>
                <c:pt idx="241">
                  <c:v>44235</c:v>
                </c:pt>
                <c:pt idx="242">
                  <c:v>44236</c:v>
                </c:pt>
                <c:pt idx="243">
                  <c:v>44237</c:v>
                </c:pt>
                <c:pt idx="244">
                  <c:v>44238</c:v>
                </c:pt>
                <c:pt idx="245">
                  <c:v>44239</c:v>
                </c:pt>
                <c:pt idx="246">
                  <c:v>44243</c:v>
                </c:pt>
                <c:pt idx="247">
                  <c:v>44244</c:v>
                </c:pt>
                <c:pt idx="248" formatCode="dd/mm/yyyy">
                  <c:v>44245</c:v>
                </c:pt>
                <c:pt idx="249" formatCode="dd/mm/yyyy">
                  <c:v>44246</c:v>
                </c:pt>
                <c:pt idx="250" formatCode="dd/mm/yyyy">
                  <c:v>44249</c:v>
                </c:pt>
                <c:pt idx="251" formatCode="dd/mm/yyyy">
                  <c:v>44250</c:v>
                </c:pt>
                <c:pt idx="252" formatCode="dd/mm/yyyy">
                  <c:v>44251</c:v>
                </c:pt>
                <c:pt idx="253" formatCode="dd/mm/yyyy">
                  <c:v>44252</c:v>
                </c:pt>
              </c:numCache>
            </c:numRef>
          </c:cat>
          <c:val>
            <c:numRef>
              <c:f>RR!$N$2:$N$9999</c:f>
              <c:numCache>
                <c:formatCode>General</c:formatCode>
                <c:ptCount val="2438"/>
                <c:pt idx="0">
                  <c:v>222</c:v>
                </c:pt>
                <c:pt idx="1">
                  <c:v>213</c:v>
                </c:pt>
                <c:pt idx="2">
                  <c:v>209</c:v>
                </c:pt>
                <c:pt idx="3">
                  <c:v>218</c:v>
                </c:pt>
                <c:pt idx="4">
                  <c:v>251</c:v>
                </c:pt>
                <c:pt idx="5">
                  <c:v>201</c:v>
                </c:pt>
                <c:pt idx="6">
                  <c:v>194</c:v>
                </c:pt>
                <c:pt idx="7">
                  <c:v>178</c:v>
                </c:pt>
                <c:pt idx="8">
                  <c:v>175</c:v>
                </c:pt>
                <c:pt idx="9">
                  <c:v>225</c:v>
                </c:pt>
                <c:pt idx="10">
                  <c:v>147</c:v>
                </c:pt>
                <c:pt idx="11">
                  <c:v>141</c:v>
                </c:pt>
                <c:pt idx="12">
                  <c:v>147</c:v>
                </c:pt>
                <c:pt idx="13">
                  <c:v>160</c:v>
                </c:pt>
                <c:pt idx="14">
                  <c:v>205</c:v>
                </c:pt>
                <c:pt idx="15">
                  <c:v>175</c:v>
                </c:pt>
                <c:pt idx="16">
                  <c:v>207</c:v>
                </c:pt>
                <c:pt idx="17">
                  <c:v>217</c:v>
                </c:pt>
                <c:pt idx="18">
                  <c:v>206</c:v>
                </c:pt>
                <c:pt idx="19">
                  <c:v>197</c:v>
                </c:pt>
                <c:pt idx="20">
                  <c:v>193</c:v>
                </c:pt>
                <c:pt idx="21">
                  <c:v>153</c:v>
                </c:pt>
                <c:pt idx="22">
                  <c:v>176</c:v>
                </c:pt>
                <c:pt idx="23">
                  <c:v>212</c:v>
                </c:pt>
                <c:pt idx="24">
                  <c:v>223</c:v>
                </c:pt>
                <c:pt idx="25">
                  <c:v>221</c:v>
                </c:pt>
                <c:pt idx="26">
                  <c:v>166</c:v>
                </c:pt>
                <c:pt idx="27">
                  <c:v>158</c:v>
                </c:pt>
                <c:pt idx="28">
                  <c:v>140</c:v>
                </c:pt>
                <c:pt idx="29">
                  <c:v>119</c:v>
                </c:pt>
                <c:pt idx="30">
                  <c:v>121</c:v>
                </c:pt>
                <c:pt idx="31">
                  <c:v>121</c:v>
                </c:pt>
                <c:pt idx="32">
                  <c:v>125</c:v>
                </c:pt>
                <c:pt idx="33">
                  <c:v>148</c:v>
                </c:pt>
                <c:pt idx="34">
                  <c:v>248</c:v>
                </c:pt>
                <c:pt idx="35">
                  <c:v>204</c:v>
                </c:pt>
                <c:pt idx="36">
                  <c:v>187</c:v>
                </c:pt>
                <c:pt idx="37">
                  <c:v>238</c:v>
                </c:pt>
                <c:pt idx="38">
                  <c:v>361</c:v>
                </c:pt>
                <c:pt idx="39">
                  <c:v>348</c:v>
                </c:pt>
                <c:pt idx="40">
                  <c:v>292</c:v>
                </c:pt>
                <c:pt idx="41">
                  <c:v>242</c:v>
                </c:pt>
                <c:pt idx="42">
                  <c:v>210</c:v>
                </c:pt>
                <c:pt idx="43">
                  <c:v>133</c:v>
                </c:pt>
                <c:pt idx="44">
                  <c:v>175</c:v>
                </c:pt>
                <c:pt idx="45">
                  <c:v>148</c:v>
                </c:pt>
                <c:pt idx="46">
                  <c:v>202</c:v>
                </c:pt>
                <c:pt idx="47">
                  <c:v>159</c:v>
                </c:pt>
                <c:pt idx="48">
                  <c:v>222</c:v>
                </c:pt>
                <c:pt idx="49">
                  <c:v>147</c:v>
                </c:pt>
                <c:pt idx="50">
                  <c:v>146</c:v>
                </c:pt>
                <c:pt idx="51">
                  <c:v>129</c:v>
                </c:pt>
                <c:pt idx="52">
                  <c:v>126</c:v>
                </c:pt>
                <c:pt idx="53">
                  <c:v>128</c:v>
                </c:pt>
                <c:pt idx="54">
                  <c:v>134</c:v>
                </c:pt>
                <c:pt idx="55">
                  <c:v>138</c:v>
                </c:pt>
                <c:pt idx="56">
                  <c:v>137</c:v>
                </c:pt>
                <c:pt idx="57">
                  <c:v>99</c:v>
                </c:pt>
                <c:pt idx="58">
                  <c:v>90</c:v>
                </c:pt>
                <c:pt idx="59">
                  <c:v>65</c:v>
                </c:pt>
                <c:pt idx="60">
                  <c:v>57</c:v>
                </c:pt>
                <c:pt idx="61">
                  <c:v>45</c:v>
                </c:pt>
                <c:pt idx="62">
                  <c:v>46</c:v>
                </c:pt>
                <c:pt idx="63">
                  <c:v>46</c:v>
                </c:pt>
                <c:pt idx="64">
                  <c:v>47</c:v>
                </c:pt>
                <c:pt idx="65">
                  <c:v>45</c:v>
                </c:pt>
                <c:pt idx="66">
                  <c:v>58</c:v>
                </c:pt>
                <c:pt idx="67">
                  <c:v>52</c:v>
                </c:pt>
                <c:pt idx="68">
                  <c:v>136</c:v>
                </c:pt>
                <c:pt idx="69">
                  <c:v>126</c:v>
                </c:pt>
                <c:pt idx="70">
                  <c:v>133</c:v>
                </c:pt>
                <c:pt idx="71">
                  <c:v>136</c:v>
                </c:pt>
                <c:pt idx="72">
                  <c:v>141</c:v>
                </c:pt>
                <c:pt idx="73">
                  <c:v>168</c:v>
                </c:pt>
                <c:pt idx="74">
                  <c:v>152</c:v>
                </c:pt>
                <c:pt idx="75">
                  <c:v>191</c:v>
                </c:pt>
                <c:pt idx="76">
                  <c:v>205</c:v>
                </c:pt>
                <c:pt idx="77">
                  <c:v>202</c:v>
                </c:pt>
                <c:pt idx="78">
                  <c:v>218</c:v>
                </c:pt>
                <c:pt idx="79">
                  <c:v>196</c:v>
                </c:pt>
                <c:pt idx="80">
                  <c:v>156</c:v>
                </c:pt>
                <c:pt idx="81">
                  <c:v>127</c:v>
                </c:pt>
                <c:pt idx="82">
                  <c:v>114</c:v>
                </c:pt>
                <c:pt idx="83">
                  <c:v>99</c:v>
                </c:pt>
                <c:pt idx="84">
                  <c:v>86</c:v>
                </c:pt>
                <c:pt idx="85">
                  <c:v>110</c:v>
                </c:pt>
                <c:pt idx="86">
                  <c:v>97</c:v>
                </c:pt>
                <c:pt idx="87">
                  <c:v>93</c:v>
                </c:pt>
                <c:pt idx="88">
                  <c:v>97</c:v>
                </c:pt>
                <c:pt idx="89">
                  <c:v>157</c:v>
                </c:pt>
                <c:pt idx="90">
                  <c:v>176</c:v>
                </c:pt>
                <c:pt idx="91">
                  <c:v>208</c:v>
                </c:pt>
                <c:pt idx="92">
                  <c:v>364</c:v>
                </c:pt>
                <c:pt idx="93">
                  <c:v>317</c:v>
                </c:pt>
                <c:pt idx="94">
                  <c:v>329</c:v>
                </c:pt>
                <c:pt idx="95">
                  <c:v>344</c:v>
                </c:pt>
                <c:pt idx="96">
                  <c:v>337</c:v>
                </c:pt>
                <c:pt idx="97">
                  <c:v>322</c:v>
                </c:pt>
                <c:pt idx="98">
                  <c:v>277</c:v>
                </c:pt>
                <c:pt idx="99">
                  <c:v>219</c:v>
                </c:pt>
                <c:pt idx="100">
                  <c:v>279</c:v>
                </c:pt>
                <c:pt idx="101">
                  <c:v>265</c:v>
                </c:pt>
                <c:pt idx="102">
                  <c:v>329</c:v>
                </c:pt>
                <c:pt idx="103">
                  <c:v>256</c:v>
                </c:pt>
                <c:pt idx="104">
                  <c:v>238</c:v>
                </c:pt>
                <c:pt idx="105">
                  <c:v>193</c:v>
                </c:pt>
                <c:pt idx="106">
                  <c:v>254</c:v>
                </c:pt>
                <c:pt idx="107">
                  <c:v>246</c:v>
                </c:pt>
                <c:pt idx="108">
                  <c:v>253</c:v>
                </c:pt>
                <c:pt idx="109">
                  <c:v>256</c:v>
                </c:pt>
                <c:pt idx="110">
                  <c:v>257</c:v>
                </c:pt>
                <c:pt idx="111">
                  <c:v>239</c:v>
                </c:pt>
                <c:pt idx="112">
                  <c:v>219</c:v>
                </c:pt>
                <c:pt idx="113">
                  <c:v>164</c:v>
                </c:pt>
                <c:pt idx="114">
                  <c:v>153</c:v>
                </c:pt>
                <c:pt idx="115">
                  <c:v>140</c:v>
                </c:pt>
                <c:pt idx="116">
                  <c:v>114</c:v>
                </c:pt>
                <c:pt idx="117">
                  <c:v>120</c:v>
                </c:pt>
                <c:pt idx="118">
                  <c:v>130</c:v>
                </c:pt>
                <c:pt idx="119">
                  <c:v>217</c:v>
                </c:pt>
                <c:pt idx="120">
                  <c:v>279</c:v>
                </c:pt>
                <c:pt idx="121">
                  <c:v>233</c:v>
                </c:pt>
                <c:pt idx="122">
                  <c:v>417</c:v>
                </c:pt>
                <c:pt idx="123">
                  <c:v>350</c:v>
                </c:pt>
                <c:pt idx="124">
                  <c:v>394</c:v>
                </c:pt>
                <c:pt idx="125">
                  <c:v>428</c:v>
                </c:pt>
                <c:pt idx="126">
                  <c:v>433</c:v>
                </c:pt>
                <c:pt idx="127">
                  <c:v>358</c:v>
                </c:pt>
                <c:pt idx="128">
                  <c:v>312</c:v>
                </c:pt>
                <c:pt idx="129">
                  <c:v>319</c:v>
                </c:pt>
                <c:pt idx="130">
                  <c:v>265</c:v>
                </c:pt>
                <c:pt idx="131">
                  <c:v>256</c:v>
                </c:pt>
                <c:pt idx="132">
                  <c:v>88</c:v>
                </c:pt>
                <c:pt idx="133">
                  <c:v>70</c:v>
                </c:pt>
                <c:pt idx="134">
                  <c:v>80</c:v>
                </c:pt>
                <c:pt idx="135">
                  <c:v>125</c:v>
                </c:pt>
                <c:pt idx="136">
                  <c:v>130</c:v>
                </c:pt>
                <c:pt idx="137">
                  <c:v>125</c:v>
                </c:pt>
                <c:pt idx="138">
                  <c:v>125</c:v>
                </c:pt>
                <c:pt idx="139">
                  <c:v>121</c:v>
                </c:pt>
                <c:pt idx="140">
                  <c:v>120</c:v>
                </c:pt>
                <c:pt idx="141">
                  <c:v>175</c:v>
                </c:pt>
                <c:pt idx="142">
                  <c:v>157</c:v>
                </c:pt>
                <c:pt idx="143">
                  <c:v>152</c:v>
                </c:pt>
                <c:pt idx="144">
                  <c:v>154</c:v>
                </c:pt>
                <c:pt idx="145">
                  <c:v>163</c:v>
                </c:pt>
                <c:pt idx="146">
                  <c:v>136</c:v>
                </c:pt>
                <c:pt idx="147">
                  <c:v>121</c:v>
                </c:pt>
                <c:pt idx="148">
                  <c:v>119</c:v>
                </c:pt>
                <c:pt idx="149">
                  <c:v>107</c:v>
                </c:pt>
                <c:pt idx="150">
                  <c:v>104</c:v>
                </c:pt>
                <c:pt idx="151">
                  <c:v>94</c:v>
                </c:pt>
                <c:pt idx="152">
                  <c:v>89</c:v>
                </c:pt>
                <c:pt idx="153">
                  <c:v>89</c:v>
                </c:pt>
                <c:pt idx="154">
                  <c:v>92</c:v>
                </c:pt>
                <c:pt idx="155">
                  <c:v>84</c:v>
                </c:pt>
                <c:pt idx="156">
                  <c:v>81</c:v>
                </c:pt>
                <c:pt idx="157">
                  <c:v>73</c:v>
                </c:pt>
                <c:pt idx="158">
                  <c:v>51</c:v>
                </c:pt>
                <c:pt idx="159">
                  <c:v>44</c:v>
                </c:pt>
                <c:pt idx="160">
                  <c:v>44</c:v>
                </c:pt>
                <c:pt idx="161">
                  <c:v>46</c:v>
                </c:pt>
                <c:pt idx="162">
                  <c:v>48</c:v>
                </c:pt>
                <c:pt idx="163">
                  <c:v>70</c:v>
                </c:pt>
                <c:pt idx="164">
                  <c:v>60</c:v>
                </c:pt>
                <c:pt idx="165">
                  <c:v>57</c:v>
                </c:pt>
                <c:pt idx="166">
                  <c:v>52</c:v>
                </c:pt>
                <c:pt idx="167">
                  <c:v>52</c:v>
                </c:pt>
                <c:pt idx="168">
                  <c:v>54</c:v>
                </c:pt>
                <c:pt idx="169">
                  <c:v>54</c:v>
                </c:pt>
                <c:pt idx="170">
                  <c:v>61</c:v>
                </c:pt>
                <c:pt idx="171">
                  <c:v>59</c:v>
                </c:pt>
                <c:pt idx="172">
                  <c:v>47</c:v>
                </c:pt>
                <c:pt idx="173">
                  <c:v>41</c:v>
                </c:pt>
                <c:pt idx="174">
                  <c:v>35</c:v>
                </c:pt>
                <c:pt idx="175">
                  <c:v>57</c:v>
                </c:pt>
                <c:pt idx="176">
                  <c:v>57</c:v>
                </c:pt>
                <c:pt idx="177">
                  <c:v>67</c:v>
                </c:pt>
                <c:pt idx="178">
                  <c:v>53</c:v>
                </c:pt>
                <c:pt idx="179">
                  <c:v>60</c:v>
                </c:pt>
                <c:pt idx="180">
                  <c:v>60</c:v>
                </c:pt>
                <c:pt idx="181">
                  <c:v>60</c:v>
                </c:pt>
                <c:pt idx="182">
                  <c:v>65</c:v>
                </c:pt>
                <c:pt idx="183">
                  <c:v>60</c:v>
                </c:pt>
                <c:pt idx="184">
                  <c:v>50</c:v>
                </c:pt>
                <c:pt idx="185">
                  <c:v>41</c:v>
                </c:pt>
                <c:pt idx="186">
                  <c:v>66</c:v>
                </c:pt>
                <c:pt idx="187">
                  <c:v>56</c:v>
                </c:pt>
                <c:pt idx="188">
                  <c:v>121</c:v>
                </c:pt>
                <c:pt idx="189">
                  <c:v>75</c:v>
                </c:pt>
                <c:pt idx="190">
                  <c:v>83</c:v>
                </c:pt>
                <c:pt idx="191">
                  <c:v>90</c:v>
                </c:pt>
                <c:pt idx="192">
                  <c:v>110</c:v>
                </c:pt>
                <c:pt idx="193">
                  <c:v>112</c:v>
                </c:pt>
                <c:pt idx="194">
                  <c:v>112</c:v>
                </c:pt>
                <c:pt idx="195">
                  <c:v>104</c:v>
                </c:pt>
                <c:pt idx="196">
                  <c:v>105</c:v>
                </c:pt>
                <c:pt idx="197">
                  <c:v>122</c:v>
                </c:pt>
                <c:pt idx="198">
                  <c:v>123</c:v>
                </c:pt>
                <c:pt idx="199">
                  <c:v>91</c:v>
                </c:pt>
                <c:pt idx="200">
                  <c:v>115</c:v>
                </c:pt>
                <c:pt idx="201">
                  <c:v>105</c:v>
                </c:pt>
                <c:pt idx="202">
                  <c:v>110</c:v>
                </c:pt>
                <c:pt idx="203">
                  <c:v>117</c:v>
                </c:pt>
                <c:pt idx="204">
                  <c:v>102</c:v>
                </c:pt>
                <c:pt idx="205">
                  <c:v>103</c:v>
                </c:pt>
                <c:pt idx="206">
                  <c:v>84</c:v>
                </c:pt>
                <c:pt idx="207">
                  <c:v>70</c:v>
                </c:pt>
                <c:pt idx="208">
                  <c:v>68</c:v>
                </c:pt>
                <c:pt idx="209">
                  <c:v>113</c:v>
                </c:pt>
                <c:pt idx="210">
                  <c:v>106</c:v>
                </c:pt>
                <c:pt idx="211">
                  <c:v>97</c:v>
                </c:pt>
                <c:pt idx="212">
                  <c:v>94</c:v>
                </c:pt>
                <c:pt idx="213">
                  <c:v>84</c:v>
                </c:pt>
                <c:pt idx="214">
                  <c:v>84</c:v>
                </c:pt>
                <c:pt idx="215">
                  <c:v>80</c:v>
                </c:pt>
                <c:pt idx="216">
                  <c:v>79</c:v>
                </c:pt>
                <c:pt idx="217">
                  <c:v>74</c:v>
                </c:pt>
                <c:pt idx="218">
                  <c:v>71</c:v>
                </c:pt>
                <c:pt idx="219">
                  <c:v>79</c:v>
                </c:pt>
                <c:pt idx="220">
                  <c:v>95</c:v>
                </c:pt>
                <c:pt idx="221">
                  <c:v>124</c:v>
                </c:pt>
                <c:pt idx="222">
                  <c:v>164</c:v>
                </c:pt>
                <c:pt idx="223">
                  <c:v>141</c:v>
                </c:pt>
                <c:pt idx="224">
                  <c:v>125</c:v>
                </c:pt>
                <c:pt idx="225">
                  <c:v>130</c:v>
                </c:pt>
                <c:pt idx="226">
                  <c:v>127</c:v>
                </c:pt>
                <c:pt idx="227">
                  <c:v>169</c:v>
                </c:pt>
                <c:pt idx="228">
                  <c:v>136</c:v>
                </c:pt>
                <c:pt idx="229">
                  <c:v>97</c:v>
                </c:pt>
                <c:pt idx="230">
                  <c:v>92</c:v>
                </c:pt>
                <c:pt idx="231">
                  <c:v>82</c:v>
                </c:pt>
                <c:pt idx="232">
                  <c:v>65</c:v>
                </c:pt>
                <c:pt idx="233">
                  <c:v>81</c:v>
                </c:pt>
                <c:pt idx="234">
                  <c:v>82</c:v>
                </c:pt>
                <c:pt idx="235">
                  <c:v>81</c:v>
                </c:pt>
                <c:pt idx="236">
                  <c:v>125</c:v>
                </c:pt>
                <c:pt idx="237">
                  <c:v>113</c:v>
                </c:pt>
                <c:pt idx="238">
                  <c:v>121</c:v>
                </c:pt>
                <c:pt idx="239">
                  <c:v>115</c:v>
                </c:pt>
                <c:pt idx="240">
                  <c:v>112</c:v>
                </c:pt>
                <c:pt idx="241">
                  <c:v>100</c:v>
                </c:pt>
                <c:pt idx="242">
                  <c:v>96</c:v>
                </c:pt>
                <c:pt idx="243">
                  <c:v>92</c:v>
                </c:pt>
                <c:pt idx="244">
                  <c:v>103</c:v>
                </c:pt>
                <c:pt idx="245">
                  <c:v>92</c:v>
                </c:pt>
                <c:pt idx="246">
                  <c:v>96</c:v>
                </c:pt>
                <c:pt idx="247">
                  <c:v>101</c:v>
                </c:pt>
                <c:pt idx="248">
                  <c:v>112</c:v>
                </c:pt>
                <c:pt idx="249">
                  <c:v>107</c:v>
                </c:pt>
                <c:pt idx="250">
                  <c:v>116</c:v>
                </c:pt>
                <c:pt idx="251">
                  <c:v>172</c:v>
                </c:pt>
                <c:pt idx="252">
                  <c:v>115</c:v>
                </c:pt>
                <c:pt idx="253">
                  <c:v>112</c:v>
                </c:pt>
              </c:numCache>
            </c:numRef>
          </c:val>
          <c:smooth val="0"/>
          <c:extLst>
            <c:ext xmlns:c16="http://schemas.microsoft.com/office/drawing/2014/chart" uri="{C3380CC4-5D6E-409C-BE32-E72D297353CC}">
              <c16:uniqueId val="{00000001-3176-4DE9-89F5-031AAC5EA3CB}"/>
            </c:ext>
          </c:extLst>
        </c:ser>
        <c:dLbls>
          <c:showLegendKey val="0"/>
          <c:showVal val="0"/>
          <c:showCatName val="0"/>
          <c:showSerName val="0"/>
          <c:showPercent val="0"/>
          <c:showBubbleSize val="0"/>
        </c:dLbls>
        <c:smooth val="0"/>
        <c:axId val="1065223887"/>
        <c:axId val="1064585055"/>
      </c:lineChart>
      <c:dateAx>
        <c:axId val="1065223887"/>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64585055"/>
        <c:crosses val="autoZero"/>
        <c:auto val="1"/>
        <c:lblOffset val="100"/>
        <c:baseTimeUnit val="days"/>
      </c:dateAx>
      <c:valAx>
        <c:axId val="1064585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65223887"/>
        <c:crosses val="autoZero"/>
        <c:crossBetween val="between"/>
      </c:valAx>
      <c:spPr>
        <a:noFill/>
        <a:ln>
          <a:noFill/>
        </a:ln>
        <a:effectLst/>
      </c:spPr>
    </c:plotArea>
    <c:legend>
      <c:legendPos val="b"/>
      <c:layout>
        <c:manualLayout>
          <c:xMode val="edge"/>
          <c:yMode val="edge"/>
          <c:x val="8.3661138102418073E-3"/>
          <c:y val="2.067399971950076E-2"/>
          <c:w val="0.32445064299969761"/>
          <c:h val="5.2380122850241469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a:t>Sentiment</a:t>
            </a:r>
            <a:endParaRPr lang="en-US" baseline="0"/>
          </a:p>
          <a:p>
            <a:pPr>
              <a:defRPr sz="1800" b="1"/>
            </a:pPr>
            <a:r>
              <a:rPr lang="en-US" baseline="0"/>
              <a:t>(-1 = BEAR | 0 = NEU | +1 = BULL)</a:t>
            </a:r>
            <a:endParaRPr lang="en-US"/>
          </a:p>
        </c:rich>
      </c:tx>
      <c:layout>
        <c:manualLayout>
          <c:xMode val="edge"/>
          <c:yMode val="edge"/>
          <c:x val="0.32064533422683861"/>
          <c:y val="0"/>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4.1929189702351037E-2"/>
          <c:y val="0.21274204488483883"/>
          <c:w val="0.94291930529960355"/>
          <c:h val="0.63173995104544511"/>
        </c:manualLayout>
      </c:layout>
      <c:lineChart>
        <c:grouping val="standard"/>
        <c:varyColors val="0"/>
        <c:ser>
          <c:idx val="2"/>
          <c:order val="0"/>
          <c:tx>
            <c:strRef>
              <c:f>RR!$S$1</c:f>
              <c:strCache>
                <c:ptCount val="1"/>
                <c:pt idx="0">
                  <c:v>SENT_PLOT</c:v>
                </c:pt>
              </c:strCache>
            </c:strRef>
          </c:tx>
          <c:spPr>
            <a:ln w="12700" cap="rnd">
              <a:solidFill>
                <a:srgbClr val="002060"/>
              </a:solidFill>
              <a:round/>
            </a:ln>
            <a:effectLst/>
          </c:spPr>
          <c:marker>
            <c:symbol val="circle"/>
            <c:size val="5"/>
            <c:spPr>
              <a:solidFill>
                <a:srgbClr val="002060"/>
              </a:solidFill>
              <a:ln w="9525">
                <a:solidFill>
                  <a:srgbClr val="002060"/>
                </a:solidFill>
              </a:ln>
              <a:effectLst/>
            </c:spPr>
          </c:marker>
          <c:cat>
            <c:numRef>
              <c:f>RR!$G$2:$G$9999</c:f>
              <c:numCache>
                <c:formatCode>m/d/yyyy</c:formatCode>
                <c:ptCount val="2438"/>
                <c:pt idx="0">
                  <c:v>43886</c:v>
                </c:pt>
                <c:pt idx="1">
                  <c:v>43887</c:v>
                </c:pt>
                <c:pt idx="2">
                  <c:v>43888</c:v>
                </c:pt>
                <c:pt idx="3">
                  <c:v>43889</c:v>
                </c:pt>
                <c:pt idx="4">
                  <c:v>43892</c:v>
                </c:pt>
                <c:pt idx="5">
                  <c:v>43893</c:v>
                </c:pt>
                <c:pt idx="6">
                  <c:v>43894</c:v>
                </c:pt>
                <c:pt idx="7">
                  <c:v>43895</c:v>
                </c:pt>
                <c:pt idx="8">
                  <c:v>43896</c:v>
                </c:pt>
                <c:pt idx="9">
                  <c:v>43899</c:v>
                </c:pt>
                <c:pt idx="10">
                  <c:v>43900</c:v>
                </c:pt>
                <c:pt idx="11">
                  <c:v>43901</c:v>
                </c:pt>
                <c:pt idx="12">
                  <c:v>43902</c:v>
                </c:pt>
                <c:pt idx="13">
                  <c:v>43903</c:v>
                </c:pt>
                <c:pt idx="14">
                  <c:v>43906</c:v>
                </c:pt>
                <c:pt idx="15">
                  <c:v>43907</c:v>
                </c:pt>
                <c:pt idx="16">
                  <c:v>43908</c:v>
                </c:pt>
                <c:pt idx="17">
                  <c:v>43909</c:v>
                </c:pt>
                <c:pt idx="18">
                  <c:v>43910</c:v>
                </c:pt>
                <c:pt idx="19">
                  <c:v>43913</c:v>
                </c:pt>
                <c:pt idx="20">
                  <c:v>43914</c:v>
                </c:pt>
                <c:pt idx="21">
                  <c:v>43915</c:v>
                </c:pt>
                <c:pt idx="22">
                  <c:v>43916</c:v>
                </c:pt>
                <c:pt idx="23">
                  <c:v>43917</c:v>
                </c:pt>
                <c:pt idx="24">
                  <c:v>43920</c:v>
                </c:pt>
                <c:pt idx="25">
                  <c:v>43921</c:v>
                </c:pt>
                <c:pt idx="26">
                  <c:v>43922</c:v>
                </c:pt>
                <c:pt idx="27">
                  <c:v>43923</c:v>
                </c:pt>
                <c:pt idx="28">
                  <c:v>43924</c:v>
                </c:pt>
                <c:pt idx="29">
                  <c:v>43927</c:v>
                </c:pt>
                <c:pt idx="30">
                  <c:v>43928</c:v>
                </c:pt>
                <c:pt idx="31">
                  <c:v>43929</c:v>
                </c:pt>
                <c:pt idx="32">
                  <c:v>43930</c:v>
                </c:pt>
                <c:pt idx="33">
                  <c:v>43934</c:v>
                </c:pt>
                <c:pt idx="34">
                  <c:v>43935</c:v>
                </c:pt>
                <c:pt idx="35">
                  <c:v>43936</c:v>
                </c:pt>
                <c:pt idx="36">
                  <c:v>43937</c:v>
                </c:pt>
                <c:pt idx="37">
                  <c:v>43938</c:v>
                </c:pt>
                <c:pt idx="38">
                  <c:v>43941</c:v>
                </c:pt>
                <c:pt idx="39">
                  <c:v>43942</c:v>
                </c:pt>
                <c:pt idx="40">
                  <c:v>43943</c:v>
                </c:pt>
                <c:pt idx="41">
                  <c:v>43944</c:v>
                </c:pt>
                <c:pt idx="42">
                  <c:v>43945</c:v>
                </c:pt>
                <c:pt idx="43">
                  <c:v>43948</c:v>
                </c:pt>
                <c:pt idx="44">
                  <c:v>43949</c:v>
                </c:pt>
                <c:pt idx="45">
                  <c:v>43950</c:v>
                </c:pt>
                <c:pt idx="46">
                  <c:v>43951</c:v>
                </c:pt>
                <c:pt idx="47">
                  <c:v>43952</c:v>
                </c:pt>
                <c:pt idx="48">
                  <c:v>43955</c:v>
                </c:pt>
                <c:pt idx="49">
                  <c:v>43956</c:v>
                </c:pt>
                <c:pt idx="50">
                  <c:v>43957</c:v>
                </c:pt>
                <c:pt idx="51">
                  <c:v>43958</c:v>
                </c:pt>
                <c:pt idx="52">
                  <c:v>43959</c:v>
                </c:pt>
                <c:pt idx="53">
                  <c:v>43962</c:v>
                </c:pt>
                <c:pt idx="54">
                  <c:v>43963</c:v>
                </c:pt>
                <c:pt idx="55">
                  <c:v>43964</c:v>
                </c:pt>
                <c:pt idx="56">
                  <c:v>43965</c:v>
                </c:pt>
                <c:pt idx="57">
                  <c:v>43966</c:v>
                </c:pt>
                <c:pt idx="58">
                  <c:v>43969</c:v>
                </c:pt>
                <c:pt idx="59">
                  <c:v>43970</c:v>
                </c:pt>
                <c:pt idx="60">
                  <c:v>43971</c:v>
                </c:pt>
                <c:pt idx="61">
                  <c:v>43972</c:v>
                </c:pt>
                <c:pt idx="62">
                  <c:v>43973</c:v>
                </c:pt>
                <c:pt idx="63">
                  <c:v>43977</c:v>
                </c:pt>
                <c:pt idx="64">
                  <c:v>43978</c:v>
                </c:pt>
                <c:pt idx="65">
                  <c:v>43979</c:v>
                </c:pt>
                <c:pt idx="66">
                  <c:v>43980</c:v>
                </c:pt>
                <c:pt idx="67">
                  <c:v>43983</c:v>
                </c:pt>
                <c:pt idx="68">
                  <c:v>43984</c:v>
                </c:pt>
                <c:pt idx="69">
                  <c:v>43985</c:v>
                </c:pt>
                <c:pt idx="70">
                  <c:v>43986</c:v>
                </c:pt>
                <c:pt idx="71">
                  <c:v>43987</c:v>
                </c:pt>
                <c:pt idx="72">
                  <c:v>43990</c:v>
                </c:pt>
                <c:pt idx="73">
                  <c:v>43991</c:v>
                </c:pt>
                <c:pt idx="74">
                  <c:v>43992</c:v>
                </c:pt>
                <c:pt idx="75">
                  <c:v>43993</c:v>
                </c:pt>
                <c:pt idx="76">
                  <c:v>43994</c:v>
                </c:pt>
                <c:pt idx="77">
                  <c:v>43997</c:v>
                </c:pt>
                <c:pt idx="78">
                  <c:v>43998</c:v>
                </c:pt>
                <c:pt idx="79">
                  <c:v>43999</c:v>
                </c:pt>
                <c:pt idx="80">
                  <c:v>44000</c:v>
                </c:pt>
                <c:pt idx="81">
                  <c:v>44001</c:v>
                </c:pt>
                <c:pt idx="82">
                  <c:v>44004</c:v>
                </c:pt>
                <c:pt idx="83">
                  <c:v>44005</c:v>
                </c:pt>
                <c:pt idx="84">
                  <c:v>44006</c:v>
                </c:pt>
                <c:pt idx="85">
                  <c:v>44007</c:v>
                </c:pt>
                <c:pt idx="86">
                  <c:v>44008</c:v>
                </c:pt>
                <c:pt idx="87">
                  <c:v>44011</c:v>
                </c:pt>
                <c:pt idx="88">
                  <c:v>44012</c:v>
                </c:pt>
                <c:pt idx="89">
                  <c:v>44013</c:v>
                </c:pt>
                <c:pt idx="90">
                  <c:v>44014</c:v>
                </c:pt>
                <c:pt idx="91">
                  <c:v>44018</c:v>
                </c:pt>
                <c:pt idx="92">
                  <c:v>44019</c:v>
                </c:pt>
                <c:pt idx="93">
                  <c:v>44020</c:v>
                </c:pt>
                <c:pt idx="94">
                  <c:v>44021</c:v>
                </c:pt>
                <c:pt idx="95">
                  <c:v>44022</c:v>
                </c:pt>
                <c:pt idx="96">
                  <c:v>44025</c:v>
                </c:pt>
                <c:pt idx="97">
                  <c:v>44026</c:v>
                </c:pt>
                <c:pt idx="98">
                  <c:v>44027</c:v>
                </c:pt>
                <c:pt idx="99">
                  <c:v>44028</c:v>
                </c:pt>
                <c:pt idx="100">
                  <c:v>44029</c:v>
                </c:pt>
                <c:pt idx="101">
                  <c:v>44032</c:v>
                </c:pt>
                <c:pt idx="102">
                  <c:v>44033</c:v>
                </c:pt>
                <c:pt idx="103">
                  <c:v>44034</c:v>
                </c:pt>
                <c:pt idx="104">
                  <c:v>44035</c:v>
                </c:pt>
                <c:pt idx="105">
                  <c:v>44036</c:v>
                </c:pt>
                <c:pt idx="106">
                  <c:v>44039</c:v>
                </c:pt>
                <c:pt idx="107">
                  <c:v>44040</c:v>
                </c:pt>
                <c:pt idx="108">
                  <c:v>44041</c:v>
                </c:pt>
                <c:pt idx="109">
                  <c:v>44042</c:v>
                </c:pt>
                <c:pt idx="110">
                  <c:v>44043</c:v>
                </c:pt>
                <c:pt idx="111">
                  <c:v>44046</c:v>
                </c:pt>
                <c:pt idx="112">
                  <c:v>44047</c:v>
                </c:pt>
                <c:pt idx="113">
                  <c:v>44048</c:v>
                </c:pt>
                <c:pt idx="114">
                  <c:v>44049</c:v>
                </c:pt>
                <c:pt idx="115">
                  <c:v>44050</c:v>
                </c:pt>
                <c:pt idx="116">
                  <c:v>44053</c:v>
                </c:pt>
                <c:pt idx="117">
                  <c:v>44054</c:v>
                </c:pt>
                <c:pt idx="118">
                  <c:v>44055</c:v>
                </c:pt>
                <c:pt idx="119">
                  <c:v>44056</c:v>
                </c:pt>
                <c:pt idx="120">
                  <c:v>44057</c:v>
                </c:pt>
                <c:pt idx="121">
                  <c:v>44060</c:v>
                </c:pt>
                <c:pt idx="122">
                  <c:v>44061</c:v>
                </c:pt>
                <c:pt idx="123">
                  <c:v>44062</c:v>
                </c:pt>
                <c:pt idx="124">
                  <c:v>44063</c:v>
                </c:pt>
                <c:pt idx="125">
                  <c:v>44064</c:v>
                </c:pt>
                <c:pt idx="126">
                  <c:v>44067</c:v>
                </c:pt>
                <c:pt idx="127">
                  <c:v>44068</c:v>
                </c:pt>
                <c:pt idx="128">
                  <c:v>44069</c:v>
                </c:pt>
                <c:pt idx="129">
                  <c:v>44070</c:v>
                </c:pt>
                <c:pt idx="130">
                  <c:v>44071</c:v>
                </c:pt>
                <c:pt idx="131">
                  <c:v>44074</c:v>
                </c:pt>
                <c:pt idx="132">
                  <c:v>44075</c:v>
                </c:pt>
                <c:pt idx="133">
                  <c:v>44076</c:v>
                </c:pt>
                <c:pt idx="134">
                  <c:v>44077</c:v>
                </c:pt>
                <c:pt idx="135">
                  <c:v>44078</c:v>
                </c:pt>
                <c:pt idx="136">
                  <c:v>44082</c:v>
                </c:pt>
                <c:pt idx="137">
                  <c:v>44083</c:v>
                </c:pt>
                <c:pt idx="138">
                  <c:v>44084</c:v>
                </c:pt>
                <c:pt idx="139">
                  <c:v>44085</c:v>
                </c:pt>
                <c:pt idx="140">
                  <c:v>44088</c:v>
                </c:pt>
                <c:pt idx="141">
                  <c:v>44089</c:v>
                </c:pt>
                <c:pt idx="142">
                  <c:v>44090</c:v>
                </c:pt>
                <c:pt idx="143">
                  <c:v>44091</c:v>
                </c:pt>
                <c:pt idx="144">
                  <c:v>44092</c:v>
                </c:pt>
                <c:pt idx="145">
                  <c:v>44095</c:v>
                </c:pt>
                <c:pt idx="146">
                  <c:v>44096</c:v>
                </c:pt>
                <c:pt idx="147">
                  <c:v>44097</c:v>
                </c:pt>
                <c:pt idx="148">
                  <c:v>44098</c:v>
                </c:pt>
                <c:pt idx="149">
                  <c:v>44099</c:v>
                </c:pt>
                <c:pt idx="150">
                  <c:v>44102</c:v>
                </c:pt>
                <c:pt idx="151">
                  <c:v>44103</c:v>
                </c:pt>
                <c:pt idx="152">
                  <c:v>44104</c:v>
                </c:pt>
                <c:pt idx="153">
                  <c:v>44105</c:v>
                </c:pt>
                <c:pt idx="154">
                  <c:v>44106</c:v>
                </c:pt>
                <c:pt idx="155">
                  <c:v>44109</c:v>
                </c:pt>
                <c:pt idx="156">
                  <c:v>44110</c:v>
                </c:pt>
                <c:pt idx="157">
                  <c:v>44111</c:v>
                </c:pt>
                <c:pt idx="158">
                  <c:v>44112</c:v>
                </c:pt>
                <c:pt idx="159">
                  <c:v>44113</c:v>
                </c:pt>
                <c:pt idx="160">
                  <c:v>44116</c:v>
                </c:pt>
                <c:pt idx="161">
                  <c:v>44117</c:v>
                </c:pt>
                <c:pt idx="162">
                  <c:v>44118</c:v>
                </c:pt>
                <c:pt idx="163">
                  <c:v>44119</c:v>
                </c:pt>
                <c:pt idx="164">
                  <c:v>44120</c:v>
                </c:pt>
                <c:pt idx="165">
                  <c:v>44123</c:v>
                </c:pt>
                <c:pt idx="166">
                  <c:v>44124</c:v>
                </c:pt>
                <c:pt idx="167">
                  <c:v>44125</c:v>
                </c:pt>
                <c:pt idx="168">
                  <c:v>44126</c:v>
                </c:pt>
                <c:pt idx="169">
                  <c:v>44127</c:v>
                </c:pt>
                <c:pt idx="170">
                  <c:v>44130</c:v>
                </c:pt>
                <c:pt idx="171">
                  <c:v>44131</c:v>
                </c:pt>
                <c:pt idx="172">
                  <c:v>44132</c:v>
                </c:pt>
                <c:pt idx="173">
                  <c:v>44133</c:v>
                </c:pt>
                <c:pt idx="174">
                  <c:v>44134</c:v>
                </c:pt>
                <c:pt idx="175">
                  <c:v>44137</c:v>
                </c:pt>
                <c:pt idx="176">
                  <c:v>44138</c:v>
                </c:pt>
                <c:pt idx="177">
                  <c:v>44139</c:v>
                </c:pt>
                <c:pt idx="178">
                  <c:v>44140</c:v>
                </c:pt>
                <c:pt idx="179">
                  <c:v>44141</c:v>
                </c:pt>
                <c:pt idx="180">
                  <c:v>44144</c:v>
                </c:pt>
                <c:pt idx="181">
                  <c:v>44145</c:v>
                </c:pt>
                <c:pt idx="182">
                  <c:v>44146</c:v>
                </c:pt>
                <c:pt idx="183">
                  <c:v>44147</c:v>
                </c:pt>
                <c:pt idx="184">
                  <c:v>44148</c:v>
                </c:pt>
                <c:pt idx="185">
                  <c:v>44151</c:v>
                </c:pt>
                <c:pt idx="186">
                  <c:v>44152</c:v>
                </c:pt>
                <c:pt idx="187">
                  <c:v>44153</c:v>
                </c:pt>
                <c:pt idx="188">
                  <c:v>44154</c:v>
                </c:pt>
                <c:pt idx="189">
                  <c:v>44155</c:v>
                </c:pt>
                <c:pt idx="190">
                  <c:v>44158</c:v>
                </c:pt>
                <c:pt idx="191">
                  <c:v>44159</c:v>
                </c:pt>
                <c:pt idx="192">
                  <c:v>44160</c:v>
                </c:pt>
                <c:pt idx="193">
                  <c:v>44162</c:v>
                </c:pt>
                <c:pt idx="194">
                  <c:v>44165</c:v>
                </c:pt>
                <c:pt idx="195">
                  <c:v>44166</c:v>
                </c:pt>
                <c:pt idx="196">
                  <c:v>44167</c:v>
                </c:pt>
                <c:pt idx="197">
                  <c:v>44168</c:v>
                </c:pt>
                <c:pt idx="198">
                  <c:v>44169</c:v>
                </c:pt>
                <c:pt idx="199">
                  <c:v>44172</c:v>
                </c:pt>
                <c:pt idx="200">
                  <c:v>44173</c:v>
                </c:pt>
                <c:pt idx="201">
                  <c:v>44174</c:v>
                </c:pt>
                <c:pt idx="202">
                  <c:v>44175</c:v>
                </c:pt>
                <c:pt idx="203">
                  <c:v>44176</c:v>
                </c:pt>
                <c:pt idx="204">
                  <c:v>44179</c:v>
                </c:pt>
                <c:pt idx="205">
                  <c:v>44180</c:v>
                </c:pt>
                <c:pt idx="206">
                  <c:v>44181</c:v>
                </c:pt>
                <c:pt idx="207">
                  <c:v>44182</c:v>
                </c:pt>
                <c:pt idx="208">
                  <c:v>44183</c:v>
                </c:pt>
                <c:pt idx="209">
                  <c:v>44186</c:v>
                </c:pt>
                <c:pt idx="210">
                  <c:v>44187</c:v>
                </c:pt>
                <c:pt idx="211">
                  <c:v>44188</c:v>
                </c:pt>
                <c:pt idx="212">
                  <c:v>44189</c:v>
                </c:pt>
                <c:pt idx="213">
                  <c:v>44193</c:v>
                </c:pt>
                <c:pt idx="214">
                  <c:v>44194</c:v>
                </c:pt>
                <c:pt idx="215">
                  <c:v>44195</c:v>
                </c:pt>
                <c:pt idx="216">
                  <c:v>44196</c:v>
                </c:pt>
                <c:pt idx="217">
                  <c:v>44200</c:v>
                </c:pt>
                <c:pt idx="218">
                  <c:v>44201</c:v>
                </c:pt>
                <c:pt idx="219">
                  <c:v>44202</c:v>
                </c:pt>
                <c:pt idx="220">
                  <c:v>44203</c:v>
                </c:pt>
                <c:pt idx="221">
                  <c:v>44204</c:v>
                </c:pt>
                <c:pt idx="222">
                  <c:v>44207</c:v>
                </c:pt>
                <c:pt idx="223">
                  <c:v>44208</c:v>
                </c:pt>
                <c:pt idx="224">
                  <c:v>44209</c:v>
                </c:pt>
                <c:pt idx="225">
                  <c:v>44210</c:v>
                </c:pt>
                <c:pt idx="226">
                  <c:v>44211</c:v>
                </c:pt>
                <c:pt idx="227">
                  <c:v>44215</c:v>
                </c:pt>
                <c:pt idx="228">
                  <c:v>44216</c:v>
                </c:pt>
                <c:pt idx="229">
                  <c:v>44217</c:v>
                </c:pt>
                <c:pt idx="230">
                  <c:v>44218</c:v>
                </c:pt>
                <c:pt idx="231">
                  <c:v>44221</c:v>
                </c:pt>
                <c:pt idx="232">
                  <c:v>44222</c:v>
                </c:pt>
                <c:pt idx="233">
                  <c:v>44223</c:v>
                </c:pt>
                <c:pt idx="234">
                  <c:v>44224</c:v>
                </c:pt>
                <c:pt idx="235">
                  <c:v>44225</c:v>
                </c:pt>
                <c:pt idx="236">
                  <c:v>44228</c:v>
                </c:pt>
                <c:pt idx="237">
                  <c:v>44229</c:v>
                </c:pt>
                <c:pt idx="238">
                  <c:v>44230</c:v>
                </c:pt>
                <c:pt idx="239">
                  <c:v>44231</c:v>
                </c:pt>
                <c:pt idx="240">
                  <c:v>44232</c:v>
                </c:pt>
                <c:pt idx="241">
                  <c:v>44235</c:v>
                </c:pt>
                <c:pt idx="242">
                  <c:v>44236</c:v>
                </c:pt>
                <c:pt idx="243">
                  <c:v>44237</c:v>
                </c:pt>
                <c:pt idx="244">
                  <c:v>44238</c:v>
                </c:pt>
                <c:pt idx="245">
                  <c:v>44239</c:v>
                </c:pt>
                <c:pt idx="246">
                  <c:v>44243</c:v>
                </c:pt>
                <c:pt idx="247">
                  <c:v>44244</c:v>
                </c:pt>
                <c:pt idx="248" formatCode="dd/mm/yyyy">
                  <c:v>44245</c:v>
                </c:pt>
                <c:pt idx="249" formatCode="dd/mm/yyyy">
                  <c:v>44246</c:v>
                </c:pt>
                <c:pt idx="250" formatCode="dd/mm/yyyy">
                  <c:v>44249</c:v>
                </c:pt>
                <c:pt idx="251" formatCode="dd/mm/yyyy">
                  <c:v>44250</c:v>
                </c:pt>
                <c:pt idx="252" formatCode="dd/mm/yyyy">
                  <c:v>44251</c:v>
                </c:pt>
                <c:pt idx="253" formatCode="dd/mm/yyyy">
                  <c:v>44252</c:v>
                </c:pt>
              </c:numCache>
            </c:numRef>
          </c:cat>
          <c:val>
            <c:numRef>
              <c:f>RR!$S$2:$S$9999</c:f>
              <c:numCache>
                <c:formatCode>General</c:formatCode>
                <c:ptCount val="2438"/>
                <c:pt idx="0">
                  <c:v>1</c:v>
                </c:pt>
                <c:pt idx="1">
                  <c:v>1</c:v>
                </c:pt>
                <c:pt idx="2">
                  <c:v>1</c:v>
                </c:pt>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0</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0</c:v>
                </c:pt>
                <c:pt idx="138">
                  <c:v>0</c:v>
                </c:pt>
                <c:pt idx="139">
                  <c:v>0</c:v>
                </c:pt>
                <c:pt idx="140">
                  <c:v>0</c:v>
                </c:pt>
                <c:pt idx="141">
                  <c:v>1</c:v>
                </c:pt>
                <c:pt idx="142">
                  <c:v>1</c:v>
                </c:pt>
                <c:pt idx="143">
                  <c:v>1</c:v>
                </c:pt>
                <c:pt idx="144">
                  <c:v>1</c:v>
                </c:pt>
                <c:pt idx="145">
                  <c:v>1</c:v>
                </c:pt>
                <c:pt idx="146">
                  <c:v>1</c:v>
                </c:pt>
                <c:pt idx="147">
                  <c:v>1</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numCache>
            </c:numRef>
          </c:val>
          <c:smooth val="0"/>
          <c:extLst>
            <c:ext xmlns:c16="http://schemas.microsoft.com/office/drawing/2014/chart" uri="{C3380CC4-5D6E-409C-BE32-E72D297353CC}">
              <c16:uniqueId val="{00000000-7689-4673-9544-0E3B437FE07B}"/>
            </c:ext>
          </c:extLst>
        </c:ser>
        <c:dLbls>
          <c:showLegendKey val="0"/>
          <c:showVal val="0"/>
          <c:showCatName val="0"/>
          <c:showSerName val="0"/>
          <c:showPercent val="0"/>
          <c:showBubbleSize val="0"/>
        </c:dLbls>
        <c:marker val="1"/>
        <c:smooth val="0"/>
        <c:axId val="1065223887"/>
        <c:axId val="1064585055"/>
      </c:lineChart>
      <c:dateAx>
        <c:axId val="1065223887"/>
        <c:scaling>
          <c:orientation val="minMax"/>
        </c:scaling>
        <c:delete val="0"/>
        <c:axPos val="b"/>
        <c:numFmt formatCode="m/d/yyyy"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64585055"/>
        <c:crosses val="autoZero"/>
        <c:auto val="1"/>
        <c:lblOffset val="100"/>
        <c:baseTimeUnit val="days"/>
      </c:dateAx>
      <c:valAx>
        <c:axId val="1064585055"/>
        <c:scaling>
          <c:orientation val="minMax"/>
          <c:max val="1"/>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zh-CN"/>
          </a:p>
        </c:txPr>
        <c:crossAx val="1065223887"/>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strRef>
          <c:f>RR!$V$1</c:f>
          <c:strCache>
            <c:ptCount val="1"/>
            <c:pt idx="0">
              <c:v>TICKER: TSLA</c:v>
            </c:pt>
          </c:strCache>
        </c:strRef>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5.1858311099542309E-2"/>
          <c:y val="9.4376590330788809E-2"/>
          <c:w val="0.93299017374894255"/>
          <c:h val="0.78389713690368856"/>
        </c:manualLayout>
      </c:layout>
      <c:lineChart>
        <c:grouping val="standard"/>
        <c:varyColors val="0"/>
        <c:ser>
          <c:idx val="0"/>
          <c:order val="0"/>
          <c:tx>
            <c:strRef>
              <c:f>RR!$J$1</c:f>
              <c:strCache>
                <c:ptCount val="1"/>
                <c:pt idx="0">
                  <c:v>LOWER</c:v>
                </c:pt>
              </c:strCache>
            </c:strRef>
          </c:tx>
          <c:spPr>
            <a:ln w="28575" cap="rnd">
              <a:solidFill>
                <a:srgbClr val="FF0000"/>
              </a:solidFill>
              <a:round/>
            </a:ln>
            <a:effectLst/>
          </c:spPr>
          <c:marker>
            <c:symbol val="none"/>
          </c:marker>
          <c:cat>
            <c:numRef>
              <c:f>Staging!$G$155:$G$255</c:f>
              <c:numCache>
                <c:formatCode>m/d/yyyy</c:formatCode>
                <c:ptCount val="101"/>
                <c:pt idx="0">
                  <c:v>44105</c:v>
                </c:pt>
                <c:pt idx="1">
                  <c:v>44106</c:v>
                </c:pt>
                <c:pt idx="2">
                  <c:v>44109</c:v>
                </c:pt>
                <c:pt idx="3">
                  <c:v>44110</c:v>
                </c:pt>
                <c:pt idx="4">
                  <c:v>44111</c:v>
                </c:pt>
                <c:pt idx="5">
                  <c:v>44112</c:v>
                </c:pt>
                <c:pt idx="6">
                  <c:v>44113</c:v>
                </c:pt>
                <c:pt idx="7">
                  <c:v>44116</c:v>
                </c:pt>
                <c:pt idx="8">
                  <c:v>44117</c:v>
                </c:pt>
                <c:pt idx="9">
                  <c:v>44118</c:v>
                </c:pt>
                <c:pt idx="10">
                  <c:v>44119</c:v>
                </c:pt>
                <c:pt idx="11">
                  <c:v>44120</c:v>
                </c:pt>
                <c:pt idx="12">
                  <c:v>44123</c:v>
                </c:pt>
                <c:pt idx="13">
                  <c:v>44124</c:v>
                </c:pt>
                <c:pt idx="14">
                  <c:v>44125</c:v>
                </c:pt>
                <c:pt idx="15">
                  <c:v>44126</c:v>
                </c:pt>
                <c:pt idx="16">
                  <c:v>44127</c:v>
                </c:pt>
                <c:pt idx="17">
                  <c:v>44130</c:v>
                </c:pt>
                <c:pt idx="18">
                  <c:v>44131</c:v>
                </c:pt>
                <c:pt idx="19">
                  <c:v>44132</c:v>
                </c:pt>
                <c:pt idx="20">
                  <c:v>44133</c:v>
                </c:pt>
                <c:pt idx="21">
                  <c:v>44134</c:v>
                </c:pt>
                <c:pt idx="22">
                  <c:v>44137</c:v>
                </c:pt>
                <c:pt idx="23">
                  <c:v>44138</c:v>
                </c:pt>
                <c:pt idx="24">
                  <c:v>44139</c:v>
                </c:pt>
                <c:pt idx="25">
                  <c:v>44140</c:v>
                </c:pt>
                <c:pt idx="26">
                  <c:v>44141</c:v>
                </c:pt>
                <c:pt idx="27">
                  <c:v>44144</c:v>
                </c:pt>
                <c:pt idx="28">
                  <c:v>44145</c:v>
                </c:pt>
                <c:pt idx="29">
                  <c:v>44146</c:v>
                </c:pt>
                <c:pt idx="30">
                  <c:v>44147</c:v>
                </c:pt>
                <c:pt idx="31">
                  <c:v>44148</c:v>
                </c:pt>
                <c:pt idx="32">
                  <c:v>44151</c:v>
                </c:pt>
                <c:pt idx="33">
                  <c:v>44152</c:v>
                </c:pt>
                <c:pt idx="34">
                  <c:v>44153</c:v>
                </c:pt>
                <c:pt idx="35">
                  <c:v>44154</c:v>
                </c:pt>
                <c:pt idx="36">
                  <c:v>44155</c:v>
                </c:pt>
                <c:pt idx="37">
                  <c:v>44158</c:v>
                </c:pt>
                <c:pt idx="38">
                  <c:v>44159</c:v>
                </c:pt>
                <c:pt idx="39">
                  <c:v>44160</c:v>
                </c:pt>
                <c:pt idx="40">
                  <c:v>44162</c:v>
                </c:pt>
                <c:pt idx="41">
                  <c:v>44165</c:v>
                </c:pt>
                <c:pt idx="42">
                  <c:v>44166</c:v>
                </c:pt>
                <c:pt idx="43">
                  <c:v>44167</c:v>
                </c:pt>
                <c:pt idx="44">
                  <c:v>44168</c:v>
                </c:pt>
                <c:pt idx="45">
                  <c:v>44169</c:v>
                </c:pt>
                <c:pt idx="46">
                  <c:v>44172</c:v>
                </c:pt>
                <c:pt idx="47">
                  <c:v>44173</c:v>
                </c:pt>
                <c:pt idx="48">
                  <c:v>44174</c:v>
                </c:pt>
                <c:pt idx="49">
                  <c:v>44175</c:v>
                </c:pt>
                <c:pt idx="50">
                  <c:v>44176</c:v>
                </c:pt>
                <c:pt idx="51">
                  <c:v>44179</c:v>
                </c:pt>
                <c:pt idx="52">
                  <c:v>44180</c:v>
                </c:pt>
                <c:pt idx="53">
                  <c:v>44181</c:v>
                </c:pt>
                <c:pt idx="54">
                  <c:v>44182</c:v>
                </c:pt>
                <c:pt idx="55">
                  <c:v>44183</c:v>
                </c:pt>
                <c:pt idx="56">
                  <c:v>44186</c:v>
                </c:pt>
                <c:pt idx="57">
                  <c:v>44187</c:v>
                </c:pt>
                <c:pt idx="58">
                  <c:v>44188</c:v>
                </c:pt>
                <c:pt idx="59">
                  <c:v>44189</c:v>
                </c:pt>
                <c:pt idx="60">
                  <c:v>44193</c:v>
                </c:pt>
                <c:pt idx="61">
                  <c:v>44194</c:v>
                </c:pt>
                <c:pt idx="62">
                  <c:v>44195</c:v>
                </c:pt>
                <c:pt idx="63">
                  <c:v>44196</c:v>
                </c:pt>
                <c:pt idx="64">
                  <c:v>44200</c:v>
                </c:pt>
                <c:pt idx="65">
                  <c:v>44201</c:v>
                </c:pt>
                <c:pt idx="66">
                  <c:v>44202</c:v>
                </c:pt>
                <c:pt idx="67">
                  <c:v>44203</c:v>
                </c:pt>
                <c:pt idx="68">
                  <c:v>44204</c:v>
                </c:pt>
                <c:pt idx="69">
                  <c:v>44207</c:v>
                </c:pt>
                <c:pt idx="70">
                  <c:v>44208</c:v>
                </c:pt>
                <c:pt idx="71">
                  <c:v>44209</c:v>
                </c:pt>
                <c:pt idx="72">
                  <c:v>44210</c:v>
                </c:pt>
                <c:pt idx="73">
                  <c:v>44211</c:v>
                </c:pt>
                <c:pt idx="74">
                  <c:v>44215</c:v>
                </c:pt>
                <c:pt idx="75">
                  <c:v>44216</c:v>
                </c:pt>
                <c:pt idx="76">
                  <c:v>44217</c:v>
                </c:pt>
                <c:pt idx="77">
                  <c:v>44218</c:v>
                </c:pt>
                <c:pt idx="78">
                  <c:v>44221</c:v>
                </c:pt>
                <c:pt idx="79">
                  <c:v>44222</c:v>
                </c:pt>
                <c:pt idx="80">
                  <c:v>44223</c:v>
                </c:pt>
                <c:pt idx="81">
                  <c:v>44224</c:v>
                </c:pt>
                <c:pt idx="82">
                  <c:v>44225</c:v>
                </c:pt>
                <c:pt idx="83">
                  <c:v>44228</c:v>
                </c:pt>
                <c:pt idx="84">
                  <c:v>44229</c:v>
                </c:pt>
                <c:pt idx="85">
                  <c:v>44230</c:v>
                </c:pt>
                <c:pt idx="86">
                  <c:v>44231</c:v>
                </c:pt>
                <c:pt idx="87">
                  <c:v>44232</c:v>
                </c:pt>
                <c:pt idx="88">
                  <c:v>44235</c:v>
                </c:pt>
                <c:pt idx="89">
                  <c:v>44236</c:v>
                </c:pt>
                <c:pt idx="90">
                  <c:v>44237</c:v>
                </c:pt>
                <c:pt idx="91">
                  <c:v>44238</c:v>
                </c:pt>
                <c:pt idx="92">
                  <c:v>44239</c:v>
                </c:pt>
                <c:pt idx="93">
                  <c:v>44243</c:v>
                </c:pt>
                <c:pt idx="94">
                  <c:v>44244</c:v>
                </c:pt>
                <c:pt idx="95" formatCode="dd/mm/yyyy">
                  <c:v>44245</c:v>
                </c:pt>
                <c:pt idx="96" formatCode="dd/mm/yyyy">
                  <c:v>44246</c:v>
                </c:pt>
                <c:pt idx="97" formatCode="dd/mm/yyyy">
                  <c:v>44249</c:v>
                </c:pt>
                <c:pt idx="98" formatCode="dd/mm/yyyy">
                  <c:v>44250</c:v>
                </c:pt>
                <c:pt idx="99" formatCode="dd/mm/yyyy">
                  <c:v>44251</c:v>
                </c:pt>
                <c:pt idx="100" formatCode="dd/mm/yyyy">
                  <c:v>44252</c:v>
                </c:pt>
              </c:numCache>
            </c:numRef>
          </c:cat>
          <c:val>
            <c:numRef>
              <c:f>Staging!$J$155:$J$255</c:f>
              <c:numCache>
                <c:formatCode>General</c:formatCode>
                <c:ptCount val="101"/>
                <c:pt idx="0">
                  <c:v>373</c:v>
                </c:pt>
                <c:pt idx="1">
                  <c:v>370</c:v>
                </c:pt>
                <c:pt idx="2">
                  <c:v>371</c:v>
                </c:pt>
                <c:pt idx="3">
                  <c:v>374</c:v>
                </c:pt>
                <c:pt idx="4">
                  <c:v>377</c:v>
                </c:pt>
                <c:pt idx="5">
                  <c:v>397</c:v>
                </c:pt>
                <c:pt idx="6">
                  <c:v>401</c:v>
                </c:pt>
                <c:pt idx="7">
                  <c:v>404</c:v>
                </c:pt>
                <c:pt idx="8">
                  <c:v>407</c:v>
                </c:pt>
                <c:pt idx="9">
                  <c:v>407</c:v>
                </c:pt>
                <c:pt idx="10">
                  <c:v>401</c:v>
                </c:pt>
                <c:pt idx="11">
                  <c:v>406</c:v>
                </c:pt>
                <c:pt idx="12">
                  <c:v>408</c:v>
                </c:pt>
                <c:pt idx="13">
                  <c:v>411</c:v>
                </c:pt>
                <c:pt idx="14">
                  <c:v>411</c:v>
                </c:pt>
                <c:pt idx="15">
                  <c:v>412</c:v>
                </c:pt>
                <c:pt idx="16">
                  <c:v>411</c:v>
                </c:pt>
                <c:pt idx="17">
                  <c:v>402</c:v>
                </c:pt>
                <c:pt idx="18">
                  <c:v>401</c:v>
                </c:pt>
                <c:pt idx="19">
                  <c:v>403</c:v>
                </c:pt>
                <c:pt idx="20">
                  <c:v>401</c:v>
                </c:pt>
                <c:pt idx="21">
                  <c:v>401</c:v>
                </c:pt>
                <c:pt idx="22">
                  <c:v>380</c:v>
                </c:pt>
                <c:pt idx="23">
                  <c:v>380</c:v>
                </c:pt>
                <c:pt idx="24">
                  <c:v>374</c:v>
                </c:pt>
                <c:pt idx="25">
                  <c:v>388</c:v>
                </c:pt>
                <c:pt idx="26">
                  <c:v>385</c:v>
                </c:pt>
                <c:pt idx="27">
                  <c:v>387</c:v>
                </c:pt>
                <c:pt idx="28">
                  <c:v>385</c:v>
                </c:pt>
                <c:pt idx="29">
                  <c:v>379</c:v>
                </c:pt>
                <c:pt idx="30">
                  <c:v>386</c:v>
                </c:pt>
                <c:pt idx="31">
                  <c:v>391</c:v>
                </c:pt>
                <c:pt idx="32">
                  <c:v>399</c:v>
                </c:pt>
                <c:pt idx="33">
                  <c:v>399</c:v>
                </c:pt>
                <c:pt idx="34">
                  <c:v>395</c:v>
                </c:pt>
                <c:pt idx="35">
                  <c:v>388</c:v>
                </c:pt>
                <c:pt idx="36">
                  <c:v>430</c:v>
                </c:pt>
                <c:pt idx="37">
                  <c:v>433</c:v>
                </c:pt>
                <c:pt idx="38">
                  <c:v>454</c:v>
                </c:pt>
                <c:pt idx="39">
                  <c:v>470</c:v>
                </c:pt>
                <c:pt idx="40">
                  <c:v>489</c:v>
                </c:pt>
                <c:pt idx="41">
                  <c:v>507</c:v>
                </c:pt>
                <c:pt idx="42">
                  <c:v>514</c:v>
                </c:pt>
                <c:pt idx="43">
                  <c:v>514</c:v>
                </c:pt>
                <c:pt idx="44">
                  <c:v>497</c:v>
                </c:pt>
                <c:pt idx="45">
                  <c:v>506</c:v>
                </c:pt>
                <c:pt idx="46">
                  <c:v>527</c:v>
                </c:pt>
                <c:pt idx="47">
                  <c:v>540</c:v>
                </c:pt>
                <c:pt idx="48">
                  <c:v>551</c:v>
                </c:pt>
                <c:pt idx="49">
                  <c:v>545</c:v>
                </c:pt>
                <c:pt idx="50">
                  <c:v>545</c:v>
                </c:pt>
                <c:pt idx="51">
                  <c:v>558</c:v>
                </c:pt>
                <c:pt idx="52">
                  <c:v>566</c:v>
                </c:pt>
                <c:pt idx="53">
                  <c:v>581</c:v>
                </c:pt>
                <c:pt idx="54">
                  <c:v>590</c:v>
                </c:pt>
                <c:pt idx="55">
                  <c:v>598</c:v>
                </c:pt>
                <c:pt idx="56">
                  <c:v>586</c:v>
                </c:pt>
                <c:pt idx="57">
                  <c:v>584</c:v>
                </c:pt>
                <c:pt idx="58">
                  <c:v>593</c:v>
                </c:pt>
                <c:pt idx="59">
                  <c:v>597</c:v>
                </c:pt>
                <c:pt idx="60">
                  <c:v>608</c:v>
                </c:pt>
                <c:pt idx="61">
                  <c:v>610</c:v>
                </c:pt>
                <c:pt idx="62">
                  <c:v>616</c:v>
                </c:pt>
                <c:pt idx="63">
                  <c:v>625</c:v>
                </c:pt>
                <c:pt idx="64">
                  <c:v>649</c:v>
                </c:pt>
                <c:pt idx="65">
                  <c:v>663</c:v>
                </c:pt>
                <c:pt idx="66">
                  <c:v>672</c:v>
                </c:pt>
                <c:pt idx="67">
                  <c:v>675</c:v>
                </c:pt>
                <c:pt idx="68">
                  <c:v>715</c:v>
                </c:pt>
                <c:pt idx="69">
                  <c:v>728</c:v>
                </c:pt>
                <c:pt idx="70">
                  <c:v>744</c:v>
                </c:pt>
                <c:pt idx="71">
                  <c:v>776</c:v>
                </c:pt>
                <c:pt idx="72">
                  <c:v>783</c:v>
                </c:pt>
                <c:pt idx="73">
                  <c:v>788</c:v>
                </c:pt>
                <c:pt idx="74">
                  <c:v>741</c:v>
                </c:pt>
                <c:pt idx="75">
                  <c:v>765</c:v>
                </c:pt>
                <c:pt idx="76">
                  <c:v>795</c:v>
                </c:pt>
                <c:pt idx="77">
                  <c:v>798</c:v>
                </c:pt>
                <c:pt idx="78">
                  <c:v>805</c:v>
                </c:pt>
                <c:pt idx="79">
                  <c:v>821</c:v>
                </c:pt>
                <c:pt idx="80">
                  <c:v>816</c:v>
                </c:pt>
                <c:pt idx="81">
                  <c:v>808</c:v>
                </c:pt>
                <c:pt idx="82">
                  <c:v>810</c:v>
                </c:pt>
                <c:pt idx="83">
                  <c:v>776</c:v>
                </c:pt>
                <c:pt idx="84">
                  <c:v>788</c:v>
                </c:pt>
                <c:pt idx="85">
                  <c:v>794</c:v>
                </c:pt>
                <c:pt idx="86">
                  <c:v>795</c:v>
                </c:pt>
                <c:pt idx="87">
                  <c:v>797</c:v>
                </c:pt>
                <c:pt idx="88">
                  <c:v>799</c:v>
                </c:pt>
                <c:pt idx="89">
                  <c:v>799</c:v>
                </c:pt>
                <c:pt idx="90">
                  <c:v>799</c:v>
                </c:pt>
                <c:pt idx="91">
                  <c:v>790</c:v>
                </c:pt>
                <c:pt idx="92">
                  <c:v>798</c:v>
                </c:pt>
                <c:pt idx="93">
                  <c:v>793</c:v>
                </c:pt>
                <c:pt idx="94">
                  <c:v>783</c:v>
                </c:pt>
                <c:pt idx="95">
                  <c:v>768</c:v>
                </c:pt>
                <c:pt idx="96">
                  <c:v>766</c:v>
                </c:pt>
                <c:pt idx="97">
                  <c:v>749</c:v>
                </c:pt>
                <c:pt idx="98">
                  <c:v>656</c:v>
                </c:pt>
                <c:pt idx="99">
                  <c:v>687</c:v>
                </c:pt>
                <c:pt idx="100">
                  <c:v>686</c:v>
                </c:pt>
              </c:numCache>
            </c:numRef>
          </c:val>
          <c:smooth val="0"/>
          <c:extLst>
            <c:ext xmlns:c16="http://schemas.microsoft.com/office/drawing/2014/chart" uri="{C3380CC4-5D6E-409C-BE32-E72D297353CC}">
              <c16:uniqueId val="{00000000-D44C-4F72-B639-AF813FDE331E}"/>
            </c:ext>
          </c:extLst>
        </c:ser>
        <c:ser>
          <c:idx val="1"/>
          <c:order val="1"/>
          <c:tx>
            <c:strRef>
              <c:f>RR!$K$1</c:f>
              <c:strCache>
                <c:ptCount val="1"/>
                <c:pt idx="0">
                  <c:v>UPPER</c:v>
                </c:pt>
              </c:strCache>
            </c:strRef>
          </c:tx>
          <c:spPr>
            <a:ln w="28575" cap="rnd">
              <a:solidFill>
                <a:srgbClr val="1FB30E"/>
              </a:solidFill>
              <a:round/>
            </a:ln>
            <a:effectLst/>
          </c:spPr>
          <c:marker>
            <c:symbol val="none"/>
          </c:marker>
          <c:cat>
            <c:numRef>
              <c:f>Staging!$G$155:$G$255</c:f>
              <c:numCache>
                <c:formatCode>m/d/yyyy</c:formatCode>
                <c:ptCount val="101"/>
                <c:pt idx="0">
                  <c:v>44105</c:v>
                </c:pt>
                <c:pt idx="1">
                  <c:v>44106</c:v>
                </c:pt>
                <c:pt idx="2">
                  <c:v>44109</c:v>
                </c:pt>
                <c:pt idx="3">
                  <c:v>44110</c:v>
                </c:pt>
                <c:pt idx="4">
                  <c:v>44111</c:v>
                </c:pt>
                <c:pt idx="5">
                  <c:v>44112</c:v>
                </c:pt>
                <c:pt idx="6">
                  <c:v>44113</c:v>
                </c:pt>
                <c:pt idx="7">
                  <c:v>44116</c:v>
                </c:pt>
                <c:pt idx="8">
                  <c:v>44117</c:v>
                </c:pt>
                <c:pt idx="9">
                  <c:v>44118</c:v>
                </c:pt>
                <c:pt idx="10">
                  <c:v>44119</c:v>
                </c:pt>
                <c:pt idx="11">
                  <c:v>44120</c:v>
                </c:pt>
                <c:pt idx="12">
                  <c:v>44123</c:v>
                </c:pt>
                <c:pt idx="13">
                  <c:v>44124</c:v>
                </c:pt>
                <c:pt idx="14">
                  <c:v>44125</c:v>
                </c:pt>
                <c:pt idx="15">
                  <c:v>44126</c:v>
                </c:pt>
                <c:pt idx="16">
                  <c:v>44127</c:v>
                </c:pt>
                <c:pt idx="17">
                  <c:v>44130</c:v>
                </c:pt>
                <c:pt idx="18">
                  <c:v>44131</c:v>
                </c:pt>
                <c:pt idx="19">
                  <c:v>44132</c:v>
                </c:pt>
                <c:pt idx="20">
                  <c:v>44133</c:v>
                </c:pt>
                <c:pt idx="21">
                  <c:v>44134</c:v>
                </c:pt>
                <c:pt idx="22">
                  <c:v>44137</c:v>
                </c:pt>
                <c:pt idx="23">
                  <c:v>44138</c:v>
                </c:pt>
                <c:pt idx="24">
                  <c:v>44139</c:v>
                </c:pt>
                <c:pt idx="25">
                  <c:v>44140</c:v>
                </c:pt>
                <c:pt idx="26">
                  <c:v>44141</c:v>
                </c:pt>
                <c:pt idx="27">
                  <c:v>44144</c:v>
                </c:pt>
                <c:pt idx="28">
                  <c:v>44145</c:v>
                </c:pt>
                <c:pt idx="29">
                  <c:v>44146</c:v>
                </c:pt>
                <c:pt idx="30">
                  <c:v>44147</c:v>
                </c:pt>
                <c:pt idx="31">
                  <c:v>44148</c:v>
                </c:pt>
                <c:pt idx="32">
                  <c:v>44151</c:v>
                </c:pt>
                <c:pt idx="33">
                  <c:v>44152</c:v>
                </c:pt>
                <c:pt idx="34">
                  <c:v>44153</c:v>
                </c:pt>
                <c:pt idx="35">
                  <c:v>44154</c:v>
                </c:pt>
                <c:pt idx="36">
                  <c:v>44155</c:v>
                </c:pt>
                <c:pt idx="37">
                  <c:v>44158</c:v>
                </c:pt>
                <c:pt idx="38">
                  <c:v>44159</c:v>
                </c:pt>
                <c:pt idx="39">
                  <c:v>44160</c:v>
                </c:pt>
                <c:pt idx="40">
                  <c:v>44162</c:v>
                </c:pt>
                <c:pt idx="41">
                  <c:v>44165</c:v>
                </c:pt>
                <c:pt idx="42">
                  <c:v>44166</c:v>
                </c:pt>
                <c:pt idx="43">
                  <c:v>44167</c:v>
                </c:pt>
                <c:pt idx="44">
                  <c:v>44168</c:v>
                </c:pt>
                <c:pt idx="45">
                  <c:v>44169</c:v>
                </c:pt>
                <c:pt idx="46">
                  <c:v>44172</c:v>
                </c:pt>
                <c:pt idx="47">
                  <c:v>44173</c:v>
                </c:pt>
                <c:pt idx="48">
                  <c:v>44174</c:v>
                </c:pt>
                <c:pt idx="49">
                  <c:v>44175</c:v>
                </c:pt>
                <c:pt idx="50">
                  <c:v>44176</c:v>
                </c:pt>
                <c:pt idx="51">
                  <c:v>44179</c:v>
                </c:pt>
                <c:pt idx="52">
                  <c:v>44180</c:v>
                </c:pt>
                <c:pt idx="53">
                  <c:v>44181</c:v>
                </c:pt>
                <c:pt idx="54">
                  <c:v>44182</c:v>
                </c:pt>
                <c:pt idx="55">
                  <c:v>44183</c:v>
                </c:pt>
                <c:pt idx="56">
                  <c:v>44186</c:v>
                </c:pt>
                <c:pt idx="57">
                  <c:v>44187</c:v>
                </c:pt>
                <c:pt idx="58">
                  <c:v>44188</c:v>
                </c:pt>
                <c:pt idx="59">
                  <c:v>44189</c:v>
                </c:pt>
                <c:pt idx="60">
                  <c:v>44193</c:v>
                </c:pt>
                <c:pt idx="61">
                  <c:v>44194</c:v>
                </c:pt>
                <c:pt idx="62">
                  <c:v>44195</c:v>
                </c:pt>
                <c:pt idx="63">
                  <c:v>44196</c:v>
                </c:pt>
                <c:pt idx="64">
                  <c:v>44200</c:v>
                </c:pt>
                <c:pt idx="65">
                  <c:v>44201</c:v>
                </c:pt>
                <c:pt idx="66">
                  <c:v>44202</c:v>
                </c:pt>
                <c:pt idx="67">
                  <c:v>44203</c:v>
                </c:pt>
                <c:pt idx="68">
                  <c:v>44204</c:v>
                </c:pt>
                <c:pt idx="69">
                  <c:v>44207</c:v>
                </c:pt>
                <c:pt idx="70">
                  <c:v>44208</c:v>
                </c:pt>
                <c:pt idx="71">
                  <c:v>44209</c:v>
                </c:pt>
                <c:pt idx="72">
                  <c:v>44210</c:v>
                </c:pt>
                <c:pt idx="73">
                  <c:v>44211</c:v>
                </c:pt>
                <c:pt idx="74">
                  <c:v>44215</c:v>
                </c:pt>
                <c:pt idx="75">
                  <c:v>44216</c:v>
                </c:pt>
                <c:pt idx="76">
                  <c:v>44217</c:v>
                </c:pt>
                <c:pt idx="77">
                  <c:v>44218</c:v>
                </c:pt>
                <c:pt idx="78">
                  <c:v>44221</c:v>
                </c:pt>
                <c:pt idx="79">
                  <c:v>44222</c:v>
                </c:pt>
                <c:pt idx="80">
                  <c:v>44223</c:v>
                </c:pt>
                <c:pt idx="81">
                  <c:v>44224</c:v>
                </c:pt>
                <c:pt idx="82">
                  <c:v>44225</c:v>
                </c:pt>
                <c:pt idx="83">
                  <c:v>44228</c:v>
                </c:pt>
                <c:pt idx="84">
                  <c:v>44229</c:v>
                </c:pt>
                <c:pt idx="85">
                  <c:v>44230</c:v>
                </c:pt>
                <c:pt idx="86">
                  <c:v>44231</c:v>
                </c:pt>
                <c:pt idx="87">
                  <c:v>44232</c:v>
                </c:pt>
                <c:pt idx="88">
                  <c:v>44235</c:v>
                </c:pt>
                <c:pt idx="89">
                  <c:v>44236</c:v>
                </c:pt>
                <c:pt idx="90">
                  <c:v>44237</c:v>
                </c:pt>
                <c:pt idx="91">
                  <c:v>44238</c:v>
                </c:pt>
                <c:pt idx="92">
                  <c:v>44239</c:v>
                </c:pt>
                <c:pt idx="93">
                  <c:v>44243</c:v>
                </c:pt>
                <c:pt idx="94">
                  <c:v>44244</c:v>
                </c:pt>
                <c:pt idx="95" formatCode="dd/mm/yyyy">
                  <c:v>44245</c:v>
                </c:pt>
                <c:pt idx="96" formatCode="dd/mm/yyyy">
                  <c:v>44246</c:v>
                </c:pt>
                <c:pt idx="97" formatCode="dd/mm/yyyy">
                  <c:v>44249</c:v>
                </c:pt>
                <c:pt idx="98" formatCode="dd/mm/yyyy">
                  <c:v>44250</c:v>
                </c:pt>
                <c:pt idx="99" formatCode="dd/mm/yyyy">
                  <c:v>44251</c:v>
                </c:pt>
                <c:pt idx="100" formatCode="dd/mm/yyyy">
                  <c:v>44252</c:v>
                </c:pt>
              </c:numCache>
            </c:numRef>
          </c:cat>
          <c:val>
            <c:numRef>
              <c:f>Staging!$K$155:$K$255</c:f>
              <c:numCache>
                <c:formatCode>General</c:formatCode>
                <c:ptCount val="101"/>
                <c:pt idx="0">
                  <c:v>462</c:v>
                </c:pt>
                <c:pt idx="1">
                  <c:v>462</c:v>
                </c:pt>
                <c:pt idx="2">
                  <c:v>455</c:v>
                </c:pt>
                <c:pt idx="3">
                  <c:v>455</c:v>
                </c:pt>
                <c:pt idx="4">
                  <c:v>450</c:v>
                </c:pt>
                <c:pt idx="5">
                  <c:v>448</c:v>
                </c:pt>
                <c:pt idx="6">
                  <c:v>445</c:v>
                </c:pt>
                <c:pt idx="7">
                  <c:v>448</c:v>
                </c:pt>
                <c:pt idx="8">
                  <c:v>453</c:v>
                </c:pt>
                <c:pt idx="9">
                  <c:v>455</c:v>
                </c:pt>
                <c:pt idx="10">
                  <c:v>471</c:v>
                </c:pt>
                <c:pt idx="11">
                  <c:v>466</c:v>
                </c:pt>
                <c:pt idx="12">
                  <c:v>465</c:v>
                </c:pt>
                <c:pt idx="13">
                  <c:v>463</c:v>
                </c:pt>
                <c:pt idx="14">
                  <c:v>463</c:v>
                </c:pt>
                <c:pt idx="15">
                  <c:v>466</c:v>
                </c:pt>
                <c:pt idx="16">
                  <c:v>465</c:v>
                </c:pt>
                <c:pt idx="17">
                  <c:v>463</c:v>
                </c:pt>
                <c:pt idx="18">
                  <c:v>460</c:v>
                </c:pt>
                <c:pt idx="19">
                  <c:v>450</c:v>
                </c:pt>
                <c:pt idx="20">
                  <c:v>442</c:v>
                </c:pt>
                <c:pt idx="21">
                  <c:v>436</c:v>
                </c:pt>
                <c:pt idx="22">
                  <c:v>437</c:v>
                </c:pt>
                <c:pt idx="23">
                  <c:v>437</c:v>
                </c:pt>
                <c:pt idx="24">
                  <c:v>441</c:v>
                </c:pt>
                <c:pt idx="25">
                  <c:v>441</c:v>
                </c:pt>
                <c:pt idx="26">
                  <c:v>445</c:v>
                </c:pt>
                <c:pt idx="27">
                  <c:v>447</c:v>
                </c:pt>
                <c:pt idx="28">
                  <c:v>445</c:v>
                </c:pt>
                <c:pt idx="29">
                  <c:v>444</c:v>
                </c:pt>
                <c:pt idx="30">
                  <c:v>446</c:v>
                </c:pt>
                <c:pt idx="31">
                  <c:v>441</c:v>
                </c:pt>
                <c:pt idx="32">
                  <c:v>440</c:v>
                </c:pt>
                <c:pt idx="33">
                  <c:v>465</c:v>
                </c:pt>
                <c:pt idx="34">
                  <c:v>451</c:v>
                </c:pt>
                <c:pt idx="35">
                  <c:v>509</c:v>
                </c:pt>
                <c:pt idx="36">
                  <c:v>505</c:v>
                </c:pt>
                <c:pt idx="37">
                  <c:v>516</c:v>
                </c:pt>
                <c:pt idx="38">
                  <c:v>544</c:v>
                </c:pt>
                <c:pt idx="39">
                  <c:v>580</c:v>
                </c:pt>
                <c:pt idx="40">
                  <c:v>601</c:v>
                </c:pt>
                <c:pt idx="41">
                  <c:v>619</c:v>
                </c:pt>
                <c:pt idx="42">
                  <c:v>618</c:v>
                </c:pt>
                <c:pt idx="43">
                  <c:v>619</c:v>
                </c:pt>
                <c:pt idx="44">
                  <c:v>619</c:v>
                </c:pt>
                <c:pt idx="45">
                  <c:v>629</c:v>
                </c:pt>
                <c:pt idx="46">
                  <c:v>618</c:v>
                </c:pt>
                <c:pt idx="47">
                  <c:v>655</c:v>
                </c:pt>
                <c:pt idx="48">
                  <c:v>656</c:v>
                </c:pt>
                <c:pt idx="49">
                  <c:v>655</c:v>
                </c:pt>
                <c:pt idx="50">
                  <c:v>662</c:v>
                </c:pt>
                <c:pt idx="51">
                  <c:v>660</c:v>
                </c:pt>
                <c:pt idx="52">
                  <c:v>669</c:v>
                </c:pt>
                <c:pt idx="53">
                  <c:v>665</c:v>
                </c:pt>
                <c:pt idx="54">
                  <c:v>660</c:v>
                </c:pt>
                <c:pt idx="55">
                  <c:v>666</c:v>
                </c:pt>
                <c:pt idx="56">
                  <c:v>699</c:v>
                </c:pt>
                <c:pt idx="57">
                  <c:v>690</c:v>
                </c:pt>
                <c:pt idx="58">
                  <c:v>690</c:v>
                </c:pt>
                <c:pt idx="59">
                  <c:v>691</c:v>
                </c:pt>
                <c:pt idx="60">
                  <c:v>692</c:v>
                </c:pt>
                <c:pt idx="61">
                  <c:v>694</c:v>
                </c:pt>
                <c:pt idx="62">
                  <c:v>696</c:v>
                </c:pt>
                <c:pt idx="63">
                  <c:v>704</c:v>
                </c:pt>
                <c:pt idx="64">
                  <c:v>723</c:v>
                </c:pt>
                <c:pt idx="65">
                  <c:v>734</c:v>
                </c:pt>
                <c:pt idx="66">
                  <c:v>751</c:v>
                </c:pt>
                <c:pt idx="67">
                  <c:v>770</c:v>
                </c:pt>
                <c:pt idx="68">
                  <c:v>839</c:v>
                </c:pt>
                <c:pt idx="69">
                  <c:v>892</c:v>
                </c:pt>
                <c:pt idx="70">
                  <c:v>885</c:v>
                </c:pt>
                <c:pt idx="71">
                  <c:v>901</c:v>
                </c:pt>
                <c:pt idx="72">
                  <c:v>913</c:v>
                </c:pt>
                <c:pt idx="73">
                  <c:v>915</c:v>
                </c:pt>
                <c:pt idx="74">
                  <c:v>910</c:v>
                </c:pt>
                <c:pt idx="75">
                  <c:v>901</c:v>
                </c:pt>
                <c:pt idx="76">
                  <c:v>892</c:v>
                </c:pt>
                <c:pt idx="77">
                  <c:v>890</c:v>
                </c:pt>
                <c:pt idx="78">
                  <c:v>887</c:v>
                </c:pt>
                <c:pt idx="79">
                  <c:v>886</c:v>
                </c:pt>
                <c:pt idx="80">
                  <c:v>897</c:v>
                </c:pt>
                <c:pt idx="81">
                  <c:v>890</c:v>
                </c:pt>
                <c:pt idx="82">
                  <c:v>891</c:v>
                </c:pt>
                <c:pt idx="83">
                  <c:v>901</c:v>
                </c:pt>
                <c:pt idx="84">
                  <c:v>901</c:v>
                </c:pt>
                <c:pt idx="85">
                  <c:v>915</c:v>
                </c:pt>
                <c:pt idx="86">
                  <c:v>910</c:v>
                </c:pt>
                <c:pt idx="87">
                  <c:v>909</c:v>
                </c:pt>
                <c:pt idx="88">
                  <c:v>899</c:v>
                </c:pt>
                <c:pt idx="89">
                  <c:v>895</c:v>
                </c:pt>
                <c:pt idx="90">
                  <c:v>891</c:v>
                </c:pt>
                <c:pt idx="91">
                  <c:v>893</c:v>
                </c:pt>
                <c:pt idx="92">
                  <c:v>890</c:v>
                </c:pt>
                <c:pt idx="93">
                  <c:v>889</c:v>
                </c:pt>
                <c:pt idx="94">
                  <c:v>884</c:v>
                </c:pt>
                <c:pt idx="95">
                  <c:v>880</c:v>
                </c:pt>
                <c:pt idx="96">
                  <c:v>873</c:v>
                </c:pt>
                <c:pt idx="97">
                  <c:v>865</c:v>
                </c:pt>
                <c:pt idx="98">
                  <c:v>828</c:v>
                </c:pt>
                <c:pt idx="99">
                  <c:v>802</c:v>
                </c:pt>
                <c:pt idx="100">
                  <c:v>798</c:v>
                </c:pt>
              </c:numCache>
            </c:numRef>
          </c:val>
          <c:smooth val="0"/>
          <c:extLst>
            <c:ext xmlns:c16="http://schemas.microsoft.com/office/drawing/2014/chart" uri="{C3380CC4-5D6E-409C-BE32-E72D297353CC}">
              <c16:uniqueId val="{00000001-D44C-4F72-B639-AF813FDE331E}"/>
            </c:ext>
          </c:extLst>
        </c:ser>
        <c:ser>
          <c:idx val="2"/>
          <c:order val="2"/>
          <c:tx>
            <c:strRef>
              <c:f>RR!$O$1</c:f>
              <c:strCache>
                <c:ptCount val="1"/>
                <c:pt idx="0">
                  <c:v>SPOT</c:v>
                </c:pt>
              </c:strCache>
            </c:strRef>
          </c:tx>
          <c:spPr>
            <a:ln w="28575" cap="rnd">
              <a:solidFill>
                <a:srgbClr val="7030A0"/>
              </a:solidFill>
              <a:round/>
            </a:ln>
            <a:effectLst/>
          </c:spPr>
          <c:marker>
            <c:symbol val="none"/>
          </c:marker>
          <c:cat>
            <c:numRef>
              <c:f>Staging!$G$155:$G$255</c:f>
              <c:numCache>
                <c:formatCode>m/d/yyyy</c:formatCode>
                <c:ptCount val="101"/>
                <c:pt idx="0">
                  <c:v>44105</c:v>
                </c:pt>
                <c:pt idx="1">
                  <c:v>44106</c:v>
                </c:pt>
                <c:pt idx="2">
                  <c:v>44109</c:v>
                </c:pt>
                <c:pt idx="3">
                  <c:v>44110</c:v>
                </c:pt>
                <c:pt idx="4">
                  <c:v>44111</c:v>
                </c:pt>
                <c:pt idx="5">
                  <c:v>44112</c:v>
                </c:pt>
                <c:pt idx="6">
                  <c:v>44113</c:v>
                </c:pt>
                <c:pt idx="7">
                  <c:v>44116</c:v>
                </c:pt>
                <c:pt idx="8">
                  <c:v>44117</c:v>
                </c:pt>
                <c:pt idx="9">
                  <c:v>44118</c:v>
                </c:pt>
                <c:pt idx="10">
                  <c:v>44119</c:v>
                </c:pt>
                <c:pt idx="11">
                  <c:v>44120</c:v>
                </c:pt>
                <c:pt idx="12">
                  <c:v>44123</c:v>
                </c:pt>
                <c:pt idx="13">
                  <c:v>44124</c:v>
                </c:pt>
                <c:pt idx="14">
                  <c:v>44125</c:v>
                </c:pt>
                <c:pt idx="15">
                  <c:v>44126</c:v>
                </c:pt>
                <c:pt idx="16">
                  <c:v>44127</c:v>
                </c:pt>
                <c:pt idx="17">
                  <c:v>44130</c:v>
                </c:pt>
                <c:pt idx="18">
                  <c:v>44131</c:v>
                </c:pt>
                <c:pt idx="19">
                  <c:v>44132</c:v>
                </c:pt>
                <c:pt idx="20">
                  <c:v>44133</c:v>
                </c:pt>
                <c:pt idx="21">
                  <c:v>44134</c:v>
                </c:pt>
                <c:pt idx="22">
                  <c:v>44137</c:v>
                </c:pt>
                <c:pt idx="23">
                  <c:v>44138</c:v>
                </c:pt>
                <c:pt idx="24">
                  <c:v>44139</c:v>
                </c:pt>
                <c:pt idx="25">
                  <c:v>44140</c:v>
                </c:pt>
                <c:pt idx="26">
                  <c:v>44141</c:v>
                </c:pt>
                <c:pt idx="27">
                  <c:v>44144</c:v>
                </c:pt>
                <c:pt idx="28">
                  <c:v>44145</c:v>
                </c:pt>
                <c:pt idx="29">
                  <c:v>44146</c:v>
                </c:pt>
                <c:pt idx="30">
                  <c:v>44147</c:v>
                </c:pt>
                <c:pt idx="31">
                  <c:v>44148</c:v>
                </c:pt>
                <c:pt idx="32">
                  <c:v>44151</c:v>
                </c:pt>
                <c:pt idx="33">
                  <c:v>44152</c:v>
                </c:pt>
                <c:pt idx="34">
                  <c:v>44153</c:v>
                </c:pt>
                <c:pt idx="35">
                  <c:v>44154</c:v>
                </c:pt>
                <c:pt idx="36">
                  <c:v>44155</c:v>
                </c:pt>
                <c:pt idx="37">
                  <c:v>44158</c:v>
                </c:pt>
                <c:pt idx="38">
                  <c:v>44159</c:v>
                </c:pt>
                <c:pt idx="39">
                  <c:v>44160</c:v>
                </c:pt>
                <c:pt idx="40">
                  <c:v>44162</c:v>
                </c:pt>
                <c:pt idx="41">
                  <c:v>44165</c:v>
                </c:pt>
                <c:pt idx="42">
                  <c:v>44166</c:v>
                </c:pt>
                <c:pt idx="43">
                  <c:v>44167</c:v>
                </c:pt>
                <c:pt idx="44">
                  <c:v>44168</c:v>
                </c:pt>
                <c:pt idx="45">
                  <c:v>44169</c:v>
                </c:pt>
                <c:pt idx="46">
                  <c:v>44172</c:v>
                </c:pt>
                <c:pt idx="47">
                  <c:v>44173</c:v>
                </c:pt>
                <c:pt idx="48">
                  <c:v>44174</c:v>
                </c:pt>
                <c:pt idx="49">
                  <c:v>44175</c:v>
                </c:pt>
                <c:pt idx="50">
                  <c:v>44176</c:v>
                </c:pt>
                <c:pt idx="51">
                  <c:v>44179</c:v>
                </c:pt>
                <c:pt idx="52">
                  <c:v>44180</c:v>
                </c:pt>
                <c:pt idx="53">
                  <c:v>44181</c:v>
                </c:pt>
                <c:pt idx="54">
                  <c:v>44182</c:v>
                </c:pt>
                <c:pt idx="55">
                  <c:v>44183</c:v>
                </c:pt>
                <c:pt idx="56">
                  <c:v>44186</c:v>
                </c:pt>
                <c:pt idx="57">
                  <c:v>44187</c:v>
                </c:pt>
                <c:pt idx="58">
                  <c:v>44188</c:v>
                </c:pt>
                <c:pt idx="59">
                  <c:v>44189</c:v>
                </c:pt>
                <c:pt idx="60">
                  <c:v>44193</c:v>
                </c:pt>
                <c:pt idx="61">
                  <c:v>44194</c:v>
                </c:pt>
                <c:pt idx="62">
                  <c:v>44195</c:v>
                </c:pt>
                <c:pt idx="63">
                  <c:v>44196</c:v>
                </c:pt>
                <c:pt idx="64">
                  <c:v>44200</c:v>
                </c:pt>
                <c:pt idx="65">
                  <c:v>44201</c:v>
                </c:pt>
                <c:pt idx="66">
                  <c:v>44202</c:v>
                </c:pt>
                <c:pt idx="67">
                  <c:v>44203</c:v>
                </c:pt>
                <c:pt idx="68">
                  <c:v>44204</c:v>
                </c:pt>
                <c:pt idx="69">
                  <c:v>44207</c:v>
                </c:pt>
                <c:pt idx="70">
                  <c:v>44208</c:v>
                </c:pt>
                <c:pt idx="71">
                  <c:v>44209</c:v>
                </c:pt>
                <c:pt idx="72">
                  <c:v>44210</c:v>
                </c:pt>
                <c:pt idx="73">
                  <c:v>44211</c:v>
                </c:pt>
                <c:pt idx="74">
                  <c:v>44215</c:v>
                </c:pt>
                <c:pt idx="75">
                  <c:v>44216</c:v>
                </c:pt>
                <c:pt idx="76">
                  <c:v>44217</c:v>
                </c:pt>
                <c:pt idx="77">
                  <c:v>44218</c:v>
                </c:pt>
                <c:pt idx="78">
                  <c:v>44221</c:v>
                </c:pt>
                <c:pt idx="79">
                  <c:v>44222</c:v>
                </c:pt>
                <c:pt idx="80">
                  <c:v>44223</c:v>
                </c:pt>
                <c:pt idx="81">
                  <c:v>44224</c:v>
                </c:pt>
                <c:pt idx="82">
                  <c:v>44225</c:v>
                </c:pt>
                <c:pt idx="83">
                  <c:v>44228</c:v>
                </c:pt>
                <c:pt idx="84">
                  <c:v>44229</c:v>
                </c:pt>
                <c:pt idx="85">
                  <c:v>44230</c:v>
                </c:pt>
                <c:pt idx="86">
                  <c:v>44231</c:v>
                </c:pt>
                <c:pt idx="87">
                  <c:v>44232</c:v>
                </c:pt>
                <c:pt idx="88">
                  <c:v>44235</c:v>
                </c:pt>
                <c:pt idx="89">
                  <c:v>44236</c:v>
                </c:pt>
                <c:pt idx="90">
                  <c:v>44237</c:v>
                </c:pt>
                <c:pt idx="91">
                  <c:v>44238</c:v>
                </c:pt>
                <c:pt idx="92">
                  <c:v>44239</c:v>
                </c:pt>
                <c:pt idx="93">
                  <c:v>44243</c:v>
                </c:pt>
                <c:pt idx="94">
                  <c:v>44244</c:v>
                </c:pt>
                <c:pt idx="95" formatCode="dd/mm/yyyy">
                  <c:v>44245</c:v>
                </c:pt>
                <c:pt idx="96" formatCode="dd/mm/yyyy">
                  <c:v>44246</c:v>
                </c:pt>
                <c:pt idx="97" formatCode="dd/mm/yyyy">
                  <c:v>44249</c:v>
                </c:pt>
                <c:pt idx="98" formatCode="dd/mm/yyyy">
                  <c:v>44250</c:v>
                </c:pt>
                <c:pt idx="99" formatCode="dd/mm/yyyy">
                  <c:v>44251</c:v>
                </c:pt>
                <c:pt idx="100" formatCode="dd/mm/yyyy">
                  <c:v>44252</c:v>
                </c:pt>
              </c:numCache>
            </c:numRef>
          </c:cat>
          <c:val>
            <c:numRef>
              <c:f>Staging!$O$155:$O$255</c:f>
              <c:numCache>
                <c:formatCode>General</c:formatCode>
                <c:ptCount val="101"/>
                <c:pt idx="0">
                  <c:v>429</c:v>
                </c:pt>
                <c:pt idx="1">
                  <c:v>448</c:v>
                </c:pt>
                <c:pt idx="2">
                  <c:v>415</c:v>
                </c:pt>
                <c:pt idx="3">
                  <c:v>425</c:v>
                </c:pt>
                <c:pt idx="4">
                  <c:v>413</c:v>
                </c:pt>
                <c:pt idx="5">
                  <c:v>425</c:v>
                </c:pt>
                <c:pt idx="6">
                  <c:v>425</c:v>
                </c:pt>
                <c:pt idx="7">
                  <c:v>434</c:v>
                </c:pt>
                <c:pt idx="8">
                  <c:v>442</c:v>
                </c:pt>
                <c:pt idx="9">
                  <c:v>446</c:v>
                </c:pt>
                <c:pt idx="10">
                  <c:v>461</c:v>
                </c:pt>
                <c:pt idx="11">
                  <c:v>448</c:v>
                </c:pt>
                <c:pt idx="12">
                  <c:v>439</c:v>
                </c:pt>
                <c:pt idx="13">
                  <c:v>430</c:v>
                </c:pt>
                <c:pt idx="14">
                  <c:v>421</c:v>
                </c:pt>
                <c:pt idx="15">
                  <c:v>422</c:v>
                </c:pt>
                <c:pt idx="16">
                  <c:v>425</c:v>
                </c:pt>
                <c:pt idx="17">
                  <c:v>420</c:v>
                </c:pt>
                <c:pt idx="18">
                  <c:v>420</c:v>
                </c:pt>
                <c:pt idx="19">
                  <c:v>424</c:v>
                </c:pt>
                <c:pt idx="20">
                  <c:v>406</c:v>
                </c:pt>
                <c:pt idx="21">
                  <c:v>410</c:v>
                </c:pt>
                <c:pt idx="22">
                  <c:v>388</c:v>
                </c:pt>
                <c:pt idx="23">
                  <c:v>400</c:v>
                </c:pt>
                <c:pt idx="24">
                  <c:v>423</c:v>
                </c:pt>
                <c:pt idx="25">
                  <c:v>420</c:v>
                </c:pt>
                <c:pt idx="26">
                  <c:v>438</c:v>
                </c:pt>
                <c:pt idx="27">
                  <c:v>429</c:v>
                </c:pt>
                <c:pt idx="28">
                  <c:v>421</c:v>
                </c:pt>
                <c:pt idx="29">
                  <c:v>410</c:v>
                </c:pt>
                <c:pt idx="30">
                  <c:v>417</c:v>
                </c:pt>
                <c:pt idx="31">
                  <c:v>411</c:v>
                </c:pt>
                <c:pt idx="32">
                  <c:v>408</c:v>
                </c:pt>
                <c:pt idx="33">
                  <c:v>408</c:v>
                </c:pt>
                <c:pt idx="34">
                  <c:v>441</c:v>
                </c:pt>
                <c:pt idx="35">
                  <c:v>486</c:v>
                </c:pt>
                <c:pt idx="36">
                  <c:v>499</c:v>
                </c:pt>
                <c:pt idx="37">
                  <c:v>489</c:v>
                </c:pt>
                <c:pt idx="38">
                  <c:v>521</c:v>
                </c:pt>
                <c:pt idx="39">
                  <c:v>555</c:v>
                </c:pt>
                <c:pt idx="40">
                  <c:v>574</c:v>
                </c:pt>
                <c:pt idx="41">
                  <c:v>585</c:v>
                </c:pt>
                <c:pt idx="42">
                  <c:v>567</c:v>
                </c:pt>
                <c:pt idx="43">
                  <c:v>584</c:v>
                </c:pt>
                <c:pt idx="44">
                  <c:v>568</c:v>
                </c:pt>
                <c:pt idx="45">
                  <c:v>593</c:v>
                </c:pt>
                <c:pt idx="46">
                  <c:v>599</c:v>
                </c:pt>
                <c:pt idx="47">
                  <c:v>641</c:v>
                </c:pt>
                <c:pt idx="48">
                  <c:v>649</c:v>
                </c:pt>
                <c:pt idx="49">
                  <c:v>604</c:v>
                </c:pt>
                <c:pt idx="50">
                  <c:v>627</c:v>
                </c:pt>
                <c:pt idx="51">
                  <c:v>609</c:v>
                </c:pt>
                <c:pt idx="52">
                  <c:v>639</c:v>
                </c:pt>
                <c:pt idx="53">
                  <c:v>633</c:v>
                </c:pt>
                <c:pt idx="54">
                  <c:v>622</c:v>
                </c:pt>
                <c:pt idx="55">
                  <c:v>655</c:v>
                </c:pt>
                <c:pt idx="56">
                  <c:v>695</c:v>
                </c:pt>
                <c:pt idx="57">
                  <c:v>649</c:v>
                </c:pt>
                <c:pt idx="58">
                  <c:v>640</c:v>
                </c:pt>
                <c:pt idx="59">
                  <c:v>645</c:v>
                </c:pt>
                <c:pt idx="60">
                  <c:v>661</c:v>
                </c:pt>
                <c:pt idx="61">
                  <c:v>663</c:v>
                </c:pt>
                <c:pt idx="62">
                  <c:v>665</c:v>
                </c:pt>
                <c:pt idx="63">
                  <c:v>694</c:v>
                </c:pt>
                <c:pt idx="64">
                  <c:v>705</c:v>
                </c:pt>
                <c:pt idx="65">
                  <c:v>729</c:v>
                </c:pt>
                <c:pt idx="66">
                  <c:v>735</c:v>
                </c:pt>
                <c:pt idx="67">
                  <c:v>755</c:v>
                </c:pt>
                <c:pt idx="68">
                  <c:v>816</c:v>
                </c:pt>
                <c:pt idx="69">
                  <c:v>880</c:v>
                </c:pt>
                <c:pt idx="70">
                  <c:v>811</c:v>
                </c:pt>
                <c:pt idx="71">
                  <c:v>849</c:v>
                </c:pt>
                <c:pt idx="72">
                  <c:v>854</c:v>
                </c:pt>
                <c:pt idx="73">
                  <c:v>845</c:v>
                </c:pt>
                <c:pt idx="74">
                  <c:v>826</c:v>
                </c:pt>
                <c:pt idx="75">
                  <c:v>844</c:v>
                </c:pt>
                <c:pt idx="76">
                  <c:v>850</c:v>
                </c:pt>
                <c:pt idx="77">
                  <c:v>844</c:v>
                </c:pt>
                <c:pt idx="78">
                  <c:v>846</c:v>
                </c:pt>
                <c:pt idx="79">
                  <c:v>880</c:v>
                </c:pt>
                <c:pt idx="80">
                  <c:v>883</c:v>
                </c:pt>
                <c:pt idx="81">
                  <c:v>864</c:v>
                </c:pt>
                <c:pt idx="82">
                  <c:v>835</c:v>
                </c:pt>
                <c:pt idx="83">
                  <c:v>793</c:v>
                </c:pt>
                <c:pt idx="84">
                  <c:v>839</c:v>
                </c:pt>
                <c:pt idx="85">
                  <c:v>872</c:v>
                </c:pt>
                <c:pt idx="86">
                  <c:v>854</c:v>
                </c:pt>
                <c:pt idx="87">
                  <c:v>849</c:v>
                </c:pt>
                <c:pt idx="88">
                  <c:v>852</c:v>
                </c:pt>
                <c:pt idx="89">
                  <c:v>863</c:v>
                </c:pt>
                <c:pt idx="90">
                  <c:v>849</c:v>
                </c:pt>
                <c:pt idx="91">
                  <c:v>804</c:v>
                </c:pt>
                <c:pt idx="92">
                  <c:v>811</c:v>
                </c:pt>
                <c:pt idx="93">
                  <c:v>816</c:v>
                </c:pt>
                <c:pt idx="94">
                  <c:v>796</c:v>
                </c:pt>
                <c:pt idx="95">
                  <c:v>798</c:v>
                </c:pt>
                <c:pt idx="96">
                  <c:v>787</c:v>
                </c:pt>
                <c:pt idx="97">
                  <c:v>781</c:v>
                </c:pt>
                <c:pt idx="98">
                  <c:v>714</c:v>
                </c:pt>
                <c:pt idx="99">
                  <c:v>698</c:v>
                </c:pt>
                <c:pt idx="100">
                  <c:v>742</c:v>
                </c:pt>
              </c:numCache>
            </c:numRef>
          </c:val>
          <c:smooth val="0"/>
          <c:extLst>
            <c:ext xmlns:c16="http://schemas.microsoft.com/office/drawing/2014/chart" uri="{C3380CC4-5D6E-409C-BE32-E72D297353CC}">
              <c16:uniqueId val="{00000002-D44C-4F72-B639-AF813FDE331E}"/>
            </c:ext>
          </c:extLst>
        </c:ser>
        <c:dLbls>
          <c:showLegendKey val="0"/>
          <c:showVal val="0"/>
          <c:showCatName val="0"/>
          <c:showSerName val="0"/>
          <c:showPercent val="0"/>
          <c:showBubbleSize val="0"/>
        </c:dLbls>
        <c:smooth val="0"/>
        <c:axId val="1065223887"/>
        <c:axId val="1064585055"/>
      </c:lineChart>
      <c:dateAx>
        <c:axId val="1065223887"/>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64585055"/>
        <c:crosses val="autoZero"/>
        <c:auto val="1"/>
        <c:lblOffset val="100"/>
        <c:baseTimeUnit val="days"/>
      </c:dateAx>
      <c:valAx>
        <c:axId val="1064585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65223887"/>
        <c:crosses val="autoZero"/>
        <c:crossBetween val="between"/>
      </c:valAx>
      <c:spPr>
        <a:noFill/>
        <a:ln>
          <a:noFill/>
        </a:ln>
        <a:effectLst/>
      </c:spPr>
    </c:plotArea>
    <c:legend>
      <c:legendPos val="b"/>
      <c:layout>
        <c:manualLayout>
          <c:xMode val="edge"/>
          <c:yMode val="edge"/>
          <c:x val="8.3661138102418073E-3"/>
          <c:y val="2.067399971950076E-2"/>
          <c:w val="0.32445064299969761"/>
          <c:h val="5.2380122850241469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a:t>VOLATILITY</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5.1858311099542309E-2"/>
          <c:y val="9.4376590330788809E-2"/>
          <c:w val="0.93299017374894255"/>
          <c:h val="0.78389713690368856"/>
        </c:manualLayout>
      </c:layout>
      <c:lineChart>
        <c:grouping val="standard"/>
        <c:varyColors val="0"/>
        <c:ser>
          <c:idx val="0"/>
          <c:order val="0"/>
          <c:tx>
            <c:strRef>
              <c:f>RR!$M$1</c:f>
              <c:strCache>
                <c:ptCount val="1"/>
                <c:pt idx="0">
                  <c:v>STDEV</c:v>
                </c:pt>
              </c:strCache>
            </c:strRef>
          </c:tx>
          <c:spPr>
            <a:ln w="28575" cap="rnd">
              <a:solidFill>
                <a:srgbClr val="DB04D0"/>
              </a:solidFill>
              <a:round/>
            </a:ln>
            <a:effectLst/>
          </c:spPr>
          <c:marker>
            <c:symbol val="none"/>
          </c:marker>
          <c:cat>
            <c:numRef>
              <c:f>Staging!$G$155:$G$255</c:f>
              <c:numCache>
                <c:formatCode>m/d/yyyy</c:formatCode>
                <c:ptCount val="101"/>
                <c:pt idx="0">
                  <c:v>44105</c:v>
                </c:pt>
                <c:pt idx="1">
                  <c:v>44106</c:v>
                </c:pt>
                <c:pt idx="2">
                  <c:v>44109</c:v>
                </c:pt>
                <c:pt idx="3">
                  <c:v>44110</c:v>
                </c:pt>
                <c:pt idx="4">
                  <c:v>44111</c:v>
                </c:pt>
                <c:pt idx="5">
                  <c:v>44112</c:v>
                </c:pt>
                <c:pt idx="6">
                  <c:v>44113</c:v>
                </c:pt>
                <c:pt idx="7">
                  <c:v>44116</c:v>
                </c:pt>
                <c:pt idx="8">
                  <c:v>44117</c:v>
                </c:pt>
                <c:pt idx="9">
                  <c:v>44118</c:v>
                </c:pt>
                <c:pt idx="10">
                  <c:v>44119</c:v>
                </c:pt>
                <c:pt idx="11">
                  <c:v>44120</c:v>
                </c:pt>
                <c:pt idx="12">
                  <c:v>44123</c:v>
                </c:pt>
                <c:pt idx="13">
                  <c:v>44124</c:v>
                </c:pt>
                <c:pt idx="14">
                  <c:v>44125</c:v>
                </c:pt>
                <c:pt idx="15">
                  <c:v>44126</c:v>
                </c:pt>
                <c:pt idx="16">
                  <c:v>44127</c:v>
                </c:pt>
                <c:pt idx="17">
                  <c:v>44130</c:v>
                </c:pt>
                <c:pt idx="18">
                  <c:v>44131</c:v>
                </c:pt>
                <c:pt idx="19">
                  <c:v>44132</c:v>
                </c:pt>
                <c:pt idx="20">
                  <c:v>44133</c:v>
                </c:pt>
                <c:pt idx="21">
                  <c:v>44134</c:v>
                </c:pt>
                <c:pt idx="22">
                  <c:v>44137</c:v>
                </c:pt>
                <c:pt idx="23">
                  <c:v>44138</c:v>
                </c:pt>
                <c:pt idx="24">
                  <c:v>44139</c:v>
                </c:pt>
                <c:pt idx="25">
                  <c:v>44140</c:v>
                </c:pt>
                <c:pt idx="26">
                  <c:v>44141</c:v>
                </c:pt>
                <c:pt idx="27">
                  <c:v>44144</c:v>
                </c:pt>
                <c:pt idx="28">
                  <c:v>44145</c:v>
                </c:pt>
                <c:pt idx="29">
                  <c:v>44146</c:v>
                </c:pt>
                <c:pt idx="30">
                  <c:v>44147</c:v>
                </c:pt>
                <c:pt idx="31">
                  <c:v>44148</c:v>
                </c:pt>
                <c:pt idx="32">
                  <c:v>44151</c:v>
                </c:pt>
                <c:pt idx="33">
                  <c:v>44152</c:v>
                </c:pt>
                <c:pt idx="34">
                  <c:v>44153</c:v>
                </c:pt>
                <c:pt idx="35">
                  <c:v>44154</c:v>
                </c:pt>
                <c:pt idx="36">
                  <c:v>44155</c:v>
                </c:pt>
                <c:pt idx="37">
                  <c:v>44158</c:v>
                </c:pt>
                <c:pt idx="38">
                  <c:v>44159</c:v>
                </c:pt>
                <c:pt idx="39">
                  <c:v>44160</c:v>
                </c:pt>
                <c:pt idx="40">
                  <c:v>44162</c:v>
                </c:pt>
                <c:pt idx="41">
                  <c:v>44165</c:v>
                </c:pt>
                <c:pt idx="42">
                  <c:v>44166</c:v>
                </c:pt>
                <c:pt idx="43">
                  <c:v>44167</c:v>
                </c:pt>
                <c:pt idx="44">
                  <c:v>44168</c:v>
                </c:pt>
                <c:pt idx="45">
                  <c:v>44169</c:v>
                </c:pt>
                <c:pt idx="46">
                  <c:v>44172</c:v>
                </c:pt>
                <c:pt idx="47">
                  <c:v>44173</c:v>
                </c:pt>
                <c:pt idx="48">
                  <c:v>44174</c:v>
                </c:pt>
                <c:pt idx="49">
                  <c:v>44175</c:v>
                </c:pt>
                <c:pt idx="50">
                  <c:v>44176</c:v>
                </c:pt>
                <c:pt idx="51">
                  <c:v>44179</c:v>
                </c:pt>
                <c:pt idx="52">
                  <c:v>44180</c:v>
                </c:pt>
                <c:pt idx="53">
                  <c:v>44181</c:v>
                </c:pt>
                <c:pt idx="54">
                  <c:v>44182</c:v>
                </c:pt>
                <c:pt idx="55">
                  <c:v>44183</c:v>
                </c:pt>
                <c:pt idx="56">
                  <c:v>44186</c:v>
                </c:pt>
                <c:pt idx="57">
                  <c:v>44187</c:v>
                </c:pt>
                <c:pt idx="58">
                  <c:v>44188</c:v>
                </c:pt>
                <c:pt idx="59">
                  <c:v>44189</c:v>
                </c:pt>
                <c:pt idx="60">
                  <c:v>44193</c:v>
                </c:pt>
                <c:pt idx="61">
                  <c:v>44194</c:v>
                </c:pt>
                <c:pt idx="62">
                  <c:v>44195</c:v>
                </c:pt>
                <c:pt idx="63">
                  <c:v>44196</c:v>
                </c:pt>
                <c:pt idx="64">
                  <c:v>44200</c:v>
                </c:pt>
                <c:pt idx="65">
                  <c:v>44201</c:v>
                </c:pt>
                <c:pt idx="66">
                  <c:v>44202</c:v>
                </c:pt>
                <c:pt idx="67">
                  <c:v>44203</c:v>
                </c:pt>
                <c:pt idx="68">
                  <c:v>44204</c:v>
                </c:pt>
                <c:pt idx="69">
                  <c:v>44207</c:v>
                </c:pt>
                <c:pt idx="70">
                  <c:v>44208</c:v>
                </c:pt>
                <c:pt idx="71">
                  <c:v>44209</c:v>
                </c:pt>
                <c:pt idx="72">
                  <c:v>44210</c:v>
                </c:pt>
                <c:pt idx="73">
                  <c:v>44211</c:v>
                </c:pt>
                <c:pt idx="74">
                  <c:v>44215</c:v>
                </c:pt>
                <c:pt idx="75">
                  <c:v>44216</c:v>
                </c:pt>
                <c:pt idx="76">
                  <c:v>44217</c:v>
                </c:pt>
                <c:pt idx="77">
                  <c:v>44218</c:v>
                </c:pt>
                <c:pt idx="78">
                  <c:v>44221</c:v>
                </c:pt>
                <c:pt idx="79">
                  <c:v>44222</c:v>
                </c:pt>
                <c:pt idx="80">
                  <c:v>44223</c:v>
                </c:pt>
                <c:pt idx="81">
                  <c:v>44224</c:v>
                </c:pt>
                <c:pt idx="82">
                  <c:v>44225</c:v>
                </c:pt>
                <c:pt idx="83">
                  <c:v>44228</c:v>
                </c:pt>
                <c:pt idx="84">
                  <c:v>44229</c:v>
                </c:pt>
                <c:pt idx="85">
                  <c:v>44230</c:v>
                </c:pt>
                <c:pt idx="86">
                  <c:v>44231</c:v>
                </c:pt>
                <c:pt idx="87">
                  <c:v>44232</c:v>
                </c:pt>
                <c:pt idx="88">
                  <c:v>44235</c:v>
                </c:pt>
                <c:pt idx="89">
                  <c:v>44236</c:v>
                </c:pt>
                <c:pt idx="90">
                  <c:v>44237</c:v>
                </c:pt>
                <c:pt idx="91">
                  <c:v>44238</c:v>
                </c:pt>
                <c:pt idx="92">
                  <c:v>44239</c:v>
                </c:pt>
                <c:pt idx="93">
                  <c:v>44243</c:v>
                </c:pt>
                <c:pt idx="94">
                  <c:v>44244</c:v>
                </c:pt>
                <c:pt idx="95" formatCode="dd/mm/yyyy">
                  <c:v>44245</c:v>
                </c:pt>
                <c:pt idx="96" formatCode="dd/mm/yyyy">
                  <c:v>44246</c:v>
                </c:pt>
                <c:pt idx="97" formatCode="dd/mm/yyyy">
                  <c:v>44249</c:v>
                </c:pt>
                <c:pt idx="98" formatCode="dd/mm/yyyy">
                  <c:v>44250</c:v>
                </c:pt>
                <c:pt idx="99" formatCode="dd/mm/yyyy">
                  <c:v>44251</c:v>
                </c:pt>
                <c:pt idx="100" formatCode="dd/mm/yyyy">
                  <c:v>44252</c:v>
                </c:pt>
              </c:numCache>
            </c:numRef>
          </c:cat>
          <c:val>
            <c:numRef>
              <c:f>Staging!$M$155:$M$255</c:f>
              <c:numCache>
                <c:formatCode>General</c:formatCode>
                <c:ptCount val="101"/>
                <c:pt idx="0">
                  <c:v>44.5</c:v>
                </c:pt>
                <c:pt idx="1">
                  <c:v>46</c:v>
                </c:pt>
                <c:pt idx="2">
                  <c:v>42</c:v>
                </c:pt>
                <c:pt idx="3">
                  <c:v>40.5</c:v>
                </c:pt>
                <c:pt idx="4">
                  <c:v>36.5</c:v>
                </c:pt>
                <c:pt idx="5">
                  <c:v>25.5</c:v>
                </c:pt>
                <c:pt idx="6">
                  <c:v>22</c:v>
                </c:pt>
                <c:pt idx="7">
                  <c:v>22</c:v>
                </c:pt>
                <c:pt idx="8">
                  <c:v>23</c:v>
                </c:pt>
                <c:pt idx="9">
                  <c:v>24</c:v>
                </c:pt>
                <c:pt idx="10">
                  <c:v>35</c:v>
                </c:pt>
                <c:pt idx="11">
                  <c:v>30</c:v>
                </c:pt>
                <c:pt idx="12">
                  <c:v>28.5</c:v>
                </c:pt>
                <c:pt idx="13">
                  <c:v>26</c:v>
                </c:pt>
                <c:pt idx="14">
                  <c:v>26</c:v>
                </c:pt>
                <c:pt idx="15">
                  <c:v>27</c:v>
                </c:pt>
                <c:pt idx="16">
                  <c:v>27</c:v>
                </c:pt>
                <c:pt idx="17">
                  <c:v>30.5</c:v>
                </c:pt>
                <c:pt idx="18">
                  <c:v>29.5</c:v>
                </c:pt>
                <c:pt idx="19">
                  <c:v>23.5</c:v>
                </c:pt>
                <c:pt idx="20">
                  <c:v>20.5</c:v>
                </c:pt>
                <c:pt idx="21">
                  <c:v>17.5</c:v>
                </c:pt>
                <c:pt idx="22">
                  <c:v>28.5</c:v>
                </c:pt>
                <c:pt idx="23">
                  <c:v>28.5</c:v>
                </c:pt>
                <c:pt idx="24">
                  <c:v>33.5</c:v>
                </c:pt>
                <c:pt idx="25">
                  <c:v>26.5</c:v>
                </c:pt>
                <c:pt idx="26">
                  <c:v>30</c:v>
                </c:pt>
                <c:pt idx="27">
                  <c:v>30</c:v>
                </c:pt>
                <c:pt idx="28">
                  <c:v>30</c:v>
                </c:pt>
                <c:pt idx="29">
                  <c:v>32.5</c:v>
                </c:pt>
                <c:pt idx="30">
                  <c:v>30</c:v>
                </c:pt>
                <c:pt idx="31">
                  <c:v>25</c:v>
                </c:pt>
                <c:pt idx="32">
                  <c:v>20.5</c:v>
                </c:pt>
                <c:pt idx="33">
                  <c:v>33</c:v>
                </c:pt>
                <c:pt idx="34">
                  <c:v>28</c:v>
                </c:pt>
                <c:pt idx="35">
                  <c:v>60.5</c:v>
                </c:pt>
                <c:pt idx="36">
                  <c:v>37.5</c:v>
                </c:pt>
                <c:pt idx="37">
                  <c:v>41.5</c:v>
                </c:pt>
                <c:pt idx="38">
                  <c:v>45</c:v>
                </c:pt>
                <c:pt idx="39">
                  <c:v>55</c:v>
                </c:pt>
                <c:pt idx="40">
                  <c:v>56</c:v>
                </c:pt>
                <c:pt idx="41">
                  <c:v>56</c:v>
                </c:pt>
                <c:pt idx="42">
                  <c:v>52</c:v>
                </c:pt>
                <c:pt idx="43">
                  <c:v>52.5</c:v>
                </c:pt>
                <c:pt idx="44">
                  <c:v>61</c:v>
                </c:pt>
                <c:pt idx="45">
                  <c:v>61.5</c:v>
                </c:pt>
                <c:pt idx="46">
                  <c:v>45.5</c:v>
                </c:pt>
                <c:pt idx="47">
                  <c:v>57.5</c:v>
                </c:pt>
                <c:pt idx="48">
                  <c:v>52.5</c:v>
                </c:pt>
                <c:pt idx="49">
                  <c:v>55</c:v>
                </c:pt>
                <c:pt idx="50">
                  <c:v>58.5</c:v>
                </c:pt>
                <c:pt idx="51">
                  <c:v>51</c:v>
                </c:pt>
                <c:pt idx="52">
                  <c:v>51.5</c:v>
                </c:pt>
                <c:pt idx="53">
                  <c:v>42</c:v>
                </c:pt>
                <c:pt idx="54">
                  <c:v>35</c:v>
                </c:pt>
                <c:pt idx="55">
                  <c:v>34</c:v>
                </c:pt>
                <c:pt idx="56">
                  <c:v>56.5</c:v>
                </c:pt>
                <c:pt idx="57">
                  <c:v>53</c:v>
                </c:pt>
                <c:pt idx="58">
                  <c:v>48.5</c:v>
                </c:pt>
                <c:pt idx="59">
                  <c:v>47</c:v>
                </c:pt>
                <c:pt idx="60">
                  <c:v>42</c:v>
                </c:pt>
                <c:pt idx="61">
                  <c:v>42</c:v>
                </c:pt>
                <c:pt idx="62">
                  <c:v>40</c:v>
                </c:pt>
                <c:pt idx="63">
                  <c:v>39.5</c:v>
                </c:pt>
                <c:pt idx="64">
                  <c:v>37</c:v>
                </c:pt>
                <c:pt idx="65">
                  <c:v>35.5</c:v>
                </c:pt>
                <c:pt idx="66">
                  <c:v>39.5</c:v>
                </c:pt>
                <c:pt idx="67">
                  <c:v>47.5</c:v>
                </c:pt>
                <c:pt idx="68">
                  <c:v>62</c:v>
                </c:pt>
                <c:pt idx="69">
                  <c:v>82</c:v>
                </c:pt>
                <c:pt idx="70">
                  <c:v>70.5</c:v>
                </c:pt>
                <c:pt idx="71">
                  <c:v>62.5</c:v>
                </c:pt>
                <c:pt idx="72">
                  <c:v>65</c:v>
                </c:pt>
                <c:pt idx="73">
                  <c:v>63.5</c:v>
                </c:pt>
                <c:pt idx="74">
                  <c:v>84.5</c:v>
                </c:pt>
                <c:pt idx="75">
                  <c:v>68</c:v>
                </c:pt>
                <c:pt idx="76">
                  <c:v>48.5</c:v>
                </c:pt>
                <c:pt idx="77">
                  <c:v>46</c:v>
                </c:pt>
                <c:pt idx="78">
                  <c:v>41</c:v>
                </c:pt>
                <c:pt idx="79">
                  <c:v>32.5</c:v>
                </c:pt>
                <c:pt idx="80">
                  <c:v>40.5</c:v>
                </c:pt>
                <c:pt idx="81">
                  <c:v>41</c:v>
                </c:pt>
                <c:pt idx="82">
                  <c:v>40.5</c:v>
                </c:pt>
                <c:pt idx="83">
                  <c:v>62.5</c:v>
                </c:pt>
                <c:pt idx="84">
                  <c:v>56.5</c:v>
                </c:pt>
                <c:pt idx="85">
                  <c:v>60.5</c:v>
                </c:pt>
                <c:pt idx="86">
                  <c:v>57.5</c:v>
                </c:pt>
                <c:pt idx="87">
                  <c:v>56</c:v>
                </c:pt>
                <c:pt idx="88">
                  <c:v>50</c:v>
                </c:pt>
                <c:pt idx="89">
                  <c:v>48</c:v>
                </c:pt>
                <c:pt idx="90">
                  <c:v>46</c:v>
                </c:pt>
                <c:pt idx="91">
                  <c:v>51.5</c:v>
                </c:pt>
                <c:pt idx="92">
                  <c:v>46</c:v>
                </c:pt>
                <c:pt idx="93">
                  <c:v>48</c:v>
                </c:pt>
                <c:pt idx="94">
                  <c:v>50.5</c:v>
                </c:pt>
                <c:pt idx="95">
                  <c:v>56</c:v>
                </c:pt>
                <c:pt idx="96">
                  <c:v>53.5</c:v>
                </c:pt>
                <c:pt idx="97">
                  <c:v>58</c:v>
                </c:pt>
                <c:pt idx="98">
                  <c:v>86</c:v>
                </c:pt>
                <c:pt idx="99">
                  <c:v>57.5</c:v>
                </c:pt>
                <c:pt idx="100">
                  <c:v>56</c:v>
                </c:pt>
              </c:numCache>
            </c:numRef>
          </c:val>
          <c:smooth val="0"/>
          <c:extLst>
            <c:ext xmlns:c16="http://schemas.microsoft.com/office/drawing/2014/chart" uri="{C3380CC4-5D6E-409C-BE32-E72D297353CC}">
              <c16:uniqueId val="{00000000-703E-4C33-BD9A-6CE35646B5EE}"/>
            </c:ext>
          </c:extLst>
        </c:ser>
        <c:ser>
          <c:idx val="1"/>
          <c:order val="1"/>
          <c:tx>
            <c:strRef>
              <c:f>RR!$N$1</c:f>
              <c:strCache>
                <c:ptCount val="1"/>
                <c:pt idx="0">
                  <c:v>CHANNEL_WIDTH</c:v>
                </c:pt>
              </c:strCache>
            </c:strRef>
          </c:tx>
          <c:spPr>
            <a:ln w="28575" cap="rnd">
              <a:solidFill>
                <a:srgbClr val="045EDB"/>
              </a:solidFill>
              <a:round/>
            </a:ln>
            <a:effectLst/>
          </c:spPr>
          <c:marker>
            <c:symbol val="none"/>
          </c:marker>
          <c:cat>
            <c:numRef>
              <c:f>Staging!$G$155:$G$255</c:f>
              <c:numCache>
                <c:formatCode>m/d/yyyy</c:formatCode>
                <c:ptCount val="101"/>
                <c:pt idx="0">
                  <c:v>44105</c:v>
                </c:pt>
                <c:pt idx="1">
                  <c:v>44106</c:v>
                </c:pt>
                <c:pt idx="2">
                  <c:v>44109</c:v>
                </c:pt>
                <c:pt idx="3">
                  <c:v>44110</c:v>
                </c:pt>
                <c:pt idx="4">
                  <c:v>44111</c:v>
                </c:pt>
                <c:pt idx="5">
                  <c:v>44112</c:v>
                </c:pt>
                <c:pt idx="6">
                  <c:v>44113</c:v>
                </c:pt>
                <c:pt idx="7">
                  <c:v>44116</c:v>
                </c:pt>
                <c:pt idx="8">
                  <c:v>44117</c:v>
                </c:pt>
                <c:pt idx="9">
                  <c:v>44118</c:v>
                </c:pt>
                <c:pt idx="10">
                  <c:v>44119</c:v>
                </c:pt>
                <c:pt idx="11">
                  <c:v>44120</c:v>
                </c:pt>
                <c:pt idx="12">
                  <c:v>44123</c:v>
                </c:pt>
                <c:pt idx="13">
                  <c:v>44124</c:v>
                </c:pt>
                <c:pt idx="14">
                  <c:v>44125</c:v>
                </c:pt>
                <c:pt idx="15">
                  <c:v>44126</c:v>
                </c:pt>
                <c:pt idx="16">
                  <c:v>44127</c:v>
                </c:pt>
                <c:pt idx="17">
                  <c:v>44130</c:v>
                </c:pt>
                <c:pt idx="18">
                  <c:v>44131</c:v>
                </c:pt>
                <c:pt idx="19">
                  <c:v>44132</c:v>
                </c:pt>
                <c:pt idx="20">
                  <c:v>44133</c:v>
                </c:pt>
                <c:pt idx="21">
                  <c:v>44134</c:v>
                </c:pt>
                <c:pt idx="22">
                  <c:v>44137</c:v>
                </c:pt>
                <c:pt idx="23">
                  <c:v>44138</c:v>
                </c:pt>
                <c:pt idx="24">
                  <c:v>44139</c:v>
                </c:pt>
                <c:pt idx="25">
                  <c:v>44140</c:v>
                </c:pt>
                <c:pt idx="26">
                  <c:v>44141</c:v>
                </c:pt>
                <c:pt idx="27">
                  <c:v>44144</c:v>
                </c:pt>
                <c:pt idx="28">
                  <c:v>44145</c:v>
                </c:pt>
                <c:pt idx="29">
                  <c:v>44146</c:v>
                </c:pt>
                <c:pt idx="30">
                  <c:v>44147</c:v>
                </c:pt>
                <c:pt idx="31">
                  <c:v>44148</c:v>
                </c:pt>
                <c:pt idx="32">
                  <c:v>44151</c:v>
                </c:pt>
                <c:pt idx="33">
                  <c:v>44152</c:v>
                </c:pt>
                <c:pt idx="34">
                  <c:v>44153</c:v>
                </c:pt>
                <c:pt idx="35">
                  <c:v>44154</c:v>
                </c:pt>
                <c:pt idx="36">
                  <c:v>44155</c:v>
                </c:pt>
                <c:pt idx="37">
                  <c:v>44158</c:v>
                </c:pt>
                <c:pt idx="38">
                  <c:v>44159</c:v>
                </c:pt>
                <c:pt idx="39">
                  <c:v>44160</c:v>
                </c:pt>
                <c:pt idx="40">
                  <c:v>44162</c:v>
                </c:pt>
                <c:pt idx="41">
                  <c:v>44165</c:v>
                </c:pt>
                <c:pt idx="42">
                  <c:v>44166</c:v>
                </c:pt>
                <c:pt idx="43">
                  <c:v>44167</c:v>
                </c:pt>
                <c:pt idx="44">
                  <c:v>44168</c:v>
                </c:pt>
                <c:pt idx="45">
                  <c:v>44169</c:v>
                </c:pt>
                <c:pt idx="46">
                  <c:v>44172</c:v>
                </c:pt>
                <c:pt idx="47">
                  <c:v>44173</c:v>
                </c:pt>
                <c:pt idx="48">
                  <c:v>44174</c:v>
                </c:pt>
                <c:pt idx="49">
                  <c:v>44175</c:v>
                </c:pt>
                <c:pt idx="50">
                  <c:v>44176</c:v>
                </c:pt>
                <c:pt idx="51">
                  <c:v>44179</c:v>
                </c:pt>
                <c:pt idx="52">
                  <c:v>44180</c:v>
                </c:pt>
                <c:pt idx="53">
                  <c:v>44181</c:v>
                </c:pt>
                <c:pt idx="54">
                  <c:v>44182</c:v>
                </c:pt>
                <c:pt idx="55">
                  <c:v>44183</c:v>
                </c:pt>
                <c:pt idx="56">
                  <c:v>44186</c:v>
                </c:pt>
                <c:pt idx="57">
                  <c:v>44187</c:v>
                </c:pt>
                <c:pt idx="58">
                  <c:v>44188</c:v>
                </c:pt>
                <c:pt idx="59">
                  <c:v>44189</c:v>
                </c:pt>
                <c:pt idx="60">
                  <c:v>44193</c:v>
                </c:pt>
                <c:pt idx="61">
                  <c:v>44194</c:v>
                </c:pt>
                <c:pt idx="62">
                  <c:v>44195</c:v>
                </c:pt>
                <c:pt idx="63">
                  <c:v>44196</c:v>
                </c:pt>
                <c:pt idx="64">
                  <c:v>44200</c:v>
                </c:pt>
                <c:pt idx="65">
                  <c:v>44201</c:v>
                </c:pt>
                <c:pt idx="66">
                  <c:v>44202</c:v>
                </c:pt>
                <c:pt idx="67">
                  <c:v>44203</c:v>
                </c:pt>
                <c:pt idx="68">
                  <c:v>44204</c:v>
                </c:pt>
                <c:pt idx="69">
                  <c:v>44207</c:v>
                </c:pt>
                <c:pt idx="70">
                  <c:v>44208</c:v>
                </c:pt>
                <c:pt idx="71">
                  <c:v>44209</c:v>
                </c:pt>
                <c:pt idx="72">
                  <c:v>44210</c:v>
                </c:pt>
                <c:pt idx="73">
                  <c:v>44211</c:v>
                </c:pt>
                <c:pt idx="74">
                  <c:v>44215</c:v>
                </c:pt>
                <c:pt idx="75">
                  <c:v>44216</c:v>
                </c:pt>
                <c:pt idx="76">
                  <c:v>44217</c:v>
                </c:pt>
                <c:pt idx="77">
                  <c:v>44218</c:v>
                </c:pt>
                <c:pt idx="78">
                  <c:v>44221</c:v>
                </c:pt>
                <c:pt idx="79">
                  <c:v>44222</c:v>
                </c:pt>
                <c:pt idx="80">
                  <c:v>44223</c:v>
                </c:pt>
                <c:pt idx="81">
                  <c:v>44224</c:v>
                </c:pt>
                <c:pt idx="82">
                  <c:v>44225</c:v>
                </c:pt>
                <c:pt idx="83">
                  <c:v>44228</c:v>
                </c:pt>
                <c:pt idx="84">
                  <c:v>44229</c:v>
                </c:pt>
                <c:pt idx="85">
                  <c:v>44230</c:v>
                </c:pt>
                <c:pt idx="86">
                  <c:v>44231</c:v>
                </c:pt>
                <c:pt idx="87">
                  <c:v>44232</c:v>
                </c:pt>
                <c:pt idx="88">
                  <c:v>44235</c:v>
                </c:pt>
                <c:pt idx="89">
                  <c:v>44236</c:v>
                </c:pt>
                <c:pt idx="90">
                  <c:v>44237</c:v>
                </c:pt>
                <c:pt idx="91">
                  <c:v>44238</c:v>
                </c:pt>
                <c:pt idx="92">
                  <c:v>44239</c:v>
                </c:pt>
                <c:pt idx="93">
                  <c:v>44243</c:v>
                </c:pt>
                <c:pt idx="94">
                  <c:v>44244</c:v>
                </c:pt>
                <c:pt idx="95" formatCode="dd/mm/yyyy">
                  <c:v>44245</c:v>
                </c:pt>
                <c:pt idx="96" formatCode="dd/mm/yyyy">
                  <c:v>44246</c:v>
                </c:pt>
                <c:pt idx="97" formatCode="dd/mm/yyyy">
                  <c:v>44249</c:v>
                </c:pt>
                <c:pt idx="98" formatCode="dd/mm/yyyy">
                  <c:v>44250</c:v>
                </c:pt>
                <c:pt idx="99" formatCode="dd/mm/yyyy">
                  <c:v>44251</c:v>
                </c:pt>
                <c:pt idx="100" formatCode="dd/mm/yyyy">
                  <c:v>44252</c:v>
                </c:pt>
              </c:numCache>
            </c:numRef>
          </c:cat>
          <c:val>
            <c:numRef>
              <c:f>Staging!$N$155:$N$255</c:f>
              <c:numCache>
                <c:formatCode>General</c:formatCode>
                <c:ptCount val="101"/>
                <c:pt idx="0">
                  <c:v>89</c:v>
                </c:pt>
                <c:pt idx="1">
                  <c:v>92</c:v>
                </c:pt>
                <c:pt idx="2">
                  <c:v>84</c:v>
                </c:pt>
                <c:pt idx="3">
                  <c:v>81</c:v>
                </c:pt>
                <c:pt idx="4">
                  <c:v>73</c:v>
                </c:pt>
                <c:pt idx="5">
                  <c:v>51</c:v>
                </c:pt>
                <c:pt idx="6">
                  <c:v>44</c:v>
                </c:pt>
                <c:pt idx="7">
                  <c:v>44</c:v>
                </c:pt>
                <c:pt idx="8">
                  <c:v>46</c:v>
                </c:pt>
                <c:pt idx="9">
                  <c:v>48</c:v>
                </c:pt>
                <c:pt idx="10">
                  <c:v>70</c:v>
                </c:pt>
                <c:pt idx="11">
                  <c:v>60</c:v>
                </c:pt>
                <c:pt idx="12">
                  <c:v>57</c:v>
                </c:pt>
                <c:pt idx="13">
                  <c:v>52</c:v>
                </c:pt>
                <c:pt idx="14">
                  <c:v>52</c:v>
                </c:pt>
                <c:pt idx="15">
                  <c:v>54</c:v>
                </c:pt>
                <c:pt idx="16">
                  <c:v>54</c:v>
                </c:pt>
                <c:pt idx="17">
                  <c:v>61</c:v>
                </c:pt>
                <c:pt idx="18">
                  <c:v>59</c:v>
                </c:pt>
                <c:pt idx="19">
                  <c:v>47</c:v>
                </c:pt>
                <c:pt idx="20">
                  <c:v>41</c:v>
                </c:pt>
                <c:pt idx="21">
                  <c:v>35</c:v>
                </c:pt>
                <c:pt idx="22">
                  <c:v>57</c:v>
                </c:pt>
                <c:pt idx="23">
                  <c:v>57</c:v>
                </c:pt>
                <c:pt idx="24">
                  <c:v>67</c:v>
                </c:pt>
                <c:pt idx="25">
                  <c:v>53</c:v>
                </c:pt>
                <c:pt idx="26">
                  <c:v>60</c:v>
                </c:pt>
                <c:pt idx="27">
                  <c:v>60</c:v>
                </c:pt>
                <c:pt idx="28">
                  <c:v>60</c:v>
                </c:pt>
                <c:pt idx="29">
                  <c:v>65</c:v>
                </c:pt>
                <c:pt idx="30">
                  <c:v>60</c:v>
                </c:pt>
                <c:pt idx="31">
                  <c:v>50</c:v>
                </c:pt>
                <c:pt idx="32">
                  <c:v>41</c:v>
                </c:pt>
                <c:pt idx="33">
                  <c:v>66</c:v>
                </c:pt>
                <c:pt idx="34">
                  <c:v>56</c:v>
                </c:pt>
                <c:pt idx="35">
                  <c:v>121</c:v>
                </c:pt>
                <c:pt idx="36">
                  <c:v>75</c:v>
                </c:pt>
                <c:pt idx="37">
                  <c:v>83</c:v>
                </c:pt>
                <c:pt idx="38">
                  <c:v>90</c:v>
                </c:pt>
                <c:pt idx="39">
                  <c:v>110</c:v>
                </c:pt>
                <c:pt idx="40">
                  <c:v>112</c:v>
                </c:pt>
                <c:pt idx="41">
                  <c:v>112</c:v>
                </c:pt>
                <c:pt idx="42">
                  <c:v>104</c:v>
                </c:pt>
                <c:pt idx="43">
                  <c:v>105</c:v>
                </c:pt>
                <c:pt idx="44">
                  <c:v>122</c:v>
                </c:pt>
                <c:pt idx="45">
                  <c:v>123</c:v>
                </c:pt>
                <c:pt idx="46">
                  <c:v>91</c:v>
                </c:pt>
                <c:pt idx="47">
                  <c:v>115</c:v>
                </c:pt>
                <c:pt idx="48">
                  <c:v>105</c:v>
                </c:pt>
                <c:pt idx="49">
                  <c:v>110</c:v>
                </c:pt>
                <c:pt idx="50">
                  <c:v>117</c:v>
                </c:pt>
                <c:pt idx="51">
                  <c:v>102</c:v>
                </c:pt>
                <c:pt idx="52">
                  <c:v>103</c:v>
                </c:pt>
                <c:pt idx="53">
                  <c:v>84</c:v>
                </c:pt>
                <c:pt idx="54">
                  <c:v>70</c:v>
                </c:pt>
                <c:pt idx="55">
                  <c:v>68</c:v>
                </c:pt>
                <c:pt idx="56">
                  <c:v>113</c:v>
                </c:pt>
                <c:pt idx="57">
                  <c:v>106</c:v>
                </c:pt>
                <c:pt idx="58">
                  <c:v>97</c:v>
                </c:pt>
                <c:pt idx="59">
                  <c:v>94</c:v>
                </c:pt>
                <c:pt idx="60">
                  <c:v>84</c:v>
                </c:pt>
                <c:pt idx="61">
                  <c:v>84</c:v>
                </c:pt>
                <c:pt idx="62">
                  <c:v>80</c:v>
                </c:pt>
                <c:pt idx="63">
                  <c:v>79</c:v>
                </c:pt>
                <c:pt idx="64">
                  <c:v>74</c:v>
                </c:pt>
                <c:pt idx="65">
                  <c:v>71</c:v>
                </c:pt>
                <c:pt idx="66">
                  <c:v>79</c:v>
                </c:pt>
                <c:pt idx="67">
                  <c:v>95</c:v>
                </c:pt>
                <c:pt idx="68">
                  <c:v>124</c:v>
                </c:pt>
                <c:pt idx="69">
                  <c:v>164</c:v>
                </c:pt>
                <c:pt idx="70">
                  <c:v>141</c:v>
                </c:pt>
                <c:pt idx="71">
                  <c:v>125</c:v>
                </c:pt>
                <c:pt idx="72">
                  <c:v>130</c:v>
                </c:pt>
                <c:pt idx="73">
                  <c:v>127</c:v>
                </c:pt>
                <c:pt idx="74">
                  <c:v>169</c:v>
                </c:pt>
                <c:pt idx="75">
                  <c:v>136</c:v>
                </c:pt>
                <c:pt idx="76">
                  <c:v>97</c:v>
                </c:pt>
                <c:pt idx="77">
                  <c:v>92</c:v>
                </c:pt>
                <c:pt idx="78">
                  <c:v>82</c:v>
                </c:pt>
                <c:pt idx="79">
                  <c:v>65</c:v>
                </c:pt>
                <c:pt idx="80">
                  <c:v>81</c:v>
                </c:pt>
                <c:pt idx="81">
                  <c:v>82</c:v>
                </c:pt>
                <c:pt idx="82">
                  <c:v>81</c:v>
                </c:pt>
                <c:pt idx="83">
                  <c:v>125</c:v>
                </c:pt>
                <c:pt idx="84">
                  <c:v>113</c:v>
                </c:pt>
                <c:pt idx="85">
                  <c:v>121</c:v>
                </c:pt>
                <c:pt idx="86">
                  <c:v>115</c:v>
                </c:pt>
                <c:pt idx="87">
                  <c:v>112</c:v>
                </c:pt>
                <c:pt idx="88">
                  <c:v>100</c:v>
                </c:pt>
                <c:pt idx="89">
                  <c:v>96</c:v>
                </c:pt>
                <c:pt idx="90">
                  <c:v>92</c:v>
                </c:pt>
                <c:pt idx="91">
                  <c:v>103</c:v>
                </c:pt>
                <c:pt idx="92">
                  <c:v>92</c:v>
                </c:pt>
                <c:pt idx="93">
                  <c:v>96</c:v>
                </c:pt>
                <c:pt idx="94">
                  <c:v>101</c:v>
                </c:pt>
                <c:pt idx="95">
                  <c:v>112</c:v>
                </c:pt>
                <c:pt idx="96">
                  <c:v>107</c:v>
                </c:pt>
                <c:pt idx="97">
                  <c:v>116</c:v>
                </c:pt>
                <c:pt idx="98">
                  <c:v>172</c:v>
                </c:pt>
                <c:pt idx="99">
                  <c:v>115</c:v>
                </c:pt>
                <c:pt idx="100">
                  <c:v>112</c:v>
                </c:pt>
              </c:numCache>
            </c:numRef>
          </c:val>
          <c:smooth val="0"/>
          <c:extLst>
            <c:ext xmlns:c16="http://schemas.microsoft.com/office/drawing/2014/chart" uri="{C3380CC4-5D6E-409C-BE32-E72D297353CC}">
              <c16:uniqueId val="{00000001-703E-4C33-BD9A-6CE35646B5EE}"/>
            </c:ext>
          </c:extLst>
        </c:ser>
        <c:dLbls>
          <c:showLegendKey val="0"/>
          <c:showVal val="0"/>
          <c:showCatName val="0"/>
          <c:showSerName val="0"/>
          <c:showPercent val="0"/>
          <c:showBubbleSize val="0"/>
        </c:dLbls>
        <c:smooth val="0"/>
        <c:axId val="1065223887"/>
        <c:axId val="1064585055"/>
      </c:lineChart>
      <c:dateAx>
        <c:axId val="1065223887"/>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64585055"/>
        <c:crosses val="autoZero"/>
        <c:auto val="1"/>
        <c:lblOffset val="100"/>
        <c:baseTimeUnit val="days"/>
      </c:dateAx>
      <c:valAx>
        <c:axId val="1064585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65223887"/>
        <c:crosses val="autoZero"/>
        <c:crossBetween val="between"/>
      </c:valAx>
      <c:spPr>
        <a:noFill/>
        <a:ln>
          <a:noFill/>
        </a:ln>
        <a:effectLst/>
      </c:spPr>
    </c:plotArea>
    <c:legend>
      <c:legendPos val="b"/>
      <c:layout>
        <c:manualLayout>
          <c:xMode val="edge"/>
          <c:yMode val="edge"/>
          <c:x val="8.3661138102418073E-3"/>
          <c:y val="2.067399971950076E-2"/>
          <c:w val="0.32445064299969761"/>
          <c:h val="5.2380122850241469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a:t>SENTIMENT</a:t>
            </a:r>
            <a:endParaRPr lang="en-US" baseline="0"/>
          </a:p>
          <a:p>
            <a:pPr>
              <a:defRPr sz="1800" b="1"/>
            </a:pPr>
            <a:r>
              <a:rPr lang="en-US" baseline="0"/>
              <a:t>(-1 = BEAR | 0 = NEU | +1 = BULL)</a:t>
            </a:r>
            <a:endParaRPr lang="en-US"/>
          </a:p>
        </c:rich>
      </c:tx>
      <c:layout>
        <c:manualLayout>
          <c:xMode val="edge"/>
          <c:yMode val="edge"/>
          <c:x val="0.32064533422683861"/>
          <c:y val="0"/>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4.1929189702351037E-2"/>
          <c:y val="0.21274204488483883"/>
          <c:w val="0.94291930529960355"/>
          <c:h val="0.63173995104544511"/>
        </c:manualLayout>
      </c:layout>
      <c:lineChart>
        <c:grouping val="standard"/>
        <c:varyColors val="0"/>
        <c:ser>
          <c:idx val="2"/>
          <c:order val="0"/>
          <c:tx>
            <c:strRef>
              <c:f>RR!$S$1</c:f>
              <c:strCache>
                <c:ptCount val="1"/>
                <c:pt idx="0">
                  <c:v>SENT_PLOT</c:v>
                </c:pt>
              </c:strCache>
            </c:strRef>
          </c:tx>
          <c:spPr>
            <a:ln w="28575" cap="rnd">
              <a:solidFill>
                <a:srgbClr val="2A2E2D"/>
              </a:solidFill>
              <a:round/>
            </a:ln>
            <a:effectLst/>
          </c:spPr>
          <c:marker>
            <c:symbol val="circle"/>
            <c:size val="5"/>
            <c:spPr>
              <a:solidFill>
                <a:srgbClr val="2A2E2D"/>
              </a:solidFill>
              <a:ln w="12700">
                <a:solidFill>
                  <a:srgbClr val="2A2E2D"/>
                </a:solidFill>
                <a:prstDash val="solid"/>
              </a:ln>
              <a:effectLst/>
            </c:spPr>
          </c:marker>
          <c:cat>
            <c:numRef>
              <c:f>Staging!$G$155:$G$255</c:f>
              <c:numCache>
                <c:formatCode>m/d/yyyy</c:formatCode>
                <c:ptCount val="101"/>
                <c:pt idx="0">
                  <c:v>44105</c:v>
                </c:pt>
                <c:pt idx="1">
                  <c:v>44106</c:v>
                </c:pt>
                <c:pt idx="2">
                  <c:v>44109</c:v>
                </c:pt>
                <c:pt idx="3">
                  <c:v>44110</c:v>
                </c:pt>
                <c:pt idx="4">
                  <c:v>44111</c:v>
                </c:pt>
                <c:pt idx="5">
                  <c:v>44112</c:v>
                </c:pt>
                <c:pt idx="6">
                  <c:v>44113</c:v>
                </c:pt>
                <c:pt idx="7">
                  <c:v>44116</c:v>
                </c:pt>
                <c:pt idx="8">
                  <c:v>44117</c:v>
                </c:pt>
                <c:pt idx="9">
                  <c:v>44118</c:v>
                </c:pt>
                <c:pt idx="10">
                  <c:v>44119</c:v>
                </c:pt>
                <c:pt idx="11">
                  <c:v>44120</c:v>
                </c:pt>
                <c:pt idx="12">
                  <c:v>44123</c:v>
                </c:pt>
                <c:pt idx="13">
                  <c:v>44124</c:v>
                </c:pt>
                <c:pt idx="14">
                  <c:v>44125</c:v>
                </c:pt>
                <c:pt idx="15">
                  <c:v>44126</c:v>
                </c:pt>
                <c:pt idx="16">
                  <c:v>44127</c:v>
                </c:pt>
                <c:pt idx="17">
                  <c:v>44130</c:v>
                </c:pt>
                <c:pt idx="18">
                  <c:v>44131</c:v>
                </c:pt>
                <c:pt idx="19">
                  <c:v>44132</c:v>
                </c:pt>
                <c:pt idx="20">
                  <c:v>44133</c:v>
                </c:pt>
                <c:pt idx="21">
                  <c:v>44134</c:v>
                </c:pt>
                <c:pt idx="22">
                  <c:v>44137</c:v>
                </c:pt>
                <c:pt idx="23">
                  <c:v>44138</c:v>
                </c:pt>
                <c:pt idx="24">
                  <c:v>44139</c:v>
                </c:pt>
                <c:pt idx="25">
                  <c:v>44140</c:v>
                </c:pt>
                <c:pt idx="26">
                  <c:v>44141</c:v>
                </c:pt>
                <c:pt idx="27">
                  <c:v>44144</c:v>
                </c:pt>
                <c:pt idx="28">
                  <c:v>44145</c:v>
                </c:pt>
                <c:pt idx="29">
                  <c:v>44146</c:v>
                </c:pt>
                <c:pt idx="30">
                  <c:v>44147</c:v>
                </c:pt>
                <c:pt idx="31">
                  <c:v>44148</c:v>
                </c:pt>
                <c:pt idx="32">
                  <c:v>44151</c:v>
                </c:pt>
                <c:pt idx="33">
                  <c:v>44152</c:v>
                </c:pt>
                <c:pt idx="34">
                  <c:v>44153</c:v>
                </c:pt>
                <c:pt idx="35">
                  <c:v>44154</c:v>
                </c:pt>
                <c:pt idx="36">
                  <c:v>44155</c:v>
                </c:pt>
                <c:pt idx="37">
                  <c:v>44158</c:v>
                </c:pt>
                <c:pt idx="38">
                  <c:v>44159</c:v>
                </c:pt>
                <c:pt idx="39">
                  <c:v>44160</c:v>
                </c:pt>
                <c:pt idx="40">
                  <c:v>44162</c:v>
                </c:pt>
                <c:pt idx="41">
                  <c:v>44165</c:v>
                </c:pt>
                <c:pt idx="42">
                  <c:v>44166</c:v>
                </c:pt>
                <c:pt idx="43">
                  <c:v>44167</c:v>
                </c:pt>
                <c:pt idx="44">
                  <c:v>44168</c:v>
                </c:pt>
                <c:pt idx="45">
                  <c:v>44169</c:v>
                </c:pt>
                <c:pt idx="46">
                  <c:v>44172</c:v>
                </c:pt>
                <c:pt idx="47">
                  <c:v>44173</c:v>
                </c:pt>
                <c:pt idx="48">
                  <c:v>44174</c:v>
                </c:pt>
                <c:pt idx="49">
                  <c:v>44175</c:v>
                </c:pt>
                <c:pt idx="50">
                  <c:v>44176</c:v>
                </c:pt>
                <c:pt idx="51">
                  <c:v>44179</c:v>
                </c:pt>
                <c:pt idx="52">
                  <c:v>44180</c:v>
                </c:pt>
                <c:pt idx="53">
                  <c:v>44181</c:v>
                </c:pt>
                <c:pt idx="54">
                  <c:v>44182</c:v>
                </c:pt>
                <c:pt idx="55">
                  <c:v>44183</c:v>
                </c:pt>
                <c:pt idx="56">
                  <c:v>44186</c:v>
                </c:pt>
                <c:pt idx="57">
                  <c:v>44187</c:v>
                </c:pt>
                <c:pt idx="58">
                  <c:v>44188</c:v>
                </c:pt>
                <c:pt idx="59">
                  <c:v>44189</c:v>
                </c:pt>
                <c:pt idx="60">
                  <c:v>44193</c:v>
                </c:pt>
                <c:pt idx="61">
                  <c:v>44194</c:v>
                </c:pt>
                <c:pt idx="62">
                  <c:v>44195</c:v>
                </c:pt>
                <c:pt idx="63">
                  <c:v>44196</c:v>
                </c:pt>
                <c:pt idx="64">
                  <c:v>44200</c:v>
                </c:pt>
                <c:pt idx="65">
                  <c:v>44201</c:v>
                </c:pt>
                <c:pt idx="66">
                  <c:v>44202</c:v>
                </c:pt>
                <c:pt idx="67">
                  <c:v>44203</c:v>
                </c:pt>
                <c:pt idx="68">
                  <c:v>44204</c:v>
                </c:pt>
                <c:pt idx="69">
                  <c:v>44207</c:v>
                </c:pt>
                <c:pt idx="70">
                  <c:v>44208</c:v>
                </c:pt>
                <c:pt idx="71">
                  <c:v>44209</c:v>
                </c:pt>
                <c:pt idx="72">
                  <c:v>44210</c:v>
                </c:pt>
                <c:pt idx="73">
                  <c:v>44211</c:v>
                </c:pt>
                <c:pt idx="74">
                  <c:v>44215</c:v>
                </c:pt>
                <c:pt idx="75">
                  <c:v>44216</c:v>
                </c:pt>
                <c:pt idx="76">
                  <c:v>44217</c:v>
                </c:pt>
                <c:pt idx="77">
                  <c:v>44218</c:v>
                </c:pt>
                <c:pt idx="78">
                  <c:v>44221</c:v>
                </c:pt>
                <c:pt idx="79">
                  <c:v>44222</c:v>
                </c:pt>
                <c:pt idx="80">
                  <c:v>44223</c:v>
                </c:pt>
                <c:pt idx="81">
                  <c:v>44224</c:v>
                </c:pt>
                <c:pt idx="82">
                  <c:v>44225</c:v>
                </c:pt>
                <c:pt idx="83">
                  <c:v>44228</c:v>
                </c:pt>
                <c:pt idx="84">
                  <c:v>44229</c:v>
                </c:pt>
                <c:pt idx="85">
                  <c:v>44230</c:v>
                </c:pt>
                <c:pt idx="86">
                  <c:v>44231</c:v>
                </c:pt>
                <c:pt idx="87">
                  <c:v>44232</c:v>
                </c:pt>
                <c:pt idx="88">
                  <c:v>44235</c:v>
                </c:pt>
                <c:pt idx="89">
                  <c:v>44236</c:v>
                </c:pt>
                <c:pt idx="90">
                  <c:v>44237</c:v>
                </c:pt>
                <c:pt idx="91">
                  <c:v>44238</c:v>
                </c:pt>
                <c:pt idx="92">
                  <c:v>44239</c:v>
                </c:pt>
                <c:pt idx="93">
                  <c:v>44243</c:v>
                </c:pt>
                <c:pt idx="94">
                  <c:v>44244</c:v>
                </c:pt>
                <c:pt idx="95" formatCode="dd/mm/yyyy">
                  <c:v>44245</c:v>
                </c:pt>
                <c:pt idx="96" formatCode="dd/mm/yyyy">
                  <c:v>44246</c:v>
                </c:pt>
                <c:pt idx="97" formatCode="dd/mm/yyyy">
                  <c:v>44249</c:v>
                </c:pt>
                <c:pt idx="98" formatCode="dd/mm/yyyy">
                  <c:v>44250</c:v>
                </c:pt>
                <c:pt idx="99" formatCode="dd/mm/yyyy">
                  <c:v>44251</c:v>
                </c:pt>
                <c:pt idx="100" formatCode="dd/mm/yyyy">
                  <c:v>44252</c:v>
                </c:pt>
              </c:numCache>
            </c:numRef>
          </c:cat>
          <c:val>
            <c:numRef>
              <c:f>Staging!$S$155:$S$255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numCache>
            </c:numRef>
          </c:val>
          <c:smooth val="0"/>
          <c:extLst>
            <c:ext xmlns:c16="http://schemas.microsoft.com/office/drawing/2014/chart" uri="{C3380CC4-5D6E-409C-BE32-E72D297353CC}">
              <c16:uniqueId val="{00000000-8B24-49E2-8294-F119092FB9BC}"/>
            </c:ext>
          </c:extLst>
        </c:ser>
        <c:dLbls>
          <c:showLegendKey val="0"/>
          <c:showVal val="0"/>
          <c:showCatName val="0"/>
          <c:showSerName val="0"/>
          <c:showPercent val="0"/>
          <c:showBubbleSize val="0"/>
        </c:dLbls>
        <c:marker val="1"/>
        <c:smooth val="0"/>
        <c:axId val="1065223887"/>
        <c:axId val="1064585055"/>
      </c:lineChart>
      <c:dateAx>
        <c:axId val="1065223887"/>
        <c:scaling>
          <c:orientation val="minMax"/>
        </c:scaling>
        <c:delete val="0"/>
        <c:axPos val="b"/>
        <c:numFmt formatCode="m/d/yyyy"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64585055"/>
        <c:crosses val="autoZero"/>
        <c:auto val="1"/>
        <c:lblOffset val="100"/>
        <c:baseTimeUnit val="days"/>
      </c:dateAx>
      <c:valAx>
        <c:axId val="1064585055"/>
        <c:scaling>
          <c:orientation val="minMax"/>
          <c:max val="1"/>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zh-CN"/>
          </a:p>
        </c:txPr>
        <c:crossAx val="1065223887"/>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chart" Target="../charts/chart3.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2.xml"/><Relationship Id="rId5" Type="http://schemas.openxmlformats.org/officeDocument/2006/relationships/chart" Target="../charts/chart1.xml"/><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50800</xdr:rowOff>
    </xdr:from>
    <xdr:to>
      <xdr:col>1</xdr:col>
      <xdr:colOff>6781800</xdr:colOff>
      <xdr:row>21</xdr:row>
      <xdr:rowOff>161272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307975"/>
          <a:ext cx="7924800" cy="4149072"/>
        </a:xfrm>
        <a:prstGeom prst="rect">
          <a:avLst/>
        </a:prstGeom>
      </xdr:spPr>
    </xdr:pic>
    <xdr:clientData/>
  </xdr:twoCellAnchor>
  <xdr:twoCellAnchor editAs="oneCell">
    <xdr:from>
      <xdr:col>0</xdr:col>
      <xdr:colOff>0</xdr:colOff>
      <xdr:row>24</xdr:row>
      <xdr:rowOff>117215</xdr:rowOff>
    </xdr:from>
    <xdr:to>
      <xdr:col>1</xdr:col>
      <xdr:colOff>6692900</xdr:colOff>
      <xdr:row>44</xdr:row>
      <xdr:rowOff>163851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0" y="5121015"/>
          <a:ext cx="7835900" cy="4110636"/>
        </a:xfrm>
        <a:prstGeom prst="rect">
          <a:avLst/>
        </a:prstGeom>
      </xdr:spPr>
    </xdr:pic>
    <xdr:clientData/>
  </xdr:twoCellAnchor>
  <xdr:twoCellAnchor editAs="oneCell">
    <xdr:from>
      <xdr:col>0</xdr:col>
      <xdr:colOff>0</xdr:colOff>
      <xdr:row>49</xdr:row>
      <xdr:rowOff>12700</xdr:rowOff>
    </xdr:from>
    <xdr:to>
      <xdr:col>1</xdr:col>
      <xdr:colOff>6819900</xdr:colOff>
      <xdr:row>70</xdr:row>
      <xdr:rowOff>6443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0" y="10287000"/>
          <a:ext cx="7962900" cy="4260943"/>
        </a:xfrm>
        <a:prstGeom prst="rect">
          <a:avLst/>
        </a:prstGeom>
      </xdr:spPr>
    </xdr:pic>
    <xdr:clientData/>
  </xdr:twoCellAnchor>
  <xdr:twoCellAnchor editAs="oneCell">
    <xdr:from>
      <xdr:col>0</xdr:col>
      <xdr:colOff>0</xdr:colOff>
      <xdr:row>72</xdr:row>
      <xdr:rowOff>38100</xdr:rowOff>
    </xdr:from>
    <xdr:to>
      <xdr:col>1</xdr:col>
      <xdr:colOff>6807200</xdr:colOff>
      <xdr:row>83</xdr:row>
      <xdr:rowOff>56424</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0" y="15049500"/>
          <a:ext cx="7950200" cy="2253524"/>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790575</xdr:colOff>
          <xdr:row>4</xdr:row>
          <xdr:rowOff>180975</xdr:rowOff>
        </xdr:from>
        <xdr:to>
          <xdr:col>4</xdr:col>
          <xdr:colOff>638175</xdr:colOff>
          <xdr:row>8</xdr:row>
          <xdr:rowOff>123825</xdr:rowOff>
        </xdr:to>
        <xdr:sp macro="" textlink="">
          <xdr:nvSpPr>
            <xdr:cNvPr id="1025" name="Button 1" descr="Collate Data"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200" b="0" i="0" u="none" strike="noStrike" baseline="0">
                  <a:solidFill>
                    <a:srgbClr val="000000"/>
                  </a:solidFill>
                  <a:latin typeface="Calibri"/>
                  <a:cs typeface="Calibri"/>
                </a:rPr>
                <a:t>Collate Data</a:t>
              </a:r>
            </a:p>
          </xdr:txBody>
        </xdr:sp>
        <xdr:clientData fPrintsWithSheet="0"/>
      </xdr:twoCellAnchor>
    </mc:Choice>
    <mc:Fallback/>
  </mc:AlternateContent>
  <xdr:twoCellAnchor>
    <xdr:from>
      <xdr:col>0</xdr:col>
      <xdr:colOff>0</xdr:colOff>
      <xdr:row>90</xdr:row>
      <xdr:rowOff>0</xdr:rowOff>
    </xdr:from>
    <xdr:to>
      <xdr:col>2</xdr:col>
      <xdr:colOff>788989</xdr:colOff>
      <xdr:row>114</xdr:row>
      <xdr:rowOff>170656</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116</xdr:row>
      <xdr:rowOff>0</xdr:rowOff>
    </xdr:from>
    <xdr:to>
      <xdr:col>2</xdr:col>
      <xdr:colOff>791370</xdr:colOff>
      <xdr:row>140</xdr:row>
      <xdr:rowOff>113506</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142</xdr:row>
      <xdr:rowOff>0</xdr:rowOff>
    </xdr:from>
    <xdr:to>
      <xdr:col>2</xdr:col>
      <xdr:colOff>791370</xdr:colOff>
      <xdr:row>164</xdr:row>
      <xdr:rowOff>2</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180975</xdr:colOff>
          <xdr:row>5</xdr:row>
          <xdr:rowOff>28575</xdr:rowOff>
        </xdr:from>
        <xdr:to>
          <xdr:col>2</xdr:col>
          <xdr:colOff>47625</xdr:colOff>
          <xdr:row>8</xdr:row>
          <xdr:rowOff>114300</xdr:rowOff>
        </xdr:to>
        <xdr:sp macro="" textlink="">
          <xdr:nvSpPr>
            <xdr:cNvPr id="2049" name="Button 1" descr="Refresh Graph"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200" b="0" i="0" u="none" strike="noStrike" baseline="0">
                  <a:solidFill>
                    <a:srgbClr val="000000"/>
                  </a:solidFill>
                  <a:latin typeface="Calibri"/>
                  <a:cs typeface="Calibri"/>
                </a:rPr>
                <a:t>Refresh Graph</a:t>
              </a:r>
            </a:p>
          </xdr:txBody>
        </xdr:sp>
        <xdr:clientData fPrintsWithSheet="0"/>
      </xdr:twoCellAnchor>
    </mc:Choice>
    <mc:Fallback/>
  </mc:AlternateContent>
  <xdr:twoCellAnchor>
    <xdr:from>
      <xdr:col>0</xdr:col>
      <xdr:colOff>0</xdr:colOff>
      <xdr:row>10</xdr:row>
      <xdr:rowOff>0</xdr:rowOff>
    </xdr:from>
    <xdr:to>
      <xdr:col>10</xdr:col>
      <xdr:colOff>372270</xdr:colOff>
      <xdr:row>34</xdr:row>
      <xdr:rowOff>170656</xdr:rowOff>
    </xdr:to>
    <xdr:graphicFrame macro="">
      <xdr:nvGraphicFramePr>
        <xdr:cNvPr id="12" name="Chart 1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36</xdr:row>
      <xdr:rowOff>0</xdr:rowOff>
    </xdr:from>
    <xdr:to>
      <xdr:col>10</xdr:col>
      <xdr:colOff>374651</xdr:colOff>
      <xdr:row>60</xdr:row>
      <xdr:rowOff>113506</xdr:rowOff>
    </xdr:to>
    <xdr:graphicFrame macro="">
      <xdr:nvGraphicFramePr>
        <xdr:cNvPr id="13" name="Chart 12">
          <a:extLst>
            <a:ext uri="{FF2B5EF4-FFF2-40B4-BE49-F238E27FC236}">
              <a16:creationId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62</xdr:row>
      <xdr:rowOff>0</xdr:rowOff>
    </xdr:from>
    <xdr:to>
      <xdr:col>10</xdr:col>
      <xdr:colOff>374651</xdr:colOff>
      <xdr:row>84</xdr:row>
      <xdr:rowOff>2</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94C56-EAB4-5149-8685-01225CFC5CFD}">
  <sheetPr codeName="Sheet4"/>
  <dimension ref="A1:G88"/>
  <sheetViews>
    <sheetView topLeftCell="A127" zoomScale="80" zoomScaleNormal="80" workbookViewId="0">
      <selection activeCell="E18" sqref="E18"/>
    </sheetView>
  </sheetViews>
  <sheetFormatPr defaultColWidth="11" defaultRowHeight="15.75" x14ac:dyDescent="0.25"/>
  <cols>
    <col min="1" max="1" width="15" customWidth="1"/>
    <col min="2" max="2" width="93" customWidth="1"/>
  </cols>
  <sheetData>
    <row r="1" spans="1:7" s="8" customFormat="1" ht="20.25" x14ac:dyDescent="0.3">
      <c r="A1" s="8" t="s">
        <v>142</v>
      </c>
      <c r="B1" s="8" t="s">
        <v>145</v>
      </c>
    </row>
    <row r="7" spans="1:7" ht="18" x14ac:dyDescent="0.25">
      <c r="F7" s="15" t="s">
        <v>328</v>
      </c>
      <c r="G7" s="15" t="s">
        <v>327</v>
      </c>
    </row>
    <row r="24" spans="1:2" ht="20.25" x14ac:dyDescent="0.3">
      <c r="A24" s="8" t="s">
        <v>143</v>
      </c>
      <c r="B24" s="8" t="s">
        <v>144</v>
      </c>
    </row>
    <row r="47" spans="1:2" ht="20.25" x14ac:dyDescent="0.3">
      <c r="A47" s="8" t="s">
        <v>146</v>
      </c>
      <c r="B47" s="8" t="s">
        <v>147</v>
      </c>
    </row>
    <row r="48" spans="1:2" ht="20.25" x14ac:dyDescent="0.3">
      <c r="B48" s="8" t="s">
        <v>148</v>
      </c>
    </row>
    <row r="49" spans="2:2" ht="20.25" x14ac:dyDescent="0.3">
      <c r="B49" s="8" t="s">
        <v>149</v>
      </c>
    </row>
    <row r="72" spans="1:2" ht="20.25" x14ac:dyDescent="0.3">
      <c r="A72" s="8" t="s">
        <v>152</v>
      </c>
      <c r="B72" s="8" t="s">
        <v>147</v>
      </c>
    </row>
    <row r="86" spans="1:2" ht="20.25" x14ac:dyDescent="0.3">
      <c r="A86" s="8" t="s">
        <v>153</v>
      </c>
      <c r="B86" s="9" t="s">
        <v>150</v>
      </c>
    </row>
    <row r="87" spans="1:2" ht="40.5" x14ac:dyDescent="0.3">
      <c r="B87" s="9" t="s">
        <v>151</v>
      </c>
    </row>
    <row r="88" spans="1:2" ht="40.5" x14ac:dyDescent="0.3">
      <c r="B88" s="9" t="s">
        <v>154</v>
      </c>
    </row>
  </sheetData>
  <phoneticPr fontId="5"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ollateData" altText="Collate Data">
                <anchor moveWithCells="1" sizeWithCells="1">
                  <from>
                    <xdr:col>2</xdr:col>
                    <xdr:colOff>790575</xdr:colOff>
                    <xdr:row>4</xdr:row>
                    <xdr:rowOff>180975</xdr:rowOff>
                  </from>
                  <to>
                    <xdr:col>4</xdr:col>
                    <xdr:colOff>638175</xdr:colOff>
                    <xdr:row>8</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733BD-8CF5-3F45-9BFF-EEEFB9BE1F14}">
  <sheetPr codeName="Sheet5"/>
  <dimension ref="A1:A40"/>
  <sheetViews>
    <sheetView workbookViewId="0">
      <selection sqref="A1:A1048576"/>
    </sheetView>
  </sheetViews>
  <sheetFormatPr defaultColWidth="11" defaultRowHeight="15.75" x14ac:dyDescent="0.25"/>
  <sheetData>
    <row r="1" spans="1:1" x14ac:dyDescent="0.25">
      <c r="A1" t="s">
        <v>38</v>
      </c>
    </row>
    <row r="2" spans="1:1" x14ac:dyDescent="0.25">
      <c r="A2" t="s">
        <v>108</v>
      </c>
    </row>
    <row r="3" spans="1:1" x14ac:dyDescent="0.25">
      <c r="A3" t="s">
        <v>109</v>
      </c>
    </row>
    <row r="4" spans="1:1" x14ac:dyDescent="0.25">
      <c r="A4" t="s">
        <v>245</v>
      </c>
    </row>
    <row r="5" spans="1:1" x14ac:dyDescent="0.25">
      <c r="A5" t="s">
        <v>110</v>
      </c>
    </row>
    <row r="6" spans="1:1" x14ac:dyDescent="0.25">
      <c r="A6" t="s">
        <v>111</v>
      </c>
    </row>
    <row r="7" spans="1:1" x14ac:dyDescent="0.25">
      <c r="A7" t="s">
        <v>112</v>
      </c>
    </row>
    <row r="8" spans="1:1" x14ac:dyDescent="0.25">
      <c r="A8" t="s">
        <v>113</v>
      </c>
    </row>
    <row r="9" spans="1:1" x14ac:dyDescent="0.25">
      <c r="A9" t="s">
        <v>114</v>
      </c>
    </row>
    <row r="10" spans="1:1" x14ac:dyDescent="0.25">
      <c r="A10" t="s">
        <v>115</v>
      </c>
    </row>
    <row r="11" spans="1:1" x14ac:dyDescent="0.25">
      <c r="A11" t="s">
        <v>255</v>
      </c>
    </row>
    <row r="12" spans="1:1" x14ac:dyDescent="0.25">
      <c r="A12" t="s">
        <v>261</v>
      </c>
    </row>
    <row r="13" spans="1:1" x14ac:dyDescent="0.25">
      <c r="A13" t="s">
        <v>116</v>
      </c>
    </row>
    <row r="14" spans="1:1" x14ac:dyDescent="0.25">
      <c r="A14" t="s">
        <v>117</v>
      </c>
    </row>
    <row r="15" spans="1:1" x14ac:dyDescent="0.25">
      <c r="A15" t="s">
        <v>118</v>
      </c>
    </row>
    <row r="16" spans="1:1" x14ac:dyDescent="0.25">
      <c r="A16" t="s">
        <v>119</v>
      </c>
    </row>
    <row r="17" spans="1:1" x14ac:dyDescent="0.25">
      <c r="A17" t="s">
        <v>120</v>
      </c>
    </row>
    <row r="18" spans="1:1" x14ac:dyDescent="0.25">
      <c r="A18" t="s">
        <v>121</v>
      </c>
    </row>
    <row r="19" spans="1:1" x14ac:dyDescent="0.25">
      <c r="A19" t="s">
        <v>122</v>
      </c>
    </row>
    <row r="20" spans="1:1" x14ac:dyDescent="0.25">
      <c r="A20" t="s">
        <v>123</v>
      </c>
    </row>
    <row r="21" spans="1:1" x14ac:dyDescent="0.25">
      <c r="A21" t="s">
        <v>196</v>
      </c>
    </row>
    <row r="22" spans="1:1" x14ac:dyDescent="0.25">
      <c r="A22" t="s">
        <v>124</v>
      </c>
    </row>
    <row r="23" spans="1:1" x14ac:dyDescent="0.25">
      <c r="A23" t="s">
        <v>125</v>
      </c>
    </row>
    <row r="24" spans="1:1" x14ac:dyDescent="0.25">
      <c r="A24" t="s">
        <v>126</v>
      </c>
    </row>
    <row r="25" spans="1:1" x14ac:dyDescent="0.25">
      <c r="A25" t="s">
        <v>127</v>
      </c>
    </row>
    <row r="26" spans="1:1" x14ac:dyDescent="0.25">
      <c r="A26" t="s">
        <v>128</v>
      </c>
    </row>
    <row r="27" spans="1:1" x14ac:dyDescent="0.25">
      <c r="A27" t="s">
        <v>129</v>
      </c>
    </row>
    <row r="28" spans="1:1" x14ac:dyDescent="0.25">
      <c r="A28" t="s">
        <v>130</v>
      </c>
    </row>
    <row r="29" spans="1:1" x14ac:dyDescent="0.25">
      <c r="A29" t="s">
        <v>131</v>
      </c>
    </row>
    <row r="30" spans="1:1" x14ac:dyDescent="0.25">
      <c r="A30" t="s">
        <v>132</v>
      </c>
    </row>
    <row r="31" spans="1:1" x14ac:dyDescent="0.25">
      <c r="A31" t="s">
        <v>133</v>
      </c>
    </row>
    <row r="32" spans="1:1" x14ac:dyDescent="0.25">
      <c r="A32" t="s">
        <v>107</v>
      </c>
    </row>
    <row r="33" spans="1:1" x14ac:dyDescent="0.25">
      <c r="A33" t="s">
        <v>251</v>
      </c>
    </row>
    <row r="34" spans="1:1" x14ac:dyDescent="0.25">
      <c r="A34" t="s">
        <v>134</v>
      </c>
    </row>
    <row r="35" spans="1:1" x14ac:dyDescent="0.25">
      <c r="A35" t="s">
        <v>135</v>
      </c>
    </row>
    <row r="36" spans="1:1" x14ac:dyDescent="0.25">
      <c r="A36" t="s">
        <v>136</v>
      </c>
    </row>
    <row r="37" spans="1:1" x14ac:dyDescent="0.25">
      <c r="A37" t="s">
        <v>137</v>
      </c>
    </row>
    <row r="38" spans="1:1" x14ac:dyDescent="0.25">
      <c r="A38" t="s">
        <v>138</v>
      </c>
    </row>
    <row r="39" spans="1:1" x14ac:dyDescent="0.25">
      <c r="A39" t="s">
        <v>139</v>
      </c>
    </row>
    <row r="40" spans="1:1" x14ac:dyDescent="0.25">
      <c r="A40" t="s">
        <v>140</v>
      </c>
    </row>
  </sheetData>
  <sortState xmlns:xlrd2="http://schemas.microsoft.com/office/spreadsheetml/2017/richdata2" ref="A2:A40">
    <sortCondition ref="A1"/>
  </sortState>
  <phoneticPr fontId="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61C0A-79AE-0247-AE33-BD676D2CF5AC}">
  <sheetPr codeName="Sheet1" filterMode="1"/>
  <dimension ref="A1:H703"/>
  <sheetViews>
    <sheetView zoomScale="80" zoomScaleNormal="80" workbookViewId="0">
      <pane ySplit="1" topLeftCell="A2" activePane="bottomLeft" state="frozen"/>
      <selection activeCell="M2671" sqref="M2671"/>
      <selection pane="bottomLeft" activeCell="A2" sqref="A2:D67"/>
    </sheetView>
  </sheetViews>
  <sheetFormatPr defaultColWidth="11" defaultRowHeight="15.75" x14ac:dyDescent="0.25"/>
  <cols>
    <col min="4" max="4" width="12.125" customWidth="1"/>
    <col min="5" max="5" width="51.625" style="5" customWidth="1"/>
    <col min="6" max="8" width="12.125" style="5" customWidth="1"/>
  </cols>
  <sheetData>
    <row r="1" spans="1:8" x14ac:dyDescent="0.25">
      <c r="A1" t="s">
        <v>47</v>
      </c>
      <c r="B1" t="s">
        <v>48</v>
      </c>
      <c r="C1" t="s">
        <v>49</v>
      </c>
      <c r="D1" t="s">
        <v>3</v>
      </c>
      <c r="E1" s="5" t="s">
        <v>47</v>
      </c>
      <c r="F1" s="5" t="s">
        <v>48</v>
      </c>
      <c r="G1" s="5" t="s">
        <v>49</v>
      </c>
      <c r="H1" s="5" t="s">
        <v>3</v>
      </c>
    </row>
    <row r="2" spans="1:8" x14ac:dyDescent="0.25">
      <c r="A2" t="s">
        <v>262</v>
      </c>
      <c r="B2">
        <v>1.47</v>
      </c>
      <c r="C2">
        <v>1.25</v>
      </c>
      <c r="D2">
        <v>1.38</v>
      </c>
      <c r="E2" s="5" t="str">
        <f>A2&amp;A3</f>
        <v>UST10Y (BULLISH)10-Year U.S. Treasury Yield</v>
      </c>
      <c r="F2" s="5">
        <f>B2</f>
        <v>1.47</v>
      </c>
      <c r="G2" s="5">
        <f>C2</f>
        <v>1.25</v>
      </c>
      <c r="H2" s="5">
        <f>D2</f>
        <v>1.38</v>
      </c>
    </row>
    <row r="3" spans="1:8" ht="20.100000000000001" hidden="1" customHeight="1" x14ac:dyDescent="0.25">
      <c r="A3" t="s">
        <v>263</v>
      </c>
      <c r="E3" s="5" t="str">
        <f t="shared" ref="E3:E63" si="0">A3&amp;A4</f>
        <v>10-Year U.S. Treasury YieldUST2Y (NEUTRAL)</v>
      </c>
      <c r="F3" s="5">
        <f t="shared" ref="F3:F63" si="1">B3</f>
        <v>0</v>
      </c>
      <c r="G3" s="5">
        <f t="shared" ref="G3:G63" si="2">C3</f>
        <v>0</v>
      </c>
      <c r="H3" s="5">
        <f t="shared" ref="H3:H63" si="3">D3</f>
        <v>0</v>
      </c>
    </row>
    <row r="4" spans="1:8" x14ac:dyDescent="0.25">
      <c r="A4" t="s">
        <v>355</v>
      </c>
      <c r="B4">
        <v>0.15</v>
      </c>
      <c r="C4">
        <v>0.11</v>
      </c>
      <c r="D4">
        <v>0.12</v>
      </c>
      <c r="E4" s="5" t="str">
        <f t="shared" si="0"/>
        <v>UST2Y (NEUTRAL)2-Year U.S. Treasury Yield</v>
      </c>
      <c r="F4" s="5">
        <f t="shared" si="1"/>
        <v>0.15</v>
      </c>
      <c r="G4" s="5">
        <f t="shared" si="2"/>
        <v>0.11</v>
      </c>
      <c r="H4" s="5">
        <f t="shared" si="3"/>
        <v>0.12</v>
      </c>
    </row>
    <row r="5" spans="1:8" ht="20.100000000000001" hidden="1" customHeight="1" x14ac:dyDescent="0.25">
      <c r="A5" t="s">
        <v>264</v>
      </c>
      <c r="E5" s="5" t="str">
        <f t="shared" si="0"/>
        <v>2-Year U.S. Treasury YieldSPX (BULLISH)</v>
      </c>
      <c r="F5" s="5">
        <f t="shared" si="1"/>
        <v>0</v>
      </c>
      <c r="G5" s="5">
        <f t="shared" si="2"/>
        <v>0</v>
      </c>
      <c r="H5" s="5">
        <f t="shared" si="3"/>
        <v>0</v>
      </c>
    </row>
    <row r="6" spans="1:8" x14ac:dyDescent="0.25">
      <c r="A6" t="s">
        <v>265</v>
      </c>
      <c r="B6" s="4">
        <v>3870</v>
      </c>
      <c r="C6" s="4">
        <v>3960</v>
      </c>
      <c r="D6" s="4">
        <v>3925</v>
      </c>
      <c r="E6" s="5" t="str">
        <f t="shared" si="0"/>
        <v>SPX (BULLISH)S&amp;P 500</v>
      </c>
      <c r="F6" s="5">
        <f t="shared" si="1"/>
        <v>3870</v>
      </c>
      <c r="G6" s="5">
        <f t="shared" si="2"/>
        <v>3960</v>
      </c>
      <c r="H6" s="5">
        <f t="shared" si="3"/>
        <v>3925</v>
      </c>
    </row>
    <row r="7" spans="1:8" ht="20.100000000000001" hidden="1" customHeight="1" x14ac:dyDescent="0.25">
      <c r="A7" t="s">
        <v>266</v>
      </c>
      <c r="E7" s="5" t="str">
        <f t="shared" si="0"/>
        <v>S&amp;P 500RUT (BULLISH)</v>
      </c>
      <c r="F7" s="5">
        <f t="shared" si="1"/>
        <v>0</v>
      </c>
      <c r="G7" s="5">
        <f t="shared" si="2"/>
        <v>0</v>
      </c>
      <c r="H7" s="5">
        <f t="shared" si="3"/>
        <v>0</v>
      </c>
    </row>
    <row r="8" spans="1:8" x14ac:dyDescent="0.25">
      <c r="A8" t="s">
        <v>267</v>
      </c>
      <c r="B8" s="4">
        <v>2213</v>
      </c>
      <c r="C8" s="4">
        <v>2307</v>
      </c>
      <c r="D8" s="4">
        <v>2284</v>
      </c>
      <c r="E8" s="5" t="str">
        <f t="shared" si="0"/>
        <v>RUT (BULLISH)Russell 2000</v>
      </c>
      <c r="F8" s="5">
        <f t="shared" si="1"/>
        <v>2213</v>
      </c>
      <c r="G8" s="5">
        <f t="shared" si="2"/>
        <v>2307</v>
      </c>
      <c r="H8" s="5">
        <f t="shared" si="3"/>
        <v>2284</v>
      </c>
    </row>
    <row r="9" spans="1:8" ht="20.100000000000001" hidden="1" customHeight="1" x14ac:dyDescent="0.25">
      <c r="A9" t="s">
        <v>268</v>
      </c>
      <c r="E9" s="5" t="str">
        <f t="shared" si="0"/>
        <v>Russell 2000COMPQ (BULLISH)</v>
      </c>
      <c r="F9" s="5">
        <f t="shared" si="1"/>
        <v>0</v>
      </c>
      <c r="G9" s="5">
        <f t="shared" si="2"/>
        <v>0</v>
      </c>
      <c r="H9" s="5">
        <f t="shared" si="3"/>
        <v>0</v>
      </c>
    </row>
    <row r="10" spans="1:8" x14ac:dyDescent="0.25">
      <c r="A10" t="s">
        <v>269</v>
      </c>
      <c r="B10" s="4">
        <v>13361</v>
      </c>
      <c r="C10" s="4">
        <v>14288</v>
      </c>
      <c r="D10" s="4">
        <v>13597</v>
      </c>
      <c r="E10" s="5" t="str">
        <f t="shared" si="0"/>
        <v>COMPQ (BULLISH)NASDAQ Composite</v>
      </c>
      <c r="F10" s="5">
        <f t="shared" si="1"/>
        <v>13361</v>
      </c>
      <c r="G10" s="5">
        <f t="shared" si="2"/>
        <v>14288</v>
      </c>
      <c r="H10" s="5">
        <f t="shared" si="3"/>
        <v>13597</v>
      </c>
    </row>
    <row r="11" spans="1:8" ht="20.100000000000001" hidden="1" customHeight="1" x14ac:dyDescent="0.25">
      <c r="A11" t="s">
        <v>270</v>
      </c>
      <c r="E11" s="5" t="str">
        <f t="shared" si="0"/>
        <v>NASDAQ CompositeXLK (BULLISH)</v>
      </c>
      <c r="F11" s="5">
        <f t="shared" si="1"/>
        <v>0</v>
      </c>
      <c r="G11" s="5">
        <f t="shared" si="2"/>
        <v>0</v>
      </c>
      <c r="H11" s="5">
        <f t="shared" si="3"/>
        <v>0</v>
      </c>
    </row>
    <row r="12" spans="1:8" x14ac:dyDescent="0.25">
      <c r="A12" t="s">
        <v>271</v>
      </c>
      <c r="B12" s="4">
        <v>132.01</v>
      </c>
      <c r="C12" s="4">
        <v>140.19</v>
      </c>
      <c r="D12" s="4">
        <v>134.71</v>
      </c>
      <c r="E12" s="5" t="str">
        <f t="shared" si="0"/>
        <v>XLK (BULLISH)Technology Select Sector SPDR Fund</v>
      </c>
      <c r="F12" s="5">
        <f t="shared" si="1"/>
        <v>132.01</v>
      </c>
      <c r="G12" s="5">
        <f t="shared" si="2"/>
        <v>140.19</v>
      </c>
      <c r="H12" s="5">
        <f t="shared" si="3"/>
        <v>134.71</v>
      </c>
    </row>
    <row r="13" spans="1:8" ht="20.100000000000001" hidden="1" customHeight="1" x14ac:dyDescent="0.25">
      <c r="A13" t="s">
        <v>272</v>
      </c>
      <c r="E13" s="5" t="str">
        <f t="shared" si="0"/>
        <v>Technology Select Sector SPDR FundXLE (BULLISH)</v>
      </c>
      <c r="F13" s="5">
        <f t="shared" si="1"/>
        <v>0</v>
      </c>
      <c r="G13" s="5">
        <f t="shared" si="2"/>
        <v>0</v>
      </c>
      <c r="H13" s="5">
        <f t="shared" si="3"/>
        <v>0</v>
      </c>
    </row>
    <row r="14" spans="1:8" x14ac:dyDescent="0.25">
      <c r="A14" t="s">
        <v>273</v>
      </c>
      <c r="B14">
        <v>46.18</v>
      </c>
      <c r="C14">
        <v>51.32</v>
      </c>
      <c r="D14">
        <v>50.29</v>
      </c>
      <c r="E14" s="5" t="str">
        <f t="shared" si="0"/>
        <v>XLE (BULLISH)Energy Select Sector SPDR Fund</v>
      </c>
      <c r="F14" s="5">
        <f t="shared" si="1"/>
        <v>46.18</v>
      </c>
      <c r="G14" s="5">
        <f t="shared" si="2"/>
        <v>51.32</v>
      </c>
      <c r="H14" s="5">
        <f t="shared" si="3"/>
        <v>50.29</v>
      </c>
    </row>
    <row r="15" spans="1:8" ht="20.100000000000001" hidden="1" customHeight="1" x14ac:dyDescent="0.25">
      <c r="A15" t="s">
        <v>274</v>
      </c>
      <c r="E15" s="5" t="str">
        <f t="shared" si="0"/>
        <v>Energy Select Sector SPDR FundXLF (BULLISH)</v>
      </c>
      <c r="F15" s="5">
        <f t="shared" si="1"/>
        <v>0</v>
      </c>
      <c r="G15" s="5">
        <f t="shared" si="2"/>
        <v>0</v>
      </c>
      <c r="H15" s="5">
        <f t="shared" si="3"/>
        <v>0</v>
      </c>
    </row>
    <row r="16" spans="1:8" x14ac:dyDescent="0.25">
      <c r="A16" t="s">
        <v>349</v>
      </c>
      <c r="B16">
        <v>31.9</v>
      </c>
      <c r="C16">
        <v>33.93</v>
      </c>
      <c r="D16">
        <v>33.549999999999997</v>
      </c>
      <c r="E16" s="5" t="str">
        <f t="shared" si="0"/>
        <v>XLF (BULLISH)Financials Select Sector SPDR Fund</v>
      </c>
      <c r="F16" s="5">
        <f t="shared" si="1"/>
        <v>31.9</v>
      </c>
      <c r="G16" s="5">
        <f t="shared" si="2"/>
        <v>33.93</v>
      </c>
      <c r="H16" s="5">
        <f t="shared" si="3"/>
        <v>33.549999999999997</v>
      </c>
    </row>
    <row r="17" spans="1:8" ht="20.100000000000001" hidden="1" customHeight="1" x14ac:dyDescent="0.25">
      <c r="A17" t="s">
        <v>350</v>
      </c>
      <c r="E17" s="5" t="str">
        <f t="shared" si="0"/>
        <v>Financials Select Sector SPDR FundXLU (BEARISH)</v>
      </c>
      <c r="F17" s="5">
        <f t="shared" si="1"/>
        <v>0</v>
      </c>
      <c r="G17" s="5">
        <f t="shared" si="2"/>
        <v>0</v>
      </c>
      <c r="H17" s="5">
        <f t="shared" si="3"/>
        <v>0</v>
      </c>
    </row>
    <row r="18" spans="1:8" x14ac:dyDescent="0.25">
      <c r="A18" t="s">
        <v>275</v>
      </c>
      <c r="B18" s="4">
        <v>59.35</v>
      </c>
      <c r="C18" s="4">
        <v>61.68</v>
      </c>
      <c r="D18" s="4">
        <v>60</v>
      </c>
      <c r="E18" s="5" t="str">
        <f t="shared" si="0"/>
        <v>XLU (BEARISH)Utilities Select Sector SPDR Fund</v>
      </c>
      <c r="F18" s="5">
        <f t="shared" si="1"/>
        <v>59.35</v>
      </c>
      <c r="G18" s="5">
        <f t="shared" si="2"/>
        <v>61.68</v>
      </c>
      <c r="H18" s="5">
        <f t="shared" si="3"/>
        <v>60</v>
      </c>
    </row>
    <row r="19" spans="1:8" ht="20.100000000000001" hidden="1" customHeight="1" x14ac:dyDescent="0.25">
      <c r="A19" t="s">
        <v>276</v>
      </c>
      <c r="E19" s="5" t="str">
        <f t="shared" si="0"/>
        <v>Utilities Select Sector SPDR FundGDX (BEARISH)</v>
      </c>
      <c r="F19" s="5">
        <f t="shared" si="1"/>
        <v>0</v>
      </c>
      <c r="G19" s="5">
        <f t="shared" si="2"/>
        <v>0</v>
      </c>
      <c r="H19" s="5">
        <f t="shared" si="3"/>
        <v>0</v>
      </c>
    </row>
    <row r="20" spans="1:8" x14ac:dyDescent="0.25">
      <c r="A20" t="s">
        <v>277</v>
      </c>
      <c r="B20" s="4">
        <v>31.98</v>
      </c>
      <c r="C20" s="4">
        <v>34.97</v>
      </c>
      <c r="D20" s="4">
        <v>33.700000000000003</v>
      </c>
      <c r="E20" s="5" t="str">
        <f t="shared" si="0"/>
        <v>GDX (BEARISH)VanEck Vectors Gold Miners ETF</v>
      </c>
      <c r="F20" s="5">
        <f t="shared" si="1"/>
        <v>31.98</v>
      </c>
      <c r="G20" s="5">
        <f t="shared" si="2"/>
        <v>34.97</v>
      </c>
      <c r="H20" s="5">
        <f t="shared" si="3"/>
        <v>33.700000000000003</v>
      </c>
    </row>
    <row r="21" spans="1:8" ht="20.100000000000001" hidden="1" customHeight="1" x14ac:dyDescent="0.25">
      <c r="A21" t="s">
        <v>278</v>
      </c>
      <c r="E21" s="5" t="str">
        <f t="shared" si="0"/>
        <v>VanEck Vectors Gold Miners ETFSSEC (BULLISH)</v>
      </c>
      <c r="F21" s="5">
        <f t="shared" si="1"/>
        <v>0</v>
      </c>
      <c r="G21" s="5">
        <f t="shared" si="2"/>
        <v>0</v>
      </c>
      <c r="H21" s="5">
        <f t="shared" si="3"/>
        <v>0</v>
      </c>
    </row>
    <row r="22" spans="1:8" x14ac:dyDescent="0.25">
      <c r="A22" t="s">
        <v>279</v>
      </c>
      <c r="B22" s="4">
        <v>3485</v>
      </c>
      <c r="C22" s="4">
        <v>3740</v>
      </c>
      <c r="D22" s="4">
        <v>3585</v>
      </c>
      <c r="E22" s="5" t="str">
        <f t="shared" si="0"/>
        <v>SSEC (BULLISH)Shanghai Composite</v>
      </c>
      <c r="F22" s="5">
        <f t="shared" si="1"/>
        <v>3485</v>
      </c>
      <c r="G22" s="5">
        <f t="shared" si="2"/>
        <v>3740</v>
      </c>
      <c r="H22" s="5">
        <f t="shared" si="3"/>
        <v>3585</v>
      </c>
    </row>
    <row r="23" spans="1:8" ht="20.100000000000001" hidden="1" customHeight="1" x14ac:dyDescent="0.25">
      <c r="A23" t="s">
        <v>280</v>
      </c>
      <c r="E23" s="5" t="str">
        <f t="shared" si="0"/>
        <v>Shanghai CompositeNIKK (BULLISH)</v>
      </c>
      <c r="F23" s="5">
        <f t="shared" si="1"/>
        <v>0</v>
      </c>
      <c r="G23" s="5">
        <f t="shared" si="2"/>
        <v>0</v>
      </c>
      <c r="H23" s="5">
        <f t="shared" si="3"/>
        <v>0</v>
      </c>
    </row>
    <row r="24" spans="1:8" x14ac:dyDescent="0.25">
      <c r="A24" t="s">
        <v>281</v>
      </c>
      <c r="B24" s="4">
        <v>29371</v>
      </c>
      <c r="C24" s="4">
        <v>30670</v>
      </c>
      <c r="D24" s="4">
        <v>30168</v>
      </c>
      <c r="E24" s="5" t="str">
        <f t="shared" si="0"/>
        <v>NIKK (BULLISH)Nikkei 225 Index</v>
      </c>
      <c r="F24" s="5">
        <f t="shared" si="1"/>
        <v>29371</v>
      </c>
      <c r="G24" s="5">
        <f t="shared" si="2"/>
        <v>30670</v>
      </c>
      <c r="H24" s="5">
        <f t="shared" si="3"/>
        <v>30168</v>
      </c>
    </row>
    <row r="25" spans="1:8" ht="20.100000000000001" hidden="1" customHeight="1" x14ac:dyDescent="0.25">
      <c r="A25" t="s">
        <v>282</v>
      </c>
      <c r="E25" s="5" t="str">
        <f t="shared" si="0"/>
        <v>Nikkei 225 IndexDAX (BULLISH)</v>
      </c>
      <c r="F25" s="5">
        <f t="shared" si="1"/>
        <v>0</v>
      </c>
      <c r="G25" s="5">
        <f t="shared" si="2"/>
        <v>0</v>
      </c>
      <c r="H25" s="5">
        <f t="shared" si="3"/>
        <v>0</v>
      </c>
    </row>
    <row r="26" spans="1:8" x14ac:dyDescent="0.25">
      <c r="A26" t="s">
        <v>283</v>
      </c>
      <c r="B26" s="4">
        <v>13809</v>
      </c>
      <c r="C26" s="4">
        <v>14157</v>
      </c>
      <c r="D26" s="4">
        <v>13976</v>
      </c>
      <c r="E26" s="5" t="str">
        <f t="shared" si="0"/>
        <v>DAX (BULLISH)German DAX Composite</v>
      </c>
      <c r="F26" s="5">
        <f t="shared" si="1"/>
        <v>13809</v>
      </c>
      <c r="G26" s="5">
        <f t="shared" si="2"/>
        <v>14157</v>
      </c>
      <c r="H26" s="5">
        <f t="shared" si="3"/>
        <v>13976</v>
      </c>
    </row>
    <row r="27" spans="1:8" ht="20.100000000000001" hidden="1" customHeight="1" x14ac:dyDescent="0.25">
      <c r="A27" t="s">
        <v>284</v>
      </c>
      <c r="E27" s="5" t="str">
        <f t="shared" si="0"/>
        <v>German DAX CompositeVIX (BEARISH)</v>
      </c>
      <c r="F27" s="5">
        <f t="shared" si="1"/>
        <v>0</v>
      </c>
      <c r="G27" s="5">
        <f t="shared" si="2"/>
        <v>0</v>
      </c>
      <c r="H27" s="5">
        <f t="shared" si="3"/>
        <v>0</v>
      </c>
    </row>
    <row r="28" spans="1:8" x14ac:dyDescent="0.25">
      <c r="A28" t="s">
        <v>285</v>
      </c>
      <c r="B28">
        <v>18.84</v>
      </c>
      <c r="C28">
        <v>24.08</v>
      </c>
      <c r="D28">
        <v>21.34</v>
      </c>
      <c r="E28" s="5" t="str">
        <f t="shared" si="0"/>
        <v>VIX (BEARISH)Volatility Index</v>
      </c>
      <c r="F28" s="5">
        <f t="shared" si="1"/>
        <v>18.84</v>
      </c>
      <c r="G28" s="5">
        <f t="shared" si="2"/>
        <v>24.08</v>
      </c>
      <c r="H28" s="5">
        <f t="shared" si="3"/>
        <v>21.34</v>
      </c>
    </row>
    <row r="29" spans="1:8" ht="20.100000000000001" hidden="1" customHeight="1" x14ac:dyDescent="0.25">
      <c r="A29" t="s">
        <v>286</v>
      </c>
      <c r="E29" s="5" t="str">
        <f t="shared" si="0"/>
        <v>Volatility IndexUSD (BEARISH)</v>
      </c>
      <c r="F29" s="5">
        <f t="shared" si="1"/>
        <v>0</v>
      </c>
      <c r="G29" s="5">
        <f t="shared" si="2"/>
        <v>0</v>
      </c>
      <c r="H29" s="5">
        <f t="shared" si="3"/>
        <v>0</v>
      </c>
    </row>
    <row r="30" spans="1:8" x14ac:dyDescent="0.25">
      <c r="A30" t="s">
        <v>287</v>
      </c>
      <c r="B30">
        <v>89.68</v>
      </c>
      <c r="C30">
        <v>90.83</v>
      </c>
      <c r="D30">
        <v>90.17</v>
      </c>
      <c r="E30" s="5" t="str">
        <f t="shared" si="0"/>
        <v>USD (BEARISH)U.S. Dollar Index</v>
      </c>
      <c r="F30" s="5">
        <f t="shared" si="1"/>
        <v>89.68</v>
      </c>
      <c r="G30" s="5">
        <f t="shared" si="2"/>
        <v>90.83</v>
      </c>
      <c r="H30" s="5">
        <f t="shared" si="3"/>
        <v>90.17</v>
      </c>
    </row>
    <row r="31" spans="1:8" ht="20.100000000000001" hidden="1" customHeight="1" x14ac:dyDescent="0.25">
      <c r="A31" t="s">
        <v>288</v>
      </c>
      <c r="E31" s="5" t="str">
        <f t="shared" si="0"/>
        <v>U.S. Dollar IndexEUR/USD (BULLISH)</v>
      </c>
      <c r="F31" s="5">
        <f t="shared" si="1"/>
        <v>0</v>
      </c>
      <c r="G31" s="5">
        <f t="shared" si="2"/>
        <v>0</v>
      </c>
      <c r="H31" s="5">
        <f t="shared" si="3"/>
        <v>0</v>
      </c>
    </row>
    <row r="32" spans="1:8" x14ac:dyDescent="0.25">
      <c r="A32" t="s">
        <v>289</v>
      </c>
      <c r="B32">
        <v>1.206</v>
      </c>
      <c r="C32">
        <v>1.224</v>
      </c>
      <c r="D32">
        <v>1.216</v>
      </c>
      <c r="E32" s="5" t="str">
        <f t="shared" si="0"/>
        <v>EUR/USD (BULLISH)Euro to U.S. Dollar</v>
      </c>
      <c r="F32" s="5">
        <f t="shared" si="1"/>
        <v>1.206</v>
      </c>
      <c r="G32" s="5">
        <f t="shared" si="2"/>
        <v>1.224</v>
      </c>
      <c r="H32" s="5">
        <f t="shared" si="3"/>
        <v>1.216</v>
      </c>
    </row>
    <row r="33" spans="1:8" ht="20.100000000000001" hidden="1" customHeight="1" x14ac:dyDescent="0.25">
      <c r="A33" t="s">
        <v>290</v>
      </c>
      <c r="E33" s="5" t="str">
        <f t="shared" si="0"/>
        <v>Euro to U.S. DollarUSD/JPY (BULLISH)</v>
      </c>
      <c r="F33" s="5">
        <f t="shared" si="1"/>
        <v>0</v>
      </c>
      <c r="G33" s="5">
        <f t="shared" si="2"/>
        <v>0</v>
      </c>
      <c r="H33" s="5">
        <f t="shared" si="3"/>
        <v>0</v>
      </c>
    </row>
    <row r="34" spans="1:8" x14ac:dyDescent="0.25">
      <c r="A34" t="s">
        <v>291</v>
      </c>
      <c r="B34">
        <v>104.64</v>
      </c>
      <c r="C34">
        <v>106.49</v>
      </c>
      <c r="D34">
        <v>105.88</v>
      </c>
      <c r="E34" s="5" t="str">
        <f t="shared" si="0"/>
        <v>USD/JPY (BULLISH)U.S. Dollar to Japanese Yen</v>
      </c>
      <c r="F34" s="5">
        <f t="shared" si="1"/>
        <v>104.64</v>
      </c>
      <c r="G34" s="5">
        <f t="shared" si="2"/>
        <v>106.49</v>
      </c>
      <c r="H34" s="5">
        <f t="shared" si="3"/>
        <v>105.88</v>
      </c>
    </row>
    <row r="35" spans="1:8" ht="20.100000000000001" hidden="1" customHeight="1" x14ac:dyDescent="0.25">
      <c r="A35" t="s">
        <v>292</v>
      </c>
      <c r="E35" s="5" t="str">
        <f t="shared" si="0"/>
        <v>U.S. Dollar to Japanese YenGBP/USD (BULLISH)</v>
      </c>
      <c r="F35" s="5">
        <f t="shared" si="1"/>
        <v>0</v>
      </c>
      <c r="G35" s="5">
        <f t="shared" si="2"/>
        <v>0</v>
      </c>
      <c r="H35" s="5">
        <f t="shared" si="3"/>
        <v>0</v>
      </c>
    </row>
    <row r="36" spans="1:8" x14ac:dyDescent="0.25">
      <c r="A36" t="s">
        <v>293</v>
      </c>
      <c r="B36">
        <v>1.383</v>
      </c>
      <c r="C36">
        <v>1.421</v>
      </c>
      <c r="D36">
        <v>1.4139999999999999</v>
      </c>
      <c r="E36" s="5" t="str">
        <f t="shared" si="0"/>
        <v>GBP/USD (BULLISH)British Pound to U.S. Dollar</v>
      </c>
      <c r="F36" s="5">
        <f t="shared" si="1"/>
        <v>1.383</v>
      </c>
      <c r="G36" s="5">
        <f t="shared" si="2"/>
        <v>1.421</v>
      </c>
      <c r="H36" s="5">
        <f t="shared" si="3"/>
        <v>1.4139999999999999</v>
      </c>
    </row>
    <row r="37" spans="1:8" ht="20.100000000000001" hidden="1" customHeight="1" x14ac:dyDescent="0.25">
      <c r="A37" t="s">
        <v>294</v>
      </c>
      <c r="E37" s="5" t="str">
        <f t="shared" si="0"/>
        <v>British Pound to U.S. DollarCAD/USD (BULLISH)</v>
      </c>
      <c r="F37" s="5">
        <f t="shared" si="1"/>
        <v>0</v>
      </c>
      <c r="G37" s="5">
        <f t="shared" si="2"/>
        <v>0</v>
      </c>
      <c r="H37" s="5">
        <f t="shared" si="3"/>
        <v>0</v>
      </c>
    </row>
    <row r="38" spans="1:8" x14ac:dyDescent="0.25">
      <c r="A38" t="s">
        <v>295</v>
      </c>
      <c r="B38">
        <v>0.79</v>
      </c>
      <c r="C38">
        <v>0.8</v>
      </c>
      <c r="D38">
        <v>0.79</v>
      </c>
      <c r="E38" s="5" t="str">
        <f t="shared" si="0"/>
        <v>CAD/USD (BULLISH)Canadian Dollar to U.S. Dollar</v>
      </c>
      <c r="F38" s="5">
        <f t="shared" si="1"/>
        <v>0.79</v>
      </c>
      <c r="G38" s="5">
        <f t="shared" si="2"/>
        <v>0.8</v>
      </c>
      <c r="H38" s="5">
        <f t="shared" si="3"/>
        <v>0.79</v>
      </c>
    </row>
    <row r="39" spans="1:8" ht="20.100000000000001" hidden="1" customHeight="1" x14ac:dyDescent="0.25">
      <c r="A39" t="s">
        <v>296</v>
      </c>
      <c r="E39" s="5" t="str">
        <f t="shared" si="0"/>
        <v>Canadian Dollar to U.S. DollarUSD/CHF (BEARISH)</v>
      </c>
      <c r="F39" s="5">
        <f t="shared" si="1"/>
        <v>0</v>
      </c>
      <c r="G39" s="5">
        <f t="shared" si="2"/>
        <v>0</v>
      </c>
      <c r="H39" s="5">
        <f t="shared" si="3"/>
        <v>0</v>
      </c>
    </row>
    <row r="40" spans="1:8" x14ac:dyDescent="0.25">
      <c r="A40" t="s">
        <v>297</v>
      </c>
      <c r="B40">
        <v>0.88</v>
      </c>
      <c r="C40">
        <v>0.91</v>
      </c>
      <c r="D40">
        <v>0.9</v>
      </c>
      <c r="E40" s="5" t="str">
        <f t="shared" si="0"/>
        <v>USD/CHF (BEARISH)U.S. Dollar to Swiss Franc</v>
      </c>
      <c r="F40" s="5">
        <f t="shared" si="1"/>
        <v>0.88</v>
      </c>
      <c r="G40" s="5">
        <f t="shared" si="2"/>
        <v>0.91</v>
      </c>
      <c r="H40" s="5">
        <f t="shared" si="3"/>
        <v>0.9</v>
      </c>
    </row>
    <row r="41" spans="1:8" ht="20.100000000000001" hidden="1" customHeight="1" x14ac:dyDescent="0.25">
      <c r="A41" t="s">
        <v>298</v>
      </c>
      <c r="E41" s="5" t="str">
        <f t="shared" si="0"/>
        <v>U.S. Dollar to Swiss FrancWTIC (BULLISH)</v>
      </c>
      <c r="F41" s="5">
        <f t="shared" si="1"/>
        <v>0</v>
      </c>
      <c r="G41" s="5">
        <f t="shared" si="2"/>
        <v>0</v>
      </c>
      <c r="H41" s="5">
        <f t="shared" si="3"/>
        <v>0</v>
      </c>
    </row>
    <row r="42" spans="1:8" x14ac:dyDescent="0.25">
      <c r="A42" t="s">
        <v>299</v>
      </c>
      <c r="B42" s="4">
        <v>57.92</v>
      </c>
      <c r="C42" s="4">
        <v>63.65</v>
      </c>
      <c r="D42" s="4">
        <v>63.22</v>
      </c>
      <c r="E42" s="5" t="str">
        <f t="shared" si="0"/>
        <v>WTIC (BULLISH)Light Crude Oil Spot Price</v>
      </c>
      <c r="F42" s="5">
        <f t="shared" si="1"/>
        <v>57.92</v>
      </c>
      <c r="G42" s="5">
        <f t="shared" si="2"/>
        <v>63.65</v>
      </c>
      <c r="H42" s="5">
        <f t="shared" si="3"/>
        <v>63.22</v>
      </c>
    </row>
    <row r="43" spans="1:8" ht="20.100000000000001" hidden="1" customHeight="1" x14ac:dyDescent="0.25">
      <c r="A43" t="s">
        <v>300</v>
      </c>
      <c r="B43" s="4"/>
      <c r="C43" s="4"/>
      <c r="D43" s="4"/>
      <c r="E43" s="5" t="str">
        <f t="shared" si="0"/>
        <v>Light Crude Oil Spot PriceNATGAS (BULLISH)</v>
      </c>
      <c r="F43" s="5">
        <f t="shared" si="1"/>
        <v>0</v>
      </c>
      <c r="G43" s="5">
        <f t="shared" si="2"/>
        <v>0</v>
      </c>
      <c r="H43" s="5">
        <f t="shared" si="3"/>
        <v>0</v>
      </c>
    </row>
    <row r="44" spans="1:8" x14ac:dyDescent="0.25">
      <c r="A44" t="s">
        <v>301</v>
      </c>
      <c r="B44" s="4">
        <v>2.7</v>
      </c>
      <c r="C44" s="4">
        <v>3.24</v>
      </c>
      <c r="D44" s="4">
        <v>2.8</v>
      </c>
      <c r="E44" s="5" t="str">
        <f t="shared" si="0"/>
        <v>NATGAS (BULLISH)Natural Gas Spot Price</v>
      </c>
      <c r="F44" s="5">
        <f t="shared" si="1"/>
        <v>2.7</v>
      </c>
      <c r="G44" s="5">
        <f t="shared" si="2"/>
        <v>3.24</v>
      </c>
      <c r="H44" s="5">
        <f t="shared" si="3"/>
        <v>2.8</v>
      </c>
    </row>
    <row r="45" spans="1:8" ht="20.100000000000001" hidden="1" customHeight="1" x14ac:dyDescent="0.25">
      <c r="A45" t="s">
        <v>302</v>
      </c>
      <c r="B45" s="4"/>
      <c r="C45" s="4"/>
      <c r="D45" s="4"/>
      <c r="E45" s="5" t="str">
        <f t="shared" si="0"/>
        <v>Natural Gas Spot PriceGOLD (BEARISH)</v>
      </c>
      <c r="F45" s="5">
        <f t="shared" si="1"/>
        <v>0</v>
      </c>
      <c r="G45" s="5">
        <f t="shared" si="2"/>
        <v>0</v>
      </c>
      <c r="H45" s="5">
        <f t="shared" si="3"/>
        <v>0</v>
      </c>
    </row>
    <row r="46" spans="1:8" x14ac:dyDescent="0.25">
      <c r="A46" t="s">
        <v>303</v>
      </c>
      <c r="B46" s="4">
        <v>1755</v>
      </c>
      <c r="C46" s="4">
        <v>1822</v>
      </c>
      <c r="D46" s="4">
        <v>1797</v>
      </c>
      <c r="E46" s="5" t="str">
        <f t="shared" si="0"/>
        <v>GOLD (BEARISH)Gold Spot Price</v>
      </c>
      <c r="F46" s="5">
        <f t="shared" si="1"/>
        <v>1755</v>
      </c>
      <c r="G46" s="5">
        <f t="shared" si="2"/>
        <v>1822</v>
      </c>
      <c r="H46" s="5">
        <f t="shared" si="3"/>
        <v>1797</v>
      </c>
    </row>
    <row r="47" spans="1:8" ht="20.100000000000001" hidden="1" customHeight="1" x14ac:dyDescent="0.25">
      <c r="A47" t="s">
        <v>304</v>
      </c>
      <c r="B47" s="4"/>
      <c r="C47" s="4"/>
      <c r="D47" s="4"/>
      <c r="E47" s="5" t="str">
        <f t="shared" si="0"/>
        <v>Gold Spot PriceCOPPER (BULLISH)</v>
      </c>
      <c r="F47" s="5">
        <f t="shared" si="1"/>
        <v>0</v>
      </c>
      <c r="G47" s="5">
        <f t="shared" si="2"/>
        <v>0</v>
      </c>
      <c r="H47" s="5">
        <f t="shared" si="3"/>
        <v>0</v>
      </c>
    </row>
    <row r="48" spans="1:8" x14ac:dyDescent="0.25">
      <c r="A48" t="s">
        <v>305</v>
      </c>
      <c r="B48" s="4">
        <v>3.97</v>
      </c>
      <c r="C48" s="4">
        <v>4.38</v>
      </c>
      <c r="D48" s="4">
        <v>4.3</v>
      </c>
      <c r="E48" s="5" t="str">
        <f t="shared" si="0"/>
        <v>COPPER (BULLISH)Copper Spot Price</v>
      </c>
      <c r="F48" s="5">
        <f t="shared" si="1"/>
        <v>3.97</v>
      </c>
      <c r="G48" s="5">
        <f t="shared" si="2"/>
        <v>4.38</v>
      </c>
      <c r="H48" s="5">
        <f t="shared" si="3"/>
        <v>4.3</v>
      </c>
    </row>
    <row r="49" spans="1:8" ht="20.100000000000001" hidden="1" customHeight="1" x14ac:dyDescent="0.25">
      <c r="A49" t="s">
        <v>306</v>
      </c>
      <c r="E49" s="5" t="str">
        <f t="shared" si="0"/>
        <v>Copper Spot PriceSILVER (BULLISH)</v>
      </c>
      <c r="F49" s="5">
        <f t="shared" si="1"/>
        <v>0</v>
      </c>
      <c r="G49" s="5">
        <f t="shared" si="2"/>
        <v>0</v>
      </c>
      <c r="H49" s="5">
        <f t="shared" si="3"/>
        <v>0</v>
      </c>
    </row>
    <row r="50" spans="1:8" x14ac:dyDescent="0.25">
      <c r="A50" t="s">
        <v>307</v>
      </c>
      <c r="B50" s="4">
        <v>26.8</v>
      </c>
      <c r="C50" s="4">
        <v>28.31</v>
      </c>
      <c r="D50" s="4">
        <v>27.86</v>
      </c>
      <c r="E50" s="5" t="str">
        <f t="shared" si="0"/>
        <v>SILVER (BULLISH)Silver Spot Price</v>
      </c>
      <c r="F50" s="5">
        <f t="shared" si="1"/>
        <v>26.8</v>
      </c>
      <c r="G50" s="5">
        <f t="shared" si="2"/>
        <v>28.31</v>
      </c>
      <c r="H50" s="5">
        <f t="shared" si="3"/>
        <v>27.86</v>
      </c>
    </row>
    <row r="51" spans="1:8" ht="20.100000000000001" hidden="1" customHeight="1" x14ac:dyDescent="0.25">
      <c r="A51" t="s">
        <v>308</v>
      </c>
      <c r="E51" s="5" t="str">
        <f t="shared" si="0"/>
        <v>Silver Spot PriceMSFT (BULLISH)</v>
      </c>
      <c r="F51" s="5">
        <f t="shared" si="1"/>
        <v>0</v>
      </c>
      <c r="G51" s="5">
        <f t="shared" si="2"/>
        <v>0</v>
      </c>
      <c r="H51" s="5">
        <f t="shared" si="3"/>
        <v>0</v>
      </c>
    </row>
    <row r="52" spans="1:8" x14ac:dyDescent="0.25">
      <c r="A52" t="s">
        <v>309</v>
      </c>
      <c r="B52" s="4">
        <v>231</v>
      </c>
      <c r="C52" s="4">
        <v>250</v>
      </c>
      <c r="D52" s="4">
        <v>234</v>
      </c>
      <c r="E52" s="5" t="str">
        <f t="shared" si="0"/>
        <v>MSFT (BULLISH)Microsoft Corp.</v>
      </c>
      <c r="F52" s="5">
        <f t="shared" si="1"/>
        <v>231</v>
      </c>
      <c r="G52" s="5">
        <f t="shared" si="2"/>
        <v>250</v>
      </c>
      <c r="H52" s="5">
        <f t="shared" si="3"/>
        <v>234</v>
      </c>
    </row>
    <row r="53" spans="1:8" ht="20.100000000000001" hidden="1" customHeight="1" x14ac:dyDescent="0.25">
      <c r="A53" t="s">
        <v>310</v>
      </c>
      <c r="E53" s="5" t="str">
        <f t="shared" si="0"/>
        <v>Microsoft Corp.AAPL (BEARISH)</v>
      </c>
      <c r="F53" s="5">
        <f t="shared" si="1"/>
        <v>0</v>
      </c>
      <c r="G53" s="5">
        <f t="shared" si="2"/>
        <v>0</v>
      </c>
      <c r="H53" s="5">
        <f t="shared" si="3"/>
        <v>0</v>
      </c>
    </row>
    <row r="54" spans="1:8" x14ac:dyDescent="0.25">
      <c r="A54" t="s">
        <v>356</v>
      </c>
      <c r="B54" s="4">
        <v>121</v>
      </c>
      <c r="C54" s="4">
        <v>132</v>
      </c>
      <c r="D54" s="4">
        <v>125</v>
      </c>
      <c r="E54" s="5" t="str">
        <f t="shared" si="0"/>
        <v>AAPL (BEARISH)Apple Inc.</v>
      </c>
      <c r="F54" s="5">
        <f t="shared" si="1"/>
        <v>121</v>
      </c>
      <c r="G54" s="5">
        <f t="shared" si="2"/>
        <v>132</v>
      </c>
      <c r="H54" s="5">
        <f t="shared" si="3"/>
        <v>125</v>
      </c>
    </row>
    <row r="55" spans="1:8" ht="20.100000000000001" hidden="1" customHeight="1" x14ac:dyDescent="0.25">
      <c r="A55" t="s">
        <v>311</v>
      </c>
      <c r="E55" s="5" t="str">
        <f t="shared" si="0"/>
        <v>Apple Inc.AMZN (BEARISH)</v>
      </c>
      <c r="F55" s="5">
        <f t="shared" si="1"/>
        <v>0</v>
      </c>
      <c r="G55" s="5">
        <f t="shared" si="2"/>
        <v>0</v>
      </c>
      <c r="H55" s="5">
        <f t="shared" si="3"/>
        <v>0</v>
      </c>
    </row>
    <row r="56" spans="1:8" x14ac:dyDescent="0.25">
      <c r="A56" t="s">
        <v>357</v>
      </c>
      <c r="B56" s="4">
        <v>3108</v>
      </c>
      <c r="C56" s="4">
        <v>3262</v>
      </c>
      <c r="D56" s="4">
        <v>3159</v>
      </c>
      <c r="E56" s="5" t="str">
        <f t="shared" si="0"/>
        <v>AMZN (BEARISH)Amazon Inc.</v>
      </c>
      <c r="F56" s="5">
        <f t="shared" si="1"/>
        <v>3108</v>
      </c>
      <c r="G56" s="5">
        <f t="shared" si="2"/>
        <v>3262</v>
      </c>
      <c r="H56" s="5">
        <f t="shared" si="3"/>
        <v>3159</v>
      </c>
    </row>
    <row r="57" spans="1:8" ht="20.100000000000001" hidden="1" customHeight="1" x14ac:dyDescent="0.25">
      <c r="A57" t="s">
        <v>312</v>
      </c>
      <c r="B57" s="4"/>
      <c r="C57" s="4"/>
      <c r="D57" s="4"/>
      <c r="E57" s="5" t="str">
        <f t="shared" si="0"/>
        <v>Amazon Inc.FB (NEUTRAL)</v>
      </c>
      <c r="F57" s="5">
        <f t="shared" si="1"/>
        <v>0</v>
      </c>
      <c r="G57" s="5">
        <f t="shared" si="2"/>
        <v>0</v>
      </c>
      <c r="H57" s="5">
        <f t="shared" si="3"/>
        <v>0</v>
      </c>
    </row>
    <row r="58" spans="1:8" x14ac:dyDescent="0.25">
      <c r="A58" t="s">
        <v>351</v>
      </c>
      <c r="B58" s="4">
        <v>255</v>
      </c>
      <c r="C58" s="4">
        <v>276</v>
      </c>
      <c r="D58" s="4">
        <v>264</v>
      </c>
      <c r="E58" s="5" t="str">
        <f t="shared" si="0"/>
        <v>FB (NEUTRAL)Facebook Inc.</v>
      </c>
      <c r="F58" s="5">
        <f t="shared" si="1"/>
        <v>255</v>
      </c>
      <c r="G58" s="5">
        <f t="shared" si="2"/>
        <v>276</v>
      </c>
      <c r="H58" s="5">
        <f t="shared" si="3"/>
        <v>264</v>
      </c>
    </row>
    <row r="59" spans="1:8" ht="20.100000000000001" hidden="1" customHeight="1" x14ac:dyDescent="0.25">
      <c r="A59" t="s">
        <v>313</v>
      </c>
      <c r="B59" s="4"/>
      <c r="C59" s="4"/>
      <c r="D59" s="4"/>
      <c r="E59" s="5" t="str">
        <f t="shared" si="0"/>
        <v>Facebook Inc.GOOGL (BULLISH)</v>
      </c>
      <c r="F59" s="5">
        <f t="shared" si="1"/>
        <v>0</v>
      </c>
      <c r="G59" s="5">
        <f t="shared" si="2"/>
        <v>0</v>
      </c>
      <c r="H59" s="5">
        <f t="shared" si="3"/>
        <v>0</v>
      </c>
    </row>
    <row r="60" spans="1:8" x14ac:dyDescent="0.25">
      <c r="A60" t="s">
        <v>314</v>
      </c>
      <c r="B60" s="4">
        <v>2041</v>
      </c>
      <c r="C60" s="4">
        <v>2134</v>
      </c>
      <c r="D60" s="4">
        <v>2083</v>
      </c>
      <c r="E60" s="5" t="str">
        <f t="shared" si="0"/>
        <v>GOOGL (BULLISH)Alphabet Inc.</v>
      </c>
      <c r="F60" s="5">
        <f t="shared" si="1"/>
        <v>2041</v>
      </c>
      <c r="G60" s="5">
        <f t="shared" si="2"/>
        <v>2134</v>
      </c>
      <c r="H60" s="5">
        <f t="shared" si="3"/>
        <v>2083</v>
      </c>
    </row>
    <row r="61" spans="1:8" ht="20.100000000000001" hidden="1" customHeight="1" x14ac:dyDescent="0.25">
      <c r="A61" t="s">
        <v>315</v>
      </c>
      <c r="B61" s="4"/>
      <c r="C61" s="4"/>
      <c r="D61" s="4"/>
      <c r="E61" s="5" t="str">
        <f t="shared" si="0"/>
        <v>Alphabet Inc.NFLX (BULLISH)</v>
      </c>
      <c r="F61" s="5">
        <f t="shared" si="1"/>
        <v>0</v>
      </c>
      <c r="G61" s="5">
        <f t="shared" si="2"/>
        <v>0</v>
      </c>
      <c r="H61" s="5">
        <f t="shared" si="3"/>
        <v>0</v>
      </c>
    </row>
    <row r="62" spans="1:8" x14ac:dyDescent="0.25">
      <c r="A62" t="s">
        <v>316</v>
      </c>
      <c r="B62" s="4">
        <v>531</v>
      </c>
      <c r="C62" s="4">
        <v>568</v>
      </c>
      <c r="D62" s="4">
        <v>553</v>
      </c>
      <c r="E62" s="5" t="str">
        <f t="shared" si="0"/>
        <v>NFLX (BULLISH)Netflix Inc.</v>
      </c>
      <c r="F62" s="5">
        <f t="shared" si="1"/>
        <v>531</v>
      </c>
      <c r="G62" s="5">
        <f t="shared" si="2"/>
        <v>568</v>
      </c>
      <c r="H62" s="5">
        <f t="shared" si="3"/>
        <v>553</v>
      </c>
    </row>
    <row r="63" spans="1:8" ht="20.100000000000001" hidden="1" customHeight="1" x14ac:dyDescent="0.25">
      <c r="A63" t="s">
        <v>317</v>
      </c>
      <c r="B63" s="4"/>
      <c r="C63" s="4"/>
      <c r="D63" s="4"/>
      <c r="E63" s="5" t="str">
        <f t="shared" si="0"/>
        <v>Netflix Inc.TSLA (BEARISH)</v>
      </c>
      <c r="F63" s="5">
        <f t="shared" si="1"/>
        <v>0</v>
      </c>
      <c r="G63" s="5">
        <f t="shared" si="2"/>
        <v>0</v>
      </c>
      <c r="H63" s="5">
        <f t="shared" si="3"/>
        <v>0</v>
      </c>
    </row>
    <row r="64" spans="1:8" x14ac:dyDescent="0.25">
      <c r="A64" t="s">
        <v>340</v>
      </c>
      <c r="B64" s="4">
        <v>686</v>
      </c>
      <c r="C64" s="4">
        <v>798</v>
      </c>
      <c r="D64" s="4">
        <v>742</v>
      </c>
      <c r="E64" s="5" t="str">
        <f t="shared" ref="E64:E127" si="4">A64&amp;A65</f>
        <v>TSLA (BEARISH)Tesla Inc.</v>
      </c>
      <c r="F64" s="5">
        <f t="shared" ref="F64:F127" si="5">B64</f>
        <v>686</v>
      </c>
      <c r="G64" s="5">
        <f t="shared" ref="G64:G127" si="6">C64</f>
        <v>798</v>
      </c>
      <c r="H64" s="5">
        <f t="shared" ref="H64:H127" si="7">D64</f>
        <v>742</v>
      </c>
    </row>
    <row r="65" spans="1:8" hidden="1" x14ac:dyDescent="0.25">
      <c r="A65" t="s">
        <v>318</v>
      </c>
      <c r="B65" s="4"/>
      <c r="C65" s="4"/>
      <c r="D65" s="4"/>
      <c r="E65" s="5" t="str">
        <f t="shared" si="4"/>
        <v>Tesla Inc.NYXBT (BULLISH)</v>
      </c>
      <c r="F65" s="5">
        <f t="shared" si="5"/>
        <v>0</v>
      </c>
      <c r="G65" s="5">
        <f t="shared" si="6"/>
        <v>0</v>
      </c>
      <c r="H65" s="5">
        <f t="shared" si="7"/>
        <v>0</v>
      </c>
    </row>
    <row r="66" spans="1:8" x14ac:dyDescent="0.25">
      <c r="A66" t="s">
        <v>319</v>
      </c>
      <c r="B66" s="4">
        <v>44868</v>
      </c>
      <c r="C66" s="4">
        <v>54959</v>
      </c>
      <c r="D66" s="4">
        <v>49474</v>
      </c>
      <c r="E66" s="5" t="str">
        <f t="shared" si="4"/>
        <v>NYXBT (BULLISH)NYSE Bitcoin Index</v>
      </c>
      <c r="F66" s="5">
        <f t="shared" si="5"/>
        <v>44868</v>
      </c>
      <c r="G66" s="5">
        <f t="shared" si="6"/>
        <v>54959</v>
      </c>
      <c r="H66" s="5">
        <f t="shared" si="7"/>
        <v>49474</v>
      </c>
    </row>
    <row r="67" spans="1:8" hidden="1" x14ac:dyDescent="0.25">
      <c r="A67" t="s">
        <v>320</v>
      </c>
      <c r="B67" s="4"/>
      <c r="C67" s="4"/>
      <c r="D67" s="4"/>
      <c r="E67" s="5" t="str">
        <f t="shared" si="4"/>
        <v>NYSE Bitcoin Index</v>
      </c>
      <c r="F67" s="5">
        <f t="shared" si="5"/>
        <v>0</v>
      </c>
      <c r="G67" s="5">
        <f t="shared" si="6"/>
        <v>0</v>
      </c>
      <c r="H67" s="5">
        <f t="shared" si="7"/>
        <v>0</v>
      </c>
    </row>
    <row r="68" spans="1:8" hidden="1" x14ac:dyDescent="0.25">
      <c r="E68" s="5" t="str">
        <f t="shared" si="4"/>
        <v/>
      </c>
      <c r="F68" s="5">
        <f t="shared" si="5"/>
        <v>0</v>
      </c>
      <c r="G68" s="5">
        <f t="shared" si="6"/>
        <v>0</v>
      </c>
      <c r="H68" s="5">
        <f t="shared" si="7"/>
        <v>0</v>
      </c>
    </row>
    <row r="69" spans="1:8" hidden="1" x14ac:dyDescent="0.25">
      <c r="E69" s="5" t="str">
        <f t="shared" si="4"/>
        <v/>
      </c>
      <c r="F69" s="5">
        <f t="shared" si="5"/>
        <v>0</v>
      </c>
      <c r="G69" s="5">
        <f t="shared" si="6"/>
        <v>0</v>
      </c>
      <c r="H69" s="5">
        <f t="shared" si="7"/>
        <v>0</v>
      </c>
    </row>
    <row r="70" spans="1:8" hidden="1" x14ac:dyDescent="0.25">
      <c r="E70" s="5" t="str">
        <f t="shared" si="4"/>
        <v/>
      </c>
      <c r="F70" s="5">
        <f t="shared" si="5"/>
        <v>0</v>
      </c>
      <c r="G70" s="5">
        <f t="shared" si="6"/>
        <v>0</v>
      </c>
      <c r="H70" s="5">
        <f t="shared" si="7"/>
        <v>0</v>
      </c>
    </row>
    <row r="71" spans="1:8" hidden="1" x14ac:dyDescent="0.25">
      <c r="E71" s="5" t="str">
        <f t="shared" si="4"/>
        <v/>
      </c>
      <c r="F71" s="5">
        <f t="shared" si="5"/>
        <v>0</v>
      </c>
      <c r="G71" s="5">
        <f t="shared" si="6"/>
        <v>0</v>
      </c>
      <c r="H71" s="5">
        <f t="shared" si="7"/>
        <v>0</v>
      </c>
    </row>
    <row r="72" spans="1:8" hidden="1" x14ac:dyDescent="0.25">
      <c r="E72" s="5" t="str">
        <f t="shared" si="4"/>
        <v/>
      </c>
      <c r="F72" s="5">
        <f t="shared" si="5"/>
        <v>0</v>
      </c>
      <c r="G72" s="5">
        <f t="shared" si="6"/>
        <v>0</v>
      </c>
      <c r="H72" s="5">
        <f t="shared" si="7"/>
        <v>0</v>
      </c>
    </row>
    <row r="73" spans="1:8" hidden="1" x14ac:dyDescent="0.25">
      <c r="E73" s="5" t="str">
        <f t="shared" si="4"/>
        <v/>
      </c>
      <c r="F73" s="5">
        <f t="shared" si="5"/>
        <v>0</v>
      </c>
      <c r="G73" s="5">
        <f t="shared" si="6"/>
        <v>0</v>
      </c>
      <c r="H73" s="5">
        <f t="shared" si="7"/>
        <v>0</v>
      </c>
    </row>
    <row r="74" spans="1:8" hidden="1" x14ac:dyDescent="0.25">
      <c r="E74" s="5" t="str">
        <f t="shared" si="4"/>
        <v/>
      </c>
      <c r="F74" s="5">
        <f t="shared" si="5"/>
        <v>0</v>
      </c>
      <c r="G74" s="5">
        <f t="shared" si="6"/>
        <v>0</v>
      </c>
      <c r="H74" s="5">
        <f t="shared" si="7"/>
        <v>0</v>
      </c>
    </row>
    <row r="75" spans="1:8" hidden="1" x14ac:dyDescent="0.25">
      <c r="E75" s="5" t="str">
        <f t="shared" si="4"/>
        <v/>
      </c>
      <c r="F75" s="5">
        <f t="shared" si="5"/>
        <v>0</v>
      </c>
      <c r="G75" s="5">
        <f t="shared" si="6"/>
        <v>0</v>
      </c>
      <c r="H75" s="5">
        <f t="shared" si="7"/>
        <v>0</v>
      </c>
    </row>
    <row r="76" spans="1:8" hidden="1" x14ac:dyDescent="0.25">
      <c r="E76" s="5" t="str">
        <f t="shared" si="4"/>
        <v/>
      </c>
      <c r="F76" s="5">
        <f t="shared" si="5"/>
        <v>0</v>
      </c>
      <c r="G76" s="5">
        <f t="shared" si="6"/>
        <v>0</v>
      </c>
      <c r="H76" s="5">
        <f t="shared" si="7"/>
        <v>0</v>
      </c>
    </row>
    <row r="77" spans="1:8" hidden="1" x14ac:dyDescent="0.25">
      <c r="E77" s="5" t="str">
        <f t="shared" si="4"/>
        <v/>
      </c>
      <c r="F77" s="5">
        <f t="shared" si="5"/>
        <v>0</v>
      </c>
      <c r="G77" s="5">
        <f t="shared" si="6"/>
        <v>0</v>
      </c>
      <c r="H77" s="5">
        <f t="shared" si="7"/>
        <v>0</v>
      </c>
    </row>
    <row r="78" spans="1:8" hidden="1" x14ac:dyDescent="0.25">
      <c r="B78" s="4"/>
      <c r="C78" s="4"/>
      <c r="D78" s="4"/>
      <c r="E78" s="5" t="str">
        <f t="shared" si="4"/>
        <v/>
      </c>
      <c r="F78" s="5">
        <f t="shared" si="5"/>
        <v>0</v>
      </c>
      <c r="G78" s="5">
        <f t="shared" si="6"/>
        <v>0</v>
      </c>
      <c r="H78" s="5">
        <f t="shared" si="7"/>
        <v>0</v>
      </c>
    </row>
    <row r="79" spans="1:8" hidden="1" x14ac:dyDescent="0.25">
      <c r="B79" s="4"/>
      <c r="C79" s="4"/>
      <c r="D79" s="4"/>
      <c r="E79" s="5" t="str">
        <f t="shared" si="4"/>
        <v/>
      </c>
      <c r="F79" s="5">
        <f t="shared" si="5"/>
        <v>0</v>
      </c>
      <c r="G79" s="5">
        <f t="shared" si="6"/>
        <v>0</v>
      </c>
      <c r="H79" s="5">
        <f t="shared" si="7"/>
        <v>0</v>
      </c>
    </row>
    <row r="80" spans="1:8" hidden="1" x14ac:dyDescent="0.25">
      <c r="E80" s="5" t="str">
        <f t="shared" si="4"/>
        <v/>
      </c>
      <c r="F80" s="5">
        <f t="shared" si="5"/>
        <v>0</v>
      </c>
      <c r="G80" s="5">
        <f t="shared" si="6"/>
        <v>0</v>
      </c>
      <c r="H80" s="5">
        <f t="shared" si="7"/>
        <v>0</v>
      </c>
    </row>
    <row r="81" spans="2:8" hidden="1" x14ac:dyDescent="0.25">
      <c r="B81" s="4"/>
      <c r="C81" s="4"/>
      <c r="D81" s="4"/>
      <c r="E81" s="5" t="str">
        <f t="shared" si="4"/>
        <v/>
      </c>
      <c r="F81" s="5">
        <f t="shared" si="5"/>
        <v>0</v>
      </c>
      <c r="G81" s="5">
        <f t="shared" si="6"/>
        <v>0</v>
      </c>
      <c r="H81" s="5">
        <f t="shared" si="7"/>
        <v>0</v>
      </c>
    </row>
    <row r="82" spans="2:8" hidden="1" x14ac:dyDescent="0.25">
      <c r="E82" s="5" t="str">
        <f t="shared" si="4"/>
        <v/>
      </c>
      <c r="F82" s="5">
        <f t="shared" si="5"/>
        <v>0</v>
      </c>
      <c r="G82" s="5">
        <f t="shared" si="6"/>
        <v>0</v>
      </c>
      <c r="H82" s="5">
        <f t="shared" si="7"/>
        <v>0</v>
      </c>
    </row>
    <row r="83" spans="2:8" hidden="1" x14ac:dyDescent="0.25">
      <c r="B83" s="4"/>
      <c r="C83" s="4"/>
      <c r="D83" s="4"/>
      <c r="E83" s="5" t="str">
        <f t="shared" si="4"/>
        <v/>
      </c>
      <c r="F83" s="5">
        <f t="shared" si="5"/>
        <v>0</v>
      </c>
      <c r="G83" s="5">
        <f t="shared" si="6"/>
        <v>0</v>
      </c>
      <c r="H83" s="5">
        <f t="shared" si="7"/>
        <v>0</v>
      </c>
    </row>
    <row r="84" spans="2:8" hidden="1" x14ac:dyDescent="0.25">
      <c r="E84" s="5" t="str">
        <f t="shared" si="4"/>
        <v/>
      </c>
      <c r="F84" s="5">
        <f t="shared" si="5"/>
        <v>0</v>
      </c>
      <c r="G84" s="5">
        <f t="shared" si="6"/>
        <v>0</v>
      </c>
      <c r="H84" s="5">
        <f t="shared" si="7"/>
        <v>0</v>
      </c>
    </row>
    <row r="85" spans="2:8" hidden="1" x14ac:dyDescent="0.25">
      <c r="E85" s="5" t="str">
        <f t="shared" si="4"/>
        <v/>
      </c>
      <c r="F85" s="5">
        <f t="shared" si="5"/>
        <v>0</v>
      </c>
      <c r="G85" s="5">
        <f t="shared" si="6"/>
        <v>0</v>
      </c>
      <c r="H85" s="5">
        <f t="shared" si="7"/>
        <v>0</v>
      </c>
    </row>
    <row r="86" spans="2:8" hidden="1" x14ac:dyDescent="0.25">
      <c r="B86" s="4"/>
      <c r="C86" s="4"/>
      <c r="D86" s="4"/>
      <c r="E86" s="5" t="str">
        <f t="shared" si="4"/>
        <v/>
      </c>
      <c r="F86" s="5">
        <f t="shared" si="5"/>
        <v>0</v>
      </c>
      <c r="G86" s="5">
        <f t="shared" si="6"/>
        <v>0</v>
      </c>
      <c r="H86" s="5">
        <f t="shared" si="7"/>
        <v>0</v>
      </c>
    </row>
    <row r="87" spans="2:8" hidden="1" x14ac:dyDescent="0.25">
      <c r="E87" s="5" t="str">
        <f t="shared" si="4"/>
        <v/>
      </c>
      <c r="F87" s="5">
        <f t="shared" si="5"/>
        <v>0</v>
      </c>
      <c r="G87" s="5">
        <f t="shared" si="6"/>
        <v>0</v>
      </c>
      <c r="H87" s="5">
        <f t="shared" si="7"/>
        <v>0</v>
      </c>
    </row>
    <row r="88" spans="2:8" hidden="1" x14ac:dyDescent="0.25">
      <c r="E88" s="5" t="str">
        <f t="shared" si="4"/>
        <v/>
      </c>
      <c r="F88" s="5">
        <f t="shared" si="5"/>
        <v>0</v>
      </c>
      <c r="G88" s="5">
        <f t="shared" si="6"/>
        <v>0</v>
      </c>
      <c r="H88" s="5">
        <f t="shared" si="7"/>
        <v>0</v>
      </c>
    </row>
    <row r="89" spans="2:8" hidden="1" x14ac:dyDescent="0.25">
      <c r="B89" s="4"/>
      <c r="C89" s="4"/>
      <c r="D89" s="4"/>
      <c r="E89" s="5" t="str">
        <f t="shared" si="4"/>
        <v/>
      </c>
      <c r="F89" s="5">
        <f t="shared" si="5"/>
        <v>0</v>
      </c>
      <c r="G89" s="5">
        <f t="shared" si="6"/>
        <v>0</v>
      </c>
      <c r="H89" s="5">
        <f t="shared" si="7"/>
        <v>0</v>
      </c>
    </row>
    <row r="90" spans="2:8" hidden="1" x14ac:dyDescent="0.25">
      <c r="B90" s="4"/>
      <c r="C90" s="4"/>
      <c r="D90" s="4"/>
      <c r="E90" s="5" t="str">
        <f t="shared" si="4"/>
        <v/>
      </c>
      <c r="F90" s="5">
        <f t="shared" si="5"/>
        <v>0</v>
      </c>
      <c r="G90" s="5">
        <f t="shared" si="6"/>
        <v>0</v>
      </c>
      <c r="H90" s="5">
        <f t="shared" si="7"/>
        <v>0</v>
      </c>
    </row>
    <row r="91" spans="2:8" hidden="1" x14ac:dyDescent="0.25">
      <c r="E91" s="5" t="str">
        <f t="shared" si="4"/>
        <v/>
      </c>
      <c r="F91" s="5">
        <f t="shared" si="5"/>
        <v>0</v>
      </c>
      <c r="G91" s="5">
        <f t="shared" si="6"/>
        <v>0</v>
      </c>
      <c r="H91" s="5">
        <f t="shared" si="7"/>
        <v>0</v>
      </c>
    </row>
    <row r="92" spans="2:8" hidden="1" x14ac:dyDescent="0.25">
      <c r="E92" s="5" t="str">
        <f t="shared" si="4"/>
        <v/>
      </c>
      <c r="F92" s="5">
        <f t="shared" si="5"/>
        <v>0</v>
      </c>
      <c r="G92" s="5">
        <f t="shared" si="6"/>
        <v>0</v>
      </c>
      <c r="H92" s="5">
        <f t="shared" si="7"/>
        <v>0</v>
      </c>
    </row>
    <row r="93" spans="2:8" hidden="1" x14ac:dyDescent="0.25">
      <c r="B93" s="4"/>
      <c r="C93" s="4"/>
      <c r="D93" s="4"/>
      <c r="E93" s="5" t="str">
        <f t="shared" si="4"/>
        <v/>
      </c>
      <c r="F93" s="5">
        <f t="shared" si="5"/>
        <v>0</v>
      </c>
      <c r="G93" s="5">
        <f t="shared" si="6"/>
        <v>0</v>
      </c>
      <c r="H93" s="5">
        <f t="shared" si="7"/>
        <v>0</v>
      </c>
    </row>
    <row r="94" spans="2:8" hidden="1" x14ac:dyDescent="0.25">
      <c r="E94" s="5" t="str">
        <f t="shared" si="4"/>
        <v/>
      </c>
      <c r="F94" s="5">
        <f t="shared" si="5"/>
        <v>0</v>
      </c>
      <c r="G94" s="5">
        <f t="shared" si="6"/>
        <v>0</v>
      </c>
      <c r="H94" s="5">
        <f t="shared" si="7"/>
        <v>0</v>
      </c>
    </row>
    <row r="95" spans="2:8" hidden="1" x14ac:dyDescent="0.25">
      <c r="E95" s="5" t="str">
        <f t="shared" si="4"/>
        <v/>
      </c>
      <c r="F95" s="5">
        <f t="shared" si="5"/>
        <v>0</v>
      </c>
      <c r="G95" s="5">
        <f t="shared" si="6"/>
        <v>0</v>
      </c>
      <c r="H95" s="5">
        <f t="shared" si="7"/>
        <v>0</v>
      </c>
    </row>
    <row r="96" spans="2:8" hidden="1" x14ac:dyDescent="0.25">
      <c r="B96" s="4"/>
      <c r="C96" s="4"/>
      <c r="D96" s="4"/>
      <c r="E96" s="5" t="str">
        <f t="shared" si="4"/>
        <v/>
      </c>
      <c r="F96" s="5">
        <f t="shared" si="5"/>
        <v>0</v>
      </c>
      <c r="G96" s="5">
        <f t="shared" si="6"/>
        <v>0</v>
      </c>
      <c r="H96" s="5">
        <f t="shared" si="7"/>
        <v>0</v>
      </c>
    </row>
    <row r="97" spans="2:8" hidden="1" x14ac:dyDescent="0.25">
      <c r="B97" s="4"/>
      <c r="C97" s="4"/>
      <c r="D97" s="4"/>
      <c r="E97" s="5" t="str">
        <f t="shared" si="4"/>
        <v/>
      </c>
      <c r="F97" s="5">
        <f t="shared" si="5"/>
        <v>0</v>
      </c>
      <c r="G97" s="5">
        <f t="shared" si="6"/>
        <v>0</v>
      </c>
      <c r="H97" s="5">
        <f t="shared" si="7"/>
        <v>0</v>
      </c>
    </row>
    <row r="98" spans="2:8" hidden="1" x14ac:dyDescent="0.25">
      <c r="E98" s="5" t="str">
        <f t="shared" si="4"/>
        <v/>
      </c>
      <c r="F98" s="5">
        <f t="shared" si="5"/>
        <v>0</v>
      </c>
      <c r="G98" s="5">
        <f t="shared" si="6"/>
        <v>0</v>
      </c>
      <c r="H98" s="5">
        <f t="shared" si="7"/>
        <v>0</v>
      </c>
    </row>
    <row r="99" spans="2:8" hidden="1" x14ac:dyDescent="0.25">
      <c r="B99" s="4"/>
      <c r="C99" s="4"/>
      <c r="D99" s="4"/>
      <c r="E99" s="5" t="str">
        <f t="shared" si="4"/>
        <v/>
      </c>
      <c r="F99" s="5">
        <f t="shared" si="5"/>
        <v>0</v>
      </c>
      <c r="G99" s="5">
        <f t="shared" si="6"/>
        <v>0</v>
      </c>
      <c r="H99" s="5">
        <f t="shared" si="7"/>
        <v>0</v>
      </c>
    </row>
    <row r="100" spans="2:8" hidden="1" x14ac:dyDescent="0.25">
      <c r="E100" s="5" t="str">
        <f t="shared" si="4"/>
        <v/>
      </c>
      <c r="F100" s="5">
        <f t="shared" si="5"/>
        <v>0</v>
      </c>
      <c r="G100" s="5">
        <f t="shared" si="6"/>
        <v>0</v>
      </c>
      <c r="H100" s="5">
        <f t="shared" si="7"/>
        <v>0</v>
      </c>
    </row>
    <row r="101" spans="2:8" hidden="1" x14ac:dyDescent="0.25">
      <c r="B101" s="4"/>
      <c r="C101" s="4"/>
      <c r="D101" s="4"/>
      <c r="E101" s="5" t="str">
        <f t="shared" si="4"/>
        <v/>
      </c>
      <c r="F101" s="5">
        <f t="shared" si="5"/>
        <v>0</v>
      </c>
      <c r="G101" s="5">
        <f t="shared" si="6"/>
        <v>0</v>
      </c>
      <c r="H101" s="5">
        <f t="shared" si="7"/>
        <v>0</v>
      </c>
    </row>
    <row r="102" spans="2:8" hidden="1" x14ac:dyDescent="0.25">
      <c r="E102" s="5" t="str">
        <f t="shared" si="4"/>
        <v/>
      </c>
      <c r="F102" s="5">
        <f t="shared" si="5"/>
        <v>0</v>
      </c>
      <c r="G102" s="5">
        <f t="shared" si="6"/>
        <v>0</v>
      </c>
      <c r="H102" s="5">
        <f t="shared" si="7"/>
        <v>0</v>
      </c>
    </row>
    <row r="103" spans="2:8" hidden="1" x14ac:dyDescent="0.25">
      <c r="E103" s="5" t="str">
        <f t="shared" si="4"/>
        <v/>
      </c>
      <c r="F103" s="5">
        <f t="shared" si="5"/>
        <v>0</v>
      </c>
      <c r="G103" s="5">
        <f t="shared" si="6"/>
        <v>0</v>
      </c>
      <c r="H103" s="5">
        <f t="shared" si="7"/>
        <v>0</v>
      </c>
    </row>
    <row r="104" spans="2:8" hidden="1" x14ac:dyDescent="0.25">
      <c r="E104" s="5" t="str">
        <f t="shared" si="4"/>
        <v/>
      </c>
      <c r="F104" s="5">
        <f t="shared" si="5"/>
        <v>0</v>
      </c>
      <c r="G104" s="5">
        <f t="shared" si="6"/>
        <v>0</v>
      </c>
      <c r="H104" s="5">
        <f t="shared" si="7"/>
        <v>0</v>
      </c>
    </row>
    <row r="105" spans="2:8" hidden="1" x14ac:dyDescent="0.25">
      <c r="E105" s="5" t="str">
        <f t="shared" si="4"/>
        <v/>
      </c>
      <c r="F105" s="5">
        <f t="shared" si="5"/>
        <v>0</v>
      </c>
      <c r="G105" s="5">
        <f t="shared" si="6"/>
        <v>0</v>
      </c>
      <c r="H105" s="5">
        <f t="shared" si="7"/>
        <v>0</v>
      </c>
    </row>
    <row r="106" spans="2:8" hidden="1" x14ac:dyDescent="0.25">
      <c r="E106" s="5" t="str">
        <f t="shared" si="4"/>
        <v/>
      </c>
      <c r="F106" s="5">
        <f t="shared" si="5"/>
        <v>0</v>
      </c>
      <c r="G106" s="5">
        <f t="shared" si="6"/>
        <v>0</v>
      </c>
      <c r="H106" s="5">
        <f t="shared" si="7"/>
        <v>0</v>
      </c>
    </row>
    <row r="107" spans="2:8" hidden="1" x14ac:dyDescent="0.25">
      <c r="E107" s="5" t="str">
        <f t="shared" si="4"/>
        <v/>
      </c>
      <c r="F107" s="5">
        <f t="shared" si="5"/>
        <v>0</v>
      </c>
      <c r="G107" s="5">
        <f t="shared" si="6"/>
        <v>0</v>
      </c>
      <c r="H107" s="5">
        <f t="shared" si="7"/>
        <v>0</v>
      </c>
    </row>
    <row r="108" spans="2:8" hidden="1" x14ac:dyDescent="0.25">
      <c r="E108" s="5" t="str">
        <f t="shared" si="4"/>
        <v/>
      </c>
      <c r="F108" s="5">
        <f t="shared" si="5"/>
        <v>0</v>
      </c>
      <c r="G108" s="5">
        <f t="shared" si="6"/>
        <v>0</v>
      </c>
      <c r="H108" s="5">
        <f t="shared" si="7"/>
        <v>0</v>
      </c>
    </row>
    <row r="109" spans="2:8" hidden="1" x14ac:dyDescent="0.25">
      <c r="B109" s="4"/>
      <c r="C109" s="4"/>
      <c r="D109" s="4"/>
      <c r="E109" s="5" t="str">
        <f t="shared" si="4"/>
        <v/>
      </c>
      <c r="F109" s="5">
        <f t="shared" si="5"/>
        <v>0</v>
      </c>
      <c r="G109" s="5">
        <f t="shared" si="6"/>
        <v>0</v>
      </c>
      <c r="H109" s="5">
        <f t="shared" si="7"/>
        <v>0</v>
      </c>
    </row>
    <row r="110" spans="2:8" hidden="1" x14ac:dyDescent="0.25">
      <c r="E110" s="5" t="str">
        <f t="shared" si="4"/>
        <v/>
      </c>
      <c r="F110" s="5">
        <f t="shared" si="5"/>
        <v>0</v>
      </c>
      <c r="G110" s="5">
        <f t="shared" si="6"/>
        <v>0</v>
      </c>
      <c r="H110" s="5">
        <f t="shared" si="7"/>
        <v>0</v>
      </c>
    </row>
    <row r="111" spans="2:8" hidden="1" x14ac:dyDescent="0.25">
      <c r="E111" s="5" t="str">
        <f t="shared" si="4"/>
        <v/>
      </c>
      <c r="F111" s="5">
        <f t="shared" si="5"/>
        <v>0</v>
      </c>
      <c r="G111" s="5">
        <f t="shared" si="6"/>
        <v>0</v>
      </c>
      <c r="H111" s="5">
        <f t="shared" si="7"/>
        <v>0</v>
      </c>
    </row>
    <row r="112" spans="2:8" hidden="1" x14ac:dyDescent="0.25">
      <c r="E112" s="5" t="str">
        <f t="shared" si="4"/>
        <v/>
      </c>
      <c r="F112" s="5">
        <f t="shared" si="5"/>
        <v>0</v>
      </c>
      <c r="G112" s="5">
        <f t="shared" si="6"/>
        <v>0</v>
      </c>
      <c r="H112" s="5">
        <f t="shared" si="7"/>
        <v>0</v>
      </c>
    </row>
    <row r="113" spans="2:8" hidden="1" x14ac:dyDescent="0.25">
      <c r="B113" s="4"/>
      <c r="C113" s="4"/>
      <c r="D113" s="4"/>
      <c r="E113" s="5" t="str">
        <f t="shared" si="4"/>
        <v/>
      </c>
      <c r="F113" s="5">
        <f t="shared" si="5"/>
        <v>0</v>
      </c>
      <c r="G113" s="5">
        <f t="shared" si="6"/>
        <v>0</v>
      </c>
      <c r="H113" s="5">
        <f t="shared" si="7"/>
        <v>0</v>
      </c>
    </row>
    <row r="114" spans="2:8" hidden="1" x14ac:dyDescent="0.25">
      <c r="E114" s="5" t="str">
        <f t="shared" si="4"/>
        <v/>
      </c>
      <c r="F114" s="5">
        <f t="shared" si="5"/>
        <v>0</v>
      </c>
      <c r="G114" s="5">
        <f t="shared" si="6"/>
        <v>0</v>
      </c>
      <c r="H114" s="5">
        <f t="shared" si="7"/>
        <v>0</v>
      </c>
    </row>
    <row r="115" spans="2:8" hidden="1" x14ac:dyDescent="0.25">
      <c r="E115" s="5" t="str">
        <f t="shared" si="4"/>
        <v/>
      </c>
      <c r="F115" s="5">
        <f t="shared" si="5"/>
        <v>0</v>
      </c>
      <c r="G115" s="5">
        <f t="shared" si="6"/>
        <v>0</v>
      </c>
      <c r="H115" s="5">
        <f t="shared" si="7"/>
        <v>0</v>
      </c>
    </row>
    <row r="116" spans="2:8" hidden="1" x14ac:dyDescent="0.25">
      <c r="E116" s="5" t="str">
        <f t="shared" si="4"/>
        <v/>
      </c>
      <c r="F116" s="5">
        <f t="shared" si="5"/>
        <v>0</v>
      </c>
      <c r="G116" s="5">
        <f t="shared" si="6"/>
        <v>0</v>
      </c>
      <c r="H116" s="5">
        <f t="shared" si="7"/>
        <v>0</v>
      </c>
    </row>
    <row r="117" spans="2:8" hidden="1" x14ac:dyDescent="0.25">
      <c r="E117" s="5" t="str">
        <f t="shared" si="4"/>
        <v/>
      </c>
      <c r="F117" s="5">
        <f t="shared" si="5"/>
        <v>0</v>
      </c>
      <c r="G117" s="5">
        <f t="shared" si="6"/>
        <v>0</v>
      </c>
      <c r="H117" s="5">
        <f t="shared" si="7"/>
        <v>0</v>
      </c>
    </row>
    <row r="118" spans="2:8" hidden="1" x14ac:dyDescent="0.25">
      <c r="E118" s="5" t="str">
        <f t="shared" si="4"/>
        <v/>
      </c>
      <c r="F118" s="5">
        <f t="shared" si="5"/>
        <v>0</v>
      </c>
      <c r="G118" s="5">
        <f t="shared" si="6"/>
        <v>0</v>
      </c>
      <c r="H118" s="5">
        <f t="shared" si="7"/>
        <v>0</v>
      </c>
    </row>
    <row r="119" spans="2:8" hidden="1" x14ac:dyDescent="0.25">
      <c r="B119" s="4"/>
      <c r="C119" s="4"/>
      <c r="D119" s="4"/>
      <c r="E119" s="5" t="str">
        <f t="shared" si="4"/>
        <v/>
      </c>
      <c r="F119" s="5">
        <f t="shared" si="5"/>
        <v>0</v>
      </c>
      <c r="G119" s="5">
        <f t="shared" si="6"/>
        <v>0</v>
      </c>
      <c r="H119" s="5">
        <f t="shared" si="7"/>
        <v>0</v>
      </c>
    </row>
    <row r="120" spans="2:8" hidden="1" x14ac:dyDescent="0.25">
      <c r="E120" s="5" t="str">
        <f t="shared" si="4"/>
        <v/>
      </c>
      <c r="F120" s="5">
        <f t="shared" si="5"/>
        <v>0</v>
      </c>
      <c r="G120" s="5">
        <f t="shared" si="6"/>
        <v>0</v>
      </c>
      <c r="H120" s="5">
        <f t="shared" si="7"/>
        <v>0</v>
      </c>
    </row>
    <row r="121" spans="2:8" hidden="1" x14ac:dyDescent="0.25">
      <c r="E121" s="5" t="str">
        <f t="shared" si="4"/>
        <v/>
      </c>
      <c r="F121" s="5">
        <f t="shared" si="5"/>
        <v>0</v>
      </c>
      <c r="G121" s="5">
        <f t="shared" si="6"/>
        <v>0</v>
      </c>
      <c r="H121" s="5">
        <f t="shared" si="7"/>
        <v>0</v>
      </c>
    </row>
    <row r="122" spans="2:8" hidden="1" x14ac:dyDescent="0.25">
      <c r="E122" s="5" t="str">
        <f t="shared" si="4"/>
        <v/>
      </c>
      <c r="F122" s="5">
        <f t="shared" si="5"/>
        <v>0</v>
      </c>
      <c r="G122" s="5">
        <f t="shared" si="6"/>
        <v>0</v>
      </c>
      <c r="H122" s="5">
        <f t="shared" si="7"/>
        <v>0</v>
      </c>
    </row>
    <row r="123" spans="2:8" hidden="1" x14ac:dyDescent="0.25">
      <c r="E123" s="5" t="str">
        <f t="shared" si="4"/>
        <v/>
      </c>
      <c r="F123" s="5">
        <f t="shared" si="5"/>
        <v>0</v>
      </c>
      <c r="G123" s="5">
        <f t="shared" si="6"/>
        <v>0</v>
      </c>
      <c r="H123" s="5">
        <f t="shared" si="7"/>
        <v>0</v>
      </c>
    </row>
    <row r="124" spans="2:8" hidden="1" x14ac:dyDescent="0.25">
      <c r="E124" s="5" t="str">
        <f t="shared" si="4"/>
        <v/>
      </c>
      <c r="F124" s="5">
        <f t="shared" si="5"/>
        <v>0</v>
      </c>
      <c r="G124" s="5">
        <f t="shared" si="6"/>
        <v>0</v>
      </c>
      <c r="H124" s="5">
        <f t="shared" si="7"/>
        <v>0</v>
      </c>
    </row>
    <row r="125" spans="2:8" hidden="1" x14ac:dyDescent="0.25">
      <c r="E125" s="5" t="str">
        <f t="shared" si="4"/>
        <v/>
      </c>
      <c r="F125" s="5">
        <f t="shared" si="5"/>
        <v>0</v>
      </c>
      <c r="G125" s="5">
        <f t="shared" si="6"/>
        <v>0</v>
      </c>
      <c r="H125" s="5">
        <f t="shared" si="7"/>
        <v>0</v>
      </c>
    </row>
    <row r="126" spans="2:8" hidden="1" x14ac:dyDescent="0.25">
      <c r="E126" s="5" t="str">
        <f t="shared" si="4"/>
        <v/>
      </c>
      <c r="F126" s="5">
        <f t="shared" si="5"/>
        <v>0</v>
      </c>
      <c r="G126" s="5">
        <f t="shared" si="6"/>
        <v>0</v>
      </c>
      <c r="H126" s="5">
        <f t="shared" si="7"/>
        <v>0</v>
      </c>
    </row>
    <row r="127" spans="2:8" hidden="1" x14ac:dyDescent="0.25">
      <c r="E127" s="5" t="str">
        <f t="shared" si="4"/>
        <v/>
      </c>
      <c r="F127" s="5">
        <f t="shared" si="5"/>
        <v>0</v>
      </c>
      <c r="G127" s="5">
        <f t="shared" si="6"/>
        <v>0</v>
      </c>
      <c r="H127" s="5">
        <f t="shared" si="7"/>
        <v>0</v>
      </c>
    </row>
    <row r="128" spans="2:8" hidden="1" x14ac:dyDescent="0.25">
      <c r="E128" s="5" t="str">
        <f t="shared" ref="E128:E191" si="8">A128&amp;A129</f>
        <v/>
      </c>
      <c r="F128" s="5">
        <f t="shared" ref="F128:F191" si="9">B128</f>
        <v>0</v>
      </c>
      <c r="G128" s="5">
        <f t="shared" ref="G128:G191" si="10">C128</f>
        <v>0</v>
      </c>
      <c r="H128" s="5">
        <f t="shared" ref="H128:H191" si="11">D128</f>
        <v>0</v>
      </c>
    </row>
    <row r="129" spans="5:8" hidden="1" x14ac:dyDescent="0.25">
      <c r="E129" s="5" t="str">
        <f t="shared" si="8"/>
        <v/>
      </c>
      <c r="F129" s="5">
        <f t="shared" si="9"/>
        <v>0</v>
      </c>
      <c r="G129" s="5">
        <f t="shared" si="10"/>
        <v>0</v>
      </c>
      <c r="H129" s="5">
        <f t="shared" si="11"/>
        <v>0</v>
      </c>
    </row>
    <row r="130" spans="5:8" hidden="1" x14ac:dyDescent="0.25">
      <c r="E130" s="5" t="str">
        <f t="shared" si="8"/>
        <v/>
      </c>
      <c r="F130" s="5">
        <f t="shared" si="9"/>
        <v>0</v>
      </c>
      <c r="G130" s="5">
        <f t="shared" si="10"/>
        <v>0</v>
      </c>
      <c r="H130" s="5">
        <f t="shared" si="11"/>
        <v>0</v>
      </c>
    </row>
    <row r="131" spans="5:8" hidden="1" x14ac:dyDescent="0.25">
      <c r="E131" s="5" t="str">
        <f t="shared" si="8"/>
        <v/>
      </c>
      <c r="F131" s="5">
        <f t="shared" si="9"/>
        <v>0</v>
      </c>
      <c r="G131" s="5">
        <f t="shared" si="10"/>
        <v>0</v>
      </c>
      <c r="H131" s="5">
        <f t="shared" si="11"/>
        <v>0</v>
      </c>
    </row>
    <row r="132" spans="5:8" hidden="1" x14ac:dyDescent="0.25">
      <c r="E132" s="5" t="str">
        <f t="shared" si="8"/>
        <v/>
      </c>
      <c r="F132" s="5">
        <f t="shared" si="9"/>
        <v>0</v>
      </c>
      <c r="G132" s="5">
        <f t="shared" si="10"/>
        <v>0</v>
      </c>
      <c r="H132" s="5">
        <f t="shared" si="11"/>
        <v>0</v>
      </c>
    </row>
    <row r="133" spans="5:8" hidden="1" x14ac:dyDescent="0.25">
      <c r="E133" s="5" t="str">
        <f t="shared" si="8"/>
        <v/>
      </c>
      <c r="F133" s="5">
        <f t="shared" si="9"/>
        <v>0</v>
      </c>
      <c r="G133" s="5">
        <f t="shared" si="10"/>
        <v>0</v>
      </c>
      <c r="H133" s="5">
        <f t="shared" si="11"/>
        <v>0</v>
      </c>
    </row>
    <row r="134" spans="5:8" hidden="1" x14ac:dyDescent="0.25">
      <c r="E134" s="5" t="str">
        <f t="shared" si="8"/>
        <v/>
      </c>
      <c r="F134" s="5">
        <f t="shared" si="9"/>
        <v>0</v>
      </c>
      <c r="G134" s="5">
        <f t="shared" si="10"/>
        <v>0</v>
      </c>
      <c r="H134" s="5">
        <f t="shared" si="11"/>
        <v>0</v>
      </c>
    </row>
    <row r="135" spans="5:8" hidden="1" x14ac:dyDescent="0.25">
      <c r="E135" s="5" t="str">
        <f t="shared" si="8"/>
        <v/>
      </c>
      <c r="F135" s="5">
        <f t="shared" si="9"/>
        <v>0</v>
      </c>
      <c r="G135" s="5">
        <f t="shared" si="10"/>
        <v>0</v>
      </c>
      <c r="H135" s="5">
        <f t="shared" si="11"/>
        <v>0</v>
      </c>
    </row>
    <row r="136" spans="5:8" hidden="1" x14ac:dyDescent="0.25">
      <c r="E136" s="5" t="str">
        <f t="shared" si="8"/>
        <v/>
      </c>
      <c r="F136" s="5">
        <f t="shared" si="9"/>
        <v>0</v>
      </c>
      <c r="G136" s="5">
        <f t="shared" si="10"/>
        <v>0</v>
      </c>
      <c r="H136" s="5">
        <f t="shared" si="11"/>
        <v>0</v>
      </c>
    </row>
    <row r="137" spans="5:8" hidden="1" x14ac:dyDescent="0.25">
      <c r="E137" s="5" t="str">
        <f t="shared" si="8"/>
        <v/>
      </c>
      <c r="F137" s="5">
        <f t="shared" si="9"/>
        <v>0</v>
      </c>
      <c r="G137" s="5">
        <f t="shared" si="10"/>
        <v>0</v>
      </c>
      <c r="H137" s="5">
        <f t="shared" si="11"/>
        <v>0</v>
      </c>
    </row>
    <row r="138" spans="5:8" hidden="1" x14ac:dyDescent="0.25">
      <c r="E138" s="5" t="str">
        <f t="shared" si="8"/>
        <v/>
      </c>
      <c r="F138" s="5">
        <f t="shared" si="9"/>
        <v>0</v>
      </c>
      <c r="G138" s="5">
        <f t="shared" si="10"/>
        <v>0</v>
      </c>
      <c r="H138" s="5">
        <f t="shared" si="11"/>
        <v>0</v>
      </c>
    </row>
    <row r="139" spans="5:8" hidden="1" x14ac:dyDescent="0.25">
      <c r="E139" s="5" t="str">
        <f t="shared" si="8"/>
        <v/>
      </c>
      <c r="F139" s="5">
        <f t="shared" si="9"/>
        <v>0</v>
      </c>
      <c r="G139" s="5">
        <f t="shared" si="10"/>
        <v>0</v>
      </c>
      <c r="H139" s="5">
        <f t="shared" si="11"/>
        <v>0</v>
      </c>
    </row>
    <row r="140" spans="5:8" hidden="1" x14ac:dyDescent="0.25">
      <c r="E140" s="5" t="str">
        <f t="shared" si="8"/>
        <v/>
      </c>
      <c r="F140" s="5">
        <f t="shared" si="9"/>
        <v>0</v>
      </c>
      <c r="G140" s="5">
        <f t="shared" si="10"/>
        <v>0</v>
      </c>
      <c r="H140" s="5">
        <f t="shared" si="11"/>
        <v>0</v>
      </c>
    </row>
    <row r="141" spans="5:8" hidden="1" x14ac:dyDescent="0.25">
      <c r="E141" s="5" t="str">
        <f t="shared" si="8"/>
        <v/>
      </c>
      <c r="F141" s="5">
        <f t="shared" si="9"/>
        <v>0</v>
      </c>
      <c r="G141" s="5">
        <f t="shared" si="10"/>
        <v>0</v>
      </c>
      <c r="H141" s="5">
        <f t="shared" si="11"/>
        <v>0</v>
      </c>
    </row>
    <row r="142" spans="5:8" hidden="1" x14ac:dyDescent="0.25">
      <c r="E142" s="5" t="str">
        <f t="shared" si="8"/>
        <v/>
      </c>
      <c r="F142" s="5">
        <f t="shared" si="9"/>
        <v>0</v>
      </c>
      <c r="G142" s="5">
        <f t="shared" si="10"/>
        <v>0</v>
      </c>
      <c r="H142" s="5">
        <f t="shared" si="11"/>
        <v>0</v>
      </c>
    </row>
    <row r="143" spans="5:8" hidden="1" x14ac:dyDescent="0.25">
      <c r="E143" s="5" t="str">
        <f t="shared" si="8"/>
        <v/>
      </c>
      <c r="F143" s="5">
        <f t="shared" si="9"/>
        <v>0</v>
      </c>
      <c r="G143" s="5">
        <f t="shared" si="10"/>
        <v>0</v>
      </c>
      <c r="H143" s="5">
        <f t="shared" si="11"/>
        <v>0</v>
      </c>
    </row>
    <row r="144" spans="5:8" hidden="1" x14ac:dyDescent="0.25">
      <c r="E144" s="5" t="str">
        <f t="shared" si="8"/>
        <v/>
      </c>
      <c r="F144" s="5">
        <f t="shared" si="9"/>
        <v>0</v>
      </c>
      <c r="G144" s="5">
        <f t="shared" si="10"/>
        <v>0</v>
      </c>
      <c r="H144" s="5">
        <f t="shared" si="11"/>
        <v>0</v>
      </c>
    </row>
    <row r="145" spans="5:8" hidden="1" x14ac:dyDescent="0.25">
      <c r="E145" s="5" t="str">
        <f t="shared" si="8"/>
        <v/>
      </c>
      <c r="F145" s="5">
        <f t="shared" si="9"/>
        <v>0</v>
      </c>
      <c r="G145" s="5">
        <f t="shared" si="10"/>
        <v>0</v>
      </c>
      <c r="H145" s="5">
        <f t="shared" si="11"/>
        <v>0</v>
      </c>
    </row>
    <row r="146" spans="5:8" hidden="1" x14ac:dyDescent="0.25">
      <c r="E146" s="5" t="str">
        <f t="shared" si="8"/>
        <v/>
      </c>
      <c r="F146" s="5">
        <f t="shared" si="9"/>
        <v>0</v>
      </c>
      <c r="G146" s="5">
        <f t="shared" si="10"/>
        <v>0</v>
      </c>
      <c r="H146" s="5">
        <f t="shared" si="11"/>
        <v>0</v>
      </c>
    </row>
    <row r="147" spans="5:8" hidden="1" x14ac:dyDescent="0.25">
      <c r="E147" s="5" t="str">
        <f t="shared" si="8"/>
        <v/>
      </c>
      <c r="F147" s="5">
        <f t="shared" si="9"/>
        <v>0</v>
      </c>
      <c r="G147" s="5">
        <f t="shared" si="10"/>
        <v>0</v>
      </c>
      <c r="H147" s="5">
        <f t="shared" si="11"/>
        <v>0</v>
      </c>
    </row>
    <row r="148" spans="5:8" hidden="1" x14ac:dyDescent="0.25">
      <c r="E148" s="5" t="str">
        <f t="shared" si="8"/>
        <v/>
      </c>
      <c r="F148" s="5">
        <f t="shared" si="9"/>
        <v>0</v>
      </c>
      <c r="G148" s="5">
        <f t="shared" si="10"/>
        <v>0</v>
      </c>
      <c r="H148" s="5">
        <f t="shared" si="11"/>
        <v>0</v>
      </c>
    </row>
    <row r="149" spans="5:8" hidden="1" x14ac:dyDescent="0.25">
      <c r="E149" s="5" t="str">
        <f t="shared" si="8"/>
        <v/>
      </c>
      <c r="F149" s="5">
        <f t="shared" si="9"/>
        <v>0</v>
      </c>
      <c r="G149" s="5">
        <f t="shared" si="10"/>
        <v>0</v>
      </c>
      <c r="H149" s="5">
        <f t="shared" si="11"/>
        <v>0</v>
      </c>
    </row>
    <row r="150" spans="5:8" hidden="1" x14ac:dyDescent="0.25">
      <c r="E150" s="5" t="str">
        <f t="shared" si="8"/>
        <v/>
      </c>
      <c r="F150" s="5">
        <f t="shared" si="9"/>
        <v>0</v>
      </c>
      <c r="G150" s="5">
        <f t="shared" si="10"/>
        <v>0</v>
      </c>
      <c r="H150" s="5">
        <f t="shared" si="11"/>
        <v>0</v>
      </c>
    </row>
    <row r="151" spans="5:8" hidden="1" x14ac:dyDescent="0.25">
      <c r="E151" s="5" t="str">
        <f t="shared" si="8"/>
        <v/>
      </c>
      <c r="F151" s="5">
        <f t="shared" si="9"/>
        <v>0</v>
      </c>
      <c r="G151" s="5">
        <f t="shared" si="10"/>
        <v>0</v>
      </c>
      <c r="H151" s="5">
        <f t="shared" si="11"/>
        <v>0</v>
      </c>
    </row>
    <row r="152" spans="5:8" hidden="1" x14ac:dyDescent="0.25">
      <c r="E152" s="5" t="str">
        <f t="shared" si="8"/>
        <v/>
      </c>
      <c r="F152" s="5">
        <f t="shared" si="9"/>
        <v>0</v>
      </c>
      <c r="G152" s="5">
        <f t="shared" si="10"/>
        <v>0</v>
      </c>
      <c r="H152" s="5">
        <f t="shared" si="11"/>
        <v>0</v>
      </c>
    </row>
    <row r="153" spans="5:8" hidden="1" x14ac:dyDescent="0.25">
      <c r="E153" s="5" t="str">
        <f t="shared" si="8"/>
        <v/>
      </c>
      <c r="F153" s="5">
        <f t="shared" si="9"/>
        <v>0</v>
      </c>
      <c r="G153" s="5">
        <f t="shared" si="10"/>
        <v>0</v>
      </c>
      <c r="H153" s="5">
        <f t="shared" si="11"/>
        <v>0</v>
      </c>
    </row>
    <row r="154" spans="5:8" hidden="1" x14ac:dyDescent="0.25">
      <c r="E154" s="5" t="str">
        <f t="shared" si="8"/>
        <v/>
      </c>
      <c r="F154" s="5">
        <f t="shared" si="9"/>
        <v>0</v>
      </c>
      <c r="G154" s="5">
        <f t="shared" si="10"/>
        <v>0</v>
      </c>
      <c r="H154" s="5">
        <f t="shared" si="11"/>
        <v>0</v>
      </c>
    </row>
    <row r="155" spans="5:8" hidden="1" x14ac:dyDescent="0.25">
      <c r="E155" s="5" t="str">
        <f t="shared" si="8"/>
        <v/>
      </c>
      <c r="F155" s="5">
        <f t="shared" si="9"/>
        <v>0</v>
      </c>
      <c r="G155" s="5">
        <f t="shared" si="10"/>
        <v>0</v>
      </c>
      <c r="H155" s="5">
        <f t="shared" si="11"/>
        <v>0</v>
      </c>
    </row>
    <row r="156" spans="5:8" hidden="1" x14ac:dyDescent="0.25">
      <c r="E156" s="5" t="str">
        <f t="shared" si="8"/>
        <v/>
      </c>
      <c r="F156" s="5">
        <f t="shared" si="9"/>
        <v>0</v>
      </c>
      <c r="G156" s="5">
        <f t="shared" si="10"/>
        <v>0</v>
      </c>
      <c r="H156" s="5">
        <f t="shared" si="11"/>
        <v>0</v>
      </c>
    </row>
    <row r="157" spans="5:8" hidden="1" x14ac:dyDescent="0.25">
      <c r="E157" s="5" t="str">
        <f t="shared" si="8"/>
        <v/>
      </c>
      <c r="F157" s="5">
        <f t="shared" si="9"/>
        <v>0</v>
      </c>
      <c r="G157" s="5">
        <f t="shared" si="10"/>
        <v>0</v>
      </c>
      <c r="H157" s="5">
        <f t="shared" si="11"/>
        <v>0</v>
      </c>
    </row>
    <row r="158" spans="5:8" hidden="1" x14ac:dyDescent="0.25">
      <c r="E158" s="5" t="str">
        <f t="shared" si="8"/>
        <v/>
      </c>
      <c r="F158" s="5">
        <f t="shared" si="9"/>
        <v>0</v>
      </c>
      <c r="G158" s="5">
        <f t="shared" si="10"/>
        <v>0</v>
      </c>
      <c r="H158" s="5">
        <f t="shared" si="11"/>
        <v>0</v>
      </c>
    </row>
    <row r="159" spans="5:8" hidden="1" x14ac:dyDescent="0.25">
      <c r="E159" s="5" t="str">
        <f t="shared" si="8"/>
        <v/>
      </c>
      <c r="F159" s="5">
        <f t="shared" si="9"/>
        <v>0</v>
      </c>
      <c r="G159" s="5">
        <f t="shared" si="10"/>
        <v>0</v>
      </c>
      <c r="H159" s="5">
        <f t="shared" si="11"/>
        <v>0</v>
      </c>
    </row>
    <row r="160" spans="5:8" hidden="1" x14ac:dyDescent="0.25">
      <c r="E160" s="5" t="str">
        <f t="shared" si="8"/>
        <v/>
      </c>
      <c r="F160" s="5">
        <f t="shared" si="9"/>
        <v>0</v>
      </c>
      <c r="G160" s="5">
        <f t="shared" si="10"/>
        <v>0</v>
      </c>
      <c r="H160" s="5">
        <f t="shared" si="11"/>
        <v>0</v>
      </c>
    </row>
    <row r="161" spans="5:8" hidden="1" x14ac:dyDescent="0.25">
      <c r="E161" s="5" t="str">
        <f t="shared" si="8"/>
        <v/>
      </c>
      <c r="F161" s="5">
        <f t="shared" si="9"/>
        <v>0</v>
      </c>
      <c r="G161" s="5">
        <f t="shared" si="10"/>
        <v>0</v>
      </c>
      <c r="H161" s="5">
        <f t="shared" si="11"/>
        <v>0</v>
      </c>
    </row>
    <row r="162" spans="5:8" hidden="1" x14ac:dyDescent="0.25">
      <c r="E162" s="5" t="str">
        <f t="shared" si="8"/>
        <v/>
      </c>
      <c r="F162" s="5">
        <f t="shared" si="9"/>
        <v>0</v>
      </c>
      <c r="G162" s="5">
        <f t="shared" si="10"/>
        <v>0</v>
      </c>
      <c r="H162" s="5">
        <f t="shared" si="11"/>
        <v>0</v>
      </c>
    </row>
    <row r="163" spans="5:8" hidden="1" x14ac:dyDescent="0.25">
      <c r="E163" s="5" t="str">
        <f t="shared" si="8"/>
        <v/>
      </c>
      <c r="F163" s="5">
        <f t="shared" si="9"/>
        <v>0</v>
      </c>
      <c r="G163" s="5">
        <f t="shared" si="10"/>
        <v>0</v>
      </c>
      <c r="H163" s="5">
        <f t="shared" si="11"/>
        <v>0</v>
      </c>
    </row>
    <row r="164" spans="5:8" hidden="1" x14ac:dyDescent="0.25">
      <c r="E164" s="5" t="str">
        <f t="shared" si="8"/>
        <v/>
      </c>
      <c r="F164" s="5">
        <f t="shared" si="9"/>
        <v>0</v>
      </c>
      <c r="G164" s="5">
        <f t="shared" si="10"/>
        <v>0</v>
      </c>
      <c r="H164" s="5">
        <f t="shared" si="11"/>
        <v>0</v>
      </c>
    </row>
    <row r="165" spans="5:8" hidden="1" x14ac:dyDescent="0.25">
      <c r="E165" s="5" t="str">
        <f t="shared" si="8"/>
        <v/>
      </c>
      <c r="F165" s="5">
        <f t="shared" si="9"/>
        <v>0</v>
      </c>
      <c r="G165" s="5">
        <f t="shared" si="10"/>
        <v>0</v>
      </c>
      <c r="H165" s="5">
        <f t="shared" si="11"/>
        <v>0</v>
      </c>
    </row>
    <row r="166" spans="5:8" hidden="1" x14ac:dyDescent="0.25">
      <c r="E166" s="5" t="str">
        <f t="shared" si="8"/>
        <v/>
      </c>
      <c r="F166" s="5">
        <f t="shared" si="9"/>
        <v>0</v>
      </c>
      <c r="G166" s="5">
        <f t="shared" si="10"/>
        <v>0</v>
      </c>
      <c r="H166" s="5">
        <f t="shared" si="11"/>
        <v>0</v>
      </c>
    </row>
    <row r="167" spans="5:8" hidden="1" x14ac:dyDescent="0.25">
      <c r="E167" s="5" t="str">
        <f t="shared" si="8"/>
        <v/>
      </c>
      <c r="F167" s="5">
        <f t="shared" si="9"/>
        <v>0</v>
      </c>
      <c r="G167" s="5">
        <f t="shared" si="10"/>
        <v>0</v>
      </c>
      <c r="H167" s="5">
        <f t="shared" si="11"/>
        <v>0</v>
      </c>
    </row>
    <row r="168" spans="5:8" hidden="1" x14ac:dyDescent="0.25">
      <c r="E168" s="5" t="str">
        <f t="shared" si="8"/>
        <v/>
      </c>
      <c r="F168" s="5">
        <f t="shared" si="9"/>
        <v>0</v>
      </c>
      <c r="G168" s="5">
        <f t="shared" si="10"/>
        <v>0</v>
      </c>
      <c r="H168" s="5">
        <f t="shared" si="11"/>
        <v>0</v>
      </c>
    </row>
    <row r="169" spans="5:8" hidden="1" x14ac:dyDescent="0.25">
      <c r="E169" s="5" t="str">
        <f t="shared" si="8"/>
        <v/>
      </c>
      <c r="F169" s="5">
        <f t="shared" si="9"/>
        <v>0</v>
      </c>
      <c r="G169" s="5">
        <f t="shared" si="10"/>
        <v>0</v>
      </c>
      <c r="H169" s="5">
        <f t="shared" si="11"/>
        <v>0</v>
      </c>
    </row>
    <row r="170" spans="5:8" hidden="1" x14ac:dyDescent="0.25">
      <c r="E170" s="5" t="str">
        <f t="shared" si="8"/>
        <v/>
      </c>
      <c r="F170" s="5">
        <f t="shared" si="9"/>
        <v>0</v>
      </c>
      <c r="G170" s="5">
        <f t="shared" si="10"/>
        <v>0</v>
      </c>
      <c r="H170" s="5">
        <f t="shared" si="11"/>
        <v>0</v>
      </c>
    </row>
    <row r="171" spans="5:8" hidden="1" x14ac:dyDescent="0.25">
      <c r="E171" s="5" t="str">
        <f t="shared" si="8"/>
        <v/>
      </c>
      <c r="F171" s="5">
        <f t="shared" si="9"/>
        <v>0</v>
      </c>
      <c r="G171" s="5">
        <f t="shared" si="10"/>
        <v>0</v>
      </c>
      <c r="H171" s="5">
        <f t="shared" si="11"/>
        <v>0</v>
      </c>
    </row>
    <row r="172" spans="5:8" hidden="1" x14ac:dyDescent="0.25">
      <c r="E172" s="5" t="str">
        <f t="shared" si="8"/>
        <v/>
      </c>
      <c r="F172" s="5">
        <f t="shared" si="9"/>
        <v>0</v>
      </c>
      <c r="G172" s="5">
        <f t="shared" si="10"/>
        <v>0</v>
      </c>
      <c r="H172" s="5">
        <f t="shared" si="11"/>
        <v>0</v>
      </c>
    </row>
    <row r="173" spans="5:8" hidden="1" x14ac:dyDescent="0.25">
      <c r="E173" s="5" t="str">
        <f t="shared" si="8"/>
        <v/>
      </c>
      <c r="F173" s="5">
        <f t="shared" si="9"/>
        <v>0</v>
      </c>
      <c r="G173" s="5">
        <f t="shared" si="10"/>
        <v>0</v>
      </c>
      <c r="H173" s="5">
        <f t="shared" si="11"/>
        <v>0</v>
      </c>
    </row>
    <row r="174" spans="5:8" hidden="1" x14ac:dyDescent="0.25">
      <c r="E174" s="5" t="str">
        <f t="shared" si="8"/>
        <v/>
      </c>
      <c r="F174" s="5">
        <f t="shared" si="9"/>
        <v>0</v>
      </c>
      <c r="G174" s="5">
        <f t="shared" si="10"/>
        <v>0</v>
      </c>
      <c r="H174" s="5">
        <f t="shared" si="11"/>
        <v>0</v>
      </c>
    </row>
    <row r="175" spans="5:8" hidden="1" x14ac:dyDescent="0.25">
      <c r="E175" s="5" t="str">
        <f t="shared" si="8"/>
        <v/>
      </c>
      <c r="F175" s="5">
        <f t="shared" si="9"/>
        <v>0</v>
      </c>
      <c r="G175" s="5">
        <f t="shared" si="10"/>
        <v>0</v>
      </c>
      <c r="H175" s="5">
        <f t="shared" si="11"/>
        <v>0</v>
      </c>
    </row>
    <row r="176" spans="5:8" hidden="1" x14ac:dyDescent="0.25">
      <c r="E176" s="5" t="str">
        <f t="shared" si="8"/>
        <v/>
      </c>
      <c r="F176" s="5">
        <f t="shared" si="9"/>
        <v>0</v>
      </c>
      <c r="G176" s="5">
        <f t="shared" si="10"/>
        <v>0</v>
      </c>
      <c r="H176" s="5">
        <f t="shared" si="11"/>
        <v>0</v>
      </c>
    </row>
    <row r="177" spans="5:8" hidden="1" x14ac:dyDescent="0.25">
      <c r="E177" s="5" t="str">
        <f t="shared" si="8"/>
        <v/>
      </c>
      <c r="F177" s="5">
        <f t="shared" si="9"/>
        <v>0</v>
      </c>
      <c r="G177" s="5">
        <f t="shared" si="10"/>
        <v>0</v>
      </c>
      <c r="H177" s="5">
        <f t="shared" si="11"/>
        <v>0</v>
      </c>
    </row>
    <row r="178" spans="5:8" hidden="1" x14ac:dyDescent="0.25">
      <c r="E178" s="5" t="str">
        <f t="shared" si="8"/>
        <v/>
      </c>
      <c r="F178" s="5">
        <f t="shared" si="9"/>
        <v>0</v>
      </c>
      <c r="G178" s="5">
        <f t="shared" si="10"/>
        <v>0</v>
      </c>
      <c r="H178" s="5">
        <f t="shared" si="11"/>
        <v>0</v>
      </c>
    </row>
    <row r="179" spans="5:8" hidden="1" x14ac:dyDescent="0.25">
      <c r="E179" s="5" t="str">
        <f t="shared" si="8"/>
        <v/>
      </c>
      <c r="F179" s="5">
        <f t="shared" si="9"/>
        <v>0</v>
      </c>
      <c r="G179" s="5">
        <f t="shared" si="10"/>
        <v>0</v>
      </c>
      <c r="H179" s="5">
        <f t="shared" si="11"/>
        <v>0</v>
      </c>
    </row>
    <row r="180" spans="5:8" hidden="1" x14ac:dyDescent="0.25">
      <c r="E180" s="5" t="str">
        <f t="shared" si="8"/>
        <v/>
      </c>
      <c r="F180" s="5">
        <f t="shared" si="9"/>
        <v>0</v>
      </c>
      <c r="G180" s="5">
        <f t="shared" si="10"/>
        <v>0</v>
      </c>
      <c r="H180" s="5">
        <f t="shared" si="11"/>
        <v>0</v>
      </c>
    </row>
    <row r="181" spans="5:8" hidden="1" x14ac:dyDescent="0.25">
      <c r="E181" s="5" t="str">
        <f t="shared" si="8"/>
        <v/>
      </c>
      <c r="F181" s="5">
        <f t="shared" si="9"/>
        <v>0</v>
      </c>
      <c r="G181" s="5">
        <f t="shared" si="10"/>
        <v>0</v>
      </c>
      <c r="H181" s="5">
        <f t="shared" si="11"/>
        <v>0</v>
      </c>
    </row>
    <row r="182" spans="5:8" hidden="1" x14ac:dyDescent="0.25">
      <c r="E182" s="5" t="str">
        <f t="shared" si="8"/>
        <v/>
      </c>
      <c r="F182" s="5">
        <f t="shared" si="9"/>
        <v>0</v>
      </c>
      <c r="G182" s="5">
        <f t="shared" si="10"/>
        <v>0</v>
      </c>
      <c r="H182" s="5">
        <f t="shared" si="11"/>
        <v>0</v>
      </c>
    </row>
    <row r="183" spans="5:8" hidden="1" x14ac:dyDescent="0.25">
      <c r="E183" s="5" t="str">
        <f t="shared" si="8"/>
        <v/>
      </c>
      <c r="F183" s="5">
        <f t="shared" si="9"/>
        <v>0</v>
      </c>
      <c r="G183" s="5">
        <f t="shared" si="10"/>
        <v>0</v>
      </c>
      <c r="H183" s="5">
        <f t="shared" si="11"/>
        <v>0</v>
      </c>
    </row>
    <row r="184" spans="5:8" hidden="1" x14ac:dyDescent="0.25">
      <c r="E184" s="5" t="str">
        <f t="shared" si="8"/>
        <v/>
      </c>
      <c r="F184" s="5">
        <f t="shared" si="9"/>
        <v>0</v>
      </c>
      <c r="G184" s="5">
        <f t="shared" si="10"/>
        <v>0</v>
      </c>
      <c r="H184" s="5">
        <f t="shared" si="11"/>
        <v>0</v>
      </c>
    </row>
    <row r="185" spans="5:8" hidden="1" x14ac:dyDescent="0.25">
      <c r="E185" s="5" t="str">
        <f t="shared" si="8"/>
        <v/>
      </c>
      <c r="F185" s="5">
        <f t="shared" si="9"/>
        <v>0</v>
      </c>
      <c r="G185" s="5">
        <f t="shared" si="10"/>
        <v>0</v>
      </c>
      <c r="H185" s="5">
        <f t="shared" si="11"/>
        <v>0</v>
      </c>
    </row>
    <row r="186" spans="5:8" hidden="1" x14ac:dyDescent="0.25">
      <c r="E186" s="5" t="str">
        <f t="shared" si="8"/>
        <v/>
      </c>
      <c r="F186" s="5">
        <f t="shared" si="9"/>
        <v>0</v>
      </c>
      <c r="G186" s="5">
        <f t="shared" si="10"/>
        <v>0</v>
      </c>
      <c r="H186" s="5">
        <f t="shared" si="11"/>
        <v>0</v>
      </c>
    </row>
    <row r="187" spans="5:8" hidden="1" x14ac:dyDescent="0.25">
      <c r="E187" s="5" t="str">
        <f t="shared" si="8"/>
        <v/>
      </c>
      <c r="F187" s="5">
        <f t="shared" si="9"/>
        <v>0</v>
      </c>
      <c r="G187" s="5">
        <f t="shared" si="10"/>
        <v>0</v>
      </c>
      <c r="H187" s="5">
        <f t="shared" si="11"/>
        <v>0</v>
      </c>
    </row>
    <row r="188" spans="5:8" hidden="1" x14ac:dyDescent="0.25">
      <c r="E188" s="5" t="str">
        <f t="shared" si="8"/>
        <v/>
      </c>
      <c r="F188" s="5">
        <f t="shared" si="9"/>
        <v>0</v>
      </c>
      <c r="G188" s="5">
        <f t="shared" si="10"/>
        <v>0</v>
      </c>
      <c r="H188" s="5">
        <f t="shared" si="11"/>
        <v>0</v>
      </c>
    </row>
    <row r="189" spans="5:8" hidden="1" x14ac:dyDescent="0.25">
      <c r="E189" s="5" t="str">
        <f t="shared" si="8"/>
        <v/>
      </c>
      <c r="F189" s="5">
        <f t="shared" si="9"/>
        <v>0</v>
      </c>
      <c r="G189" s="5">
        <f t="shared" si="10"/>
        <v>0</v>
      </c>
      <c r="H189" s="5">
        <f t="shared" si="11"/>
        <v>0</v>
      </c>
    </row>
    <row r="190" spans="5:8" hidden="1" x14ac:dyDescent="0.25">
      <c r="E190" s="5" t="str">
        <f t="shared" si="8"/>
        <v/>
      </c>
      <c r="F190" s="5">
        <f t="shared" si="9"/>
        <v>0</v>
      </c>
      <c r="G190" s="5">
        <f t="shared" si="10"/>
        <v>0</v>
      </c>
      <c r="H190" s="5">
        <f t="shared" si="11"/>
        <v>0</v>
      </c>
    </row>
    <row r="191" spans="5:8" hidden="1" x14ac:dyDescent="0.25">
      <c r="E191" s="5" t="str">
        <f t="shared" si="8"/>
        <v/>
      </c>
      <c r="F191" s="5">
        <f t="shared" si="9"/>
        <v>0</v>
      </c>
      <c r="G191" s="5">
        <f t="shared" si="10"/>
        <v>0</v>
      </c>
      <c r="H191" s="5">
        <f t="shared" si="11"/>
        <v>0</v>
      </c>
    </row>
    <row r="192" spans="5:8" hidden="1" x14ac:dyDescent="0.25">
      <c r="E192" s="5" t="str">
        <f t="shared" ref="E192:E255" si="12">A192&amp;A193</f>
        <v/>
      </c>
      <c r="F192" s="5">
        <f t="shared" ref="F192:F255" si="13">B192</f>
        <v>0</v>
      </c>
      <c r="G192" s="5">
        <f t="shared" ref="G192:G255" si="14">C192</f>
        <v>0</v>
      </c>
      <c r="H192" s="5">
        <f t="shared" ref="H192:H255" si="15">D192</f>
        <v>0</v>
      </c>
    </row>
    <row r="193" spans="5:8" hidden="1" x14ac:dyDescent="0.25">
      <c r="E193" s="5" t="str">
        <f t="shared" si="12"/>
        <v/>
      </c>
      <c r="F193" s="5">
        <f t="shared" si="13"/>
        <v>0</v>
      </c>
      <c r="G193" s="5">
        <f t="shared" si="14"/>
        <v>0</v>
      </c>
      <c r="H193" s="5">
        <f t="shared" si="15"/>
        <v>0</v>
      </c>
    </row>
    <row r="194" spans="5:8" hidden="1" x14ac:dyDescent="0.25">
      <c r="E194" s="5" t="str">
        <f t="shared" si="12"/>
        <v/>
      </c>
      <c r="F194" s="5">
        <f t="shared" si="13"/>
        <v>0</v>
      </c>
      <c r="G194" s="5">
        <f t="shared" si="14"/>
        <v>0</v>
      </c>
      <c r="H194" s="5">
        <f t="shared" si="15"/>
        <v>0</v>
      </c>
    </row>
    <row r="195" spans="5:8" hidden="1" x14ac:dyDescent="0.25">
      <c r="E195" s="5" t="str">
        <f t="shared" si="12"/>
        <v/>
      </c>
      <c r="F195" s="5">
        <f t="shared" si="13"/>
        <v>0</v>
      </c>
      <c r="G195" s="5">
        <f t="shared" si="14"/>
        <v>0</v>
      </c>
      <c r="H195" s="5">
        <f t="shared" si="15"/>
        <v>0</v>
      </c>
    </row>
    <row r="196" spans="5:8" hidden="1" x14ac:dyDescent="0.25">
      <c r="E196" s="5" t="str">
        <f t="shared" si="12"/>
        <v/>
      </c>
      <c r="F196" s="5">
        <f t="shared" si="13"/>
        <v>0</v>
      </c>
      <c r="G196" s="5">
        <f t="shared" si="14"/>
        <v>0</v>
      </c>
      <c r="H196" s="5">
        <f t="shared" si="15"/>
        <v>0</v>
      </c>
    </row>
    <row r="197" spans="5:8" hidden="1" x14ac:dyDescent="0.25">
      <c r="E197" s="5" t="str">
        <f t="shared" si="12"/>
        <v/>
      </c>
      <c r="F197" s="5">
        <f t="shared" si="13"/>
        <v>0</v>
      </c>
      <c r="G197" s="5">
        <f t="shared" si="14"/>
        <v>0</v>
      </c>
      <c r="H197" s="5">
        <f t="shared" si="15"/>
        <v>0</v>
      </c>
    </row>
    <row r="198" spans="5:8" hidden="1" x14ac:dyDescent="0.25">
      <c r="E198" s="5" t="str">
        <f t="shared" si="12"/>
        <v/>
      </c>
      <c r="F198" s="5">
        <f t="shared" si="13"/>
        <v>0</v>
      </c>
      <c r="G198" s="5">
        <f t="shared" si="14"/>
        <v>0</v>
      </c>
      <c r="H198" s="5">
        <f t="shared" si="15"/>
        <v>0</v>
      </c>
    </row>
    <row r="199" spans="5:8" hidden="1" x14ac:dyDescent="0.25">
      <c r="E199" s="5" t="str">
        <f t="shared" si="12"/>
        <v/>
      </c>
      <c r="F199" s="5">
        <f t="shared" si="13"/>
        <v>0</v>
      </c>
      <c r="G199" s="5">
        <f t="shared" si="14"/>
        <v>0</v>
      </c>
      <c r="H199" s="5">
        <f t="shared" si="15"/>
        <v>0</v>
      </c>
    </row>
    <row r="200" spans="5:8" hidden="1" x14ac:dyDescent="0.25">
      <c r="E200" s="5" t="str">
        <f t="shared" si="12"/>
        <v/>
      </c>
      <c r="F200" s="5">
        <f t="shared" si="13"/>
        <v>0</v>
      </c>
      <c r="G200" s="5">
        <f t="shared" si="14"/>
        <v>0</v>
      </c>
      <c r="H200" s="5">
        <f t="shared" si="15"/>
        <v>0</v>
      </c>
    </row>
    <row r="201" spans="5:8" hidden="1" x14ac:dyDescent="0.25">
      <c r="E201" s="5" t="str">
        <f t="shared" si="12"/>
        <v/>
      </c>
      <c r="F201" s="5">
        <f t="shared" si="13"/>
        <v>0</v>
      </c>
      <c r="G201" s="5">
        <f t="shared" si="14"/>
        <v>0</v>
      </c>
      <c r="H201" s="5">
        <f t="shared" si="15"/>
        <v>0</v>
      </c>
    </row>
    <row r="202" spans="5:8" hidden="1" x14ac:dyDescent="0.25">
      <c r="E202" s="5" t="str">
        <f t="shared" si="12"/>
        <v/>
      </c>
      <c r="F202" s="5">
        <f t="shared" si="13"/>
        <v>0</v>
      </c>
      <c r="G202" s="5">
        <f t="shared" si="14"/>
        <v>0</v>
      </c>
      <c r="H202" s="5">
        <f t="shared" si="15"/>
        <v>0</v>
      </c>
    </row>
    <row r="203" spans="5:8" hidden="1" x14ac:dyDescent="0.25">
      <c r="E203" s="5" t="str">
        <f t="shared" si="12"/>
        <v/>
      </c>
      <c r="F203" s="5">
        <f t="shared" si="13"/>
        <v>0</v>
      </c>
      <c r="G203" s="5">
        <f t="shared" si="14"/>
        <v>0</v>
      </c>
      <c r="H203" s="5">
        <f t="shared" si="15"/>
        <v>0</v>
      </c>
    </row>
    <row r="204" spans="5:8" hidden="1" x14ac:dyDescent="0.25">
      <c r="E204" s="5" t="str">
        <f t="shared" si="12"/>
        <v/>
      </c>
      <c r="F204" s="5">
        <f t="shared" si="13"/>
        <v>0</v>
      </c>
      <c r="G204" s="5">
        <f t="shared" si="14"/>
        <v>0</v>
      </c>
      <c r="H204" s="5">
        <f t="shared" si="15"/>
        <v>0</v>
      </c>
    </row>
    <row r="205" spans="5:8" hidden="1" x14ac:dyDescent="0.25">
      <c r="E205" s="5" t="str">
        <f t="shared" si="12"/>
        <v/>
      </c>
      <c r="F205" s="5">
        <f t="shared" si="13"/>
        <v>0</v>
      </c>
      <c r="G205" s="5">
        <f t="shared" si="14"/>
        <v>0</v>
      </c>
      <c r="H205" s="5">
        <f t="shared" si="15"/>
        <v>0</v>
      </c>
    </row>
    <row r="206" spans="5:8" hidden="1" x14ac:dyDescent="0.25">
      <c r="E206" s="5" t="str">
        <f t="shared" si="12"/>
        <v/>
      </c>
      <c r="F206" s="5">
        <f t="shared" si="13"/>
        <v>0</v>
      </c>
      <c r="G206" s="5">
        <f t="shared" si="14"/>
        <v>0</v>
      </c>
      <c r="H206" s="5">
        <f t="shared" si="15"/>
        <v>0</v>
      </c>
    </row>
    <row r="207" spans="5:8" hidden="1" x14ac:dyDescent="0.25">
      <c r="E207" s="5" t="str">
        <f t="shared" si="12"/>
        <v/>
      </c>
      <c r="F207" s="5">
        <f t="shared" si="13"/>
        <v>0</v>
      </c>
      <c r="G207" s="5">
        <f t="shared" si="14"/>
        <v>0</v>
      </c>
      <c r="H207" s="5">
        <f t="shared" si="15"/>
        <v>0</v>
      </c>
    </row>
    <row r="208" spans="5:8" hidden="1" x14ac:dyDescent="0.25">
      <c r="E208" s="5" t="str">
        <f t="shared" si="12"/>
        <v/>
      </c>
      <c r="F208" s="5">
        <f t="shared" si="13"/>
        <v>0</v>
      </c>
      <c r="G208" s="5">
        <f t="shared" si="14"/>
        <v>0</v>
      </c>
      <c r="H208" s="5">
        <f t="shared" si="15"/>
        <v>0</v>
      </c>
    </row>
    <row r="209" spans="5:8" hidden="1" x14ac:dyDescent="0.25">
      <c r="E209" s="5" t="str">
        <f t="shared" si="12"/>
        <v/>
      </c>
      <c r="F209" s="5">
        <f t="shared" si="13"/>
        <v>0</v>
      </c>
      <c r="G209" s="5">
        <f t="shared" si="14"/>
        <v>0</v>
      </c>
      <c r="H209" s="5">
        <f t="shared" si="15"/>
        <v>0</v>
      </c>
    </row>
    <row r="210" spans="5:8" hidden="1" x14ac:dyDescent="0.25">
      <c r="E210" s="5" t="str">
        <f t="shared" si="12"/>
        <v/>
      </c>
      <c r="F210" s="5">
        <f t="shared" si="13"/>
        <v>0</v>
      </c>
      <c r="G210" s="5">
        <f t="shared" si="14"/>
        <v>0</v>
      </c>
      <c r="H210" s="5">
        <f t="shared" si="15"/>
        <v>0</v>
      </c>
    </row>
    <row r="211" spans="5:8" hidden="1" x14ac:dyDescent="0.25">
      <c r="E211" s="5" t="str">
        <f t="shared" si="12"/>
        <v/>
      </c>
      <c r="F211" s="5">
        <f t="shared" si="13"/>
        <v>0</v>
      </c>
      <c r="G211" s="5">
        <f t="shared" si="14"/>
        <v>0</v>
      </c>
      <c r="H211" s="5">
        <f t="shared" si="15"/>
        <v>0</v>
      </c>
    </row>
    <row r="212" spans="5:8" hidden="1" x14ac:dyDescent="0.25">
      <c r="E212" s="5" t="str">
        <f t="shared" si="12"/>
        <v/>
      </c>
      <c r="F212" s="5">
        <f t="shared" si="13"/>
        <v>0</v>
      </c>
      <c r="G212" s="5">
        <f t="shared" si="14"/>
        <v>0</v>
      </c>
      <c r="H212" s="5">
        <f t="shared" si="15"/>
        <v>0</v>
      </c>
    </row>
    <row r="213" spans="5:8" hidden="1" x14ac:dyDescent="0.25">
      <c r="E213" s="5" t="str">
        <f t="shared" si="12"/>
        <v/>
      </c>
      <c r="F213" s="5">
        <f t="shared" si="13"/>
        <v>0</v>
      </c>
      <c r="G213" s="5">
        <f t="shared" si="14"/>
        <v>0</v>
      </c>
      <c r="H213" s="5">
        <f t="shared" si="15"/>
        <v>0</v>
      </c>
    </row>
    <row r="214" spans="5:8" hidden="1" x14ac:dyDescent="0.25">
      <c r="E214" s="5" t="str">
        <f t="shared" si="12"/>
        <v/>
      </c>
      <c r="F214" s="5">
        <f t="shared" si="13"/>
        <v>0</v>
      </c>
      <c r="G214" s="5">
        <f t="shared" si="14"/>
        <v>0</v>
      </c>
      <c r="H214" s="5">
        <f t="shared" si="15"/>
        <v>0</v>
      </c>
    </row>
    <row r="215" spans="5:8" hidden="1" x14ac:dyDescent="0.25">
      <c r="E215" s="5" t="str">
        <f t="shared" si="12"/>
        <v/>
      </c>
      <c r="F215" s="5">
        <f t="shared" si="13"/>
        <v>0</v>
      </c>
      <c r="G215" s="5">
        <f t="shared" si="14"/>
        <v>0</v>
      </c>
      <c r="H215" s="5">
        <f t="shared" si="15"/>
        <v>0</v>
      </c>
    </row>
    <row r="216" spans="5:8" hidden="1" x14ac:dyDescent="0.25">
      <c r="E216" s="5" t="str">
        <f t="shared" si="12"/>
        <v/>
      </c>
      <c r="F216" s="5">
        <f t="shared" si="13"/>
        <v>0</v>
      </c>
      <c r="G216" s="5">
        <f t="shared" si="14"/>
        <v>0</v>
      </c>
      <c r="H216" s="5">
        <f t="shared" si="15"/>
        <v>0</v>
      </c>
    </row>
    <row r="217" spans="5:8" hidden="1" x14ac:dyDescent="0.25">
      <c r="E217" s="5" t="str">
        <f t="shared" si="12"/>
        <v/>
      </c>
      <c r="F217" s="5">
        <f t="shared" si="13"/>
        <v>0</v>
      </c>
      <c r="G217" s="5">
        <f t="shared" si="14"/>
        <v>0</v>
      </c>
      <c r="H217" s="5">
        <f t="shared" si="15"/>
        <v>0</v>
      </c>
    </row>
    <row r="218" spans="5:8" hidden="1" x14ac:dyDescent="0.25">
      <c r="E218" s="5" t="str">
        <f t="shared" si="12"/>
        <v/>
      </c>
      <c r="F218" s="5">
        <f t="shared" si="13"/>
        <v>0</v>
      </c>
      <c r="G218" s="5">
        <f t="shared" si="14"/>
        <v>0</v>
      </c>
      <c r="H218" s="5">
        <f t="shared" si="15"/>
        <v>0</v>
      </c>
    </row>
    <row r="219" spans="5:8" hidden="1" x14ac:dyDescent="0.25">
      <c r="E219" s="5" t="str">
        <f t="shared" si="12"/>
        <v/>
      </c>
      <c r="F219" s="5">
        <f t="shared" si="13"/>
        <v>0</v>
      </c>
      <c r="G219" s="5">
        <f t="shared" si="14"/>
        <v>0</v>
      </c>
      <c r="H219" s="5">
        <f t="shared" si="15"/>
        <v>0</v>
      </c>
    </row>
    <row r="220" spans="5:8" hidden="1" x14ac:dyDescent="0.25">
      <c r="E220" s="5" t="str">
        <f t="shared" si="12"/>
        <v/>
      </c>
      <c r="F220" s="5">
        <f t="shared" si="13"/>
        <v>0</v>
      </c>
      <c r="G220" s="5">
        <f t="shared" si="14"/>
        <v>0</v>
      </c>
      <c r="H220" s="5">
        <f t="shared" si="15"/>
        <v>0</v>
      </c>
    </row>
    <row r="221" spans="5:8" hidden="1" x14ac:dyDescent="0.25">
      <c r="E221" s="5" t="str">
        <f t="shared" si="12"/>
        <v/>
      </c>
      <c r="F221" s="5">
        <f t="shared" si="13"/>
        <v>0</v>
      </c>
      <c r="G221" s="5">
        <f t="shared" si="14"/>
        <v>0</v>
      </c>
      <c r="H221" s="5">
        <f t="shared" si="15"/>
        <v>0</v>
      </c>
    </row>
    <row r="222" spans="5:8" hidden="1" x14ac:dyDescent="0.25">
      <c r="E222" s="5" t="str">
        <f t="shared" si="12"/>
        <v/>
      </c>
      <c r="F222" s="5">
        <f t="shared" si="13"/>
        <v>0</v>
      </c>
      <c r="G222" s="5">
        <f t="shared" si="14"/>
        <v>0</v>
      </c>
      <c r="H222" s="5">
        <f t="shared" si="15"/>
        <v>0</v>
      </c>
    </row>
    <row r="223" spans="5:8" hidden="1" x14ac:dyDescent="0.25">
      <c r="E223" s="5" t="str">
        <f t="shared" si="12"/>
        <v/>
      </c>
      <c r="F223" s="5">
        <f t="shared" si="13"/>
        <v>0</v>
      </c>
      <c r="G223" s="5">
        <f t="shared" si="14"/>
        <v>0</v>
      </c>
      <c r="H223" s="5">
        <f t="shared" si="15"/>
        <v>0</v>
      </c>
    </row>
    <row r="224" spans="5:8" hidden="1" x14ac:dyDescent="0.25">
      <c r="E224" s="5" t="str">
        <f t="shared" si="12"/>
        <v/>
      </c>
      <c r="F224" s="5">
        <f t="shared" si="13"/>
        <v>0</v>
      </c>
      <c r="G224" s="5">
        <f t="shared" si="14"/>
        <v>0</v>
      </c>
      <c r="H224" s="5">
        <f t="shared" si="15"/>
        <v>0</v>
      </c>
    </row>
    <row r="225" spans="5:8" hidden="1" x14ac:dyDescent="0.25">
      <c r="E225" s="5" t="str">
        <f t="shared" si="12"/>
        <v/>
      </c>
      <c r="F225" s="5">
        <f t="shared" si="13"/>
        <v>0</v>
      </c>
      <c r="G225" s="5">
        <f t="shared" si="14"/>
        <v>0</v>
      </c>
      <c r="H225" s="5">
        <f t="shared" si="15"/>
        <v>0</v>
      </c>
    </row>
    <row r="226" spans="5:8" hidden="1" x14ac:dyDescent="0.25">
      <c r="E226" s="5" t="str">
        <f t="shared" si="12"/>
        <v/>
      </c>
      <c r="F226" s="5">
        <f t="shared" si="13"/>
        <v>0</v>
      </c>
      <c r="G226" s="5">
        <f t="shared" si="14"/>
        <v>0</v>
      </c>
      <c r="H226" s="5">
        <f t="shared" si="15"/>
        <v>0</v>
      </c>
    </row>
    <row r="227" spans="5:8" hidden="1" x14ac:dyDescent="0.25">
      <c r="E227" s="5" t="str">
        <f t="shared" si="12"/>
        <v/>
      </c>
      <c r="F227" s="5">
        <f t="shared" si="13"/>
        <v>0</v>
      </c>
      <c r="G227" s="5">
        <f t="shared" si="14"/>
        <v>0</v>
      </c>
      <c r="H227" s="5">
        <f t="shared" si="15"/>
        <v>0</v>
      </c>
    </row>
    <row r="228" spans="5:8" hidden="1" x14ac:dyDescent="0.25">
      <c r="E228" s="5" t="str">
        <f t="shared" si="12"/>
        <v/>
      </c>
      <c r="F228" s="5">
        <f t="shared" si="13"/>
        <v>0</v>
      </c>
      <c r="G228" s="5">
        <f t="shared" si="14"/>
        <v>0</v>
      </c>
      <c r="H228" s="5">
        <f t="shared" si="15"/>
        <v>0</v>
      </c>
    </row>
    <row r="229" spans="5:8" hidden="1" x14ac:dyDescent="0.25">
      <c r="E229" s="5" t="str">
        <f t="shared" si="12"/>
        <v/>
      </c>
      <c r="F229" s="5">
        <f t="shared" si="13"/>
        <v>0</v>
      </c>
      <c r="G229" s="5">
        <f t="shared" si="14"/>
        <v>0</v>
      </c>
      <c r="H229" s="5">
        <f t="shared" si="15"/>
        <v>0</v>
      </c>
    </row>
    <row r="230" spans="5:8" hidden="1" x14ac:dyDescent="0.25">
      <c r="E230" s="5" t="str">
        <f t="shared" si="12"/>
        <v/>
      </c>
      <c r="F230" s="5">
        <f t="shared" si="13"/>
        <v>0</v>
      </c>
      <c r="G230" s="5">
        <f t="shared" si="14"/>
        <v>0</v>
      </c>
      <c r="H230" s="5">
        <f t="shared" si="15"/>
        <v>0</v>
      </c>
    </row>
    <row r="231" spans="5:8" hidden="1" x14ac:dyDescent="0.25">
      <c r="E231" s="5" t="str">
        <f t="shared" si="12"/>
        <v/>
      </c>
      <c r="F231" s="5">
        <f t="shared" si="13"/>
        <v>0</v>
      </c>
      <c r="G231" s="5">
        <f t="shared" si="14"/>
        <v>0</v>
      </c>
      <c r="H231" s="5">
        <f t="shared" si="15"/>
        <v>0</v>
      </c>
    </row>
    <row r="232" spans="5:8" hidden="1" x14ac:dyDescent="0.25">
      <c r="E232" s="5" t="str">
        <f t="shared" si="12"/>
        <v/>
      </c>
      <c r="F232" s="5">
        <f t="shared" si="13"/>
        <v>0</v>
      </c>
      <c r="G232" s="5">
        <f t="shared" si="14"/>
        <v>0</v>
      </c>
      <c r="H232" s="5">
        <f t="shared" si="15"/>
        <v>0</v>
      </c>
    </row>
    <row r="233" spans="5:8" hidden="1" x14ac:dyDescent="0.25">
      <c r="E233" s="5" t="str">
        <f t="shared" si="12"/>
        <v/>
      </c>
      <c r="F233" s="5">
        <f t="shared" si="13"/>
        <v>0</v>
      </c>
      <c r="G233" s="5">
        <f t="shared" si="14"/>
        <v>0</v>
      </c>
      <c r="H233" s="5">
        <f t="shared" si="15"/>
        <v>0</v>
      </c>
    </row>
    <row r="234" spans="5:8" hidden="1" x14ac:dyDescent="0.25">
      <c r="E234" s="5" t="str">
        <f t="shared" si="12"/>
        <v/>
      </c>
      <c r="F234" s="5">
        <f t="shared" si="13"/>
        <v>0</v>
      </c>
      <c r="G234" s="5">
        <f t="shared" si="14"/>
        <v>0</v>
      </c>
      <c r="H234" s="5">
        <f t="shared" si="15"/>
        <v>0</v>
      </c>
    </row>
    <row r="235" spans="5:8" hidden="1" x14ac:dyDescent="0.25">
      <c r="E235" s="5" t="str">
        <f t="shared" si="12"/>
        <v/>
      </c>
      <c r="F235" s="5">
        <f t="shared" si="13"/>
        <v>0</v>
      </c>
      <c r="G235" s="5">
        <f t="shared" si="14"/>
        <v>0</v>
      </c>
      <c r="H235" s="5">
        <f t="shared" si="15"/>
        <v>0</v>
      </c>
    </row>
    <row r="236" spans="5:8" hidden="1" x14ac:dyDescent="0.25">
      <c r="E236" s="5" t="str">
        <f t="shared" si="12"/>
        <v/>
      </c>
      <c r="F236" s="5">
        <f t="shared" si="13"/>
        <v>0</v>
      </c>
      <c r="G236" s="5">
        <f t="shared" si="14"/>
        <v>0</v>
      </c>
      <c r="H236" s="5">
        <f t="shared" si="15"/>
        <v>0</v>
      </c>
    </row>
    <row r="237" spans="5:8" hidden="1" x14ac:dyDescent="0.25">
      <c r="E237" s="5" t="str">
        <f t="shared" si="12"/>
        <v/>
      </c>
      <c r="F237" s="5">
        <f t="shared" si="13"/>
        <v>0</v>
      </c>
      <c r="G237" s="5">
        <f t="shared" si="14"/>
        <v>0</v>
      </c>
      <c r="H237" s="5">
        <f t="shared" si="15"/>
        <v>0</v>
      </c>
    </row>
    <row r="238" spans="5:8" hidden="1" x14ac:dyDescent="0.25">
      <c r="E238" s="5" t="str">
        <f t="shared" si="12"/>
        <v/>
      </c>
      <c r="F238" s="5">
        <f t="shared" si="13"/>
        <v>0</v>
      </c>
      <c r="G238" s="5">
        <f t="shared" si="14"/>
        <v>0</v>
      </c>
      <c r="H238" s="5">
        <f t="shared" si="15"/>
        <v>0</v>
      </c>
    </row>
    <row r="239" spans="5:8" hidden="1" x14ac:dyDescent="0.25">
      <c r="E239" s="5" t="str">
        <f t="shared" si="12"/>
        <v/>
      </c>
      <c r="F239" s="5">
        <f t="shared" si="13"/>
        <v>0</v>
      </c>
      <c r="G239" s="5">
        <f t="shared" si="14"/>
        <v>0</v>
      </c>
      <c r="H239" s="5">
        <f t="shared" si="15"/>
        <v>0</v>
      </c>
    </row>
    <row r="240" spans="5:8" hidden="1" x14ac:dyDescent="0.25">
      <c r="E240" s="5" t="str">
        <f t="shared" si="12"/>
        <v/>
      </c>
      <c r="F240" s="5">
        <f t="shared" si="13"/>
        <v>0</v>
      </c>
      <c r="G240" s="5">
        <f t="shared" si="14"/>
        <v>0</v>
      </c>
      <c r="H240" s="5">
        <f t="shared" si="15"/>
        <v>0</v>
      </c>
    </row>
    <row r="241" spans="5:8" hidden="1" x14ac:dyDescent="0.25">
      <c r="E241" s="5" t="str">
        <f t="shared" si="12"/>
        <v/>
      </c>
      <c r="F241" s="5">
        <f t="shared" si="13"/>
        <v>0</v>
      </c>
      <c r="G241" s="5">
        <f t="shared" si="14"/>
        <v>0</v>
      </c>
      <c r="H241" s="5">
        <f t="shared" si="15"/>
        <v>0</v>
      </c>
    </row>
    <row r="242" spans="5:8" hidden="1" x14ac:dyDescent="0.25">
      <c r="E242" s="5" t="str">
        <f t="shared" si="12"/>
        <v/>
      </c>
      <c r="F242" s="5">
        <f t="shared" si="13"/>
        <v>0</v>
      </c>
      <c r="G242" s="5">
        <f t="shared" si="14"/>
        <v>0</v>
      </c>
      <c r="H242" s="5">
        <f t="shared" si="15"/>
        <v>0</v>
      </c>
    </row>
    <row r="243" spans="5:8" hidden="1" x14ac:dyDescent="0.25">
      <c r="E243" s="5" t="str">
        <f t="shared" si="12"/>
        <v/>
      </c>
      <c r="F243" s="5">
        <f t="shared" si="13"/>
        <v>0</v>
      </c>
      <c r="G243" s="5">
        <f t="shared" si="14"/>
        <v>0</v>
      </c>
      <c r="H243" s="5">
        <f t="shared" si="15"/>
        <v>0</v>
      </c>
    </row>
    <row r="244" spans="5:8" hidden="1" x14ac:dyDescent="0.25">
      <c r="E244" s="5" t="str">
        <f t="shared" si="12"/>
        <v/>
      </c>
      <c r="F244" s="5">
        <f t="shared" si="13"/>
        <v>0</v>
      </c>
      <c r="G244" s="5">
        <f t="shared" si="14"/>
        <v>0</v>
      </c>
      <c r="H244" s="5">
        <f t="shared" si="15"/>
        <v>0</v>
      </c>
    </row>
    <row r="245" spans="5:8" hidden="1" x14ac:dyDescent="0.25">
      <c r="E245" s="5" t="str">
        <f t="shared" si="12"/>
        <v/>
      </c>
      <c r="F245" s="5">
        <f t="shared" si="13"/>
        <v>0</v>
      </c>
      <c r="G245" s="5">
        <f t="shared" si="14"/>
        <v>0</v>
      </c>
      <c r="H245" s="5">
        <f t="shared" si="15"/>
        <v>0</v>
      </c>
    </row>
    <row r="246" spans="5:8" hidden="1" x14ac:dyDescent="0.25">
      <c r="E246" s="5" t="str">
        <f t="shared" si="12"/>
        <v/>
      </c>
      <c r="F246" s="5">
        <f t="shared" si="13"/>
        <v>0</v>
      </c>
      <c r="G246" s="5">
        <f t="shared" si="14"/>
        <v>0</v>
      </c>
      <c r="H246" s="5">
        <f t="shared" si="15"/>
        <v>0</v>
      </c>
    </row>
    <row r="247" spans="5:8" hidden="1" x14ac:dyDescent="0.25">
      <c r="E247" s="5" t="str">
        <f t="shared" si="12"/>
        <v/>
      </c>
      <c r="F247" s="5">
        <f t="shared" si="13"/>
        <v>0</v>
      </c>
      <c r="G247" s="5">
        <f t="shared" si="14"/>
        <v>0</v>
      </c>
      <c r="H247" s="5">
        <f t="shared" si="15"/>
        <v>0</v>
      </c>
    </row>
    <row r="248" spans="5:8" hidden="1" x14ac:dyDescent="0.25">
      <c r="E248" s="5" t="str">
        <f t="shared" si="12"/>
        <v/>
      </c>
      <c r="F248" s="5">
        <f t="shared" si="13"/>
        <v>0</v>
      </c>
      <c r="G248" s="5">
        <f t="shared" si="14"/>
        <v>0</v>
      </c>
      <c r="H248" s="5">
        <f t="shared" si="15"/>
        <v>0</v>
      </c>
    </row>
    <row r="249" spans="5:8" hidden="1" x14ac:dyDescent="0.25">
      <c r="E249" s="5" t="str">
        <f t="shared" si="12"/>
        <v/>
      </c>
      <c r="F249" s="5">
        <f t="shared" si="13"/>
        <v>0</v>
      </c>
      <c r="G249" s="5">
        <f t="shared" si="14"/>
        <v>0</v>
      </c>
      <c r="H249" s="5">
        <f t="shared" si="15"/>
        <v>0</v>
      </c>
    </row>
    <row r="250" spans="5:8" hidden="1" x14ac:dyDescent="0.25">
      <c r="E250" s="5" t="str">
        <f t="shared" si="12"/>
        <v/>
      </c>
      <c r="F250" s="5">
        <f t="shared" si="13"/>
        <v>0</v>
      </c>
      <c r="G250" s="5">
        <f t="shared" si="14"/>
        <v>0</v>
      </c>
      <c r="H250" s="5">
        <f t="shared" si="15"/>
        <v>0</v>
      </c>
    </row>
    <row r="251" spans="5:8" hidden="1" x14ac:dyDescent="0.25">
      <c r="E251" s="5" t="str">
        <f t="shared" si="12"/>
        <v/>
      </c>
      <c r="F251" s="5">
        <f t="shared" si="13"/>
        <v>0</v>
      </c>
      <c r="G251" s="5">
        <f t="shared" si="14"/>
        <v>0</v>
      </c>
      <c r="H251" s="5">
        <f t="shared" si="15"/>
        <v>0</v>
      </c>
    </row>
    <row r="252" spans="5:8" hidden="1" x14ac:dyDescent="0.25">
      <c r="E252" s="5" t="str">
        <f t="shared" si="12"/>
        <v/>
      </c>
      <c r="F252" s="5">
        <f t="shared" si="13"/>
        <v>0</v>
      </c>
      <c r="G252" s="5">
        <f t="shared" si="14"/>
        <v>0</v>
      </c>
      <c r="H252" s="5">
        <f t="shared" si="15"/>
        <v>0</v>
      </c>
    </row>
    <row r="253" spans="5:8" hidden="1" x14ac:dyDescent="0.25">
      <c r="E253" s="5" t="str">
        <f t="shared" si="12"/>
        <v/>
      </c>
      <c r="F253" s="5">
        <f t="shared" si="13"/>
        <v>0</v>
      </c>
      <c r="G253" s="5">
        <f t="shared" si="14"/>
        <v>0</v>
      </c>
      <c r="H253" s="5">
        <f t="shared" si="15"/>
        <v>0</v>
      </c>
    </row>
    <row r="254" spans="5:8" hidden="1" x14ac:dyDescent="0.25">
      <c r="E254" s="5" t="str">
        <f t="shared" si="12"/>
        <v/>
      </c>
      <c r="F254" s="5">
        <f t="shared" si="13"/>
        <v>0</v>
      </c>
      <c r="G254" s="5">
        <f t="shared" si="14"/>
        <v>0</v>
      </c>
      <c r="H254" s="5">
        <f t="shared" si="15"/>
        <v>0</v>
      </c>
    </row>
    <row r="255" spans="5:8" hidden="1" x14ac:dyDescent="0.25">
      <c r="E255" s="5" t="str">
        <f t="shared" si="12"/>
        <v/>
      </c>
      <c r="F255" s="5">
        <f t="shared" si="13"/>
        <v>0</v>
      </c>
      <c r="G255" s="5">
        <f t="shared" si="14"/>
        <v>0</v>
      </c>
      <c r="H255" s="5">
        <f t="shared" si="15"/>
        <v>0</v>
      </c>
    </row>
    <row r="256" spans="5:8" hidden="1" x14ac:dyDescent="0.25">
      <c r="E256" s="5" t="str">
        <f t="shared" ref="E256:E319" si="16">A256&amp;A257</f>
        <v/>
      </c>
      <c r="F256" s="5">
        <f t="shared" ref="F256:F319" si="17">B256</f>
        <v>0</v>
      </c>
      <c r="G256" s="5">
        <f t="shared" ref="G256:G319" si="18">C256</f>
        <v>0</v>
      </c>
      <c r="H256" s="5">
        <f t="shared" ref="H256:H319" si="19">D256</f>
        <v>0</v>
      </c>
    </row>
    <row r="257" spans="5:8" hidden="1" x14ac:dyDescent="0.25">
      <c r="E257" s="5" t="str">
        <f t="shared" si="16"/>
        <v/>
      </c>
      <c r="F257" s="5">
        <f t="shared" si="17"/>
        <v>0</v>
      </c>
      <c r="G257" s="5">
        <f t="shared" si="18"/>
        <v>0</v>
      </c>
      <c r="H257" s="5">
        <f t="shared" si="19"/>
        <v>0</v>
      </c>
    </row>
    <row r="258" spans="5:8" hidden="1" x14ac:dyDescent="0.25">
      <c r="E258" s="5" t="str">
        <f t="shared" si="16"/>
        <v/>
      </c>
      <c r="F258" s="5">
        <f t="shared" si="17"/>
        <v>0</v>
      </c>
      <c r="G258" s="5">
        <f t="shared" si="18"/>
        <v>0</v>
      </c>
      <c r="H258" s="5">
        <f t="shared" si="19"/>
        <v>0</v>
      </c>
    </row>
    <row r="259" spans="5:8" hidden="1" x14ac:dyDescent="0.25">
      <c r="E259" s="5" t="str">
        <f t="shared" si="16"/>
        <v/>
      </c>
      <c r="F259" s="5">
        <f t="shared" si="17"/>
        <v>0</v>
      </c>
      <c r="G259" s="5">
        <f t="shared" si="18"/>
        <v>0</v>
      </c>
      <c r="H259" s="5">
        <f t="shared" si="19"/>
        <v>0</v>
      </c>
    </row>
    <row r="260" spans="5:8" hidden="1" x14ac:dyDescent="0.25">
      <c r="E260" s="5" t="str">
        <f t="shared" si="16"/>
        <v/>
      </c>
      <c r="F260" s="5">
        <f t="shared" si="17"/>
        <v>0</v>
      </c>
      <c r="G260" s="5">
        <f t="shared" si="18"/>
        <v>0</v>
      </c>
      <c r="H260" s="5">
        <f t="shared" si="19"/>
        <v>0</v>
      </c>
    </row>
    <row r="261" spans="5:8" hidden="1" x14ac:dyDescent="0.25">
      <c r="E261" s="5" t="str">
        <f t="shared" si="16"/>
        <v/>
      </c>
      <c r="F261" s="5">
        <f t="shared" si="17"/>
        <v>0</v>
      </c>
      <c r="G261" s="5">
        <f t="shared" si="18"/>
        <v>0</v>
      </c>
      <c r="H261" s="5">
        <f t="shared" si="19"/>
        <v>0</v>
      </c>
    </row>
    <row r="262" spans="5:8" hidden="1" x14ac:dyDescent="0.25">
      <c r="E262" s="5" t="str">
        <f t="shared" si="16"/>
        <v/>
      </c>
      <c r="F262" s="5">
        <f t="shared" si="17"/>
        <v>0</v>
      </c>
      <c r="G262" s="5">
        <f t="shared" si="18"/>
        <v>0</v>
      </c>
      <c r="H262" s="5">
        <f t="shared" si="19"/>
        <v>0</v>
      </c>
    </row>
    <row r="263" spans="5:8" hidden="1" x14ac:dyDescent="0.25">
      <c r="E263" s="5" t="str">
        <f t="shared" si="16"/>
        <v/>
      </c>
      <c r="F263" s="5">
        <f t="shared" si="17"/>
        <v>0</v>
      </c>
      <c r="G263" s="5">
        <f t="shared" si="18"/>
        <v>0</v>
      </c>
      <c r="H263" s="5">
        <f t="shared" si="19"/>
        <v>0</v>
      </c>
    </row>
    <row r="264" spans="5:8" hidden="1" x14ac:dyDescent="0.25">
      <c r="E264" s="5" t="str">
        <f t="shared" si="16"/>
        <v/>
      </c>
      <c r="F264" s="5">
        <f t="shared" si="17"/>
        <v>0</v>
      </c>
      <c r="G264" s="5">
        <f t="shared" si="18"/>
        <v>0</v>
      </c>
      <c r="H264" s="5">
        <f t="shared" si="19"/>
        <v>0</v>
      </c>
    </row>
    <row r="265" spans="5:8" hidden="1" x14ac:dyDescent="0.25">
      <c r="E265" s="5" t="str">
        <f t="shared" si="16"/>
        <v/>
      </c>
      <c r="F265" s="5">
        <f t="shared" si="17"/>
        <v>0</v>
      </c>
      <c r="G265" s="5">
        <f t="shared" si="18"/>
        <v>0</v>
      </c>
      <c r="H265" s="5">
        <f t="shared" si="19"/>
        <v>0</v>
      </c>
    </row>
    <row r="266" spans="5:8" hidden="1" x14ac:dyDescent="0.25">
      <c r="E266" s="5" t="str">
        <f t="shared" si="16"/>
        <v/>
      </c>
      <c r="F266" s="5">
        <f t="shared" si="17"/>
        <v>0</v>
      </c>
      <c r="G266" s="5">
        <f t="shared" si="18"/>
        <v>0</v>
      </c>
      <c r="H266" s="5">
        <f t="shared" si="19"/>
        <v>0</v>
      </c>
    </row>
    <row r="267" spans="5:8" hidden="1" x14ac:dyDescent="0.25">
      <c r="E267" s="5" t="str">
        <f t="shared" si="16"/>
        <v/>
      </c>
      <c r="F267" s="5">
        <f t="shared" si="17"/>
        <v>0</v>
      </c>
      <c r="G267" s="5">
        <f t="shared" si="18"/>
        <v>0</v>
      </c>
      <c r="H267" s="5">
        <f t="shared" si="19"/>
        <v>0</v>
      </c>
    </row>
    <row r="268" spans="5:8" hidden="1" x14ac:dyDescent="0.25">
      <c r="E268" s="5" t="str">
        <f t="shared" si="16"/>
        <v/>
      </c>
      <c r="F268" s="5">
        <f t="shared" si="17"/>
        <v>0</v>
      </c>
      <c r="G268" s="5">
        <f t="shared" si="18"/>
        <v>0</v>
      </c>
      <c r="H268" s="5">
        <f t="shared" si="19"/>
        <v>0</v>
      </c>
    </row>
    <row r="269" spans="5:8" hidden="1" x14ac:dyDescent="0.25">
      <c r="E269" s="5" t="str">
        <f t="shared" si="16"/>
        <v/>
      </c>
      <c r="F269" s="5">
        <f t="shared" si="17"/>
        <v>0</v>
      </c>
      <c r="G269" s="5">
        <f t="shared" si="18"/>
        <v>0</v>
      </c>
      <c r="H269" s="5">
        <f t="shared" si="19"/>
        <v>0</v>
      </c>
    </row>
    <row r="270" spans="5:8" hidden="1" x14ac:dyDescent="0.25">
      <c r="E270" s="5" t="str">
        <f t="shared" si="16"/>
        <v/>
      </c>
      <c r="F270" s="5">
        <f t="shared" si="17"/>
        <v>0</v>
      </c>
      <c r="G270" s="5">
        <f t="shared" si="18"/>
        <v>0</v>
      </c>
      <c r="H270" s="5">
        <f t="shared" si="19"/>
        <v>0</v>
      </c>
    </row>
    <row r="271" spans="5:8" hidden="1" x14ac:dyDescent="0.25">
      <c r="E271" s="5" t="str">
        <f t="shared" si="16"/>
        <v/>
      </c>
      <c r="F271" s="5">
        <f t="shared" si="17"/>
        <v>0</v>
      </c>
      <c r="G271" s="5">
        <f t="shared" si="18"/>
        <v>0</v>
      </c>
      <c r="H271" s="5">
        <f t="shared" si="19"/>
        <v>0</v>
      </c>
    </row>
    <row r="272" spans="5:8" hidden="1" x14ac:dyDescent="0.25">
      <c r="E272" s="5" t="str">
        <f t="shared" si="16"/>
        <v/>
      </c>
      <c r="F272" s="5">
        <f t="shared" si="17"/>
        <v>0</v>
      </c>
      <c r="G272" s="5">
        <f t="shared" si="18"/>
        <v>0</v>
      </c>
      <c r="H272" s="5">
        <f t="shared" si="19"/>
        <v>0</v>
      </c>
    </row>
    <row r="273" spans="5:8" hidden="1" x14ac:dyDescent="0.25">
      <c r="E273" s="5" t="str">
        <f t="shared" si="16"/>
        <v/>
      </c>
      <c r="F273" s="5">
        <f t="shared" si="17"/>
        <v>0</v>
      </c>
      <c r="G273" s="5">
        <f t="shared" si="18"/>
        <v>0</v>
      </c>
      <c r="H273" s="5">
        <f t="shared" si="19"/>
        <v>0</v>
      </c>
    </row>
    <row r="274" spans="5:8" hidden="1" x14ac:dyDescent="0.25">
      <c r="E274" s="5" t="str">
        <f t="shared" si="16"/>
        <v/>
      </c>
      <c r="F274" s="5">
        <f t="shared" si="17"/>
        <v>0</v>
      </c>
      <c r="G274" s="5">
        <f t="shared" si="18"/>
        <v>0</v>
      </c>
      <c r="H274" s="5">
        <f t="shared" si="19"/>
        <v>0</v>
      </c>
    </row>
    <row r="275" spans="5:8" hidden="1" x14ac:dyDescent="0.25">
      <c r="E275" s="5" t="str">
        <f t="shared" si="16"/>
        <v/>
      </c>
      <c r="F275" s="5">
        <f t="shared" si="17"/>
        <v>0</v>
      </c>
      <c r="G275" s="5">
        <f t="shared" si="18"/>
        <v>0</v>
      </c>
      <c r="H275" s="5">
        <f t="shared" si="19"/>
        <v>0</v>
      </c>
    </row>
    <row r="276" spans="5:8" hidden="1" x14ac:dyDescent="0.25">
      <c r="E276" s="5" t="str">
        <f t="shared" si="16"/>
        <v/>
      </c>
      <c r="F276" s="5">
        <f t="shared" si="17"/>
        <v>0</v>
      </c>
      <c r="G276" s="5">
        <f t="shared" si="18"/>
        <v>0</v>
      </c>
      <c r="H276" s="5">
        <f t="shared" si="19"/>
        <v>0</v>
      </c>
    </row>
    <row r="277" spans="5:8" hidden="1" x14ac:dyDescent="0.25">
      <c r="E277" s="5" t="str">
        <f t="shared" si="16"/>
        <v/>
      </c>
      <c r="F277" s="5">
        <f t="shared" si="17"/>
        <v>0</v>
      </c>
      <c r="G277" s="5">
        <f t="shared" si="18"/>
        <v>0</v>
      </c>
      <c r="H277" s="5">
        <f t="shared" si="19"/>
        <v>0</v>
      </c>
    </row>
    <row r="278" spans="5:8" hidden="1" x14ac:dyDescent="0.25">
      <c r="E278" s="5" t="str">
        <f t="shared" si="16"/>
        <v/>
      </c>
      <c r="F278" s="5">
        <f t="shared" si="17"/>
        <v>0</v>
      </c>
      <c r="G278" s="5">
        <f t="shared" si="18"/>
        <v>0</v>
      </c>
      <c r="H278" s="5">
        <f t="shared" si="19"/>
        <v>0</v>
      </c>
    </row>
    <row r="279" spans="5:8" hidden="1" x14ac:dyDescent="0.25">
      <c r="E279" s="5" t="str">
        <f t="shared" si="16"/>
        <v/>
      </c>
      <c r="F279" s="5">
        <f t="shared" si="17"/>
        <v>0</v>
      </c>
      <c r="G279" s="5">
        <f t="shared" si="18"/>
        <v>0</v>
      </c>
      <c r="H279" s="5">
        <f t="shared" si="19"/>
        <v>0</v>
      </c>
    </row>
    <row r="280" spans="5:8" hidden="1" x14ac:dyDescent="0.25">
      <c r="E280" s="5" t="str">
        <f t="shared" si="16"/>
        <v/>
      </c>
      <c r="F280" s="5">
        <f t="shared" si="17"/>
        <v>0</v>
      </c>
      <c r="G280" s="5">
        <f t="shared" si="18"/>
        <v>0</v>
      </c>
      <c r="H280" s="5">
        <f t="shared" si="19"/>
        <v>0</v>
      </c>
    </row>
    <row r="281" spans="5:8" hidden="1" x14ac:dyDescent="0.25">
      <c r="E281" s="5" t="str">
        <f t="shared" si="16"/>
        <v/>
      </c>
      <c r="F281" s="5">
        <f t="shared" si="17"/>
        <v>0</v>
      </c>
      <c r="G281" s="5">
        <f t="shared" si="18"/>
        <v>0</v>
      </c>
      <c r="H281" s="5">
        <f t="shared" si="19"/>
        <v>0</v>
      </c>
    </row>
    <row r="282" spans="5:8" hidden="1" x14ac:dyDescent="0.25">
      <c r="E282" s="5" t="str">
        <f t="shared" si="16"/>
        <v/>
      </c>
      <c r="F282" s="5">
        <f t="shared" si="17"/>
        <v>0</v>
      </c>
      <c r="G282" s="5">
        <f t="shared" si="18"/>
        <v>0</v>
      </c>
      <c r="H282" s="5">
        <f t="shared" si="19"/>
        <v>0</v>
      </c>
    </row>
    <row r="283" spans="5:8" hidden="1" x14ac:dyDescent="0.25">
      <c r="E283" s="5" t="str">
        <f t="shared" si="16"/>
        <v/>
      </c>
      <c r="F283" s="5">
        <f t="shared" si="17"/>
        <v>0</v>
      </c>
      <c r="G283" s="5">
        <f t="shared" si="18"/>
        <v>0</v>
      </c>
      <c r="H283" s="5">
        <f t="shared" si="19"/>
        <v>0</v>
      </c>
    </row>
    <row r="284" spans="5:8" hidden="1" x14ac:dyDescent="0.25">
      <c r="E284" s="5" t="str">
        <f t="shared" si="16"/>
        <v/>
      </c>
      <c r="F284" s="5">
        <f t="shared" si="17"/>
        <v>0</v>
      </c>
      <c r="G284" s="5">
        <f t="shared" si="18"/>
        <v>0</v>
      </c>
      <c r="H284" s="5">
        <f t="shared" si="19"/>
        <v>0</v>
      </c>
    </row>
    <row r="285" spans="5:8" hidden="1" x14ac:dyDescent="0.25">
      <c r="E285" s="5" t="str">
        <f t="shared" si="16"/>
        <v/>
      </c>
      <c r="F285" s="5">
        <f t="shared" si="17"/>
        <v>0</v>
      </c>
      <c r="G285" s="5">
        <f t="shared" si="18"/>
        <v>0</v>
      </c>
      <c r="H285" s="5">
        <f t="shared" si="19"/>
        <v>0</v>
      </c>
    </row>
    <row r="286" spans="5:8" hidden="1" x14ac:dyDescent="0.25">
      <c r="E286" s="5" t="str">
        <f t="shared" si="16"/>
        <v/>
      </c>
      <c r="F286" s="5">
        <f t="shared" si="17"/>
        <v>0</v>
      </c>
      <c r="G286" s="5">
        <f t="shared" si="18"/>
        <v>0</v>
      </c>
      <c r="H286" s="5">
        <f t="shared" si="19"/>
        <v>0</v>
      </c>
    </row>
    <row r="287" spans="5:8" hidden="1" x14ac:dyDescent="0.25">
      <c r="E287" s="5" t="str">
        <f t="shared" si="16"/>
        <v/>
      </c>
      <c r="F287" s="5">
        <f t="shared" si="17"/>
        <v>0</v>
      </c>
      <c r="G287" s="5">
        <f t="shared" si="18"/>
        <v>0</v>
      </c>
      <c r="H287" s="5">
        <f t="shared" si="19"/>
        <v>0</v>
      </c>
    </row>
    <row r="288" spans="5:8" hidden="1" x14ac:dyDescent="0.25">
      <c r="E288" s="5" t="str">
        <f t="shared" si="16"/>
        <v/>
      </c>
      <c r="F288" s="5">
        <f t="shared" si="17"/>
        <v>0</v>
      </c>
      <c r="G288" s="5">
        <f t="shared" si="18"/>
        <v>0</v>
      </c>
      <c r="H288" s="5">
        <f t="shared" si="19"/>
        <v>0</v>
      </c>
    </row>
    <row r="289" spans="5:8" hidden="1" x14ac:dyDescent="0.25">
      <c r="E289" s="5" t="str">
        <f t="shared" si="16"/>
        <v/>
      </c>
      <c r="F289" s="5">
        <f t="shared" si="17"/>
        <v>0</v>
      </c>
      <c r="G289" s="5">
        <f t="shared" si="18"/>
        <v>0</v>
      </c>
      <c r="H289" s="5">
        <f t="shared" si="19"/>
        <v>0</v>
      </c>
    </row>
    <row r="290" spans="5:8" hidden="1" x14ac:dyDescent="0.25">
      <c r="E290" s="5" t="str">
        <f t="shared" si="16"/>
        <v/>
      </c>
      <c r="F290" s="5">
        <f t="shared" si="17"/>
        <v>0</v>
      </c>
      <c r="G290" s="5">
        <f t="shared" si="18"/>
        <v>0</v>
      </c>
      <c r="H290" s="5">
        <f t="shared" si="19"/>
        <v>0</v>
      </c>
    </row>
    <row r="291" spans="5:8" hidden="1" x14ac:dyDescent="0.25">
      <c r="E291" s="5" t="str">
        <f t="shared" si="16"/>
        <v/>
      </c>
      <c r="F291" s="5">
        <f t="shared" si="17"/>
        <v>0</v>
      </c>
      <c r="G291" s="5">
        <f t="shared" si="18"/>
        <v>0</v>
      </c>
      <c r="H291" s="5">
        <f t="shared" si="19"/>
        <v>0</v>
      </c>
    </row>
    <row r="292" spans="5:8" hidden="1" x14ac:dyDescent="0.25">
      <c r="E292" s="5" t="str">
        <f t="shared" si="16"/>
        <v/>
      </c>
      <c r="F292" s="5">
        <f t="shared" si="17"/>
        <v>0</v>
      </c>
      <c r="G292" s="5">
        <f t="shared" si="18"/>
        <v>0</v>
      </c>
      <c r="H292" s="5">
        <f t="shared" si="19"/>
        <v>0</v>
      </c>
    </row>
    <row r="293" spans="5:8" hidden="1" x14ac:dyDescent="0.25">
      <c r="E293" s="5" t="str">
        <f t="shared" si="16"/>
        <v/>
      </c>
      <c r="F293" s="5">
        <f t="shared" si="17"/>
        <v>0</v>
      </c>
      <c r="G293" s="5">
        <f t="shared" si="18"/>
        <v>0</v>
      </c>
      <c r="H293" s="5">
        <f t="shared" si="19"/>
        <v>0</v>
      </c>
    </row>
    <row r="294" spans="5:8" hidden="1" x14ac:dyDescent="0.25">
      <c r="E294" s="5" t="str">
        <f t="shared" si="16"/>
        <v/>
      </c>
      <c r="F294" s="5">
        <f t="shared" si="17"/>
        <v>0</v>
      </c>
      <c r="G294" s="5">
        <f t="shared" si="18"/>
        <v>0</v>
      </c>
      <c r="H294" s="5">
        <f t="shared" si="19"/>
        <v>0</v>
      </c>
    </row>
    <row r="295" spans="5:8" hidden="1" x14ac:dyDescent="0.25">
      <c r="E295" s="5" t="str">
        <f t="shared" si="16"/>
        <v/>
      </c>
      <c r="F295" s="5">
        <f t="shared" si="17"/>
        <v>0</v>
      </c>
      <c r="G295" s="5">
        <f t="shared" si="18"/>
        <v>0</v>
      </c>
      <c r="H295" s="5">
        <f t="shared" si="19"/>
        <v>0</v>
      </c>
    </row>
    <row r="296" spans="5:8" hidden="1" x14ac:dyDescent="0.25">
      <c r="E296" s="5" t="str">
        <f t="shared" si="16"/>
        <v/>
      </c>
      <c r="F296" s="5">
        <f t="shared" si="17"/>
        <v>0</v>
      </c>
      <c r="G296" s="5">
        <f t="shared" si="18"/>
        <v>0</v>
      </c>
      <c r="H296" s="5">
        <f t="shared" si="19"/>
        <v>0</v>
      </c>
    </row>
    <row r="297" spans="5:8" hidden="1" x14ac:dyDescent="0.25">
      <c r="E297" s="5" t="str">
        <f t="shared" si="16"/>
        <v/>
      </c>
      <c r="F297" s="5">
        <f t="shared" si="17"/>
        <v>0</v>
      </c>
      <c r="G297" s="5">
        <f t="shared" si="18"/>
        <v>0</v>
      </c>
      <c r="H297" s="5">
        <f t="shared" si="19"/>
        <v>0</v>
      </c>
    </row>
    <row r="298" spans="5:8" hidden="1" x14ac:dyDescent="0.25">
      <c r="E298" s="5" t="str">
        <f t="shared" si="16"/>
        <v/>
      </c>
      <c r="F298" s="5">
        <f t="shared" si="17"/>
        <v>0</v>
      </c>
      <c r="G298" s="5">
        <f t="shared" si="18"/>
        <v>0</v>
      </c>
      <c r="H298" s="5">
        <f t="shared" si="19"/>
        <v>0</v>
      </c>
    </row>
    <row r="299" spans="5:8" hidden="1" x14ac:dyDescent="0.25">
      <c r="E299" s="5" t="str">
        <f t="shared" si="16"/>
        <v/>
      </c>
      <c r="F299" s="5">
        <f t="shared" si="17"/>
        <v>0</v>
      </c>
      <c r="G299" s="5">
        <f t="shared" si="18"/>
        <v>0</v>
      </c>
      <c r="H299" s="5">
        <f t="shared" si="19"/>
        <v>0</v>
      </c>
    </row>
    <row r="300" spans="5:8" hidden="1" x14ac:dyDescent="0.25">
      <c r="E300" s="5" t="str">
        <f t="shared" si="16"/>
        <v/>
      </c>
      <c r="F300" s="5">
        <f t="shared" si="17"/>
        <v>0</v>
      </c>
      <c r="G300" s="5">
        <f t="shared" si="18"/>
        <v>0</v>
      </c>
      <c r="H300" s="5">
        <f t="shared" si="19"/>
        <v>0</v>
      </c>
    </row>
    <row r="301" spans="5:8" hidden="1" x14ac:dyDescent="0.25">
      <c r="E301" s="5" t="str">
        <f t="shared" si="16"/>
        <v/>
      </c>
      <c r="F301" s="5">
        <f t="shared" si="17"/>
        <v>0</v>
      </c>
      <c r="G301" s="5">
        <f t="shared" si="18"/>
        <v>0</v>
      </c>
      <c r="H301" s="5">
        <f t="shared" si="19"/>
        <v>0</v>
      </c>
    </row>
    <row r="302" spans="5:8" hidden="1" x14ac:dyDescent="0.25">
      <c r="E302" s="5" t="str">
        <f t="shared" si="16"/>
        <v/>
      </c>
      <c r="F302" s="5">
        <f t="shared" si="17"/>
        <v>0</v>
      </c>
      <c r="G302" s="5">
        <f t="shared" si="18"/>
        <v>0</v>
      </c>
      <c r="H302" s="5">
        <f t="shared" si="19"/>
        <v>0</v>
      </c>
    </row>
    <row r="303" spans="5:8" hidden="1" x14ac:dyDescent="0.25">
      <c r="E303" s="5" t="str">
        <f t="shared" si="16"/>
        <v/>
      </c>
      <c r="F303" s="5">
        <f t="shared" si="17"/>
        <v>0</v>
      </c>
      <c r="G303" s="5">
        <f t="shared" si="18"/>
        <v>0</v>
      </c>
      <c r="H303" s="5">
        <f t="shared" si="19"/>
        <v>0</v>
      </c>
    </row>
    <row r="304" spans="5:8" hidden="1" x14ac:dyDescent="0.25">
      <c r="E304" s="5" t="str">
        <f t="shared" si="16"/>
        <v/>
      </c>
      <c r="F304" s="5">
        <f t="shared" si="17"/>
        <v>0</v>
      </c>
      <c r="G304" s="5">
        <f t="shared" si="18"/>
        <v>0</v>
      </c>
      <c r="H304" s="5">
        <f t="shared" si="19"/>
        <v>0</v>
      </c>
    </row>
    <row r="305" spans="5:8" hidden="1" x14ac:dyDescent="0.25">
      <c r="E305" s="5" t="str">
        <f t="shared" si="16"/>
        <v/>
      </c>
      <c r="F305" s="5">
        <f t="shared" si="17"/>
        <v>0</v>
      </c>
      <c r="G305" s="5">
        <f t="shared" si="18"/>
        <v>0</v>
      </c>
      <c r="H305" s="5">
        <f t="shared" si="19"/>
        <v>0</v>
      </c>
    </row>
    <row r="306" spans="5:8" hidden="1" x14ac:dyDescent="0.25">
      <c r="E306" s="5" t="str">
        <f t="shared" si="16"/>
        <v/>
      </c>
      <c r="F306" s="5">
        <f t="shared" si="17"/>
        <v>0</v>
      </c>
      <c r="G306" s="5">
        <f t="shared" si="18"/>
        <v>0</v>
      </c>
      <c r="H306" s="5">
        <f t="shared" si="19"/>
        <v>0</v>
      </c>
    </row>
    <row r="307" spans="5:8" hidden="1" x14ac:dyDescent="0.25">
      <c r="E307" s="5" t="str">
        <f t="shared" si="16"/>
        <v/>
      </c>
      <c r="F307" s="5">
        <f t="shared" si="17"/>
        <v>0</v>
      </c>
      <c r="G307" s="5">
        <f t="shared" si="18"/>
        <v>0</v>
      </c>
      <c r="H307" s="5">
        <f t="shared" si="19"/>
        <v>0</v>
      </c>
    </row>
    <row r="308" spans="5:8" hidden="1" x14ac:dyDescent="0.25">
      <c r="E308" s="5" t="str">
        <f t="shared" si="16"/>
        <v/>
      </c>
      <c r="F308" s="5">
        <f t="shared" si="17"/>
        <v>0</v>
      </c>
      <c r="G308" s="5">
        <f t="shared" si="18"/>
        <v>0</v>
      </c>
      <c r="H308" s="5">
        <f t="shared" si="19"/>
        <v>0</v>
      </c>
    </row>
    <row r="309" spans="5:8" hidden="1" x14ac:dyDescent="0.25">
      <c r="E309" s="5" t="str">
        <f t="shared" si="16"/>
        <v/>
      </c>
      <c r="F309" s="5">
        <f t="shared" si="17"/>
        <v>0</v>
      </c>
      <c r="G309" s="5">
        <f t="shared" si="18"/>
        <v>0</v>
      </c>
      <c r="H309" s="5">
        <f t="shared" si="19"/>
        <v>0</v>
      </c>
    </row>
    <row r="310" spans="5:8" hidden="1" x14ac:dyDescent="0.25">
      <c r="E310" s="5" t="str">
        <f t="shared" si="16"/>
        <v/>
      </c>
      <c r="F310" s="5">
        <f t="shared" si="17"/>
        <v>0</v>
      </c>
      <c r="G310" s="5">
        <f t="shared" si="18"/>
        <v>0</v>
      </c>
      <c r="H310" s="5">
        <f t="shared" si="19"/>
        <v>0</v>
      </c>
    </row>
    <row r="311" spans="5:8" hidden="1" x14ac:dyDescent="0.25">
      <c r="E311" s="5" t="str">
        <f t="shared" si="16"/>
        <v/>
      </c>
      <c r="F311" s="5">
        <f t="shared" si="17"/>
        <v>0</v>
      </c>
      <c r="G311" s="5">
        <f t="shared" si="18"/>
        <v>0</v>
      </c>
      <c r="H311" s="5">
        <f t="shared" si="19"/>
        <v>0</v>
      </c>
    </row>
    <row r="312" spans="5:8" hidden="1" x14ac:dyDescent="0.25">
      <c r="E312" s="5" t="str">
        <f t="shared" si="16"/>
        <v/>
      </c>
      <c r="F312" s="5">
        <f t="shared" si="17"/>
        <v>0</v>
      </c>
      <c r="G312" s="5">
        <f t="shared" si="18"/>
        <v>0</v>
      </c>
      <c r="H312" s="5">
        <f t="shared" si="19"/>
        <v>0</v>
      </c>
    </row>
    <row r="313" spans="5:8" hidden="1" x14ac:dyDescent="0.25">
      <c r="E313" s="5" t="str">
        <f t="shared" si="16"/>
        <v/>
      </c>
      <c r="F313" s="5">
        <f t="shared" si="17"/>
        <v>0</v>
      </c>
      <c r="G313" s="5">
        <f t="shared" si="18"/>
        <v>0</v>
      </c>
      <c r="H313" s="5">
        <f t="shared" si="19"/>
        <v>0</v>
      </c>
    </row>
    <row r="314" spans="5:8" hidden="1" x14ac:dyDescent="0.25">
      <c r="E314" s="5" t="str">
        <f t="shared" si="16"/>
        <v/>
      </c>
      <c r="F314" s="5">
        <f t="shared" si="17"/>
        <v>0</v>
      </c>
      <c r="G314" s="5">
        <f t="shared" si="18"/>
        <v>0</v>
      </c>
      <c r="H314" s="5">
        <f t="shared" si="19"/>
        <v>0</v>
      </c>
    </row>
    <row r="315" spans="5:8" hidden="1" x14ac:dyDescent="0.25">
      <c r="E315" s="5" t="str">
        <f t="shared" si="16"/>
        <v/>
      </c>
      <c r="F315" s="5">
        <f t="shared" si="17"/>
        <v>0</v>
      </c>
      <c r="G315" s="5">
        <f t="shared" si="18"/>
        <v>0</v>
      </c>
      <c r="H315" s="5">
        <f t="shared" si="19"/>
        <v>0</v>
      </c>
    </row>
    <row r="316" spans="5:8" hidden="1" x14ac:dyDescent="0.25">
      <c r="E316" s="5" t="str">
        <f t="shared" si="16"/>
        <v/>
      </c>
      <c r="F316" s="5">
        <f t="shared" si="17"/>
        <v>0</v>
      </c>
      <c r="G316" s="5">
        <f t="shared" si="18"/>
        <v>0</v>
      </c>
      <c r="H316" s="5">
        <f t="shared" si="19"/>
        <v>0</v>
      </c>
    </row>
    <row r="317" spans="5:8" hidden="1" x14ac:dyDescent="0.25">
      <c r="E317" s="5" t="str">
        <f t="shared" si="16"/>
        <v/>
      </c>
      <c r="F317" s="5">
        <f t="shared" si="17"/>
        <v>0</v>
      </c>
      <c r="G317" s="5">
        <f t="shared" si="18"/>
        <v>0</v>
      </c>
      <c r="H317" s="5">
        <f t="shared" si="19"/>
        <v>0</v>
      </c>
    </row>
    <row r="318" spans="5:8" hidden="1" x14ac:dyDescent="0.25">
      <c r="E318" s="5" t="str">
        <f t="shared" si="16"/>
        <v/>
      </c>
      <c r="F318" s="5">
        <f t="shared" si="17"/>
        <v>0</v>
      </c>
      <c r="G318" s="5">
        <f t="shared" si="18"/>
        <v>0</v>
      </c>
      <c r="H318" s="5">
        <f t="shared" si="19"/>
        <v>0</v>
      </c>
    </row>
    <row r="319" spans="5:8" hidden="1" x14ac:dyDescent="0.25">
      <c r="E319" s="5" t="str">
        <f t="shared" si="16"/>
        <v/>
      </c>
      <c r="F319" s="5">
        <f t="shared" si="17"/>
        <v>0</v>
      </c>
      <c r="G319" s="5">
        <f t="shared" si="18"/>
        <v>0</v>
      </c>
      <c r="H319" s="5">
        <f t="shared" si="19"/>
        <v>0</v>
      </c>
    </row>
    <row r="320" spans="5:8" hidden="1" x14ac:dyDescent="0.25">
      <c r="E320" s="5" t="str">
        <f t="shared" ref="E320:E383" si="20">A320&amp;A321</f>
        <v/>
      </c>
      <c r="F320" s="5">
        <f t="shared" ref="F320:F383" si="21">B320</f>
        <v>0</v>
      </c>
      <c r="G320" s="5">
        <f t="shared" ref="G320:G383" si="22">C320</f>
        <v>0</v>
      </c>
      <c r="H320" s="5">
        <f t="shared" ref="H320:H383" si="23">D320</f>
        <v>0</v>
      </c>
    </row>
    <row r="321" spans="5:8" hidden="1" x14ac:dyDescent="0.25">
      <c r="E321" s="5" t="str">
        <f t="shared" si="20"/>
        <v/>
      </c>
      <c r="F321" s="5">
        <f t="shared" si="21"/>
        <v>0</v>
      </c>
      <c r="G321" s="5">
        <f t="shared" si="22"/>
        <v>0</v>
      </c>
      <c r="H321" s="5">
        <f t="shared" si="23"/>
        <v>0</v>
      </c>
    </row>
    <row r="322" spans="5:8" hidden="1" x14ac:dyDescent="0.25">
      <c r="E322" s="5" t="str">
        <f t="shared" si="20"/>
        <v/>
      </c>
      <c r="F322" s="5">
        <f t="shared" si="21"/>
        <v>0</v>
      </c>
      <c r="G322" s="5">
        <f t="shared" si="22"/>
        <v>0</v>
      </c>
      <c r="H322" s="5">
        <f t="shared" si="23"/>
        <v>0</v>
      </c>
    </row>
    <row r="323" spans="5:8" hidden="1" x14ac:dyDescent="0.25">
      <c r="E323" s="5" t="str">
        <f t="shared" si="20"/>
        <v/>
      </c>
      <c r="F323" s="5">
        <f t="shared" si="21"/>
        <v>0</v>
      </c>
      <c r="G323" s="5">
        <f t="shared" si="22"/>
        <v>0</v>
      </c>
      <c r="H323" s="5">
        <f t="shared" si="23"/>
        <v>0</v>
      </c>
    </row>
    <row r="324" spans="5:8" hidden="1" x14ac:dyDescent="0.25">
      <c r="E324" s="5" t="str">
        <f t="shared" si="20"/>
        <v/>
      </c>
      <c r="F324" s="5">
        <f t="shared" si="21"/>
        <v>0</v>
      </c>
      <c r="G324" s="5">
        <f t="shared" si="22"/>
        <v>0</v>
      </c>
      <c r="H324" s="5">
        <f t="shared" si="23"/>
        <v>0</v>
      </c>
    </row>
    <row r="325" spans="5:8" hidden="1" x14ac:dyDescent="0.25">
      <c r="E325" s="5" t="str">
        <f t="shared" si="20"/>
        <v/>
      </c>
      <c r="F325" s="5">
        <f t="shared" si="21"/>
        <v>0</v>
      </c>
      <c r="G325" s="5">
        <f t="shared" si="22"/>
        <v>0</v>
      </c>
      <c r="H325" s="5">
        <f t="shared" si="23"/>
        <v>0</v>
      </c>
    </row>
    <row r="326" spans="5:8" hidden="1" x14ac:dyDescent="0.25">
      <c r="E326" s="5" t="str">
        <f t="shared" si="20"/>
        <v/>
      </c>
      <c r="F326" s="5">
        <f t="shared" si="21"/>
        <v>0</v>
      </c>
      <c r="G326" s="5">
        <f t="shared" si="22"/>
        <v>0</v>
      </c>
      <c r="H326" s="5">
        <f t="shared" si="23"/>
        <v>0</v>
      </c>
    </row>
    <row r="327" spans="5:8" hidden="1" x14ac:dyDescent="0.25">
      <c r="E327" s="5" t="str">
        <f t="shared" si="20"/>
        <v/>
      </c>
      <c r="F327" s="5">
        <f t="shared" si="21"/>
        <v>0</v>
      </c>
      <c r="G327" s="5">
        <f t="shared" si="22"/>
        <v>0</v>
      </c>
      <c r="H327" s="5">
        <f t="shared" si="23"/>
        <v>0</v>
      </c>
    </row>
    <row r="328" spans="5:8" hidden="1" x14ac:dyDescent="0.25">
      <c r="E328" s="5" t="str">
        <f t="shared" si="20"/>
        <v/>
      </c>
      <c r="F328" s="5">
        <f t="shared" si="21"/>
        <v>0</v>
      </c>
      <c r="G328" s="5">
        <f t="shared" si="22"/>
        <v>0</v>
      </c>
      <c r="H328" s="5">
        <f t="shared" si="23"/>
        <v>0</v>
      </c>
    </row>
    <row r="329" spans="5:8" hidden="1" x14ac:dyDescent="0.25">
      <c r="E329" s="5" t="str">
        <f t="shared" si="20"/>
        <v/>
      </c>
      <c r="F329" s="5">
        <f t="shared" si="21"/>
        <v>0</v>
      </c>
      <c r="G329" s="5">
        <f t="shared" si="22"/>
        <v>0</v>
      </c>
      <c r="H329" s="5">
        <f t="shared" si="23"/>
        <v>0</v>
      </c>
    </row>
    <row r="330" spans="5:8" hidden="1" x14ac:dyDescent="0.25">
      <c r="E330" s="5" t="str">
        <f t="shared" si="20"/>
        <v/>
      </c>
      <c r="F330" s="5">
        <f t="shared" si="21"/>
        <v>0</v>
      </c>
      <c r="G330" s="5">
        <f t="shared" si="22"/>
        <v>0</v>
      </c>
      <c r="H330" s="5">
        <f t="shared" si="23"/>
        <v>0</v>
      </c>
    </row>
    <row r="331" spans="5:8" hidden="1" x14ac:dyDescent="0.25">
      <c r="E331" s="5" t="str">
        <f t="shared" si="20"/>
        <v/>
      </c>
      <c r="F331" s="5">
        <f t="shared" si="21"/>
        <v>0</v>
      </c>
      <c r="G331" s="5">
        <f t="shared" si="22"/>
        <v>0</v>
      </c>
      <c r="H331" s="5">
        <f t="shared" si="23"/>
        <v>0</v>
      </c>
    </row>
    <row r="332" spans="5:8" hidden="1" x14ac:dyDescent="0.25">
      <c r="E332" s="5" t="str">
        <f t="shared" si="20"/>
        <v/>
      </c>
      <c r="F332" s="5">
        <f t="shared" si="21"/>
        <v>0</v>
      </c>
      <c r="G332" s="5">
        <f t="shared" si="22"/>
        <v>0</v>
      </c>
      <c r="H332" s="5">
        <f t="shared" si="23"/>
        <v>0</v>
      </c>
    </row>
    <row r="333" spans="5:8" hidden="1" x14ac:dyDescent="0.25">
      <c r="E333" s="5" t="str">
        <f t="shared" si="20"/>
        <v/>
      </c>
      <c r="F333" s="5">
        <f t="shared" si="21"/>
        <v>0</v>
      </c>
      <c r="G333" s="5">
        <f t="shared" si="22"/>
        <v>0</v>
      </c>
      <c r="H333" s="5">
        <f t="shared" si="23"/>
        <v>0</v>
      </c>
    </row>
    <row r="334" spans="5:8" hidden="1" x14ac:dyDescent="0.25">
      <c r="E334" s="5" t="str">
        <f t="shared" si="20"/>
        <v/>
      </c>
      <c r="F334" s="5">
        <f t="shared" si="21"/>
        <v>0</v>
      </c>
      <c r="G334" s="5">
        <f t="shared" si="22"/>
        <v>0</v>
      </c>
      <c r="H334" s="5">
        <f t="shared" si="23"/>
        <v>0</v>
      </c>
    </row>
    <row r="335" spans="5:8" hidden="1" x14ac:dyDescent="0.25">
      <c r="E335" s="5" t="str">
        <f t="shared" si="20"/>
        <v/>
      </c>
      <c r="F335" s="5">
        <f t="shared" si="21"/>
        <v>0</v>
      </c>
      <c r="G335" s="5">
        <f t="shared" si="22"/>
        <v>0</v>
      </c>
      <c r="H335" s="5">
        <f t="shared" si="23"/>
        <v>0</v>
      </c>
    </row>
    <row r="336" spans="5:8" hidden="1" x14ac:dyDescent="0.25">
      <c r="E336" s="5" t="str">
        <f t="shared" si="20"/>
        <v/>
      </c>
      <c r="F336" s="5">
        <f t="shared" si="21"/>
        <v>0</v>
      </c>
      <c r="G336" s="5">
        <f t="shared" si="22"/>
        <v>0</v>
      </c>
      <c r="H336" s="5">
        <f t="shared" si="23"/>
        <v>0</v>
      </c>
    </row>
    <row r="337" spans="5:8" hidden="1" x14ac:dyDescent="0.25">
      <c r="E337" s="5" t="str">
        <f t="shared" si="20"/>
        <v/>
      </c>
      <c r="F337" s="5">
        <f t="shared" si="21"/>
        <v>0</v>
      </c>
      <c r="G337" s="5">
        <f t="shared" si="22"/>
        <v>0</v>
      </c>
      <c r="H337" s="5">
        <f t="shared" si="23"/>
        <v>0</v>
      </c>
    </row>
    <row r="338" spans="5:8" hidden="1" x14ac:dyDescent="0.25">
      <c r="E338" s="5" t="str">
        <f t="shared" si="20"/>
        <v/>
      </c>
      <c r="F338" s="5">
        <f t="shared" si="21"/>
        <v>0</v>
      </c>
      <c r="G338" s="5">
        <f t="shared" si="22"/>
        <v>0</v>
      </c>
      <c r="H338" s="5">
        <f t="shared" si="23"/>
        <v>0</v>
      </c>
    </row>
    <row r="339" spans="5:8" hidden="1" x14ac:dyDescent="0.25">
      <c r="E339" s="5" t="str">
        <f t="shared" si="20"/>
        <v/>
      </c>
      <c r="F339" s="5">
        <f t="shared" si="21"/>
        <v>0</v>
      </c>
      <c r="G339" s="5">
        <f t="shared" si="22"/>
        <v>0</v>
      </c>
      <c r="H339" s="5">
        <f t="shared" si="23"/>
        <v>0</v>
      </c>
    </row>
    <row r="340" spans="5:8" hidden="1" x14ac:dyDescent="0.25">
      <c r="E340" s="5" t="str">
        <f t="shared" si="20"/>
        <v/>
      </c>
      <c r="F340" s="5">
        <f t="shared" si="21"/>
        <v>0</v>
      </c>
      <c r="G340" s="5">
        <f t="shared" si="22"/>
        <v>0</v>
      </c>
      <c r="H340" s="5">
        <f t="shared" si="23"/>
        <v>0</v>
      </c>
    </row>
    <row r="341" spans="5:8" hidden="1" x14ac:dyDescent="0.25">
      <c r="E341" s="5" t="str">
        <f t="shared" si="20"/>
        <v/>
      </c>
      <c r="F341" s="5">
        <f t="shared" si="21"/>
        <v>0</v>
      </c>
      <c r="G341" s="5">
        <f t="shared" si="22"/>
        <v>0</v>
      </c>
      <c r="H341" s="5">
        <f t="shared" si="23"/>
        <v>0</v>
      </c>
    </row>
    <row r="342" spans="5:8" hidden="1" x14ac:dyDescent="0.25">
      <c r="E342" s="5" t="str">
        <f t="shared" si="20"/>
        <v/>
      </c>
      <c r="F342" s="5">
        <f t="shared" si="21"/>
        <v>0</v>
      </c>
      <c r="G342" s="5">
        <f t="shared" si="22"/>
        <v>0</v>
      </c>
      <c r="H342" s="5">
        <f t="shared" si="23"/>
        <v>0</v>
      </c>
    </row>
    <row r="343" spans="5:8" hidden="1" x14ac:dyDescent="0.25">
      <c r="E343" s="5" t="str">
        <f t="shared" si="20"/>
        <v/>
      </c>
      <c r="F343" s="5">
        <f t="shared" si="21"/>
        <v>0</v>
      </c>
      <c r="G343" s="5">
        <f t="shared" si="22"/>
        <v>0</v>
      </c>
      <c r="H343" s="5">
        <f t="shared" si="23"/>
        <v>0</v>
      </c>
    </row>
    <row r="344" spans="5:8" hidden="1" x14ac:dyDescent="0.25">
      <c r="E344" s="5" t="str">
        <f t="shared" si="20"/>
        <v/>
      </c>
      <c r="F344" s="5">
        <f t="shared" si="21"/>
        <v>0</v>
      </c>
      <c r="G344" s="5">
        <f t="shared" si="22"/>
        <v>0</v>
      </c>
      <c r="H344" s="5">
        <f t="shared" si="23"/>
        <v>0</v>
      </c>
    </row>
    <row r="345" spans="5:8" hidden="1" x14ac:dyDescent="0.25">
      <c r="E345" s="5" t="str">
        <f t="shared" si="20"/>
        <v/>
      </c>
      <c r="F345" s="5">
        <f t="shared" si="21"/>
        <v>0</v>
      </c>
      <c r="G345" s="5">
        <f t="shared" si="22"/>
        <v>0</v>
      </c>
      <c r="H345" s="5">
        <f t="shared" si="23"/>
        <v>0</v>
      </c>
    </row>
    <row r="346" spans="5:8" hidden="1" x14ac:dyDescent="0.25">
      <c r="E346" s="5" t="str">
        <f t="shared" si="20"/>
        <v/>
      </c>
      <c r="F346" s="5">
        <f t="shared" si="21"/>
        <v>0</v>
      </c>
      <c r="G346" s="5">
        <f t="shared" si="22"/>
        <v>0</v>
      </c>
      <c r="H346" s="5">
        <f t="shared" si="23"/>
        <v>0</v>
      </c>
    </row>
    <row r="347" spans="5:8" hidden="1" x14ac:dyDescent="0.25">
      <c r="E347" s="5" t="str">
        <f t="shared" si="20"/>
        <v/>
      </c>
      <c r="F347" s="5">
        <f t="shared" si="21"/>
        <v>0</v>
      </c>
      <c r="G347" s="5">
        <f t="shared" si="22"/>
        <v>0</v>
      </c>
      <c r="H347" s="5">
        <f t="shared" si="23"/>
        <v>0</v>
      </c>
    </row>
    <row r="348" spans="5:8" hidden="1" x14ac:dyDescent="0.25">
      <c r="E348" s="5" t="str">
        <f t="shared" si="20"/>
        <v/>
      </c>
      <c r="F348" s="5">
        <f t="shared" si="21"/>
        <v>0</v>
      </c>
      <c r="G348" s="5">
        <f t="shared" si="22"/>
        <v>0</v>
      </c>
      <c r="H348" s="5">
        <f t="shared" si="23"/>
        <v>0</v>
      </c>
    </row>
    <row r="349" spans="5:8" hidden="1" x14ac:dyDescent="0.25">
      <c r="E349" s="5" t="str">
        <f t="shared" si="20"/>
        <v/>
      </c>
      <c r="F349" s="5">
        <f t="shared" si="21"/>
        <v>0</v>
      </c>
      <c r="G349" s="5">
        <f t="shared" si="22"/>
        <v>0</v>
      </c>
      <c r="H349" s="5">
        <f t="shared" si="23"/>
        <v>0</v>
      </c>
    </row>
    <row r="350" spans="5:8" hidden="1" x14ac:dyDescent="0.25">
      <c r="E350" s="5" t="str">
        <f t="shared" si="20"/>
        <v/>
      </c>
      <c r="F350" s="5">
        <f t="shared" si="21"/>
        <v>0</v>
      </c>
      <c r="G350" s="5">
        <f t="shared" si="22"/>
        <v>0</v>
      </c>
      <c r="H350" s="5">
        <f t="shared" si="23"/>
        <v>0</v>
      </c>
    </row>
    <row r="351" spans="5:8" hidden="1" x14ac:dyDescent="0.25">
      <c r="E351" s="5" t="str">
        <f t="shared" si="20"/>
        <v/>
      </c>
      <c r="F351" s="5">
        <f t="shared" si="21"/>
        <v>0</v>
      </c>
      <c r="G351" s="5">
        <f t="shared" si="22"/>
        <v>0</v>
      </c>
      <c r="H351" s="5">
        <f t="shared" si="23"/>
        <v>0</v>
      </c>
    </row>
    <row r="352" spans="5:8" hidden="1" x14ac:dyDescent="0.25">
      <c r="E352" s="5" t="str">
        <f t="shared" si="20"/>
        <v/>
      </c>
      <c r="F352" s="5">
        <f t="shared" si="21"/>
        <v>0</v>
      </c>
      <c r="G352" s="5">
        <f t="shared" si="22"/>
        <v>0</v>
      </c>
      <c r="H352" s="5">
        <f t="shared" si="23"/>
        <v>0</v>
      </c>
    </row>
    <row r="353" spans="5:8" hidden="1" x14ac:dyDescent="0.25">
      <c r="E353" s="5" t="str">
        <f t="shared" si="20"/>
        <v/>
      </c>
      <c r="F353" s="5">
        <f t="shared" si="21"/>
        <v>0</v>
      </c>
      <c r="G353" s="5">
        <f t="shared" si="22"/>
        <v>0</v>
      </c>
      <c r="H353" s="5">
        <f t="shared" si="23"/>
        <v>0</v>
      </c>
    </row>
    <row r="354" spans="5:8" hidden="1" x14ac:dyDescent="0.25">
      <c r="E354" s="5" t="str">
        <f t="shared" si="20"/>
        <v/>
      </c>
      <c r="F354" s="5">
        <f t="shared" si="21"/>
        <v>0</v>
      </c>
      <c r="G354" s="5">
        <f t="shared" si="22"/>
        <v>0</v>
      </c>
      <c r="H354" s="5">
        <f t="shared" si="23"/>
        <v>0</v>
      </c>
    </row>
    <row r="355" spans="5:8" hidden="1" x14ac:dyDescent="0.25">
      <c r="E355" s="5" t="str">
        <f t="shared" si="20"/>
        <v/>
      </c>
      <c r="F355" s="5">
        <f t="shared" si="21"/>
        <v>0</v>
      </c>
      <c r="G355" s="5">
        <f t="shared" si="22"/>
        <v>0</v>
      </c>
      <c r="H355" s="5">
        <f t="shared" si="23"/>
        <v>0</v>
      </c>
    </row>
    <row r="356" spans="5:8" hidden="1" x14ac:dyDescent="0.25">
      <c r="E356" s="5" t="str">
        <f t="shared" si="20"/>
        <v/>
      </c>
      <c r="F356" s="5">
        <f t="shared" si="21"/>
        <v>0</v>
      </c>
      <c r="G356" s="5">
        <f t="shared" si="22"/>
        <v>0</v>
      </c>
      <c r="H356" s="5">
        <f t="shared" si="23"/>
        <v>0</v>
      </c>
    </row>
    <row r="357" spans="5:8" hidden="1" x14ac:dyDescent="0.25">
      <c r="E357" s="5" t="str">
        <f t="shared" si="20"/>
        <v/>
      </c>
      <c r="F357" s="5">
        <f t="shared" si="21"/>
        <v>0</v>
      </c>
      <c r="G357" s="5">
        <f t="shared" si="22"/>
        <v>0</v>
      </c>
      <c r="H357" s="5">
        <f t="shared" si="23"/>
        <v>0</v>
      </c>
    </row>
    <row r="358" spans="5:8" hidden="1" x14ac:dyDescent="0.25">
      <c r="E358" s="5" t="str">
        <f t="shared" si="20"/>
        <v/>
      </c>
      <c r="F358" s="5">
        <f t="shared" si="21"/>
        <v>0</v>
      </c>
      <c r="G358" s="5">
        <f t="shared" si="22"/>
        <v>0</v>
      </c>
      <c r="H358" s="5">
        <f t="shared" si="23"/>
        <v>0</v>
      </c>
    </row>
    <row r="359" spans="5:8" hidden="1" x14ac:dyDescent="0.25">
      <c r="E359" s="5" t="str">
        <f t="shared" si="20"/>
        <v/>
      </c>
      <c r="F359" s="5">
        <f t="shared" si="21"/>
        <v>0</v>
      </c>
      <c r="G359" s="5">
        <f t="shared" si="22"/>
        <v>0</v>
      </c>
      <c r="H359" s="5">
        <f t="shared" si="23"/>
        <v>0</v>
      </c>
    </row>
    <row r="360" spans="5:8" hidden="1" x14ac:dyDescent="0.25">
      <c r="E360" s="5" t="str">
        <f t="shared" si="20"/>
        <v/>
      </c>
      <c r="F360" s="5">
        <f t="shared" si="21"/>
        <v>0</v>
      </c>
      <c r="G360" s="5">
        <f t="shared" si="22"/>
        <v>0</v>
      </c>
      <c r="H360" s="5">
        <f t="shared" si="23"/>
        <v>0</v>
      </c>
    </row>
    <row r="361" spans="5:8" hidden="1" x14ac:dyDescent="0.25">
      <c r="E361" s="5" t="str">
        <f t="shared" si="20"/>
        <v/>
      </c>
      <c r="F361" s="5">
        <f t="shared" si="21"/>
        <v>0</v>
      </c>
      <c r="G361" s="5">
        <f t="shared" si="22"/>
        <v>0</v>
      </c>
      <c r="H361" s="5">
        <f t="shared" si="23"/>
        <v>0</v>
      </c>
    </row>
    <row r="362" spans="5:8" hidden="1" x14ac:dyDescent="0.25">
      <c r="E362" s="5" t="str">
        <f t="shared" si="20"/>
        <v/>
      </c>
      <c r="F362" s="5">
        <f t="shared" si="21"/>
        <v>0</v>
      </c>
      <c r="G362" s="5">
        <f t="shared" si="22"/>
        <v>0</v>
      </c>
      <c r="H362" s="5">
        <f t="shared" si="23"/>
        <v>0</v>
      </c>
    </row>
    <row r="363" spans="5:8" hidden="1" x14ac:dyDescent="0.25">
      <c r="E363" s="5" t="str">
        <f t="shared" si="20"/>
        <v/>
      </c>
      <c r="F363" s="5">
        <f t="shared" si="21"/>
        <v>0</v>
      </c>
      <c r="G363" s="5">
        <f t="shared" si="22"/>
        <v>0</v>
      </c>
      <c r="H363" s="5">
        <f t="shared" si="23"/>
        <v>0</v>
      </c>
    </row>
    <row r="364" spans="5:8" hidden="1" x14ac:dyDescent="0.25">
      <c r="E364" s="5" t="str">
        <f t="shared" si="20"/>
        <v/>
      </c>
      <c r="F364" s="5">
        <f t="shared" si="21"/>
        <v>0</v>
      </c>
      <c r="G364" s="5">
        <f t="shared" si="22"/>
        <v>0</v>
      </c>
      <c r="H364" s="5">
        <f t="shared" si="23"/>
        <v>0</v>
      </c>
    </row>
    <row r="365" spans="5:8" hidden="1" x14ac:dyDescent="0.25">
      <c r="E365" s="5" t="str">
        <f t="shared" si="20"/>
        <v/>
      </c>
      <c r="F365" s="5">
        <f t="shared" si="21"/>
        <v>0</v>
      </c>
      <c r="G365" s="5">
        <f t="shared" si="22"/>
        <v>0</v>
      </c>
      <c r="H365" s="5">
        <f t="shared" si="23"/>
        <v>0</v>
      </c>
    </row>
    <row r="366" spans="5:8" hidden="1" x14ac:dyDescent="0.25">
      <c r="E366" s="5" t="str">
        <f t="shared" si="20"/>
        <v/>
      </c>
      <c r="F366" s="5">
        <f t="shared" si="21"/>
        <v>0</v>
      </c>
      <c r="G366" s="5">
        <f t="shared" si="22"/>
        <v>0</v>
      </c>
      <c r="H366" s="5">
        <f t="shared" si="23"/>
        <v>0</v>
      </c>
    </row>
    <row r="367" spans="5:8" hidden="1" x14ac:dyDescent="0.25">
      <c r="E367" s="5" t="str">
        <f t="shared" si="20"/>
        <v/>
      </c>
      <c r="F367" s="5">
        <f t="shared" si="21"/>
        <v>0</v>
      </c>
      <c r="G367" s="5">
        <f t="shared" si="22"/>
        <v>0</v>
      </c>
      <c r="H367" s="5">
        <f t="shared" si="23"/>
        <v>0</v>
      </c>
    </row>
    <row r="368" spans="5:8" hidden="1" x14ac:dyDescent="0.25">
      <c r="E368" s="5" t="str">
        <f t="shared" si="20"/>
        <v/>
      </c>
      <c r="F368" s="5">
        <f t="shared" si="21"/>
        <v>0</v>
      </c>
      <c r="G368" s="5">
        <f t="shared" si="22"/>
        <v>0</v>
      </c>
      <c r="H368" s="5">
        <f t="shared" si="23"/>
        <v>0</v>
      </c>
    </row>
    <row r="369" spans="5:8" hidden="1" x14ac:dyDescent="0.25">
      <c r="E369" s="5" t="str">
        <f t="shared" si="20"/>
        <v/>
      </c>
      <c r="F369" s="5">
        <f t="shared" si="21"/>
        <v>0</v>
      </c>
      <c r="G369" s="5">
        <f t="shared" si="22"/>
        <v>0</v>
      </c>
      <c r="H369" s="5">
        <f t="shared" si="23"/>
        <v>0</v>
      </c>
    </row>
    <row r="370" spans="5:8" hidden="1" x14ac:dyDescent="0.25">
      <c r="E370" s="5" t="str">
        <f t="shared" si="20"/>
        <v/>
      </c>
      <c r="F370" s="5">
        <f t="shared" si="21"/>
        <v>0</v>
      </c>
      <c r="G370" s="5">
        <f t="shared" si="22"/>
        <v>0</v>
      </c>
      <c r="H370" s="5">
        <f t="shared" si="23"/>
        <v>0</v>
      </c>
    </row>
    <row r="371" spans="5:8" hidden="1" x14ac:dyDescent="0.25">
      <c r="E371" s="5" t="str">
        <f t="shared" si="20"/>
        <v/>
      </c>
      <c r="F371" s="5">
        <f t="shared" si="21"/>
        <v>0</v>
      </c>
      <c r="G371" s="5">
        <f t="shared" si="22"/>
        <v>0</v>
      </c>
      <c r="H371" s="5">
        <f t="shared" si="23"/>
        <v>0</v>
      </c>
    </row>
    <row r="372" spans="5:8" hidden="1" x14ac:dyDescent="0.25">
      <c r="E372" s="5" t="str">
        <f t="shared" si="20"/>
        <v/>
      </c>
      <c r="F372" s="5">
        <f t="shared" si="21"/>
        <v>0</v>
      </c>
      <c r="G372" s="5">
        <f t="shared" si="22"/>
        <v>0</v>
      </c>
      <c r="H372" s="5">
        <f t="shared" si="23"/>
        <v>0</v>
      </c>
    </row>
    <row r="373" spans="5:8" hidden="1" x14ac:dyDescent="0.25">
      <c r="E373" s="5" t="str">
        <f t="shared" si="20"/>
        <v/>
      </c>
      <c r="F373" s="5">
        <f t="shared" si="21"/>
        <v>0</v>
      </c>
      <c r="G373" s="5">
        <f t="shared" si="22"/>
        <v>0</v>
      </c>
      <c r="H373" s="5">
        <f t="shared" si="23"/>
        <v>0</v>
      </c>
    </row>
    <row r="374" spans="5:8" hidden="1" x14ac:dyDescent="0.25">
      <c r="E374" s="5" t="str">
        <f t="shared" si="20"/>
        <v/>
      </c>
      <c r="F374" s="5">
        <f t="shared" si="21"/>
        <v>0</v>
      </c>
      <c r="G374" s="5">
        <f t="shared" si="22"/>
        <v>0</v>
      </c>
      <c r="H374" s="5">
        <f t="shared" si="23"/>
        <v>0</v>
      </c>
    </row>
    <row r="375" spans="5:8" hidden="1" x14ac:dyDescent="0.25">
      <c r="E375" s="5" t="str">
        <f t="shared" si="20"/>
        <v/>
      </c>
      <c r="F375" s="5">
        <f t="shared" si="21"/>
        <v>0</v>
      </c>
      <c r="G375" s="5">
        <f t="shared" si="22"/>
        <v>0</v>
      </c>
      <c r="H375" s="5">
        <f t="shared" si="23"/>
        <v>0</v>
      </c>
    </row>
    <row r="376" spans="5:8" hidden="1" x14ac:dyDescent="0.25">
      <c r="E376" s="5" t="str">
        <f t="shared" si="20"/>
        <v/>
      </c>
      <c r="F376" s="5">
        <f t="shared" si="21"/>
        <v>0</v>
      </c>
      <c r="G376" s="5">
        <f t="shared" si="22"/>
        <v>0</v>
      </c>
      <c r="H376" s="5">
        <f t="shared" si="23"/>
        <v>0</v>
      </c>
    </row>
    <row r="377" spans="5:8" hidden="1" x14ac:dyDescent="0.25">
      <c r="E377" s="5" t="str">
        <f t="shared" si="20"/>
        <v/>
      </c>
      <c r="F377" s="5">
        <f t="shared" si="21"/>
        <v>0</v>
      </c>
      <c r="G377" s="5">
        <f t="shared" si="22"/>
        <v>0</v>
      </c>
      <c r="H377" s="5">
        <f t="shared" si="23"/>
        <v>0</v>
      </c>
    </row>
    <row r="378" spans="5:8" hidden="1" x14ac:dyDescent="0.25">
      <c r="E378" s="5" t="str">
        <f t="shared" si="20"/>
        <v/>
      </c>
      <c r="F378" s="5">
        <f t="shared" si="21"/>
        <v>0</v>
      </c>
      <c r="G378" s="5">
        <f t="shared" si="22"/>
        <v>0</v>
      </c>
      <c r="H378" s="5">
        <f t="shared" si="23"/>
        <v>0</v>
      </c>
    </row>
    <row r="379" spans="5:8" hidden="1" x14ac:dyDescent="0.25">
      <c r="E379" s="5" t="str">
        <f t="shared" si="20"/>
        <v/>
      </c>
      <c r="F379" s="5">
        <f t="shared" si="21"/>
        <v>0</v>
      </c>
      <c r="G379" s="5">
        <f t="shared" si="22"/>
        <v>0</v>
      </c>
      <c r="H379" s="5">
        <f t="shared" si="23"/>
        <v>0</v>
      </c>
    </row>
    <row r="380" spans="5:8" hidden="1" x14ac:dyDescent="0.25">
      <c r="E380" s="5" t="str">
        <f t="shared" si="20"/>
        <v/>
      </c>
      <c r="F380" s="5">
        <f t="shared" si="21"/>
        <v>0</v>
      </c>
      <c r="G380" s="5">
        <f t="shared" si="22"/>
        <v>0</v>
      </c>
      <c r="H380" s="5">
        <f t="shared" si="23"/>
        <v>0</v>
      </c>
    </row>
    <row r="381" spans="5:8" hidden="1" x14ac:dyDescent="0.25">
      <c r="E381" s="5" t="str">
        <f t="shared" si="20"/>
        <v/>
      </c>
      <c r="F381" s="5">
        <f t="shared" si="21"/>
        <v>0</v>
      </c>
      <c r="G381" s="5">
        <f t="shared" si="22"/>
        <v>0</v>
      </c>
      <c r="H381" s="5">
        <f t="shared" si="23"/>
        <v>0</v>
      </c>
    </row>
    <row r="382" spans="5:8" hidden="1" x14ac:dyDescent="0.25">
      <c r="E382" s="5" t="str">
        <f t="shared" si="20"/>
        <v/>
      </c>
      <c r="F382" s="5">
        <f t="shared" si="21"/>
        <v>0</v>
      </c>
      <c r="G382" s="5">
        <f t="shared" si="22"/>
        <v>0</v>
      </c>
      <c r="H382" s="5">
        <f t="shared" si="23"/>
        <v>0</v>
      </c>
    </row>
    <row r="383" spans="5:8" hidden="1" x14ac:dyDescent="0.25">
      <c r="E383" s="5" t="str">
        <f t="shared" si="20"/>
        <v/>
      </c>
      <c r="F383" s="5">
        <f t="shared" si="21"/>
        <v>0</v>
      </c>
      <c r="G383" s="5">
        <f t="shared" si="22"/>
        <v>0</v>
      </c>
      <c r="H383" s="5">
        <f t="shared" si="23"/>
        <v>0</v>
      </c>
    </row>
    <row r="384" spans="5:8" hidden="1" x14ac:dyDescent="0.25">
      <c r="E384" s="5" t="str">
        <f t="shared" ref="E384:E447" si="24">A384&amp;A385</f>
        <v/>
      </c>
      <c r="F384" s="5">
        <f t="shared" ref="F384:F447" si="25">B384</f>
        <v>0</v>
      </c>
      <c r="G384" s="5">
        <f t="shared" ref="G384:G447" si="26">C384</f>
        <v>0</v>
      </c>
      <c r="H384" s="5">
        <f t="shared" ref="H384:H447" si="27">D384</f>
        <v>0</v>
      </c>
    </row>
    <row r="385" spans="5:8" hidden="1" x14ac:dyDescent="0.25">
      <c r="E385" s="5" t="str">
        <f t="shared" si="24"/>
        <v/>
      </c>
      <c r="F385" s="5">
        <f t="shared" si="25"/>
        <v>0</v>
      </c>
      <c r="G385" s="5">
        <f t="shared" si="26"/>
        <v>0</v>
      </c>
      <c r="H385" s="5">
        <f t="shared" si="27"/>
        <v>0</v>
      </c>
    </row>
    <row r="386" spans="5:8" hidden="1" x14ac:dyDescent="0.25">
      <c r="E386" s="5" t="str">
        <f t="shared" si="24"/>
        <v/>
      </c>
      <c r="F386" s="5">
        <f t="shared" si="25"/>
        <v>0</v>
      </c>
      <c r="G386" s="5">
        <f t="shared" si="26"/>
        <v>0</v>
      </c>
      <c r="H386" s="5">
        <f t="shared" si="27"/>
        <v>0</v>
      </c>
    </row>
    <row r="387" spans="5:8" hidden="1" x14ac:dyDescent="0.25">
      <c r="E387" s="5" t="str">
        <f t="shared" si="24"/>
        <v/>
      </c>
      <c r="F387" s="5">
        <f t="shared" si="25"/>
        <v>0</v>
      </c>
      <c r="G387" s="5">
        <f t="shared" si="26"/>
        <v>0</v>
      </c>
      <c r="H387" s="5">
        <f t="shared" si="27"/>
        <v>0</v>
      </c>
    </row>
    <row r="388" spans="5:8" hidden="1" x14ac:dyDescent="0.25">
      <c r="E388" s="5" t="str">
        <f t="shared" si="24"/>
        <v/>
      </c>
      <c r="F388" s="5">
        <f t="shared" si="25"/>
        <v>0</v>
      </c>
      <c r="G388" s="5">
        <f t="shared" si="26"/>
        <v>0</v>
      </c>
      <c r="H388" s="5">
        <f t="shared" si="27"/>
        <v>0</v>
      </c>
    </row>
    <row r="389" spans="5:8" hidden="1" x14ac:dyDescent="0.25">
      <c r="E389" s="5" t="str">
        <f t="shared" si="24"/>
        <v/>
      </c>
      <c r="F389" s="5">
        <f t="shared" si="25"/>
        <v>0</v>
      </c>
      <c r="G389" s="5">
        <f t="shared" si="26"/>
        <v>0</v>
      </c>
      <c r="H389" s="5">
        <f t="shared" si="27"/>
        <v>0</v>
      </c>
    </row>
    <row r="390" spans="5:8" hidden="1" x14ac:dyDescent="0.25">
      <c r="E390" s="5" t="str">
        <f t="shared" si="24"/>
        <v/>
      </c>
      <c r="F390" s="5">
        <f t="shared" si="25"/>
        <v>0</v>
      </c>
      <c r="G390" s="5">
        <f t="shared" si="26"/>
        <v>0</v>
      </c>
      <c r="H390" s="5">
        <f t="shared" si="27"/>
        <v>0</v>
      </c>
    </row>
    <row r="391" spans="5:8" hidden="1" x14ac:dyDescent="0.25">
      <c r="E391" s="5" t="str">
        <f t="shared" si="24"/>
        <v/>
      </c>
      <c r="F391" s="5">
        <f t="shared" si="25"/>
        <v>0</v>
      </c>
      <c r="G391" s="5">
        <f t="shared" si="26"/>
        <v>0</v>
      </c>
      <c r="H391" s="5">
        <f t="shared" si="27"/>
        <v>0</v>
      </c>
    </row>
    <row r="392" spans="5:8" hidden="1" x14ac:dyDescent="0.25">
      <c r="E392" s="5" t="str">
        <f t="shared" si="24"/>
        <v/>
      </c>
      <c r="F392" s="5">
        <f t="shared" si="25"/>
        <v>0</v>
      </c>
      <c r="G392" s="5">
        <f t="shared" si="26"/>
        <v>0</v>
      </c>
      <c r="H392" s="5">
        <f t="shared" si="27"/>
        <v>0</v>
      </c>
    </row>
    <row r="393" spans="5:8" hidden="1" x14ac:dyDescent="0.25">
      <c r="E393" s="5" t="str">
        <f t="shared" si="24"/>
        <v/>
      </c>
      <c r="F393" s="5">
        <f t="shared" si="25"/>
        <v>0</v>
      </c>
      <c r="G393" s="5">
        <f t="shared" si="26"/>
        <v>0</v>
      </c>
      <c r="H393" s="5">
        <f t="shared" si="27"/>
        <v>0</v>
      </c>
    </row>
    <row r="394" spans="5:8" hidden="1" x14ac:dyDescent="0.25">
      <c r="E394" s="5" t="str">
        <f t="shared" si="24"/>
        <v/>
      </c>
      <c r="F394" s="5">
        <f t="shared" si="25"/>
        <v>0</v>
      </c>
      <c r="G394" s="5">
        <f t="shared" si="26"/>
        <v>0</v>
      </c>
      <c r="H394" s="5">
        <f t="shared" si="27"/>
        <v>0</v>
      </c>
    </row>
    <row r="395" spans="5:8" hidden="1" x14ac:dyDescent="0.25">
      <c r="E395" s="5" t="str">
        <f t="shared" si="24"/>
        <v/>
      </c>
      <c r="F395" s="5">
        <f t="shared" si="25"/>
        <v>0</v>
      </c>
      <c r="G395" s="5">
        <f t="shared" si="26"/>
        <v>0</v>
      </c>
      <c r="H395" s="5">
        <f t="shared" si="27"/>
        <v>0</v>
      </c>
    </row>
    <row r="396" spans="5:8" hidden="1" x14ac:dyDescent="0.25">
      <c r="E396" s="5" t="str">
        <f t="shared" si="24"/>
        <v/>
      </c>
      <c r="F396" s="5">
        <f t="shared" si="25"/>
        <v>0</v>
      </c>
      <c r="G396" s="5">
        <f t="shared" si="26"/>
        <v>0</v>
      </c>
      <c r="H396" s="5">
        <f t="shared" si="27"/>
        <v>0</v>
      </c>
    </row>
    <row r="397" spans="5:8" hidden="1" x14ac:dyDescent="0.25">
      <c r="E397" s="5" t="str">
        <f t="shared" si="24"/>
        <v/>
      </c>
      <c r="F397" s="5">
        <f t="shared" si="25"/>
        <v>0</v>
      </c>
      <c r="G397" s="5">
        <f t="shared" si="26"/>
        <v>0</v>
      </c>
      <c r="H397" s="5">
        <f t="shared" si="27"/>
        <v>0</v>
      </c>
    </row>
    <row r="398" spans="5:8" hidden="1" x14ac:dyDescent="0.25">
      <c r="E398" s="5" t="str">
        <f t="shared" si="24"/>
        <v/>
      </c>
      <c r="F398" s="5">
        <f t="shared" si="25"/>
        <v>0</v>
      </c>
      <c r="G398" s="5">
        <f t="shared" si="26"/>
        <v>0</v>
      </c>
      <c r="H398" s="5">
        <f t="shared" si="27"/>
        <v>0</v>
      </c>
    </row>
    <row r="399" spans="5:8" hidden="1" x14ac:dyDescent="0.25">
      <c r="E399" s="5" t="str">
        <f t="shared" si="24"/>
        <v/>
      </c>
      <c r="F399" s="5">
        <f t="shared" si="25"/>
        <v>0</v>
      </c>
      <c r="G399" s="5">
        <f t="shared" si="26"/>
        <v>0</v>
      </c>
      <c r="H399" s="5">
        <f t="shared" si="27"/>
        <v>0</v>
      </c>
    </row>
    <row r="400" spans="5:8" hidden="1" x14ac:dyDescent="0.25">
      <c r="E400" s="5" t="str">
        <f t="shared" si="24"/>
        <v/>
      </c>
      <c r="F400" s="5">
        <f t="shared" si="25"/>
        <v>0</v>
      </c>
      <c r="G400" s="5">
        <f t="shared" si="26"/>
        <v>0</v>
      </c>
      <c r="H400" s="5">
        <f t="shared" si="27"/>
        <v>0</v>
      </c>
    </row>
    <row r="401" spans="5:8" hidden="1" x14ac:dyDescent="0.25">
      <c r="E401" s="5" t="str">
        <f t="shared" si="24"/>
        <v/>
      </c>
      <c r="F401" s="5">
        <f t="shared" si="25"/>
        <v>0</v>
      </c>
      <c r="G401" s="5">
        <f t="shared" si="26"/>
        <v>0</v>
      </c>
      <c r="H401" s="5">
        <f t="shared" si="27"/>
        <v>0</v>
      </c>
    </row>
    <row r="402" spans="5:8" hidden="1" x14ac:dyDescent="0.25">
      <c r="E402" s="5" t="str">
        <f t="shared" si="24"/>
        <v/>
      </c>
      <c r="F402" s="5">
        <f t="shared" si="25"/>
        <v>0</v>
      </c>
      <c r="G402" s="5">
        <f t="shared" si="26"/>
        <v>0</v>
      </c>
      <c r="H402" s="5">
        <f t="shared" si="27"/>
        <v>0</v>
      </c>
    </row>
    <row r="403" spans="5:8" hidden="1" x14ac:dyDescent="0.25">
      <c r="E403" s="5" t="str">
        <f t="shared" si="24"/>
        <v/>
      </c>
      <c r="F403" s="5">
        <f t="shared" si="25"/>
        <v>0</v>
      </c>
      <c r="G403" s="5">
        <f t="shared" si="26"/>
        <v>0</v>
      </c>
      <c r="H403" s="5">
        <f t="shared" si="27"/>
        <v>0</v>
      </c>
    </row>
    <row r="404" spans="5:8" hidden="1" x14ac:dyDescent="0.25">
      <c r="E404" s="5" t="str">
        <f t="shared" si="24"/>
        <v/>
      </c>
      <c r="F404" s="5">
        <f t="shared" si="25"/>
        <v>0</v>
      </c>
      <c r="G404" s="5">
        <f t="shared" si="26"/>
        <v>0</v>
      </c>
      <c r="H404" s="5">
        <f t="shared" si="27"/>
        <v>0</v>
      </c>
    </row>
    <row r="405" spans="5:8" hidden="1" x14ac:dyDescent="0.25">
      <c r="E405" s="5" t="str">
        <f t="shared" si="24"/>
        <v/>
      </c>
      <c r="F405" s="5">
        <f t="shared" si="25"/>
        <v>0</v>
      </c>
      <c r="G405" s="5">
        <f t="shared" si="26"/>
        <v>0</v>
      </c>
      <c r="H405" s="5">
        <f t="shared" si="27"/>
        <v>0</v>
      </c>
    </row>
    <row r="406" spans="5:8" hidden="1" x14ac:dyDescent="0.25">
      <c r="E406" s="5" t="str">
        <f t="shared" si="24"/>
        <v/>
      </c>
      <c r="F406" s="5">
        <f t="shared" si="25"/>
        <v>0</v>
      </c>
      <c r="G406" s="5">
        <f t="shared" si="26"/>
        <v>0</v>
      </c>
      <c r="H406" s="5">
        <f t="shared" si="27"/>
        <v>0</v>
      </c>
    </row>
    <row r="407" spans="5:8" hidden="1" x14ac:dyDescent="0.25">
      <c r="E407" s="5" t="str">
        <f t="shared" si="24"/>
        <v/>
      </c>
      <c r="F407" s="5">
        <f t="shared" si="25"/>
        <v>0</v>
      </c>
      <c r="G407" s="5">
        <f t="shared" si="26"/>
        <v>0</v>
      </c>
      <c r="H407" s="5">
        <f t="shared" si="27"/>
        <v>0</v>
      </c>
    </row>
    <row r="408" spans="5:8" hidden="1" x14ac:dyDescent="0.25">
      <c r="E408" s="5" t="str">
        <f t="shared" si="24"/>
        <v/>
      </c>
      <c r="F408" s="5">
        <f t="shared" si="25"/>
        <v>0</v>
      </c>
      <c r="G408" s="5">
        <f t="shared" si="26"/>
        <v>0</v>
      </c>
      <c r="H408" s="5">
        <f t="shared" si="27"/>
        <v>0</v>
      </c>
    </row>
    <row r="409" spans="5:8" hidden="1" x14ac:dyDescent="0.25">
      <c r="E409" s="5" t="str">
        <f t="shared" si="24"/>
        <v/>
      </c>
      <c r="F409" s="5">
        <f t="shared" si="25"/>
        <v>0</v>
      </c>
      <c r="G409" s="5">
        <f t="shared" si="26"/>
        <v>0</v>
      </c>
      <c r="H409" s="5">
        <f t="shared" si="27"/>
        <v>0</v>
      </c>
    </row>
    <row r="410" spans="5:8" hidden="1" x14ac:dyDescent="0.25">
      <c r="E410" s="5" t="str">
        <f t="shared" si="24"/>
        <v/>
      </c>
      <c r="F410" s="5">
        <f t="shared" si="25"/>
        <v>0</v>
      </c>
      <c r="G410" s="5">
        <f t="shared" si="26"/>
        <v>0</v>
      </c>
      <c r="H410" s="5">
        <f t="shared" si="27"/>
        <v>0</v>
      </c>
    </row>
    <row r="411" spans="5:8" hidden="1" x14ac:dyDescent="0.25">
      <c r="E411" s="5" t="str">
        <f t="shared" si="24"/>
        <v/>
      </c>
      <c r="F411" s="5">
        <f t="shared" si="25"/>
        <v>0</v>
      </c>
      <c r="G411" s="5">
        <f t="shared" si="26"/>
        <v>0</v>
      </c>
      <c r="H411" s="5">
        <f t="shared" si="27"/>
        <v>0</v>
      </c>
    </row>
    <row r="412" spans="5:8" hidden="1" x14ac:dyDescent="0.25">
      <c r="E412" s="5" t="str">
        <f t="shared" si="24"/>
        <v/>
      </c>
      <c r="F412" s="5">
        <f t="shared" si="25"/>
        <v>0</v>
      </c>
      <c r="G412" s="5">
        <f t="shared" si="26"/>
        <v>0</v>
      </c>
      <c r="H412" s="5">
        <f t="shared" si="27"/>
        <v>0</v>
      </c>
    </row>
    <row r="413" spans="5:8" hidden="1" x14ac:dyDescent="0.25">
      <c r="E413" s="5" t="str">
        <f t="shared" si="24"/>
        <v/>
      </c>
      <c r="F413" s="5">
        <f t="shared" si="25"/>
        <v>0</v>
      </c>
      <c r="G413" s="5">
        <f t="shared" si="26"/>
        <v>0</v>
      </c>
      <c r="H413" s="5">
        <f t="shared" si="27"/>
        <v>0</v>
      </c>
    </row>
    <row r="414" spans="5:8" hidden="1" x14ac:dyDescent="0.25">
      <c r="E414" s="5" t="str">
        <f t="shared" si="24"/>
        <v/>
      </c>
      <c r="F414" s="5">
        <f t="shared" si="25"/>
        <v>0</v>
      </c>
      <c r="G414" s="5">
        <f t="shared" si="26"/>
        <v>0</v>
      </c>
      <c r="H414" s="5">
        <f t="shared" si="27"/>
        <v>0</v>
      </c>
    </row>
    <row r="415" spans="5:8" hidden="1" x14ac:dyDescent="0.25">
      <c r="E415" s="5" t="str">
        <f t="shared" si="24"/>
        <v/>
      </c>
      <c r="F415" s="5">
        <f t="shared" si="25"/>
        <v>0</v>
      </c>
      <c r="G415" s="5">
        <f t="shared" si="26"/>
        <v>0</v>
      </c>
      <c r="H415" s="5">
        <f t="shared" si="27"/>
        <v>0</v>
      </c>
    </row>
    <row r="416" spans="5:8" hidden="1" x14ac:dyDescent="0.25">
      <c r="E416" s="5" t="str">
        <f t="shared" si="24"/>
        <v/>
      </c>
      <c r="F416" s="5">
        <f t="shared" si="25"/>
        <v>0</v>
      </c>
      <c r="G416" s="5">
        <f t="shared" si="26"/>
        <v>0</v>
      </c>
      <c r="H416" s="5">
        <f t="shared" si="27"/>
        <v>0</v>
      </c>
    </row>
    <row r="417" spans="5:8" hidden="1" x14ac:dyDescent="0.25">
      <c r="E417" s="5" t="str">
        <f t="shared" si="24"/>
        <v/>
      </c>
      <c r="F417" s="5">
        <f t="shared" si="25"/>
        <v>0</v>
      </c>
      <c r="G417" s="5">
        <f t="shared" si="26"/>
        <v>0</v>
      </c>
      <c r="H417" s="5">
        <f t="shared" si="27"/>
        <v>0</v>
      </c>
    </row>
    <row r="418" spans="5:8" hidden="1" x14ac:dyDescent="0.25">
      <c r="E418" s="5" t="str">
        <f t="shared" si="24"/>
        <v/>
      </c>
      <c r="F418" s="5">
        <f t="shared" si="25"/>
        <v>0</v>
      </c>
      <c r="G418" s="5">
        <f t="shared" si="26"/>
        <v>0</v>
      </c>
      <c r="H418" s="5">
        <f t="shared" si="27"/>
        <v>0</v>
      </c>
    </row>
    <row r="419" spans="5:8" hidden="1" x14ac:dyDescent="0.25">
      <c r="E419" s="5" t="str">
        <f t="shared" si="24"/>
        <v/>
      </c>
      <c r="F419" s="5">
        <f t="shared" si="25"/>
        <v>0</v>
      </c>
      <c r="G419" s="5">
        <f t="shared" si="26"/>
        <v>0</v>
      </c>
      <c r="H419" s="5">
        <f t="shared" si="27"/>
        <v>0</v>
      </c>
    </row>
    <row r="420" spans="5:8" hidden="1" x14ac:dyDescent="0.25">
      <c r="E420" s="5" t="str">
        <f t="shared" si="24"/>
        <v/>
      </c>
      <c r="F420" s="5">
        <f t="shared" si="25"/>
        <v>0</v>
      </c>
      <c r="G420" s="5">
        <f t="shared" si="26"/>
        <v>0</v>
      </c>
      <c r="H420" s="5">
        <f t="shared" si="27"/>
        <v>0</v>
      </c>
    </row>
    <row r="421" spans="5:8" hidden="1" x14ac:dyDescent="0.25">
      <c r="E421" s="5" t="str">
        <f t="shared" si="24"/>
        <v/>
      </c>
      <c r="F421" s="5">
        <f t="shared" si="25"/>
        <v>0</v>
      </c>
      <c r="G421" s="5">
        <f t="shared" si="26"/>
        <v>0</v>
      </c>
      <c r="H421" s="5">
        <f t="shared" si="27"/>
        <v>0</v>
      </c>
    </row>
    <row r="422" spans="5:8" hidden="1" x14ac:dyDescent="0.25">
      <c r="E422" s="5" t="str">
        <f t="shared" si="24"/>
        <v/>
      </c>
      <c r="F422" s="5">
        <f t="shared" si="25"/>
        <v>0</v>
      </c>
      <c r="G422" s="5">
        <f t="shared" si="26"/>
        <v>0</v>
      </c>
      <c r="H422" s="5">
        <f t="shared" si="27"/>
        <v>0</v>
      </c>
    </row>
    <row r="423" spans="5:8" hidden="1" x14ac:dyDescent="0.25">
      <c r="E423" s="5" t="str">
        <f t="shared" si="24"/>
        <v/>
      </c>
      <c r="F423" s="5">
        <f t="shared" si="25"/>
        <v>0</v>
      </c>
      <c r="G423" s="5">
        <f t="shared" si="26"/>
        <v>0</v>
      </c>
      <c r="H423" s="5">
        <f t="shared" si="27"/>
        <v>0</v>
      </c>
    </row>
    <row r="424" spans="5:8" hidden="1" x14ac:dyDescent="0.25">
      <c r="E424" s="5" t="str">
        <f t="shared" si="24"/>
        <v/>
      </c>
      <c r="F424" s="5">
        <f t="shared" si="25"/>
        <v>0</v>
      </c>
      <c r="G424" s="5">
        <f t="shared" si="26"/>
        <v>0</v>
      </c>
      <c r="H424" s="5">
        <f t="shared" si="27"/>
        <v>0</v>
      </c>
    </row>
    <row r="425" spans="5:8" hidden="1" x14ac:dyDescent="0.25">
      <c r="E425" s="5" t="str">
        <f t="shared" si="24"/>
        <v/>
      </c>
      <c r="F425" s="5">
        <f t="shared" si="25"/>
        <v>0</v>
      </c>
      <c r="G425" s="5">
        <f t="shared" si="26"/>
        <v>0</v>
      </c>
      <c r="H425" s="5">
        <f t="shared" si="27"/>
        <v>0</v>
      </c>
    </row>
    <row r="426" spans="5:8" hidden="1" x14ac:dyDescent="0.25">
      <c r="E426" s="5" t="str">
        <f t="shared" si="24"/>
        <v/>
      </c>
      <c r="F426" s="5">
        <f t="shared" si="25"/>
        <v>0</v>
      </c>
      <c r="G426" s="5">
        <f t="shared" si="26"/>
        <v>0</v>
      </c>
      <c r="H426" s="5">
        <f t="shared" si="27"/>
        <v>0</v>
      </c>
    </row>
    <row r="427" spans="5:8" hidden="1" x14ac:dyDescent="0.25">
      <c r="E427" s="5" t="str">
        <f t="shared" si="24"/>
        <v/>
      </c>
      <c r="F427" s="5">
        <f t="shared" si="25"/>
        <v>0</v>
      </c>
      <c r="G427" s="5">
        <f t="shared" si="26"/>
        <v>0</v>
      </c>
      <c r="H427" s="5">
        <f t="shared" si="27"/>
        <v>0</v>
      </c>
    </row>
    <row r="428" spans="5:8" hidden="1" x14ac:dyDescent="0.25">
      <c r="E428" s="5" t="str">
        <f t="shared" si="24"/>
        <v/>
      </c>
      <c r="F428" s="5">
        <f t="shared" si="25"/>
        <v>0</v>
      </c>
      <c r="G428" s="5">
        <f t="shared" si="26"/>
        <v>0</v>
      </c>
      <c r="H428" s="5">
        <f t="shared" si="27"/>
        <v>0</v>
      </c>
    </row>
    <row r="429" spans="5:8" hidden="1" x14ac:dyDescent="0.25">
      <c r="E429" s="5" t="str">
        <f t="shared" si="24"/>
        <v/>
      </c>
      <c r="F429" s="5">
        <f t="shared" si="25"/>
        <v>0</v>
      </c>
      <c r="G429" s="5">
        <f t="shared" si="26"/>
        <v>0</v>
      </c>
      <c r="H429" s="5">
        <f t="shared" si="27"/>
        <v>0</v>
      </c>
    </row>
    <row r="430" spans="5:8" hidden="1" x14ac:dyDescent="0.25">
      <c r="E430" s="5" t="str">
        <f t="shared" si="24"/>
        <v/>
      </c>
      <c r="F430" s="5">
        <f t="shared" si="25"/>
        <v>0</v>
      </c>
      <c r="G430" s="5">
        <f t="shared" si="26"/>
        <v>0</v>
      </c>
      <c r="H430" s="5">
        <f t="shared" si="27"/>
        <v>0</v>
      </c>
    </row>
    <row r="431" spans="5:8" hidden="1" x14ac:dyDescent="0.25">
      <c r="E431" s="5" t="str">
        <f t="shared" si="24"/>
        <v/>
      </c>
      <c r="F431" s="5">
        <f t="shared" si="25"/>
        <v>0</v>
      </c>
      <c r="G431" s="5">
        <f t="shared" si="26"/>
        <v>0</v>
      </c>
      <c r="H431" s="5">
        <f t="shared" si="27"/>
        <v>0</v>
      </c>
    </row>
    <row r="432" spans="5:8" hidden="1" x14ac:dyDescent="0.25">
      <c r="E432" s="5" t="str">
        <f t="shared" si="24"/>
        <v/>
      </c>
      <c r="F432" s="5">
        <f t="shared" si="25"/>
        <v>0</v>
      </c>
      <c r="G432" s="5">
        <f t="shared" si="26"/>
        <v>0</v>
      </c>
      <c r="H432" s="5">
        <f t="shared" si="27"/>
        <v>0</v>
      </c>
    </row>
    <row r="433" spans="5:8" hidden="1" x14ac:dyDescent="0.25">
      <c r="E433" s="5" t="str">
        <f t="shared" si="24"/>
        <v/>
      </c>
      <c r="F433" s="5">
        <f t="shared" si="25"/>
        <v>0</v>
      </c>
      <c r="G433" s="5">
        <f t="shared" si="26"/>
        <v>0</v>
      </c>
      <c r="H433" s="5">
        <f t="shared" si="27"/>
        <v>0</v>
      </c>
    </row>
    <row r="434" spans="5:8" hidden="1" x14ac:dyDescent="0.25">
      <c r="E434" s="5" t="str">
        <f t="shared" si="24"/>
        <v/>
      </c>
      <c r="F434" s="5">
        <f t="shared" si="25"/>
        <v>0</v>
      </c>
      <c r="G434" s="5">
        <f t="shared" si="26"/>
        <v>0</v>
      </c>
      <c r="H434" s="5">
        <f t="shared" si="27"/>
        <v>0</v>
      </c>
    </row>
    <row r="435" spans="5:8" hidden="1" x14ac:dyDescent="0.25">
      <c r="E435" s="5" t="str">
        <f t="shared" si="24"/>
        <v/>
      </c>
      <c r="F435" s="5">
        <f t="shared" si="25"/>
        <v>0</v>
      </c>
      <c r="G435" s="5">
        <f t="shared" si="26"/>
        <v>0</v>
      </c>
      <c r="H435" s="5">
        <f t="shared" si="27"/>
        <v>0</v>
      </c>
    </row>
    <row r="436" spans="5:8" hidden="1" x14ac:dyDescent="0.25">
      <c r="E436" s="5" t="str">
        <f t="shared" si="24"/>
        <v/>
      </c>
      <c r="F436" s="5">
        <f t="shared" si="25"/>
        <v>0</v>
      </c>
      <c r="G436" s="5">
        <f t="shared" si="26"/>
        <v>0</v>
      </c>
      <c r="H436" s="5">
        <f t="shared" si="27"/>
        <v>0</v>
      </c>
    </row>
    <row r="437" spans="5:8" hidden="1" x14ac:dyDescent="0.25">
      <c r="E437" s="5" t="str">
        <f t="shared" si="24"/>
        <v/>
      </c>
      <c r="F437" s="5">
        <f t="shared" si="25"/>
        <v>0</v>
      </c>
      <c r="G437" s="5">
        <f t="shared" si="26"/>
        <v>0</v>
      </c>
      <c r="H437" s="5">
        <f t="shared" si="27"/>
        <v>0</v>
      </c>
    </row>
    <row r="438" spans="5:8" hidden="1" x14ac:dyDescent="0.25">
      <c r="E438" s="5" t="str">
        <f t="shared" si="24"/>
        <v/>
      </c>
      <c r="F438" s="5">
        <f t="shared" si="25"/>
        <v>0</v>
      </c>
      <c r="G438" s="5">
        <f t="shared" si="26"/>
        <v>0</v>
      </c>
      <c r="H438" s="5">
        <f t="shared" si="27"/>
        <v>0</v>
      </c>
    </row>
    <row r="439" spans="5:8" hidden="1" x14ac:dyDescent="0.25">
      <c r="E439" s="5" t="str">
        <f t="shared" si="24"/>
        <v/>
      </c>
      <c r="F439" s="5">
        <f t="shared" si="25"/>
        <v>0</v>
      </c>
      <c r="G439" s="5">
        <f t="shared" si="26"/>
        <v>0</v>
      </c>
      <c r="H439" s="5">
        <f t="shared" si="27"/>
        <v>0</v>
      </c>
    </row>
    <row r="440" spans="5:8" hidden="1" x14ac:dyDescent="0.25">
      <c r="E440" s="5" t="str">
        <f t="shared" si="24"/>
        <v/>
      </c>
      <c r="F440" s="5">
        <f t="shared" si="25"/>
        <v>0</v>
      </c>
      <c r="G440" s="5">
        <f t="shared" si="26"/>
        <v>0</v>
      </c>
      <c r="H440" s="5">
        <f t="shared" si="27"/>
        <v>0</v>
      </c>
    </row>
    <row r="441" spans="5:8" hidden="1" x14ac:dyDescent="0.25">
      <c r="E441" s="5" t="str">
        <f t="shared" si="24"/>
        <v/>
      </c>
      <c r="F441" s="5">
        <f t="shared" si="25"/>
        <v>0</v>
      </c>
      <c r="G441" s="5">
        <f t="shared" si="26"/>
        <v>0</v>
      </c>
      <c r="H441" s="5">
        <f t="shared" si="27"/>
        <v>0</v>
      </c>
    </row>
    <row r="442" spans="5:8" hidden="1" x14ac:dyDescent="0.25">
      <c r="E442" s="5" t="str">
        <f t="shared" si="24"/>
        <v/>
      </c>
      <c r="F442" s="5">
        <f t="shared" si="25"/>
        <v>0</v>
      </c>
      <c r="G442" s="5">
        <f t="shared" si="26"/>
        <v>0</v>
      </c>
      <c r="H442" s="5">
        <f t="shared" si="27"/>
        <v>0</v>
      </c>
    </row>
    <row r="443" spans="5:8" hidden="1" x14ac:dyDescent="0.25">
      <c r="E443" s="5" t="str">
        <f t="shared" si="24"/>
        <v/>
      </c>
      <c r="F443" s="5">
        <f t="shared" si="25"/>
        <v>0</v>
      </c>
      <c r="G443" s="5">
        <f t="shared" si="26"/>
        <v>0</v>
      </c>
      <c r="H443" s="5">
        <f t="shared" si="27"/>
        <v>0</v>
      </c>
    </row>
    <row r="444" spans="5:8" hidden="1" x14ac:dyDescent="0.25">
      <c r="E444" s="5" t="str">
        <f t="shared" si="24"/>
        <v/>
      </c>
      <c r="F444" s="5">
        <f t="shared" si="25"/>
        <v>0</v>
      </c>
      <c r="G444" s="5">
        <f t="shared" si="26"/>
        <v>0</v>
      </c>
      <c r="H444" s="5">
        <f t="shared" si="27"/>
        <v>0</v>
      </c>
    </row>
    <row r="445" spans="5:8" hidden="1" x14ac:dyDescent="0.25">
      <c r="E445" s="5" t="str">
        <f t="shared" si="24"/>
        <v/>
      </c>
      <c r="F445" s="5">
        <f t="shared" si="25"/>
        <v>0</v>
      </c>
      <c r="G445" s="5">
        <f t="shared" si="26"/>
        <v>0</v>
      </c>
      <c r="H445" s="5">
        <f t="shared" si="27"/>
        <v>0</v>
      </c>
    </row>
    <row r="446" spans="5:8" hidden="1" x14ac:dyDescent="0.25">
      <c r="E446" s="5" t="str">
        <f t="shared" si="24"/>
        <v/>
      </c>
      <c r="F446" s="5">
        <f t="shared" si="25"/>
        <v>0</v>
      </c>
      <c r="G446" s="5">
        <f t="shared" si="26"/>
        <v>0</v>
      </c>
      <c r="H446" s="5">
        <f t="shared" si="27"/>
        <v>0</v>
      </c>
    </row>
    <row r="447" spans="5:8" hidden="1" x14ac:dyDescent="0.25">
      <c r="E447" s="5" t="str">
        <f t="shared" si="24"/>
        <v/>
      </c>
      <c r="F447" s="5">
        <f t="shared" si="25"/>
        <v>0</v>
      </c>
      <c r="G447" s="5">
        <f t="shared" si="26"/>
        <v>0</v>
      </c>
      <c r="H447" s="5">
        <f t="shared" si="27"/>
        <v>0</v>
      </c>
    </row>
    <row r="448" spans="5:8" hidden="1" x14ac:dyDescent="0.25">
      <c r="E448" s="5" t="str">
        <f t="shared" ref="E448:E511" si="28">A448&amp;A449</f>
        <v/>
      </c>
      <c r="F448" s="5">
        <f t="shared" ref="F448:F511" si="29">B448</f>
        <v>0</v>
      </c>
      <c r="G448" s="5">
        <f t="shared" ref="G448:G511" si="30">C448</f>
        <v>0</v>
      </c>
      <c r="H448" s="5">
        <f t="shared" ref="H448:H511" si="31">D448</f>
        <v>0</v>
      </c>
    </row>
    <row r="449" spans="5:8" hidden="1" x14ac:dyDescent="0.25">
      <c r="E449" s="5" t="str">
        <f t="shared" si="28"/>
        <v/>
      </c>
      <c r="F449" s="5">
        <f t="shared" si="29"/>
        <v>0</v>
      </c>
      <c r="G449" s="5">
        <f t="shared" si="30"/>
        <v>0</v>
      </c>
      <c r="H449" s="5">
        <f t="shared" si="31"/>
        <v>0</v>
      </c>
    </row>
    <row r="450" spans="5:8" hidden="1" x14ac:dyDescent="0.25">
      <c r="E450" s="5" t="str">
        <f t="shared" si="28"/>
        <v/>
      </c>
      <c r="F450" s="5">
        <f t="shared" si="29"/>
        <v>0</v>
      </c>
      <c r="G450" s="5">
        <f t="shared" si="30"/>
        <v>0</v>
      </c>
      <c r="H450" s="5">
        <f t="shared" si="31"/>
        <v>0</v>
      </c>
    </row>
    <row r="451" spans="5:8" hidden="1" x14ac:dyDescent="0.25">
      <c r="E451" s="5" t="str">
        <f t="shared" si="28"/>
        <v/>
      </c>
      <c r="F451" s="5">
        <f t="shared" si="29"/>
        <v>0</v>
      </c>
      <c r="G451" s="5">
        <f t="shared" si="30"/>
        <v>0</v>
      </c>
      <c r="H451" s="5">
        <f t="shared" si="31"/>
        <v>0</v>
      </c>
    </row>
    <row r="452" spans="5:8" hidden="1" x14ac:dyDescent="0.25">
      <c r="E452" s="5" t="str">
        <f t="shared" si="28"/>
        <v/>
      </c>
      <c r="F452" s="5">
        <f t="shared" si="29"/>
        <v>0</v>
      </c>
      <c r="G452" s="5">
        <f t="shared" si="30"/>
        <v>0</v>
      </c>
      <c r="H452" s="5">
        <f t="shared" si="31"/>
        <v>0</v>
      </c>
    </row>
    <row r="453" spans="5:8" hidden="1" x14ac:dyDescent="0.25">
      <c r="E453" s="5" t="str">
        <f t="shared" si="28"/>
        <v/>
      </c>
      <c r="F453" s="5">
        <f t="shared" si="29"/>
        <v>0</v>
      </c>
      <c r="G453" s="5">
        <f t="shared" si="30"/>
        <v>0</v>
      </c>
      <c r="H453" s="5">
        <f t="shared" si="31"/>
        <v>0</v>
      </c>
    </row>
    <row r="454" spans="5:8" hidden="1" x14ac:dyDescent="0.25">
      <c r="E454" s="5" t="str">
        <f t="shared" si="28"/>
        <v/>
      </c>
      <c r="F454" s="5">
        <f t="shared" si="29"/>
        <v>0</v>
      </c>
      <c r="G454" s="5">
        <f t="shared" si="30"/>
        <v>0</v>
      </c>
      <c r="H454" s="5">
        <f t="shared" si="31"/>
        <v>0</v>
      </c>
    </row>
    <row r="455" spans="5:8" hidden="1" x14ac:dyDescent="0.25">
      <c r="E455" s="5" t="str">
        <f t="shared" si="28"/>
        <v/>
      </c>
      <c r="F455" s="5">
        <f t="shared" si="29"/>
        <v>0</v>
      </c>
      <c r="G455" s="5">
        <f t="shared" si="30"/>
        <v>0</v>
      </c>
      <c r="H455" s="5">
        <f t="shared" si="31"/>
        <v>0</v>
      </c>
    </row>
    <row r="456" spans="5:8" hidden="1" x14ac:dyDescent="0.25">
      <c r="E456" s="5" t="str">
        <f t="shared" si="28"/>
        <v/>
      </c>
      <c r="F456" s="5">
        <f t="shared" si="29"/>
        <v>0</v>
      </c>
      <c r="G456" s="5">
        <f t="shared" si="30"/>
        <v>0</v>
      </c>
      <c r="H456" s="5">
        <f t="shared" si="31"/>
        <v>0</v>
      </c>
    </row>
    <row r="457" spans="5:8" hidden="1" x14ac:dyDescent="0.25">
      <c r="E457" s="5" t="str">
        <f t="shared" si="28"/>
        <v/>
      </c>
      <c r="F457" s="5">
        <f t="shared" si="29"/>
        <v>0</v>
      </c>
      <c r="G457" s="5">
        <f t="shared" si="30"/>
        <v>0</v>
      </c>
      <c r="H457" s="5">
        <f t="shared" si="31"/>
        <v>0</v>
      </c>
    </row>
    <row r="458" spans="5:8" hidden="1" x14ac:dyDescent="0.25">
      <c r="E458" s="5" t="str">
        <f t="shared" si="28"/>
        <v/>
      </c>
      <c r="F458" s="5">
        <f t="shared" si="29"/>
        <v>0</v>
      </c>
      <c r="G458" s="5">
        <f t="shared" si="30"/>
        <v>0</v>
      </c>
      <c r="H458" s="5">
        <f t="shared" si="31"/>
        <v>0</v>
      </c>
    </row>
    <row r="459" spans="5:8" hidden="1" x14ac:dyDescent="0.25">
      <c r="E459" s="5" t="str">
        <f t="shared" si="28"/>
        <v/>
      </c>
      <c r="F459" s="5">
        <f t="shared" si="29"/>
        <v>0</v>
      </c>
      <c r="G459" s="5">
        <f t="shared" si="30"/>
        <v>0</v>
      </c>
      <c r="H459" s="5">
        <f t="shared" si="31"/>
        <v>0</v>
      </c>
    </row>
    <row r="460" spans="5:8" hidden="1" x14ac:dyDescent="0.25">
      <c r="E460" s="5" t="str">
        <f t="shared" si="28"/>
        <v/>
      </c>
      <c r="F460" s="5">
        <f t="shared" si="29"/>
        <v>0</v>
      </c>
      <c r="G460" s="5">
        <f t="shared" si="30"/>
        <v>0</v>
      </c>
      <c r="H460" s="5">
        <f t="shared" si="31"/>
        <v>0</v>
      </c>
    </row>
    <row r="461" spans="5:8" hidden="1" x14ac:dyDescent="0.25">
      <c r="E461" s="5" t="str">
        <f t="shared" si="28"/>
        <v/>
      </c>
      <c r="F461" s="5">
        <f t="shared" si="29"/>
        <v>0</v>
      </c>
      <c r="G461" s="5">
        <f t="shared" si="30"/>
        <v>0</v>
      </c>
      <c r="H461" s="5">
        <f t="shared" si="31"/>
        <v>0</v>
      </c>
    </row>
    <row r="462" spans="5:8" hidden="1" x14ac:dyDescent="0.25">
      <c r="E462" s="5" t="str">
        <f t="shared" si="28"/>
        <v/>
      </c>
      <c r="F462" s="5">
        <f t="shared" si="29"/>
        <v>0</v>
      </c>
      <c r="G462" s="5">
        <f t="shared" si="30"/>
        <v>0</v>
      </c>
      <c r="H462" s="5">
        <f t="shared" si="31"/>
        <v>0</v>
      </c>
    </row>
    <row r="463" spans="5:8" hidden="1" x14ac:dyDescent="0.25">
      <c r="E463" s="5" t="str">
        <f t="shared" si="28"/>
        <v/>
      </c>
      <c r="F463" s="5">
        <f t="shared" si="29"/>
        <v>0</v>
      </c>
      <c r="G463" s="5">
        <f t="shared" si="30"/>
        <v>0</v>
      </c>
      <c r="H463" s="5">
        <f t="shared" si="31"/>
        <v>0</v>
      </c>
    </row>
    <row r="464" spans="5:8" hidden="1" x14ac:dyDescent="0.25">
      <c r="E464" s="5" t="str">
        <f t="shared" si="28"/>
        <v/>
      </c>
      <c r="F464" s="5">
        <f t="shared" si="29"/>
        <v>0</v>
      </c>
      <c r="G464" s="5">
        <f t="shared" si="30"/>
        <v>0</v>
      </c>
      <c r="H464" s="5">
        <f t="shared" si="31"/>
        <v>0</v>
      </c>
    </row>
    <row r="465" spans="5:8" hidden="1" x14ac:dyDescent="0.25">
      <c r="E465" s="5" t="str">
        <f t="shared" si="28"/>
        <v/>
      </c>
      <c r="F465" s="5">
        <f t="shared" si="29"/>
        <v>0</v>
      </c>
      <c r="G465" s="5">
        <f t="shared" si="30"/>
        <v>0</v>
      </c>
      <c r="H465" s="5">
        <f t="shared" si="31"/>
        <v>0</v>
      </c>
    </row>
    <row r="466" spans="5:8" hidden="1" x14ac:dyDescent="0.25">
      <c r="E466" s="5" t="str">
        <f t="shared" si="28"/>
        <v/>
      </c>
      <c r="F466" s="5">
        <f t="shared" si="29"/>
        <v>0</v>
      </c>
      <c r="G466" s="5">
        <f t="shared" si="30"/>
        <v>0</v>
      </c>
      <c r="H466" s="5">
        <f t="shared" si="31"/>
        <v>0</v>
      </c>
    </row>
    <row r="467" spans="5:8" hidden="1" x14ac:dyDescent="0.25">
      <c r="E467" s="5" t="str">
        <f t="shared" si="28"/>
        <v/>
      </c>
      <c r="F467" s="5">
        <f t="shared" si="29"/>
        <v>0</v>
      </c>
      <c r="G467" s="5">
        <f t="shared" si="30"/>
        <v>0</v>
      </c>
      <c r="H467" s="5">
        <f t="shared" si="31"/>
        <v>0</v>
      </c>
    </row>
    <row r="468" spans="5:8" hidden="1" x14ac:dyDescent="0.25">
      <c r="E468" s="5" t="str">
        <f t="shared" si="28"/>
        <v/>
      </c>
      <c r="F468" s="5">
        <f t="shared" si="29"/>
        <v>0</v>
      </c>
      <c r="G468" s="5">
        <f t="shared" si="30"/>
        <v>0</v>
      </c>
      <c r="H468" s="5">
        <f t="shared" si="31"/>
        <v>0</v>
      </c>
    </row>
    <row r="469" spans="5:8" hidden="1" x14ac:dyDescent="0.25">
      <c r="E469" s="5" t="str">
        <f t="shared" si="28"/>
        <v/>
      </c>
      <c r="F469" s="5">
        <f t="shared" si="29"/>
        <v>0</v>
      </c>
      <c r="G469" s="5">
        <f t="shared" si="30"/>
        <v>0</v>
      </c>
      <c r="H469" s="5">
        <f t="shared" si="31"/>
        <v>0</v>
      </c>
    </row>
    <row r="470" spans="5:8" hidden="1" x14ac:dyDescent="0.25">
      <c r="E470" s="5" t="str">
        <f t="shared" si="28"/>
        <v/>
      </c>
      <c r="F470" s="5">
        <f t="shared" si="29"/>
        <v>0</v>
      </c>
      <c r="G470" s="5">
        <f t="shared" si="30"/>
        <v>0</v>
      </c>
      <c r="H470" s="5">
        <f t="shared" si="31"/>
        <v>0</v>
      </c>
    </row>
    <row r="471" spans="5:8" hidden="1" x14ac:dyDescent="0.25">
      <c r="E471" s="5" t="str">
        <f t="shared" si="28"/>
        <v/>
      </c>
      <c r="F471" s="5">
        <f t="shared" si="29"/>
        <v>0</v>
      </c>
      <c r="G471" s="5">
        <f t="shared" si="30"/>
        <v>0</v>
      </c>
      <c r="H471" s="5">
        <f t="shared" si="31"/>
        <v>0</v>
      </c>
    </row>
    <row r="472" spans="5:8" hidden="1" x14ac:dyDescent="0.25">
      <c r="E472" s="5" t="str">
        <f t="shared" si="28"/>
        <v/>
      </c>
      <c r="F472" s="5">
        <f t="shared" si="29"/>
        <v>0</v>
      </c>
      <c r="G472" s="5">
        <f t="shared" si="30"/>
        <v>0</v>
      </c>
      <c r="H472" s="5">
        <f t="shared" si="31"/>
        <v>0</v>
      </c>
    </row>
    <row r="473" spans="5:8" hidden="1" x14ac:dyDescent="0.25">
      <c r="E473" s="5" t="str">
        <f t="shared" si="28"/>
        <v/>
      </c>
      <c r="F473" s="5">
        <f t="shared" si="29"/>
        <v>0</v>
      </c>
      <c r="G473" s="5">
        <f t="shared" si="30"/>
        <v>0</v>
      </c>
      <c r="H473" s="5">
        <f t="shared" si="31"/>
        <v>0</v>
      </c>
    </row>
    <row r="474" spans="5:8" hidden="1" x14ac:dyDescent="0.25">
      <c r="E474" s="5" t="str">
        <f t="shared" si="28"/>
        <v/>
      </c>
      <c r="F474" s="5">
        <f t="shared" si="29"/>
        <v>0</v>
      </c>
      <c r="G474" s="5">
        <f t="shared" si="30"/>
        <v>0</v>
      </c>
      <c r="H474" s="5">
        <f t="shared" si="31"/>
        <v>0</v>
      </c>
    </row>
    <row r="475" spans="5:8" hidden="1" x14ac:dyDescent="0.25">
      <c r="E475" s="5" t="str">
        <f t="shared" si="28"/>
        <v/>
      </c>
      <c r="F475" s="5">
        <f t="shared" si="29"/>
        <v>0</v>
      </c>
      <c r="G475" s="5">
        <f t="shared" si="30"/>
        <v>0</v>
      </c>
      <c r="H475" s="5">
        <f t="shared" si="31"/>
        <v>0</v>
      </c>
    </row>
    <row r="476" spans="5:8" hidden="1" x14ac:dyDescent="0.25">
      <c r="E476" s="5" t="str">
        <f t="shared" si="28"/>
        <v/>
      </c>
      <c r="F476" s="5">
        <f t="shared" si="29"/>
        <v>0</v>
      </c>
      <c r="G476" s="5">
        <f t="shared" si="30"/>
        <v>0</v>
      </c>
      <c r="H476" s="5">
        <f t="shared" si="31"/>
        <v>0</v>
      </c>
    </row>
    <row r="477" spans="5:8" hidden="1" x14ac:dyDescent="0.25">
      <c r="E477" s="5" t="str">
        <f t="shared" si="28"/>
        <v/>
      </c>
      <c r="F477" s="5">
        <f t="shared" si="29"/>
        <v>0</v>
      </c>
      <c r="G477" s="5">
        <f t="shared" si="30"/>
        <v>0</v>
      </c>
      <c r="H477" s="5">
        <f t="shared" si="31"/>
        <v>0</v>
      </c>
    </row>
    <row r="478" spans="5:8" hidden="1" x14ac:dyDescent="0.25">
      <c r="E478" s="5" t="str">
        <f t="shared" si="28"/>
        <v/>
      </c>
      <c r="F478" s="5">
        <f t="shared" si="29"/>
        <v>0</v>
      </c>
      <c r="G478" s="5">
        <f t="shared" si="30"/>
        <v>0</v>
      </c>
      <c r="H478" s="5">
        <f t="shared" si="31"/>
        <v>0</v>
      </c>
    </row>
    <row r="479" spans="5:8" hidden="1" x14ac:dyDescent="0.25">
      <c r="E479" s="5" t="str">
        <f t="shared" si="28"/>
        <v/>
      </c>
      <c r="F479" s="5">
        <f t="shared" si="29"/>
        <v>0</v>
      </c>
      <c r="G479" s="5">
        <f t="shared" si="30"/>
        <v>0</v>
      </c>
      <c r="H479" s="5">
        <f t="shared" si="31"/>
        <v>0</v>
      </c>
    </row>
    <row r="480" spans="5:8" hidden="1" x14ac:dyDescent="0.25">
      <c r="E480" s="5" t="str">
        <f t="shared" si="28"/>
        <v/>
      </c>
      <c r="F480" s="5">
        <f t="shared" si="29"/>
        <v>0</v>
      </c>
      <c r="G480" s="5">
        <f t="shared" si="30"/>
        <v>0</v>
      </c>
      <c r="H480" s="5">
        <f t="shared" si="31"/>
        <v>0</v>
      </c>
    </row>
    <row r="481" spans="5:8" hidden="1" x14ac:dyDescent="0.25">
      <c r="E481" s="5" t="str">
        <f t="shared" si="28"/>
        <v/>
      </c>
      <c r="F481" s="5">
        <f t="shared" si="29"/>
        <v>0</v>
      </c>
      <c r="G481" s="5">
        <f t="shared" si="30"/>
        <v>0</v>
      </c>
      <c r="H481" s="5">
        <f t="shared" si="31"/>
        <v>0</v>
      </c>
    </row>
    <row r="482" spans="5:8" hidden="1" x14ac:dyDescent="0.25">
      <c r="E482" s="5" t="str">
        <f t="shared" si="28"/>
        <v/>
      </c>
      <c r="F482" s="5">
        <f t="shared" si="29"/>
        <v>0</v>
      </c>
      <c r="G482" s="5">
        <f t="shared" si="30"/>
        <v>0</v>
      </c>
      <c r="H482" s="5">
        <f t="shared" si="31"/>
        <v>0</v>
      </c>
    </row>
    <row r="483" spans="5:8" hidden="1" x14ac:dyDescent="0.25">
      <c r="E483" s="5" t="str">
        <f t="shared" si="28"/>
        <v/>
      </c>
      <c r="F483" s="5">
        <f t="shared" si="29"/>
        <v>0</v>
      </c>
      <c r="G483" s="5">
        <f t="shared" si="30"/>
        <v>0</v>
      </c>
      <c r="H483" s="5">
        <f t="shared" si="31"/>
        <v>0</v>
      </c>
    </row>
    <row r="484" spans="5:8" hidden="1" x14ac:dyDescent="0.25">
      <c r="E484" s="5" t="str">
        <f t="shared" si="28"/>
        <v/>
      </c>
      <c r="F484" s="5">
        <f t="shared" si="29"/>
        <v>0</v>
      </c>
      <c r="G484" s="5">
        <f t="shared" si="30"/>
        <v>0</v>
      </c>
      <c r="H484" s="5">
        <f t="shared" si="31"/>
        <v>0</v>
      </c>
    </row>
    <row r="485" spans="5:8" hidden="1" x14ac:dyDescent="0.25">
      <c r="E485" s="5" t="str">
        <f t="shared" si="28"/>
        <v/>
      </c>
      <c r="F485" s="5">
        <f t="shared" si="29"/>
        <v>0</v>
      </c>
      <c r="G485" s="5">
        <f t="shared" si="30"/>
        <v>0</v>
      </c>
      <c r="H485" s="5">
        <f t="shared" si="31"/>
        <v>0</v>
      </c>
    </row>
    <row r="486" spans="5:8" hidden="1" x14ac:dyDescent="0.25">
      <c r="E486" s="5" t="str">
        <f t="shared" si="28"/>
        <v/>
      </c>
      <c r="F486" s="5">
        <f t="shared" si="29"/>
        <v>0</v>
      </c>
      <c r="G486" s="5">
        <f t="shared" si="30"/>
        <v>0</v>
      </c>
      <c r="H486" s="5">
        <f t="shared" si="31"/>
        <v>0</v>
      </c>
    </row>
    <row r="487" spans="5:8" hidden="1" x14ac:dyDescent="0.25">
      <c r="E487" s="5" t="str">
        <f t="shared" si="28"/>
        <v/>
      </c>
      <c r="F487" s="5">
        <f t="shared" si="29"/>
        <v>0</v>
      </c>
      <c r="G487" s="5">
        <f t="shared" si="30"/>
        <v>0</v>
      </c>
      <c r="H487" s="5">
        <f t="shared" si="31"/>
        <v>0</v>
      </c>
    </row>
    <row r="488" spans="5:8" hidden="1" x14ac:dyDescent="0.25">
      <c r="E488" s="5" t="str">
        <f t="shared" si="28"/>
        <v/>
      </c>
      <c r="F488" s="5">
        <f t="shared" si="29"/>
        <v>0</v>
      </c>
      <c r="G488" s="5">
        <f t="shared" si="30"/>
        <v>0</v>
      </c>
      <c r="H488" s="5">
        <f t="shared" si="31"/>
        <v>0</v>
      </c>
    </row>
    <row r="489" spans="5:8" hidden="1" x14ac:dyDescent="0.25">
      <c r="E489" s="5" t="str">
        <f t="shared" si="28"/>
        <v/>
      </c>
      <c r="F489" s="5">
        <f t="shared" si="29"/>
        <v>0</v>
      </c>
      <c r="G489" s="5">
        <f t="shared" si="30"/>
        <v>0</v>
      </c>
      <c r="H489" s="5">
        <f t="shared" si="31"/>
        <v>0</v>
      </c>
    </row>
    <row r="490" spans="5:8" hidden="1" x14ac:dyDescent="0.25">
      <c r="E490" s="5" t="str">
        <f t="shared" si="28"/>
        <v/>
      </c>
      <c r="F490" s="5">
        <f t="shared" si="29"/>
        <v>0</v>
      </c>
      <c r="G490" s="5">
        <f t="shared" si="30"/>
        <v>0</v>
      </c>
      <c r="H490" s="5">
        <f t="shared" si="31"/>
        <v>0</v>
      </c>
    </row>
    <row r="491" spans="5:8" hidden="1" x14ac:dyDescent="0.25">
      <c r="E491" s="5" t="str">
        <f t="shared" si="28"/>
        <v/>
      </c>
      <c r="F491" s="5">
        <f t="shared" si="29"/>
        <v>0</v>
      </c>
      <c r="G491" s="5">
        <f t="shared" si="30"/>
        <v>0</v>
      </c>
      <c r="H491" s="5">
        <f t="shared" si="31"/>
        <v>0</v>
      </c>
    </row>
    <row r="492" spans="5:8" hidden="1" x14ac:dyDescent="0.25">
      <c r="E492" s="5" t="str">
        <f t="shared" si="28"/>
        <v/>
      </c>
      <c r="F492" s="5">
        <f t="shared" si="29"/>
        <v>0</v>
      </c>
      <c r="G492" s="5">
        <f t="shared" si="30"/>
        <v>0</v>
      </c>
      <c r="H492" s="5">
        <f t="shared" si="31"/>
        <v>0</v>
      </c>
    </row>
    <row r="493" spans="5:8" hidden="1" x14ac:dyDescent="0.25">
      <c r="E493" s="5" t="str">
        <f t="shared" si="28"/>
        <v/>
      </c>
      <c r="F493" s="5">
        <f t="shared" si="29"/>
        <v>0</v>
      </c>
      <c r="G493" s="5">
        <f t="shared" si="30"/>
        <v>0</v>
      </c>
      <c r="H493" s="5">
        <f t="shared" si="31"/>
        <v>0</v>
      </c>
    </row>
    <row r="494" spans="5:8" hidden="1" x14ac:dyDescent="0.25">
      <c r="E494" s="5" t="str">
        <f t="shared" si="28"/>
        <v/>
      </c>
      <c r="F494" s="5">
        <f t="shared" si="29"/>
        <v>0</v>
      </c>
      <c r="G494" s="5">
        <f t="shared" si="30"/>
        <v>0</v>
      </c>
      <c r="H494" s="5">
        <f t="shared" si="31"/>
        <v>0</v>
      </c>
    </row>
    <row r="495" spans="5:8" hidden="1" x14ac:dyDescent="0.25">
      <c r="E495" s="5" t="str">
        <f t="shared" si="28"/>
        <v/>
      </c>
      <c r="F495" s="5">
        <f t="shared" si="29"/>
        <v>0</v>
      </c>
      <c r="G495" s="5">
        <f t="shared" si="30"/>
        <v>0</v>
      </c>
      <c r="H495" s="5">
        <f t="shared" si="31"/>
        <v>0</v>
      </c>
    </row>
    <row r="496" spans="5:8" hidden="1" x14ac:dyDescent="0.25">
      <c r="E496" s="5" t="str">
        <f t="shared" si="28"/>
        <v/>
      </c>
      <c r="F496" s="5">
        <f t="shared" si="29"/>
        <v>0</v>
      </c>
      <c r="G496" s="5">
        <f t="shared" si="30"/>
        <v>0</v>
      </c>
      <c r="H496" s="5">
        <f t="shared" si="31"/>
        <v>0</v>
      </c>
    </row>
    <row r="497" spans="5:8" hidden="1" x14ac:dyDescent="0.25">
      <c r="E497" s="5" t="str">
        <f t="shared" si="28"/>
        <v/>
      </c>
      <c r="F497" s="5">
        <f t="shared" si="29"/>
        <v>0</v>
      </c>
      <c r="G497" s="5">
        <f t="shared" si="30"/>
        <v>0</v>
      </c>
      <c r="H497" s="5">
        <f t="shared" si="31"/>
        <v>0</v>
      </c>
    </row>
    <row r="498" spans="5:8" hidden="1" x14ac:dyDescent="0.25">
      <c r="E498" s="5" t="str">
        <f t="shared" si="28"/>
        <v/>
      </c>
      <c r="F498" s="5">
        <f t="shared" si="29"/>
        <v>0</v>
      </c>
      <c r="G498" s="5">
        <f t="shared" si="30"/>
        <v>0</v>
      </c>
      <c r="H498" s="5">
        <f t="shared" si="31"/>
        <v>0</v>
      </c>
    </row>
    <row r="499" spans="5:8" hidden="1" x14ac:dyDescent="0.25">
      <c r="E499" s="5" t="str">
        <f t="shared" si="28"/>
        <v/>
      </c>
      <c r="F499" s="5">
        <f t="shared" si="29"/>
        <v>0</v>
      </c>
      <c r="G499" s="5">
        <f t="shared" si="30"/>
        <v>0</v>
      </c>
      <c r="H499" s="5">
        <f t="shared" si="31"/>
        <v>0</v>
      </c>
    </row>
    <row r="500" spans="5:8" hidden="1" x14ac:dyDescent="0.25">
      <c r="E500" s="5" t="str">
        <f t="shared" si="28"/>
        <v/>
      </c>
      <c r="F500" s="5">
        <f t="shared" si="29"/>
        <v>0</v>
      </c>
      <c r="G500" s="5">
        <f t="shared" si="30"/>
        <v>0</v>
      </c>
      <c r="H500" s="5">
        <f t="shared" si="31"/>
        <v>0</v>
      </c>
    </row>
    <row r="501" spans="5:8" hidden="1" x14ac:dyDescent="0.25">
      <c r="E501" s="5" t="str">
        <f t="shared" si="28"/>
        <v/>
      </c>
      <c r="F501" s="5">
        <f t="shared" si="29"/>
        <v>0</v>
      </c>
      <c r="G501" s="5">
        <f t="shared" si="30"/>
        <v>0</v>
      </c>
      <c r="H501" s="5">
        <f t="shared" si="31"/>
        <v>0</v>
      </c>
    </row>
    <row r="502" spans="5:8" hidden="1" x14ac:dyDescent="0.25">
      <c r="E502" s="5" t="str">
        <f t="shared" si="28"/>
        <v/>
      </c>
      <c r="F502" s="5">
        <f t="shared" si="29"/>
        <v>0</v>
      </c>
      <c r="G502" s="5">
        <f t="shared" si="30"/>
        <v>0</v>
      </c>
      <c r="H502" s="5">
        <f t="shared" si="31"/>
        <v>0</v>
      </c>
    </row>
    <row r="503" spans="5:8" hidden="1" x14ac:dyDescent="0.25">
      <c r="E503" s="5" t="str">
        <f t="shared" si="28"/>
        <v/>
      </c>
      <c r="F503" s="5">
        <f t="shared" si="29"/>
        <v>0</v>
      </c>
      <c r="G503" s="5">
        <f t="shared" si="30"/>
        <v>0</v>
      </c>
      <c r="H503" s="5">
        <f t="shared" si="31"/>
        <v>0</v>
      </c>
    </row>
    <row r="504" spans="5:8" hidden="1" x14ac:dyDescent="0.25">
      <c r="E504" s="5" t="str">
        <f t="shared" si="28"/>
        <v/>
      </c>
      <c r="F504" s="5">
        <f t="shared" si="29"/>
        <v>0</v>
      </c>
      <c r="G504" s="5">
        <f t="shared" si="30"/>
        <v>0</v>
      </c>
      <c r="H504" s="5">
        <f t="shared" si="31"/>
        <v>0</v>
      </c>
    </row>
    <row r="505" spans="5:8" hidden="1" x14ac:dyDescent="0.25">
      <c r="E505" s="5" t="str">
        <f t="shared" si="28"/>
        <v/>
      </c>
      <c r="F505" s="5">
        <f t="shared" si="29"/>
        <v>0</v>
      </c>
      <c r="G505" s="5">
        <f t="shared" si="30"/>
        <v>0</v>
      </c>
      <c r="H505" s="5">
        <f t="shared" si="31"/>
        <v>0</v>
      </c>
    </row>
    <row r="506" spans="5:8" hidden="1" x14ac:dyDescent="0.25">
      <c r="E506" s="5" t="str">
        <f t="shared" si="28"/>
        <v/>
      </c>
      <c r="F506" s="5">
        <f t="shared" si="29"/>
        <v>0</v>
      </c>
      <c r="G506" s="5">
        <f t="shared" si="30"/>
        <v>0</v>
      </c>
      <c r="H506" s="5">
        <f t="shared" si="31"/>
        <v>0</v>
      </c>
    </row>
    <row r="507" spans="5:8" hidden="1" x14ac:dyDescent="0.25">
      <c r="E507" s="5" t="str">
        <f t="shared" si="28"/>
        <v/>
      </c>
      <c r="F507" s="5">
        <f t="shared" si="29"/>
        <v>0</v>
      </c>
      <c r="G507" s="5">
        <f t="shared" si="30"/>
        <v>0</v>
      </c>
      <c r="H507" s="5">
        <f t="shared" si="31"/>
        <v>0</v>
      </c>
    </row>
    <row r="508" spans="5:8" hidden="1" x14ac:dyDescent="0.25">
      <c r="E508" s="5" t="str">
        <f t="shared" si="28"/>
        <v/>
      </c>
      <c r="F508" s="5">
        <f t="shared" si="29"/>
        <v>0</v>
      </c>
      <c r="G508" s="5">
        <f t="shared" si="30"/>
        <v>0</v>
      </c>
      <c r="H508" s="5">
        <f t="shared" si="31"/>
        <v>0</v>
      </c>
    </row>
    <row r="509" spans="5:8" hidden="1" x14ac:dyDescent="0.25">
      <c r="E509" s="5" t="str">
        <f t="shared" si="28"/>
        <v/>
      </c>
      <c r="F509" s="5">
        <f t="shared" si="29"/>
        <v>0</v>
      </c>
      <c r="G509" s="5">
        <f t="shared" si="30"/>
        <v>0</v>
      </c>
      <c r="H509" s="5">
        <f t="shared" si="31"/>
        <v>0</v>
      </c>
    </row>
    <row r="510" spans="5:8" hidden="1" x14ac:dyDescent="0.25">
      <c r="E510" s="5" t="str">
        <f t="shared" si="28"/>
        <v/>
      </c>
      <c r="F510" s="5">
        <f t="shared" si="29"/>
        <v>0</v>
      </c>
      <c r="G510" s="5">
        <f t="shared" si="30"/>
        <v>0</v>
      </c>
      <c r="H510" s="5">
        <f t="shared" si="31"/>
        <v>0</v>
      </c>
    </row>
    <row r="511" spans="5:8" hidden="1" x14ac:dyDescent="0.25">
      <c r="E511" s="5" t="str">
        <f t="shared" si="28"/>
        <v/>
      </c>
      <c r="F511" s="5">
        <f t="shared" si="29"/>
        <v>0</v>
      </c>
      <c r="G511" s="5">
        <f t="shared" si="30"/>
        <v>0</v>
      </c>
      <c r="H511" s="5">
        <f t="shared" si="31"/>
        <v>0</v>
      </c>
    </row>
    <row r="512" spans="5:8" hidden="1" x14ac:dyDescent="0.25">
      <c r="E512" s="5" t="str">
        <f t="shared" ref="E512:E575" si="32">A512&amp;A513</f>
        <v/>
      </c>
      <c r="F512" s="5">
        <f t="shared" ref="F512:F575" si="33">B512</f>
        <v>0</v>
      </c>
      <c r="G512" s="5">
        <f t="shared" ref="G512:G575" si="34">C512</f>
        <v>0</v>
      </c>
      <c r="H512" s="5">
        <f t="shared" ref="H512:H575" si="35">D512</f>
        <v>0</v>
      </c>
    </row>
    <row r="513" spans="5:8" hidden="1" x14ac:dyDescent="0.25">
      <c r="E513" s="5" t="str">
        <f t="shared" si="32"/>
        <v/>
      </c>
      <c r="F513" s="5">
        <f t="shared" si="33"/>
        <v>0</v>
      </c>
      <c r="G513" s="5">
        <f t="shared" si="34"/>
        <v>0</v>
      </c>
      <c r="H513" s="5">
        <f t="shared" si="35"/>
        <v>0</v>
      </c>
    </row>
    <row r="514" spans="5:8" hidden="1" x14ac:dyDescent="0.25">
      <c r="E514" s="5" t="str">
        <f t="shared" si="32"/>
        <v/>
      </c>
      <c r="F514" s="5">
        <f t="shared" si="33"/>
        <v>0</v>
      </c>
      <c r="G514" s="5">
        <f t="shared" si="34"/>
        <v>0</v>
      </c>
      <c r="H514" s="5">
        <f t="shared" si="35"/>
        <v>0</v>
      </c>
    </row>
    <row r="515" spans="5:8" hidden="1" x14ac:dyDescent="0.25">
      <c r="E515" s="5" t="str">
        <f t="shared" si="32"/>
        <v/>
      </c>
      <c r="F515" s="5">
        <f t="shared" si="33"/>
        <v>0</v>
      </c>
      <c r="G515" s="5">
        <f t="shared" si="34"/>
        <v>0</v>
      </c>
      <c r="H515" s="5">
        <f t="shared" si="35"/>
        <v>0</v>
      </c>
    </row>
    <row r="516" spans="5:8" hidden="1" x14ac:dyDescent="0.25">
      <c r="E516" s="5" t="str">
        <f t="shared" si="32"/>
        <v/>
      </c>
      <c r="F516" s="5">
        <f t="shared" si="33"/>
        <v>0</v>
      </c>
      <c r="G516" s="5">
        <f t="shared" si="34"/>
        <v>0</v>
      </c>
      <c r="H516" s="5">
        <f t="shared" si="35"/>
        <v>0</v>
      </c>
    </row>
    <row r="517" spans="5:8" hidden="1" x14ac:dyDescent="0.25">
      <c r="E517" s="5" t="str">
        <f t="shared" si="32"/>
        <v/>
      </c>
      <c r="F517" s="5">
        <f t="shared" si="33"/>
        <v>0</v>
      </c>
      <c r="G517" s="5">
        <f t="shared" si="34"/>
        <v>0</v>
      </c>
      <c r="H517" s="5">
        <f t="shared" si="35"/>
        <v>0</v>
      </c>
    </row>
    <row r="518" spans="5:8" hidden="1" x14ac:dyDescent="0.25">
      <c r="E518" s="5" t="str">
        <f t="shared" si="32"/>
        <v/>
      </c>
      <c r="F518" s="5">
        <f t="shared" si="33"/>
        <v>0</v>
      </c>
      <c r="G518" s="5">
        <f t="shared" si="34"/>
        <v>0</v>
      </c>
      <c r="H518" s="5">
        <f t="shared" si="35"/>
        <v>0</v>
      </c>
    </row>
    <row r="519" spans="5:8" hidden="1" x14ac:dyDescent="0.25">
      <c r="E519" s="5" t="str">
        <f t="shared" si="32"/>
        <v/>
      </c>
      <c r="F519" s="5">
        <f t="shared" si="33"/>
        <v>0</v>
      </c>
      <c r="G519" s="5">
        <f t="shared" si="34"/>
        <v>0</v>
      </c>
      <c r="H519" s="5">
        <f t="shared" si="35"/>
        <v>0</v>
      </c>
    </row>
    <row r="520" spans="5:8" hidden="1" x14ac:dyDescent="0.25">
      <c r="E520" s="5" t="str">
        <f t="shared" si="32"/>
        <v/>
      </c>
      <c r="F520" s="5">
        <f t="shared" si="33"/>
        <v>0</v>
      </c>
      <c r="G520" s="5">
        <f t="shared" si="34"/>
        <v>0</v>
      </c>
      <c r="H520" s="5">
        <f t="shared" si="35"/>
        <v>0</v>
      </c>
    </row>
    <row r="521" spans="5:8" hidden="1" x14ac:dyDescent="0.25">
      <c r="E521" s="5" t="str">
        <f t="shared" si="32"/>
        <v/>
      </c>
      <c r="F521" s="5">
        <f t="shared" si="33"/>
        <v>0</v>
      </c>
      <c r="G521" s="5">
        <f t="shared" si="34"/>
        <v>0</v>
      </c>
      <c r="H521" s="5">
        <f t="shared" si="35"/>
        <v>0</v>
      </c>
    </row>
    <row r="522" spans="5:8" hidden="1" x14ac:dyDescent="0.25">
      <c r="E522" s="5" t="str">
        <f t="shared" si="32"/>
        <v/>
      </c>
      <c r="F522" s="5">
        <f t="shared" si="33"/>
        <v>0</v>
      </c>
      <c r="G522" s="5">
        <f t="shared" si="34"/>
        <v>0</v>
      </c>
      <c r="H522" s="5">
        <f t="shared" si="35"/>
        <v>0</v>
      </c>
    </row>
    <row r="523" spans="5:8" hidden="1" x14ac:dyDescent="0.25">
      <c r="E523" s="5" t="str">
        <f t="shared" si="32"/>
        <v/>
      </c>
      <c r="F523" s="5">
        <f t="shared" si="33"/>
        <v>0</v>
      </c>
      <c r="G523" s="5">
        <f t="shared" si="34"/>
        <v>0</v>
      </c>
      <c r="H523" s="5">
        <f t="shared" si="35"/>
        <v>0</v>
      </c>
    </row>
    <row r="524" spans="5:8" hidden="1" x14ac:dyDescent="0.25">
      <c r="E524" s="5" t="str">
        <f t="shared" si="32"/>
        <v/>
      </c>
      <c r="F524" s="5">
        <f t="shared" si="33"/>
        <v>0</v>
      </c>
      <c r="G524" s="5">
        <f t="shared" si="34"/>
        <v>0</v>
      </c>
      <c r="H524" s="5">
        <f t="shared" si="35"/>
        <v>0</v>
      </c>
    </row>
    <row r="525" spans="5:8" hidden="1" x14ac:dyDescent="0.25">
      <c r="E525" s="5" t="str">
        <f t="shared" si="32"/>
        <v/>
      </c>
      <c r="F525" s="5">
        <f t="shared" si="33"/>
        <v>0</v>
      </c>
      <c r="G525" s="5">
        <f t="shared" si="34"/>
        <v>0</v>
      </c>
      <c r="H525" s="5">
        <f t="shared" si="35"/>
        <v>0</v>
      </c>
    </row>
    <row r="526" spans="5:8" hidden="1" x14ac:dyDescent="0.25">
      <c r="E526" s="5" t="str">
        <f t="shared" si="32"/>
        <v/>
      </c>
      <c r="F526" s="5">
        <f t="shared" si="33"/>
        <v>0</v>
      </c>
      <c r="G526" s="5">
        <f t="shared" si="34"/>
        <v>0</v>
      </c>
      <c r="H526" s="5">
        <f t="shared" si="35"/>
        <v>0</v>
      </c>
    </row>
    <row r="527" spans="5:8" hidden="1" x14ac:dyDescent="0.25">
      <c r="E527" s="5" t="str">
        <f t="shared" si="32"/>
        <v/>
      </c>
      <c r="F527" s="5">
        <f t="shared" si="33"/>
        <v>0</v>
      </c>
      <c r="G527" s="5">
        <f t="shared" si="34"/>
        <v>0</v>
      </c>
      <c r="H527" s="5">
        <f t="shared" si="35"/>
        <v>0</v>
      </c>
    </row>
    <row r="528" spans="5:8" hidden="1" x14ac:dyDescent="0.25">
      <c r="E528" s="5" t="str">
        <f t="shared" si="32"/>
        <v/>
      </c>
      <c r="F528" s="5">
        <f t="shared" si="33"/>
        <v>0</v>
      </c>
      <c r="G528" s="5">
        <f t="shared" si="34"/>
        <v>0</v>
      </c>
      <c r="H528" s="5">
        <f t="shared" si="35"/>
        <v>0</v>
      </c>
    </row>
    <row r="529" spans="5:8" hidden="1" x14ac:dyDescent="0.25">
      <c r="E529" s="5" t="str">
        <f t="shared" si="32"/>
        <v/>
      </c>
      <c r="F529" s="5">
        <f t="shared" si="33"/>
        <v>0</v>
      </c>
      <c r="G529" s="5">
        <f t="shared" si="34"/>
        <v>0</v>
      </c>
      <c r="H529" s="5">
        <f t="shared" si="35"/>
        <v>0</v>
      </c>
    </row>
    <row r="530" spans="5:8" hidden="1" x14ac:dyDescent="0.25">
      <c r="E530" s="5" t="str">
        <f t="shared" si="32"/>
        <v/>
      </c>
      <c r="F530" s="5">
        <f t="shared" si="33"/>
        <v>0</v>
      </c>
      <c r="G530" s="5">
        <f t="shared" si="34"/>
        <v>0</v>
      </c>
      <c r="H530" s="5">
        <f t="shared" si="35"/>
        <v>0</v>
      </c>
    </row>
    <row r="531" spans="5:8" hidden="1" x14ac:dyDescent="0.25">
      <c r="E531" s="5" t="str">
        <f t="shared" si="32"/>
        <v/>
      </c>
      <c r="F531" s="5">
        <f t="shared" si="33"/>
        <v>0</v>
      </c>
      <c r="G531" s="5">
        <f t="shared" si="34"/>
        <v>0</v>
      </c>
      <c r="H531" s="5">
        <f t="shared" si="35"/>
        <v>0</v>
      </c>
    </row>
    <row r="532" spans="5:8" hidden="1" x14ac:dyDescent="0.25">
      <c r="E532" s="5" t="str">
        <f t="shared" si="32"/>
        <v/>
      </c>
      <c r="F532" s="5">
        <f t="shared" si="33"/>
        <v>0</v>
      </c>
      <c r="G532" s="5">
        <f t="shared" si="34"/>
        <v>0</v>
      </c>
      <c r="H532" s="5">
        <f t="shared" si="35"/>
        <v>0</v>
      </c>
    </row>
    <row r="533" spans="5:8" hidden="1" x14ac:dyDescent="0.25">
      <c r="E533" s="5" t="str">
        <f t="shared" si="32"/>
        <v/>
      </c>
      <c r="F533" s="5">
        <f t="shared" si="33"/>
        <v>0</v>
      </c>
      <c r="G533" s="5">
        <f t="shared" si="34"/>
        <v>0</v>
      </c>
      <c r="H533" s="5">
        <f t="shared" si="35"/>
        <v>0</v>
      </c>
    </row>
    <row r="534" spans="5:8" hidden="1" x14ac:dyDescent="0.25">
      <c r="E534" s="5" t="str">
        <f t="shared" si="32"/>
        <v/>
      </c>
      <c r="F534" s="5">
        <f t="shared" si="33"/>
        <v>0</v>
      </c>
      <c r="G534" s="5">
        <f t="shared" si="34"/>
        <v>0</v>
      </c>
      <c r="H534" s="5">
        <f t="shared" si="35"/>
        <v>0</v>
      </c>
    </row>
    <row r="535" spans="5:8" hidden="1" x14ac:dyDescent="0.25">
      <c r="E535" s="5" t="str">
        <f t="shared" si="32"/>
        <v/>
      </c>
      <c r="F535" s="5">
        <f t="shared" si="33"/>
        <v>0</v>
      </c>
      <c r="G535" s="5">
        <f t="shared" si="34"/>
        <v>0</v>
      </c>
      <c r="H535" s="5">
        <f t="shared" si="35"/>
        <v>0</v>
      </c>
    </row>
    <row r="536" spans="5:8" hidden="1" x14ac:dyDescent="0.25">
      <c r="E536" s="5" t="str">
        <f t="shared" si="32"/>
        <v/>
      </c>
      <c r="F536" s="5">
        <f t="shared" si="33"/>
        <v>0</v>
      </c>
      <c r="G536" s="5">
        <f t="shared" si="34"/>
        <v>0</v>
      </c>
      <c r="H536" s="5">
        <f t="shared" si="35"/>
        <v>0</v>
      </c>
    </row>
    <row r="537" spans="5:8" hidden="1" x14ac:dyDescent="0.25">
      <c r="E537" s="5" t="str">
        <f t="shared" si="32"/>
        <v/>
      </c>
      <c r="F537" s="5">
        <f t="shared" si="33"/>
        <v>0</v>
      </c>
      <c r="G537" s="5">
        <f t="shared" si="34"/>
        <v>0</v>
      </c>
      <c r="H537" s="5">
        <f t="shared" si="35"/>
        <v>0</v>
      </c>
    </row>
    <row r="538" spans="5:8" hidden="1" x14ac:dyDescent="0.25">
      <c r="E538" s="5" t="str">
        <f t="shared" si="32"/>
        <v/>
      </c>
      <c r="F538" s="5">
        <f t="shared" si="33"/>
        <v>0</v>
      </c>
      <c r="G538" s="5">
        <f t="shared" si="34"/>
        <v>0</v>
      </c>
      <c r="H538" s="5">
        <f t="shared" si="35"/>
        <v>0</v>
      </c>
    </row>
    <row r="539" spans="5:8" hidden="1" x14ac:dyDescent="0.25">
      <c r="E539" s="5" t="str">
        <f t="shared" si="32"/>
        <v/>
      </c>
      <c r="F539" s="5">
        <f t="shared" si="33"/>
        <v>0</v>
      </c>
      <c r="G539" s="5">
        <f t="shared" si="34"/>
        <v>0</v>
      </c>
      <c r="H539" s="5">
        <f t="shared" si="35"/>
        <v>0</v>
      </c>
    </row>
    <row r="540" spans="5:8" hidden="1" x14ac:dyDescent="0.25">
      <c r="E540" s="5" t="str">
        <f t="shared" si="32"/>
        <v/>
      </c>
      <c r="F540" s="5">
        <f t="shared" si="33"/>
        <v>0</v>
      </c>
      <c r="G540" s="5">
        <f t="shared" si="34"/>
        <v>0</v>
      </c>
      <c r="H540" s="5">
        <f t="shared" si="35"/>
        <v>0</v>
      </c>
    </row>
    <row r="541" spans="5:8" hidden="1" x14ac:dyDescent="0.25">
      <c r="E541" s="5" t="str">
        <f t="shared" si="32"/>
        <v/>
      </c>
      <c r="F541" s="5">
        <f t="shared" si="33"/>
        <v>0</v>
      </c>
      <c r="G541" s="5">
        <f t="shared" si="34"/>
        <v>0</v>
      </c>
      <c r="H541" s="5">
        <f t="shared" si="35"/>
        <v>0</v>
      </c>
    </row>
    <row r="542" spans="5:8" hidden="1" x14ac:dyDescent="0.25">
      <c r="E542" s="5" t="str">
        <f t="shared" si="32"/>
        <v/>
      </c>
      <c r="F542" s="5">
        <f t="shared" si="33"/>
        <v>0</v>
      </c>
      <c r="G542" s="5">
        <f t="shared" si="34"/>
        <v>0</v>
      </c>
      <c r="H542" s="5">
        <f t="shared" si="35"/>
        <v>0</v>
      </c>
    </row>
    <row r="543" spans="5:8" hidden="1" x14ac:dyDescent="0.25">
      <c r="E543" s="5" t="str">
        <f t="shared" si="32"/>
        <v/>
      </c>
      <c r="F543" s="5">
        <f t="shared" si="33"/>
        <v>0</v>
      </c>
      <c r="G543" s="5">
        <f t="shared" si="34"/>
        <v>0</v>
      </c>
      <c r="H543" s="5">
        <f t="shared" si="35"/>
        <v>0</v>
      </c>
    </row>
    <row r="544" spans="5:8" hidden="1" x14ac:dyDescent="0.25">
      <c r="E544" s="5" t="str">
        <f t="shared" si="32"/>
        <v/>
      </c>
      <c r="F544" s="5">
        <f t="shared" si="33"/>
        <v>0</v>
      </c>
      <c r="G544" s="5">
        <f t="shared" si="34"/>
        <v>0</v>
      </c>
      <c r="H544" s="5">
        <f t="shared" si="35"/>
        <v>0</v>
      </c>
    </row>
    <row r="545" spans="5:8" hidden="1" x14ac:dyDescent="0.25">
      <c r="E545" s="5" t="str">
        <f t="shared" si="32"/>
        <v/>
      </c>
      <c r="F545" s="5">
        <f t="shared" si="33"/>
        <v>0</v>
      </c>
      <c r="G545" s="5">
        <f t="shared" si="34"/>
        <v>0</v>
      </c>
      <c r="H545" s="5">
        <f t="shared" si="35"/>
        <v>0</v>
      </c>
    </row>
    <row r="546" spans="5:8" hidden="1" x14ac:dyDescent="0.25">
      <c r="E546" s="5" t="str">
        <f t="shared" si="32"/>
        <v/>
      </c>
      <c r="F546" s="5">
        <f t="shared" si="33"/>
        <v>0</v>
      </c>
      <c r="G546" s="5">
        <f t="shared" si="34"/>
        <v>0</v>
      </c>
      <c r="H546" s="5">
        <f t="shared" si="35"/>
        <v>0</v>
      </c>
    </row>
    <row r="547" spans="5:8" hidden="1" x14ac:dyDescent="0.25">
      <c r="E547" s="5" t="str">
        <f t="shared" si="32"/>
        <v/>
      </c>
      <c r="F547" s="5">
        <f t="shared" si="33"/>
        <v>0</v>
      </c>
      <c r="G547" s="5">
        <f t="shared" si="34"/>
        <v>0</v>
      </c>
      <c r="H547" s="5">
        <f t="shared" si="35"/>
        <v>0</v>
      </c>
    </row>
    <row r="548" spans="5:8" hidden="1" x14ac:dyDescent="0.25">
      <c r="E548" s="5" t="str">
        <f t="shared" si="32"/>
        <v/>
      </c>
      <c r="F548" s="5">
        <f t="shared" si="33"/>
        <v>0</v>
      </c>
      <c r="G548" s="5">
        <f t="shared" si="34"/>
        <v>0</v>
      </c>
      <c r="H548" s="5">
        <f t="shared" si="35"/>
        <v>0</v>
      </c>
    </row>
    <row r="549" spans="5:8" hidden="1" x14ac:dyDescent="0.25">
      <c r="E549" s="5" t="str">
        <f t="shared" si="32"/>
        <v/>
      </c>
      <c r="F549" s="5">
        <f t="shared" si="33"/>
        <v>0</v>
      </c>
      <c r="G549" s="5">
        <f t="shared" si="34"/>
        <v>0</v>
      </c>
      <c r="H549" s="5">
        <f t="shared" si="35"/>
        <v>0</v>
      </c>
    </row>
    <row r="550" spans="5:8" hidden="1" x14ac:dyDescent="0.25">
      <c r="E550" s="5" t="str">
        <f t="shared" si="32"/>
        <v/>
      </c>
      <c r="F550" s="5">
        <f t="shared" si="33"/>
        <v>0</v>
      </c>
      <c r="G550" s="5">
        <f t="shared" si="34"/>
        <v>0</v>
      </c>
      <c r="H550" s="5">
        <f t="shared" si="35"/>
        <v>0</v>
      </c>
    </row>
    <row r="551" spans="5:8" hidden="1" x14ac:dyDescent="0.25">
      <c r="E551" s="5" t="str">
        <f t="shared" si="32"/>
        <v/>
      </c>
      <c r="F551" s="5">
        <f t="shared" si="33"/>
        <v>0</v>
      </c>
      <c r="G551" s="5">
        <f t="shared" si="34"/>
        <v>0</v>
      </c>
      <c r="H551" s="5">
        <f t="shared" si="35"/>
        <v>0</v>
      </c>
    </row>
    <row r="552" spans="5:8" hidden="1" x14ac:dyDescent="0.25">
      <c r="E552" s="5" t="str">
        <f t="shared" si="32"/>
        <v/>
      </c>
      <c r="F552" s="5">
        <f t="shared" si="33"/>
        <v>0</v>
      </c>
      <c r="G552" s="5">
        <f t="shared" si="34"/>
        <v>0</v>
      </c>
      <c r="H552" s="5">
        <f t="shared" si="35"/>
        <v>0</v>
      </c>
    </row>
    <row r="553" spans="5:8" hidden="1" x14ac:dyDescent="0.25">
      <c r="E553" s="5" t="str">
        <f t="shared" si="32"/>
        <v/>
      </c>
      <c r="F553" s="5">
        <f t="shared" si="33"/>
        <v>0</v>
      </c>
      <c r="G553" s="5">
        <f t="shared" si="34"/>
        <v>0</v>
      </c>
      <c r="H553" s="5">
        <f t="shared" si="35"/>
        <v>0</v>
      </c>
    </row>
    <row r="554" spans="5:8" hidden="1" x14ac:dyDescent="0.25">
      <c r="E554" s="5" t="str">
        <f t="shared" si="32"/>
        <v/>
      </c>
      <c r="F554" s="5">
        <f t="shared" si="33"/>
        <v>0</v>
      </c>
      <c r="G554" s="5">
        <f t="shared" si="34"/>
        <v>0</v>
      </c>
      <c r="H554" s="5">
        <f t="shared" si="35"/>
        <v>0</v>
      </c>
    </row>
    <row r="555" spans="5:8" hidden="1" x14ac:dyDescent="0.25">
      <c r="E555" s="5" t="str">
        <f t="shared" si="32"/>
        <v/>
      </c>
      <c r="F555" s="5">
        <f t="shared" si="33"/>
        <v>0</v>
      </c>
      <c r="G555" s="5">
        <f t="shared" si="34"/>
        <v>0</v>
      </c>
      <c r="H555" s="5">
        <f t="shared" si="35"/>
        <v>0</v>
      </c>
    </row>
    <row r="556" spans="5:8" hidden="1" x14ac:dyDescent="0.25">
      <c r="E556" s="5" t="str">
        <f t="shared" si="32"/>
        <v/>
      </c>
      <c r="F556" s="5">
        <f t="shared" si="33"/>
        <v>0</v>
      </c>
      <c r="G556" s="5">
        <f t="shared" si="34"/>
        <v>0</v>
      </c>
      <c r="H556" s="5">
        <f t="shared" si="35"/>
        <v>0</v>
      </c>
    </row>
    <row r="557" spans="5:8" hidden="1" x14ac:dyDescent="0.25">
      <c r="E557" s="5" t="str">
        <f t="shared" si="32"/>
        <v/>
      </c>
      <c r="F557" s="5">
        <f t="shared" si="33"/>
        <v>0</v>
      </c>
      <c r="G557" s="5">
        <f t="shared" si="34"/>
        <v>0</v>
      </c>
      <c r="H557" s="5">
        <f t="shared" si="35"/>
        <v>0</v>
      </c>
    </row>
    <row r="558" spans="5:8" hidden="1" x14ac:dyDescent="0.25">
      <c r="E558" s="5" t="str">
        <f t="shared" si="32"/>
        <v/>
      </c>
      <c r="F558" s="5">
        <f t="shared" si="33"/>
        <v>0</v>
      </c>
      <c r="G558" s="5">
        <f t="shared" si="34"/>
        <v>0</v>
      </c>
      <c r="H558" s="5">
        <f t="shared" si="35"/>
        <v>0</v>
      </c>
    </row>
    <row r="559" spans="5:8" hidden="1" x14ac:dyDescent="0.25">
      <c r="E559" s="5" t="str">
        <f t="shared" si="32"/>
        <v/>
      </c>
      <c r="F559" s="5">
        <f t="shared" si="33"/>
        <v>0</v>
      </c>
      <c r="G559" s="5">
        <f t="shared" si="34"/>
        <v>0</v>
      </c>
      <c r="H559" s="5">
        <f t="shared" si="35"/>
        <v>0</v>
      </c>
    </row>
    <row r="560" spans="5:8" hidden="1" x14ac:dyDescent="0.25">
      <c r="E560" s="5" t="str">
        <f t="shared" si="32"/>
        <v/>
      </c>
      <c r="F560" s="5">
        <f t="shared" si="33"/>
        <v>0</v>
      </c>
      <c r="G560" s="5">
        <f t="shared" si="34"/>
        <v>0</v>
      </c>
      <c r="H560" s="5">
        <f t="shared" si="35"/>
        <v>0</v>
      </c>
    </row>
    <row r="561" spans="5:8" hidden="1" x14ac:dyDescent="0.25">
      <c r="E561" s="5" t="str">
        <f t="shared" si="32"/>
        <v/>
      </c>
      <c r="F561" s="5">
        <f t="shared" si="33"/>
        <v>0</v>
      </c>
      <c r="G561" s="5">
        <f t="shared" si="34"/>
        <v>0</v>
      </c>
      <c r="H561" s="5">
        <f t="shared" si="35"/>
        <v>0</v>
      </c>
    </row>
    <row r="562" spans="5:8" hidden="1" x14ac:dyDescent="0.25">
      <c r="E562" s="5" t="str">
        <f t="shared" si="32"/>
        <v/>
      </c>
      <c r="F562" s="5">
        <f t="shared" si="33"/>
        <v>0</v>
      </c>
      <c r="G562" s="5">
        <f t="shared" si="34"/>
        <v>0</v>
      </c>
      <c r="H562" s="5">
        <f t="shared" si="35"/>
        <v>0</v>
      </c>
    </row>
    <row r="563" spans="5:8" hidden="1" x14ac:dyDescent="0.25">
      <c r="E563" s="5" t="str">
        <f t="shared" si="32"/>
        <v/>
      </c>
      <c r="F563" s="5">
        <f t="shared" si="33"/>
        <v>0</v>
      </c>
      <c r="G563" s="5">
        <f t="shared" si="34"/>
        <v>0</v>
      </c>
      <c r="H563" s="5">
        <f t="shared" si="35"/>
        <v>0</v>
      </c>
    </row>
    <row r="564" spans="5:8" hidden="1" x14ac:dyDescent="0.25">
      <c r="E564" s="5" t="str">
        <f t="shared" si="32"/>
        <v/>
      </c>
      <c r="F564" s="5">
        <f t="shared" si="33"/>
        <v>0</v>
      </c>
      <c r="G564" s="5">
        <f t="shared" si="34"/>
        <v>0</v>
      </c>
      <c r="H564" s="5">
        <f t="shared" si="35"/>
        <v>0</v>
      </c>
    </row>
    <row r="565" spans="5:8" hidden="1" x14ac:dyDescent="0.25">
      <c r="E565" s="5" t="str">
        <f t="shared" si="32"/>
        <v/>
      </c>
      <c r="F565" s="5">
        <f t="shared" si="33"/>
        <v>0</v>
      </c>
      <c r="G565" s="5">
        <f t="shared" si="34"/>
        <v>0</v>
      </c>
      <c r="H565" s="5">
        <f t="shared" si="35"/>
        <v>0</v>
      </c>
    </row>
    <row r="566" spans="5:8" hidden="1" x14ac:dyDescent="0.25">
      <c r="E566" s="5" t="str">
        <f t="shared" si="32"/>
        <v/>
      </c>
      <c r="F566" s="5">
        <f t="shared" si="33"/>
        <v>0</v>
      </c>
      <c r="G566" s="5">
        <f t="shared" si="34"/>
        <v>0</v>
      </c>
      <c r="H566" s="5">
        <f t="shared" si="35"/>
        <v>0</v>
      </c>
    </row>
    <row r="567" spans="5:8" hidden="1" x14ac:dyDescent="0.25">
      <c r="E567" s="5" t="str">
        <f t="shared" si="32"/>
        <v/>
      </c>
      <c r="F567" s="5">
        <f t="shared" si="33"/>
        <v>0</v>
      </c>
      <c r="G567" s="5">
        <f t="shared" si="34"/>
        <v>0</v>
      </c>
      <c r="H567" s="5">
        <f t="shared" si="35"/>
        <v>0</v>
      </c>
    </row>
    <row r="568" spans="5:8" hidden="1" x14ac:dyDescent="0.25">
      <c r="E568" s="5" t="str">
        <f t="shared" si="32"/>
        <v/>
      </c>
      <c r="F568" s="5">
        <f t="shared" si="33"/>
        <v>0</v>
      </c>
      <c r="G568" s="5">
        <f t="shared" si="34"/>
        <v>0</v>
      </c>
      <c r="H568" s="5">
        <f t="shared" si="35"/>
        <v>0</v>
      </c>
    </row>
    <row r="569" spans="5:8" hidden="1" x14ac:dyDescent="0.25">
      <c r="E569" s="5" t="str">
        <f t="shared" si="32"/>
        <v/>
      </c>
      <c r="F569" s="5">
        <f t="shared" si="33"/>
        <v>0</v>
      </c>
      <c r="G569" s="5">
        <f t="shared" si="34"/>
        <v>0</v>
      </c>
      <c r="H569" s="5">
        <f t="shared" si="35"/>
        <v>0</v>
      </c>
    </row>
    <row r="570" spans="5:8" hidden="1" x14ac:dyDescent="0.25">
      <c r="E570" s="5" t="str">
        <f t="shared" si="32"/>
        <v/>
      </c>
      <c r="F570" s="5">
        <f t="shared" si="33"/>
        <v>0</v>
      </c>
      <c r="G570" s="5">
        <f t="shared" si="34"/>
        <v>0</v>
      </c>
      <c r="H570" s="5">
        <f t="shared" si="35"/>
        <v>0</v>
      </c>
    </row>
    <row r="571" spans="5:8" hidden="1" x14ac:dyDescent="0.25">
      <c r="E571" s="5" t="str">
        <f t="shared" si="32"/>
        <v/>
      </c>
      <c r="F571" s="5">
        <f t="shared" si="33"/>
        <v>0</v>
      </c>
      <c r="G571" s="5">
        <f t="shared" si="34"/>
        <v>0</v>
      </c>
      <c r="H571" s="5">
        <f t="shared" si="35"/>
        <v>0</v>
      </c>
    </row>
    <row r="572" spans="5:8" hidden="1" x14ac:dyDescent="0.25">
      <c r="E572" s="5" t="str">
        <f t="shared" si="32"/>
        <v/>
      </c>
      <c r="F572" s="5">
        <f t="shared" si="33"/>
        <v>0</v>
      </c>
      <c r="G572" s="5">
        <f t="shared" si="34"/>
        <v>0</v>
      </c>
      <c r="H572" s="5">
        <f t="shared" si="35"/>
        <v>0</v>
      </c>
    </row>
    <row r="573" spans="5:8" hidden="1" x14ac:dyDescent="0.25">
      <c r="E573" s="5" t="str">
        <f t="shared" si="32"/>
        <v/>
      </c>
      <c r="F573" s="5">
        <f t="shared" si="33"/>
        <v>0</v>
      </c>
      <c r="G573" s="5">
        <f t="shared" si="34"/>
        <v>0</v>
      </c>
      <c r="H573" s="5">
        <f t="shared" si="35"/>
        <v>0</v>
      </c>
    </row>
    <row r="574" spans="5:8" hidden="1" x14ac:dyDescent="0.25">
      <c r="E574" s="5" t="str">
        <f t="shared" si="32"/>
        <v/>
      </c>
      <c r="F574" s="5">
        <f t="shared" si="33"/>
        <v>0</v>
      </c>
      <c r="G574" s="5">
        <f t="shared" si="34"/>
        <v>0</v>
      </c>
      <c r="H574" s="5">
        <f t="shared" si="35"/>
        <v>0</v>
      </c>
    </row>
    <row r="575" spans="5:8" hidden="1" x14ac:dyDescent="0.25">
      <c r="E575" s="5" t="str">
        <f t="shared" si="32"/>
        <v/>
      </c>
      <c r="F575" s="5">
        <f t="shared" si="33"/>
        <v>0</v>
      </c>
      <c r="G575" s="5">
        <f t="shared" si="34"/>
        <v>0</v>
      </c>
      <c r="H575" s="5">
        <f t="shared" si="35"/>
        <v>0</v>
      </c>
    </row>
    <row r="576" spans="5:8" hidden="1" x14ac:dyDescent="0.25">
      <c r="E576" s="5" t="str">
        <f t="shared" ref="E576:E639" si="36">A576&amp;A577</f>
        <v/>
      </c>
      <c r="F576" s="5">
        <f t="shared" ref="F576:F639" si="37">B576</f>
        <v>0</v>
      </c>
      <c r="G576" s="5">
        <f t="shared" ref="G576:G639" si="38">C576</f>
        <v>0</v>
      </c>
      <c r="H576" s="5">
        <f t="shared" ref="H576:H639" si="39">D576</f>
        <v>0</v>
      </c>
    </row>
    <row r="577" spans="5:8" hidden="1" x14ac:dyDescent="0.25">
      <c r="E577" s="5" t="str">
        <f t="shared" si="36"/>
        <v/>
      </c>
      <c r="F577" s="5">
        <f t="shared" si="37"/>
        <v>0</v>
      </c>
      <c r="G577" s="5">
        <f t="shared" si="38"/>
        <v>0</v>
      </c>
      <c r="H577" s="5">
        <f t="shared" si="39"/>
        <v>0</v>
      </c>
    </row>
    <row r="578" spans="5:8" hidden="1" x14ac:dyDescent="0.25">
      <c r="E578" s="5" t="str">
        <f t="shared" si="36"/>
        <v/>
      </c>
      <c r="F578" s="5">
        <f t="shared" si="37"/>
        <v>0</v>
      </c>
      <c r="G578" s="5">
        <f t="shared" si="38"/>
        <v>0</v>
      </c>
      <c r="H578" s="5">
        <f t="shared" si="39"/>
        <v>0</v>
      </c>
    </row>
    <row r="579" spans="5:8" hidden="1" x14ac:dyDescent="0.25">
      <c r="E579" s="5" t="str">
        <f t="shared" si="36"/>
        <v/>
      </c>
      <c r="F579" s="5">
        <f t="shared" si="37"/>
        <v>0</v>
      </c>
      <c r="G579" s="5">
        <f t="shared" si="38"/>
        <v>0</v>
      </c>
      <c r="H579" s="5">
        <f t="shared" si="39"/>
        <v>0</v>
      </c>
    </row>
    <row r="580" spans="5:8" hidden="1" x14ac:dyDescent="0.25">
      <c r="E580" s="5" t="str">
        <f t="shared" si="36"/>
        <v/>
      </c>
      <c r="F580" s="5">
        <f t="shared" si="37"/>
        <v>0</v>
      </c>
      <c r="G580" s="5">
        <f t="shared" si="38"/>
        <v>0</v>
      </c>
      <c r="H580" s="5">
        <f t="shared" si="39"/>
        <v>0</v>
      </c>
    </row>
    <row r="581" spans="5:8" hidden="1" x14ac:dyDescent="0.25">
      <c r="E581" s="5" t="str">
        <f t="shared" si="36"/>
        <v/>
      </c>
      <c r="F581" s="5">
        <f t="shared" si="37"/>
        <v>0</v>
      </c>
      <c r="G581" s="5">
        <f t="shared" si="38"/>
        <v>0</v>
      </c>
      <c r="H581" s="5">
        <f t="shared" si="39"/>
        <v>0</v>
      </c>
    </row>
    <row r="582" spans="5:8" hidden="1" x14ac:dyDescent="0.25">
      <c r="E582" s="5" t="str">
        <f t="shared" si="36"/>
        <v/>
      </c>
      <c r="F582" s="5">
        <f t="shared" si="37"/>
        <v>0</v>
      </c>
      <c r="G582" s="5">
        <f t="shared" si="38"/>
        <v>0</v>
      </c>
      <c r="H582" s="5">
        <f t="shared" si="39"/>
        <v>0</v>
      </c>
    </row>
    <row r="583" spans="5:8" hidden="1" x14ac:dyDescent="0.25">
      <c r="E583" s="5" t="str">
        <f t="shared" si="36"/>
        <v/>
      </c>
      <c r="F583" s="5">
        <f t="shared" si="37"/>
        <v>0</v>
      </c>
      <c r="G583" s="5">
        <f t="shared" si="38"/>
        <v>0</v>
      </c>
      <c r="H583" s="5">
        <f t="shared" si="39"/>
        <v>0</v>
      </c>
    </row>
    <row r="584" spans="5:8" hidden="1" x14ac:dyDescent="0.25">
      <c r="E584" s="5" t="str">
        <f t="shared" si="36"/>
        <v/>
      </c>
      <c r="F584" s="5">
        <f t="shared" si="37"/>
        <v>0</v>
      </c>
      <c r="G584" s="5">
        <f t="shared" si="38"/>
        <v>0</v>
      </c>
      <c r="H584" s="5">
        <f t="shared" si="39"/>
        <v>0</v>
      </c>
    </row>
    <row r="585" spans="5:8" hidden="1" x14ac:dyDescent="0.25">
      <c r="E585" s="5" t="str">
        <f t="shared" si="36"/>
        <v/>
      </c>
      <c r="F585" s="5">
        <f t="shared" si="37"/>
        <v>0</v>
      </c>
      <c r="G585" s="5">
        <f t="shared" si="38"/>
        <v>0</v>
      </c>
      <c r="H585" s="5">
        <f t="shared" si="39"/>
        <v>0</v>
      </c>
    </row>
    <row r="586" spans="5:8" hidden="1" x14ac:dyDescent="0.25">
      <c r="E586" s="5" t="str">
        <f t="shared" si="36"/>
        <v/>
      </c>
      <c r="F586" s="5">
        <f t="shared" si="37"/>
        <v>0</v>
      </c>
      <c r="G586" s="5">
        <f t="shared" si="38"/>
        <v>0</v>
      </c>
      <c r="H586" s="5">
        <f t="shared" si="39"/>
        <v>0</v>
      </c>
    </row>
    <row r="587" spans="5:8" hidden="1" x14ac:dyDescent="0.25">
      <c r="E587" s="5" t="str">
        <f t="shared" si="36"/>
        <v/>
      </c>
      <c r="F587" s="5">
        <f t="shared" si="37"/>
        <v>0</v>
      </c>
      <c r="G587" s="5">
        <f t="shared" si="38"/>
        <v>0</v>
      </c>
      <c r="H587" s="5">
        <f t="shared" si="39"/>
        <v>0</v>
      </c>
    </row>
    <row r="588" spans="5:8" hidden="1" x14ac:dyDescent="0.25">
      <c r="E588" s="5" t="str">
        <f t="shared" si="36"/>
        <v/>
      </c>
      <c r="F588" s="5">
        <f t="shared" si="37"/>
        <v>0</v>
      </c>
      <c r="G588" s="5">
        <f t="shared" si="38"/>
        <v>0</v>
      </c>
      <c r="H588" s="5">
        <f t="shared" si="39"/>
        <v>0</v>
      </c>
    </row>
    <row r="589" spans="5:8" hidden="1" x14ac:dyDescent="0.25">
      <c r="E589" s="5" t="str">
        <f t="shared" si="36"/>
        <v/>
      </c>
      <c r="F589" s="5">
        <f t="shared" si="37"/>
        <v>0</v>
      </c>
      <c r="G589" s="5">
        <f t="shared" si="38"/>
        <v>0</v>
      </c>
      <c r="H589" s="5">
        <f t="shared" si="39"/>
        <v>0</v>
      </c>
    </row>
    <row r="590" spans="5:8" hidden="1" x14ac:dyDescent="0.25">
      <c r="E590" s="5" t="str">
        <f t="shared" si="36"/>
        <v/>
      </c>
      <c r="F590" s="5">
        <f t="shared" si="37"/>
        <v>0</v>
      </c>
      <c r="G590" s="5">
        <f t="shared" si="38"/>
        <v>0</v>
      </c>
      <c r="H590" s="5">
        <f t="shared" si="39"/>
        <v>0</v>
      </c>
    </row>
    <row r="591" spans="5:8" hidden="1" x14ac:dyDescent="0.25">
      <c r="E591" s="5" t="str">
        <f t="shared" si="36"/>
        <v/>
      </c>
      <c r="F591" s="5">
        <f t="shared" si="37"/>
        <v>0</v>
      </c>
      <c r="G591" s="5">
        <f t="shared" si="38"/>
        <v>0</v>
      </c>
      <c r="H591" s="5">
        <f t="shared" si="39"/>
        <v>0</v>
      </c>
    </row>
    <row r="592" spans="5:8" hidden="1" x14ac:dyDescent="0.25">
      <c r="E592" s="5" t="str">
        <f t="shared" si="36"/>
        <v/>
      </c>
      <c r="F592" s="5">
        <f t="shared" si="37"/>
        <v>0</v>
      </c>
      <c r="G592" s="5">
        <f t="shared" si="38"/>
        <v>0</v>
      </c>
      <c r="H592" s="5">
        <f t="shared" si="39"/>
        <v>0</v>
      </c>
    </row>
    <row r="593" spans="5:8" hidden="1" x14ac:dyDescent="0.25">
      <c r="E593" s="5" t="str">
        <f t="shared" si="36"/>
        <v/>
      </c>
      <c r="F593" s="5">
        <f t="shared" si="37"/>
        <v>0</v>
      </c>
      <c r="G593" s="5">
        <f t="shared" si="38"/>
        <v>0</v>
      </c>
      <c r="H593" s="5">
        <f t="shared" si="39"/>
        <v>0</v>
      </c>
    </row>
    <row r="594" spans="5:8" hidden="1" x14ac:dyDescent="0.25">
      <c r="E594" s="5" t="str">
        <f t="shared" si="36"/>
        <v/>
      </c>
      <c r="F594" s="5">
        <f t="shared" si="37"/>
        <v>0</v>
      </c>
      <c r="G594" s="5">
        <f t="shared" si="38"/>
        <v>0</v>
      </c>
      <c r="H594" s="5">
        <f t="shared" si="39"/>
        <v>0</v>
      </c>
    </row>
    <row r="595" spans="5:8" hidden="1" x14ac:dyDescent="0.25">
      <c r="E595" s="5" t="str">
        <f t="shared" si="36"/>
        <v/>
      </c>
      <c r="F595" s="5">
        <f t="shared" si="37"/>
        <v>0</v>
      </c>
      <c r="G595" s="5">
        <f t="shared" si="38"/>
        <v>0</v>
      </c>
      <c r="H595" s="5">
        <f t="shared" si="39"/>
        <v>0</v>
      </c>
    </row>
    <row r="596" spans="5:8" hidden="1" x14ac:dyDescent="0.25">
      <c r="E596" s="5" t="str">
        <f t="shared" si="36"/>
        <v/>
      </c>
      <c r="F596" s="5">
        <f t="shared" si="37"/>
        <v>0</v>
      </c>
      <c r="G596" s="5">
        <f t="shared" si="38"/>
        <v>0</v>
      </c>
      <c r="H596" s="5">
        <f t="shared" si="39"/>
        <v>0</v>
      </c>
    </row>
    <row r="597" spans="5:8" hidden="1" x14ac:dyDescent="0.25">
      <c r="E597" s="5" t="str">
        <f t="shared" si="36"/>
        <v/>
      </c>
      <c r="F597" s="5">
        <f t="shared" si="37"/>
        <v>0</v>
      </c>
      <c r="G597" s="5">
        <f t="shared" si="38"/>
        <v>0</v>
      </c>
      <c r="H597" s="5">
        <f t="shared" si="39"/>
        <v>0</v>
      </c>
    </row>
    <row r="598" spans="5:8" hidden="1" x14ac:dyDescent="0.25">
      <c r="E598" s="5" t="str">
        <f t="shared" si="36"/>
        <v/>
      </c>
      <c r="F598" s="5">
        <f t="shared" si="37"/>
        <v>0</v>
      </c>
      <c r="G598" s="5">
        <f t="shared" si="38"/>
        <v>0</v>
      </c>
      <c r="H598" s="5">
        <f t="shared" si="39"/>
        <v>0</v>
      </c>
    </row>
    <row r="599" spans="5:8" hidden="1" x14ac:dyDescent="0.25">
      <c r="E599" s="5" t="str">
        <f t="shared" si="36"/>
        <v/>
      </c>
      <c r="F599" s="5">
        <f t="shared" si="37"/>
        <v>0</v>
      </c>
      <c r="G599" s="5">
        <f t="shared" si="38"/>
        <v>0</v>
      </c>
      <c r="H599" s="5">
        <f t="shared" si="39"/>
        <v>0</v>
      </c>
    </row>
    <row r="600" spans="5:8" hidden="1" x14ac:dyDescent="0.25">
      <c r="E600" s="5" t="str">
        <f t="shared" si="36"/>
        <v/>
      </c>
      <c r="F600" s="5">
        <f t="shared" si="37"/>
        <v>0</v>
      </c>
      <c r="G600" s="5">
        <f t="shared" si="38"/>
        <v>0</v>
      </c>
      <c r="H600" s="5">
        <f t="shared" si="39"/>
        <v>0</v>
      </c>
    </row>
    <row r="601" spans="5:8" hidden="1" x14ac:dyDescent="0.25">
      <c r="E601" s="5" t="str">
        <f t="shared" si="36"/>
        <v/>
      </c>
      <c r="F601" s="5">
        <f t="shared" si="37"/>
        <v>0</v>
      </c>
      <c r="G601" s="5">
        <f t="shared" si="38"/>
        <v>0</v>
      </c>
      <c r="H601" s="5">
        <f t="shared" si="39"/>
        <v>0</v>
      </c>
    </row>
    <row r="602" spans="5:8" hidden="1" x14ac:dyDescent="0.25">
      <c r="E602" s="5" t="str">
        <f t="shared" si="36"/>
        <v/>
      </c>
      <c r="F602" s="5">
        <f t="shared" si="37"/>
        <v>0</v>
      </c>
      <c r="G602" s="5">
        <f t="shared" si="38"/>
        <v>0</v>
      </c>
      <c r="H602" s="5">
        <f t="shared" si="39"/>
        <v>0</v>
      </c>
    </row>
    <row r="603" spans="5:8" hidden="1" x14ac:dyDescent="0.25">
      <c r="E603" s="5" t="str">
        <f t="shared" si="36"/>
        <v/>
      </c>
      <c r="F603" s="5">
        <f t="shared" si="37"/>
        <v>0</v>
      </c>
      <c r="G603" s="5">
        <f t="shared" si="38"/>
        <v>0</v>
      </c>
      <c r="H603" s="5">
        <f t="shared" si="39"/>
        <v>0</v>
      </c>
    </row>
    <row r="604" spans="5:8" hidden="1" x14ac:dyDescent="0.25">
      <c r="E604" s="5" t="str">
        <f t="shared" si="36"/>
        <v/>
      </c>
      <c r="F604" s="5">
        <f t="shared" si="37"/>
        <v>0</v>
      </c>
      <c r="G604" s="5">
        <f t="shared" si="38"/>
        <v>0</v>
      </c>
      <c r="H604" s="5">
        <f t="shared" si="39"/>
        <v>0</v>
      </c>
    </row>
    <row r="605" spans="5:8" hidden="1" x14ac:dyDescent="0.25">
      <c r="E605" s="5" t="str">
        <f t="shared" si="36"/>
        <v/>
      </c>
      <c r="F605" s="5">
        <f t="shared" si="37"/>
        <v>0</v>
      </c>
      <c r="G605" s="5">
        <f t="shared" si="38"/>
        <v>0</v>
      </c>
      <c r="H605" s="5">
        <f t="shared" si="39"/>
        <v>0</v>
      </c>
    </row>
    <row r="606" spans="5:8" hidden="1" x14ac:dyDescent="0.25">
      <c r="E606" s="5" t="str">
        <f t="shared" si="36"/>
        <v/>
      </c>
      <c r="F606" s="5">
        <f t="shared" si="37"/>
        <v>0</v>
      </c>
      <c r="G606" s="5">
        <f t="shared" si="38"/>
        <v>0</v>
      </c>
      <c r="H606" s="5">
        <f t="shared" si="39"/>
        <v>0</v>
      </c>
    </row>
    <row r="607" spans="5:8" hidden="1" x14ac:dyDescent="0.25">
      <c r="E607" s="5" t="str">
        <f t="shared" si="36"/>
        <v/>
      </c>
      <c r="F607" s="5">
        <f t="shared" si="37"/>
        <v>0</v>
      </c>
      <c r="G607" s="5">
        <f t="shared" si="38"/>
        <v>0</v>
      </c>
      <c r="H607" s="5">
        <f t="shared" si="39"/>
        <v>0</v>
      </c>
    </row>
    <row r="608" spans="5:8" hidden="1" x14ac:dyDescent="0.25">
      <c r="E608" s="5" t="str">
        <f t="shared" si="36"/>
        <v/>
      </c>
      <c r="F608" s="5">
        <f t="shared" si="37"/>
        <v>0</v>
      </c>
      <c r="G608" s="5">
        <f t="shared" si="38"/>
        <v>0</v>
      </c>
      <c r="H608" s="5">
        <f t="shared" si="39"/>
        <v>0</v>
      </c>
    </row>
    <row r="609" spans="5:8" hidden="1" x14ac:dyDescent="0.25">
      <c r="E609" s="5" t="str">
        <f t="shared" si="36"/>
        <v/>
      </c>
      <c r="F609" s="5">
        <f t="shared" si="37"/>
        <v>0</v>
      </c>
      <c r="G609" s="5">
        <f t="shared" si="38"/>
        <v>0</v>
      </c>
      <c r="H609" s="5">
        <f t="shared" si="39"/>
        <v>0</v>
      </c>
    </row>
    <row r="610" spans="5:8" hidden="1" x14ac:dyDescent="0.25">
      <c r="E610" s="5" t="str">
        <f t="shared" si="36"/>
        <v/>
      </c>
      <c r="F610" s="5">
        <f t="shared" si="37"/>
        <v>0</v>
      </c>
      <c r="G610" s="5">
        <f t="shared" si="38"/>
        <v>0</v>
      </c>
      <c r="H610" s="5">
        <f t="shared" si="39"/>
        <v>0</v>
      </c>
    </row>
    <row r="611" spans="5:8" hidden="1" x14ac:dyDescent="0.25">
      <c r="E611" s="5" t="str">
        <f t="shared" si="36"/>
        <v/>
      </c>
      <c r="F611" s="5">
        <f t="shared" si="37"/>
        <v>0</v>
      </c>
      <c r="G611" s="5">
        <f t="shared" si="38"/>
        <v>0</v>
      </c>
      <c r="H611" s="5">
        <f t="shared" si="39"/>
        <v>0</v>
      </c>
    </row>
    <row r="612" spans="5:8" hidden="1" x14ac:dyDescent="0.25">
      <c r="E612" s="5" t="str">
        <f t="shared" si="36"/>
        <v/>
      </c>
      <c r="F612" s="5">
        <f t="shared" si="37"/>
        <v>0</v>
      </c>
      <c r="G612" s="5">
        <f t="shared" si="38"/>
        <v>0</v>
      </c>
      <c r="H612" s="5">
        <f t="shared" si="39"/>
        <v>0</v>
      </c>
    </row>
    <row r="613" spans="5:8" hidden="1" x14ac:dyDescent="0.25">
      <c r="E613" s="5" t="str">
        <f t="shared" si="36"/>
        <v/>
      </c>
      <c r="F613" s="5">
        <f t="shared" si="37"/>
        <v>0</v>
      </c>
      <c r="G613" s="5">
        <f t="shared" si="38"/>
        <v>0</v>
      </c>
      <c r="H613" s="5">
        <f t="shared" si="39"/>
        <v>0</v>
      </c>
    </row>
    <row r="614" spans="5:8" hidden="1" x14ac:dyDescent="0.25">
      <c r="E614" s="5" t="str">
        <f t="shared" si="36"/>
        <v/>
      </c>
      <c r="F614" s="5">
        <f t="shared" si="37"/>
        <v>0</v>
      </c>
      <c r="G614" s="5">
        <f t="shared" si="38"/>
        <v>0</v>
      </c>
      <c r="H614" s="5">
        <f t="shared" si="39"/>
        <v>0</v>
      </c>
    </row>
    <row r="615" spans="5:8" hidden="1" x14ac:dyDescent="0.25">
      <c r="E615" s="5" t="str">
        <f t="shared" si="36"/>
        <v/>
      </c>
      <c r="F615" s="5">
        <f t="shared" si="37"/>
        <v>0</v>
      </c>
      <c r="G615" s="5">
        <f t="shared" si="38"/>
        <v>0</v>
      </c>
      <c r="H615" s="5">
        <f t="shared" si="39"/>
        <v>0</v>
      </c>
    </row>
    <row r="616" spans="5:8" hidden="1" x14ac:dyDescent="0.25">
      <c r="E616" s="5" t="str">
        <f t="shared" si="36"/>
        <v/>
      </c>
      <c r="F616" s="5">
        <f t="shared" si="37"/>
        <v>0</v>
      </c>
      <c r="G616" s="5">
        <f t="shared" si="38"/>
        <v>0</v>
      </c>
      <c r="H616" s="5">
        <f t="shared" si="39"/>
        <v>0</v>
      </c>
    </row>
    <row r="617" spans="5:8" hidden="1" x14ac:dyDescent="0.25">
      <c r="E617" s="5" t="str">
        <f t="shared" si="36"/>
        <v/>
      </c>
      <c r="F617" s="5">
        <f t="shared" si="37"/>
        <v>0</v>
      </c>
      <c r="G617" s="5">
        <f t="shared" si="38"/>
        <v>0</v>
      </c>
      <c r="H617" s="5">
        <f t="shared" si="39"/>
        <v>0</v>
      </c>
    </row>
    <row r="618" spans="5:8" hidden="1" x14ac:dyDescent="0.25">
      <c r="E618" s="5" t="str">
        <f t="shared" si="36"/>
        <v/>
      </c>
      <c r="F618" s="5">
        <f t="shared" si="37"/>
        <v>0</v>
      </c>
      <c r="G618" s="5">
        <f t="shared" si="38"/>
        <v>0</v>
      </c>
      <c r="H618" s="5">
        <f t="shared" si="39"/>
        <v>0</v>
      </c>
    </row>
    <row r="619" spans="5:8" hidden="1" x14ac:dyDescent="0.25">
      <c r="E619" s="5" t="str">
        <f t="shared" si="36"/>
        <v/>
      </c>
      <c r="F619" s="5">
        <f t="shared" si="37"/>
        <v>0</v>
      </c>
      <c r="G619" s="5">
        <f t="shared" si="38"/>
        <v>0</v>
      </c>
      <c r="H619" s="5">
        <f t="shared" si="39"/>
        <v>0</v>
      </c>
    </row>
    <row r="620" spans="5:8" hidden="1" x14ac:dyDescent="0.25">
      <c r="E620" s="5" t="str">
        <f t="shared" si="36"/>
        <v/>
      </c>
      <c r="F620" s="5">
        <f t="shared" si="37"/>
        <v>0</v>
      </c>
      <c r="G620" s="5">
        <f t="shared" si="38"/>
        <v>0</v>
      </c>
      <c r="H620" s="5">
        <f t="shared" si="39"/>
        <v>0</v>
      </c>
    </row>
    <row r="621" spans="5:8" hidden="1" x14ac:dyDescent="0.25">
      <c r="E621" s="5" t="str">
        <f t="shared" si="36"/>
        <v/>
      </c>
      <c r="F621" s="5">
        <f t="shared" si="37"/>
        <v>0</v>
      </c>
      <c r="G621" s="5">
        <f t="shared" si="38"/>
        <v>0</v>
      </c>
      <c r="H621" s="5">
        <f t="shared" si="39"/>
        <v>0</v>
      </c>
    </row>
    <row r="622" spans="5:8" hidden="1" x14ac:dyDescent="0.25">
      <c r="E622" s="5" t="str">
        <f t="shared" si="36"/>
        <v/>
      </c>
      <c r="F622" s="5">
        <f t="shared" si="37"/>
        <v>0</v>
      </c>
      <c r="G622" s="5">
        <f t="shared" si="38"/>
        <v>0</v>
      </c>
      <c r="H622" s="5">
        <f t="shared" si="39"/>
        <v>0</v>
      </c>
    </row>
    <row r="623" spans="5:8" hidden="1" x14ac:dyDescent="0.25">
      <c r="E623" s="5" t="str">
        <f t="shared" si="36"/>
        <v/>
      </c>
      <c r="F623" s="5">
        <f t="shared" si="37"/>
        <v>0</v>
      </c>
      <c r="G623" s="5">
        <f t="shared" si="38"/>
        <v>0</v>
      </c>
      <c r="H623" s="5">
        <f t="shared" si="39"/>
        <v>0</v>
      </c>
    </row>
    <row r="624" spans="5:8" hidden="1" x14ac:dyDescent="0.25">
      <c r="E624" s="5" t="str">
        <f t="shared" si="36"/>
        <v/>
      </c>
      <c r="F624" s="5">
        <f t="shared" si="37"/>
        <v>0</v>
      </c>
      <c r="G624" s="5">
        <f t="shared" si="38"/>
        <v>0</v>
      </c>
      <c r="H624" s="5">
        <f t="shared" si="39"/>
        <v>0</v>
      </c>
    </row>
    <row r="625" spans="5:8" hidden="1" x14ac:dyDescent="0.25">
      <c r="E625" s="5" t="str">
        <f t="shared" si="36"/>
        <v/>
      </c>
      <c r="F625" s="5">
        <f t="shared" si="37"/>
        <v>0</v>
      </c>
      <c r="G625" s="5">
        <f t="shared" si="38"/>
        <v>0</v>
      </c>
      <c r="H625" s="5">
        <f t="shared" si="39"/>
        <v>0</v>
      </c>
    </row>
    <row r="626" spans="5:8" hidden="1" x14ac:dyDescent="0.25">
      <c r="E626" s="5" t="str">
        <f t="shared" si="36"/>
        <v/>
      </c>
      <c r="F626" s="5">
        <f t="shared" si="37"/>
        <v>0</v>
      </c>
      <c r="G626" s="5">
        <f t="shared" si="38"/>
        <v>0</v>
      </c>
      <c r="H626" s="5">
        <f t="shared" si="39"/>
        <v>0</v>
      </c>
    </row>
    <row r="627" spans="5:8" hidden="1" x14ac:dyDescent="0.25">
      <c r="E627" s="5" t="str">
        <f t="shared" si="36"/>
        <v/>
      </c>
      <c r="F627" s="5">
        <f t="shared" si="37"/>
        <v>0</v>
      </c>
      <c r="G627" s="5">
        <f t="shared" si="38"/>
        <v>0</v>
      </c>
      <c r="H627" s="5">
        <f t="shared" si="39"/>
        <v>0</v>
      </c>
    </row>
    <row r="628" spans="5:8" hidden="1" x14ac:dyDescent="0.25">
      <c r="E628" s="5" t="str">
        <f t="shared" si="36"/>
        <v/>
      </c>
      <c r="F628" s="5">
        <f t="shared" si="37"/>
        <v>0</v>
      </c>
      <c r="G628" s="5">
        <f t="shared" si="38"/>
        <v>0</v>
      </c>
      <c r="H628" s="5">
        <f t="shared" si="39"/>
        <v>0</v>
      </c>
    </row>
    <row r="629" spans="5:8" hidden="1" x14ac:dyDescent="0.25">
      <c r="E629" s="5" t="str">
        <f t="shared" si="36"/>
        <v/>
      </c>
      <c r="F629" s="5">
        <f t="shared" si="37"/>
        <v>0</v>
      </c>
      <c r="G629" s="5">
        <f t="shared" si="38"/>
        <v>0</v>
      </c>
      <c r="H629" s="5">
        <f t="shared" si="39"/>
        <v>0</v>
      </c>
    </row>
    <row r="630" spans="5:8" hidden="1" x14ac:dyDescent="0.25">
      <c r="E630" s="5" t="str">
        <f t="shared" si="36"/>
        <v/>
      </c>
      <c r="F630" s="5">
        <f t="shared" si="37"/>
        <v>0</v>
      </c>
      <c r="G630" s="5">
        <f t="shared" si="38"/>
        <v>0</v>
      </c>
      <c r="H630" s="5">
        <f t="shared" si="39"/>
        <v>0</v>
      </c>
    </row>
    <row r="631" spans="5:8" hidden="1" x14ac:dyDescent="0.25">
      <c r="E631" s="5" t="str">
        <f t="shared" si="36"/>
        <v/>
      </c>
      <c r="F631" s="5">
        <f t="shared" si="37"/>
        <v>0</v>
      </c>
      <c r="G631" s="5">
        <f t="shared" si="38"/>
        <v>0</v>
      </c>
      <c r="H631" s="5">
        <f t="shared" si="39"/>
        <v>0</v>
      </c>
    </row>
    <row r="632" spans="5:8" hidden="1" x14ac:dyDescent="0.25">
      <c r="E632" s="5" t="str">
        <f t="shared" si="36"/>
        <v/>
      </c>
      <c r="F632" s="5">
        <f t="shared" si="37"/>
        <v>0</v>
      </c>
      <c r="G632" s="5">
        <f t="shared" si="38"/>
        <v>0</v>
      </c>
      <c r="H632" s="5">
        <f t="shared" si="39"/>
        <v>0</v>
      </c>
    </row>
    <row r="633" spans="5:8" hidden="1" x14ac:dyDescent="0.25">
      <c r="E633" s="5" t="str">
        <f t="shared" si="36"/>
        <v/>
      </c>
      <c r="F633" s="5">
        <f t="shared" si="37"/>
        <v>0</v>
      </c>
      <c r="G633" s="5">
        <f t="shared" si="38"/>
        <v>0</v>
      </c>
      <c r="H633" s="5">
        <f t="shared" si="39"/>
        <v>0</v>
      </c>
    </row>
    <row r="634" spans="5:8" hidden="1" x14ac:dyDescent="0.25">
      <c r="E634" s="5" t="str">
        <f t="shared" si="36"/>
        <v/>
      </c>
      <c r="F634" s="5">
        <f t="shared" si="37"/>
        <v>0</v>
      </c>
      <c r="G634" s="5">
        <f t="shared" si="38"/>
        <v>0</v>
      </c>
      <c r="H634" s="5">
        <f t="shared" si="39"/>
        <v>0</v>
      </c>
    </row>
    <row r="635" spans="5:8" hidden="1" x14ac:dyDescent="0.25">
      <c r="E635" s="5" t="str">
        <f t="shared" si="36"/>
        <v/>
      </c>
      <c r="F635" s="5">
        <f t="shared" si="37"/>
        <v>0</v>
      </c>
      <c r="G635" s="5">
        <f t="shared" si="38"/>
        <v>0</v>
      </c>
      <c r="H635" s="5">
        <f t="shared" si="39"/>
        <v>0</v>
      </c>
    </row>
    <row r="636" spans="5:8" hidden="1" x14ac:dyDescent="0.25">
      <c r="E636" s="5" t="str">
        <f t="shared" si="36"/>
        <v/>
      </c>
      <c r="F636" s="5">
        <f t="shared" si="37"/>
        <v>0</v>
      </c>
      <c r="G636" s="5">
        <f t="shared" si="38"/>
        <v>0</v>
      </c>
      <c r="H636" s="5">
        <f t="shared" si="39"/>
        <v>0</v>
      </c>
    </row>
    <row r="637" spans="5:8" hidden="1" x14ac:dyDescent="0.25">
      <c r="E637" s="5" t="str">
        <f t="shared" si="36"/>
        <v/>
      </c>
      <c r="F637" s="5">
        <f t="shared" si="37"/>
        <v>0</v>
      </c>
      <c r="G637" s="5">
        <f t="shared" si="38"/>
        <v>0</v>
      </c>
      <c r="H637" s="5">
        <f t="shared" si="39"/>
        <v>0</v>
      </c>
    </row>
    <row r="638" spans="5:8" hidden="1" x14ac:dyDescent="0.25">
      <c r="E638" s="5" t="str">
        <f t="shared" si="36"/>
        <v/>
      </c>
      <c r="F638" s="5">
        <f t="shared" si="37"/>
        <v>0</v>
      </c>
      <c r="G638" s="5">
        <f t="shared" si="38"/>
        <v>0</v>
      </c>
      <c r="H638" s="5">
        <f t="shared" si="39"/>
        <v>0</v>
      </c>
    </row>
    <row r="639" spans="5:8" hidden="1" x14ac:dyDescent="0.25">
      <c r="E639" s="5" t="str">
        <f t="shared" si="36"/>
        <v/>
      </c>
      <c r="F639" s="5">
        <f t="shared" si="37"/>
        <v>0</v>
      </c>
      <c r="G639" s="5">
        <f t="shared" si="38"/>
        <v>0</v>
      </c>
      <c r="H639" s="5">
        <f t="shared" si="39"/>
        <v>0</v>
      </c>
    </row>
    <row r="640" spans="5:8" hidden="1" x14ac:dyDescent="0.25">
      <c r="E640" s="5" t="str">
        <f t="shared" ref="E640:E703" si="40">A640&amp;A641</f>
        <v/>
      </c>
      <c r="F640" s="5">
        <f t="shared" ref="F640:F703" si="41">B640</f>
        <v>0</v>
      </c>
      <c r="G640" s="5">
        <f t="shared" ref="G640:G703" si="42">C640</f>
        <v>0</v>
      </c>
      <c r="H640" s="5">
        <f t="shared" ref="H640:H703" si="43">D640</f>
        <v>0</v>
      </c>
    </row>
    <row r="641" spans="5:8" hidden="1" x14ac:dyDescent="0.25">
      <c r="E641" s="5" t="str">
        <f t="shared" si="40"/>
        <v/>
      </c>
      <c r="F641" s="5">
        <f t="shared" si="41"/>
        <v>0</v>
      </c>
      <c r="G641" s="5">
        <f t="shared" si="42"/>
        <v>0</v>
      </c>
      <c r="H641" s="5">
        <f t="shared" si="43"/>
        <v>0</v>
      </c>
    </row>
    <row r="642" spans="5:8" hidden="1" x14ac:dyDescent="0.25">
      <c r="E642" s="5" t="str">
        <f t="shared" si="40"/>
        <v/>
      </c>
      <c r="F642" s="5">
        <f t="shared" si="41"/>
        <v>0</v>
      </c>
      <c r="G642" s="5">
        <f t="shared" si="42"/>
        <v>0</v>
      </c>
      <c r="H642" s="5">
        <f t="shared" si="43"/>
        <v>0</v>
      </c>
    </row>
    <row r="643" spans="5:8" hidden="1" x14ac:dyDescent="0.25">
      <c r="E643" s="5" t="str">
        <f t="shared" si="40"/>
        <v/>
      </c>
      <c r="F643" s="5">
        <f t="shared" si="41"/>
        <v>0</v>
      </c>
      <c r="G643" s="5">
        <f t="shared" si="42"/>
        <v>0</v>
      </c>
      <c r="H643" s="5">
        <f t="shared" si="43"/>
        <v>0</v>
      </c>
    </row>
    <row r="644" spans="5:8" hidden="1" x14ac:dyDescent="0.25">
      <c r="E644" s="5" t="str">
        <f t="shared" si="40"/>
        <v/>
      </c>
      <c r="F644" s="5">
        <f t="shared" si="41"/>
        <v>0</v>
      </c>
      <c r="G644" s="5">
        <f t="shared" si="42"/>
        <v>0</v>
      </c>
      <c r="H644" s="5">
        <f t="shared" si="43"/>
        <v>0</v>
      </c>
    </row>
    <row r="645" spans="5:8" hidden="1" x14ac:dyDescent="0.25">
      <c r="E645" s="5" t="str">
        <f t="shared" si="40"/>
        <v/>
      </c>
      <c r="F645" s="5">
        <f t="shared" si="41"/>
        <v>0</v>
      </c>
      <c r="G645" s="5">
        <f t="shared" si="42"/>
        <v>0</v>
      </c>
      <c r="H645" s="5">
        <f t="shared" si="43"/>
        <v>0</v>
      </c>
    </row>
    <row r="646" spans="5:8" hidden="1" x14ac:dyDescent="0.25">
      <c r="E646" s="5" t="str">
        <f t="shared" si="40"/>
        <v/>
      </c>
      <c r="F646" s="5">
        <f t="shared" si="41"/>
        <v>0</v>
      </c>
      <c r="G646" s="5">
        <f t="shared" si="42"/>
        <v>0</v>
      </c>
      <c r="H646" s="5">
        <f t="shared" si="43"/>
        <v>0</v>
      </c>
    </row>
    <row r="647" spans="5:8" hidden="1" x14ac:dyDescent="0.25">
      <c r="E647" s="5" t="str">
        <f t="shared" si="40"/>
        <v/>
      </c>
      <c r="F647" s="5">
        <f t="shared" si="41"/>
        <v>0</v>
      </c>
      <c r="G647" s="5">
        <f t="shared" si="42"/>
        <v>0</v>
      </c>
      <c r="H647" s="5">
        <f t="shared" si="43"/>
        <v>0</v>
      </c>
    </row>
    <row r="648" spans="5:8" hidden="1" x14ac:dyDescent="0.25">
      <c r="E648" s="5" t="str">
        <f t="shared" si="40"/>
        <v/>
      </c>
      <c r="F648" s="5">
        <f t="shared" si="41"/>
        <v>0</v>
      </c>
      <c r="G648" s="5">
        <f t="shared" si="42"/>
        <v>0</v>
      </c>
      <c r="H648" s="5">
        <f t="shared" si="43"/>
        <v>0</v>
      </c>
    </row>
    <row r="649" spans="5:8" hidden="1" x14ac:dyDescent="0.25">
      <c r="E649" s="5" t="str">
        <f t="shared" si="40"/>
        <v/>
      </c>
      <c r="F649" s="5">
        <f t="shared" si="41"/>
        <v>0</v>
      </c>
      <c r="G649" s="5">
        <f t="shared" si="42"/>
        <v>0</v>
      </c>
      <c r="H649" s="5">
        <f t="shared" si="43"/>
        <v>0</v>
      </c>
    </row>
    <row r="650" spans="5:8" hidden="1" x14ac:dyDescent="0.25">
      <c r="E650" s="5" t="str">
        <f t="shared" si="40"/>
        <v/>
      </c>
      <c r="F650" s="5">
        <f t="shared" si="41"/>
        <v>0</v>
      </c>
      <c r="G650" s="5">
        <f t="shared" si="42"/>
        <v>0</v>
      </c>
      <c r="H650" s="5">
        <f t="shared" si="43"/>
        <v>0</v>
      </c>
    </row>
    <row r="651" spans="5:8" hidden="1" x14ac:dyDescent="0.25">
      <c r="E651" s="5" t="str">
        <f t="shared" si="40"/>
        <v/>
      </c>
      <c r="F651" s="5">
        <f t="shared" si="41"/>
        <v>0</v>
      </c>
      <c r="G651" s="5">
        <f t="shared" si="42"/>
        <v>0</v>
      </c>
      <c r="H651" s="5">
        <f t="shared" si="43"/>
        <v>0</v>
      </c>
    </row>
    <row r="652" spans="5:8" hidden="1" x14ac:dyDescent="0.25">
      <c r="E652" s="5" t="str">
        <f t="shared" si="40"/>
        <v/>
      </c>
      <c r="F652" s="5">
        <f t="shared" si="41"/>
        <v>0</v>
      </c>
      <c r="G652" s="5">
        <f t="shared" si="42"/>
        <v>0</v>
      </c>
      <c r="H652" s="5">
        <f t="shared" si="43"/>
        <v>0</v>
      </c>
    </row>
    <row r="653" spans="5:8" hidden="1" x14ac:dyDescent="0.25">
      <c r="E653" s="5" t="str">
        <f t="shared" si="40"/>
        <v/>
      </c>
      <c r="F653" s="5">
        <f t="shared" si="41"/>
        <v>0</v>
      </c>
      <c r="G653" s="5">
        <f t="shared" si="42"/>
        <v>0</v>
      </c>
      <c r="H653" s="5">
        <f t="shared" si="43"/>
        <v>0</v>
      </c>
    </row>
    <row r="654" spans="5:8" hidden="1" x14ac:dyDescent="0.25">
      <c r="E654" s="5" t="str">
        <f t="shared" si="40"/>
        <v/>
      </c>
      <c r="F654" s="5">
        <f t="shared" si="41"/>
        <v>0</v>
      </c>
      <c r="G654" s="5">
        <f t="shared" si="42"/>
        <v>0</v>
      </c>
      <c r="H654" s="5">
        <f t="shared" si="43"/>
        <v>0</v>
      </c>
    </row>
    <row r="655" spans="5:8" hidden="1" x14ac:dyDescent="0.25">
      <c r="E655" s="5" t="str">
        <f t="shared" si="40"/>
        <v/>
      </c>
      <c r="F655" s="5">
        <f t="shared" si="41"/>
        <v>0</v>
      </c>
      <c r="G655" s="5">
        <f t="shared" si="42"/>
        <v>0</v>
      </c>
      <c r="H655" s="5">
        <f t="shared" si="43"/>
        <v>0</v>
      </c>
    </row>
    <row r="656" spans="5:8" hidden="1" x14ac:dyDescent="0.25">
      <c r="E656" s="5" t="str">
        <f t="shared" si="40"/>
        <v/>
      </c>
      <c r="F656" s="5">
        <f t="shared" si="41"/>
        <v>0</v>
      </c>
      <c r="G656" s="5">
        <f t="shared" si="42"/>
        <v>0</v>
      </c>
      <c r="H656" s="5">
        <f t="shared" si="43"/>
        <v>0</v>
      </c>
    </row>
    <row r="657" spans="5:8" hidden="1" x14ac:dyDescent="0.25">
      <c r="E657" s="5" t="str">
        <f t="shared" si="40"/>
        <v/>
      </c>
      <c r="F657" s="5">
        <f t="shared" si="41"/>
        <v>0</v>
      </c>
      <c r="G657" s="5">
        <f t="shared" si="42"/>
        <v>0</v>
      </c>
      <c r="H657" s="5">
        <f t="shared" si="43"/>
        <v>0</v>
      </c>
    </row>
    <row r="658" spans="5:8" hidden="1" x14ac:dyDescent="0.25">
      <c r="E658" s="5" t="str">
        <f t="shared" si="40"/>
        <v/>
      </c>
      <c r="F658" s="5">
        <f t="shared" si="41"/>
        <v>0</v>
      </c>
      <c r="G658" s="5">
        <f t="shared" si="42"/>
        <v>0</v>
      </c>
      <c r="H658" s="5">
        <f t="shared" si="43"/>
        <v>0</v>
      </c>
    </row>
    <row r="659" spans="5:8" hidden="1" x14ac:dyDescent="0.25">
      <c r="E659" s="5" t="str">
        <f t="shared" si="40"/>
        <v/>
      </c>
      <c r="F659" s="5">
        <f t="shared" si="41"/>
        <v>0</v>
      </c>
      <c r="G659" s="5">
        <f t="shared" si="42"/>
        <v>0</v>
      </c>
      <c r="H659" s="5">
        <f t="shared" si="43"/>
        <v>0</v>
      </c>
    </row>
    <row r="660" spans="5:8" hidden="1" x14ac:dyDescent="0.25">
      <c r="E660" s="5" t="str">
        <f t="shared" si="40"/>
        <v/>
      </c>
      <c r="F660" s="5">
        <f t="shared" si="41"/>
        <v>0</v>
      </c>
      <c r="G660" s="5">
        <f t="shared" si="42"/>
        <v>0</v>
      </c>
      <c r="H660" s="5">
        <f t="shared" si="43"/>
        <v>0</v>
      </c>
    </row>
    <row r="661" spans="5:8" hidden="1" x14ac:dyDescent="0.25">
      <c r="E661" s="5" t="str">
        <f t="shared" si="40"/>
        <v/>
      </c>
      <c r="F661" s="5">
        <f t="shared" si="41"/>
        <v>0</v>
      </c>
      <c r="G661" s="5">
        <f t="shared" si="42"/>
        <v>0</v>
      </c>
      <c r="H661" s="5">
        <f t="shared" si="43"/>
        <v>0</v>
      </c>
    </row>
    <row r="662" spans="5:8" hidden="1" x14ac:dyDescent="0.25">
      <c r="E662" s="5" t="str">
        <f t="shared" si="40"/>
        <v/>
      </c>
      <c r="F662" s="5">
        <f t="shared" si="41"/>
        <v>0</v>
      </c>
      <c r="G662" s="5">
        <f t="shared" si="42"/>
        <v>0</v>
      </c>
      <c r="H662" s="5">
        <f t="shared" si="43"/>
        <v>0</v>
      </c>
    </row>
    <row r="663" spans="5:8" hidden="1" x14ac:dyDescent="0.25">
      <c r="E663" s="5" t="str">
        <f t="shared" si="40"/>
        <v/>
      </c>
      <c r="F663" s="5">
        <f t="shared" si="41"/>
        <v>0</v>
      </c>
      <c r="G663" s="5">
        <f t="shared" si="42"/>
        <v>0</v>
      </c>
      <c r="H663" s="5">
        <f t="shared" si="43"/>
        <v>0</v>
      </c>
    </row>
    <row r="664" spans="5:8" hidden="1" x14ac:dyDescent="0.25">
      <c r="E664" s="5" t="str">
        <f t="shared" si="40"/>
        <v/>
      </c>
      <c r="F664" s="5">
        <f t="shared" si="41"/>
        <v>0</v>
      </c>
      <c r="G664" s="5">
        <f t="shared" si="42"/>
        <v>0</v>
      </c>
      <c r="H664" s="5">
        <f t="shared" si="43"/>
        <v>0</v>
      </c>
    </row>
    <row r="665" spans="5:8" hidden="1" x14ac:dyDescent="0.25">
      <c r="E665" s="5" t="str">
        <f t="shared" si="40"/>
        <v/>
      </c>
      <c r="F665" s="5">
        <f t="shared" si="41"/>
        <v>0</v>
      </c>
      <c r="G665" s="5">
        <f t="shared" si="42"/>
        <v>0</v>
      </c>
      <c r="H665" s="5">
        <f t="shared" si="43"/>
        <v>0</v>
      </c>
    </row>
    <row r="666" spans="5:8" hidden="1" x14ac:dyDescent="0.25">
      <c r="E666" s="5" t="str">
        <f t="shared" si="40"/>
        <v/>
      </c>
      <c r="F666" s="5">
        <f t="shared" si="41"/>
        <v>0</v>
      </c>
      <c r="G666" s="5">
        <f t="shared" si="42"/>
        <v>0</v>
      </c>
      <c r="H666" s="5">
        <f t="shared" si="43"/>
        <v>0</v>
      </c>
    </row>
    <row r="667" spans="5:8" hidden="1" x14ac:dyDescent="0.25">
      <c r="E667" s="5" t="str">
        <f t="shared" si="40"/>
        <v/>
      </c>
      <c r="F667" s="5">
        <f t="shared" si="41"/>
        <v>0</v>
      </c>
      <c r="G667" s="5">
        <f t="shared" si="42"/>
        <v>0</v>
      </c>
      <c r="H667" s="5">
        <f t="shared" si="43"/>
        <v>0</v>
      </c>
    </row>
    <row r="668" spans="5:8" hidden="1" x14ac:dyDescent="0.25">
      <c r="E668" s="5" t="str">
        <f t="shared" si="40"/>
        <v/>
      </c>
      <c r="F668" s="5">
        <f t="shared" si="41"/>
        <v>0</v>
      </c>
      <c r="G668" s="5">
        <f t="shared" si="42"/>
        <v>0</v>
      </c>
      <c r="H668" s="5">
        <f t="shared" si="43"/>
        <v>0</v>
      </c>
    </row>
    <row r="669" spans="5:8" hidden="1" x14ac:dyDescent="0.25">
      <c r="E669" s="5" t="str">
        <f t="shared" si="40"/>
        <v/>
      </c>
      <c r="F669" s="5">
        <f t="shared" si="41"/>
        <v>0</v>
      </c>
      <c r="G669" s="5">
        <f t="shared" si="42"/>
        <v>0</v>
      </c>
      <c r="H669" s="5">
        <f t="shared" si="43"/>
        <v>0</v>
      </c>
    </row>
    <row r="670" spans="5:8" hidden="1" x14ac:dyDescent="0.25">
      <c r="E670" s="5" t="str">
        <f t="shared" si="40"/>
        <v/>
      </c>
      <c r="F670" s="5">
        <f t="shared" si="41"/>
        <v>0</v>
      </c>
      <c r="G670" s="5">
        <f t="shared" si="42"/>
        <v>0</v>
      </c>
      <c r="H670" s="5">
        <f t="shared" si="43"/>
        <v>0</v>
      </c>
    </row>
    <row r="671" spans="5:8" hidden="1" x14ac:dyDescent="0.25">
      <c r="E671" s="5" t="str">
        <f t="shared" si="40"/>
        <v/>
      </c>
      <c r="F671" s="5">
        <f t="shared" si="41"/>
        <v>0</v>
      </c>
      <c r="G671" s="5">
        <f t="shared" si="42"/>
        <v>0</v>
      </c>
      <c r="H671" s="5">
        <f t="shared" si="43"/>
        <v>0</v>
      </c>
    </row>
    <row r="672" spans="5:8" hidden="1" x14ac:dyDescent="0.25">
      <c r="E672" s="5" t="str">
        <f t="shared" si="40"/>
        <v/>
      </c>
      <c r="F672" s="5">
        <f t="shared" si="41"/>
        <v>0</v>
      </c>
      <c r="G672" s="5">
        <f t="shared" si="42"/>
        <v>0</v>
      </c>
      <c r="H672" s="5">
        <f t="shared" si="43"/>
        <v>0</v>
      </c>
    </row>
    <row r="673" spans="5:8" hidden="1" x14ac:dyDescent="0.25">
      <c r="E673" s="5" t="str">
        <f t="shared" si="40"/>
        <v/>
      </c>
      <c r="F673" s="5">
        <f t="shared" si="41"/>
        <v>0</v>
      </c>
      <c r="G673" s="5">
        <f t="shared" si="42"/>
        <v>0</v>
      </c>
      <c r="H673" s="5">
        <f t="shared" si="43"/>
        <v>0</v>
      </c>
    </row>
    <row r="674" spans="5:8" hidden="1" x14ac:dyDescent="0.25">
      <c r="E674" s="5" t="str">
        <f t="shared" si="40"/>
        <v/>
      </c>
      <c r="F674" s="5">
        <f t="shared" si="41"/>
        <v>0</v>
      </c>
      <c r="G674" s="5">
        <f t="shared" si="42"/>
        <v>0</v>
      </c>
      <c r="H674" s="5">
        <f t="shared" si="43"/>
        <v>0</v>
      </c>
    </row>
    <row r="675" spans="5:8" hidden="1" x14ac:dyDescent="0.25">
      <c r="E675" s="5" t="str">
        <f t="shared" si="40"/>
        <v/>
      </c>
      <c r="F675" s="5">
        <f t="shared" si="41"/>
        <v>0</v>
      </c>
      <c r="G675" s="5">
        <f t="shared" si="42"/>
        <v>0</v>
      </c>
      <c r="H675" s="5">
        <f t="shared" si="43"/>
        <v>0</v>
      </c>
    </row>
    <row r="676" spans="5:8" hidden="1" x14ac:dyDescent="0.25">
      <c r="E676" s="5" t="str">
        <f t="shared" si="40"/>
        <v/>
      </c>
      <c r="F676" s="5">
        <f t="shared" si="41"/>
        <v>0</v>
      </c>
      <c r="G676" s="5">
        <f t="shared" si="42"/>
        <v>0</v>
      </c>
      <c r="H676" s="5">
        <f t="shared" si="43"/>
        <v>0</v>
      </c>
    </row>
    <row r="677" spans="5:8" hidden="1" x14ac:dyDescent="0.25">
      <c r="E677" s="5" t="str">
        <f t="shared" si="40"/>
        <v/>
      </c>
      <c r="F677" s="5">
        <f t="shared" si="41"/>
        <v>0</v>
      </c>
      <c r="G677" s="5">
        <f t="shared" si="42"/>
        <v>0</v>
      </c>
      <c r="H677" s="5">
        <f t="shared" si="43"/>
        <v>0</v>
      </c>
    </row>
    <row r="678" spans="5:8" hidden="1" x14ac:dyDescent="0.25">
      <c r="E678" s="5" t="str">
        <f t="shared" si="40"/>
        <v/>
      </c>
      <c r="F678" s="5">
        <f t="shared" si="41"/>
        <v>0</v>
      </c>
      <c r="G678" s="5">
        <f t="shared" si="42"/>
        <v>0</v>
      </c>
      <c r="H678" s="5">
        <f t="shared" si="43"/>
        <v>0</v>
      </c>
    </row>
    <row r="679" spans="5:8" hidden="1" x14ac:dyDescent="0.25">
      <c r="E679" s="5" t="str">
        <f t="shared" si="40"/>
        <v/>
      </c>
      <c r="F679" s="5">
        <f t="shared" si="41"/>
        <v>0</v>
      </c>
      <c r="G679" s="5">
        <f t="shared" si="42"/>
        <v>0</v>
      </c>
      <c r="H679" s="5">
        <f t="shared" si="43"/>
        <v>0</v>
      </c>
    </row>
    <row r="680" spans="5:8" hidden="1" x14ac:dyDescent="0.25">
      <c r="E680" s="5" t="str">
        <f t="shared" si="40"/>
        <v/>
      </c>
      <c r="F680" s="5">
        <f t="shared" si="41"/>
        <v>0</v>
      </c>
      <c r="G680" s="5">
        <f t="shared" si="42"/>
        <v>0</v>
      </c>
      <c r="H680" s="5">
        <f t="shared" si="43"/>
        <v>0</v>
      </c>
    </row>
    <row r="681" spans="5:8" hidden="1" x14ac:dyDescent="0.25">
      <c r="E681" s="5" t="str">
        <f t="shared" si="40"/>
        <v/>
      </c>
      <c r="F681" s="5">
        <f t="shared" si="41"/>
        <v>0</v>
      </c>
      <c r="G681" s="5">
        <f t="shared" si="42"/>
        <v>0</v>
      </c>
      <c r="H681" s="5">
        <f t="shared" si="43"/>
        <v>0</v>
      </c>
    </row>
    <row r="682" spans="5:8" hidden="1" x14ac:dyDescent="0.25">
      <c r="E682" s="5" t="str">
        <f t="shared" si="40"/>
        <v/>
      </c>
      <c r="F682" s="5">
        <f t="shared" si="41"/>
        <v>0</v>
      </c>
      <c r="G682" s="5">
        <f t="shared" si="42"/>
        <v>0</v>
      </c>
      <c r="H682" s="5">
        <f t="shared" si="43"/>
        <v>0</v>
      </c>
    </row>
    <row r="683" spans="5:8" hidden="1" x14ac:dyDescent="0.25">
      <c r="E683" s="5" t="str">
        <f t="shared" si="40"/>
        <v/>
      </c>
      <c r="F683" s="5">
        <f t="shared" si="41"/>
        <v>0</v>
      </c>
      <c r="G683" s="5">
        <f t="shared" si="42"/>
        <v>0</v>
      </c>
      <c r="H683" s="5">
        <f t="shared" si="43"/>
        <v>0</v>
      </c>
    </row>
    <row r="684" spans="5:8" hidden="1" x14ac:dyDescent="0.25">
      <c r="E684" s="5" t="str">
        <f t="shared" si="40"/>
        <v/>
      </c>
      <c r="F684" s="5">
        <f t="shared" si="41"/>
        <v>0</v>
      </c>
      <c r="G684" s="5">
        <f t="shared" si="42"/>
        <v>0</v>
      </c>
      <c r="H684" s="5">
        <f t="shared" si="43"/>
        <v>0</v>
      </c>
    </row>
    <row r="685" spans="5:8" hidden="1" x14ac:dyDescent="0.25">
      <c r="E685" s="5" t="str">
        <f t="shared" si="40"/>
        <v/>
      </c>
      <c r="F685" s="5">
        <f t="shared" si="41"/>
        <v>0</v>
      </c>
      <c r="G685" s="5">
        <f t="shared" si="42"/>
        <v>0</v>
      </c>
      <c r="H685" s="5">
        <f t="shared" si="43"/>
        <v>0</v>
      </c>
    </row>
    <row r="686" spans="5:8" hidden="1" x14ac:dyDescent="0.25">
      <c r="E686" s="5" t="str">
        <f t="shared" si="40"/>
        <v/>
      </c>
      <c r="F686" s="5">
        <f t="shared" si="41"/>
        <v>0</v>
      </c>
      <c r="G686" s="5">
        <f t="shared" si="42"/>
        <v>0</v>
      </c>
      <c r="H686" s="5">
        <f t="shared" si="43"/>
        <v>0</v>
      </c>
    </row>
    <row r="687" spans="5:8" hidden="1" x14ac:dyDescent="0.25">
      <c r="E687" s="5" t="str">
        <f t="shared" si="40"/>
        <v/>
      </c>
      <c r="F687" s="5">
        <f t="shared" si="41"/>
        <v>0</v>
      </c>
      <c r="G687" s="5">
        <f t="shared" si="42"/>
        <v>0</v>
      </c>
      <c r="H687" s="5">
        <f t="shared" si="43"/>
        <v>0</v>
      </c>
    </row>
    <row r="688" spans="5:8" hidden="1" x14ac:dyDescent="0.25">
      <c r="E688" s="5" t="str">
        <f t="shared" si="40"/>
        <v/>
      </c>
      <c r="F688" s="5">
        <f t="shared" si="41"/>
        <v>0</v>
      </c>
      <c r="G688" s="5">
        <f t="shared" si="42"/>
        <v>0</v>
      </c>
      <c r="H688" s="5">
        <f t="shared" si="43"/>
        <v>0</v>
      </c>
    </row>
    <row r="689" spans="5:8" hidden="1" x14ac:dyDescent="0.25">
      <c r="E689" s="5" t="str">
        <f t="shared" si="40"/>
        <v/>
      </c>
      <c r="F689" s="5">
        <f t="shared" si="41"/>
        <v>0</v>
      </c>
      <c r="G689" s="5">
        <f t="shared" si="42"/>
        <v>0</v>
      </c>
      <c r="H689" s="5">
        <f t="shared" si="43"/>
        <v>0</v>
      </c>
    </row>
    <row r="690" spans="5:8" hidden="1" x14ac:dyDescent="0.25">
      <c r="E690" s="5" t="str">
        <f t="shared" si="40"/>
        <v/>
      </c>
      <c r="F690" s="5">
        <f t="shared" si="41"/>
        <v>0</v>
      </c>
      <c r="G690" s="5">
        <f t="shared" si="42"/>
        <v>0</v>
      </c>
      <c r="H690" s="5">
        <f t="shared" si="43"/>
        <v>0</v>
      </c>
    </row>
    <row r="691" spans="5:8" hidden="1" x14ac:dyDescent="0.25">
      <c r="E691" s="5" t="str">
        <f t="shared" si="40"/>
        <v/>
      </c>
      <c r="F691" s="5">
        <f t="shared" si="41"/>
        <v>0</v>
      </c>
      <c r="G691" s="5">
        <f t="shared" si="42"/>
        <v>0</v>
      </c>
      <c r="H691" s="5">
        <f t="shared" si="43"/>
        <v>0</v>
      </c>
    </row>
    <row r="692" spans="5:8" hidden="1" x14ac:dyDescent="0.25">
      <c r="E692" s="5" t="str">
        <f t="shared" si="40"/>
        <v/>
      </c>
      <c r="F692" s="5">
        <f t="shared" si="41"/>
        <v>0</v>
      </c>
      <c r="G692" s="5">
        <f t="shared" si="42"/>
        <v>0</v>
      </c>
      <c r="H692" s="5">
        <f t="shared" si="43"/>
        <v>0</v>
      </c>
    </row>
    <row r="693" spans="5:8" hidden="1" x14ac:dyDescent="0.25">
      <c r="E693" s="5" t="str">
        <f t="shared" si="40"/>
        <v/>
      </c>
      <c r="F693" s="5">
        <f t="shared" si="41"/>
        <v>0</v>
      </c>
      <c r="G693" s="5">
        <f t="shared" si="42"/>
        <v>0</v>
      </c>
      <c r="H693" s="5">
        <f t="shared" si="43"/>
        <v>0</v>
      </c>
    </row>
    <row r="694" spans="5:8" hidden="1" x14ac:dyDescent="0.25">
      <c r="E694" s="5" t="str">
        <f t="shared" si="40"/>
        <v/>
      </c>
      <c r="F694" s="5">
        <f t="shared" si="41"/>
        <v>0</v>
      </c>
      <c r="G694" s="5">
        <f t="shared" si="42"/>
        <v>0</v>
      </c>
      <c r="H694" s="5">
        <f t="shared" si="43"/>
        <v>0</v>
      </c>
    </row>
    <row r="695" spans="5:8" hidden="1" x14ac:dyDescent="0.25">
      <c r="E695" s="5" t="str">
        <f t="shared" si="40"/>
        <v/>
      </c>
      <c r="F695" s="5">
        <f t="shared" si="41"/>
        <v>0</v>
      </c>
      <c r="G695" s="5">
        <f t="shared" si="42"/>
        <v>0</v>
      </c>
      <c r="H695" s="5">
        <f t="shared" si="43"/>
        <v>0</v>
      </c>
    </row>
    <row r="696" spans="5:8" hidden="1" x14ac:dyDescent="0.25">
      <c r="E696" s="5" t="str">
        <f t="shared" si="40"/>
        <v/>
      </c>
      <c r="F696" s="5">
        <f t="shared" si="41"/>
        <v>0</v>
      </c>
      <c r="G696" s="5">
        <f t="shared" si="42"/>
        <v>0</v>
      </c>
      <c r="H696" s="5">
        <f t="shared" si="43"/>
        <v>0</v>
      </c>
    </row>
    <row r="697" spans="5:8" hidden="1" x14ac:dyDescent="0.25">
      <c r="E697" s="5" t="str">
        <f t="shared" si="40"/>
        <v/>
      </c>
      <c r="F697" s="5">
        <f t="shared" si="41"/>
        <v>0</v>
      </c>
      <c r="G697" s="5">
        <f t="shared" si="42"/>
        <v>0</v>
      </c>
      <c r="H697" s="5">
        <f t="shared" si="43"/>
        <v>0</v>
      </c>
    </row>
    <row r="698" spans="5:8" hidden="1" x14ac:dyDescent="0.25">
      <c r="E698" s="5" t="str">
        <f t="shared" si="40"/>
        <v/>
      </c>
      <c r="F698" s="5">
        <f t="shared" si="41"/>
        <v>0</v>
      </c>
      <c r="G698" s="5">
        <f t="shared" si="42"/>
        <v>0</v>
      </c>
      <c r="H698" s="5">
        <f t="shared" si="43"/>
        <v>0</v>
      </c>
    </row>
    <row r="699" spans="5:8" hidden="1" x14ac:dyDescent="0.25">
      <c r="E699" s="5" t="str">
        <f t="shared" si="40"/>
        <v/>
      </c>
      <c r="F699" s="5">
        <f t="shared" si="41"/>
        <v>0</v>
      </c>
      <c r="G699" s="5">
        <f t="shared" si="42"/>
        <v>0</v>
      </c>
      <c r="H699" s="5">
        <f t="shared" si="43"/>
        <v>0</v>
      </c>
    </row>
    <row r="700" spans="5:8" hidden="1" x14ac:dyDescent="0.25">
      <c r="E700" s="5" t="str">
        <f t="shared" si="40"/>
        <v/>
      </c>
      <c r="F700" s="5">
        <f t="shared" si="41"/>
        <v>0</v>
      </c>
      <c r="G700" s="5">
        <f t="shared" si="42"/>
        <v>0</v>
      </c>
      <c r="H700" s="5">
        <f t="shared" si="43"/>
        <v>0</v>
      </c>
    </row>
    <row r="701" spans="5:8" hidden="1" x14ac:dyDescent="0.25">
      <c r="E701" s="5" t="str">
        <f t="shared" si="40"/>
        <v/>
      </c>
      <c r="F701" s="5">
        <f t="shared" si="41"/>
        <v>0</v>
      </c>
      <c r="G701" s="5">
        <f t="shared" si="42"/>
        <v>0</v>
      </c>
      <c r="H701" s="5">
        <f t="shared" si="43"/>
        <v>0</v>
      </c>
    </row>
    <row r="702" spans="5:8" hidden="1" x14ac:dyDescent="0.25">
      <c r="E702" s="5" t="str">
        <f t="shared" si="40"/>
        <v/>
      </c>
      <c r="F702" s="5">
        <f t="shared" si="41"/>
        <v>0</v>
      </c>
      <c r="G702" s="5">
        <f t="shared" si="42"/>
        <v>0</v>
      </c>
      <c r="H702" s="5">
        <f t="shared" si="43"/>
        <v>0</v>
      </c>
    </row>
    <row r="703" spans="5:8" hidden="1" x14ac:dyDescent="0.25">
      <c r="E703" s="5" t="str">
        <f t="shared" si="40"/>
        <v/>
      </c>
      <c r="F703" s="5">
        <f t="shared" si="41"/>
        <v>0</v>
      </c>
      <c r="G703" s="5">
        <f t="shared" si="42"/>
        <v>0</v>
      </c>
      <c r="H703" s="5">
        <f t="shared" si="43"/>
        <v>0</v>
      </c>
    </row>
  </sheetData>
  <autoFilter ref="A1:H703" xr:uid="{02844B40-C652-4C11-A46F-CC8D10D3DCB3}">
    <filterColumn colId="7">
      <customFilters>
        <customFilter operator="notEqual" val="0"/>
      </customFilters>
    </filterColumn>
  </autoFilter>
  <phoneticPr fontId="5"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461C2-7331-5D4A-95F8-0ABB77982711}">
  <sheetPr codeName="Sheet2" filterMode="1"/>
  <dimension ref="A1:V7815"/>
  <sheetViews>
    <sheetView zoomScale="80" zoomScaleNormal="80" workbookViewId="0">
      <pane ySplit="1" topLeftCell="A7482" activePane="bottomLeft" state="frozen"/>
      <selection activeCell="M2671" sqref="M2671"/>
      <selection pane="bottomLeft" activeCell="F7783" sqref="F7783:F7815"/>
    </sheetView>
  </sheetViews>
  <sheetFormatPr defaultColWidth="11" defaultRowHeight="15.75" x14ac:dyDescent="0.25"/>
  <cols>
    <col min="1" max="1" width="10.875" style="5"/>
    <col min="2" max="5" width="10.875" style="6"/>
    <col min="7" max="7" width="12.375" bestFit="1" customWidth="1"/>
    <col min="14" max="14" width="18.375" bestFit="1" customWidth="1"/>
    <col min="17" max="17" width="15.375" customWidth="1"/>
  </cols>
  <sheetData>
    <row r="1" spans="1:22" x14ac:dyDescent="0.25">
      <c r="A1" s="5" t="s">
        <v>141</v>
      </c>
      <c r="B1" s="6" t="s">
        <v>0</v>
      </c>
      <c r="C1" s="6" t="s">
        <v>1</v>
      </c>
      <c r="D1" s="6" t="s">
        <v>2</v>
      </c>
      <c r="E1" s="6" t="s">
        <v>3</v>
      </c>
      <c r="F1" t="s">
        <v>35</v>
      </c>
      <c r="G1" t="s">
        <v>36</v>
      </c>
      <c r="H1" t="s">
        <v>37</v>
      </c>
      <c r="I1" t="s">
        <v>324</v>
      </c>
      <c r="J1" t="s">
        <v>39</v>
      </c>
      <c r="K1" t="s">
        <v>40</v>
      </c>
      <c r="L1" t="s">
        <v>41</v>
      </c>
      <c r="M1" t="s">
        <v>42</v>
      </c>
      <c r="N1" t="s">
        <v>321</v>
      </c>
      <c r="O1" t="s">
        <v>43</v>
      </c>
      <c r="P1" t="s">
        <v>44</v>
      </c>
      <c r="Q1" t="s">
        <v>45</v>
      </c>
      <c r="R1" t="s">
        <v>46</v>
      </c>
      <c r="S1" t="s">
        <v>256</v>
      </c>
      <c r="V1" t="str" cm="1">
        <f t="array" aca="1" ref="V1" ca="1">"TICKER: "&amp;LOOKUP(2,1/SUBTOTAL(3,OFFSET(I:I,ROW(I:I)-ROW(I2)+1,0,1)),I:I)</f>
        <v>TICKER: TSLA</v>
      </c>
    </row>
    <row r="2" spans="1:22" hidden="1" x14ac:dyDescent="0.25">
      <c r="A2" s="5" t="str">
        <f>G2&amp;I2</f>
        <v>43886UST10Y</v>
      </c>
      <c r="B2" s="6" t="s">
        <v>4</v>
      </c>
      <c r="C2" s="6">
        <v>1.55</v>
      </c>
      <c r="D2" s="6">
        <v>1.32</v>
      </c>
      <c r="E2" s="6">
        <v>1.38</v>
      </c>
      <c r="F2" t="str">
        <f>UPPER(TEXT(G2,"ddd"))</f>
        <v>TUE</v>
      </c>
      <c r="G2" s="3">
        <f>DATE(2020,2,25)</f>
        <v>43886</v>
      </c>
      <c r="H2" s="2">
        <f t="shared" ref="H2:H65" ca="1" si="0">TODAY()-G2</f>
        <v>367</v>
      </c>
      <c r="I2" t="str">
        <f>TRIM(LEFT(B2,FIND(" ",B2,1)))</f>
        <v>UST10Y</v>
      </c>
      <c r="J2">
        <f>C2</f>
        <v>1.55</v>
      </c>
      <c r="K2">
        <f>D2</f>
        <v>1.32</v>
      </c>
      <c r="L2">
        <f>AVERAGE(J2:K2)</f>
        <v>1.4350000000000001</v>
      </c>
      <c r="M2">
        <f>_xlfn.STDEV.P(J2:K2)</f>
        <v>0.11499999999999999</v>
      </c>
      <c r="N2">
        <f>ABS(K2-J2)</f>
        <v>0.22999999999999998</v>
      </c>
      <c r="O2">
        <f>E2</f>
        <v>1.38</v>
      </c>
      <c r="P2">
        <f>(O2-L2)/M2</f>
        <v>-0.47826086956521879</v>
      </c>
      <c r="Q2" t="str">
        <f>ROUND(ABS(100*(O2-J2)/O2),2)&amp;"% | "&amp;ROUND(ABS(100*(K2-O2)/O2),2)&amp;"%"</f>
        <v>12.32% | 4.35%</v>
      </c>
      <c r="R2" t="str">
        <f>MID(B2,FIND("(",B2,1)+1,FIND(")",B2,1)-FIND("(",B2,1)-1)</f>
        <v>BEARISH</v>
      </c>
      <c r="S2">
        <f>IF(R2="BEARISH",-1,IF(R2="NEUTRAL",0,IF(R2="BULLISH",1,99)))</f>
        <v>-1</v>
      </c>
    </row>
    <row r="3" spans="1:22" hidden="1" x14ac:dyDescent="0.25">
      <c r="A3" s="5" t="str">
        <f t="shared" ref="A3:A66" si="1">G3&amp;I3</f>
        <v>43886UST2Y</v>
      </c>
      <c r="B3" s="6" t="s">
        <v>5</v>
      </c>
      <c r="C3" s="6">
        <v>1.39</v>
      </c>
      <c r="D3" s="6">
        <v>1.22</v>
      </c>
      <c r="E3" s="6">
        <v>1.26</v>
      </c>
      <c r="F3" t="str">
        <f t="shared" ref="F3:F59" si="2">UPPER(TEXT(G3,"ddd"))</f>
        <v>TUE</v>
      </c>
      <c r="G3" s="3">
        <f t="shared" ref="G3:G30" si="3">DATE(2020,2,25)</f>
        <v>43886</v>
      </c>
      <c r="H3" s="2">
        <f t="shared" ca="1" si="0"/>
        <v>367</v>
      </c>
      <c r="I3" t="str">
        <f t="shared" ref="I3:I30" si="4">TRIM(LEFT(B3,FIND(" ",B3,1)))</f>
        <v>UST2Y</v>
      </c>
      <c r="J3">
        <f t="shared" ref="J3:J30" si="5">C3</f>
        <v>1.39</v>
      </c>
      <c r="K3">
        <f t="shared" ref="K3:K30" si="6">D3</f>
        <v>1.22</v>
      </c>
      <c r="L3">
        <f t="shared" ref="L3:L30" si="7">AVERAGE(J3:K3)</f>
        <v>1.3049999999999999</v>
      </c>
      <c r="M3">
        <f t="shared" ref="M3:M30" si="8">_xlfn.STDEV.P(J3:K3)</f>
        <v>8.4999999999999964E-2</v>
      </c>
      <c r="N3">
        <f>ABS(K3-J3)</f>
        <v>0.16999999999999993</v>
      </c>
      <c r="O3">
        <f t="shared" ref="O3:O30" si="9">E3</f>
        <v>1.26</v>
      </c>
      <c r="P3">
        <f t="shared" ref="P3:P30" si="10">(O3-L3)/M3</f>
        <v>-0.52941176470588169</v>
      </c>
      <c r="Q3" t="str">
        <f t="shared" ref="Q3:Q66" si="11">ROUND(ABS(100*(O3-J3)/O3),2)&amp;"% | "&amp;ROUND(ABS(100*(K3-O3)/O3),2)&amp;"%"</f>
        <v>10.32% | 3.17%</v>
      </c>
      <c r="R3" t="str">
        <f t="shared" ref="R3:R30" si="12">MID(B3,FIND("(",B3,1)+1,FIND(")",B3,1)-FIND("(",B3,1)-1)</f>
        <v>BEARISH</v>
      </c>
      <c r="S3">
        <f t="shared" ref="S3:S66" si="13">IF(R3="BEARISH",-1,IF(R3="NEUTRAL",0,IF(R3="BULLISH",1,99)))</f>
        <v>-1</v>
      </c>
    </row>
    <row r="4" spans="1:22" hidden="1" x14ac:dyDescent="0.25">
      <c r="A4" s="5" t="str">
        <f t="shared" si="1"/>
        <v>43886SPX</v>
      </c>
      <c r="B4" s="6" t="s">
        <v>51</v>
      </c>
      <c r="C4" s="6">
        <v>3207</v>
      </c>
      <c r="D4" s="6">
        <v>3315</v>
      </c>
      <c r="E4" s="6">
        <v>3225</v>
      </c>
      <c r="F4" t="str">
        <f t="shared" si="2"/>
        <v>TUE</v>
      </c>
      <c r="G4" s="3">
        <f t="shared" si="3"/>
        <v>43886</v>
      </c>
      <c r="H4" s="2">
        <f t="shared" ca="1" si="0"/>
        <v>367</v>
      </c>
      <c r="I4" t="str">
        <f t="shared" si="4"/>
        <v>SPX</v>
      </c>
      <c r="J4">
        <f t="shared" si="5"/>
        <v>3207</v>
      </c>
      <c r="K4">
        <f t="shared" si="6"/>
        <v>3315</v>
      </c>
      <c r="L4">
        <f t="shared" si="7"/>
        <v>3261</v>
      </c>
      <c r="M4">
        <f t="shared" si="8"/>
        <v>54</v>
      </c>
      <c r="N4">
        <f t="shared" ref="N4:N66" si="14">ABS(K4-J4)</f>
        <v>108</v>
      </c>
      <c r="O4">
        <f t="shared" si="9"/>
        <v>3225</v>
      </c>
      <c r="P4">
        <f t="shared" si="10"/>
        <v>-0.66666666666666663</v>
      </c>
      <c r="Q4" t="str">
        <f t="shared" si="11"/>
        <v>0.56% | 2.79%</v>
      </c>
      <c r="R4" t="str">
        <f t="shared" si="12"/>
        <v>NEUTRAL</v>
      </c>
      <c r="S4">
        <f t="shared" si="13"/>
        <v>0</v>
      </c>
    </row>
    <row r="5" spans="1:22" hidden="1" x14ac:dyDescent="0.25">
      <c r="A5" s="5" t="str">
        <f t="shared" si="1"/>
        <v>43886RUT</v>
      </c>
      <c r="B5" s="6" t="s">
        <v>7</v>
      </c>
      <c r="C5" s="6">
        <v>1615</v>
      </c>
      <c r="D5" s="6">
        <v>1680</v>
      </c>
      <c r="E5" s="6">
        <v>1628</v>
      </c>
      <c r="F5" t="str">
        <f t="shared" si="2"/>
        <v>TUE</v>
      </c>
      <c r="G5" s="3">
        <f t="shared" si="3"/>
        <v>43886</v>
      </c>
      <c r="H5" s="2">
        <f t="shared" ca="1" si="0"/>
        <v>367</v>
      </c>
      <c r="I5" t="str">
        <f t="shared" si="4"/>
        <v>RUT</v>
      </c>
      <c r="J5">
        <f t="shared" si="5"/>
        <v>1615</v>
      </c>
      <c r="K5">
        <f t="shared" si="6"/>
        <v>1680</v>
      </c>
      <c r="L5">
        <f t="shared" si="7"/>
        <v>1647.5</v>
      </c>
      <c r="M5">
        <f t="shared" si="8"/>
        <v>32.5</v>
      </c>
      <c r="N5">
        <f t="shared" si="14"/>
        <v>65</v>
      </c>
      <c r="O5">
        <f t="shared" si="9"/>
        <v>1628</v>
      </c>
      <c r="P5">
        <f t="shared" si="10"/>
        <v>-0.6</v>
      </c>
      <c r="Q5" t="str">
        <f t="shared" si="11"/>
        <v>0.8% | 3.19%</v>
      </c>
      <c r="R5" t="str">
        <f t="shared" si="12"/>
        <v>BEARISH</v>
      </c>
      <c r="S5">
        <f t="shared" si="13"/>
        <v>-1</v>
      </c>
    </row>
    <row r="6" spans="1:22" hidden="1" x14ac:dyDescent="0.25">
      <c r="A6" s="5" t="str">
        <f t="shared" si="1"/>
        <v>43886COMPQ</v>
      </c>
      <c r="B6" s="6" t="s">
        <v>8</v>
      </c>
      <c r="C6" s="6">
        <v>9156</v>
      </c>
      <c r="D6" s="6">
        <v>9657</v>
      </c>
      <c r="E6" s="6">
        <v>9221</v>
      </c>
      <c r="F6" t="str">
        <f t="shared" si="2"/>
        <v>TUE</v>
      </c>
      <c r="G6" s="3">
        <f t="shared" si="3"/>
        <v>43886</v>
      </c>
      <c r="H6" s="2">
        <f t="shared" ca="1" si="0"/>
        <v>367</v>
      </c>
      <c r="I6" t="str">
        <f t="shared" si="4"/>
        <v>COMPQ</v>
      </c>
      <c r="J6">
        <f t="shared" si="5"/>
        <v>9156</v>
      </c>
      <c r="K6">
        <f t="shared" si="6"/>
        <v>9657</v>
      </c>
      <c r="L6">
        <f t="shared" si="7"/>
        <v>9406.5</v>
      </c>
      <c r="M6">
        <f t="shared" si="8"/>
        <v>250.5</v>
      </c>
      <c r="N6">
        <f t="shared" si="14"/>
        <v>501</v>
      </c>
      <c r="O6">
        <f t="shared" si="9"/>
        <v>9221</v>
      </c>
      <c r="P6">
        <f t="shared" si="10"/>
        <v>-0.74051896207584833</v>
      </c>
      <c r="Q6" t="str">
        <f t="shared" si="11"/>
        <v>0.7% | 4.73%</v>
      </c>
      <c r="R6" t="str">
        <f t="shared" si="12"/>
        <v>BULLISH</v>
      </c>
      <c r="S6">
        <f t="shared" si="13"/>
        <v>1</v>
      </c>
    </row>
    <row r="7" spans="1:22" hidden="1" x14ac:dyDescent="0.25">
      <c r="A7" s="5" t="str">
        <f t="shared" si="1"/>
        <v>43886XLU</v>
      </c>
      <c r="B7" s="6" t="s">
        <v>52</v>
      </c>
      <c r="C7" s="6">
        <v>68.13</v>
      </c>
      <c r="D7" s="6">
        <v>71.819999999999993</v>
      </c>
      <c r="E7" s="6">
        <v>69.510000000000005</v>
      </c>
      <c r="F7" t="str">
        <f t="shared" si="2"/>
        <v>TUE</v>
      </c>
      <c r="G7" s="3">
        <f t="shared" si="3"/>
        <v>43886</v>
      </c>
      <c r="H7" s="2">
        <f t="shared" ca="1" si="0"/>
        <v>367</v>
      </c>
      <c r="I7" t="str">
        <f t="shared" si="4"/>
        <v>XLU</v>
      </c>
      <c r="J7">
        <f t="shared" si="5"/>
        <v>68.13</v>
      </c>
      <c r="K7">
        <f t="shared" si="6"/>
        <v>71.819999999999993</v>
      </c>
      <c r="L7">
        <f t="shared" si="7"/>
        <v>69.974999999999994</v>
      </c>
      <c r="M7">
        <f t="shared" si="8"/>
        <v>1.8449999999999989</v>
      </c>
      <c r="N7">
        <f t="shared" si="14"/>
        <v>3.6899999999999977</v>
      </c>
      <c r="O7">
        <f t="shared" si="9"/>
        <v>69.510000000000005</v>
      </c>
      <c r="P7">
        <f t="shared" si="10"/>
        <v>-0.25203252032519757</v>
      </c>
      <c r="Q7" t="str">
        <f t="shared" si="11"/>
        <v>1.99% | 3.32%</v>
      </c>
      <c r="R7" t="str">
        <f t="shared" si="12"/>
        <v>BULLISH</v>
      </c>
      <c r="S7">
        <f t="shared" si="13"/>
        <v>1</v>
      </c>
    </row>
    <row r="8" spans="1:22" hidden="1" x14ac:dyDescent="0.25">
      <c r="A8" s="5" t="str">
        <f t="shared" si="1"/>
        <v>43886VNQ</v>
      </c>
      <c r="B8" s="6" t="s">
        <v>53</v>
      </c>
      <c r="C8" s="6">
        <v>96.1</v>
      </c>
      <c r="D8" s="6">
        <v>100.99</v>
      </c>
      <c r="E8" s="6">
        <v>98.21</v>
      </c>
      <c r="F8" t="str">
        <f t="shared" si="2"/>
        <v>TUE</v>
      </c>
      <c r="G8" s="3">
        <f t="shared" si="3"/>
        <v>43886</v>
      </c>
      <c r="H8" s="2">
        <f t="shared" ca="1" si="0"/>
        <v>367</v>
      </c>
      <c r="I8" t="str">
        <f t="shared" si="4"/>
        <v>VNQ</v>
      </c>
      <c r="J8">
        <f t="shared" si="5"/>
        <v>96.1</v>
      </c>
      <c r="K8">
        <f t="shared" si="6"/>
        <v>100.99</v>
      </c>
      <c r="L8">
        <f t="shared" si="7"/>
        <v>98.544999999999987</v>
      </c>
      <c r="M8">
        <f t="shared" si="8"/>
        <v>2.4450000000000003</v>
      </c>
      <c r="N8">
        <f t="shared" si="14"/>
        <v>4.8900000000000006</v>
      </c>
      <c r="O8">
        <f t="shared" si="9"/>
        <v>98.21</v>
      </c>
      <c r="P8">
        <f t="shared" si="10"/>
        <v>-0.13701431492842278</v>
      </c>
      <c r="Q8" t="str">
        <f t="shared" si="11"/>
        <v>2.15% | 2.83%</v>
      </c>
      <c r="R8" t="str">
        <f t="shared" si="12"/>
        <v>BULLISH</v>
      </c>
      <c r="S8">
        <f t="shared" si="13"/>
        <v>1</v>
      </c>
    </row>
    <row r="9" spans="1:22" hidden="1" x14ac:dyDescent="0.25">
      <c r="A9" s="5" t="str">
        <f t="shared" si="1"/>
        <v>43886XLP</v>
      </c>
      <c r="B9" s="6" t="s">
        <v>54</v>
      </c>
      <c r="C9" s="6">
        <v>62.95</v>
      </c>
      <c r="D9" s="6">
        <v>65.3</v>
      </c>
      <c r="E9" s="6">
        <v>63.16</v>
      </c>
      <c r="F9" t="str">
        <f t="shared" si="2"/>
        <v>TUE</v>
      </c>
      <c r="G9" s="3">
        <f t="shared" si="3"/>
        <v>43886</v>
      </c>
      <c r="H9" s="2">
        <f t="shared" ca="1" si="0"/>
        <v>367</v>
      </c>
      <c r="I9" t="str">
        <f t="shared" si="4"/>
        <v>XLP</v>
      </c>
      <c r="J9">
        <f t="shared" si="5"/>
        <v>62.95</v>
      </c>
      <c r="K9">
        <f t="shared" si="6"/>
        <v>65.3</v>
      </c>
      <c r="L9">
        <f t="shared" si="7"/>
        <v>64.125</v>
      </c>
      <c r="M9">
        <f t="shared" si="8"/>
        <v>1.1749999999999972</v>
      </c>
      <c r="N9">
        <f t="shared" si="14"/>
        <v>2.3499999999999943</v>
      </c>
      <c r="O9">
        <f t="shared" si="9"/>
        <v>63.16</v>
      </c>
      <c r="P9">
        <f t="shared" si="10"/>
        <v>-0.8212765957446857</v>
      </c>
      <c r="Q9" t="str">
        <f t="shared" si="11"/>
        <v>0.33% | 3.39%</v>
      </c>
      <c r="R9" t="str">
        <f t="shared" si="12"/>
        <v>BULLISH</v>
      </c>
      <c r="S9">
        <f t="shared" si="13"/>
        <v>1</v>
      </c>
    </row>
    <row r="10" spans="1:22" hidden="1" x14ac:dyDescent="0.25">
      <c r="A10" s="5" t="str">
        <f t="shared" si="1"/>
        <v>43886XLK</v>
      </c>
      <c r="B10" s="6" t="s">
        <v>10</v>
      </c>
      <c r="C10" s="6">
        <v>94.56</v>
      </c>
      <c r="D10" s="6">
        <v>100.86</v>
      </c>
      <c r="E10" s="6">
        <v>95.33</v>
      </c>
      <c r="F10" t="str">
        <f t="shared" si="2"/>
        <v>TUE</v>
      </c>
      <c r="G10" s="3">
        <f t="shared" si="3"/>
        <v>43886</v>
      </c>
      <c r="H10" s="2">
        <f t="shared" ca="1" si="0"/>
        <v>367</v>
      </c>
      <c r="I10" t="str">
        <f t="shared" si="4"/>
        <v>XLK</v>
      </c>
      <c r="J10">
        <f t="shared" si="5"/>
        <v>94.56</v>
      </c>
      <c r="K10">
        <f t="shared" si="6"/>
        <v>100.86</v>
      </c>
      <c r="L10">
        <f t="shared" si="7"/>
        <v>97.710000000000008</v>
      </c>
      <c r="M10">
        <f t="shared" si="8"/>
        <v>3.1499999999999986</v>
      </c>
      <c r="N10">
        <f t="shared" si="14"/>
        <v>6.2999999999999972</v>
      </c>
      <c r="O10">
        <f t="shared" si="9"/>
        <v>95.33</v>
      </c>
      <c r="P10">
        <f t="shared" si="10"/>
        <v>-0.75555555555555898</v>
      </c>
      <c r="Q10" t="str">
        <f t="shared" si="11"/>
        <v>0.81% | 5.8%</v>
      </c>
      <c r="R10" t="str">
        <f t="shared" si="12"/>
        <v>BULLISH</v>
      </c>
      <c r="S10">
        <f t="shared" si="13"/>
        <v>1</v>
      </c>
    </row>
    <row r="11" spans="1:22" hidden="1" x14ac:dyDescent="0.25">
      <c r="A11" s="5" t="str">
        <f t="shared" si="1"/>
        <v>43886SSEC</v>
      </c>
      <c r="B11" s="6" t="s">
        <v>55</v>
      </c>
      <c r="C11" s="6">
        <v>2830</v>
      </c>
      <c r="D11" s="6">
        <v>3075</v>
      </c>
      <c r="E11" s="6">
        <v>3013</v>
      </c>
      <c r="F11" t="str">
        <f t="shared" si="2"/>
        <v>TUE</v>
      </c>
      <c r="G11" s="3">
        <f t="shared" si="3"/>
        <v>43886</v>
      </c>
      <c r="H11" s="2">
        <f t="shared" ca="1" si="0"/>
        <v>367</v>
      </c>
      <c r="I11" t="str">
        <f t="shared" si="4"/>
        <v>SSEC</v>
      </c>
      <c r="J11">
        <f t="shared" si="5"/>
        <v>2830</v>
      </c>
      <c r="K11">
        <f t="shared" si="6"/>
        <v>3075</v>
      </c>
      <c r="L11">
        <f t="shared" si="7"/>
        <v>2952.5</v>
      </c>
      <c r="M11">
        <f t="shared" si="8"/>
        <v>122.5</v>
      </c>
      <c r="N11">
        <f t="shared" si="14"/>
        <v>245</v>
      </c>
      <c r="O11">
        <f t="shared" si="9"/>
        <v>3013</v>
      </c>
      <c r="P11">
        <f t="shared" si="10"/>
        <v>0.49387755102040815</v>
      </c>
      <c r="Q11" t="str">
        <f t="shared" si="11"/>
        <v>6.07% | 2.06%</v>
      </c>
      <c r="R11" t="str">
        <f t="shared" si="12"/>
        <v>NEUTRAL</v>
      </c>
      <c r="S11">
        <f t="shared" si="13"/>
        <v>0</v>
      </c>
    </row>
    <row r="12" spans="1:22" hidden="1" x14ac:dyDescent="0.25">
      <c r="A12" s="5" t="str">
        <f t="shared" si="1"/>
        <v>43886NIKK</v>
      </c>
      <c r="B12" s="6" t="s">
        <v>15</v>
      </c>
      <c r="C12" s="6">
        <v>22302</v>
      </c>
      <c r="D12" s="6">
        <v>23501</v>
      </c>
      <c r="E12" s="6">
        <v>22605</v>
      </c>
      <c r="F12" t="str">
        <f t="shared" si="2"/>
        <v>TUE</v>
      </c>
      <c r="G12" s="3">
        <f t="shared" si="3"/>
        <v>43886</v>
      </c>
      <c r="H12" s="2">
        <f t="shared" ca="1" si="0"/>
        <v>367</v>
      </c>
      <c r="I12" t="str">
        <f t="shared" si="4"/>
        <v>NIKK</v>
      </c>
      <c r="J12">
        <f t="shared" si="5"/>
        <v>22302</v>
      </c>
      <c r="K12">
        <f t="shared" si="6"/>
        <v>23501</v>
      </c>
      <c r="L12">
        <f t="shared" si="7"/>
        <v>22901.5</v>
      </c>
      <c r="M12">
        <f t="shared" si="8"/>
        <v>599.5</v>
      </c>
      <c r="N12">
        <f t="shared" si="14"/>
        <v>1199</v>
      </c>
      <c r="O12">
        <f t="shared" si="9"/>
        <v>22605</v>
      </c>
      <c r="P12">
        <f t="shared" si="10"/>
        <v>-0.49457881567973311</v>
      </c>
      <c r="Q12" t="str">
        <f t="shared" si="11"/>
        <v>1.34% | 3.96%</v>
      </c>
      <c r="R12" t="str">
        <f t="shared" si="12"/>
        <v>BEARISH</v>
      </c>
      <c r="S12">
        <f t="shared" si="13"/>
        <v>-1</v>
      </c>
    </row>
    <row r="13" spans="1:22" hidden="1" x14ac:dyDescent="0.25">
      <c r="A13" s="5" t="str">
        <f t="shared" si="1"/>
        <v>43886DAX</v>
      </c>
      <c r="B13" s="6" t="s">
        <v>16</v>
      </c>
      <c r="C13" s="6">
        <v>12771</v>
      </c>
      <c r="D13" s="6">
        <v>13438</v>
      </c>
      <c r="E13" s="6">
        <v>13035</v>
      </c>
      <c r="F13" t="str">
        <f t="shared" si="2"/>
        <v>TUE</v>
      </c>
      <c r="G13" s="3">
        <f t="shared" si="3"/>
        <v>43886</v>
      </c>
      <c r="H13" s="2">
        <f t="shared" ca="1" si="0"/>
        <v>367</v>
      </c>
      <c r="I13" t="str">
        <f t="shared" si="4"/>
        <v>DAX</v>
      </c>
      <c r="J13">
        <f t="shared" si="5"/>
        <v>12771</v>
      </c>
      <c r="K13">
        <f t="shared" si="6"/>
        <v>13438</v>
      </c>
      <c r="L13">
        <f t="shared" si="7"/>
        <v>13104.5</v>
      </c>
      <c r="M13">
        <f t="shared" si="8"/>
        <v>333.5</v>
      </c>
      <c r="N13">
        <f t="shared" si="14"/>
        <v>667</v>
      </c>
      <c r="O13">
        <f t="shared" si="9"/>
        <v>13035</v>
      </c>
      <c r="P13">
        <f t="shared" si="10"/>
        <v>-0.20839580209895053</v>
      </c>
      <c r="Q13" t="str">
        <f t="shared" si="11"/>
        <v>2.03% | 3.09%</v>
      </c>
      <c r="R13" t="str">
        <f t="shared" si="12"/>
        <v>BEARISH</v>
      </c>
      <c r="S13">
        <f t="shared" si="13"/>
        <v>-1</v>
      </c>
    </row>
    <row r="14" spans="1:22" hidden="1" x14ac:dyDescent="0.25">
      <c r="A14" s="5" t="str">
        <f t="shared" si="1"/>
        <v>43886VIX</v>
      </c>
      <c r="B14" s="6" t="s">
        <v>17</v>
      </c>
      <c r="C14" s="6">
        <v>14.7</v>
      </c>
      <c r="D14" s="6">
        <v>26.13</v>
      </c>
      <c r="E14" s="6">
        <v>25.03</v>
      </c>
      <c r="F14" t="str">
        <f t="shared" si="2"/>
        <v>TUE</v>
      </c>
      <c r="G14" s="3">
        <f t="shared" si="3"/>
        <v>43886</v>
      </c>
      <c r="H14" s="2">
        <f t="shared" ca="1" si="0"/>
        <v>367</v>
      </c>
      <c r="I14" t="str">
        <f t="shared" si="4"/>
        <v>VIX</v>
      </c>
      <c r="J14">
        <f t="shared" si="5"/>
        <v>14.7</v>
      </c>
      <c r="K14">
        <f t="shared" si="6"/>
        <v>26.13</v>
      </c>
      <c r="L14">
        <f t="shared" si="7"/>
        <v>20.414999999999999</v>
      </c>
      <c r="M14">
        <f t="shared" si="8"/>
        <v>5.7149999999999999</v>
      </c>
      <c r="N14">
        <f t="shared" si="14"/>
        <v>11.43</v>
      </c>
      <c r="O14">
        <f t="shared" si="9"/>
        <v>25.03</v>
      </c>
      <c r="P14">
        <f t="shared" si="10"/>
        <v>0.80752405949256378</v>
      </c>
      <c r="Q14" t="str">
        <f t="shared" si="11"/>
        <v>41.27% | 4.39%</v>
      </c>
      <c r="R14" t="str">
        <f t="shared" si="12"/>
        <v>BULLISH</v>
      </c>
      <c r="S14">
        <f t="shared" si="13"/>
        <v>1</v>
      </c>
    </row>
    <row r="15" spans="1:22" hidden="1" x14ac:dyDescent="0.25">
      <c r="A15" s="5" t="str">
        <f t="shared" si="1"/>
        <v>43886USD</v>
      </c>
      <c r="B15" s="6" t="s">
        <v>18</v>
      </c>
      <c r="C15" s="6">
        <v>98.16</v>
      </c>
      <c r="D15" s="6">
        <v>100.21</v>
      </c>
      <c r="E15" s="6">
        <v>99.28</v>
      </c>
      <c r="F15" t="str">
        <f t="shared" si="2"/>
        <v>TUE</v>
      </c>
      <c r="G15" s="3">
        <f t="shared" si="3"/>
        <v>43886</v>
      </c>
      <c r="H15" s="2">
        <f t="shared" ca="1" si="0"/>
        <v>367</v>
      </c>
      <c r="I15" t="str">
        <f t="shared" si="4"/>
        <v>USD</v>
      </c>
      <c r="J15">
        <f t="shared" si="5"/>
        <v>98.16</v>
      </c>
      <c r="K15">
        <f t="shared" si="6"/>
        <v>100.21</v>
      </c>
      <c r="L15">
        <f t="shared" si="7"/>
        <v>99.185000000000002</v>
      </c>
      <c r="M15">
        <f t="shared" si="8"/>
        <v>1.0249999999999986</v>
      </c>
      <c r="N15">
        <f t="shared" si="14"/>
        <v>2.0499999999999972</v>
      </c>
      <c r="O15">
        <f t="shared" si="9"/>
        <v>99.28</v>
      </c>
      <c r="P15">
        <f t="shared" si="10"/>
        <v>9.2682926829267306E-2</v>
      </c>
      <c r="Q15" t="str">
        <f t="shared" si="11"/>
        <v>1.13% | 0.94%</v>
      </c>
      <c r="R15" t="str">
        <f t="shared" si="12"/>
        <v>BULLISH</v>
      </c>
      <c r="S15">
        <f t="shared" si="13"/>
        <v>1</v>
      </c>
    </row>
    <row r="16" spans="1:22" hidden="1" x14ac:dyDescent="0.25">
      <c r="A16" s="5" t="str">
        <f t="shared" si="1"/>
        <v>43886EUR/USD</v>
      </c>
      <c r="B16" s="6" t="s">
        <v>19</v>
      </c>
      <c r="C16" s="6">
        <v>1.07</v>
      </c>
      <c r="D16" s="6">
        <v>1.0900000000000001</v>
      </c>
      <c r="E16" s="6">
        <v>1.08</v>
      </c>
      <c r="F16" t="str">
        <f t="shared" si="2"/>
        <v>TUE</v>
      </c>
      <c r="G16" s="3">
        <f t="shared" si="3"/>
        <v>43886</v>
      </c>
      <c r="H16" s="2">
        <f t="shared" ca="1" si="0"/>
        <v>367</v>
      </c>
      <c r="I16" t="str">
        <f t="shared" si="4"/>
        <v>EUR/USD</v>
      </c>
      <c r="J16">
        <f t="shared" si="5"/>
        <v>1.07</v>
      </c>
      <c r="K16">
        <f t="shared" si="6"/>
        <v>1.0900000000000001</v>
      </c>
      <c r="L16">
        <f t="shared" si="7"/>
        <v>1.08</v>
      </c>
      <c r="M16">
        <f t="shared" si="8"/>
        <v>1.0000000000000009E-2</v>
      </c>
      <c r="N16">
        <f t="shared" si="14"/>
        <v>2.0000000000000018E-2</v>
      </c>
      <c r="O16">
        <f t="shared" si="9"/>
        <v>1.08</v>
      </c>
      <c r="P16">
        <f t="shared" si="10"/>
        <v>0</v>
      </c>
      <c r="Q16" t="str">
        <f t="shared" si="11"/>
        <v>0.93% | 0.93%</v>
      </c>
      <c r="R16" t="str">
        <f t="shared" si="12"/>
        <v>BEARISH</v>
      </c>
      <c r="S16">
        <f t="shared" si="13"/>
        <v>-1</v>
      </c>
    </row>
    <row r="17" spans="1:19" hidden="1" x14ac:dyDescent="0.25">
      <c r="A17" s="5" t="str">
        <f t="shared" si="1"/>
        <v>43886USD/JPY</v>
      </c>
      <c r="B17" s="6" t="s">
        <v>56</v>
      </c>
      <c r="C17" s="6">
        <v>109.75</v>
      </c>
      <c r="D17" s="6">
        <v>112.21</v>
      </c>
      <c r="E17" s="6">
        <v>110.72</v>
      </c>
      <c r="F17" t="str">
        <f t="shared" si="2"/>
        <v>TUE</v>
      </c>
      <c r="G17" s="3">
        <f t="shared" si="3"/>
        <v>43886</v>
      </c>
      <c r="H17" s="2">
        <f t="shared" ca="1" si="0"/>
        <v>367</v>
      </c>
      <c r="I17" t="str">
        <f t="shared" si="4"/>
        <v>USD/JPY</v>
      </c>
      <c r="J17">
        <f t="shared" si="5"/>
        <v>109.75</v>
      </c>
      <c r="K17">
        <f t="shared" si="6"/>
        <v>112.21</v>
      </c>
      <c r="L17">
        <f t="shared" si="7"/>
        <v>110.97999999999999</v>
      </c>
      <c r="M17">
        <f t="shared" si="8"/>
        <v>1.2299999999999969</v>
      </c>
      <c r="N17">
        <f t="shared" si="14"/>
        <v>2.4599999999999937</v>
      </c>
      <c r="O17">
        <f t="shared" si="9"/>
        <v>110.72</v>
      </c>
      <c r="P17">
        <f t="shared" si="10"/>
        <v>-0.21138211382113137</v>
      </c>
      <c r="Q17" t="str">
        <f t="shared" si="11"/>
        <v>0.88% | 1.35%</v>
      </c>
      <c r="R17" t="str">
        <f t="shared" si="12"/>
        <v>BULLISH</v>
      </c>
      <c r="S17">
        <f t="shared" si="13"/>
        <v>1</v>
      </c>
    </row>
    <row r="18" spans="1:19" hidden="1" x14ac:dyDescent="0.25">
      <c r="A18" s="5" t="str">
        <f t="shared" si="1"/>
        <v>43886GBP/USD</v>
      </c>
      <c r="B18" s="6" t="s">
        <v>21</v>
      </c>
      <c r="C18" s="6">
        <v>1.28</v>
      </c>
      <c r="D18" s="6">
        <v>1.3</v>
      </c>
      <c r="E18" s="6">
        <v>1.29</v>
      </c>
      <c r="F18" t="str">
        <f t="shared" si="2"/>
        <v>TUE</v>
      </c>
      <c r="G18" s="3">
        <f t="shared" si="3"/>
        <v>43886</v>
      </c>
      <c r="H18" s="2">
        <f t="shared" ca="1" si="0"/>
        <v>367</v>
      </c>
      <c r="I18" t="str">
        <f t="shared" si="4"/>
        <v>GBP/USD</v>
      </c>
      <c r="J18">
        <f t="shared" si="5"/>
        <v>1.28</v>
      </c>
      <c r="K18">
        <f t="shared" si="6"/>
        <v>1.3</v>
      </c>
      <c r="L18">
        <f t="shared" si="7"/>
        <v>1.29</v>
      </c>
      <c r="M18">
        <f t="shared" si="8"/>
        <v>1.0000000000000009E-2</v>
      </c>
      <c r="N18">
        <f t="shared" si="14"/>
        <v>2.0000000000000018E-2</v>
      </c>
      <c r="O18">
        <f t="shared" si="9"/>
        <v>1.29</v>
      </c>
      <c r="P18">
        <f t="shared" si="10"/>
        <v>0</v>
      </c>
      <c r="Q18" t="str">
        <f t="shared" si="11"/>
        <v>0.78% | 0.78%</v>
      </c>
      <c r="R18" t="str">
        <f t="shared" si="12"/>
        <v>BEARISH</v>
      </c>
      <c r="S18">
        <f t="shared" si="13"/>
        <v>-1</v>
      </c>
    </row>
    <row r="19" spans="1:19" hidden="1" x14ac:dyDescent="0.25">
      <c r="A19" s="5" t="str">
        <f t="shared" si="1"/>
        <v>43886USD/CHF</v>
      </c>
      <c r="B19" s="6" t="s">
        <v>57</v>
      </c>
      <c r="C19" s="6">
        <v>0.97</v>
      </c>
      <c r="D19" s="6">
        <v>0.99</v>
      </c>
      <c r="E19" s="6">
        <v>0.97</v>
      </c>
      <c r="F19" t="str">
        <f t="shared" si="2"/>
        <v>TUE</v>
      </c>
      <c r="G19" s="3">
        <f t="shared" si="3"/>
        <v>43886</v>
      </c>
      <c r="H19" s="2">
        <f t="shared" ca="1" si="0"/>
        <v>367</v>
      </c>
      <c r="I19" t="str">
        <f t="shared" si="4"/>
        <v>USD/CHF</v>
      </c>
      <c r="J19">
        <f t="shared" si="5"/>
        <v>0.97</v>
      </c>
      <c r="K19">
        <f t="shared" si="6"/>
        <v>0.99</v>
      </c>
      <c r="L19">
        <f t="shared" si="7"/>
        <v>0.98</v>
      </c>
      <c r="M19">
        <f t="shared" si="8"/>
        <v>1.0000000000000009E-2</v>
      </c>
      <c r="N19">
        <f t="shared" si="14"/>
        <v>2.0000000000000018E-2</v>
      </c>
      <c r="O19">
        <f t="shared" si="9"/>
        <v>0.97</v>
      </c>
      <c r="P19">
        <f t="shared" si="10"/>
        <v>-1</v>
      </c>
      <c r="Q19" t="str">
        <f t="shared" si="11"/>
        <v>0% | 2.06%</v>
      </c>
      <c r="R19" t="str">
        <f t="shared" si="12"/>
        <v>BULLISH</v>
      </c>
      <c r="S19">
        <f t="shared" si="13"/>
        <v>1</v>
      </c>
    </row>
    <row r="20" spans="1:19" hidden="1" x14ac:dyDescent="0.25">
      <c r="A20" s="5" t="str">
        <f t="shared" si="1"/>
        <v>43886WTIC</v>
      </c>
      <c r="B20" s="6" t="s">
        <v>23</v>
      </c>
      <c r="C20" s="6">
        <v>48.28</v>
      </c>
      <c r="D20" s="6">
        <v>53.39</v>
      </c>
      <c r="E20" s="6">
        <v>51.43</v>
      </c>
      <c r="F20" t="str">
        <f t="shared" si="2"/>
        <v>TUE</v>
      </c>
      <c r="G20" s="3">
        <f t="shared" si="3"/>
        <v>43886</v>
      </c>
      <c r="H20" s="2">
        <f t="shared" ca="1" si="0"/>
        <v>367</v>
      </c>
      <c r="I20" t="str">
        <f t="shared" si="4"/>
        <v>WTIC</v>
      </c>
      <c r="J20">
        <f t="shared" si="5"/>
        <v>48.28</v>
      </c>
      <c r="K20">
        <f t="shared" si="6"/>
        <v>53.39</v>
      </c>
      <c r="L20">
        <f t="shared" si="7"/>
        <v>50.835000000000001</v>
      </c>
      <c r="M20">
        <f t="shared" si="8"/>
        <v>2.5549999999999997</v>
      </c>
      <c r="N20">
        <f t="shared" si="14"/>
        <v>5.1099999999999994</v>
      </c>
      <c r="O20">
        <f t="shared" si="9"/>
        <v>51.43</v>
      </c>
      <c r="P20">
        <f t="shared" si="10"/>
        <v>0.23287671232876669</v>
      </c>
      <c r="Q20" t="str">
        <f t="shared" si="11"/>
        <v>6.12% | 3.81%</v>
      </c>
      <c r="R20" t="str">
        <f t="shared" si="12"/>
        <v>BEARISH</v>
      </c>
      <c r="S20">
        <f t="shared" si="13"/>
        <v>-1</v>
      </c>
    </row>
    <row r="21" spans="1:19" hidden="1" x14ac:dyDescent="0.25">
      <c r="A21" s="5" t="str">
        <f t="shared" si="1"/>
        <v>43886NATGAS</v>
      </c>
      <c r="B21" s="6" t="s">
        <v>24</v>
      </c>
      <c r="C21" s="6">
        <v>1.71</v>
      </c>
      <c r="D21" s="6">
        <v>1.98</v>
      </c>
      <c r="E21" s="6">
        <v>1.84</v>
      </c>
      <c r="F21" t="str">
        <f t="shared" si="2"/>
        <v>TUE</v>
      </c>
      <c r="G21" s="3">
        <f t="shared" si="3"/>
        <v>43886</v>
      </c>
      <c r="H21" s="2">
        <f t="shared" ca="1" si="0"/>
        <v>367</v>
      </c>
      <c r="I21" t="str">
        <f t="shared" si="4"/>
        <v>NATGAS</v>
      </c>
      <c r="J21">
        <f t="shared" si="5"/>
        <v>1.71</v>
      </c>
      <c r="K21">
        <f t="shared" si="6"/>
        <v>1.98</v>
      </c>
      <c r="L21">
        <f t="shared" si="7"/>
        <v>1.845</v>
      </c>
      <c r="M21">
        <f t="shared" si="8"/>
        <v>0.13500000000000001</v>
      </c>
      <c r="N21">
        <f t="shared" si="14"/>
        <v>0.27</v>
      </c>
      <c r="O21">
        <f t="shared" si="9"/>
        <v>1.84</v>
      </c>
      <c r="P21">
        <f t="shared" si="10"/>
        <v>-3.7037037037036244E-2</v>
      </c>
      <c r="Q21" t="str">
        <f t="shared" si="11"/>
        <v>7.07% | 7.61%</v>
      </c>
      <c r="R21" t="str">
        <f t="shared" si="12"/>
        <v>BEARISH</v>
      </c>
      <c r="S21">
        <f t="shared" si="13"/>
        <v>-1</v>
      </c>
    </row>
    <row r="22" spans="1:19" hidden="1" x14ac:dyDescent="0.25">
      <c r="A22" s="5" t="str">
        <f t="shared" si="1"/>
        <v>43886GOLD</v>
      </c>
      <c r="B22" s="6" t="s">
        <v>25</v>
      </c>
      <c r="C22" s="6">
        <v>1607</v>
      </c>
      <c r="D22" s="6">
        <v>1696</v>
      </c>
      <c r="E22" s="6">
        <v>1676</v>
      </c>
      <c r="F22" t="str">
        <f t="shared" si="2"/>
        <v>TUE</v>
      </c>
      <c r="G22" s="3">
        <f t="shared" si="3"/>
        <v>43886</v>
      </c>
      <c r="H22" s="2">
        <f t="shared" ca="1" si="0"/>
        <v>367</v>
      </c>
      <c r="I22" t="str">
        <f t="shared" si="4"/>
        <v>GOLD</v>
      </c>
      <c r="J22">
        <f t="shared" si="5"/>
        <v>1607</v>
      </c>
      <c r="K22">
        <f t="shared" si="6"/>
        <v>1696</v>
      </c>
      <c r="L22">
        <f t="shared" si="7"/>
        <v>1651.5</v>
      </c>
      <c r="M22">
        <f t="shared" si="8"/>
        <v>44.5</v>
      </c>
      <c r="N22">
        <f t="shared" si="14"/>
        <v>89</v>
      </c>
      <c r="O22">
        <f t="shared" si="9"/>
        <v>1676</v>
      </c>
      <c r="P22">
        <f t="shared" si="10"/>
        <v>0.550561797752809</v>
      </c>
      <c r="Q22" t="str">
        <f t="shared" si="11"/>
        <v>4.12% | 1.19%</v>
      </c>
      <c r="R22" t="str">
        <f t="shared" si="12"/>
        <v>BULLISH</v>
      </c>
      <c r="S22">
        <f t="shared" si="13"/>
        <v>1</v>
      </c>
    </row>
    <row r="23" spans="1:19" hidden="1" x14ac:dyDescent="0.25">
      <c r="A23" s="5" t="str">
        <f t="shared" si="1"/>
        <v>43886COPPER</v>
      </c>
      <c r="B23" s="6" t="s">
        <v>26</v>
      </c>
      <c r="C23" s="6">
        <v>2.52</v>
      </c>
      <c r="D23" s="6">
        <v>2.62</v>
      </c>
      <c r="E23" s="6">
        <v>2.57</v>
      </c>
      <c r="F23" t="str">
        <f t="shared" si="2"/>
        <v>TUE</v>
      </c>
      <c r="G23" s="3">
        <f t="shared" si="3"/>
        <v>43886</v>
      </c>
      <c r="H23" s="2">
        <f t="shared" ca="1" si="0"/>
        <v>367</v>
      </c>
      <c r="I23" t="str">
        <f t="shared" si="4"/>
        <v>COPPER</v>
      </c>
      <c r="J23">
        <f t="shared" si="5"/>
        <v>2.52</v>
      </c>
      <c r="K23">
        <f t="shared" si="6"/>
        <v>2.62</v>
      </c>
      <c r="L23">
        <f t="shared" si="7"/>
        <v>2.5700000000000003</v>
      </c>
      <c r="M23">
        <f t="shared" si="8"/>
        <v>5.0000000000000044E-2</v>
      </c>
      <c r="N23">
        <f t="shared" si="14"/>
        <v>0.10000000000000009</v>
      </c>
      <c r="O23">
        <f t="shared" si="9"/>
        <v>2.57</v>
      </c>
      <c r="P23">
        <f t="shared" si="10"/>
        <v>-8.8817841970012444E-15</v>
      </c>
      <c r="Q23" t="str">
        <f t="shared" si="11"/>
        <v>1.95% | 1.95%</v>
      </c>
      <c r="R23" t="str">
        <f t="shared" si="12"/>
        <v>BEARISH</v>
      </c>
      <c r="S23">
        <f t="shared" si="13"/>
        <v>-1</v>
      </c>
    </row>
    <row r="24" spans="1:19" hidden="1" x14ac:dyDescent="0.25">
      <c r="A24" s="5" t="str">
        <f t="shared" si="1"/>
        <v>43886AAPL</v>
      </c>
      <c r="B24" s="6" t="s">
        <v>28</v>
      </c>
      <c r="C24" s="6">
        <v>295.25</v>
      </c>
      <c r="D24" s="6">
        <v>318.06</v>
      </c>
      <c r="E24" s="6">
        <v>298.18</v>
      </c>
      <c r="F24" t="str">
        <f t="shared" si="2"/>
        <v>TUE</v>
      </c>
      <c r="G24" s="3">
        <f t="shared" si="3"/>
        <v>43886</v>
      </c>
      <c r="H24" s="2">
        <f t="shared" ca="1" si="0"/>
        <v>367</v>
      </c>
      <c r="I24" t="str">
        <f t="shared" si="4"/>
        <v>AAPL</v>
      </c>
      <c r="J24">
        <f t="shared" si="5"/>
        <v>295.25</v>
      </c>
      <c r="K24">
        <f t="shared" si="6"/>
        <v>318.06</v>
      </c>
      <c r="L24">
        <f t="shared" si="7"/>
        <v>306.65499999999997</v>
      </c>
      <c r="M24">
        <f t="shared" si="8"/>
        <v>11.405000000000001</v>
      </c>
      <c r="N24">
        <f t="shared" si="14"/>
        <v>22.810000000000002</v>
      </c>
      <c r="O24">
        <f t="shared" si="9"/>
        <v>298.18</v>
      </c>
      <c r="P24">
        <f t="shared" si="10"/>
        <v>-0.74309513371328062</v>
      </c>
      <c r="Q24" t="str">
        <f t="shared" si="11"/>
        <v>0.98% | 6.67%</v>
      </c>
      <c r="R24" t="str">
        <f t="shared" si="12"/>
        <v>BULLISH</v>
      </c>
      <c r="S24">
        <f t="shared" si="13"/>
        <v>1</v>
      </c>
    </row>
    <row r="25" spans="1:19" hidden="1" x14ac:dyDescent="0.25">
      <c r="A25" s="5" t="str">
        <f t="shared" si="1"/>
        <v>43886AMZN</v>
      </c>
      <c r="B25" s="6" t="s">
        <v>29</v>
      </c>
      <c r="C25" s="6">
        <v>1976</v>
      </c>
      <c r="D25" s="6">
        <v>2130</v>
      </c>
      <c r="E25" s="6">
        <v>2009</v>
      </c>
      <c r="F25" t="str">
        <f t="shared" si="2"/>
        <v>TUE</v>
      </c>
      <c r="G25" s="3">
        <f t="shared" si="3"/>
        <v>43886</v>
      </c>
      <c r="H25" s="2">
        <f t="shared" ca="1" si="0"/>
        <v>367</v>
      </c>
      <c r="I25" t="str">
        <f t="shared" si="4"/>
        <v>AMZN</v>
      </c>
      <c r="J25">
        <f t="shared" si="5"/>
        <v>1976</v>
      </c>
      <c r="K25">
        <f t="shared" si="6"/>
        <v>2130</v>
      </c>
      <c r="L25">
        <f t="shared" si="7"/>
        <v>2053</v>
      </c>
      <c r="M25">
        <f t="shared" si="8"/>
        <v>77</v>
      </c>
      <c r="N25">
        <f t="shared" si="14"/>
        <v>154</v>
      </c>
      <c r="O25">
        <f t="shared" si="9"/>
        <v>2009</v>
      </c>
      <c r="P25">
        <f t="shared" si="10"/>
        <v>-0.5714285714285714</v>
      </c>
      <c r="Q25" t="str">
        <f t="shared" si="11"/>
        <v>1.64% | 6.02%</v>
      </c>
      <c r="R25" t="str">
        <f t="shared" si="12"/>
        <v>BULLISH</v>
      </c>
      <c r="S25">
        <f t="shared" si="13"/>
        <v>1</v>
      </c>
    </row>
    <row r="26" spans="1:19" hidden="1" x14ac:dyDescent="0.25">
      <c r="A26" s="5" t="str">
        <f t="shared" si="1"/>
        <v>43886FB</v>
      </c>
      <c r="B26" s="6" t="s">
        <v>58</v>
      </c>
      <c r="C26" s="6">
        <v>197</v>
      </c>
      <c r="D26" s="6">
        <v>211</v>
      </c>
      <c r="E26" s="6">
        <v>200</v>
      </c>
      <c r="F26" t="str">
        <f t="shared" si="2"/>
        <v>TUE</v>
      </c>
      <c r="G26" s="3">
        <f t="shared" si="3"/>
        <v>43886</v>
      </c>
      <c r="H26" s="2">
        <f t="shared" ca="1" si="0"/>
        <v>367</v>
      </c>
      <c r="I26" t="str">
        <f t="shared" si="4"/>
        <v>FB</v>
      </c>
      <c r="J26">
        <f t="shared" si="5"/>
        <v>197</v>
      </c>
      <c r="K26">
        <f t="shared" si="6"/>
        <v>211</v>
      </c>
      <c r="L26">
        <f t="shared" si="7"/>
        <v>204</v>
      </c>
      <c r="M26">
        <f t="shared" si="8"/>
        <v>7</v>
      </c>
      <c r="N26">
        <f t="shared" si="14"/>
        <v>14</v>
      </c>
      <c r="O26">
        <f t="shared" si="9"/>
        <v>200</v>
      </c>
      <c r="P26">
        <f t="shared" si="10"/>
        <v>-0.5714285714285714</v>
      </c>
      <c r="Q26" t="str">
        <f t="shared" si="11"/>
        <v>1.5% | 5.5%</v>
      </c>
      <c r="R26" t="str">
        <f t="shared" si="12"/>
        <v>BEARISH</v>
      </c>
      <c r="S26">
        <f t="shared" si="13"/>
        <v>-1</v>
      </c>
    </row>
    <row r="27" spans="1:19" hidden="1" x14ac:dyDescent="0.25">
      <c r="A27" s="5" t="str">
        <f t="shared" si="1"/>
        <v>43886GOOGL</v>
      </c>
      <c r="B27" s="6" t="s">
        <v>59</v>
      </c>
      <c r="C27" s="6">
        <v>1395</v>
      </c>
      <c r="D27" s="6">
        <v>1503</v>
      </c>
      <c r="E27" s="6">
        <v>1419</v>
      </c>
      <c r="F27" t="str">
        <f t="shared" si="2"/>
        <v>TUE</v>
      </c>
      <c r="G27" s="3">
        <f t="shared" si="3"/>
        <v>43886</v>
      </c>
      <c r="H27" s="2">
        <f t="shared" ca="1" si="0"/>
        <v>367</v>
      </c>
      <c r="I27" t="str">
        <f t="shared" si="4"/>
        <v>GOOGL</v>
      </c>
      <c r="J27">
        <f t="shared" si="5"/>
        <v>1395</v>
      </c>
      <c r="K27">
        <f t="shared" si="6"/>
        <v>1503</v>
      </c>
      <c r="L27">
        <f t="shared" si="7"/>
        <v>1449</v>
      </c>
      <c r="M27">
        <f t="shared" si="8"/>
        <v>54</v>
      </c>
      <c r="N27">
        <f t="shared" si="14"/>
        <v>108</v>
      </c>
      <c r="O27">
        <f t="shared" si="9"/>
        <v>1419</v>
      </c>
      <c r="P27">
        <f t="shared" si="10"/>
        <v>-0.55555555555555558</v>
      </c>
      <c r="Q27" t="str">
        <f t="shared" si="11"/>
        <v>1.69% | 5.92%</v>
      </c>
      <c r="R27" t="str">
        <f t="shared" si="12"/>
        <v>NEUTRAL</v>
      </c>
      <c r="S27">
        <f t="shared" si="13"/>
        <v>0</v>
      </c>
    </row>
    <row r="28" spans="1:19" hidden="1" x14ac:dyDescent="0.25">
      <c r="A28" s="5" t="str">
        <f t="shared" si="1"/>
        <v>43886NFLX</v>
      </c>
      <c r="B28" s="6" t="s">
        <v>32</v>
      </c>
      <c r="C28" s="6">
        <v>360</v>
      </c>
      <c r="D28" s="6">
        <v>385</v>
      </c>
      <c r="E28" s="6">
        <v>368</v>
      </c>
      <c r="F28" t="str">
        <f t="shared" si="2"/>
        <v>TUE</v>
      </c>
      <c r="G28" s="3">
        <f t="shared" si="3"/>
        <v>43886</v>
      </c>
      <c r="H28" s="2">
        <f t="shared" ca="1" si="0"/>
        <v>367</v>
      </c>
      <c r="I28" t="str">
        <f t="shared" si="4"/>
        <v>NFLX</v>
      </c>
      <c r="J28">
        <f t="shared" si="5"/>
        <v>360</v>
      </c>
      <c r="K28">
        <f t="shared" si="6"/>
        <v>385</v>
      </c>
      <c r="L28">
        <f t="shared" si="7"/>
        <v>372.5</v>
      </c>
      <c r="M28">
        <f t="shared" si="8"/>
        <v>12.5</v>
      </c>
      <c r="N28">
        <f t="shared" si="14"/>
        <v>25</v>
      </c>
      <c r="O28">
        <f t="shared" si="9"/>
        <v>368</v>
      </c>
      <c r="P28">
        <f t="shared" si="10"/>
        <v>-0.36</v>
      </c>
      <c r="Q28" t="str">
        <f t="shared" si="11"/>
        <v>2.17% | 4.62%</v>
      </c>
      <c r="R28" t="str">
        <f t="shared" si="12"/>
        <v>BULLISH</v>
      </c>
      <c r="S28">
        <f t="shared" si="13"/>
        <v>1</v>
      </c>
    </row>
    <row r="29" spans="1:19" x14ac:dyDescent="0.25">
      <c r="A29" s="5" t="str">
        <f t="shared" si="1"/>
        <v>43886TSLA</v>
      </c>
      <c r="B29" s="6" t="s">
        <v>33</v>
      </c>
      <c r="C29" s="6">
        <v>724</v>
      </c>
      <c r="D29" s="6">
        <v>946</v>
      </c>
      <c r="E29" s="6">
        <v>833</v>
      </c>
      <c r="F29" t="str">
        <f t="shared" si="2"/>
        <v>TUE</v>
      </c>
      <c r="G29" s="3">
        <f t="shared" si="3"/>
        <v>43886</v>
      </c>
      <c r="H29" s="2">
        <f t="shared" ca="1" si="0"/>
        <v>367</v>
      </c>
      <c r="I29" t="str">
        <f t="shared" si="4"/>
        <v>TSLA</v>
      </c>
      <c r="J29">
        <f t="shared" si="5"/>
        <v>724</v>
      </c>
      <c r="K29">
        <f t="shared" si="6"/>
        <v>946</v>
      </c>
      <c r="L29">
        <f t="shared" si="7"/>
        <v>835</v>
      </c>
      <c r="M29">
        <f t="shared" si="8"/>
        <v>111</v>
      </c>
      <c r="N29">
        <f t="shared" si="14"/>
        <v>222</v>
      </c>
      <c r="O29">
        <f t="shared" si="9"/>
        <v>833</v>
      </c>
      <c r="P29">
        <f t="shared" si="10"/>
        <v>-1.8018018018018018E-2</v>
      </c>
      <c r="Q29" t="str">
        <f t="shared" si="11"/>
        <v>13.09% | 13.57%</v>
      </c>
      <c r="R29" t="str">
        <f t="shared" si="12"/>
        <v>BULLISH</v>
      </c>
      <c r="S29">
        <f t="shared" si="13"/>
        <v>1</v>
      </c>
    </row>
    <row r="30" spans="1:19" hidden="1" x14ac:dyDescent="0.25">
      <c r="A30" s="5" t="str">
        <f t="shared" si="1"/>
        <v>43886NYXBT</v>
      </c>
      <c r="B30" s="6" t="s">
        <v>60</v>
      </c>
      <c r="C30" s="6">
        <v>9370</v>
      </c>
      <c r="D30" s="6">
        <v>10550</v>
      </c>
      <c r="E30" s="6">
        <v>9712</v>
      </c>
      <c r="F30" t="str">
        <f t="shared" si="2"/>
        <v>TUE</v>
      </c>
      <c r="G30" s="3">
        <f t="shared" si="3"/>
        <v>43886</v>
      </c>
      <c r="H30" s="2">
        <f t="shared" ca="1" si="0"/>
        <v>367</v>
      </c>
      <c r="I30" t="str">
        <f t="shared" si="4"/>
        <v>NYXBT</v>
      </c>
      <c r="J30">
        <f t="shared" si="5"/>
        <v>9370</v>
      </c>
      <c r="K30">
        <f t="shared" si="6"/>
        <v>10550</v>
      </c>
      <c r="L30">
        <f t="shared" si="7"/>
        <v>9960</v>
      </c>
      <c r="M30">
        <f t="shared" si="8"/>
        <v>590</v>
      </c>
      <c r="N30">
        <f t="shared" si="14"/>
        <v>1180</v>
      </c>
      <c r="O30">
        <f t="shared" si="9"/>
        <v>9712</v>
      </c>
      <c r="P30">
        <f t="shared" si="10"/>
        <v>-0.42033898305084744</v>
      </c>
      <c r="Q30" t="str">
        <f t="shared" si="11"/>
        <v>3.52% | 8.63%</v>
      </c>
      <c r="R30" t="str">
        <f t="shared" si="12"/>
        <v>BULLISH</v>
      </c>
      <c r="S30">
        <f t="shared" si="13"/>
        <v>1</v>
      </c>
    </row>
    <row r="31" spans="1:19" hidden="1" x14ac:dyDescent="0.25">
      <c r="A31" s="5" t="str">
        <f t="shared" si="1"/>
        <v>43887UST10Y</v>
      </c>
      <c r="B31" s="6" t="s">
        <v>4</v>
      </c>
      <c r="C31" s="6">
        <v>1.51</v>
      </c>
      <c r="D31" s="6">
        <v>1.31</v>
      </c>
      <c r="E31" s="6">
        <v>1.33</v>
      </c>
      <c r="F31" t="str">
        <f t="shared" si="2"/>
        <v>WED</v>
      </c>
      <c r="G31" s="1">
        <f>DATE(2020,2,26)</f>
        <v>43887</v>
      </c>
      <c r="H31" s="2">
        <f t="shared" ca="1" si="0"/>
        <v>366</v>
      </c>
      <c r="I31" t="str">
        <f t="shared" ref="I31:I59" si="15">TRIM(LEFT(B31,FIND(" ",B31,1)))</f>
        <v>UST10Y</v>
      </c>
      <c r="J31">
        <f t="shared" ref="J31:J59" si="16">C31</f>
        <v>1.51</v>
      </c>
      <c r="K31">
        <f t="shared" ref="K31:K59" si="17">D31</f>
        <v>1.31</v>
      </c>
      <c r="L31">
        <f t="shared" ref="L31:L59" si="18">AVERAGE(J31:K31)</f>
        <v>1.4100000000000001</v>
      </c>
      <c r="M31">
        <f t="shared" ref="M31:M59" si="19">_xlfn.STDEV.P(J31:K31)</f>
        <v>9.9999999999999978E-2</v>
      </c>
      <c r="N31">
        <f t="shared" si="14"/>
        <v>0.19999999999999996</v>
      </c>
      <c r="O31">
        <f t="shared" ref="O31:O59" si="20">E31</f>
        <v>1.33</v>
      </c>
      <c r="P31">
        <f t="shared" ref="P31:P59" si="21">(O31-L31)/M31</f>
        <v>-0.80000000000000093</v>
      </c>
      <c r="Q31" t="str">
        <f t="shared" si="11"/>
        <v>13.53% | 1.5%</v>
      </c>
      <c r="R31" t="str">
        <f t="shared" ref="R31:R59" si="22">MID(B31,FIND("(",B31,1)+1,FIND(")",B31,1)-FIND("(",B31,1)-1)</f>
        <v>BEARISH</v>
      </c>
      <c r="S31">
        <f t="shared" si="13"/>
        <v>-1</v>
      </c>
    </row>
    <row r="32" spans="1:19" hidden="1" x14ac:dyDescent="0.25">
      <c r="A32" s="5" t="str">
        <f t="shared" si="1"/>
        <v>43887UST2Y</v>
      </c>
      <c r="B32" s="6" t="s">
        <v>5</v>
      </c>
      <c r="C32" s="6">
        <v>1.36</v>
      </c>
      <c r="D32" s="6">
        <v>1.17</v>
      </c>
      <c r="E32" s="6">
        <v>1.2</v>
      </c>
      <c r="F32" t="str">
        <f t="shared" si="2"/>
        <v>WED</v>
      </c>
      <c r="G32" s="1">
        <f t="shared" ref="G32:G59" si="23">DATE(2020,2,26)</f>
        <v>43887</v>
      </c>
      <c r="H32" s="2">
        <f t="shared" ca="1" si="0"/>
        <v>366</v>
      </c>
      <c r="I32" t="str">
        <f t="shared" si="15"/>
        <v>UST2Y</v>
      </c>
      <c r="J32">
        <f t="shared" si="16"/>
        <v>1.36</v>
      </c>
      <c r="K32">
        <f t="shared" si="17"/>
        <v>1.17</v>
      </c>
      <c r="L32">
        <f t="shared" si="18"/>
        <v>1.2650000000000001</v>
      </c>
      <c r="M32">
        <f t="shared" si="19"/>
        <v>9.5000000000000084E-2</v>
      </c>
      <c r="N32">
        <f t="shared" si="14"/>
        <v>0.19000000000000017</v>
      </c>
      <c r="O32">
        <f t="shared" si="20"/>
        <v>1.2</v>
      </c>
      <c r="P32">
        <f t="shared" si="21"/>
        <v>-0.6842105263157906</v>
      </c>
      <c r="Q32" t="str">
        <f t="shared" si="11"/>
        <v>13.33% | 2.5%</v>
      </c>
      <c r="R32" t="str">
        <f t="shared" si="22"/>
        <v>BEARISH</v>
      </c>
      <c r="S32">
        <f t="shared" si="13"/>
        <v>-1</v>
      </c>
    </row>
    <row r="33" spans="1:19" hidden="1" x14ac:dyDescent="0.25">
      <c r="A33" s="5" t="str">
        <f t="shared" si="1"/>
        <v>43887SPX</v>
      </c>
      <c r="B33" s="6" t="s">
        <v>6</v>
      </c>
      <c r="C33" s="6">
        <v>3073</v>
      </c>
      <c r="D33" s="6">
        <v>3301</v>
      </c>
      <c r="E33" s="6">
        <v>3128</v>
      </c>
      <c r="F33" t="str">
        <f t="shared" si="2"/>
        <v>WED</v>
      </c>
      <c r="G33" s="1">
        <f t="shared" si="23"/>
        <v>43887</v>
      </c>
      <c r="H33" s="2">
        <f t="shared" ca="1" si="0"/>
        <v>366</v>
      </c>
      <c r="I33" t="str">
        <f t="shared" si="15"/>
        <v>SPX</v>
      </c>
      <c r="J33">
        <f t="shared" si="16"/>
        <v>3073</v>
      </c>
      <c r="K33">
        <f t="shared" si="17"/>
        <v>3301</v>
      </c>
      <c r="L33">
        <f t="shared" si="18"/>
        <v>3187</v>
      </c>
      <c r="M33">
        <f t="shared" si="19"/>
        <v>114</v>
      </c>
      <c r="N33">
        <f t="shared" si="14"/>
        <v>228</v>
      </c>
      <c r="O33">
        <f t="shared" si="20"/>
        <v>3128</v>
      </c>
      <c r="P33">
        <f t="shared" si="21"/>
        <v>-0.51754385964912286</v>
      </c>
      <c r="Q33" t="str">
        <f t="shared" si="11"/>
        <v>1.76% | 5.53%</v>
      </c>
      <c r="R33" t="str">
        <f t="shared" si="22"/>
        <v>BEARISH</v>
      </c>
      <c r="S33">
        <f t="shared" si="13"/>
        <v>-1</v>
      </c>
    </row>
    <row r="34" spans="1:19" hidden="1" x14ac:dyDescent="0.25">
      <c r="A34" s="5" t="str">
        <f t="shared" si="1"/>
        <v>43887RUT</v>
      </c>
      <c r="B34" s="6" t="s">
        <v>7</v>
      </c>
      <c r="C34" s="6">
        <v>1541</v>
      </c>
      <c r="D34" s="6">
        <v>1665</v>
      </c>
      <c r="E34" s="6">
        <v>1571</v>
      </c>
      <c r="F34" t="str">
        <f t="shared" si="2"/>
        <v>WED</v>
      </c>
      <c r="G34" s="1">
        <f t="shared" si="23"/>
        <v>43887</v>
      </c>
      <c r="H34" s="2">
        <f t="shared" ca="1" si="0"/>
        <v>366</v>
      </c>
      <c r="I34" t="str">
        <f t="shared" si="15"/>
        <v>RUT</v>
      </c>
      <c r="J34">
        <f t="shared" si="16"/>
        <v>1541</v>
      </c>
      <c r="K34">
        <f t="shared" si="17"/>
        <v>1665</v>
      </c>
      <c r="L34">
        <f t="shared" si="18"/>
        <v>1603</v>
      </c>
      <c r="M34">
        <f t="shared" si="19"/>
        <v>62</v>
      </c>
      <c r="N34">
        <f t="shared" si="14"/>
        <v>124</v>
      </c>
      <c r="O34">
        <f t="shared" si="20"/>
        <v>1571</v>
      </c>
      <c r="P34">
        <f t="shared" si="21"/>
        <v>-0.5161290322580645</v>
      </c>
      <c r="Q34" t="str">
        <f t="shared" si="11"/>
        <v>1.91% | 5.98%</v>
      </c>
      <c r="R34" t="str">
        <f t="shared" si="22"/>
        <v>BEARISH</v>
      </c>
      <c r="S34">
        <f t="shared" si="13"/>
        <v>-1</v>
      </c>
    </row>
    <row r="35" spans="1:19" hidden="1" x14ac:dyDescent="0.25">
      <c r="A35" s="5" t="str">
        <f t="shared" si="1"/>
        <v>43887COMPQ</v>
      </c>
      <c r="B35" s="6" t="s">
        <v>61</v>
      </c>
      <c r="C35" s="6">
        <v>8759</v>
      </c>
      <c r="D35" s="6">
        <v>9409</v>
      </c>
      <c r="E35" s="6">
        <v>8965</v>
      </c>
      <c r="F35" t="str">
        <f t="shared" si="2"/>
        <v>WED</v>
      </c>
      <c r="G35" s="1">
        <f t="shared" si="23"/>
        <v>43887</v>
      </c>
      <c r="H35" s="2">
        <f t="shared" ca="1" si="0"/>
        <v>366</v>
      </c>
      <c r="I35" t="str">
        <f t="shared" si="15"/>
        <v>COMPQ</v>
      </c>
      <c r="J35">
        <f t="shared" si="16"/>
        <v>8759</v>
      </c>
      <c r="K35">
        <f t="shared" si="17"/>
        <v>9409</v>
      </c>
      <c r="L35">
        <f t="shared" si="18"/>
        <v>9084</v>
      </c>
      <c r="M35">
        <f t="shared" si="19"/>
        <v>325</v>
      </c>
      <c r="N35">
        <f t="shared" si="14"/>
        <v>650</v>
      </c>
      <c r="O35">
        <f t="shared" si="20"/>
        <v>8965</v>
      </c>
      <c r="P35">
        <f t="shared" si="21"/>
        <v>-0.36615384615384616</v>
      </c>
      <c r="Q35" t="str">
        <f t="shared" si="11"/>
        <v>2.3% | 4.95%</v>
      </c>
      <c r="R35" t="str">
        <f t="shared" si="22"/>
        <v>NEUTRAL</v>
      </c>
      <c r="S35">
        <f t="shared" si="13"/>
        <v>0</v>
      </c>
    </row>
    <row r="36" spans="1:19" hidden="1" x14ac:dyDescent="0.25">
      <c r="A36" s="5" t="str">
        <f t="shared" si="1"/>
        <v>43887XLU</v>
      </c>
      <c r="B36" s="6" t="s">
        <v>52</v>
      </c>
      <c r="C36" s="6">
        <v>67.739999999999995</v>
      </c>
      <c r="D36" s="6">
        <v>71.64</v>
      </c>
      <c r="E36" s="6">
        <v>68.05</v>
      </c>
      <c r="F36" t="str">
        <f t="shared" si="2"/>
        <v>WED</v>
      </c>
      <c r="G36" s="1">
        <f t="shared" si="23"/>
        <v>43887</v>
      </c>
      <c r="H36" s="2">
        <f t="shared" ca="1" si="0"/>
        <v>366</v>
      </c>
      <c r="I36" t="str">
        <f t="shared" si="15"/>
        <v>XLU</v>
      </c>
      <c r="J36">
        <f t="shared" si="16"/>
        <v>67.739999999999995</v>
      </c>
      <c r="K36">
        <f t="shared" si="17"/>
        <v>71.64</v>
      </c>
      <c r="L36">
        <f t="shared" si="18"/>
        <v>69.69</v>
      </c>
      <c r="M36">
        <f t="shared" si="19"/>
        <v>1.9500000000000028</v>
      </c>
      <c r="N36">
        <f t="shared" si="14"/>
        <v>3.9000000000000057</v>
      </c>
      <c r="O36">
        <f t="shared" si="20"/>
        <v>68.05</v>
      </c>
      <c r="P36">
        <f t="shared" si="21"/>
        <v>-0.84102564102564004</v>
      </c>
      <c r="Q36" t="str">
        <f t="shared" si="11"/>
        <v>0.46% | 5.28%</v>
      </c>
      <c r="R36" t="str">
        <f t="shared" si="22"/>
        <v>BULLISH</v>
      </c>
      <c r="S36">
        <f t="shared" si="13"/>
        <v>1</v>
      </c>
    </row>
    <row r="37" spans="1:19" hidden="1" x14ac:dyDescent="0.25">
      <c r="A37" s="5" t="str">
        <f t="shared" si="1"/>
        <v>43887VNQ</v>
      </c>
      <c r="B37" s="6" t="s">
        <v>53</v>
      </c>
      <c r="C37" s="6">
        <v>94.88</v>
      </c>
      <c r="D37" s="6">
        <v>100.83</v>
      </c>
      <c r="E37" s="6">
        <v>95.55</v>
      </c>
      <c r="F37" t="str">
        <f t="shared" si="2"/>
        <v>WED</v>
      </c>
      <c r="G37" s="1">
        <f t="shared" si="23"/>
        <v>43887</v>
      </c>
      <c r="H37" s="2">
        <f t="shared" ca="1" si="0"/>
        <v>366</v>
      </c>
      <c r="I37" t="str">
        <f t="shared" si="15"/>
        <v>VNQ</v>
      </c>
      <c r="J37">
        <f t="shared" si="16"/>
        <v>94.88</v>
      </c>
      <c r="K37">
        <f t="shared" si="17"/>
        <v>100.83</v>
      </c>
      <c r="L37">
        <f t="shared" si="18"/>
        <v>97.85499999999999</v>
      </c>
      <c r="M37">
        <f t="shared" si="19"/>
        <v>2.9750000000000014</v>
      </c>
      <c r="N37">
        <f t="shared" si="14"/>
        <v>5.9500000000000028</v>
      </c>
      <c r="O37">
        <f t="shared" si="20"/>
        <v>95.55</v>
      </c>
      <c r="P37">
        <f t="shared" si="21"/>
        <v>-0.77478991596638369</v>
      </c>
      <c r="Q37" t="str">
        <f t="shared" si="11"/>
        <v>0.7% | 5.53%</v>
      </c>
      <c r="R37" t="str">
        <f t="shared" si="22"/>
        <v>BULLISH</v>
      </c>
      <c r="S37">
        <f t="shared" si="13"/>
        <v>1</v>
      </c>
    </row>
    <row r="38" spans="1:19" hidden="1" x14ac:dyDescent="0.25">
      <c r="A38" s="5" t="str">
        <f t="shared" si="1"/>
        <v>43887XLP</v>
      </c>
      <c r="B38" s="6" t="s">
        <v>54</v>
      </c>
      <c r="C38" s="6">
        <v>61.8</v>
      </c>
      <c r="D38" s="6">
        <v>65.67</v>
      </c>
      <c r="E38" s="6">
        <v>62.02</v>
      </c>
      <c r="F38" t="str">
        <f t="shared" si="2"/>
        <v>WED</v>
      </c>
      <c r="G38" s="1">
        <f t="shared" si="23"/>
        <v>43887</v>
      </c>
      <c r="H38" s="2">
        <f t="shared" ca="1" si="0"/>
        <v>366</v>
      </c>
      <c r="I38" t="str">
        <f t="shared" si="15"/>
        <v>XLP</v>
      </c>
      <c r="J38">
        <f t="shared" si="16"/>
        <v>61.8</v>
      </c>
      <c r="K38">
        <f t="shared" si="17"/>
        <v>65.67</v>
      </c>
      <c r="L38">
        <f t="shared" si="18"/>
        <v>63.734999999999999</v>
      </c>
      <c r="M38">
        <f t="shared" si="19"/>
        <v>1.9350000000000023</v>
      </c>
      <c r="N38">
        <f t="shared" si="14"/>
        <v>3.8700000000000045</v>
      </c>
      <c r="O38">
        <f t="shared" si="20"/>
        <v>62.02</v>
      </c>
      <c r="P38">
        <f t="shared" si="21"/>
        <v>-0.88630490956072061</v>
      </c>
      <c r="Q38" t="str">
        <f t="shared" si="11"/>
        <v>0.35% | 5.89%</v>
      </c>
      <c r="R38" t="str">
        <f t="shared" si="22"/>
        <v>BULLISH</v>
      </c>
      <c r="S38">
        <f t="shared" si="13"/>
        <v>1</v>
      </c>
    </row>
    <row r="39" spans="1:19" hidden="1" x14ac:dyDescent="0.25">
      <c r="A39" s="5" t="str">
        <f t="shared" si="1"/>
        <v>43887XLK</v>
      </c>
      <c r="B39" s="6" t="s">
        <v>62</v>
      </c>
      <c r="C39" s="6">
        <v>91.02</v>
      </c>
      <c r="D39" s="6">
        <v>99.81</v>
      </c>
      <c r="E39" s="6">
        <v>92.28</v>
      </c>
      <c r="F39" t="str">
        <f t="shared" si="2"/>
        <v>WED</v>
      </c>
      <c r="G39" s="1">
        <f t="shared" si="23"/>
        <v>43887</v>
      </c>
      <c r="H39" s="2">
        <f t="shared" ca="1" si="0"/>
        <v>366</v>
      </c>
      <c r="I39" t="str">
        <f t="shared" si="15"/>
        <v>XLK</v>
      </c>
      <c r="J39">
        <f t="shared" si="16"/>
        <v>91.02</v>
      </c>
      <c r="K39">
        <f t="shared" si="17"/>
        <v>99.81</v>
      </c>
      <c r="L39">
        <f t="shared" si="18"/>
        <v>95.414999999999992</v>
      </c>
      <c r="M39">
        <f t="shared" si="19"/>
        <v>4.3950000000000031</v>
      </c>
      <c r="N39">
        <f t="shared" si="14"/>
        <v>8.7900000000000063</v>
      </c>
      <c r="O39">
        <f t="shared" si="20"/>
        <v>92.28</v>
      </c>
      <c r="P39">
        <f t="shared" si="21"/>
        <v>-0.71331058020477556</v>
      </c>
      <c r="Q39" t="str">
        <f t="shared" si="11"/>
        <v>1.37% | 8.16%</v>
      </c>
      <c r="R39" t="str">
        <f t="shared" si="22"/>
        <v>NEUTRAL</v>
      </c>
      <c r="S39">
        <f t="shared" si="13"/>
        <v>0</v>
      </c>
    </row>
    <row r="40" spans="1:19" hidden="1" x14ac:dyDescent="0.25">
      <c r="A40" s="5" t="str">
        <f t="shared" si="1"/>
        <v>43887SSEC</v>
      </c>
      <c r="B40" s="6" t="s">
        <v>55</v>
      </c>
      <c r="C40" s="6">
        <v>2890</v>
      </c>
      <c r="D40" s="6">
        <v>3075</v>
      </c>
      <c r="E40" s="6">
        <v>2987</v>
      </c>
      <c r="F40" t="str">
        <f t="shared" si="2"/>
        <v>WED</v>
      </c>
      <c r="G40" s="1">
        <f t="shared" si="23"/>
        <v>43887</v>
      </c>
      <c r="H40" s="2">
        <f t="shared" ca="1" si="0"/>
        <v>366</v>
      </c>
      <c r="I40" t="str">
        <f t="shared" si="15"/>
        <v>SSEC</v>
      </c>
      <c r="J40">
        <f t="shared" si="16"/>
        <v>2890</v>
      </c>
      <c r="K40">
        <f t="shared" si="17"/>
        <v>3075</v>
      </c>
      <c r="L40">
        <f t="shared" si="18"/>
        <v>2982.5</v>
      </c>
      <c r="M40">
        <f t="shared" si="19"/>
        <v>92.5</v>
      </c>
      <c r="N40">
        <f t="shared" si="14"/>
        <v>185</v>
      </c>
      <c r="O40">
        <f t="shared" si="20"/>
        <v>2987</v>
      </c>
      <c r="P40">
        <f t="shared" si="21"/>
        <v>4.8648648648648651E-2</v>
      </c>
      <c r="Q40" t="str">
        <f t="shared" si="11"/>
        <v>3.25% | 2.95%</v>
      </c>
      <c r="R40" t="str">
        <f t="shared" si="22"/>
        <v>NEUTRAL</v>
      </c>
      <c r="S40">
        <f t="shared" si="13"/>
        <v>0</v>
      </c>
    </row>
    <row r="41" spans="1:19" hidden="1" x14ac:dyDescent="0.25">
      <c r="A41" s="5" t="str">
        <f t="shared" si="1"/>
        <v>43887NIKK</v>
      </c>
      <c r="B41" s="6" t="s">
        <v>15</v>
      </c>
      <c r="C41" s="6">
        <v>22335</v>
      </c>
      <c r="D41" s="6">
        <v>23441</v>
      </c>
      <c r="E41" s="6">
        <v>22426</v>
      </c>
      <c r="F41" t="str">
        <f t="shared" si="2"/>
        <v>WED</v>
      </c>
      <c r="G41" s="1">
        <f t="shared" si="23"/>
        <v>43887</v>
      </c>
      <c r="H41" s="2">
        <f t="shared" ca="1" si="0"/>
        <v>366</v>
      </c>
      <c r="I41" t="str">
        <f t="shared" si="15"/>
        <v>NIKK</v>
      </c>
      <c r="J41">
        <f t="shared" si="16"/>
        <v>22335</v>
      </c>
      <c r="K41">
        <f t="shared" si="17"/>
        <v>23441</v>
      </c>
      <c r="L41">
        <f t="shared" si="18"/>
        <v>22888</v>
      </c>
      <c r="M41">
        <f t="shared" si="19"/>
        <v>553</v>
      </c>
      <c r="N41">
        <f t="shared" si="14"/>
        <v>1106</v>
      </c>
      <c r="O41">
        <f t="shared" si="20"/>
        <v>22426</v>
      </c>
      <c r="P41">
        <f t="shared" si="21"/>
        <v>-0.83544303797468356</v>
      </c>
      <c r="Q41" t="str">
        <f t="shared" si="11"/>
        <v>0.41% | 4.53%</v>
      </c>
      <c r="R41" t="str">
        <f t="shared" si="22"/>
        <v>BEARISH</v>
      </c>
      <c r="S41">
        <f t="shared" si="13"/>
        <v>-1</v>
      </c>
    </row>
    <row r="42" spans="1:19" hidden="1" x14ac:dyDescent="0.25">
      <c r="A42" s="5" t="str">
        <f t="shared" si="1"/>
        <v>43887DAX</v>
      </c>
      <c r="B42" s="6" t="s">
        <v>16</v>
      </c>
      <c r="C42" s="6">
        <v>12448</v>
      </c>
      <c r="D42" s="6">
        <v>13429</v>
      </c>
      <c r="E42" s="6">
        <v>12790</v>
      </c>
      <c r="F42" t="str">
        <f t="shared" si="2"/>
        <v>WED</v>
      </c>
      <c r="G42" s="1">
        <f t="shared" si="23"/>
        <v>43887</v>
      </c>
      <c r="H42" s="2">
        <f t="shared" ca="1" si="0"/>
        <v>366</v>
      </c>
      <c r="I42" t="str">
        <f t="shared" si="15"/>
        <v>DAX</v>
      </c>
      <c r="J42">
        <f t="shared" si="16"/>
        <v>12448</v>
      </c>
      <c r="K42">
        <f t="shared" si="17"/>
        <v>13429</v>
      </c>
      <c r="L42">
        <f t="shared" si="18"/>
        <v>12938.5</v>
      </c>
      <c r="M42">
        <f t="shared" si="19"/>
        <v>490.5</v>
      </c>
      <c r="N42">
        <f t="shared" si="14"/>
        <v>981</v>
      </c>
      <c r="O42">
        <f t="shared" si="20"/>
        <v>12790</v>
      </c>
      <c r="P42">
        <f t="shared" si="21"/>
        <v>-0.30275229357798167</v>
      </c>
      <c r="Q42" t="str">
        <f t="shared" si="11"/>
        <v>2.67% | 5%</v>
      </c>
      <c r="R42" t="str">
        <f t="shared" si="22"/>
        <v>BEARISH</v>
      </c>
      <c r="S42">
        <f t="shared" si="13"/>
        <v>-1</v>
      </c>
    </row>
    <row r="43" spans="1:19" hidden="1" x14ac:dyDescent="0.25">
      <c r="A43" s="5" t="str">
        <f t="shared" si="1"/>
        <v>43887VIX</v>
      </c>
      <c r="B43" s="6" t="s">
        <v>17</v>
      </c>
      <c r="C43" s="6">
        <v>16.45</v>
      </c>
      <c r="D43" s="6">
        <v>32.35</v>
      </c>
      <c r="E43" s="6">
        <v>27.85</v>
      </c>
      <c r="F43" t="str">
        <f t="shared" si="2"/>
        <v>WED</v>
      </c>
      <c r="G43" s="1">
        <f t="shared" si="23"/>
        <v>43887</v>
      </c>
      <c r="H43" s="2">
        <f t="shared" ca="1" si="0"/>
        <v>366</v>
      </c>
      <c r="I43" t="str">
        <f t="shared" si="15"/>
        <v>VIX</v>
      </c>
      <c r="J43">
        <f t="shared" si="16"/>
        <v>16.45</v>
      </c>
      <c r="K43">
        <f t="shared" si="17"/>
        <v>32.35</v>
      </c>
      <c r="L43">
        <f t="shared" si="18"/>
        <v>24.4</v>
      </c>
      <c r="M43">
        <f t="shared" si="19"/>
        <v>7.9500000000000064</v>
      </c>
      <c r="N43">
        <f t="shared" si="14"/>
        <v>15.900000000000002</v>
      </c>
      <c r="O43">
        <f t="shared" si="20"/>
        <v>27.85</v>
      </c>
      <c r="P43">
        <f t="shared" si="21"/>
        <v>0.43396226415094341</v>
      </c>
      <c r="Q43" t="str">
        <f t="shared" si="11"/>
        <v>40.93% | 16.16%</v>
      </c>
      <c r="R43" t="str">
        <f t="shared" si="22"/>
        <v>BULLISH</v>
      </c>
      <c r="S43">
        <f t="shared" si="13"/>
        <v>1</v>
      </c>
    </row>
    <row r="44" spans="1:19" hidden="1" x14ac:dyDescent="0.25">
      <c r="A44" s="5" t="str">
        <f t="shared" si="1"/>
        <v>43887USD</v>
      </c>
      <c r="B44" s="6" t="s">
        <v>18</v>
      </c>
      <c r="C44" s="6">
        <v>98.44</v>
      </c>
      <c r="D44" s="6">
        <v>100.08</v>
      </c>
      <c r="E44" s="6">
        <v>98.9</v>
      </c>
      <c r="F44" t="str">
        <f t="shared" si="2"/>
        <v>WED</v>
      </c>
      <c r="G44" s="1">
        <f t="shared" si="23"/>
        <v>43887</v>
      </c>
      <c r="H44" s="2">
        <f t="shared" ca="1" si="0"/>
        <v>366</v>
      </c>
      <c r="I44" t="str">
        <f t="shared" si="15"/>
        <v>USD</v>
      </c>
      <c r="J44">
        <f t="shared" si="16"/>
        <v>98.44</v>
      </c>
      <c r="K44">
        <f t="shared" si="17"/>
        <v>100.08</v>
      </c>
      <c r="L44">
        <f t="shared" si="18"/>
        <v>99.259999999999991</v>
      </c>
      <c r="M44">
        <f t="shared" si="19"/>
        <v>0.82000000000000028</v>
      </c>
      <c r="N44">
        <f t="shared" si="14"/>
        <v>1.6400000000000006</v>
      </c>
      <c r="O44">
        <f t="shared" si="20"/>
        <v>98.9</v>
      </c>
      <c r="P44">
        <f t="shared" si="21"/>
        <v>-0.43902439024388429</v>
      </c>
      <c r="Q44" t="str">
        <f t="shared" si="11"/>
        <v>0.47% | 1.19%</v>
      </c>
      <c r="R44" t="str">
        <f t="shared" si="22"/>
        <v>BULLISH</v>
      </c>
      <c r="S44">
        <f t="shared" si="13"/>
        <v>1</v>
      </c>
    </row>
    <row r="45" spans="1:19" hidden="1" x14ac:dyDescent="0.25">
      <c r="A45" s="5" t="str">
        <f t="shared" si="1"/>
        <v>43887EUR/USD</v>
      </c>
      <c r="B45" s="6" t="s">
        <v>19</v>
      </c>
      <c r="C45" s="6">
        <v>1.07</v>
      </c>
      <c r="D45" s="6">
        <v>1.0900000000000001</v>
      </c>
      <c r="E45" s="6">
        <v>1.08</v>
      </c>
      <c r="F45" t="str">
        <f t="shared" si="2"/>
        <v>WED</v>
      </c>
      <c r="G45" s="1">
        <f t="shared" si="23"/>
        <v>43887</v>
      </c>
      <c r="H45" s="2">
        <f t="shared" ca="1" si="0"/>
        <v>366</v>
      </c>
      <c r="I45" t="str">
        <f t="shared" si="15"/>
        <v>EUR/USD</v>
      </c>
      <c r="J45">
        <f t="shared" si="16"/>
        <v>1.07</v>
      </c>
      <c r="K45">
        <f t="shared" si="17"/>
        <v>1.0900000000000001</v>
      </c>
      <c r="L45">
        <f t="shared" si="18"/>
        <v>1.08</v>
      </c>
      <c r="M45">
        <f t="shared" si="19"/>
        <v>1.0000000000000009E-2</v>
      </c>
      <c r="N45">
        <f t="shared" si="14"/>
        <v>2.0000000000000018E-2</v>
      </c>
      <c r="O45">
        <f t="shared" si="20"/>
        <v>1.08</v>
      </c>
      <c r="P45">
        <f t="shared" si="21"/>
        <v>0</v>
      </c>
      <c r="Q45" t="str">
        <f t="shared" si="11"/>
        <v>0.93% | 0.93%</v>
      </c>
      <c r="R45" t="str">
        <f t="shared" si="22"/>
        <v>BEARISH</v>
      </c>
      <c r="S45">
        <f t="shared" si="13"/>
        <v>-1</v>
      </c>
    </row>
    <row r="46" spans="1:19" hidden="1" x14ac:dyDescent="0.25">
      <c r="A46" s="5" t="str">
        <f t="shared" si="1"/>
        <v>43887USD/JPY</v>
      </c>
      <c r="B46" s="6" t="s">
        <v>56</v>
      </c>
      <c r="C46" s="6">
        <v>108.93</v>
      </c>
      <c r="D46" s="6">
        <v>112.05</v>
      </c>
      <c r="E46" s="6">
        <v>110.11</v>
      </c>
      <c r="F46" t="str">
        <f t="shared" si="2"/>
        <v>WED</v>
      </c>
      <c r="G46" s="1">
        <f t="shared" si="23"/>
        <v>43887</v>
      </c>
      <c r="H46" s="2">
        <f t="shared" ca="1" si="0"/>
        <v>366</v>
      </c>
      <c r="I46" t="str">
        <f t="shared" si="15"/>
        <v>USD/JPY</v>
      </c>
      <c r="J46">
        <f t="shared" si="16"/>
        <v>108.93</v>
      </c>
      <c r="K46">
        <f t="shared" si="17"/>
        <v>112.05</v>
      </c>
      <c r="L46">
        <f t="shared" si="18"/>
        <v>110.49000000000001</v>
      </c>
      <c r="M46">
        <f t="shared" si="19"/>
        <v>1.5599999999999952</v>
      </c>
      <c r="N46">
        <f t="shared" si="14"/>
        <v>3.1199999999999903</v>
      </c>
      <c r="O46">
        <f t="shared" si="20"/>
        <v>110.11</v>
      </c>
      <c r="P46">
        <f t="shared" si="21"/>
        <v>-0.24358974358975055</v>
      </c>
      <c r="Q46" t="str">
        <f t="shared" si="11"/>
        <v>1.07% | 1.76%</v>
      </c>
      <c r="R46" t="str">
        <f t="shared" si="22"/>
        <v>BULLISH</v>
      </c>
      <c r="S46">
        <f t="shared" si="13"/>
        <v>1</v>
      </c>
    </row>
    <row r="47" spans="1:19" hidden="1" x14ac:dyDescent="0.25">
      <c r="A47" s="5" t="str">
        <f t="shared" si="1"/>
        <v>43887GBP/USD</v>
      </c>
      <c r="B47" s="6" t="s">
        <v>21</v>
      </c>
      <c r="C47" s="6">
        <v>1.28</v>
      </c>
      <c r="D47" s="6">
        <v>1.3</v>
      </c>
      <c r="E47" s="6">
        <v>1.3</v>
      </c>
      <c r="F47" t="str">
        <f t="shared" si="2"/>
        <v>WED</v>
      </c>
      <c r="G47" s="1">
        <f t="shared" si="23"/>
        <v>43887</v>
      </c>
      <c r="H47" s="2">
        <f t="shared" ca="1" si="0"/>
        <v>366</v>
      </c>
      <c r="I47" t="str">
        <f t="shared" si="15"/>
        <v>GBP/USD</v>
      </c>
      <c r="J47">
        <f t="shared" si="16"/>
        <v>1.28</v>
      </c>
      <c r="K47">
        <f t="shared" si="17"/>
        <v>1.3</v>
      </c>
      <c r="L47">
        <f t="shared" si="18"/>
        <v>1.29</v>
      </c>
      <c r="M47">
        <f t="shared" si="19"/>
        <v>1.0000000000000009E-2</v>
      </c>
      <c r="N47">
        <f t="shared" si="14"/>
        <v>2.0000000000000018E-2</v>
      </c>
      <c r="O47">
        <f t="shared" si="20"/>
        <v>1.3</v>
      </c>
      <c r="P47">
        <f t="shared" si="21"/>
        <v>1</v>
      </c>
      <c r="Q47" t="str">
        <f t="shared" si="11"/>
        <v>1.54% | 0%</v>
      </c>
      <c r="R47" t="str">
        <f t="shared" si="22"/>
        <v>BEARISH</v>
      </c>
      <c r="S47">
        <f t="shared" si="13"/>
        <v>-1</v>
      </c>
    </row>
    <row r="48" spans="1:19" hidden="1" x14ac:dyDescent="0.25">
      <c r="A48" s="5" t="str">
        <f t="shared" si="1"/>
        <v>43887USD/CHF</v>
      </c>
      <c r="B48" s="6" t="s">
        <v>57</v>
      </c>
      <c r="C48" s="6">
        <v>0.97</v>
      </c>
      <c r="D48" s="6">
        <v>0.99</v>
      </c>
      <c r="E48" s="6">
        <v>0.97</v>
      </c>
      <c r="F48" t="str">
        <f t="shared" si="2"/>
        <v>WED</v>
      </c>
      <c r="G48" s="1">
        <f t="shared" si="23"/>
        <v>43887</v>
      </c>
      <c r="H48" s="2">
        <f t="shared" ca="1" si="0"/>
        <v>366</v>
      </c>
      <c r="I48" t="str">
        <f t="shared" si="15"/>
        <v>USD/CHF</v>
      </c>
      <c r="J48">
        <f t="shared" si="16"/>
        <v>0.97</v>
      </c>
      <c r="K48">
        <f t="shared" si="17"/>
        <v>0.99</v>
      </c>
      <c r="L48">
        <f t="shared" si="18"/>
        <v>0.98</v>
      </c>
      <c r="M48">
        <f t="shared" si="19"/>
        <v>1.0000000000000009E-2</v>
      </c>
      <c r="N48">
        <f t="shared" si="14"/>
        <v>2.0000000000000018E-2</v>
      </c>
      <c r="O48">
        <f t="shared" si="20"/>
        <v>0.97</v>
      </c>
      <c r="P48">
        <f t="shared" si="21"/>
        <v>-1</v>
      </c>
      <c r="Q48" t="str">
        <f t="shared" si="11"/>
        <v>0% | 2.06%</v>
      </c>
      <c r="R48" t="str">
        <f t="shared" si="22"/>
        <v>BULLISH</v>
      </c>
      <c r="S48">
        <f t="shared" si="13"/>
        <v>1</v>
      </c>
    </row>
    <row r="49" spans="1:19" hidden="1" x14ac:dyDescent="0.25">
      <c r="A49" s="5" t="str">
        <f t="shared" si="1"/>
        <v>43887WTIC</v>
      </c>
      <c r="B49" s="6" t="s">
        <v>23</v>
      </c>
      <c r="C49" s="6">
        <v>48.67</v>
      </c>
      <c r="D49" s="6">
        <v>53.15</v>
      </c>
      <c r="E49" s="6">
        <v>49.9</v>
      </c>
      <c r="F49" t="str">
        <f t="shared" si="2"/>
        <v>WED</v>
      </c>
      <c r="G49" s="1">
        <f t="shared" si="23"/>
        <v>43887</v>
      </c>
      <c r="H49" s="2">
        <f t="shared" ca="1" si="0"/>
        <v>366</v>
      </c>
      <c r="I49" t="str">
        <f t="shared" si="15"/>
        <v>WTIC</v>
      </c>
      <c r="J49">
        <f t="shared" si="16"/>
        <v>48.67</v>
      </c>
      <c r="K49">
        <f t="shared" si="17"/>
        <v>53.15</v>
      </c>
      <c r="L49">
        <f t="shared" si="18"/>
        <v>50.91</v>
      </c>
      <c r="M49">
        <f t="shared" si="19"/>
        <v>2.2399999999999984</v>
      </c>
      <c r="N49">
        <f t="shared" si="14"/>
        <v>4.4799999999999969</v>
      </c>
      <c r="O49">
        <f t="shared" si="20"/>
        <v>49.9</v>
      </c>
      <c r="P49">
        <f t="shared" si="21"/>
        <v>-0.4508928571428566</v>
      </c>
      <c r="Q49" t="str">
        <f t="shared" si="11"/>
        <v>2.46% | 6.51%</v>
      </c>
      <c r="R49" t="str">
        <f t="shared" si="22"/>
        <v>BEARISH</v>
      </c>
      <c r="S49">
        <f t="shared" si="13"/>
        <v>-1</v>
      </c>
    </row>
    <row r="50" spans="1:19" hidden="1" x14ac:dyDescent="0.25">
      <c r="A50" s="5" t="str">
        <f t="shared" si="1"/>
        <v>43887NATGAS</v>
      </c>
      <c r="B50" s="6" t="s">
        <v>24</v>
      </c>
      <c r="C50" s="6">
        <v>1.72</v>
      </c>
      <c r="D50" s="6">
        <v>1.98</v>
      </c>
      <c r="E50" s="6">
        <v>1.85</v>
      </c>
      <c r="F50" t="str">
        <f t="shared" si="2"/>
        <v>WED</v>
      </c>
      <c r="G50" s="1">
        <f t="shared" si="23"/>
        <v>43887</v>
      </c>
      <c r="H50" s="2">
        <f t="shared" ca="1" si="0"/>
        <v>366</v>
      </c>
      <c r="I50" t="str">
        <f t="shared" si="15"/>
        <v>NATGAS</v>
      </c>
      <c r="J50">
        <f t="shared" si="16"/>
        <v>1.72</v>
      </c>
      <c r="K50">
        <f t="shared" si="17"/>
        <v>1.98</v>
      </c>
      <c r="L50">
        <f t="shared" si="18"/>
        <v>1.85</v>
      </c>
      <c r="M50">
        <f t="shared" si="19"/>
        <v>0.13</v>
      </c>
      <c r="N50">
        <f t="shared" si="14"/>
        <v>0.26</v>
      </c>
      <c r="O50">
        <f t="shared" si="20"/>
        <v>1.85</v>
      </c>
      <c r="P50">
        <f t="shared" si="21"/>
        <v>0</v>
      </c>
      <c r="Q50" t="str">
        <f t="shared" si="11"/>
        <v>7.03% | 7.03%</v>
      </c>
      <c r="R50" t="str">
        <f t="shared" si="22"/>
        <v>BEARISH</v>
      </c>
      <c r="S50">
        <f t="shared" si="13"/>
        <v>-1</v>
      </c>
    </row>
    <row r="51" spans="1:19" hidden="1" x14ac:dyDescent="0.25">
      <c r="A51" s="5" t="str">
        <f t="shared" si="1"/>
        <v>43887GOLD</v>
      </c>
      <c r="B51" s="6" t="s">
        <v>25</v>
      </c>
      <c r="C51" s="6">
        <v>1616</v>
      </c>
      <c r="D51" s="6">
        <v>1685</v>
      </c>
      <c r="E51" s="6">
        <v>1650</v>
      </c>
      <c r="F51" t="str">
        <f t="shared" si="2"/>
        <v>WED</v>
      </c>
      <c r="G51" s="1">
        <f t="shared" si="23"/>
        <v>43887</v>
      </c>
      <c r="H51" s="2">
        <f t="shared" ca="1" si="0"/>
        <v>366</v>
      </c>
      <c r="I51" t="str">
        <f t="shared" si="15"/>
        <v>GOLD</v>
      </c>
      <c r="J51">
        <f t="shared" si="16"/>
        <v>1616</v>
      </c>
      <c r="K51">
        <f t="shared" si="17"/>
        <v>1685</v>
      </c>
      <c r="L51">
        <f t="shared" si="18"/>
        <v>1650.5</v>
      </c>
      <c r="M51">
        <f t="shared" si="19"/>
        <v>34.5</v>
      </c>
      <c r="N51">
        <f t="shared" si="14"/>
        <v>69</v>
      </c>
      <c r="O51">
        <f t="shared" si="20"/>
        <v>1650</v>
      </c>
      <c r="P51">
        <f t="shared" si="21"/>
        <v>-1.4492753623188406E-2</v>
      </c>
      <c r="Q51" t="str">
        <f t="shared" si="11"/>
        <v>2.06% | 2.12%</v>
      </c>
      <c r="R51" t="str">
        <f t="shared" si="22"/>
        <v>BULLISH</v>
      </c>
      <c r="S51">
        <f t="shared" si="13"/>
        <v>1</v>
      </c>
    </row>
    <row r="52" spans="1:19" hidden="1" x14ac:dyDescent="0.25">
      <c r="A52" s="5" t="str">
        <f t="shared" si="1"/>
        <v>43887COPPER</v>
      </c>
      <c r="B52" s="6" t="s">
        <v>26</v>
      </c>
      <c r="C52" s="6">
        <v>2.5099999999999998</v>
      </c>
      <c r="D52" s="6">
        <v>2.6</v>
      </c>
      <c r="E52" s="6">
        <v>2.57</v>
      </c>
      <c r="F52" t="str">
        <f t="shared" si="2"/>
        <v>WED</v>
      </c>
      <c r="G52" s="1">
        <f t="shared" si="23"/>
        <v>43887</v>
      </c>
      <c r="H52" s="2">
        <f t="shared" ca="1" si="0"/>
        <v>366</v>
      </c>
      <c r="I52" t="str">
        <f t="shared" si="15"/>
        <v>COPPER</v>
      </c>
      <c r="J52">
        <f t="shared" si="16"/>
        <v>2.5099999999999998</v>
      </c>
      <c r="K52">
        <f t="shared" si="17"/>
        <v>2.6</v>
      </c>
      <c r="L52">
        <f t="shared" si="18"/>
        <v>2.5549999999999997</v>
      </c>
      <c r="M52">
        <f t="shared" si="19"/>
        <v>4.5000000000000151E-2</v>
      </c>
      <c r="N52">
        <f t="shared" si="14"/>
        <v>9.0000000000000302E-2</v>
      </c>
      <c r="O52">
        <f t="shared" si="20"/>
        <v>2.57</v>
      </c>
      <c r="P52">
        <f t="shared" si="21"/>
        <v>0.33333333333333498</v>
      </c>
      <c r="Q52" t="str">
        <f t="shared" si="11"/>
        <v>2.33% | 1.17%</v>
      </c>
      <c r="R52" t="str">
        <f t="shared" si="22"/>
        <v>BEARISH</v>
      </c>
      <c r="S52">
        <f t="shared" si="13"/>
        <v>-1</v>
      </c>
    </row>
    <row r="53" spans="1:19" hidden="1" x14ac:dyDescent="0.25">
      <c r="A53" s="5" t="str">
        <f t="shared" si="1"/>
        <v>43887AAPL</v>
      </c>
      <c r="B53" s="6" t="s">
        <v>63</v>
      </c>
      <c r="C53" s="6">
        <v>285.89</v>
      </c>
      <c r="D53" s="6">
        <v>312.04000000000002</v>
      </c>
      <c r="E53" s="6">
        <v>288.08</v>
      </c>
      <c r="F53" t="str">
        <f t="shared" si="2"/>
        <v>WED</v>
      </c>
      <c r="G53" s="1">
        <f t="shared" si="23"/>
        <v>43887</v>
      </c>
      <c r="H53" s="2">
        <f t="shared" ca="1" si="0"/>
        <v>366</v>
      </c>
      <c r="I53" t="str">
        <f t="shared" si="15"/>
        <v>AAPL</v>
      </c>
      <c r="J53">
        <f t="shared" si="16"/>
        <v>285.89</v>
      </c>
      <c r="K53">
        <f t="shared" si="17"/>
        <v>312.04000000000002</v>
      </c>
      <c r="L53">
        <f t="shared" si="18"/>
        <v>298.96500000000003</v>
      </c>
      <c r="M53">
        <f t="shared" si="19"/>
        <v>13.075000000000017</v>
      </c>
      <c r="N53">
        <f t="shared" si="14"/>
        <v>26.150000000000034</v>
      </c>
      <c r="O53">
        <f t="shared" si="20"/>
        <v>288.08</v>
      </c>
      <c r="P53">
        <f t="shared" si="21"/>
        <v>-0.83250478011472528</v>
      </c>
      <c r="Q53" t="str">
        <f t="shared" si="11"/>
        <v>0.76% | 8.32%</v>
      </c>
      <c r="R53" t="str">
        <f t="shared" si="22"/>
        <v>NEUTRAL</v>
      </c>
      <c r="S53">
        <f t="shared" si="13"/>
        <v>0</v>
      </c>
    </row>
    <row r="54" spans="1:19" hidden="1" x14ac:dyDescent="0.25">
      <c r="A54" s="5" t="str">
        <f t="shared" si="1"/>
        <v>43887AMZN</v>
      </c>
      <c r="B54" s="6" t="s">
        <v>29</v>
      </c>
      <c r="C54" s="6">
        <v>1916</v>
      </c>
      <c r="D54" s="6">
        <v>2112</v>
      </c>
      <c r="E54" s="6">
        <v>1972</v>
      </c>
      <c r="F54" t="str">
        <f t="shared" si="2"/>
        <v>WED</v>
      </c>
      <c r="G54" s="1">
        <f t="shared" si="23"/>
        <v>43887</v>
      </c>
      <c r="H54" s="2">
        <f t="shared" ca="1" si="0"/>
        <v>366</v>
      </c>
      <c r="I54" t="str">
        <f t="shared" si="15"/>
        <v>AMZN</v>
      </c>
      <c r="J54">
        <f t="shared" si="16"/>
        <v>1916</v>
      </c>
      <c r="K54">
        <f t="shared" si="17"/>
        <v>2112</v>
      </c>
      <c r="L54">
        <f t="shared" si="18"/>
        <v>2014</v>
      </c>
      <c r="M54">
        <f t="shared" si="19"/>
        <v>98</v>
      </c>
      <c r="N54">
        <f t="shared" si="14"/>
        <v>196</v>
      </c>
      <c r="O54">
        <f t="shared" si="20"/>
        <v>1972</v>
      </c>
      <c r="P54">
        <f t="shared" si="21"/>
        <v>-0.42857142857142855</v>
      </c>
      <c r="Q54" t="str">
        <f t="shared" si="11"/>
        <v>2.84% | 7.1%</v>
      </c>
      <c r="R54" t="str">
        <f t="shared" si="22"/>
        <v>BULLISH</v>
      </c>
      <c r="S54">
        <f t="shared" si="13"/>
        <v>1</v>
      </c>
    </row>
    <row r="55" spans="1:19" hidden="1" x14ac:dyDescent="0.25">
      <c r="A55" s="5" t="str">
        <f t="shared" si="1"/>
        <v>43887FB</v>
      </c>
      <c r="B55" s="6" t="s">
        <v>58</v>
      </c>
      <c r="C55" s="6">
        <v>194</v>
      </c>
      <c r="D55" s="6">
        <v>209</v>
      </c>
      <c r="E55" s="6">
        <v>196</v>
      </c>
      <c r="F55" t="str">
        <f t="shared" si="2"/>
        <v>WED</v>
      </c>
      <c r="G55" s="1">
        <f t="shared" si="23"/>
        <v>43887</v>
      </c>
      <c r="H55" s="2">
        <f t="shared" ca="1" si="0"/>
        <v>366</v>
      </c>
      <c r="I55" t="str">
        <f t="shared" si="15"/>
        <v>FB</v>
      </c>
      <c r="J55">
        <f t="shared" si="16"/>
        <v>194</v>
      </c>
      <c r="K55">
        <f t="shared" si="17"/>
        <v>209</v>
      </c>
      <c r="L55">
        <f t="shared" si="18"/>
        <v>201.5</v>
      </c>
      <c r="M55">
        <f t="shared" si="19"/>
        <v>7.5</v>
      </c>
      <c r="N55">
        <f t="shared" si="14"/>
        <v>15</v>
      </c>
      <c r="O55">
        <f t="shared" si="20"/>
        <v>196</v>
      </c>
      <c r="P55">
        <f t="shared" si="21"/>
        <v>-0.73333333333333328</v>
      </c>
      <c r="Q55" t="str">
        <f t="shared" si="11"/>
        <v>1.02% | 6.63%</v>
      </c>
      <c r="R55" t="str">
        <f t="shared" si="22"/>
        <v>BEARISH</v>
      </c>
      <c r="S55">
        <f t="shared" si="13"/>
        <v>-1</v>
      </c>
    </row>
    <row r="56" spans="1:19" hidden="1" x14ac:dyDescent="0.25">
      <c r="A56" s="5" t="str">
        <f t="shared" si="1"/>
        <v>43887GOOGL</v>
      </c>
      <c r="B56" s="6" t="s">
        <v>59</v>
      </c>
      <c r="C56" s="6">
        <v>1373</v>
      </c>
      <c r="D56" s="6">
        <v>1473</v>
      </c>
      <c r="E56" s="6">
        <v>1386</v>
      </c>
      <c r="F56" t="str">
        <f t="shared" si="2"/>
        <v>WED</v>
      </c>
      <c r="G56" s="1">
        <f t="shared" si="23"/>
        <v>43887</v>
      </c>
      <c r="H56" s="2">
        <f t="shared" ca="1" si="0"/>
        <v>366</v>
      </c>
      <c r="I56" t="str">
        <f t="shared" si="15"/>
        <v>GOOGL</v>
      </c>
      <c r="J56">
        <f t="shared" si="16"/>
        <v>1373</v>
      </c>
      <c r="K56">
        <f t="shared" si="17"/>
        <v>1473</v>
      </c>
      <c r="L56">
        <f t="shared" si="18"/>
        <v>1423</v>
      </c>
      <c r="M56">
        <f t="shared" si="19"/>
        <v>50</v>
      </c>
      <c r="N56">
        <f t="shared" si="14"/>
        <v>100</v>
      </c>
      <c r="O56">
        <f t="shared" si="20"/>
        <v>1386</v>
      </c>
      <c r="P56">
        <f t="shared" si="21"/>
        <v>-0.74</v>
      </c>
      <c r="Q56" t="str">
        <f t="shared" si="11"/>
        <v>0.94% | 6.28%</v>
      </c>
      <c r="R56" t="str">
        <f t="shared" si="22"/>
        <v>NEUTRAL</v>
      </c>
      <c r="S56">
        <f t="shared" si="13"/>
        <v>0</v>
      </c>
    </row>
    <row r="57" spans="1:19" hidden="1" x14ac:dyDescent="0.25">
      <c r="A57" s="5" t="str">
        <f t="shared" si="1"/>
        <v>43887NFLX</v>
      </c>
      <c r="B57" s="6" t="s">
        <v>32</v>
      </c>
      <c r="C57" s="6">
        <v>350</v>
      </c>
      <c r="D57" s="6">
        <v>380</v>
      </c>
      <c r="E57" s="6">
        <v>360</v>
      </c>
      <c r="F57" t="str">
        <f t="shared" si="2"/>
        <v>WED</v>
      </c>
      <c r="G57" s="1">
        <f t="shared" si="23"/>
        <v>43887</v>
      </c>
      <c r="H57" s="2">
        <f t="shared" ca="1" si="0"/>
        <v>366</v>
      </c>
      <c r="I57" t="str">
        <f t="shared" si="15"/>
        <v>NFLX</v>
      </c>
      <c r="J57">
        <f t="shared" si="16"/>
        <v>350</v>
      </c>
      <c r="K57">
        <f t="shared" si="17"/>
        <v>380</v>
      </c>
      <c r="L57">
        <f t="shared" si="18"/>
        <v>365</v>
      </c>
      <c r="M57">
        <f t="shared" si="19"/>
        <v>15</v>
      </c>
      <c r="N57">
        <f t="shared" si="14"/>
        <v>30</v>
      </c>
      <c r="O57">
        <f t="shared" si="20"/>
        <v>360</v>
      </c>
      <c r="P57">
        <f t="shared" si="21"/>
        <v>-0.33333333333333331</v>
      </c>
      <c r="Q57" t="str">
        <f t="shared" si="11"/>
        <v>2.78% | 5.56%</v>
      </c>
      <c r="R57" t="str">
        <f t="shared" si="22"/>
        <v>BULLISH</v>
      </c>
      <c r="S57">
        <f t="shared" si="13"/>
        <v>1</v>
      </c>
    </row>
    <row r="58" spans="1:19" x14ac:dyDescent="0.25">
      <c r="A58" s="5" t="str">
        <f t="shared" si="1"/>
        <v>43887TSLA</v>
      </c>
      <c r="B58" s="6" t="s">
        <v>33</v>
      </c>
      <c r="C58" s="6">
        <v>730</v>
      </c>
      <c r="D58" s="6">
        <v>943</v>
      </c>
      <c r="E58" s="6">
        <v>799</v>
      </c>
      <c r="F58" t="str">
        <f t="shared" si="2"/>
        <v>WED</v>
      </c>
      <c r="G58" s="1">
        <f t="shared" si="23"/>
        <v>43887</v>
      </c>
      <c r="H58" s="2">
        <f t="shared" ca="1" si="0"/>
        <v>366</v>
      </c>
      <c r="I58" t="str">
        <f t="shared" si="15"/>
        <v>TSLA</v>
      </c>
      <c r="J58">
        <f t="shared" si="16"/>
        <v>730</v>
      </c>
      <c r="K58">
        <f t="shared" si="17"/>
        <v>943</v>
      </c>
      <c r="L58">
        <f t="shared" si="18"/>
        <v>836.5</v>
      </c>
      <c r="M58">
        <f t="shared" si="19"/>
        <v>106.5</v>
      </c>
      <c r="N58">
        <f t="shared" si="14"/>
        <v>213</v>
      </c>
      <c r="O58">
        <f t="shared" si="20"/>
        <v>799</v>
      </c>
      <c r="P58">
        <f t="shared" si="21"/>
        <v>-0.352112676056338</v>
      </c>
      <c r="Q58" t="str">
        <f t="shared" si="11"/>
        <v>8.64% | 18.02%</v>
      </c>
      <c r="R58" t="str">
        <f t="shared" si="22"/>
        <v>BULLISH</v>
      </c>
      <c r="S58">
        <f t="shared" si="13"/>
        <v>1</v>
      </c>
    </row>
    <row r="59" spans="1:19" hidden="1" x14ac:dyDescent="0.25">
      <c r="A59" s="5" t="str">
        <f t="shared" si="1"/>
        <v>43887NYXBT</v>
      </c>
      <c r="B59" s="6" t="s">
        <v>60</v>
      </c>
      <c r="C59" s="6">
        <v>9178</v>
      </c>
      <c r="D59" s="6">
        <v>10543</v>
      </c>
      <c r="E59" s="6">
        <v>9394</v>
      </c>
      <c r="F59" t="str">
        <f t="shared" si="2"/>
        <v>WED</v>
      </c>
      <c r="G59" s="1">
        <f t="shared" si="23"/>
        <v>43887</v>
      </c>
      <c r="H59" s="2">
        <f t="shared" ca="1" si="0"/>
        <v>366</v>
      </c>
      <c r="I59" t="str">
        <f t="shared" si="15"/>
        <v>NYXBT</v>
      </c>
      <c r="J59">
        <f t="shared" si="16"/>
        <v>9178</v>
      </c>
      <c r="K59">
        <f t="shared" si="17"/>
        <v>10543</v>
      </c>
      <c r="L59">
        <f t="shared" si="18"/>
        <v>9860.5</v>
      </c>
      <c r="M59">
        <f t="shared" si="19"/>
        <v>682.5</v>
      </c>
      <c r="N59">
        <f t="shared" si="14"/>
        <v>1365</v>
      </c>
      <c r="O59">
        <f t="shared" si="20"/>
        <v>9394</v>
      </c>
      <c r="P59">
        <f t="shared" si="21"/>
        <v>-0.68351648351648353</v>
      </c>
      <c r="Q59" t="str">
        <f t="shared" si="11"/>
        <v>2.3% | 12.23%</v>
      </c>
      <c r="R59" t="str">
        <f t="shared" si="22"/>
        <v>BULLISH</v>
      </c>
      <c r="S59">
        <f t="shared" si="13"/>
        <v>1</v>
      </c>
    </row>
    <row r="60" spans="1:19" hidden="1" x14ac:dyDescent="0.25">
      <c r="A60" s="5" t="str">
        <f t="shared" si="1"/>
        <v>43888UST10Y</v>
      </c>
      <c r="B60" s="6" t="s">
        <v>4</v>
      </c>
      <c r="C60" s="6">
        <v>1.49</v>
      </c>
      <c r="D60" s="6">
        <v>1.26</v>
      </c>
      <c r="E60" s="6">
        <v>1.33</v>
      </c>
      <c r="F60" t="str">
        <f>UPPER(TEXT(G60,"ddd"))</f>
        <v>THU</v>
      </c>
      <c r="G60" s="3">
        <f>DATE(2020,2,27)</f>
        <v>43888</v>
      </c>
      <c r="H60" s="2">
        <f t="shared" ca="1" si="0"/>
        <v>365</v>
      </c>
      <c r="I60" t="str">
        <f t="shared" ref="I60:I88" si="24">TRIM(LEFT(B60,FIND(" ",B60,1)))</f>
        <v>UST10Y</v>
      </c>
      <c r="J60">
        <f t="shared" ref="J60:J88" si="25">C60</f>
        <v>1.49</v>
      </c>
      <c r="K60">
        <f t="shared" ref="K60:K88" si="26">D60</f>
        <v>1.26</v>
      </c>
      <c r="L60">
        <f t="shared" ref="L60:L88" si="27">AVERAGE(J60:K60)</f>
        <v>1.375</v>
      </c>
      <c r="M60">
        <f t="shared" ref="M60:M88" si="28">_xlfn.STDEV.P(J60:K60)</f>
        <v>0.11499999999999999</v>
      </c>
      <c r="N60">
        <f t="shared" si="14"/>
        <v>0.22999999999999998</v>
      </c>
      <c r="O60">
        <f t="shared" ref="O60:O88" si="29">E60</f>
        <v>1.33</v>
      </c>
      <c r="P60">
        <f t="shared" ref="P60:P88" si="30">(O60-L60)/M60</f>
        <v>-0.39130434782608636</v>
      </c>
      <c r="Q60" t="str">
        <f t="shared" si="11"/>
        <v>12.03% | 5.26%</v>
      </c>
      <c r="R60" t="str">
        <f t="shared" ref="R60:R88" si="31">MID(B60,FIND("(",B60,1)+1,FIND(")",B60,1)-FIND("(",B60,1)-1)</f>
        <v>BEARISH</v>
      </c>
      <c r="S60">
        <f t="shared" si="13"/>
        <v>-1</v>
      </c>
    </row>
    <row r="61" spans="1:19" hidden="1" x14ac:dyDescent="0.25">
      <c r="A61" s="5" t="str">
        <f t="shared" si="1"/>
        <v>43888UST2Y</v>
      </c>
      <c r="B61" s="6" t="s">
        <v>5</v>
      </c>
      <c r="C61" s="6">
        <v>1.34</v>
      </c>
      <c r="D61" s="6">
        <v>1.08</v>
      </c>
      <c r="E61" s="6">
        <v>1.1599999999999999</v>
      </c>
      <c r="F61" t="str">
        <f t="shared" ref="F61:F89" si="32">UPPER(TEXT(G61,"ddd"))</f>
        <v>THU</v>
      </c>
      <c r="G61" s="3">
        <f t="shared" ref="G61:G88" si="33">DATE(2020,2,27)</f>
        <v>43888</v>
      </c>
      <c r="H61" s="2">
        <f t="shared" ca="1" si="0"/>
        <v>365</v>
      </c>
      <c r="I61" t="str">
        <f t="shared" si="24"/>
        <v>UST2Y</v>
      </c>
      <c r="J61">
        <f t="shared" si="25"/>
        <v>1.34</v>
      </c>
      <c r="K61">
        <f t="shared" si="26"/>
        <v>1.08</v>
      </c>
      <c r="L61">
        <f t="shared" si="27"/>
        <v>1.21</v>
      </c>
      <c r="M61">
        <f t="shared" si="28"/>
        <v>0.13000000000000139</v>
      </c>
      <c r="N61">
        <f t="shared" si="14"/>
        <v>0.26</v>
      </c>
      <c r="O61">
        <f t="shared" si="29"/>
        <v>1.1599999999999999</v>
      </c>
      <c r="P61">
        <f t="shared" si="30"/>
        <v>-0.38461538461538086</v>
      </c>
      <c r="Q61" t="str">
        <f t="shared" si="11"/>
        <v>15.52% | 6.9%</v>
      </c>
      <c r="R61" t="str">
        <f t="shared" si="31"/>
        <v>BEARISH</v>
      </c>
      <c r="S61">
        <f t="shared" si="13"/>
        <v>-1</v>
      </c>
    </row>
    <row r="62" spans="1:19" hidden="1" x14ac:dyDescent="0.25">
      <c r="A62" s="5" t="str">
        <f t="shared" si="1"/>
        <v>43888SPX</v>
      </c>
      <c r="B62" s="6" t="s">
        <v>6</v>
      </c>
      <c r="C62" s="6">
        <v>3070</v>
      </c>
      <c r="D62" s="6">
        <v>3223</v>
      </c>
      <c r="E62" s="6">
        <v>3116</v>
      </c>
      <c r="F62" t="str">
        <f t="shared" si="32"/>
        <v>THU</v>
      </c>
      <c r="G62" s="3">
        <f t="shared" si="33"/>
        <v>43888</v>
      </c>
      <c r="H62" s="2">
        <f t="shared" ca="1" si="0"/>
        <v>365</v>
      </c>
      <c r="I62" t="str">
        <f t="shared" si="24"/>
        <v>SPX</v>
      </c>
      <c r="J62">
        <f t="shared" si="25"/>
        <v>3070</v>
      </c>
      <c r="K62">
        <f t="shared" si="26"/>
        <v>3223</v>
      </c>
      <c r="L62">
        <f t="shared" si="27"/>
        <v>3146.5</v>
      </c>
      <c r="M62">
        <f t="shared" si="28"/>
        <v>76.5</v>
      </c>
      <c r="N62">
        <f t="shared" si="14"/>
        <v>153</v>
      </c>
      <c r="O62">
        <f t="shared" si="29"/>
        <v>3116</v>
      </c>
      <c r="P62">
        <f t="shared" si="30"/>
        <v>-0.39869281045751637</v>
      </c>
      <c r="Q62" t="str">
        <f t="shared" si="11"/>
        <v>1.48% | 3.43%</v>
      </c>
      <c r="R62" t="str">
        <f t="shared" si="31"/>
        <v>BEARISH</v>
      </c>
      <c r="S62">
        <f t="shared" si="13"/>
        <v>-1</v>
      </c>
    </row>
    <row r="63" spans="1:19" hidden="1" x14ac:dyDescent="0.25">
      <c r="A63" s="5" t="str">
        <f t="shared" si="1"/>
        <v>43888RUT</v>
      </c>
      <c r="B63" s="6" t="s">
        <v>7</v>
      </c>
      <c r="C63" s="6">
        <v>1529</v>
      </c>
      <c r="D63" s="6">
        <v>1649</v>
      </c>
      <c r="E63" s="6">
        <v>1552</v>
      </c>
      <c r="F63" t="str">
        <f t="shared" si="32"/>
        <v>THU</v>
      </c>
      <c r="G63" s="3">
        <f t="shared" si="33"/>
        <v>43888</v>
      </c>
      <c r="H63" s="2">
        <f t="shared" ca="1" si="0"/>
        <v>365</v>
      </c>
      <c r="I63" t="str">
        <f t="shared" si="24"/>
        <v>RUT</v>
      </c>
      <c r="J63">
        <f t="shared" si="25"/>
        <v>1529</v>
      </c>
      <c r="K63">
        <f t="shared" si="26"/>
        <v>1649</v>
      </c>
      <c r="L63">
        <f t="shared" si="27"/>
        <v>1589</v>
      </c>
      <c r="M63">
        <f t="shared" si="28"/>
        <v>60</v>
      </c>
      <c r="N63">
        <f t="shared" si="14"/>
        <v>120</v>
      </c>
      <c r="O63">
        <f t="shared" si="29"/>
        <v>1552</v>
      </c>
      <c r="P63">
        <f t="shared" si="30"/>
        <v>-0.6166666666666667</v>
      </c>
      <c r="Q63" t="str">
        <f t="shared" si="11"/>
        <v>1.48% | 6.25%</v>
      </c>
      <c r="R63" t="str">
        <f t="shared" si="31"/>
        <v>BEARISH</v>
      </c>
      <c r="S63">
        <f t="shared" si="13"/>
        <v>-1</v>
      </c>
    </row>
    <row r="64" spans="1:19" hidden="1" x14ac:dyDescent="0.25">
      <c r="A64" s="5" t="str">
        <f t="shared" si="1"/>
        <v>43888COMPQ</v>
      </c>
      <c r="B64" s="6" t="s">
        <v>64</v>
      </c>
      <c r="C64" s="6">
        <v>8747</v>
      </c>
      <c r="D64" s="6">
        <v>9386</v>
      </c>
      <c r="E64" s="6">
        <v>8980</v>
      </c>
      <c r="F64" t="str">
        <f t="shared" si="32"/>
        <v>THU</v>
      </c>
      <c r="G64" s="3">
        <f t="shared" si="33"/>
        <v>43888</v>
      </c>
      <c r="H64" s="2">
        <f t="shared" ca="1" si="0"/>
        <v>365</v>
      </c>
      <c r="I64" t="str">
        <f t="shared" si="24"/>
        <v>COMPQ</v>
      </c>
      <c r="J64">
        <f t="shared" si="25"/>
        <v>8747</v>
      </c>
      <c r="K64">
        <f t="shared" si="26"/>
        <v>9386</v>
      </c>
      <c r="L64">
        <f t="shared" si="27"/>
        <v>9066.5</v>
      </c>
      <c r="M64">
        <f t="shared" si="28"/>
        <v>319.5</v>
      </c>
      <c r="N64">
        <f t="shared" si="14"/>
        <v>639</v>
      </c>
      <c r="O64">
        <f t="shared" si="29"/>
        <v>8980</v>
      </c>
      <c r="P64">
        <f t="shared" si="30"/>
        <v>-0.27073552425665104</v>
      </c>
      <c r="Q64" t="str">
        <f t="shared" si="11"/>
        <v>2.59% | 4.52%</v>
      </c>
      <c r="R64" t="str">
        <f t="shared" si="31"/>
        <v>BEARISH</v>
      </c>
      <c r="S64">
        <f t="shared" si="13"/>
        <v>-1</v>
      </c>
    </row>
    <row r="65" spans="1:19" hidden="1" x14ac:dyDescent="0.25">
      <c r="A65" s="5" t="str">
        <f t="shared" si="1"/>
        <v>43888XLU</v>
      </c>
      <c r="B65" s="6" t="s">
        <v>52</v>
      </c>
      <c r="C65" s="6">
        <v>67</v>
      </c>
      <c r="D65" s="6">
        <v>71.900000000000006</v>
      </c>
      <c r="E65" s="6">
        <v>67.36</v>
      </c>
      <c r="F65" t="str">
        <f t="shared" si="32"/>
        <v>THU</v>
      </c>
      <c r="G65" s="3">
        <f t="shared" si="33"/>
        <v>43888</v>
      </c>
      <c r="H65" s="2">
        <f t="shared" ca="1" si="0"/>
        <v>365</v>
      </c>
      <c r="I65" t="str">
        <f t="shared" si="24"/>
        <v>XLU</v>
      </c>
      <c r="J65">
        <f t="shared" si="25"/>
        <v>67</v>
      </c>
      <c r="K65">
        <f t="shared" si="26"/>
        <v>71.900000000000006</v>
      </c>
      <c r="L65">
        <f t="shared" si="27"/>
        <v>69.45</v>
      </c>
      <c r="M65">
        <f t="shared" si="28"/>
        <v>2.4500000000000028</v>
      </c>
      <c r="N65">
        <f t="shared" si="14"/>
        <v>4.9000000000000057</v>
      </c>
      <c r="O65">
        <f t="shared" si="29"/>
        <v>67.36</v>
      </c>
      <c r="P65">
        <f t="shared" si="30"/>
        <v>-0.85306122448979627</v>
      </c>
      <c r="Q65" t="str">
        <f t="shared" si="11"/>
        <v>0.53% | 6.74%</v>
      </c>
      <c r="R65" t="str">
        <f t="shared" si="31"/>
        <v>BULLISH</v>
      </c>
      <c r="S65">
        <f t="shared" si="13"/>
        <v>1</v>
      </c>
    </row>
    <row r="66" spans="1:19" hidden="1" x14ac:dyDescent="0.25">
      <c r="A66" s="5" t="str">
        <f t="shared" si="1"/>
        <v>43888VNQ</v>
      </c>
      <c r="B66" s="6" t="s">
        <v>53</v>
      </c>
      <c r="C66" s="6">
        <v>93.91</v>
      </c>
      <c r="D66" s="6">
        <v>100.55</v>
      </c>
      <c r="E66" s="6">
        <v>94.52</v>
      </c>
      <c r="F66" t="str">
        <f t="shared" si="32"/>
        <v>THU</v>
      </c>
      <c r="G66" s="3">
        <f t="shared" si="33"/>
        <v>43888</v>
      </c>
      <c r="H66" s="2">
        <f t="shared" ref="H66:H129" ca="1" si="34">TODAY()-G66</f>
        <v>365</v>
      </c>
      <c r="I66" t="str">
        <f t="shared" si="24"/>
        <v>VNQ</v>
      </c>
      <c r="J66">
        <f t="shared" si="25"/>
        <v>93.91</v>
      </c>
      <c r="K66">
        <f t="shared" si="26"/>
        <v>100.55</v>
      </c>
      <c r="L66">
        <f t="shared" si="27"/>
        <v>97.22999999999999</v>
      </c>
      <c r="M66">
        <f t="shared" si="28"/>
        <v>3.3200000000000003</v>
      </c>
      <c r="N66">
        <f t="shared" si="14"/>
        <v>6.6400000000000006</v>
      </c>
      <c r="O66">
        <f t="shared" si="29"/>
        <v>94.52</v>
      </c>
      <c r="P66">
        <f t="shared" si="30"/>
        <v>-0.8162650602409619</v>
      </c>
      <c r="Q66" t="str">
        <f t="shared" si="11"/>
        <v>0.65% | 6.38%</v>
      </c>
      <c r="R66" t="str">
        <f t="shared" si="31"/>
        <v>BULLISH</v>
      </c>
      <c r="S66">
        <f t="shared" si="13"/>
        <v>1</v>
      </c>
    </row>
    <row r="67" spans="1:19" hidden="1" x14ac:dyDescent="0.25">
      <c r="A67" s="5" t="str">
        <f t="shared" ref="A67:A130" si="35">G67&amp;I67</f>
        <v>43888XLP</v>
      </c>
      <c r="B67" s="6" t="s">
        <v>54</v>
      </c>
      <c r="C67" s="6">
        <v>61.4</v>
      </c>
      <c r="D67" s="6">
        <v>65.88</v>
      </c>
      <c r="E67" s="6">
        <v>61.67</v>
      </c>
      <c r="F67" t="str">
        <f t="shared" si="32"/>
        <v>THU</v>
      </c>
      <c r="G67" s="3">
        <f t="shared" si="33"/>
        <v>43888</v>
      </c>
      <c r="H67" s="2">
        <f t="shared" ca="1" si="34"/>
        <v>365</v>
      </c>
      <c r="I67" t="str">
        <f t="shared" si="24"/>
        <v>XLP</v>
      </c>
      <c r="J67">
        <f t="shared" si="25"/>
        <v>61.4</v>
      </c>
      <c r="K67">
        <f t="shared" si="26"/>
        <v>65.88</v>
      </c>
      <c r="L67">
        <f t="shared" si="27"/>
        <v>63.64</v>
      </c>
      <c r="M67">
        <f t="shared" si="28"/>
        <v>2.2399999999999984</v>
      </c>
      <c r="N67">
        <f t="shared" ref="N67:N130" si="36">ABS(K67-J67)</f>
        <v>4.4799999999999969</v>
      </c>
      <c r="O67">
        <f t="shared" si="29"/>
        <v>61.67</v>
      </c>
      <c r="P67">
        <f t="shared" si="30"/>
        <v>-0.87946428571428581</v>
      </c>
      <c r="Q67" t="str">
        <f t="shared" ref="Q67:Q130" si="37">ROUND(ABS(100*(O67-J67)/O67),2)&amp;"% | "&amp;ROUND(ABS(100*(K67-O67)/O67),2)&amp;"%"</f>
        <v>0.44% | 6.83%</v>
      </c>
      <c r="R67" t="str">
        <f t="shared" si="31"/>
        <v>BULLISH</v>
      </c>
      <c r="S67">
        <f t="shared" ref="S67:S130" si="38">IF(R67="BEARISH",-1,IF(R67="NEUTRAL",0,IF(R67="BULLISH",1,99)))</f>
        <v>1</v>
      </c>
    </row>
    <row r="68" spans="1:19" hidden="1" x14ac:dyDescent="0.25">
      <c r="A68" s="5" t="str">
        <f t="shared" si="35"/>
        <v>43888XLK</v>
      </c>
      <c r="B68" s="6" t="s">
        <v>65</v>
      </c>
      <c r="C68" s="6">
        <v>90.08</v>
      </c>
      <c r="D68" s="6">
        <v>97.68</v>
      </c>
      <c r="E68" s="6">
        <v>92.7</v>
      </c>
      <c r="F68" t="str">
        <f t="shared" si="32"/>
        <v>THU</v>
      </c>
      <c r="G68" s="3">
        <f t="shared" si="33"/>
        <v>43888</v>
      </c>
      <c r="H68" s="2">
        <f t="shared" ca="1" si="34"/>
        <v>365</v>
      </c>
      <c r="I68" t="str">
        <f t="shared" si="24"/>
        <v>XLK</v>
      </c>
      <c r="J68">
        <f t="shared" si="25"/>
        <v>90.08</v>
      </c>
      <c r="K68">
        <f t="shared" si="26"/>
        <v>97.68</v>
      </c>
      <c r="L68">
        <f t="shared" si="27"/>
        <v>93.88</v>
      </c>
      <c r="M68">
        <f t="shared" si="28"/>
        <v>3.8000000000000043</v>
      </c>
      <c r="N68">
        <f t="shared" si="36"/>
        <v>7.6000000000000085</v>
      </c>
      <c r="O68">
        <f t="shared" si="29"/>
        <v>92.7</v>
      </c>
      <c r="P68">
        <f t="shared" si="30"/>
        <v>-0.31052631578947137</v>
      </c>
      <c r="Q68" t="str">
        <f t="shared" si="37"/>
        <v>2.83% | 5.37%</v>
      </c>
      <c r="R68" t="str">
        <f t="shared" si="31"/>
        <v>BEARISH</v>
      </c>
      <c r="S68">
        <f t="shared" si="38"/>
        <v>-1</v>
      </c>
    </row>
    <row r="69" spans="1:19" hidden="1" x14ac:dyDescent="0.25">
      <c r="A69" s="5" t="str">
        <f t="shared" si="35"/>
        <v>43888SSEC</v>
      </c>
      <c r="B69" s="6" t="s">
        <v>55</v>
      </c>
      <c r="C69" s="6">
        <v>2904</v>
      </c>
      <c r="D69" s="6">
        <v>3068</v>
      </c>
      <c r="E69" s="6">
        <v>2991</v>
      </c>
      <c r="F69" t="str">
        <f t="shared" si="32"/>
        <v>THU</v>
      </c>
      <c r="G69" s="3">
        <f t="shared" si="33"/>
        <v>43888</v>
      </c>
      <c r="H69" s="2">
        <f t="shared" ca="1" si="34"/>
        <v>365</v>
      </c>
      <c r="I69" t="str">
        <f t="shared" si="24"/>
        <v>SSEC</v>
      </c>
      <c r="J69">
        <f t="shared" si="25"/>
        <v>2904</v>
      </c>
      <c r="K69">
        <f t="shared" si="26"/>
        <v>3068</v>
      </c>
      <c r="L69">
        <f t="shared" si="27"/>
        <v>2986</v>
      </c>
      <c r="M69">
        <f t="shared" si="28"/>
        <v>82</v>
      </c>
      <c r="N69">
        <f t="shared" si="36"/>
        <v>164</v>
      </c>
      <c r="O69">
        <f t="shared" si="29"/>
        <v>2991</v>
      </c>
      <c r="P69">
        <f t="shared" si="30"/>
        <v>6.097560975609756E-2</v>
      </c>
      <c r="Q69" t="str">
        <f t="shared" si="37"/>
        <v>2.91% | 2.57%</v>
      </c>
      <c r="R69" t="str">
        <f t="shared" si="31"/>
        <v>NEUTRAL</v>
      </c>
      <c r="S69">
        <f t="shared" si="38"/>
        <v>0</v>
      </c>
    </row>
    <row r="70" spans="1:19" hidden="1" x14ac:dyDescent="0.25">
      <c r="A70" s="5" t="str">
        <f t="shared" si="35"/>
        <v>43888NIKK</v>
      </c>
      <c r="B70" s="6" t="s">
        <v>15</v>
      </c>
      <c r="C70" s="6">
        <v>21391</v>
      </c>
      <c r="D70" s="6">
        <v>23232</v>
      </c>
      <c r="E70" s="6">
        <v>21948</v>
      </c>
      <c r="F70" t="str">
        <f t="shared" si="32"/>
        <v>THU</v>
      </c>
      <c r="G70" s="3">
        <f t="shared" si="33"/>
        <v>43888</v>
      </c>
      <c r="H70" s="2">
        <f t="shared" ca="1" si="34"/>
        <v>365</v>
      </c>
      <c r="I70" t="str">
        <f t="shared" si="24"/>
        <v>NIKK</v>
      </c>
      <c r="J70">
        <f t="shared" si="25"/>
        <v>21391</v>
      </c>
      <c r="K70">
        <f t="shared" si="26"/>
        <v>23232</v>
      </c>
      <c r="L70">
        <f t="shared" si="27"/>
        <v>22311.5</v>
      </c>
      <c r="M70">
        <f t="shared" si="28"/>
        <v>920.5</v>
      </c>
      <c r="N70">
        <f t="shared" si="36"/>
        <v>1841</v>
      </c>
      <c r="O70">
        <f t="shared" si="29"/>
        <v>21948</v>
      </c>
      <c r="P70">
        <f t="shared" si="30"/>
        <v>-0.3948940793047257</v>
      </c>
      <c r="Q70" t="str">
        <f t="shared" si="37"/>
        <v>2.54% | 5.85%</v>
      </c>
      <c r="R70" t="str">
        <f t="shared" si="31"/>
        <v>BEARISH</v>
      </c>
      <c r="S70">
        <f t="shared" si="38"/>
        <v>-1</v>
      </c>
    </row>
    <row r="71" spans="1:19" hidden="1" x14ac:dyDescent="0.25">
      <c r="A71" s="5" t="str">
        <f t="shared" si="35"/>
        <v>43888DAX</v>
      </c>
      <c r="B71" s="6" t="s">
        <v>16</v>
      </c>
      <c r="C71" s="6">
        <v>12313</v>
      </c>
      <c r="D71" s="6">
        <v>13219</v>
      </c>
      <c r="E71" s="6">
        <v>12774</v>
      </c>
      <c r="F71" t="str">
        <f t="shared" si="32"/>
        <v>THU</v>
      </c>
      <c r="G71" s="3">
        <f t="shared" si="33"/>
        <v>43888</v>
      </c>
      <c r="H71" s="2">
        <f t="shared" ca="1" si="34"/>
        <v>365</v>
      </c>
      <c r="I71" t="str">
        <f t="shared" si="24"/>
        <v>DAX</v>
      </c>
      <c r="J71">
        <f t="shared" si="25"/>
        <v>12313</v>
      </c>
      <c r="K71">
        <f t="shared" si="26"/>
        <v>13219</v>
      </c>
      <c r="L71">
        <f t="shared" si="27"/>
        <v>12766</v>
      </c>
      <c r="M71">
        <f t="shared" si="28"/>
        <v>453</v>
      </c>
      <c r="N71">
        <f t="shared" si="36"/>
        <v>906</v>
      </c>
      <c r="O71">
        <f t="shared" si="29"/>
        <v>12774</v>
      </c>
      <c r="P71">
        <f t="shared" si="30"/>
        <v>1.7660044150110375E-2</v>
      </c>
      <c r="Q71" t="str">
        <f t="shared" si="37"/>
        <v>3.61% | 3.48%</v>
      </c>
      <c r="R71" t="str">
        <f t="shared" si="31"/>
        <v>BEARISH</v>
      </c>
      <c r="S71">
        <f t="shared" si="38"/>
        <v>-1</v>
      </c>
    </row>
    <row r="72" spans="1:19" hidden="1" x14ac:dyDescent="0.25">
      <c r="A72" s="5" t="str">
        <f t="shared" si="35"/>
        <v>43888VIX</v>
      </c>
      <c r="B72" s="6" t="s">
        <v>17</v>
      </c>
      <c r="C72" s="6">
        <v>18.8</v>
      </c>
      <c r="D72" s="6">
        <v>32.33</v>
      </c>
      <c r="E72" s="6">
        <v>27.56</v>
      </c>
      <c r="F72" t="str">
        <f t="shared" si="32"/>
        <v>THU</v>
      </c>
      <c r="G72" s="3">
        <f t="shared" si="33"/>
        <v>43888</v>
      </c>
      <c r="H72" s="2">
        <f t="shared" ca="1" si="34"/>
        <v>365</v>
      </c>
      <c r="I72" t="str">
        <f t="shared" si="24"/>
        <v>VIX</v>
      </c>
      <c r="J72">
        <f t="shared" si="25"/>
        <v>18.8</v>
      </c>
      <c r="K72">
        <f t="shared" si="26"/>
        <v>32.33</v>
      </c>
      <c r="L72">
        <f t="shared" si="27"/>
        <v>25.564999999999998</v>
      </c>
      <c r="M72">
        <f t="shared" si="28"/>
        <v>6.7650000000000077</v>
      </c>
      <c r="N72">
        <f t="shared" si="36"/>
        <v>13.529999999999998</v>
      </c>
      <c r="O72">
        <f t="shared" si="29"/>
        <v>27.56</v>
      </c>
      <c r="P72">
        <f t="shared" si="30"/>
        <v>0.29490022172948982</v>
      </c>
      <c r="Q72" t="str">
        <f t="shared" si="37"/>
        <v>31.79% | 17.31%</v>
      </c>
      <c r="R72" t="str">
        <f t="shared" si="31"/>
        <v>BULLISH</v>
      </c>
      <c r="S72">
        <f t="shared" si="38"/>
        <v>1</v>
      </c>
    </row>
    <row r="73" spans="1:19" hidden="1" x14ac:dyDescent="0.25">
      <c r="A73" s="5" t="str">
        <f t="shared" si="35"/>
        <v>43888USD</v>
      </c>
      <c r="B73" s="6" t="s">
        <v>18</v>
      </c>
      <c r="C73" s="6">
        <v>98.49</v>
      </c>
      <c r="D73" s="6">
        <v>100.08</v>
      </c>
      <c r="E73" s="6">
        <v>98.94</v>
      </c>
      <c r="F73" t="str">
        <f t="shared" si="32"/>
        <v>THU</v>
      </c>
      <c r="G73" s="3">
        <f t="shared" si="33"/>
        <v>43888</v>
      </c>
      <c r="H73" s="2">
        <f t="shared" ca="1" si="34"/>
        <v>365</v>
      </c>
      <c r="I73" t="str">
        <f t="shared" si="24"/>
        <v>USD</v>
      </c>
      <c r="J73">
        <f t="shared" si="25"/>
        <v>98.49</v>
      </c>
      <c r="K73">
        <f t="shared" si="26"/>
        <v>100.08</v>
      </c>
      <c r="L73">
        <f t="shared" si="27"/>
        <v>99.284999999999997</v>
      </c>
      <c r="M73">
        <f t="shared" si="28"/>
        <v>0.79500000000000171</v>
      </c>
      <c r="N73">
        <f t="shared" si="36"/>
        <v>1.5900000000000034</v>
      </c>
      <c r="O73">
        <f t="shared" si="29"/>
        <v>98.94</v>
      </c>
      <c r="P73">
        <f t="shared" si="30"/>
        <v>-0.43396226415094102</v>
      </c>
      <c r="Q73" t="str">
        <f t="shared" si="37"/>
        <v>0.45% | 1.15%</v>
      </c>
      <c r="R73" t="str">
        <f t="shared" si="31"/>
        <v>BULLISH</v>
      </c>
      <c r="S73">
        <f t="shared" si="38"/>
        <v>1</v>
      </c>
    </row>
    <row r="74" spans="1:19" hidden="1" x14ac:dyDescent="0.25">
      <c r="A74" s="5" t="str">
        <f t="shared" si="35"/>
        <v>43888EUR/USD</v>
      </c>
      <c r="B74" s="6" t="s">
        <v>19</v>
      </c>
      <c r="C74" s="6">
        <v>1.07</v>
      </c>
      <c r="D74" s="6">
        <v>1.0900000000000001</v>
      </c>
      <c r="E74" s="6">
        <v>1.08</v>
      </c>
      <c r="F74" t="str">
        <f t="shared" si="32"/>
        <v>THU</v>
      </c>
      <c r="G74" s="3">
        <f t="shared" si="33"/>
        <v>43888</v>
      </c>
      <c r="H74" s="2">
        <f t="shared" ca="1" si="34"/>
        <v>365</v>
      </c>
      <c r="I74" t="str">
        <f t="shared" si="24"/>
        <v>EUR/USD</v>
      </c>
      <c r="J74">
        <f t="shared" si="25"/>
        <v>1.07</v>
      </c>
      <c r="K74">
        <f t="shared" si="26"/>
        <v>1.0900000000000001</v>
      </c>
      <c r="L74">
        <f t="shared" si="27"/>
        <v>1.08</v>
      </c>
      <c r="M74">
        <f t="shared" si="28"/>
        <v>1.0000000000000009E-2</v>
      </c>
      <c r="N74">
        <f t="shared" si="36"/>
        <v>2.0000000000000018E-2</v>
      </c>
      <c r="O74">
        <f t="shared" si="29"/>
        <v>1.08</v>
      </c>
      <c r="P74">
        <f t="shared" si="30"/>
        <v>0</v>
      </c>
      <c r="Q74" t="str">
        <f t="shared" si="37"/>
        <v>0.93% | 0.93%</v>
      </c>
      <c r="R74" t="str">
        <f t="shared" si="31"/>
        <v>BEARISH</v>
      </c>
      <c r="S74">
        <f t="shared" si="38"/>
        <v>-1</v>
      </c>
    </row>
    <row r="75" spans="1:19" hidden="1" x14ac:dyDescent="0.25">
      <c r="A75" s="5" t="str">
        <f t="shared" si="35"/>
        <v>43888USD/JPY</v>
      </c>
      <c r="B75" s="6" t="s">
        <v>56</v>
      </c>
      <c r="C75" s="6">
        <v>108.9</v>
      </c>
      <c r="D75" s="6">
        <v>112.05</v>
      </c>
      <c r="E75" s="6">
        <v>110.45</v>
      </c>
      <c r="F75" t="str">
        <f t="shared" si="32"/>
        <v>THU</v>
      </c>
      <c r="G75" s="3">
        <f t="shared" si="33"/>
        <v>43888</v>
      </c>
      <c r="H75" s="2">
        <f t="shared" ca="1" si="34"/>
        <v>365</v>
      </c>
      <c r="I75" t="str">
        <f t="shared" si="24"/>
        <v>USD/JPY</v>
      </c>
      <c r="J75">
        <f t="shared" si="25"/>
        <v>108.9</v>
      </c>
      <c r="K75">
        <f t="shared" si="26"/>
        <v>112.05</v>
      </c>
      <c r="L75">
        <f t="shared" si="27"/>
        <v>110.47499999999999</v>
      </c>
      <c r="M75">
        <f t="shared" si="28"/>
        <v>1.5749999999999957</v>
      </c>
      <c r="N75">
        <f t="shared" si="36"/>
        <v>3.1499999999999915</v>
      </c>
      <c r="O75">
        <f t="shared" si="29"/>
        <v>110.45</v>
      </c>
      <c r="P75">
        <f t="shared" si="30"/>
        <v>-1.5873015873010501E-2</v>
      </c>
      <c r="Q75" t="str">
        <f t="shared" si="37"/>
        <v>1.4% | 1.45%</v>
      </c>
      <c r="R75" t="str">
        <f t="shared" si="31"/>
        <v>BULLISH</v>
      </c>
      <c r="S75">
        <f t="shared" si="38"/>
        <v>1</v>
      </c>
    </row>
    <row r="76" spans="1:19" hidden="1" x14ac:dyDescent="0.25">
      <c r="A76" s="5" t="str">
        <f t="shared" si="35"/>
        <v>43888GBP/USD</v>
      </c>
      <c r="B76" s="6" t="s">
        <v>21</v>
      </c>
      <c r="C76" s="6">
        <v>1.28</v>
      </c>
      <c r="D76" s="6">
        <v>1.3</v>
      </c>
      <c r="E76" s="6">
        <v>1.29</v>
      </c>
      <c r="F76" t="str">
        <f t="shared" si="32"/>
        <v>THU</v>
      </c>
      <c r="G76" s="3">
        <f t="shared" si="33"/>
        <v>43888</v>
      </c>
      <c r="H76" s="2">
        <f t="shared" ca="1" si="34"/>
        <v>365</v>
      </c>
      <c r="I76" t="str">
        <f t="shared" si="24"/>
        <v>GBP/USD</v>
      </c>
      <c r="J76">
        <f t="shared" si="25"/>
        <v>1.28</v>
      </c>
      <c r="K76">
        <f t="shared" si="26"/>
        <v>1.3</v>
      </c>
      <c r="L76">
        <f t="shared" si="27"/>
        <v>1.29</v>
      </c>
      <c r="M76">
        <f t="shared" si="28"/>
        <v>1.0000000000000009E-2</v>
      </c>
      <c r="N76">
        <f t="shared" si="36"/>
        <v>2.0000000000000018E-2</v>
      </c>
      <c r="O76">
        <f t="shared" si="29"/>
        <v>1.29</v>
      </c>
      <c r="P76">
        <f t="shared" si="30"/>
        <v>0</v>
      </c>
      <c r="Q76" t="str">
        <f t="shared" si="37"/>
        <v>0.78% | 0.78%</v>
      </c>
      <c r="R76" t="str">
        <f t="shared" si="31"/>
        <v>BEARISH</v>
      </c>
      <c r="S76">
        <f t="shared" si="38"/>
        <v>-1</v>
      </c>
    </row>
    <row r="77" spans="1:19" hidden="1" x14ac:dyDescent="0.25">
      <c r="A77" s="5" t="str">
        <f t="shared" si="35"/>
        <v>43888USD/CHF</v>
      </c>
      <c r="B77" s="6" t="s">
        <v>57</v>
      </c>
      <c r="C77" s="6">
        <v>0.97</v>
      </c>
      <c r="D77" s="6">
        <v>0.99</v>
      </c>
      <c r="E77" s="6">
        <v>0.97</v>
      </c>
      <c r="F77" t="str">
        <f t="shared" si="32"/>
        <v>THU</v>
      </c>
      <c r="G77" s="3">
        <f t="shared" si="33"/>
        <v>43888</v>
      </c>
      <c r="H77" s="2">
        <f t="shared" ca="1" si="34"/>
        <v>365</v>
      </c>
      <c r="I77" t="str">
        <f t="shared" si="24"/>
        <v>USD/CHF</v>
      </c>
      <c r="J77">
        <f t="shared" si="25"/>
        <v>0.97</v>
      </c>
      <c r="K77">
        <f t="shared" si="26"/>
        <v>0.99</v>
      </c>
      <c r="L77">
        <f t="shared" si="27"/>
        <v>0.98</v>
      </c>
      <c r="M77">
        <f t="shared" si="28"/>
        <v>1.0000000000000009E-2</v>
      </c>
      <c r="N77">
        <f t="shared" si="36"/>
        <v>2.0000000000000018E-2</v>
      </c>
      <c r="O77">
        <f t="shared" si="29"/>
        <v>0.97</v>
      </c>
      <c r="P77">
        <f t="shared" si="30"/>
        <v>-1</v>
      </c>
      <c r="Q77" t="str">
        <f t="shared" si="37"/>
        <v>0% | 2.06%</v>
      </c>
      <c r="R77" t="str">
        <f t="shared" si="31"/>
        <v>BULLISH</v>
      </c>
      <c r="S77">
        <f t="shared" si="38"/>
        <v>1</v>
      </c>
    </row>
    <row r="78" spans="1:19" hidden="1" x14ac:dyDescent="0.25">
      <c r="A78" s="5" t="str">
        <f t="shared" si="35"/>
        <v>43888WTIC</v>
      </c>
      <c r="B78" s="6" t="s">
        <v>23</v>
      </c>
      <c r="C78" s="6">
        <v>47.02</v>
      </c>
      <c r="D78" s="6">
        <v>52.83</v>
      </c>
      <c r="E78" s="6">
        <v>48.73</v>
      </c>
      <c r="F78" t="str">
        <f t="shared" si="32"/>
        <v>THU</v>
      </c>
      <c r="G78" s="3">
        <f t="shared" si="33"/>
        <v>43888</v>
      </c>
      <c r="H78" s="2">
        <f t="shared" ca="1" si="34"/>
        <v>365</v>
      </c>
      <c r="I78" t="str">
        <f t="shared" si="24"/>
        <v>WTIC</v>
      </c>
      <c r="J78">
        <f t="shared" si="25"/>
        <v>47.02</v>
      </c>
      <c r="K78">
        <f t="shared" si="26"/>
        <v>52.83</v>
      </c>
      <c r="L78">
        <f t="shared" si="27"/>
        <v>49.924999999999997</v>
      </c>
      <c r="M78">
        <f t="shared" si="28"/>
        <v>2.9049999999999976</v>
      </c>
      <c r="N78">
        <f t="shared" si="36"/>
        <v>5.8099999999999952</v>
      </c>
      <c r="O78">
        <f t="shared" si="29"/>
        <v>48.73</v>
      </c>
      <c r="P78">
        <f t="shared" si="30"/>
        <v>-0.41135972461273712</v>
      </c>
      <c r="Q78" t="str">
        <f t="shared" si="37"/>
        <v>3.51% | 8.41%</v>
      </c>
      <c r="R78" t="str">
        <f t="shared" si="31"/>
        <v>BEARISH</v>
      </c>
      <c r="S78">
        <f t="shared" si="38"/>
        <v>-1</v>
      </c>
    </row>
    <row r="79" spans="1:19" hidden="1" x14ac:dyDescent="0.25">
      <c r="A79" s="5" t="str">
        <f t="shared" si="35"/>
        <v>43888NATGAS</v>
      </c>
      <c r="B79" s="6" t="s">
        <v>24</v>
      </c>
      <c r="C79" s="6">
        <v>1.7</v>
      </c>
      <c r="D79" s="6">
        <v>1.95</v>
      </c>
      <c r="E79" s="6">
        <v>1.84</v>
      </c>
      <c r="F79" t="str">
        <f t="shared" si="32"/>
        <v>THU</v>
      </c>
      <c r="G79" s="3">
        <f t="shared" si="33"/>
        <v>43888</v>
      </c>
      <c r="H79" s="2">
        <f t="shared" ca="1" si="34"/>
        <v>365</v>
      </c>
      <c r="I79" t="str">
        <f t="shared" si="24"/>
        <v>NATGAS</v>
      </c>
      <c r="J79">
        <f t="shared" si="25"/>
        <v>1.7</v>
      </c>
      <c r="K79">
        <f t="shared" si="26"/>
        <v>1.95</v>
      </c>
      <c r="L79">
        <f t="shared" si="27"/>
        <v>1.825</v>
      </c>
      <c r="M79">
        <f t="shared" si="28"/>
        <v>0.125</v>
      </c>
      <c r="N79">
        <f t="shared" si="36"/>
        <v>0.25</v>
      </c>
      <c r="O79">
        <f t="shared" si="29"/>
        <v>1.84</v>
      </c>
      <c r="P79">
        <f t="shared" si="30"/>
        <v>0.12000000000000099</v>
      </c>
      <c r="Q79" t="str">
        <f t="shared" si="37"/>
        <v>7.61% | 5.98%</v>
      </c>
      <c r="R79" t="str">
        <f t="shared" si="31"/>
        <v>BEARISH</v>
      </c>
      <c r="S79">
        <f t="shared" si="38"/>
        <v>-1</v>
      </c>
    </row>
    <row r="80" spans="1:19" hidden="1" x14ac:dyDescent="0.25">
      <c r="A80" s="5" t="str">
        <f t="shared" si="35"/>
        <v>43888GOLD</v>
      </c>
      <c r="B80" s="6" t="s">
        <v>25</v>
      </c>
      <c r="C80" s="6">
        <v>1620</v>
      </c>
      <c r="D80" s="6">
        <v>1687</v>
      </c>
      <c r="E80" s="6">
        <v>1643</v>
      </c>
      <c r="F80" t="str">
        <f t="shared" si="32"/>
        <v>THU</v>
      </c>
      <c r="G80" s="3">
        <f t="shared" si="33"/>
        <v>43888</v>
      </c>
      <c r="H80" s="2">
        <f t="shared" ca="1" si="34"/>
        <v>365</v>
      </c>
      <c r="I80" t="str">
        <f t="shared" si="24"/>
        <v>GOLD</v>
      </c>
      <c r="J80">
        <f t="shared" si="25"/>
        <v>1620</v>
      </c>
      <c r="K80">
        <f t="shared" si="26"/>
        <v>1687</v>
      </c>
      <c r="L80">
        <f t="shared" si="27"/>
        <v>1653.5</v>
      </c>
      <c r="M80">
        <f t="shared" si="28"/>
        <v>33.5</v>
      </c>
      <c r="N80">
        <f t="shared" si="36"/>
        <v>67</v>
      </c>
      <c r="O80">
        <f t="shared" si="29"/>
        <v>1643</v>
      </c>
      <c r="P80">
        <f t="shared" si="30"/>
        <v>-0.31343283582089554</v>
      </c>
      <c r="Q80" t="str">
        <f t="shared" si="37"/>
        <v>1.4% | 2.68%</v>
      </c>
      <c r="R80" t="str">
        <f t="shared" si="31"/>
        <v>BULLISH</v>
      </c>
      <c r="S80">
        <f t="shared" si="38"/>
        <v>1</v>
      </c>
    </row>
    <row r="81" spans="1:19" hidden="1" x14ac:dyDescent="0.25">
      <c r="A81" s="5" t="str">
        <f t="shared" si="35"/>
        <v>43888COPPER</v>
      </c>
      <c r="B81" s="6" t="s">
        <v>26</v>
      </c>
      <c r="C81" s="6">
        <v>2.52</v>
      </c>
      <c r="D81" s="6">
        <v>2.6</v>
      </c>
      <c r="E81" s="6">
        <v>2.57</v>
      </c>
      <c r="F81" t="str">
        <f t="shared" si="32"/>
        <v>THU</v>
      </c>
      <c r="G81" s="3">
        <f t="shared" si="33"/>
        <v>43888</v>
      </c>
      <c r="H81" s="2">
        <f t="shared" ca="1" si="34"/>
        <v>365</v>
      </c>
      <c r="I81" t="str">
        <f t="shared" si="24"/>
        <v>COPPER</v>
      </c>
      <c r="J81">
        <f t="shared" si="25"/>
        <v>2.52</v>
      </c>
      <c r="K81">
        <f t="shared" si="26"/>
        <v>2.6</v>
      </c>
      <c r="L81">
        <f t="shared" si="27"/>
        <v>2.56</v>
      </c>
      <c r="M81">
        <f t="shared" si="28"/>
        <v>4.0000000000000036E-2</v>
      </c>
      <c r="N81">
        <f t="shared" si="36"/>
        <v>8.0000000000000071E-2</v>
      </c>
      <c r="O81">
        <f t="shared" si="29"/>
        <v>2.57</v>
      </c>
      <c r="P81">
        <f t="shared" si="30"/>
        <v>0.24999999999999445</v>
      </c>
      <c r="Q81" t="str">
        <f t="shared" si="37"/>
        <v>1.95% | 1.17%</v>
      </c>
      <c r="R81" t="str">
        <f t="shared" si="31"/>
        <v>BEARISH</v>
      </c>
      <c r="S81">
        <f t="shared" si="38"/>
        <v>-1</v>
      </c>
    </row>
    <row r="82" spans="1:19" hidden="1" x14ac:dyDescent="0.25">
      <c r="A82" s="5" t="str">
        <f t="shared" si="35"/>
        <v>43888AAPL</v>
      </c>
      <c r="B82" s="6" t="s">
        <v>63</v>
      </c>
      <c r="C82" s="6">
        <v>282.95</v>
      </c>
      <c r="D82" s="6">
        <v>311.13</v>
      </c>
      <c r="E82" s="6">
        <v>292.64999999999998</v>
      </c>
      <c r="F82" t="str">
        <f t="shared" si="32"/>
        <v>THU</v>
      </c>
      <c r="G82" s="3">
        <f t="shared" si="33"/>
        <v>43888</v>
      </c>
      <c r="H82" s="2">
        <f t="shared" ca="1" si="34"/>
        <v>365</v>
      </c>
      <c r="I82" t="str">
        <f t="shared" si="24"/>
        <v>AAPL</v>
      </c>
      <c r="J82">
        <f t="shared" si="25"/>
        <v>282.95</v>
      </c>
      <c r="K82">
        <f t="shared" si="26"/>
        <v>311.13</v>
      </c>
      <c r="L82">
        <f t="shared" si="27"/>
        <v>297.03999999999996</v>
      </c>
      <c r="M82">
        <f t="shared" si="28"/>
        <v>14.090000000000003</v>
      </c>
      <c r="N82">
        <f t="shared" si="36"/>
        <v>28.180000000000007</v>
      </c>
      <c r="O82">
        <f t="shared" si="29"/>
        <v>292.64999999999998</v>
      </c>
      <c r="P82">
        <f t="shared" si="30"/>
        <v>-0.31156848828956601</v>
      </c>
      <c r="Q82" t="str">
        <f t="shared" si="37"/>
        <v>3.31% | 6.31%</v>
      </c>
      <c r="R82" t="str">
        <f t="shared" si="31"/>
        <v>NEUTRAL</v>
      </c>
      <c r="S82">
        <f t="shared" si="38"/>
        <v>0</v>
      </c>
    </row>
    <row r="83" spans="1:19" hidden="1" x14ac:dyDescent="0.25">
      <c r="A83" s="5" t="str">
        <f t="shared" si="35"/>
        <v>43888AMZN</v>
      </c>
      <c r="B83" s="6" t="s">
        <v>29</v>
      </c>
      <c r="C83" s="6">
        <v>1916</v>
      </c>
      <c r="D83" s="6">
        <v>2091</v>
      </c>
      <c r="E83" s="6">
        <v>1979</v>
      </c>
      <c r="F83" t="str">
        <f t="shared" si="32"/>
        <v>THU</v>
      </c>
      <c r="G83" s="3">
        <f t="shared" si="33"/>
        <v>43888</v>
      </c>
      <c r="H83" s="2">
        <f t="shared" ca="1" si="34"/>
        <v>365</v>
      </c>
      <c r="I83" t="str">
        <f t="shared" si="24"/>
        <v>AMZN</v>
      </c>
      <c r="J83">
        <f t="shared" si="25"/>
        <v>1916</v>
      </c>
      <c r="K83">
        <f t="shared" si="26"/>
        <v>2091</v>
      </c>
      <c r="L83">
        <f t="shared" si="27"/>
        <v>2003.5</v>
      </c>
      <c r="M83">
        <f t="shared" si="28"/>
        <v>87.5</v>
      </c>
      <c r="N83">
        <f t="shared" si="36"/>
        <v>175</v>
      </c>
      <c r="O83">
        <f t="shared" si="29"/>
        <v>1979</v>
      </c>
      <c r="P83">
        <f t="shared" si="30"/>
        <v>-0.28000000000000003</v>
      </c>
      <c r="Q83" t="str">
        <f t="shared" si="37"/>
        <v>3.18% | 5.66%</v>
      </c>
      <c r="R83" t="str">
        <f t="shared" si="31"/>
        <v>BULLISH</v>
      </c>
      <c r="S83">
        <f t="shared" si="38"/>
        <v>1</v>
      </c>
    </row>
    <row r="84" spans="1:19" hidden="1" x14ac:dyDescent="0.25">
      <c r="A84" s="5" t="str">
        <f t="shared" si="35"/>
        <v>43888FB</v>
      </c>
      <c r="B84" s="6" t="s">
        <v>58</v>
      </c>
      <c r="C84" s="6">
        <v>192</v>
      </c>
      <c r="D84" s="6">
        <v>209</v>
      </c>
      <c r="E84" s="6">
        <v>197</v>
      </c>
      <c r="F84" t="str">
        <f t="shared" si="32"/>
        <v>THU</v>
      </c>
      <c r="G84" s="3">
        <f t="shared" si="33"/>
        <v>43888</v>
      </c>
      <c r="H84" s="2">
        <f t="shared" ca="1" si="34"/>
        <v>365</v>
      </c>
      <c r="I84" t="str">
        <f t="shared" si="24"/>
        <v>FB</v>
      </c>
      <c r="J84">
        <f t="shared" si="25"/>
        <v>192</v>
      </c>
      <c r="K84">
        <f t="shared" si="26"/>
        <v>209</v>
      </c>
      <c r="L84">
        <f t="shared" si="27"/>
        <v>200.5</v>
      </c>
      <c r="M84">
        <f t="shared" si="28"/>
        <v>8.5</v>
      </c>
      <c r="N84">
        <f t="shared" si="36"/>
        <v>17</v>
      </c>
      <c r="O84">
        <f t="shared" si="29"/>
        <v>197</v>
      </c>
      <c r="P84">
        <f t="shared" si="30"/>
        <v>-0.41176470588235292</v>
      </c>
      <c r="Q84" t="str">
        <f t="shared" si="37"/>
        <v>2.54% | 6.09%</v>
      </c>
      <c r="R84" t="str">
        <f t="shared" si="31"/>
        <v>BEARISH</v>
      </c>
      <c r="S84">
        <f t="shared" si="38"/>
        <v>-1</v>
      </c>
    </row>
    <row r="85" spans="1:19" hidden="1" x14ac:dyDescent="0.25">
      <c r="A85" s="5" t="str">
        <f t="shared" si="35"/>
        <v>43888GOOGL</v>
      </c>
      <c r="B85" s="6" t="s">
        <v>66</v>
      </c>
      <c r="C85" s="6">
        <v>1360</v>
      </c>
      <c r="D85" s="6">
        <v>1458</v>
      </c>
      <c r="E85" s="6">
        <v>1390</v>
      </c>
      <c r="F85" t="str">
        <f t="shared" si="32"/>
        <v>THU</v>
      </c>
      <c r="G85" s="3">
        <f t="shared" si="33"/>
        <v>43888</v>
      </c>
      <c r="H85" s="2">
        <f t="shared" ca="1" si="34"/>
        <v>365</v>
      </c>
      <c r="I85" t="str">
        <f t="shared" si="24"/>
        <v>GOOGL</v>
      </c>
      <c r="J85">
        <f t="shared" si="25"/>
        <v>1360</v>
      </c>
      <c r="K85">
        <f t="shared" si="26"/>
        <v>1458</v>
      </c>
      <c r="L85">
        <f t="shared" si="27"/>
        <v>1409</v>
      </c>
      <c r="M85">
        <f t="shared" si="28"/>
        <v>49</v>
      </c>
      <c r="N85">
        <f t="shared" si="36"/>
        <v>98</v>
      </c>
      <c r="O85">
        <f t="shared" si="29"/>
        <v>1390</v>
      </c>
      <c r="P85">
        <f t="shared" si="30"/>
        <v>-0.38775510204081631</v>
      </c>
      <c r="Q85" t="str">
        <f t="shared" si="37"/>
        <v>2.16% | 4.89%</v>
      </c>
      <c r="R85" t="str">
        <f t="shared" si="31"/>
        <v>BEARISH</v>
      </c>
      <c r="S85">
        <f t="shared" si="38"/>
        <v>-1</v>
      </c>
    </row>
    <row r="86" spans="1:19" hidden="1" x14ac:dyDescent="0.25">
      <c r="A86" s="5" t="str">
        <f t="shared" si="35"/>
        <v>43888NFLX</v>
      </c>
      <c r="B86" s="6" t="s">
        <v>32</v>
      </c>
      <c r="C86" s="6">
        <v>351</v>
      </c>
      <c r="D86" s="6">
        <v>383</v>
      </c>
      <c r="E86" s="6">
        <v>379</v>
      </c>
      <c r="F86" t="str">
        <f t="shared" si="32"/>
        <v>THU</v>
      </c>
      <c r="G86" s="3">
        <f t="shared" si="33"/>
        <v>43888</v>
      </c>
      <c r="H86" s="2">
        <f t="shared" ca="1" si="34"/>
        <v>365</v>
      </c>
      <c r="I86" t="str">
        <f t="shared" si="24"/>
        <v>NFLX</v>
      </c>
      <c r="J86">
        <f t="shared" si="25"/>
        <v>351</v>
      </c>
      <c r="K86">
        <f t="shared" si="26"/>
        <v>383</v>
      </c>
      <c r="L86">
        <f t="shared" si="27"/>
        <v>367</v>
      </c>
      <c r="M86">
        <f t="shared" si="28"/>
        <v>16</v>
      </c>
      <c r="N86">
        <f t="shared" si="36"/>
        <v>32</v>
      </c>
      <c r="O86">
        <f t="shared" si="29"/>
        <v>379</v>
      </c>
      <c r="P86">
        <f t="shared" si="30"/>
        <v>0.75</v>
      </c>
      <c r="Q86" t="str">
        <f t="shared" si="37"/>
        <v>7.39% | 1.06%</v>
      </c>
      <c r="R86" t="str">
        <f t="shared" si="31"/>
        <v>BULLISH</v>
      </c>
      <c r="S86">
        <f t="shared" si="38"/>
        <v>1</v>
      </c>
    </row>
    <row r="87" spans="1:19" x14ac:dyDescent="0.25">
      <c r="A87" s="5" t="str">
        <f t="shared" si="35"/>
        <v>43888TSLA</v>
      </c>
      <c r="B87" s="6" t="s">
        <v>33</v>
      </c>
      <c r="C87" s="6">
        <v>731</v>
      </c>
      <c r="D87" s="6">
        <v>940</v>
      </c>
      <c r="E87" s="6">
        <v>778</v>
      </c>
      <c r="F87" t="str">
        <f t="shared" si="32"/>
        <v>THU</v>
      </c>
      <c r="G87" s="3">
        <f t="shared" si="33"/>
        <v>43888</v>
      </c>
      <c r="H87" s="2">
        <f t="shared" ca="1" si="34"/>
        <v>365</v>
      </c>
      <c r="I87" t="str">
        <f t="shared" si="24"/>
        <v>TSLA</v>
      </c>
      <c r="J87">
        <f t="shared" si="25"/>
        <v>731</v>
      </c>
      <c r="K87">
        <f t="shared" si="26"/>
        <v>940</v>
      </c>
      <c r="L87">
        <f t="shared" si="27"/>
        <v>835.5</v>
      </c>
      <c r="M87">
        <f t="shared" si="28"/>
        <v>104.5</v>
      </c>
      <c r="N87">
        <f t="shared" si="36"/>
        <v>209</v>
      </c>
      <c r="O87">
        <f t="shared" si="29"/>
        <v>778</v>
      </c>
      <c r="P87">
        <f t="shared" si="30"/>
        <v>-0.55023923444976075</v>
      </c>
      <c r="Q87" t="str">
        <f t="shared" si="37"/>
        <v>6.04% | 20.82%</v>
      </c>
      <c r="R87" t="str">
        <f t="shared" si="31"/>
        <v>BULLISH</v>
      </c>
      <c r="S87">
        <f t="shared" si="38"/>
        <v>1</v>
      </c>
    </row>
    <row r="88" spans="1:19" hidden="1" x14ac:dyDescent="0.25">
      <c r="A88" s="5" t="str">
        <f t="shared" si="35"/>
        <v>43888NYXBT</v>
      </c>
      <c r="B88" s="6" t="s">
        <v>60</v>
      </c>
      <c r="C88" s="6">
        <v>8779</v>
      </c>
      <c r="D88" s="6">
        <v>10554</v>
      </c>
      <c r="E88" s="6">
        <v>9011</v>
      </c>
      <c r="F88" t="str">
        <f t="shared" si="32"/>
        <v>THU</v>
      </c>
      <c r="G88" s="3">
        <f t="shared" si="33"/>
        <v>43888</v>
      </c>
      <c r="H88" s="2">
        <f t="shared" ca="1" si="34"/>
        <v>365</v>
      </c>
      <c r="I88" t="str">
        <f t="shared" si="24"/>
        <v>NYXBT</v>
      </c>
      <c r="J88">
        <f t="shared" si="25"/>
        <v>8779</v>
      </c>
      <c r="K88">
        <f t="shared" si="26"/>
        <v>10554</v>
      </c>
      <c r="L88">
        <f t="shared" si="27"/>
        <v>9666.5</v>
      </c>
      <c r="M88">
        <f t="shared" si="28"/>
        <v>887.5</v>
      </c>
      <c r="N88">
        <f t="shared" si="36"/>
        <v>1775</v>
      </c>
      <c r="O88">
        <f t="shared" si="29"/>
        <v>9011</v>
      </c>
      <c r="P88">
        <f t="shared" si="30"/>
        <v>-0.73859154929577464</v>
      </c>
      <c r="Q88" t="str">
        <f t="shared" si="37"/>
        <v>2.57% | 17.12%</v>
      </c>
      <c r="R88" t="str">
        <f t="shared" si="31"/>
        <v>BULLISH</v>
      </c>
      <c r="S88">
        <f t="shared" si="38"/>
        <v>1</v>
      </c>
    </row>
    <row r="89" spans="1:19" hidden="1" x14ac:dyDescent="0.25">
      <c r="A89" s="5" t="str">
        <f t="shared" si="35"/>
        <v>43889UST10Y</v>
      </c>
      <c r="B89" s="6" t="s">
        <v>4</v>
      </c>
      <c r="C89" s="6">
        <v>1.46</v>
      </c>
      <c r="D89" s="6">
        <v>1.1499999999999999</v>
      </c>
      <c r="E89" s="6">
        <v>1.3</v>
      </c>
      <c r="F89" t="str">
        <f t="shared" si="32"/>
        <v>FRI</v>
      </c>
      <c r="G89" s="1">
        <f>DATE(2020,2,28)</f>
        <v>43889</v>
      </c>
      <c r="H89" s="2">
        <f t="shared" ca="1" si="34"/>
        <v>364</v>
      </c>
      <c r="I89" t="str">
        <f t="shared" ref="I89:I118" si="39">TRIM(LEFT(B89,FIND(" ",B89,1)))</f>
        <v>UST10Y</v>
      </c>
      <c r="J89">
        <f t="shared" ref="J89:J118" si="40">C89</f>
        <v>1.46</v>
      </c>
      <c r="K89">
        <f t="shared" ref="K89:K118" si="41">D89</f>
        <v>1.1499999999999999</v>
      </c>
      <c r="L89">
        <f t="shared" ref="L89:L118" si="42">AVERAGE(J89:K89)</f>
        <v>1.3049999999999999</v>
      </c>
      <c r="M89">
        <f t="shared" ref="M89:M118" si="43">_xlfn.STDEV.P(J89:K89)</f>
        <v>0.15499999999999989</v>
      </c>
      <c r="N89">
        <f t="shared" si="36"/>
        <v>0.31000000000000005</v>
      </c>
      <c r="O89">
        <f t="shared" ref="O89:O118" si="44">E89</f>
        <v>1.3</v>
      </c>
      <c r="P89">
        <f t="shared" ref="P89:P118" si="45">(O89-L89)/M89</f>
        <v>-3.2258064516128365E-2</v>
      </c>
      <c r="Q89" t="str">
        <f t="shared" si="37"/>
        <v>12.31% | 11.54%</v>
      </c>
      <c r="R89" t="str">
        <f t="shared" ref="R89:R118" si="46">MID(B89,FIND("(",B89,1)+1,FIND(")",B89,1)-FIND("(",B89,1)-1)</f>
        <v>BEARISH</v>
      </c>
      <c r="S89">
        <f t="shared" si="38"/>
        <v>-1</v>
      </c>
    </row>
    <row r="90" spans="1:19" hidden="1" x14ac:dyDescent="0.25">
      <c r="A90" s="5" t="str">
        <f t="shared" si="35"/>
        <v>43889UST2Y</v>
      </c>
      <c r="B90" s="6" t="s">
        <v>5</v>
      </c>
      <c r="C90" s="6">
        <v>1.3</v>
      </c>
      <c r="D90" s="6">
        <v>0.95</v>
      </c>
      <c r="E90" s="6">
        <v>1.1100000000000001</v>
      </c>
      <c r="F90" t="str">
        <f t="shared" ref="F90:F118" si="47">UPPER(TEXT(G90,"ddd"))</f>
        <v>FRI</v>
      </c>
      <c r="G90" s="1">
        <f t="shared" ref="G90:G117" si="48">DATE(2020,2,28)</f>
        <v>43889</v>
      </c>
      <c r="H90" s="2">
        <f t="shared" ca="1" si="34"/>
        <v>364</v>
      </c>
      <c r="I90" t="str">
        <f t="shared" si="39"/>
        <v>UST2Y</v>
      </c>
      <c r="J90">
        <f t="shared" si="40"/>
        <v>1.3</v>
      </c>
      <c r="K90">
        <f t="shared" si="41"/>
        <v>0.95</v>
      </c>
      <c r="L90">
        <f t="shared" si="42"/>
        <v>1.125</v>
      </c>
      <c r="M90">
        <f t="shared" si="43"/>
        <v>0.17500000000000035</v>
      </c>
      <c r="N90">
        <f t="shared" si="36"/>
        <v>0.35000000000000009</v>
      </c>
      <c r="O90">
        <f t="shared" si="44"/>
        <v>1.1100000000000001</v>
      </c>
      <c r="P90">
        <f t="shared" si="45"/>
        <v>-8.571428571428498E-2</v>
      </c>
      <c r="Q90" t="str">
        <f t="shared" si="37"/>
        <v>17.12% | 14.41%</v>
      </c>
      <c r="R90" t="str">
        <f t="shared" si="46"/>
        <v>BEARISH</v>
      </c>
      <c r="S90">
        <f t="shared" si="38"/>
        <v>-1</v>
      </c>
    </row>
    <row r="91" spans="1:19" hidden="1" x14ac:dyDescent="0.25">
      <c r="A91" s="5" t="str">
        <f t="shared" si="35"/>
        <v>43889SPX</v>
      </c>
      <c r="B91" s="6" t="s">
        <v>6</v>
      </c>
      <c r="C91" s="6">
        <v>2832</v>
      </c>
      <c r="D91" s="6">
        <v>3206</v>
      </c>
      <c r="E91" s="6">
        <v>2978</v>
      </c>
      <c r="F91" t="str">
        <f t="shared" si="47"/>
        <v>FRI</v>
      </c>
      <c r="G91" s="1">
        <f t="shared" si="48"/>
        <v>43889</v>
      </c>
      <c r="H91" s="2">
        <f t="shared" ca="1" si="34"/>
        <v>364</v>
      </c>
      <c r="I91" t="str">
        <f t="shared" si="39"/>
        <v>SPX</v>
      </c>
      <c r="J91">
        <f t="shared" si="40"/>
        <v>2832</v>
      </c>
      <c r="K91">
        <f t="shared" si="41"/>
        <v>3206</v>
      </c>
      <c r="L91">
        <f t="shared" si="42"/>
        <v>3019</v>
      </c>
      <c r="M91">
        <f t="shared" si="43"/>
        <v>187</v>
      </c>
      <c r="N91">
        <f t="shared" si="36"/>
        <v>374</v>
      </c>
      <c r="O91">
        <f t="shared" si="44"/>
        <v>2978</v>
      </c>
      <c r="P91">
        <f t="shared" si="45"/>
        <v>-0.21925133689839571</v>
      </c>
      <c r="Q91" t="str">
        <f t="shared" si="37"/>
        <v>4.9% | 7.66%</v>
      </c>
      <c r="R91" t="str">
        <f t="shared" si="46"/>
        <v>BEARISH</v>
      </c>
      <c r="S91">
        <f t="shared" si="38"/>
        <v>-1</v>
      </c>
    </row>
    <row r="92" spans="1:19" hidden="1" x14ac:dyDescent="0.25">
      <c r="A92" s="5" t="str">
        <f t="shared" si="35"/>
        <v>43889RUT</v>
      </c>
      <c r="B92" s="6" t="s">
        <v>7</v>
      </c>
      <c r="C92" s="6">
        <v>1458</v>
      </c>
      <c r="D92" s="6">
        <v>1571</v>
      </c>
      <c r="E92" s="6">
        <v>1497</v>
      </c>
      <c r="F92" t="str">
        <f t="shared" si="47"/>
        <v>FRI</v>
      </c>
      <c r="G92" s="1">
        <f t="shared" si="48"/>
        <v>43889</v>
      </c>
      <c r="H92" s="2">
        <f t="shared" ca="1" si="34"/>
        <v>364</v>
      </c>
      <c r="I92" t="str">
        <f t="shared" si="39"/>
        <v>RUT</v>
      </c>
      <c r="J92">
        <f t="shared" si="40"/>
        <v>1458</v>
      </c>
      <c r="K92">
        <f t="shared" si="41"/>
        <v>1571</v>
      </c>
      <c r="L92">
        <f t="shared" si="42"/>
        <v>1514.5</v>
      </c>
      <c r="M92">
        <f t="shared" si="43"/>
        <v>56.5</v>
      </c>
      <c r="N92">
        <f t="shared" si="36"/>
        <v>113</v>
      </c>
      <c r="O92">
        <f t="shared" si="44"/>
        <v>1497</v>
      </c>
      <c r="P92">
        <f t="shared" si="45"/>
        <v>-0.30973451327433627</v>
      </c>
      <c r="Q92" t="str">
        <f t="shared" si="37"/>
        <v>2.61% | 4.94%</v>
      </c>
      <c r="R92" t="str">
        <f t="shared" si="46"/>
        <v>BEARISH</v>
      </c>
      <c r="S92">
        <f t="shared" si="38"/>
        <v>-1</v>
      </c>
    </row>
    <row r="93" spans="1:19" hidden="1" x14ac:dyDescent="0.25">
      <c r="A93" s="5" t="str">
        <f t="shared" si="35"/>
        <v>43889COMPQ</v>
      </c>
      <c r="B93" s="6" t="s">
        <v>64</v>
      </c>
      <c r="C93" s="6">
        <v>8193</v>
      </c>
      <c r="D93" s="6">
        <v>9328</v>
      </c>
      <c r="E93" s="6">
        <v>8566</v>
      </c>
      <c r="F93" t="str">
        <f t="shared" si="47"/>
        <v>FRI</v>
      </c>
      <c r="G93" s="1">
        <f t="shared" si="48"/>
        <v>43889</v>
      </c>
      <c r="H93" s="2">
        <f t="shared" ca="1" si="34"/>
        <v>364</v>
      </c>
      <c r="I93" t="str">
        <f t="shared" si="39"/>
        <v>COMPQ</v>
      </c>
      <c r="J93">
        <f t="shared" si="40"/>
        <v>8193</v>
      </c>
      <c r="K93">
        <f t="shared" si="41"/>
        <v>9328</v>
      </c>
      <c r="L93">
        <f t="shared" si="42"/>
        <v>8760.5</v>
      </c>
      <c r="M93">
        <f t="shared" si="43"/>
        <v>567.5</v>
      </c>
      <c r="N93">
        <f t="shared" si="36"/>
        <v>1135</v>
      </c>
      <c r="O93">
        <f t="shared" si="44"/>
        <v>8566</v>
      </c>
      <c r="P93">
        <f t="shared" si="45"/>
        <v>-0.34273127753303967</v>
      </c>
      <c r="Q93" t="str">
        <f t="shared" si="37"/>
        <v>4.35% | 8.9%</v>
      </c>
      <c r="R93" t="str">
        <f t="shared" si="46"/>
        <v>BEARISH</v>
      </c>
      <c r="S93">
        <f t="shared" si="38"/>
        <v>-1</v>
      </c>
    </row>
    <row r="94" spans="1:19" hidden="1" x14ac:dyDescent="0.25">
      <c r="A94" s="5" t="str">
        <f t="shared" si="35"/>
        <v>43889XLU</v>
      </c>
      <c r="B94" s="6" t="s">
        <v>52</v>
      </c>
      <c r="C94" s="6">
        <v>63.11</v>
      </c>
      <c r="D94" s="6">
        <v>71.099999999999994</v>
      </c>
      <c r="E94" s="6">
        <v>64.33</v>
      </c>
      <c r="F94" t="str">
        <f t="shared" si="47"/>
        <v>FRI</v>
      </c>
      <c r="G94" s="1">
        <f t="shared" si="48"/>
        <v>43889</v>
      </c>
      <c r="H94" s="2">
        <f t="shared" ca="1" si="34"/>
        <v>364</v>
      </c>
      <c r="I94" t="str">
        <f t="shared" si="39"/>
        <v>XLU</v>
      </c>
      <c r="J94">
        <f t="shared" si="40"/>
        <v>63.11</v>
      </c>
      <c r="K94">
        <f t="shared" si="41"/>
        <v>71.099999999999994</v>
      </c>
      <c r="L94">
        <f t="shared" si="42"/>
        <v>67.10499999999999</v>
      </c>
      <c r="M94">
        <f t="shared" si="43"/>
        <v>3.9949999999999974</v>
      </c>
      <c r="N94">
        <f t="shared" si="36"/>
        <v>7.9899999999999949</v>
      </c>
      <c r="O94">
        <f t="shared" si="44"/>
        <v>64.33</v>
      </c>
      <c r="P94">
        <f t="shared" si="45"/>
        <v>-0.6946182728410496</v>
      </c>
      <c r="Q94" t="str">
        <f t="shared" si="37"/>
        <v>1.9% | 10.52%</v>
      </c>
      <c r="R94" t="str">
        <f t="shared" si="46"/>
        <v>BULLISH</v>
      </c>
      <c r="S94">
        <f t="shared" si="38"/>
        <v>1</v>
      </c>
    </row>
    <row r="95" spans="1:19" hidden="1" x14ac:dyDescent="0.25">
      <c r="A95" s="5" t="str">
        <f t="shared" si="35"/>
        <v>43889VNQ</v>
      </c>
      <c r="B95" s="6" t="s">
        <v>67</v>
      </c>
      <c r="C95" s="6">
        <v>87.5</v>
      </c>
      <c r="D95" s="6">
        <v>97.09</v>
      </c>
      <c r="E95" s="6">
        <v>89.49</v>
      </c>
      <c r="F95" t="str">
        <f t="shared" si="47"/>
        <v>FRI</v>
      </c>
      <c r="G95" s="1">
        <f t="shared" si="48"/>
        <v>43889</v>
      </c>
      <c r="H95" s="2">
        <f t="shared" ca="1" si="34"/>
        <v>364</v>
      </c>
      <c r="I95" t="str">
        <f t="shared" si="39"/>
        <v>VNQ</v>
      </c>
      <c r="J95">
        <f t="shared" si="40"/>
        <v>87.5</v>
      </c>
      <c r="K95">
        <f t="shared" si="41"/>
        <v>97.09</v>
      </c>
      <c r="L95">
        <f t="shared" si="42"/>
        <v>92.295000000000002</v>
      </c>
      <c r="M95">
        <f t="shared" si="43"/>
        <v>4.7950000000000017</v>
      </c>
      <c r="N95">
        <f t="shared" si="36"/>
        <v>9.5900000000000034</v>
      </c>
      <c r="O95">
        <f t="shared" si="44"/>
        <v>89.49</v>
      </c>
      <c r="P95">
        <f t="shared" si="45"/>
        <v>-0.58498435870698762</v>
      </c>
      <c r="Q95" t="str">
        <f t="shared" si="37"/>
        <v>2.22% | 8.49%</v>
      </c>
      <c r="R95" t="str">
        <f t="shared" si="46"/>
        <v>BEARISH</v>
      </c>
      <c r="S95">
        <f t="shared" si="38"/>
        <v>-1</v>
      </c>
    </row>
    <row r="96" spans="1:19" hidden="1" x14ac:dyDescent="0.25">
      <c r="A96" s="5" t="str">
        <f t="shared" si="35"/>
        <v>43889XLP</v>
      </c>
      <c r="B96" s="6" t="s">
        <v>11</v>
      </c>
      <c r="C96" s="6">
        <v>57.75</v>
      </c>
      <c r="D96" s="6">
        <v>63.28</v>
      </c>
      <c r="E96" s="6">
        <v>59.16</v>
      </c>
      <c r="F96" t="str">
        <f t="shared" si="47"/>
        <v>FRI</v>
      </c>
      <c r="G96" s="1">
        <f t="shared" si="48"/>
        <v>43889</v>
      </c>
      <c r="H96" s="2">
        <f t="shared" ca="1" si="34"/>
        <v>364</v>
      </c>
      <c r="I96" t="str">
        <f t="shared" si="39"/>
        <v>XLP</v>
      </c>
      <c r="J96">
        <f t="shared" si="40"/>
        <v>57.75</v>
      </c>
      <c r="K96">
        <f t="shared" si="41"/>
        <v>63.28</v>
      </c>
      <c r="L96">
        <f t="shared" si="42"/>
        <v>60.515000000000001</v>
      </c>
      <c r="M96">
        <f t="shared" si="43"/>
        <v>2.7650000000000006</v>
      </c>
      <c r="N96">
        <f t="shared" si="36"/>
        <v>5.5300000000000011</v>
      </c>
      <c r="O96">
        <f t="shared" si="44"/>
        <v>59.16</v>
      </c>
      <c r="P96">
        <f t="shared" si="45"/>
        <v>-0.49005424954792176</v>
      </c>
      <c r="Q96" t="str">
        <f t="shared" si="37"/>
        <v>2.38% | 6.96%</v>
      </c>
      <c r="R96" t="str">
        <f t="shared" si="46"/>
        <v>BEARISH</v>
      </c>
      <c r="S96">
        <f t="shared" si="38"/>
        <v>-1</v>
      </c>
    </row>
    <row r="97" spans="1:19" hidden="1" x14ac:dyDescent="0.25">
      <c r="A97" s="5" t="str">
        <f t="shared" si="35"/>
        <v>43889XLK</v>
      </c>
      <c r="B97" s="6" t="s">
        <v>65</v>
      </c>
      <c r="C97" s="6">
        <v>84.89</v>
      </c>
      <c r="D97" s="6">
        <v>96.8</v>
      </c>
      <c r="E97" s="6">
        <v>87.7</v>
      </c>
      <c r="F97" t="str">
        <f t="shared" si="47"/>
        <v>FRI</v>
      </c>
      <c r="G97" s="1">
        <f t="shared" si="48"/>
        <v>43889</v>
      </c>
      <c r="H97" s="2">
        <f t="shared" ca="1" si="34"/>
        <v>364</v>
      </c>
      <c r="I97" t="str">
        <f t="shared" si="39"/>
        <v>XLK</v>
      </c>
      <c r="J97">
        <f t="shared" si="40"/>
        <v>84.89</v>
      </c>
      <c r="K97">
        <f t="shared" si="41"/>
        <v>96.8</v>
      </c>
      <c r="L97">
        <f t="shared" si="42"/>
        <v>90.844999999999999</v>
      </c>
      <c r="M97">
        <f t="shared" si="43"/>
        <v>5.9549999999999983</v>
      </c>
      <c r="N97">
        <f t="shared" si="36"/>
        <v>11.909999999999997</v>
      </c>
      <c r="O97">
        <f t="shared" si="44"/>
        <v>87.7</v>
      </c>
      <c r="P97">
        <f t="shared" si="45"/>
        <v>-0.52812762384550749</v>
      </c>
      <c r="Q97" t="str">
        <f t="shared" si="37"/>
        <v>3.2% | 10.38%</v>
      </c>
      <c r="R97" t="str">
        <f t="shared" si="46"/>
        <v>BEARISH</v>
      </c>
      <c r="S97">
        <f t="shared" si="38"/>
        <v>-1</v>
      </c>
    </row>
    <row r="98" spans="1:19" hidden="1" x14ac:dyDescent="0.25">
      <c r="A98" s="5" t="str">
        <f t="shared" si="35"/>
        <v>43889SSEC</v>
      </c>
      <c r="B98" s="6" t="s">
        <v>14</v>
      </c>
      <c r="C98" s="6">
        <v>2825</v>
      </c>
      <c r="D98" s="6">
        <v>3051</v>
      </c>
      <c r="E98" s="6">
        <v>2880</v>
      </c>
      <c r="F98" t="str">
        <f t="shared" si="47"/>
        <v>FRI</v>
      </c>
      <c r="G98" s="1">
        <f t="shared" si="48"/>
        <v>43889</v>
      </c>
      <c r="H98" s="2">
        <f t="shared" ca="1" si="34"/>
        <v>364</v>
      </c>
      <c r="I98" t="str">
        <f t="shared" si="39"/>
        <v>SSEC</v>
      </c>
      <c r="J98">
        <f t="shared" si="40"/>
        <v>2825</v>
      </c>
      <c r="K98">
        <f t="shared" si="41"/>
        <v>3051</v>
      </c>
      <c r="L98">
        <f t="shared" si="42"/>
        <v>2938</v>
      </c>
      <c r="M98">
        <f t="shared" si="43"/>
        <v>113</v>
      </c>
      <c r="N98">
        <f t="shared" si="36"/>
        <v>226</v>
      </c>
      <c r="O98">
        <f t="shared" si="44"/>
        <v>2880</v>
      </c>
      <c r="P98">
        <f t="shared" si="45"/>
        <v>-0.51327433628318586</v>
      </c>
      <c r="Q98" t="str">
        <f t="shared" si="37"/>
        <v>1.91% | 5.94%</v>
      </c>
      <c r="R98" t="str">
        <f t="shared" si="46"/>
        <v>BEARISH</v>
      </c>
      <c r="S98">
        <f t="shared" si="38"/>
        <v>-1</v>
      </c>
    </row>
    <row r="99" spans="1:19" hidden="1" x14ac:dyDescent="0.25">
      <c r="A99" s="5" t="str">
        <f t="shared" si="35"/>
        <v>43889NIKK</v>
      </c>
      <c r="B99" s="6" t="s">
        <v>15</v>
      </c>
      <c r="C99" s="6">
        <v>20943</v>
      </c>
      <c r="D99" s="6">
        <v>23070</v>
      </c>
      <c r="E99" s="6">
        <v>21142</v>
      </c>
      <c r="F99" t="str">
        <f t="shared" si="47"/>
        <v>FRI</v>
      </c>
      <c r="G99" s="1">
        <f t="shared" si="48"/>
        <v>43889</v>
      </c>
      <c r="H99" s="2">
        <f t="shared" ca="1" si="34"/>
        <v>364</v>
      </c>
      <c r="I99" t="str">
        <f t="shared" si="39"/>
        <v>NIKK</v>
      </c>
      <c r="J99">
        <f t="shared" si="40"/>
        <v>20943</v>
      </c>
      <c r="K99">
        <f t="shared" si="41"/>
        <v>23070</v>
      </c>
      <c r="L99">
        <f t="shared" si="42"/>
        <v>22006.5</v>
      </c>
      <c r="M99">
        <f t="shared" si="43"/>
        <v>1063.5</v>
      </c>
      <c r="N99">
        <f t="shared" si="36"/>
        <v>2127</v>
      </c>
      <c r="O99">
        <f t="shared" si="44"/>
        <v>21142</v>
      </c>
      <c r="P99">
        <f t="shared" si="45"/>
        <v>-0.81288199341795953</v>
      </c>
      <c r="Q99" t="str">
        <f t="shared" si="37"/>
        <v>0.94% | 9.12%</v>
      </c>
      <c r="R99" t="str">
        <f t="shared" si="46"/>
        <v>BEARISH</v>
      </c>
      <c r="S99">
        <f t="shared" si="38"/>
        <v>-1</v>
      </c>
    </row>
    <row r="100" spans="1:19" hidden="1" x14ac:dyDescent="0.25">
      <c r="A100" s="5" t="str">
        <f t="shared" si="35"/>
        <v>43889DAX</v>
      </c>
      <c r="B100" s="6" t="s">
        <v>16</v>
      </c>
      <c r="C100" s="6">
        <v>11740</v>
      </c>
      <c r="D100" s="6">
        <v>13178</v>
      </c>
      <c r="E100" s="6">
        <v>12367</v>
      </c>
      <c r="F100" t="str">
        <f t="shared" si="47"/>
        <v>FRI</v>
      </c>
      <c r="G100" s="1">
        <f t="shared" si="48"/>
        <v>43889</v>
      </c>
      <c r="H100" s="2">
        <f t="shared" ca="1" si="34"/>
        <v>364</v>
      </c>
      <c r="I100" t="str">
        <f t="shared" si="39"/>
        <v>DAX</v>
      </c>
      <c r="J100">
        <f t="shared" si="40"/>
        <v>11740</v>
      </c>
      <c r="K100">
        <f t="shared" si="41"/>
        <v>13178</v>
      </c>
      <c r="L100">
        <f t="shared" si="42"/>
        <v>12459</v>
      </c>
      <c r="M100">
        <f t="shared" si="43"/>
        <v>719</v>
      </c>
      <c r="N100">
        <f t="shared" si="36"/>
        <v>1438</v>
      </c>
      <c r="O100">
        <f t="shared" si="44"/>
        <v>12367</v>
      </c>
      <c r="P100">
        <f t="shared" si="45"/>
        <v>-0.12795549374130738</v>
      </c>
      <c r="Q100" t="str">
        <f t="shared" si="37"/>
        <v>5.07% | 6.56%</v>
      </c>
      <c r="R100" t="str">
        <f t="shared" si="46"/>
        <v>BEARISH</v>
      </c>
      <c r="S100">
        <f t="shared" si="38"/>
        <v>-1</v>
      </c>
    </row>
    <row r="101" spans="1:19" hidden="1" x14ac:dyDescent="0.25">
      <c r="A101" s="5" t="str">
        <f t="shared" si="35"/>
        <v>43889VIX</v>
      </c>
      <c r="B101" s="6" t="s">
        <v>17</v>
      </c>
      <c r="C101" s="6">
        <v>21.7</v>
      </c>
      <c r="D101" s="6">
        <v>45.42</v>
      </c>
      <c r="E101" s="6">
        <v>39.159999999999997</v>
      </c>
      <c r="F101" t="str">
        <f t="shared" si="47"/>
        <v>FRI</v>
      </c>
      <c r="G101" s="1">
        <f t="shared" si="48"/>
        <v>43889</v>
      </c>
      <c r="H101" s="2">
        <f t="shared" ca="1" si="34"/>
        <v>364</v>
      </c>
      <c r="I101" t="str">
        <f t="shared" si="39"/>
        <v>VIX</v>
      </c>
      <c r="J101">
        <f t="shared" si="40"/>
        <v>21.7</v>
      </c>
      <c r="K101">
        <f t="shared" si="41"/>
        <v>45.42</v>
      </c>
      <c r="L101">
        <f t="shared" si="42"/>
        <v>33.56</v>
      </c>
      <c r="M101">
        <f t="shared" si="43"/>
        <v>11.859999999999989</v>
      </c>
      <c r="N101">
        <f t="shared" si="36"/>
        <v>23.720000000000002</v>
      </c>
      <c r="O101">
        <f t="shared" si="44"/>
        <v>39.159999999999997</v>
      </c>
      <c r="P101">
        <f t="shared" si="45"/>
        <v>0.47217537942664417</v>
      </c>
      <c r="Q101" t="str">
        <f t="shared" si="37"/>
        <v>44.59% | 15.99%</v>
      </c>
      <c r="R101" t="str">
        <f t="shared" si="46"/>
        <v>BULLISH</v>
      </c>
      <c r="S101">
        <f t="shared" si="38"/>
        <v>1</v>
      </c>
    </row>
    <row r="102" spans="1:19" hidden="1" x14ac:dyDescent="0.25">
      <c r="A102" s="5" t="str">
        <f t="shared" si="35"/>
        <v>43889USD</v>
      </c>
      <c r="B102" s="6" t="s">
        <v>18</v>
      </c>
      <c r="C102" s="6">
        <v>98.25</v>
      </c>
      <c r="D102" s="6">
        <v>99.95</v>
      </c>
      <c r="E102" s="6">
        <v>98.46</v>
      </c>
      <c r="F102" t="str">
        <f t="shared" si="47"/>
        <v>FRI</v>
      </c>
      <c r="G102" s="1">
        <f t="shared" si="48"/>
        <v>43889</v>
      </c>
      <c r="H102" s="2">
        <f t="shared" ca="1" si="34"/>
        <v>364</v>
      </c>
      <c r="I102" t="str">
        <f t="shared" si="39"/>
        <v>USD</v>
      </c>
      <c r="J102">
        <f t="shared" si="40"/>
        <v>98.25</v>
      </c>
      <c r="K102">
        <f t="shared" si="41"/>
        <v>99.95</v>
      </c>
      <c r="L102">
        <f t="shared" si="42"/>
        <v>99.1</v>
      </c>
      <c r="M102">
        <f t="shared" si="43"/>
        <v>0.85000000000000142</v>
      </c>
      <c r="N102">
        <f t="shared" si="36"/>
        <v>1.7000000000000028</v>
      </c>
      <c r="O102">
        <f t="shared" si="44"/>
        <v>98.46</v>
      </c>
      <c r="P102">
        <f t="shared" si="45"/>
        <v>-0.75294117647058767</v>
      </c>
      <c r="Q102" t="str">
        <f t="shared" si="37"/>
        <v>0.21% | 1.51%</v>
      </c>
      <c r="R102" t="str">
        <f t="shared" si="46"/>
        <v>BULLISH</v>
      </c>
      <c r="S102">
        <f t="shared" si="38"/>
        <v>1</v>
      </c>
    </row>
    <row r="103" spans="1:19" hidden="1" x14ac:dyDescent="0.25">
      <c r="A103" s="5" t="str">
        <f t="shared" si="35"/>
        <v>43889EUR/USD</v>
      </c>
      <c r="B103" s="6" t="s">
        <v>19</v>
      </c>
      <c r="C103" s="6">
        <v>1.07</v>
      </c>
      <c r="D103" s="6">
        <v>1.1000000000000001</v>
      </c>
      <c r="E103" s="6">
        <v>1.0900000000000001</v>
      </c>
      <c r="F103" t="str">
        <f t="shared" si="47"/>
        <v>FRI</v>
      </c>
      <c r="G103" s="1">
        <f t="shared" si="48"/>
        <v>43889</v>
      </c>
      <c r="H103" s="2">
        <f t="shared" ca="1" si="34"/>
        <v>364</v>
      </c>
      <c r="I103" t="str">
        <f t="shared" si="39"/>
        <v>EUR/USD</v>
      </c>
      <c r="J103">
        <f t="shared" si="40"/>
        <v>1.07</v>
      </c>
      <c r="K103">
        <f t="shared" si="41"/>
        <v>1.1000000000000001</v>
      </c>
      <c r="L103">
        <f t="shared" si="42"/>
        <v>1.085</v>
      </c>
      <c r="M103">
        <f t="shared" si="43"/>
        <v>1.5000000000000013E-2</v>
      </c>
      <c r="N103">
        <f t="shared" si="36"/>
        <v>3.0000000000000027E-2</v>
      </c>
      <c r="O103">
        <f t="shared" si="44"/>
        <v>1.0900000000000001</v>
      </c>
      <c r="P103">
        <f t="shared" si="45"/>
        <v>0.33333333333334075</v>
      </c>
      <c r="Q103" t="str">
        <f t="shared" si="37"/>
        <v>1.83% | 0.92%</v>
      </c>
      <c r="R103" t="str">
        <f t="shared" si="46"/>
        <v>BEARISH</v>
      </c>
      <c r="S103">
        <f t="shared" si="38"/>
        <v>-1</v>
      </c>
    </row>
    <row r="104" spans="1:19" hidden="1" x14ac:dyDescent="0.25">
      <c r="A104" s="5" t="str">
        <f t="shared" si="35"/>
        <v>43889USD/JPY</v>
      </c>
      <c r="B104" s="6" t="s">
        <v>56</v>
      </c>
      <c r="C104" s="6">
        <v>108.68</v>
      </c>
      <c r="D104" s="6">
        <v>112</v>
      </c>
      <c r="E104" s="6">
        <v>109.66</v>
      </c>
      <c r="F104" t="str">
        <f t="shared" si="47"/>
        <v>FRI</v>
      </c>
      <c r="G104" s="1">
        <f t="shared" si="48"/>
        <v>43889</v>
      </c>
      <c r="H104" s="2">
        <f t="shared" ca="1" si="34"/>
        <v>364</v>
      </c>
      <c r="I104" t="str">
        <f t="shared" si="39"/>
        <v>USD/JPY</v>
      </c>
      <c r="J104">
        <f t="shared" si="40"/>
        <v>108.68</v>
      </c>
      <c r="K104">
        <f t="shared" si="41"/>
        <v>112</v>
      </c>
      <c r="L104">
        <f t="shared" si="42"/>
        <v>110.34</v>
      </c>
      <c r="M104">
        <f t="shared" si="43"/>
        <v>1.6599999999999966</v>
      </c>
      <c r="N104">
        <f t="shared" si="36"/>
        <v>3.3199999999999932</v>
      </c>
      <c r="O104">
        <f t="shared" si="44"/>
        <v>109.66</v>
      </c>
      <c r="P104">
        <f t="shared" si="45"/>
        <v>-0.4096385542168724</v>
      </c>
      <c r="Q104" t="str">
        <f t="shared" si="37"/>
        <v>0.89% | 2.13%</v>
      </c>
      <c r="R104" t="str">
        <f t="shared" si="46"/>
        <v>BULLISH</v>
      </c>
      <c r="S104">
        <f t="shared" si="38"/>
        <v>1</v>
      </c>
    </row>
    <row r="105" spans="1:19" hidden="1" x14ac:dyDescent="0.25">
      <c r="A105" s="5" t="str">
        <f t="shared" si="35"/>
        <v>43889GBP/USD</v>
      </c>
      <c r="B105" s="6" t="s">
        <v>21</v>
      </c>
      <c r="C105" s="6">
        <v>1.28</v>
      </c>
      <c r="D105" s="6">
        <v>1.3</v>
      </c>
      <c r="E105" s="6">
        <v>1.28</v>
      </c>
      <c r="F105" t="str">
        <f t="shared" si="47"/>
        <v>FRI</v>
      </c>
      <c r="G105" s="1">
        <f t="shared" si="48"/>
        <v>43889</v>
      </c>
      <c r="H105" s="2">
        <f t="shared" ca="1" si="34"/>
        <v>364</v>
      </c>
      <c r="I105" t="str">
        <f t="shared" si="39"/>
        <v>GBP/USD</v>
      </c>
      <c r="J105">
        <f t="shared" si="40"/>
        <v>1.28</v>
      </c>
      <c r="K105">
        <f t="shared" si="41"/>
        <v>1.3</v>
      </c>
      <c r="L105">
        <f t="shared" si="42"/>
        <v>1.29</v>
      </c>
      <c r="M105">
        <f t="shared" si="43"/>
        <v>1.0000000000000009E-2</v>
      </c>
      <c r="N105">
        <f t="shared" si="36"/>
        <v>2.0000000000000018E-2</v>
      </c>
      <c r="O105">
        <f t="shared" si="44"/>
        <v>1.28</v>
      </c>
      <c r="P105">
        <f t="shared" si="45"/>
        <v>-1</v>
      </c>
      <c r="Q105" t="str">
        <f t="shared" si="37"/>
        <v>0% | 1.56%</v>
      </c>
      <c r="R105" t="str">
        <f t="shared" si="46"/>
        <v>BEARISH</v>
      </c>
      <c r="S105">
        <f t="shared" si="38"/>
        <v>-1</v>
      </c>
    </row>
    <row r="106" spans="1:19" hidden="1" x14ac:dyDescent="0.25">
      <c r="A106" s="5" t="str">
        <f t="shared" si="35"/>
        <v>43889USD/CHF</v>
      </c>
      <c r="B106" s="6" t="s">
        <v>57</v>
      </c>
      <c r="C106" s="6">
        <v>0.96</v>
      </c>
      <c r="D106" s="6">
        <v>0.99</v>
      </c>
      <c r="E106" s="6">
        <v>0.96</v>
      </c>
      <c r="F106" t="str">
        <f t="shared" si="47"/>
        <v>FRI</v>
      </c>
      <c r="G106" s="1">
        <f t="shared" si="48"/>
        <v>43889</v>
      </c>
      <c r="H106" s="2">
        <f t="shared" ca="1" si="34"/>
        <v>364</v>
      </c>
      <c r="I106" t="str">
        <f t="shared" si="39"/>
        <v>USD/CHF</v>
      </c>
      <c r="J106">
        <f t="shared" si="40"/>
        <v>0.96</v>
      </c>
      <c r="K106">
        <f t="shared" si="41"/>
        <v>0.99</v>
      </c>
      <c r="L106">
        <f t="shared" si="42"/>
        <v>0.97499999999999998</v>
      </c>
      <c r="M106">
        <f t="shared" si="43"/>
        <v>1.5000000000000013E-2</v>
      </c>
      <c r="N106">
        <f t="shared" si="36"/>
        <v>3.0000000000000027E-2</v>
      </c>
      <c r="O106">
        <f t="shared" si="44"/>
        <v>0.96</v>
      </c>
      <c r="P106">
        <f t="shared" si="45"/>
        <v>-1</v>
      </c>
      <c r="Q106" t="str">
        <f t="shared" si="37"/>
        <v>0% | 3.13%</v>
      </c>
      <c r="R106" t="str">
        <f t="shared" si="46"/>
        <v>BULLISH</v>
      </c>
      <c r="S106">
        <f t="shared" si="38"/>
        <v>1</v>
      </c>
    </row>
    <row r="107" spans="1:19" hidden="1" x14ac:dyDescent="0.25">
      <c r="A107" s="5" t="str">
        <f t="shared" si="35"/>
        <v>43889WTIC</v>
      </c>
      <c r="B107" s="6" t="s">
        <v>23</v>
      </c>
      <c r="C107" s="6">
        <v>44.76</v>
      </c>
      <c r="D107" s="6">
        <v>51.46</v>
      </c>
      <c r="E107" s="6">
        <v>47.09</v>
      </c>
      <c r="F107" t="str">
        <f t="shared" si="47"/>
        <v>FRI</v>
      </c>
      <c r="G107" s="1">
        <f t="shared" si="48"/>
        <v>43889</v>
      </c>
      <c r="H107" s="2">
        <f t="shared" ca="1" si="34"/>
        <v>364</v>
      </c>
      <c r="I107" t="str">
        <f t="shared" si="39"/>
        <v>WTIC</v>
      </c>
      <c r="J107">
        <f t="shared" si="40"/>
        <v>44.76</v>
      </c>
      <c r="K107">
        <f t="shared" si="41"/>
        <v>51.46</v>
      </c>
      <c r="L107">
        <f t="shared" si="42"/>
        <v>48.11</v>
      </c>
      <c r="M107">
        <f t="shared" si="43"/>
        <v>3.3500000000000014</v>
      </c>
      <c r="N107">
        <f t="shared" si="36"/>
        <v>6.7000000000000028</v>
      </c>
      <c r="O107">
        <f t="shared" si="44"/>
        <v>47.09</v>
      </c>
      <c r="P107">
        <f t="shared" si="45"/>
        <v>-0.30447761194029721</v>
      </c>
      <c r="Q107" t="str">
        <f t="shared" si="37"/>
        <v>4.95% | 9.28%</v>
      </c>
      <c r="R107" t="str">
        <f t="shared" si="46"/>
        <v>BEARISH</v>
      </c>
      <c r="S107">
        <f t="shared" si="38"/>
        <v>-1</v>
      </c>
    </row>
    <row r="108" spans="1:19" hidden="1" x14ac:dyDescent="0.25">
      <c r="A108" s="5" t="str">
        <f t="shared" si="35"/>
        <v>43889NATGAS</v>
      </c>
      <c r="B108" s="6" t="s">
        <v>24</v>
      </c>
      <c r="C108" s="6">
        <v>1.64</v>
      </c>
      <c r="D108" s="6">
        <v>1.91</v>
      </c>
      <c r="E108" s="6">
        <v>1.75</v>
      </c>
      <c r="F108" t="str">
        <f t="shared" si="47"/>
        <v>FRI</v>
      </c>
      <c r="G108" s="1">
        <f t="shared" si="48"/>
        <v>43889</v>
      </c>
      <c r="H108" s="2">
        <f t="shared" ca="1" si="34"/>
        <v>364</v>
      </c>
      <c r="I108" t="str">
        <f t="shared" si="39"/>
        <v>NATGAS</v>
      </c>
      <c r="J108">
        <f t="shared" si="40"/>
        <v>1.64</v>
      </c>
      <c r="K108">
        <f t="shared" si="41"/>
        <v>1.91</v>
      </c>
      <c r="L108">
        <f t="shared" si="42"/>
        <v>1.7749999999999999</v>
      </c>
      <c r="M108">
        <f t="shared" si="43"/>
        <v>0.13500000000000001</v>
      </c>
      <c r="N108">
        <f t="shared" si="36"/>
        <v>0.27</v>
      </c>
      <c r="O108">
        <f t="shared" si="44"/>
        <v>1.75</v>
      </c>
      <c r="P108">
        <f t="shared" si="45"/>
        <v>-0.18518518518518451</v>
      </c>
      <c r="Q108" t="str">
        <f t="shared" si="37"/>
        <v>6.29% | 9.14%</v>
      </c>
      <c r="R108" t="str">
        <f t="shared" si="46"/>
        <v>BEARISH</v>
      </c>
      <c r="S108">
        <f t="shared" si="38"/>
        <v>-1</v>
      </c>
    </row>
    <row r="109" spans="1:19" hidden="1" x14ac:dyDescent="0.25">
      <c r="A109" s="5" t="str">
        <f t="shared" si="35"/>
        <v>43889GOLD</v>
      </c>
      <c r="B109" s="6" t="s">
        <v>25</v>
      </c>
      <c r="C109" s="6">
        <v>1579</v>
      </c>
      <c r="D109" s="6">
        <v>1685</v>
      </c>
      <c r="E109" s="6">
        <v>1642</v>
      </c>
      <c r="F109" t="str">
        <f t="shared" si="47"/>
        <v>FRI</v>
      </c>
      <c r="G109" s="1">
        <f t="shared" si="48"/>
        <v>43889</v>
      </c>
      <c r="H109" s="2">
        <f t="shared" ca="1" si="34"/>
        <v>364</v>
      </c>
      <c r="I109" t="str">
        <f t="shared" si="39"/>
        <v>GOLD</v>
      </c>
      <c r="J109">
        <f t="shared" si="40"/>
        <v>1579</v>
      </c>
      <c r="K109">
        <f t="shared" si="41"/>
        <v>1685</v>
      </c>
      <c r="L109">
        <f t="shared" si="42"/>
        <v>1632</v>
      </c>
      <c r="M109">
        <f t="shared" si="43"/>
        <v>53</v>
      </c>
      <c r="N109">
        <f t="shared" si="36"/>
        <v>106</v>
      </c>
      <c r="O109">
        <f t="shared" si="44"/>
        <v>1642</v>
      </c>
      <c r="P109">
        <f t="shared" si="45"/>
        <v>0.18867924528301888</v>
      </c>
      <c r="Q109" t="str">
        <f t="shared" si="37"/>
        <v>3.84% | 2.62%</v>
      </c>
      <c r="R109" t="str">
        <f t="shared" si="46"/>
        <v>BULLISH</v>
      </c>
      <c r="S109">
        <f t="shared" si="38"/>
        <v>1</v>
      </c>
    </row>
    <row r="110" spans="1:19" hidden="1" x14ac:dyDescent="0.25">
      <c r="A110" s="5" t="str">
        <f t="shared" si="35"/>
        <v>43889COPPER</v>
      </c>
      <c r="B110" s="6" t="s">
        <v>26</v>
      </c>
      <c r="C110" s="6">
        <v>2.5</v>
      </c>
      <c r="D110" s="6">
        <v>2.6</v>
      </c>
      <c r="E110" s="6">
        <v>2.57</v>
      </c>
      <c r="F110" t="str">
        <f t="shared" si="47"/>
        <v>FRI</v>
      </c>
      <c r="G110" s="1">
        <f t="shared" si="48"/>
        <v>43889</v>
      </c>
      <c r="H110" s="2">
        <f t="shared" ca="1" si="34"/>
        <v>364</v>
      </c>
      <c r="I110" t="str">
        <f t="shared" si="39"/>
        <v>COPPER</v>
      </c>
      <c r="J110">
        <f t="shared" si="40"/>
        <v>2.5</v>
      </c>
      <c r="K110">
        <f t="shared" si="41"/>
        <v>2.6</v>
      </c>
      <c r="L110">
        <f t="shared" si="42"/>
        <v>2.5499999999999998</v>
      </c>
      <c r="M110">
        <f t="shared" si="43"/>
        <v>5.0000000000000044E-2</v>
      </c>
      <c r="N110">
        <f t="shared" si="36"/>
        <v>0.10000000000000009</v>
      </c>
      <c r="O110">
        <f t="shared" si="44"/>
        <v>2.57</v>
      </c>
      <c r="P110">
        <f t="shared" si="45"/>
        <v>0.4</v>
      </c>
      <c r="Q110" t="str">
        <f t="shared" si="37"/>
        <v>2.72% | 1.17%</v>
      </c>
      <c r="R110" t="str">
        <f t="shared" si="46"/>
        <v>BEARISH</v>
      </c>
      <c r="S110">
        <f t="shared" si="38"/>
        <v>-1</v>
      </c>
    </row>
    <row r="111" spans="1:19" hidden="1" x14ac:dyDescent="0.25">
      <c r="A111" s="5" t="str">
        <f t="shared" si="35"/>
        <v>43889AAPL</v>
      </c>
      <c r="B111" s="6" t="s">
        <v>68</v>
      </c>
      <c r="C111" s="6">
        <v>261.23</v>
      </c>
      <c r="D111" s="6">
        <v>304.93</v>
      </c>
      <c r="E111" s="6">
        <v>273.52</v>
      </c>
      <c r="F111" t="str">
        <f t="shared" si="47"/>
        <v>FRI</v>
      </c>
      <c r="G111" s="1">
        <f t="shared" si="48"/>
        <v>43889</v>
      </c>
      <c r="H111" s="2">
        <f t="shared" ca="1" si="34"/>
        <v>364</v>
      </c>
      <c r="I111" t="str">
        <f t="shared" si="39"/>
        <v>AAPL</v>
      </c>
      <c r="J111">
        <f t="shared" si="40"/>
        <v>261.23</v>
      </c>
      <c r="K111">
        <f t="shared" si="41"/>
        <v>304.93</v>
      </c>
      <c r="L111">
        <f t="shared" si="42"/>
        <v>283.08000000000004</v>
      </c>
      <c r="M111">
        <f t="shared" si="43"/>
        <v>21.849999999999994</v>
      </c>
      <c r="N111">
        <f t="shared" si="36"/>
        <v>43.699999999999989</v>
      </c>
      <c r="O111">
        <f t="shared" si="44"/>
        <v>273.52</v>
      </c>
      <c r="P111">
        <f t="shared" si="45"/>
        <v>-0.43752860411899597</v>
      </c>
      <c r="Q111" t="str">
        <f t="shared" si="37"/>
        <v>4.49% | 11.48%</v>
      </c>
      <c r="R111" t="str">
        <f t="shared" si="46"/>
        <v>BEARISH</v>
      </c>
      <c r="S111">
        <f t="shared" si="38"/>
        <v>-1</v>
      </c>
    </row>
    <row r="112" spans="1:19" hidden="1" x14ac:dyDescent="0.25">
      <c r="A112" s="5" t="str">
        <f t="shared" si="35"/>
        <v>43889AMZN</v>
      </c>
      <c r="B112" s="6" t="s">
        <v>69</v>
      </c>
      <c r="C112" s="6">
        <v>1823</v>
      </c>
      <c r="D112" s="6">
        <v>2011</v>
      </c>
      <c r="E112" s="6">
        <v>1884</v>
      </c>
      <c r="F112" t="str">
        <f t="shared" si="47"/>
        <v>FRI</v>
      </c>
      <c r="G112" s="1">
        <f t="shared" si="48"/>
        <v>43889</v>
      </c>
      <c r="H112" s="2">
        <f t="shared" ca="1" si="34"/>
        <v>364</v>
      </c>
      <c r="I112" t="str">
        <f t="shared" si="39"/>
        <v>AMZN</v>
      </c>
      <c r="J112">
        <f t="shared" si="40"/>
        <v>1823</v>
      </c>
      <c r="K112">
        <f t="shared" si="41"/>
        <v>2011</v>
      </c>
      <c r="L112">
        <f t="shared" si="42"/>
        <v>1917</v>
      </c>
      <c r="M112">
        <f t="shared" si="43"/>
        <v>94</v>
      </c>
      <c r="N112">
        <f t="shared" si="36"/>
        <v>188</v>
      </c>
      <c r="O112">
        <f t="shared" si="44"/>
        <v>1884</v>
      </c>
      <c r="P112">
        <f t="shared" si="45"/>
        <v>-0.35106382978723405</v>
      </c>
      <c r="Q112" t="str">
        <f t="shared" si="37"/>
        <v>3.24% | 6.74%</v>
      </c>
      <c r="R112" t="str">
        <f t="shared" si="46"/>
        <v>NEUTRAL</v>
      </c>
      <c r="S112">
        <f t="shared" si="38"/>
        <v>0</v>
      </c>
    </row>
    <row r="113" spans="1:19" hidden="1" x14ac:dyDescent="0.25">
      <c r="A113" s="5" t="str">
        <f t="shared" si="35"/>
        <v>43889FB</v>
      </c>
      <c r="B113" s="6" t="s">
        <v>58</v>
      </c>
      <c r="C113" s="6">
        <v>181</v>
      </c>
      <c r="D113" s="6">
        <v>205</v>
      </c>
      <c r="E113" s="6">
        <v>189</v>
      </c>
      <c r="F113" t="str">
        <f t="shared" si="47"/>
        <v>FRI</v>
      </c>
      <c r="G113" s="1">
        <f t="shared" si="48"/>
        <v>43889</v>
      </c>
      <c r="H113" s="2">
        <f t="shared" ca="1" si="34"/>
        <v>364</v>
      </c>
      <c r="I113" t="str">
        <f t="shared" si="39"/>
        <v>FB</v>
      </c>
      <c r="J113">
        <f t="shared" si="40"/>
        <v>181</v>
      </c>
      <c r="K113">
        <f t="shared" si="41"/>
        <v>205</v>
      </c>
      <c r="L113">
        <f t="shared" si="42"/>
        <v>193</v>
      </c>
      <c r="M113">
        <f t="shared" si="43"/>
        <v>12</v>
      </c>
      <c r="N113">
        <f t="shared" si="36"/>
        <v>24</v>
      </c>
      <c r="O113">
        <f t="shared" si="44"/>
        <v>189</v>
      </c>
      <c r="P113">
        <f t="shared" si="45"/>
        <v>-0.33333333333333331</v>
      </c>
      <c r="Q113" t="str">
        <f t="shared" si="37"/>
        <v>4.23% | 8.47%</v>
      </c>
      <c r="R113" t="str">
        <f t="shared" si="46"/>
        <v>BEARISH</v>
      </c>
      <c r="S113">
        <f t="shared" si="38"/>
        <v>-1</v>
      </c>
    </row>
    <row r="114" spans="1:19" hidden="1" x14ac:dyDescent="0.25">
      <c r="A114" s="5" t="str">
        <f t="shared" si="35"/>
        <v>43889GOOGL</v>
      </c>
      <c r="B114" s="6" t="s">
        <v>66</v>
      </c>
      <c r="C114" s="6">
        <v>1297</v>
      </c>
      <c r="D114" s="6">
        <v>1447</v>
      </c>
      <c r="E114" s="6">
        <v>1314</v>
      </c>
      <c r="F114" t="str">
        <f t="shared" si="47"/>
        <v>FRI</v>
      </c>
      <c r="G114" s="1">
        <f t="shared" si="48"/>
        <v>43889</v>
      </c>
      <c r="H114" s="2">
        <f t="shared" ca="1" si="34"/>
        <v>364</v>
      </c>
      <c r="I114" t="str">
        <f t="shared" si="39"/>
        <v>GOOGL</v>
      </c>
      <c r="J114">
        <f t="shared" si="40"/>
        <v>1297</v>
      </c>
      <c r="K114">
        <f t="shared" si="41"/>
        <v>1447</v>
      </c>
      <c r="L114">
        <f t="shared" si="42"/>
        <v>1372</v>
      </c>
      <c r="M114">
        <f t="shared" si="43"/>
        <v>75</v>
      </c>
      <c r="N114">
        <f t="shared" si="36"/>
        <v>150</v>
      </c>
      <c r="O114">
        <f t="shared" si="44"/>
        <v>1314</v>
      </c>
      <c r="P114">
        <f t="shared" si="45"/>
        <v>-0.77333333333333332</v>
      </c>
      <c r="Q114" t="str">
        <f t="shared" si="37"/>
        <v>1.29% | 10.12%</v>
      </c>
      <c r="R114" t="str">
        <f t="shared" si="46"/>
        <v>BEARISH</v>
      </c>
      <c r="S114">
        <f t="shared" si="38"/>
        <v>-1</v>
      </c>
    </row>
    <row r="115" spans="1:19" hidden="1" x14ac:dyDescent="0.25">
      <c r="A115" s="5" t="str">
        <f t="shared" si="35"/>
        <v>43889NFLX</v>
      </c>
      <c r="B115" s="6" t="s">
        <v>70</v>
      </c>
      <c r="C115" s="6">
        <v>350</v>
      </c>
      <c r="D115" s="6">
        <v>383</v>
      </c>
      <c r="E115" s="6">
        <v>371</v>
      </c>
      <c r="F115" t="str">
        <f t="shared" si="47"/>
        <v>FRI</v>
      </c>
      <c r="G115" s="1">
        <f t="shared" si="48"/>
        <v>43889</v>
      </c>
      <c r="H115" s="2">
        <f t="shared" ca="1" si="34"/>
        <v>364</v>
      </c>
      <c r="I115" t="str">
        <f t="shared" si="39"/>
        <v>NFLX</v>
      </c>
      <c r="J115">
        <f t="shared" si="40"/>
        <v>350</v>
      </c>
      <c r="K115">
        <f t="shared" si="41"/>
        <v>383</v>
      </c>
      <c r="L115">
        <f t="shared" si="42"/>
        <v>366.5</v>
      </c>
      <c r="M115">
        <f t="shared" si="43"/>
        <v>16.5</v>
      </c>
      <c r="N115">
        <f t="shared" si="36"/>
        <v>33</v>
      </c>
      <c r="O115">
        <f t="shared" si="44"/>
        <v>371</v>
      </c>
      <c r="P115">
        <f t="shared" si="45"/>
        <v>0.27272727272727271</v>
      </c>
      <c r="Q115" t="str">
        <f t="shared" si="37"/>
        <v>5.66% | 3.23%</v>
      </c>
      <c r="R115" t="str">
        <f t="shared" si="46"/>
        <v>NEUTRAL</v>
      </c>
      <c r="S115">
        <f t="shared" si="38"/>
        <v>0</v>
      </c>
    </row>
    <row r="116" spans="1:19" x14ac:dyDescent="0.25">
      <c r="A116" s="5" t="str">
        <f t="shared" si="35"/>
        <v>43889TSLA</v>
      </c>
      <c r="B116" s="6" t="s">
        <v>71</v>
      </c>
      <c r="C116" s="6">
        <v>612</v>
      </c>
      <c r="D116" s="6">
        <v>830</v>
      </c>
      <c r="E116" s="6">
        <v>679</v>
      </c>
      <c r="F116" t="str">
        <f t="shared" si="47"/>
        <v>FRI</v>
      </c>
      <c r="G116" s="1">
        <f t="shared" si="48"/>
        <v>43889</v>
      </c>
      <c r="H116" s="2">
        <f t="shared" ca="1" si="34"/>
        <v>364</v>
      </c>
      <c r="I116" t="str">
        <f t="shared" si="39"/>
        <v>TSLA</v>
      </c>
      <c r="J116">
        <f t="shared" si="40"/>
        <v>612</v>
      </c>
      <c r="K116">
        <f t="shared" si="41"/>
        <v>830</v>
      </c>
      <c r="L116">
        <f t="shared" si="42"/>
        <v>721</v>
      </c>
      <c r="M116">
        <f t="shared" si="43"/>
        <v>109</v>
      </c>
      <c r="N116">
        <f t="shared" si="36"/>
        <v>218</v>
      </c>
      <c r="O116">
        <f t="shared" si="44"/>
        <v>679</v>
      </c>
      <c r="P116">
        <f t="shared" si="45"/>
        <v>-0.38532110091743121</v>
      </c>
      <c r="Q116" t="str">
        <f t="shared" si="37"/>
        <v>9.87% | 22.24%</v>
      </c>
      <c r="R116" t="str">
        <f t="shared" si="46"/>
        <v>NEUTRAL</v>
      </c>
      <c r="S116">
        <f t="shared" si="38"/>
        <v>0</v>
      </c>
    </row>
    <row r="117" spans="1:19" hidden="1" x14ac:dyDescent="0.25">
      <c r="A117" s="5" t="str">
        <f t="shared" si="35"/>
        <v>43889NYXBT</v>
      </c>
      <c r="B117" s="6" t="s">
        <v>72</v>
      </c>
      <c r="C117" s="6">
        <v>8635</v>
      </c>
      <c r="D117" s="6">
        <v>9626</v>
      </c>
      <c r="E117" s="6">
        <v>8858</v>
      </c>
      <c r="F117" t="str">
        <f t="shared" si="47"/>
        <v>FRI</v>
      </c>
      <c r="G117" s="1">
        <f t="shared" si="48"/>
        <v>43889</v>
      </c>
      <c r="H117" s="2">
        <f t="shared" ca="1" si="34"/>
        <v>364</v>
      </c>
      <c r="I117" t="str">
        <f t="shared" si="39"/>
        <v>NYXBT</v>
      </c>
      <c r="J117">
        <f t="shared" si="40"/>
        <v>8635</v>
      </c>
      <c r="K117">
        <f t="shared" si="41"/>
        <v>9626</v>
      </c>
      <c r="L117">
        <f t="shared" si="42"/>
        <v>9130.5</v>
      </c>
      <c r="M117">
        <f t="shared" si="43"/>
        <v>495.5</v>
      </c>
      <c r="N117">
        <f t="shared" si="36"/>
        <v>991</v>
      </c>
      <c r="O117">
        <f t="shared" si="44"/>
        <v>8858</v>
      </c>
      <c r="P117">
        <f t="shared" si="45"/>
        <v>-0.54994954591321898</v>
      </c>
      <c r="Q117" t="str">
        <f t="shared" si="37"/>
        <v>2.52% | 8.67%</v>
      </c>
      <c r="R117" t="str">
        <f t="shared" si="46"/>
        <v>NEUTRAL</v>
      </c>
      <c r="S117">
        <f t="shared" si="38"/>
        <v>0</v>
      </c>
    </row>
    <row r="118" spans="1:19" hidden="1" x14ac:dyDescent="0.25">
      <c r="A118" s="5" t="str">
        <f t="shared" si="35"/>
        <v>43892UST10Y</v>
      </c>
      <c r="B118" s="6" t="s">
        <v>4</v>
      </c>
      <c r="C118" s="6">
        <v>1.4</v>
      </c>
      <c r="D118" s="6">
        <v>1.03</v>
      </c>
      <c r="E118" s="6">
        <v>1.1299999999999999</v>
      </c>
      <c r="F118" t="str">
        <f t="shared" si="47"/>
        <v>MON</v>
      </c>
      <c r="G118" s="3">
        <f>DATE(2020,3,2)</f>
        <v>43892</v>
      </c>
      <c r="H118" s="2">
        <f t="shared" ca="1" si="34"/>
        <v>361</v>
      </c>
      <c r="I118" t="str">
        <f t="shared" si="39"/>
        <v>UST10Y</v>
      </c>
      <c r="J118">
        <f t="shared" si="40"/>
        <v>1.4</v>
      </c>
      <c r="K118">
        <f t="shared" si="41"/>
        <v>1.03</v>
      </c>
      <c r="L118">
        <f t="shared" si="42"/>
        <v>1.2149999999999999</v>
      </c>
      <c r="M118">
        <f t="shared" si="43"/>
        <v>0.18500000000000047</v>
      </c>
      <c r="N118">
        <f t="shared" si="36"/>
        <v>0.36999999999999988</v>
      </c>
      <c r="O118">
        <f t="shared" si="44"/>
        <v>1.1299999999999999</v>
      </c>
      <c r="P118">
        <f t="shared" si="45"/>
        <v>-0.4594594594594581</v>
      </c>
      <c r="Q118" t="str">
        <f t="shared" si="37"/>
        <v>23.89% | 8.85%</v>
      </c>
      <c r="R118" t="str">
        <f t="shared" si="46"/>
        <v>BEARISH</v>
      </c>
      <c r="S118">
        <f t="shared" si="38"/>
        <v>-1</v>
      </c>
    </row>
    <row r="119" spans="1:19" hidden="1" x14ac:dyDescent="0.25">
      <c r="A119" s="5" t="str">
        <f t="shared" si="35"/>
        <v>43892UST2Y</v>
      </c>
      <c r="B119" s="6" t="s">
        <v>5</v>
      </c>
      <c r="C119" s="6">
        <v>1.23</v>
      </c>
      <c r="D119" s="6">
        <v>0.7</v>
      </c>
      <c r="E119" s="6">
        <v>0.86</v>
      </c>
      <c r="F119" t="str">
        <f t="shared" ref="F119:F147" si="49">UPPER(TEXT(G119,"ddd"))</f>
        <v>MON</v>
      </c>
      <c r="G119" s="3">
        <f t="shared" ref="G119:G146" si="50">DATE(2020,3,2)</f>
        <v>43892</v>
      </c>
      <c r="H119" s="2">
        <f t="shared" ca="1" si="34"/>
        <v>361</v>
      </c>
      <c r="I119" t="str">
        <f t="shared" ref="I119:I147" si="51">TRIM(LEFT(B119,FIND(" ",B119,1)))</f>
        <v>UST2Y</v>
      </c>
      <c r="J119">
        <f t="shared" ref="J119:J147" si="52">C119</f>
        <v>1.23</v>
      </c>
      <c r="K119">
        <f t="shared" ref="K119:K147" si="53">D119</f>
        <v>0.7</v>
      </c>
      <c r="L119">
        <f t="shared" ref="L119:L147" si="54">AVERAGE(J119:K119)</f>
        <v>0.96499999999999997</v>
      </c>
      <c r="M119">
        <f t="shared" ref="M119:M147" si="55">_xlfn.STDEV.P(J119:K119)</f>
        <v>0.26499999999999996</v>
      </c>
      <c r="N119">
        <f t="shared" si="36"/>
        <v>0.53</v>
      </c>
      <c r="O119">
        <f t="shared" ref="O119:O147" si="56">E119</f>
        <v>0.86</v>
      </c>
      <c r="P119">
        <f t="shared" ref="P119:P147" si="57">(O119-L119)/M119</f>
        <v>-0.39622641509433965</v>
      </c>
      <c r="Q119" t="str">
        <f t="shared" si="37"/>
        <v>43.02% | 18.6%</v>
      </c>
      <c r="R119" t="str">
        <f t="shared" ref="R119:R147" si="58">MID(B119,FIND("(",B119,1)+1,FIND(")",B119,1)-FIND("(",B119,1)-1)</f>
        <v>BEARISH</v>
      </c>
      <c r="S119">
        <f t="shared" si="38"/>
        <v>-1</v>
      </c>
    </row>
    <row r="120" spans="1:19" hidden="1" x14ac:dyDescent="0.25">
      <c r="A120" s="5" t="str">
        <f t="shared" si="35"/>
        <v>43892SPX</v>
      </c>
      <c r="B120" s="6" t="s">
        <v>6</v>
      </c>
      <c r="C120" s="6">
        <v>2723</v>
      </c>
      <c r="D120" s="6">
        <v>3201</v>
      </c>
      <c r="E120" s="6">
        <v>2954</v>
      </c>
      <c r="F120" t="str">
        <f t="shared" si="49"/>
        <v>MON</v>
      </c>
      <c r="G120" s="3">
        <f t="shared" si="50"/>
        <v>43892</v>
      </c>
      <c r="H120" s="2">
        <f t="shared" ca="1" si="34"/>
        <v>361</v>
      </c>
      <c r="I120" t="str">
        <f t="shared" si="51"/>
        <v>SPX</v>
      </c>
      <c r="J120">
        <f t="shared" si="52"/>
        <v>2723</v>
      </c>
      <c r="K120">
        <f t="shared" si="53"/>
        <v>3201</v>
      </c>
      <c r="L120">
        <f t="shared" si="54"/>
        <v>2962</v>
      </c>
      <c r="M120">
        <f t="shared" si="55"/>
        <v>239</v>
      </c>
      <c r="N120">
        <f t="shared" si="36"/>
        <v>478</v>
      </c>
      <c r="O120">
        <f t="shared" si="56"/>
        <v>2954</v>
      </c>
      <c r="P120">
        <f t="shared" si="57"/>
        <v>-3.3472803347280332E-2</v>
      </c>
      <c r="Q120" t="str">
        <f t="shared" si="37"/>
        <v>7.82% | 8.36%</v>
      </c>
      <c r="R120" t="str">
        <f t="shared" si="58"/>
        <v>BEARISH</v>
      </c>
      <c r="S120">
        <f t="shared" si="38"/>
        <v>-1</v>
      </c>
    </row>
    <row r="121" spans="1:19" hidden="1" x14ac:dyDescent="0.25">
      <c r="A121" s="5" t="str">
        <f t="shared" si="35"/>
        <v>43892RUT</v>
      </c>
      <c r="B121" s="6" t="s">
        <v>7</v>
      </c>
      <c r="C121" s="6">
        <v>1456</v>
      </c>
      <c r="D121" s="6">
        <v>1551</v>
      </c>
      <c r="E121" s="6">
        <v>1476</v>
      </c>
      <c r="F121" t="str">
        <f t="shared" si="49"/>
        <v>MON</v>
      </c>
      <c r="G121" s="3">
        <f t="shared" si="50"/>
        <v>43892</v>
      </c>
      <c r="H121" s="2">
        <f t="shared" ca="1" si="34"/>
        <v>361</v>
      </c>
      <c r="I121" t="str">
        <f t="shared" si="51"/>
        <v>RUT</v>
      </c>
      <c r="J121">
        <f t="shared" si="52"/>
        <v>1456</v>
      </c>
      <c r="K121">
        <f t="shared" si="53"/>
        <v>1551</v>
      </c>
      <c r="L121">
        <f t="shared" si="54"/>
        <v>1503.5</v>
      </c>
      <c r="M121">
        <f t="shared" si="55"/>
        <v>47.5</v>
      </c>
      <c r="N121">
        <f t="shared" si="36"/>
        <v>95</v>
      </c>
      <c r="O121">
        <f t="shared" si="56"/>
        <v>1476</v>
      </c>
      <c r="P121">
        <f t="shared" si="57"/>
        <v>-0.57894736842105265</v>
      </c>
      <c r="Q121" t="str">
        <f t="shared" si="37"/>
        <v>1.36% | 5.08%</v>
      </c>
      <c r="R121" t="str">
        <f t="shared" si="58"/>
        <v>BEARISH</v>
      </c>
      <c r="S121">
        <f t="shared" si="38"/>
        <v>-1</v>
      </c>
    </row>
    <row r="122" spans="1:19" hidden="1" x14ac:dyDescent="0.25">
      <c r="A122" s="5" t="str">
        <f t="shared" si="35"/>
        <v>43892COMPQ</v>
      </c>
      <c r="B122" s="6" t="s">
        <v>64</v>
      </c>
      <c r="C122" s="6">
        <v>8279</v>
      </c>
      <c r="D122" s="6">
        <v>9242</v>
      </c>
      <c r="E122" s="6">
        <v>8567</v>
      </c>
      <c r="F122" t="str">
        <f t="shared" si="49"/>
        <v>MON</v>
      </c>
      <c r="G122" s="3">
        <f t="shared" si="50"/>
        <v>43892</v>
      </c>
      <c r="H122" s="2">
        <f t="shared" ca="1" si="34"/>
        <v>361</v>
      </c>
      <c r="I122" t="str">
        <f t="shared" si="51"/>
        <v>COMPQ</v>
      </c>
      <c r="J122">
        <f t="shared" si="52"/>
        <v>8279</v>
      </c>
      <c r="K122">
        <f t="shared" si="53"/>
        <v>9242</v>
      </c>
      <c r="L122">
        <f t="shared" si="54"/>
        <v>8760.5</v>
      </c>
      <c r="M122">
        <f t="shared" si="55"/>
        <v>481.5</v>
      </c>
      <c r="N122">
        <f t="shared" si="36"/>
        <v>963</v>
      </c>
      <c r="O122">
        <f t="shared" si="56"/>
        <v>8567</v>
      </c>
      <c r="P122">
        <f t="shared" si="57"/>
        <v>-0.40186915887850466</v>
      </c>
      <c r="Q122" t="str">
        <f t="shared" si="37"/>
        <v>3.36% | 7.88%</v>
      </c>
      <c r="R122" t="str">
        <f t="shared" si="58"/>
        <v>BEARISH</v>
      </c>
      <c r="S122">
        <f t="shared" si="38"/>
        <v>-1</v>
      </c>
    </row>
    <row r="123" spans="1:19" hidden="1" x14ac:dyDescent="0.25">
      <c r="A123" s="5" t="str">
        <f t="shared" si="35"/>
        <v>43892XLU</v>
      </c>
      <c r="B123" s="6" t="s">
        <v>52</v>
      </c>
      <c r="C123" s="6">
        <v>61.11</v>
      </c>
      <c r="D123" s="6">
        <v>71.010000000000005</v>
      </c>
      <c r="E123" s="6">
        <v>62.18</v>
      </c>
      <c r="F123" t="str">
        <f t="shared" si="49"/>
        <v>MON</v>
      </c>
      <c r="G123" s="3">
        <f t="shared" si="50"/>
        <v>43892</v>
      </c>
      <c r="H123" s="2">
        <f t="shared" ca="1" si="34"/>
        <v>361</v>
      </c>
      <c r="I123" t="str">
        <f t="shared" si="51"/>
        <v>XLU</v>
      </c>
      <c r="J123">
        <f t="shared" si="52"/>
        <v>61.11</v>
      </c>
      <c r="K123">
        <f t="shared" si="53"/>
        <v>71.010000000000005</v>
      </c>
      <c r="L123">
        <f t="shared" si="54"/>
        <v>66.06</v>
      </c>
      <c r="M123">
        <f t="shared" si="55"/>
        <v>4.9500000000000028</v>
      </c>
      <c r="N123">
        <f t="shared" si="36"/>
        <v>9.9000000000000057</v>
      </c>
      <c r="O123">
        <f t="shared" si="56"/>
        <v>62.18</v>
      </c>
      <c r="P123">
        <f t="shared" si="57"/>
        <v>-0.78383838383838389</v>
      </c>
      <c r="Q123" t="str">
        <f t="shared" si="37"/>
        <v>1.72% | 14.2%</v>
      </c>
      <c r="R123" t="str">
        <f t="shared" si="58"/>
        <v>BULLISH</v>
      </c>
      <c r="S123">
        <f t="shared" si="38"/>
        <v>1</v>
      </c>
    </row>
    <row r="124" spans="1:19" hidden="1" x14ac:dyDescent="0.25">
      <c r="A124" s="5" t="str">
        <f t="shared" si="35"/>
        <v>43892VNQ</v>
      </c>
      <c r="B124" s="6" t="s">
        <v>67</v>
      </c>
      <c r="C124" s="6">
        <v>86.19</v>
      </c>
      <c r="D124" s="6">
        <v>95.72</v>
      </c>
      <c r="E124" s="6">
        <v>87.33</v>
      </c>
      <c r="F124" t="str">
        <f t="shared" si="49"/>
        <v>MON</v>
      </c>
      <c r="G124" s="3">
        <f t="shared" si="50"/>
        <v>43892</v>
      </c>
      <c r="H124" s="2">
        <f t="shared" ca="1" si="34"/>
        <v>361</v>
      </c>
      <c r="I124" t="str">
        <f t="shared" si="51"/>
        <v>VNQ</v>
      </c>
      <c r="J124">
        <f t="shared" si="52"/>
        <v>86.19</v>
      </c>
      <c r="K124">
        <f t="shared" si="53"/>
        <v>95.72</v>
      </c>
      <c r="L124">
        <f t="shared" si="54"/>
        <v>90.954999999999998</v>
      </c>
      <c r="M124">
        <f t="shared" si="55"/>
        <v>4.7650000000000006</v>
      </c>
      <c r="N124">
        <f t="shared" si="36"/>
        <v>9.5300000000000011</v>
      </c>
      <c r="O124">
        <f t="shared" si="56"/>
        <v>87.33</v>
      </c>
      <c r="P124">
        <f t="shared" si="57"/>
        <v>-0.76075550891920241</v>
      </c>
      <c r="Q124" t="str">
        <f t="shared" si="37"/>
        <v>1.31% | 9.61%</v>
      </c>
      <c r="R124" t="str">
        <f t="shared" si="58"/>
        <v>BEARISH</v>
      </c>
      <c r="S124">
        <f t="shared" si="38"/>
        <v>-1</v>
      </c>
    </row>
    <row r="125" spans="1:19" hidden="1" x14ac:dyDescent="0.25">
      <c r="A125" s="5" t="str">
        <f t="shared" si="35"/>
        <v>43892XLP</v>
      </c>
      <c r="B125" s="6" t="s">
        <v>11</v>
      </c>
      <c r="C125" s="6">
        <v>56.77</v>
      </c>
      <c r="D125" s="6">
        <v>62.8</v>
      </c>
      <c r="E125" s="6">
        <v>57.99</v>
      </c>
      <c r="F125" t="str">
        <f t="shared" si="49"/>
        <v>MON</v>
      </c>
      <c r="G125" s="3">
        <f t="shared" si="50"/>
        <v>43892</v>
      </c>
      <c r="H125" s="2">
        <f t="shared" ca="1" si="34"/>
        <v>361</v>
      </c>
      <c r="I125" t="str">
        <f t="shared" si="51"/>
        <v>XLP</v>
      </c>
      <c r="J125">
        <f t="shared" si="52"/>
        <v>56.77</v>
      </c>
      <c r="K125">
        <f t="shared" si="53"/>
        <v>62.8</v>
      </c>
      <c r="L125">
        <f t="shared" si="54"/>
        <v>59.784999999999997</v>
      </c>
      <c r="M125">
        <f t="shared" si="55"/>
        <v>3.014999999999997</v>
      </c>
      <c r="N125">
        <f t="shared" si="36"/>
        <v>6.029999999999994</v>
      </c>
      <c r="O125">
        <f t="shared" si="56"/>
        <v>57.99</v>
      </c>
      <c r="P125">
        <f t="shared" si="57"/>
        <v>-0.59535655058043002</v>
      </c>
      <c r="Q125" t="str">
        <f t="shared" si="37"/>
        <v>2.1% | 8.29%</v>
      </c>
      <c r="R125" t="str">
        <f t="shared" si="58"/>
        <v>BEARISH</v>
      </c>
      <c r="S125">
        <f t="shared" si="38"/>
        <v>-1</v>
      </c>
    </row>
    <row r="126" spans="1:19" hidden="1" x14ac:dyDescent="0.25">
      <c r="A126" s="5" t="str">
        <f t="shared" si="35"/>
        <v>43892XLK</v>
      </c>
      <c r="B126" s="6" t="s">
        <v>65</v>
      </c>
      <c r="C126" s="6">
        <v>84.14</v>
      </c>
      <c r="D126" s="6">
        <v>96.27</v>
      </c>
      <c r="E126" s="6">
        <v>88.37</v>
      </c>
      <c r="F126" t="str">
        <f t="shared" si="49"/>
        <v>MON</v>
      </c>
      <c r="G126" s="3">
        <f t="shared" si="50"/>
        <v>43892</v>
      </c>
      <c r="H126" s="2">
        <f t="shared" ca="1" si="34"/>
        <v>361</v>
      </c>
      <c r="I126" t="str">
        <f t="shared" si="51"/>
        <v>XLK</v>
      </c>
      <c r="J126">
        <f t="shared" si="52"/>
        <v>84.14</v>
      </c>
      <c r="K126">
        <f t="shared" si="53"/>
        <v>96.27</v>
      </c>
      <c r="L126">
        <f t="shared" si="54"/>
        <v>90.204999999999998</v>
      </c>
      <c r="M126">
        <f t="shared" si="55"/>
        <v>6.0649999999999977</v>
      </c>
      <c r="N126">
        <f t="shared" si="36"/>
        <v>12.129999999999995</v>
      </c>
      <c r="O126">
        <f t="shared" si="56"/>
        <v>88.37</v>
      </c>
      <c r="P126">
        <f t="shared" si="57"/>
        <v>-0.30255564715581112</v>
      </c>
      <c r="Q126" t="str">
        <f t="shared" si="37"/>
        <v>4.79% | 8.94%</v>
      </c>
      <c r="R126" t="str">
        <f t="shared" si="58"/>
        <v>BEARISH</v>
      </c>
      <c r="S126">
        <f t="shared" si="38"/>
        <v>-1</v>
      </c>
    </row>
    <row r="127" spans="1:19" hidden="1" x14ac:dyDescent="0.25">
      <c r="A127" s="5" t="str">
        <f t="shared" si="35"/>
        <v>43892SSEC</v>
      </c>
      <c r="B127" s="6" t="s">
        <v>14</v>
      </c>
      <c r="C127" s="6">
        <v>2850</v>
      </c>
      <c r="D127" s="6">
        <v>3081</v>
      </c>
      <c r="E127" s="6">
        <v>2970</v>
      </c>
      <c r="F127" t="str">
        <f t="shared" si="49"/>
        <v>MON</v>
      </c>
      <c r="G127" s="3">
        <f t="shared" si="50"/>
        <v>43892</v>
      </c>
      <c r="H127" s="2">
        <f t="shared" ca="1" si="34"/>
        <v>361</v>
      </c>
      <c r="I127" t="str">
        <f t="shared" si="51"/>
        <v>SSEC</v>
      </c>
      <c r="J127">
        <f t="shared" si="52"/>
        <v>2850</v>
      </c>
      <c r="K127">
        <f t="shared" si="53"/>
        <v>3081</v>
      </c>
      <c r="L127">
        <f t="shared" si="54"/>
        <v>2965.5</v>
      </c>
      <c r="M127">
        <f t="shared" si="55"/>
        <v>115.5</v>
      </c>
      <c r="N127">
        <f t="shared" si="36"/>
        <v>231</v>
      </c>
      <c r="O127">
        <f t="shared" si="56"/>
        <v>2970</v>
      </c>
      <c r="P127">
        <f t="shared" si="57"/>
        <v>3.896103896103896E-2</v>
      </c>
      <c r="Q127" t="str">
        <f t="shared" si="37"/>
        <v>4.04% | 3.74%</v>
      </c>
      <c r="R127" t="str">
        <f t="shared" si="58"/>
        <v>BEARISH</v>
      </c>
      <c r="S127">
        <f t="shared" si="38"/>
        <v>-1</v>
      </c>
    </row>
    <row r="128" spans="1:19" hidden="1" x14ac:dyDescent="0.25">
      <c r="A128" s="5" t="str">
        <f t="shared" si="35"/>
        <v>43892NIKK</v>
      </c>
      <c r="B128" s="6" t="s">
        <v>15</v>
      </c>
      <c r="C128" s="6">
        <v>21107</v>
      </c>
      <c r="D128" s="6">
        <v>22600</v>
      </c>
      <c r="E128" s="6">
        <v>21344</v>
      </c>
      <c r="F128" t="str">
        <f t="shared" si="49"/>
        <v>MON</v>
      </c>
      <c r="G128" s="3">
        <f t="shared" si="50"/>
        <v>43892</v>
      </c>
      <c r="H128" s="2">
        <f t="shared" ca="1" si="34"/>
        <v>361</v>
      </c>
      <c r="I128" t="str">
        <f t="shared" si="51"/>
        <v>NIKK</v>
      </c>
      <c r="J128">
        <f t="shared" si="52"/>
        <v>21107</v>
      </c>
      <c r="K128">
        <f t="shared" si="53"/>
        <v>22600</v>
      </c>
      <c r="L128">
        <f t="shared" si="54"/>
        <v>21853.5</v>
      </c>
      <c r="M128">
        <f t="shared" si="55"/>
        <v>746.5</v>
      </c>
      <c r="N128">
        <f t="shared" si="36"/>
        <v>1493</v>
      </c>
      <c r="O128">
        <f t="shared" si="56"/>
        <v>21344</v>
      </c>
      <c r="P128">
        <f t="shared" si="57"/>
        <v>-0.68251841929002011</v>
      </c>
      <c r="Q128" t="str">
        <f t="shared" si="37"/>
        <v>1.11% | 5.88%</v>
      </c>
      <c r="R128" t="str">
        <f t="shared" si="58"/>
        <v>BEARISH</v>
      </c>
      <c r="S128">
        <f t="shared" si="38"/>
        <v>-1</v>
      </c>
    </row>
    <row r="129" spans="1:19" hidden="1" x14ac:dyDescent="0.25">
      <c r="A129" s="5" t="str">
        <f t="shared" si="35"/>
        <v>43892DAX</v>
      </c>
      <c r="B129" s="6" t="s">
        <v>16</v>
      </c>
      <c r="C129" s="6">
        <v>11706</v>
      </c>
      <c r="D129" s="6">
        <v>13043</v>
      </c>
      <c r="E129" s="6">
        <v>11890</v>
      </c>
      <c r="F129" t="str">
        <f t="shared" si="49"/>
        <v>MON</v>
      </c>
      <c r="G129" s="3">
        <f t="shared" si="50"/>
        <v>43892</v>
      </c>
      <c r="H129" s="2">
        <f t="shared" ca="1" si="34"/>
        <v>361</v>
      </c>
      <c r="I129" t="str">
        <f t="shared" si="51"/>
        <v>DAX</v>
      </c>
      <c r="J129">
        <f t="shared" si="52"/>
        <v>11706</v>
      </c>
      <c r="K129">
        <f t="shared" si="53"/>
        <v>13043</v>
      </c>
      <c r="L129">
        <f t="shared" si="54"/>
        <v>12374.5</v>
      </c>
      <c r="M129">
        <f t="shared" si="55"/>
        <v>668.5</v>
      </c>
      <c r="N129">
        <f t="shared" si="36"/>
        <v>1337</v>
      </c>
      <c r="O129">
        <f t="shared" si="56"/>
        <v>11890</v>
      </c>
      <c r="P129">
        <f t="shared" si="57"/>
        <v>-0.72475691847419599</v>
      </c>
      <c r="Q129" t="str">
        <f t="shared" si="37"/>
        <v>1.55% | 9.7%</v>
      </c>
      <c r="R129" t="str">
        <f t="shared" si="58"/>
        <v>BEARISH</v>
      </c>
      <c r="S129">
        <f t="shared" si="38"/>
        <v>-1</v>
      </c>
    </row>
    <row r="130" spans="1:19" hidden="1" x14ac:dyDescent="0.25">
      <c r="A130" s="5" t="str">
        <f t="shared" si="35"/>
        <v>43892VIX</v>
      </c>
      <c r="B130" s="6" t="s">
        <v>17</v>
      </c>
      <c r="C130" s="6">
        <v>20.45</v>
      </c>
      <c r="D130" s="6">
        <v>44.59</v>
      </c>
      <c r="E130" s="6">
        <v>40.11</v>
      </c>
      <c r="F130" t="str">
        <f t="shared" si="49"/>
        <v>MON</v>
      </c>
      <c r="G130" s="3">
        <f t="shared" si="50"/>
        <v>43892</v>
      </c>
      <c r="H130" s="2">
        <f t="shared" ref="H130:H193" ca="1" si="59">TODAY()-G130</f>
        <v>361</v>
      </c>
      <c r="I130" t="str">
        <f t="shared" si="51"/>
        <v>VIX</v>
      </c>
      <c r="J130">
        <f t="shared" si="52"/>
        <v>20.45</v>
      </c>
      <c r="K130">
        <f t="shared" si="53"/>
        <v>44.59</v>
      </c>
      <c r="L130">
        <f t="shared" si="54"/>
        <v>32.520000000000003</v>
      </c>
      <c r="M130">
        <f t="shared" si="55"/>
        <v>12.06999999999999</v>
      </c>
      <c r="N130">
        <f t="shared" si="36"/>
        <v>24.140000000000004</v>
      </c>
      <c r="O130">
        <f t="shared" si="56"/>
        <v>40.11</v>
      </c>
      <c r="P130">
        <f t="shared" si="57"/>
        <v>0.62883181441590741</v>
      </c>
      <c r="Q130" t="str">
        <f t="shared" si="37"/>
        <v>49.02% | 11.17%</v>
      </c>
      <c r="R130" t="str">
        <f t="shared" si="58"/>
        <v>BULLISH</v>
      </c>
      <c r="S130">
        <f t="shared" si="38"/>
        <v>1</v>
      </c>
    </row>
    <row r="131" spans="1:19" hidden="1" x14ac:dyDescent="0.25">
      <c r="A131" s="5" t="str">
        <f t="shared" ref="A131:A194" si="60">G131&amp;I131</f>
        <v>43892USD</v>
      </c>
      <c r="B131" s="6" t="s">
        <v>18</v>
      </c>
      <c r="C131" s="6">
        <v>97.9</v>
      </c>
      <c r="D131" s="6">
        <v>100.01</v>
      </c>
      <c r="E131" s="6">
        <v>98.08</v>
      </c>
      <c r="F131" t="str">
        <f t="shared" si="49"/>
        <v>MON</v>
      </c>
      <c r="G131" s="3">
        <f t="shared" si="50"/>
        <v>43892</v>
      </c>
      <c r="H131" s="2">
        <f t="shared" ca="1" si="59"/>
        <v>361</v>
      </c>
      <c r="I131" t="str">
        <f t="shared" si="51"/>
        <v>USD</v>
      </c>
      <c r="J131">
        <f t="shared" si="52"/>
        <v>97.9</v>
      </c>
      <c r="K131">
        <f t="shared" si="53"/>
        <v>100.01</v>
      </c>
      <c r="L131">
        <f t="shared" si="54"/>
        <v>98.955000000000013</v>
      </c>
      <c r="M131">
        <f t="shared" si="55"/>
        <v>1.0549999999999997</v>
      </c>
      <c r="N131">
        <f t="shared" ref="N131:N194" si="61">ABS(K131-J131)</f>
        <v>2.1099999999999994</v>
      </c>
      <c r="O131">
        <f t="shared" si="56"/>
        <v>98.08</v>
      </c>
      <c r="P131">
        <f t="shared" si="57"/>
        <v>-0.82938388625593784</v>
      </c>
      <c r="Q131" t="str">
        <f t="shared" ref="Q131:Q194" si="62">ROUND(ABS(100*(O131-J131)/O131),2)&amp;"% | "&amp;ROUND(ABS(100*(K131-O131)/O131),2)&amp;"%"</f>
        <v>0.18% | 1.97%</v>
      </c>
      <c r="R131" t="str">
        <f t="shared" si="58"/>
        <v>BULLISH</v>
      </c>
      <c r="S131">
        <f t="shared" ref="S131:S194" si="63">IF(R131="BEARISH",-1,IF(R131="NEUTRAL",0,IF(R131="BULLISH",1,99)))</f>
        <v>1</v>
      </c>
    </row>
    <row r="132" spans="1:19" hidden="1" x14ac:dyDescent="0.25">
      <c r="A132" s="5" t="str">
        <f t="shared" si="60"/>
        <v>43892EUR/USD</v>
      </c>
      <c r="B132" s="6" t="s">
        <v>19</v>
      </c>
      <c r="C132" s="6">
        <v>1.07</v>
      </c>
      <c r="D132" s="6">
        <v>1.1100000000000001</v>
      </c>
      <c r="E132" s="6">
        <v>1.1000000000000001</v>
      </c>
      <c r="F132" t="str">
        <f t="shared" si="49"/>
        <v>MON</v>
      </c>
      <c r="G132" s="3">
        <f t="shared" si="50"/>
        <v>43892</v>
      </c>
      <c r="H132" s="2">
        <f t="shared" ca="1" si="59"/>
        <v>361</v>
      </c>
      <c r="I132" t="str">
        <f t="shared" si="51"/>
        <v>EUR/USD</v>
      </c>
      <c r="J132">
        <f t="shared" si="52"/>
        <v>1.07</v>
      </c>
      <c r="K132">
        <f t="shared" si="53"/>
        <v>1.1100000000000001</v>
      </c>
      <c r="L132">
        <f t="shared" si="54"/>
        <v>1.0900000000000001</v>
      </c>
      <c r="M132">
        <f t="shared" si="55"/>
        <v>2.0000000000000018E-2</v>
      </c>
      <c r="N132">
        <f t="shared" si="61"/>
        <v>4.0000000000000036E-2</v>
      </c>
      <c r="O132">
        <f t="shared" si="56"/>
        <v>1.1000000000000001</v>
      </c>
      <c r="P132">
        <f t="shared" si="57"/>
        <v>0.5</v>
      </c>
      <c r="Q132" t="str">
        <f t="shared" si="62"/>
        <v>2.73% | 0.91%</v>
      </c>
      <c r="R132" t="str">
        <f t="shared" si="58"/>
        <v>BEARISH</v>
      </c>
      <c r="S132">
        <f t="shared" si="63"/>
        <v>-1</v>
      </c>
    </row>
    <row r="133" spans="1:19" hidden="1" x14ac:dyDescent="0.25">
      <c r="A133" s="5" t="str">
        <f t="shared" si="60"/>
        <v>43892USD/JPY</v>
      </c>
      <c r="B133" s="6" t="s">
        <v>56</v>
      </c>
      <c r="C133" s="6">
        <v>107.54</v>
      </c>
      <c r="D133" s="6">
        <v>111.42</v>
      </c>
      <c r="E133" s="6">
        <v>108.06</v>
      </c>
      <c r="F133" t="str">
        <f t="shared" si="49"/>
        <v>MON</v>
      </c>
      <c r="G133" s="3">
        <f t="shared" si="50"/>
        <v>43892</v>
      </c>
      <c r="H133" s="2">
        <f t="shared" ca="1" si="59"/>
        <v>361</v>
      </c>
      <c r="I133" t="str">
        <f t="shared" si="51"/>
        <v>USD/JPY</v>
      </c>
      <c r="J133">
        <f t="shared" si="52"/>
        <v>107.54</v>
      </c>
      <c r="K133">
        <f t="shared" si="53"/>
        <v>111.42</v>
      </c>
      <c r="L133">
        <f t="shared" si="54"/>
        <v>109.48</v>
      </c>
      <c r="M133">
        <f t="shared" si="55"/>
        <v>1.9399999999999977</v>
      </c>
      <c r="N133">
        <f t="shared" si="61"/>
        <v>3.8799999999999955</v>
      </c>
      <c r="O133">
        <f t="shared" si="56"/>
        <v>108.06</v>
      </c>
      <c r="P133">
        <f t="shared" si="57"/>
        <v>-0.73195876288659967</v>
      </c>
      <c r="Q133" t="str">
        <f t="shared" si="62"/>
        <v>0.48% | 3.11%</v>
      </c>
      <c r="R133" t="str">
        <f t="shared" si="58"/>
        <v>BULLISH</v>
      </c>
      <c r="S133">
        <f t="shared" si="63"/>
        <v>1</v>
      </c>
    </row>
    <row r="134" spans="1:19" hidden="1" x14ac:dyDescent="0.25">
      <c r="A134" s="5" t="str">
        <f t="shared" si="60"/>
        <v>43892GBP/USD</v>
      </c>
      <c r="B134" s="6" t="s">
        <v>21</v>
      </c>
      <c r="C134" s="6">
        <v>1.28</v>
      </c>
      <c r="D134" s="6">
        <v>1.3</v>
      </c>
      <c r="E134" s="6">
        <v>1.28</v>
      </c>
      <c r="F134" t="str">
        <f t="shared" si="49"/>
        <v>MON</v>
      </c>
      <c r="G134" s="3">
        <f t="shared" si="50"/>
        <v>43892</v>
      </c>
      <c r="H134" s="2">
        <f t="shared" ca="1" si="59"/>
        <v>361</v>
      </c>
      <c r="I134" t="str">
        <f t="shared" si="51"/>
        <v>GBP/USD</v>
      </c>
      <c r="J134">
        <f t="shared" si="52"/>
        <v>1.28</v>
      </c>
      <c r="K134">
        <f t="shared" si="53"/>
        <v>1.3</v>
      </c>
      <c r="L134">
        <f t="shared" si="54"/>
        <v>1.29</v>
      </c>
      <c r="M134">
        <f t="shared" si="55"/>
        <v>1.0000000000000009E-2</v>
      </c>
      <c r="N134">
        <f t="shared" si="61"/>
        <v>2.0000000000000018E-2</v>
      </c>
      <c r="O134">
        <f t="shared" si="56"/>
        <v>1.28</v>
      </c>
      <c r="P134">
        <f t="shared" si="57"/>
        <v>-1</v>
      </c>
      <c r="Q134" t="str">
        <f t="shared" si="62"/>
        <v>0% | 1.56%</v>
      </c>
      <c r="R134" t="str">
        <f t="shared" si="58"/>
        <v>BEARISH</v>
      </c>
      <c r="S134">
        <f t="shared" si="63"/>
        <v>-1</v>
      </c>
    </row>
    <row r="135" spans="1:19" hidden="1" x14ac:dyDescent="0.25">
      <c r="A135" s="5" t="str">
        <f t="shared" si="60"/>
        <v>43892USD/CHF</v>
      </c>
      <c r="B135" s="6" t="s">
        <v>57</v>
      </c>
      <c r="C135" s="6">
        <v>0.96</v>
      </c>
      <c r="D135" s="6">
        <v>0.99</v>
      </c>
      <c r="E135" s="6">
        <v>0.96</v>
      </c>
      <c r="F135" t="str">
        <f t="shared" si="49"/>
        <v>MON</v>
      </c>
      <c r="G135" s="3">
        <f t="shared" si="50"/>
        <v>43892</v>
      </c>
      <c r="H135" s="2">
        <f t="shared" ca="1" si="59"/>
        <v>361</v>
      </c>
      <c r="I135" t="str">
        <f t="shared" si="51"/>
        <v>USD/CHF</v>
      </c>
      <c r="J135">
        <f t="shared" si="52"/>
        <v>0.96</v>
      </c>
      <c r="K135">
        <f t="shared" si="53"/>
        <v>0.99</v>
      </c>
      <c r="L135">
        <f t="shared" si="54"/>
        <v>0.97499999999999998</v>
      </c>
      <c r="M135">
        <f t="shared" si="55"/>
        <v>1.5000000000000013E-2</v>
      </c>
      <c r="N135">
        <f t="shared" si="61"/>
        <v>3.0000000000000027E-2</v>
      </c>
      <c r="O135">
        <f t="shared" si="56"/>
        <v>0.96</v>
      </c>
      <c r="P135">
        <f t="shared" si="57"/>
        <v>-1</v>
      </c>
      <c r="Q135" t="str">
        <f t="shared" si="62"/>
        <v>0% | 3.13%</v>
      </c>
      <c r="R135" t="str">
        <f t="shared" si="58"/>
        <v>BULLISH</v>
      </c>
      <c r="S135">
        <f t="shared" si="63"/>
        <v>1</v>
      </c>
    </row>
    <row r="136" spans="1:19" hidden="1" x14ac:dyDescent="0.25">
      <c r="A136" s="5" t="str">
        <f t="shared" si="60"/>
        <v>43892WTIC</v>
      </c>
      <c r="B136" s="6" t="s">
        <v>23</v>
      </c>
      <c r="C136" s="6">
        <v>44.26</v>
      </c>
      <c r="D136" s="6">
        <v>50.56</v>
      </c>
      <c r="E136" s="6">
        <v>44.76</v>
      </c>
      <c r="F136" t="str">
        <f t="shared" si="49"/>
        <v>MON</v>
      </c>
      <c r="G136" s="3">
        <f t="shared" si="50"/>
        <v>43892</v>
      </c>
      <c r="H136" s="2">
        <f t="shared" ca="1" si="59"/>
        <v>361</v>
      </c>
      <c r="I136" t="str">
        <f t="shared" si="51"/>
        <v>WTIC</v>
      </c>
      <c r="J136">
        <f t="shared" si="52"/>
        <v>44.26</v>
      </c>
      <c r="K136">
        <f t="shared" si="53"/>
        <v>50.56</v>
      </c>
      <c r="L136">
        <f t="shared" si="54"/>
        <v>47.41</v>
      </c>
      <c r="M136">
        <f t="shared" si="55"/>
        <v>3.1500000000000021</v>
      </c>
      <c r="N136">
        <f t="shared" si="61"/>
        <v>6.3000000000000043</v>
      </c>
      <c r="O136">
        <f t="shared" si="56"/>
        <v>44.76</v>
      </c>
      <c r="P136">
        <f t="shared" si="57"/>
        <v>-0.84126984126984028</v>
      </c>
      <c r="Q136" t="str">
        <f t="shared" si="62"/>
        <v>1.12% | 12.96%</v>
      </c>
      <c r="R136" t="str">
        <f t="shared" si="58"/>
        <v>BEARISH</v>
      </c>
      <c r="S136">
        <f t="shared" si="63"/>
        <v>-1</v>
      </c>
    </row>
    <row r="137" spans="1:19" hidden="1" x14ac:dyDescent="0.25">
      <c r="A137" s="5" t="str">
        <f t="shared" si="60"/>
        <v>43892NATGAS</v>
      </c>
      <c r="B137" s="6" t="s">
        <v>24</v>
      </c>
      <c r="C137" s="6">
        <v>1.64</v>
      </c>
      <c r="D137" s="6">
        <v>1.87</v>
      </c>
      <c r="E137" s="6">
        <v>1.68</v>
      </c>
      <c r="F137" t="str">
        <f t="shared" si="49"/>
        <v>MON</v>
      </c>
      <c r="G137" s="3">
        <f t="shared" si="50"/>
        <v>43892</v>
      </c>
      <c r="H137" s="2">
        <f t="shared" ca="1" si="59"/>
        <v>361</v>
      </c>
      <c r="I137" t="str">
        <f t="shared" si="51"/>
        <v>NATGAS</v>
      </c>
      <c r="J137">
        <f t="shared" si="52"/>
        <v>1.64</v>
      </c>
      <c r="K137">
        <f t="shared" si="53"/>
        <v>1.87</v>
      </c>
      <c r="L137">
        <f t="shared" si="54"/>
        <v>1.7549999999999999</v>
      </c>
      <c r="M137">
        <f t="shared" si="55"/>
        <v>0.1150000000000001</v>
      </c>
      <c r="N137">
        <f t="shared" si="61"/>
        <v>0.2300000000000002</v>
      </c>
      <c r="O137">
        <f t="shared" si="56"/>
        <v>1.68</v>
      </c>
      <c r="P137">
        <f t="shared" si="57"/>
        <v>-0.65217391304347727</v>
      </c>
      <c r="Q137" t="str">
        <f t="shared" si="62"/>
        <v>2.38% | 11.31%</v>
      </c>
      <c r="R137" t="str">
        <f t="shared" si="58"/>
        <v>BEARISH</v>
      </c>
      <c r="S137">
        <f t="shared" si="63"/>
        <v>-1</v>
      </c>
    </row>
    <row r="138" spans="1:19" hidden="1" x14ac:dyDescent="0.25">
      <c r="A138" s="5" t="str">
        <f t="shared" si="60"/>
        <v>43892GOLD</v>
      </c>
      <c r="B138" s="6" t="s">
        <v>25</v>
      </c>
      <c r="C138" s="6">
        <v>1558</v>
      </c>
      <c r="D138" s="6">
        <v>1686</v>
      </c>
      <c r="E138" s="6">
        <v>1566</v>
      </c>
      <c r="F138" t="str">
        <f t="shared" si="49"/>
        <v>MON</v>
      </c>
      <c r="G138" s="3">
        <f t="shared" si="50"/>
        <v>43892</v>
      </c>
      <c r="H138" s="2">
        <f t="shared" ca="1" si="59"/>
        <v>361</v>
      </c>
      <c r="I138" t="str">
        <f t="shared" si="51"/>
        <v>GOLD</v>
      </c>
      <c r="J138">
        <f t="shared" si="52"/>
        <v>1558</v>
      </c>
      <c r="K138">
        <f t="shared" si="53"/>
        <v>1686</v>
      </c>
      <c r="L138">
        <f t="shared" si="54"/>
        <v>1622</v>
      </c>
      <c r="M138">
        <f t="shared" si="55"/>
        <v>64</v>
      </c>
      <c r="N138">
        <f t="shared" si="61"/>
        <v>128</v>
      </c>
      <c r="O138">
        <f t="shared" si="56"/>
        <v>1566</v>
      </c>
      <c r="P138">
        <f t="shared" si="57"/>
        <v>-0.875</v>
      </c>
      <c r="Q138" t="str">
        <f t="shared" si="62"/>
        <v>0.51% | 7.66%</v>
      </c>
      <c r="R138" t="str">
        <f t="shared" si="58"/>
        <v>BULLISH</v>
      </c>
      <c r="S138">
        <f t="shared" si="63"/>
        <v>1</v>
      </c>
    </row>
    <row r="139" spans="1:19" hidden="1" x14ac:dyDescent="0.25">
      <c r="A139" s="5" t="str">
        <f t="shared" si="60"/>
        <v>43892COPPER</v>
      </c>
      <c r="B139" s="6" t="s">
        <v>26</v>
      </c>
      <c r="C139" s="6">
        <v>2.5099999999999998</v>
      </c>
      <c r="D139" s="6">
        <v>2.6</v>
      </c>
      <c r="E139" s="6">
        <v>2.54</v>
      </c>
      <c r="F139" t="str">
        <f t="shared" si="49"/>
        <v>MON</v>
      </c>
      <c r="G139" s="3">
        <f t="shared" si="50"/>
        <v>43892</v>
      </c>
      <c r="H139" s="2">
        <f t="shared" ca="1" si="59"/>
        <v>361</v>
      </c>
      <c r="I139" t="str">
        <f t="shared" si="51"/>
        <v>COPPER</v>
      </c>
      <c r="J139">
        <f t="shared" si="52"/>
        <v>2.5099999999999998</v>
      </c>
      <c r="K139">
        <f t="shared" si="53"/>
        <v>2.6</v>
      </c>
      <c r="L139">
        <f t="shared" si="54"/>
        <v>2.5549999999999997</v>
      </c>
      <c r="M139">
        <f t="shared" si="55"/>
        <v>4.5000000000000151E-2</v>
      </c>
      <c r="N139">
        <f t="shared" si="61"/>
        <v>9.0000000000000302E-2</v>
      </c>
      <c r="O139">
        <f t="shared" si="56"/>
        <v>2.54</v>
      </c>
      <c r="P139">
        <f t="shared" si="57"/>
        <v>-0.3333333333333251</v>
      </c>
      <c r="Q139" t="str">
        <f t="shared" si="62"/>
        <v>1.18% | 2.36%</v>
      </c>
      <c r="R139" t="str">
        <f t="shared" si="58"/>
        <v>BEARISH</v>
      </c>
      <c r="S139">
        <f t="shared" si="63"/>
        <v>-1</v>
      </c>
    </row>
    <row r="140" spans="1:19" hidden="1" x14ac:dyDescent="0.25">
      <c r="A140" s="5" t="str">
        <f t="shared" si="60"/>
        <v>43892AAPL</v>
      </c>
      <c r="B140" s="6" t="s">
        <v>68</v>
      </c>
      <c r="C140" s="6">
        <v>260.63</v>
      </c>
      <c r="D140" s="6">
        <v>300.3</v>
      </c>
      <c r="E140" s="6">
        <v>273.36</v>
      </c>
      <c r="F140" t="str">
        <f t="shared" si="49"/>
        <v>MON</v>
      </c>
      <c r="G140" s="3">
        <f t="shared" si="50"/>
        <v>43892</v>
      </c>
      <c r="H140" s="2">
        <f t="shared" ca="1" si="59"/>
        <v>361</v>
      </c>
      <c r="I140" t="str">
        <f t="shared" si="51"/>
        <v>AAPL</v>
      </c>
      <c r="J140">
        <f t="shared" si="52"/>
        <v>260.63</v>
      </c>
      <c r="K140">
        <f t="shared" si="53"/>
        <v>300.3</v>
      </c>
      <c r="L140">
        <f t="shared" si="54"/>
        <v>280.46500000000003</v>
      </c>
      <c r="M140">
        <f t="shared" si="55"/>
        <v>19.835000000000008</v>
      </c>
      <c r="N140">
        <f t="shared" si="61"/>
        <v>39.670000000000016</v>
      </c>
      <c r="O140">
        <f t="shared" si="56"/>
        <v>273.36</v>
      </c>
      <c r="P140">
        <f t="shared" si="57"/>
        <v>-0.35820519284093849</v>
      </c>
      <c r="Q140" t="str">
        <f t="shared" si="62"/>
        <v>4.66% | 9.86%</v>
      </c>
      <c r="R140" t="str">
        <f t="shared" si="58"/>
        <v>BEARISH</v>
      </c>
      <c r="S140">
        <f t="shared" si="63"/>
        <v>-1</v>
      </c>
    </row>
    <row r="141" spans="1:19" hidden="1" x14ac:dyDescent="0.25">
      <c r="A141" s="5" t="str">
        <f t="shared" si="60"/>
        <v>43892AMZN</v>
      </c>
      <c r="B141" s="6" t="s">
        <v>73</v>
      </c>
      <c r="C141" s="6">
        <v>1809</v>
      </c>
      <c r="D141" s="6">
        <v>2010</v>
      </c>
      <c r="E141" s="6">
        <v>1883</v>
      </c>
      <c r="F141" t="str">
        <f t="shared" si="49"/>
        <v>MON</v>
      </c>
      <c r="G141" s="3">
        <f t="shared" si="50"/>
        <v>43892</v>
      </c>
      <c r="H141" s="2">
        <f t="shared" ca="1" si="59"/>
        <v>361</v>
      </c>
      <c r="I141" t="str">
        <f t="shared" si="51"/>
        <v>AMZN</v>
      </c>
      <c r="J141">
        <f t="shared" si="52"/>
        <v>1809</v>
      </c>
      <c r="K141">
        <f t="shared" si="53"/>
        <v>2010</v>
      </c>
      <c r="L141">
        <f t="shared" si="54"/>
        <v>1909.5</v>
      </c>
      <c r="M141">
        <f t="shared" si="55"/>
        <v>100.5</v>
      </c>
      <c r="N141">
        <f t="shared" si="61"/>
        <v>201</v>
      </c>
      <c r="O141">
        <f t="shared" si="56"/>
        <v>1883</v>
      </c>
      <c r="P141">
        <f t="shared" si="57"/>
        <v>-0.26368159203980102</v>
      </c>
      <c r="Q141" t="str">
        <f t="shared" si="62"/>
        <v>3.93% | 6.74%</v>
      </c>
      <c r="R141" t="str">
        <f t="shared" si="58"/>
        <v>BEARISH</v>
      </c>
      <c r="S141">
        <f t="shared" si="63"/>
        <v>-1</v>
      </c>
    </row>
    <row r="142" spans="1:19" hidden="1" x14ac:dyDescent="0.25">
      <c r="A142" s="5" t="str">
        <f t="shared" si="60"/>
        <v>43892FB</v>
      </c>
      <c r="B142" s="6" t="s">
        <v>58</v>
      </c>
      <c r="C142" s="6">
        <v>181</v>
      </c>
      <c r="D142" s="6">
        <v>204</v>
      </c>
      <c r="E142" s="6">
        <v>192</v>
      </c>
      <c r="F142" t="str">
        <f t="shared" si="49"/>
        <v>MON</v>
      </c>
      <c r="G142" s="3">
        <f t="shared" si="50"/>
        <v>43892</v>
      </c>
      <c r="H142" s="2">
        <f t="shared" ca="1" si="59"/>
        <v>361</v>
      </c>
      <c r="I142" t="str">
        <f t="shared" si="51"/>
        <v>FB</v>
      </c>
      <c r="J142">
        <f t="shared" si="52"/>
        <v>181</v>
      </c>
      <c r="K142">
        <f t="shared" si="53"/>
        <v>204</v>
      </c>
      <c r="L142">
        <f t="shared" si="54"/>
        <v>192.5</v>
      </c>
      <c r="M142">
        <f t="shared" si="55"/>
        <v>11.5</v>
      </c>
      <c r="N142">
        <f t="shared" si="61"/>
        <v>23</v>
      </c>
      <c r="O142">
        <f t="shared" si="56"/>
        <v>192</v>
      </c>
      <c r="P142">
        <f t="shared" si="57"/>
        <v>-4.3478260869565216E-2</v>
      </c>
      <c r="Q142" t="str">
        <f t="shared" si="62"/>
        <v>5.73% | 6.25%</v>
      </c>
      <c r="R142" t="str">
        <f t="shared" si="58"/>
        <v>BEARISH</v>
      </c>
      <c r="S142">
        <f t="shared" si="63"/>
        <v>-1</v>
      </c>
    </row>
    <row r="143" spans="1:19" hidden="1" x14ac:dyDescent="0.25">
      <c r="A143" s="5" t="str">
        <f t="shared" si="60"/>
        <v>43892GOOGL</v>
      </c>
      <c r="B143" s="6" t="s">
        <v>66</v>
      </c>
      <c r="C143" s="6">
        <v>1279</v>
      </c>
      <c r="D143" s="6">
        <v>1432</v>
      </c>
      <c r="E143" s="6">
        <v>1339</v>
      </c>
      <c r="F143" t="str">
        <f t="shared" si="49"/>
        <v>MON</v>
      </c>
      <c r="G143" s="3">
        <f t="shared" si="50"/>
        <v>43892</v>
      </c>
      <c r="H143" s="2">
        <f t="shared" ca="1" si="59"/>
        <v>361</v>
      </c>
      <c r="I143" t="str">
        <f t="shared" si="51"/>
        <v>GOOGL</v>
      </c>
      <c r="J143">
        <f t="shared" si="52"/>
        <v>1279</v>
      </c>
      <c r="K143">
        <f t="shared" si="53"/>
        <v>1432</v>
      </c>
      <c r="L143">
        <f t="shared" si="54"/>
        <v>1355.5</v>
      </c>
      <c r="M143">
        <f t="shared" si="55"/>
        <v>76.5</v>
      </c>
      <c r="N143">
        <f t="shared" si="61"/>
        <v>153</v>
      </c>
      <c r="O143">
        <f t="shared" si="56"/>
        <v>1339</v>
      </c>
      <c r="P143">
        <f t="shared" si="57"/>
        <v>-0.21568627450980393</v>
      </c>
      <c r="Q143" t="str">
        <f t="shared" si="62"/>
        <v>4.48% | 6.95%</v>
      </c>
      <c r="R143" t="str">
        <f t="shared" si="58"/>
        <v>BEARISH</v>
      </c>
      <c r="S143">
        <f t="shared" si="63"/>
        <v>-1</v>
      </c>
    </row>
    <row r="144" spans="1:19" hidden="1" x14ac:dyDescent="0.25">
      <c r="A144" s="5" t="str">
        <f t="shared" si="60"/>
        <v>43892NFLX</v>
      </c>
      <c r="B144" s="6" t="s">
        <v>70</v>
      </c>
      <c r="C144" s="6">
        <v>351</v>
      </c>
      <c r="D144" s="6">
        <v>383</v>
      </c>
      <c r="E144" s="6">
        <v>369</v>
      </c>
      <c r="F144" t="str">
        <f t="shared" si="49"/>
        <v>MON</v>
      </c>
      <c r="G144" s="3">
        <f t="shared" si="50"/>
        <v>43892</v>
      </c>
      <c r="H144" s="2">
        <f t="shared" ca="1" si="59"/>
        <v>361</v>
      </c>
      <c r="I144" t="str">
        <f t="shared" si="51"/>
        <v>NFLX</v>
      </c>
      <c r="J144">
        <f t="shared" si="52"/>
        <v>351</v>
      </c>
      <c r="K144">
        <f t="shared" si="53"/>
        <v>383</v>
      </c>
      <c r="L144">
        <f t="shared" si="54"/>
        <v>367</v>
      </c>
      <c r="M144">
        <f t="shared" si="55"/>
        <v>16</v>
      </c>
      <c r="N144">
        <f t="shared" si="61"/>
        <v>32</v>
      </c>
      <c r="O144">
        <f t="shared" si="56"/>
        <v>369</v>
      </c>
      <c r="P144">
        <f t="shared" si="57"/>
        <v>0.125</v>
      </c>
      <c r="Q144" t="str">
        <f t="shared" si="62"/>
        <v>4.88% | 3.79%</v>
      </c>
      <c r="R144" t="str">
        <f t="shared" si="58"/>
        <v>NEUTRAL</v>
      </c>
      <c r="S144">
        <f t="shared" si="63"/>
        <v>0</v>
      </c>
    </row>
    <row r="145" spans="1:19" x14ac:dyDescent="0.25">
      <c r="A145" s="5" t="str">
        <f t="shared" si="60"/>
        <v>43892TSLA</v>
      </c>
      <c r="B145" s="6" t="s">
        <v>71</v>
      </c>
      <c r="C145" s="6">
        <v>565</v>
      </c>
      <c r="D145" s="6">
        <v>816</v>
      </c>
      <c r="E145" s="6">
        <v>667</v>
      </c>
      <c r="F145" t="str">
        <f t="shared" si="49"/>
        <v>MON</v>
      </c>
      <c r="G145" s="3">
        <f t="shared" si="50"/>
        <v>43892</v>
      </c>
      <c r="H145" s="2">
        <f t="shared" ca="1" si="59"/>
        <v>361</v>
      </c>
      <c r="I145" t="str">
        <f t="shared" si="51"/>
        <v>TSLA</v>
      </c>
      <c r="J145">
        <f t="shared" si="52"/>
        <v>565</v>
      </c>
      <c r="K145">
        <f t="shared" si="53"/>
        <v>816</v>
      </c>
      <c r="L145">
        <f t="shared" si="54"/>
        <v>690.5</v>
      </c>
      <c r="M145">
        <f t="shared" si="55"/>
        <v>125.5</v>
      </c>
      <c r="N145">
        <f t="shared" si="61"/>
        <v>251</v>
      </c>
      <c r="O145">
        <f t="shared" si="56"/>
        <v>667</v>
      </c>
      <c r="P145">
        <f t="shared" si="57"/>
        <v>-0.18725099601593626</v>
      </c>
      <c r="Q145" t="str">
        <f t="shared" si="62"/>
        <v>15.29% | 22.34%</v>
      </c>
      <c r="R145" t="str">
        <f t="shared" si="58"/>
        <v>NEUTRAL</v>
      </c>
      <c r="S145">
        <f t="shared" si="63"/>
        <v>0</v>
      </c>
    </row>
    <row r="146" spans="1:19" hidden="1" x14ac:dyDescent="0.25">
      <c r="A146" s="5" t="str">
        <f t="shared" si="60"/>
        <v>43892NYXBT</v>
      </c>
      <c r="B146" s="6" t="s">
        <v>74</v>
      </c>
      <c r="C146" s="6">
        <v>8415</v>
      </c>
      <c r="D146" s="6">
        <v>9441</v>
      </c>
      <c r="E146" s="6">
        <v>8684</v>
      </c>
      <c r="F146" t="str">
        <f t="shared" si="49"/>
        <v>MON</v>
      </c>
      <c r="G146" s="3">
        <f t="shared" si="50"/>
        <v>43892</v>
      </c>
      <c r="H146" s="2">
        <f t="shared" ca="1" si="59"/>
        <v>361</v>
      </c>
      <c r="I146" t="str">
        <f t="shared" si="51"/>
        <v>NYXBT</v>
      </c>
      <c r="J146">
        <f t="shared" si="52"/>
        <v>8415</v>
      </c>
      <c r="K146">
        <f t="shared" si="53"/>
        <v>9441</v>
      </c>
      <c r="L146">
        <f t="shared" si="54"/>
        <v>8928</v>
      </c>
      <c r="M146">
        <f t="shared" si="55"/>
        <v>513</v>
      </c>
      <c r="N146">
        <f t="shared" si="61"/>
        <v>1026</v>
      </c>
      <c r="O146">
        <f t="shared" si="56"/>
        <v>8684</v>
      </c>
      <c r="P146">
        <f t="shared" si="57"/>
        <v>-0.47563352826510719</v>
      </c>
      <c r="Q146" t="str">
        <f t="shared" si="62"/>
        <v>3.1% | 8.72%</v>
      </c>
      <c r="R146" t="str">
        <f t="shared" si="58"/>
        <v>BEARISH</v>
      </c>
      <c r="S146">
        <f t="shared" si="63"/>
        <v>-1</v>
      </c>
    </row>
    <row r="147" spans="1:19" hidden="1" x14ac:dyDescent="0.25">
      <c r="A147" s="5" t="str">
        <f t="shared" si="60"/>
        <v>43893UST10Y</v>
      </c>
      <c r="B147" s="6" t="s">
        <v>4</v>
      </c>
      <c r="C147" s="6">
        <v>1.36</v>
      </c>
      <c r="D147" s="6">
        <v>1.04</v>
      </c>
      <c r="E147" s="6">
        <v>1.1000000000000001</v>
      </c>
      <c r="F147" t="str">
        <f t="shared" si="49"/>
        <v>TUE</v>
      </c>
      <c r="G147" s="1">
        <f>DATE(2020,3,3)</f>
        <v>43893</v>
      </c>
      <c r="H147" s="2">
        <f t="shared" ca="1" si="59"/>
        <v>360</v>
      </c>
      <c r="I147" t="str">
        <f t="shared" si="51"/>
        <v>UST10Y</v>
      </c>
      <c r="J147">
        <f t="shared" si="52"/>
        <v>1.36</v>
      </c>
      <c r="K147">
        <f t="shared" si="53"/>
        <v>1.04</v>
      </c>
      <c r="L147">
        <f t="shared" si="54"/>
        <v>1.2000000000000002</v>
      </c>
      <c r="M147">
        <f t="shared" si="55"/>
        <v>0.1599999999999995</v>
      </c>
      <c r="N147">
        <f t="shared" si="61"/>
        <v>0.32000000000000006</v>
      </c>
      <c r="O147">
        <f t="shared" si="56"/>
        <v>1.1000000000000001</v>
      </c>
      <c r="P147">
        <f t="shared" si="57"/>
        <v>-0.62500000000000244</v>
      </c>
      <c r="Q147" t="str">
        <f t="shared" si="62"/>
        <v>23.64% | 5.45%</v>
      </c>
      <c r="R147" t="str">
        <f t="shared" si="58"/>
        <v>BEARISH</v>
      </c>
      <c r="S147">
        <f t="shared" si="63"/>
        <v>-1</v>
      </c>
    </row>
    <row r="148" spans="1:19" hidden="1" x14ac:dyDescent="0.25">
      <c r="A148" s="5" t="str">
        <f t="shared" si="60"/>
        <v>43893UST2Y</v>
      </c>
      <c r="B148" s="6" t="s">
        <v>5</v>
      </c>
      <c r="C148" s="6">
        <v>1.18</v>
      </c>
      <c r="D148" s="6">
        <v>0.72</v>
      </c>
      <c r="E148" s="6">
        <v>0.84</v>
      </c>
      <c r="F148" t="str">
        <f t="shared" ref="F148:F176" si="64">UPPER(TEXT(G148,"ddd"))</f>
        <v>TUE</v>
      </c>
      <c r="G148" s="1">
        <f t="shared" ref="G148:G175" si="65">DATE(2020,3,3)</f>
        <v>43893</v>
      </c>
      <c r="H148" s="2">
        <f t="shared" ca="1" si="59"/>
        <v>360</v>
      </c>
      <c r="I148" t="str">
        <f t="shared" ref="I148:I176" si="66">TRIM(LEFT(B148,FIND(" ",B148,1)))</f>
        <v>UST2Y</v>
      </c>
      <c r="J148">
        <f t="shared" ref="J148:J176" si="67">C148</f>
        <v>1.18</v>
      </c>
      <c r="K148">
        <f t="shared" ref="K148:K176" si="68">D148</f>
        <v>0.72</v>
      </c>
      <c r="L148">
        <f t="shared" ref="L148:L176" si="69">AVERAGE(J148:K148)</f>
        <v>0.95</v>
      </c>
      <c r="M148">
        <f t="shared" ref="M148:M176" si="70">_xlfn.STDEV.P(J148:K148)</f>
        <v>0.22999999999999987</v>
      </c>
      <c r="N148">
        <f t="shared" si="61"/>
        <v>0.45999999999999996</v>
      </c>
      <c r="O148">
        <f t="shared" ref="O148:O176" si="71">E148</f>
        <v>0.84</v>
      </c>
      <c r="P148">
        <f t="shared" ref="P148:P176" si="72">(O148-L148)/M148</f>
        <v>-0.47826086956521763</v>
      </c>
      <c r="Q148" t="str">
        <f t="shared" si="62"/>
        <v>40.48% | 14.29%</v>
      </c>
      <c r="R148" t="str">
        <f t="shared" ref="R148:R176" si="73">MID(B148,FIND("(",B148,1)+1,FIND(")",B148,1)-FIND("(",B148,1)-1)</f>
        <v>BEARISH</v>
      </c>
      <c r="S148">
        <f t="shared" si="63"/>
        <v>-1</v>
      </c>
    </row>
    <row r="149" spans="1:19" hidden="1" x14ac:dyDescent="0.25">
      <c r="A149" s="5" t="str">
        <f t="shared" si="60"/>
        <v>43893SPX</v>
      </c>
      <c r="B149" s="6" t="s">
        <v>6</v>
      </c>
      <c r="C149" s="6">
        <v>2859</v>
      </c>
      <c r="D149" s="6">
        <v>3178</v>
      </c>
      <c r="E149" s="6">
        <v>3090</v>
      </c>
      <c r="F149" t="str">
        <f t="shared" si="64"/>
        <v>TUE</v>
      </c>
      <c r="G149" s="1">
        <f t="shared" si="65"/>
        <v>43893</v>
      </c>
      <c r="H149" s="2">
        <f t="shared" ca="1" si="59"/>
        <v>360</v>
      </c>
      <c r="I149" t="str">
        <f t="shared" si="66"/>
        <v>SPX</v>
      </c>
      <c r="J149">
        <f t="shared" si="67"/>
        <v>2859</v>
      </c>
      <c r="K149">
        <f t="shared" si="68"/>
        <v>3178</v>
      </c>
      <c r="L149">
        <f t="shared" si="69"/>
        <v>3018.5</v>
      </c>
      <c r="M149">
        <f t="shared" si="70"/>
        <v>159.5</v>
      </c>
      <c r="N149">
        <f t="shared" si="61"/>
        <v>319</v>
      </c>
      <c r="O149">
        <f t="shared" si="71"/>
        <v>3090</v>
      </c>
      <c r="P149">
        <f t="shared" si="72"/>
        <v>0.44827586206896552</v>
      </c>
      <c r="Q149" t="str">
        <f t="shared" si="62"/>
        <v>7.48% | 2.85%</v>
      </c>
      <c r="R149" t="str">
        <f t="shared" si="73"/>
        <v>BEARISH</v>
      </c>
      <c r="S149">
        <f t="shared" si="63"/>
        <v>-1</v>
      </c>
    </row>
    <row r="150" spans="1:19" hidden="1" x14ac:dyDescent="0.25">
      <c r="A150" s="5" t="str">
        <f t="shared" si="60"/>
        <v>43893RUT</v>
      </c>
      <c r="B150" s="6" t="s">
        <v>7</v>
      </c>
      <c r="C150" s="6">
        <v>1457</v>
      </c>
      <c r="D150" s="6">
        <v>1551</v>
      </c>
      <c r="E150" s="6">
        <v>1518</v>
      </c>
      <c r="F150" t="str">
        <f t="shared" si="64"/>
        <v>TUE</v>
      </c>
      <c r="G150" s="1">
        <f t="shared" si="65"/>
        <v>43893</v>
      </c>
      <c r="H150" s="2">
        <f t="shared" ca="1" si="59"/>
        <v>360</v>
      </c>
      <c r="I150" t="str">
        <f t="shared" si="66"/>
        <v>RUT</v>
      </c>
      <c r="J150">
        <f t="shared" si="67"/>
        <v>1457</v>
      </c>
      <c r="K150">
        <f t="shared" si="68"/>
        <v>1551</v>
      </c>
      <c r="L150">
        <f t="shared" si="69"/>
        <v>1504</v>
      </c>
      <c r="M150">
        <f t="shared" si="70"/>
        <v>47</v>
      </c>
      <c r="N150">
        <f t="shared" si="61"/>
        <v>94</v>
      </c>
      <c r="O150">
        <f t="shared" si="71"/>
        <v>1518</v>
      </c>
      <c r="P150">
        <f t="shared" si="72"/>
        <v>0.2978723404255319</v>
      </c>
      <c r="Q150" t="str">
        <f t="shared" si="62"/>
        <v>4.02% | 2.17%</v>
      </c>
      <c r="R150" t="str">
        <f t="shared" si="73"/>
        <v>BEARISH</v>
      </c>
      <c r="S150">
        <f t="shared" si="63"/>
        <v>-1</v>
      </c>
    </row>
    <row r="151" spans="1:19" hidden="1" x14ac:dyDescent="0.25">
      <c r="A151" s="5" t="str">
        <f t="shared" si="60"/>
        <v>43893COMPQ</v>
      </c>
      <c r="B151" s="6" t="s">
        <v>64</v>
      </c>
      <c r="C151" s="6">
        <v>8257</v>
      </c>
      <c r="D151" s="6">
        <v>9252</v>
      </c>
      <c r="E151" s="6">
        <v>8952</v>
      </c>
      <c r="F151" t="str">
        <f t="shared" si="64"/>
        <v>TUE</v>
      </c>
      <c r="G151" s="1">
        <f t="shared" si="65"/>
        <v>43893</v>
      </c>
      <c r="H151" s="2">
        <f t="shared" ca="1" si="59"/>
        <v>360</v>
      </c>
      <c r="I151" t="str">
        <f t="shared" si="66"/>
        <v>COMPQ</v>
      </c>
      <c r="J151">
        <f t="shared" si="67"/>
        <v>8257</v>
      </c>
      <c r="K151">
        <f t="shared" si="68"/>
        <v>9252</v>
      </c>
      <c r="L151">
        <f t="shared" si="69"/>
        <v>8754.5</v>
      </c>
      <c r="M151">
        <f t="shared" si="70"/>
        <v>497.5</v>
      </c>
      <c r="N151">
        <f t="shared" si="61"/>
        <v>995</v>
      </c>
      <c r="O151">
        <f t="shared" si="71"/>
        <v>8952</v>
      </c>
      <c r="P151">
        <f t="shared" si="72"/>
        <v>0.39698492462311558</v>
      </c>
      <c r="Q151" t="str">
        <f t="shared" si="62"/>
        <v>7.76% | 3.35%</v>
      </c>
      <c r="R151" t="str">
        <f t="shared" si="73"/>
        <v>BEARISH</v>
      </c>
      <c r="S151">
        <f t="shared" si="63"/>
        <v>-1</v>
      </c>
    </row>
    <row r="152" spans="1:19" hidden="1" x14ac:dyDescent="0.25">
      <c r="A152" s="5" t="str">
        <f t="shared" si="60"/>
        <v>43893XLU</v>
      </c>
      <c r="B152" s="6" t="s">
        <v>52</v>
      </c>
      <c r="C152" s="6">
        <v>61.93</v>
      </c>
      <c r="D152" s="6">
        <v>71.650000000000006</v>
      </c>
      <c r="E152" s="6">
        <v>65.84</v>
      </c>
      <c r="F152" t="str">
        <f t="shared" si="64"/>
        <v>TUE</v>
      </c>
      <c r="G152" s="1">
        <f t="shared" si="65"/>
        <v>43893</v>
      </c>
      <c r="H152" s="2">
        <f t="shared" ca="1" si="59"/>
        <v>360</v>
      </c>
      <c r="I152" t="str">
        <f t="shared" si="66"/>
        <v>XLU</v>
      </c>
      <c r="J152">
        <f t="shared" si="67"/>
        <v>61.93</v>
      </c>
      <c r="K152">
        <f t="shared" si="68"/>
        <v>71.650000000000006</v>
      </c>
      <c r="L152">
        <f t="shared" si="69"/>
        <v>66.790000000000006</v>
      </c>
      <c r="M152">
        <f t="shared" si="70"/>
        <v>4.860000000000003</v>
      </c>
      <c r="N152">
        <f t="shared" si="61"/>
        <v>9.720000000000006</v>
      </c>
      <c r="O152">
        <f t="shared" si="71"/>
        <v>65.84</v>
      </c>
      <c r="P152">
        <f t="shared" si="72"/>
        <v>-0.19547325102880705</v>
      </c>
      <c r="Q152" t="str">
        <f t="shared" si="62"/>
        <v>5.94% | 8.82%</v>
      </c>
      <c r="R152" t="str">
        <f t="shared" si="73"/>
        <v>BULLISH</v>
      </c>
      <c r="S152">
        <f t="shared" si="63"/>
        <v>1</v>
      </c>
    </row>
    <row r="153" spans="1:19" hidden="1" x14ac:dyDescent="0.25">
      <c r="A153" s="5" t="str">
        <f t="shared" si="60"/>
        <v>43893VNQ</v>
      </c>
      <c r="B153" s="6" t="s">
        <v>75</v>
      </c>
      <c r="C153" s="6">
        <v>86.2</v>
      </c>
      <c r="D153" s="6">
        <v>94.99</v>
      </c>
      <c r="E153" s="6">
        <v>91.06</v>
      </c>
      <c r="F153" t="str">
        <f t="shared" si="64"/>
        <v>TUE</v>
      </c>
      <c r="G153" s="1">
        <f t="shared" si="65"/>
        <v>43893</v>
      </c>
      <c r="H153" s="2">
        <f t="shared" ca="1" si="59"/>
        <v>360</v>
      </c>
      <c r="I153" t="str">
        <f t="shared" si="66"/>
        <v>VNQ</v>
      </c>
      <c r="J153">
        <f t="shared" si="67"/>
        <v>86.2</v>
      </c>
      <c r="K153">
        <f t="shared" si="68"/>
        <v>94.99</v>
      </c>
      <c r="L153">
        <f t="shared" si="69"/>
        <v>90.594999999999999</v>
      </c>
      <c r="M153">
        <f t="shared" si="70"/>
        <v>4.394999999999996</v>
      </c>
      <c r="N153">
        <f t="shared" si="61"/>
        <v>8.789999999999992</v>
      </c>
      <c r="O153">
        <f t="shared" si="71"/>
        <v>91.06</v>
      </c>
      <c r="P153">
        <f t="shared" si="72"/>
        <v>0.10580204778157083</v>
      </c>
      <c r="Q153" t="str">
        <f t="shared" si="62"/>
        <v>5.34% | 4.32%</v>
      </c>
      <c r="R153" t="str">
        <f t="shared" si="73"/>
        <v>NEUTRAL</v>
      </c>
      <c r="S153">
        <f t="shared" si="63"/>
        <v>0</v>
      </c>
    </row>
    <row r="154" spans="1:19" hidden="1" x14ac:dyDescent="0.25">
      <c r="A154" s="5" t="str">
        <f t="shared" si="60"/>
        <v>43893XLP</v>
      </c>
      <c r="B154" s="6" t="s">
        <v>50</v>
      </c>
      <c r="C154" s="6">
        <v>57.06</v>
      </c>
      <c r="D154" s="6">
        <v>62.77</v>
      </c>
      <c r="E154" s="6">
        <v>61.09</v>
      </c>
      <c r="F154" t="str">
        <f t="shared" si="64"/>
        <v>TUE</v>
      </c>
      <c r="G154" s="1">
        <f t="shared" si="65"/>
        <v>43893</v>
      </c>
      <c r="H154" s="2">
        <f t="shared" ca="1" si="59"/>
        <v>360</v>
      </c>
      <c r="I154" t="str">
        <f t="shared" si="66"/>
        <v>XLP</v>
      </c>
      <c r="J154">
        <f t="shared" si="67"/>
        <v>57.06</v>
      </c>
      <c r="K154">
        <f t="shared" si="68"/>
        <v>62.77</v>
      </c>
      <c r="L154">
        <f t="shared" si="69"/>
        <v>59.915000000000006</v>
      </c>
      <c r="M154">
        <f t="shared" si="70"/>
        <v>2.8550000000000004</v>
      </c>
      <c r="N154">
        <f t="shared" si="61"/>
        <v>5.7100000000000009</v>
      </c>
      <c r="O154">
        <f t="shared" si="71"/>
        <v>61.09</v>
      </c>
      <c r="P154">
        <f t="shared" si="72"/>
        <v>0.41155866900175025</v>
      </c>
      <c r="Q154" t="str">
        <f t="shared" si="62"/>
        <v>6.6% | 2.75%</v>
      </c>
      <c r="R154" t="str">
        <f t="shared" si="73"/>
        <v>NEUTRAL</v>
      </c>
      <c r="S154">
        <f t="shared" si="63"/>
        <v>0</v>
      </c>
    </row>
    <row r="155" spans="1:19" hidden="1" x14ac:dyDescent="0.25">
      <c r="A155" s="5" t="str">
        <f t="shared" si="60"/>
        <v>43893XLK</v>
      </c>
      <c r="B155" s="6" t="s">
        <v>65</v>
      </c>
      <c r="C155" s="6">
        <v>84.39</v>
      </c>
      <c r="D155" s="6">
        <v>97.07</v>
      </c>
      <c r="E155" s="6">
        <v>93.48</v>
      </c>
      <c r="F155" t="str">
        <f t="shared" si="64"/>
        <v>TUE</v>
      </c>
      <c r="G155" s="1">
        <f t="shared" si="65"/>
        <v>43893</v>
      </c>
      <c r="H155" s="2">
        <f t="shared" ca="1" si="59"/>
        <v>360</v>
      </c>
      <c r="I155" t="str">
        <f t="shared" si="66"/>
        <v>XLK</v>
      </c>
      <c r="J155">
        <f t="shared" si="67"/>
        <v>84.39</v>
      </c>
      <c r="K155">
        <f t="shared" si="68"/>
        <v>97.07</v>
      </c>
      <c r="L155">
        <f t="shared" si="69"/>
        <v>90.72999999999999</v>
      </c>
      <c r="M155">
        <f t="shared" si="70"/>
        <v>6.3399999999999963</v>
      </c>
      <c r="N155">
        <f t="shared" si="61"/>
        <v>12.679999999999993</v>
      </c>
      <c r="O155">
        <f t="shared" si="71"/>
        <v>93.48</v>
      </c>
      <c r="P155">
        <f t="shared" si="72"/>
        <v>0.43375394321766814</v>
      </c>
      <c r="Q155" t="str">
        <f t="shared" si="62"/>
        <v>9.72% | 3.84%</v>
      </c>
      <c r="R155" t="str">
        <f t="shared" si="73"/>
        <v>BEARISH</v>
      </c>
      <c r="S155">
        <f t="shared" si="63"/>
        <v>-1</v>
      </c>
    </row>
    <row r="156" spans="1:19" hidden="1" x14ac:dyDescent="0.25">
      <c r="A156" s="5" t="str">
        <f t="shared" si="60"/>
        <v>43893SSEC</v>
      </c>
      <c r="B156" s="6" t="s">
        <v>14</v>
      </c>
      <c r="C156" s="6">
        <v>2879</v>
      </c>
      <c r="D156" s="6">
        <v>3081</v>
      </c>
      <c r="E156" s="6">
        <v>2992</v>
      </c>
      <c r="F156" t="str">
        <f t="shared" si="64"/>
        <v>TUE</v>
      </c>
      <c r="G156" s="1">
        <f t="shared" si="65"/>
        <v>43893</v>
      </c>
      <c r="H156" s="2">
        <f t="shared" ca="1" si="59"/>
        <v>360</v>
      </c>
      <c r="I156" t="str">
        <f t="shared" si="66"/>
        <v>SSEC</v>
      </c>
      <c r="J156">
        <f t="shared" si="67"/>
        <v>2879</v>
      </c>
      <c r="K156">
        <f t="shared" si="68"/>
        <v>3081</v>
      </c>
      <c r="L156">
        <f t="shared" si="69"/>
        <v>2980</v>
      </c>
      <c r="M156">
        <f t="shared" si="70"/>
        <v>101</v>
      </c>
      <c r="N156">
        <f t="shared" si="61"/>
        <v>202</v>
      </c>
      <c r="O156">
        <f t="shared" si="71"/>
        <v>2992</v>
      </c>
      <c r="P156">
        <f t="shared" si="72"/>
        <v>0.11881188118811881</v>
      </c>
      <c r="Q156" t="str">
        <f t="shared" si="62"/>
        <v>3.78% | 2.97%</v>
      </c>
      <c r="R156" t="str">
        <f t="shared" si="73"/>
        <v>BEARISH</v>
      </c>
      <c r="S156">
        <f t="shared" si="63"/>
        <v>-1</v>
      </c>
    </row>
    <row r="157" spans="1:19" hidden="1" x14ac:dyDescent="0.25">
      <c r="A157" s="5" t="str">
        <f t="shared" si="60"/>
        <v>43893NIKK</v>
      </c>
      <c r="B157" s="6" t="s">
        <v>15</v>
      </c>
      <c r="C157" s="6">
        <v>20745</v>
      </c>
      <c r="D157" s="6">
        <v>22527</v>
      </c>
      <c r="E157" s="6">
        <v>21082</v>
      </c>
      <c r="F157" t="str">
        <f t="shared" si="64"/>
        <v>TUE</v>
      </c>
      <c r="G157" s="1">
        <f t="shared" si="65"/>
        <v>43893</v>
      </c>
      <c r="H157" s="2">
        <f t="shared" ca="1" si="59"/>
        <v>360</v>
      </c>
      <c r="I157" t="str">
        <f t="shared" si="66"/>
        <v>NIKK</v>
      </c>
      <c r="J157">
        <f t="shared" si="67"/>
        <v>20745</v>
      </c>
      <c r="K157">
        <f t="shared" si="68"/>
        <v>22527</v>
      </c>
      <c r="L157">
        <f t="shared" si="69"/>
        <v>21636</v>
      </c>
      <c r="M157">
        <f t="shared" si="70"/>
        <v>891</v>
      </c>
      <c r="N157">
        <f t="shared" si="61"/>
        <v>1782</v>
      </c>
      <c r="O157">
        <f t="shared" si="71"/>
        <v>21082</v>
      </c>
      <c r="P157">
        <f t="shared" si="72"/>
        <v>-0.62177328843995505</v>
      </c>
      <c r="Q157" t="str">
        <f t="shared" si="62"/>
        <v>1.6% | 6.85%</v>
      </c>
      <c r="R157" t="str">
        <f t="shared" si="73"/>
        <v>BEARISH</v>
      </c>
      <c r="S157">
        <f t="shared" si="63"/>
        <v>-1</v>
      </c>
    </row>
    <row r="158" spans="1:19" hidden="1" x14ac:dyDescent="0.25">
      <c r="A158" s="5" t="str">
        <f t="shared" si="60"/>
        <v>43893DAX</v>
      </c>
      <c r="B158" s="6" t="s">
        <v>16</v>
      </c>
      <c r="C158" s="6">
        <v>11475</v>
      </c>
      <c r="D158" s="6">
        <v>12760</v>
      </c>
      <c r="E158" s="6">
        <v>11857</v>
      </c>
      <c r="F158" t="str">
        <f t="shared" si="64"/>
        <v>TUE</v>
      </c>
      <c r="G158" s="1">
        <f t="shared" si="65"/>
        <v>43893</v>
      </c>
      <c r="H158" s="2">
        <f t="shared" ca="1" si="59"/>
        <v>360</v>
      </c>
      <c r="I158" t="str">
        <f t="shared" si="66"/>
        <v>DAX</v>
      </c>
      <c r="J158">
        <f t="shared" si="67"/>
        <v>11475</v>
      </c>
      <c r="K158">
        <f t="shared" si="68"/>
        <v>12760</v>
      </c>
      <c r="L158">
        <f t="shared" si="69"/>
        <v>12117.5</v>
      </c>
      <c r="M158">
        <f t="shared" si="70"/>
        <v>642.5</v>
      </c>
      <c r="N158">
        <f t="shared" si="61"/>
        <v>1285</v>
      </c>
      <c r="O158">
        <f t="shared" si="71"/>
        <v>11857</v>
      </c>
      <c r="P158">
        <f t="shared" si="72"/>
        <v>-0.40544747081712063</v>
      </c>
      <c r="Q158" t="str">
        <f t="shared" si="62"/>
        <v>3.22% | 7.62%</v>
      </c>
      <c r="R158" t="str">
        <f t="shared" si="73"/>
        <v>BEARISH</v>
      </c>
      <c r="S158">
        <f t="shared" si="63"/>
        <v>-1</v>
      </c>
    </row>
    <row r="159" spans="1:19" hidden="1" x14ac:dyDescent="0.25">
      <c r="A159" s="5" t="str">
        <f t="shared" si="60"/>
        <v>43893VIX</v>
      </c>
      <c r="B159" s="6" t="s">
        <v>17</v>
      </c>
      <c r="C159" s="6">
        <v>21.38</v>
      </c>
      <c r="D159" s="6">
        <v>44.99</v>
      </c>
      <c r="E159" s="6">
        <v>33.42</v>
      </c>
      <c r="F159" t="str">
        <f t="shared" si="64"/>
        <v>TUE</v>
      </c>
      <c r="G159" s="1">
        <f t="shared" si="65"/>
        <v>43893</v>
      </c>
      <c r="H159" s="2">
        <f t="shared" ca="1" si="59"/>
        <v>360</v>
      </c>
      <c r="I159" t="str">
        <f t="shared" si="66"/>
        <v>VIX</v>
      </c>
      <c r="J159">
        <f t="shared" si="67"/>
        <v>21.38</v>
      </c>
      <c r="K159">
        <f t="shared" si="68"/>
        <v>44.99</v>
      </c>
      <c r="L159">
        <f t="shared" si="69"/>
        <v>33.185000000000002</v>
      </c>
      <c r="M159">
        <f t="shared" si="70"/>
        <v>11.804999999999991</v>
      </c>
      <c r="N159">
        <f t="shared" si="61"/>
        <v>23.610000000000003</v>
      </c>
      <c r="O159">
        <f t="shared" si="71"/>
        <v>33.42</v>
      </c>
      <c r="P159">
        <f t="shared" si="72"/>
        <v>1.9906819144430293E-2</v>
      </c>
      <c r="Q159" t="str">
        <f t="shared" si="62"/>
        <v>36.03% | 34.62%</v>
      </c>
      <c r="R159" t="str">
        <f t="shared" si="73"/>
        <v>BULLISH</v>
      </c>
      <c r="S159">
        <f t="shared" si="63"/>
        <v>1</v>
      </c>
    </row>
    <row r="160" spans="1:19" hidden="1" x14ac:dyDescent="0.25">
      <c r="A160" s="5" t="str">
        <f t="shared" si="60"/>
        <v>43893USD</v>
      </c>
      <c r="B160" s="6" t="s">
        <v>18</v>
      </c>
      <c r="C160" s="6">
        <v>97.12</v>
      </c>
      <c r="D160" s="6">
        <v>100.65</v>
      </c>
      <c r="E160" s="6">
        <v>97.32</v>
      </c>
      <c r="F160" t="str">
        <f t="shared" si="64"/>
        <v>TUE</v>
      </c>
      <c r="G160" s="1">
        <f t="shared" si="65"/>
        <v>43893</v>
      </c>
      <c r="H160" s="2">
        <f t="shared" ca="1" si="59"/>
        <v>360</v>
      </c>
      <c r="I160" t="str">
        <f t="shared" si="66"/>
        <v>USD</v>
      </c>
      <c r="J160">
        <f t="shared" si="67"/>
        <v>97.12</v>
      </c>
      <c r="K160">
        <f t="shared" si="68"/>
        <v>100.65</v>
      </c>
      <c r="L160">
        <f t="shared" si="69"/>
        <v>98.885000000000005</v>
      </c>
      <c r="M160">
        <f t="shared" si="70"/>
        <v>1.7650000000000006</v>
      </c>
      <c r="N160">
        <f t="shared" si="61"/>
        <v>3.5300000000000011</v>
      </c>
      <c r="O160">
        <f t="shared" si="71"/>
        <v>97.32</v>
      </c>
      <c r="P160">
        <f t="shared" si="72"/>
        <v>-0.88668555240793845</v>
      </c>
      <c r="Q160" t="str">
        <f t="shared" si="62"/>
        <v>0.21% | 3.42%</v>
      </c>
      <c r="R160" t="str">
        <f t="shared" si="73"/>
        <v>BULLISH</v>
      </c>
      <c r="S160">
        <f t="shared" si="63"/>
        <v>1</v>
      </c>
    </row>
    <row r="161" spans="1:19" hidden="1" x14ac:dyDescent="0.25">
      <c r="A161" s="5" t="str">
        <f t="shared" si="60"/>
        <v>43893EUR/USD</v>
      </c>
      <c r="B161" s="6" t="s">
        <v>19</v>
      </c>
      <c r="C161" s="6">
        <v>1.06</v>
      </c>
      <c r="D161" s="6">
        <v>1.1100000000000001</v>
      </c>
      <c r="E161" s="6">
        <v>1.1100000000000001</v>
      </c>
      <c r="F161" t="str">
        <f t="shared" si="64"/>
        <v>TUE</v>
      </c>
      <c r="G161" s="1">
        <f t="shared" si="65"/>
        <v>43893</v>
      </c>
      <c r="H161" s="2">
        <f t="shared" ca="1" si="59"/>
        <v>360</v>
      </c>
      <c r="I161" t="str">
        <f t="shared" si="66"/>
        <v>EUR/USD</v>
      </c>
      <c r="J161">
        <f t="shared" si="67"/>
        <v>1.06</v>
      </c>
      <c r="K161">
        <f t="shared" si="68"/>
        <v>1.1100000000000001</v>
      </c>
      <c r="L161">
        <f t="shared" si="69"/>
        <v>1.085</v>
      </c>
      <c r="M161">
        <f t="shared" si="70"/>
        <v>2.5000000000000022E-2</v>
      </c>
      <c r="N161">
        <f t="shared" si="61"/>
        <v>5.0000000000000044E-2</v>
      </c>
      <c r="O161">
        <f t="shared" si="71"/>
        <v>1.1100000000000001</v>
      </c>
      <c r="P161">
        <f t="shared" si="72"/>
        <v>1.0000000000000044</v>
      </c>
      <c r="Q161" t="str">
        <f t="shared" si="62"/>
        <v>4.5% | 0%</v>
      </c>
      <c r="R161" t="str">
        <f t="shared" si="73"/>
        <v>BEARISH</v>
      </c>
      <c r="S161">
        <f t="shared" si="63"/>
        <v>-1</v>
      </c>
    </row>
    <row r="162" spans="1:19" hidden="1" x14ac:dyDescent="0.25">
      <c r="A162" s="5" t="str">
        <f t="shared" si="60"/>
        <v>43893USD/JPY</v>
      </c>
      <c r="B162" s="6" t="s">
        <v>56</v>
      </c>
      <c r="C162" s="6">
        <v>107.49</v>
      </c>
      <c r="D162" s="6">
        <v>110.65</v>
      </c>
      <c r="E162" s="6">
        <v>108.43</v>
      </c>
      <c r="F162" t="str">
        <f t="shared" si="64"/>
        <v>TUE</v>
      </c>
      <c r="G162" s="1">
        <f t="shared" si="65"/>
        <v>43893</v>
      </c>
      <c r="H162" s="2">
        <f t="shared" ca="1" si="59"/>
        <v>360</v>
      </c>
      <c r="I162" t="str">
        <f t="shared" si="66"/>
        <v>USD/JPY</v>
      </c>
      <c r="J162">
        <f t="shared" si="67"/>
        <v>107.49</v>
      </c>
      <c r="K162">
        <f t="shared" si="68"/>
        <v>110.65</v>
      </c>
      <c r="L162">
        <f t="shared" si="69"/>
        <v>109.07</v>
      </c>
      <c r="M162">
        <f t="shared" si="70"/>
        <v>1.5800000000000054</v>
      </c>
      <c r="N162">
        <f t="shared" si="61"/>
        <v>3.1600000000000108</v>
      </c>
      <c r="O162">
        <f t="shared" si="71"/>
        <v>108.43</v>
      </c>
      <c r="P162">
        <f t="shared" si="72"/>
        <v>-0.40506329113923051</v>
      </c>
      <c r="Q162" t="str">
        <f t="shared" si="62"/>
        <v>0.87% | 2.05%</v>
      </c>
      <c r="R162" t="str">
        <f t="shared" si="73"/>
        <v>BULLISH</v>
      </c>
      <c r="S162">
        <f t="shared" si="63"/>
        <v>1</v>
      </c>
    </row>
    <row r="163" spans="1:19" hidden="1" x14ac:dyDescent="0.25">
      <c r="A163" s="5" t="str">
        <f t="shared" si="60"/>
        <v>43893GBP/USD</v>
      </c>
      <c r="B163" s="6" t="s">
        <v>21</v>
      </c>
      <c r="C163" s="6">
        <v>1.28</v>
      </c>
      <c r="D163" s="6">
        <v>1.3</v>
      </c>
      <c r="E163" s="6">
        <v>1.27</v>
      </c>
      <c r="F163" t="str">
        <f t="shared" si="64"/>
        <v>TUE</v>
      </c>
      <c r="G163" s="1">
        <f t="shared" si="65"/>
        <v>43893</v>
      </c>
      <c r="H163" s="2">
        <f t="shared" ca="1" si="59"/>
        <v>360</v>
      </c>
      <c r="I163" t="str">
        <f t="shared" si="66"/>
        <v>GBP/USD</v>
      </c>
      <c r="J163">
        <f t="shared" si="67"/>
        <v>1.28</v>
      </c>
      <c r="K163">
        <f t="shared" si="68"/>
        <v>1.3</v>
      </c>
      <c r="L163">
        <f t="shared" si="69"/>
        <v>1.29</v>
      </c>
      <c r="M163">
        <f t="shared" si="70"/>
        <v>1.0000000000000009E-2</v>
      </c>
      <c r="N163">
        <f t="shared" si="61"/>
        <v>2.0000000000000018E-2</v>
      </c>
      <c r="O163">
        <f t="shared" si="71"/>
        <v>1.27</v>
      </c>
      <c r="P163">
        <f t="shared" si="72"/>
        <v>-2</v>
      </c>
      <c r="Q163" t="str">
        <f t="shared" si="62"/>
        <v>0.79% | 2.36%</v>
      </c>
      <c r="R163" t="str">
        <f t="shared" si="73"/>
        <v>BEARISH</v>
      </c>
      <c r="S163">
        <f t="shared" si="63"/>
        <v>-1</v>
      </c>
    </row>
    <row r="164" spans="1:19" hidden="1" x14ac:dyDescent="0.25">
      <c r="A164" s="5" t="str">
        <f t="shared" si="60"/>
        <v>43893USD/CHF</v>
      </c>
      <c r="B164" s="6" t="s">
        <v>76</v>
      </c>
      <c r="C164" s="6">
        <v>0.95</v>
      </c>
      <c r="D164" s="6">
        <v>0.98</v>
      </c>
      <c r="E164" s="6">
        <v>0.96</v>
      </c>
      <c r="F164" t="str">
        <f t="shared" si="64"/>
        <v>TUE</v>
      </c>
      <c r="G164" s="1">
        <f t="shared" si="65"/>
        <v>43893</v>
      </c>
      <c r="H164" s="2">
        <f t="shared" ca="1" si="59"/>
        <v>360</v>
      </c>
      <c r="I164" t="str">
        <f t="shared" si="66"/>
        <v>USD/CHF</v>
      </c>
      <c r="J164">
        <f t="shared" si="67"/>
        <v>0.95</v>
      </c>
      <c r="K164">
        <f t="shared" si="68"/>
        <v>0.98</v>
      </c>
      <c r="L164">
        <f t="shared" si="69"/>
        <v>0.96499999999999997</v>
      </c>
      <c r="M164">
        <f t="shared" si="70"/>
        <v>1.5000000000000013E-2</v>
      </c>
      <c r="N164">
        <f t="shared" si="61"/>
        <v>3.0000000000000027E-2</v>
      </c>
      <c r="O164">
        <f t="shared" si="71"/>
        <v>0.96</v>
      </c>
      <c r="P164">
        <f t="shared" si="72"/>
        <v>-0.33333333333333331</v>
      </c>
      <c r="Q164" t="str">
        <f t="shared" si="62"/>
        <v>1.04% | 2.08%</v>
      </c>
      <c r="R164" t="str">
        <f t="shared" si="73"/>
        <v>BEARISH</v>
      </c>
      <c r="S164">
        <f t="shared" si="63"/>
        <v>-1</v>
      </c>
    </row>
    <row r="165" spans="1:19" hidden="1" x14ac:dyDescent="0.25">
      <c r="A165" s="5" t="str">
        <f t="shared" si="60"/>
        <v>43893WTIC</v>
      </c>
      <c r="B165" s="6" t="s">
        <v>23</v>
      </c>
      <c r="C165" s="6">
        <v>43.45</v>
      </c>
      <c r="D165" s="6">
        <v>51.51</v>
      </c>
      <c r="E165" s="6">
        <v>46.75</v>
      </c>
      <c r="F165" t="str">
        <f t="shared" si="64"/>
        <v>TUE</v>
      </c>
      <c r="G165" s="1">
        <f t="shared" si="65"/>
        <v>43893</v>
      </c>
      <c r="H165" s="2">
        <f t="shared" ca="1" si="59"/>
        <v>360</v>
      </c>
      <c r="I165" t="str">
        <f t="shared" si="66"/>
        <v>WTIC</v>
      </c>
      <c r="J165">
        <f t="shared" si="67"/>
        <v>43.45</v>
      </c>
      <c r="K165">
        <f t="shared" si="68"/>
        <v>51.51</v>
      </c>
      <c r="L165">
        <f t="shared" si="69"/>
        <v>47.480000000000004</v>
      </c>
      <c r="M165">
        <f t="shared" si="70"/>
        <v>4.0299999999999976</v>
      </c>
      <c r="N165">
        <f t="shared" si="61"/>
        <v>8.0599999999999952</v>
      </c>
      <c r="O165">
        <f t="shared" si="71"/>
        <v>46.75</v>
      </c>
      <c r="P165">
        <f t="shared" si="72"/>
        <v>-0.18114143920595643</v>
      </c>
      <c r="Q165" t="str">
        <f t="shared" si="62"/>
        <v>7.06% | 10.18%</v>
      </c>
      <c r="R165" t="str">
        <f t="shared" si="73"/>
        <v>BEARISH</v>
      </c>
      <c r="S165">
        <f t="shared" si="63"/>
        <v>-1</v>
      </c>
    </row>
    <row r="166" spans="1:19" hidden="1" x14ac:dyDescent="0.25">
      <c r="A166" s="5" t="str">
        <f t="shared" si="60"/>
        <v>43893NATGAS</v>
      </c>
      <c r="B166" s="6" t="s">
        <v>24</v>
      </c>
      <c r="C166" s="6">
        <v>1.64</v>
      </c>
      <c r="D166" s="6">
        <v>1.87</v>
      </c>
      <c r="E166" s="6">
        <v>1.76</v>
      </c>
      <c r="F166" t="str">
        <f t="shared" si="64"/>
        <v>TUE</v>
      </c>
      <c r="G166" s="1">
        <f t="shared" si="65"/>
        <v>43893</v>
      </c>
      <c r="H166" s="2">
        <f t="shared" ca="1" si="59"/>
        <v>360</v>
      </c>
      <c r="I166" t="str">
        <f t="shared" si="66"/>
        <v>NATGAS</v>
      </c>
      <c r="J166">
        <f t="shared" si="67"/>
        <v>1.64</v>
      </c>
      <c r="K166">
        <f t="shared" si="68"/>
        <v>1.87</v>
      </c>
      <c r="L166">
        <f t="shared" si="69"/>
        <v>1.7549999999999999</v>
      </c>
      <c r="M166">
        <f t="shared" si="70"/>
        <v>0.1150000000000001</v>
      </c>
      <c r="N166">
        <f t="shared" si="61"/>
        <v>0.2300000000000002</v>
      </c>
      <c r="O166">
        <f t="shared" si="71"/>
        <v>1.76</v>
      </c>
      <c r="P166">
        <f t="shared" si="72"/>
        <v>4.3478260869566181E-2</v>
      </c>
      <c r="Q166" t="str">
        <f t="shared" si="62"/>
        <v>6.82% | 6.25%</v>
      </c>
      <c r="R166" t="str">
        <f t="shared" si="73"/>
        <v>BEARISH</v>
      </c>
      <c r="S166">
        <f t="shared" si="63"/>
        <v>-1</v>
      </c>
    </row>
    <row r="167" spans="1:19" hidden="1" x14ac:dyDescent="0.25">
      <c r="A167" s="5" t="str">
        <f t="shared" si="60"/>
        <v>43893GOLD</v>
      </c>
      <c r="B167" s="6" t="s">
        <v>25</v>
      </c>
      <c r="C167" s="6">
        <v>1559</v>
      </c>
      <c r="D167" s="6">
        <v>1692</v>
      </c>
      <c r="E167" s="6">
        <v>1594</v>
      </c>
      <c r="F167" t="str">
        <f t="shared" si="64"/>
        <v>TUE</v>
      </c>
      <c r="G167" s="1">
        <f t="shared" si="65"/>
        <v>43893</v>
      </c>
      <c r="H167" s="2">
        <f t="shared" ca="1" si="59"/>
        <v>360</v>
      </c>
      <c r="I167" t="str">
        <f t="shared" si="66"/>
        <v>GOLD</v>
      </c>
      <c r="J167">
        <f t="shared" si="67"/>
        <v>1559</v>
      </c>
      <c r="K167">
        <f t="shared" si="68"/>
        <v>1692</v>
      </c>
      <c r="L167">
        <f t="shared" si="69"/>
        <v>1625.5</v>
      </c>
      <c r="M167">
        <f t="shared" si="70"/>
        <v>66.5</v>
      </c>
      <c r="N167">
        <f t="shared" si="61"/>
        <v>133</v>
      </c>
      <c r="O167">
        <f t="shared" si="71"/>
        <v>1594</v>
      </c>
      <c r="P167">
        <f t="shared" si="72"/>
        <v>-0.47368421052631576</v>
      </c>
      <c r="Q167" t="str">
        <f t="shared" si="62"/>
        <v>2.2% | 6.15%</v>
      </c>
      <c r="R167" t="str">
        <f t="shared" si="73"/>
        <v>BULLISH</v>
      </c>
      <c r="S167">
        <f t="shared" si="63"/>
        <v>1</v>
      </c>
    </row>
    <row r="168" spans="1:19" hidden="1" x14ac:dyDescent="0.25">
      <c r="A168" s="5" t="str">
        <f t="shared" si="60"/>
        <v>43893COPPER</v>
      </c>
      <c r="B168" s="6" t="s">
        <v>26</v>
      </c>
      <c r="C168" s="6">
        <v>2.52</v>
      </c>
      <c r="D168" s="6">
        <v>2.62</v>
      </c>
      <c r="E168" s="6">
        <v>2.59</v>
      </c>
      <c r="F168" t="str">
        <f t="shared" si="64"/>
        <v>TUE</v>
      </c>
      <c r="G168" s="1">
        <f t="shared" si="65"/>
        <v>43893</v>
      </c>
      <c r="H168" s="2">
        <f t="shared" ca="1" si="59"/>
        <v>360</v>
      </c>
      <c r="I168" t="str">
        <f t="shared" si="66"/>
        <v>COPPER</v>
      </c>
      <c r="J168">
        <f t="shared" si="67"/>
        <v>2.52</v>
      </c>
      <c r="K168">
        <f t="shared" si="68"/>
        <v>2.62</v>
      </c>
      <c r="L168">
        <f t="shared" si="69"/>
        <v>2.5700000000000003</v>
      </c>
      <c r="M168">
        <f t="shared" si="70"/>
        <v>5.0000000000000044E-2</v>
      </c>
      <c r="N168">
        <f t="shared" si="61"/>
        <v>0.10000000000000009</v>
      </c>
      <c r="O168">
        <f t="shared" si="71"/>
        <v>2.59</v>
      </c>
      <c r="P168">
        <f t="shared" si="72"/>
        <v>0.39999999999999114</v>
      </c>
      <c r="Q168" t="str">
        <f t="shared" si="62"/>
        <v>2.7% | 1.16%</v>
      </c>
      <c r="R168" t="str">
        <f t="shared" si="73"/>
        <v>BEARISH</v>
      </c>
      <c r="S168">
        <f t="shared" si="63"/>
        <v>-1</v>
      </c>
    </row>
    <row r="169" spans="1:19" hidden="1" x14ac:dyDescent="0.25">
      <c r="A169" s="5" t="str">
        <f t="shared" si="60"/>
        <v>43893AAPL</v>
      </c>
      <c r="B169" s="6" t="s">
        <v>63</v>
      </c>
      <c r="C169" s="6">
        <v>261.22000000000003</v>
      </c>
      <c r="D169" s="6">
        <v>309.12</v>
      </c>
      <c r="E169" s="6">
        <v>298.81</v>
      </c>
      <c r="F169" t="str">
        <f t="shared" si="64"/>
        <v>TUE</v>
      </c>
      <c r="G169" s="1">
        <f t="shared" si="65"/>
        <v>43893</v>
      </c>
      <c r="H169" s="2">
        <f t="shared" ca="1" si="59"/>
        <v>360</v>
      </c>
      <c r="I169" t="str">
        <f t="shared" si="66"/>
        <v>AAPL</v>
      </c>
      <c r="J169">
        <f t="shared" si="67"/>
        <v>261.22000000000003</v>
      </c>
      <c r="K169">
        <f t="shared" si="68"/>
        <v>309.12</v>
      </c>
      <c r="L169">
        <f t="shared" si="69"/>
        <v>285.17</v>
      </c>
      <c r="M169">
        <f t="shared" si="70"/>
        <v>23.949999999999989</v>
      </c>
      <c r="N169">
        <f t="shared" si="61"/>
        <v>47.899999999999977</v>
      </c>
      <c r="O169">
        <f t="shared" si="71"/>
        <v>298.81</v>
      </c>
      <c r="P169">
        <f t="shared" si="72"/>
        <v>0.56951983298538589</v>
      </c>
      <c r="Q169" t="str">
        <f t="shared" si="62"/>
        <v>12.58% | 3.45%</v>
      </c>
      <c r="R169" t="str">
        <f t="shared" si="73"/>
        <v>NEUTRAL</v>
      </c>
      <c r="S169">
        <f t="shared" si="63"/>
        <v>0</v>
      </c>
    </row>
    <row r="170" spans="1:19" hidden="1" x14ac:dyDescent="0.25">
      <c r="A170" s="5" t="str">
        <f t="shared" si="60"/>
        <v>43893AMZN</v>
      </c>
      <c r="B170" s="6" t="s">
        <v>69</v>
      </c>
      <c r="C170" s="6">
        <v>1809</v>
      </c>
      <c r="D170" s="6">
        <v>2015</v>
      </c>
      <c r="E170" s="6">
        <v>1953</v>
      </c>
      <c r="F170" t="str">
        <f t="shared" si="64"/>
        <v>TUE</v>
      </c>
      <c r="G170" s="1">
        <f t="shared" si="65"/>
        <v>43893</v>
      </c>
      <c r="H170" s="2">
        <f t="shared" ca="1" si="59"/>
        <v>360</v>
      </c>
      <c r="I170" t="str">
        <f t="shared" si="66"/>
        <v>AMZN</v>
      </c>
      <c r="J170">
        <f t="shared" si="67"/>
        <v>1809</v>
      </c>
      <c r="K170">
        <f t="shared" si="68"/>
        <v>2015</v>
      </c>
      <c r="L170">
        <f t="shared" si="69"/>
        <v>1912</v>
      </c>
      <c r="M170">
        <f t="shared" si="70"/>
        <v>103</v>
      </c>
      <c r="N170">
        <f t="shared" si="61"/>
        <v>206</v>
      </c>
      <c r="O170">
        <f t="shared" si="71"/>
        <v>1953</v>
      </c>
      <c r="P170">
        <f t="shared" si="72"/>
        <v>0.39805825242718446</v>
      </c>
      <c r="Q170" t="str">
        <f t="shared" si="62"/>
        <v>7.37% | 3.17%</v>
      </c>
      <c r="R170" t="str">
        <f t="shared" si="73"/>
        <v>NEUTRAL</v>
      </c>
      <c r="S170">
        <f t="shared" si="63"/>
        <v>0</v>
      </c>
    </row>
    <row r="171" spans="1:19" hidden="1" x14ac:dyDescent="0.25">
      <c r="A171" s="5" t="str">
        <f t="shared" si="60"/>
        <v>43893FB</v>
      </c>
      <c r="B171" s="6" t="s">
        <v>58</v>
      </c>
      <c r="C171" s="6">
        <v>182</v>
      </c>
      <c r="D171" s="6">
        <v>206</v>
      </c>
      <c r="E171" s="6">
        <v>196</v>
      </c>
      <c r="F171" t="str">
        <f t="shared" si="64"/>
        <v>TUE</v>
      </c>
      <c r="G171" s="1">
        <f t="shared" si="65"/>
        <v>43893</v>
      </c>
      <c r="H171" s="2">
        <f t="shared" ca="1" si="59"/>
        <v>360</v>
      </c>
      <c r="I171" t="str">
        <f t="shared" si="66"/>
        <v>FB</v>
      </c>
      <c r="J171">
        <f t="shared" si="67"/>
        <v>182</v>
      </c>
      <c r="K171">
        <f t="shared" si="68"/>
        <v>206</v>
      </c>
      <c r="L171">
        <f t="shared" si="69"/>
        <v>194</v>
      </c>
      <c r="M171">
        <f t="shared" si="70"/>
        <v>12</v>
      </c>
      <c r="N171">
        <f t="shared" si="61"/>
        <v>24</v>
      </c>
      <c r="O171">
        <f t="shared" si="71"/>
        <v>196</v>
      </c>
      <c r="P171">
        <f t="shared" si="72"/>
        <v>0.16666666666666666</v>
      </c>
      <c r="Q171" t="str">
        <f t="shared" si="62"/>
        <v>7.14% | 5.1%</v>
      </c>
      <c r="R171" t="str">
        <f t="shared" si="73"/>
        <v>BEARISH</v>
      </c>
      <c r="S171">
        <f t="shared" si="63"/>
        <v>-1</v>
      </c>
    </row>
    <row r="172" spans="1:19" hidden="1" x14ac:dyDescent="0.25">
      <c r="A172" s="5" t="str">
        <f t="shared" si="60"/>
        <v>43893GOOGL</v>
      </c>
      <c r="B172" s="6" t="s">
        <v>66</v>
      </c>
      <c r="C172" s="6">
        <v>1277</v>
      </c>
      <c r="D172" s="6">
        <v>1436</v>
      </c>
      <c r="E172" s="6">
        <v>1386</v>
      </c>
      <c r="F172" t="str">
        <f t="shared" si="64"/>
        <v>TUE</v>
      </c>
      <c r="G172" s="1">
        <f t="shared" si="65"/>
        <v>43893</v>
      </c>
      <c r="H172" s="2">
        <f t="shared" ca="1" si="59"/>
        <v>360</v>
      </c>
      <c r="I172" t="str">
        <f t="shared" si="66"/>
        <v>GOOGL</v>
      </c>
      <c r="J172">
        <f t="shared" si="67"/>
        <v>1277</v>
      </c>
      <c r="K172">
        <f t="shared" si="68"/>
        <v>1436</v>
      </c>
      <c r="L172">
        <f t="shared" si="69"/>
        <v>1356.5</v>
      </c>
      <c r="M172">
        <f t="shared" si="70"/>
        <v>79.5</v>
      </c>
      <c r="N172">
        <f t="shared" si="61"/>
        <v>159</v>
      </c>
      <c r="O172">
        <f t="shared" si="71"/>
        <v>1386</v>
      </c>
      <c r="P172">
        <f t="shared" si="72"/>
        <v>0.37106918238993708</v>
      </c>
      <c r="Q172" t="str">
        <f t="shared" si="62"/>
        <v>7.86% | 3.61%</v>
      </c>
      <c r="R172" t="str">
        <f t="shared" si="73"/>
        <v>BEARISH</v>
      </c>
      <c r="S172">
        <f t="shared" si="63"/>
        <v>-1</v>
      </c>
    </row>
    <row r="173" spans="1:19" hidden="1" x14ac:dyDescent="0.25">
      <c r="A173" s="5" t="str">
        <f t="shared" si="60"/>
        <v>43893NFLX</v>
      </c>
      <c r="B173" s="6" t="s">
        <v>70</v>
      </c>
      <c r="C173" s="6">
        <v>352</v>
      </c>
      <c r="D173" s="6">
        <v>392</v>
      </c>
      <c r="E173" s="6">
        <v>381</v>
      </c>
      <c r="F173" t="str">
        <f t="shared" si="64"/>
        <v>TUE</v>
      </c>
      <c r="G173" s="1">
        <f t="shared" si="65"/>
        <v>43893</v>
      </c>
      <c r="H173" s="2">
        <f t="shared" ca="1" si="59"/>
        <v>360</v>
      </c>
      <c r="I173" t="str">
        <f t="shared" si="66"/>
        <v>NFLX</v>
      </c>
      <c r="J173">
        <f t="shared" si="67"/>
        <v>352</v>
      </c>
      <c r="K173">
        <f t="shared" si="68"/>
        <v>392</v>
      </c>
      <c r="L173">
        <f t="shared" si="69"/>
        <v>372</v>
      </c>
      <c r="M173">
        <f t="shared" si="70"/>
        <v>20</v>
      </c>
      <c r="N173">
        <f t="shared" si="61"/>
        <v>40</v>
      </c>
      <c r="O173">
        <f t="shared" si="71"/>
        <v>381</v>
      </c>
      <c r="P173">
        <f t="shared" si="72"/>
        <v>0.45</v>
      </c>
      <c r="Q173" t="str">
        <f t="shared" si="62"/>
        <v>7.61% | 2.89%</v>
      </c>
      <c r="R173" t="str">
        <f t="shared" si="73"/>
        <v>NEUTRAL</v>
      </c>
      <c r="S173">
        <f t="shared" si="63"/>
        <v>0</v>
      </c>
    </row>
    <row r="174" spans="1:19" x14ac:dyDescent="0.25">
      <c r="A174" s="5" t="str">
        <f t="shared" si="60"/>
        <v>43893TSLA</v>
      </c>
      <c r="B174" s="6" t="s">
        <v>71</v>
      </c>
      <c r="C174" s="6">
        <v>615</v>
      </c>
      <c r="D174" s="6">
        <v>816</v>
      </c>
      <c r="E174" s="6">
        <v>743</v>
      </c>
      <c r="F174" t="str">
        <f t="shared" si="64"/>
        <v>TUE</v>
      </c>
      <c r="G174" s="1">
        <f t="shared" si="65"/>
        <v>43893</v>
      </c>
      <c r="H174" s="2">
        <f t="shared" ca="1" si="59"/>
        <v>360</v>
      </c>
      <c r="I174" t="str">
        <f t="shared" si="66"/>
        <v>TSLA</v>
      </c>
      <c r="J174">
        <f t="shared" si="67"/>
        <v>615</v>
      </c>
      <c r="K174">
        <f t="shared" si="68"/>
        <v>816</v>
      </c>
      <c r="L174">
        <f t="shared" si="69"/>
        <v>715.5</v>
      </c>
      <c r="M174">
        <f t="shared" si="70"/>
        <v>100.5</v>
      </c>
      <c r="N174">
        <f t="shared" si="61"/>
        <v>201</v>
      </c>
      <c r="O174">
        <f t="shared" si="71"/>
        <v>743</v>
      </c>
      <c r="P174">
        <f t="shared" si="72"/>
        <v>0.27363184079601988</v>
      </c>
      <c r="Q174" t="str">
        <f t="shared" si="62"/>
        <v>17.23% | 9.83%</v>
      </c>
      <c r="R174" t="str">
        <f t="shared" si="73"/>
        <v>NEUTRAL</v>
      </c>
      <c r="S174">
        <f t="shared" si="63"/>
        <v>0</v>
      </c>
    </row>
    <row r="175" spans="1:19" hidden="1" x14ac:dyDescent="0.25">
      <c r="A175" s="5" t="str">
        <f t="shared" si="60"/>
        <v>43893NYXBT</v>
      </c>
      <c r="B175" s="6" t="s">
        <v>74</v>
      </c>
      <c r="C175" s="6">
        <v>8268</v>
      </c>
      <c r="D175" s="6">
        <v>9325</v>
      </c>
      <c r="E175" s="6">
        <v>8797</v>
      </c>
      <c r="F175" t="str">
        <f t="shared" si="64"/>
        <v>TUE</v>
      </c>
      <c r="G175" s="1">
        <f t="shared" si="65"/>
        <v>43893</v>
      </c>
      <c r="H175" s="2">
        <f t="shared" ca="1" si="59"/>
        <v>360</v>
      </c>
      <c r="I175" t="str">
        <f t="shared" si="66"/>
        <v>NYXBT</v>
      </c>
      <c r="J175">
        <f t="shared" si="67"/>
        <v>8268</v>
      </c>
      <c r="K175">
        <f t="shared" si="68"/>
        <v>9325</v>
      </c>
      <c r="L175">
        <f t="shared" si="69"/>
        <v>8796.5</v>
      </c>
      <c r="M175">
        <f t="shared" si="70"/>
        <v>528.5</v>
      </c>
      <c r="N175">
        <f t="shared" si="61"/>
        <v>1057</v>
      </c>
      <c r="O175">
        <f t="shared" si="71"/>
        <v>8797</v>
      </c>
      <c r="P175">
        <f t="shared" si="72"/>
        <v>9.4607379375591296E-4</v>
      </c>
      <c r="Q175" t="str">
        <f t="shared" si="62"/>
        <v>6.01% | 6%</v>
      </c>
      <c r="R175" t="str">
        <f t="shared" si="73"/>
        <v>BEARISH</v>
      </c>
      <c r="S175">
        <f t="shared" si="63"/>
        <v>-1</v>
      </c>
    </row>
    <row r="176" spans="1:19" hidden="1" x14ac:dyDescent="0.25">
      <c r="A176" s="5" t="str">
        <f t="shared" si="60"/>
        <v>43894UST10Y</v>
      </c>
      <c r="B176" s="6" t="s">
        <v>4</v>
      </c>
      <c r="C176" s="6">
        <v>1.29</v>
      </c>
      <c r="D176" s="6">
        <v>0.87</v>
      </c>
      <c r="E176" s="6">
        <v>1.02</v>
      </c>
      <c r="F176" t="str">
        <f t="shared" si="64"/>
        <v>WED</v>
      </c>
      <c r="G176" s="3">
        <f>DATE(2020,3,4)</f>
        <v>43894</v>
      </c>
      <c r="H176" s="2">
        <f t="shared" ca="1" si="59"/>
        <v>359</v>
      </c>
      <c r="I176" t="str">
        <f t="shared" si="66"/>
        <v>UST10Y</v>
      </c>
      <c r="J176">
        <f t="shared" si="67"/>
        <v>1.29</v>
      </c>
      <c r="K176">
        <f t="shared" si="68"/>
        <v>0.87</v>
      </c>
      <c r="L176">
        <f t="shared" si="69"/>
        <v>1.08</v>
      </c>
      <c r="M176">
        <f t="shared" si="70"/>
        <v>0.21000000000000008</v>
      </c>
      <c r="N176">
        <f t="shared" si="61"/>
        <v>0.42000000000000004</v>
      </c>
      <c r="O176">
        <f t="shared" si="71"/>
        <v>1.02</v>
      </c>
      <c r="P176">
        <f t="shared" si="72"/>
        <v>-0.28571428571428586</v>
      </c>
      <c r="Q176" t="str">
        <f t="shared" si="62"/>
        <v>26.47% | 14.71%</v>
      </c>
      <c r="R176" t="str">
        <f t="shared" si="73"/>
        <v>BEARISH</v>
      </c>
      <c r="S176">
        <f t="shared" si="63"/>
        <v>-1</v>
      </c>
    </row>
    <row r="177" spans="1:19" hidden="1" x14ac:dyDescent="0.25">
      <c r="A177" s="5" t="str">
        <f t="shared" si="60"/>
        <v>43894UST2Y</v>
      </c>
      <c r="B177" s="6" t="s">
        <v>5</v>
      </c>
      <c r="C177" s="6">
        <v>1.08</v>
      </c>
      <c r="D177" s="6">
        <v>0.63</v>
      </c>
      <c r="E177" s="6">
        <v>0.71</v>
      </c>
      <c r="F177" t="str">
        <f t="shared" ref="F177:F205" si="74">UPPER(TEXT(G177,"ddd"))</f>
        <v>WED</v>
      </c>
      <c r="G177" s="3">
        <f t="shared" ref="G177:G204" si="75">DATE(2020,3,4)</f>
        <v>43894</v>
      </c>
      <c r="H177" s="2">
        <f t="shared" ca="1" si="59"/>
        <v>359</v>
      </c>
      <c r="I177" t="str">
        <f t="shared" ref="I177:I205" si="76">TRIM(LEFT(B177,FIND(" ",B177,1)))</f>
        <v>UST2Y</v>
      </c>
      <c r="J177">
        <f t="shared" ref="J177:J205" si="77">C177</f>
        <v>1.08</v>
      </c>
      <c r="K177">
        <f t="shared" ref="K177:K205" si="78">D177</f>
        <v>0.63</v>
      </c>
      <c r="L177">
        <f t="shared" ref="L177:L205" si="79">AVERAGE(J177:K177)</f>
        <v>0.85499999999999998</v>
      </c>
      <c r="M177">
        <f t="shared" ref="M177:M205" si="80">_xlfn.STDEV.P(J177:K177)</f>
        <v>0.22500000000000031</v>
      </c>
      <c r="N177">
        <f t="shared" si="61"/>
        <v>0.45000000000000007</v>
      </c>
      <c r="O177">
        <f t="shared" ref="O177:O205" si="81">E177</f>
        <v>0.71</v>
      </c>
      <c r="P177">
        <f t="shared" ref="P177:P205" si="82">(O177-L177)/M177</f>
        <v>-0.6444444444444436</v>
      </c>
      <c r="Q177" t="str">
        <f t="shared" si="62"/>
        <v>52.11% | 11.27%</v>
      </c>
      <c r="R177" t="str">
        <f t="shared" ref="R177:R205" si="83">MID(B177,FIND("(",B177,1)+1,FIND(")",B177,1)-FIND("(",B177,1)-1)</f>
        <v>BEARISH</v>
      </c>
      <c r="S177">
        <f t="shared" si="63"/>
        <v>-1</v>
      </c>
    </row>
    <row r="178" spans="1:19" hidden="1" x14ac:dyDescent="0.25">
      <c r="A178" s="5" t="str">
        <f t="shared" si="60"/>
        <v>43894SPX</v>
      </c>
      <c r="B178" s="6" t="s">
        <v>6</v>
      </c>
      <c r="C178" s="6">
        <v>2829</v>
      </c>
      <c r="D178" s="6">
        <v>3133</v>
      </c>
      <c r="E178" s="6">
        <v>3003</v>
      </c>
      <c r="F178" t="str">
        <f t="shared" si="74"/>
        <v>WED</v>
      </c>
      <c r="G178" s="3">
        <f t="shared" si="75"/>
        <v>43894</v>
      </c>
      <c r="H178" s="2">
        <f t="shared" ca="1" si="59"/>
        <v>359</v>
      </c>
      <c r="I178" t="str">
        <f t="shared" si="76"/>
        <v>SPX</v>
      </c>
      <c r="J178">
        <f t="shared" si="77"/>
        <v>2829</v>
      </c>
      <c r="K178">
        <f t="shared" si="78"/>
        <v>3133</v>
      </c>
      <c r="L178">
        <f t="shared" si="79"/>
        <v>2981</v>
      </c>
      <c r="M178">
        <f t="shared" si="80"/>
        <v>152</v>
      </c>
      <c r="N178">
        <f t="shared" si="61"/>
        <v>304</v>
      </c>
      <c r="O178">
        <f t="shared" si="81"/>
        <v>3003</v>
      </c>
      <c r="P178">
        <f t="shared" si="82"/>
        <v>0.14473684210526316</v>
      </c>
      <c r="Q178" t="str">
        <f t="shared" si="62"/>
        <v>5.79% | 4.33%</v>
      </c>
      <c r="R178" t="str">
        <f t="shared" si="83"/>
        <v>BEARISH</v>
      </c>
      <c r="S178">
        <f t="shared" si="63"/>
        <v>-1</v>
      </c>
    </row>
    <row r="179" spans="1:19" hidden="1" x14ac:dyDescent="0.25">
      <c r="A179" s="5" t="str">
        <f t="shared" si="60"/>
        <v>43894RUT</v>
      </c>
      <c r="B179" s="6" t="s">
        <v>7</v>
      </c>
      <c r="C179" s="6">
        <v>1455</v>
      </c>
      <c r="D179" s="6">
        <v>1541</v>
      </c>
      <c r="E179" s="6">
        <v>1486</v>
      </c>
      <c r="F179" t="str">
        <f t="shared" si="74"/>
        <v>WED</v>
      </c>
      <c r="G179" s="3">
        <f t="shared" si="75"/>
        <v>43894</v>
      </c>
      <c r="H179" s="2">
        <f t="shared" ca="1" si="59"/>
        <v>359</v>
      </c>
      <c r="I179" t="str">
        <f t="shared" si="76"/>
        <v>RUT</v>
      </c>
      <c r="J179">
        <f t="shared" si="77"/>
        <v>1455</v>
      </c>
      <c r="K179">
        <f t="shared" si="78"/>
        <v>1541</v>
      </c>
      <c r="L179">
        <f t="shared" si="79"/>
        <v>1498</v>
      </c>
      <c r="M179">
        <f t="shared" si="80"/>
        <v>43</v>
      </c>
      <c r="N179">
        <f t="shared" si="61"/>
        <v>86</v>
      </c>
      <c r="O179">
        <f t="shared" si="81"/>
        <v>1486</v>
      </c>
      <c r="P179">
        <f t="shared" si="82"/>
        <v>-0.27906976744186046</v>
      </c>
      <c r="Q179" t="str">
        <f t="shared" si="62"/>
        <v>2.09% | 3.7%</v>
      </c>
      <c r="R179" t="str">
        <f t="shared" si="83"/>
        <v>BEARISH</v>
      </c>
      <c r="S179">
        <f t="shared" si="63"/>
        <v>-1</v>
      </c>
    </row>
    <row r="180" spans="1:19" hidden="1" x14ac:dyDescent="0.25">
      <c r="A180" s="5" t="str">
        <f t="shared" si="60"/>
        <v>43894COMPQ</v>
      </c>
      <c r="B180" s="6" t="s">
        <v>64</v>
      </c>
      <c r="C180" s="6">
        <v>8216</v>
      </c>
      <c r="D180" s="6">
        <v>8998</v>
      </c>
      <c r="E180" s="6">
        <v>8684</v>
      </c>
      <c r="F180" t="str">
        <f t="shared" si="74"/>
        <v>WED</v>
      </c>
      <c r="G180" s="3">
        <f t="shared" si="75"/>
        <v>43894</v>
      </c>
      <c r="H180" s="2">
        <f t="shared" ca="1" si="59"/>
        <v>359</v>
      </c>
      <c r="I180" t="str">
        <f t="shared" si="76"/>
        <v>COMPQ</v>
      </c>
      <c r="J180">
        <f t="shared" si="77"/>
        <v>8216</v>
      </c>
      <c r="K180">
        <f t="shared" si="78"/>
        <v>8998</v>
      </c>
      <c r="L180">
        <f t="shared" si="79"/>
        <v>8607</v>
      </c>
      <c r="M180">
        <f t="shared" si="80"/>
        <v>391</v>
      </c>
      <c r="N180">
        <f t="shared" si="61"/>
        <v>782</v>
      </c>
      <c r="O180">
        <f t="shared" si="81"/>
        <v>8684</v>
      </c>
      <c r="P180">
        <f t="shared" si="82"/>
        <v>0.1969309462915601</v>
      </c>
      <c r="Q180" t="str">
        <f t="shared" si="62"/>
        <v>5.39% | 3.62%</v>
      </c>
      <c r="R180" t="str">
        <f t="shared" si="83"/>
        <v>BEARISH</v>
      </c>
      <c r="S180">
        <f t="shared" si="63"/>
        <v>-1</v>
      </c>
    </row>
    <row r="181" spans="1:19" hidden="1" x14ac:dyDescent="0.25">
      <c r="A181" s="5" t="str">
        <f t="shared" si="60"/>
        <v>43894XLU</v>
      </c>
      <c r="B181" s="6" t="s">
        <v>52</v>
      </c>
      <c r="C181" s="6">
        <v>61.39</v>
      </c>
      <c r="D181" s="6">
        <v>71.5</v>
      </c>
      <c r="E181" s="6">
        <v>65.03</v>
      </c>
      <c r="F181" t="str">
        <f t="shared" si="74"/>
        <v>WED</v>
      </c>
      <c r="G181" s="3">
        <f t="shared" si="75"/>
        <v>43894</v>
      </c>
      <c r="H181" s="2">
        <f t="shared" ca="1" si="59"/>
        <v>359</v>
      </c>
      <c r="I181" t="str">
        <f t="shared" si="76"/>
        <v>XLU</v>
      </c>
      <c r="J181">
        <f t="shared" si="77"/>
        <v>61.39</v>
      </c>
      <c r="K181">
        <f t="shared" si="78"/>
        <v>71.5</v>
      </c>
      <c r="L181">
        <f t="shared" si="79"/>
        <v>66.444999999999993</v>
      </c>
      <c r="M181">
        <f t="shared" si="80"/>
        <v>5.0549999999999997</v>
      </c>
      <c r="N181">
        <f t="shared" si="61"/>
        <v>10.11</v>
      </c>
      <c r="O181">
        <f t="shared" si="81"/>
        <v>65.03</v>
      </c>
      <c r="P181">
        <f t="shared" si="82"/>
        <v>-0.27992087042531988</v>
      </c>
      <c r="Q181" t="str">
        <f t="shared" si="62"/>
        <v>5.6% | 9.95%</v>
      </c>
      <c r="R181" t="str">
        <f t="shared" si="83"/>
        <v>BULLISH</v>
      </c>
      <c r="S181">
        <f t="shared" si="63"/>
        <v>1</v>
      </c>
    </row>
    <row r="182" spans="1:19" hidden="1" x14ac:dyDescent="0.25">
      <c r="A182" s="5" t="str">
        <f t="shared" si="60"/>
        <v>43894VNQ</v>
      </c>
      <c r="B182" s="6" t="s">
        <v>75</v>
      </c>
      <c r="C182" s="6">
        <v>85.5</v>
      </c>
      <c r="D182" s="6">
        <v>94.6</v>
      </c>
      <c r="E182" s="6">
        <v>90.85</v>
      </c>
      <c r="F182" t="str">
        <f t="shared" si="74"/>
        <v>WED</v>
      </c>
      <c r="G182" s="3">
        <f t="shared" si="75"/>
        <v>43894</v>
      </c>
      <c r="H182" s="2">
        <f t="shared" ca="1" si="59"/>
        <v>359</v>
      </c>
      <c r="I182" t="str">
        <f t="shared" si="76"/>
        <v>VNQ</v>
      </c>
      <c r="J182">
        <f t="shared" si="77"/>
        <v>85.5</v>
      </c>
      <c r="K182">
        <f t="shared" si="78"/>
        <v>94.6</v>
      </c>
      <c r="L182">
        <f t="shared" si="79"/>
        <v>90.05</v>
      </c>
      <c r="M182">
        <f t="shared" si="80"/>
        <v>4.5499999999999972</v>
      </c>
      <c r="N182">
        <f t="shared" si="61"/>
        <v>9.0999999999999943</v>
      </c>
      <c r="O182">
        <f t="shared" si="81"/>
        <v>90.85</v>
      </c>
      <c r="P182">
        <f t="shared" si="82"/>
        <v>0.17582417582417531</v>
      </c>
      <c r="Q182" t="str">
        <f t="shared" si="62"/>
        <v>5.89% | 4.13%</v>
      </c>
      <c r="R182" t="str">
        <f t="shared" si="83"/>
        <v>NEUTRAL</v>
      </c>
      <c r="S182">
        <f t="shared" si="63"/>
        <v>0</v>
      </c>
    </row>
    <row r="183" spans="1:19" hidden="1" x14ac:dyDescent="0.25">
      <c r="A183" s="5" t="str">
        <f t="shared" si="60"/>
        <v>43894XLP</v>
      </c>
      <c r="B183" s="6" t="s">
        <v>50</v>
      </c>
      <c r="C183" s="6">
        <v>57.02</v>
      </c>
      <c r="D183" s="6">
        <v>62.59</v>
      </c>
      <c r="E183" s="6">
        <v>60.26</v>
      </c>
      <c r="F183" t="str">
        <f t="shared" si="74"/>
        <v>WED</v>
      </c>
      <c r="G183" s="3">
        <f t="shared" si="75"/>
        <v>43894</v>
      </c>
      <c r="H183" s="2">
        <f t="shared" ca="1" si="59"/>
        <v>359</v>
      </c>
      <c r="I183" t="str">
        <f t="shared" si="76"/>
        <v>XLP</v>
      </c>
      <c r="J183">
        <f t="shared" si="77"/>
        <v>57.02</v>
      </c>
      <c r="K183">
        <f t="shared" si="78"/>
        <v>62.59</v>
      </c>
      <c r="L183">
        <f t="shared" si="79"/>
        <v>59.805000000000007</v>
      </c>
      <c r="M183">
        <f t="shared" si="80"/>
        <v>2.7850000000000001</v>
      </c>
      <c r="N183">
        <f t="shared" si="61"/>
        <v>5.57</v>
      </c>
      <c r="O183">
        <f t="shared" si="81"/>
        <v>60.26</v>
      </c>
      <c r="P183">
        <f t="shared" si="82"/>
        <v>0.16337522441651389</v>
      </c>
      <c r="Q183" t="str">
        <f t="shared" si="62"/>
        <v>5.38% | 3.87%</v>
      </c>
      <c r="R183" t="str">
        <f t="shared" si="83"/>
        <v>NEUTRAL</v>
      </c>
      <c r="S183">
        <f t="shared" si="63"/>
        <v>0</v>
      </c>
    </row>
    <row r="184" spans="1:19" hidden="1" x14ac:dyDescent="0.25">
      <c r="A184" s="5" t="str">
        <f t="shared" si="60"/>
        <v>43894XLK</v>
      </c>
      <c r="B184" s="6" t="s">
        <v>65</v>
      </c>
      <c r="C184" s="6">
        <v>84.17</v>
      </c>
      <c r="D184" s="6">
        <v>95.93</v>
      </c>
      <c r="E184" s="6">
        <v>89.93</v>
      </c>
      <c r="F184" t="str">
        <f t="shared" si="74"/>
        <v>WED</v>
      </c>
      <c r="G184" s="3">
        <f t="shared" si="75"/>
        <v>43894</v>
      </c>
      <c r="H184" s="2">
        <f t="shared" ca="1" si="59"/>
        <v>359</v>
      </c>
      <c r="I184" t="str">
        <f t="shared" si="76"/>
        <v>XLK</v>
      </c>
      <c r="J184">
        <f t="shared" si="77"/>
        <v>84.17</v>
      </c>
      <c r="K184">
        <f t="shared" si="78"/>
        <v>95.93</v>
      </c>
      <c r="L184">
        <f t="shared" si="79"/>
        <v>90.050000000000011</v>
      </c>
      <c r="M184">
        <f t="shared" si="80"/>
        <v>5.8800000000000026</v>
      </c>
      <c r="N184">
        <f t="shared" si="61"/>
        <v>11.760000000000005</v>
      </c>
      <c r="O184">
        <f t="shared" si="81"/>
        <v>89.93</v>
      </c>
      <c r="P184">
        <f t="shared" si="82"/>
        <v>-2.0408163265306888E-2</v>
      </c>
      <c r="Q184" t="str">
        <f t="shared" si="62"/>
        <v>6.4% | 6.67%</v>
      </c>
      <c r="R184" t="str">
        <f t="shared" si="83"/>
        <v>BEARISH</v>
      </c>
      <c r="S184">
        <f t="shared" si="63"/>
        <v>-1</v>
      </c>
    </row>
    <row r="185" spans="1:19" hidden="1" x14ac:dyDescent="0.25">
      <c r="A185" s="5" t="str">
        <f t="shared" si="60"/>
        <v>43894SSEC</v>
      </c>
      <c r="B185" s="6" t="s">
        <v>14</v>
      </c>
      <c r="C185" s="6">
        <v>2900</v>
      </c>
      <c r="D185" s="6">
        <v>3064</v>
      </c>
      <c r="E185" s="6">
        <v>3011</v>
      </c>
      <c r="F185" t="str">
        <f t="shared" si="74"/>
        <v>WED</v>
      </c>
      <c r="G185" s="3">
        <f t="shared" si="75"/>
        <v>43894</v>
      </c>
      <c r="H185" s="2">
        <f t="shared" ca="1" si="59"/>
        <v>359</v>
      </c>
      <c r="I185" t="str">
        <f t="shared" si="76"/>
        <v>SSEC</v>
      </c>
      <c r="J185">
        <f t="shared" si="77"/>
        <v>2900</v>
      </c>
      <c r="K185">
        <f t="shared" si="78"/>
        <v>3064</v>
      </c>
      <c r="L185">
        <f t="shared" si="79"/>
        <v>2982</v>
      </c>
      <c r="M185">
        <f t="shared" si="80"/>
        <v>82</v>
      </c>
      <c r="N185">
        <f t="shared" si="61"/>
        <v>164</v>
      </c>
      <c r="O185">
        <f t="shared" si="81"/>
        <v>3011</v>
      </c>
      <c r="P185">
        <f t="shared" si="82"/>
        <v>0.35365853658536583</v>
      </c>
      <c r="Q185" t="str">
        <f t="shared" si="62"/>
        <v>3.69% | 1.76%</v>
      </c>
      <c r="R185" t="str">
        <f t="shared" si="83"/>
        <v>BEARISH</v>
      </c>
      <c r="S185">
        <f t="shared" si="63"/>
        <v>-1</v>
      </c>
    </row>
    <row r="186" spans="1:19" hidden="1" x14ac:dyDescent="0.25">
      <c r="A186" s="5" t="str">
        <f t="shared" si="60"/>
        <v>43894NIKK</v>
      </c>
      <c r="B186" s="6" t="s">
        <v>15</v>
      </c>
      <c r="C186" s="6">
        <v>20347</v>
      </c>
      <c r="D186" s="6">
        <v>22302</v>
      </c>
      <c r="E186" s="6">
        <v>21100</v>
      </c>
      <c r="F186" t="str">
        <f t="shared" si="74"/>
        <v>WED</v>
      </c>
      <c r="G186" s="3">
        <f t="shared" si="75"/>
        <v>43894</v>
      </c>
      <c r="H186" s="2">
        <f t="shared" ca="1" si="59"/>
        <v>359</v>
      </c>
      <c r="I186" t="str">
        <f t="shared" si="76"/>
        <v>NIKK</v>
      </c>
      <c r="J186">
        <f t="shared" si="77"/>
        <v>20347</v>
      </c>
      <c r="K186">
        <f t="shared" si="78"/>
        <v>22302</v>
      </c>
      <c r="L186">
        <f t="shared" si="79"/>
        <v>21324.5</v>
      </c>
      <c r="M186">
        <f t="shared" si="80"/>
        <v>977.5</v>
      </c>
      <c r="N186">
        <f t="shared" si="61"/>
        <v>1955</v>
      </c>
      <c r="O186">
        <f t="shared" si="81"/>
        <v>21100</v>
      </c>
      <c r="P186">
        <f t="shared" si="82"/>
        <v>-0.22966751918158568</v>
      </c>
      <c r="Q186" t="str">
        <f t="shared" si="62"/>
        <v>3.57% | 5.7%</v>
      </c>
      <c r="R186" t="str">
        <f t="shared" si="83"/>
        <v>BEARISH</v>
      </c>
      <c r="S186">
        <f t="shared" si="63"/>
        <v>-1</v>
      </c>
    </row>
    <row r="187" spans="1:19" hidden="1" x14ac:dyDescent="0.25">
      <c r="A187" s="5" t="str">
        <f t="shared" si="60"/>
        <v>43894DAX</v>
      </c>
      <c r="B187" s="6" t="s">
        <v>16</v>
      </c>
      <c r="C187" s="6">
        <v>11350</v>
      </c>
      <c r="D187" s="6">
        <v>12560</v>
      </c>
      <c r="E187" s="6">
        <v>11985</v>
      </c>
      <c r="F187" t="str">
        <f t="shared" si="74"/>
        <v>WED</v>
      </c>
      <c r="G187" s="3">
        <f t="shared" si="75"/>
        <v>43894</v>
      </c>
      <c r="H187" s="2">
        <f t="shared" ca="1" si="59"/>
        <v>359</v>
      </c>
      <c r="I187" t="str">
        <f t="shared" si="76"/>
        <v>DAX</v>
      </c>
      <c r="J187">
        <f t="shared" si="77"/>
        <v>11350</v>
      </c>
      <c r="K187">
        <f t="shared" si="78"/>
        <v>12560</v>
      </c>
      <c r="L187">
        <f t="shared" si="79"/>
        <v>11955</v>
      </c>
      <c r="M187">
        <f t="shared" si="80"/>
        <v>605</v>
      </c>
      <c r="N187">
        <f t="shared" si="61"/>
        <v>1210</v>
      </c>
      <c r="O187">
        <f t="shared" si="81"/>
        <v>11985</v>
      </c>
      <c r="P187">
        <f t="shared" si="82"/>
        <v>4.9586776859504134E-2</v>
      </c>
      <c r="Q187" t="str">
        <f t="shared" si="62"/>
        <v>5.3% | 4.8%</v>
      </c>
      <c r="R187" t="str">
        <f t="shared" si="83"/>
        <v>BEARISH</v>
      </c>
      <c r="S187">
        <f t="shared" si="63"/>
        <v>-1</v>
      </c>
    </row>
    <row r="188" spans="1:19" hidden="1" x14ac:dyDescent="0.25">
      <c r="A188" s="5" t="str">
        <f t="shared" si="60"/>
        <v>43894VIX</v>
      </c>
      <c r="B188" s="6" t="s">
        <v>17</v>
      </c>
      <c r="C188" s="6">
        <v>22.49</v>
      </c>
      <c r="D188" s="6">
        <v>46.96</v>
      </c>
      <c r="E188" s="6">
        <v>36.82</v>
      </c>
      <c r="F188" t="str">
        <f t="shared" si="74"/>
        <v>WED</v>
      </c>
      <c r="G188" s="3">
        <f t="shared" si="75"/>
        <v>43894</v>
      </c>
      <c r="H188" s="2">
        <f t="shared" ca="1" si="59"/>
        <v>359</v>
      </c>
      <c r="I188" t="str">
        <f t="shared" si="76"/>
        <v>VIX</v>
      </c>
      <c r="J188">
        <f t="shared" si="77"/>
        <v>22.49</v>
      </c>
      <c r="K188">
        <f t="shared" si="78"/>
        <v>46.96</v>
      </c>
      <c r="L188">
        <f t="shared" si="79"/>
        <v>34.725000000000001</v>
      </c>
      <c r="M188">
        <f t="shared" si="80"/>
        <v>12.234999999999998</v>
      </c>
      <c r="N188">
        <f t="shared" si="61"/>
        <v>24.470000000000002</v>
      </c>
      <c r="O188">
        <f t="shared" si="81"/>
        <v>36.82</v>
      </c>
      <c r="P188">
        <f t="shared" si="82"/>
        <v>0.17123007764609721</v>
      </c>
      <c r="Q188" t="str">
        <f t="shared" si="62"/>
        <v>38.92% | 27.54%</v>
      </c>
      <c r="R188" t="str">
        <f t="shared" si="83"/>
        <v>BULLISH</v>
      </c>
      <c r="S188">
        <f t="shared" si="63"/>
        <v>1</v>
      </c>
    </row>
    <row r="189" spans="1:19" hidden="1" x14ac:dyDescent="0.25">
      <c r="A189" s="5" t="str">
        <f t="shared" si="60"/>
        <v>43894USD</v>
      </c>
      <c r="B189" s="6" t="s">
        <v>18</v>
      </c>
      <c r="C189" s="6">
        <v>96.9</v>
      </c>
      <c r="D189" s="6">
        <v>100.2</v>
      </c>
      <c r="E189" s="6">
        <v>97.12</v>
      </c>
      <c r="F189" t="str">
        <f t="shared" si="74"/>
        <v>WED</v>
      </c>
      <c r="G189" s="3">
        <f t="shared" si="75"/>
        <v>43894</v>
      </c>
      <c r="H189" s="2">
        <f t="shared" ca="1" si="59"/>
        <v>359</v>
      </c>
      <c r="I189" t="str">
        <f t="shared" si="76"/>
        <v>USD</v>
      </c>
      <c r="J189">
        <f t="shared" si="77"/>
        <v>96.9</v>
      </c>
      <c r="K189">
        <f t="shared" si="78"/>
        <v>100.2</v>
      </c>
      <c r="L189">
        <f t="shared" si="79"/>
        <v>98.550000000000011</v>
      </c>
      <c r="M189">
        <f t="shared" si="80"/>
        <v>1.6499999999999986</v>
      </c>
      <c r="N189">
        <f t="shared" si="61"/>
        <v>3.2999999999999972</v>
      </c>
      <c r="O189">
        <f t="shared" si="81"/>
        <v>97.12</v>
      </c>
      <c r="P189">
        <f t="shared" si="82"/>
        <v>-0.86666666666667158</v>
      </c>
      <c r="Q189" t="str">
        <f t="shared" si="62"/>
        <v>0.23% | 3.17%</v>
      </c>
      <c r="R189" t="str">
        <f t="shared" si="83"/>
        <v>BULLISH</v>
      </c>
      <c r="S189">
        <f t="shared" si="63"/>
        <v>1</v>
      </c>
    </row>
    <row r="190" spans="1:19" hidden="1" x14ac:dyDescent="0.25">
      <c r="A190" s="5" t="str">
        <f t="shared" si="60"/>
        <v>43894EUR/USD</v>
      </c>
      <c r="B190" s="6" t="s">
        <v>19</v>
      </c>
      <c r="C190" s="6">
        <v>1.07</v>
      </c>
      <c r="D190" s="6">
        <v>1.1200000000000001</v>
      </c>
      <c r="E190" s="6">
        <v>1.1100000000000001</v>
      </c>
      <c r="F190" t="str">
        <f t="shared" si="74"/>
        <v>WED</v>
      </c>
      <c r="G190" s="3">
        <f t="shared" si="75"/>
        <v>43894</v>
      </c>
      <c r="H190" s="2">
        <f t="shared" ca="1" si="59"/>
        <v>359</v>
      </c>
      <c r="I190" t="str">
        <f t="shared" si="76"/>
        <v>EUR/USD</v>
      </c>
      <c r="J190">
        <f t="shared" si="77"/>
        <v>1.07</v>
      </c>
      <c r="K190">
        <f t="shared" si="78"/>
        <v>1.1200000000000001</v>
      </c>
      <c r="L190">
        <f t="shared" si="79"/>
        <v>1.0950000000000002</v>
      </c>
      <c r="M190">
        <f t="shared" si="80"/>
        <v>2.5000000000000022E-2</v>
      </c>
      <c r="N190">
        <f t="shared" si="61"/>
        <v>5.0000000000000044E-2</v>
      </c>
      <c r="O190">
        <f t="shared" si="81"/>
        <v>1.1100000000000001</v>
      </c>
      <c r="P190">
        <f t="shared" si="82"/>
        <v>0.59999999999999554</v>
      </c>
      <c r="Q190" t="str">
        <f t="shared" si="62"/>
        <v>3.6% | 0.9%</v>
      </c>
      <c r="R190" t="str">
        <f t="shared" si="83"/>
        <v>BEARISH</v>
      </c>
      <c r="S190">
        <f t="shared" si="63"/>
        <v>-1</v>
      </c>
    </row>
    <row r="191" spans="1:19" hidden="1" x14ac:dyDescent="0.25">
      <c r="A191" s="5" t="str">
        <f t="shared" si="60"/>
        <v>43894USD/JPY</v>
      </c>
      <c r="B191" s="6" t="s">
        <v>56</v>
      </c>
      <c r="C191" s="6">
        <v>107.15</v>
      </c>
      <c r="D191" s="6">
        <v>110.6</v>
      </c>
      <c r="E191" s="6">
        <v>107.21</v>
      </c>
      <c r="F191" t="str">
        <f t="shared" si="74"/>
        <v>WED</v>
      </c>
      <c r="G191" s="3">
        <f t="shared" si="75"/>
        <v>43894</v>
      </c>
      <c r="H191" s="2">
        <f t="shared" ca="1" si="59"/>
        <v>359</v>
      </c>
      <c r="I191" t="str">
        <f t="shared" si="76"/>
        <v>USD/JPY</v>
      </c>
      <c r="J191">
        <f t="shared" si="77"/>
        <v>107.15</v>
      </c>
      <c r="K191">
        <f t="shared" si="78"/>
        <v>110.6</v>
      </c>
      <c r="L191">
        <f t="shared" si="79"/>
        <v>108.875</v>
      </c>
      <c r="M191">
        <f t="shared" si="80"/>
        <v>1.7249999999999943</v>
      </c>
      <c r="N191">
        <f t="shared" si="61"/>
        <v>3.4499999999999886</v>
      </c>
      <c r="O191">
        <f t="shared" si="81"/>
        <v>107.21</v>
      </c>
      <c r="P191">
        <f t="shared" si="82"/>
        <v>-0.96521739130435458</v>
      </c>
      <c r="Q191" t="str">
        <f t="shared" si="62"/>
        <v>0.06% | 3.16%</v>
      </c>
      <c r="R191" t="str">
        <f t="shared" si="83"/>
        <v>BULLISH</v>
      </c>
      <c r="S191">
        <f t="shared" si="63"/>
        <v>1</v>
      </c>
    </row>
    <row r="192" spans="1:19" hidden="1" x14ac:dyDescent="0.25">
      <c r="A192" s="5" t="str">
        <f t="shared" si="60"/>
        <v>43894GBP/USD</v>
      </c>
      <c r="B192" s="6" t="s">
        <v>21</v>
      </c>
      <c r="C192" s="6">
        <v>1.27</v>
      </c>
      <c r="D192" s="6">
        <v>1.29</v>
      </c>
      <c r="E192" s="6">
        <v>1.28</v>
      </c>
      <c r="F192" t="str">
        <f t="shared" si="74"/>
        <v>WED</v>
      </c>
      <c r="G192" s="3">
        <f t="shared" si="75"/>
        <v>43894</v>
      </c>
      <c r="H192" s="2">
        <f t="shared" ca="1" si="59"/>
        <v>359</v>
      </c>
      <c r="I192" t="str">
        <f t="shared" si="76"/>
        <v>GBP/USD</v>
      </c>
      <c r="J192">
        <f t="shared" si="77"/>
        <v>1.27</v>
      </c>
      <c r="K192">
        <f t="shared" si="78"/>
        <v>1.29</v>
      </c>
      <c r="L192">
        <f t="shared" si="79"/>
        <v>1.28</v>
      </c>
      <c r="M192">
        <f t="shared" si="80"/>
        <v>1.0000000000000009E-2</v>
      </c>
      <c r="N192">
        <f t="shared" si="61"/>
        <v>2.0000000000000018E-2</v>
      </c>
      <c r="O192">
        <f t="shared" si="81"/>
        <v>1.28</v>
      </c>
      <c r="P192">
        <f t="shared" si="82"/>
        <v>0</v>
      </c>
      <c r="Q192" t="str">
        <f t="shared" si="62"/>
        <v>0.78% | 0.78%</v>
      </c>
      <c r="R192" t="str">
        <f t="shared" si="83"/>
        <v>BEARISH</v>
      </c>
      <c r="S192">
        <f t="shared" si="63"/>
        <v>-1</v>
      </c>
    </row>
    <row r="193" spans="1:19" hidden="1" x14ac:dyDescent="0.25">
      <c r="A193" s="5" t="str">
        <f t="shared" si="60"/>
        <v>43894USD/CHF</v>
      </c>
      <c r="B193" s="6" t="s">
        <v>76</v>
      </c>
      <c r="C193" s="6">
        <v>0.95</v>
      </c>
      <c r="D193" s="6">
        <v>0.97</v>
      </c>
      <c r="E193" s="6">
        <v>0.95</v>
      </c>
      <c r="F193" t="str">
        <f t="shared" si="74"/>
        <v>WED</v>
      </c>
      <c r="G193" s="3">
        <f t="shared" si="75"/>
        <v>43894</v>
      </c>
      <c r="H193" s="2">
        <f t="shared" ca="1" si="59"/>
        <v>359</v>
      </c>
      <c r="I193" t="str">
        <f t="shared" si="76"/>
        <v>USD/CHF</v>
      </c>
      <c r="J193">
        <f t="shared" si="77"/>
        <v>0.95</v>
      </c>
      <c r="K193">
        <f t="shared" si="78"/>
        <v>0.97</v>
      </c>
      <c r="L193">
        <f t="shared" si="79"/>
        <v>0.96</v>
      </c>
      <c r="M193">
        <f t="shared" si="80"/>
        <v>1.0000000000000009E-2</v>
      </c>
      <c r="N193">
        <f t="shared" si="61"/>
        <v>2.0000000000000018E-2</v>
      </c>
      <c r="O193">
        <f t="shared" si="81"/>
        <v>0.95</v>
      </c>
      <c r="P193">
        <f t="shared" si="82"/>
        <v>-1</v>
      </c>
      <c r="Q193" t="str">
        <f t="shared" si="62"/>
        <v>0% | 2.11%</v>
      </c>
      <c r="R193" t="str">
        <f t="shared" si="83"/>
        <v>BEARISH</v>
      </c>
      <c r="S193">
        <f t="shared" si="63"/>
        <v>-1</v>
      </c>
    </row>
    <row r="194" spans="1:19" hidden="1" x14ac:dyDescent="0.25">
      <c r="A194" s="5" t="str">
        <f t="shared" si="60"/>
        <v>43894WTIC</v>
      </c>
      <c r="B194" s="6" t="s">
        <v>23</v>
      </c>
      <c r="C194" s="6">
        <v>43.2</v>
      </c>
      <c r="D194" s="6">
        <v>51.18</v>
      </c>
      <c r="E194" s="6">
        <v>47.18</v>
      </c>
      <c r="F194" t="str">
        <f t="shared" si="74"/>
        <v>WED</v>
      </c>
      <c r="G194" s="3">
        <f t="shared" si="75"/>
        <v>43894</v>
      </c>
      <c r="H194" s="2">
        <f t="shared" ref="H194:H257" ca="1" si="84">TODAY()-G194</f>
        <v>359</v>
      </c>
      <c r="I194" t="str">
        <f t="shared" si="76"/>
        <v>WTIC</v>
      </c>
      <c r="J194">
        <f t="shared" si="77"/>
        <v>43.2</v>
      </c>
      <c r="K194">
        <f t="shared" si="78"/>
        <v>51.18</v>
      </c>
      <c r="L194">
        <f t="shared" si="79"/>
        <v>47.19</v>
      </c>
      <c r="M194">
        <f t="shared" si="80"/>
        <v>3.9899999999999984</v>
      </c>
      <c r="N194">
        <f t="shared" si="61"/>
        <v>7.9799999999999969</v>
      </c>
      <c r="O194">
        <f t="shared" si="81"/>
        <v>47.18</v>
      </c>
      <c r="P194">
        <f t="shared" si="82"/>
        <v>-2.5062656641599034E-3</v>
      </c>
      <c r="Q194" t="str">
        <f t="shared" si="62"/>
        <v>8.44% | 8.48%</v>
      </c>
      <c r="R194" t="str">
        <f t="shared" si="83"/>
        <v>BEARISH</v>
      </c>
      <c r="S194">
        <f t="shared" si="63"/>
        <v>-1</v>
      </c>
    </row>
    <row r="195" spans="1:19" hidden="1" x14ac:dyDescent="0.25">
      <c r="A195" s="5" t="str">
        <f t="shared" ref="A195:A258" si="85">G195&amp;I195</f>
        <v>43894NATGAS</v>
      </c>
      <c r="B195" s="6" t="s">
        <v>24</v>
      </c>
      <c r="C195" s="6">
        <v>1.62</v>
      </c>
      <c r="D195" s="6">
        <v>1.87</v>
      </c>
      <c r="E195" s="6">
        <v>1.8</v>
      </c>
      <c r="F195" t="str">
        <f t="shared" si="74"/>
        <v>WED</v>
      </c>
      <c r="G195" s="3">
        <f t="shared" si="75"/>
        <v>43894</v>
      </c>
      <c r="H195" s="2">
        <f t="shared" ca="1" si="84"/>
        <v>359</v>
      </c>
      <c r="I195" t="str">
        <f t="shared" si="76"/>
        <v>NATGAS</v>
      </c>
      <c r="J195">
        <f t="shared" si="77"/>
        <v>1.62</v>
      </c>
      <c r="K195">
        <f t="shared" si="78"/>
        <v>1.87</v>
      </c>
      <c r="L195">
        <f t="shared" si="79"/>
        <v>1.7450000000000001</v>
      </c>
      <c r="M195">
        <f t="shared" si="80"/>
        <v>0.125</v>
      </c>
      <c r="N195">
        <f t="shared" ref="N195:N258" si="86">ABS(K195-J195)</f>
        <v>0.25</v>
      </c>
      <c r="O195">
        <f t="shared" si="81"/>
        <v>1.8</v>
      </c>
      <c r="P195">
        <f t="shared" si="82"/>
        <v>0.4399999999999995</v>
      </c>
      <c r="Q195" t="str">
        <f t="shared" ref="Q195:Q258" si="87">ROUND(ABS(100*(O195-J195)/O195),2)&amp;"% | "&amp;ROUND(ABS(100*(K195-O195)/O195),2)&amp;"%"</f>
        <v>10% | 3.89%</v>
      </c>
      <c r="R195" t="str">
        <f t="shared" si="83"/>
        <v>BEARISH</v>
      </c>
      <c r="S195">
        <f t="shared" ref="S195:S258" si="88">IF(R195="BEARISH",-1,IF(R195="NEUTRAL",0,IF(R195="BULLISH",1,99)))</f>
        <v>-1</v>
      </c>
    </row>
    <row r="196" spans="1:19" hidden="1" x14ac:dyDescent="0.25">
      <c r="A196" s="5" t="str">
        <f t="shared" si="85"/>
        <v>43894GOLD</v>
      </c>
      <c r="B196" s="6" t="s">
        <v>25</v>
      </c>
      <c r="C196" s="6">
        <v>1570</v>
      </c>
      <c r="D196" s="6">
        <v>1696</v>
      </c>
      <c r="E196" s="6">
        <v>1644</v>
      </c>
      <c r="F196" t="str">
        <f t="shared" si="74"/>
        <v>WED</v>
      </c>
      <c r="G196" s="3">
        <f t="shared" si="75"/>
        <v>43894</v>
      </c>
      <c r="H196" s="2">
        <f t="shared" ca="1" si="84"/>
        <v>359</v>
      </c>
      <c r="I196" t="str">
        <f t="shared" si="76"/>
        <v>GOLD</v>
      </c>
      <c r="J196">
        <f t="shared" si="77"/>
        <v>1570</v>
      </c>
      <c r="K196">
        <f t="shared" si="78"/>
        <v>1696</v>
      </c>
      <c r="L196">
        <f t="shared" si="79"/>
        <v>1633</v>
      </c>
      <c r="M196">
        <f t="shared" si="80"/>
        <v>63</v>
      </c>
      <c r="N196">
        <f t="shared" si="86"/>
        <v>126</v>
      </c>
      <c r="O196">
        <f t="shared" si="81"/>
        <v>1644</v>
      </c>
      <c r="P196">
        <f t="shared" si="82"/>
        <v>0.17460317460317459</v>
      </c>
      <c r="Q196" t="str">
        <f t="shared" si="87"/>
        <v>4.5% | 3.16%</v>
      </c>
      <c r="R196" t="str">
        <f t="shared" si="83"/>
        <v>BULLISH</v>
      </c>
      <c r="S196">
        <f t="shared" si="88"/>
        <v>1</v>
      </c>
    </row>
    <row r="197" spans="1:19" hidden="1" x14ac:dyDescent="0.25">
      <c r="A197" s="5" t="str">
        <f t="shared" si="85"/>
        <v>43894COPPER</v>
      </c>
      <c r="B197" s="6" t="s">
        <v>26</v>
      </c>
      <c r="C197" s="6">
        <v>2.52</v>
      </c>
      <c r="D197" s="6">
        <v>2.62</v>
      </c>
      <c r="E197" s="6">
        <v>2.57</v>
      </c>
      <c r="F197" t="str">
        <f t="shared" si="74"/>
        <v>WED</v>
      </c>
      <c r="G197" s="3">
        <f t="shared" si="75"/>
        <v>43894</v>
      </c>
      <c r="H197" s="2">
        <f t="shared" ca="1" si="84"/>
        <v>359</v>
      </c>
      <c r="I197" t="str">
        <f t="shared" si="76"/>
        <v>COPPER</v>
      </c>
      <c r="J197">
        <f t="shared" si="77"/>
        <v>2.52</v>
      </c>
      <c r="K197">
        <f t="shared" si="78"/>
        <v>2.62</v>
      </c>
      <c r="L197">
        <f t="shared" si="79"/>
        <v>2.5700000000000003</v>
      </c>
      <c r="M197">
        <f t="shared" si="80"/>
        <v>5.0000000000000044E-2</v>
      </c>
      <c r="N197">
        <f t="shared" si="86"/>
        <v>0.10000000000000009</v>
      </c>
      <c r="O197">
        <f t="shared" si="81"/>
        <v>2.57</v>
      </c>
      <c r="P197">
        <f t="shared" si="82"/>
        <v>-8.8817841970012444E-15</v>
      </c>
      <c r="Q197" t="str">
        <f t="shared" si="87"/>
        <v>1.95% | 1.95%</v>
      </c>
      <c r="R197" t="str">
        <f t="shared" si="83"/>
        <v>BEARISH</v>
      </c>
      <c r="S197">
        <f t="shared" si="88"/>
        <v>-1</v>
      </c>
    </row>
    <row r="198" spans="1:19" hidden="1" x14ac:dyDescent="0.25">
      <c r="A198" s="5" t="str">
        <f t="shared" si="85"/>
        <v>43894AAPL</v>
      </c>
      <c r="B198" s="6" t="s">
        <v>63</v>
      </c>
      <c r="C198" s="6">
        <v>263.02</v>
      </c>
      <c r="D198" s="6">
        <v>305.13</v>
      </c>
      <c r="E198" s="6">
        <v>289.32</v>
      </c>
      <c r="F198" t="str">
        <f t="shared" si="74"/>
        <v>WED</v>
      </c>
      <c r="G198" s="3">
        <f t="shared" si="75"/>
        <v>43894</v>
      </c>
      <c r="H198" s="2">
        <f t="shared" ca="1" si="84"/>
        <v>359</v>
      </c>
      <c r="I198" t="str">
        <f t="shared" si="76"/>
        <v>AAPL</v>
      </c>
      <c r="J198">
        <f t="shared" si="77"/>
        <v>263.02</v>
      </c>
      <c r="K198">
        <f t="shared" si="78"/>
        <v>305.13</v>
      </c>
      <c r="L198">
        <f t="shared" si="79"/>
        <v>284.07499999999999</v>
      </c>
      <c r="M198">
        <f t="shared" si="80"/>
        <v>21.055000000000007</v>
      </c>
      <c r="N198">
        <f t="shared" si="86"/>
        <v>42.110000000000014</v>
      </c>
      <c r="O198">
        <f t="shared" si="81"/>
        <v>289.32</v>
      </c>
      <c r="P198">
        <f t="shared" si="82"/>
        <v>0.24910947518404192</v>
      </c>
      <c r="Q198" t="str">
        <f t="shared" si="87"/>
        <v>9.09% | 5.46%</v>
      </c>
      <c r="R198" t="str">
        <f t="shared" si="83"/>
        <v>NEUTRAL</v>
      </c>
      <c r="S198">
        <f t="shared" si="88"/>
        <v>0</v>
      </c>
    </row>
    <row r="199" spans="1:19" hidden="1" x14ac:dyDescent="0.25">
      <c r="A199" s="5" t="str">
        <f t="shared" si="85"/>
        <v>43894AMZN</v>
      </c>
      <c r="B199" s="6" t="s">
        <v>73</v>
      </c>
      <c r="C199" s="6">
        <v>1800</v>
      </c>
      <c r="D199" s="6">
        <v>1999</v>
      </c>
      <c r="E199" s="6">
        <v>1908</v>
      </c>
      <c r="F199" t="str">
        <f t="shared" si="74"/>
        <v>WED</v>
      </c>
      <c r="G199" s="3">
        <f t="shared" si="75"/>
        <v>43894</v>
      </c>
      <c r="H199" s="2">
        <f t="shared" ca="1" si="84"/>
        <v>359</v>
      </c>
      <c r="I199" t="str">
        <f t="shared" si="76"/>
        <v>AMZN</v>
      </c>
      <c r="J199">
        <f t="shared" si="77"/>
        <v>1800</v>
      </c>
      <c r="K199">
        <f t="shared" si="78"/>
        <v>1999</v>
      </c>
      <c r="L199">
        <f t="shared" si="79"/>
        <v>1899.5</v>
      </c>
      <c r="M199">
        <f t="shared" si="80"/>
        <v>99.5</v>
      </c>
      <c r="N199">
        <f t="shared" si="86"/>
        <v>199</v>
      </c>
      <c r="O199">
        <f t="shared" si="81"/>
        <v>1908</v>
      </c>
      <c r="P199">
        <f t="shared" si="82"/>
        <v>8.5427135678391955E-2</v>
      </c>
      <c r="Q199" t="str">
        <f t="shared" si="87"/>
        <v>5.66% | 4.77%</v>
      </c>
      <c r="R199" t="str">
        <f t="shared" si="83"/>
        <v>BEARISH</v>
      </c>
      <c r="S199">
        <f t="shared" si="88"/>
        <v>-1</v>
      </c>
    </row>
    <row r="200" spans="1:19" hidden="1" x14ac:dyDescent="0.25">
      <c r="A200" s="5" t="str">
        <f t="shared" si="85"/>
        <v>43894FB</v>
      </c>
      <c r="B200" s="6" t="s">
        <v>58</v>
      </c>
      <c r="C200" s="6">
        <v>179</v>
      </c>
      <c r="D200" s="6">
        <v>203</v>
      </c>
      <c r="E200" s="6">
        <v>185</v>
      </c>
      <c r="F200" t="str">
        <f t="shared" si="74"/>
        <v>WED</v>
      </c>
      <c r="G200" s="3">
        <f t="shared" si="75"/>
        <v>43894</v>
      </c>
      <c r="H200" s="2">
        <f t="shared" ca="1" si="84"/>
        <v>359</v>
      </c>
      <c r="I200" t="str">
        <f t="shared" si="76"/>
        <v>FB</v>
      </c>
      <c r="J200">
        <f t="shared" si="77"/>
        <v>179</v>
      </c>
      <c r="K200">
        <f t="shared" si="78"/>
        <v>203</v>
      </c>
      <c r="L200">
        <f t="shared" si="79"/>
        <v>191</v>
      </c>
      <c r="M200">
        <f t="shared" si="80"/>
        <v>12</v>
      </c>
      <c r="N200">
        <f t="shared" si="86"/>
        <v>24</v>
      </c>
      <c r="O200">
        <f t="shared" si="81"/>
        <v>185</v>
      </c>
      <c r="P200">
        <f t="shared" si="82"/>
        <v>-0.5</v>
      </c>
      <c r="Q200" t="str">
        <f t="shared" si="87"/>
        <v>3.24% | 9.73%</v>
      </c>
      <c r="R200" t="str">
        <f t="shared" si="83"/>
        <v>BEARISH</v>
      </c>
      <c r="S200">
        <f t="shared" si="88"/>
        <v>-1</v>
      </c>
    </row>
    <row r="201" spans="1:19" hidden="1" x14ac:dyDescent="0.25">
      <c r="A201" s="5" t="str">
        <f t="shared" si="85"/>
        <v>43894GOOGL</v>
      </c>
      <c r="B201" s="6" t="s">
        <v>66</v>
      </c>
      <c r="C201" s="6">
        <v>1268</v>
      </c>
      <c r="D201" s="6">
        <v>1429</v>
      </c>
      <c r="E201" s="6">
        <v>1337</v>
      </c>
      <c r="F201" t="str">
        <f t="shared" si="74"/>
        <v>WED</v>
      </c>
      <c r="G201" s="3">
        <f t="shared" si="75"/>
        <v>43894</v>
      </c>
      <c r="H201" s="2">
        <f t="shared" ca="1" si="84"/>
        <v>359</v>
      </c>
      <c r="I201" t="str">
        <f t="shared" si="76"/>
        <v>GOOGL</v>
      </c>
      <c r="J201">
        <f t="shared" si="77"/>
        <v>1268</v>
      </c>
      <c r="K201">
        <f t="shared" si="78"/>
        <v>1429</v>
      </c>
      <c r="L201">
        <f t="shared" si="79"/>
        <v>1348.5</v>
      </c>
      <c r="M201">
        <f t="shared" si="80"/>
        <v>80.5</v>
      </c>
      <c r="N201">
        <f t="shared" si="86"/>
        <v>161</v>
      </c>
      <c r="O201">
        <f t="shared" si="81"/>
        <v>1337</v>
      </c>
      <c r="P201">
        <f t="shared" si="82"/>
        <v>-0.14285714285714285</v>
      </c>
      <c r="Q201" t="str">
        <f t="shared" si="87"/>
        <v>5.16% | 6.88%</v>
      </c>
      <c r="R201" t="str">
        <f t="shared" si="83"/>
        <v>BEARISH</v>
      </c>
      <c r="S201">
        <f t="shared" si="88"/>
        <v>-1</v>
      </c>
    </row>
    <row r="202" spans="1:19" hidden="1" x14ac:dyDescent="0.25">
      <c r="A202" s="5" t="str">
        <f t="shared" si="85"/>
        <v>43894NFLX</v>
      </c>
      <c r="B202" s="6" t="s">
        <v>70</v>
      </c>
      <c r="C202" s="6">
        <v>351</v>
      </c>
      <c r="D202" s="6">
        <v>390</v>
      </c>
      <c r="E202" s="6">
        <v>368</v>
      </c>
      <c r="F202" t="str">
        <f t="shared" si="74"/>
        <v>WED</v>
      </c>
      <c r="G202" s="3">
        <f t="shared" si="75"/>
        <v>43894</v>
      </c>
      <c r="H202" s="2">
        <f t="shared" ca="1" si="84"/>
        <v>359</v>
      </c>
      <c r="I202" t="str">
        <f t="shared" si="76"/>
        <v>NFLX</v>
      </c>
      <c r="J202">
        <f t="shared" si="77"/>
        <v>351</v>
      </c>
      <c r="K202">
        <f t="shared" si="78"/>
        <v>390</v>
      </c>
      <c r="L202">
        <f t="shared" si="79"/>
        <v>370.5</v>
      </c>
      <c r="M202">
        <f t="shared" si="80"/>
        <v>19.5</v>
      </c>
      <c r="N202">
        <f t="shared" si="86"/>
        <v>39</v>
      </c>
      <c r="O202">
        <f t="shared" si="81"/>
        <v>368</v>
      </c>
      <c r="P202">
        <f t="shared" si="82"/>
        <v>-0.12820512820512819</v>
      </c>
      <c r="Q202" t="str">
        <f t="shared" si="87"/>
        <v>4.62% | 5.98%</v>
      </c>
      <c r="R202" t="str">
        <f t="shared" si="83"/>
        <v>NEUTRAL</v>
      </c>
      <c r="S202">
        <f t="shared" si="88"/>
        <v>0</v>
      </c>
    </row>
    <row r="203" spans="1:19" x14ac:dyDescent="0.25">
      <c r="A203" s="5" t="str">
        <f t="shared" si="85"/>
        <v>43894TSLA</v>
      </c>
      <c r="B203" s="6" t="s">
        <v>71</v>
      </c>
      <c r="C203" s="6">
        <v>621</v>
      </c>
      <c r="D203" s="6">
        <v>815</v>
      </c>
      <c r="E203" s="6">
        <v>745</v>
      </c>
      <c r="F203" t="str">
        <f t="shared" si="74"/>
        <v>WED</v>
      </c>
      <c r="G203" s="3">
        <f t="shared" si="75"/>
        <v>43894</v>
      </c>
      <c r="H203" s="2">
        <f t="shared" ca="1" si="84"/>
        <v>359</v>
      </c>
      <c r="I203" t="str">
        <f t="shared" si="76"/>
        <v>TSLA</v>
      </c>
      <c r="J203">
        <f t="shared" si="77"/>
        <v>621</v>
      </c>
      <c r="K203">
        <f t="shared" si="78"/>
        <v>815</v>
      </c>
      <c r="L203">
        <f t="shared" si="79"/>
        <v>718</v>
      </c>
      <c r="M203">
        <f t="shared" si="80"/>
        <v>97</v>
      </c>
      <c r="N203">
        <f t="shared" si="86"/>
        <v>194</v>
      </c>
      <c r="O203">
        <f t="shared" si="81"/>
        <v>745</v>
      </c>
      <c r="P203">
        <f t="shared" si="82"/>
        <v>0.27835051546391754</v>
      </c>
      <c r="Q203" t="str">
        <f t="shared" si="87"/>
        <v>16.64% | 9.4%</v>
      </c>
      <c r="R203" t="str">
        <f t="shared" si="83"/>
        <v>NEUTRAL</v>
      </c>
      <c r="S203">
        <f t="shared" si="88"/>
        <v>0</v>
      </c>
    </row>
    <row r="204" spans="1:19" hidden="1" x14ac:dyDescent="0.25">
      <c r="A204" s="5" t="str">
        <f t="shared" si="85"/>
        <v>43894NYXBT</v>
      </c>
      <c r="B204" s="6" t="s">
        <v>74</v>
      </c>
      <c r="C204" s="6">
        <v>8242</v>
      </c>
      <c r="D204" s="6">
        <v>9199</v>
      </c>
      <c r="E204" s="6">
        <v>8728</v>
      </c>
      <c r="F204" t="str">
        <f t="shared" si="74"/>
        <v>WED</v>
      </c>
      <c r="G204" s="3">
        <f t="shared" si="75"/>
        <v>43894</v>
      </c>
      <c r="H204" s="2">
        <f t="shared" ca="1" si="84"/>
        <v>359</v>
      </c>
      <c r="I204" t="str">
        <f t="shared" si="76"/>
        <v>NYXBT</v>
      </c>
      <c r="J204">
        <f t="shared" si="77"/>
        <v>8242</v>
      </c>
      <c r="K204">
        <f t="shared" si="78"/>
        <v>9199</v>
      </c>
      <c r="L204">
        <f t="shared" si="79"/>
        <v>8720.5</v>
      </c>
      <c r="M204">
        <f t="shared" si="80"/>
        <v>478.5</v>
      </c>
      <c r="N204">
        <f t="shared" si="86"/>
        <v>957</v>
      </c>
      <c r="O204">
        <f t="shared" si="81"/>
        <v>8728</v>
      </c>
      <c r="P204">
        <f t="shared" si="82"/>
        <v>1.5673981191222569E-2</v>
      </c>
      <c r="Q204" t="str">
        <f t="shared" si="87"/>
        <v>5.57% | 5.4%</v>
      </c>
      <c r="R204" t="str">
        <f t="shared" si="83"/>
        <v>BEARISH</v>
      </c>
      <c r="S204">
        <f t="shared" si="88"/>
        <v>-1</v>
      </c>
    </row>
    <row r="205" spans="1:19" hidden="1" x14ac:dyDescent="0.25">
      <c r="A205" s="5" t="str">
        <f t="shared" si="85"/>
        <v>43895UST10Y</v>
      </c>
      <c r="B205" s="6" t="s">
        <v>4</v>
      </c>
      <c r="C205" s="6">
        <v>1.22</v>
      </c>
      <c r="D205" s="6">
        <v>0.91</v>
      </c>
      <c r="E205" s="6">
        <v>1.02</v>
      </c>
      <c r="F205" t="str">
        <f t="shared" si="74"/>
        <v>THU</v>
      </c>
      <c r="G205" s="1">
        <f>DATE(2020,3,5)</f>
        <v>43895</v>
      </c>
      <c r="H205" s="2">
        <f t="shared" ca="1" si="84"/>
        <v>358</v>
      </c>
      <c r="I205" t="str">
        <f t="shared" si="76"/>
        <v>UST10Y</v>
      </c>
      <c r="J205">
        <f t="shared" si="77"/>
        <v>1.22</v>
      </c>
      <c r="K205">
        <f t="shared" si="78"/>
        <v>0.91</v>
      </c>
      <c r="L205">
        <f t="shared" si="79"/>
        <v>1.0649999999999999</v>
      </c>
      <c r="M205">
        <f t="shared" si="80"/>
        <v>0.15500000000000061</v>
      </c>
      <c r="N205">
        <f t="shared" si="86"/>
        <v>0.30999999999999994</v>
      </c>
      <c r="O205">
        <f t="shared" si="81"/>
        <v>1.02</v>
      </c>
      <c r="P205">
        <f t="shared" si="82"/>
        <v>-0.2903225806451597</v>
      </c>
      <c r="Q205" t="str">
        <f t="shared" si="87"/>
        <v>19.61% | 10.78%</v>
      </c>
      <c r="R205" t="str">
        <f t="shared" si="83"/>
        <v>BEARISH</v>
      </c>
      <c r="S205">
        <f t="shared" si="88"/>
        <v>-1</v>
      </c>
    </row>
    <row r="206" spans="1:19" hidden="1" x14ac:dyDescent="0.25">
      <c r="A206" s="5" t="str">
        <f t="shared" si="85"/>
        <v>43895UST2Y</v>
      </c>
      <c r="B206" s="6" t="s">
        <v>5</v>
      </c>
      <c r="C206" s="6">
        <v>0.99</v>
      </c>
      <c r="D206" s="6">
        <v>0.54</v>
      </c>
      <c r="E206" s="6">
        <v>0.67</v>
      </c>
      <c r="F206" t="str">
        <f t="shared" ref="F206:F234" si="89">UPPER(TEXT(G206,"ddd"))</f>
        <v>THU</v>
      </c>
      <c r="G206" s="1">
        <f t="shared" ref="G206:G233" si="90">DATE(2020,3,5)</f>
        <v>43895</v>
      </c>
      <c r="H206" s="2">
        <f t="shared" ca="1" si="84"/>
        <v>358</v>
      </c>
      <c r="I206" t="str">
        <f t="shared" ref="I206:I234" si="91">TRIM(LEFT(B206,FIND(" ",B206,1)))</f>
        <v>UST2Y</v>
      </c>
      <c r="J206">
        <f t="shared" ref="J206:J234" si="92">C206</f>
        <v>0.99</v>
      </c>
      <c r="K206">
        <f t="shared" ref="K206:K234" si="93">D206</f>
        <v>0.54</v>
      </c>
      <c r="L206">
        <f t="shared" ref="L206:L234" si="94">AVERAGE(J206:K206)</f>
        <v>0.76500000000000001</v>
      </c>
      <c r="M206">
        <f t="shared" ref="M206:M234" si="95">_xlfn.STDEV.P(J206:K206)</f>
        <v>0.22500000000000006</v>
      </c>
      <c r="N206">
        <f t="shared" si="86"/>
        <v>0.44999999999999996</v>
      </c>
      <c r="O206">
        <f t="shared" ref="O206:O234" si="96">E206</f>
        <v>0.67</v>
      </c>
      <c r="P206">
        <f t="shared" ref="P206:P234" si="97">(O206-L206)/M206</f>
        <v>-0.422222222222222</v>
      </c>
      <c r="Q206" t="str">
        <f t="shared" si="87"/>
        <v>47.76% | 19.4%</v>
      </c>
      <c r="R206" t="str">
        <f t="shared" ref="R206:R234" si="98">MID(B206,FIND("(",B206,1)+1,FIND(")",B206,1)-FIND("(",B206,1)-1)</f>
        <v>BEARISH</v>
      </c>
      <c r="S206">
        <f t="shared" si="88"/>
        <v>-1</v>
      </c>
    </row>
    <row r="207" spans="1:19" hidden="1" x14ac:dyDescent="0.25">
      <c r="A207" s="5" t="str">
        <f t="shared" si="85"/>
        <v>43895SPX</v>
      </c>
      <c r="B207" s="6" t="s">
        <v>6</v>
      </c>
      <c r="C207" s="6">
        <v>2866</v>
      </c>
      <c r="D207" s="6">
        <v>3180</v>
      </c>
      <c r="E207" s="6">
        <v>3130</v>
      </c>
      <c r="F207" t="str">
        <f t="shared" si="89"/>
        <v>THU</v>
      </c>
      <c r="G207" s="1">
        <f t="shared" si="90"/>
        <v>43895</v>
      </c>
      <c r="H207" s="2">
        <f t="shared" ca="1" si="84"/>
        <v>358</v>
      </c>
      <c r="I207" t="str">
        <f t="shared" si="91"/>
        <v>SPX</v>
      </c>
      <c r="J207">
        <f t="shared" si="92"/>
        <v>2866</v>
      </c>
      <c r="K207">
        <f t="shared" si="93"/>
        <v>3180</v>
      </c>
      <c r="L207">
        <f t="shared" si="94"/>
        <v>3023</v>
      </c>
      <c r="M207">
        <f t="shared" si="95"/>
        <v>157</v>
      </c>
      <c r="N207">
        <f t="shared" si="86"/>
        <v>314</v>
      </c>
      <c r="O207">
        <f t="shared" si="96"/>
        <v>3130</v>
      </c>
      <c r="P207">
        <f t="shared" si="97"/>
        <v>0.68152866242038213</v>
      </c>
      <c r="Q207" t="str">
        <f t="shared" si="87"/>
        <v>8.43% | 1.6%</v>
      </c>
      <c r="R207" t="str">
        <f t="shared" si="98"/>
        <v>BEARISH</v>
      </c>
      <c r="S207">
        <f t="shared" si="88"/>
        <v>-1</v>
      </c>
    </row>
    <row r="208" spans="1:19" hidden="1" x14ac:dyDescent="0.25">
      <c r="A208" s="5" t="str">
        <f t="shared" si="85"/>
        <v>43895RUT</v>
      </c>
      <c r="B208" s="6" t="s">
        <v>7</v>
      </c>
      <c r="C208" s="6">
        <v>1456</v>
      </c>
      <c r="D208" s="6">
        <v>1558</v>
      </c>
      <c r="E208" s="6">
        <v>1531</v>
      </c>
      <c r="F208" t="str">
        <f t="shared" si="89"/>
        <v>THU</v>
      </c>
      <c r="G208" s="1">
        <f t="shared" si="90"/>
        <v>43895</v>
      </c>
      <c r="H208" s="2">
        <f t="shared" ca="1" si="84"/>
        <v>358</v>
      </c>
      <c r="I208" t="str">
        <f t="shared" si="91"/>
        <v>RUT</v>
      </c>
      <c r="J208">
        <f t="shared" si="92"/>
        <v>1456</v>
      </c>
      <c r="K208">
        <f t="shared" si="93"/>
        <v>1558</v>
      </c>
      <c r="L208">
        <f t="shared" si="94"/>
        <v>1507</v>
      </c>
      <c r="M208">
        <f t="shared" si="95"/>
        <v>51</v>
      </c>
      <c r="N208">
        <f t="shared" si="86"/>
        <v>102</v>
      </c>
      <c r="O208">
        <f t="shared" si="96"/>
        <v>1531</v>
      </c>
      <c r="P208">
        <f t="shared" si="97"/>
        <v>0.47058823529411764</v>
      </c>
      <c r="Q208" t="str">
        <f t="shared" si="87"/>
        <v>4.9% | 1.76%</v>
      </c>
      <c r="R208" t="str">
        <f t="shared" si="98"/>
        <v>BEARISH</v>
      </c>
      <c r="S208">
        <f t="shared" si="88"/>
        <v>-1</v>
      </c>
    </row>
    <row r="209" spans="1:19" hidden="1" x14ac:dyDescent="0.25">
      <c r="A209" s="5" t="str">
        <f t="shared" si="85"/>
        <v>43895COMPQ</v>
      </c>
      <c r="B209" s="6" t="s">
        <v>64</v>
      </c>
      <c r="C209" s="6">
        <v>8328</v>
      </c>
      <c r="D209" s="6">
        <v>9197</v>
      </c>
      <c r="E209" s="6">
        <v>9018</v>
      </c>
      <c r="F209" t="str">
        <f t="shared" si="89"/>
        <v>THU</v>
      </c>
      <c r="G209" s="1">
        <f t="shared" si="90"/>
        <v>43895</v>
      </c>
      <c r="H209" s="2">
        <f t="shared" ca="1" si="84"/>
        <v>358</v>
      </c>
      <c r="I209" t="str">
        <f t="shared" si="91"/>
        <v>COMPQ</v>
      </c>
      <c r="J209">
        <f t="shared" si="92"/>
        <v>8328</v>
      </c>
      <c r="K209">
        <f t="shared" si="93"/>
        <v>9197</v>
      </c>
      <c r="L209">
        <f t="shared" si="94"/>
        <v>8762.5</v>
      </c>
      <c r="M209">
        <f t="shared" si="95"/>
        <v>434.5</v>
      </c>
      <c r="N209">
        <f t="shared" si="86"/>
        <v>869</v>
      </c>
      <c r="O209">
        <f t="shared" si="96"/>
        <v>9018</v>
      </c>
      <c r="P209">
        <f t="shared" si="97"/>
        <v>0.5880322209436134</v>
      </c>
      <c r="Q209" t="str">
        <f t="shared" si="87"/>
        <v>7.65% | 1.98%</v>
      </c>
      <c r="R209" t="str">
        <f t="shared" si="98"/>
        <v>BEARISH</v>
      </c>
      <c r="S209">
        <f t="shared" si="88"/>
        <v>-1</v>
      </c>
    </row>
    <row r="210" spans="1:19" hidden="1" x14ac:dyDescent="0.25">
      <c r="A210" s="5" t="str">
        <f t="shared" si="85"/>
        <v>43895XLU</v>
      </c>
      <c r="B210" s="6" t="s">
        <v>52</v>
      </c>
      <c r="C210" s="6">
        <v>61.7</v>
      </c>
      <c r="D210" s="6">
        <v>71.87</v>
      </c>
      <c r="E210" s="6">
        <v>68.72</v>
      </c>
      <c r="F210" t="str">
        <f t="shared" si="89"/>
        <v>THU</v>
      </c>
      <c r="G210" s="1">
        <f t="shared" si="90"/>
        <v>43895</v>
      </c>
      <c r="H210" s="2">
        <f t="shared" ca="1" si="84"/>
        <v>358</v>
      </c>
      <c r="I210" t="str">
        <f t="shared" si="91"/>
        <v>XLU</v>
      </c>
      <c r="J210">
        <f t="shared" si="92"/>
        <v>61.7</v>
      </c>
      <c r="K210">
        <f t="shared" si="93"/>
        <v>71.87</v>
      </c>
      <c r="L210">
        <f t="shared" si="94"/>
        <v>66.784999999999997</v>
      </c>
      <c r="M210">
        <f t="shared" si="95"/>
        <v>5.0850000000000009</v>
      </c>
      <c r="N210">
        <f t="shared" si="86"/>
        <v>10.170000000000002</v>
      </c>
      <c r="O210">
        <f t="shared" si="96"/>
        <v>68.72</v>
      </c>
      <c r="P210">
        <f t="shared" si="97"/>
        <v>0.3805309734513278</v>
      </c>
      <c r="Q210" t="str">
        <f t="shared" si="87"/>
        <v>10.22% | 4.58%</v>
      </c>
      <c r="R210" t="str">
        <f t="shared" si="98"/>
        <v>BULLISH</v>
      </c>
      <c r="S210">
        <f t="shared" si="88"/>
        <v>1</v>
      </c>
    </row>
    <row r="211" spans="1:19" hidden="1" x14ac:dyDescent="0.25">
      <c r="A211" s="5" t="str">
        <f t="shared" si="85"/>
        <v>43895VNQ</v>
      </c>
      <c r="B211" s="6" t="s">
        <v>53</v>
      </c>
      <c r="C211" s="6">
        <v>85.67</v>
      </c>
      <c r="D211" s="6">
        <v>98.1</v>
      </c>
      <c r="E211" s="6">
        <v>94.28</v>
      </c>
      <c r="F211" t="str">
        <f t="shared" si="89"/>
        <v>THU</v>
      </c>
      <c r="G211" s="1">
        <f t="shared" si="90"/>
        <v>43895</v>
      </c>
      <c r="H211" s="2">
        <f t="shared" ca="1" si="84"/>
        <v>358</v>
      </c>
      <c r="I211" t="str">
        <f t="shared" si="91"/>
        <v>VNQ</v>
      </c>
      <c r="J211">
        <f t="shared" si="92"/>
        <v>85.67</v>
      </c>
      <c r="K211">
        <f t="shared" si="93"/>
        <v>98.1</v>
      </c>
      <c r="L211">
        <f t="shared" si="94"/>
        <v>91.884999999999991</v>
      </c>
      <c r="M211">
        <f t="shared" si="95"/>
        <v>6.2149999999999954</v>
      </c>
      <c r="N211">
        <f t="shared" si="86"/>
        <v>12.429999999999993</v>
      </c>
      <c r="O211">
        <f t="shared" si="96"/>
        <v>94.28</v>
      </c>
      <c r="P211">
        <f t="shared" si="97"/>
        <v>0.38535800482703331</v>
      </c>
      <c r="Q211" t="str">
        <f t="shared" si="87"/>
        <v>9.13% | 4.05%</v>
      </c>
      <c r="R211" t="str">
        <f t="shared" si="98"/>
        <v>BULLISH</v>
      </c>
      <c r="S211">
        <f t="shared" si="88"/>
        <v>1</v>
      </c>
    </row>
    <row r="212" spans="1:19" hidden="1" x14ac:dyDescent="0.25">
      <c r="A212" s="5" t="str">
        <f t="shared" si="85"/>
        <v>43895XLP</v>
      </c>
      <c r="B212" s="6" t="s">
        <v>54</v>
      </c>
      <c r="C212" s="6">
        <v>58.01</v>
      </c>
      <c r="D212" s="6">
        <v>64.11</v>
      </c>
      <c r="E212" s="6">
        <v>63.22</v>
      </c>
      <c r="F212" t="str">
        <f t="shared" si="89"/>
        <v>THU</v>
      </c>
      <c r="G212" s="1">
        <f t="shared" si="90"/>
        <v>43895</v>
      </c>
      <c r="H212" s="2">
        <f t="shared" ca="1" si="84"/>
        <v>358</v>
      </c>
      <c r="I212" t="str">
        <f t="shared" si="91"/>
        <v>XLP</v>
      </c>
      <c r="J212">
        <f t="shared" si="92"/>
        <v>58.01</v>
      </c>
      <c r="K212">
        <f t="shared" si="93"/>
        <v>64.11</v>
      </c>
      <c r="L212">
        <f t="shared" si="94"/>
        <v>61.06</v>
      </c>
      <c r="M212">
        <f t="shared" si="95"/>
        <v>3.0500000000000007</v>
      </c>
      <c r="N212">
        <f t="shared" si="86"/>
        <v>6.1000000000000014</v>
      </c>
      <c r="O212">
        <f t="shared" si="96"/>
        <v>63.22</v>
      </c>
      <c r="P212">
        <f t="shared" si="97"/>
        <v>0.70819672131147415</v>
      </c>
      <c r="Q212" t="str">
        <f t="shared" si="87"/>
        <v>8.24% | 1.41%</v>
      </c>
      <c r="R212" t="str">
        <f t="shared" si="98"/>
        <v>BULLISH</v>
      </c>
      <c r="S212">
        <f t="shared" si="88"/>
        <v>1</v>
      </c>
    </row>
    <row r="213" spans="1:19" hidden="1" x14ac:dyDescent="0.25">
      <c r="A213" s="5" t="str">
        <f t="shared" si="85"/>
        <v>43895XLK</v>
      </c>
      <c r="B213" s="6" t="s">
        <v>65</v>
      </c>
      <c r="C213" s="6">
        <v>85.01</v>
      </c>
      <c r="D213" s="6">
        <v>95.51</v>
      </c>
      <c r="E213" s="6">
        <v>93.79</v>
      </c>
      <c r="F213" t="str">
        <f t="shared" si="89"/>
        <v>THU</v>
      </c>
      <c r="G213" s="1">
        <f t="shared" si="90"/>
        <v>43895</v>
      </c>
      <c r="H213" s="2">
        <f t="shared" ca="1" si="84"/>
        <v>358</v>
      </c>
      <c r="I213" t="str">
        <f t="shared" si="91"/>
        <v>XLK</v>
      </c>
      <c r="J213">
        <f t="shared" si="92"/>
        <v>85.01</v>
      </c>
      <c r="K213">
        <f t="shared" si="93"/>
        <v>95.51</v>
      </c>
      <c r="L213">
        <f t="shared" si="94"/>
        <v>90.26</v>
      </c>
      <c r="M213">
        <f t="shared" si="95"/>
        <v>5.25</v>
      </c>
      <c r="N213">
        <f t="shared" si="86"/>
        <v>10.5</v>
      </c>
      <c r="O213">
        <f t="shared" si="96"/>
        <v>93.79</v>
      </c>
      <c r="P213">
        <f t="shared" si="97"/>
        <v>0.67238095238095263</v>
      </c>
      <c r="Q213" t="str">
        <f t="shared" si="87"/>
        <v>9.36% | 1.83%</v>
      </c>
      <c r="R213" t="str">
        <f t="shared" si="98"/>
        <v>BEARISH</v>
      </c>
      <c r="S213">
        <f t="shared" si="88"/>
        <v>-1</v>
      </c>
    </row>
    <row r="214" spans="1:19" hidden="1" x14ac:dyDescent="0.25">
      <c r="A214" s="5" t="str">
        <f t="shared" si="85"/>
        <v>43895SSEC</v>
      </c>
      <c r="B214" s="6" t="s">
        <v>55</v>
      </c>
      <c r="C214" s="6">
        <v>2900</v>
      </c>
      <c r="D214" s="6">
        <v>3091</v>
      </c>
      <c r="E214" s="6">
        <v>3071</v>
      </c>
      <c r="F214" t="str">
        <f t="shared" si="89"/>
        <v>THU</v>
      </c>
      <c r="G214" s="1">
        <f t="shared" si="90"/>
        <v>43895</v>
      </c>
      <c r="H214" s="2">
        <f t="shared" ca="1" si="84"/>
        <v>358</v>
      </c>
      <c r="I214" t="str">
        <f t="shared" si="91"/>
        <v>SSEC</v>
      </c>
      <c r="J214">
        <f t="shared" si="92"/>
        <v>2900</v>
      </c>
      <c r="K214">
        <f t="shared" si="93"/>
        <v>3091</v>
      </c>
      <c r="L214">
        <f t="shared" si="94"/>
        <v>2995.5</v>
      </c>
      <c r="M214">
        <f t="shared" si="95"/>
        <v>95.5</v>
      </c>
      <c r="N214">
        <f t="shared" si="86"/>
        <v>191</v>
      </c>
      <c r="O214">
        <f t="shared" si="96"/>
        <v>3071</v>
      </c>
      <c r="P214">
        <f t="shared" si="97"/>
        <v>0.79057591623036649</v>
      </c>
      <c r="Q214" t="str">
        <f t="shared" si="87"/>
        <v>5.57% | 0.65%</v>
      </c>
      <c r="R214" t="str">
        <f t="shared" si="98"/>
        <v>NEUTRAL</v>
      </c>
      <c r="S214">
        <f t="shared" si="88"/>
        <v>0</v>
      </c>
    </row>
    <row r="215" spans="1:19" hidden="1" x14ac:dyDescent="0.25">
      <c r="A215" s="5" t="str">
        <f t="shared" si="85"/>
        <v>43895NIKK</v>
      </c>
      <c r="B215" s="6" t="s">
        <v>15</v>
      </c>
      <c r="C215" s="6">
        <v>20217</v>
      </c>
      <c r="D215" s="6">
        <v>22037</v>
      </c>
      <c r="E215" s="6">
        <v>21329</v>
      </c>
      <c r="F215" t="str">
        <f t="shared" si="89"/>
        <v>THU</v>
      </c>
      <c r="G215" s="1">
        <f t="shared" si="90"/>
        <v>43895</v>
      </c>
      <c r="H215" s="2">
        <f t="shared" ca="1" si="84"/>
        <v>358</v>
      </c>
      <c r="I215" t="str">
        <f t="shared" si="91"/>
        <v>NIKK</v>
      </c>
      <c r="J215">
        <f t="shared" si="92"/>
        <v>20217</v>
      </c>
      <c r="K215">
        <f t="shared" si="93"/>
        <v>22037</v>
      </c>
      <c r="L215">
        <f t="shared" si="94"/>
        <v>21127</v>
      </c>
      <c r="M215">
        <f t="shared" si="95"/>
        <v>910</v>
      </c>
      <c r="N215">
        <f t="shared" si="86"/>
        <v>1820</v>
      </c>
      <c r="O215">
        <f t="shared" si="96"/>
        <v>21329</v>
      </c>
      <c r="P215">
        <f t="shared" si="97"/>
        <v>0.22197802197802197</v>
      </c>
      <c r="Q215" t="str">
        <f t="shared" si="87"/>
        <v>5.21% | 3.32%</v>
      </c>
      <c r="R215" t="str">
        <f t="shared" si="98"/>
        <v>BEARISH</v>
      </c>
      <c r="S215">
        <f t="shared" si="88"/>
        <v>-1</v>
      </c>
    </row>
    <row r="216" spans="1:19" hidden="1" x14ac:dyDescent="0.25">
      <c r="A216" s="5" t="str">
        <f t="shared" si="85"/>
        <v>43895DAX</v>
      </c>
      <c r="B216" s="6" t="s">
        <v>16</v>
      </c>
      <c r="C216" s="6">
        <v>11301</v>
      </c>
      <c r="D216" s="6">
        <v>12469</v>
      </c>
      <c r="E216" s="6">
        <v>12127</v>
      </c>
      <c r="F216" t="str">
        <f t="shared" si="89"/>
        <v>THU</v>
      </c>
      <c r="G216" s="1">
        <f t="shared" si="90"/>
        <v>43895</v>
      </c>
      <c r="H216" s="2">
        <f t="shared" ca="1" si="84"/>
        <v>358</v>
      </c>
      <c r="I216" t="str">
        <f t="shared" si="91"/>
        <v>DAX</v>
      </c>
      <c r="J216">
        <f t="shared" si="92"/>
        <v>11301</v>
      </c>
      <c r="K216">
        <f t="shared" si="93"/>
        <v>12469</v>
      </c>
      <c r="L216">
        <f t="shared" si="94"/>
        <v>11885</v>
      </c>
      <c r="M216">
        <f t="shared" si="95"/>
        <v>584</v>
      </c>
      <c r="N216">
        <f t="shared" si="86"/>
        <v>1168</v>
      </c>
      <c r="O216">
        <f t="shared" si="96"/>
        <v>12127</v>
      </c>
      <c r="P216">
        <f t="shared" si="97"/>
        <v>0.41438356164383561</v>
      </c>
      <c r="Q216" t="str">
        <f t="shared" si="87"/>
        <v>6.81% | 2.82%</v>
      </c>
      <c r="R216" t="str">
        <f t="shared" si="98"/>
        <v>BEARISH</v>
      </c>
      <c r="S216">
        <f t="shared" si="88"/>
        <v>-1</v>
      </c>
    </row>
    <row r="217" spans="1:19" hidden="1" x14ac:dyDescent="0.25">
      <c r="A217" s="5" t="str">
        <f t="shared" si="85"/>
        <v>43895VIX</v>
      </c>
      <c r="B217" s="6" t="s">
        <v>17</v>
      </c>
      <c r="C217" s="6">
        <v>23.05</v>
      </c>
      <c r="D217" s="6">
        <v>45.11</v>
      </c>
      <c r="E217" s="6">
        <v>31.99</v>
      </c>
      <c r="F217" t="str">
        <f t="shared" si="89"/>
        <v>THU</v>
      </c>
      <c r="G217" s="1">
        <f t="shared" si="90"/>
        <v>43895</v>
      </c>
      <c r="H217" s="2">
        <f t="shared" ca="1" si="84"/>
        <v>358</v>
      </c>
      <c r="I217" t="str">
        <f t="shared" si="91"/>
        <v>VIX</v>
      </c>
      <c r="J217">
        <f t="shared" si="92"/>
        <v>23.05</v>
      </c>
      <c r="K217">
        <f t="shared" si="93"/>
        <v>45.11</v>
      </c>
      <c r="L217">
        <f t="shared" si="94"/>
        <v>34.08</v>
      </c>
      <c r="M217">
        <f t="shared" si="95"/>
        <v>11.030000000000014</v>
      </c>
      <c r="N217">
        <f t="shared" si="86"/>
        <v>22.06</v>
      </c>
      <c r="O217">
        <f t="shared" si="96"/>
        <v>31.99</v>
      </c>
      <c r="P217">
        <f t="shared" si="97"/>
        <v>-0.18948322756119648</v>
      </c>
      <c r="Q217" t="str">
        <f t="shared" si="87"/>
        <v>27.95% | 41.01%</v>
      </c>
      <c r="R217" t="str">
        <f t="shared" si="98"/>
        <v>BULLISH</v>
      </c>
      <c r="S217">
        <f t="shared" si="88"/>
        <v>1</v>
      </c>
    </row>
    <row r="218" spans="1:19" hidden="1" x14ac:dyDescent="0.25">
      <c r="A218" s="5" t="str">
        <f t="shared" si="85"/>
        <v>43895USD</v>
      </c>
      <c r="B218" s="6" t="s">
        <v>18</v>
      </c>
      <c r="C218" s="6">
        <v>96.6</v>
      </c>
      <c r="D218" s="6">
        <v>99.9</v>
      </c>
      <c r="E218" s="6">
        <v>97.31</v>
      </c>
      <c r="F218" t="str">
        <f t="shared" si="89"/>
        <v>THU</v>
      </c>
      <c r="G218" s="1">
        <f t="shared" si="90"/>
        <v>43895</v>
      </c>
      <c r="H218" s="2">
        <f t="shared" ca="1" si="84"/>
        <v>358</v>
      </c>
      <c r="I218" t="str">
        <f t="shared" si="91"/>
        <v>USD</v>
      </c>
      <c r="J218">
        <f t="shared" si="92"/>
        <v>96.6</v>
      </c>
      <c r="K218">
        <f t="shared" si="93"/>
        <v>99.9</v>
      </c>
      <c r="L218">
        <f t="shared" si="94"/>
        <v>98.25</v>
      </c>
      <c r="M218">
        <f t="shared" si="95"/>
        <v>1.6500000000000057</v>
      </c>
      <c r="N218">
        <f t="shared" si="86"/>
        <v>3.3000000000000114</v>
      </c>
      <c r="O218">
        <f t="shared" si="96"/>
        <v>97.31</v>
      </c>
      <c r="P218">
        <f t="shared" si="97"/>
        <v>-0.56969696969696637</v>
      </c>
      <c r="Q218" t="str">
        <f t="shared" si="87"/>
        <v>0.73% | 2.66%</v>
      </c>
      <c r="R218" t="str">
        <f t="shared" si="98"/>
        <v>BULLISH</v>
      </c>
      <c r="S218">
        <f t="shared" si="88"/>
        <v>1</v>
      </c>
    </row>
    <row r="219" spans="1:19" hidden="1" x14ac:dyDescent="0.25">
      <c r="A219" s="5" t="str">
        <f t="shared" si="85"/>
        <v>43895EUR/USD</v>
      </c>
      <c r="B219" s="6" t="s">
        <v>19</v>
      </c>
      <c r="C219" s="6">
        <v>1.08</v>
      </c>
      <c r="D219" s="6">
        <v>1.1200000000000001</v>
      </c>
      <c r="E219" s="6">
        <v>1.1100000000000001</v>
      </c>
      <c r="F219" t="str">
        <f t="shared" si="89"/>
        <v>THU</v>
      </c>
      <c r="G219" s="1">
        <f t="shared" si="90"/>
        <v>43895</v>
      </c>
      <c r="H219" s="2">
        <f t="shared" ca="1" si="84"/>
        <v>358</v>
      </c>
      <c r="I219" t="str">
        <f t="shared" si="91"/>
        <v>EUR/USD</v>
      </c>
      <c r="J219">
        <f t="shared" si="92"/>
        <v>1.08</v>
      </c>
      <c r="K219">
        <f t="shared" si="93"/>
        <v>1.1200000000000001</v>
      </c>
      <c r="L219">
        <f t="shared" si="94"/>
        <v>1.1000000000000001</v>
      </c>
      <c r="M219">
        <f t="shared" si="95"/>
        <v>2.0000000000000018E-2</v>
      </c>
      <c r="N219">
        <f t="shared" si="86"/>
        <v>4.0000000000000036E-2</v>
      </c>
      <c r="O219">
        <f t="shared" si="96"/>
        <v>1.1100000000000001</v>
      </c>
      <c r="P219">
        <f t="shared" si="97"/>
        <v>0.5</v>
      </c>
      <c r="Q219" t="str">
        <f t="shared" si="87"/>
        <v>2.7% | 0.9%</v>
      </c>
      <c r="R219" t="str">
        <f t="shared" si="98"/>
        <v>BEARISH</v>
      </c>
      <c r="S219">
        <f t="shared" si="88"/>
        <v>-1</v>
      </c>
    </row>
    <row r="220" spans="1:19" hidden="1" x14ac:dyDescent="0.25">
      <c r="A220" s="5" t="str">
        <f t="shared" si="85"/>
        <v>43895USD/JPY</v>
      </c>
      <c r="B220" s="6" t="s">
        <v>20</v>
      </c>
      <c r="C220" s="6">
        <v>106.28</v>
      </c>
      <c r="D220" s="6">
        <v>109.53</v>
      </c>
      <c r="E220" s="6">
        <v>107.5</v>
      </c>
      <c r="F220" t="str">
        <f t="shared" si="89"/>
        <v>THU</v>
      </c>
      <c r="G220" s="1">
        <f t="shared" si="90"/>
        <v>43895</v>
      </c>
      <c r="H220" s="2">
        <f t="shared" ca="1" si="84"/>
        <v>358</v>
      </c>
      <c r="I220" t="str">
        <f t="shared" si="91"/>
        <v>USD/JPY</v>
      </c>
      <c r="J220">
        <f t="shared" si="92"/>
        <v>106.28</v>
      </c>
      <c r="K220">
        <f t="shared" si="93"/>
        <v>109.53</v>
      </c>
      <c r="L220">
        <f t="shared" si="94"/>
        <v>107.905</v>
      </c>
      <c r="M220">
        <f t="shared" si="95"/>
        <v>1.625</v>
      </c>
      <c r="N220">
        <f t="shared" si="86"/>
        <v>3.25</v>
      </c>
      <c r="O220">
        <f t="shared" si="96"/>
        <v>107.5</v>
      </c>
      <c r="P220">
        <f t="shared" si="97"/>
        <v>-0.24923076923076992</v>
      </c>
      <c r="Q220" t="str">
        <f t="shared" si="87"/>
        <v>1.13% | 1.89%</v>
      </c>
      <c r="R220" t="str">
        <f t="shared" si="98"/>
        <v>BEARISH</v>
      </c>
      <c r="S220">
        <f t="shared" si="88"/>
        <v>-1</v>
      </c>
    </row>
    <row r="221" spans="1:19" hidden="1" x14ac:dyDescent="0.25">
      <c r="A221" s="5" t="str">
        <f t="shared" si="85"/>
        <v>43895GBP/USD</v>
      </c>
      <c r="B221" s="6" t="s">
        <v>21</v>
      </c>
      <c r="C221" s="6">
        <v>1.27</v>
      </c>
      <c r="D221" s="6">
        <v>1.3</v>
      </c>
      <c r="E221" s="6">
        <v>1.28</v>
      </c>
      <c r="F221" t="str">
        <f t="shared" si="89"/>
        <v>THU</v>
      </c>
      <c r="G221" s="1">
        <f t="shared" si="90"/>
        <v>43895</v>
      </c>
      <c r="H221" s="2">
        <f t="shared" ca="1" si="84"/>
        <v>358</v>
      </c>
      <c r="I221" t="str">
        <f t="shared" si="91"/>
        <v>GBP/USD</v>
      </c>
      <c r="J221">
        <f t="shared" si="92"/>
        <v>1.27</v>
      </c>
      <c r="K221">
        <f t="shared" si="93"/>
        <v>1.3</v>
      </c>
      <c r="L221">
        <f t="shared" si="94"/>
        <v>1.2850000000000001</v>
      </c>
      <c r="M221">
        <f t="shared" si="95"/>
        <v>1.5000000000000013E-2</v>
      </c>
      <c r="N221">
        <f t="shared" si="86"/>
        <v>3.0000000000000027E-2</v>
      </c>
      <c r="O221">
        <f t="shared" si="96"/>
        <v>1.28</v>
      </c>
      <c r="P221">
        <f t="shared" si="97"/>
        <v>-0.33333333333334075</v>
      </c>
      <c r="Q221" t="str">
        <f t="shared" si="87"/>
        <v>0.78% | 1.56%</v>
      </c>
      <c r="R221" t="str">
        <f t="shared" si="98"/>
        <v>BEARISH</v>
      </c>
      <c r="S221">
        <f t="shared" si="88"/>
        <v>-1</v>
      </c>
    </row>
    <row r="222" spans="1:19" hidden="1" x14ac:dyDescent="0.25">
      <c r="A222" s="5" t="str">
        <f t="shared" si="85"/>
        <v>43895USD/CHF</v>
      </c>
      <c r="B222" s="6" t="s">
        <v>76</v>
      </c>
      <c r="C222" s="6">
        <v>0.95</v>
      </c>
      <c r="D222" s="6">
        <v>0.97</v>
      </c>
      <c r="E222" s="6">
        <v>0.95</v>
      </c>
      <c r="F222" t="str">
        <f t="shared" si="89"/>
        <v>THU</v>
      </c>
      <c r="G222" s="1">
        <f t="shared" si="90"/>
        <v>43895</v>
      </c>
      <c r="H222" s="2">
        <f t="shared" ca="1" si="84"/>
        <v>358</v>
      </c>
      <c r="I222" t="str">
        <f t="shared" si="91"/>
        <v>USD/CHF</v>
      </c>
      <c r="J222">
        <f t="shared" si="92"/>
        <v>0.95</v>
      </c>
      <c r="K222">
        <f t="shared" si="93"/>
        <v>0.97</v>
      </c>
      <c r="L222">
        <f t="shared" si="94"/>
        <v>0.96</v>
      </c>
      <c r="M222">
        <f t="shared" si="95"/>
        <v>1.0000000000000009E-2</v>
      </c>
      <c r="N222">
        <f t="shared" si="86"/>
        <v>2.0000000000000018E-2</v>
      </c>
      <c r="O222">
        <f t="shared" si="96"/>
        <v>0.95</v>
      </c>
      <c r="P222">
        <f t="shared" si="97"/>
        <v>-1</v>
      </c>
      <c r="Q222" t="str">
        <f t="shared" si="87"/>
        <v>0% | 2.11%</v>
      </c>
      <c r="R222" t="str">
        <f t="shared" si="98"/>
        <v>BEARISH</v>
      </c>
      <c r="S222">
        <f t="shared" si="88"/>
        <v>-1</v>
      </c>
    </row>
    <row r="223" spans="1:19" hidden="1" x14ac:dyDescent="0.25">
      <c r="A223" s="5" t="str">
        <f t="shared" si="85"/>
        <v>43895WTIC</v>
      </c>
      <c r="B223" s="6" t="s">
        <v>23</v>
      </c>
      <c r="C223" s="6">
        <v>43.06</v>
      </c>
      <c r="D223" s="6">
        <v>49.44</v>
      </c>
      <c r="E223" s="6">
        <v>46.78</v>
      </c>
      <c r="F223" t="str">
        <f t="shared" si="89"/>
        <v>THU</v>
      </c>
      <c r="G223" s="1">
        <f t="shared" si="90"/>
        <v>43895</v>
      </c>
      <c r="H223" s="2">
        <f t="shared" ca="1" si="84"/>
        <v>358</v>
      </c>
      <c r="I223" t="str">
        <f t="shared" si="91"/>
        <v>WTIC</v>
      </c>
      <c r="J223">
        <f t="shared" si="92"/>
        <v>43.06</v>
      </c>
      <c r="K223">
        <f t="shared" si="93"/>
        <v>49.44</v>
      </c>
      <c r="L223">
        <f t="shared" si="94"/>
        <v>46.25</v>
      </c>
      <c r="M223">
        <f t="shared" si="95"/>
        <v>3.1899999999999977</v>
      </c>
      <c r="N223">
        <f t="shared" si="86"/>
        <v>6.3799999999999955</v>
      </c>
      <c r="O223">
        <f t="shared" si="96"/>
        <v>46.78</v>
      </c>
      <c r="P223">
        <f t="shared" si="97"/>
        <v>0.16614420062695973</v>
      </c>
      <c r="Q223" t="str">
        <f t="shared" si="87"/>
        <v>7.95% | 5.69%</v>
      </c>
      <c r="R223" t="str">
        <f t="shared" si="98"/>
        <v>BEARISH</v>
      </c>
      <c r="S223">
        <f t="shared" si="88"/>
        <v>-1</v>
      </c>
    </row>
    <row r="224" spans="1:19" hidden="1" x14ac:dyDescent="0.25">
      <c r="A224" s="5" t="str">
        <f t="shared" si="85"/>
        <v>43895NATGAS</v>
      </c>
      <c r="B224" s="6" t="s">
        <v>24</v>
      </c>
      <c r="C224" s="6">
        <v>1.64</v>
      </c>
      <c r="D224" s="6">
        <v>1.91</v>
      </c>
      <c r="E224" s="6">
        <v>1.83</v>
      </c>
      <c r="F224" t="str">
        <f t="shared" si="89"/>
        <v>THU</v>
      </c>
      <c r="G224" s="1">
        <f t="shared" si="90"/>
        <v>43895</v>
      </c>
      <c r="H224" s="2">
        <f t="shared" ca="1" si="84"/>
        <v>358</v>
      </c>
      <c r="I224" t="str">
        <f t="shared" si="91"/>
        <v>NATGAS</v>
      </c>
      <c r="J224">
        <f t="shared" si="92"/>
        <v>1.64</v>
      </c>
      <c r="K224">
        <f t="shared" si="93"/>
        <v>1.91</v>
      </c>
      <c r="L224">
        <f t="shared" si="94"/>
        <v>1.7749999999999999</v>
      </c>
      <c r="M224">
        <f t="shared" si="95"/>
        <v>0.13500000000000001</v>
      </c>
      <c r="N224">
        <f t="shared" si="86"/>
        <v>0.27</v>
      </c>
      <c r="O224">
        <f t="shared" si="96"/>
        <v>1.83</v>
      </c>
      <c r="P224">
        <f t="shared" si="97"/>
        <v>0.40740740740740855</v>
      </c>
      <c r="Q224" t="str">
        <f t="shared" si="87"/>
        <v>10.38% | 4.37%</v>
      </c>
      <c r="R224" t="str">
        <f t="shared" si="98"/>
        <v>BEARISH</v>
      </c>
      <c r="S224">
        <f t="shared" si="88"/>
        <v>-1</v>
      </c>
    </row>
    <row r="225" spans="1:19" hidden="1" x14ac:dyDescent="0.25">
      <c r="A225" s="5" t="str">
        <f t="shared" si="85"/>
        <v>43895GOLD</v>
      </c>
      <c r="B225" s="6" t="s">
        <v>25</v>
      </c>
      <c r="C225" s="6">
        <v>1571</v>
      </c>
      <c r="D225" s="6">
        <v>1699</v>
      </c>
      <c r="E225" s="6">
        <v>1643</v>
      </c>
      <c r="F225" t="str">
        <f t="shared" si="89"/>
        <v>THU</v>
      </c>
      <c r="G225" s="1">
        <f t="shared" si="90"/>
        <v>43895</v>
      </c>
      <c r="H225" s="2">
        <f t="shared" ca="1" si="84"/>
        <v>358</v>
      </c>
      <c r="I225" t="str">
        <f t="shared" si="91"/>
        <v>GOLD</v>
      </c>
      <c r="J225">
        <f t="shared" si="92"/>
        <v>1571</v>
      </c>
      <c r="K225">
        <f t="shared" si="93"/>
        <v>1699</v>
      </c>
      <c r="L225">
        <f t="shared" si="94"/>
        <v>1635</v>
      </c>
      <c r="M225">
        <f t="shared" si="95"/>
        <v>64</v>
      </c>
      <c r="N225">
        <f t="shared" si="86"/>
        <v>128</v>
      </c>
      <c r="O225">
        <f t="shared" si="96"/>
        <v>1643</v>
      </c>
      <c r="P225">
        <f t="shared" si="97"/>
        <v>0.125</v>
      </c>
      <c r="Q225" t="str">
        <f t="shared" si="87"/>
        <v>4.38% | 3.41%</v>
      </c>
      <c r="R225" t="str">
        <f t="shared" si="98"/>
        <v>BULLISH</v>
      </c>
      <c r="S225">
        <f t="shared" si="88"/>
        <v>1</v>
      </c>
    </row>
    <row r="226" spans="1:19" hidden="1" x14ac:dyDescent="0.25">
      <c r="A226" s="5" t="str">
        <f t="shared" si="85"/>
        <v>43895COPPER</v>
      </c>
      <c r="B226" s="6" t="s">
        <v>26</v>
      </c>
      <c r="C226" s="6">
        <v>2.5299999999999998</v>
      </c>
      <c r="D226" s="6">
        <v>2.62</v>
      </c>
      <c r="E226" s="6">
        <v>2.58</v>
      </c>
      <c r="F226" t="str">
        <f t="shared" si="89"/>
        <v>THU</v>
      </c>
      <c r="G226" s="1">
        <f t="shared" si="90"/>
        <v>43895</v>
      </c>
      <c r="H226" s="2">
        <f t="shared" ca="1" si="84"/>
        <v>358</v>
      </c>
      <c r="I226" t="str">
        <f t="shared" si="91"/>
        <v>COPPER</v>
      </c>
      <c r="J226">
        <f t="shared" si="92"/>
        <v>2.5299999999999998</v>
      </c>
      <c r="K226">
        <f t="shared" si="93"/>
        <v>2.62</v>
      </c>
      <c r="L226">
        <f t="shared" si="94"/>
        <v>2.5750000000000002</v>
      </c>
      <c r="M226">
        <f t="shared" si="95"/>
        <v>4.5000000000000151E-2</v>
      </c>
      <c r="N226">
        <f t="shared" si="86"/>
        <v>9.0000000000000302E-2</v>
      </c>
      <c r="O226">
        <f t="shared" si="96"/>
        <v>2.58</v>
      </c>
      <c r="P226">
        <f t="shared" si="97"/>
        <v>0.11111111111110837</v>
      </c>
      <c r="Q226" t="str">
        <f t="shared" si="87"/>
        <v>1.94% | 1.55%</v>
      </c>
      <c r="R226" t="str">
        <f t="shared" si="98"/>
        <v>BEARISH</v>
      </c>
      <c r="S226">
        <f t="shared" si="88"/>
        <v>-1</v>
      </c>
    </row>
    <row r="227" spans="1:19" hidden="1" x14ac:dyDescent="0.25">
      <c r="A227" s="5" t="str">
        <f t="shared" si="85"/>
        <v>43895AAPL</v>
      </c>
      <c r="B227" s="6" t="s">
        <v>63</v>
      </c>
      <c r="C227" s="6">
        <v>264.54000000000002</v>
      </c>
      <c r="D227" s="6">
        <v>309.07</v>
      </c>
      <c r="E227" s="6">
        <v>302.74</v>
      </c>
      <c r="F227" t="str">
        <f t="shared" si="89"/>
        <v>THU</v>
      </c>
      <c r="G227" s="1">
        <f t="shared" si="90"/>
        <v>43895</v>
      </c>
      <c r="H227" s="2">
        <f t="shared" ca="1" si="84"/>
        <v>358</v>
      </c>
      <c r="I227" t="str">
        <f t="shared" si="91"/>
        <v>AAPL</v>
      </c>
      <c r="J227">
        <f t="shared" si="92"/>
        <v>264.54000000000002</v>
      </c>
      <c r="K227">
        <f t="shared" si="93"/>
        <v>309.07</v>
      </c>
      <c r="L227">
        <f t="shared" si="94"/>
        <v>286.80500000000001</v>
      </c>
      <c r="M227">
        <f t="shared" si="95"/>
        <v>22.264999999999986</v>
      </c>
      <c r="N227">
        <f t="shared" si="86"/>
        <v>44.529999999999973</v>
      </c>
      <c r="O227">
        <f t="shared" si="96"/>
        <v>302.74</v>
      </c>
      <c r="P227">
        <f t="shared" si="97"/>
        <v>0.71569728273074384</v>
      </c>
      <c r="Q227" t="str">
        <f t="shared" si="87"/>
        <v>12.62% | 2.09%</v>
      </c>
      <c r="R227" t="str">
        <f t="shared" si="98"/>
        <v>NEUTRAL</v>
      </c>
      <c r="S227">
        <f t="shared" si="88"/>
        <v>0</v>
      </c>
    </row>
    <row r="228" spans="1:19" hidden="1" x14ac:dyDescent="0.25">
      <c r="A228" s="5" t="str">
        <f t="shared" si="85"/>
        <v>43895AMZN</v>
      </c>
      <c r="B228" s="6" t="s">
        <v>69</v>
      </c>
      <c r="C228" s="6">
        <v>1826</v>
      </c>
      <c r="D228" s="6">
        <v>2057</v>
      </c>
      <c r="E228" s="6">
        <v>1975</v>
      </c>
      <c r="F228" t="str">
        <f t="shared" si="89"/>
        <v>THU</v>
      </c>
      <c r="G228" s="1">
        <f t="shared" si="90"/>
        <v>43895</v>
      </c>
      <c r="H228" s="2">
        <f t="shared" ca="1" si="84"/>
        <v>358</v>
      </c>
      <c r="I228" t="str">
        <f t="shared" si="91"/>
        <v>AMZN</v>
      </c>
      <c r="J228">
        <f t="shared" si="92"/>
        <v>1826</v>
      </c>
      <c r="K228">
        <f t="shared" si="93"/>
        <v>2057</v>
      </c>
      <c r="L228">
        <f t="shared" si="94"/>
        <v>1941.5</v>
      </c>
      <c r="M228">
        <f t="shared" si="95"/>
        <v>115.5</v>
      </c>
      <c r="N228">
        <f t="shared" si="86"/>
        <v>231</v>
      </c>
      <c r="O228">
        <f t="shared" si="96"/>
        <v>1975</v>
      </c>
      <c r="P228">
        <f t="shared" si="97"/>
        <v>0.29004329004329005</v>
      </c>
      <c r="Q228" t="str">
        <f t="shared" si="87"/>
        <v>7.54% | 4.15%</v>
      </c>
      <c r="R228" t="str">
        <f t="shared" si="98"/>
        <v>NEUTRAL</v>
      </c>
      <c r="S228">
        <f t="shared" si="88"/>
        <v>0</v>
      </c>
    </row>
    <row r="229" spans="1:19" hidden="1" x14ac:dyDescent="0.25">
      <c r="A229" s="5" t="str">
        <f t="shared" si="85"/>
        <v>43895FB</v>
      </c>
      <c r="B229" s="6" t="s">
        <v>58</v>
      </c>
      <c r="C229" s="6">
        <v>179</v>
      </c>
      <c r="D229" s="6">
        <v>197</v>
      </c>
      <c r="E229" s="6">
        <v>191</v>
      </c>
      <c r="F229" t="str">
        <f t="shared" si="89"/>
        <v>THU</v>
      </c>
      <c r="G229" s="1">
        <f t="shared" si="90"/>
        <v>43895</v>
      </c>
      <c r="H229" s="2">
        <f t="shared" ca="1" si="84"/>
        <v>358</v>
      </c>
      <c r="I229" t="str">
        <f t="shared" si="91"/>
        <v>FB</v>
      </c>
      <c r="J229">
        <f t="shared" si="92"/>
        <v>179</v>
      </c>
      <c r="K229">
        <f t="shared" si="93"/>
        <v>197</v>
      </c>
      <c r="L229">
        <f t="shared" si="94"/>
        <v>188</v>
      </c>
      <c r="M229">
        <f t="shared" si="95"/>
        <v>9</v>
      </c>
      <c r="N229">
        <f t="shared" si="86"/>
        <v>18</v>
      </c>
      <c r="O229">
        <f t="shared" si="96"/>
        <v>191</v>
      </c>
      <c r="P229">
        <f t="shared" si="97"/>
        <v>0.33333333333333331</v>
      </c>
      <c r="Q229" t="str">
        <f t="shared" si="87"/>
        <v>6.28% | 3.14%</v>
      </c>
      <c r="R229" t="str">
        <f t="shared" si="98"/>
        <v>BEARISH</v>
      </c>
      <c r="S229">
        <f t="shared" si="88"/>
        <v>-1</v>
      </c>
    </row>
    <row r="230" spans="1:19" hidden="1" x14ac:dyDescent="0.25">
      <c r="A230" s="5" t="str">
        <f t="shared" si="85"/>
        <v>43895GOOGL</v>
      </c>
      <c r="B230" s="6" t="s">
        <v>66</v>
      </c>
      <c r="C230" s="6">
        <v>1277</v>
      </c>
      <c r="D230" s="6">
        <v>1424</v>
      </c>
      <c r="E230" s="6">
        <v>1381</v>
      </c>
      <c r="F230" t="str">
        <f t="shared" si="89"/>
        <v>THU</v>
      </c>
      <c r="G230" s="1">
        <f t="shared" si="90"/>
        <v>43895</v>
      </c>
      <c r="H230" s="2">
        <f t="shared" ca="1" si="84"/>
        <v>358</v>
      </c>
      <c r="I230" t="str">
        <f t="shared" si="91"/>
        <v>GOOGL</v>
      </c>
      <c r="J230">
        <f t="shared" si="92"/>
        <v>1277</v>
      </c>
      <c r="K230">
        <f t="shared" si="93"/>
        <v>1424</v>
      </c>
      <c r="L230">
        <f t="shared" si="94"/>
        <v>1350.5</v>
      </c>
      <c r="M230">
        <f t="shared" si="95"/>
        <v>73.5</v>
      </c>
      <c r="N230">
        <f t="shared" si="86"/>
        <v>147</v>
      </c>
      <c r="O230">
        <f t="shared" si="96"/>
        <v>1381</v>
      </c>
      <c r="P230">
        <f t="shared" si="97"/>
        <v>0.41496598639455784</v>
      </c>
      <c r="Q230" t="str">
        <f t="shared" si="87"/>
        <v>7.53% | 3.11%</v>
      </c>
      <c r="R230" t="str">
        <f t="shared" si="98"/>
        <v>BEARISH</v>
      </c>
      <c r="S230">
        <f t="shared" si="88"/>
        <v>-1</v>
      </c>
    </row>
    <row r="231" spans="1:19" hidden="1" x14ac:dyDescent="0.25">
      <c r="A231" s="5" t="str">
        <f t="shared" si="85"/>
        <v>43895NFLX</v>
      </c>
      <c r="B231" s="6" t="s">
        <v>70</v>
      </c>
      <c r="C231" s="6">
        <v>356</v>
      </c>
      <c r="D231" s="6">
        <v>390</v>
      </c>
      <c r="E231" s="6">
        <v>383</v>
      </c>
      <c r="F231" t="str">
        <f t="shared" si="89"/>
        <v>THU</v>
      </c>
      <c r="G231" s="1">
        <f t="shared" si="90"/>
        <v>43895</v>
      </c>
      <c r="H231" s="2">
        <f t="shared" ca="1" si="84"/>
        <v>358</v>
      </c>
      <c r="I231" t="str">
        <f t="shared" si="91"/>
        <v>NFLX</v>
      </c>
      <c r="J231">
        <f t="shared" si="92"/>
        <v>356</v>
      </c>
      <c r="K231">
        <f t="shared" si="93"/>
        <v>390</v>
      </c>
      <c r="L231">
        <f t="shared" si="94"/>
        <v>373</v>
      </c>
      <c r="M231">
        <f t="shared" si="95"/>
        <v>17</v>
      </c>
      <c r="N231">
        <f t="shared" si="86"/>
        <v>34</v>
      </c>
      <c r="O231">
        <f t="shared" si="96"/>
        <v>383</v>
      </c>
      <c r="P231">
        <f t="shared" si="97"/>
        <v>0.58823529411764708</v>
      </c>
      <c r="Q231" t="str">
        <f t="shared" si="87"/>
        <v>7.05% | 1.83%</v>
      </c>
      <c r="R231" t="str">
        <f t="shared" si="98"/>
        <v>NEUTRAL</v>
      </c>
      <c r="S231">
        <f t="shared" si="88"/>
        <v>0</v>
      </c>
    </row>
    <row r="232" spans="1:19" x14ac:dyDescent="0.25">
      <c r="A232" s="5" t="str">
        <f t="shared" si="85"/>
        <v>43895TSLA</v>
      </c>
      <c r="B232" s="6" t="s">
        <v>71</v>
      </c>
      <c r="C232" s="6">
        <v>623</v>
      </c>
      <c r="D232" s="6">
        <v>801</v>
      </c>
      <c r="E232" s="6">
        <v>749</v>
      </c>
      <c r="F232" t="str">
        <f t="shared" si="89"/>
        <v>THU</v>
      </c>
      <c r="G232" s="1">
        <f t="shared" si="90"/>
        <v>43895</v>
      </c>
      <c r="H232" s="2">
        <f t="shared" ca="1" si="84"/>
        <v>358</v>
      </c>
      <c r="I232" t="str">
        <f t="shared" si="91"/>
        <v>TSLA</v>
      </c>
      <c r="J232">
        <f t="shared" si="92"/>
        <v>623</v>
      </c>
      <c r="K232">
        <f t="shared" si="93"/>
        <v>801</v>
      </c>
      <c r="L232">
        <f t="shared" si="94"/>
        <v>712</v>
      </c>
      <c r="M232">
        <f t="shared" si="95"/>
        <v>89</v>
      </c>
      <c r="N232">
        <f t="shared" si="86"/>
        <v>178</v>
      </c>
      <c r="O232">
        <f t="shared" si="96"/>
        <v>749</v>
      </c>
      <c r="P232">
        <f t="shared" si="97"/>
        <v>0.4157303370786517</v>
      </c>
      <c r="Q232" t="str">
        <f t="shared" si="87"/>
        <v>16.82% | 6.94%</v>
      </c>
      <c r="R232" t="str">
        <f t="shared" si="98"/>
        <v>NEUTRAL</v>
      </c>
      <c r="S232">
        <f t="shared" si="88"/>
        <v>0</v>
      </c>
    </row>
    <row r="233" spans="1:19" hidden="1" x14ac:dyDescent="0.25">
      <c r="A233" s="5" t="str">
        <f t="shared" si="85"/>
        <v>43895NYXBT</v>
      </c>
      <c r="B233" s="6" t="s">
        <v>74</v>
      </c>
      <c r="C233" s="6">
        <v>8164</v>
      </c>
      <c r="D233" s="6">
        <v>9265</v>
      </c>
      <c r="E233" s="6">
        <v>8725</v>
      </c>
      <c r="F233" t="str">
        <f t="shared" si="89"/>
        <v>THU</v>
      </c>
      <c r="G233" s="1">
        <f t="shared" si="90"/>
        <v>43895</v>
      </c>
      <c r="H233" s="2">
        <f t="shared" ca="1" si="84"/>
        <v>358</v>
      </c>
      <c r="I233" t="str">
        <f t="shared" si="91"/>
        <v>NYXBT</v>
      </c>
      <c r="J233">
        <f t="shared" si="92"/>
        <v>8164</v>
      </c>
      <c r="K233">
        <f t="shared" si="93"/>
        <v>9265</v>
      </c>
      <c r="L233">
        <f t="shared" si="94"/>
        <v>8714.5</v>
      </c>
      <c r="M233">
        <f t="shared" si="95"/>
        <v>550.5</v>
      </c>
      <c r="N233">
        <f t="shared" si="86"/>
        <v>1101</v>
      </c>
      <c r="O233">
        <f t="shared" si="96"/>
        <v>8725</v>
      </c>
      <c r="P233">
        <f t="shared" si="97"/>
        <v>1.9073569482288829E-2</v>
      </c>
      <c r="Q233" t="str">
        <f t="shared" si="87"/>
        <v>6.43% | 6.19%</v>
      </c>
      <c r="R233" t="str">
        <f t="shared" si="98"/>
        <v>BEARISH</v>
      </c>
      <c r="S233">
        <f t="shared" si="88"/>
        <v>-1</v>
      </c>
    </row>
    <row r="234" spans="1:19" hidden="1" x14ac:dyDescent="0.25">
      <c r="A234" s="5" t="str">
        <f t="shared" si="85"/>
        <v>43896UST10Y</v>
      </c>
      <c r="B234" s="6" t="s">
        <v>4</v>
      </c>
      <c r="C234" s="6">
        <v>1.17</v>
      </c>
      <c r="D234" s="6">
        <v>0.69</v>
      </c>
      <c r="E234" s="6">
        <v>0.92</v>
      </c>
      <c r="F234" t="str">
        <f t="shared" si="89"/>
        <v>FRI</v>
      </c>
      <c r="G234" s="3">
        <f>DATE(2020,3,6)</f>
        <v>43896</v>
      </c>
      <c r="H234" s="2">
        <f t="shared" ca="1" si="84"/>
        <v>357</v>
      </c>
      <c r="I234" t="str">
        <f t="shared" si="91"/>
        <v>UST10Y</v>
      </c>
      <c r="J234">
        <f t="shared" si="92"/>
        <v>1.17</v>
      </c>
      <c r="K234">
        <f t="shared" si="93"/>
        <v>0.69</v>
      </c>
      <c r="L234">
        <f t="shared" si="94"/>
        <v>0.92999999999999994</v>
      </c>
      <c r="M234">
        <f t="shared" si="95"/>
        <v>0.23999999999999996</v>
      </c>
      <c r="N234">
        <f t="shared" si="86"/>
        <v>0.48</v>
      </c>
      <c r="O234">
        <f t="shared" si="96"/>
        <v>0.92</v>
      </c>
      <c r="P234">
        <f t="shared" si="97"/>
        <v>-4.1666666666666248E-2</v>
      </c>
      <c r="Q234" t="str">
        <f t="shared" si="87"/>
        <v>27.17% | 25%</v>
      </c>
      <c r="R234" t="str">
        <f t="shared" si="98"/>
        <v>BEARISH</v>
      </c>
      <c r="S234">
        <f t="shared" si="88"/>
        <v>-1</v>
      </c>
    </row>
    <row r="235" spans="1:19" hidden="1" x14ac:dyDescent="0.25">
      <c r="A235" s="5" t="str">
        <f t="shared" si="85"/>
        <v>43896UST2Y</v>
      </c>
      <c r="B235" s="6" t="s">
        <v>5</v>
      </c>
      <c r="C235" s="6">
        <v>0.91</v>
      </c>
      <c r="D235" s="6">
        <v>0.41</v>
      </c>
      <c r="E235" s="6">
        <v>0.59</v>
      </c>
      <c r="F235" t="str">
        <f t="shared" ref="F235:F263" si="99">UPPER(TEXT(G235,"ddd"))</f>
        <v>FRI</v>
      </c>
      <c r="G235" s="3">
        <f t="shared" ref="G235:G262" si="100">DATE(2020,3,6)</f>
        <v>43896</v>
      </c>
      <c r="H235" s="2">
        <f t="shared" ca="1" si="84"/>
        <v>357</v>
      </c>
      <c r="I235" t="str">
        <f t="shared" ref="I235:I263" si="101">TRIM(LEFT(B235,FIND(" ",B235,1)))</f>
        <v>UST2Y</v>
      </c>
      <c r="J235">
        <f t="shared" ref="J235:J263" si="102">C235</f>
        <v>0.91</v>
      </c>
      <c r="K235">
        <f t="shared" ref="K235:K263" si="103">D235</f>
        <v>0.41</v>
      </c>
      <c r="L235">
        <f t="shared" ref="L235:L263" si="104">AVERAGE(J235:K235)</f>
        <v>0.66</v>
      </c>
      <c r="M235">
        <f t="shared" ref="M235:M263" si="105">_xlfn.STDEV.P(J235:K235)</f>
        <v>0.24999999999999989</v>
      </c>
      <c r="N235">
        <f t="shared" si="86"/>
        <v>0.5</v>
      </c>
      <c r="O235">
        <f t="shared" ref="O235:O263" si="106">E235</f>
        <v>0.59</v>
      </c>
      <c r="P235">
        <f t="shared" ref="P235:P263" si="107">(O235-L235)/M235</f>
        <v>-0.28000000000000036</v>
      </c>
      <c r="Q235" t="str">
        <f t="shared" si="87"/>
        <v>54.24% | 30.51%</v>
      </c>
      <c r="R235" t="str">
        <f t="shared" ref="R235:R263" si="108">MID(B235,FIND("(",B235,1)+1,FIND(")",B235,1)-FIND("(",B235,1)-1)</f>
        <v>BEARISH</v>
      </c>
      <c r="S235">
        <f t="shared" si="88"/>
        <v>-1</v>
      </c>
    </row>
    <row r="236" spans="1:19" hidden="1" x14ac:dyDescent="0.25">
      <c r="A236" s="5" t="str">
        <f t="shared" si="85"/>
        <v>43896SPX</v>
      </c>
      <c r="B236" s="6" t="s">
        <v>6</v>
      </c>
      <c r="C236" s="6">
        <v>2886</v>
      </c>
      <c r="D236" s="6">
        <v>3082</v>
      </c>
      <c r="E236" s="6">
        <v>3023</v>
      </c>
      <c r="F236" t="str">
        <f t="shared" si="99"/>
        <v>FRI</v>
      </c>
      <c r="G236" s="3">
        <f t="shared" si="100"/>
        <v>43896</v>
      </c>
      <c r="H236" s="2">
        <f t="shared" ca="1" si="84"/>
        <v>357</v>
      </c>
      <c r="I236" t="str">
        <f t="shared" si="101"/>
        <v>SPX</v>
      </c>
      <c r="J236">
        <f t="shared" si="102"/>
        <v>2886</v>
      </c>
      <c r="K236">
        <f t="shared" si="103"/>
        <v>3082</v>
      </c>
      <c r="L236">
        <f t="shared" si="104"/>
        <v>2984</v>
      </c>
      <c r="M236">
        <f t="shared" si="105"/>
        <v>98</v>
      </c>
      <c r="N236">
        <f t="shared" si="86"/>
        <v>196</v>
      </c>
      <c r="O236">
        <f t="shared" si="106"/>
        <v>3023</v>
      </c>
      <c r="P236">
        <f t="shared" si="107"/>
        <v>0.39795918367346939</v>
      </c>
      <c r="Q236" t="str">
        <f t="shared" si="87"/>
        <v>4.53% | 1.95%</v>
      </c>
      <c r="R236" t="str">
        <f t="shared" si="108"/>
        <v>BEARISH</v>
      </c>
      <c r="S236">
        <f t="shared" si="88"/>
        <v>-1</v>
      </c>
    </row>
    <row r="237" spans="1:19" hidden="1" x14ac:dyDescent="0.25">
      <c r="A237" s="5" t="str">
        <f t="shared" si="85"/>
        <v>43896RUT</v>
      </c>
      <c r="B237" s="6" t="s">
        <v>7</v>
      </c>
      <c r="C237" s="6">
        <v>1455</v>
      </c>
      <c r="D237" s="6">
        <v>1510</v>
      </c>
      <c r="E237" s="6">
        <v>1478</v>
      </c>
      <c r="F237" t="str">
        <f t="shared" si="99"/>
        <v>FRI</v>
      </c>
      <c r="G237" s="3">
        <f t="shared" si="100"/>
        <v>43896</v>
      </c>
      <c r="H237" s="2">
        <f t="shared" ca="1" si="84"/>
        <v>357</v>
      </c>
      <c r="I237" t="str">
        <f t="shared" si="101"/>
        <v>RUT</v>
      </c>
      <c r="J237">
        <f t="shared" si="102"/>
        <v>1455</v>
      </c>
      <c r="K237">
        <f t="shared" si="103"/>
        <v>1510</v>
      </c>
      <c r="L237">
        <f t="shared" si="104"/>
        <v>1482.5</v>
      </c>
      <c r="M237">
        <f t="shared" si="105"/>
        <v>27.5</v>
      </c>
      <c r="N237">
        <f t="shared" si="86"/>
        <v>55</v>
      </c>
      <c r="O237">
        <f t="shared" si="106"/>
        <v>1478</v>
      </c>
      <c r="P237">
        <f t="shared" si="107"/>
        <v>-0.16363636363636364</v>
      </c>
      <c r="Q237" t="str">
        <f t="shared" si="87"/>
        <v>1.56% | 2.17%</v>
      </c>
      <c r="R237" t="str">
        <f t="shared" si="108"/>
        <v>BEARISH</v>
      </c>
      <c r="S237">
        <f t="shared" si="88"/>
        <v>-1</v>
      </c>
    </row>
    <row r="238" spans="1:19" hidden="1" x14ac:dyDescent="0.25">
      <c r="A238" s="5" t="str">
        <f t="shared" si="85"/>
        <v>43896COMPQ</v>
      </c>
      <c r="B238" s="6" t="s">
        <v>64</v>
      </c>
      <c r="C238" s="6">
        <v>8409</v>
      </c>
      <c r="D238" s="6">
        <v>9154</v>
      </c>
      <c r="E238" s="6">
        <v>8738</v>
      </c>
      <c r="F238" t="str">
        <f t="shared" si="99"/>
        <v>FRI</v>
      </c>
      <c r="G238" s="3">
        <f t="shared" si="100"/>
        <v>43896</v>
      </c>
      <c r="H238" s="2">
        <f t="shared" ca="1" si="84"/>
        <v>357</v>
      </c>
      <c r="I238" t="str">
        <f t="shared" si="101"/>
        <v>COMPQ</v>
      </c>
      <c r="J238">
        <f t="shared" si="102"/>
        <v>8409</v>
      </c>
      <c r="K238">
        <f t="shared" si="103"/>
        <v>9154</v>
      </c>
      <c r="L238">
        <f t="shared" si="104"/>
        <v>8781.5</v>
      </c>
      <c r="M238">
        <f t="shared" si="105"/>
        <v>372.5</v>
      </c>
      <c r="N238">
        <f t="shared" si="86"/>
        <v>745</v>
      </c>
      <c r="O238">
        <f t="shared" si="106"/>
        <v>8738</v>
      </c>
      <c r="P238">
        <f t="shared" si="107"/>
        <v>-0.11677852348993288</v>
      </c>
      <c r="Q238" t="str">
        <f t="shared" si="87"/>
        <v>3.77% | 4.76%</v>
      </c>
      <c r="R238" t="str">
        <f t="shared" si="108"/>
        <v>BEARISH</v>
      </c>
      <c r="S238">
        <f t="shared" si="88"/>
        <v>-1</v>
      </c>
    </row>
    <row r="239" spans="1:19" hidden="1" x14ac:dyDescent="0.25">
      <c r="A239" s="5" t="str">
        <f t="shared" si="85"/>
        <v>43896XLU</v>
      </c>
      <c r="B239" s="6" t="s">
        <v>52</v>
      </c>
      <c r="C239" s="6">
        <v>61.75</v>
      </c>
      <c r="D239" s="6">
        <v>70.989999999999995</v>
      </c>
      <c r="E239" s="6">
        <v>67.66</v>
      </c>
      <c r="F239" t="str">
        <f t="shared" si="99"/>
        <v>FRI</v>
      </c>
      <c r="G239" s="3">
        <f t="shared" si="100"/>
        <v>43896</v>
      </c>
      <c r="H239" s="2">
        <f t="shared" ca="1" si="84"/>
        <v>357</v>
      </c>
      <c r="I239" t="str">
        <f t="shared" si="101"/>
        <v>XLU</v>
      </c>
      <c r="J239">
        <f t="shared" si="102"/>
        <v>61.75</v>
      </c>
      <c r="K239">
        <f t="shared" si="103"/>
        <v>70.989999999999995</v>
      </c>
      <c r="L239">
        <f t="shared" si="104"/>
        <v>66.37</v>
      </c>
      <c r="M239">
        <f t="shared" si="105"/>
        <v>4.6199999999999974</v>
      </c>
      <c r="N239">
        <f t="shared" si="86"/>
        <v>9.2399999999999949</v>
      </c>
      <c r="O239">
        <f t="shared" si="106"/>
        <v>67.66</v>
      </c>
      <c r="P239">
        <f t="shared" si="107"/>
        <v>0.27922077922077765</v>
      </c>
      <c r="Q239" t="str">
        <f t="shared" si="87"/>
        <v>8.73% | 4.92%</v>
      </c>
      <c r="R239" t="str">
        <f t="shared" si="108"/>
        <v>BULLISH</v>
      </c>
      <c r="S239">
        <f t="shared" si="88"/>
        <v>1</v>
      </c>
    </row>
    <row r="240" spans="1:19" hidden="1" x14ac:dyDescent="0.25">
      <c r="A240" s="5" t="str">
        <f t="shared" si="85"/>
        <v>43896VNQ</v>
      </c>
      <c r="B240" s="6" t="s">
        <v>75</v>
      </c>
      <c r="C240" s="6">
        <v>85.9</v>
      </c>
      <c r="D240" s="6">
        <v>98.11</v>
      </c>
      <c r="E240" s="6">
        <v>92.26</v>
      </c>
      <c r="F240" t="str">
        <f t="shared" si="99"/>
        <v>FRI</v>
      </c>
      <c r="G240" s="3">
        <f t="shared" si="100"/>
        <v>43896</v>
      </c>
      <c r="H240" s="2">
        <f t="shared" ca="1" si="84"/>
        <v>357</v>
      </c>
      <c r="I240" t="str">
        <f t="shared" si="101"/>
        <v>VNQ</v>
      </c>
      <c r="J240">
        <f t="shared" si="102"/>
        <v>85.9</v>
      </c>
      <c r="K240">
        <f t="shared" si="103"/>
        <v>98.11</v>
      </c>
      <c r="L240">
        <f t="shared" si="104"/>
        <v>92.004999999999995</v>
      </c>
      <c r="M240">
        <f t="shared" si="105"/>
        <v>6.1049999999999969</v>
      </c>
      <c r="N240">
        <f t="shared" si="86"/>
        <v>12.209999999999994</v>
      </c>
      <c r="O240">
        <f t="shared" si="106"/>
        <v>92.26</v>
      </c>
      <c r="P240">
        <f t="shared" si="107"/>
        <v>4.176904176904337E-2</v>
      </c>
      <c r="Q240" t="str">
        <f t="shared" si="87"/>
        <v>6.89% | 6.34%</v>
      </c>
      <c r="R240" t="str">
        <f t="shared" si="108"/>
        <v>NEUTRAL</v>
      </c>
      <c r="S240">
        <f t="shared" si="88"/>
        <v>0</v>
      </c>
    </row>
    <row r="241" spans="1:19" hidden="1" x14ac:dyDescent="0.25">
      <c r="A241" s="5" t="str">
        <f t="shared" si="85"/>
        <v>43896XLP</v>
      </c>
      <c r="B241" s="6" t="s">
        <v>50</v>
      </c>
      <c r="C241" s="6">
        <v>57.75</v>
      </c>
      <c r="D241" s="6">
        <v>64.23</v>
      </c>
      <c r="E241" s="6">
        <v>62.03</v>
      </c>
      <c r="F241" t="str">
        <f t="shared" si="99"/>
        <v>FRI</v>
      </c>
      <c r="G241" s="3">
        <f t="shared" si="100"/>
        <v>43896</v>
      </c>
      <c r="H241" s="2">
        <f t="shared" ca="1" si="84"/>
        <v>357</v>
      </c>
      <c r="I241" t="str">
        <f t="shared" si="101"/>
        <v>XLP</v>
      </c>
      <c r="J241">
        <f t="shared" si="102"/>
        <v>57.75</v>
      </c>
      <c r="K241">
        <f t="shared" si="103"/>
        <v>64.23</v>
      </c>
      <c r="L241">
        <f t="shared" si="104"/>
        <v>60.99</v>
      </c>
      <c r="M241">
        <f t="shared" si="105"/>
        <v>3.240000000000002</v>
      </c>
      <c r="N241">
        <f t="shared" si="86"/>
        <v>6.480000000000004</v>
      </c>
      <c r="O241">
        <f t="shared" si="106"/>
        <v>62.03</v>
      </c>
      <c r="P241">
        <f t="shared" si="107"/>
        <v>0.32098765432098719</v>
      </c>
      <c r="Q241" t="str">
        <f t="shared" si="87"/>
        <v>6.9% | 3.55%</v>
      </c>
      <c r="R241" t="str">
        <f t="shared" si="108"/>
        <v>NEUTRAL</v>
      </c>
      <c r="S241">
        <f t="shared" si="88"/>
        <v>0</v>
      </c>
    </row>
    <row r="242" spans="1:19" hidden="1" x14ac:dyDescent="0.25">
      <c r="A242" s="5" t="str">
        <f t="shared" si="85"/>
        <v>43896XLK</v>
      </c>
      <c r="B242" s="6" t="s">
        <v>65</v>
      </c>
      <c r="C242" s="6">
        <v>85.05</v>
      </c>
      <c r="D242" s="6">
        <v>95.17</v>
      </c>
      <c r="E242" s="6">
        <v>90.83</v>
      </c>
      <c r="F242" t="str">
        <f t="shared" si="99"/>
        <v>FRI</v>
      </c>
      <c r="G242" s="3">
        <f t="shared" si="100"/>
        <v>43896</v>
      </c>
      <c r="H242" s="2">
        <f t="shared" ca="1" si="84"/>
        <v>357</v>
      </c>
      <c r="I242" t="str">
        <f t="shared" si="101"/>
        <v>XLK</v>
      </c>
      <c r="J242">
        <f t="shared" si="102"/>
        <v>85.05</v>
      </c>
      <c r="K242">
        <f t="shared" si="103"/>
        <v>95.17</v>
      </c>
      <c r="L242">
        <f t="shared" si="104"/>
        <v>90.11</v>
      </c>
      <c r="M242">
        <f t="shared" si="105"/>
        <v>5.0600000000000023</v>
      </c>
      <c r="N242">
        <f t="shared" si="86"/>
        <v>10.120000000000005</v>
      </c>
      <c r="O242">
        <f t="shared" si="106"/>
        <v>90.83</v>
      </c>
      <c r="P242">
        <f t="shared" si="107"/>
        <v>0.14229249011857678</v>
      </c>
      <c r="Q242" t="str">
        <f t="shared" si="87"/>
        <v>6.36% | 4.78%</v>
      </c>
      <c r="R242" t="str">
        <f t="shared" si="108"/>
        <v>BEARISH</v>
      </c>
      <c r="S242">
        <f t="shared" si="88"/>
        <v>-1</v>
      </c>
    </row>
    <row r="243" spans="1:19" hidden="1" x14ac:dyDescent="0.25">
      <c r="A243" s="5" t="str">
        <f t="shared" si="85"/>
        <v>43896SSEC</v>
      </c>
      <c r="B243" s="6" t="s">
        <v>55</v>
      </c>
      <c r="C243" s="6">
        <v>2890</v>
      </c>
      <c r="D243" s="6">
        <v>3090</v>
      </c>
      <c r="E243" s="6">
        <v>3034</v>
      </c>
      <c r="F243" t="str">
        <f t="shared" si="99"/>
        <v>FRI</v>
      </c>
      <c r="G243" s="3">
        <f t="shared" si="100"/>
        <v>43896</v>
      </c>
      <c r="H243" s="2">
        <f t="shared" ca="1" si="84"/>
        <v>357</v>
      </c>
      <c r="I243" t="str">
        <f t="shared" si="101"/>
        <v>SSEC</v>
      </c>
      <c r="J243">
        <f t="shared" si="102"/>
        <v>2890</v>
      </c>
      <c r="K243">
        <f t="shared" si="103"/>
        <v>3090</v>
      </c>
      <c r="L243">
        <f t="shared" si="104"/>
        <v>2990</v>
      </c>
      <c r="M243">
        <f t="shared" si="105"/>
        <v>100</v>
      </c>
      <c r="N243">
        <f t="shared" si="86"/>
        <v>200</v>
      </c>
      <c r="O243">
        <f t="shared" si="106"/>
        <v>3034</v>
      </c>
      <c r="P243">
        <f t="shared" si="107"/>
        <v>0.44</v>
      </c>
      <c r="Q243" t="str">
        <f t="shared" si="87"/>
        <v>4.75% | 1.85%</v>
      </c>
      <c r="R243" t="str">
        <f t="shared" si="108"/>
        <v>NEUTRAL</v>
      </c>
      <c r="S243">
        <f t="shared" si="88"/>
        <v>0</v>
      </c>
    </row>
    <row r="244" spans="1:19" hidden="1" x14ac:dyDescent="0.25">
      <c r="A244" s="5" t="str">
        <f t="shared" si="85"/>
        <v>43896NIKK</v>
      </c>
      <c r="B244" s="6" t="s">
        <v>15</v>
      </c>
      <c r="C244" s="6">
        <v>20203</v>
      </c>
      <c r="D244" s="6">
        <v>21803</v>
      </c>
      <c r="E244" s="6">
        <v>20749</v>
      </c>
      <c r="F244" t="str">
        <f t="shared" si="99"/>
        <v>FRI</v>
      </c>
      <c r="G244" s="3">
        <f t="shared" si="100"/>
        <v>43896</v>
      </c>
      <c r="H244" s="2">
        <f t="shared" ca="1" si="84"/>
        <v>357</v>
      </c>
      <c r="I244" t="str">
        <f t="shared" si="101"/>
        <v>NIKK</v>
      </c>
      <c r="J244">
        <f t="shared" si="102"/>
        <v>20203</v>
      </c>
      <c r="K244">
        <f t="shared" si="103"/>
        <v>21803</v>
      </c>
      <c r="L244">
        <f t="shared" si="104"/>
        <v>21003</v>
      </c>
      <c r="M244">
        <f t="shared" si="105"/>
        <v>800</v>
      </c>
      <c r="N244">
        <f t="shared" si="86"/>
        <v>1600</v>
      </c>
      <c r="O244">
        <f t="shared" si="106"/>
        <v>20749</v>
      </c>
      <c r="P244">
        <f t="shared" si="107"/>
        <v>-0.3175</v>
      </c>
      <c r="Q244" t="str">
        <f t="shared" si="87"/>
        <v>2.63% | 5.08%</v>
      </c>
      <c r="R244" t="str">
        <f t="shared" si="108"/>
        <v>BEARISH</v>
      </c>
      <c r="S244">
        <f t="shared" si="88"/>
        <v>-1</v>
      </c>
    </row>
    <row r="245" spans="1:19" hidden="1" x14ac:dyDescent="0.25">
      <c r="A245" s="5" t="str">
        <f t="shared" si="85"/>
        <v>43896DAX</v>
      </c>
      <c r="B245" s="6" t="s">
        <v>16</v>
      </c>
      <c r="C245" s="6">
        <v>11407</v>
      </c>
      <c r="D245" s="6">
        <v>12318</v>
      </c>
      <c r="E245" s="6">
        <v>11944</v>
      </c>
      <c r="F245" t="str">
        <f t="shared" si="99"/>
        <v>FRI</v>
      </c>
      <c r="G245" s="3">
        <f t="shared" si="100"/>
        <v>43896</v>
      </c>
      <c r="H245" s="2">
        <f t="shared" ca="1" si="84"/>
        <v>357</v>
      </c>
      <c r="I245" t="str">
        <f t="shared" si="101"/>
        <v>DAX</v>
      </c>
      <c r="J245">
        <f t="shared" si="102"/>
        <v>11407</v>
      </c>
      <c r="K245">
        <f t="shared" si="103"/>
        <v>12318</v>
      </c>
      <c r="L245">
        <f t="shared" si="104"/>
        <v>11862.5</v>
      </c>
      <c r="M245">
        <f t="shared" si="105"/>
        <v>455.5</v>
      </c>
      <c r="N245">
        <f t="shared" si="86"/>
        <v>911</v>
      </c>
      <c r="O245">
        <f t="shared" si="106"/>
        <v>11944</v>
      </c>
      <c r="P245">
        <f t="shared" si="107"/>
        <v>0.17892425905598244</v>
      </c>
      <c r="Q245" t="str">
        <f t="shared" si="87"/>
        <v>4.5% | 3.13%</v>
      </c>
      <c r="R245" t="str">
        <f t="shared" si="108"/>
        <v>BEARISH</v>
      </c>
      <c r="S245">
        <f t="shared" si="88"/>
        <v>-1</v>
      </c>
    </row>
    <row r="246" spans="1:19" hidden="1" x14ac:dyDescent="0.25">
      <c r="A246" s="5" t="str">
        <f t="shared" si="85"/>
        <v>43896VIX</v>
      </c>
      <c r="B246" s="6" t="s">
        <v>17</v>
      </c>
      <c r="C246" s="6">
        <v>24.36</v>
      </c>
      <c r="D246" s="6">
        <v>46.37</v>
      </c>
      <c r="E246" s="6">
        <v>39.619999999999997</v>
      </c>
      <c r="F246" t="str">
        <f t="shared" si="99"/>
        <v>FRI</v>
      </c>
      <c r="G246" s="3">
        <f t="shared" si="100"/>
        <v>43896</v>
      </c>
      <c r="H246" s="2">
        <f t="shared" ca="1" si="84"/>
        <v>357</v>
      </c>
      <c r="I246" t="str">
        <f t="shared" si="101"/>
        <v>VIX</v>
      </c>
      <c r="J246">
        <f t="shared" si="102"/>
        <v>24.36</v>
      </c>
      <c r="K246">
        <f t="shared" si="103"/>
        <v>46.37</v>
      </c>
      <c r="L246">
        <f t="shared" si="104"/>
        <v>35.364999999999995</v>
      </c>
      <c r="M246">
        <f t="shared" si="105"/>
        <v>11.005000000000019</v>
      </c>
      <c r="N246">
        <f t="shared" si="86"/>
        <v>22.009999999999998</v>
      </c>
      <c r="O246">
        <f t="shared" si="106"/>
        <v>39.619999999999997</v>
      </c>
      <c r="P246">
        <f t="shared" si="107"/>
        <v>0.38664243525670106</v>
      </c>
      <c r="Q246" t="str">
        <f t="shared" si="87"/>
        <v>38.52% | 17.04%</v>
      </c>
      <c r="R246" t="str">
        <f t="shared" si="108"/>
        <v>BULLISH</v>
      </c>
      <c r="S246">
        <f t="shared" si="88"/>
        <v>1</v>
      </c>
    </row>
    <row r="247" spans="1:19" hidden="1" x14ac:dyDescent="0.25">
      <c r="A247" s="5" t="str">
        <f t="shared" si="85"/>
        <v>43896USD</v>
      </c>
      <c r="B247" s="6" t="s">
        <v>18</v>
      </c>
      <c r="C247" s="6">
        <v>96.09</v>
      </c>
      <c r="D247" s="6">
        <v>99.65</v>
      </c>
      <c r="E247" s="6">
        <v>96.79</v>
      </c>
      <c r="F247" t="str">
        <f t="shared" si="99"/>
        <v>FRI</v>
      </c>
      <c r="G247" s="3">
        <f t="shared" si="100"/>
        <v>43896</v>
      </c>
      <c r="H247" s="2">
        <f t="shared" ca="1" si="84"/>
        <v>357</v>
      </c>
      <c r="I247" t="str">
        <f t="shared" si="101"/>
        <v>USD</v>
      </c>
      <c r="J247">
        <f t="shared" si="102"/>
        <v>96.09</v>
      </c>
      <c r="K247">
        <f t="shared" si="103"/>
        <v>99.65</v>
      </c>
      <c r="L247">
        <f t="shared" si="104"/>
        <v>97.87</v>
      </c>
      <c r="M247">
        <f t="shared" si="105"/>
        <v>1.7800000000000011</v>
      </c>
      <c r="N247">
        <f t="shared" si="86"/>
        <v>3.5600000000000023</v>
      </c>
      <c r="O247">
        <f t="shared" si="106"/>
        <v>96.79</v>
      </c>
      <c r="P247">
        <f t="shared" si="107"/>
        <v>-0.60674157303370657</v>
      </c>
      <c r="Q247" t="str">
        <f t="shared" si="87"/>
        <v>0.72% | 2.95%</v>
      </c>
      <c r="R247" t="str">
        <f t="shared" si="108"/>
        <v>BULLISH</v>
      </c>
      <c r="S247">
        <f t="shared" si="88"/>
        <v>1</v>
      </c>
    </row>
    <row r="248" spans="1:19" hidden="1" x14ac:dyDescent="0.25">
      <c r="A248" s="5" t="str">
        <f t="shared" si="85"/>
        <v>43896EUR/USD</v>
      </c>
      <c r="B248" s="6" t="s">
        <v>77</v>
      </c>
      <c r="C248" s="6">
        <v>1.08</v>
      </c>
      <c r="D248" s="6">
        <v>1.1299999999999999</v>
      </c>
      <c r="E248" s="6">
        <v>1.1200000000000001</v>
      </c>
      <c r="F248" t="str">
        <f t="shared" si="99"/>
        <v>FRI</v>
      </c>
      <c r="G248" s="3">
        <f t="shared" si="100"/>
        <v>43896</v>
      </c>
      <c r="H248" s="2">
        <f t="shared" ca="1" si="84"/>
        <v>357</v>
      </c>
      <c r="I248" t="str">
        <f t="shared" si="101"/>
        <v>EUR/USD</v>
      </c>
      <c r="J248">
        <f t="shared" si="102"/>
        <v>1.08</v>
      </c>
      <c r="K248">
        <f t="shared" si="103"/>
        <v>1.1299999999999999</v>
      </c>
      <c r="L248">
        <f t="shared" si="104"/>
        <v>1.105</v>
      </c>
      <c r="M248">
        <f t="shared" si="105"/>
        <v>2.4999999999999911E-2</v>
      </c>
      <c r="N248">
        <f t="shared" si="86"/>
        <v>4.9999999999999822E-2</v>
      </c>
      <c r="O248">
        <f t="shared" si="106"/>
        <v>1.1200000000000001</v>
      </c>
      <c r="P248">
        <f t="shared" si="107"/>
        <v>0.60000000000000708</v>
      </c>
      <c r="Q248" t="str">
        <f t="shared" si="87"/>
        <v>3.57% | 0.89%</v>
      </c>
      <c r="R248" t="str">
        <f t="shared" si="108"/>
        <v>NEUTRAL</v>
      </c>
      <c r="S248">
        <f t="shared" si="88"/>
        <v>0</v>
      </c>
    </row>
    <row r="249" spans="1:19" hidden="1" x14ac:dyDescent="0.25">
      <c r="A249" s="5" t="str">
        <f t="shared" si="85"/>
        <v>43896USD/JPY</v>
      </c>
      <c r="B249" s="6" t="s">
        <v>20</v>
      </c>
      <c r="C249" s="6">
        <v>105.04</v>
      </c>
      <c r="D249" s="6">
        <v>109.19</v>
      </c>
      <c r="E249" s="6">
        <v>106.09</v>
      </c>
      <c r="F249" t="str">
        <f t="shared" si="99"/>
        <v>FRI</v>
      </c>
      <c r="G249" s="3">
        <f t="shared" si="100"/>
        <v>43896</v>
      </c>
      <c r="H249" s="2">
        <f t="shared" ca="1" si="84"/>
        <v>357</v>
      </c>
      <c r="I249" t="str">
        <f t="shared" si="101"/>
        <v>USD/JPY</v>
      </c>
      <c r="J249">
        <f t="shared" si="102"/>
        <v>105.04</v>
      </c>
      <c r="K249">
        <f t="shared" si="103"/>
        <v>109.19</v>
      </c>
      <c r="L249">
        <f t="shared" si="104"/>
        <v>107.11500000000001</v>
      </c>
      <c r="M249">
        <f t="shared" si="105"/>
        <v>2.0749999999999957</v>
      </c>
      <c r="N249">
        <f t="shared" si="86"/>
        <v>4.1499999999999915</v>
      </c>
      <c r="O249">
        <f t="shared" si="106"/>
        <v>106.09</v>
      </c>
      <c r="P249">
        <f t="shared" si="107"/>
        <v>-0.49397590361446159</v>
      </c>
      <c r="Q249" t="str">
        <f t="shared" si="87"/>
        <v>0.99% | 2.92%</v>
      </c>
      <c r="R249" t="str">
        <f t="shared" si="108"/>
        <v>BEARISH</v>
      </c>
      <c r="S249">
        <f t="shared" si="88"/>
        <v>-1</v>
      </c>
    </row>
    <row r="250" spans="1:19" hidden="1" x14ac:dyDescent="0.25">
      <c r="A250" s="5" t="str">
        <f t="shared" si="85"/>
        <v>43896GBP/USD</v>
      </c>
      <c r="B250" s="6" t="s">
        <v>21</v>
      </c>
      <c r="C250" s="6">
        <v>1.27</v>
      </c>
      <c r="D250" s="6">
        <v>1.3</v>
      </c>
      <c r="E250" s="6">
        <v>1.29</v>
      </c>
      <c r="F250" t="str">
        <f t="shared" si="99"/>
        <v>FRI</v>
      </c>
      <c r="G250" s="3">
        <f t="shared" si="100"/>
        <v>43896</v>
      </c>
      <c r="H250" s="2">
        <f t="shared" ca="1" si="84"/>
        <v>357</v>
      </c>
      <c r="I250" t="str">
        <f t="shared" si="101"/>
        <v>GBP/USD</v>
      </c>
      <c r="J250">
        <f t="shared" si="102"/>
        <v>1.27</v>
      </c>
      <c r="K250">
        <f t="shared" si="103"/>
        <v>1.3</v>
      </c>
      <c r="L250">
        <f t="shared" si="104"/>
        <v>1.2850000000000001</v>
      </c>
      <c r="M250">
        <f t="shared" si="105"/>
        <v>1.5000000000000013E-2</v>
      </c>
      <c r="N250">
        <f t="shared" si="86"/>
        <v>3.0000000000000027E-2</v>
      </c>
      <c r="O250">
        <f t="shared" si="106"/>
        <v>1.29</v>
      </c>
      <c r="P250">
        <f t="shared" si="107"/>
        <v>0.33333333333332593</v>
      </c>
      <c r="Q250" t="str">
        <f t="shared" si="87"/>
        <v>1.55% | 0.78%</v>
      </c>
      <c r="R250" t="str">
        <f t="shared" si="108"/>
        <v>BEARISH</v>
      </c>
      <c r="S250">
        <f t="shared" si="88"/>
        <v>-1</v>
      </c>
    </row>
    <row r="251" spans="1:19" hidden="1" x14ac:dyDescent="0.25">
      <c r="A251" s="5" t="str">
        <f t="shared" si="85"/>
        <v>43896USD/CHF</v>
      </c>
      <c r="B251" s="6" t="s">
        <v>76</v>
      </c>
      <c r="C251" s="6">
        <v>0.93</v>
      </c>
      <c r="D251" s="6">
        <v>0.97</v>
      </c>
      <c r="E251" s="6">
        <v>0.94</v>
      </c>
      <c r="F251" t="str">
        <f t="shared" si="99"/>
        <v>FRI</v>
      </c>
      <c r="G251" s="3">
        <f t="shared" si="100"/>
        <v>43896</v>
      </c>
      <c r="H251" s="2">
        <f t="shared" ca="1" si="84"/>
        <v>357</v>
      </c>
      <c r="I251" t="str">
        <f t="shared" si="101"/>
        <v>USD/CHF</v>
      </c>
      <c r="J251">
        <f t="shared" si="102"/>
        <v>0.93</v>
      </c>
      <c r="K251">
        <f t="shared" si="103"/>
        <v>0.97</v>
      </c>
      <c r="L251">
        <f t="shared" si="104"/>
        <v>0.95</v>
      </c>
      <c r="M251">
        <f t="shared" si="105"/>
        <v>1.9999999999999962E-2</v>
      </c>
      <c r="N251">
        <f t="shared" si="86"/>
        <v>3.9999999999999925E-2</v>
      </c>
      <c r="O251">
        <f t="shared" si="106"/>
        <v>0.94</v>
      </c>
      <c r="P251">
        <f t="shared" si="107"/>
        <v>-0.50000000000000144</v>
      </c>
      <c r="Q251" t="str">
        <f t="shared" si="87"/>
        <v>1.06% | 3.19%</v>
      </c>
      <c r="R251" t="str">
        <f t="shared" si="108"/>
        <v>BEARISH</v>
      </c>
      <c r="S251">
        <f t="shared" si="88"/>
        <v>-1</v>
      </c>
    </row>
    <row r="252" spans="1:19" hidden="1" x14ac:dyDescent="0.25">
      <c r="A252" s="5" t="str">
        <f t="shared" si="85"/>
        <v>43896WTIC</v>
      </c>
      <c r="B252" s="6" t="s">
        <v>23</v>
      </c>
      <c r="C252" s="6">
        <v>43.02</v>
      </c>
      <c r="D252" s="6">
        <v>47.71</v>
      </c>
      <c r="E252" s="6">
        <v>45.9</v>
      </c>
      <c r="F252" t="str">
        <f t="shared" si="99"/>
        <v>FRI</v>
      </c>
      <c r="G252" s="3">
        <f t="shared" si="100"/>
        <v>43896</v>
      </c>
      <c r="H252" s="2">
        <f t="shared" ca="1" si="84"/>
        <v>357</v>
      </c>
      <c r="I252" t="str">
        <f t="shared" si="101"/>
        <v>WTIC</v>
      </c>
      <c r="J252">
        <f t="shared" si="102"/>
        <v>43.02</v>
      </c>
      <c r="K252">
        <f t="shared" si="103"/>
        <v>47.71</v>
      </c>
      <c r="L252">
        <f t="shared" si="104"/>
        <v>45.365000000000002</v>
      </c>
      <c r="M252">
        <f t="shared" si="105"/>
        <v>2.3449999999999989</v>
      </c>
      <c r="N252">
        <f t="shared" si="86"/>
        <v>4.6899999999999977</v>
      </c>
      <c r="O252">
        <f t="shared" si="106"/>
        <v>45.9</v>
      </c>
      <c r="P252">
        <f t="shared" si="107"/>
        <v>0.22814498933901783</v>
      </c>
      <c r="Q252" t="str">
        <f t="shared" si="87"/>
        <v>6.27% | 3.94%</v>
      </c>
      <c r="R252" t="str">
        <f t="shared" si="108"/>
        <v>BEARISH</v>
      </c>
      <c r="S252">
        <f t="shared" si="88"/>
        <v>-1</v>
      </c>
    </row>
    <row r="253" spans="1:19" hidden="1" x14ac:dyDescent="0.25">
      <c r="A253" s="5" t="str">
        <f t="shared" si="85"/>
        <v>43896NATGAS</v>
      </c>
      <c r="B253" s="6" t="s">
        <v>24</v>
      </c>
      <c r="C253" s="6">
        <v>1.61</v>
      </c>
      <c r="D253" s="6">
        <v>1.9</v>
      </c>
      <c r="E253" s="6">
        <v>1.77</v>
      </c>
      <c r="F253" t="str">
        <f t="shared" si="99"/>
        <v>FRI</v>
      </c>
      <c r="G253" s="3">
        <f t="shared" si="100"/>
        <v>43896</v>
      </c>
      <c r="H253" s="2">
        <f t="shared" ca="1" si="84"/>
        <v>357</v>
      </c>
      <c r="I253" t="str">
        <f t="shared" si="101"/>
        <v>NATGAS</v>
      </c>
      <c r="J253">
        <f t="shared" si="102"/>
        <v>1.61</v>
      </c>
      <c r="K253">
        <f t="shared" si="103"/>
        <v>1.9</v>
      </c>
      <c r="L253">
        <f t="shared" si="104"/>
        <v>1.7549999999999999</v>
      </c>
      <c r="M253">
        <f t="shared" si="105"/>
        <v>0.14499999999999991</v>
      </c>
      <c r="N253">
        <f t="shared" si="86"/>
        <v>0.28999999999999981</v>
      </c>
      <c r="O253">
        <f t="shared" si="106"/>
        <v>1.77</v>
      </c>
      <c r="P253">
        <f t="shared" si="107"/>
        <v>0.10344827586206989</v>
      </c>
      <c r="Q253" t="str">
        <f t="shared" si="87"/>
        <v>9.04% | 7.34%</v>
      </c>
      <c r="R253" t="str">
        <f t="shared" si="108"/>
        <v>BEARISH</v>
      </c>
      <c r="S253">
        <f t="shared" si="88"/>
        <v>-1</v>
      </c>
    </row>
    <row r="254" spans="1:19" hidden="1" x14ac:dyDescent="0.25">
      <c r="A254" s="5" t="str">
        <f t="shared" si="85"/>
        <v>43896GOLD</v>
      </c>
      <c r="B254" s="6" t="s">
        <v>25</v>
      </c>
      <c r="C254" s="6">
        <v>1606</v>
      </c>
      <c r="D254" s="6">
        <v>1704</v>
      </c>
      <c r="E254" s="6">
        <v>1668</v>
      </c>
      <c r="F254" t="str">
        <f t="shared" si="99"/>
        <v>FRI</v>
      </c>
      <c r="G254" s="3">
        <f t="shared" si="100"/>
        <v>43896</v>
      </c>
      <c r="H254" s="2">
        <f t="shared" ca="1" si="84"/>
        <v>357</v>
      </c>
      <c r="I254" t="str">
        <f t="shared" si="101"/>
        <v>GOLD</v>
      </c>
      <c r="J254">
        <f t="shared" si="102"/>
        <v>1606</v>
      </c>
      <c r="K254">
        <f t="shared" si="103"/>
        <v>1704</v>
      </c>
      <c r="L254">
        <f t="shared" si="104"/>
        <v>1655</v>
      </c>
      <c r="M254">
        <f t="shared" si="105"/>
        <v>49</v>
      </c>
      <c r="N254">
        <f t="shared" si="86"/>
        <v>98</v>
      </c>
      <c r="O254">
        <f t="shared" si="106"/>
        <v>1668</v>
      </c>
      <c r="P254">
        <f t="shared" si="107"/>
        <v>0.26530612244897961</v>
      </c>
      <c r="Q254" t="str">
        <f t="shared" si="87"/>
        <v>3.72% | 2.16%</v>
      </c>
      <c r="R254" t="str">
        <f t="shared" si="108"/>
        <v>BULLISH</v>
      </c>
      <c r="S254">
        <f t="shared" si="88"/>
        <v>1</v>
      </c>
    </row>
    <row r="255" spans="1:19" hidden="1" x14ac:dyDescent="0.25">
      <c r="A255" s="5" t="str">
        <f t="shared" si="85"/>
        <v>43896COPPER</v>
      </c>
      <c r="B255" s="6" t="s">
        <v>26</v>
      </c>
      <c r="C255" s="6">
        <v>2.5</v>
      </c>
      <c r="D255" s="6">
        <v>2.6</v>
      </c>
      <c r="E255" s="6">
        <v>2.57</v>
      </c>
      <c r="F255" t="str">
        <f t="shared" si="99"/>
        <v>FRI</v>
      </c>
      <c r="G255" s="3">
        <f t="shared" si="100"/>
        <v>43896</v>
      </c>
      <c r="H255" s="2">
        <f t="shared" ca="1" si="84"/>
        <v>357</v>
      </c>
      <c r="I255" t="str">
        <f t="shared" si="101"/>
        <v>COPPER</v>
      </c>
      <c r="J255">
        <f t="shared" si="102"/>
        <v>2.5</v>
      </c>
      <c r="K255">
        <f t="shared" si="103"/>
        <v>2.6</v>
      </c>
      <c r="L255">
        <f t="shared" si="104"/>
        <v>2.5499999999999998</v>
      </c>
      <c r="M255">
        <f t="shared" si="105"/>
        <v>5.0000000000000044E-2</v>
      </c>
      <c r="N255">
        <f t="shared" si="86"/>
        <v>0.10000000000000009</v>
      </c>
      <c r="O255">
        <f t="shared" si="106"/>
        <v>2.57</v>
      </c>
      <c r="P255">
        <f t="shared" si="107"/>
        <v>0.4</v>
      </c>
      <c r="Q255" t="str">
        <f t="shared" si="87"/>
        <v>2.72% | 1.17%</v>
      </c>
      <c r="R255" t="str">
        <f t="shared" si="108"/>
        <v>BEARISH</v>
      </c>
      <c r="S255">
        <f t="shared" si="88"/>
        <v>-1</v>
      </c>
    </row>
    <row r="256" spans="1:19" hidden="1" x14ac:dyDescent="0.25">
      <c r="A256" s="5" t="str">
        <f t="shared" si="85"/>
        <v>43896AAPL</v>
      </c>
      <c r="B256" s="6" t="s">
        <v>63</v>
      </c>
      <c r="C256" s="6">
        <v>268.5</v>
      </c>
      <c r="D256" s="6">
        <v>304.12</v>
      </c>
      <c r="E256" s="6">
        <v>292.92</v>
      </c>
      <c r="F256" t="str">
        <f t="shared" si="99"/>
        <v>FRI</v>
      </c>
      <c r="G256" s="3">
        <f t="shared" si="100"/>
        <v>43896</v>
      </c>
      <c r="H256" s="2">
        <f t="shared" ca="1" si="84"/>
        <v>357</v>
      </c>
      <c r="I256" t="str">
        <f t="shared" si="101"/>
        <v>AAPL</v>
      </c>
      <c r="J256">
        <f t="shared" si="102"/>
        <v>268.5</v>
      </c>
      <c r="K256">
        <f t="shared" si="103"/>
        <v>304.12</v>
      </c>
      <c r="L256">
        <f t="shared" si="104"/>
        <v>286.31</v>
      </c>
      <c r="M256">
        <f t="shared" si="105"/>
        <v>17.810000000000002</v>
      </c>
      <c r="N256">
        <f t="shared" si="86"/>
        <v>35.620000000000005</v>
      </c>
      <c r="O256">
        <f t="shared" si="106"/>
        <v>292.92</v>
      </c>
      <c r="P256">
        <f t="shared" si="107"/>
        <v>0.37113980909601418</v>
      </c>
      <c r="Q256" t="str">
        <f t="shared" si="87"/>
        <v>8.34% | 3.82%</v>
      </c>
      <c r="R256" t="str">
        <f t="shared" si="108"/>
        <v>NEUTRAL</v>
      </c>
      <c r="S256">
        <f t="shared" si="88"/>
        <v>0</v>
      </c>
    </row>
    <row r="257" spans="1:19" hidden="1" x14ac:dyDescent="0.25">
      <c r="A257" s="5" t="str">
        <f t="shared" si="85"/>
        <v>43896AMZN</v>
      </c>
      <c r="B257" s="6" t="s">
        <v>73</v>
      </c>
      <c r="C257" s="6">
        <v>1826</v>
      </c>
      <c r="D257" s="6">
        <v>2027</v>
      </c>
      <c r="E257" s="6">
        <v>1924</v>
      </c>
      <c r="F257" t="str">
        <f t="shared" si="99"/>
        <v>FRI</v>
      </c>
      <c r="G257" s="3">
        <f t="shared" si="100"/>
        <v>43896</v>
      </c>
      <c r="H257" s="2">
        <f t="shared" ca="1" si="84"/>
        <v>357</v>
      </c>
      <c r="I257" t="str">
        <f t="shared" si="101"/>
        <v>AMZN</v>
      </c>
      <c r="J257">
        <f t="shared" si="102"/>
        <v>1826</v>
      </c>
      <c r="K257">
        <f t="shared" si="103"/>
        <v>2027</v>
      </c>
      <c r="L257">
        <f t="shared" si="104"/>
        <v>1926.5</v>
      </c>
      <c r="M257">
        <f t="shared" si="105"/>
        <v>100.5</v>
      </c>
      <c r="N257">
        <f t="shared" si="86"/>
        <v>201</v>
      </c>
      <c r="O257">
        <f t="shared" si="106"/>
        <v>1924</v>
      </c>
      <c r="P257">
        <f t="shared" si="107"/>
        <v>-2.4875621890547265E-2</v>
      </c>
      <c r="Q257" t="str">
        <f t="shared" si="87"/>
        <v>5.09% | 5.35%</v>
      </c>
      <c r="R257" t="str">
        <f t="shared" si="108"/>
        <v>BEARISH</v>
      </c>
      <c r="S257">
        <f t="shared" si="88"/>
        <v>-1</v>
      </c>
    </row>
    <row r="258" spans="1:19" hidden="1" x14ac:dyDescent="0.25">
      <c r="A258" s="5" t="str">
        <f t="shared" si="85"/>
        <v>43896FB</v>
      </c>
      <c r="B258" s="6" t="s">
        <v>58</v>
      </c>
      <c r="C258" s="6">
        <v>179</v>
      </c>
      <c r="D258" s="6">
        <v>194</v>
      </c>
      <c r="E258" s="6">
        <v>185</v>
      </c>
      <c r="F258" t="str">
        <f t="shared" si="99"/>
        <v>FRI</v>
      </c>
      <c r="G258" s="3">
        <f t="shared" si="100"/>
        <v>43896</v>
      </c>
      <c r="H258" s="2">
        <f t="shared" ref="H258:H263" ca="1" si="109">TODAY()-G258</f>
        <v>357</v>
      </c>
      <c r="I258" t="str">
        <f t="shared" si="101"/>
        <v>FB</v>
      </c>
      <c r="J258">
        <f t="shared" si="102"/>
        <v>179</v>
      </c>
      <c r="K258">
        <f t="shared" si="103"/>
        <v>194</v>
      </c>
      <c r="L258">
        <f t="shared" si="104"/>
        <v>186.5</v>
      </c>
      <c r="M258">
        <f t="shared" si="105"/>
        <v>7.5</v>
      </c>
      <c r="N258">
        <f t="shared" si="86"/>
        <v>15</v>
      </c>
      <c r="O258">
        <f t="shared" si="106"/>
        <v>185</v>
      </c>
      <c r="P258">
        <f t="shared" si="107"/>
        <v>-0.2</v>
      </c>
      <c r="Q258" t="str">
        <f t="shared" si="87"/>
        <v>3.24% | 4.86%</v>
      </c>
      <c r="R258" t="str">
        <f t="shared" si="108"/>
        <v>BEARISH</v>
      </c>
      <c r="S258">
        <f t="shared" si="88"/>
        <v>-1</v>
      </c>
    </row>
    <row r="259" spans="1:19" hidden="1" x14ac:dyDescent="0.25">
      <c r="A259" s="5" t="str">
        <f t="shared" ref="A259:A322" si="110">G259&amp;I259</f>
        <v>43896GOOGL</v>
      </c>
      <c r="B259" s="6" t="s">
        <v>66</v>
      </c>
      <c r="C259" s="6">
        <v>1272</v>
      </c>
      <c r="D259" s="6">
        <v>1386</v>
      </c>
      <c r="E259" s="6">
        <v>1314</v>
      </c>
      <c r="F259" t="str">
        <f t="shared" si="99"/>
        <v>FRI</v>
      </c>
      <c r="G259" s="3">
        <f t="shared" si="100"/>
        <v>43896</v>
      </c>
      <c r="H259" s="2">
        <f t="shared" ca="1" si="109"/>
        <v>357</v>
      </c>
      <c r="I259" t="str">
        <f t="shared" si="101"/>
        <v>GOOGL</v>
      </c>
      <c r="J259">
        <f t="shared" si="102"/>
        <v>1272</v>
      </c>
      <c r="K259">
        <f t="shared" si="103"/>
        <v>1386</v>
      </c>
      <c r="L259">
        <f t="shared" si="104"/>
        <v>1329</v>
      </c>
      <c r="M259">
        <f t="shared" si="105"/>
        <v>57</v>
      </c>
      <c r="N259">
        <f t="shared" ref="N259:N322" si="111">ABS(K259-J259)</f>
        <v>114</v>
      </c>
      <c r="O259">
        <f t="shared" si="106"/>
        <v>1314</v>
      </c>
      <c r="P259">
        <f t="shared" si="107"/>
        <v>-0.26315789473684209</v>
      </c>
      <c r="Q259" t="str">
        <f t="shared" ref="Q259:Q322" si="112">ROUND(ABS(100*(O259-J259)/O259),2)&amp;"% | "&amp;ROUND(ABS(100*(K259-O259)/O259),2)&amp;"%"</f>
        <v>3.2% | 5.48%</v>
      </c>
      <c r="R259" t="str">
        <f t="shared" si="108"/>
        <v>BEARISH</v>
      </c>
      <c r="S259">
        <f t="shared" ref="S259:S322" si="113">IF(R259="BEARISH",-1,IF(R259="NEUTRAL",0,IF(R259="BULLISH",1,99)))</f>
        <v>-1</v>
      </c>
    </row>
    <row r="260" spans="1:19" hidden="1" x14ac:dyDescent="0.25">
      <c r="A260" s="5" t="str">
        <f t="shared" si="110"/>
        <v>43896NFLX</v>
      </c>
      <c r="B260" s="6" t="s">
        <v>70</v>
      </c>
      <c r="C260" s="6">
        <v>352</v>
      </c>
      <c r="D260" s="6">
        <v>386</v>
      </c>
      <c r="E260" s="6">
        <v>372</v>
      </c>
      <c r="F260" t="str">
        <f t="shared" si="99"/>
        <v>FRI</v>
      </c>
      <c r="G260" s="3">
        <f t="shared" si="100"/>
        <v>43896</v>
      </c>
      <c r="H260" s="2">
        <f t="shared" ca="1" si="109"/>
        <v>357</v>
      </c>
      <c r="I260" t="str">
        <f t="shared" si="101"/>
        <v>NFLX</v>
      </c>
      <c r="J260">
        <f t="shared" si="102"/>
        <v>352</v>
      </c>
      <c r="K260">
        <f t="shared" si="103"/>
        <v>386</v>
      </c>
      <c r="L260">
        <f t="shared" si="104"/>
        <v>369</v>
      </c>
      <c r="M260">
        <f t="shared" si="105"/>
        <v>17</v>
      </c>
      <c r="N260">
        <f t="shared" si="111"/>
        <v>34</v>
      </c>
      <c r="O260">
        <f t="shared" si="106"/>
        <v>372</v>
      </c>
      <c r="P260">
        <f t="shared" si="107"/>
        <v>0.17647058823529413</v>
      </c>
      <c r="Q260" t="str">
        <f t="shared" si="112"/>
        <v>5.38% | 3.76%</v>
      </c>
      <c r="R260" t="str">
        <f t="shared" si="108"/>
        <v>NEUTRAL</v>
      </c>
      <c r="S260">
        <f t="shared" si="113"/>
        <v>0</v>
      </c>
    </row>
    <row r="261" spans="1:19" x14ac:dyDescent="0.25">
      <c r="A261" s="5" t="str">
        <f t="shared" si="110"/>
        <v>43896TSLA</v>
      </c>
      <c r="B261" s="6" t="s">
        <v>71</v>
      </c>
      <c r="C261" s="6">
        <v>626</v>
      </c>
      <c r="D261" s="6">
        <v>801</v>
      </c>
      <c r="E261" s="6">
        <v>724</v>
      </c>
      <c r="F261" t="str">
        <f t="shared" si="99"/>
        <v>FRI</v>
      </c>
      <c r="G261" s="3">
        <f t="shared" si="100"/>
        <v>43896</v>
      </c>
      <c r="H261" s="2">
        <f t="shared" ca="1" si="109"/>
        <v>357</v>
      </c>
      <c r="I261" t="str">
        <f t="shared" si="101"/>
        <v>TSLA</v>
      </c>
      <c r="J261">
        <f t="shared" si="102"/>
        <v>626</v>
      </c>
      <c r="K261">
        <f t="shared" si="103"/>
        <v>801</v>
      </c>
      <c r="L261">
        <f t="shared" si="104"/>
        <v>713.5</v>
      </c>
      <c r="M261">
        <f t="shared" si="105"/>
        <v>87.5</v>
      </c>
      <c r="N261">
        <f t="shared" si="111"/>
        <v>175</v>
      </c>
      <c r="O261">
        <f t="shared" si="106"/>
        <v>724</v>
      </c>
      <c r="P261">
        <f t="shared" si="107"/>
        <v>0.12</v>
      </c>
      <c r="Q261" t="str">
        <f t="shared" si="112"/>
        <v>13.54% | 10.64%</v>
      </c>
      <c r="R261" t="str">
        <f t="shared" si="108"/>
        <v>NEUTRAL</v>
      </c>
      <c r="S261">
        <f t="shared" si="113"/>
        <v>0</v>
      </c>
    </row>
    <row r="262" spans="1:19" hidden="1" x14ac:dyDescent="0.25">
      <c r="A262" s="5" t="str">
        <f t="shared" si="110"/>
        <v>43896NYXBT</v>
      </c>
      <c r="B262" s="6" t="s">
        <v>74</v>
      </c>
      <c r="C262" s="6">
        <v>8308</v>
      </c>
      <c r="D262" s="6">
        <v>9187</v>
      </c>
      <c r="E262" s="6">
        <v>9068</v>
      </c>
      <c r="F262" t="str">
        <f t="shared" si="99"/>
        <v>FRI</v>
      </c>
      <c r="G262" s="3">
        <f t="shared" si="100"/>
        <v>43896</v>
      </c>
      <c r="H262" s="2">
        <f t="shared" ca="1" si="109"/>
        <v>357</v>
      </c>
      <c r="I262" t="str">
        <f t="shared" si="101"/>
        <v>NYXBT</v>
      </c>
      <c r="J262">
        <f t="shared" si="102"/>
        <v>8308</v>
      </c>
      <c r="K262">
        <f t="shared" si="103"/>
        <v>9187</v>
      </c>
      <c r="L262">
        <f t="shared" si="104"/>
        <v>8747.5</v>
      </c>
      <c r="M262">
        <f t="shared" si="105"/>
        <v>439.5</v>
      </c>
      <c r="N262">
        <f t="shared" si="111"/>
        <v>879</v>
      </c>
      <c r="O262">
        <f t="shared" si="106"/>
        <v>9068</v>
      </c>
      <c r="P262">
        <f t="shared" si="107"/>
        <v>0.72923777019340164</v>
      </c>
      <c r="Q262" t="str">
        <f t="shared" si="112"/>
        <v>8.38% | 1.31%</v>
      </c>
      <c r="R262" t="str">
        <f t="shared" si="108"/>
        <v>BEARISH</v>
      </c>
      <c r="S262">
        <f t="shared" si="113"/>
        <v>-1</v>
      </c>
    </row>
    <row r="263" spans="1:19" hidden="1" x14ac:dyDescent="0.25">
      <c r="A263" s="5" t="str">
        <f t="shared" si="110"/>
        <v>43899UST10Y</v>
      </c>
      <c r="B263" s="6" t="s">
        <v>4</v>
      </c>
      <c r="C263" s="6">
        <v>1.1000000000000001</v>
      </c>
      <c r="D263" s="6">
        <v>0.49</v>
      </c>
      <c r="E263" s="6">
        <v>0.74</v>
      </c>
      <c r="F263" t="str">
        <f t="shared" si="99"/>
        <v>MON</v>
      </c>
      <c r="G263" s="1">
        <f>DATE(2020,3,9)</f>
        <v>43899</v>
      </c>
      <c r="H263" s="2">
        <f t="shared" ca="1" si="109"/>
        <v>354</v>
      </c>
      <c r="I263" t="str">
        <f t="shared" si="101"/>
        <v>UST10Y</v>
      </c>
      <c r="J263">
        <f t="shared" si="102"/>
        <v>1.1000000000000001</v>
      </c>
      <c r="K263">
        <f t="shared" si="103"/>
        <v>0.49</v>
      </c>
      <c r="L263">
        <f t="shared" si="104"/>
        <v>0.79500000000000004</v>
      </c>
      <c r="M263">
        <f t="shared" si="105"/>
        <v>0.30500000000000005</v>
      </c>
      <c r="N263">
        <f t="shared" si="111"/>
        <v>0.6100000000000001</v>
      </c>
      <c r="O263">
        <f t="shared" si="106"/>
        <v>0.74</v>
      </c>
      <c r="P263">
        <f t="shared" si="107"/>
        <v>-0.18032786885245916</v>
      </c>
      <c r="Q263" t="str">
        <f t="shared" si="112"/>
        <v>48.65% | 33.78%</v>
      </c>
      <c r="R263" t="str">
        <f t="shared" si="108"/>
        <v>BEARISH</v>
      </c>
      <c r="S263">
        <f t="shared" si="113"/>
        <v>-1</v>
      </c>
    </row>
    <row r="264" spans="1:19" hidden="1" x14ac:dyDescent="0.25">
      <c r="A264" s="5" t="str">
        <f t="shared" si="110"/>
        <v>43899UST2Y</v>
      </c>
      <c r="B264" s="6" t="s">
        <v>5</v>
      </c>
      <c r="C264" s="6">
        <v>0.75</v>
      </c>
      <c r="D264" s="6">
        <v>0.27</v>
      </c>
      <c r="E264" s="6">
        <v>0.49</v>
      </c>
      <c r="F264" t="str">
        <f t="shared" ref="F264:F292" si="114">UPPER(TEXT(G264,"ddd"))</f>
        <v>MON</v>
      </c>
      <c r="G264" s="1">
        <f t="shared" ref="G264:G291" si="115">DATE(2020,3,9)</f>
        <v>43899</v>
      </c>
      <c r="H264" s="2">
        <f t="shared" ref="H264:H292" ca="1" si="116">TODAY()-G264</f>
        <v>354</v>
      </c>
      <c r="I264" t="str">
        <f t="shared" ref="I264:I292" si="117">TRIM(LEFT(B264,FIND(" ",B264,1)))</f>
        <v>UST2Y</v>
      </c>
      <c r="J264">
        <f t="shared" ref="J264:J292" si="118">C264</f>
        <v>0.75</v>
      </c>
      <c r="K264">
        <f t="shared" ref="K264:K292" si="119">D264</f>
        <v>0.27</v>
      </c>
      <c r="L264">
        <f t="shared" ref="L264:L292" si="120">AVERAGE(J264:K264)</f>
        <v>0.51</v>
      </c>
      <c r="M264">
        <f t="shared" ref="M264:M292" si="121">_xlfn.STDEV.P(J264:K264)</f>
        <v>0.23999999999999996</v>
      </c>
      <c r="N264">
        <f t="shared" si="111"/>
        <v>0.48</v>
      </c>
      <c r="O264">
        <f t="shared" ref="O264:O292" si="122">E264</f>
        <v>0.49</v>
      </c>
      <c r="P264">
        <f t="shared" ref="P264:P292" si="123">(O264-L264)/M264</f>
        <v>-8.3333333333333426E-2</v>
      </c>
      <c r="Q264" t="str">
        <f t="shared" si="112"/>
        <v>53.06% | 44.9%</v>
      </c>
      <c r="R264" t="str">
        <f t="shared" ref="R264:R292" si="124">MID(B264,FIND("(",B264,1)+1,FIND(")",B264,1)-FIND("(",B264,1)-1)</f>
        <v>BEARISH</v>
      </c>
      <c r="S264">
        <f t="shared" si="113"/>
        <v>-1</v>
      </c>
    </row>
    <row r="265" spans="1:19" hidden="1" x14ac:dyDescent="0.25">
      <c r="A265" s="5" t="str">
        <f t="shared" si="110"/>
        <v>43899SPX</v>
      </c>
      <c r="B265" s="6" t="s">
        <v>6</v>
      </c>
      <c r="C265" s="6">
        <v>2810</v>
      </c>
      <c r="D265" s="6">
        <v>3044</v>
      </c>
      <c r="E265" s="6">
        <v>2972</v>
      </c>
      <c r="F265" t="str">
        <f t="shared" si="114"/>
        <v>MON</v>
      </c>
      <c r="G265" s="1">
        <f t="shared" si="115"/>
        <v>43899</v>
      </c>
      <c r="H265" s="2">
        <f t="shared" ca="1" si="116"/>
        <v>354</v>
      </c>
      <c r="I265" t="str">
        <f t="shared" si="117"/>
        <v>SPX</v>
      </c>
      <c r="J265">
        <f t="shared" si="118"/>
        <v>2810</v>
      </c>
      <c r="K265">
        <f t="shared" si="119"/>
        <v>3044</v>
      </c>
      <c r="L265">
        <f t="shared" si="120"/>
        <v>2927</v>
      </c>
      <c r="M265">
        <f t="shared" si="121"/>
        <v>117</v>
      </c>
      <c r="N265">
        <f t="shared" si="111"/>
        <v>234</v>
      </c>
      <c r="O265">
        <f t="shared" si="122"/>
        <v>2972</v>
      </c>
      <c r="P265">
        <f t="shared" si="123"/>
        <v>0.38461538461538464</v>
      </c>
      <c r="Q265" t="str">
        <f t="shared" si="112"/>
        <v>5.45% | 2.42%</v>
      </c>
      <c r="R265" t="str">
        <f t="shared" si="124"/>
        <v>BEARISH</v>
      </c>
      <c r="S265">
        <f t="shared" si="113"/>
        <v>-1</v>
      </c>
    </row>
    <row r="266" spans="1:19" hidden="1" x14ac:dyDescent="0.25">
      <c r="A266" s="5" t="str">
        <f t="shared" si="110"/>
        <v>43899RUT</v>
      </c>
      <c r="B266" s="6" t="s">
        <v>7</v>
      </c>
      <c r="C266" s="6">
        <v>1374</v>
      </c>
      <c r="D266" s="6">
        <v>1512</v>
      </c>
      <c r="E266" s="6">
        <v>1449</v>
      </c>
      <c r="F266" t="str">
        <f t="shared" si="114"/>
        <v>MON</v>
      </c>
      <c r="G266" s="1">
        <f t="shared" si="115"/>
        <v>43899</v>
      </c>
      <c r="H266" s="2">
        <f t="shared" ca="1" si="116"/>
        <v>354</v>
      </c>
      <c r="I266" t="str">
        <f t="shared" si="117"/>
        <v>RUT</v>
      </c>
      <c r="J266">
        <f t="shared" si="118"/>
        <v>1374</v>
      </c>
      <c r="K266">
        <f t="shared" si="119"/>
        <v>1512</v>
      </c>
      <c r="L266">
        <f t="shared" si="120"/>
        <v>1443</v>
      </c>
      <c r="M266">
        <f t="shared" si="121"/>
        <v>69</v>
      </c>
      <c r="N266">
        <f t="shared" si="111"/>
        <v>138</v>
      </c>
      <c r="O266">
        <f t="shared" si="122"/>
        <v>1449</v>
      </c>
      <c r="P266">
        <f t="shared" si="123"/>
        <v>8.6956521739130432E-2</v>
      </c>
      <c r="Q266" t="str">
        <f t="shared" si="112"/>
        <v>5.18% | 4.35%</v>
      </c>
      <c r="R266" t="str">
        <f t="shared" si="124"/>
        <v>BEARISH</v>
      </c>
      <c r="S266">
        <f t="shared" si="113"/>
        <v>-1</v>
      </c>
    </row>
    <row r="267" spans="1:19" hidden="1" x14ac:dyDescent="0.25">
      <c r="A267" s="5" t="str">
        <f t="shared" si="110"/>
        <v>43899COMPQ</v>
      </c>
      <c r="B267" s="6" t="s">
        <v>64</v>
      </c>
      <c r="C267" s="6">
        <v>8231</v>
      </c>
      <c r="D267" s="6">
        <v>8793</v>
      </c>
      <c r="E267" s="6">
        <v>8575</v>
      </c>
      <c r="F267" t="str">
        <f t="shared" si="114"/>
        <v>MON</v>
      </c>
      <c r="G267" s="1">
        <f t="shared" si="115"/>
        <v>43899</v>
      </c>
      <c r="H267" s="2">
        <f t="shared" ca="1" si="116"/>
        <v>354</v>
      </c>
      <c r="I267" t="str">
        <f t="shared" si="117"/>
        <v>COMPQ</v>
      </c>
      <c r="J267">
        <f t="shared" si="118"/>
        <v>8231</v>
      </c>
      <c r="K267">
        <f t="shared" si="119"/>
        <v>8793</v>
      </c>
      <c r="L267">
        <f t="shared" si="120"/>
        <v>8512</v>
      </c>
      <c r="M267">
        <f t="shared" si="121"/>
        <v>281</v>
      </c>
      <c r="N267">
        <f t="shared" si="111"/>
        <v>562</v>
      </c>
      <c r="O267">
        <f t="shared" si="122"/>
        <v>8575</v>
      </c>
      <c r="P267">
        <f t="shared" si="123"/>
        <v>0.22419928825622776</v>
      </c>
      <c r="Q267" t="str">
        <f t="shared" si="112"/>
        <v>4.01% | 2.54%</v>
      </c>
      <c r="R267" t="str">
        <f t="shared" si="124"/>
        <v>BEARISH</v>
      </c>
      <c r="S267">
        <f t="shared" si="113"/>
        <v>-1</v>
      </c>
    </row>
    <row r="268" spans="1:19" hidden="1" x14ac:dyDescent="0.25">
      <c r="A268" s="5" t="str">
        <f t="shared" si="110"/>
        <v>43899XLU</v>
      </c>
      <c r="B268" s="6" t="s">
        <v>52</v>
      </c>
      <c r="C268" s="6">
        <v>61.3</v>
      </c>
      <c r="D268" s="6">
        <v>70.22</v>
      </c>
      <c r="E268" s="6">
        <v>67.11</v>
      </c>
      <c r="F268" t="str">
        <f t="shared" si="114"/>
        <v>MON</v>
      </c>
      <c r="G268" s="1">
        <f t="shared" si="115"/>
        <v>43899</v>
      </c>
      <c r="H268" s="2">
        <f t="shared" ca="1" si="116"/>
        <v>354</v>
      </c>
      <c r="I268" t="str">
        <f t="shared" si="117"/>
        <v>XLU</v>
      </c>
      <c r="J268">
        <f t="shared" si="118"/>
        <v>61.3</v>
      </c>
      <c r="K268">
        <f t="shared" si="119"/>
        <v>70.22</v>
      </c>
      <c r="L268">
        <f t="shared" si="120"/>
        <v>65.759999999999991</v>
      </c>
      <c r="M268">
        <f t="shared" si="121"/>
        <v>4.4600000000000009</v>
      </c>
      <c r="N268">
        <f t="shared" si="111"/>
        <v>8.9200000000000017</v>
      </c>
      <c r="O268">
        <f t="shared" si="122"/>
        <v>67.11</v>
      </c>
      <c r="P268">
        <f t="shared" si="123"/>
        <v>0.30269058295964313</v>
      </c>
      <c r="Q268" t="str">
        <f t="shared" si="112"/>
        <v>8.66% | 4.63%</v>
      </c>
      <c r="R268" t="str">
        <f t="shared" si="124"/>
        <v>BULLISH</v>
      </c>
      <c r="S268">
        <f t="shared" si="113"/>
        <v>1</v>
      </c>
    </row>
    <row r="269" spans="1:19" hidden="1" x14ac:dyDescent="0.25">
      <c r="A269" s="5" t="str">
        <f t="shared" si="110"/>
        <v>43899VNQ</v>
      </c>
      <c r="B269" s="6" t="s">
        <v>75</v>
      </c>
      <c r="C269" s="6">
        <v>85.7</v>
      </c>
      <c r="D269" s="6">
        <v>96.75</v>
      </c>
      <c r="E269" s="6">
        <v>90.67</v>
      </c>
      <c r="F269" t="str">
        <f t="shared" si="114"/>
        <v>MON</v>
      </c>
      <c r="G269" s="1">
        <f t="shared" si="115"/>
        <v>43899</v>
      </c>
      <c r="H269" s="2">
        <f t="shared" ca="1" si="116"/>
        <v>354</v>
      </c>
      <c r="I269" t="str">
        <f t="shared" si="117"/>
        <v>VNQ</v>
      </c>
      <c r="J269">
        <f t="shared" si="118"/>
        <v>85.7</v>
      </c>
      <c r="K269">
        <f t="shared" si="119"/>
        <v>96.75</v>
      </c>
      <c r="L269">
        <f t="shared" si="120"/>
        <v>91.224999999999994</v>
      </c>
      <c r="M269">
        <f t="shared" si="121"/>
        <v>5.5249999999999986</v>
      </c>
      <c r="N269">
        <f t="shared" si="111"/>
        <v>11.049999999999997</v>
      </c>
      <c r="O269">
        <f t="shared" si="122"/>
        <v>90.67</v>
      </c>
      <c r="P269">
        <f t="shared" si="123"/>
        <v>-0.10045248868778149</v>
      </c>
      <c r="Q269" t="str">
        <f t="shared" si="112"/>
        <v>5.48% | 6.71%</v>
      </c>
      <c r="R269" t="str">
        <f t="shared" si="124"/>
        <v>NEUTRAL</v>
      </c>
      <c r="S269">
        <f t="shared" si="113"/>
        <v>0</v>
      </c>
    </row>
    <row r="270" spans="1:19" hidden="1" x14ac:dyDescent="0.25">
      <c r="A270" s="5" t="str">
        <f t="shared" si="110"/>
        <v>43899XLP</v>
      </c>
      <c r="B270" s="6" t="s">
        <v>50</v>
      </c>
      <c r="C270" s="6">
        <v>57.26</v>
      </c>
      <c r="D270" s="6">
        <v>64.03</v>
      </c>
      <c r="E270" s="6">
        <v>61.54</v>
      </c>
      <c r="F270" t="str">
        <f t="shared" si="114"/>
        <v>MON</v>
      </c>
      <c r="G270" s="1">
        <f t="shared" si="115"/>
        <v>43899</v>
      </c>
      <c r="H270" s="2">
        <f t="shared" ca="1" si="116"/>
        <v>354</v>
      </c>
      <c r="I270" t="str">
        <f t="shared" si="117"/>
        <v>XLP</v>
      </c>
      <c r="J270">
        <f t="shared" si="118"/>
        <v>57.26</v>
      </c>
      <c r="K270">
        <f t="shared" si="119"/>
        <v>64.03</v>
      </c>
      <c r="L270">
        <f t="shared" si="120"/>
        <v>60.644999999999996</v>
      </c>
      <c r="M270">
        <f t="shared" si="121"/>
        <v>3.3850000000000016</v>
      </c>
      <c r="N270">
        <f t="shared" si="111"/>
        <v>6.7700000000000031</v>
      </c>
      <c r="O270">
        <f t="shared" si="122"/>
        <v>61.54</v>
      </c>
      <c r="P270">
        <f t="shared" si="123"/>
        <v>0.26440177252585012</v>
      </c>
      <c r="Q270" t="str">
        <f t="shared" si="112"/>
        <v>6.95% | 4.05%</v>
      </c>
      <c r="R270" t="str">
        <f t="shared" si="124"/>
        <v>NEUTRAL</v>
      </c>
      <c r="S270">
        <f t="shared" si="113"/>
        <v>0</v>
      </c>
    </row>
    <row r="271" spans="1:19" hidden="1" x14ac:dyDescent="0.25">
      <c r="A271" s="5" t="str">
        <f t="shared" si="110"/>
        <v>43899XLK</v>
      </c>
      <c r="B271" s="6" t="s">
        <v>65</v>
      </c>
      <c r="C271" s="6">
        <v>84.08</v>
      </c>
      <c r="D271" s="6">
        <v>94.71</v>
      </c>
      <c r="E271" s="6">
        <v>88.91</v>
      </c>
      <c r="F271" t="str">
        <f t="shared" si="114"/>
        <v>MON</v>
      </c>
      <c r="G271" s="1">
        <f t="shared" si="115"/>
        <v>43899</v>
      </c>
      <c r="H271" s="2">
        <f t="shared" ca="1" si="116"/>
        <v>354</v>
      </c>
      <c r="I271" t="str">
        <f t="shared" si="117"/>
        <v>XLK</v>
      </c>
      <c r="J271">
        <f t="shared" si="118"/>
        <v>84.08</v>
      </c>
      <c r="K271">
        <f t="shared" si="119"/>
        <v>94.71</v>
      </c>
      <c r="L271">
        <f t="shared" si="120"/>
        <v>89.394999999999996</v>
      </c>
      <c r="M271">
        <f t="shared" si="121"/>
        <v>5.3149999999999977</v>
      </c>
      <c r="N271">
        <f t="shared" si="111"/>
        <v>10.629999999999995</v>
      </c>
      <c r="O271">
        <f t="shared" si="122"/>
        <v>88.91</v>
      </c>
      <c r="P271">
        <f t="shared" si="123"/>
        <v>-9.1251175917215363E-2</v>
      </c>
      <c r="Q271" t="str">
        <f t="shared" si="112"/>
        <v>5.43% | 6.52%</v>
      </c>
      <c r="R271" t="str">
        <f t="shared" si="124"/>
        <v>BEARISH</v>
      </c>
      <c r="S271">
        <f t="shared" si="113"/>
        <v>-1</v>
      </c>
    </row>
    <row r="272" spans="1:19" hidden="1" x14ac:dyDescent="0.25">
      <c r="A272" s="5" t="str">
        <f t="shared" si="110"/>
        <v>43899SSEC</v>
      </c>
      <c r="B272" s="6" t="s">
        <v>14</v>
      </c>
      <c r="C272" s="6">
        <v>2856</v>
      </c>
      <c r="D272" s="6">
        <v>3090</v>
      </c>
      <c r="E272" s="6">
        <v>2943</v>
      </c>
      <c r="F272" t="str">
        <f t="shared" si="114"/>
        <v>MON</v>
      </c>
      <c r="G272" s="1">
        <f t="shared" si="115"/>
        <v>43899</v>
      </c>
      <c r="H272" s="2">
        <f t="shared" ca="1" si="116"/>
        <v>354</v>
      </c>
      <c r="I272" t="str">
        <f t="shared" si="117"/>
        <v>SSEC</v>
      </c>
      <c r="J272">
        <f t="shared" si="118"/>
        <v>2856</v>
      </c>
      <c r="K272">
        <f t="shared" si="119"/>
        <v>3090</v>
      </c>
      <c r="L272">
        <f t="shared" si="120"/>
        <v>2973</v>
      </c>
      <c r="M272">
        <f t="shared" si="121"/>
        <v>117</v>
      </c>
      <c r="N272">
        <f t="shared" si="111"/>
        <v>234</v>
      </c>
      <c r="O272">
        <f t="shared" si="122"/>
        <v>2943</v>
      </c>
      <c r="P272">
        <f t="shared" si="123"/>
        <v>-0.25641025641025639</v>
      </c>
      <c r="Q272" t="str">
        <f t="shared" si="112"/>
        <v>2.96% | 4.99%</v>
      </c>
      <c r="R272" t="str">
        <f t="shared" si="124"/>
        <v>BEARISH</v>
      </c>
      <c r="S272">
        <f t="shared" si="113"/>
        <v>-1</v>
      </c>
    </row>
    <row r="273" spans="1:19" hidden="1" x14ac:dyDescent="0.25">
      <c r="A273" s="5" t="str">
        <f t="shared" si="110"/>
        <v>43899NIKK</v>
      </c>
      <c r="B273" s="6" t="s">
        <v>15</v>
      </c>
      <c r="C273" s="6">
        <v>19304</v>
      </c>
      <c r="D273" s="6">
        <v>21526</v>
      </c>
      <c r="E273" s="6">
        <v>19698</v>
      </c>
      <c r="F273" t="str">
        <f t="shared" si="114"/>
        <v>MON</v>
      </c>
      <c r="G273" s="1">
        <f t="shared" si="115"/>
        <v>43899</v>
      </c>
      <c r="H273" s="2">
        <f t="shared" ca="1" si="116"/>
        <v>354</v>
      </c>
      <c r="I273" t="str">
        <f t="shared" si="117"/>
        <v>NIKK</v>
      </c>
      <c r="J273">
        <f t="shared" si="118"/>
        <v>19304</v>
      </c>
      <c r="K273">
        <f t="shared" si="119"/>
        <v>21526</v>
      </c>
      <c r="L273">
        <f t="shared" si="120"/>
        <v>20415</v>
      </c>
      <c r="M273">
        <f t="shared" si="121"/>
        <v>1111</v>
      </c>
      <c r="N273">
        <f t="shared" si="111"/>
        <v>2222</v>
      </c>
      <c r="O273">
        <f t="shared" si="122"/>
        <v>19698</v>
      </c>
      <c r="P273">
        <f t="shared" si="123"/>
        <v>-0.64536453645364533</v>
      </c>
      <c r="Q273" t="str">
        <f t="shared" si="112"/>
        <v>2% | 9.28%</v>
      </c>
      <c r="R273" t="str">
        <f t="shared" si="124"/>
        <v>BEARISH</v>
      </c>
      <c r="S273">
        <f t="shared" si="113"/>
        <v>-1</v>
      </c>
    </row>
    <row r="274" spans="1:19" hidden="1" x14ac:dyDescent="0.25">
      <c r="A274" s="5" t="str">
        <f t="shared" si="110"/>
        <v>43899DAX</v>
      </c>
      <c r="B274" s="6" t="s">
        <v>16</v>
      </c>
      <c r="C274" s="6">
        <v>10742</v>
      </c>
      <c r="D274" s="6">
        <v>12145</v>
      </c>
      <c r="E274" s="6">
        <v>11541</v>
      </c>
      <c r="F274" t="str">
        <f t="shared" si="114"/>
        <v>MON</v>
      </c>
      <c r="G274" s="1">
        <f t="shared" si="115"/>
        <v>43899</v>
      </c>
      <c r="H274" s="2">
        <f t="shared" ca="1" si="116"/>
        <v>354</v>
      </c>
      <c r="I274" t="str">
        <f t="shared" si="117"/>
        <v>DAX</v>
      </c>
      <c r="J274">
        <f t="shared" si="118"/>
        <v>10742</v>
      </c>
      <c r="K274">
        <f t="shared" si="119"/>
        <v>12145</v>
      </c>
      <c r="L274">
        <f t="shared" si="120"/>
        <v>11443.5</v>
      </c>
      <c r="M274">
        <f t="shared" si="121"/>
        <v>701.5</v>
      </c>
      <c r="N274">
        <f t="shared" si="111"/>
        <v>1403</v>
      </c>
      <c r="O274">
        <f t="shared" si="122"/>
        <v>11541</v>
      </c>
      <c r="P274">
        <f t="shared" si="123"/>
        <v>0.13898788310762653</v>
      </c>
      <c r="Q274" t="str">
        <f t="shared" si="112"/>
        <v>6.92% | 5.23%</v>
      </c>
      <c r="R274" t="str">
        <f t="shared" si="124"/>
        <v>BEARISH</v>
      </c>
      <c r="S274">
        <f t="shared" si="113"/>
        <v>-1</v>
      </c>
    </row>
    <row r="275" spans="1:19" hidden="1" x14ac:dyDescent="0.25">
      <c r="A275" s="5" t="str">
        <f t="shared" si="110"/>
        <v>43899VIX</v>
      </c>
      <c r="B275" s="6" t="s">
        <v>17</v>
      </c>
      <c r="C275" s="6">
        <v>25.53</v>
      </c>
      <c r="D275" s="6">
        <v>52.56</v>
      </c>
      <c r="E275" s="6">
        <v>41.94</v>
      </c>
      <c r="F275" t="str">
        <f t="shared" si="114"/>
        <v>MON</v>
      </c>
      <c r="G275" s="1">
        <f t="shared" si="115"/>
        <v>43899</v>
      </c>
      <c r="H275" s="2">
        <f t="shared" ca="1" si="116"/>
        <v>354</v>
      </c>
      <c r="I275" t="str">
        <f t="shared" si="117"/>
        <v>VIX</v>
      </c>
      <c r="J275">
        <f t="shared" si="118"/>
        <v>25.53</v>
      </c>
      <c r="K275">
        <f t="shared" si="119"/>
        <v>52.56</v>
      </c>
      <c r="L275">
        <f t="shared" si="120"/>
        <v>39.045000000000002</v>
      </c>
      <c r="M275">
        <f t="shared" si="121"/>
        <v>13.514999999999999</v>
      </c>
      <c r="N275">
        <f t="shared" si="111"/>
        <v>27.03</v>
      </c>
      <c r="O275">
        <f t="shared" si="122"/>
        <v>41.94</v>
      </c>
      <c r="P275">
        <f t="shared" si="123"/>
        <v>0.21420643729189762</v>
      </c>
      <c r="Q275" t="str">
        <f t="shared" si="112"/>
        <v>39.13% | 25.32%</v>
      </c>
      <c r="R275" t="str">
        <f t="shared" si="124"/>
        <v>BULLISH</v>
      </c>
      <c r="S275">
        <f t="shared" si="113"/>
        <v>1</v>
      </c>
    </row>
    <row r="276" spans="1:19" hidden="1" x14ac:dyDescent="0.25">
      <c r="A276" s="5" t="str">
        <f t="shared" si="110"/>
        <v>43899USD</v>
      </c>
      <c r="B276" s="6" t="s">
        <v>78</v>
      </c>
      <c r="C276" s="6">
        <v>94.78</v>
      </c>
      <c r="D276" s="6">
        <v>97.96</v>
      </c>
      <c r="E276" s="6">
        <v>95.93</v>
      </c>
      <c r="F276" t="str">
        <f t="shared" si="114"/>
        <v>MON</v>
      </c>
      <c r="G276" s="1">
        <f t="shared" si="115"/>
        <v>43899</v>
      </c>
      <c r="H276" s="2">
        <f t="shared" ca="1" si="116"/>
        <v>354</v>
      </c>
      <c r="I276" t="str">
        <f t="shared" si="117"/>
        <v>USD</v>
      </c>
      <c r="J276">
        <f t="shared" si="118"/>
        <v>94.78</v>
      </c>
      <c r="K276">
        <f t="shared" si="119"/>
        <v>97.96</v>
      </c>
      <c r="L276">
        <f t="shared" si="120"/>
        <v>96.37</v>
      </c>
      <c r="M276">
        <f t="shared" si="121"/>
        <v>1.5899999999999963</v>
      </c>
      <c r="N276">
        <f t="shared" si="111"/>
        <v>3.1799999999999926</v>
      </c>
      <c r="O276">
        <f t="shared" si="122"/>
        <v>95.93</v>
      </c>
      <c r="P276">
        <f t="shared" si="123"/>
        <v>-0.27672955974842689</v>
      </c>
      <c r="Q276" t="str">
        <f t="shared" si="112"/>
        <v>1.2% | 2.12%</v>
      </c>
      <c r="R276" t="str">
        <f t="shared" si="124"/>
        <v>NEUTRAL</v>
      </c>
      <c r="S276">
        <f t="shared" si="113"/>
        <v>0</v>
      </c>
    </row>
    <row r="277" spans="1:19" hidden="1" x14ac:dyDescent="0.25">
      <c r="A277" s="5" t="str">
        <f t="shared" si="110"/>
        <v>43899EUR/USD</v>
      </c>
      <c r="B277" s="6" t="s">
        <v>77</v>
      </c>
      <c r="C277" s="6">
        <v>1.0900000000000001</v>
      </c>
      <c r="D277" s="6">
        <v>1.1399999999999999</v>
      </c>
      <c r="E277" s="6">
        <v>1.1299999999999999</v>
      </c>
      <c r="F277" t="str">
        <f t="shared" si="114"/>
        <v>MON</v>
      </c>
      <c r="G277" s="1">
        <f t="shared" si="115"/>
        <v>43899</v>
      </c>
      <c r="H277" s="2">
        <f t="shared" ca="1" si="116"/>
        <v>354</v>
      </c>
      <c r="I277" t="str">
        <f t="shared" si="117"/>
        <v>EUR/USD</v>
      </c>
      <c r="J277">
        <f t="shared" si="118"/>
        <v>1.0900000000000001</v>
      </c>
      <c r="K277">
        <f t="shared" si="119"/>
        <v>1.1399999999999999</v>
      </c>
      <c r="L277">
        <f t="shared" si="120"/>
        <v>1.115</v>
      </c>
      <c r="M277">
        <f t="shared" si="121"/>
        <v>2.4999999999999911E-2</v>
      </c>
      <c r="N277">
        <f t="shared" si="111"/>
        <v>4.9999999999999822E-2</v>
      </c>
      <c r="O277">
        <f t="shared" si="122"/>
        <v>1.1299999999999999</v>
      </c>
      <c r="P277">
        <f t="shared" si="123"/>
        <v>0.5999999999999982</v>
      </c>
      <c r="Q277" t="str">
        <f t="shared" si="112"/>
        <v>3.54% | 0.88%</v>
      </c>
      <c r="R277" t="str">
        <f t="shared" si="124"/>
        <v>NEUTRAL</v>
      </c>
      <c r="S277">
        <f t="shared" si="113"/>
        <v>0</v>
      </c>
    </row>
    <row r="278" spans="1:19" hidden="1" x14ac:dyDescent="0.25">
      <c r="A278" s="5" t="str">
        <f t="shared" si="110"/>
        <v>43899USD/JPY</v>
      </c>
      <c r="B278" s="6" t="s">
        <v>20</v>
      </c>
      <c r="C278" s="6">
        <v>101.83</v>
      </c>
      <c r="D278" s="6">
        <v>109.05</v>
      </c>
      <c r="E278" s="6">
        <v>105.48</v>
      </c>
      <c r="F278" t="str">
        <f t="shared" si="114"/>
        <v>MON</v>
      </c>
      <c r="G278" s="1">
        <f t="shared" si="115"/>
        <v>43899</v>
      </c>
      <c r="H278" s="2">
        <f t="shared" ca="1" si="116"/>
        <v>354</v>
      </c>
      <c r="I278" t="str">
        <f t="shared" si="117"/>
        <v>USD/JPY</v>
      </c>
      <c r="J278">
        <f t="shared" si="118"/>
        <v>101.83</v>
      </c>
      <c r="K278">
        <f t="shared" si="119"/>
        <v>109.05</v>
      </c>
      <c r="L278">
        <f t="shared" si="120"/>
        <v>105.44</v>
      </c>
      <c r="M278">
        <f t="shared" si="121"/>
        <v>3.6099999999999994</v>
      </c>
      <c r="N278">
        <f t="shared" si="111"/>
        <v>7.2199999999999989</v>
      </c>
      <c r="O278">
        <f t="shared" si="122"/>
        <v>105.48</v>
      </c>
      <c r="P278">
        <f t="shared" si="123"/>
        <v>1.1080332409974032E-2</v>
      </c>
      <c r="Q278" t="str">
        <f t="shared" si="112"/>
        <v>3.46% | 3.38%</v>
      </c>
      <c r="R278" t="str">
        <f t="shared" si="124"/>
        <v>BEARISH</v>
      </c>
      <c r="S278">
        <f t="shared" si="113"/>
        <v>-1</v>
      </c>
    </row>
    <row r="279" spans="1:19" hidden="1" x14ac:dyDescent="0.25">
      <c r="A279" s="5" t="str">
        <f t="shared" si="110"/>
        <v>43899GBP/USD</v>
      </c>
      <c r="B279" s="6" t="s">
        <v>79</v>
      </c>
      <c r="C279" s="6">
        <v>1.27</v>
      </c>
      <c r="D279" s="6">
        <v>1.31</v>
      </c>
      <c r="E279" s="6">
        <v>1.3</v>
      </c>
      <c r="F279" t="str">
        <f t="shared" si="114"/>
        <v>MON</v>
      </c>
      <c r="G279" s="1">
        <f t="shared" si="115"/>
        <v>43899</v>
      </c>
      <c r="H279" s="2">
        <f t="shared" ca="1" si="116"/>
        <v>354</v>
      </c>
      <c r="I279" t="str">
        <f t="shared" si="117"/>
        <v>GBP/USD</v>
      </c>
      <c r="J279">
        <f t="shared" si="118"/>
        <v>1.27</v>
      </c>
      <c r="K279">
        <f t="shared" si="119"/>
        <v>1.31</v>
      </c>
      <c r="L279">
        <f t="shared" si="120"/>
        <v>1.29</v>
      </c>
      <c r="M279">
        <f t="shared" si="121"/>
        <v>2.0000000000000018E-2</v>
      </c>
      <c r="N279">
        <f t="shared" si="111"/>
        <v>4.0000000000000036E-2</v>
      </c>
      <c r="O279">
        <f t="shared" si="122"/>
        <v>1.3</v>
      </c>
      <c r="P279">
        <f t="shared" si="123"/>
        <v>0.5</v>
      </c>
      <c r="Q279" t="str">
        <f t="shared" si="112"/>
        <v>2.31% | 0.77%</v>
      </c>
      <c r="R279" t="str">
        <f t="shared" si="124"/>
        <v>NEUTRAL</v>
      </c>
      <c r="S279">
        <f t="shared" si="113"/>
        <v>0</v>
      </c>
    </row>
    <row r="280" spans="1:19" hidden="1" x14ac:dyDescent="0.25">
      <c r="A280" s="5" t="str">
        <f t="shared" si="110"/>
        <v>43899USD/CHF</v>
      </c>
      <c r="B280" s="6" t="s">
        <v>76</v>
      </c>
      <c r="C280" s="6">
        <v>0.93</v>
      </c>
      <c r="D280" s="6">
        <v>0.96</v>
      </c>
      <c r="E280" s="6">
        <v>0.93</v>
      </c>
      <c r="F280" t="str">
        <f t="shared" si="114"/>
        <v>MON</v>
      </c>
      <c r="G280" s="1">
        <f t="shared" si="115"/>
        <v>43899</v>
      </c>
      <c r="H280" s="2">
        <f t="shared" ca="1" si="116"/>
        <v>354</v>
      </c>
      <c r="I280" t="str">
        <f t="shared" si="117"/>
        <v>USD/CHF</v>
      </c>
      <c r="J280">
        <f t="shared" si="118"/>
        <v>0.93</v>
      </c>
      <c r="K280">
        <f t="shared" si="119"/>
        <v>0.96</v>
      </c>
      <c r="L280">
        <f t="shared" si="120"/>
        <v>0.94500000000000006</v>
      </c>
      <c r="M280">
        <f t="shared" si="121"/>
        <v>1.4999999999999958E-2</v>
      </c>
      <c r="N280">
        <f t="shared" si="111"/>
        <v>2.9999999999999916E-2</v>
      </c>
      <c r="O280">
        <f t="shared" si="122"/>
        <v>0.93</v>
      </c>
      <c r="P280">
        <f t="shared" si="123"/>
        <v>-1.0000000000000038</v>
      </c>
      <c r="Q280" t="str">
        <f t="shared" si="112"/>
        <v>0% | 3.23%</v>
      </c>
      <c r="R280" t="str">
        <f t="shared" si="124"/>
        <v>BEARISH</v>
      </c>
      <c r="S280">
        <f t="shared" si="113"/>
        <v>-1</v>
      </c>
    </row>
    <row r="281" spans="1:19" hidden="1" x14ac:dyDescent="0.25">
      <c r="A281" s="5" t="str">
        <f t="shared" si="110"/>
        <v>43899WTIC</v>
      </c>
      <c r="B281" s="6" t="s">
        <v>23</v>
      </c>
      <c r="C281" s="6">
        <v>30.3</v>
      </c>
      <c r="D281" s="6">
        <v>45.49</v>
      </c>
      <c r="E281" s="6">
        <v>41.28</v>
      </c>
      <c r="F281" t="str">
        <f t="shared" si="114"/>
        <v>MON</v>
      </c>
      <c r="G281" s="1">
        <f t="shared" si="115"/>
        <v>43899</v>
      </c>
      <c r="H281" s="2">
        <f t="shared" ca="1" si="116"/>
        <v>354</v>
      </c>
      <c r="I281" t="str">
        <f t="shared" si="117"/>
        <v>WTIC</v>
      </c>
      <c r="J281">
        <f t="shared" si="118"/>
        <v>30.3</v>
      </c>
      <c r="K281">
        <f t="shared" si="119"/>
        <v>45.49</v>
      </c>
      <c r="L281">
        <f t="shared" si="120"/>
        <v>37.895000000000003</v>
      </c>
      <c r="M281">
        <f t="shared" si="121"/>
        <v>7.5950000000000015</v>
      </c>
      <c r="N281">
        <f t="shared" si="111"/>
        <v>15.190000000000001</v>
      </c>
      <c r="O281">
        <f t="shared" si="122"/>
        <v>41.28</v>
      </c>
      <c r="P281">
        <f t="shared" si="123"/>
        <v>0.44568795260039462</v>
      </c>
      <c r="Q281" t="str">
        <f t="shared" si="112"/>
        <v>26.6% | 10.2%</v>
      </c>
      <c r="R281" t="str">
        <f t="shared" si="124"/>
        <v>BEARISH</v>
      </c>
      <c r="S281">
        <f t="shared" si="113"/>
        <v>-1</v>
      </c>
    </row>
    <row r="282" spans="1:19" hidden="1" x14ac:dyDescent="0.25">
      <c r="A282" s="5" t="str">
        <f t="shared" si="110"/>
        <v>43899NATGAS</v>
      </c>
      <c r="B282" s="6" t="s">
        <v>24</v>
      </c>
      <c r="C282" s="6">
        <v>1.55</v>
      </c>
      <c r="D282" s="6">
        <v>1.9</v>
      </c>
      <c r="E282" s="6">
        <v>1.71</v>
      </c>
      <c r="F282" t="str">
        <f t="shared" si="114"/>
        <v>MON</v>
      </c>
      <c r="G282" s="1">
        <f t="shared" si="115"/>
        <v>43899</v>
      </c>
      <c r="H282" s="2">
        <f t="shared" ca="1" si="116"/>
        <v>354</v>
      </c>
      <c r="I282" t="str">
        <f t="shared" si="117"/>
        <v>NATGAS</v>
      </c>
      <c r="J282">
        <f t="shared" si="118"/>
        <v>1.55</v>
      </c>
      <c r="K282">
        <f t="shared" si="119"/>
        <v>1.9</v>
      </c>
      <c r="L282">
        <f t="shared" si="120"/>
        <v>1.7250000000000001</v>
      </c>
      <c r="M282">
        <f t="shared" si="121"/>
        <v>0.17499999999999907</v>
      </c>
      <c r="N282">
        <f t="shared" si="111"/>
        <v>0.34999999999999987</v>
      </c>
      <c r="O282">
        <f t="shared" si="122"/>
        <v>1.71</v>
      </c>
      <c r="P282">
        <f t="shared" si="123"/>
        <v>-8.5714285714286881E-2</v>
      </c>
      <c r="Q282" t="str">
        <f t="shared" si="112"/>
        <v>9.36% | 11.11%</v>
      </c>
      <c r="R282" t="str">
        <f t="shared" si="124"/>
        <v>BEARISH</v>
      </c>
      <c r="S282">
        <f t="shared" si="113"/>
        <v>-1</v>
      </c>
    </row>
    <row r="283" spans="1:19" hidden="1" x14ac:dyDescent="0.25">
      <c r="A283" s="5" t="str">
        <f t="shared" si="110"/>
        <v>43899GOLD</v>
      </c>
      <c r="B283" s="6" t="s">
        <v>25</v>
      </c>
      <c r="C283" s="6">
        <v>1572</v>
      </c>
      <c r="D283" s="6">
        <v>1703</v>
      </c>
      <c r="E283" s="6">
        <v>1672</v>
      </c>
      <c r="F283" t="str">
        <f t="shared" si="114"/>
        <v>MON</v>
      </c>
      <c r="G283" s="1">
        <f t="shared" si="115"/>
        <v>43899</v>
      </c>
      <c r="H283" s="2">
        <f t="shared" ca="1" si="116"/>
        <v>354</v>
      </c>
      <c r="I283" t="str">
        <f t="shared" si="117"/>
        <v>GOLD</v>
      </c>
      <c r="J283">
        <f t="shared" si="118"/>
        <v>1572</v>
      </c>
      <c r="K283">
        <f t="shared" si="119"/>
        <v>1703</v>
      </c>
      <c r="L283">
        <f t="shared" si="120"/>
        <v>1637.5</v>
      </c>
      <c r="M283">
        <f t="shared" si="121"/>
        <v>65.5</v>
      </c>
      <c r="N283">
        <f t="shared" si="111"/>
        <v>131</v>
      </c>
      <c r="O283">
        <f t="shared" si="122"/>
        <v>1672</v>
      </c>
      <c r="P283">
        <f t="shared" si="123"/>
        <v>0.52671755725190839</v>
      </c>
      <c r="Q283" t="str">
        <f t="shared" si="112"/>
        <v>5.98% | 1.85%</v>
      </c>
      <c r="R283" t="str">
        <f t="shared" si="124"/>
        <v>BULLISH</v>
      </c>
      <c r="S283">
        <f t="shared" si="113"/>
        <v>1</v>
      </c>
    </row>
    <row r="284" spans="1:19" hidden="1" x14ac:dyDescent="0.25">
      <c r="A284" s="5" t="str">
        <f t="shared" si="110"/>
        <v>43899COPPER</v>
      </c>
      <c r="B284" s="6" t="s">
        <v>26</v>
      </c>
      <c r="C284" s="6">
        <v>2.4</v>
      </c>
      <c r="D284" s="6">
        <v>2.6</v>
      </c>
      <c r="E284" s="6">
        <v>2.56</v>
      </c>
      <c r="F284" t="str">
        <f t="shared" si="114"/>
        <v>MON</v>
      </c>
      <c r="G284" s="1">
        <f t="shared" si="115"/>
        <v>43899</v>
      </c>
      <c r="H284" s="2">
        <f t="shared" ca="1" si="116"/>
        <v>354</v>
      </c>
      <c r="I284" t="str">
        <f t="shared" si="117"/>
        <v>COPPER</v>
      </c>
      <c r="J284">
        <f t="shared" si="118"/>
        <v>2.4</v>
      </c>
      <c r="K284">
        <f t="shared" si="119"/>
        <v>2.6</v>
      </c>
      <c r="L284">
        <f t="shared" si="120"/>
        <v>2.5</v>
      </c>
      <c r="M284">
        <f t="shared" si="121"/>
        <v>0.10000000000000009</v>
      </c>
      <c r="N284">
        <f t="shared" si="111"/>
        <v>0.20000000000000018</v>
      </c>
      <c r="O284">
        <f t="shared" si="122"/>
        <v>2.56</v>
      </c>
      <c r="P284">
        <f t="shared" si="123"/>
        <v>0.6</v>
      </c>
      <c r="Q284" t="str">
        <f t="shared" si="112"/>
        <v>6.25% | 1.56%</v>
      </c>
      <c r="R284" t="str">
        <f t="shared" si="124"/>
        <v>BEARISH</v>
      </c>
      <c r="S284">
        <f t="shared" si="113"/>
        <v>-1</v>
      </c>
    </row>
    <row r="285" spans="1:19" hidden="1" x14ac:dyDescent="0.25">
      <c r="A285" s="5" t="str">
        <f t="shared" si="110"/>
        <v>43899AAPL</v>
      </c>
      <c r="B285" s="6" t="s">
        <v>68</v>
      </c>
      <c r="C285" s="6">
        <v>264.02</v>
      </c>
      <c r="D285" s="6">
        <v>302.12</v>
      </c>
      <c r="E285" s="6">
        <v>289.02999999999997</v>
      </c>
      <c r="F285" t="str">
        <f t="shared" si="114"/>
        <v>MON</v>
      </c>
      <c r="G285" s="1">
        <f t="shared" si="115"/>
        <v>43899</v>
      </c>
      <c r="H285" s="2">
        <f t="shared" ca="1" si="116"/>
        <v>354</v>
      </c>
      <c r="I285" t="str">
        <f t="shared" si="117"/>
        <v>AAPL</v>
      </c>
      <c r="J285">
        <f t="shared" si="118"/>
        <v>264.02</v>
      </c>
      <c r="K285">
        <f t="shared" si="119"/>
        <v>302.12</v>
      </c>
      <c r="L285">
        <f t="shared" si="120"/>
        <v>283.07</v>
      </c>
      <c r="M285">
        <f t="shared" si="121"/>
        <v>19.050000000000011</v>
      </c>
      <c r="N285">
        <f t="shared" si="111"/>
        <v>38.100000000000023</v>
      </c>
      <c r="O285">
        <f t="shared" si="122"/>
        <v>289.02999999999997</v>
      </c>
      <c r="P285">
        <f t="shared" si="123"/>
        <v>0.31286089238845016</v>
      </c>
      <c r="Q285" t="str">
        <f t="shared" si="112"/>
        <v>8.65% | 4.53%</v>
      </c>
      <c r="R285" t="str">
        <f t="shared" si="124"/>
        <v>BEARISH</v>
      </c>
      <c r="S285">
        <f t="shared" si="113"/>
        <v>-1</v>
      </c>
    </row>
    <row r="286" spans="1:19" hidden="1" x14ac:dyDescent="0.25">
      <c r="A286" s="5" t="str">
        <f t="shared" si="110"/>
        <v>43899AMZN</v>
      </c>
      <c r="B286" s="6" t="s">
        <v>73</v>
      </c>
      <c r="C286" s="6">
        <v>1780</v>
      </c>
      <c r="D286" s="6">
        <v>1980</v>
      </c>
      <c r="E286" s="6">
        <v>1901</v>
      </c>
      <c r="F286" t="str">
        <f t="shared" si="114"/>
        <v>MON</v>
      </c>
      <c r="G286" s="1">
        <f t="shared" si="115"/>
        <v>43899</v>
      </c>
      <c r="H286" s="2">
        <f t="shared" ca="1" si="116"/>
        <v>354</v>
      </c>
      <c r="I286" t="str">
        <f t="shared" si="117"/>
        <v>AMZN</v>
      </c>
      <c r="J286">
        <f t="shared" si="118"/>
        <v>1780</v>
      </c>
      <c r="K286">
        <f t="shared" si="119"/>
        <v>1980</v>
      </c>
      <c r="L286">
        <f t="shared" si="120"/>
        <v>1880</v>
      </c>
      <c r="M286">
        <f t="shared" si="121"/>
        <v>100</v>
      </c>
      <c r="N286">
        <f t="shared" si="111"/>
        <v>200</v>
      </c>
      <c r="O286">
        <f t="shared" si="122"/>
        <v>1901</v>
      </c>
      <c r="P286">
        <f t="shared" si="123"/>
        <v>0.21</v>
      </c>
      <c r="Q286" t="str">
        <f t="shared" si="112"/>
        <v>6.37% | 4.16%</v>
      </c>
      <c r="R286" t="str">
        <f t="shared" si="124"/>
        <v>BEARISH</v>
      </c>
      <c r="S286">
        <f t="shared" si="113"/>
        <v>-1</v>
      </c>
    </row>
    <row r="287" spans="1:19" hidden="1" x14ac:dyDescent="0.25">
      <c r="A287" s="5" t="str">
        <f t="shared" si="110"/>
        <v>43899FB</v>
      </c>
      <c r="B287" s="6" t="s">
        <v>58</v>
      </c>
      <c r="C287" s="6">
        <v>167</v>
      </c>
      <c r="D287" s="6">
        <v>191</v>
      </c>
      <c r="E287" s="6">
        <v>181</v>
      </c>
      <c r="F287" t="str">
        <f t="shared" si="114"/>
        <v>MON</v>
      </c>
      <c r="G287" s="1">
        <f t="shared" si="115"/>
        <v>43899</v>
      </c>
      <c r="H287" s="2">
        <f t="shared" ca="1" si="116"/>
        <v>354</v>
      </c>
      <c r="I287" t="str">
        <f t="shared" si="117"/>
        <v>FB</v>
      </c>
      <c r="J287">
        <f t="shared" si="118"/>
        <v>167</v>
      </c>
      <c r="K287">
        <f t="shared" si="119"/>
        <v>191</v>
      </c>
      <c r="L287">
        <f t="shared" si="120"/>
        <v>179</v>
      </c>
      <c r="M287">
        <f t="shared" si="121"/>
        <v>12</v>
      </c>
      <c r="N287">
        <f t="shared" si="111"/>
        <v>24</v>
      </c>
      <c r="O287">
        <f t="shared" si="122"/>
        <v>181</v>
      </c>
      <c r="P287">
        <f t="shared" si="123"/>
        <v>0.16666666666666666</v>
      </c>
      <c r="Q287" t="str">
        <f t="shared" si="112"/>
        <v>7.73% | 5.52%</v>
      </c>
      <c r="R287" t="str">
        <f t="shared" si="124"/>
        <v>BEARISH</v>
      </c>
      <c r="S287">
        <f t="shared" si="113"/>
        <v>-1</v>
      </c>
    </row>
    <row r="288" spans="1:19" hidden="1" x14ac:dyDescent="0.25">
      <c r="A288" s="5" t="str">
        <f t="shared" si="110"/>
        <v>43899GOOGL</v>
      </c>
      <c r="B288" s="6" t="s">
        <v>66</v>
      </c>
      <c r="C288" s="6">
        <v>1267</v>
      </c>
      <c r="D288" s="6">
        <v>1382</v>
      </c>
      <c r="E288" s="6">
        <v>1295</v>
      </c>
      <c r="F288" t="str">
        <f t="shared" si="114"/>
        <v>MON</v>
      </c>
      <c r="G288" s="1">
        <f t="shared" si="115"/>
        <v>43899</v>
      </c>
      <c r="H288" s="2">
        <f t="shared" ca="1" si="116"/>
        <v>354</v>
      </c>
      <c r="I288" t="str">
        <f t="shared" si="117"/>
        <v>GOOGL</v>
      </c>
      <c r="J288">
        <f t="shared" si="118"/>
        <v>1267</v>
      </c>
      <c r="K288">
        <f t="shared" si="119"/>
        <v>1382</v>
      </c>
      <c r="L288">
        <f t="shared" si="120"/>
        <v>1324.5</v>
      </c>
      <c r="M288">
        <f t="shared" si="121"/>
        <v>57.5</v>
      </c>
      <c r="N288">
        <f t="shared" si="111"/>
        <v>115</v>
      </c>
      <c r="O288">
        <f t="shared" si="122"/>
        <v>1295</v>
      </c>
      <c r="P288">
        <f t="shared" si="123"/>
        <v>-0.5130434782608696</v>
      </c>
      <c r="Q288" t="str">
        <f t="shared" si="112"/>
        <v>2.16% | 6.72%</v>
      </c>
      <c r="R288" t="str">
        <f t="shared" si="124"/>
        <v>BEARISH</v>
      </c>
      <c r="S288">
        <f t="shared" si="113"/>
        <v>-1</v>
      </c>
    </row>
    <row r="289" spans="1:19" hidden="1" x14ac:dyDescent="0.25">
      <c r="A289" s="5" t="str">
        <f t="shared" si="110"/>
        <v>43899NFLX</v>
      </c>
      <c r="B289" s="6" t="s">
        <v>70</v>
      </c>
      <c r="C289" s="6">
        <v>344</v>
      </c>
      <c r="D289" s="6">
        <v>387</v>
      </c>
      <c r="E289" s="6">
        <v>368</v>
      </c>
      <c r="F289" t="str">
        <f t="shared" si="114"/>
        <v>MON</v>
      </c>
      <c r="G289" s="1">
        <f t="shared" si="115"/>
        <v>43899</v>
      </c>
      <c r="H289" s="2">
        <f t="shared" ca="1" si="116"/>
        <v>354</v>
      </c>
      <c r="I289" t="str">
        <f t="shared" si="117"/>
        <v>NFLX</v>
      </c>
      <c r="J289">
        <f t="shared" si="118"/>
        <v>344</v>
      </c>
      <c r="K289">
        <f t="shared" si="119"/>
        <v>387</v>
      </c>
      <c r="L289">
        <f t="shared" si="120"/>
        <v>365.5</v>
      </c>
      <c r="M289">
        <f t="shared" si="121"/>
        <v>21.5</v>
      </c>
      <c r="N289">
        <f t="shared" si="111"/>
        <v>43</v>
      </c>
      <c r="O289">
        <f t="shared" si="122"/>
        <v>368</v>
      </c>
      <c r="P289">
        <f t="shared" si="123"/>
        <v>0.11627906976744186</v>
      </c>
      <c r="Q289" t="str">
        <f t="shared" si="112"/>
        <v>6.52% | 5.16%</v>
      </c>
      <c r="R289" t="str">
        <f t="shared" si="124"/>
        <v>NEUTRAL</v>
      </c>
      <c r="S289">
        <f t="shared" si="113"/>
        <v>0</v>
      </c>
    </row>
    <row r="290" spans="1:19" x14ac:dyDescent="0.25">
      <c r="A290" s="5" t="str">
        <f t="shared" si="110"/>
        <v>43899TSLA</v>
      </c>
      <c r="B290" s="6" t="s">
        <v>71</v>
      </c>
      <c r="C290" s="6">
        <v>576</v>
      </c>
      <c r="D290" s="6">
        <v>801</v>
      </c>
      <c r="E290" s="6">
        <v>703</v>
      </c>
      <c r="F290" t="str">
        <f t="shared" si="114"/>
        <v>MON</v>
      </c>
      <c r="G290" s="1">
        <f t="shared" si="115"/>
        <v>43899</v>
      </c>
      <c r="H290" s="2">
        <f t="shared" ca="1" si="116"/>
        <v>354</v>
      </c>
      <c r="I290" t="str">
        <f t="shared" si="117"/>
        <v>TSLA</v>
      </c>
      <c r="J290">
        <f t="shared" si="118"/>
        <v>576</v>
      </c>
      <c r="K290">
        <f t="shared" si="119"/>
        <v>801</v>
      </c>
      <c r="L290">
        <f t="shared" si="120"/>
        <v>688.5</v>
      </c>
      <c r="M290">
        <f t="shared" si="121"/>
        <v>112.5</v>
      </c>
      <c r="N290">
        <f t="shared" si="111"/>
        <v>225</v>
      </c>
      <c r="O290">
        <f t="shared" si="122"/>
        <v>703</v>
      </c>
      <c r="P290">
        <f t="shared" si="123"/>
        <v>0.12888888888888889</v>
      </c>
      <c r="Q290" t="str">
        <f t="shared" si="112"/>
        <v>18.07% | 13.94%</v>
      </c>
      <c r="R290" t="str">
        <f t="shared" si="124"/>
        <v>NEUTRAL</v>
      </c>
      <c r="S290">
        <f t="shared" si="113"/>
        <v>0</v>
      </c>
    </row>
    <row r="291" spans="1:19" hidden="1" x14ac:dyDescent="0.25">
      <c r="A291" s="5" t="str">
        <f t="shared" si="110"/>
        <v>43899NYXBT</v>
      </c>
      <c r="B291" s="6" t="s">
        <v>74</v>
      </c>
      <c r="C291" s="6">
        <v>8291</v>
      </c>
      <c r="D291" s="6">
        <v>9366</v>
      </c>
      <c r="E291" s="6">
        <v>9050</v>
      </c>
      <c r="F291" t="str">
        <f t="shared" si="114"/>
        <v>MON</v>
      </c>
      <c r="G291" s="1">
        <f t="shared" si="115"/>
        <v>43899</v>
      </c>
      <c r="H291" s="2">
        <f t="shared" ca="1" si="116"/>
        <v>354</v>
      </c>
      <c r="I291" t="str">
        <f t="shared" si="117"/>
        <v>NYXBT</v>
      </c>
      <c r="J291">
        <f t="shared" si="118"/>
        <v>8291</v>
      </c>
      <c r="K291">
        <f t="shared" si="119"/>
        <v>9366</v>
      </c>
      <c r="L291">
        <f t="shared" si="120"/>
        <v>8828.5</v>
      </c>
      <c r="M291">
        <f t="shared" si="121"/>
        <v>537.5</v>
      </c>
      <c r="N291">
        <f t="shared" si="111"/>
        <v>1075</v>
      </c>
      <c r="O291">
        <f t="shared" si="122"/>
        <v>9050</v>
      </c>
      <c r="P291">
        <f t="shared" si="123"/>
        <v>0.41209302325581393</v>
      </c>
      <c r="Q291" t="str">
        <f t="shared" si="112"/>
        <v>8.39% | 3.49%</v>
      </c>
      <c r="R291" t="str">
        <f t="shared" si="124"/>
        <v>BEARISH</v>
      </c>
      <c r="S291">
        <f t="shared" si="113"/>
        <v>-1</v>
      </c>
    </row>
    <row r="292" spans="1:19" hidden="1" x14ac:dyDescent="0.25">
      <c r="A292" s="5" t="str">
        <f t="shared" si="110"/>
        <v>43900UST10Y</v>
      </c>
      <c r="B292" s="6" t="s">
        <v>4</v>
      </c>
      <c r="C292" s="6">
        <v>1.01</v>
      </c>
      <c r="D292" s="6">
        <v>0.49</v>
      </c>
      <c r="E292" s="6">
        <v>0.54</v>
      </c>
      <c r="F292" t="str">
        <f t="shared" si="114"/>
        <v>TUE</v>
      </c>
      <c r="G292" s="3">
        <f>DATE(2020,3,10)</f>
        <v>43900</v>
      </c>
      <c r="H292" s="2">
        <f t="shared" ca="1" si="116"/>
        <v>353</v>
      </c>
      <c r="I292" t="str">
        <f t="shared" si="117"/>
        <v>UST10Y</v>
      </c>
      <c r="J292">
        <f t="shared" si="118"/>
        <v>1.01</v>
      </c>
      <c r="K292">
        <f t="shared" si="119"/>
        <v>0.49</v>
      </c>
      <c r="L292">
        <f t="shared" si="120"/>
        <v>0.75</v>
      </c>
      <c r="M292">
        <f t="shared" si="121"/>
        <v>0.26</v>
      </c>
      <c r="N292">
        <f t="shared" si="111"/>
        <v>0.52</v>
      </c>
      <c r="O292">
        <f t="shared" si="122"/>
        <v>0.54</v>
      </c>
      <c r="P292">
        <f t="shared" si="123"/>
        <v>-0.80769230769230749</v>
      </c>
      <c r="Q292" t="str">
        <f t="shared" si="112"/>
        <v>87.04% | 9.26%</v>
      </c>
      <c r="R292" t="str">
        <f t="shared" si="124"/>
        <v>BEARISH</v>
      </c>
      <c r="S292">
        <f t="shared" si="113"/>
        <v>-1</v>
      </c>
    </row>
    <row r="293" spans="1:19" hidden="1" x14ac:dyDescent="0.25">
      <c r="A293" s="5" t="str">
        <f t="shared" si="110"/>
        <v>43900UST2Y</v>
      </c>
      <c r="B293" s="6" t="s">
        <v>5</v>
      </c>
      <c r="C293" s="6">
        <v>0.74</v>
      </c>
      <c r="D293" s="6">
        <v>0.26</v>
      </c>
      <c r="E293" s="6">
        <v>0.38</v>
      </c>
      <c r="F293" t="str">
        <f t="shared" ref="F293:F321" si="125">UPPER(TEXT(G293,"ddd"))</f>
        <v>TUE</v>
      </c>
      <c r="G293" s="3">
        <f t="shared" ref="G293:G320" si="126">DATE(2020,3,10)</f>
        <v>43900</v>
      </c>
      <c r="H293" s="2">
        <f t="shared" ref="H293:H321" ca="1" si="127">TODAY()-G293</f>
        <v>353</v>
      </c>
      <c r="I293" t="str">
        <f t="shared" ref="I293:I321" si="128">TRIM(LEFT(B293,FIND(" ",B293,1)))</f>
        <v>UST2Y</v>
      </c>
      <c r="J293">
        <f t="shared" ref="J293:J321" si="129">C293</f>
        <v>0.74</v>
      </c>
      <c r="K293">
        <f t="shared" ref="K293:K321" si="130">D293</f>
        <v>0.26</v>
      </c>
      <c r="L293">
        <f t="shared" ref="L293:L321" si="131">AVERAGE(J293:K293)</f>
        <v>0.5</v>
      </c>
      <c r="M293">
        <f t="shared" ref="M293:M321" si="132">_xlfn.STDEV.P(J293:K293)</f>
        <v>0.23999999999999996</v>
      </c>
      <c r="N293">
        <f t="shared" si="111"/>
        <v>0.48</v>
      </c>
      <c r="O293">
        <f t="shared" ref="O293:O321" si="133">E293</f>
        <v>0.38</v>
      </c>
      <c r="P293">
        <f t="shared" ref="P293:P321" si="134">(O293-L293)/M293</f>
        <v>-0.50000000000000011</v>
      </c>
      <c r="Q293" t="str">
        <f t="shared" si="112"/>
        <v>94.74% | 31.58%</v>
      </c>
      <c r="R293" t="str">
        <f t="shared" ref="R293:R321" si="135">MID(B293,FIND("(",B293,1)+1,FIND(")",B293,1)-FIND("(",B293,1)-1)</f>
        <v>BEARISH</v>
      </c>
      <c r="S293">
        <f t="shared" si="113"/>
        <v>-1</v>
      </c>
    </row>
    <row r="294" spans="1:19" hidden="1" x14ac:dyDescent="0.25">
      <c r="A294" s="5" t="str">
        <f t="shared" si="110"/>
        <v>43900SPX</v>
      </c>
      <c r="B294" s="6" t="s">
        <v>6</v>
      </c>
      <c r="C294" s="6">
        <v>2673</v>
      </c>
      <c r="D294" s="6">
        <v>2924</v>
      </c>
      <c r="E294" s="6">
        <v>2746</v>
      </c>
      <c r="F294" t="str">
        <f t="shared" si="125"/>
        <v>TUE</v>
      </c>
      <c r="G294" s="3">
        <f t="shared" si="126"/>
        <v>43900</v>
      </c>
      <c r="H294" s="2">
        <f t="shared" ca="1" si="127"/>
        <v>353</v>
      </c>
      <c r="I294" t="str">
        <f t="shared" si="128"/>
        <v>SPX</v>
      </c>
      <c r="J294">
        <f t="shared" si="129"/>
        <v>2673</v>
      </c>
      <c r="K294">
        <f t="shared" si="130"/>
        <v>2924</v>
      </c>
      <c r="L294">
        <f t="shared" si="131"/>
        <v>2798.5</v>
      </c>
      <c r="M294">
        <f t="shared" si="132"/>
        <v>125.5</v>
      </c>
      <c r="N294">
        <f t="shared" si="111"/>
        <v>251</v>
      </c>
      <c r="O294">
        <f t="shared" si="133"/>
        <v>2746</v>
      </c>
      <c r="P294">
        <f t="shared" si="134"/>
        <v>-0.41832669322709165</v>
      </c>
      <c r="Q294" t="str">
        <f t="shared" si="112"/>
        <v>2.66% | 6.48%</v>
      </c>
      <c r="R294" t="str">
        <f t="shared" si="135"/>
        <v>BEARISH</v>
      </c>
      <c r="S294">
        <f t="shared" si="113"/>
        <v>-1</v>
      </c>
    </row>
    <row r="295" spans="1:19" hidden="1" x14ac:dyDescent="0.25">
      <c r="A295" s="5" t="str">
        <f t="shared" si="110"/>
        <v>43900RUT</v>
      </c>
      <c r="B295" s="6" t="s">
        <v>7</v>
      </c>
      <c r="C295" s="6">
        <v>1278</v>
      </c>
      <c r="D295" s="6">
        <v>1439</v>
      </c>
      <c r="E295" s="6">
        <v>1313</v>
      </c>
      <c r="F295" t="str">
        <f t="shared" si="125"/>
        <v>TUE</v>
      </c>
      <c r="G295" s="3">
        <f t="shared" si="126"/>
        <v>43900</v>
      </c>
      <c r="H295" s="2">
        <f t="shared" ca="1" si="127"/>
        <v>353</v>
      </c>
      <c r="I295" t="str">
        <f t="shared" si="128"/>
        <v>RUT</v>
      </c>
      <c r="J295">
        <f t="shared" si="129"/>
        <v>1278</v>
      </c>
      <c r="K295">
        <f t="shared" si="130"/>
        <v>1439</v>
      </c>
      <c r="L295">
        <f t="shared" si="131"/>
        <v>1358.5</v>
      </c>
      <c r="M295">
        <f t="shared" si="132"/>
        <v>80.5</v>
      </c>
      <c r="N295">
        <f t="shared" si="111"/>
        <v>161</v>
      </c>
      <c r="O295">
        <f t="shared" si="133"/>
        <v>1313</v>
      </c>
      <c r="P295">
        <f t="shared" si="134"/>
        <v>-0.56521739130434778</v>
      </c>
      <c r="Q295" t="str">
        <f t="shared" si="112"/>
        <v>2.67% | 9.6%</v>
      </c>
      <c r="R295" t="str">
        <f t="shared" si="135"/>
        <v>BEARISH</v>
      </c>
      <c r="S295">
        <f t="shared" si="113"/>
        <v>-1</v>
      </c>
    </row>
    <row r="296" spans="1:19" hidden="1" x14ac:dyDescent="0.25">
      <c r="A296" s="5" t="str">
        <f t="shared" si="110"/>
        <v>43900COMPQ</v>
      </c>
      <c r="B296" s="6" t="s">
        <v>64</v>
      </c>
      <c r="C296" s="6">
        <v>7743</v>
      </c>
      <c r="D296" s="6">
        <v>8431</v>
      </c>
      <c r="E296" s="6">
        <v>7950</v>
      </c>
      <c r="F296" t="str">
        <f t="shared" si="125"/>
        <v>TUE</v>
      </c>
      <c r="G296" s="3">
        <f t="shared" si="126"/>
        <v>43900</v>
      </c>
      <c r="H296" s="2">
        <f t="shared" ca="1" si="127"/>
        <v>353</v>
      </c>
      <c r="I296" t="str">
        <f t="shared" si="128"/>
        <v>COMPQ</v>
      </c>
      <c r="J296">
        <f t="shared" si="129"/>
        <v>7743</v>
      </c>
      <c r="K296">
        <f t="shared" si="130"/>
        <v>8431</v>
      </c>
      <c r="L296">
        <f t="shared" si="131"/>
        <v>8087</v>
      </c>
      <c r="M296">
        <f t="shared" si="132"/>
        <v>344</v>
      </c>
      <c r="N296">
        <f t="shared" si="111"/>
        <v>688</v>
      </c>
      <c r="O296">
        <f t="shared" si="133"/>
        <v>7950</v>
      </c>
      <c r="P296">
        <f t="shared" si="134"/>
        <v>-0.39825581395348836</v>
      </c>
      <c r="Q296" t="str">
        <f t="shared" si="112"/>
        <v>2.6% | 6.05%</v>
      </c>
      <c r="R296" t="str">
        <f t="shared" si="135"/>
        <v>BEARISH</v>
      </c>
      <c r="S296">
        <f t="shared" si="113"/>
        <v>-1</v>
      </c>
    </row>
    <row r="297" spans="1:19" hidden="1" x14ac:dyDescent="0.25">
      <c r="A297" s="5" t="str">
        <f t="shared" si="110"/>
        <v>43900XLU</v>
      </c>
      <c r="B297" s="6" t="s">
        <v>80</v>
      </c>
      <c r="C297" s="6">
        <v>61.36</v>
      </c>
      <c r="D297" s="6">
        <v>69.81</v>
      </c>
      <c r="E297" s="6">
        <v>63.46</v>
      </c>
      <c r="F297" t="str">
        <f t="shared" si="125"/>
        <v>TUE</v>
      </c>
      <c r="G297" s="3">
        <f t="shared" si="126"/>
        <v>43900</v>
      </c>
      <c r="H297" s="2">
        <f t="shared" ca="1" si="127"/>
        <v>353</v>
      </c>
      <c r="I297" t="str">
        <f t="shared" si="128"/>
        <v>XLU</v>
      </c>
      <c r="J297">
        <f t="shared" si="129"/>
        <v>61.36</v>
      </c>
      <c r="K297">
        <f t="shared" si="130"/>
        <v>69.81</v>
      </c>
      <c r="L297">
        <f t="shared" si="131"/>
        <v>65.585000000000008</v>
      </c>
      <c r="M297">
        <f t="shared" si="132"/>
        <v>4.2250000000000014</v>
      </c>
      <c r="N297">
        <f t="shared" si="111"/>
        <v>8.4500000000000028</v>
      </c>
      <c r="O297">
        <f t="shared" si="133"/>
        <v>63.46</v>
      </c>
      <c r="P297">
        <f t="shared" si="134"/>
        <v>-0.50295857988165826</v>
      </c>
      <c r="Q297" t="str">
        <f t="shared" si="112"/>
        <v>3.31% | 10.01%</v>
      </c>
      <c r="R297" t="str">
        <f t="shared" si="135"/>
        <v>NEUTRAL</v>
      </c>
      <c r="S297">
        <f t="shared" si="113"/>
        <v>0</v>
      </c>
    </row>
    <row r="298" spans="1:19" hidden="1" x14ac:dyDescent="0.25">
      <c r="A298" s="5" t="str">
        <f t="shared" si="110"/>
        <v>43900VNQ</v>
      </c>
      <c r="B298" s="6" t="s">
        <v>67</v>
      </c>
      <c r="C298" s="6">
        <v>83.08</v>
      </c>
      <c r="D298" s="6">
        <v>93.4</v>
      </c>
      <c r="E298" s="6">
        <v>83.68</v>
      </c>
      <c r="F298" t="str">
        <f t="shared" si="125"/>
        <v>TUE</v>
      </c>
      <c r="G298" s="3">
        <f t="shared" si="126"/>
        <v>43900</v>
      </c>
      <c r="H298" s="2">
        <f t="shared" ca="1" si="127"/>
        <v>353</v>
      </c>
      <c r="I298" t="str">
        <f t="shared" si="128"/>
        <v>VNQ</v>
      </c>
      <c r="J298">
        <f t="shared" si="129"/>
        <v>83.08</v>
      </c>
      <c r="K298">
        <f t="shared" si="130"/>
        <v>93.4</v>
      </c>
      <c r="L298">
        <f t="shared" si="131"/>
        <v>88.240000000000009</v>
      </c>
      <c r="M298">
        <f t="shared" si="132"/>
        <v>5.1600000000000037</v>
      </c>
      <c r="N298">
        <f t="shared" si="111"/>
        <v>10.320000000000007</v>
      </c>
      <c r="O298">
        <f t="shared" si="133"/>
        <v>83.68</v>
      </c>
      <c r="P298">
        <f t="shared" si="134"/>
        <v>-0.88372093023255793</v>
      </c>
      <c r="Q298" t="str">
        <f t="shared" si="112"/>
        <v>0.72% | 11.62%</v>
      </c>
      <c r="R298" t="str">
        <f t="shared" si="135"/>
        <v>BEARISH</v>
      </c>
      <c r="S298">
        <f t="shared" si="113"/>
        <v>-1</v>
      </c>
    </row>
    <row r="299" spans="1:19" hidden="1" x14ac:dyDescent="0.25">
      <c r="A299" s="5" t="str">
        <f t="shared" si="110"/>
        <v>43900XLP</v>
      </c>
      <c r="B299" s="6" t="s">
        <v>11</v>
      </c>
      <c r="C299" s="6">
        <v>57.04</v>
      </c>
      <c r="D299" s="6">
        <v>62.13</v>
      </c>
      <c r="E299" s="6">
        <v>58.86</v>
      </c>
      <c r="F299" t="str">
        <f t="shared" si="125"/>
        <v>TUE</v>
      </c>
      <c r="G299" s="3">
        <f t="shared" si="126"/>
        <v>43900</v>
      </c>
      <c r="H299" s="2">
        <f t="shared" ca="1" si="127"/>
        <v>353</v>
      </c>
      <c r="I299" t="str">
        <f t="shared" si="128"/>
        <v>XLP</v>
      </c>
      <c r="J299">
        <f t="shared" si="129"/>
        <v>57.04</v>
      </c>
      <c r="K299">
        <f t="shared" si="130"/>
        <v>62.13</v>
      </c>
      <c r="L299">
        <f t="shared" si="131"/>
        <v>59.585000000000001</v>
      </c>
      <c r="M299">
        <f t="shared" si="132"/>
        <v>2.5450000000000017</v>
      </c>
      <c r="N299">
        <f t="shared" si="111"/>
        <v>5.0900000000000034</v>
      </c>
      <c r="O299">
        <f t="shared" si="133"/>
        <v>58.86</v>
      </c>
      <c r="P299">
        <f t="shared" si="134"/>
        <v>-0.28487229862475477</v>
      </c>
      <c r="Q299" t="str">
        <f t="shared" si="112"/>
        <v>3.09% | 5.56%</v>
      </c>
      <c r="R299" t="str">
        <f t="shared" si="135"/>
        <v>BEARISH</v>
      </c>
      <c r="S299">
        <f t="shared" si="113"/>
        <v>-1</v>
      </c>
    </row>
    <row r="300" spans="1:19" hidden="1" x14ac:dyDescent="0.25">
      <c r="A300" s="5" t="str">
        <f t="shared" si="110"/>
        <v>43900XLK</v>
      </c>
      <c r="B300" s="6" t="s">
        <v>65</v>
      </c>
      <c r="C300" s="6">
        <v>80.95</v>
      </c>
      <c r="D300" s="6">
        <v>89.75</v>
      </c>
      <c r="E300" s="6">
        <v>82.16</v>
      </c>
      <c r="F300" t="str">
        <f t="shared" si="125"/>
        <v>TUE</v>
      </c>
      <c r="G300" s="3">
        <f t="shared" si="126"/>
        <v>43900</v>
      </c>
      <c r="H300" s="2">
        <f t="shared" ca="1" si="127"/>
        <v>353</v>
      </c>
      <c r="I300" t="str">
        <f t="shared" si="128"/>
        <v>XLK</v>
      </c>
      <c r="J300">
        <f t="shared" si="129"/>
        <v>80.95</v>
      </c>
      <c r="K300">
        <f t="shared" si="130"/>
        <v>89.75</v>
      </c>
      <c r="L300">
        <f t="shared" si="131"/>
        <v>85.35</v>
      </c>
      <c r="M300">
        <f t="shared" si="132"/>
        <v>4.3999999999999986</v>
      </c>
      <c r="N300">
        <f t="shared" si="111"/>
        <v>8.7999999999999972</v>
      </c>
      <c r="O300">
        <f t="shared" si="133"/>
        <v>82.16</v>
      </c>
      <c r="P300">
        <f t="shared" si="134"/>
        <v>-0.72499999999999976</v>
      </c>
      <c r="Q300" t="str">
        <f t="shared" si="112"/>
        <v>1.47% | 9.24%</v>
      </c>
      <c r="R300" t="str">
        <f t="shared" si="135"/>
        <v>BEARISH</v>
      </c>
      <c r="S300">
        <f t="shared" si="113"/>
        <v>-1</v>
      </c>
    </row>
    <row r="301" spans="1:19" hidden="1" x14ac:dyDescent="0.25">
      <c r="A301" s="5" t="str">
        <f t="shared" si="110"/>
        <v>43900SSEC</v>
      </c>
      <c r="B301" s="6" t="s">
        <v>14</v>
      </c>
      <c r="C301" s="6">
        <v>2908</v>
      </c>
      <c r="D301" s="6">
        <v>3076</v>
      </c>
      <c r="E301" s="6">
        <v>2996</v>
      </c>
      <c r="F301" t="str">
        <f t="shared" si="125"/>
        <v>TUE</v>
      </c>
      <c r="G301" s="3">
        <f t="shared" si="126"/>
        <v>43900</v>
      </c>
      <c r="H301" s="2">
        <f t="shared" ca="1" si="127"/>
        <v>353</v>
      </c>
      <c r="I301" t="str">
        <f t="shared" si="128"/>
        <v>SSEC</v>
      </c>
      <c r="J301">
        <f t="shared" si="129"/>
        <v>2908</v>
      </c>
      <c r="K301">
        <f t="shared" si="130"/>
        <v>3076</v>
      </c>
      <c r="L301">
        <f t="shared" si="131"/>
        <v>2992</v>
      </c>
      <c r="M301">
        <f t="shared" si="132"/>
        <v>84</v>
      </c>
      <c r="N301">
        <f t="shared" si="111"/>
        <v>168</v>
      </c>
      <c r="O301">
        <f t="shared" si="133"/>
        <v>2996</v>
      </c>
      <c r="P301">
        <f t="shared" si="134"/>
        <v>4.7619047619047616E-2</v>
      </c>
      <c r="Q301" t="str">
        <f t="shared" si="112"/>
        <v>2.94% | 2.67%</v>
      </c>
      <c r="R301" t="str">
        <f t="shared" si="135"/>
        <v>BEARISH</v>
      </c>
      <c r="S301">
        <f t="shared" si="113"/>
        <v>-1</v>
      </c>
    </row>
    <row r="302" spans="1:19" hidden="1" x14ac:dyDescent="0.25">
      <c r="A302" s="5" t="str">
        <f t="shared" si="110"/>
        <v>43900NIKK</v>
      </c>
      <c r="B302" s="6" t="s">
        <v>15</v>
      </c>
      <c r="C302" s="6">
        <v>19240</v>
      </c>
      <c r="D302" s="6">
        <v>20562</v>
      </c>
      <c r="E302" s="6">
        <v>19867</v>
      </c>
      <c r="F302" t="str">
        <f t="shared" si="125"/>
        <v>TUE</v>
      </c>
      <c r="G302" s="3">
        <f t="shared" si="126"/>
        <v>43900</v>
      </c>
      <c r="H302" s="2">
        <f t="shared" ca="1" si="127"/>
        <v>353</v>
      </c>
      <c r="I302" t="str">
        <f t="shared" si="128"/>
        <v>NIKK</v>
      </c>
      <c r="J302">
        <f t="shared" si="129"/>
        <v>19240</v>
      </c>
      <c r="K302">
        <f t="shared" si="130"/>
        <v>20562</v>
      </c>
      <c r="L302">
        <f t="shared" si="131"/>
        <v>19901</v>
      </c>
      <c r="M302">
        <f t="shared" si="132"/>
        <v>661</v>
      </c>
      <c r="N302">
        <f t="shared" si="111"/>
        <v>1322</v>
      </c>
      <c r="O302">
        <f t="shared" si="133"/>
        <v>19867</v>
      </c>
      <c r="P302">
        <f t="shared" si="134"/>
        <v>-5.1437216338880487E-2</v>
      </c>
      <c r="Q302" t="str">
        <f t="shared" si="112"/>
        <v>3.16% | 3.5%</v>
      </c>
      <c r="R302" t="str">
        <f t="shared" si="135"/>
        <v>BEARISH</v>
      </c>
      <c r="S302">
        <f t="shared" si="113"/>
        <v>-1</v>
      </c>
    </row>
    <row r="303" spans="1:19" hidden="1" x14ac:dyDescent="0.25">
      <c r="A303" s="5" t="str">
        <f t="shared" si="110"/>
        <v>43900DAX</v>
      </c>
      <c r="B303" s="6" t="s">
        <v>16</v>
      </c>
      <c r="C303" s="6">
        <v>10574</v>
      </c>
      <c r="D303" s="6">
        <v>11392</v>
      </c>
      <c r="E303" s="6">
        <v>10631</v>
      </c>
      <c r="F303" t="str">
        <f t="shared" si="125"/>
        <v>TUE</v>
      </c>
      <c r="G303" s="3">
        <f t="shared" si="126"/>
        <v>43900</v>
      </c>
      <c r="H303" s="2">
        <f t="shared" ca="1" si="127"/>
        <v>353</v>
      </c>
      <c r="I303" t="str">
        <f t="shared" si="128"/>
        <v>DAX</v>
      </c>
      <c r="J303">
        <f t="shared" si="129"/>
        <v>10574</v>
      </c>
      <c r="K303">
        <f t="shared" si="130"/>
        <v>11392</v>
      </c>
      <c r="L303">
        <f t="shared" si="131"/>
        <v>10983</v>
      </c>
      <c r="M303">
        <f t="shared" si="132"/>
        <v>409</v>
      </c>
      <c r="N303">
        <f t="shared" si="111"/>
        <v>818</v>
      </c>
      <c r="O303">
        <f t="shared" si="133"/>
        <v>10631</v>
      </c>
      <c r="P303">
        <f t="shared" si="134"/>
        <v>-0.86063569682151586</v>
      </c>
      <c r="Q303" t="str">
        <f t="shared" si="112"/>
        <v>0.54% | 7.16%</v>
      </c>
      <c r="R303" t="str">
        <f t="shared" si="135"/>
        <v>BEARISH</v>
      </c>
      <c r="S303">
        <f t="shared" si="113"/>
        <v>-1</v>
      </c>
    </row>
    <row r="304" spans="1:19" hidden="1" x14ac:dyDescent="0.25">
      <c r="A304" s="5" t="str">
        <f t="shared" si="110"/>
        <v>43900VIX</v>
      </c>
      <c r="B304" s="6" t="s">
        <v>17</v>
      </c>
      <c r="C304" s="6">
        <v>32.03</v>
      </c>
      <c r="D304" s="6">
        <v>58.48</v>
      </c>
      <c r="E304" s="6">
        <v>54.46</v>
      </c>
      <c r="F304" t="str">
        <f t="shared" si="125"/>
        <v>TUE</v>
      </c>
      <c r="G304" s="3">
        <f t="shared" si="126"/>
        <v>43900</v>
      </c>
      <c r="H304" s="2">
        <f t="shared" ca="1" si="127"/>
        <v>353</v>
      </c>
      <c r="I304" t="str">
        <f t="shared" si="128"/>
        <v>VIX</v>
      </c>
      <c r="J304">
        <f t="shared" si="129"/>
        <v>32.03</v>
      </c>
      <c r="K304">
        <f t="shared" si="130"/>
        <v>58.48</v>
      </c>
      <c r="L304">
        <f t="shared" si="131"/>
        <v>45.254999999999995</v>
      </c>
      <c r="M304">
        <f t="shared" si="132"/>
        <v>13.225000000000009</v>
      </c>
      <c r="N304">
        <f t="shared" si="111"/>
        <v>26.449999999999996</v>
      </c>
      <c r="O304">
        <f t="shared" si="133"/>
        <v>54.46</v>
      </c>
      <c r="P304">
        <f t="shared" si="134"/>
        <v>0.69603024574669181</v>
      </c>
      <c r="Q304" t="str">
        <f t="shared" si="112"/>
        <v>41.19% | 7.38%</v>
      </c>
      <c r="R304" t="str">
        <f t="shared" si="135"/>
        <v>BULLISH</v>
      </c>
      <c r="S304">
        <f t="shared" si="113"/>
        <v>1</v>
      </c>
    </row>
    <row r="305" spans="1:19" hidden="1" x14ac:dyDescent="0.25">
      <c r="A305" s="5" t="str">
        <f t="shared" si="110"/>
        <v>43900USD</v>
      </c>
      <c r="B305" s="6" t="s">
        <v>78</v>
      </c>
      <c r="C305" s="6">
        <v>94.73</v>
      </c>
      <c r="D305" s="6">
        <v>97.75</v>
      </c>
      <c r="E305" s="6">
        <v>94.87</v>
      </c>
      <c r="F305" t="str">
        <f t="shared" si="125"/>
        <v>TUE</v>
      </c>
      <c r="G305" s="3">
        <f t="shared" si="126"/>
        <v>43900</v>
      </c>
      <c r="H305" s="2">
        <f t="shared" ca="1" si="127"/>
        <v>353</v>
      </c>
      <c r="I305" t="str">
        <f t="shared" si="128"/>
        <v>USD</v>
      </c>
      <c r="J305">
        <f t="shared" si="129"/>
        <v>94.73</v>
      </c>
      <c r="K305">
        <f t="shared" si="130"/>
        <v>97.75</v>
      </c>
      <c r="L305">
        <f t="shared" si="131"/>
        <v>96.240000000000009</v>
      </c>
      <c r="M305">
        <f t="shared" si="132"/>
        <v>1.509999999999998</v>
      </c>
      <c r="N305">
        <f t="shared" si="111"/>
        <v>3.019999999999996</v>
      </c>
      <c r="O305">
        <f t="shared" si="133"/>
        <v>94.87</v>
      </c>
      <c r="P305">
        <f t="shared" si="134"/>
        <v>-0.90728476821192472</v>
      </c>
      <c r="Q305" t="str">
        <f t="shared" si="112"/>
        <v>0.15% | 3.04%</v>
      </c>
      <c r="R305" t="str">
        <f t="shared" si="135"/>
        <v>NEUTRAL</v>
      </c>
      <c r="S305">
        <f t="shared" si="113"/>
        <v>0</v>
      </c>
    </row>
    <row r="306" spans="1:19" hidden="1" x14ac:dyDescent="0.25">
      <c r="A306" s="5" t="str">
        <f t="shared" si="110"/>
        <v>43900EUR/USD</v>
      </c>
      <c r="B306" s="6" t="s">
        <v>77</v>
      </c>
      <c r="C306" s="6">
        <v>1.08</v>
      </c>
      <c r="D306" s="6">
        <v>1.1399999999999999</v>
      </c>
      <c r="E306" s="6">
        <v>1.1399999999999999</v>
      </c>
      <c r="F306" t="str">
        <f t="shared" si="125"/>
        <v>TUE</v>
      </c>
      <c r="G306" s="3">
        <f t="shared" si="126"/>
        <v>43900</v>
      </c>
      <c r="H306" s="2">
        <f t="shared" ca="1" si="127"/>
        <v>353</v>
      </c>
      <c r="I306" t="str">
        <f t="shared" si="128"/>
        <v>EUR/USD</v>
      </c>
      <c r="J306">
        <f t="shared" si="129"/>
        <v>1.08</v>
      </c>
      <c r="K306">
        <f t="shared" si="130"/>
        <v>1.1399999999999999</v>
      </c>
      <c r="L306">
        <f t="shared" si="131"/>
        <v>1.1099999999999999</v>
      </c>
      <c r="M306">
        <f t="shared" si="132"/>
        <v>2.9999999999999916E-2</v>
      </c>
      <c r="N306">
        <f t="shared" si="111"/>
        <v>5.9999999999999831E-2</v>
      </c>
      <c r="O306">
        <f t="shared" si="133"/>
        <v>1.1399999999999999</v>
      </c>
      <c r="P306">
        <f t="shared" si="134"/>
        <v>1.0000000000000038</v>
      </c>
      <c r="Q306" t="str">
        <f t="shared" si="112"/>
        <v>5.26% | 0%</v>
      </c>
      <c r="R306" t="str">
        <f t="shared" si="135"/>
        <v>NEUTRAL</v>
      </c>
      <c r="S306">
        <f t="shared" si="113"/>
        <v>0</v>
      </c>
    </row>
    <row r="307" spans="1:19" hidden="1" x14ac:dyDescent="0.25">
      <c r="A307" s="5" t="str">
        <f t="shared" si="110"/>
        <v>43900USD/JPY</v>
      </c>
      <c r="B307" s="6" t="s">
        <v>20</v>
      </c>
      <c r="C307" s="6">
        <v>101.86</v>
      </c>
      <c r="D307" s="6">
        <v>108.46</v>
      </c>
      <c r="E307" s="6">
        <v>102.39</v>
      </c>
      <c r="F307" t="str">
        <f t="shared" si="125"/>
        <v>TUE</v>
      </c>
      <c r="G307" s="3">
        <f t="shared" si="126"/>
        <v>43900</v>
      </c>
      <c r="H307" s="2">
        <f t="shared" ca="1" si="127"/>
        <v>353</v>
      </c>
      <c r="I307" t="str">
        <f t="shared" si="128"/>
        <v>USD/JPY</v>
      </c>
      <c r="J307">
        <f t="shared" si="129"/>
        <v>101.86</v>
      </c>
      <c r="K307">
        <f t="shared" si="130"/>
        <v>108.46</v>
      </c>
      <c r="L307">
        <f t="shared" si="131"/>
        <v>105.16</v>
      </c>
      <c r="M307">
        <f t="shared" si="132"/>
        <v>3.2999999999999972</v>
      </c>
      <c r="N307">
        <f t="shared" si="111"/>
        <v>6.5999999999999943</v>
      </c>
      <c r="O307">
        <f t="shared" si="133"/>
        <v>102.39</v>
      </c>
      <c r="P307">
        <f t="shared" si="134"/>
        <v>-0.83939393939393891</v>
      </c>
      <c r="Q307" t="str">
        <f t="shared" si="112"/>
        <v>0.52% | 5.93%</v>
      </c>
      <c r="R307" t="str">
        <f t="shared" si="135"/>
        <v>BEARISH</v>
      </c>
      <c r="S307">
        <f t="shared" si="113"/>
        <v>-1</v>
      </c>
    </row>
    <row r="308" spans="1:19" hidden="1" x14ac:dyDescent="0.25">
      <c r="A308" s="5" t="str">
        <f t="shared" si="110"/>
        <v>43900GBP/USD</v>
      </c>
      <c r="B308" s="6" t="s">
        <v>79</v>
      </c>
      <c r="C308" s="6">
        <v>1.27</v>
      </c>
      <c r="D308" s="6">
        <v>1.31</v>
      </c>
      <c r="E308" s="6">
        <v>1.31</v>
      </c>
      <c r="F308" t="str">
        <f t="shared" si="125"/>
        <v>TUE</v>
      </c>
      <c r="G308" s="3">
        <f t="shared" si="126"/>
        <v>43900</v>
      </c>
      <c r="H308" s="2">
        <f t="shared" ca="1" si="127"/>
        <v>353</v>
      </c>
      <c r="I308" t="str">
        <f t="shared" si="128"/>
        <v>GBP/USD</v>
      </c>
      <c r="J308">
        <f t="shared" si="129"/>
        <v>1.27</v>
      </c>
      <c r="K308">
        <f t="shared" si="130"/>
        <v>1.31</v>
      </c>
      <c r="L308">
        <f t="shared" si="131"/>
        <v>1.29</v>
      </c>
      <c r="M308">
        <f t="shared" si="132"/>
        <v>2.0000000000000018E-2</v>
      </c>
      <c r="N308">
        <f t="shared" si="111"/>
        <v>4.0000000000000036E-2</v>
      </c>
      <c r="O308">
        <f t="shared" si="133"/>
        <v>1.31</v>
      </c>
      <c r="P308">
        <f t="shared" si="134"/>
        <v>1</v>
      </c>
      <c r="Q308" t="str">
        <f t="shared" si="112"/>
        <v>3.05% | 0%</v>
      </c>
      <c r="R308" t="str">
        <f t="shared" si="135"/>
        <v>NEUTRAL</v>
      </c>
      <c r="S308">
        <f t="shared" si="113"/>
        <v>0</v>
      </c>
    </row>
    <row r="309" spans="1:19" hidden="1" x14ac:dyDescent="0.25">
      <c r="A309" s="5" t="str">
        <f t="shared" si="110"/>
        <v>43900USD/CHF</v>
      </c>
      <c r="B309" s="6" t="s">
        <v>76</v>
      </c>
      <c r="C309" s="6">
        <v>0.92</v>
      </c>
      <c r="D309" s="6">
        <v>0.96</v>
      </c>
      <c r="E309" s="6">
        <v>0.92</v>
      </c>
      <c r="F309" t="str">
        <f t="shared" si="125"/>
        <v>TUE</v>
      </c>
      <c r="G309" s="3">
        <f t="shared" si="126"/>
        <v>43900</v>
      </c>
      <c r="H309" s="2">
        <f t="shared" ca="1" si="127"/>
        <v>353</v>
      </c>
      <c r="I309" t="str">
        <f t="shared" si="128"/>
        <v>USD/CHF</v>
      </c>
      <c r="J309">
        <f t="shared" si="129"/>
        <v>0.92</v>
      </c>
      <c r="K309">
        <f t="shared" si="130"/>
        <v>0.96</v>
      </c>
      <c r="L309">
        <f t="shared" si="131"/>
        <v>0.94</v>
      </c>
      <c r="M309">
        <f t="shared" si="132"/>
        <v>1.9999999999999962E-2</v>
      </c>
      <c r="N309">
        <f t="shared" si="111"/>
        <v>3.9999999999999925E-2</v>
      </c>
      <c r="O309">
        <f t="shared" si="133"/>
        <v>0.92</v>
      </c>
      <c r="P309">
        <f t="shared" si="134"/>
        <v>-0.99999999999999722</v>
      </c>
      <c r="Q309" t="str">
        <f t="shared" si="112"/>
        <v>0% | 4.35%</v>
      </c>
      <c r="R309" t="str">
        <f t="shared" si="135"/>
        <v>BEARISH</v>
      </c>
      <c r="S309">
        <f t="shared" si="113"/>
        <v>-1</v>
      </c>
    </row>
    <row r="310" spans="1:19" hidden="1" x14ac:dyDescent="0.25">
      <c r="A310" s="5" t="str">
        <f t="shared" si="110"/>
        <v>43900WTIC</v>
      </c>
      <c r="B310" s="6" t="s">
        <v>23</v>
      </c>
      <c r="C310" s="6">
        <v>27.1</v>
      </c>
      <c r="D310" s="6">
        <v>39.54</v>
      </c>
      <c r="E310" s="6">
        <v>31.13</v>
      </c>
      <c r="F310" t="str">
        <f t="shared" si="125"/>
        <v>TUE</v>
      </c>
      <c r="G310" s="3">
        <f t="shared" si="126"/>
        <v>43900</v>
      </c>
      <c r="H310" s="2">
        <f t="shared" ca="1" si="127"/>
        <v>353</v>
      </c>
      <c r="I310" t="str">
        <f t="shared" si="128"/>
        <v>WTIC</v>
      </c>
      <c r="J310">
        <f t="shared" si="129"/>
        <v>27.1</v>
      </c>
      <c r="K310">
        <f t="shared" si="130"/>
        <v>39.54</v>
      </c>
      <c r="L310">
        <f t="shared" si="131"/>
        <v>33.32</v>
      </c>
      <c r="M310">
        <f t="shared" si="132"/>
        <v>6.22</v>
      </c>
      <c r="N310">
        <f t="shared" si="111"/>
        <v>12.439999999999998</v>
      </c>
      <c r="O310">
        <f t="shared" si="133"/>
        <v>31.13</v>
      </c>
      <c r="P310">
        <f t="shared" si="134"/>
        <v>-0.35209003215434104</v>
      </c>
      <c r="Q310" t="str">
        <f t="shared" si="112"/>
        <v>12.95% | 27.02%</v>
      </c>
      <c r="R310" t="str">
        <f t="shared" si="135"/>
        <v>BEARISH</v>
      </c>
      <c r="S310">
        <f t="shared" si="113"/>
        <v>-1</v>
      </c>
    </row>
    <row r="311" spans="1:19" hidden="1" x14ac:dyDescent="0.25">
      <c r="A311" s="5" t="str">
        <f t="shared" si="110"/>
        <v>43900NATGAS</v>
      </c>
      <c r="B311" s="6" t="s">
        <v>24</v>
      </c>
      <c r="C311" s="6">
        <v>1.56</v>
      </c>
      <c r="D311" s="6">
        <v>1.92</v>
      </c>
      <c r="E311" s="6">
        <v>1.78</v>
      </c>
      <c r="F311" t="str">
        <f t="shared" si="125"/>
        <v>TUE</v>
      </c>
      <c r="G311" s="3">
        <f t="shared" si="126"/>
        <v>43900</v>
      </c>
      <c r="H311" s="2">
        <f t="shared" ca="1" si="127"/>
        <v>353</v>
      </c>
      <c r="I311" t="str">
        <f t="shared" si="128"/>
        <v>NATGAS</v>
      </c>
      <c r="J311">
        <f t="shared" si="129"/>
        <v>1.56</v>
      </c>
      <c r="K311">
        <f t="shared" si="130"/>
        <v>1.92</v>
      </c>
      <c r="L311">
        <f t="shared" si="131"/>
        <v>1.74</v>
      </c>
      <c r="M311">
        <f t="shared" si="132"/>
        <v>0.17999999999999997</v>
      </c>
      <c r="N311">
        <f t="shared" si="111"/>
        <v>0.35999999999999988</v>
      </c>
      <c r="O311">
        <f t="shared" si="133"/>
        <v>1.78</v>
      </c>
      <c r="P311">
        <f t="shared" si="134"/>
        <v>0.22222222222222246</v>
      </c>
      <c r="Q311" t="str">
        <f t="shared" si="112"/>
        <v>12.36% | 7.87%</v>
      </c>
      <c r="R311" t="str">
        <f t="shared" si="135"/>
        <v>BEARISH</v>
      </c>
      <c r="S311">
        <f t="shared" si="113"/>
        <v>-1</v>
      </c>
    </row>
    <row r="312" spans="1:19" hidden="1" x14ac:dyDescent="0.25">
      <c r="A312" s="5" t="str">
        <f t="shared" si="110"/>
        <v>43900GOLD</v>
      </c>
      <c r="B312" s="6" t="s">
        <v>25</v>
      </c>
      <c r="C312" s="6">
        <v>1570</v>
      </c>
      <c r="D312" s="6">
        <v>1710</v>
      </c>
      <c r="E312" s="6">
        <v>1675</v>
      </c>
      <c r="F312" t="str">
        <f t="shared" si="125"/>
        <v>TUE</v>
      </c>
      <c r="G312" s="3">
        <f t="shared" si="126"/>
        <v>43900</v>
      </c>
      <c r="H312" s="2">
        <f t="shared" ca="1" si="127"/>
        <v>353</v>
      </c>
      <c r="I312" t="str">
        <f t="shared" si="128"/>
        <v>GOLD</v>
      </c>
      <c r="J312">
        <f t="shared" si="129"/>
        <v>1570</v>
      </c>
      <c r="K312">
        <f t="shared" si="130"/>
        <v>1710</v>
      </c>
      <c r="L312">
        <f t="shared" si="131"/>
        <v>1640</v>
      </c>
      <c r="M312">
        <f t="shared" si="132"/>
        <v>70</v>
      </c>
      <c r="N312">
        <f t="shared" si="111"/>
        <v>140</v>
      </c>
      <c r="O312">
        <f t="shared" si="133"/>
        <v>1675</v>
      </c>
      <c r="P312">
        <f t="shared" si="134"/>
        <v>0.5</v>
      </c>
      <c r="Q312" t="str">
        <f t="shared" si="112"/>
        <v>6.27% | 2.09%</v>
      </c>
      <c r="R312" t="str">
        <f t="shared" si="135"/>
        <v>BULLISH</v>
      </c>
      <c r="S312">
        <f t="shared" si="113"/>
        <v>1</v>
      </c>
    </row>
    <row r="313" spans="1:19" hidden="1" x14ac:dyDescent="0.25">
      <c r="A313" s="5" t="str">
        <f t="shared" si="110"/>
        <v>43900COPPER</v>
      </c>
      <c r="B313" s="6" t="s">
        <v>26</v>
      </c>
      <c r="C313" s="6">
        <v>2.41</v>
      </c>
      <c r="D313" s="6">
        <v>2.62</v>
      </c>
      <c r="E313" s="6">
        <v>2.5099999999999998</v>
      </c>
      <c r="F313" t="str">
        <f t="shared" si="125"/>
        <v>TUE</v>
      </c>
      <c r="G313" s="3">
        <f t="shared" si="126"/>
        <v>43900</v>
      </c>
      <c r="H313" s="2">
        <f t="shared" ca="1" si="127"/>
        <v>353</v>
      </c>
      <c r="I313" t="str">
        <f t="shared" si="128"/>
        <v>COPPER</v>
      </c>
      <c r="J313">
        <f t="shared" si="129"/>
        <v>2.41</v>
      </c>
      <c r="K313">
        <f t="shared" si="130"/>
        <v>2.62</v>
      </c>
      <c r="L313">
        <f t="shared" si="131"/>
        <v>2.5150000000000001</v>
      </c>
      <c r="M313">
        <f t="shared" si="132"/>
        <v>0.10499999999999998</v>
      </c>
      <c r="N313">
        <f t="shared" si="111"/>
        <v>0.20999999999999996</v>
      </c>
      <c r="O313">
        <f t="shared" si="133"/>
        <v>2.5099999999999998</v>
      </c>
      <c r="P313">
        <f t="shared" si="134"/>
        <v>-4.7619047619050843E-2</v>
      </c>
      <c r="Q313" t="str">
        <f t="shared" si="112"/>
        <v>3.98% | 4.38%</v>
      </c>
      <c r="R313" t="str">
        <f t="shared" si="135"/>
        <v>BEARISH</v>
      </c>
      <c r="S313">
        <f t="shared" si="113"/>
        <v>-1</v>
      </c>
    </row>
    <row r="314" spans="1:19" hidden="1" x14ac:dyDescent="0.25">
      <c r="A314" s="5" t="str">
        <f t="shared" si="110"/>
        <v>43900AAPL</v>
      </c>
      <c r="B314" s="6" t="s">
        <v>68</v>
      </c>
      <c r="C314" s="6">
        <v>260.01</v>
      </c>
      <c r="D314" s="6">
        <v>299.33999999999997</v>
      </c>
      <c r="E314" s="6">
        <v>266.17</v>
      </c>
      <c r="F314" t="str">
        <f t="shared" si="125"/>
        <v>TUE</v>
      </c>
      <c r="G314" s="3">
        <f t="shared" si="126"/>
        <v>43900</v>
      </c>
      <c r="H314" s="2">
        <f t="shared" ca="1" si="127"/>
        <v>353</v>
      </c>
      <c r="I314" t="str">
        <f t="shared" si="128"/>
        <v>AAPL</v>
      </c>
      <c r="J314">
        <f t="shared" si="129"/>
        <v>260.01</v>
      </c>
      <c r="K314">
        <f t="shared" si="130"/>
        <v>299.33999999999997</v>
      </c>
      <c r="L314">
        <f t="shared" si="131"/>
        <v>279.67499999999995</v>
      </c>
      <c r="M314">
        <f t="shared" si="132"/>
        <v>19.664999999999992</v>
      </c>
      <c r="N314">
        <f t="shared" si="111"/>
        <v>39.329999999999984</v>
      </c>
      <c r="O314">
        <f t="shared" si="133"/>
        <v>266.17</v>
      </c>
      <c r="P314">
        <f t="shared" si="134"/>
        <v>-0.68675311467073197</v>
      </c>
      <c r="Q314" t="str">
        <f t="shared" si="112"/>
        <v>2.31% | 12.46%</v>
      </c>
      <c r="R314" t="str">
        <f t="shared" si="135"/>
        <v>BEARISH</v>
      </c>
      <c r="S314">
        <f t="shared" si="113"/>
        <v>-1</v>
      </c>
    </row>
    <row r="315" spans="1:19" hidden="1" x14ac:dyDescent="0.25">
      <c r="A315" s="5" t="str">
        <f t="shared" si="110"/>
        <v>43900AMZN</v>
      </c>
      <c r="B315" s="6" t="s">
        <v>73</v>
      </c>
      <c r="C315" s="6">
        <v>1760</v>
      </c>
      <c r="D315" s="6">
        <v>1967</v>
      </c>
      <c r="E315" s="6">
        <v>1800</v>
      </c>
      <c r="F315" t="str">
        <f t="shared" si="125"/>
        <v>TUE</v>
      </c>
      <c r="G315" s="3">
        <f t="shared" si="126"/>
        <v>43900</v>
      </c>
      <c r="H315" s="2">
        <f t="shared" ca="1" si="127"/>
        <v>353</v>
      </c>
      <c r="I315" t="str">
        <f t="shared" si="128"/>
        <v>AMZN</v>
      </c>
      <c r="J315">
        <f t="shared" si="129"/>
        <v>1760</v>
      </c>
      <c r="K315">
        <f t="shared" si="130"/>
        <v>1967</v>
      </c>
      <c r="L315">
        <f t="shared" si="131"/>
        <v>1863.5</v>
      </c>
      <c r="M315">
        <f t="shared" si="132"/>
        <v>103.5</v>
      </c>
      <c r="N315">
        <f t="shared" si="111"/>
        <v>207</v>
      </c>
      <c r="O315">
        <f t="shared" si="133"/>
        <v>1800</v>
      </c>
      <c r="P315">
        <f t="shared" si="134"/>
        <v>-0.61352657004830913</v>
      </c>
      <c r="Q315" t="str">
        <f t="shared" si="112"/>
        <v>2.22% | 9.28%</v>
      </c>
      <c r="R315" t="str">
        <f t="shared" si="135"/>
        <v>BEARISH</v>
      </c>
      <c r="S315">
        <f t="shared" si="113"/>
        <v>-1</v>
      </c>
    </row>
    <row r="316" spans="1:19" hidden="1" x14ac:dyDescent="0.25">
      <c r="A316" s="5" t="str">
        <f t="shared" si="110"/>
        <v>43900FB</v>
      </c>
      <c r="B316" s="6" t="s">
        <v>58</v>
      </c>
      <c r="C316" s="6">
        <v>162</v>
      </c>
      <c r="D316" s="6">
        <v>187</v>
      </c>
      <c r="E316" s="6">
        <v>169</v>
      </c>
      <c r="F316" t="str">
        <f t="shared" si="125"/>
        <v>TUE</v>
      </c>
      <c r="G316" s="3">
        <f t="shared" si="126"/>
        <v>43900</v>
      </c>
      <c r="H316" s="2">
        <f t="shared" ca="1" si="127"/>
        <v>353</v>
      </c>
      <c r="I316" t="str">
        <f t="shared" si="128"/>
        <v>FB</v>
      </c>
      <c r="J316">
        <f t="shared" si="129"/>
        <v>162</v>
      </c>
      <c r="K316">
        <f t="shared" si="130"/>
        <v>187</v>
      </c>
      <c r="L316">
        <f t="shared" si="131"/>
        <v>174.5</v>
      </c>
      <c r="M316">
        <f t="shared" si="132"/>
        <v>12.5</v>
      </c>
      <c r="N316">
        <f t="shared" si="111"/>
        <v>25</v>
      </c>
      <c r="O316">
        <f t="shared" si="133"/>
        <v>169</v>
      </c>
      <c r="P316">
        <f t="shared" si="134"/>
        <v>-0.44</v>
      </c>
      <c r="Q316" t="str">
        <f t="shared" si="112"/>
        <v>4.14% | 10.65%</v>
      </c>
      <c r="R316" t="str">
        <f t="shared" si="135"/>
        <v>BEARISH</v>
      </c>
      <c r="S316">
        <f t="shared" si="113"/>
        <v>-1</v>
      </c>
    </row>
    <row r="317" spans="1:19" hidden="1" x14ac:dyDescent="0.25">
      <c r="A317" s="5" t="str">
        <f t="shared" si="110"/>
        <v>43900GOOGL</v>
      </c>
      <c r="B317" s="6" t="s">
        <v>66</v>
      </c>
      <c r="C317" s="6">
        <v>1201</v>
      </c>
      <c r="D317" s="6">
        <v>1377</v>
      </c>
      <c r="E317" s="6">
        <v>1215</v>
      </c>
      <c r="F317" t="str">
        <f t="shared" si="125"/>
        <v>TUE</v>
      </c>
      <c r="G317" s="3">
        <f t="shared" si="126"/>
        <v>43900</v>
      </c>
      <c r="H317" s="2">
        <f t="shared" ca="1" si="127"/>
        <v>353</v>
      </c>
      <c r="I317" t="str">
        <f t="shared" si="128"/>
        <v>GOOGL</v>
      </c>
      <c r="J317">
        <f t="shared" si="129"/>
        <v>1201</v>
      </c>
      <c r="K317">
        <f t="shared" si="130"/>
        <v>1377</v>
      </c>
      <c r="L317">
        <f t="shared" si="131"/>
        <v>1289</v>
      </c>
      <c r="M317">
        <f t="shared" si="132"/>
        <v>88</v>
      </c>
      <c r="N317">
        <f t="shared" si="111"/>
        <v>176</v>
      </c>
      <c r="O317">
        <f t="shared" si="133"/>
        <v>1215</v>
      </c>
      <c r="P317">
        <f t="shared" si="134"/>
        <v>-0.84090909090909094</v>
      </c>
      <c r="Q317" t="str">
        <f t="shared" si="112"/>
        <v>1.15% | 13.33%</v>
      </c>
      <c r="R317" t="str">
        <f t="shared" si="135"/>
        <v>BEARISH</v>
      </c>
      <c r="S317">
        <f t="shared" si="113"/>
        <v>-1</v>
      </c>
    </row>
    <row r="318" spans="1:19" hidden="1" x14ac:dyDescent="0.25">
      <c r="A318" s="5" t="str">
        <f t="shared" si="110"/>
        <v>43900NFLX</v>
      </c>
      <c r="B318" s="6" t="s">
        <v>81</v>
      </c>
      <c r="C318" s="6">
        <v>340</v>
      </c>
      <c r="D318" s="6">
        <v>372</v>
      </c>
      <c r="E318" s="6">
        <v>346</v>
      </c>
      <c r="F318" t="str">
        <f t="shared" si="125"/>
        <v>TUE</v>
      </c>
      <c r="G318" s="3">
        <f t="shared" si="126"/>
        <v>43900</v>
      </c>
      <c r="H318" s="2">
        <f t="shared" ca="1" si="127"/>
        <v>353</v>
      </c>
      <c r="I318" t="str">
        <f t="shared" si="128"/>
        <v>NFLX</v>
      </c>
      <c r="J318">
        <f t="shared" si="129"/>
        <v>340</v>
      </c>
      <c r="K318">
        <f t="shared" si="130"/>
        <v>372</v>
      </c>
      <c r="L318">
        <f t="shared" si="131"/>
        <v>356</v>
      </c>
      <c r="M318">
        <f t="shared" si="132"/>
        <v>16</v>
      </c>
      <c r="N318">
        <f t="shared" si="111"/>
        <v>32</v>
      </c>
      <c r="O318">
        <f t="shared" si="133"/>
        <v>346</v>
      </c>
      <c r="P318">
        <f t="shared" si="134"/>
        <v>-0.625</v>
      </c>
      <c r="Q318" t="str">
        <f t="shared" si="112"/>
        <v>1.73% | 7.51%</v>
      </c>
      <c r="R318" t="str">
        <f t="shared" si="135"/>
        <v>BEARISH</v>
      </c>
      <c r="S318">
        <f t="shared" si="113"/>
        <v>-1</v>
      </c>
    </row>
    <row r="319" spans="1:19" x14ac:dyDescent="0.25">
      <c r="A319" s="5" t="str">
        <f t="shared" si="110"/>
        <v>43900TSLA</v>
      </c>
      <c r="B319" s="6" t="s">
        <v>71</v>
      </c>
      <c r="C319" s="6">
        <v>572</v>
      </c>
      <c r="D319" s="6">
        <v>719</v>
      </c>
      <c r="E319" s="6">
        <v>608</v>
      </c>
      <c r="F319" t="str">
        <f t="shared" si="125"/>
        <v>TUE</v>
      </c>
      <c r="G319" s="3">
        <f t="shared" si="126"/>
        <v>43900</v>
      </c>
      <c r="H319" s="2">
        <f t="shared" ca="1" si="127"/>
        <v>353</v>
      </c>
      <c r="I319" t="str">
        <f t="shared" si="128"/>
        <v>TSLA</v>
      </c>
      <c r="J319">
        <f t="shared" si="129"/>
        <v>572</v>
      </c>
      <c r="K319">
        <f t="shared" si="130"/>
        <v>719</v>
      </c>
      <c r="L319">
        <f t="shared" si="131"/>
        <v>645.5</v>
      </c>
      <c r="M319">
        <f t="shared" si="132"/>
        <v>73.5</v>
      </c>
      <c r="N319">
        <f t="shared" si="111"/>
        <v>147</v>
      </c>
      <c r="O319">
        <f t="shared" si="133"/>
        <v>608</v>
      </c>
      <c r="P319">
        <f t="shared" si="134"/>
        <v>-0.51020408163265307</v>
      </c>
      <c r="Q319" t="str">
        <f t="shared" si="112"/>
        <v>5.92% | 18.26%</v>
      </c>
      <c r="R319" t="str">
        <f t="shared" si="135"/>
        <v>NEUTRAL</v>
      </c>
      <c r="S319">
        <f t="shared" si="113"/>
        <v>0</v>
      </c>
    </row>
    <row r="320" spans="1:19" hidden="1" x14ac:dyDescent="0.25">
      <c r="A320" s="5" t="str">
        <f t="shared" si="110"/>
        <v>43900NYXBT</v>
      </c>
      <c r="B320" s="6" t="s">
        <v>74</v>
      </c>
      <c r="C320" s="6">
        <v>7401</v>
      </c>
      <c r="D320" s="6">
        <v>9045</v>
      </c>
      <c r="E320" s="6">
        <v>7678</v>
      </c>
      <c r="F320" t="str">
        <f t="shared" si="125"/>
        <v>TUE</v>
      </c>
      <c r="G320" s="3">
        <f t="shared" si="126"/>
        <v>43900</v>
      </c>
      <c r="H320" s="2">
        <f t="shared" ca="1" si="127"/>
        <v>353</v>
      </c>
      <c r="I320" t="str">
        <f t="shared" si="128"/>
        <v>NYXBT</v>
      </c>
      <c r="J320">
        <f t="shared" si="129"/>
        <v>7401</v>
      </c>
      <c r="K320">
        <f t="shared" si="130"/>
        <v>9045</v>
      </c>
      <c r="L320">
        <f t="shared" si="131"/>
        <v>8223</v>
      </c>
      <c r="M320">
        <f t="shared" si="132"/>
        <v>822</v>
      </c>
      <c r="N320">
        <f t="shared" si="111"/>
        <v>1644</v>
      </c>
      <c r="O320">
        <f t="shared" si="133"/>
        <v>7678</v>
      </c>
      <c r="P320">
        <f t="shared" si="134"/>
        <v>-0.66301703163017034</v>
      </c>
      <c r="Q320" t="str">
        <f t="shared" si="112"/>
        <v>3.61% | 17.8%</v>
      </c>
      <c r="R320" t="str">
        <f t="shared" si="135"/>
        <v>BEARISH</v>
      </c>
      <c r="S320">
        <f t="shared" si="113"/>
        <v>-1</v>
      </c>
    </row>
    <row r="321" spans="1:19" hidden="1" x14ac:dyDescent="0.25">
      <c r="A321" s="5" t="str">
        <f t="shared" si="110"/>
        <v>43901UST10Y</v>
      </c>
      <c r="B321" s="6" t="s">
        <v>4</v>
      </c>
      <c r="C321" s="6">
        <v>0.88</v>
      </c>
      <c r="D321" s="6">
        <v>0.47</v>
      </c>
      <c r="E321" s="6">
        <v>0.76</v>
      </c>
      <c r="F321" t="str">
        <f t="shared" si="125"/>
        <v>WED</v>
      </c>
      <c r="G321" s="1">
        <f>DATE(2020,3,11)</f>
        <v>43901</v>
      </c>
      <c r="H321" s="2">
        <f t="shared" ca="1" si="127"/>
        <v>352</v>
      </c>
      <c r="I321" t="str">
        <f t="shared" si="128"/>
        <v>UST10Y</v>
      </c>
      <c r="J321">
        <f t="shared" si="129"/>
        <v>0.88</v>
      </c>
      <c r="K321">
        <f t="shared" si="130"/>
        <v>0.47</v>
      </c>
      <c r="L321">
        <f t="shared" si="131"/>
        <v>0.67500000000000004</v>
      </c>
      <c r="M321">
        <f t="shared" si="132"/>
        <v>0.20499999999999982</v>
      </c>
      <c r="N321">
        <f t="shared" si="111"/>
        <v>0.41000000000000003</v>
      </c>
      <c r="O321">
        <f t="shared" si="133"/>
        <v>0.76</v>
      </c>
      <c r="P321">
        <f t="shared" si="134"/>
        <v>0.41463414634146362</v>
      </c>
      <c r="Q321" t="str">
        <f t="shared" si="112"/>
        <v>15.79% | 38.16%</v>
      </c>
      <c r="R321" t="str">
        <f t="shared" si="135"/>
        <v>BEARISH</v>
      </c>
      <c r="S321">
        <f t="shared" si="113"/>
        <v>-1</v>
      </c>
    </row>
    <row r="322" spans="1:19" hidden="1" x14ac:dyDescent="0.25">
      <c r="A322" s="5" t="str">
        <f t="shared" si="110"/>
        <v>43901UST2Y</v>
      </c>
      <c r="B322" s="6" t="s">
        <v>5</v>
      </c>
      <c r="C322" s="6">
        <v>0.67</v>
      </c>
      <c r="D322" s="6">
        <v>0.26</v>
      </c>
      <c r="E322" s="6">
        <v>0.5</v>
      </c>
      <c r="F322" t="str">
        <f t="shared" ref="F322:F350" si="136">UPPER(TEXT(G322,"ddd"))</f>
        <v>WED</v>
      </c>
      <c r="G322" s="1">
        <f t="shared" ref="G322:G349" si="137">DATE(2020,3,11)</f>
        <v>43901</v>
      </c>
      <c r="H322" s="2">
        <f t="shared" ref="H322:H350" ca="1" si="138">TODAY()-G322</f>
        <v>352</v>
      </c>
      <c r="I322" t="str">
        <f t="shared" ref="I322:I350" si="139">TRIM(LEFT(B322,FIND(" ",B322,1)))</f>
        <v>UST2Y</v>
      </c>
      <c r="J322">
        <f t="shared" ref="J322:J350" si="140">C322</f>
        <v>0.67</v>
      </c>
      <c r="K322">
        <f t="shared" ref="K322:K350" si="141">D322</f>
        <v>0.26</v>
      </c>
      <c r="L322">
        <f t="shared" ref="L322:L350" si="142">AVERAGE(J322:K322)</f>
        <v>0.46500000000000002</v>
      </c>
      <c r="M322">
        <f t="shared" ref="M322:M350" si="143">_xlfn.STDEV.P(J322:K322)</f>
        <v>0.20500000000000002</v>
      </c>
      <c r="N322">
        <f t="shared" si="111"/>
        <v>0.41000000000000003</v>
      </c>
      <c r="O322">
        <f t="shared" ref="O322:O350" si="144">E322</f>
        <v>0.5</v>
      </c>
      <c r="P322">
        <f t="shared" ref="P322:P350" si="145">(O322-L322)/M322</f>
        <v>0.17073170731707304</v>
      </c>
      <c r="Q322" t="str">
        <f t="shared" si="112"/>
        <v>34% | 48%</v>
      </c>
      <c r="R322" t="str">
        <f t="shared" ref="R322:R350" si="146">MID(B322,FIND("(",B322,1)+1,FIND(")",B322,1)-FIND("(",B322,1)-1)</f>
        <v>BEARISH</v>
      </c>
      <c r="S322">
        <f t="shared" si="113"/>
        <v>-1</v>
      </c>
    </row>
    <row r="323" spans="1:19" hidden="1" x14ac:dyDescent="0.25">
      <c r="A323" s="5" t="str">
        <f t="shared" ref="A323:A386" si="147">G323&amp;I323</f>
        <v>43901SPX</v>
      </c>
      <c r="B323" s="6" t="s">
        <v>6</v>
      </c>
      <c r="C323" s="6">
        <v>2641</v>
      </c>
      <c r="D323" s="6">
        <v>2976</v>
      </c>
      <c r="E323" s="6">
        <v>2882</v>
      </c>
      <c r="F323" t="str">
        <f t="shared" si="136"/>
        <v>WED</v>
      </c>
      <c r="G323" s="1">
        <f t="shared" si="137"/>
        <v>43901</v>
      </c>
      <c r="H323" s="2">
        <f t="shared" ca="1" si="138"/>
        <v>352</v>
      </c>
      <c r="I323" t="str">
        <f t="shared" si="139"/>
        <v>SPX</v>
      </c>
      <c r="J323">
        <f t="shared" si="140"/>
        <v>2641</v>
      </c>
      <c r="K323">
        <f t="shared" si="141"/>
        <v>2976</v>
      </c>
      <c r="L323">
        <f t="shared" si="142"/>
        <v>2808.5</v>
      </c>
      <c r="M323">
        <f t="shared" si="143"/>
        <v>167.5</v>
      </c>
      <c r="N323">
        <f t="shared" ref="N323:N386" si="148">ABS(K323-J323)</f>
        <v>335</v>
      </c>
      <c r="O323">
        <f t="shared" si="144"/>
        <v>2882</v>
      </c>
      <c r="P323">
        <f t="shared" si="145"/>
        <v>0.43880597014925371</v>
      </c>
      <c r="Q323" t="str">
        <f t="shared" ref="Q323:Q386" si="149">ROUND(ABS(100*(O323-J323)/O323),2)&amp;"% | "&amp;ROUND(ABS(100*(K323-O323)/O323),2)&amp;"%"</f>
        <v>8.36% | 3.26%</v>
      </c>
      <c r="R323" t="str">
        <f t="shared" si="146"/>
        <v>BEARISH</v>
      </c>
      <c r="S323">
        <f t="shared" ref="S323:S386" si="150">IF(R323="BEARISH",-1,IF(R323="NEUTRAL",0,IF(R323="BULLISH",1,99)))</f>
        <v>-1</v>
      </c>
    </row>
    <row r="324" spans="1:19" hidden="1" x14ac:dyDescent="0.25">
      <c r="A324" s="5" t="str">
        <f t="shared" si="147"/>
        <v>43901RUT</v>
      </c>
      <c r="B324" s="6" t="s">
        <v>7</v>
      </c>
      <c r="C324" s="6">
        <v>1299</v>
      </c>
      <c r="D324" s="6">
        <v>1411</v>
      </c>
      <c r="E324" s="6">
        <v>1350</v>
      </c>
      <c r="F324" t="str">
        <f t="shared" si="136"/>
        <v>WED</v>
      </c>
      <c r="G324" s="1">
        <f t="shared" si="137"/>
        <v>43901</v>
      </c>
      <c r="H324" s="2">
        <f t="shared" ca="1" si="138"/>
        <v>352</v>
      </c>
      <c r="I324" t="str">
        <f t="shared" si="139"/>
        <v>RUT</v>
      </c>
      <c r="J324">
        <f t="shared" si="140"/>
        <v>1299</v>
      </c>
      <c r="K324">
        <f t="shared" si="141"/>
        <v>1411</v>
      </c>
      <c r="L324">
        <f t="shared" si="142"/>
        <v>1355</v>
      </c>
      <c r="M324">
        <f t="shared" si="143"/>
        <v>56</v>
      </c>
      <c r="N324">
        <f t="shared" si="148"/>
        <v>112</v>
      </c>
      <c r="O324">
        <f t="shared" si="144"/>
        <v>1350</v>
      </c>
      <c r="P324">
        <f t="shared" si="145"/>
        <v>-8.9285714285714288E-2</v>
      </c>
      <c r="Q324" t="str">
        <f t="shared" si="149"/>
        <v>3.78% | 4.52%</v>
      </c>
      <c r="R324" t="str">
        <f t="shared" si="146"/>
        <v>BEARISH</v>
      </c>
      <c r="S324">
        <f t="shared" si="150"/>
        <v>-1</v>
      </c>
    </row>
    <row r="325" spans="1:19" hidden="1" x14ac:dyDescent="0.25">
      <c r="A325" s="5" t="str">
        <f t="shared" si="147"/>
        <v>43901COMPQ</v>
      </c>
      <c r="B325" s="6" t="s">
        <v>64</v>
      </c>
      <c r="C325" s="6">
        <v>7877</v>
      </c>
      <c r="D325" s="6">
        <v>8598</v>
      </c>
      <c r="E325" s="6">
        <v>8344</v>
      </c>
      <c r="F325" t="str">
        <f t="shared" si="136"/>
        <v>WED</v>
      </c>
      <c r="G325" s="1">
        <f t="shared" si="137"/>
        <v>43901</v>
      </c>
      <c r="H325" s="2">
        <f t="shared" ca="1" si="138"/>
        <v>352</v>
      </c>
      <c r="I325" t="str">
        <f t="shared" si="139"/>
        <v>COMPQ</v>
      </c>
      <c r="J325">
        <f t="shared" si="140"/>
        <v>7877</v>
      </c>
      <c r="K325">
        <f t="shared" si="141"/>
        <v>8598</v>
      </c>
      <c r="L325">
        <f t="shared" si="142"/>
        <v>8237.5</v>
      </c>
      <c r="M325">
        <f t="shared" si="143"/>
        <v>360.5</v>
      </c>
      <c r="N325">
        <f t="shared" si="148"/>
        <v>721</v>
      </c>
      <c r="O325">
        <f t="shared" si="144"/>
        <v>8344</v>
      </c>
      <c r="P325">
        <f t="shared" si="145"/>
        <v>0.29542302357836336</v>
      </c>
      <c r="Q325" t="str">
        <f t="shared" si="149"/>
        <v>5.6% | 3.04%</v>
      </c>
      <c r="R325" t="str">
        <f t="shared" si="146"/>
        <v>BEARISH</v>
      </c>
      <c r="S325">
        <f t="shared" si="150"/>
        <v>-1</v>
      </c>
    </row>
    <row r="326" spans="1:19" hidden="1" x14ac:dyDescent="0.25">
      <c r="A326" s="5" t="str">
        <f t="shared" si="147"/>
        <v>43901XLU</v>
      </c>
      <c r="B326" s="6" t="s">
        <v>80</v>
      </c>
      <c r="C326" s="6">
        <v>61.26</v>
      </c>
      <c r="D326" s="6">
        <v>66.989999999999995</v>
      </c>
      <c r="E326" s="6">
        <v>64.05</v>
      </c>
      <c r="F326" t="str">
        <f t="shared" si="136"/>
        <v>WED</v>
      </c>
      <c r="G326" s="1">
        <f t="shared" si="137"/>
        <v>43901</v>
      </c>
      <c r="H326" s="2">
        <f t="shared" ca="1" si="138"/>
        <v>352</v>
      </c>
      <c r="I326" t="str">
        <f t="shared" si="139"/>
        <v>XLU</v>
      </c>
      <c r="J326">
        <f t="shared" si="140"/>
        <v>61.26</v>
      </c>
      <c r="K326">
        <f t="shared" si="141"/>
        <v>66.989999999999995</v>
      </c>
      <c r="L326">
        <f t="shared" si="142"/>
        <v>64.125</v>
      </c>
      <c r="M326">
        <f t="shared" si="143"/>
        <v>2.8649999999999984</v>
      </c>
      <c r="N326">
        <f t="shared" si="148"/>
        <v>5.7299999999999969</v>
      </c>
      <c r="O326">
        <f t="shared" si="144"/>
        <v>64.05</v>
      </c>
      <c r="P326">
        <f t="shared" si="145"/>
        <v>-2.6178010471205194E-2</v>
      </c>
      <c r="Q326" t="str">
        <f t="shared" si="149"/>
        <v>4.36% | 4.59%</v>
      </c>
      <c r="R326" t="str">
        <f t="shared" si="146"/>
        <v>NEUTRAL</v>
      </c>
      <c r="S326">
        <f t="shared" si="150"/>
        <v>0</v>
      </c>
    </row>
    <row r="327" spans="1:19" hidden="1" x14ac:dyDescent="0.25">
      <c r="A327" s="5" t="str">
        <f t="shared" si="147"/>
        <v>43901VNQ</v>
      </c>
      <c r="B327" s="6" t="s">
        <v>67</v>
      </c>
      <c r="C327" s="6">
        <v>83</v>
      </c>
      <c r="D327" s="6">
        <v>92.23</v>
      </c>
      <c r="E327" s="6">
        <v>86.54</v>
      </c>
      <c r="F327" t="str">
        <f t="shared" si="136"/>
        <v>WED</v>
      </c>
      <c r="G327" s="1">
        <f t="shared" si="137"/>
        <v>43901</v>
      </c>
      <c r="H327" s="2">
        <f t="shared" ca="1" si="138"/>
        <v>352</v>
      </c>
      <c r="I327" t="str">
        <f t="shared" si="139"/>
        <v>VNQ</v>
      </c>
      <c r="J327">
        <f t="shared" si="140"/>
        <v>83</v>
      </c>
      <c r="K327">
        <f t="shared" si="141"/>
        <v>92.23</v>
      </c>
      <c r="L327">
        <f t="shared" si="142"/>
        <v>87.615000000000009</v>
      </c>
      <c r="M327">
        <f t="shared" si="143"/>
        <v>4.615000000000002</v>
      </c>
      <c r="N327">
        <f t="shared" si="148"/>
        <v>9.230000000000004</v>
      </c>
      <c r="O327">
        <f t="shared" si="144"/>
        <v>86.54</v>
      </c>
      <c r="P327">
        <f t="shared" si="145"/>
        <v>-0.23293607800650107</v>
      </c>
      <c r="Q327" t="str">
        <f t="shared" si="149"/>
        <v>4.09% | 6.57%</v>
      </c>
      <c r="R327" t="str">
        <f t="shared" si="146"/>
        <v>BEARISH</v>
      </c>
      <c r="S327">
        <f t="shared" si="150"/>
        <v>-1</v>
      </c>
    </row>
    <row r="328" spans="1:19" hidden="1" x14ac:dyDescent="0.25">
      <c r="A328" s="5" t="str">
        <f t="shared" si="147"/>
        <v>43901XLP</v>
      </c>
      <c r="B328" s="6" t="s">
        <v>11</v>
      </c>
      <c r="C328" s="6">
        <v>57.09</v>
      </c>
      <c r="D328" s="6">
        <v>62.2</v>
      </c>
      <c r="E328" s="6">
        <v>60.55</v>
      </c>
      <c r="F328" t="str">
        <f t="shared" si="136"/>
        <v>WED</v>
      </c>
      <c r="G328" s="1">
        <f t="shared" si="137"/>
        <v>43901</v>
      </c>
      <c r="H328" s="2">
        <f t="shared" ca="1" si="138"/>
        <v>352</v>
      </c>
      <c r="I328" t="str">
        <f t="shared" si="139"/>
        <v>XLP</v>
      </c>
      <c r="J328">
        <f t="shared" si="140"/>
        <v>57.09</v>
      </c>
      <c r="K328">
        <f t="shared" si="141"/>
        <v>62.2</v>
      </c>
      <c r="L328">
        <f t="shared" si="142"/>
        <v>59.645000000000003</v>
      </c>
      <c r="M328">
        <f t="shared" si="143"/>
        <v>2.5549999999999997</v>
      </c>
      <c r="N328">
        <f t="shared" si="148"/>
        <v>5.1099999999999994</v>
      </c>
      <c r="O328">
        <f t="shared" si="144"/>
        <v>60.55</v>
      </c>
      <c r="P328">
        <f t="shared" si="145"/>
        <v>0.35420743639921493</v>
      </c>
      <c r="Q328" t="str">
        <f t="shared" si="149"/>
        <v>5.71% | 2.73%</v>
      </c>
      <c r="R328" t="str">
        <f t="shared" si="146"/>
        <v>BEARISH</v>
      </c>
      <c r="S328">
        <f t="shared" si="150"/>
        <v>-1</v>
      </c>
    </row>
    <row r="329" spans="1:19" hidden="1" x14ac:dyDescent="0.25">
      <c r="A329" s="5" t="str">
        <f t="shared" si="147"/>
        <v>43901XLK</v>
      </c>
      <c r="B329" s="6" t="s">
        <v>65</v>
      </c>
      <c r="C329" s="6">
        <v>81.95</v>
      </c>
      <c r="D329" s="6">
        <v>92.15</v>
      </c>
      <c r="E329" s="6">
        <v>87.64</v>
      </c>
      <c r="F329" t="str">
        <f t="shared" si="136"/>
        <v>WED</v>
      </c>
      <c r="G329" s="1">
        <f t="shared" si="137"/>
        <v>43901</v>
      </c>
      <c r="H329" s="2">
        <f t="shared" ca="1" si="138"/>
        <v>352</v>
      </c>
      <c r="I329" t="str">
        <f t="shared" si="139"/>
        <v>XLK</v>
      </c>
      <c r="J329">
        <f t="shared" si="140"/>
        <v>81.95</v>
      </c>
      <c r="K329">
        <f t="shared" si="141"/>
        <v>92.15</v>
      </c>
      <c r="L329">
        <f t="shared" si="142"/>
        <v>87.050000000000011</v>
      </c>
      <c r="M329">
        <f t="shared" si="143"/>
        <v>5.1000000000000014</v>
      </c>
      <c r="N329">
        <f t="shared" si="148"/>
        <v>10.200000000000003</v>
      </c>
      <c r="O329">
        <f t="shared" si="144"/>
        <v>87.64</v>
      </c>
      <c r="P329">
        <f t="shared" si="145"/>
        <v>0.11568627450980178</v>
      </c>
      <c r="Q329" t="str">
        <f t="shared" si="149"/>
        <v>6.49% | 5.15%</v>
      </c>
      <c r="R329" t="str">
        <f t="shared" si="146"/>
        <v>BEARISH</v>
      </c>
      <c r="S329">
        <f t="shared" si="150"/>
        <v>-1</v>
      </c>
    </row>
    <row r="330" spans="1:19" hidden="1" x14ac:dyDescent="0.25">
      <c r="A330" s="5" t="str">
        <f t="shared" si="147"/>
        <v>43901SSEC</v>
      </c>
      <c r="B330" s="6" t="s">
        <v>14</v>
      </c>
      <c r="C330" s="6">
        <v>2865</v>
      </c>
      <c r="D330" s="6">
        <v>3070</v>
      </c>
      <c r="E330" s="6">
        <v>2968</v>
      </c>
      <c r="F330" t="str">
        <f t="shared" si="136"/>
        <v>WED</v>
      </c>
      <c r="G330" s="1">
        <f t="shared" si="137"/>
        <v>43901</v>
      </c>
      <c r="H330" s="2">
        <f t="shared" ca="1" si="138"/>
        <v>352</v>
      </c>
      <c r="I330" t="str">
        <f t="shared" si="139"/>
        <v>SSEC</v>
      </c>
      <c r="J330">
        <f t="shared" si="140"/>
        <v>2865</v>
      </c>
      <c r="K330">
        <f t="shared" si="141"/>
        <v>3070</v>
      </c>
      <c r="L330">
        <f t="shared" si="142"/>
        <v>2967.5</v>
      </c>
      <c r="M330">
        <f t="shared" si="143"/>
        <v>102.5</v>
      </c>
      <c r="N330">
        <f t="shared" si="148"/>
        <v>205</v>
      </c>
      <c r="O330">
        <f t="shared" si="144"/>
        <v>2968</v>
      </c>
      <c r="P330">
        <f t="shared" si="145"/>
        <v>4.8780487804878049E-3</v>
      </c>
      <c r="Q330" t="str">
        <f t="shared" si="149"/>
        <v>3.47% | 3.44%</v>
      </c>
      <c r="R330" t="str">
        <f t="shared" si="146"/>
        <v>BEARISH</v>
      </c>
      <c r="S330">
        <f t="shared" si="150"/>
        <v>-1</v>
      </c>
    </row>
    <row r="331" spans="1:19" hidden="1" x14ac:dyDescent="0.25">
      <c r="A331" s="5" t="str">
        <f t="shared" si="147"/>
        <v>43901NIKK</v>
      </c>
      <c r="B331" s="6" t="s">
        <v>15</v>
      </c>
      <c r="C331" s="6">
        <v>19361</v>
      </c>
      <c r="D331" s="6">
        <v>20908</v>
      </c>
      <c r="E331" s="6">
        <v>19416</v>
      </c>
      <c r="F331" t="str">
        <f t="shared" si="136"/>
        <v>WED</v>
      </c>
      <c r="G331" s="1">
        <f t="shared" si="137"/>
        <v>43901</v>
      </c>
      <c r="H331" s="2">
        <f t="shared" ca="1" si="138"/>
        <v>352</v>
      </c>
      <c r="I331" t="str">
        <f t="shared" si="139"/>
        <v>NIKK</v>
      </c>
      <c r="J331">
        <f t="shared" si="140"/>
        <v>19361</v>
      </c>
      <c r="K331">
        <f t="shared" si="141"/>
        <v>20908</v>
      </c>
      <c r="L331">
        <f t="shared" si="142"/>
        <v>20134.5</v>
      </c>
      <c r="M331">
        <f t="shared" si="143"/>
        <v>773.5</v>
      </c>
      <c r="N331">
        <f t="shared" si="148"/>
        <v>1547</v>
      </c>
      <c r="O331">
        <f t="shared" si="144"/>
        <v>19416</v>
      </c>
      <c r="P331">
        <f t="shared" si="145"/>
        <v>-0.92889463477698775</v>
      </c>
      <c r="Q331" t="str">
        <f t="shared" si="149"/>
        <v>0.28% | 7.68%</v>
      </c>
      <c r="R331" t="str">
        <f t="shared" si="146"/>
        <v>BEARISH</v>
      </c>
      <c r="S331">
        <f t="shared" si="150"/>
        <v>-1</v>
      </c>
    </row>
    <row r="332" spans="1:19" hidden="1" x14ac:dyDescent="0.25">
      <c r="A332" s="5" t="str">
        <f t="shared" si="147"/>
        <v>43901DAX</v>
      </c>
      <c r="B332" s="6" t="s">
        <v>16</v>
      </c>
      <c r="C332" s="6">
        <v>10304</v>
      </c>
      <c r="D332" s="6">
        <v>11546</v>
      </c>
      <c r="E332" s="6">
        <v>10475</v>
      </c>
      <c r="F332" t="str">
        <f t="shared" si="136"/>
        <v>WED</v>
      </c>
      <c r="G332" s="1">
        <f t="shared" si="137"/>
        <v>43901</v>
      </c>
      <c r="H332" s="2">
        <f t="shared" ca="1" si="138"/>
        <v>352</v>
      </c>
      <c r="I332" t="str">
        <f t="shared" si="139"/>
        <v>DAX</v>
      </c>
      <c r="J332">
        <f t="shared" si="140"/>
        <v>10304</v>
      </c>
      <c r="K332">
        <f t="shared" si="141"/>
        <v>11546</v>
      </c>
      <c r="L332">
        <f t="shared" si="142"/>
        <v>10925</v>
      </c>
      <c r="M332">
        <f t="shared" si="143"/>
        <v>621</v>
      </c>
      <c r="N332">
        <f t="shared" si="148"/>
        <v>1242</v>
      </c>
      <c r="O332">
        <f t="shared" si="144"/>
        <v>10475</v>
      </c>
      <c r="P332">
        <f t="shared" si="145"/>
        <v>-0.72463768115942029</v>
      </c>
      <c r="Q332" t="str">
        <f t="shared" si="149"/>
        <v>1.63% | 10.22%</v>
      </c>
      <c r="R332" t="str">
        <f t="shared" si="146"/>
        <v>BEARISH</v>
      </c>
      <c r="S332">
        <f t="shared" si="150"/>
        <v>-1</v>
      </c>
    </row>
    <row r="333" spans="1:19" hidden="1" x14ac:dyDescent="0.25">
      <c r="A333" s="5" t="str">
        <f t="shared" si="147"/>
        <v>43901VIX</v>
      </c>
      <c r="B333" s="6" t="s">
        <v>17</v>
      </c>
      <c r="C333" s="6">
        <v>35.64</v>
      </c>
      <c r="D333" s="6">
        <v>58.36</v>
      </c>
      <c r="E333" s="6">
        <v>47.3</v>
      </c>
      <c r="F333" t="str">
        <f t="shared" si="136"/>
        <v>WED</v>
      </c>
      <c r="G333" s="1">
        <f t="shared" si="137"/>
        <v>43901</v>
      </c>
      <c r="H333" s="2">
        <f t="shared" ca="1" si="138"/>
        <v>352</v>
      </c>
      <c r="I333" t="str">
        <f t="shared" si="139"/>
        <v>VIX</v>
      </c>
      <c r="J333">
        <f t="shared" si="140"/>
        <v>35.64</v>
      </c>
      <c r="K333">
        <f t="shared" si="141"/>
        <v>58.36</v>
      </c>
      <c r="L333">
        <f t="shared" si="142"/>
        <v>47</v>
      </c>
      <c r="M333">
        <f t="shared" si="143"/>
        <v>11.360000000000012</v>
      </c>
      <c r="N333">
        <f t="shared" si="148"/>
        <v>22.72</v>
      </c>
      <c r="O333">
        <f t="shared" si="144"/>
        <v>47.3</v>
      </c>
      <c r="P333">
        <f t="shared" si="145"/>
        <v>2.6408450704225074E-2</v>
      </c>
      <c r="Q333" t="str">
        <f t="shared" si="149"/>
        <v>24.65% | 23.38%</v>
      </c>
      <c r="R333" t="str">
        <f t="shared" si="146"/>
        <v>BULLISH</v>
      </c>
      <c r="S333">
        <f t="shared" si="150"/>
        <v>1</v>
      </c>
    </row>
    <row r="334" spans="1:19" hidden="1" x14ac:dyDescent="0.25">
      <c r="A334" s="5" t="str">
        <f t="shared" si="147"/>
        <v>43901USD</v>
      </c>
      <c r="B334" s="6" t="s">
        <v>78</v>
      </c>
      <c r="C334" s="6">
        <v>94.5</v>
      </c>
      <c r="D334" s="6">
        <v>97.64</v>
      </c>
      <c r="E334" s="6">
        <v>96.39</v>
      </c>
      <c r="F334" t="str">
        <f t="shared" si="136"/>
        <v>WED</v>
      </c>
      <c r="G334" s="1">
        <f t="shared" si="137"/>
        <v>43901</v>
      </c>
      <c r="H334" s="2">
        <f t="shared" ca="1" si="138"/>
        <v>352</v>
      </c>
      <c r="I334" t="str">
        <f t="shared" si="139"/>
        <v>USD</v>
      </c>
      <c r="J334">
        <f t="shared" si="140"/>
        <v>94.5</v>
      </c>
      <c r="K334">
        <f t="shared" si="141"/>
        <v>97.64</v>
      </c>
      <c r="L334">
        <f t="shared" si="142"/>
        <v>96.07</v>
      </c>
      <c r="M334">
        <f t="shared" si="143"/>
        <v>1.5700000000000003</v>
      </c>
      <c r="N334">
        <f t="shared" si="148"/>
        <v>3.1400000000000006</v>
      </c>
      <c r="O334">
        <f t="shared" si="144"/>
        <v>96.39</v>
      </c>
      <c r="P334">
        <f t="shared" si="145"/>
        <v>0.20382165605096009</v>
      </c>
      <c r="Q334" t="str">
        <f t="shared" si="149"/>
        <v>1.96% | 1.3%</v>
      </c>
      <c r="R334" t="str">
        <f t="shared" si="146"/>
        <v>NEUTRAL</v>
      </c>
      <c r="S334">
        <f t="shared" si="150"/>
        <v>0</v>
      </c>
    </row>
    <row r="335" spans="1:19" hidden="1" x14ac:dyDescent="0.25">
      <c r="A335" s="5" t="str">
        <f t="shared" si="147"/>
        <v>43901EUR/USD</v>
      </c>
      <c r="B335" s="6" t="s">
        <v>77</v>
      </c>
      <c r="C335" s="6">
        <v>1.0900000000000001</v>
      </c>
      <c r="D335" s="6">
        <v>1.1399999999999999</v>
      </c>
      <c r="E335" s="6">
        <v>1.1299999999999999</v>
      </c>
      <c r="F335" t="str">
        <f t="shared" si="136"/>
        <v>WED</v>
      </c>
      <c r="G335" s="1">
        <f t="shared" si="137"/>
        <v>43901</v>
      </c>
      <c r="H335" s="2">
        <f t="shared" ca="1" si="138"/>
        <v>352</v>
      </c>
      <c r="I335" t="str">
        <f t="shared" si="139"/>
        <v>EUR/USD</v>
      </c>
      <c r="J335">
        <f t="shared" si="140"/>
        <v>1.0900000000000001</v>
      </c>
      <c r="K335">
        <f t="shared" si="141"/>
        <v>1.1399999999999999</v>
      </c>
      <c r="L335">
        <f t="shared" si="142"/>
        <v>1.115</v>
      </c>
      <c r="M335">
        <f t="shared" si="143"/>
        <v>2.4999999999999911E-2</v>
      </c>
      <c r="N335">
        <f t="shared" si="148"/>
        <v>4.9999999999999822E-2</v>
      </c>
      <c r="O335">
        <f t="shared" si="144"/>
        <v>1.1299999999999999</v>
      </c>
      <c r="P335">
        <f t="shared" si="145"/>
        <v>0.5999999999999982</v>
      </c>
      <c r="Q335" t="str">
        <f t="shared" si="149"/>
        <v>3.54% | 0.88%</v>
      </c>
      <c r="R335" t="str">
        <f t="shared" si="146"/>
        <v>NEUTRAL</v>
      </c>
      <c r="S335">
        <f t="shared" si="150"/>
        <v>0</v>
      </c>
    </row>
    <row r="336" spans="1:19" hidden="1" x14ac:dyDescent="0.25">
      <c r="A336" s="5" t="str">
        <f t="shared" si="147"/>
        <v>43901USD/JPY</v>
      </c>
      <c r="B336" s="6" t="s">
        <v>20</v>
      </c>
      <c r="C336" s="6">
        <v>101.9</v>
      </c>
      <c r="D336" s="6">
        <v>108.51</v>
      </c>
      <c r="E336" s="6">
        <v>105.46</v>
      </c>
      <c r="F336" t="str">
        <f t="shared" si="136"/>
        <v>WED</v>
      </c>
      <c r="G336" s="1">
        <f t="shared" si="137"/>
        <v>43901</v>
      </c>
      <c r="H336" s="2">
        <f t="shared" ca="1" si="138"/>
        <v>352</v>
      </c>
      <c r="I336" t="str">
        <f t="shared" si="139"/>
        <v>USD/JPY</v>
      </c>
      <c r="J336">
        <f t="shared" si="140"/>
        <v>101.9</v>
      </c>
      <c r="K336">
        <f t="shared" si="141"/>
        <v>108.51</v>
      </c>
      <c r="L336">
        <f t="shared" si="142"/>
        <v>105.20500000000001</v>
      </c>
      <c r="M336">
        <f t="shared" si="143"/>
        <v>3.3049999999999997</v>
      </c>
      <c r="N336">
        <f t="shared" si="148"/>
        <v>6.6099999999999994</v>
      </c>
      <c r="O336">
        <f t="shared" si="144"/>
        <v>105.46</v>
      </c>
      <c r="P336">
        <f t="shared" si="145"/>
        <v>7.7155824508315055E-2</v>
      </c>
      <c r="Q336" t="str">
        <f t="shared" si="149"/>
        <v>3.38% | 2.89%</v>
      </c>
      <c r="R336" t="str">
        <f t="shared" si="146"/>
        <v>BEARISH</v>
      </c>
      <c r="S336">
        <f t="shared" si="150"/>
        <v>-1</v>
      </c>
    </row>
    <row r="337" spans="1:19" hidden="1" x14ac:dyDescent="0.25">
      <c r="A337" s="5" t="str">
        <f t="shared" si="147"/>
        <v>43901GBP/USD</v>
      </c>
      <c r="B337" s="6" t="s">
        <v>79</v>
      </c>
      <c r="C337" s="6">
        <v>1.27</v>
      </c>
      <c r="D337" s="6">
        <v>1.31</v>
      </c>
      <c r="E337" s="6">
        <v>1.29</v>
      </c>
      <c r="F337" t="str">
        <f t="shared" si="136"/>
        <v>WED</v>
      </c>
      <c r="G337" s="1">
        <f t="shared" si="137"/>
        <v>43901</v>
      </c>
      <c r="H337" s="2">
        <f t="shared" ca="1" si="138"/>
        <v>352</v>
      </c>
      <c r="I337" t="str">
        <f t="shared" si="139"/>
        <v>GBP/USD</v>
      </c>
      <c r="J337">
        <f t="shared" si="140"/>
        <v>1.27</v>
      </c>
      <c r="K337">
        <f t="shared" si="141"/>
        <v>1.31</v>
      </c>
      <c r="L337">
        <f t="shared" si="142"/>
        <v>1.29</v>
      </c>
      <c r="M337">
        <f t="shared" si="143"/>
        <v>2.0000000000000018E-2</v>
      </c>
      <c r="N337">
        <f t="shared" si="148"/>
        <v>4.0000000000000036E-2</v>
      </c>
      <c r="O337">
        <f t="shared" si="144"/>
        <v>1.29</v>
      </c>
      <c r="P337">
        <f t="shared" si="145"/>
        <v>0</v>
      </c>
      <c r="Q337" t="str">
        <f t="shared" si="149"/>
        <v>1.55% | 1.55%</v>
      </c>
      <c r="R337" t="str">
        <f t="shared" si="146"/>
        <v>NEUTRAL</v>
      </c>
      <c r="S337">
        <f t="shared" si="150"/>
        <v>0</v>
      </c>
    </row>
    <row r="338" spans="1:19" hidden="1" x14ac:dyDescent="0.25">
      <c r="A338" s="5" t="str">
        <f t="shared" si="147"/>
        <v>43901USD/CHF</v>
      </c>
      <c r="B338" s="6" t="s">
        <v>76</v>
      </c>
      <c r="C338" s="6">
        <v>0.92</v>
      </c>
      <c r="D338" s="6">
        <v>0.96</v>
      </c>
      <c r="E338" s="6">
        <v>0.93</v>
      </c>
      <c r="F338" t="str">
        <f t="shared" si="136"/>
        <v>WED</v>
      </c>
      <c r="G338" s="1">
        <f t="shared" si="137"/>
        <v>43901</v>
      </c>
      <c r="H338" s="2">
        <f t="shared" ca="1" si="138"/>
        <v>352</v>
      </c>
      <c r="I338" t="str">
        <f t="shared" si="139"/>
        <v>USD/CHF</v>
      </c>
      <c r="J338">
        <f t="shared" si="140"/>
        <v>0.92</v>
      </c>
      <c r="K338">
        <f t="shared" si="141"/>
        <v>0.96</v>
      </c>
      <c r="L338">
        <f t="shared" si="142"/>
        <v>0.94</v>
      </c>
      <c r="M338">
        <f t="shared" si="143"/>
        <v>1.9999999999999962E-2</v>
      </c>
      <c r="N338">
        <f t="shared" si="148"/>
        <v>3.9999999999999925E-2</v>
      </c>
      <c r="O338">
        <f t="shared" si="144"/>
        <v>0.93</v>
      </c>
      <c r="P338">
        <f t="shared" si="145"/>
        <v>-0.49999999999999584</v>
      </c>
      <c r="Q338" t="str">
        <f t="shared" si="149"/>
        <v>1.08% | 3.23%</v>
      </c>
      <c r="R338" t="str">
        <f t="shared" si="146"/>
        <v>BEARISH</v>
      </c>
      <c r="S338">
        <f t="shared" si="150"/>
        <v>-1</v>
      </c>
    </row>
    <row r="339" spans="1:19" hidden="1" x14ac:dyDescent="0.25">
      <c r="A339" s="5" t="str">
        <f t="shared" si="147"/>
        <v>43901WTIC</v>
      </c>
      <c r="B339" s="6" t="s">
        <v>23</v>
      </c>
      <c r="C339" s="6">
        <v>29.41</v>
      </c>
      <c r="D339" s="6">
        <v>35.99</v>
      </c>
      <c r="E339" s="6">
        <v>34.36</v>
      </c>
      <c r="F339" t="str">
        <f t="shared" si="136"/>
        <v>WED</v>
      </c>
      <c r="G339" s="1">
        <f t="shared" si="137"/>
        <v>43901</v>
      </c>
      <c r="H339" s="2">
        <f t="shared" ca="1" si="138"/>
        <v>352</v>
      </c>
      <c r="I339" t="str">
        <f t="shared" si="139"/>
        <v>WTIC</v>
      </c>
      <c r="J339">
        <f t="shared" si="140"/>
        <v>29.41</v>
      </c>
      <c r="K339">
        <f t="shared" si="141"/>
        <v>35.99</v>
      </c>
      <c r="L339">
        <f t="shared" si="142"/>
        <v>32.700000000000003</v>
      </c>
      <c r="M339">
        <f t="shared" si="143"/>
        <v>3.2899999999999721</v>
      </c>
      <c r="N339">
        <f t="shared" si="148"/>
        <v>6.5800000000000018</v>
      </c>
      <c r="O339">
        <f t="shared" si="144"/>
        <v>34.36</v>
      </c>
      <c r="P339">
        <f t="shared" si="145"/>
        <v>0.50455927051672056</v>
      </c>
      <c r="Q339" t="str">
        <f t="shared" si="149"/>
        <v>14.41% | 4.74%</v>
      </c>
      <c r="R339" t="str">
        <f t="shared" si="146"/>
        <v>BEARISH</v>
      </c>
      <c r="S339">
        <f t="shared" si="150"/>
        <v>-1</v>
      </c>
    </row>
    <row r="340" spans="1:19" hidden="1" x14ac:dyDescent="0.25">
      <c r="A340" s="5" t="str">
        <f t="shared" si="147"/>
        <v>43901NATGAS</v>
      </c>
      <c r="B340" s="6" t="s">
        <v>24</v>
      </c>
      <c r="C340" s="6">
        <v>1.59</v>
      </c>
      <c r="D340" s="6">
        <v>1.99</v>
      </c>
      <c r="E340" s="6">
        <v>1.94</v>
      </c>
      <c r="F340" t="str">
        <f t="shared" si="136"/>
        <v>WED</v>
      </c>
      <c r="G340" s="1">
        <f t="shared" si="137"/>
        <v>43901</v>
      </c>
      <c r="H340" s="2">
        <f t="shared" ca="1" si="138"/>
        <v>352</v>
      </c>
      <c r="I340" t="str">
        <f t="shared" si="139"/>
        <v>NATGAS</v>
      </c>
      <c r="J340">
        <f t="shared" si="140"/>
        <v>1.59</v>
      </c>
      <c r="K340">
        <f t="shared" si="141"/>
        <v>1.99</v>
      </c>
      <c r="L340">
        <f t="shared" si="142"/>
        <v>1.79</v>
      </c>
      <c r="M340">
        <f t="shared" si="143"/>
        <v>0.2000000000000012</v>
      </c>
      <c r="N340">
        <f t="shared" si="148"/>
        <v>0.39999999999999991</v>
      </c>
      <c r="O340">
        <f t="shared" si="144"/>
        <v>1.94</v>
      </c>
      <c r="P340">
        <f t="shared" si="145"/>
        <v>0.749999999999995</v>
      </c>
      <c r="Q340" t="str">
        <f t="shared" si="149"/>
        <v>18.04% | 2.58%</v>
      </c>
      <c r="R340" t="str">
        <f t="shared" si="146"/>
        <v>BEARISH</v>
      </c>
      <c r="S340">
        <f t="shared" si="150"/>
        <v>-1</v>
      </c>
    </row>
    <row r="341" spans="1:19" hidden="1" x14ac:dyDescent="0.25">
      <c r="A341" s="5" t="str">
        <f t="shared" si="147"/>
        <v>43901GOLD</v>
      </c>
      <c r="B341" s="6" t="s">
        <v>25</v>
      </c>
      <c r="C341" s="6">
        <v>1618</v>
      </c>
      <c r="D341" s="6">
        <v>1685</v>
      </c>
      <c r="E341" s="6">
        <v>1660</v>
      </c>
      <c r="F341" t="str">
        <f t="shared" si="136"/>
        <v>WED</v>
      </c>
      <c r="G341" s="1">
        <f t="shared" si="137"/>
        <v>43901</v>
      </c>
      <c r="H341" s="2">
        <f t="shared" ca="1" si="138"/>
        <v>352</v>
      </c>
      <c r="I341" t="str">
        <f t="shared" si="139"/>
        <v>GOLD</v>
      </c>
      <c r="J341">
        <f t="shared" si="140"/>
        <v>1618</v>
      </c>
      <c r="K341">
        <f t="shared" si="141"/>
        <v>1685</v>
      </c>
      <c r="L341">
        <f t="shared" si="142"/>
        <v>1651.5</v>
      </c>
      <c r="M341">
        <f t="shared" si="143"/>
        <v>33.5</v>
      </c>
      <c r="N341">
        <f t="shared" si="148"/>
        <v>67</v>
      </c>
      <c r="O341">
        <f t="shared" si="144"/>
        <v>1660</v>
      </c>
      <c r="P341">
        <f t="shared" si="145"/>
        <v>0.2537313432835821</v>
      </c>
      <c r="Q341" t="str">
        <f t="shared" si="149"/>
        <v>2.53% | 1.51%</v>
      </c>
      <c r="R341" t="str">
        <f t="shared" si="146"/>
        <v>BULLISH</v>
      </c>
      <c r="S341">
        <f t="shared" si="150"/>
        <v>1</v>
      </c>
    </row>
    <row r="342" spans="1:19" hidden="1" x14ac:dyDescent="0.25">
      <c r="A342" s="5" t="str">
        <f t="shared" si="147"/>
        <v>43901COPPER</v>
      </c>
      <c r="B342" s="6" t="s">
        <v>26</v>
      </c>
      <c r="C342" s="6">
        <v>2.4700000000000002</v>
      </c>
      <c r="D342" s="6">
        <v>2.57</v>
      </c>
      <c r="E342" s="6">
        <v>2.52</v>
      </c>
      <c r="F342" t="str">
        <f t="shared" si="136"/>
        <v>WED</v>
      </c>
      <c r="G342" s="1">
        <f t="shared" si="137"/>
        <v>43901</v>
      </c>
      <c r="H342" s="2">
        <f t="shared" ca="1" si="138"/>
        <v>352</v>
      </c>
      <c r="I342" t="str">
        <f t="shared" si="139"/>
        <v>COPPER</v>
      </c>
      <c r="J342">
        <f t="shared" si="140"/>
        <v>2.4700000000000002</v>
      </c>
      <c r="K342">
        <f t="shared" si="141"/>
        <v>2.57</v>
      </c>
      <c r="L342">
        <f t="shared" si="142"/>
        <v>2.52</v>
      </c>
      <c r="M342">
        <f t="shared" si="143"/>
        <v>4.9999999999999822E-2</v>
      </c>
      <c r="N342">
        <f t="shared" si="148"/>
        <v>9.9999999999999645E-2</v>
      </c>
      <c r="O342">
        <f t="shared" si="144"/>
        <v>2.52</v>
      </c>
      <c r="P342">
        <f t="shared" si="145"/>
        <v>0</v>
      </c>
      <c r="Q342" t="str">
        <f t="shared" si="149"/>
        <v>1.98% | 1.98%</v>
      </c>
      <c r="R342" t="str">
        <f t="shared" si="146"/>
        <v>BEARISH</v>
      </c>
      <c r="S342">
        <f t="shared" si="150"/>
        <v>-1</v>
      </c>
    </row>
    <row r="343" spans="1:19" hidden="1" x14ac:dyDescent="0.25">
      <c r="A343" s="5" t="str">
        <f t="shared" si="147"/>
        <v>43901AAPL</v>
      </c>
      <c r="B343" s="6" t="s">
        <v>68</v>
      </c>
      <c r="C343" s="6">
        <v>261.41000000000003</v>
      </c>
      <c r="D343" s="6">
        <v>298.63</v>
      </c>
      <c r="E343" s="6">
        <v>285.33999999999997</v>
      </c>
      <c r="F343" t="str">
        <f t="shared" si="136"/>
        <v>WED</v>
      </c>
      <c r="G343" s="1">
        <f t="shared" si="137"/>
        <v>43901</v>
      </c>
      <c r="H343" s="2">
        <f t="shared" ca="1" si="138"/>
        <v>352</v>
      </c>
      <c r="I343" t="str">
        <f t="shared" si="139"/>
        <v>AAPL</v>
      </c>
      <c r="J343">
        <f t="shared" si="140"/>
        <v>261.41000000000003</v>
      </c>
      <c r="K343">
        <f t="shared" si="141"/>
        <v>298.63</v>
      </c>
      <c r="L343">
        <f t="shared" si="142"/>
        <v>280.02</v>
      </c>
      <c r="M343">
        <f t="shared" si="143"/>
        <v>18.609999999999985</v>
      </c>
      <c r="N343">
        <f t="shared" si="148"/>
        <v>37.21999999999997</v>
      </c>
      <c r="O343">
        <f t="shared" si="144"/>
        <v>285.33999999999997</v>
      </c>
      <c r="P343">
        <f t="shared" si="145"/>
        <v>0.2858678130037613</v>
      </c>
      <c r="Q343" t="str">
        <f t="shared" si="149"/>
        <v>8.39% | 4.66%</v>
      </c>
      <c r="R343" t="str">
        <f t="shared" si="146"/>
        <v>BEARISH</v>
      </c>
      <c r="S343">
        <f t="shared" si="150"/>
        <v>-1</v>
      </c>
    </row>
    <row r="344" spans="1:19" hidden="1" x14ac:dyDescent="0.25">
      <c r="A344" s="5" t="str">
        <f t="shared" si="147"/>
        <v>43901AMZN</v>
      </c>
      <c r="B344" s="6" t="s">
        <v>73</v>
      </c>
      <c r="C344" s="6">
        <v>1780</v>
      </c>
      <c r="D344" s="6">
        <v>1962</v>
      </c>
      <c r="E344" s="6">
        <v>1891</v>
      </c>
      <c r="F344" t="str">
        <f t="shared" si="136"/>
        <v>WED</v>
      </c>
      <c r="G344" s="1">
        <f t="shared" si="137"/>
        <v>43901</v>
      </c>
      <c r="H344" s="2">
        <f t="shared" ca="1" si="138"/>
        <v>352</v>
      </c>
      <c r="I344" t="str">
        <f t="shared" si="139"/>
        <v>AMZN</v>
      </c>
      <c r="J344">
        <f t="shared" si="140"/>
        <v>1780</v>
      </c>
      <c r="K344">
        <f t="shared" si="141"/>
        <v>1962</v>
      </c>
      <c r="L344">
        <f t="shared" si="142"/>
        <v>1871</v>
      </c>
      <c r="M344">
        <f t="shared" si="143"/>
        <v>91</v>
      </c>
      <c r="N344">
        <f t="shared" si="148"/>
        <v>182</v>
      </c>
      <c r="O344">
        <f t="shared" si="144"/>
        <v>1891</v>
      </c>
      <c r="P344">
        <f t="shared" si="145"/>
        <v>0.21978021978021978</v>
      </c>
      <c r="Q344" t="str">
        <f t="shared" si="149"/>
        <v>5.87% | 3.75%</v>
      </c>
      <c r="R344" t="str">
        <f t="shared" si="146"/>
        <v>BEARISH</v>
      </c>
      <c r="S344">
        <f t="shared" si="150"/>
        <v>-1</v>
      </c>
    </row>
    <row r="345" spans="1:19" hidden="1" x14ac:dyDescent="0.25">
      <c r="A345" s="5" t="str">
        <f t="shared" si="147"/>
        <v>43901FB</v>
      </c>
      <c r="B345" s="6" t="s">
        <v>58</v>
      </c>
      <c r="C345" s="6">
        <v>164</v>
      </c>
      <c r="D345" s="6">
        <v>185</v>
      </c>
      <c r="E345" s="6">
        <v>178</v>
      </c>
      <c r="F345" t="str">
        <f t="shared" si="136"/>
        <v>WED</v>
      </c>
      <c r="G345" s="1">
        <f t="shared" si="137"/>
        <v>43901</v>
      </c>
      <c r="H345" s="2">
        <f t="shared" ca="1" si="138"/>
        <v>352</v>
      </c>
      <c r="I345" t="str">
        <f t="shared" si="139"/>
        <v>FB</v>
      </c>
      <c r="J345">
        <f t="shared" si="140"/>
        <v>164</v>
      </c>
      <c r="K345">
        <f t="shared" si="141"/>
        <v>185</v>
      </c>
      <c r="L345">
        <f t="shared" si="142"/>
        <v>174.5</v>
      </c>
      <c r="M345">
        <f t="shared" si="143"/>
        <v>10.5</v>
      </c>
      <c r="N345">
        <f t="shared" si="148"/>
        <v>21</v>
      </c>
      <c r="O345">
        <f t="shared" si="144"/>
        <v>178</v>
      </c>
      <c r="P345">
        <f t="shared" si="145"/>
        <v>0.33333333333333331</v>
      </c>
      <c r="Q345" t="str">
        <f t="shared" si="149"/>
        <v>7.87% | 3.93%</v>
      </c>
      <c r="R345" t="str">
        <f t="shared" si="146"/>
        <v>BEARISH</v>
      </c>
      <c r="S345">
        <f t="shared" si="150"/>
        <v>-1</v>
      </c>
    </row>
    <row r="346" spans="1:19" hidden="1" x14ac:dyDescent="0.25">
      <c r="A346" s="5" t="str">
        <f t="shared" si="147"/>
        <v>43901GOOGL</v>
      </c>
      <c r="B346" s="6" t="s">
        <v>66</v>
      </c>
      <c r="C346" s="6">
        <v>1208</v>
      </c>
      <c r="D346" s="6">
        <v>1327</v>
      </c>
      <c r="E346" s="6">
        <v>1275</v>
      </c>
      <c r="F346" t="str">
        <f t="shared" si="136"/>
        <v>WED</v>
      </c>
      <c r="G346" s="1">
        <f t="shared" si="137"/>
        <v>43901</v>
      </c>
      <c r="H346" s="2">
        <f t="shared" ca="1" si="138"/>
        <v>352</v>
      </c>
      <c r="I346" t="str">
        <f t="shared" si="139"/>
        <v>GOOGL</v>
      </c>
      <c r="J346">
        <f t="shared" si="140"/>
        <v>1208</v>
      </c>
      <c r="K346">
        <f t="shared" si="141"/>
        <v>1327</v>
      </c>
      <c r="L346">
        <f t="shared" si="142"/>
        <v>1267.5</v>
      </c>
      <c r="M346">
        <f t="shared" si="143"/>
        <v>59.5</v>
      </c>
      <c r="N346">
        <f t="shared" si="148"/>
        <v>119</v>
      </c>
      <c r="O346">
        <f t="shared" si="144"/>
        <v>1275</v>
      </c>
      <c r="P346">
        <f t="shared" si="145"/>
        <v>0.12605042016806722</v>
      </c>
      <c r="Q346" t="str">
        <f t="shared" si="149"/>
        <v>5.25% | 4.08%</v>
      </c>
      <c r="R346" t="str">
        <f t="shared" si="146"/>
        <v>BEARISH</v>
      </c>
      <c r="S346">
        <f t="shared" si="150"/>
        <v>-1</v>
      </c>
    </row>
    <row r="347" spans="1:19" hidden="1" x14ac:dyDescent="0.25">
      <c r="A347" s="5" t="str">
        <f t="shared" si="147"/>
        <v>43901NFLX</v>
      </c>
      <c r="B347" s="6" t="s">
        <v>81</v>
      </c>
      <c r="C347" s="6">
        <v>341</v>
      </c>
      <c r="D347" s="6">
        <v>370</v>
      </c>
      <c r="E347" s="6">
        <v>364</v>
      </c>
      <c r="F347" t="str">
        <f t="shared" si="136"/>
        <v>WED</v>
      </c>
      <c r="G347" s="1">
        <f t="shared" si="137"/>
        <v>43901</v>
      </c>
      <c r="H347" s="2">
        <f t="shared" ca="1" si="138"/>
        <v>352</v>
      </c>
      <c r="I347" t="str">
        <f t="shared" si="139"/>
        <v>NFLX</v>
      </c>
      <c r="J347">
        <f t="shared" si="140"/>
        <v>341</v>
      </c>
      <c r="K347">
        <f t="shared" si="141"/>
        <v>370</v>
      </c>
      <c r="L347">
        <f t="shared" si="142"/>
        <v>355.5</v>
      </c>
      <c r="M347">
        <f t="shared" si="143"/>
        <v>14.5</v>
      </c>
      <c r="N347">
        <f t="shared" si="148"/>
        <v>29</v>
      </c>
      <c r="O347">
        <f t="shared" si="144"/>
        <v>364</v>
      </c>
      <c r="P347">
        <f t="shared" si="145"/>
        <v>0.58620689655172409</v>
      </c>
      <c r="Q347" t="str">
        <f t="shared" si="149"/>
        <v>6.32% | 1.65%</v>
      </c>
      <c r="R347" t="str">
        <f t="shared" si="146"/>
        <v>BEARISH</v>
      </c>
      <c r="S347">
        <f t="shared" si="150"/>
        <v>-1</v>
      </c>
    </row>
    <row r="348" spans="1:19" x14ac:dyDescent="0.25">
      <c r="A348" s="5" t="str">
        <f t="shared" si="147"/>
        <v>43901TSLA</v>
      </c>
      <c r="B348" s="6" t="s">
        <v>71</v>
      </c>
      <c r="C348" s="6">
        <v>573</v>
      </c>
      <c r="D348" s="6">
        <v>714</v>
      </c>
      <c r="E348" s="6">
        <v>645</v>
      </c>
      <c r="F348" t="str">
        <f t="shared" si="136"/>
        <v>WED</v>
      </c>
      <c r="G348" s="1">
        <f t="shared" si="137"/>
        <v>43901</v>
      </c>
      <c r="H348" s="2">
        <f t="shared" ca="1" si="138"/>
        <v>352</v>
      </c>
      <c r="I348" t="str">
        <f t="shared" si="139"/>
        <v>TSLA</v>
      </c>
      <c r="J348">
        <f t="shared" si="140"/>
        <v>573</v>
      </c>
      <c r="K348">
        <f t="shared" si="141"/>
        <v>714</v>
      </c>
      <c r="L348">
        <f t="shared" si="142"/>
        <v>643.5</v>
      </c>
      <c r="M348">
        <f t="shared" si="143"/>
        <v>70.5</v>
      </c>
      <c r="N348">
        <f t="shared" si="148"/>
        <v>141</v>
      </c>
      <c r="O348">
        <f t="shared" si="144"/>
        <v>645</v>
      </c>
      <c r="P348">
        <f t="shared" si="145"/>
        <v>2.1276595744680851E-2</v>
      </c>
      <c r="Q348" t="str">
        <f t="shared" si="149"/>
        <v>11.16% | 10.7%</v>
      </c>
      <c r="R348" t="str">
        <f t="shared" si="146"/>
        <v>NEUTRAL</v>
      </c>
      <c r="S348">
        <f t="shared" si="150"/>
        <v>0</v>
      </c>
    </row>
    <row r="349" spans="1:19" hidden="1" x14ac:dyDescent="0.25">
      <c r="A349" s="5" t="str">
        <f t="shared" si="147"/>
        <v>43901NYXBT</v>
      </c>
      <c r="B349" s="6" t="s">
        <v>74</v>
      </c>
      <c r="C349" s="6">
        <v>7551</v>
      </c>
      <c r="D349" s="6">
        <v>8602</v>
      </c>
      <c r="E349" s="6">
        <v>7817</v>
      </c>
      <c r="F349" t="str">
        <f t="shared" si="136"/>
        <v>WED</v>
      </c>
      <c r="G349" s="1">
        <f t="shared" si="137"/>
        <v>43901</v>
      </c>
      <c r="H349" s="2">
        <f t="shared" ca="1" si="138"/>
        <v>352</v>
      </c>
      <c r="I349" t="str">
        <f t="shared" si="139"/>
        <v>NYXBT</v>
      </c>
      <c r="J349">
        <f t="shared" si="140"/>
        <v>7551</v>
      </c>
      <c r="K349">
        <f t="shared" si="141"/>
        <v>8602</v>
      </c>
      <c r="L349">
        <f t="shared" si="142"/>
        <v>8076.5</v>
      </c>
      <c r="M349">
        <f t="shared" si="143"/>
        <v>525.5</v>
      </c>
      <c r="N349">
        <f t="shared" si="148"/>
        <v>1051</v>
      </c>
      <c r="O349">
        <f t="shared" si="144"/>
        <v>7817</v>
      </c>
      <c r="P349">
        <f t="shared" si="145"/>
        <v>-0.49381541389153188</v>
      </c>
      <c r="Q349" t="str">
        <f t="shared" si="149"/>
        <v>3.4% | 10.04%</v>
      </c>
      <c r="R349" t="str">
        <f t="shared" si="146"/>
        <v>BEARISH</v>
      </c>
      <c r="S349">
        <f t="shared" si="150"/>
        <v>-1</v>
      </c>
    </row>
    <row r="350" spans="1:19" hidden="1" x14ac:dyDescent="0.25">
      <c r="A350" s="5" t="str">
        <f t="shared" si="147"/>
        <v>43902UST10Y</v>
      </c>
      <c r="B350" s="6" t="s">
        <v>4</v>
      </c>
      <c r="C350" s="6">
        <v>0.9</v>
      </c>
      <c r="D350" s="6">
        <v>0.49</v>
      </c>
      <c r="E350" s="6">
        <v>0.82</v>
      </c>
      <c r="F350" t="str">
        <f t="shared" si="136"/>
        <v>THU</v>
      </c>
      <c r="G350" s="3">
        <f>DATE(2020,3,12)</f>
        <v>43902</v>
      </c>
      <c r="H350" s="2">
        <f t="shared" ca="1" si="138"/>
        <v>351</v>
      </c>
      <c r="I350" t="str">
        <f t="shared" si="139"/>
        <v>UST10Y</v>
      </c>
      <c r="J350">
        <f t="shared" si="140"/>
        <v>0.9</v>
      </c>
      <c r="K350">
        <f t="shared" si="141"/>
        <v>0.49</v>
      </c>
      <c r="L350">
        <f t="shared" si="142"/>
        <v>0.69500000000000006</v>
      </c>
      <c r="M350">
        <f t="shared" si="143"/>
        <v>0.20499999999999982</v>
      </c>
      <c r="N350">
        <f t="shared" si="148"/>
        <v>0.41000000000000003</v>
      </c>
      <c r="O350">
        <f t="shared" si="144"/>
        <v>0.82</v>
      </c>
      <c r="P350">
        <f t="shared" si="145"/>
        <v>0.6097560975609756</v>
      </c>
      <c r="Q350" t="str">
        <f t="shared" si="149"/>
        <v>9.76% | 40.24%</v>
      </c>
      <c r="R350" t="str">
        <f t="shared" si="146"/>
        <v>BEARISH</v>
      </c>
      <c r="S350">
        <f t="shared" si="150"/>
        <v>-1</v>
      </c>
    </row>
    <row r="351" spans="1:19" hidden="1" x14ac:dyDescent="0.25">
      <c r="A351" s="5" t="str">
        <f t="shared" si="147"/>
        <v>43902UST2Y</v>
      </c>
      <c r="B351" s="6" t="s">
        <v>5</v>
      </c>
      <c r="C351" s="6">
        <v>0.63</v>
      </c>
      <c r="D351" s="6">
        <v>0.27</v>
      </c>
      <c r="E351" s="6">
        <v>0.5</v>
      </c>
      <c r="F351" t="str">
        <f t="shared" ref="F351:F378" si="151">UPPER(TEXT(G351,"ddd"))</f>
        <v>THU</v>
      </c>
      <c r="G351" s="3">
        <f t="shared" ref="G351:G377" si="152">DATE(2020,3,12)</f>
        <v>43902</v>
      </c>
      <c r="H351" s="2">
        <f t="shared" ref="H351:H378" ca="1" si="153">TODAY()-G351</f>
        <v>351</v>
      </c>
      <c r="I351" t="str">
        <f t="shared" ref="I351:I378" si="154">TRIM(LEFT(B351,FIND(" ",B351,1)))</f>
        <v>UST2Y</v>
      </c>
      <c r="J351">
        <f t="shared" ref="J351:J378" si="155">C351</f>
        <v>0.63</v>
      </c>
      <c r="K351">
        <f t="shared" ref="K351:K378" si="156">D351</f>
        <v>0.27</v>
      </c>
      <c r="L351">
        <f t="shared" ref="L351:L378" si="157">AVERAGE(J351:K351)</f>
        <v>0.45</v>
      </c>
      <c r="M351">
        <f t="shared" ref="M351:M378" si="158">_xlfn.STDEV.P(J351:K351)</f>
        <v>0.18000000000000002</v>
      </c>
      <c r="N351">
        <f t="shared" si="148"/>
        <v>0.36</v>
      </c>
      <c r="O351">
        <f t="shared" ref="O351:O378" si="159">E351</f>
        <v>0.5</v>
      </c>
      <c r="P351">
        <f t="shared" ref="P351:P378" si="160">(O351-L351)/M351</f>
        <v>0.27777777777777768</v>
      </c>
      <c r="Q351" t="str">
        <f t="shared" si="149"/>
        <v>26% | 46%</v>
      </c>
      <c r="R351" t="str">
        <f t="shared" ref="R351:R378" si="161">MID(B351,FIND("(",B351,1)+1,FIND(")",B351,1)-FIND("(",B351,1)-1)</f>
        <v>BEARISH</v>
      </c>
      <c r="S351">
        <f t="shared" si="150"/>
        <v>-1</v>
      </c>
    </row>
    <row r="352" spans="1:19" hidden="1" x14ac:dyDescent="0.25">
      <c r="A352" s="5" t="str">
        <f t="shared" si="147"/>
        <v>43902SPX</v>
      </c>
      <c r="B352" s="6" t="s">
        <v>6</v>
      </c>
      <c r="C352" s="6">
        <v>2561</v>
      </c>
      <c r="D352" s="6">
        <v>2920</v>
      </c>
      <c r="E352" s="6">
        <v>2741</v>
      </c>
      <c r="F352" t="str">
        <f t="shared" si="151"/>
        <v>THU</v>
      </c>
      <c r="G352" s="3">
        <f t="shared" si="152"/>
        <v>43902</v>
      </c>
      <c r="H352" s="2">
        <f t="shared" ca="1" si="153"/>
        <v>351</v>
      </c>
      <c r="I352" t="str">
        <f t="shared" si="154"/>
        <v>SPX</v>
      </c>
      <c r="J352">
        <f t="shared" si="155"/>
        <v>2561</v>
      </c>
      <c r="K352">
        <f t="shared" si="156"/>
        <v>2920</v>
      </c>
      <c r="L352">
        <f t="shared" si="157"/>
        <v>2740.5</v>
      </c>
      <c r="M352">
        <f t="shared" si="158"/>
        <v>179.5</v>
      </c>
      <c r="N352">
        <f t="shared" si="148"/>
        <v>359</v>
      </c>
      <c r="O352">
        <f t="shared" si="159"/>
        <v>2741</v>
      </c>
      <c r="P352">
        <f t="shared" si="160"/>
        <v>2.7855153203342618E-3</v>
      </c>
      <c r="Q352" t="str">
        <f t="shared" si="149"/>
        <v>6.57% | 6.53%</v>
      </c>
      <c r="R352" t="str">
        <f t="shared" si="161"/>
        <v>BEARISH</v>
      </c>
      <c r="S352">
        <f t="shared" si="150"/>
        <v>-1</v>
      </c>
    </row>
    <row r="353" spans="1:19" hidden="1" x14ac:dyDescent="0.25">
      <c r="A353" s="5" t="str">
        <f t="shared" si="147"/>
        <v>43902RUT</v>
      </c>
      <c r="B353" s="6" t="s">
        <v>7</v>
      </c>
      <c r="C353" s="6">
        <v>1225</v>
      </c>
      <c r="D353" s="6">
        <v>1341</v>
      </c>
      <c r="E353" s="6">
        <v>1264</v>
      </c>
      <c r="F353" t="str">
        <f t="shared" si="151"/>
        <v>THU</v>
      </c>
      <c r="G353" s="3">
        <f t="shared" si="152"/>
        <v>43902</v>
      </c>
      <c r="H353" s="2">
        <f t="shared" ca="1" si="153"/>
        <v>351</v>
      </c>
      <c r="I353" t="str">
        <f t="shared" si="154"/>
        <v>RUT</v>
      </c>
      <c r="J353">
        <f t="shared" si="155"/>
        <v>1225</v>
      </c>
      <c r="K353">
        <f t="shared" si="156"/>
        <v>1341</v>
      </c>
      <c r="L353">
        <f t="shared" si="157"/>
        <v>1283</v>
      </c>
      <c r="M353">
        <f t="shared" si="158"/>
        <v>58</v>
      </c>
      <c r="N353">
        <f t="shared" si="148"/>
        <v>116</v>
      </c>
      <c r="O353">
        <f t="shared" si="159"/>
        <v>1264</v>
      </c>
      <c r="P353">
        <f t="shared" si="160"/>
        <v>-0.32758620689655171</v>
      </c>
      <c r="Q353" t="str">
        <f t="shared" si="149"/>
        <v>3.09% | 6.09%</v>
      </c>
      <c r="R353" t="str">
        <f t="shared" si="161"/>
        <v>BEARISH</v>
      </c>
      <c r="S353">
        <f t="shared" si="150"/>
        <v>-1</v>
      </c>
    </row>
    <row r="354" spans="1:19" hidden="1" x14ac:dyDescent="0.25">
      <c r="A354" s="5" t="str">
        <f t="shared" si="147"/>
        <v>43902COMPQ</v>
      </c>
      <c r="B354" s="6" t="s">
        <v>64</v>
      </c>
      <c r="C354" s="6">
        <v>7701</v>
      </c>
      <c r="D354" s="6">
        <v>8453</v>
      </c>
      <c r="E354" s="6">
        <v>7952</v>
      </c>
      <c r="F354" t="str">
        <f t="shared" si="151"/>
        <v>THU</v>
      </c>
      <c r="G354" s="3">
        <f t="shared" si="152"/>
        <v>43902</v>
      </c>
      <c r="H354" s="2">
        <f t="shared" ca="1" si="153"/>
        <v>351</v>
      </c>
      <c r="I354" t="str">
        <f t="shared" si="154"/>
        <v>COMPQ</v>
      </c>
      <c r="J354">
        <f t="shared" si="155"/>
        <v>7701</v>
      </c>
      <c r="K354">
        <f t="shared" si="156"/>
        <v>8453</v>
      </c>
      <c r="L354">
        <f t="shared" si="157"/>
        <v>8077</v>
      </c>
      <c r="M354">
        <f t="shared" si="158"/>
        <v>376</v>
      </c>
      <c r="N354">
        <f t="shared" si="148"/>
        <v>752</v>
      </c>
      <c r="O354">
        <f t="shared" si="159"/>
        <v>7952</v>
      </c>
      <c r="P354">
        <f t="shared" si="160"/>
        <v>-0.33244680851063829</v>
      </c>
      <c r="Q354" t="str">
        <f t="shared" si="149"/>
        <v>3.16% | 6.3%</v>
      </c>
      <c r="R354" t="str">
        <f t="shared" si="161"/>
        <v>BEARISH</v>
      </c>
      <c r="S354">
        <f t="shared" si="150"/>
        <v>-1</v>
      </c>
    </row>
    <row r="355" spans="1:19" hidden="1" x14ac:dyDescent="0.25">
      <c r="A355" s="5" t="str">
        <f t="shared" si="147"/>
        <v>43902XLU</v>
      </c>
      <c r="B355" s="6" t="s">
        <v>82</v>
      </c>
      <c r="C355" s="6">
        <v>59.06</v>
      </c>
      <c r="D355" s="6">
        <v>64.89</v>
      </c>
      <c r="E355" s="6">
        <v>60.83</v>
      </c>
      <c r="F355" t="str">
        <f t="shared" si="151"/>
        <v>THU</v>
      </c>
      <c r="G355" s="3">
        <f t="shared" si="152"/>
        <v>43902</v>
      </c>
      <c r="H355" s="2">
        <f t="shared" ca="1" si="153"/>
        <v>351</v>
      </c>
      <c r="I355" t="str">
        <f t="shared" si="154"/>
        <v>XLU</v>
      </c>
      <c r="J355">
        <f t="shared" si="155"/>
        <v>59.06</v>
      </c>
      <c r="K355">
        <f t="shared" si="156"/>
        <v>64.89</v>
      </c>
      <c r="L355">
        <f t="shared" si="157"/>
        <v>61.975000000000001</v>
      </c>
      <c r="M355">
        <f t="shared" si="158"/>
        <v>2.9149999999999991</v>
      </c>
      <c r="N355">
        <f t="shared" si="148"/>
        <v>5.8299999999999983</v>
      </c>
      <c r="O355">
        <f t="shared" si="159"/>
        <v>60.83</v>
      </c>
      <c r="P355">
        <f t="shared" si="160"/>
        <v>-0.39279588336192228</v>
      </c>
      <c r="Q355" t="str">
        <f t="shared" si="149"/>
        <v>2.91% | 6.67%</v>
      </c>
      <c r="R355" t="str">
        <f t="shared" si="161"/>
        <v>BEARISH</v>
      </c>
      <c r="S355">
        <f t="shared" si="150"/>
        <v>-1</v>
      </c>
    </row>
    <row r="356" spans="1:19" hidden="1" x14ac:dyDescent="0.25">
      <c r="A356" s="5" t="str">
        <f t="shared" si="147"/>
        <v>43902VNQ</v>
      </c>
      <c r="B356" s="6" t="s">
        <v>67</v>
      </c>
      <c r="C356" s="6">
        <v>79.52</v>
      </c>
      <c r="D356" s="6">
        <v>89.13</v>
      </c>
      <c r="E356" s="6">
        <v>81.34</v>
      </c>
      <c r="F356" t="str">
        <f t="shared" si="151"/>
        <v>THU</v>
      </c>
      <c r="G356" s="3">
        <f t="shared" si="152"/>
        <v>43902</v>
      </c>
      <c r="H356" s="2">
        <f t="shared" ca="1" si="153"/>
        <v>351</v>
      </c>
      <c r="I356" t="str">
        <f t="shared" si="154"/>
        <v>VNQ</v>
      </c>
      <c r="J356">
        <f t="shared" si="155"/>
        <v>79.52</v>
      </c>
      <c r="K356">
        <f t="shared" si="156"/>
        <v>89.13</v>
      </c>
      <c r="L356">
        <f t="shared" si="157"/>
        <v>84.324999999999989</v>
      </c>
      <c r="M356">
        <f t="shared" si="158"/>
        <v>4.8049999999999997</v>
      </c>
      <c r="N356">
        <f t="shared" si="148"/>
        <v>9.61</v>
      </c>
      <c r="O356">
        <f t="shared" si="159"/>
        <v>81.34</v>
      </c>
      <c r="P356">
        <f t="shared" si="160"/>
        <v>-0.62122788761706249</v>
      </c>
      <c r="Q356" t="str">
        <f t="shared" si="149"/>
        <v>2.24% | 9.58%</v>
      </c>
      <c r="R356" t="str">
        <f t="shared" si="161"/>
        <v>BEARISH</v>
      </c>
      <c r="S356">
        <f t="shared" si="150"/>
        <v>-1</v>
      </c>
    </row>
    <row r="357" spans="1:19" hidden="1" x14ac:dyDescent="0.25">
      <c r="A357" s="5" t="str">
        <f t="shared" si="147"/>
        <v>43902XLP</v>
      </c>
      <c r="B357" s="6" t="s">
        <v>11</v>
      </c>
      <c r="C357" s="6">
        <v>55.69</v>
      </c>
      <c r="D357" s="6">
        <v>60.55</v>
      </c>
      <c r="E357" s="6">
        <v>57.58</v>
      </c>
      <c r="F357" t="str">
        <f t="shared" si="151"/>
        <v>THU</v>
      </c>
      <c r="G357" s="3">
        <f t="shared" si="152"/>
        <v>43902</v>
      </c>
      <c r="H357" s="2">
        <f t="shared" ca="1" si="153"/>
        <v>351</v>
      </c>
      <c r="I357" t="str">
        <f t="shared" si="154"/>
        <v>XLP</v>
      </c>
      <c r="J357">
        <f t="shared" si="155"/>
        <v>55.69</v>
      </c>
      <c r="K357">
        <f t="shared" si="156"/>
        <v>60.55</v>
      </c>
      <c r="L357">
        <f t="shared" si="157"/>
        <v>58.12</v>
      </c>
      <c r="M357">
        <f t="shared" si="158"/>
        <v>2.4299999999999997</v>
      </c>
      <c r="N357">
        <f t="shared" si="148"/>
        <v>4.8599999999999994</v>
      </c>
      <c r="O357">
        <f t="shared" si="159"/>
        <v>57.58</v>
      </c>
      <c r="P357">
        <f t="shared" si="160"/>
        <v>-0.2222222222222219</v>
      </c>
      <c r="Q357" t="str">
        <f t="shared" si="149"/>
        <v>3.28% | 5.16%</v>
      </c>
      <c r="R357" t="str">
        <f t="shared" si="161"/>
        <v>BEARISH</v>
      </c>
      <c r="S357">
        <f t="shared" si="150"/>
        <v>-1</v>
      </c>
    </row>
    <row r="358" spans="1:19" hidden="1" x14ac:dyDescent="0.25">
      <c r="A358" s="5" t="str">
        <f t="shared" si="147"/>
        <v>43902XLK</v>
      </c>
      <c r="B358" s="6" t="s">
        <v>65</v>
      </c>
      <c r="C358" s="6">
        <v>80.25</v>
      </c>
      <c r="D358" s="6">
        <v>89.23</v>
      </c>
      <c r="E358" s="6">
        <v>83.5</v>
      </c>
      <c r="F358" t="str">
        <f t="shared" si="151"/>
        <v>THU</v>
      </c>
      <c r="G358" s="3">
        <f t="shared" si="152"/>
        <v>43902</v>
      </c>
      <c r="H358" s="2">
        <f t="shared" ca="1" si="153"/>
        <v>351</v>
      </c>
      <c r="I358" t="str">
        <f t="shared" si="154"/>
        <v>XLK</v>
      </c>
      <c r="J358">
        <f t="shared" si="155"/>
        <v>80.25</v>
      </c>
      <c r="K358">
        <f t="shared" si="156"/>
        <v>89.23</v>
      </c>
      <c r="L358">
        <f t="shared" si="157"/>
        <v>84.740000000000009</v>
      </c>
      <c r="M358">
        <f t="shared" si="158"/>
        <v>4.490000000000002</v>
      </c>
      <c r="N358">
        <f t="shared" si="148"/>
        <v>8.980000000000004</v>
      </c>
      <c r="O358">
        <f t="shared" si="159"/>
        <v>83.5</v>
      </c>
      <c r="P358">
        <f t="shared" si="160"/>
        <v>-0.27616926503340949</v>
      </c>
      <c r="Q358" t="str">
        <f t="shared" si="149"/>
        <v>3.89% | 6.86%</v>
      </c>
      <c r="R358" t="str">
        <f t="shared" si="161"/>
        <v>BEARISH</v>
      </c>
      <c r="S358">
        <f t="shared" si="150"/>
        <v>-1</v>
      </c>
    </row>
    <row r="359" spans="1:19" hidden="1" x14ac:dyDescent="0.25">
      <c r="A359" s="5" t="str">
        <f t="shared" si="147"/>
        <v>43902SSEC</v>
      </c>
      <c r="B359" s="6" t="s">
        <v>14</v>
      </c>
      <c r="C359" s="6">
        <v>2862</v>
      </c>
      <c r="D359" s="6">
        <v>3060</v>
      </c>
      <c r="E359" s="6">
        <v>2923</v>
      </c>
      <c r="F359" t="str">
        <f t="shared" si="151"/>
        <v>THU</v>
      </c>
      <c r="G359" s="3">
        <f t="shared" si="152"/>
        <v>43902</v>
      </c>
      <c r="H359" s="2">
        <f t="shared" ca="1" si="153"/>
        <v>351</v>
      </c>
      <c r="I359" t="str">
        <f t="shared" si="154"/>
        <v>SSEC</v>
      </c>
      <c r="J359">
        <f t="shared" si="155"/>
        <v>2862</v>
      </c>
      <c r="K359">
        <f t="shared" si="156"/>
        <v>3060</v>
      </c>
      <c r="L359">
        <f t="shared" si="157"/>
        <v>2961</v>
      </c>
      <c r="M359">
        <f t="shared" si="158"/>
        <v>99</v>
      </c>
      <c r="N359">
        <f t="shared" si="148"/>
        <v>198</v>
      </c>
      <c r="O359">
        <f t="shared" si="159"/>
        <v>2923</v>
      </c>
      <c r="P359">
        <f t="shared" si="160"/>
        <v>-0.38383838383838381</v>
      </c>
      <c r="Q359" t="str">
        <f t="shared" si="149"/>
        <v>2.09% | 4.69%</v>
      </c>
      <c r="R359" t="str">
        <f t="shared" si="161"/>
        <v>BEARISH</v>
      </c>
      <c r="S359">
        <f t="shared" si="150"/>
        <v>-1</v>
      </c>
    </row>
    <row r="360" spans="1:19" hidden="1" x14ac:dyDescent="0.25">
      <c r="A360" s="5" t="str">
        <f t="shared" si="147"/>
        <v>43902NIKK</v>
      </c>
      <c r="B360" s="6" t="s">
        <v>15</v>
      </c>
      <c r="C360" s="6">
        <v>18401</v>
      </c>
      <c r="D360" s="6">
        <v>20536</v>
      </c>
      <c r="E360" s="6">
        <v>18559</v>
      </c>
      <c r="F360" t="str">
        <f t="shared" si="151"/>
        <v>THU</v>
      </c>
      <c r="G360" s="3">
        <f t="shared" si="152"/>
        <v>43902</v>
      </c>
      <c r="H360" s="2">
        <f t="shared" ca="1" si="153"/>
        <v>351</v>
      </c>
      <c r="I360" t="str">
        <f t="shared" si="154"/>
        <v>NIKK</v>
      </c>
      <c r="J360">
        <f t="shared" si="155"/>
        <v>18401</v>
      </c>
      <c r="K360">
        <f t="shared" si="156"/>
        <v>20536</v>
      </c>
      <c r="L360">
        <f t="shared" si="157"/>
        <v>19468.5</v>
      </c>
      <c r="M360">
        <f t="shared" si="158"/>
        <v>1067.5</v>
      </c>
      <c r="N360">
        <f t="shared" si="148"/>
        <v>2135</v>
      </c>
      <c r="O360">
        <f t="shared" si="159"/>
        <v>18559</v>
      </c>
      <c r="P360">
        <f t="shared" si="160"/>
        <v>-0.85199063231850114</v>
      </c>
      <c r="Q360" t="str">
        <f t="shared" si="149"/>
        <v>0.85% | 10.65%</v>
      </c>
      <c r="R360" t="str">
        <f t="shared" si="161"/>
        <v>BEARISH</v>
      </c>
      <c r="S360">
        <f t="shared" si="150"/>
        <v>-1</v>
      </c>
    </row>
    <row r="361" spans="1:19" hidden="1" x14ac:dyDescent="0.25">
      <c r="A361" s="5" t="str">
        <f t="shared" si="147"/>
        <v>43902DAX</v>
      </c>
      <c r="B361" s="6" t="s">
        <v>16</v>
      </c>
      <c r="C361" s="6">
        <v>9605</v>
      </c>
      <c r="D361" s="6">
        <v>11332</v>
      </c>
      <c r="E361" s="6">
        <v>10438</v>
      </c>
      <c r="F361" t="str">
        <f t="shared" si="151"/>
        <v>THU</v>
      </c>
      <c r="G361" s="3">
        <f t="shared" si="152"/>
        <v>43902</v>
      </c>
      <c r="H361" s="2">
        <f t="shared" ca="1" si="153"/>
        <v>351</v>
      </c>
      <c r="I361" t="str">
        <f t="shared" si="154"/>
        <v>DAX</v>
      </c>
      <c r="J361">
        <f t="shared" si="155"/>
        <v>9605</v>
      </c>
      <c r="K361">
        <f t="shared" si="156"/>
        <v>11332</v>
      </c>
      <c r="L361">
        <f t="shared" si="157"/>
        <v>10468.5</v>
      </c>
      <c r="M361">
        <f t="shared" si="158"/>
        <v>863.5</v>
      </c>
      <c r="N361">
        <f t="shared" si="148"/>
        <v>1727</v>
      </c>
      <c r="O361">
        <f t="shared" si="159"/>
        <v>10438</v>
      </c>
      <c r="P361">
        <f t="shared" si="160"/>
        <v>-3.5321366531557617E-2</v>
      </c>
      <c r="Q361" t="str">
        <f t="shared" si="149"/>
        <v>7.98% | 8.56%</v>
      </c>
      <c r="R361" t="str">
        <f t="shared" si="161"/>
        <v>BEARISH</v>
      </c>
      <c r="S361">
        <f t="shared" si="150"/>
        <v>-1</v>
      </c>
    </row>
    <row r="362" spans="1:19" hidden="1" x14ac:dyDescent="0.25">
      <c r="A362" s="5" t="str">
        <f t="shared" si="147"/>
        <v>43902VIX</v>
      </c>
      <c r="B362" s="6" t="s">
        <v>17</v>
      </c>
      <c r="C362" s="6">
        <v>31.78</v>
      </c>
      <c r="D362" s="6">
        <v>59.59</v>
      </c>
      <c r="E362" s="6">
        <v>53.9</v>
      </c>
      <c r="F362" t="str">
        <f t="shared" si="151"/>
        <v>THU</v>
      </c>
      <c r="G362" s="3">
        <f t="shared" si="152"/>
        <v>43902</v>
      </c>
      <c r="H362" s="2">
        <f t="shared" ca="1" si="153"/>
        <v>351</v>
      </c>
      <c r="I362" t="str">
        <f t="shared" si="154"/>
        <v>VIX</v>
      </c>
      <c r="J362">
        <f t="shared" si="155"/>
        <v>31.78</v>
      </c>
      <c r="K362">
        <f t="shared" si="156"/>
        <v>59.59</v>
      </c>
      <c r="L362">
        <f t="shared" si="157"/>
        <v>45.685000000000002</v>
      </c>
      <c r="M362">
        <f t="shared" si="158"/>
        <v>13.904999999999999</v>
      </c>
      <c r="N362">
        <f t="shared" si="148"/>
        <v>27.810000000000002</v>
      </c>
      <c r="O362">
        <f t="shared" si="159"/>
        <v>53.9</v>
      </c>
      <c r="P362">
        <f t="shared" si="160"/>
        <v>0.59079467817331877</v>
      </c>
      <c r="Q362" t="str">
        <f t="shared" si="149"/>
        <v>41.04% | 10.56%</v>
      </c>
      <c r="R362" t="str">
        <f t="shared" si="161"/>
        <v>BULLISH</v>
      </c>
      <c r="S362">
        <f t="shared" si="150"/>
        <v>1</v>
      </c>
    </row>
    <row r="363" spans="1:19" hidden="1" x14ac:dyDescent="0.25">
      <c r="A363" s="5" t="str">
        <f t="shared" si="147"/>
        <v>43902USD</v>
      </c>
      <c r="B363" s="6" t="s">
        <v>78</v>
      </c>
      <c r="C363" s="6">
        <v>94.75</v>
      </c>
      <c r="D363" s="6">
        <v>98.51</v>
      </c>
      <c r="E363" s="6">
        <v>96.49</v>
      </c>
      <c r="F363" t="str">
        <f t="shared" si="151"/>
        <v>THU</v>
      </c>
      <c r="G363" s="3">
        <f t="shared" si="152"/>
        <v>43902</v>
      </c>
      <c r="H363" s="2">
        <f t="shared" ca="1" si="153"/>
        <v>351</v>
      </c>
      <c r="I363" t="str">
        <f t="shared" si="154"/>
        <v>USD</v>
      </c>
      <c r="J363">
        <f t="shared" si="155"/>
        <v>94.75</v>
      </c>
      <c r="K363">
        <f t="shared" si="156"/>
        <v>98.51</v>
      </c>
      <c r="L363">
        <f t="shared" si="157"/>
        <v>96.63</v>
      </c>
      <c r="M363">
        <f t="shared" si="158"/>
        <v>1.8800000000000026</v>
      </c>
      <c r="N363">
        <f t="shared" si="148"/>
        <v>3.7600000000000051</v>
      </c>
      <c r="O363">
        <f t="shared" si="159"/>
        <v>96.49</v>
      </c>
      <c r="P363">
        <f t="shared" si="160"/>
        <v>-7.4468085106383183E-2</v>
      </c>
      <c r="Q363" t="str">
        <f t="shared" si="149"/>
        <v>1.8% | 2.09%</v>
      </c>
      <c r="R363" t="str">
        <f t="shared" si="161"/>
        <v>NEUTRAL</v>
      </c>
      <c r="S363">
        <f t="shared" si="150"/>
        <v>0</v>
      </c>
    </row>
    <row r="364" spans="1:19" hidden="1" x14ac:dyDescent="0.25">
      <c r="A364" s="5" t="str">
        <f t="shared" si="147"/>
        <v>43902EUR/USD</v>
      </c>
      <c r="B364" s="6" t="s">
        <v>77</v>
      </c>
      <c r="C364" s="6">
        <v>1.0900000000000001</v>
      </c>
      <c r="D364" s="6">
        <v>1.1399999999999999</v>
      </c>
      <c r="E364" s="6">
        <v>1.1200000000000001</v>
      </c>
      <c r="F364" t="str">
        <f t="shared" si="151"/>
        <v>THU</v>
      </c>
      <c r="G364" s="3">
        <f t="shared" si="152"/>
        <v>43902</v>
      </c>
      <c r="H364" s="2">
        <f t="shared" ca="1" si="153"/>
        <v>351</v>
      </c>
      <c r="I364" t="str">
        <f t="shared" si="154"/>
        <v>EUR/USD</v>
      </c>
      <c r="J364">
        <f t="shared" si="155"/>
        <v>1.0900000000000001</v>
      </c>
      <c r="K364">
        <f t="shared" si="156"/>
        <v>1.1399999999999999</v>
      </c>
      <c r="L364">
        <f t="shared" si="157"/>
        <v>1.115</v>
      </c>
      <c r="M364">
        <f t="shared" si="158"/>
        <v>2.4999999999999911E-2</v>
      </c>
      <c r="N364">
        <f t="shared" si="148"/>
        <v>4.9999999999999822E-2</v>
      </c>
      <c r="O364">
        <f t="shared" si="159"/>
        <v>1.1200000000000001</v>
      </c>
      <c r="P364">
        <f t="shared" si="160"/>
        <v>0.20000000000000534</v>
      </c>
      <c r="Q364" t="str">
        <f t="shared" si="149"/>
        <v>2.68% | 1.79%</v>
      </c>
      <c r="R364" t="str">
        <f t="shared" si="161"/>
        <v>NEUTRAL</v>
      </c>
      <c r="S364">
        <f t="shared" si="150"/>
        <v>0</v>
      </c>
    </row>
    <row r="365" spans="1:19" hidden="1" x14ac:dyDescent="0.25">
      <c r="A365" s="5" t="str">
        <f t="shared" si="147"/>
        <v>43902USD/JPY</v>
      </c>
      <c r="B365" s="6" t="s">
        <v>20</v>
      </c>
      <c r="C365" s="6">
        <v>101.95</v>
      </c>
      <c r="D365" s="6">
        <v>108.7</v>
      </c>
      <c r="E365" s="6">
        <v>104.66</v>
      </c>
      <c r="F365" t="str">
        <f t="shared" si="151"/>
        <v>THU</v>
      </c>
      <c r="G365" s="3">
        <f t="shared" si="152"/>
        <v>43902</v>
      </c>
      <c r="H365" s="2">
        <f t="shared" ca="1" si="153"/>
        <v>351</v>
      </c>
      <c r="I365" t="str">
        <f t="shared" si="154"/>
        <v>USD/JPY</v>
      </c>
      <c r="J365">
        <f t="shared" si="155"/>
        <v>101.95</v>
      </c>
      <c r="K365">
        <f t="shared" si="156"/>
        <v>108.7</v>
      </c>
      <c r="L365">
        <f t="shared" si="157"/>
        <v>105.325</v>
      </c>
      <c r="M365">
        <f t="shared" si="158"/>
        <v>3.375</v>
      </c>
      <c r="N365">
        <f t="shared" si="148"/>
        <v>6.75</v>
      </c>
      <c r="O365">
        <f t="shared" si="159"/>
        <v>104.66</v>
      </c>
      <c r="P365">
        <f t="shared" si="160"/>
        <v>-0.1970370370370389</v>
      </c>
      <c r="Q365" t="str">
        <f t="shared" si="149"/>
        <v>2.59% | 3.86%</v>
      </c>
      <c r="R365" t="str">
        <f t="shared" si="161"/>
        <v>BEARISH</v>
      </c>
      <c r="S365">
        <f t="shared" si="150"/>
        <v>-1</v>
      </c>
    </row>
    <row r="366" spans="1:19" hidden="1" x14ac:dyDescent="0.25">
      <c r="A366" s="5" t="str">
        <f t="shared" si="147"/>
        <v>43902GBP/USD</v>
      </c>
      <c r="B366" s="6" t="s">
        <v>21</v>
      </c>
      <c r="C366" s="6">
        <v>1.26</v>
      </c>
      <c r="D366" s="6">
        <v>1.3</v>
      </c>
      <c r="E366" s="6">
        <v>1.28</v>
      </c>
      <c r="F366" t="str">
        <f t="shared" si="151"/>
        <v>THU</v>
      </c>
      <c r="G366" s="3">
        <f t="shared" si="152"/>
        <v>43902</v>
      </c>
      <c r="H366" s="2">
        <f t="shared" ca="1" si="153"/>
        <v>351</v>
      </c>
      <c r="I366" t="str">
        <f t="shared" si="154"/>
        <v>GBP/USD</v>
      </c>
      <c r="J366">
        <f t="shared" si="155"/>
        <v>1.26</v>
      </c>
      <c r="K366">
        <f t="shared" si="156"/>
        <v>1.3</v>
      </c>
      <c r="L366">
        <f t="shared" si="157"/>
        <v>1.28</v>
      </c>
      <c r="M366">
        <f t="shared" si="158"/>
        <v>2.0000000000000018E-2</v>
      </c>
      <c r="N366">
        <f t="shared" si="148"/>
        <v>4.0000000000000036E-2</v>
      </c>
      <c r="O366">
        <f t="shared" si="159"/>
        <v>1.28</v>
      </c>
      <c r="P366">
        <f t="shared" si="160"/>
        <v>0</v>
      </c>
      <c r="Q366" t="str">
        <f t="shared" si="149"/>
        <v>1.56% | 1.56%</v>
      </c>
      <c r="R366" t="str">
        <f t="shared" si="161"/>
        <v>BEARISH</v>
      </c>
      <c r="S366">
        <f t="shared" si="150"/>
        <v>-1</v>
      </c>
    </row>
    <row r="367" spans="1:19" hidden="1" x14ac:dyDescent="0.25">
      <c r="A367" s="5" t="str">
        <f t="shared" si="147"/>
        <v>43902USD/CHF</v>
      </c>
      <c r="B367" s="6" t="s">
        <v>76</v>
      </c>
      <c r="C367" s="6">
        <v>0.92</v>
      </c>
      <c r="D367" s="6">
        <v>0.96</v>
      </c>
      <c r="E367" s="6">
        <v>0.93</v>
      </c>
      <c r="F367" t="str">
        <f t="shared" si="151"/>
        <v>THU</v>
      </c>
      <c r="G367" s="3">
        <f t="shared" si="152"/>
        <v>43902</v>
      </c>
      <c r="H367" s="2">
        <f t="shared" ca="1" si="153"/>
        <v>351</v>
      </c>
      <c r="I367" t="str">
        <f t="shared" si="154"/>
        <v>USD/CHF</v>
      </c>
      <c r="J367">
        <f t="shared" si="155"/>
        <v>0.92</v>
      </c>
      <c r="K367">
        <f t="shared" si="156"/>
        <v>0.96</v>
      </c>
      <c r="L367">
        <f t="shared" si="157"/>
        <v>0.94</v>
      </c>
      <c r="M367">
        <f t="shared" si="158"/>
        <v>1.9999999999999962E-2</v>
      </c>
      <c r="N367">
        <f t="shared" si="148"/>
        <v>3.9999999999999925E-2</v>
      </c>
      <c r="O367">
        <f t="shared" si="159"/>
        <v>0.93</v>
      </c>
      <c r="P367">
        <f t="shared" si="160"/>
        <v>-0.49999999999999584</v>
      </c>
      <c r="Q367" t="str">
        <f t="shared" si="149"/>
        <v>1.08% | 3.23%</v>
      </c>
      <c r="R367" t="str">
        <f t="shared" si="161"/>
        <v>BEARISH</v>
      </c>
      <c r="S367">
        <f t="shared" si="150"/>
        <v>-1</v>
      </c>
    </row>
    <row r="368" spans="1:19" hidden="1" x14ac:dyDescent="0.25">
      <c r="A368" s="5" t="str">
        <f t="shared" si="147"/>
        <v>43902WTIC</v>
      </c>
      <c r="B368" s="6" t="s">
        <v>23</v>
      </c>
      <c r="C368" s="6">
        <v>27.8</v>
      </c>
      <c r="D368" s="6">
        <v>35.880000000000003</v>
      </c>
      <c r="E368" s="6">
        <v>32.979999999999997</v>
      </c>
      <c r="F368" t="str">
        <f t="shared" si="151"/>
        <v>THU</v>
      </c>
      <c r="G368" s="3">
        <f t="shared" si="152"/>
        <v>43902</v>
      </c>
      <c r="H368" s="2">
        <f t="shared" ca="1" si="153"/>
        <v>351</v>
      </c>
      <c r="I368" t="str">
        <f t="shared" si="154"/>
        <v>WTIC</v>
      </c>
      <c r="J368">
        <f t="shared" si="155"/>
        <v>27.8</v>
      </c>
      <c r="K368">
        <f t="shared" si="156"/>
        <v>35.880000000000003</v>
      </c>
      <c r="L368">
        <f t="shared" si="157"/>
        <v>31.840000000000003</v>
      </c>
      <c r="M368">
        <f t="shared" si="158"/>
        <v>4.0399999999999849</v>
      </c>
      <c r="N368">
        <f t="shared" si="148"/>
        <v>8.0800000000000018</v>
      </c>
      <c r="O368">
        <f t="shared" si="159"/>
        <v>32.979999999999997</v>
      </c>
      <c r="P368">
        <f t="shared" si="160"/>
        <v>0.2821782178217816</v>
      </c>
      <c r="Q368" t="str">
        <f t="shared" si="149"/>
        <v>15.71% | 8.79%</v>
      </c>
      <c r="R368" t="str">
        <f t="shared" si="161"/>
        <v>BEARISH</v>
      </c>
      <c r="S368">
        <f t="shared" si="150"/>
        <v>-1</v>
      </c>
    </row>
    <row r="369" spans="1:19" hidden="1" x14ac:dyDescent="0.25">
      <c r="A369" s="5" t="str">
        <f t="shared" si="147"/>
        <v>43902NATGAS</v>
      </c>
      <c r="B369" s="6" t="s">
        <v>24</v>
      </c>
      <c r="C369" s="6">
        <v>1.6</v>
      </c>
      <c r="D369" s="6">
        <v>1.99</v>
      </c>
      <c r="E369" s="6">
        <v>1.88</v>
      </c>
      <c r="F369" t="str">
        <f t="shared" si="151"/>
        <v>THU</v>
      </c>
      <c r="G369" s="3">
        <f t="shared" si="152"/>
        <v>43902</v>
      </c>
      <c r="H369" s="2">
        <f t="shared" ca="1" si="153"/>
        <v>351</v>
      </c>
      <c r="I369" t="str">
        <f t="shared" si="154"/>
        <v>NATGAS</v>
      </c>
      <c r="J369">
        <f t="shared" si="155"/>
        <v>1.6</v>
      </c>
      <c r="K369">
        <f t="shared" si="156"/>
        <v>1.99</v>
      </c>
      <c r="L369">
        <f t="shared" si="157"/>
        <v>1.7949999999999999</v>
      </c>
      <c r="M369">
        <f t="shared" si="158"/>
        <v>0.19500000000000164</v>
      </c>
      <c r="N369">
        <f t="shared" si="148"/>
        <v>0.3899999999999999</v>
      </c>
      <c r="O369">
        <f t="shared" si="159"/>
        <v>1.88</v>
      </c>
      <c r="P369">
        <f t="shared" si="160"/>
        <v>0.43589743589743202</v>
      </c>
      <c r="Q369" t="str">
        <f t="shared" si="149"/>
        <v>14.89% | 5.85%</v>
      </c>
      <c r="R369" t="str">
        <f t="shared" si="161"/>
        <v>BEARISH</v>
      </c>
      <c r="S369">
        <f t="shared" si="150"/>
        <v>-1</v>
      </c>
    </row>
    <row r="370" spans="1:19" hidden="1" x14ac:dyDescent="0.25">
      <c r="A370" s="5" t="str">
        <f t="shared" si="147"/>
        <v>43902GOLD</v>
      </c>
      <c r="B370" s="6" t="s">
        <v>25</v>
      </c>
      <c r="C370" s="6">
        <v>1570</v>
      </c>
      <c r="D370" s="6">
        <v>1712</v>
      </c>
      <c r="E370" s="6">
        <v>1642</v>
      </c>
      <c r="F370" t="str">
        <f t="shared" si="151"/>
        <v>THU</v>
      </c>
      <c r="G370" s="3">
        <f t="shared" si="152"/>
        <v>43902</v>
      </c>
      <c r="H370" s="2">
        <f t="shared" ca="1" si="153"/>
        <v>351</v>
      </c>
      <c r="I370" t="str">
        <f t="shared" si="154"/>
        <v>GOLD</v>
      </c>
      <c r="J370">
        <f t="shared" si="155"/>
        <v>1570</v>
      </c>
      <c r="K370">
        <f t="shared" si="156"/>
        <v>1712</v>
      </c>
      <c r="L370">
        <f t="shared" si="157"/>
        <v>1641</v>
      </c>
      <c r="M370">
        <f t="shared" si="158"/>
        <v>71</v>
      </c>
      <c r="N370">
        <f t="shared" si="148"/>
        <v>142</v>
      </c>
      <c r="O370">
        <f t="shared" si="159"/>
        <v>1642</v>
      </c>
      <c r="P370">
        <f t="shared" si="160"/>
        <v>1.4084507042253521E-2</v>
      </c>
      <c r="Q370" t="str">
        <f t="shared" si="149"/>
        <v>4.38% | 4.26%</v>
      </c>
      <c r="R370" t="str">
        <f t="shared" si="161"/>
        <v>BULLISH</v>
      </c>
      <c r="S370">
        <f t="shared" si="150"/>
        <v>1</v>
      </c>
    </row>
    <row r="371" spans="1:19" hidden="1" x14ac:dyDescent="0.25">
      <c r="A371" s="5" t="str">
        <f t="shared" si="147"/>
        <v>43902COPPER</v>
      </c>
      <c r="B371" s="6" t="s">
        <v>26</v>
      </c>
      <c r="C371" s="6">
        <v>2.42</v>
      </c>
      <c r="D371" s="6">
        <v>2.5499999999999998</v>
      </c>
      <c r="E371" s="6">
        <v>2.5</v>
      </c>
      <c r="F371" t="str">
        <f t="shared" si="151"/>
        <v>THU</v>
      </c>
      <c r="G371" s="3">
        <f t="shared" si="152"/>
        <v>43902</v>
      </c>
      <c r="H371" s="2">
        <f t="shared" ca="1" si="153"/>
        <v>351</v>
      </c>
      <c r="I371" t="str">
        <f t="shared" si="154"/>
        <v>COPPER</v>
      </c>
      <c r="J371">
        <f t="shared" si="155"/>
        <v>2.42</v>
      </c>
      <c r="K371">
        <f t="shared" si="156"/>
        <v>2.5499999999999998</v>
      </c>
      <c r="L371">
        <f t="shared" si="157"/>
        <v>2.4849999999999999</v>
      </c>
      <c r="M371">
        <f t="shared" si="158"/>
        <v>6.4999999999999947E-2</v>
      </c>
      <c r="N371">
        <f t="shared" si="148"/>
        <v>0.12999999999999989</v>
      </c>
      <c r="O371">
        <f t="shared" si="159"/>
        <v>2.5</v>
      </c>
      <c r="P371">
        <f t="shared" si="160"/>
        <v>0.23076923076923286</v>
      </c>
      <c r="Q371" t="str">
        <f t="shared" si="149"/>
        <v>3.2% | 2%</v>
      </c>
      <c r="R371" t="str">
        <f t="shared" si="161"/>
        <v>BEARISH</v>
      </c>
      <c r="S371">
        <f t="shared" si="150"/>
        <v>-1</v>
      </c>
    </row>
    <row r="372" spans="1:19" hidden="1" x14ac:dyDescent="0.25">
      <c r="A372" s="5" t="str">
        <f t="shared" si="147"/>
        <v>43902AAPL</v>
      </c>
      <c r="B372" s="6" t="s">
        <v>68</v>
      </c>
      <c r="C372" s="6">
        <v>260.02999999999997</v>
      </c>
      <c r="D372" s="6">
        <v>289.20999999999998</v>
      </c>
      <c r="E372" s="6">
        <v>275.43</v>
      </c>
      <c r="F372" t="str">
        <f t="shared" si="151"/>
        <v>THU</v>
      </c>
      <c r="G372" s="3">
        <f t="shared" si="152"/>
        <v>43902</v>
      </c>
      <c r="H372" s="2">
        <f t="shared" ca="1" si="153"/>
        <v>351</v>
      </c>
      <c r="I372" t="str">
        <f t="shared" si="154"/>
        <v>AAPL</v>
      </c>
      <c r="J372">
        <f t="shared" si="155"/>
        <v>260.02999999999997</v>
      </c>
      <c r="K372">
        <f t="shared" si="156"/>
        <v>289.20999999999998</v>
      </c>
      <c r="L372">
        <f t="shared" si="157"/>
        <v>274.62</v>
      </c>
      <c r="M372">
        <f t="shared" si="158"/>
        <v>14.590000000000003</v>
      </c>
      <c r="N372">
        <f t="shared" si="148"/>
        <v>29.180000000000007</v>
      </c>
      <c r="O372">
        <f t="shared" si="159"/>
        <v>275.43</v>
      </c>
      <c r="P372">
        <f t="shared" si="160"/>
        <v>5.551747772446896E-2</v>
      </c>
      <c r="Q372" t="str">
        <f t="shared" si="149"/>
        <v>5.59% | 5%</v>
      </c>
      <c r="R372" t="str">
        <f t="shared" si="161"/>
        <v>BEARISH</v>
      </c>
      <c r="S372">
        <f t="shared" si="150"/>
        <v>-1</v>
      </c>
    </row>
    <row r="373" spans="1:19" hidden="1" x14ac:dyDescent="0.25">
      <c r="A373" s="5" t="str">
        <f t="shared" si="147"/>
        <v>43902AMZN</v>
      </c>
      <c r="B373" s="6" t="s">
        <v>73</v>
      </c>
      <c r="C373" s="6">
        <v>1755</v>
      </c>
      <c r="D373" s="6">
        <v>1942</v>
      </c>
      <c r="E373" s="6">
        <v>1820</v>
      </c>
      <c r="F373" t="str">
        <f t="shared" si="151"/>
        <v>THU</v>
      </c>
      <c r="G373" s="3">
        <f t="shared" si="152"/>
        <v>43902</v>
      </c>
      <c r="H373" s="2">
        <f t="shared" ca="1" si="153"/>
        <v>351</v>
      </c>
      <c r="I373" t="str">
        <f t="shared" si="154"/>
        <v>AMZN</v>
      </c>
      <c r="J373">
        <f t="shared" si="155"/>
        <v>1755</v>
      </c>
      <c r="K373">
        <f t="shared" si="156"/>
        <v>1942</v>
      </c>
      <c r="L373">
        <f t="shared" si="157"/>
        <v>1848.5</v>
      </c>
      <c r="M373">
        <f t="shared" si="158"/>
        <v>93.5</v>
      </c>
      <c r="N373">
        <f t="shared" si="148"/>
        <v>187</v>
      </c>
      <c r="O373">
        <f t="shared" si="159"/>
        <v>1820</v>
      </c>
      <c r="P373">
        <f t="shared" si="160"/>
        <v>-0.30481283422459893</v>
      </c>
      <c r="Q373" t="str">
        <f t="shared" si="149"/>
        <v>3.57% | 6.7%</v>
      </c>
      <c r="R373" t="str">
        <f t="shared" si="161"/>
        <v>BEARISH</v>
      </c>
      <c r="S373">
        <f t="shared" si="150"/>
        <v>-1</v>
      </c>
    </row>
    <row r="374" spans="1:19" hidden="1" x14ac:dyDescent="0.25">
      <c r="A374" s="5" t="str">
        <f t="shared" si="147"/>
        <v>43902FB</v>
      </c>
      <c r="B374" s="6" t="s">
        <v>58</v>
      </c>
      <c r="C374" s="6">
        <v>161</v>
      </c>
      <c r="D374" s="6">
        <v>183</v>
      </c>
      <c r="E374" s="6">
        <v>170</v>
      </c>
      <c r="F374" t="str">
        <f t="shared" si="151"/>
        <v>THU</v>
      </c>
      <c r="G374" s="3">
        <f t="shared" si="152"/>
        <v>43902</v>
      </c>
      <c r="H374" s="2">
        <f t="shared" ca="1" si="153"/>
        <v>351</v>
      </c>
      <c r="I374" t="str">
        <f t="shared" si="154"/>
        <v>FB</v>
      </c>
      <c r="J374">
        <f t="shared" si="155"/>
        <v>161</v>
      </c>
      <c r="K374">
        <f t="shared" si="156"/>
        <v>183</v>
      </c>
      <c r="L374">
        <f t="shared" si="157"/>
        <v>172</v>
      </c>
      <c r="M374">
        <f t="shared" si="158"/>
        <v>11</v>
      </c>
      <c r="N374">
        <f t="shared" si="148"/>
        <v>22</v>
      </c>
      <c r="O374">
        <f t="shared" si="159"/>
        <v>170</v>
      </c>
      <c r="P374">
        <f t="shared" si="160"/>
        <v>-0.18181818181818182</v>
      </c>
      <c r="Q374" t="str">
        <f t="shared" si="149"/>
        <v>5.29% | 7.65%</v>
      </c>
      <c r="R374" t="str">
        <f t="shared" si="161"/>
        <v>BEARISH</v>
      </c>
      <c r="S374">
        <f t="shared" si="150"/>
        <v>-1</v>
      </c>
    </row>
    <row r="375" spans="1:19" hidden="1" x14ac:dyDescent="0.25">
      <c r="A375" s="5" t="str">
        <f t="shared" si="147"/>
        <v>43902GOOGL</v>
      </c>
      <c r="B375" s="6" t="s">
        <v>66</v>
      </c>
      <c r="C375" s="6">
        <v>1166</v>
      </c>
      <c r="D375" s="6">
        <v>1305</v>
      </c>
      <c r="E375" s="6">
        <v>1210</v>
      </c>
      <c r="F375" t="str">
        <f t="shared" si="151"/>
        <v>THU</v>
      </c>
      <c r="G375" s="3">
        <f t="shared" si="152"/>
        <v>43902</v>
      </c>
      <c r="H375" s="2">
        <f t="shared" ca="1" si="153"/>
        <v>351</v>
      </c>
      <c r="I375" t="str">
        <f t="shared" si="154"/>
        <v>GOOGL</v>
      </c>
      <c r="J375">
        <f t="shared" si="155"/>
        <v>1166</v>
      </c>
      <c r="K375">
        <f t="shared" si="156"/>
        <v>1305</v>
      </c>
      <c r="L375">
        <f t="shared" si="157"/>
        <v>1235.5</v>
      </c>
      <c r="M375">
        <f t="shared" si="158"/>
        <v>69.5</v>
      </c>
      <c r="N375">
        <f t="shared" si="148"/>
        <v>139</v>
      </c>
      <c r="O375">
        <f t="shared" si="159"/>
        <v>1210</v>
      </c>
      <c r="P375">
        <f t="shared" si="160"/>
        <v>-0.36690647482014388</v>
      </c>
      <c r="Q375" t="str">
        <f t="shared" si="149"/>
        <v>3.64% | 7.85%</v>
      </c>
      <c r="R375" t="str">
        <f t="shared" si="161"/>
        <v>BEARISH</v>
      </c>
      <c r="S375">
        <f t="shared" si="150"/>
        <v>-1</v>
      </c>
    </row>
    <row r="376" spans="1:19" hidden="1" x14ac:dyDescent="0.25">
      <c r="A376" s="5" t="str">
        <f t="shared" si="147"/>
        <v>43902NFLX</v>
      </c>
      <c r="B376" s="6" t="s">
        <v>81</v>
      </c>
      <c r="C376" s="6">
        <v>323</v>
      </c>
      <c r="D376" s="6">
        <v>368</v>
      </c>
      <c r="E376" s="6">
        <v>349</v>
      </c>
      <c r="F376" t="str">
        <f t="shared" si="151"/>
        <v>THU</v>
      </c>
      <c r="G376" s="3">
        <f t="shared" si="152"/>
        <v>43902</v>
      </c>
      <c r="H376" s="2">
        <f t="shared" ca="1" si="153"/>
        <v>351</v>
      </c>
      <c r="I376" t="str">
        <f t="shared" si="154"/>
        <v>NFLX</v>
      </c>
      <c r="J376">
        <f t="shared" si="155"/>
        <v>323</v>
      </c>
      <c r="K376">
        <f t="shared" si="156"/>
        <v>368</v>
      </c>
      <c r="L376">
        <f t="shared" si="157"/>
        <v>345.5</v>
      </c>
      <c r="M376">
        <f t="shared" si="158"/>
        <v>22.5</v>
      </c>
      <c r="N376">
        <f t="shared" si="148"/>
        <v>45</v>
      </c>
      <c r="O376">
        <f t="shared" si="159"/>
        <v>349</v>
      </c>
      <c r="P376">
        <f t="shared" si="160"/>
        <v>0.15555555555555556</v>
      </c>
      <c r="Q376" t="str">
        <f t="shared" si="149"/>
        <v>7.45% | 5.44%</v>
      </c>
      <c r="R376" t="str">
        <f t="shared" si="161"/>
        <v>BEARISH</v>
      </c>
      <c r="S376">
        <f t="shared" si="150"/>
        <v>-1</v>
      </c>
    </row>
    <row r="377" spans="1:19" x14ac:dyDescent="0.25">
      <c r="A377" s="5" t="str">
        <f t="shared" si="147"/>
        <v>43902TSLA</v>
      </c>
      <c r="B377" s="6" t="s">
        <v>83</v>
      </c>
      <c r="C377" s="6">
        <v>560</v>
      </c>
      <c r="D377" s="6">
        <v>707</v>
      </c>
      <c r="E377" s="6">
        <v>634</v>
      </c>
      <c r="F377" t="str">
        <f t="shared" si="151"/>
        <v>THU</v>
      </c>
      <c r="G377" s="3">
        <f t="shared" si="152"/>
        <v>43902</v>
      </c>
      <c r="H377" s="2">
        <f t="shared" ca="1" si="153"/>
        <v>351</v>
      </c>
      <c r="I377" t="str">
        <f t="shared" si="154"/>
        <v>TSLA</v>
      </c>
      <c r="J377">
        <f t="shared" si="155"/>
        <v>560</v>
      </c>
      <c r="K377">
        <f t="shared" si="156"/>
        <v>707</v>
      </c>
      <c r="L377">
        <f t="shared" si="157"/>
        <v>633.5</v>
      </c>
      <c r="M377">
        <f t="shared" si="158"/>
        <v>73.5</v>
      </c>
      <c r="N377">
        <f t="shared" si="148"/>
        <v>147</v>
      </c>
      <c r="O377">
        <f t="shared" si="159"/>
        <v>634</v>
      </c>
      <c r="P377">
        <f t="shared" si="160"/>
        <v>6.8027210884353739E-3</v>
      </c>
      <c r="Q377" t="str">
        <f t="shared" si="149"/>
        <v>11.67% | 11.51%</v>
      </c>
      <c r="R377" t="str">
        <f t="shared" si="161"/>
        <v>BEARISH</v>
      </c>
      <c r="S377">
        <f t="shared" si="150"/>
        <v>-1</v>
      </c>
    </row>
    <row r="378" spans="1:19" hidden="1" x14ac:dyDescent="0.25">
      <c r="A378" s="5" t="str">
        <f t="shared" si="147"/>
        <v>43903UST10Y</v>
      </c>
      <c r="B378" s="6" t="s">
        <v>4</v>
      </c>
      <c r="C378" s="6">
        <v>1.19</v>
      </c>
      <c r="D378" s="6">
        <v>0.51</v>
      </c>
      <c r="E378" s="6">
        <v>0.88</v>
      </c>
      <c r="F378" t="str">
        <f t="shared" si="151"/>
        <v>FRI</v>
      </c>
      <c r="G378" s="1">
        <f>DATE(2020,3,13)</f>
        <v>43903</v>
      </c>
      <c r="H378" s="2">
        <f t="shared" ca="1" si="153"/>
        <v>350</v>
      </c>
      <c r="I378" t="str">
        <f t="shared" si="154"/>
        <v>UST10Y</v>
      </c>
      <c r="J378">
        <f t="shared" si="155"/>
        <v>1.19</v>
      </c>
      <c r="K378">
        <f t="shared" si="156"/>
        <v>0.51</v>
      </c>
      <c r="L378">
        <f t="shared" si="157"/>
        <v>0.85</v>
      </c>
      <c r="M378">
        <f t="shared" si="158"/>
        <v>0.34000000000000008</v>
      </c>
      <c r="N378">
        <f t="shared" si="148"/>
        <v>0.67999999999999994</v>
      </c>
      <c r="O378">
        <f t="shared" si="159"/>
        <v>0.88</v>
      </c>
      <c r="P378">
        <f t="shared" si="160"/>
        <v>8.823529411764712E-2</v>
      </c>
      <c r="Q378" t="str">
        <f t="shared" si="149"/>
        <v>35.23% | 42.05%</v>
      </c>
      <c r="R378" t="str">
        <f t="shared" si="161"/>
        <v>BEARISH</v>
      </c>
      <c r="S378">
        <f t="shared" si="150"/>
        <v>-1</v>
      </c>
    </row>
    <row r="379" spans="1:19" hidden="1" x14ac:dyDescent="0.25">
      <c r="A379" s="5" t="str">
        <f t="shared" si="147"/>
        <v>43903UST2Y</v>
      </c>
      <c r="B379" s="6" t="s">
        <v>5</v>
      </c>
      <c r="C379" s="6">
        <v>0.82</v>
      </c>
      <c r="D379" s="6">
        <v>0.28999999999999998</v>
      </c>
      <c r="E379" s="6">
        <v>0.5</v>
      </c>
      <c r="F379" t="str">
        <f t="shared" ref="F379:F407" si="162">UPPER(TEXT(G379,"ddd"))</f>
        <v>FRI</v>
      </c>
      <c r="G379" s="1">
        <f t="shared" ref="G379:G406" si="163">DATE(2020,3,13)</f>
        <v>43903</v>
      </c>
      <c r="H379" s="2">
        <f t="shared" ref="H379:H407" ca="1" si="164">TODAY()-G379</f>
        <v>350</v>
      </c>
      <c r="I379" t="str">
        <f t="shared" ref="I379:I407" si="165">TRIM(LEFT(B379,FIND(" ",B379,1)))</f>
        <v>UST2Y</v>
      </c>
      <c r="J379">
        <f t="shared" ref="J379:J407" si="166">C379</f>
        <v>0.82</v>
      </c>
      <c r="K379">
        <f t="shared" ref="K379:K407" si="167">D379</f>
        <v>0.28999999999999998</v>
      </c>
      <c r="L379">
        <f t="shared" ref="L379:L407" si="168">AVERAGE(J379:K379)</f>
        <v>0.55499999999999994</v>
      </c>
      <c r="M379">
        <f t="shared" ref="M379:M407" si="169">_xlfn.STDEV.P(J379:K379)</f>
        <v>0.26499999999999996</v>
      </c>
      <c r="N379">
        <f t="shared" si="148"/>
        <v>0.53</v>
      </c>
      <c r="O379">
        <f t="shared" ref="O379:O407" si="170">E379</f>
        <v>0.5</v>
      </c>
      <c r="P379">
        <f t="shared" ref="P379:P407" si="171">(O379-L379)/M379</f>
        <v>-0.20754716981132054</v>
      </c>
      <c r="Q379" t="str">
        <f t="shared" si="149"/>
        <v>64% | 42%</v>
      </c>
      <c r="R379" t="str">
        <f t="shared" ref="R379:R407" si="172">MID(B379,FIND("(",B379,1)+1,FIND(")",B379,1)-FIND("(",B379,1)-1)</f>
        <v>BEARISH</v>
      </c>
      <c r="S379">
        <f t="shared" si="150"/>
        <v>-1</v>
      </c>
    </row>
    <row r="380" spans="1:19" hidden="1" x14ac:dyDescent="0.25">
      <c r="A380" s="5" t="str">
        <f t="shared" si="147"/>
        <v>43903SPX</v>
      </c>
      <c r="B380" s="6" t="s">
        <v>6</v>
      </c>
      <c r="C380" s="6">
        <v>2369</v>
      </c>
      <c r="D380" s="6">
        <v>2700</v>
      </c>
      <c r="E380" s="6">
        <v>2480</v>
      </c>
      <c r="F380" t="str">
        <f t="shared" si="162"/>
        <v>FRI</v>
      </c>
      <c r="G380" s="1">
        <f t="shared" si="163"/>
        <v>43903</v>
      </c>
      <c r="H380" s="2">
        <f t="shared" ca="1" si="164"/>
        <v>350</v>
      </c>
      <c r="I380" t="str">
        <f t="shared" si="165"/>
        <v>SPX</v>
      </c>
      <c r="J380">
        <f t="shared" si="166"/>
        <v>2369</v>
      </c>
      <c r="K380">
        <f t="shared" si="167"/>
        <v>2700</v>
      </c>
      <c r="L380">
        <f t="shared" si="168"/>
        <v>2534.5</v>
      </c>
      <c r="M380">
        <f t="shared" si="169"/>
        <v>165.5</v>
      </c>
      <c r="N380">
        <f t="shared" si="148"/>
        <v>331</v>
      </c>
      <c r="O380">
        <f t="shared" si="170"/>
        <v>2480</v>
      </c>
      <c r="P380">
        <f t="shared" si="171"/>
        <v>-0.32930513595166161</v>
      </c>
      <c r="Q380" t="str">
        <f t="shared" si="149"/>
        <v>4.48% | 8.87%</v>
      </c>
      <c r="R380" t="str">
        <f t="shared" si="172"/>
        <v>BEARISH</v>
      </c>
      <c r="S380">
        <f t="shared" si="150"/>
        <v>-1</v>
      </c>
    </row>
    <row r="381" spans="1:19" hidden="1" x14ac:dyDescent="0.25">
      <c r="A381" s="5" t="str">
        <f t="shared" si="147"/>
        <v>43903RUT</v>
      </c>
      <c r="B381" s="6" t="s">
        <v>7</v>
      </c>
      <c r="C381" s="6">
        <v>1051</v>
      </c>
      <c r="D381" s="6">
        <v>1280</v>
      </c>
      <c r="E381" s="6">
        <v>1122</v>
      </c>
      <c r="F381" t="str">
        <f t="shared" si="162"/>
        <v>FRI</v>
      </c>
      <c r="G381" s="1">
        <f t="shared" si="163"/>
        <v>43903</v>
      </c>
      <c r="H381" s="2">
        <f t="shared" ca="1" si="164"/>
        <v>350</v>
      </c>
      <c r="I381" t="str">
        <f t="shared" si="165"/>
        <v>RUT</v>
      </c>
      <c r="J381">
        <f t="shared" si="166"/>
        <v>1051</v>
      </c>
      <c r="K381">
        <f t="shared" si="167"/>
        <v>1280</v>
      </c>
      <c r="L381">
        <f t="shared" si="168"/>
        <v>1165.5</v>
      </c>
      <c r="M381">
        <f t="shared" si="169"/>
        <v>114.5</v>
      </c>
      <c r="N381">
        <f t="shared" si="148"/>
        <v>229</v>
      </c>
      <c r="O381">
        <f t="shared" si="170"/>
        <v>1122</v>
      </c>
      <c r="P381">
        <f t="shared" si="171"/>
        <v>-0.37991266375545851</v>
      </c>
      <c r="Q381" t="str">
        <f t="shared" si="149"/>
        <v>6.33% | 14.08%</v>
      </c>
      <c r="R381" t="str">
        <f t="shared" si="172"/>
        <v>BEARISH</v>
      </c>
      <c r="S381">
        <f t="shared" si="150"/>
        <v>-1</v>
      </c>
    </row>
    <row r="382" spans="1:19" hidden="1" x14ac:dyDescent="0.25">
      <c r="A382" s="5" t="str">
        <f t="shared" si="147"/>
        <v>43903COMPQ</v>
      </c>
      <c r="B382" s="6" t="s">
        <v>64</v>
      </c>
      <c r="C382" s="6">
        <v>6874</v>
      </c>
      <c r="D382" s="6">
        <v>7842</v>
      </c>
      <c r="E382" s="6">
        <v>7201</v>
      </c>
      <c r="F382" t="str">
        <f t="shared" si="162"/>
        <v>FRI</v>
      </c>
      <c r="G382" s="1">
        <f t="shared" si="163"/>
        <v>43903</v>
      </c>
      <c r="H382" s="2">
        <f t="shared" ca="1" si="164"/>
        <v>350</v>
      </c>
      <c r="I382" t="str">
        <f t="shared" si="165"/>
        <v>COMPQ</v>
      </c>
      <c r="J382">
        <f t="shared" si="166"/>
        <v>6874</v>
      </c>
      <c r="K382">
        <f t="shared" si="167"/>
        <v>7842</v>
      </c>
      <c r="L382">
        <f t="shared" si="168"/>
        <v>7358</v>
      </c>
      <c r="M382">
        <f t="shared" si="169"/>
        <v>484</v>
      </c>
      <c r="N382">
        <f t="shared" si="148"/>
        <v>968</v>
      </c>
      <c r="O382">
        <f t="shared" si="170"/>
        <v>7201</v>
      </c>
      <c r="P382">
        <f t="shared" si="171"/>
        <v>-0.32438016528925617</v>
      </c>
      <c r="Q382" t="str">
        <f t="shared" si="149"/>
        <v>4.54% | 8.9%</v>
      </c>
      <c r="R382" t="str">
        <f t="shared" si="172"/>
        <v>BEARISH</v>
      </c>
      <c r="S382">
        <f t="shared" si="150"/>
        <v>-1</v>
      </c>
    </row>
    <row r="383" spans="1:19" hidden="1" x14ac:dyDescent="0.25">
      <c r="A383" s="5" t="str">
        <f t="shared" si="147"/>
        <v>43903XLU</v>
      </c>
      <c r="B383" s="6" t="s">
        <v>82</v>
      </c>
      <c r="C383" s="6">
        <v>52.09</v>
      </c>
      <c r="D383" s="6">
        <v>59.96</v>
      </c>
      <c r="E383" s="6">
        <v>54.69</v>
      </c>
      <c r="F383" t="str">
        <f t="shared" si="162"/>
        <v>FRI</v>
      </c>
      <c r="G383" s="1">
        <f t="shared" si="163"/>
        <v>43903</v>
      </c>
      <c r="H383" s="2">
        <f t="shared" ca="1" si="164"/>
        <v>350</v>
      </c>
      <c r="I383" t="str">
        <f t="shared" si="165"/>
        <v>XLU</v>
      </c>
      <c r="J383">
        <f t="shared" si="166"/>
        <v>52.09</v>
      </c>
      <c r="K383">
        <f t="shared" si="167"/>
        <v>59.96</v>
      </c>
      <c r="L383">
        <f t="shared" si="168"/>
        <v>56.025000000000006</v>
      </c>
      <c r="M383">
        <f t="shared" si="169"/>
        <v>3.9349999999999987</v>
      </c>
      <c r="N383">
        <f t="shared" si="148"/>
        <v>7.8699999999999974</v>
      </c>
      <c r="O383">
        <f t="shared" si="170"/>
        <v>54.69</v>
      </c>
      <c r="P383">
        <f t="shared" si="171"/>
        <v>-0.33926302414231474</v>
      </c>
      <c r="Q383" t="str">
        <f t="shared" si="149"/>
        <v>4.75% | 9.64%</v>
      </c>
      <c r="R383" t="str">
        <f t="shared" si="172"/>
        <v>BEARISH</v>
      </c>
      <c r="S383">
        <f t="shared" si="150"/>
        <v>-1</v>
      </c>
    </row>
    <row r="384" spans="1:19" hidden="1" x14ac:dyDescent="0.25">
      <c r="A384" s="5" t="str">
        <f t="shared" si="147"/>
        <v>43903VNQ</v>
      </c>
      <c r="B384" s="6" t="s">
        <v>67</v>
      </c>
      <c r="C384" s="6">
        <v>69.36</v>
      </c>
      <c r="D384" s="6">
        <v>80.430000000000007</v>
      </c>
      <c r="E384" s="6">
        <v>73.099999999999994</v>
      </c>
      <c r="F384" t="str">
        <f t="shared" si="162"/>
        <v>FRI</v>
      </c>
      <c r="G384" s="1">
        <f t="shared" si="163"/>
        <v>43903</v>
      </c>
      <c r="H384" s="2">
        <f t="shared" ca="1" si="164"/>
        <v>350</v>
      </c>
      <c r="I384" t="str">
        <f t="shared" si="165"/>
        <v>VNQ</v>
      </c>
      <c r="J384">
        <f t="shared" si="166"/>
        <v>69.36</v>
      </c>
      <c r="K384">
        <f t="shared" si="167"/>
        <v>80.430000000000007</v>
      </c>
      <c r="L384">
        <f t="shared" si="168"/>
        <v>74.89500000000001</v>
      </c>
      <c r="M384">
        <f t="shared" si="169"/>
        <v>5.5350000000000037</v>
      </c>
      <c r="N384">
        <f t="shared" si="148"/>
        <v>11.070000000000007</v>
      </c>
      <c r="O384">
        <f t="shared" si="170"/>
        <v>73.099999999999994</v>
      </c>
      <c r="P384">
        <f t="shared" si="171"/>
        <v>-0.324299909665766</v>
      </c>
      <c r="Q384" t="str">
        <f t="shared" si="149"/>
        <v>5.12% | 10.03%</v>
      </c>
      <c r="R384" t="str">
        <f t="shared" si="172"/>
        <v>BEARISH</v>
      </c>
      <c r="S384">
        <f t="shared" si="150"/>
        <v>-1</v>
      </c>
    </row>
    <row r="385" spans="1:19" hidden="1" x14ac:dyDescent="0.25">
      <c r="A385" s="5" t="str">
        <f t="shared" si="147"/>
        <v>43903XLP</v>
      </c>
      <c r="B385" s="6" t="s">
        <v>11</v>
      </c>
      <c r="C385" s="6">
        <v>49.73</v>
      </c>
      <c r="D385" s="6">
        <v>57.77</v>
      </c>
      <c r="E385" s="6">
        <v>52.17</v>
      </c>
      <c r="F385" t="str">
        <f t="shared" si="162"/>
        <v>FRI</v>
      </c>
      <c r="G385" s="1">
        <f t="shared" si="163"/>
        <v>43903</v>
      </c>
      <c r="H385" s="2">
        <f t="shared" ca="1" si="164"/>
        <v>350</v>
      </c>
      <c r="I385" t="str">
        <f t="shared" si="165"/>
        <v>XLP</v>
      </c>
      <c r="J385">
        <f t="shared" si="166"/>
        <v>49.73</v>
      </c>
      <c r="K385">
        <f t="shared" si="167"/>
        <v>57.77</v>
      </c>
      <c r="L385">
        <f t="shared" si="168"/>
        <v>53.75</v>
      </c>
      <c r="M385">
        <f t="shared" si="169"/>
        <v>4.0200000000000031</v>
      </c>
      <c r="N385">
        <f t="shared" si="148"/>
        <v>8.0400000000000063</v>
      </c>
      <c r="O385">
        <f t="shared" si="170"/>
        <v>52.17</v>
      </c>
      <c r="P385">
        <f t="shared" si="171"/>
        <v>-0.39303482587064603</v>
      </c>
      <c r="Q385" t="str">
        <f t="shared" si="149"/>
        <v>4.68% | 10.73%</v>
      </c>
      <c r="R385" t="str">
        <f t="shared" si="172"/>
        <v>BEARISH</v>
      </c>
      <c r="S385">
        <f t="shared" si="150"/>
        <v>-1</v>
      </c>
    </row>
    <row r="386" spans="1:19" hidden="1" x14ac:dyDescent="0.25">
      <c r="A386" s="5" t="str">
        <f t="shared" si="147"/>
        <v>43903XLK</v>
      </c>
      <c r="B386" s="6" t="s">
        <v>65</v>
      </c>
      <c r="C386" s="6">
        <v>71.900000000000006</v>
      </c>
      <c r="D386" s="6">
        <v>83.16</v>
      </c>
      <c r="E386" s="6">
        <v>75.349999999999994</v>
      </c>
      <c r="F386" t="str">
        <f t="shared" si="162"/>
        <v>FRI</v>
      </c>
      <c r="G386" s="1">
        <f t="shared" si="163"/>
        <v>43903</v>
      </c>
      <c r="H386" s="2">
        <f t="shared" ca="1" si="164"/>
        <v>350</v>
      </c>
      <c r="I386" t="str">
        <f t="shared" si="165"/>
        <v>XLK</v>
      </c>
      <c r="J386">
        <f t="shared" si="166"/>
        <v>71.900000000000006</v>
      </c>
      <c r="K386">
        <f t="shared" si="167"/>
        <v>83.16</v>
      </c>
      <c r="L386">
        <f t="shared" si="168"/>
        <v>77.53</v>
      </c>
      <c r="M386">
        <f t="shared" si="169"/>
        <v>5.6299999999999955</v>
      </c>
      <c r="N386">
        <f t="shared" si="148"/>
        <v>11.259999999999991</v>
      </c>
      <c r="O386">
        <f t="shared" si="170"/>
        <v>75.349999999999994</v>
      </c>
      <c r="P386">
        <f t="shared" si="171"/>
        <v>-0.38721136767318093</v>
      </c>
      <c r="Q386" t="str">
        <f t="shared" si="149"/>
        <v>4.58% | 10.36%</v>
      </c>
      <c r="R386" t="str">
        <f t="shared" si="172"/>
        <v>BEARISH</v>
      </c>
      <c r="S386">
        <f t="shared" si="150"/>
        <v>-1</v>
      </c>
    </row>
    <row r="387" spans="1:19" hidden="1" x14ac:dyDescent="0.25">
      <c r="A387" s="5" t="str">
        <f t="shared" ref="A387:A450" si="173">G387&amp;I387</f>
        <v>43903SSEC</v>
      </c>
      <c r="B387" s="6" t="s">
        <v>14</v>
      </c>
      <c r="C387" s="6">
        <v>2850</v>
      </c>
      <c r="D387" s="6">
        <v>3024</v>
      </c>
      <c r="E387" s="6">
        <v>2887</v>
      </c>
      <c r="F387" t="str">
        <f t="shared" si="162"/>
        <v>FRI</v>
      </c>
      <c r="G387" s="1">
        <f t="shared" si="163"/>
        <v>43903</v>
      </c>
      <c r="H387" s="2">
        <f t="shared" ca="1" si="164"/>
        <v>350</v>
      </c>
      <c r="I387" t="str">
        <f t="shared" si="165"/>
        <v>SSEC</v>
      </c>
      <c r="J387">
        <f t="shared" si="166"/>
        <v>2850</v>
      </c>
      <c r="K387">
        <f t="shared" si="167"/>
        <v>3024</v>
      </c>
      <c r="L387">
        <f t="shared" si="168"/>
        <v>2937</v>
      </c>
      <c r="M387">
        <f t="shared" si="169"/>
        <v>87</v>
      </c>
      <c r="N387">
        <f t="shared" ref="N387:N450" si="174">ABS(K387-J387)</f>
        <v>174</v>
      </c>
      <c r="O387">
        <f t="shared" si="170"/>
        <v>2887</v>
      </c>
      <c r="P387">
        <f t="shared" si="171"/>
        <v>-0.57471264367816088</v>
      </c>
      <c r="Q387" t="str">
        <f t="shared" ref="Q387:Q450" si="175">ROUND(ABS(100*(O387-J387)/O387),2)&amp;"% | "&amp;ROUND(ABS(100*(K387-O387)/O387),2)&amp;"%"</f>
        <v>1.28% | 4.75%</v>
      </c>
      <c r="R387" t="str">
        <f t="shared" si="172"/>
        <v>BEARISH</v>
      </c>
      <c r="S387">
        <f t="shared" ref="S387:S450" si="176">IF(R387="BEARISH",-1,IF(R387="NEUTRAL",0,IF(R387="BULLISH",1,99)))</f>
        <v>-1</v>
      </c>
    </row>
    <row r="388" spans="1:19" hidden="1" x14ac:dyDescent="0.25">
      <c r="A388" s="5" t="str">
        <f t="shared" si="173"/>
        <v>43903NIKK</v>
      </c>
      <c r="B388" s="6" t="s">
        <v>15</v>
      </c>
      <c r="C388" s="6">
        <v>17196</v>
      </c>
      <c r="D388" s="6">
        <v>19280</v>
      </c>
      <c r="E388" s="6">
        <v>17431</v>
      </c>
      <c r="F388" t="str">
        <f t="shared" si="162"/>
        <v>FRI</v>
      </c>
      <c r="G388" s="1">
        <f t="shared" si="163"/>
        <v>43903</v>
      </c>
      <c r="H388" s="2">
        <f t="shared" ca="1" si="164"/>
        <v>350</v>
      </c>
      <c r="I388" t="str">
        <f t="shared" si="165"/>
        <v>NIKK</v>
      </c>
      <c r="J388">
        <f t="shared" si="166"/>
        <v>17196</v>
      </c>
      <c r="K388">
        <f t="shared" si="167"/>
        <v>19280</v>
      </c>
      <c r="L388">
        <f t="shared" si="168"/>
        <v>18238</v>
      </c>
      <c r="M388">
        <f t="shared" si="169"/>
        <v>1042</v>
      </c>
      <c r="N388">
        <f t="shared" si="174"/>
        <v>2084</v>
      </c>
      <c r="O388">
        <f t="shared" si="170"/>
        <v>17431</v>
      </c>
      <c r="P388">
        <f t="shared" si="171"/>
        <v>-0.77447216890595005</v>
      </c>
      <c r="Q388" t="str">
        <f t="shared" si="175"/>
        <v>1.35% | 10.61%</v>
      </c>
      <c r="R388" t="str">
        <f t="shared" si="172"/>
        <v>BEARISH</v>
      </c>
      <c r="S388">
        <f t="shared" si="176"/>
        <v>-1</v>
      </c>
    </row>
    <row r="389" spans="1:19" hidden="1" x14ac:dyDescent="0.25">
      <c r="A389" s="5" t="str">
        <f t="shared" si="173"/>
        <v>43903DAX</v>
      </c>
      <c r="B389" s="6" t="s">
        <v>16</v>
      </c>
      <c r="C389" s="6">
        <v>8702</v>
      </c>
      <c r="D389" s="6">
        <v>10004</v>
      </c>
      <c r="E389" s="6">
        <v>9160</v>
      </c>
      <c r="F389" t="str">
        <f t="shared" si="162"/>
        <v>FRI</v>
      </c>
      <c r="G389" s="1">
        <f t="shared" si="163"/>
        <v>43903</v>
      </c>
      <c r="H389" s="2">
        <f t="shared" ca="1" si="164"/>
        <v>350</v>
      </c>
      <c r="I389" t="str">
        <f t="shared" si="165"/>
        <v>DAX</v>
      </c>
      <c r="J389">
        <f t="shared" si="166"/>
        <v>8702</v>
      </c>
      <c r="K389">
        <f t="shared" si="167"/>
        <v>10004</v>
      </c>
      <c r="L389">
        <f t="shared" si="168"/>
        <v>9353</v>
      </c>
      <c r="M389">
        <f t="shared" si="169"/>
        <v>651</v>
      </c>
      <c r="N389">
        <f t="shared" si="174"/>
        <v>1302</v>
      </c>
      <c r="O389">
        <f t="shared" si="170"/>
        <v>9160</v>
      </c>
      <c r="P389">
        <f t="shared" si="171"/>
        <v>-0.2964669738863287</v>
      </c>
      <c r="Q389" t="str">
        <f t="shared" si="175"/>
        <v>5% | 9.21%</v>
      </c>
      <c r="R389" t="str">
        <f t="shared" si="172"/>
        <v>BEARISH</v>
      </c>
      <c r="S389">
        <f t="shared" si="176"/>
        <v>-1</v>
      </c>
    </row>
    <row r="390" spans="1:19" hidden="1" x14ac:dyDescent="0.25">
      <c r="A390" s="5" t="str">
        <f t="shared" si="173"/>
        <v>43903VIX</v>
      </c>
      <c r="B390" s="6" t="s">
        <v>17</v>
      </c>
      <c r="C390" s="6">
        <v>34.93</v>
      </c>
      <c r="D390" s="6">
        <v>83.95</v>
      </c>
      <c r="E390" s="6">
        <v>75.47</v>
      </c>
      <c r="F390" t="str">
        <f t="shared" si="162"/>
        <v>FRI</v>
      </c>
      <c r="G390" s="1">
        <f t="shared" si="163"/>
        <v>43903</v>
      </c>
      <c r="H390" s="2">
        <f t="shared" ca="1" si="164"/>
        <v>350</v>
      </c>
      <c r="I390" t="str">
        <f t="shared" si="165"/>
        <v>VIX</v>
      </c>
      <c r="J390">
        <f t="shared" si="166"/>
        <v>34.93</v>
      </c>
      <c r="K390">
        <f t="shared" si="167"/>
        <v>83.95</v>
      </c>
      <c r="L390">
        <f t="shared" si="168"/>
        <v>59.44</v>
      </c>
      <c r="M390">
        <f t="shared" si="169"/>
        <v>24.510000000000019</v>
      </c>
      <c r="N390">
        <f t="shared" si="174"/>
        <v>49.02</v>
      </c>
      <c r="O390">
        <f t="shared" si="170"/>
        <v>75.47</v>
      </c>
      <c r="P390">
        <f t="shared" si="171"/>
        <v>0.65401876784985669</v>
      </c>
      <c r="Q390" t="str">
        <f t="shared" si="175"/>
        <v>53.72% | 11.24%</v>
      </c>
      <c r="R390" t="str">
        <f t="shared" si="172"/>
        <v>BULLISH</v>
      </c>
      <c r="S390">
        <f t="shared" si="176"/>
        <v>1</v>
      </c>
    </row>
    <row r="391" spans="1:19" hidden="1" x14ac:dyDescent="0.25">
      <c r="A391" s="5" t="str">
        <f t="shared" si="173"/>
        <v>43903USD</v>
      </c>
      <c r="B391" s="6" t="s">
        <v>18</v>
      </c>
      <c r="C391" s="6">
        <v>95.01</v>
      </c>
      <c r="D391" s="6">
        <v>98.47</v>
      </c>
      <c r="E391" s="6">
        <v>97.65</v>
      </c>
      <c r="F391" t="str">
        <f t="shared" si="162"/>
        <v>FRI</v>
      </c>
      <c r="G391" s="1">
        <f t="shared" si="163"/>
        <v>43903</v>
      </c>
      <c r="H391" s="2">
        <f t="shared" ca="1" si="164"/>
        <v>350</v>
      </c>
      <c r="I391" t="str">
        <f t="shared" si="165"/>
        <v>USD</v>
      </c>
      <c r="J391">
        <f t="shared" si="166"/>
        <v>95.01</v>
      </c>
      <c r="K391">
        <f t="shared" si="167"/>
        <v>98.47</v>
      </c>
      <c r="L391">
        <f t="shared" si="168"/>
        <v>96.740000000000009</v>
      </c>
      <c r="M391">
        <f t="shared" si="169"/>
        <v>1.7299999999999969</v>
      </c>
      <c r="N391">
        <f t="shared" si="174"/>
        <v>3.4599999999999937</v>
      </c>
      <c r="O391">
        <f t="shared" si="170"/>
        <v>97.65</v>
      </c>
      <c r="P391">
        <f t="shared" si="171"/>
        <v>0.52601156069364063</v>
      </c>
      <c r="Q391" t="str">
        <f t="shared" si="175"/>
        <v>2.7% | 0.84%</v>
      </c>
      <c r="R391" t="str">
        <f t="shared" si="172"/>
        <v>BULLISH</v>
      </c>
      <c r="S391">
        <f t="shared" si="176"/>
        <v>1</v>
      </c>
    </row>
    <row r="392" spans="1:19" hidden="1" x14ac:dyDescent="0.25">
      <c r="A392" s="5" t="str">
        <f t="shared" si="173"/>
        <v>43903EUR/USD</v>
      </c>
      <c r="B392" s="6" t="s">
        <v>77</v>
      </c>
      <c r="C392" s="6">
        <v>1.1000000000000001</v>
      </c>
      <c r="D392" s="6">
        <v>1.1299999999999999</v>
      </c>
      <c r="E392" s="6">
        <v>1.1200000000000001</v>
      </c>
      <c r="F392" t="str">
        <f t="shared" si="162"/>
        <v>FRI</v>
      </c>
      <c r="G392" s="1">
        <f t="shared" si="163"/>
        <v>43903</v>
      </c>
      <c r="H392" s="2">
        <f t="shared" ca="1" si="164"/>
        <v>350</v>
      </c>
      <c r="I392" t="str">
        <f t="shared" si="165"/>
        <v>EUR/USD</v>
      </c>
      <c r="J392">
        <f t="shared" si="166"/>
        <v>1.1000000000000001</v>
      </c>
      <c r="K392">
        <f t="shared" si="167"/>
        <v>1.1299999999999999</v>
      </c>
      <c r="L392">
        <f t="shared" si="168"/>
        <v>1.115</v>
      </c>
      <c r="M392">
        <f t="shared" si="169"/>
        <v>1.4999999999999902E-2</v>
      </c>
      <c r="N392">
        <f t="shared" si="174"/>
        <v>2.9999999999999805E-2</v>
      </c>
      <c r="O392">
        <f t="shared" si="170"/>
        <v>1.1200000000000001</v>
      </c>
      <c r="P392">
        <f t="shared" si="171"/>
        <v>0.3333333333333432</v>
      </c>
      <c r="Q392" t="str">
        <f t="shared" si="175"/>
        <v>1.79% | 0.89%</v>
      </c>
      <c r="R392" t="str">
        <f t="shared" si="172"/>
        <v>NEUTRAL</v>
      </c>
      <c r="S392">
        <f t="shared" si="176"/>
        <v>0</v>
      </c>
    </row>
    <row r="393" spans="1:19" hidden="1" x14ac:dyDescent="0.25">
      <c r="A393" s="5" t="str">
        <f t="shared" si="173"/>
        <v>43903USD/JPY</v>
      </c>
      <c r="B393" s="6" t="s">
        <v>20</v>
      </c>
      <c r="C393" s="6">
        <v>102.06</v>
      </c>
      <c r="D393" s="6">
        <v>108.08</v>
      </c>
      <c r="E393" s="6">
        <v>105.1</v>
      </c>
      <c r="F393" t="str">
        <f t="shared" si="162"/>
        <v>FRI</v>
      </c>
      <c r="G393" s="1">
        <f t="shared" si="163"/>
        <v>43903</v>
      </c>
      <c r="H393" s="2">
        <f t="shared" ca="1" si="164"/>
        <v>350</v>
      </c>
      <c r="I393" t="str">
        <f t="shared" si="165"/>
        <v>USD/JPY</v>
      </c>
      <c r="J393">
        <f t="shared" si="166"/>
        <v>102.06</v>
      </c>
      <c r="K393">
        <f t="shared" si="167"/>
        <v>108.08</v>
      </c>
      <c r="L393">
        <f t="shared" si="168"/>
        <v>105.07</v>
      </c>
      <c r="M393">
        <f t="shared" si="169"/>
        <v>3.009999999999998</v>
      </c>
      <c r="N393">
        <f t="shared" si="174"/>
        <v>6.019999999999996</v>
      </c>
      <c r="O393">
        <f t="shared" si="170"/>
        <v>105.1</v>
      </c>
      <c r="P393">
        <f t="shared" si="171"/>
        <v>9.9667774086382582E-3</v>
      </c>
      <c r="Q393" t="str">
        <f t="shared" si="175"/>
        <v>2.89% | 2.84%</v>
      </c>
      <c r="R393" t="str">
        <f t="shared" si="172"/>
        <v>BEARISH</v>
      </c>
      <c r="S393">
        <f t="shared" si="176"/>
        <v>-1</v>
      </c>
    </row>
    <row r="394" spans="1:19" hidden="1" x14ac:dyDescent="0.25">
      <c r="A394" s="5" t="str">
        <f t="shared" si="173"/>
        <v>43903GBP/USD</v>
      </c>
      <c r="B394" s="6" t="s">
        <v>21</v>
      </c>
      <c r="C394" s="6">
        <v>1.26</v>
      </c>
      <c r="D394" s="6">
        <v>1.3</v>
      </c>
      <c r="E394" s="6">
        <v>1.26</v>
      </c>
      <c r="F394" t="str">
        <f t="shared" si="162"/>
        <v>FRI</v>
      </c>
      <c r="G394" s="1">
        <f t="shared" si="163"/>
        <v>43903</v>
      </c>
      <c r="H394" s="2">
        <f t="shared" ca="1" si="164"/>
        <v>350</v>
      </c>
      <c r="I394" t="str">
        <f t="shared" si="165"/>
        <v>GBP/USD</v>
      </c>
      <c r="J394">
        <f t="shared" si="166"/>
        <v>1.26</v>
      </c>
      <c r="K394">
        <f t="shared" si="167"/>
        <v>1.3</v>
      </c>
      <c r="L394">
        <f t="shared" si="168"/>
        <v>1.28</v>
      </c>
      <c r="M394">
        <f t="shared" si="169"/>
        <v>2.0000000000000018E-2</v>
      </c>
      <c r="N394">
        <f t="shared" si="174"/>
        <v>4.0000000000000036E-2</v>
      </c>
      <c r="O394">
        <f t="shared" si="170"/>
        <v>1.26</v>
      </c>
      <c r="P394">
        <f t="shared" si="171"/>
        <v>-1</v>
      </c>
      <c r="Q394" t="str">
        <f t="shared" si="175"/>
        <v>0% | 3.17%</v>
      </c>
      <c r="R394" t="str">
        <f t="shared" si="172"/>
        <v>BEARISH</v>
      </c>
      <c r="S394">
        <f t="shared" si="176"/>
        <v>-1</v>
      </c>
    </row>
    <row r="395" spans="1:19" hidden="1" x14ac:dyDescent="0.25">
      <c r="A395" s="5" t="str">
        <f t="shared" si="173"/>
        <v>43903USD/CHF</v>
      </c>
      <c r="B395" s="6" t="s">
        <v>76</v>
      </c>
      <c r="C395" s="6">
        <v>0.92</v>
      </c>
      <c r="D395" s="6">
        <v>0.96</v>
      </c>
      <c r="E395" s="6">
        <v>0.94</v>
      </c>
      <c r="F395" t="str">
        <f t="shared" si="162"/>
        <v>FRI</v>
      </c>
      <c r="G395" s="1">
        <f t="shared" si="163"/>
        <v>43903</v>
      </c>
      <c r="H395" s="2">
        <f t="shared" ca="1" si="164"/>
        <v>350</v>
      </c>
      <c r="I395" t="str">
        <f t="shared" si="165"/>
        <v>USD/CHF</v>
      </c>
      <c r="J395">
        <f t="shared" si="166"/>
        <v>0.92</v>
      </c>
      <c r="K395">
        <f t="shared" si="167"/>
        <v>0.96</v>
      </c>
      <c r="L395">
        <f t="shared" si="168"/>
        <v>0.94</v>
      </c>
      <c r="M395">
        <f t="shared" si="169"/>
        <v>1.9999999999999962E-2</v>
      </c>
      <c r="N395">
        <f t="shared" si="174"/>
        <v>3.9999999999999925E-2</v>
      </c>
      <c r="O395">
        <f t="shared" si="170"/>
        <v>0.94</v>
      </c>
      <c r="P395">
        <f t="shared" si="171"/>
        <v>0</v>
      </c>
      <c r="Q395" t="str">
        <f t="shared" si="175"/>
        <v>2.13% | 2.13%</v>
      </c>
      <c r="R395" t="str">
        <f t="shared" si="172"/>
        <v>BEARISH</v>
      </c>
      <c r="S395">
        <f t="shared" si="176"/>
        <v>-1</v>
      </c>
    </row>
    <row r="396" spans="1:19" hidden="1" x14ac:dyDescent="0.25">
      <c r="A396" s="5" t="str">
        <f t="shared" si="173"/>
        <v>43903WTIC</v>
      </c>
      <c r="B396" s="6" t="s">
        <v>23</v>
      </c>
      <c r="C396" s="6">
        <v>28.61</v>
      </c>
      <c r="D396" s="6">
        <v>35.380000000000003</v>
      </c>
      <c r="E396" s="6">
        <v>31.5</v>
      </c>
      <c r="F396" t="str">
        <f t="shared" si="162"/>
        <v>FRI</v>
      </c>
      <c r="G396" s="1">
        <f t="shared" si="163"/>
        <v>43903</v>
      </c>
      <c r="H396" s="2">
        <f t="shared" ca="1" si="164"/>
        <v>350</v>
      </c>
      <c r="I396" t="str">
        <f t="shared" si="165"/>
        <v>WTIC</v>
      </c>
      <c r="J396">
        <f t="shared" si="166"/>
        <v>28.61</v>
      </c>
      <c r="K396">
        <f t="shared" si="167"/>
        <v>35.380000000000003</v>
      </c>
      <c r="L396">
        <f t="shared" si="168"/>
        <v>31.995000000000001</v>
      </c>
      <c r="M396">
        <f t="shared" si="169"/>
        <v>3.3850000000000122</v>
      </c>
      <c r="N396">
        <f t="shared" si="174"/>
        <v>6.7700000000000031</v>
      </c>
      <c r="O396">
        <f t="shared" si="170"/>
        <v>31.5</v>
      </c>
      <c r="P396">
        <f t="shared" si="171"/>
        <v>-0.14623338257016225</v>
      </c>
      <c r="Q396" t="str">
        <f t="shared" si="175"/>
        <v>9.17% | 12.32%</v>
      </c>
      <c r="R396" t="str">
        <f t="shared" si="172"/>
        <v>BEARISH</v>
      </c>
      <c r="S396">
        <f t="shared" si="176"/>
        <v>-1</v>
      </c>
    </row>
    <row r="397" spans="1:19" hidden="1" x14ac:dyDescent="0.25">
      <c r="A397" s="5" t="str">
        <f t="shared" si="173"/>
        <v>43903NATGAS</v>
      </c>
      <c r="B397" s="6" t="s">
        <v>24</v>
      </c>
      <c r="C397" s="6">
        <v>1.61</v>
      </c>
      <c r="D397" s="6">
        <v>1.99</v>
      </c>
      <c r="E397" s="6">
        <v>1.84</v>
      </c>
      <c r="F397" t="str">
        <f t="shared" si="162"/>
        <v>FRI</v>
      </c>
      <c r="G397" s="1">
        <f t="shared" si="163"/>
        <v>43903</v>
      </c>
      <c r="H397" s="2">
        <f t="shared" ca="1" si="164"/>
        <v>350</v>
      </c>
      <c r="I397" t="str">
        <f t="shared" si="165"/>
        <v>NATGAS</v>
      </c>
      <c r="J397">
        <f t="shared" si="166"/>
        <v>1.61</v>
      </c>
      <c r="K397">
        <f t="shared" si="167"/>
        <v>1.99</v>
      </c>
      <c r="L397">
        <f t="shared" si="168"/>
        <v>1.8</v>
      </c>
      <c r="M397">
        <f t="shared" si="169"/>
        <v>0.19000000000000064</v>
      </c>
      <c r="N397">
        <f t="shared" si="174"/>
        <v>0.37999999999999989</v>
      </c>
      <c r="O397">
        <f t="shared" si="170"/>
        <v>1.84</v>
      </c>
      <c r="P397">
        <f t="shared" si="171"/>
        <v>0.21052631578947317</v>
      </c>
      <c r="Q397" t="str">
        <f t="shared" si="175"/>
        <v>12.5% | 8.15%</v>
      </c>
      <c r="R397" t="str">
        <f t="shared" si="172"/>
        <v>BEARISH</v>
      </c>
      <c r="S397">
        <f t="shared" si="176"/>
        <v>-1</v>
      </c>
    </row>
    <row r="398" spans="1:19" hidden="1" x14ac:dyDescent="0.25">
      <c r="A398" s="5" t="str">
        <f t="shared" si="173"/>
        <v>43903GOLD</v>
      </c>
      <c r="B398" s="6" t="s">
        <v>25</v>
      </c>
      <c r="C398" s="6">
        <v>1561</v>
      </c>
      <c r="D398" s="6">
        <v>1704</v>
      </c>
      <c r="E398" s="6">
        <v>1590</v>
      </c>
      <c r="F398" t="str">
        <f t="shared" si="162"/>
        <v>FRI</v>
      </c>
      <c r="G398" s="1">
        <f t="shared" si="163"/>
        <v>43903</v>
      </c>
      <c r="H398" s="2">
        <f t="shared" ca="1" si="164"/>
        <v>350</v>
      </c>
      <c r="I398" t="str">
        <f t="shared" si="165"/>
        <v>GOLD</v>
      </c>
      <c r="J398">
        <f t="shared" si="166"/>
        <v>1561</v>
      </c>
      <c r="K398">
        <f t="shared" si="167"/>
        <v>1704</v>
      </c>
      <c r="L398">
        <f t="shared" si="168"/>
        <v>1632.5</v>
      </c>
      <c r="M398">
        <f t="shared" si="169"/>
        <v>71.5</v>
      </c>
      <c r="N398">
        <f t="shared" si="174"/>
        <v>143</v>
      </c>
      <c r="O398">
        <f t="shared" si="170"/>
        <v>1590</v>
      </c>
      <c r="P398">
        <f t="shared" si="171"/>
        <v>-0.59440559440559437</v>
      </c>
      <c r="Q398" t="str">
        <f t="shared" si="175"/>
        <v>1.82% | 7.17%</v>
      </c>
      <c r="R398" t="str">
        <f t="shared" si="172"/>
        <v>BULLISH</v>
      </c>
      <c r="S398">
        <f t="shared" si="176"/>
        <v>1</v>
      </c>
    </row>
    <row r="399" spans="1:19" hidden="1" x14ac:dyDescent="0.25">
      <c r="A399" s="5" t="str">
        <f t="shared" si="173"/>
        <v>43903COPPER</v>
      </c>
      <c r="B399" s="6" t="s">
        <v>26</v>
      </c>
      <c r="C399" s="6">
        <v>2.4300000000000002</v>
      </c>
      <c r="D399" s="6">
        <v>2.54</v>
      </c>
      <c r="E399" s="6">
        <v>2.4700000000000002</v>
      </c>
      <c r="F399" t="str">
        <f t="shared" si="162"/>
        <v>FRI</v>
      </c>
      <c r="G399" s="1">
        <f t="shared" si="163"/>
        <v>43903</v>
      </c>
      <c r="H399" s="2">
        <f t="shared" ca="1" si="164"/>
        <v>350</v>
      </c>
      <c r="I399" t="str">
        <f t="shared" si="165"/>
        <v>COPPER</v>
      </c>
      <c r="J399">
        <f t="shared" si="166"/>
        <v>2.4300000000000002</v>
      </c>
      <c r="K399">
        <f t="shared" si="167"/>
        <v>2.54</v>
      </c>
      <c r="L399">
        <f t="shared" si="168"/>
        <v>2.4850000000000003</v>
      </c>
      <c r="M399">
        <f t="shared" si="169"/>
        <v>5.4999999999999938E-2</v>
      </c>
      <c r="N399">
        <f t="shared" si="174"/>
        <v>0.10999999999999988</v>
      </c>
      <c r="O399">
        <f t="shared" si="170"/>
        <v>2.4700000000000002</v>
      </c>
      <c r="P399">
        <f t="shared" si="171"/>
        <v>-0.27272727272727532</v>
      </c>
      <c r="Q399" t="str">
        <f t="shared" si="175"/>
        <v>1.62% | 2.83%</v>
      </c>
      <c r="R399" t="str">
        <f t="shared" si="172"/>
        <v>BEARISH</v>
      </c>
      <c r="S399">
        <f t="shared" si="176"/>
        <v>-1</v>
      </c>
    </row>
    <row r="400" spans="1:19" hidden="1" x14ac:dyDescent="0.25">
      <c r="A400" s="5" t="str">
        <f t="shared" si="173"/>
        <v>43903AAPL</v>
      </c>
      <c r="B400" s="6" t="s">
        <v>68</v>
      </c>
      <c r="C400" s="6">
        <v>237.22</v>
      </c>
      <c r="D400" s="6">
        <v>287</v>
      </c>
      <c r="E400" s="6">
        <v>248.23</v>
      </c>
      <c r="F400" t="str">
        <f t="shared" si="162"/>
        <v>FRI</v>
      </c>
      <c r="G400" s="1">
        <f t="shared" si="163"/>
        <v>43903</v>
      </c>
      <c r="H400" s="2">
        <f t="shared" ca="1" si="164"/>
        <v>350</v>
      </c>
      <c r="I400" t="str">
        <f t="shared" si="165"/>
        <v>AAPL</v>
      </c>
      <c r="J400">
        <f t="shared" si="166"/>
        <v>237.22</v>
      </c>
      <c r="K400">
        <f t="shared" si="167"/>
        <v>287</v>
      </c>
      <c r="L400">
        <f t="shared" si="168"/>
        <v>262.11</v>
      </c>
      <c r="M400">
        <f t="shared" si="169"/>
        <v>24.89</v>
      </c>
      <c r="N400">
        <f t="shared" si="174"/>
        <v>49.78</v>
      </c>
      <c r="O400">
        <f t="shared" si="170"/>
        <v>248.23</v>
      </c>
      <c r="P400">
        <f t="shared" si="171"/>
        <v>-0.5576536761751717</v>
      </c>
      <c r="Q400" t="str">
        <f t="shared" si="175"/>
        <v>4.44% | 15.62%</v>
      </c>
      <c r="R400" t="str">
        <f t="shared" si="172"/>
        <v>BEARISH</v>
      </c>
      <c r="S400">
        <f t="shared" si="176"/>
        <v>-1</v>
      </c>
    </row>
    <row r="401" spans="1:19" hidden="1" x14ac:dyDescent="0.25">
      <c r="A401" s="5" t="str">
        <f t="shared" si="173"/>
        <v>43903AMZN</v>
      </c>
      <c r="B401" s="6" t="s">
        <v>73</v>
      </c>
      <c r="C401" s="6">
        <v>1617</v>
      </c>
      <c r="D401" s="6">
        <v>1854</v>
      </c>
      <c r="E401" s="6">
        <v>1676</v>
      </c>
      <c r="F401" t="str">
        <f t="shared" si="162"/>
        <v>FRI</v>
      </c>
      <c r="G401" s="1">
        <f t="shared" si="163"/>
        <v>43903</v>
      </c>
      <c r="H401" s="2">
        <f t="shared" ca="1" si="164"/>
        <v>350</v>
      </c>
      <c r="I401" t="str">
        <f t="shared" si="165"/>
        <v>AMZN</v>
      </c>
      <c r="J401">
        <f t="shared" si="166"/>
        <v>1617</v>
      </c>
      <c r="K401">
        <f t="shared" si="167"/>
        <v>1854</v>
      </c>
      <c r="L401">
        <f t="shared" si="168"/>
        <v>1735.5</v>
      </c>
      <c r="M401">
        <f t="shared" si="169"/>
        <v>118.5</v>
      </c>
      <c r="N401">
        <f t="shared" si="174"/>
        <v>237</v>
      </c>
      <c r="O401">
        <f t="shared" si="170"/>
        <v>1676</v>
      </c>
      <c r="P401">
        <f t="shared" si="171"/>
        <v>-0.50210970464135019</v>
      </c>
      <c r="Q401" t="str">
        <f t="shared" si="175"/>
        <v>3.52% | 10.62%</v>
      </c>
      <c r="R401" t="str">
        <f t="shared" si="172"/>
        <v>BEARISH</v>
      </c>
      <c r="S401">
        <f t="shared" si="176"/>
        <v>-1</v>
      </c>
    </row>
    <row r="402" spans="1:19" hidden="1" x14ac:dyDescent="0.25">
      <c r="A402" s="5" t="str">
        <f t="shared" si="173"/>
        <v>43903FB</v>
      </c>
      <c r="B402" s="6" t="s">
        <v>58</v>
      </c>
      <c r="C402" s="6">
        <v>146</v>
      </c>
      <c r="D402" s="6">
        <v>176</v>
      </c>
      <c r="E402" s="6">
        <v>154</v>
      </c>
      <c r="F402" t="str">
        <f t="shared" si="162"/>
        <v>FRI</v>
      </c>
      <c r="G402" s="1">
        <f t="shared" si="163"/>
        <v>43903</v>
      </c>
      <c r="H402" s="2">
        <f t="shared" ca="1" si="164"/>
        <v>350</v>
      </c>
      <c r="I402" t="str">
        <f t="shared" si="165"/>
        <v>FB</v>
      </c>
      <c r="J402">
        <f t="shared" si="166"/>
        <v>146</v>
      </c>
      <c r="K402">
        <f t="shared" si="167"/>
        <v>176</v>
      </c>
      <c r="L402">
        <f t="shared" si="168"/>
        <v>161</v>
      </c>
      <c r="M402">
        <f t="shared" si="169"/>
        <v>15</v>
      </c>
      <c r="N402">
        <f t="shared" si="174"/>
        <v>30</v>
      </c>
      <c r="O402">
        <f t="shared" si="170"/>
        <v>154</v>
      </c>
      <c r="P402">
        <f t="shared" si="171"/>
        <v>-0.46666666666666667</v>
      </c>
      <c r="Q402" t="str">
        <f t="shared" si="175"/>
        <v>5.19% | 14.29%</v>
      </c>
      <c r="R402" t="str">
        <f t="shared" si="172"/>
        <v>BEARISH</v>
      </c>
      <c r="S402">
        <f t="shared" si="176"/>
        <v>-1</v>
      </c>
    </row>
    <row r="403" spans="1:19" hidden="1" x14ac:dyDescent="0.25">
      <c r="A403" s="5" t="str">
        <f t="shared" si="173"/>
        <v>43903GOOGL</v>
      </c>
      <c r="B403" s="6" t="s">
        <v>66</v>
      </c>
      <c r="C403" s="6">
        <v>1064</v>
      </c>
      <c r="D403" s="6">
        <v>1241</v>
      </c>
      <c r="E403" s="6">
        <v>1111</v>
      </c>
      <c r="F403" t="str">
        <f t="shared" si="162"/>
        <v>FRI</v>
      </c>
      <c r="G403" s="1">
        <f t="shared" si="163"/>
        <v>43903</v>
      </c>
      <c r="H403" s="2">
        <f t="shared" ca="1" si="164"/>
        <v>350</v>
      </c>
      <c r="I403" t="str">
        <f t="shared" si="165"/>
        <v>GOOGL</v>
      </c>
      <c r="J403">
        <f t="shared" si="166"/>
        <v>1064</v>
      </c>
      <c r="K403">
        <f t="shared" si="167"/>
        <v>1241</v>
      </c>
      <c r="L403">
        <f t="shared" si="168"/>
        <v>1152.5</v>
      </c>
      <c r="M403">
        <f t="shared" si="169"/>
        <v>88.5</v>
      </c>
      <c r="N403">
        <f t="shared" si="174"/>
        <v>177</v>
      </c>
      <c r="O403">
        <f t="shared" si="170"/>
        <v>1111</v>
      </c>
      <c r="P403">
        <f t="shared" si="171"/>
        <v>-0.46892655367231639</v>
      </c>
      <c r="Q403" t="str">
        <f t="shared" si="175"/>
        <v>4.23% | 11.7%</v>
      </c>
      <c r="R403" t="str">
        <f t="shared" si="172"/>
        <v>BEARISH</v>
      </c>
      <c r="S403">
        <f t="shared" si="176"/>
        <v>-1</v>
      </c>
    </row>
    <row r="404" spans="1:19" hidden="1" x14ac:dyDescent="0.25">
      <c r="A404" s="5" t="str">
        <f t="shared" si="173"/>
        <v>43903NFLX</v>
      </c>
      <c r="B404" s="6" t="s">
        <v>81</v>
      </c>
      <c r="C404" s="6">
        <v>301</v>
      </c>
      <c r="D404" s="6">
        <v>343</v>
      </c>
      <c r="E404" s="6">
        <v>315</v>
      </c>
      <c r="F404" t="str">
        <f t="shared" si="162"/>
        <v>FRI</v>
      </c>
      <c r="G404" s="1">
        <f t="shared" si="163"/>
        <v>43903</v>
      </c>
      <c r="H404" s="2">
        <f t="shared" ca="1" si="164"/>
        <v>350</v>
      </c>
      <c r="I404" t="str">
        <f t="shared" si="165"/>
        <v>NFLX</v>
      </c>
      <c r="J404">
        <f t="shared" si="166"/>
        <v>301</v>
      </c>
      <c r="K404">
        <f t="shared" si="167"/>
        <v>343</v>
      </c>
      <c r="L404">
        <f t="shared" si="168"/>
        <v>322</v>
      </c>
      <c r="M404">
        <f t="shared" si="169"/>
        <v>21</v>
      </c>
      <c r="N404">
        <f t="shared" si="174"/>
        <v>42</v>
      </c>
      <c r="O404">
        <f t="shared" si="170"/>
        <v>315</v>
      </c>
      <c r="P404">
        <f t="shared" si="171"/>
        <v>-0.33333333333333331</v>
      </c>
      <c r="Q404" t="str">
        <f t="shared" si="175"/>
        <v>4.44% | 8.89%</v>
      </c>
      <c r="R404" t="str">
        <f t="shared" si="172"/>
        <v>BEARISH</v>
      </c>
      <c r="S404">
        <f t="shared" si="176"/>
        <v>-1</v>
      </c>
    </row>
    <row r="405" spans="1:19" x14ac:dyDescent="0.25">
      <c r="A405" s="5" t="str">
        <f t="shared" si="173"/>
        <v>43903TSLA</v>
      </c>
      <c r="B405" s="6" t="s">
        <v>83</v>
      </c>
      <c r="C405" s="6">
        <v>528</v>
      </c>
      <c r="D405" s="6">
        <v>688</v>
      </c>
      <c r="E405" s="6">
        <v>560</v>
      </c>
      <c r="F405" t="str">
        <f t="shared" si="162"/>
        <v>FRI</v>
      </c>
      <c r="G405" s="1">
        <f t="shared" si="163"/>
        <v>43903</v>
      </c>
      <c r="H405" s="2">
        <f t="shared" ca="1" si="164"/>
        <v>350</v>
      </c>
      <c r="I405" t="str">
        <f t="shared" si="165"/>
        <v>TSLA</v>
      </c>
      <c r="J405">
        <f t="shared" si="166"/>
        <v>528</v>
      </c>
      <c r="K405">
        <f t="shared" si="167"/>
        <v>688</v>
      </c>
      <c r="L405">
        <f t="shared" si="168"/>
        <v>608</v>
      </c>
      <c r="M405">
        <f t="shared" si="169"/>
        <v>80</v>
      </c>
      <c r="N405">
        <f t="shared" si="174"/>
        <v>160</v>
      </c>
      <c r="O405">
        <f t="shared" si="170"/>
        <v>560</v>
      </c>
      <c r="P405">
        <f t="shared" si="171"/>
        <v>-0.6</v>
      </c>
      <c r="Q405" t="str">
        <f t="shared" si="175"/>
        <v>5.71% | 22.86%</v>
      </c>
      <c r="R405" t="str">
        <f t="shared" si="172"/>
        <v>BEARISH</v>
      </c>
      <c r="S405">
        <f t="shared" si="176"/>
        <v>-1</v>
      </c>
    </row>
    <row r="406" spans="1:19" hidden="1" x14ac:dyDescent="0.25">
      <c r="A406" s="5" t="str">
        <f t="shared" si="173"/>
        <v>43903NYXBT</v>
      </c>
      <c r="B406" s="6" t="s">
        <v>84</v>
      </c>
      <c r="C406" s="6">
        <v>6740</v>
      </c>
      <c r="D406" s="6">
        <v>8475</v>
      </c>
      <c r="E406" s="6">
        <v>7817</v>
      </c>
      <c r="F406" t="str">
        <f t="shared" si="162"/>
        <v>FRI</v>
      </c>
      <c r="G406" s="1">
        <f t="shared" si="163"/>
        <v>43903</v>
      </c>
      <c r="H406" s="2">
        <f t="shared" ca="1" si="164"/>
        <v>350</v>
      </c>
      <c r="I406" t="str">
        <f t="shared" si="165"/>
        <v>NYXBT</v>
      </c>
      <c r="J406">
        <f t="shared" si="166"/>
        <v>6740</v>
      </c>
      <c r="K406">
        <f t="shared" si="167"/>
        <v>8475</v>
      </c>
      <c r="L406">
        <f t="shared" si="168"/>
        <v>7607.5</v>
      </c>
      <c r="M406">
        <f t="shared" si="169"/>
        <v>867.5</v>
      </c>
      <c r="N406">
        <f t="shared" si="174"/>
        <v>1735</v>
      </c>
      <c r="O406">
        <f t="shared" si="170"/>
        <v>7817</v>
      </c>
      <c r="P406">
        <f t="shared" si="171"/>
        <v>0.24149855907780979</v>
      </c>
      <c r="Q406" t="str">
        <f t="shared" si="175"/>
        <v>13.78% | 8.42%</v>
      </c>
      <c r="R406" t="str">
        <f t="shared" si="172"/>
        <v>BEARISH</v>
      </c>
      <c r="S406">
        <f t="shared" si="176"/>
        <v>-1</v>
      </c>
    </row>
    <row r="407" spans="1:19" hidden="1" x14ac:dyDescent="0.25">
      <c r="A407" s="5" t="str">
        <f t="shared" si="173"/>
        <v>43906UST10Y</v>
      </c>
      <c r="B407" s="6" t="s">
        <v>4</v>
      </c>
      <c r="C407" s="6">
        <v>1.18</v>
      </c>
      <c r="D407" s="6">
        <v>0.56999999999999995</v>
      </c>
      <c r="E407" s="6">
        <v>0.94</v>
      </c>
      <c r="F407" t="str">
        <f t="shared" si="162"/>
        <v>MON</v>
      </c>
      <c r="G407" s="3">
        <f>DATE(2020,3,16)</f>
        <v>43906</v>
      </c>
      <c r="H407" s="2">
        <f t="shared" ca="1" si="164"/>
        <v>347</v>
      </c>
      <c r="I407" t="str">
        <f t="shared" si="165"/>
        <v>UST10Y</v>
      </c>
      <c r="J407">
        <f t="shared" si="166"/>
        <v>1.18</v>
      </c>
      <c r="K407">
        <f t="shared" si="167"/>
        <v>0.56999999999999995</v>
      </c>
      <c r="L407">
        <f t="shared" si="168"/>
        <v>0.875</v>
      </c>
      <c r="M407">
        <f t="shared" si="169"/>
        <v>0.30499999999999988</v>
      </c>
      <c r="N407">
        <f t="shared" si="174"/>
        <v>0.61</v>
      </c>
      <c r="O407">
        <f t="shared" si="170"/>
        <v>0.94</v>
      </c>
      <c r="P407">
        <f t="shared" si="171"/>
        <v>0.21311475409836056</v>
      </c>
      <c r="Q407" t="str">
        <f t="shared" si="175"/>
        <v>25.53% | 39.36%</v>
      </c>
      <c r="R407" t="str">
        <f t="shared" si="172"/>
        <v>BEARISH</v>
      </c>
      <c r="S407">
        <f t="shared" si="176"/>
        <v>-1</v>
      </c>
    </row>
    <row r="408" spans="1:19" hidden="1" x14ac:dyDescent="0.25">
      <c r="A408" s="5" t="str">
        <f t="shared" si="173"/>
        <v>43906UST2Y</v>
      </c>
      <c r="B408" s="6" t="s">
        <v>5</v>
      </c>
      <c r="C408" s="6">
        <v>0.56000000000000005</v>
      </c>
      <c r="D408" s="6">
        <v>0.28999999999999998</v>
      </c>
      <c r="E408" s="6">
        <v>0.49</v>
      </c>
      <c r="F408" t="str">
        <f t="shared" ref="F408:F436" si="177">UPPER(TEXT(G408,"ddd"))</f>
        <v>MON</v>
      </c>
      <c r="G408" s="3">
        <f t="shared" ref="G408:G435" si="178">DATE(2020,3,16)</f>
        <v>43906</v>
      </c>
      <c r="H408" s="2">
        <f t="shared" ref="H408:H436" ca="1" si="179">TODAY()-G408</f>
        <v>347</v>
      </c>
      <c r="I408" t="str">
        <f t="shared" ref="I408:I436" si="180">TRIM(LEFT(B408,FIND(" ",B408,1)))</f>
        <v>UST2Y</v>
      </c>
      <c r="J408">
        <f t="shared" ref="J408:J436" si="181">C408</f>
        <v>0.56000000000000005</v>
      </c>
      <c r="K408">
        <f t="shared" ref="K408:K436" si="182">D408</f>
        <v>0.28999999999999998</v>
      </c>
      <c r="L408">
        <f t="shared" ref="L408:L436" si="183">AVERAGE(J408:K408)</f>
        <v>0.42500000000000004</v>
      </c>
      <c r="M408">
        <f t="shared" ref="M408:M436" si="184">_xlfn.STDEV.P(J408:K408)</f>
        <v>0.13499999999999998</v>
      </c>
      <c r="N408">
        <f t="shared" si="174"/>
        <v>0.27000000000000007</v>
      </c>
      <c r="O408">
        <f t="shared" ref="O408:O436" si="185">E408</f>
        <v>0.49</v>
      </c>
      <c r="P408">
        <f t="shared" ref="P408:P436" si="186">(O408-L408)/M408</f>
        <v>0.48148148148148118</v>
      </c>
      <c r="Q408" t="str">
        <f t="shared" si="175"/>
        <v>14.29% | 40.82%</v>
      </c>
      <c r="R408" t="str">
        <f t="shared" ref="R408:R436" si="187">MID(B408,FIND("(",B408,1)+1,FIND(")",B408,1)-FIND("(",B408,1)-1)</f>
        <v>BEARISH</v>
      </c>
      <c r="S408">
        <f t="shared" si="176"/>
        <v>-1</v>
      </c>
    </row>
    <row r="409" spans="1:19" hidden="1" x14ac:dyDescent="0.25">
      <c r="A409" s="5" t="str">
        <f t="shared" si="173"/>
        <v>43906SPX</v>
      </c>
      <c r="B409" s="6" t="s">
        <v>6</v>
      </c>
      <c r="C409" s="6">
        <v>2411</v>
      </c>
      <c r="D409" s="6">
        <v>2732</v>
      </c>
      <c r="E409" s="6">
        <v>2711</v>
      </c>
      <c r="F409" t="str">
        <f t="shared" si="177"/>
        <v>MON</v>
      </c>
      <c r="G409" s="3">
        <f t="shared" si="178"/>
        <v>43906</v>
      </c>
      <c r="H409" s="2">
        <f t="shared" ca="1" si="179"/>
        <v>347</v>
      </c>
      <c r="I409" t="str">
        <f t="shared" si="180"/>
        <v>SPX</v>
      </c>
      <c r="J409">
        <f t="shared" si="181"/>
        <v>2411</v>
      </c>
      <c r="K409">
        <f t="shared" si="182"/>
        <v>2732</v>
      </c>
      <c r="L409">
        <f t="shared" si="183"/>
        <v>2571.5</v>
      </c>
      <c r="M409">
        <f t="shared" si="184"/>
        <v>160.5</v>
      </c>
      <c r="N409">
        <f t="shared" si="174"/>
        <v>321</v>
      </c>
      <c r="O409">
        <f t="shared" si="185"/>
        <v>2711</v>
      </c>
      <c r="P409">
        <f t="shared" si="186"/>
        <v>0.86915887850467288</v>
      </c>
      <c r="Q409" t="str">
        <f t="shared" si="175"/>
        <v>11.07% | 0.77%</v>
      </c>
      <c r="R409" t="str">
        <f t="shared" si="187"/>
        <v>BEARISH</v>
      </c>
      <c r="S409">
        <f t="shared" si="176"/>
        <v>-1</v>
      </c>
    </row>
    <row r="410" spans="1:19" hidden="1" x14ac:dyDescent="0.25">
      <c r="A410" s="5" t="str">
        <f t="shared" si="173"/>
        <v>43906RUT</v>
      </c>
      <c r="B410" s="6" t="s">
        <v>7</v>
      </c>
      <c r="C410" s="6">
        <v>1045</v>
      </c>
      <c r="D410" s="6">
        <v>1280</v>
      </c>
      <c r="E410" s="6">
        <v>1210</v>
      </c>
      <c r="F410" t="str">
        <f t="shared" si="177"/>
        <v>MON</v>
      </c>
      <c r="G410" s="3">
        <f t="shared" si="178"/>
        <v>43906</v>
      </c>
      <c r="H410" s="2">
        <f t="shared" ca="1" si="179"/>
        <v>347</v>
      </c>
      <c r="I410" t="str">
        <f t="shared" si="180"/>
        <v>RUT</v>
      </c>
      <c r="J410">
        <f t="shared" si="181"/>
        <v>1045</v>
      </c>
      <c r="K410">
        <f t="shared" si="182"/>
        <v>1280</v>
      </c>
      <c r="L410">
        <f t="shared" si="183"/>
        <v>1162.5</v>
      </c>
      <c r="M410">
        <f t="shared" si="184"/>
        <v>117.5</v>
      </c>
      <c r="N410">
        <f t="shared" si="174"/>
        <v>235</v>
      </c>
      <c r="O410">
        <f t="shared" si="185"/>
        <v>1210</v>
      </c>
      <c r="P410">
        <f t="shared" si="186"/>
        <v>0.40425531914893614</v>
      </c>
      <c r="Q410" t="str">
        <f t="shared" si="175"/>
        <v>13.64% | 5.79%</v>
      </c>
      <c r="R410" t="str">
        <f t="shared" si="187"/>
        <v>BEARISH</v>
      </c>
      <c r="S410">
        <f t="shared" si="176"/>
        <v>-1</v>
      </c>
    </row>
    <row r="411" spans="1:19" hidden="1" x14ac:dyDescent="0.25">
      <c r="A411" s="5" t="str">
        <f t="shared" si="173"/>
        <v>43906COMPQ</v>
      </c>
      <c r="B411" s="6" t="s">
        <v>64</v>
      </c>
      <c r="C411" s="6">
        <v>7095</v>
      </c>
      <c r="D411" s="6">
        <v>8270</v>
      </c>
      <c r="E411" s="6">
        <v>7874</v>
      </c>
      <c r="F411" t="str">
        <f t="shared" si="177"/>
        <v>MON</v>
      </c>
      <c r="G411" s="3">
        <f t="shared" si="178"/>
        <v>43906</v>
      </c>
      <c r="H411" s="2">
        <f t="shared" ca="1" si="179"/>
        <v>347</v>
      </c>
      <c r="I411" t="str">
        <f t="shared" si="180"/>
        <v>COMPQ</v>
      </c>
      <c r="J411">
        <f t="shared" si="181"/>
        <v>7095</v>
      </c>
      <c r="K411">
        <f t="shared" si="182"/>
        <v>8270</v>
      </c>
      <c r="L411">
        <f t="shared" si="183"/>
        <v>7682.5</v>
      </c>
      <c r="M411">
        <f t="shared" si="184"/>
        <v>587.5</v>
      </c>
      <c r="N411">
        <f t="shared" si="174"/>
        <v>1175</v>
      </c>
      <c r="O411">
        <f t="shared" si="185"/>
        <v>7874</v>
      </c>
      <c r="P411">
        <f t="shared" si="186"/>
        <v>0.32595744680851063</v>
      </c>
      <c r="Q411" t="str">
        <f t="shared" si="175"/>
        <v>9.89% | 5.03%</v>
      </c>
      <c r="R411" t="str">
        <f t="shared" si="187"/>
        <v>BEARISH</v>
      </c>
      <c r="S411">
        <f t="shared" si="176"/>
        <v>-1</v>
      </c>
    </row>
    <row r="412" spans="1:19" hidden="1" x14ac:dyDescent="0.25">
      <c r="A412" s="5" t="str">
        <f t="shared" si="173"/>
        <v>43906XLU</v>
      </c>
      <c r="B412" s="6" t="s">
        <v>82</v>
      </c>
      <c r="C412" s="6">
        <v>52.54</v>
      </c>
      <c r="D412" s="6">
        <v>59.99</v>
      </c>
      <c r="E412" s="6">
        <v>57.67</v>
      </c>
      <c r="F412" t="str">
        <f t="shared" si="177"/>
        <v>MON</v>
      </c>
      <c r="G412" s="3">
        <f t="shared" si="178"/>
        <v>43906</v>
      </c>
      <c r="H412" s="2">
        <f t="shared" ca="1" si="179"/>
        <v>347</v>
      </c>
      <c r="I412" t="str">
        <f t="shared" si="180"/>
        <v>XLU</v>
      </c>
      <c r="J412">
        <f t="shared" si="181"/>
        <v>52.54</v>
      </c>
      <c r="K412">
        <f t="shared" si="182"/>
        <v>59.99</v>
      </c>
      <c r="L412">
        <f t="shared" si="183"/>
        <v>56.265000000000001</v>
      </c>
      <c r="M412">
        <f t="shared" si="184"/>
        <v>3.7250000000000014</v>
      </c>
      <c r="N412">
        <f t="shared" si="174"/>
        <v>7.4500000000000028</v>
      </c>
      <c r="O412">
        <f t="shared" si="185"/>
        <v>57.67</v>
      </c>
      <c r="P412">
        <f t="shared" si="186"/>
        <v>0.37718120805369143</v>
      </c>
      <c r="Q412" t="str">
        <f t="shared" si="175"/>
        <v>8.9% | 4.02%</v>
      </c>
      <c r="R412" t="str">
        <f t="shared" si="187"/>
        <v>BEARISH</v>
      </c>
      <c r="S412">
        <f t="shared" si="176"/>
        <v>-1</v>
      </c>
    </row>
    <row r="413" spans="1:19" hidden="1" x14ac:dyDescent="0.25">
      <c r="A413" s="5" t="str">
        <f t="shared" si="173"/>
        <v>43906VNQ</v>
      </c>
      <c r="B413" s="6" t="s">
        <v>67</v>
      </c>
      <c r="C413" s="6">
        <v>70.81</v>
      </c>
      <c r="D413" s="6">
        <v>80.760000000000005</v>
      </c>
      <c r="E413" s="6">
        <v>79.48</v>
      </c>
      <c r="F413" t="str">
        <f t="shared" si="177"/>
        <v>MON</v>
      </c>
      <c r="G413" s="3">
        <f t="shared" si="178"/>
        <v>43906</v>
      </c>
      <c r="H413" s="2">
        <f t="shared" ca="1" si="179"/>
        <v>347</v>
      </c>
      <c r="I413" t="str">
        <f t="shared" si="180"/>
        <v>VNQ</v>
      </c>
      <c r="J413">
        <f t="shared" si="181"/>
        <v>70.81</v>
      </c>
      <c r="K413">
        <f t="shared" si="182"/>
        <v>80.760000000000005</v>
      </c>
      <c r="L413">
        <f t="shared" si="183"/>
        <v>75.784999999999997</v>
      </c>
      <c r="M413">
        <f t="shared" si="184"/>
        <v>4.9750000000000014</v>
      </c>
      <c r="N413">
        <f t="shared" si="174"/>
        <v>9.9500000000000028</v>
      </c>
      <c r="O413">
        <f t="shared" si="185"/>
        <v>79.48</v>
      </c>
      <c r="P413">
        <f t="shared" si="186"/>
        <v>0.74271356783919729</v>
      </c>
      <c r="Q413" t="str">
        <f t="shared" si="175"/>
        <v>10.91% | 1.61%</v>
      </c>
      <c r="R413" t="str">
        <f t="shared" si="187"/>
        <v>BEARISH</v>
      </c>
      <c r="S413">
        <f t="shared" si="176"/>
        <v>-1</v>
      </c>
    </row>
    <row r="414" spans="1:19" hidden="1" x14ac:dyDescent="0.25">
      <c r="A414" s="5" t="str">
        <f t="shared" si="173"/>
        <v>43906XLP</v>
      </c>
      <c r="B414" s="6" t="s">
        <v>11</v>
      </c>
      <c r="C414" s="6">
        <v>49.73</v>
      </c>
      <c r="D414" s="6">
        <v>58.2</v>
      </c>
      <c r="E414" s="6">
        <v>56.61</v>
      </c>
      <c r="F414" t="str">
        <f t="shared" si="177"/>
        <v>MON</v>
      </c>
      <c r="G414" s="3">
        <f t="shared" si="178"/>
        <v>43906</v>
      </c>
      <c r="H414" s="2">
        <f t="shared" ca="1" si="179"/>
        <v>347</v>
      </c>
      <c r="I414" t="str">
        <f t="shared" si="180"/>
        <v>XLP</v>
      </c>
      <c r="J414">
        <f t="shared" si="181"/>
        <v>49.73</v>
      </c>
      <c r="K414">
        <f t="shared" si="182"/>
        <v>58.2</v>
      </c>
      <c r="L414">
        <f t="shared" si="183"/>
        <v>53.965000000000003</v>
      </c>
      <c r="M414">
        <f t="shared" si="184"/>
        <v>4.235000000000003</v>
      </c>
      <c r="N414">
        <f t="shared" si="174"/>
        <v>8.470000000000006</v>
      </c>
      <c r="O414">
        <f t="shared" si="185"/>
        <v>56.61</v>
      </c>
      <c r="P414">
        <f t="shared" si="186"/>
        <v>0.62455726092089592</v>
      </c>
      <c r="Q414" t="str">
        <f t="shared" si="175"/>
        <v>12.15% | 2.81%</v>
      </c>
      <c r="R414" t="str">
        <f t="shared" si="187"/>
        <v>BEARISH</v>
      </c>
      <c r="S414">
        <f t="shared" si="176"/>
        <v>-1</v>
      </c>
    </row>
    <row r="415" spans="1:19" hidden="1" x14ac:dyDescent="0.25">
      <c r="A415" s="5" t="str">
        <f t="shared" si="173"/>
        <v>43906XLK</v>
      </c>
      <c r="B415" s="6" t="s">
        <v>65</v>
      </c>
      <c r="C415" s="6">
        <v>71.98</v>
      </c>
      <c r="D415" s="6">
        <v>86.27</v>
      </c>
      <c r="E415" s="6">
        <v>84.19</v>
      </c>
      <c r="F415" t="str">
        <f t="shared" si="177"/>
        <v>MON</v>
      </c>
      <c r="G415" s="3">
        <f t="shared" si="178"/>
        <v>43906</v>
      </c>
      <c r="H415" s="2">
        <f t="shared" ca="1" si="179"/>
        <v>347</v>
      </c>
      <c r="I415" t="str">
        <f t="shared" si="180"/>
        <v>XLK</v>
      </c>
      <c r="J415">
        <f t="shared" si="181"/>
        <v>71.98</v>
      </c>
      <c r="K415">
        <f t="shared" si="182"/>
        <v>86.27</v>
      </c>
      <c r="L415">
        <f t="shared" si="183"/>
        <v>79.125</v>
      </c>
      <c r="M415">
        <f t="shared" si="184"/>
        <v>7.144999999999996</v>
      </c>
      <c r="N415">
        <f t="shared" si="174"/>
        <v>14.289999999999992</v>
      </c>
      <c r="O415">
        <f t="shared" si="185"/>
        <v>84.19</v>
      </c>
      <c r="P415">
        <f t="shared" si="186"/>
        <v>0.70888733379986013</v>
      </c>
      <c r="Q415" t="str">
        <f t="shared" si="175"/>
        <v>14.5% | 2.47%</v>
      </c>
      <c r="R415" t="str">
        <f t="shared" si="187"/>
        <v>BEARISH</v>
      </c>
      <c r="S415">
        <f t="shared" si="176"/>
        <v>-1</v>
      </c>
    </row>
    <row r="416" spans="1:19" hidden="1" x14ac:dyDescent="0.25">
      <c r="A416" s="5" t="str">
        <f t="shared" si="173"/>
        <v>43906SSEC</v>
      </c>
      <c r="B416" s="6" t="s">
        <v>14</v>
      </c>
      <c r="C416" s="6">
        <v>2740</v>
      </c>
      <c r="D416" s="6">
        <v>2981</v>
      </c>
      <c r="E416" s="6">
        <v>2789</v>
      </c>
      <c r="F416" t="str">
        <f t="shared" si="177"/>
        <v>MON</v>
      </c>
      <c r="G416" s="3">
        <f t="shared" si="178"/>
        <v>43906</v>
      </c>
      <c r="H416" s="2">
        <f t="shared" ca="1" si="179"/>
        <v>347</v>
      </c>
      <c r="I416" t="str">
        <f t="shared" si="180"/>
        <v>SSEC</v>
      </c>
      <c r="J416">
        <f t="shared" si="181"/>
        <v>2740</v>
      </c>
      <c r="K416">
        <f t="shared" si="182"/>
        <v>2981</v>
      </c>
      <c r="L416">
        <f t="shared" si="183"/>
        <v>2860.5</v>
      </c>
      <c r="M416">
        <f t="shared" si="184"/>
        <v>120.5</v>
      </c>
      <c r="N416">
        <f t="shared" si="174"/>
        <v>241</v>
      </c>
      <c r="O416">
        <f t="shared" si="185"/>
        <v>2789</v>
      </c>
      <c r="P416">
        <f t="shared" si="186"/>
        <v>-0.59336099585062241</v>
      </c>
      <c r="Q416" t="str">
        <f t="shared" si="175"/>
        <v>1.76% | 6.88%</v>
      </c>
      <c r="R416" t="str">
        <f t="shared" si="187"/>
        <v>BEARISH</v>
      </c>
      <c r="S416">
        <f t="shared" si="176"/>
        <v>-1</v>
      </c>
    </row>
    <row r="417" spans="1:19" hidden="1" x14ac:dyDescent="0.25">
      <c r="A417" s="5" t="str">
        <f t="shared" si="173"/>
        <v>43906NIKK</v>
      </c>
      <c r="B417" s="6" t="s">
        <v>15</v>
      </c>
      <c r="C417" s="6">
        <v>16841</v>
      </c>
      <c r="D417" s="6">
        <v>19904</v>
      </c>
      <c r="E417" s="6">
        <v>17002</v>
      </c>
      <c r="F417" t="str">
        <f t="shared" si="177"/>
        <v>MON</v>
      </c>
      <c r="G417" s="3">
        <f t="shared" si="178"/>
        <v>43906</v>
      </c>
      <c r="H417" s="2">
        <f t="shared" ca="1" si="179"/>
        <v>347</v>
      </c>
      <c r="I417" t="str">
        <f t="shared" si="180"/>
        <v>NIKK</v>
      </c>
      <c r="J417">
        <f t="shared" si="181"/>
        <v>16841</v>
      </c>
      <c r="K417">
        <f t="shared" si="182"/>
        <v>19904</v>
      </c>
      <c r="L417">
        <f t="shared" si="183"/>
        <v>18372.5</v>
      </c>
      <c r="M417">
        <f t="shared" si="184"/>
        <v>1531.5</v>
      </c>
      <c r="N417">
        <f t="shared" si="174"/>
        <v>3063</v>
      </c>
      <c r="O417">
        <f t="shared" si="185"/>
        <v>17002</v>
      </c>
      <c r="P417">
        <f t="shared" si="186"/>
        <v>-0.89487430623571662</v>
      </c>
      <c r="Q417" t="str">
        <f t="shared" si="175"/>
        <v>0.95% | 17.07%</v>
      </c>
      <c r="R417" t="str">
        <f t="shared" si="187"/>
        <v>BEARISH</v>
      </c>
      <c r="S417">
        <f t="shared" si="176"/>
        <v>-1</v>
      </c>
    </row>
    <row r="418" spans="1:19" hidden="1" x14ac:dyDescent="0.25">
      <c r="A418" s="5" t="str">
        <f t="shared" si="173"/>
        <v>43906DAX</v>
      </c>
      <c r="B418" s="6" t="s">
        <v>16</v>
      </c>
      <c r="C418" s="6">
        <v>8350</v>
      </c>
      <c r="D418" s="6">
        <v>10807</v>
      </c>
      <c r="E418" s="6">
        <v>9232</v>
      </c>
      <c r="F418" t="str">
        <f t="shared" si="177"/>
        <v>MON</v>
      </c>
      <c r="G418" s="3">
        <f t="shared" si="178"/>
        <v>43906</v>
      </c>
      <c r="H418" s="2">
        <f t="shared" ca="1" si="179"/>
        <v>347</v>
      </c>
      <c r="I418" t="str">
        <f t="shared" si="180"/>
        <v>DAX</v>
      </c>
      <c r="J418">
        <f t="shared" si="181"/>
        <v>8350</v>
      </c>
      <c r="K418">
        <f t="shared" si="182"/>
        <v>10807</v>
      </c>
      <c r="L418">
        <f t="shared" si="183"/>
        <v>9578.5</v>
      </c>
      <c r="M418">
        <f t="shared" si="184"/>
        <v>1228.5</v>
      </c>
      <c r="N418">
        <f t="shared" si="174"/>
        <v>2457</v>
      </c>
      <c r="O418">
        <f t="shared" si="185"/>
        <v>9232</v>
      </c>
      <c r="P418">
        <f t="shared" si="186"/>
        <v>-0.28205128205128205</v>
      </c>
      <c r="Q418" t="str">
        <f t="shared" si="175"/>
        <v>9.55% | 17.06%</v>
      </c>
      <c r="R418" t="str">
        <f t="shared" si="187"/>
        <v>BEARISH</v>
      </c>
      <c r="S418">
        <f t="shared" si="176"/>
        <v>-1</v>
      </c>
    </row>
    <row r="419" spans="1:19" hidden="1" x14ac:dyDescent="0.25">
      <c r="A419" s="5" t="str">
        <f t="shared" si="173"/>
        <v>43906VIX</v>
      </c>
      <c r="B419" s="6" t="s">
        <v>17</v>
      </c>
      <c r="C419" s="6">
        <v>35.659999999999997</v>
      </c>
      <c r="D419" s="6">
        <v>74.849999999999994</v>
      </c>
      <c r="E419" s="6">
        <v>57.83</v>
      </c>
      <c r="F419" t="str">
        <f t="shared" si="177"/>
        <v>MON</v>
      </c>
      <c r="G419" s="3">
        <f t="shared" si="178"/>
        <v>43906</v>
      </c>
      <c r="H419" s="2">
        <f t="shared" ca="1" si="179"/>
        <v>347</v>
      </c>
      <c r="I419" t="str">
        <f t="shared" si="180"/>
        <v>VIX</v>
      </c>
      <c r="J419">
        <f t="shared" si="181"/>
        <v>35.659999999999997</v>
      </c>
      <c r="K419">
        <f t="shared" si="182"/>
        <v>74.849999999999994</v>
      </c>
      <c r="L419">
        <f t="shared" si="183"/>
        <v>55.254999999999995</v>
      </c>
      <c r="M419">
        <f t="shared" si="184"/>
        <v>19.594999999999995</v>
      </c>
      <c r="N419">
        <f t="shared" si="174"/>
        <v>39.19</v>
      </c>
      <c r="O419">
        <f t="shared" si="185"/>
        <v>57.83</v>
      </c>
      <c r="P419">
        <f t="shared" si="186"/>
        <v>0.1314110742536363</v>
      </c>
      <c r="Q419" t="str">
        <f t="shared" si="175"/>
        <v>38.34% | 29.43%</v>
      </c>
      <c r="R419" t="str">
        <f t="shared" si="187"/>
        <v>BULLISH</v>
      </c>
      <c r="S419">
        <f t="shared" si="176"/>
        <v>1</v>
      </c>
    </row>
    <row r="420" spans="1:19" hidden="1" x14ac:dyDescent="0.25">
      <c r="A420" s="5" t="str">
        <f t="shared" si="173"/>
        <v>43906USD</v>
      </c>
      <c r="B420" s="6" t="s">
        <v>18</v>
      </c>
      <c r="C420" s="6">
        <v>95.1</v>
      </c>
      <c r="D420" s="6">
        <v>99.75</v>
      </c>
      <c r="E420" s="6">
        <v>98.9</v>
      </c>
      <c r="F420" t="str">
        <f t="shared" si="177"/>
        <v>MON</v>
      </c>
      <c r="G420" s="3">
        <f t="shared" si="178"/>
        <v>43906</v>
      </c>
      <c r="H420" s="2">
        <f t="shared" ca="1" si="179"/>
        <v>347</v>
      </c>
      <c r="I420" t="str">
        <f t="shared" si="180"/>
        <v>USD</v>
      </c>
      <c r="J420">
        <f t="shared" si="181"/>
        <v>95.1</v>
      </c>
      <c r="K420">
        <f t="shared" si="182"/>
        <v>99.75</v>
      </c>
      <c r="L420">
        <f t="shared" si="183"/>
        <v>97.424999999999997</v>
      </c>
      <c r="M420">
        <f t="shared" si="184"/>
        <v>2.3250000000000028</v>
      </c>
      <c r="N420">
        <f t="shared" si="174"/>
        <v>4.6500000000000057</v>
      </c>
      <c r="O420">
        <f t="shared" si="185"/>
        <v>98.9</v>
      </c>
      <c r="P420">
        <f t="shared" si="186"/>
        <v>0.63440860215054051</v>
      </c>
      <c r="Q420" t="str">
        <f t="shared" si="175"/>
        <v>3.84% | 0.86%</v>
      </c>
      <c r="R420" t="str">
        <f t="shared" si="187"/>
        <v>BULLISH</v>
      </c>
      <c r="S420">
        <f t="shared" si="176"/>
        <v>1</v>
      </c>
    </row>
    <row r="421" spans="1:19" hidden="1" x14ac:dyDescent="0.25">
      <c r="A421" s="5" t="str">
        <f t="shared" si="173"/>
        <v>43906EUR/USD</v>
      </c>
      <c r="B421" s="6" t="s">
        <v>19</v>
      </c>
      <c r="C421" s="6">
        <v>1.1000000000000001</v>
      </c>
      <c r="D421" s="6">
        <v>1.1299999999999999</v>
      </c>
      <c r="E421" s="6">
        <v>1.1100000000000001</v>
      </c>
      <c r="F421" t="str">
        <f t="shared" si="177"/>
        <v>MON</v>
      </c>
      <c r="G421" s="3">
        <f t="shared" si="178"/>
        <v>43906</v>
      </c>
      <c r="H421" s="2">
        <f t="shared" ca="1" si="179"/>
        <v>347</v>
      </c>
      <c r="I421" t="str">
        <f t="shared" si="180"/>
        <v>EUR/USD</v>
      </c>
      <c r="J421">
        <f t="shared" si="181"/>
        <v>1.1000000000000001</v>
      </c>
      <c r="K421">
        <f t="shared" si="182"/>
        <v>1.1299999999999999</v>
      </c>
      <c r="L421">
        <f t="shared" si="183"/>
        <v>1.115</v>
      </c>
      <c r="M421">
        <f t="shared" si="184"/>
        <v>1.4999999999999902E-2</v>
      </c>
      <c r="N421">
        <f t="shared" si="174"/>
        <v>2.9999999999999805E-2</v>
      </c>
      <c r="O421">
        <f t="shared" si="185"/>
        <v>1.1100000000000001</v>
      </c>
      <c r="P421">
        <f t="shared" si="186"/>
        <v>-0.33333333333332837</v>
      </c>
      <c r="Q421" t="str">
        <f t="shared" si="175"/>
        <v>0.9% | 1.8%</v>
      </c>
      <c r="R421" t="str">
        <f t="shared" si="187"/>
        <v>BEARISH</v>
      </c>
      <c r="S421">
        <f t="shared" si="176"/>
        <v>-1</v>
      </c>
    </row>
    <row r="422" spans="1:19" hidden="1" x14ac:dyDescent="0.25">
      <c r="A422" s="5" t="str">
        <f t="shared" si="173"/>
        <v>43906USD/JPY</v>
      </c>
      <c r="B422" s="6" t="s">
        <v>20</v>
      </c>
      <c r="C422" s="6">
        <v>102.1</v>
      </c>
      <c r="D422" s="6">
        <v>108.08</v>
      </c>
      <c r="E422" s="6">
        <v>107.91</v>
      </c>
      <c r="F422" t="str">
        <f t="shared" si="177"/>
        <v>MON</v>
      </c>
      <c r="G422" s="3">
        <f t="shared" si="178"/>
        <v>43906</v>
      </c>
      <c r="H422" s="2">
        <f t="shared" ca="1" si="179"/>
        <v>347</v>
      </c>
      <c r="I422" t="str">
        <f t="shared" si="180"/>
        <v>USD/JPY</v>
      </c>
      <c r="J422">
        <f t="shared" si="181"/>
        <v>102.1</v>
      </c>
      <c r="K422">
        <f t="shared" si="182"/>
        <v>108.08</v>
      </c>
      <c r="L422">
        <f t="shared" si="183"/>
        <v>105.09</v>
      </c>
      <c r="M422">
        <f t="shared" si="184"/>
        <v>2.990000000000002</v>
      </c>
      <c r="N422">
        <f t="shared" si="174"/>
        <v>5.980000000000004</v>
      </c>
      <c r="O422">
        <f t="shared" si="185"/>
        <v>107.91</v>
      </c>
      <c r="P422">
        <f t="shared" si="186"/>
        <v>0.94314381270902714</v>
      </c>
      <c r="Q422" t="str">
        <f t="shared" si="175"/>
        <v>5.38% | 0.16%</v>
      </c>
      <c r="R422" t="str">
        <f t="shared" si="187"/>
        <v>BEARISH</v>
      </c>
      <c r="S422">
        <f t="shared" si="176"/>
        <v>-1</v>
      </c>
    </row>
    <row r="423" spans="1:19" hidden="1" x14ac:dyDescent="0.25">
      <c r="A423" s="5" t="str">
        <f t="shared" si="173"/>
        <v>43906GBP/USD</v>
      </c>
      <c r="B423" s="6" t="s">
        <v>21</v>
      </c>
      <c r="C423" s="6">
        <v>1.21</v>
      </c>
      <c r="D423" s="6">
        <v>1.28</v>
      </c>
      <c r="E423" s="6">
        <v>1.22</v>
      </c>
      <c r="F423" t="str">
        <f t="shared" si="177"/>
        <v>MON</v>
      </c>
      <c r="G423" s="3">
        <f t="shared" si="178"/>
        <v>43906</v>
      </c>
      <c r="H423" s="2">
        <f t="shared" ca="1" si="179"/>
        <v>347</v>
      </c>
      <c r="I423" t="str">
        <f t="shared" si="180"/>
        <v>GBP/USD</v>
      </c>
      <c r="J423">
        <f t="shared" si="181"/>
        <v>1.21</v>
      </c>
      <c r="K423">
        <f t="shared" si="182"/>
        <v>1.28</v>
      </c>
      <c r="L423">
        <f t="shared" si="183"/>
        <v>1.2450000000000001</v>
      </c>
      <c r="M423">
        <f t="shared" si="184"/>
        <v>3.5000000000000031E-2</v>
      </c>
      <c r="N423">
        <f t="shared" si="174"/>
        <v>7.0000000000000062E-2</v>
      </c>
      <c r="O423">
        <f t="shared" si="185"/>
        <v>1.22</v>
      </c>
      <c r="P423">
        <f t="shared" si="186"/>
        <v>-0.71428571428571741</v>
      </c>
      <c r="Q423" t="str">
        <f t="shared" si="175"/>
        <v>0.82% | 4.92%</v>
      </c>
      <c r="R423" t="str">
        <f t="shared" si="187"/>
        <v>BEARISH</v>
      </c>
      <c r="S423">
        <f t="shared" si="176"/>
        <v>-1</v>
      </c>
    </row>
    <row r="424" spans="1:19" hidden="1" x14ac:dyDescent="0.25">
      <c r="A424" s="5" t="str">
        <f t="shared" si="173"/>
        <v>43906USD/CHF</v>
      </c>
      <c r="B424" s="6" t="s">
        <v>76</v>
      </c>
      <c r="C424" s="6">
        <v>0.92</v>
      </c>
      <c r="D424" s="6">
        <v>0.96</v>
      </c>
      <c r="E424" s="6">
        <v>0.95</v>
      </c>
      <c r="F424" t="str">
        <f t="shared" si="177"/>
        <v>MON</v>
      </c>
      <c r="G424" s="3">
        <f t="shared" si="178"/>
        <v>43906</v>
      </c>
      <c r="H424" s="2">
        <f t="shared" ca="1" si="179"/>
        <v>347</v>
      </c>
      <c r="I424" t="str">
        <f t="shared" si="180"/>
        <v>USD/CHF</v>
      </c>
      <c r="J424">
        <f t="shared" si="181"/>
        <v>0.92</v>
      </c>
      <c r="K424">
        <f t="shared" si="182"/>
        <v>0.96</v>
      </c>
      <c r="L424">
        <f t="shared" si="183"/>
        <v>0.94</v>
      </c>
      <c r="M424">
        <f t="shared" si="184"/>
        <v>1.9999999999999962E-2</v>
      </c>
      <c r="N424">
        <f t="shared" si="174"/>
        <v>3.9999999999999925E-2</v>
      </c>
      <c r="O424">
        <f t="shared" si="185"/>
        <v>0.95</v>
      </c>
      <c r="P424">
        <f t="shared" si="186"/>
        <v>0.50000000000000144</v>
      </c>
      <c r="Q424" t="str">
        <f t="shared" si="175"/>
        <v>3.16% | 1.05%</v>
      </c>
      <c r="R424" t="str">
        <f t="shared" si="187"/>
        <v>BEARISH</v>
      </c>
      <c r="S424">
        <f t="shared" si="176"/>
        <v>-1</v>
      </c>
    </row>
    <row r="425" spans="1:19" hidden="1" x14ac:dyDescent="0.25">
      <c r="A425" s="5" t="str">
        <f t="shared" si="173"/>
        <v>43906WTIC</v>
      </c>
      <c r="B425" s="6" t="s">
        <v>23</v>
      </c>
      <c r="C425" s="6">
        <v>24.93</v>
      </c>
      <c r="D425" s="6">
        <v>34.700000000000003</v>
      </c>
      <c r="E425" s="6">
        <v>31.73</v>
      </c>
      <c r="F425" t="str">
        <f t="shared" si="177"/>
        <v>MON</v>
      </c>
      <c r="G425" s="3">
        <f t="shared" si="178"/>
        <v>43906</v>
      </c>
      <c r="H425" s="2">
        <f t="shared" ca="1" si="179"/>
        <v>347</v>
      </c>
      <c r="I425" t="str">
        <f t="shared" si="180"/>
        <v>WTIC</v>
      </c>
      <c r="J425">
        <f t="shared" si="181"/>
        <v>24.93</v>
      </c>
      <c r="K425">
        <f t="shared" si="182"/>
        <v>34.700000000000003</v>
      </c>
      <c r="L425">
        <f t="shared" si="183"/>
        <v>29.815000000000001</v>
      </c>
      <c r="M425">
        <f t="shared" si="184"/>
        <v>4.8849999999999945</v>
      </c>
      <c r="N425">
        <f t="shared" si="174"/>
        <v>9.7700000000000031</v>
      </c>
      <c r="O425">
        <f t="shared" si="185"/>
        <v>31.73</v>
      </c>
      <c r="P425">
        <f t="shared" si="186"/>
        <v>0.39201637666325512</v>
      </c>
      <c r="Q425" t="str">
        <f t="shared" si="175"/>
        <v>21.43% | 9.36%</v>
      </c>
      <c r="R425" t="str">
        <f t="shared" si="187"/>
        <v>BEARISH</v>
      </c>
      <c r="S425">
        <f t="shared" si="176"/>
        <v>-1</v>
      </c>
    </row>
    <row r="426" spans="1:19" hidden="1" x14ac:dyDescent="0.25">
      <c r="A426" s="5" t="str">
        <f t="shared" si="173"/>
        <v>43906NATGAS</v>
      </c>
      <c r="B426" s="6" t="s">
        <v>24</v>
      </c>
      <c r="C426" s="6">
        <v>1.6</v>
      </c>
      <c r="D426" s="6">
        <v>1.99</v>
      </c>
      <c r="E426" s="6">
        <v>1.87</v>
      </c>
      <c r="F426" t="str">
        <f t="shared" si="177"/>
        <v>MON</v>
      </c>
      <c r="G426" s="3">
        <f t="shared" si="178"/>
        <v>43906</v>
      </c>
      <c r="H426" s="2">
        <f t="shared" ca="1" si="179"/>
        <v>347</v>
      </c>
      <c r="I426" t="str">
        <f t="shared" si="180"/>
        <v>NATGAS</v>
      </c>
      <c r="J426">
        <f t="shared" si="181"/>
        <v>1.6</v>
      </c>
      <c r="K426">
        <f t="shared" si="182"/>
        <v>1.99</v>
      </c>
      <c r="L426">
        <f t="shared" si="183"/>
        <v>1.7949999999999999</v>
      </c>
      <c r="M426">
        <f t="shared" si="184"/>
        <v>0.19500000000000164</v>
      </c>
      <c r="N426">
        <f t="shared" si="174"/>
        <v>0.3899999999999999</v>
      </c>
      <c r="O426">
        <f t="shared" si="185"/>
        <v>1.87</v>
      </c>
      <c r="P426">
        <f t="shared" si="186"/>
        <v>0.38461538461538231</v>
      </c>
      <c r="Q426" t="str">
        <f t="shared" si="175"/>
        <v>14.44% | 6.42%</v>
      </c>
      <c r="R426" t="str">
        <f t="shared" si="187"/>
        <v>BEARISH</v>
      </c>
      <c r="S426">
        <f t="shared" si="176"/>
        <v>-1</v>
      </c>
    </row>
    <row r="427" spans="1:19" hidden="1" x14ac:dyDescent="0.25">
      <c r="A427" s="5" t="str">
        <f t="shared" si="173"/>
        <v>43906GOLD</v>
      </c>
      <c r="B427" s="6" t="s">
        <v>85</v>
      </c>
      <c r="C427" s="6">
        <v>1506</v>
      </c>
      <c r="D427" s="6">
        <v>1611</v>
      </c>
      <c r="E427" s="6">
        <v>1516</v>
      </c>
      <c r="F427" t="str">
        <f t="shared" si="177"/>
        <v>MON</v>
      </c>
      <c r="G427" s="3">
        <f t="shared" si="178"/>
        <v>43906</v>
      </c>
      <c r="H427" s="2">
        <f t="shared" ca="1" si="179"/>
        <v>347</v>
      </c>
      <c r="I427" t="str">
        <f t="shared" si="180"/>
        <v>GOLD</v>
      </c>
      <c r="J427">
        <f t="shared" si="181"/>
        <v>1506</v>
      </c>
      <c r="K427">
        <f t="shared" si="182"/>
        <v>1611</v>
      </c>
      <c r="L427">
        <f t="shared" si="183"/>
        <v>1558.5</v>
      </c>
      <c r="M427">
        <f t="shared" si="184"/>
        <v>52.5</v>
      </c>
      <c r="N427">
        <f t="shared" si="174"/>
        <v>105</v>
      </c>
      <c r="O427">
        <f t="shared" si="185"/>
        <v>1516</v>
      </c>
      <c r="P427">
        <f t="shared" si="186"/>
        <v>-0.80952380952380953</v>
      </c>
      <c r="Q427" t="str">
        <f t="shared" si="175"/>
        <v>0.66% | 6.27%</v>
      </c>
      <c r="R427" t="str">
        <f t="shared" si="187"/>
        <v>BEARISH</v>
      </c>
      <c r="S427">
        <f t="shared" si="176"/>
        <v>-1</v>
      </c>
    </row>
    <row r="428" spans="1:19" hidden="1" x14ac:dyDescent="0.25">
      <c r="A428" s="5" t="str">
        <f t="shared" si="173"/>
        <v>43906COPPER</v>
      </c>
      <c r="B428" s="6" t="s">
        <v>26</v>
      </c>
      <c r="C428" s="6">
        <v>2.36</v>
      </c>
      <c r="D428" s="6">
        <v>2.5</v>
      </c>
      <c r="E428" s="6">
        <v>2.46</v>
      </c>
      <c r="F428" t="str">
        <f t="shared" si="177"/>
        <v>MON</v>
      </c>
      <c r="G428" s="3">
        <f t="shared" si="178"/>
        <v>43906</v>
      </c>
      <c r="H428" s="2">
        <f t="shared" ca="1" si="179"/>
        <v>347</v>
      </c>
      <c r="I428" t="str">
        <f t="shared" si="180"/>
        <v>COPPER</v>
      </c>
      <c r="J428">
        <f t="shared" si="181"/>
        <v>2.36</v>
      </c>
      <c r="K428">
        <f t="shared" si="182"/>
        <v>2.5</v>
      </c>
      <c r="L428">
        <f t="shared" si="183"/>
        <v>2.4299999999999997</v>
      </c>
      <c r="M428">
        <f t="shared" si="184"/>
        <v>7.0000000000000062E-2</v>
      </c>
      <c r="N428">
        <f t="shared" si="174"/>
        <v>0.14000000000000012</v>
      </c>
      <c r="O428">
        <f t="shared" si="185"/>
        <v>2.46</v>
      </c>
      <c r="P428">
        <f t="shared" si="186"/>
        <v>0.42857142857143177</v>
      </c>
      <c r="Q428" t="str">
        <f t="shared" si="175"/>
        <v>4.07% | 1.63%</v>
      </c>
      <c r="R428" t="str">
        <f t="shared" si="187"/>
        <v>BEARISH</v>
      </c>
      <c r="S428">
        <f t="shared" si="176"/>
        <v>-1</v>
      </c>
    </row>
    <row r="429" spans="1:19" hidden="1" x14ac:dyDescent="0.25">
      <c r="A429" s="5" t="str">
        <f t="shared" si="173"/>
        <v>43906AAPL</v>
      </c>
      <c r="B429" s="6" t="s">
        <v>68</v>
      </c>
      <c r="C429" s="6">
        <v>239.03</v>
      </c>
      <c r="D429" s="6">
        <v>287.10000000000002</v>
      </c>
      <c r="E429" s="6">
        <v>277.97000000000003</v>
      </c>
      <c r="F429" t="str">
        <f t="shared" si="177"/>
        <v>MON</v>
      </c>
      <c r="G429" s="3">
        <f t="shared" si="178"/>
        <v>43906</v>
      </c>
      <c r="H429" s="2">
        <f t="shared" ca="1" si="179"/>
        <v>347</v>
      </c>
      <c r="I429" t="str">
        <f t="shared" si="180"/>
        <v>AAPL</v>
      </c>
      <c r="J429">
        <f t="shared" si="181"/>
        <v>239.03</v>
      </c>
      <c r="K429">
        <f t="shared" si="182"/>
        <v>287.10000000000002</v>
      </c>
      <c r="L429">
        <f t="shared" si="183"/>
        <v>263.065</v>
      </c>
      <c r="M429">
        <f t="shared" si="184"/>
        <v>24.035000000000011</v>
      </c>
      <c r="N429">
        <f t="shared" si="174"/>
        <v>48.070000000000022</v>
      </c>
      <c r="O429">
        <f t="shared" si="185"/>
        <v>277.97000000000003</v>
      </c>
      <c r="P429">
        <f t="shared" si="186"/>
        <v>0.62013729977116805</v>
      </c>
      <c r="Q429" t="str">
        <f t="shared" si="175"/>
        <v>14.01% | 3.28%</v>
      </c>
      <c r="R429" t="str">
        <f t="shared" si="187"/>
        <v>BEARISH</v>
      </c>
      <c r="S429">
        <f t="shared" si="176"/>
        <v>-1</v>
      </c>
    </row>
    <row r="430" spans="1:19" hidden="1" x14ac:dyDescent="0.25">
      <c r="A430" s="5" t="str">
        <f t="shared" si="173"/>
        <v>43906AMZN</v>
      </c>
      <c r="B430" s="6" t="s">
        <v>73</v>
      </c>
      <c r="C430" s="6">
        <v>1651</v>
      </c>
      <c r="D430" s="6">
        <v>1853</v>
      </c>
      <c r="E430" s="6">
        <v>1785</v>
      </c>
      <c r="F430" t="str">
        <f t="shared" si="177"/>
        <v>MON</v>
      </c>
      <c r="G430" s="3">
        <f t="shared" si="178"/>
        <v>43906</v>
      </c>
      <c r="H430" s="2">
        <f t="shared" ca="1" si="179"/>
        <v>347</v>
      </c>
      <c r="I430" t="str">
        <f t="shared" si="180"/>
        <v>AMZN</v>
      </c>
      <c r="J430">
        <f t="shared" si="181"/>
        <v>1651</v>
      </c>
      <c r="K430">
        <f t="shared" si="182"/>
        <v>1853</v>
      </c>
      <c r="L430">
        <f t="shared" si="183"/>
        <v>1752</v>
      </c>
      <c r="M430">
        <f t="shared" si="184"/>
        <v>101</v>
      </c>
      <c r="N430">
        <f t="shared" si="174"/>
        <v>202</v>
      </c>
      <c r="O430">
        <f t="shared" si="185"/>
        <v>1785</v>
      </c>
      <c r="P430">
        <f t="shared" si="186"/>
        <v>0.32673267326732675</v>
      </c>
      <c r="Q430" t="str">
        <f t="shared" si="175"/>
        <v>7.51% | 3.81%</v>
      </c>
      <c r="R430" t="str">
        <f t="shared" si="187"/>
        <v>BEARISH</v>
      </c>
      <c r="S430">
        <f t="shared" si="176"/>
        <v>-1</v>
      </c>
    </row>
    <row r="431" spans="1:19" hidden="1" x14ac:dyDescent="0.25">
      <c r="A431" s="5" t="str">
        <f t="shared" si="173"/>
        <v>43906FB</v>
      </c>
      <c r="B431" s="6" t="s">
        <v>58</v>
      </c>
      <c r="C431" s="6">
        <v>146</v>
      </c>
      <c r="D431" s="6">
        <v>176</v>
      </c>
      <c r="E431" s="6">
        <v>170</v>
      </c>
      <c r="F431" t="str">
        <f t="shared" si="177"/>
        <v>MON</v>
      </c>
      <c r="G431" s="3">
        <f t="shared" si="178"/>
        <v>43906</v>
      </c>
      <c r="H431" s="2">
        <f t="shared" ca="1" si="179"/>
        <v>347</v>
      </c>
      <c r="I431" t="str">
        <f t="shared" si="180"/>
        <v>FB</v>
      </c>
      <c r="J431">
        <f t="shared" si="181"/>
        <v>146</v>
      </c>
      <c r="K431">
        <f t="shared" si="182"/>
        <v>176</v>
      </c>
      <c r="L431">
        <f t="shared" si="183"/>
        <v>161</v>
      </c>
      <c r="M431">
        <f t="shared" si="184"/>
        <v>15</v>
      </c>
      <c r="N431">
        <f t="shared" si="174"/>
        <v>30</v>
      </c>
      <c r="O431">
        <f t="shared" si="185"/>
        <v>170</v>
      </c>
      <c r="P431">
        <f t="shared" si="186"/>
        <v>0.6</v>
      </c>
      <c r="Q431" t="str">
        <f t="shared" si="175"/>
        <v>14.12% | 3.53%</v>
      </c>
      <c r="R431" t="str">
        <f t="shared" si="187"/>
        <v>BEARISH</v>
      </c>
      <c r="S431">
        <f t="shared" si="176"/>
        <v>-1</v>
      </c>
    </row>
    <row r="432" spans="1:19" hidden="1" x14ac:dyDescent="0.25">
      <c r="A432" s="5" t="str">
        <f t="shared" si="173"/>
        <v>43906GOOGL</v>
      </c>
      <c r="B432" s="6" t="s">
        <v>66</v>
      </c>
      <c r="C432" s="6">
        <v>1074</v>
      </c>
      <c r="D432" s="6">
        <v>1251</v>
      </c>
      <c r="E432" s="6">
        <v>1214</v>
      </c>
      <c r="F432" t="str">
        <f t="shared" si="177"/>
        <v>MON</v>
      </c>
      <c r="G432" s="3">
        <f t="shared" si="178"/>
        <v>43906</v>
      </c>
      <c r="H432" s="2">
        <f t="shared" ca="1" si="179"/>
        <v>347</v>
      </c>
      <c r="I432" t="str">
        <f t="shared" si="180"/>
        <v>GOOGL</v>
      </c>
      <c r="J432">
        <f t="shared" si="181"/>
        <v>1074</v>
      </c>
      <c r="K432">
        <f t="shared" si="182"/>
        <v>1251</v>
      </c>
      <c r="L432">
        <f t="shared" si="183"/>
        <v>1162.5</v>
      </c>
      <c r="M432">
        <f t="shared" si="184"/>
        <v>88.5</v>
      </c>
      <c r="N432">
        <f t="shared" si="174"/>
        <v>177</v>
      </c>
      <c r="O432">
        <f t="shared" si="185"/>
        <v>1214</v>
      </c>
      <c r="P432">
        <f t="shared" si="186"/>
        <v>0.58192090395480223</v>
      </c>
      <c r="Q432" t="str">
        <f t="shared" si="175"/>
        <v>11.53% | 3.05%</v>
      </c>
      <c r="R432" t="str">
        <f t="shared" si="187"/>
        <v>BEARISH</v>
      </c>
      <c r="S432">
        <f t="shared" si="176"/>
        <v>-1</v>
      </c>
    </row>
    <row r="433" spans="1:19" hidden="1" x14ac:dyDescent="0.25">
      <c r="A433" s="5" t="str">
        <f t="shared" si="173"/>
        <v>43906NFLX</v>
      </c>
      <c r="B433" s="6" t="s">
        <v>81</v>
      </c>
      <c r="C433" s="6">
        <v>301</v>
      </c>
      <c r="D433" s="6">
        <v>344</v>
      </c>
      <c r="E433" s="6">
        <v>336</v>
      </c>
      <c r="F433" t="str">
        <f t="shared" si="177"/>
        <v>MON</v>
      </c>
      <c r="G433" s="3">
        <f t="shared" si="178"/>
        <v>43906</v>
      </c>
      <c r="H433" s="2">
        <f t="shared" ca="1" si="179"/>
        <v>347</v>
      </c>
      <c r="I433" t="str">
        <f t="shared" si="180"/>
        <v>NFLX</v>
      </c>
      <c r="J433">
        <f t="shared" si="181"/>
        <v>301</v>
      </c>
      <c r="K433">
        <f t="shared" si="182"/>
        <v>344</v>
      </c>
      <c r="L433">
        <f t="shared" si="183"/>
        <v>322.5</v>
      </c>
      <c r="M433">
        <f t="shared" si="184"/>
        <v>21.5</v>
      </c>
      <c r="N433">
        <f t="shared" si="174"/>
        <v>43</v>
      </c>
      <c r="O433">
        <f t="shared" si="185"/>
        <v>336</v>
      </c>
      <c r="P433">
        <f t="shared" si="186"/>
        <v>0.62790697674418605</v>
      </c>
      <c r="Q433" t="str">
        <f t="shared" si="175"/>
        <v>10.42% | 2.38%</v>
      </c>
      <c r="R433" t="str">
        <f t="shared" si="187"/>
        <v>BEARISH</v>
      </c>
      <c r="S433">
        <f t="shared" si="176"/>
        <v>-1</v>
      </c>
    </row>
    <row r="434" spans="1:19" x14ac:dyDescent="0.25">
      <c r="A434" s="5" t="str">
        <f t="shared" si="173"/>
        <v>43906TSLA</v>
      </c>
      <c r="B434" s="6" t="s">
        <v>83</v>
      </c>
      <c r="C434" s="6">
        <v>451</v>
      </c>
      <c r="D434" s="6">
        <v>656</v>
      </c>
      <c r="E434" s="6">
        <v>546</v>
      </c>
      <c r="F434" t="str">
        <f t="shared" si="177"/>
        <v>MON</v>
      </c>
      <c r="G434" s="3">
        <f t="shared" si="178"/>
        <v>43906</v>
      </c>
      <c r="H434" s="2">
        <f t="shared" ca="1" si="179"/>
        <v>347</v>
      </c>
      <c r="I434" t="str">
        <f t="shared" si="180"/>
        <v>TSLA</v>
      </c>
      <c r="J434">
        <f t="shared" si="181"/>
        <v>451</v>
      </c>
      <c r="K434">
        <f t="shared" si="182"/>
        <v>656</v>
      </c>
      <c r="L434">
        <f t="shared" si="183"/>
        <v>553.5</v>
      </c>
      <c r="M434">
        <f t="shared" si="184"/>
        <v>102.5</v>
      </c>
      <c r="N434">
        <f t="shared" si="174"/>
        <v>205</v>
      </c>
      <c r="O434">
        <f t="shared" si="185"/>
        <v>546</v>
      </c>
      <c r="P434">
        <f t="shared" si="186"/>
        <v>-7.3170731707317069E-2</v>
      </c>
      <c r="Q434" t="str">
        <f t="shared" si="175"/>
        <v>17.4% | 20.15%</v>
      </c>
      <c r="R434" t="str">
        <f t="shared" si="187"/>
        <v>BEARISH</v>
      </c>
      <c r="S434">
        <f t="shared" si="176"/>
        <v>-1</v>
      </c>
    </row>
    <row r="435" spans="1:19" hidden="1" x14ac:dyDescent="0.25">
      <c r="A435" s="5" t="str">
        <f t="shared" si="173"/>
        <v>43906NYXBT</v>
      </c>
      <c r="B435" s="6" t="s">
        <v>84</v>
      </c>
      <c r="C435" s="6">
        <v>4702</v>
      </c>
      <c r="D435" s="6">
        <v>8329</v>
      </c>
      <c r="E435" s="6">
        <v>7817</v>
      </c>
      <c r="F435" t="str">
        <f t="shared" si="177"/>
        <v>MON</v>
      </c>
      <c r="G435" s="3">
        <f t="shared" si="178"/>
        <v>43906</v>
      </c>
      <c r="H435" s="2">
        <f t="shared" ca="1" si="179"/>
        <v>347</v>
      </c>
      <c r="I435" t="str">
        <f t="shared" si="180"/>
        <v>NYXBT</v>
      </c>
      <c r="J435">
        <f t="shared" si="181"/>
        <v>4702</v>
      </c>
      <c r="K435">
        <f t="shared" si="182"/>
        <v>8329</v>
      </c>
      <c r="L435">
        <f t="shared" si="183"/>
        <v>6515.5</v>
      </c>
      <c r="M435">
        <f t="shared" si="184"/>
        <v>1813.5</v>
      </c>
      <c r="N435">
        <f t="shared" si="174"/>
        <v>3627</v>
      </c>
      <c r="O435">
        <f t="shared" si="185"/>
        <v>7817</v>
      </c>
      <c r="P435">
        <f t="shared" si="186"/>
        <v>0.71767300799558864</v>
      </c>
      <c r="Q435" t="str">
        <f t="shared" si="175"/>
        <v>39.85% | 6.55%</v>
      </c>
      <c r="R435" t="str">
        <f t="shared" si="187"/>
        <v>BEARISH</v>
      </c>
      <c r="S435">
        <f t="shared" si="176"/>
        <v>-1</v>
      </c>
    </row>
    <row r="436" spans="1:19" hidden="1" x14ac:dyDescent="0.25">
      <c r="A436" s="5" t="str">
        <f t="shared" si="173"/>
        <v>43907UST10Y</v>
      </c>
      <c r="B436" s="6" t="s">
        <v>4</v>
      </c>
      <c r="C436" s="6">
        <v>1.1100000000000001</v>
      </c>
      <c r="D436" s="6">
        <v>0.56000000000000005</v>
      </c>
      <c r="E436" s="6">
        <v>0.73</v>
      </c>
      <c r="F436" t="str">
        <f t="shared" si="177"/>
        <v>TUE</v>
      </c>
      <c r="G436" s="1">
        <f>DATE(2020,3,17)</f>
        <v>43907</v>
      </c>
      <c r="H436" s="2">
        <f t="shared" ca="1" si="179"/>
        <v>346</v>
      </c>
      <c r="I436" t="str">
        <f t="shared" si="180"/>
        <v>UST10Y</v>
      </c>
      <c r="J436">
        <f t="shared" si="181"/>
        <v>1.1100000000000001</v>
      </c>
      <c r="K436">
        <f t="shared" si="182"/>
        <v>0.56000000000000005</v>
      </c>
      <c r="L436">
        <f t="shared" si="183"/>
        <v>0.83500000000000008</v>
      </c>
      <c r="M436">
        <f t="shared" si="184"/>
        <v>0.27500000000000008</v>
      </c>
      <c r="N436">
        <f t="shared" si="174"/>
        <v>0.55000000000000004</v>
      </c>
      <c r="O436">
        <f t="shared" si="185"/>
        <v>0.73</v>
      </c>
      <c r="P436">
        <f t="shared" si="186"/>
        <v>-0.38181818181818206</v>
      </c>
      <c r="Q436" t="str">
        <f t="shared" si="175"/>
        <v>52.05% | 23.29%</v>
      </c>
      <c r="R436" t="str">
        <f t="shared" si="187"/>
        <v>BEARISH</v>
      </c>
      <c r="S436">
        <f t="shared" si="176"/>
        <v>-1</v>
      </c>
    </row>
    <row r="437" spans="1:19" hidden="1" x14ac:dyDescent="0.25">
      <c r="A437" s="5" t="str">
        <f t="shared" si="173"/>
        <v>43907UST2Y</v>
      </c>
      <c r="B437" s="6" t="s">
        <v>5</v>
      </c>
      <c r="C437" s="6">
        <v>0.51</v>
      </c>
      <c r="D437" s="6">
        <v>0.28000000000000003</v>
      </c>
      <c r="E437" s="6">
        <v>0.36</v>
      </c>
      <c r="F437" t="str">
        <f t="shared" ref="F437:F465" si="188">UPPER(TEXT(G437,"ddd"))</f>
        <v>TUE</v>
      </c>
      <c r="G437" s="1">
        <f t="shared" ref="G437:G464" si="189">DATE(2020,3,17)</f>
        <v>43907</v>
      </c>
      <c r="H437" s="2">
        <f t="shared" ref="H437:H465" ca="1" si="190">TODAY()-G437</f>
        <v>346</v>
      </c>
      <c r="I437" t="str">
        <f t="shared" ref="I437:I465" si="191">TRIM(LEFT(B437,FIND(" ",B437,1)))</f>
        <v>UST2Y</v>
      </c>
      <c r="J437">
        <f t="shared" ref="J437:J465" si="192">C437</f>
        <v>0.51</v>
      </c>
      <c r="K437">
        <f t="shared" ref="K437:K465" si="193">D437</f>
        <v>0.28000000000000003</v>
      </c>
      <c r="L437">
        <f t="shared" ref="L437:L465" si="194">AVERAGE(J437:K437)</f>
        <v>0.39500000000000002</v>
      </c>
      <c r="M437">
        <f t="shared" ref="M437:M465" si="195">_xlfn.STDEV.P(J437:K437)</f>
        <v>0.11499999999999994</v>
      </c>
      <c r="N437">
        <f t="shared" si="174"/>
        <v>0.22999999999999998</v>
      </c>
      <c r="O437">
        <f t="shared" ref="O437:O465" si="196">E437</f>
        <v>0.36</v>
      </c>
      <c r="P437">
        <f t="shared" ref="P437:P465" si="197">(O437-L437)/M437</f>
        <v>-0.30434782608695699</v>
      </c>
      <c r="Q437" t="str">
        <f t="shared" si="175"/>
        <v>41.67% | 22.22%</v>
      </c>
      <c r="R437" t="str">
        <f t="shared" ref="R437:R465" si="198">MID(B437,FIND("(",B437,1)+1,FIND(")",B437,1)-FIND("(",B437,1)-1)</f>
        <v>BEARISH</v>
      </c>
      <c r="S437">
        <f t="shared" si="176"/>
        <v>-1</v>
      </c>
    </row>
    <row r="438" spans="1:19" hidden="1" x14ac:dyDescent="0.25">
      <c r="A438" s="5" t="str">
        <f t="shared" si="173"/>
        <v>43907SPX</v>
      </c>
      <c r="B438" s="6" t="s">
        <v>6</v>
      </c>
      <c r="C438" s="6">
        <v>2283</v>
      </c>
      <c r="D438" s="6">
        <v>2686</v>
      </c>
      <c r="E438" s="6">
        <v>2386</v>
      </c>
      <c r="F438" t="str">
        <f t="shared" si="188"/>
        <v>TUE</v>
      </c>
      <c r="G438" s="1">
        <f t="shared" si="189"/>
        <v>43907</v>
      </c>
      <c r="H438" s="2">
        <f t="shared" ca="1" si="190"/>
        <v>346</v>
      </c>
      <c r="I438" t="str">
        <f t="shared" si="191"/>
        <v>SPX</v>
      </c>
      <c r="J438">
        <f t="shared" si="192"/>
        <v>2283</v>
      </c>
      <c r="K438">
        <f t="shared" si="193"/>
        <v>2686</v>
      </c>
      <c r="L438">
        <f t="shared" si="194"/>
        <v>2484.5</v>
      </c>
      <c r="M438">
        <f t="shared" si="195"/>
        <v>201.5</v>
      </c>
      <c r="N438">
        <f t="shared" si="174"/>
        <v>403</v>
      </c>
      <c r="O438">
        <f t="shared" si="196"/>
        <v>2386</v>
      </c>
      <c r="P438">
        <f t="shared" si="197"/>
        <v>-0.48883374689826303</v>
      </c>
      <c r="Q438" t="str">
        <f t="shared" si="175"/>
        <v>4.32% | 12.57%</v>
      </c>
      <c r="R438" t="str">
        <f t="shared" si="198"/>
        <v>BEARISH</v>
      </c>
      <c r="S438">
        <f t="shared" si="176"/>
        <v>-1</v>
      </c>
    </row>
    <row r="439" spans="1:19" hidden="1" x14ac:dyDescent="0.25">
      <c r="A439" s="5" t="str">
        <f t="shared" si="173"/>
        <v>43907RUT</v>
      </c>
      <c r="B439" s="6" t="s">
        <v>7</v>
      </c>
      <c r="C439" s="6">
        <v>972</v>
      </c>
      <c r="D439" s="6">
        <v>1265</v>
      </c>
      <c r="E439" s="6">
        <v>1037</v>
      </c>
      <c r="F439" t="str">
        <f t="shared" si="188"/>
        <v>TUE</v>
      </c>
      <c r="G439" s="1">
        <f t="shared" si="189"/>
        <v>43907</v>
      </c>
      <c r="H439" s="2">
        <f t="shared" ca="1" si="190"/>
        <v>346</v>
      </c>
      <c r="I439" t="str">
        <f t="shared" si="191"/>
        <v>RUT</v>
      </c>
      <c r="J439">
        <f t="shared" si="192"/>
        <v>972</v>
      </c>
      <c r="K439">
        <f t="shared" si="193"/>
        <v>1265</v>
      </c>
      <c r="L439">
        <f t="shared" si="194"/>
        <v>1118.5</v>
      </c>
      <c r="M439">
        <f t="shared" si="195"/>
        <v>146.5</v>
      </c>
      <c r="N439">
        <f t="shared" si="174"/>
        <v>293</v>
      </c>
      <c r="O439">
        <f t="shared" si="196"/>
        <v>1037</v>
      </c>
      <c r="P439">
        <f t="shared" si="197"/>
        <v>-0.55631399317406138</v>
      </c>
      <c r="Q439" t="str">
        <f t="shared" si="175"/>
        <v>6.27% | 21.99%</v>
      </c>
      <c r="R439" t="str">
        <f t="shared" si="198"/>
        <v>BEARISH</v>
      </c>
      <c r="S439">
        <f t="shared" si="176"/>
        <v>-1</v>
      </c>
    </row>
    <row r="440" spans="1:19" hidden="1" x14ac:dyDescent="0.25">
      <c r="A440" s="5" t="str">
        <f t="shared" si="173"/>
        <v>43907COMPQ</v>
      </c>
      <c r="B440" s="6" t="s">
        <v>64</v>
      </c>
      <c r="C440" s="6">
        <v>6723</v>
      </c>
      <c r="D440" s="6">
        <v>7801</v>
      </c>
      <c r="E440" s="6">
        <v>6904</v>
      </c>
      <c r="F440" t="str">
        <f t="shared" si="188"/>
        <v>TUE</v>
      </c>
      <c r="G440" s="1">
        <f t="shared" si="189"/>
        <v>43907</v>
      </c>
      <c r="H440" s="2">
        <f t="shared" ca="1" si="190"/>
        <v>346</v>
      </c>
      <c r="I440" t="str">
        <f t="shared" si="191"/>
        <v>COMPQ</v>
      </c>
      <c r="J440">
        <f t="shared" si="192"/>
        <v>6723</v>
      </c>
      <c r="K440">
        <f t="shared" si="193"/>
        <v>7801</v>
      </c>
      <c r="L440">
        <f t="shared" si="194"/>
        <v>7262</v>
      </c>
      <c r="M440">
        <f t="shared" si="195"/>
        <v>539</v>
      </c>
      <c r="N440">
        <f t="shared" si="174"/>
        <v>1078</v>
      </c>
      <c r="O440">
        <f t="shared" si="196"/>
        <v>6904</v>
      </c>
      <c r="P440">
        <f t="shared" si="197"/>
        <v>-0.66419294990723565</v>
      </c>
      <c r="Q440" t="str">
        <f t="shared" si="175"/>
        <v>2.62% | 12.99%</v>
      </c>
      <c r="R440" t="str">
        <f t="shared" si="198"/>
        <v>BEARISH</v>
      </c>
      <c r="S440">
        <f t="shared" si="176"/>
        <v>-1</v>
      </c>
    </row>
    <row r="441" spans="1:19" hidden="1" x14ac:dyDescent="0.25">
      <c r="A441" s="5" t="str">
        <f t="shared" si="173"/>
        <v>43907XLU</v>
      </c>
      <c r="B441" s="6" t="s">
        <v>82</v>
      </c>
      <c r="C441" s="6">
        <v>49.14</v>
      </c>
      <c r="D441" s="6">
        <v>59.9</v>
      </c>
      <c r="E441" s="6">
        <v>51.12</v>
      </c>
      <c r="F441" t="str">
        <f t="shared" si="188"/>
        <v>TUE</v>
      </c>
      <c r="G441" s="1">
        <f t="shared" si="189"/>
        <v>43907</v>
      </c>
      <c r="H441" s="2">
        <f t="shared" ca="1" si="190"/>
        <v>346</v>
      </c>
      <c r="I441" t="str">
        <f t="shared" si="191"/>
        <v>XLU</v>
      </c>
      <c r="J441">
        <f t="shared" si="192"/>
        <v>49.14</v>
      </c>
      <c r="K441">
        <f t="shared" si="193"/>
        <v>59.9</v>
      </c>
      <c r="L441">
        <f t="shared" si="194"/>
        <v>54.519999999999996</v>
      </c>
      <c r="M441">
        <f t="shared" si="195"/>
        <v>5.379999999999999</v>
      </c>
      <c r="N441">
        <f t="shared" si="174"/>
        <v>10.759999999999998</v>
      </c>
      <c r="O441">
        <f t="shared" si="196"/>
        <v>51.12</v>
      </c>
      <c r="P441">
        <f t="shared" si="197"/>
        <v>-0.63197026022304814</v>
      </c>
      <c r="Q441" t="str">
        <f t="shared" si="175"/>
        <v>3.87% | 17.18%</v>
      </c>
      <c r="R441" t="str">
        <f t="shared" si="198"/>
        <v>BEARISH</v>
      </c>
      <c r="S441">
        <f t="shared" si="176"/>
        <v>-1</v>
      </c>
    </row>
    <row r="442" spans="1:19" hidden="1" x14ac:dyDescent="0.25">
      <c r="A442" s="5" t="str">
        <f t="shared" si="173"/>
        <v>43907VNQ</v>
      </c>
      <c r="B442" s="6" t="s">
        <v>67</v>
      </c>
      <c r="C442" s="6">
        <v>63.43</v>
      </c>
      <c r="D442" s="6">
        <v>79.81</v>
      </c>
      <c r="E442" s="6">
        <v>65.39</v>
      </c>
      <c r="F442" t="str">
        <f t="shared" si="188"/>
        <v>TUE</v>
      </c>
      <c r="G442" s="1">
        <f t="shared" si="189"/>
        <v>43907</v>
      </c>
      <c r="H442" s="2">
        <f t="shared" ca="1" si="190"/>
        <v>346</v>
      </c>
      <c r="I442" t="str">
        <f t="shared" si="191"/>
        <v>VNQ</v>
      </c>
      <c r="J442">
        <f t="shared" si="192"/>
        <v>63.43</v>
      </c>
      <c r="K442">
        <f t="shared" si="193"/>
        <v>79.81</v>
      </c>
      <c r="L442">
        <f t="shared" si="194"/>
        <v>71.62</v>
      </c>
      <c r="M442">
        <f t="shared" si="195"/>
        <v>8.1899999999999586</v>
      </c>
      <c r="N442">
        <f t="shared" si="174"/>
        <v>16.380000000000003</v>
      </c>
      <c r="O442">
        <f t="shared" si="196"/>
        <v>65.39</v>
      </c>
      <c r="P442">
        <f t="shared" si="197"/>
        <v>-0.76068376068376498</v>
      </c>
      <c r="Q442" t="str">
        <f t="shared" si="175"/>
        <v>3% | 22.05%</v>
      </c>
      <c r="R442" t="str">
        <f t="shared" si="198"/>
        <v>BEARISH</v>
      </c>
      <c r="S442">
        <f t="shared" si="176"/>
        <v>-1</v>
      </c>
    </row>
    <row r="443" spans="1:19" hidden="1" x14ac:dyDescent="0.25">
      <c r="A443" s="5" t="str">
        <f t="shared" si="173"/>
        <v>43907XLP</v>
      </c>
      <c r="B443" s="6" t="s">
        <v>11</v>
      </c>
      <c r="C443" s="6">
        <v>49.5</v>
      </c>
      <c r="D443" s="6">
        <v>58.07</v>
      </c>
      <c r="E443" s="6">
        <v>52.77</v>
      </c>
      <c r="F443" t="str">
        <f t="shared" si="188"/>
        <v>TUE</v>
      </c>
      <c r="G443" s="1">
        <f t="shared" si="189"/>
        <v>43907</v>
      </c>
      <c r="H443" s="2">
        <f t="shared" ca="1" si="190"/>
        <v>346</v>
      </c>
      <c r="I443" t="str">
        <f t="shared" si="191"/>
        <v>XLP</v>
      </c>
      <c r="J443">
        <f t="shared" si="192"/>
        <v>49.5</v>
      </c>
      <c r="K443">
        <f t="shared" si="193"/>
        <v>58.07</v>
      </c>
      <c r="L443">
        <f t="shared" si="194"/>
        <v>53.784999999999997</v>
      </c>
      <c r="M443">
        <f t="shared" si="195"/>
        <v>4.2850000000000001</v>
      </c>
      <c r="N443">
        <f t="shared" si="174"/>
        <v>8.57</v>
      </c>
      <c r="O443">
        <f t="shared" si="196"/>
        <v>52.77</v>
      </c>
      <c r="P443">
        <f t="shared" si="197"/>
        <v>-0.23687281213535435</v>
      </c>
      <c r="Q443" t="str">
        <f t="shared" si="175"/>
        <v>6.2% | 10.04%</v>
      </c>
      <c r="R443" t="str">
        <f t="shared" si="198"/>
        <v>BEARISH</v>
      </c>
      <c r="S443">
        <f t="shared" si="176"/>
        <v>-1</v>
      </c>
    </row>
    <row r="444" spans="1:19" hidden="1" x14ac:dyDescent="0.25">
      <c r="A444" s="5" t="str">
        <f t="shared" si="173"/>
        <v>43907XLK</v>
      </c>
      <c r="B444" s="6" t="s">
        <v>65</v>
      </c>
      <c r="C444" s="6">
        <v>70.02</v>
      </c>
      <c r="D444" s="6">
        <v>84.03</v>
      </c>
      <c r="E444" s="6">
        <v>72.56</v>
      </c>
      <c r="F444" t="str">
        <f t="shared" si="188"/>
        <v>TUE</v>
      </c>
      <c r="G444" s="1">
        <f t="shared" si="189"/>
        <v>43907</v>
      </c>
      <c r="H444" s="2">
        <f t="shared" ca="1" si="190"/>
        <v>346</v>
      </c>
      <c r="I444" t="str">
        <f t="shared" si="191"/>
        <v>XLK</v>
      </c>
      <c r="J444">
        <f t="shared" si="192"/>
        <v>70.02</v>
      </c>
      <c r="K444">
        <f t="shared" si="193"/>
        <v>84.03</v>
      </c>
      <c r="L444">
        <f t="shared" si="194"/>
        <v>77.025000000000006</v>
      </c>
      <c r="M444">
        <f t="shared" si="195"/>
        <v>7.0050000000000026</v>
      </c>
      <c r="N444">
        <f t="shared" si="174"/>
        <v>14.010000000000005</v>
      </c>
      <c r="O444">
        <f t="shared" si="196"/>
        <v>72.56</v>
      </c>
      <c r="P444">
        <f t="shared" si="197"/>
        <v>-0.6374018558172736</v>
      </c>
      <c r="Q444" t="str">
        <f t="shared" si="175"/>
        <v>3.5% | 15.81%</v>
      </c>
      <c r="R444" t="str">
        <f t="shared" si="198"/>
        <v>BEARISH</v>
      </c>
      <c r="S444">
        <f t="shared" si="176"/>
        <v>-1</v>
      </c>
    </row>
    <row r="445" spans="1:19" hidden="1" x14ac:dyDescent="0.25">
      <c r="A445" s="5" t="str">
        <f t="shared" si="173"/>
        <v>43907SSEC</v>
      </c>
      <c r="B445" s="6" t="s">
        <v>14</v>
      </c>
      <c r="C445" s="6">
        <v>2740</v>
      </c>
      <c r="D445" s="6">
        <v>2959</v>
      </c>
      <c r="E445" s="6">
        <v>2779</v>
      </c>
      <c r="F445" t="str">
        <f t="shared" si="188"/>
        <v>TUE</v>
      </c>
      <c r="G445" s="1">
        <f t="shared" si="189"/>
        <v>43907</v>
      </c>
      <c r="H445" s="2">
        <f t="shared" ca="1" si="190"/>
        <v>346</v>
      </c>
      <c r="I445" t="str">
        <f t="shared" si="191"/>
        <v>SSEC</v>
      </c>
      <c r="J445">
        <f t="shared" si="192"/>
        <v>2740</v>
      </c>
      <c r="K445">
        <f t="shared" si="193"/>
        <v>2959</v>
      </c>
      <c r="L445">
        <f t="shared" si="194"/>
        <v>2849.5</v>
      </c>
      <c r="M445">
        <f t="shared" si="195"/>
        <v>109.5</v>
      </c>
      <c r="N445">
        <f t="shared" si="174"/>
        <v>219</v>
      </c>
      <c r="O445">
        <f t="shared" si="196"/>
        <v>2779</v>
      </c>
      <c r="P445">
        <f t="shared" si="197"/>
        <v>-0.64383561643835618</v>
      </c>
      <c r="Q445" t="str">
        <f t="shared" si="175"/>
        <v>1.4% | 6.48%</v>
      </c>
      <c r="R445" t="str">
        <f t="shared" si="198"/>
        <v>BEARISH</v>
      </c>
      <c r="S445">
        <f t="shared" si="176"/>
        <v>-1</v>
      </c>
    </row>
    <row r="446" spans="1:19" hidden="1" x14ac:dyDescent="0.25">
      <c r="A446" s="5" t="str">
        <f t="shared" si="173"/>
        <v>43907NIKK</v>
      </c>
      <c r="B446" s="6" t="s">
        <v>15</v>
      </c>
      <c r="C446" s="6">
        <v>16542</v>
      </c>
      <c r="D446" s="6">
        <v>19361</v>
      </c>
      <c r="E446" s="6">
        <v>17011</v>
      </c>
      <c r="F446" t="str">
        <f t="shared" si="188"/>
        <v>TUE</v>
      </c>
      <c r="G446" s="1">
        <f t="shared" si="189"/>
        <v>43907</v>
      </c>
      <c r="H446" s="2">
        <f t="shared" ca="1" si="190"/>
        <v>346</v>
      </c>
      <c r="I446" t="str">
        <f t="shared" si="191"/>
        <v>NIKK</v>
      </c>
      <c r="J446">
        <f t="shared" si="192"/>
        <v>16542</v>
      </c>
      <c r="K446">
        <f t="shared" si="193"/>
        <v>19361</v>
      </c>
      <c r="L446">
        <f t="shared" si="194"/>
        <v>17951.5</v>
      </c>
      <c r="M446">
        <f t="shared" si="195"/>
        <v>1409.5</v>
      </c>
      <c r="N446">
        <f t="shared" si="174"/>
        <v>2819</v>
      </c>
      <c r="O446">
        <f t="shared" si="196"/>
        <v>17011</v>
      </c>
      <c r="P446">
        <f t="shared" si="197"/>
        <v>-0.66725789286981196</v>
      </c>
      <c r="Q446" t="str">
        <f t="shared" si="175"/>
        <v>2.76% | 13.81%</v>
      </c>
      <c r="R446" t="str">
        <f t="shared" si="198"/>
        <v>BEARISH</v>
      </c>
      <c r="S446">
        <f t="shared" si="176"/>
        <v>-1</v>
      </c>
    </row>
    <row r="447" spans="1:19" hidden="1" x14ac:dyDescent="0.25">
      <c r="A447" s="5" t="str">
        <f t="shared" si="173"/>
        <v>43907DAX</v>
      </c>
      <c r="B447" s="6" t="s">
        <v>16</v>
      </c>
      <c r="C447" s="6">
        <v>8130</v>
      </c>
      <c r="D447" s="6">
        <v>10007</v>
      </c>
      <c r="E447" s="6">
        <v>8746</v>
      </c>
      <c r="F447" t="str">
        <f t="shared" si="188"/>
        <v>TUE</v>
      </c>
      <c r="G447" s="1">
        <f t="shared" si="189"/>
        <v>43907</v>
      </c>
      <c r="H447" s="2">
        <f t="shared" ca="1" si="190"/>
        <v>346</v>
      </c>
      <c r="I447" t="str">
        <f t="shared" si="191"/>
        <v>DAX</v>
      </c>
      <c r="J447">
        <f t="shared" si="192"/>
        <v>8130</v>
      </c>
      <c r="K447">
        <f t="shared" si="193"/>
        <v>10007</v>
      </c>
      <c r="L447">
        <f t="shared" si="194"/>
        <v>9068.5</v>
      </c>
      <c r="M447">
        <f t="shared" si="195"/>
        <v>938.5</v>
      </c>
      <c r="N447">
        <f t="shared" si="174"/>
        <v>1877</v>
      </c>
      <c r="O447">
        <f t="shared" si="196"/>
        <v>8746</v>
      </c>
      <c r="P447">
        <f t="shared" si="197"/>
        <v>-0.3436334576451785</v>
      </c>
      <c r="Q447" t="str">
        <f t="shared" si="175"/>
        <v>7.04% | 14.42%</v>
      </c>
      <c r="R447" t="str">
        <f t="shared" si="198"/>
        <v>BEARISH</v>
      </c>
      <c r="S447">
        <f t="shared" si="176"/>
        <v>-1</v>
      </c>
    </row>
    <row r="448" spans="1:19" hidden="1" x14ac:dyDescent="0.25">
      <c r="A448" s="5" t="str">
        <f t="shared" si="173"/>
        <v>43907VIX</v>
      </c>
      <c r="B448" s="6" t="s">
        <v>17</v>
      </c>
      <c r="C448" s="6">
        <v>39.130000000000003</v>
      </c>
      <c r="D448" s="6">
        <v>86.04</v>
      </c>
      <c r="E448" s="6">
        <v>82.69</v>
      </c>
      <c r="F448" t="str">
        <f t="shared" si="188"/>
        <v>TUE</v>
      </c>
      <c r="G448" s="1">
        <f t="shared" si="189"/>
        <v>43907</v>
      </c>
      <c r="H448" s="2">
        <f t="shared" ca="1" si="190"/>
        <v>346</v>
      </c>
      <c r="I448" t="str">
        <f t="shared" si="191"/>
        <v>VIX</v>
      </c>
      <c r="J448">
        <f t="shared" si="192"/>
        <v>39.130000000000003</v>
      </c>
      <c r="K448">
        <f t="shared" si="193"/>
        <v>86.04</v>
      </c>
      <c r="L448">
        <f t="shared" si="194"/>
        <v>62.585000000000008</v>
      </c>
      <c r="M448">
        <f t="shared" si="195"/>
        <v>23.454999999999998</v>
      </c>
      <c r="N448">
        <f t="shared" si="174"/>
        <v>46.910000000000004</v>
      </c>
      <c r="O448">
        <f t="shared" si="196"/>
        <v>82.69</v>
      </c>
      <c r="P448">
        <f t="shared" si="197"/>
        <v>0.85717331059475554</v>
      </c>
      <c r="Q448" t="str">
        <f t="shared" si="175"/>
        <v>52.68% | 4.05%</v>
      </c>
      <c r="R448" t="str">
        <f t="shared" si="198"/>
        <v>BULLISH</v>
      </c>
      <c r="S448">
        <f t="shared" si="176"/>
        <v>1</v>
      </c>
    </row>
    <row r="449" spans="1:19" hidden="1" x14ac:dyDescent="0.25">
      <c r="A449" s="5" t="str">
        <f t="shared" si="173"/>
        <v>43907USD</v>
      </c>
      <c r="B449" s="6" t="s">
        <v>18</v>
      </c>
      <c r="C449" s="6">
        <v>95.25</v>
      </c>
      <c r="D449" s="6">
        <v>99.43</v>
      </c>
      <c r="E449" s="6">
        <v>98.15</v>
      </c>
      <c r="F449" t="str">
        <f t="shared" si="188"/>
        <v>TUE</v>
      </c>
      <c r="G449" s="1">
        <f t="shared" si="189"/>
        <v>43907</v>
      </c>
      <c r="H449" s="2">
        <f t="shared" ca="1" si="190"/>
        <v>346</v>
      </c>
      <c r="I449" t="str">
        <f t="shared" si="191"/>
        <v>USD</v>
      </c>
      <c r="J449">
        <f t="shared" si="192"/>
        <v>95.25</v>
      </c>
      <c r="K449">
        <f t="shared" si="193"/>
        <v>99.43</v>
      </c>
      <c r="L449">
        <f t="shared" si="194"/>
        <v>97.34</v>
      </c>
      <c r="M449">
        <f t="shared" si="195"/>
        <v>2.0900000000000034</v>
      </c>
      <c r="N449">
        <f t="shared" si="174"/>
        <v>4.1800000000000068</v>
      </c>
      <c r="O449">
        <f t="shared" si="196"/>
        <v>98.15</v>
      </c>
      <c r="P449">
        <f t="shared" si="197"/>
        <v>0.38755980861244066</v>
      </c>
      <c r="Q449" t="str">
        <f t="shared" si="175"/>
        <v>2.95% | 1.3%</v>
      </c>
      <c r="R449" t="str">
        <f t="shared" si="198"/>
        <v>BULLISH</v>
      </c>
      <c r="S449">
        <f t="shared" si="176"/>
        <v>1</v>
      </c>
    </row>
    <row r="450" spans="1:19" hidden="1" x14ac:dyDescent="0.25">
      <c r="A450" s="5" t="str">
        <f t="shared" si="173"/>
        <v>43907EUR/USD</v>
      </c>
      <c r="B450" s="6" t="s">
        <v>19</v>
      </c>
      <c r="C450" s="6">
        <v>1.1000000000000001</v>
      </c>
      <c r="D450" s="6">
        <v>1.1299999999999999</v>
      </c>
      <c r="E450" s="6">
        <v>1.1100000000000001</v>
      </c>
      <c r="F450" t="str">
        <f t="shared" si="188"/>
        <v>TUE</v>
      </c>
      <c r="G450" s="1">
        <f t="shared" si="189"/>
        <v>43907</v>
      </c>
      <c r="H450" s="2">
        <f t="shared" ca="1" si="190"/>
        <v>346</v>
      </c>
      <c r="I450" t="str">
        <f t="shared" si="191"/>
        <v>EUR/USD</v>
      </c>
      <c r="J450">
        <f t="shared" si="192"/>
        <v>1.1000000000000001</v>
      </c>
      <c r="K450">
        <f t="shared" si="193"/>
        <v>1.1299999999999999</v>
      </c>
      <c r="L450">
        <f t="shared" si="194"/>
        <v>1.115</v>
      </c>
      <c r="M450">
        <f t="shared" si="195"/>
        <v>1.4999999999999902E-2</v>
      </c>
      <c r="N450">
        <f t="shared" si="174"/>
        <v>2.9999999999999805E-2</v>
      </c>
      <c r="O450">
        <f t="shared" si="196"/>
        <v>1.1100000000000001</v>
      </c>
      <c r="P450">
        <f t="shared" si="197"/>
        <v>-0.33333333333332837</v>
      </c>
      <c r="Q450" t="str">
        <f t="shared" si="175"/>
        <v>0.9% | 1.8%</v>
      </c>
      <c r="R450" t="str">
        <f t="shared" si="198"/>
        <v>BEARISH</v>
      </c>
      <c r="S450">
        <f t="shared" si="176"/>
        <v>-1</v>
      </c>
    </row>
    <row r="451" spans="1:19" hidden="1" x14ac:dyDescent="0.25">
      <c r="A451" s="5" t="str">
        <f t="shared" ref="A451:A514" si="199">G451&amp;I451</f>
        <v>43907USD/JPY</v>
      </c>
      <c r="B451" s="6" t="s">
        <v>20</v>
      </c>
      <c r="C451" s="6">
        <v>102.38</v>
      </c>
      <c r="D451" s="6">
        <v>108.75</v>
      </c>
      <c r="E451" s="6">
        <v>105.93</v>
      </c>
      <c r="F451" t="str">
        <f t="shared" si="188"/>
        <v>TUE</v>
      </c>
      <c r="G451" s="1">
        <f t="shared" si="189"/>
        <v>43907</v>
      </c>
      <c r="H451" s="2">
        <f t="shared" ca="1" si="190"/>
        <v>346</v>
      </c>
      <c r="I451" t="str">
        <f t="shared" si="191"/>
        <v>USD/JPY</v>
      </c>
      <c r="J451">
        <f t="shared" si="192"/>
        <v>102.38</v>
      </c>
      <c r="K451">
        <f t="shared" si="193"/>
        <v>108.75</v>
      </c>
      <c r="L451">
        <f t="shared" si="194"/>
        <v>105.565</v>
      </c>
      <c r="M451">
        <f t="shared" si="195"/>
        <v>3.1850000000000023</v>
      </c>
      <c r="N451">
        <f t="shared" ref="N451:N514" si="200">ABS(K451-J451)</f>
        <v>6.3700000000000045</v>
      </c>
      <c r="O451">
        <f t="shared" si="196"/>
        <v>105.93</v>
      </c>
      <c r="P451">
        <f t="shared" si="197"/>
        <v>0.11459968602826023</v>
      </c>
      <c r="Q451" t="str">
        <f t="shared" ref="Q451:Q514" si="201">ROUND(ABS(100*(O451-J451)/O451),2)&amp;"% | "&amp;ROUND(ABS(100*(K451-O451)/O451),2)&amp;"%"</f>
        <v>3.35% | 2.66%</v>
      </c>
      <c r="R451" t="str">
        <f t="shared" si="198"/>
        <v>BEARISH</v>
      </c>
      <c r="S451">
        <f t="shared" ref="S451:S514" si="202">IF(R451="BEARISH",-1,IF(R451="NEUTRAL",0,IF(R451="BULLISH",1,99)))</f>
        <v>-1</v>
      </c>
    </row>
    <row r="452" spans="1:19" hidden="1" x14ac:dyDescent="0.25">
      <c r="A452" s="5" t="str">
        <f t="shared" si="199"/>
        <v>43907GBP/USD</v>
      </c>
      <c r="B452" s="6" t="s">
        <v>21</v>
      </c>
      <c r="C452" s="6">
        <v>1.21</v>
      </c>
      <c r="D452" s="6">
        <v>1.26</v>
      </c>
      <c r="E452" s="6">
        <v>1.22</v>
      </c>
      <c r="F452" t="str">
        <f t="shared" si="188"/>
        <v>TUE</v>
      </c>
      <c r="G452" s="1">
        <f t="shared" si="189"/>
        <v>43907</v>
      </c>
      <c r="H452" s="2">
        <f t="shared" ca="1" si="190"/>
        <v>346</v>
      </c>
      <c r="I452" t="str">
        <f t="shared" si="191"/>
        <v>GBP/USD</v>
      </c>
      <c r="J452">
        <f t="shared" si="192"/>
        <v>1.21</v>
      </c>
      <c r="K452">
        <f t="shared" si="193"/>
        <v>1.26</v>
      </c>
      <c r="L452">
        <f t="shared" si="194"/>
        <v>1.2349999999999999</v>
      </c>
      <c r="M452">
        <f t="shared" si="195"/>
        <v>2.5000000000000022E-2</v>
      </c>
      <c r="N452">
        <f t="shared" si="200"/>
        <v>5.0000000000000044E-2</v>
      </c>
      <c r="O452">
        <f t="shared" si="196"/>
        <v>1.22</v>
      </c>
      <c r="P452">
        <f t="shared" si="197"/>
        <v>-0.59999999999999554</v>
      </c>
      <c r="Q452" t="str">
        <f t="shared" si="201"/>
        <v>0.82% | 3.28%</v>
      </c>
      <c r="R452" t="str">
        <f t="shared" si="198"/>
        <v>BEARISH</v>
      </c>
      <c r="S452">
        <f t="shared" si="202"/>
        <v>-1</v>
      </c>
    </row>
    <row r="453" spans="1:19" hidden="1" x14ac:dyDescent="0.25">
      <c r="A453" s="5" t="str">
        <f t="shared" si="199"/>
        <v>43907USD/CHF</v>
      </c>
      <c r="B453" s="6" t="s">
        <v>76</v>
      </c>
      <c r="C453" s="6">
        <v>0.92</v>
      </c>
      <c r="D453" s="6">
        <v>0.96</v>
      </c>
      <c r="E453" s="6">
        <v>0.94</v>
      </c>
      <c r="F453" t="str">
        <f t="shared" si="188"/>
        <v>TUE</v>
      </c>
      <c r="G453" s="1">
        <f t="shared" si="189"/>
        <v>43907</v>
      </c>
      <c r="H453" s="2">
        <f t="shared" ca="1" si="190"/>
        <v>346</v>
      </c>
      <c r="I453" t="str">
        <f t="shared" si="191"/>
        <v>USD/CHF</v>
      </c>
      <c r="J453">
        <f t="shared" si="192"/>
        <v>0.92</v>
      </c>
      <c r="K453">
        <f t="shared" si="193"/>
        <v>0.96</v>
      </c>
      <c r="L453">
        <f t="shared" si="194"/>
        <v>0.94</v>
      </c>
      <c r="M453">
        <f t="shared" si="195"/>
        <v>1.9999999999999962E-2</v>
      </c>
      <c r="N453">
        <f t="shared" si="200"/>
        <v>3.9999999999999925E-2</v>
      </c>
      <c r="O453">
        <f t="shared" si="196"/>
        <v>0.94</v>
      </c>
      <c r="P453">
        <f t="shared" si="197"/>
        <v>0</v>
      </c>
      <c r="Q453" t="str">
        <f t="shared" si="201"/>
        <v>2.13% | 2.13%</v>
      </c>
      <c r="R453" t="str">
        <f t="shared" si="198"/>
        <v>BEARISH</v>
      </c>
      <c r="S453">
        <f t="shared" si="202"/>
        <v>-1</v>
      </c>
    </row>
    <row r="454" spans="1:19" hidden="1" x14ac:dyDescent="0.25">
      <c r="A454" s="5" t="str">
        <f t="shared" si="199"/>
        <v>43907WTIC</v>
      </c>
      <c r="B454" s="6" t="s">
        <v>23</v>
      </c>
      <c r="C454" s="6">
        <v>23.43</v>
      </c>
      <c r="D454" s="6">
        <v>34.04</v>
      </c>
      <c r="E454" s="6">
        <v>28.7</v>
      </c>
      <c r="F454" t="str">
        <f t="shared" si="188"/>
        <v>TUE</v>
      </c>
      <c r="G454" s="1">
        <f t="shared" si="189"/>
        <v>43907</v>
      </c>
      <c r="H454" s="2">
        <f t="shared" ca="1" si="190"/>
        <v>346</v>
      </c>
      <c r="I454" t="str">
        <f t="shared" si="191"/>
        <v>WTIC</v>
      </c>
      <c r="J454">
        <f t="shared" si="192"/>
        <v>23.43</v>
      </c>
      <c r="K454">
        <f t="shared" si="193"/>
        <v>34.04</v>
      </c>
      <c r="L454">
        <f t="shared" si="194"/>
        <v>28.734999999999999</v>
      </c>
      <c r="M454">
        <f t="shared" si="195"/>
        <v>5.3049999999999971</v>
      </c>
      <c r="N454">
        <f t="shared" si="200"/>
        <v>10.61</v>
      </c>
      <c r="O454">
        <f t="shared" si="196"/>
        <v>28.7</v>
      </c>
      <c r="P454">
        <f t="shared" si="197"/>
        <v>-6.5975494816211426E-3</v>
      </c>
      <c r="Q454" t="str">
        <f t="shared" si="201"/>
        <v>18.36% | 18.61%</v>
      </c>
      <c r="R454" t="str">
        <f t="shared" si="198"/>
        <v>BEARISH</v>
      </c>
      <c r="S454">
        <f t="shared" si="202"/>
        <v>-1</v>
      </c>
    </row>
    <row r="455" spans="1:19" hidden="1" x14ac:dyDescent="0.25">
      <c r="A455" s="5" t="str">
        <f t="shared" si="199"/>
        <v>43907NATGAS</v>
      </c>
      <c r="B455" s="6" t="s">
        <v>24</v>
      </c>
      <c r="C455" s="6">
        <v>1.61</v>
      </c>
      <c r="D455" s="6">
        <v>1.95</v>
      </c>
      <c r="E455" s="6">
        <v>1.82</v>
      </c>
      <c r="F455" t="str">
        <f t="shared" si="188"/>
        <v>TUE</v>
      </c>
      <c r="G455" s="1">
        <f t="shared" si="189"/>
        <v>43907</v>
      </c>
      <c r="H455" s="2">
        <f t="shared" ca="1" si="190"/>
        <v>346</v>
      </c>
      <c r="I455" t="str">
        <f t="shared" si="191"/>
        <v>NATGAS</v>
      </c>
      <c r="J455">
        <f t="shared" si="192"/>
        <v>1.61</v>
      </c>
      <c r="K455">
        <f t="shared" si="193"/>
        <v>1.95</v>
      </c>
      <c r="L455">
        <f t="shared" si="194"/>
        <v>1.78</v>
      </c>
      <c r="M455">
        <f t="shared" si="195"/>
        <v>0.16999999999999993</v>
      </c>
      <c r="N455">
        <f t="shared" si="200"/>
        <v>0.33999999999999986</v>
      </c>
      <c r="O455">
        <f t="shared" si="196"/>
        <v>1.82</v>
      </c>
      <c r="P455">
        <f t="shared" si="197"/>
        <v>0.23529411764705913</v>
      </c>
      <c r="Q455" t="str">
        <f t="shared" si="201"/>
        <v>11.54% | 7.14%</v>
      </c>
      <c r="R455" t="str">
        <f t="shared" si="198"/>
        <v>BEARISH</v>
      </c>
      <c r="S455">
        <f t="shared" si="202"/>
        <v>-1</v>
      </c>
    </row>
    <row r="456" spans="1:19" hidden="1" x14ac:dyDescent="0.25">
      <c r="A456" s="5" t="str">
        <f t="shared" si="199"/>
        <v>43907GOLD</v>
      </c>
      <c r="B456" s="6" t="s">
        <v>85</v>
      </c>
      <c r="C456" s="6">
        <v>1471</v>
      </c>
      <c r="D456" s="6">
        <v>1602</v>
      </c>
      <c r="E456" s="6">
        <v>1486</v>
      </c>
      <c r="F456" t="str">
        <f t="shared" si="188"/>
        <v>TUE</v>
      </c>
      <c r="G456" s="1">
        <f t="shared" si="189"/>
        <v>43907</v>
      </c>
      <c r="H456" s="2">
        <f t="shared" ca="1" si="190"/>
        <v>346</v>
      </c>
      <c r="I456" t="str">
        <f t="shared" si="191"/>
        <v>GOLD</v>
      </c>
      <c r="J456">
        <f t="shared" si="192"/>
        <v>1471</v>
      </c>
      <c r="K456">
        <f t="shared" si="193"/>
        <v>1602</v>
      </c>
      <c r="L456">
        <f t="shared" si="194"/>
        <v>1536.5</v>
      </c>
      <c r="M456">
        <f t="shared" si="195"/>
        <v>65.5</v>
      </c>
      <c r="N456">
        <f t="shared" si="200"/>
        <v>131</v>
      </c>
      <c r="O456">
        <f t="shared" si="196"/>
        <v>1486</v>
      </c>
      <c r="P456">
        <f t="shared" si="197"/>
        <v>-0.77099236641221369</v>
      </c>
      <c r="Q456" t="str">
        <f t="shared" si="201"/>
        <v>1.01% | 7.81%</v>
      </c>
      <c r="R456" t="str">
        <f t="shared" si="198"/>
        <v>BEARISH</v>
      </c>
      <c r="S456">
        <f t="shared" si="202"/>
        <v>-1</v>
      </c>
    </row>
    <row r="457" spans="1:19" hidden="1" x14ac:dyDescent="0.25">
      <c r="A457" s="5" t="str">
        <f t="shared" si="199"/>
        <v>43907COPPER</v>
      </c>
      <c r="B457" s="6" t="s">
        <v>26</v>
      </c>
      <c r="C457" s="6">
        <v>2.31</v>
      </c>
      <c r="D457" s="6">
        <v>2.48</v>
      </c>
      <c r="E457" s="6">
        <v>2.39</v>
      </c>
      <c r="F457" t="str">
        <f t="shared" si="188"/>
        <v>TUE</v>
      </c>
      <c r="G457" s="1">
        <f t="shared" si="189"/>
        <v>43907</v>
      </c>
      <c r="H457" s="2">
        <f t="shared" ca="1" si="190"/>
        <v>346</v>
      </c>
      <c r="I457" t="str">
        <f t="shared" si="191"/>
        <v>COPPER</v>
      </c>
      <c r="J457">
        <f t="shared" si="192"/>
        <v>2.31</v>
      </c>
      <c r="K457">
        <f t="shared" si="193"/>
        <v>2.48</v>
      </c>
      <c r="L457">
        <f t="shared" si="194"/>
        <v>2.395</v>
      </c>
      <c r="M457">
        <f t="shared" si="195"/>
        <v>8.4999999999999964E-2</v>
      </c>
      <c r="N457">
        <f t="shared" si="200"/>
        <v>0.16999999999999993</v>
      </c>
      <c r="O457">
        <f t="shared" si="196"/>
        <v>2.39</v>
      </c>
      <c r="P457">
        <f t="shared" si="197"/>
        <v>-5.8823529411763477E-2</v>
      </c>
      <c r="Q457" t="str">
        <f t="shared" si="201"/>
        <v>3.35% | 3.77%</v>
      </c>
      <c r="R457" t="str">
        <f t="shared" si="198"/>
        <v>BEARISH</v>
      </c>
      <c r="S457">
        <f t="shared" si="202"/>
        <v>-1</v>
      </c>
    </row>
    <row r="458" spans="1:19" hidden="1" x14ac:dyDescent="0.25">
      <c r="A458" s="5" t="str">
        <f t="shared" si="199"/>
        <v>43907AAPL</v>
      </c>
      <c r="B458" s="6" t="s">
        <v>68</v>
      </c>
      <c r="C458" s="6">
        <v>235.12</v>
      </c>
      <c r="D458" s="6">
        <v>274.33</v>
      </c>
      <c r="E458" s="6">
        <v>242.21</v>
      </c>
      <c r="F458" t="str">
        <f t="shared" si="188"/>
        <v>TUE</v>
      </c>
      <c r="G458" s="1">
        <f t="shared" si="189"/>
        <v>43907</v>
      </c>
      <c r="H458" s="2">
        <f t="shared" ca="1" si="190"/>
        <v>346</v>
      </c>
      <c r="I458" t="str">
        <f t="shared" si="191"/>
        <v>AAPL</v>
      </c>
      <c r="J458">
        <f t="shared" si="192"/>
        <v>235.12</v>
      </c>
      <c r="K458">
        <f t="shared" si="193"/>
        <v>274.33</v>
      </c>
      <c r="L458">
        <f t="shared" si="194"/>
        <v>254.72499999999999</v>
      </c>
      <c r="M458">
        <f t="shared" si="195"/>
        <v>19.60499999999999</v>
      </c>
      <c r="N458">
        <f t="shared" si="200"/>
        <v>39.20999999999998</v>
      </c>
      <c r="O458">
        <f t="shared" si="196"/>
        <v>242.21</v>
      </c>
      <c r="P458">
        <f t="shared" si="197"/>
        <v>-0.63835756184646741</v>
      </c>
      <c r="Q458" t="str">
        <f t="shared" si="201"/>
        <v>2.93% | 13.26%</v>
      </c>
      <c r="R458" t="str">
        <f t="shared" si="198"/>
        <v>BEARISH</v>
      </c>
      <c r="S458">
        <f t="shared" si="202"/>
        <v>-1</v>
      </c>
    </row>
    <row r="459" spans="1:19" hidden="1" x14ac:dyDescent="0.25">
      <c r="A459" s="5" t="str">
        <f t="shared" si="199"/>
        <v>43907AMZN</v>
      </c>
      <c r="B459" s="6" t="s">
        <v>73</v>
      </c>
      <c r="C459" s="6">
        <v>1614</v>
      </c>
      <c r="D459" s="6">
        <v>1819</v>
      </c>
      <c r="E459" s="6">
        <v>1689</v>
      </c>
      <c r="F459" t="str">
        <f t="shared" si="188"/>
        <v>TUE</v>
      </c>
      <c r="G459" s="1">
        <f t="shared" si="189"/>
        <v>43907</v>
      </c>
      <c r="H459" s="2">
        <f t="shared" ca="1" si="190"/>
        <v>346</v>
      </c>
      <c r="I459" t="str">
        <f t="shared" si="191"/>
        <v>AMZN</v>
      </c>
      <c r="J459">
        <f t="shared" si="192"/>
        <v>1614</v>
      </c>
      <c r="K459">
        <f t="shared" si="193"/>
        <v>1819</v>
      </c>
      <c r="L459">
        <f t="shared" si="194"/>
        <v>1716.5</v>
      </c>
      <c r="M459">
        <f t="shared" si="195"/>
        <v>102.5</v>
      </c>
      <c r="N459">
        <f t="shared" si="200"/>
        <v>205</v>
      </c>
      <c r="O459">
        <f t="shared" si="196"/>
        <v>1689</v>
      </c>
      <c r="P459">
        <f t="shared" si="197"/>
        <v>-0.26829268292682928</v>
      </c>
      <c r="Q459" t="str">
        <f t="shared" si="201"/>
        <v>4.44% | 7.7%</v>
      </c>
      <c r="R459" t="str">
        <f t="shared" si="198"/>
        <v>BEARISH</v>
      </c>
      <c r="S459">
        <f t="shared" si="202"/>
        <v>-1</v>
      </c>
    </row>
    <row r="460" spans="1:19" hidden="1" x14ac:dyDescent="0.25">
      <c r="A460" s="5" t="str">
        <f t="shared" si="199"/>
        <v>43907FB</v>
      </c>
      <c r="B460" s="6" t="s">
        <v>58</v>
      </c>
      <c r="C460" s="6">
        <v>142</v>
      </c>
      <c r="D460" s="6">
        <v>171</v>
      </c>
      <c r="E460" s="6">
        <v>146</v>
      </c>
      <c r="F460" t="str">
        <f t="shared" si="188"/>
        <v>TUE</v>
      </c>
      <c r="G460" s="1">
        <f t="shared" si="189"/>
        <v>43907</v>
      </c>
      <c r="H460" s="2">
        <f t="shared" ca="1" si="190"/>
        <v>346</v>
      </c>
      <c r="I460" t="str">
        <f t="shared" si="191"/>
        <v>FB</v>
      </c>
      <c r="J460">
        <f t="shared" si="192"/>
        <v>142</v>
      </c>
      <c r="K460">
        <f t="shared" si="193"/>
        <v>171</v>
      </c>
      <c r="L460">
        <f t="shared" si="194"/>
        <v>156.5</v>
      </c>
      <c r="M460">
        <f t="shared" si="195"/>
        <v>14.5</v>
      </c>
      <c r="N460">
        <f t="shared" si="200"/>
        <v>29</v>
      </c>
      <c r="O460">
        <f t="shared" si="196"/>
        <v>146</v>
      </c>
      <c r="P460">
        <f t="shared" si="197"/>
        <v>-0.72413793103448276</v>
      </c>
      <c r="Q460" t="str">
        <f t="shared" si="201"/>
        <v>2.74% | 17.12%</v>
      </c>
      <c r="R460" t="str">
        <f t="shared" si="198"/>
        <v>BEARISH</v>
      </c>
      <c r="S460">
        <f t="shared" si="202"/>
        <v>-1</v>
      </c>
    </row>
    <row r="461" spans="1:19" hidden="1" x14ac:dyDescent="0.25">
      <c r="A461" s="5" t="str">
        <f t="shared" si="199"/>
        <v>43907GOOGL</v>
      </c>
      <c r="B461" s="6" t="s">
        <v>66</v>
      </c>
      <c r="C461" s="6">
        <v>1028</v>
      </c>
      <c r="D461" s="6">
        <v>1229</v>
      </c>
      <c r="E461" s="6">
        <v>1073</v>
      </c>
      <c r="F461" t="str">
        <f t="shared" si="188"/>
        <v>TUE</v>
      </c>
      <c r="G461" s="1">
        <f t="shared" si="189"/>
        <v>43907</v>
      </c>
      <c r="H461" s="2">
        <f t="shared" ca="1" si="190"/>
        <v>346</v>
      </c>
      <c r="I461" t="str">
        <f t="shared" si="191"/>
        <v>GOOGL</v>
      </c>
      <c r="J461">
        <f t="shared" si="192"/>
        <v>1028</v>
      </c>
      <c r="K461">
        <f t="shared" si="193"/>
        <v>1229</v>
      </c>
      <c r="L461">
        <f t="shared" si="194"/>
        <v>1128.5</v>
      </c>
      <c r="M461">
        <f t="shared" si="195"/>
        <v>100.5</v>
      </c>
      <c r="N461">
        <f t="shared" si="200"/>
        <v>201</v>
      </c>
      <c r="O461">
        <f t="shared" si="196"/>
        <v>1073</v>
      </c>
      <c r="P461">
        <f t="shared" si="197"/>
        <v>-0.55223880597014929</v>
      </c>
      <c r="Q461" t="str">
        <f t="shared" si="201"/>
        <v>4.19% | 14.54%</v>
      </c>
      <c r="R461" t="str">
        <f t="shared" si="198"/>
        <v>BEARISH</v>
      </c>
      <c r="S461">
        <f t="shared" si="202"/>
        <v>-1</v>
      </c>
    </row>
    <row r="462" spans="1:19" hidden="1" x14ac:dyDescent="0.25">
      <c r="A462" s="5" t="str">
        <f t="shared" si="199"/>
        <v>43907NFLX</v>
      </c>
      <c r="B462" s="6" t="s">
        <v>81</v>
      </c>
      <c r="C462" s="6">
        <v>280</v>
      </c>
      <c r="D462" s="6">
        <v>340</v>
      </c>
      <c r="E462" s="6">
        <v>298</v>
      </c>
      <c r="F462" t="str">
        <f t="shared" si="188"/>
        <v>TUE</v>
      </c>
      <c r="G462" s="1">
        <f t="shared" si="189"/>
        <v>43907</v>
      </c>
      <c r="H462" s="2">
        <f t="shared" ca="1" si="190"/>
        <v>346</v>
      </c>
      <c r="I462" t="str">
        <f t="shared" si="191"/>
        <v>NFLX</v>
      </c>
      <c r="J462">
        <f t="shared" si="192"/>
        <v>280</v>
      </c>
      <c r="K462">
        <f t="shared" si="193"/>
        <v>340</v>
      </c>
      <c r="L462">
        <f t="shared" si="194"/>
        <v>310</v>
      </c>
      <c r="M462">
        <f t="shared" si="195"/>
        <v>30</v>
      </c>
      <c r="N462">
        <f t="shared" si="200"/>
        <v>60</v>
      </c>
      <c r="O462">
        <f t="shared" si="196"/>
        <v>298</v>
      </c>
      <c r="P462">
        <f t="shared" si="197"/>
        <v>-0.4</v>
      </c>
      <c r="Q462" t="str">
        <f t="shared" si="201"/>
        <v>6.04% | 14.09%</v>
      </c>
      <c r="R462" t="str">
        <f t="shared" si="198"/>
        <v>BEARISH</v>
      </c>
      <c r="S462">
        <f t="shared" si="202"/>
        <v>-1</v>
      </c>
    </row>
    <row r="463" spans="1:19" x14ac:dyDescent="0.25">
      <c r="A463" s="5" t="str">
        <f t="shared" si="199"/>
        <v>43907TSLA</v>
      </c>
      <c r="B463" s="6" t="s">
        <v>83</v>
      </c>
      <c r="C463" s="6">
        <v>410</v>
      </c>
      <c r="D463" s="6">
        <v>585</v>
      </c>
      <c r="E463" s="6">
        <v>445</v>
      </c>
      <c r="F463" t="str">
        <f t="shared" si="188"/>
        <v>TUE</v>
      </c>
      <c r="G463" s="1">
        <f t="shared" si="189"/>
        <v>43907</v>
      </c>
      <c r="H463" s="2">
        <f t="shared" ca="1" si="190"/>
        <v>346</v>
      </c>
      <c r="I463" t="str">
        <f t="shared" si="191"/>
        <v>TSLA</v>
      </c>
      <c r="J463">
        <f t="shared" si="192"/>
        <v>410</v>
      </c>
      <c r="K463">
        <f t="shared" si="193"/>
        <v>585</v>
      </c>
      <c r="L463">
        <f t="shared" si="194"/>
        <v>497.5</v>
      </c>
      <c r="M463">
        <f t="shared" si="195"/>
        <v>87.5</v>
      </c>
      <c r="N463">
        <f t="shared" si="200"/>
        <v>175</v>
      </c>
      <c r="O463">
        <f t="shared" si="196"/>
        <v>445</v>
      </c>
      <c r="P463">
        <f t="shared" si="197"/>
        <v>-0.6</v>
      </c>
      <c r="Q463" t="str">
        <f t="shared" si="201"/>
        <v>7.87% | 31.46%</v>
      </c>
      <c r="R463" t="str">
        <f t="shared" si="198"/>
        <v>BEARISH</v>
      </c>
      <c r="S463">
        <f t="shared" si="202"/>
        <v>-1</v>
      </c>
    </row>
    <row r="464" spans="1:19" hidden="1" x14ac:dyDescent="0.25">
      <c r="A464" s="5" t="str">
        <f t="shared" si="199"/>
        <v>43907NYXBT</v>
      </c>
      <c r="B464" s="6" t="s">
        <v>84</v>
      </c>
      <c r="C464" s="6">
        <v>4002</v>
      </c>
      <c r="D464" s="6">
        <v>7251</v>
      </c>
      <c r="E464" s="6">
        <v>5118</v>
      </c>
      <c r="F464" t="str">
        <f t="shared" si="188"/>
        <v>TUE</v>
      </c>
      <c r="G464" s="1">
        <f t="shared" si="189"/>
        <v>43907</v>
      </c>
      <c r="H464" s="2">
        <f t="shared" ca="1" si="190"/>
        <v>346</v>
      </c>
      <c r="I464" t="str">
        <f t="shared" si="191"/>
        <v>NYXBT</v>
      </c>
      <c r="J464">
        <f t="shared" si="192"/>
        <v>4002</v>
      </c>
      <c r="K464">
        <f t="shared" si="193"/>
        <v>7251</v>
      </c>
      <c r="L464">
        <f t="shared" si="194"/>
        <v>5626.5</v>
      </c>
      <c r="M464">
        <f t="shared" si="195"/>
        <v>1624.5</v>
      </c>
      <c r="N464">
        <f t="shared" si="200"/>
        <v>3249</v>
      </c>
      <c r="O464">
        <f t="shared" si="196"/>
        <v>5118</v>
      </c>
      <c r="P464">
        <f t="shared" si="197"/>
        <v>-0.31301939058171746</v>
      </c>
      <c r="Q464" t="str">
        <f t="shared" si="201"/>
        <v>21.81% | 41.68%</v>
      </c>
      <c r="R464" t="str">
        <f t="shared" si="198"/>
        <v>BEARISH</v>
      </c>
      <c r="S464">
        <f t="shared" si="202"/>
        <v>-1</v>
      </c>
    </row>
    <row r="465" spans="1:19" hidden="1" x14ac:dyDescent="0.25">
      <c r="A465" s="5" t="str">
        <f t="shared" si="199"/>
        <v>43908UST10Y</v>
      </c>
      <c r="B465" s="6" t="s">
        <v>4</v>
      </c>
      <c r="C465" s="6">
        <v>1.21</v>
      </c>
      <c r="D465" s="6">
        <v>0.56999999999999995</v>
      </c>
      <c r="E465" s="6">
        <v>1.02</v>
      </c>
      <c r="F465" t="str">
        <f t="shared" si="188"/>
        <v>WED</v>
      </c>
      <c r="G465" s="3">
        <f>DATE(2020,3,18)</f>
        <v>43908</v>
      </c>
      <c r="H465" s="2">
        <f t="shared" ca="1" si="190"/>
        <v>345</v>
      </c>
      <c r="I465" t="str">
        <f t="shared" si="191"/>
        <v>UST10Y</v>
      </c>
      <c r="J465">
        <f t="shared" si="192"/>
        <v>1.21</v>
      </c>
      <c r="K465">
        <f t="shared" si="193"/>
        <v>0.56999999999999995</v>
      </c>
      <c r="L465">
        <f t="shared" si="194"/>
        <v>0.8899999999999999</v>
      </c>
      <c r="M465">
        <f t="shared" si="195"/>
        <v>0.32000000000000023</v>
      </c>
      <c r="N465">
        <f t="shared" si="200"/>
        <v>0.64</v>
      </c>
      <c r="O465">
        <f t="shared" si="196"/>
        <v>1.02</v>
      </c>
      <c r="P465">
        <f t="shared" si="197"/>
        <v>0.40625000000000006</v>
      </c>
      <c r="Q465" t="str">
        <f t="shared" si="201"/>
        <v>18.63% | 44.12%</v>
      </c>
      <c r="R465" t="str">
        <f t="shared" si="198"/>
        <v>BEARISH</v>
      </c>
      <c r="S465">
        <f t="shared" si="202"/>
        <v>-1</v>
      </c>
    </row>
    <row r="466" spans="1:19" hidden="1" x14ac:dyDescent="0.25">
      <c r="A466" s="5" t="str">
        <f t="shared" si="199"/>
        <v>43908UST2Y</v>
      </c>
      <c r="B466" s="6" t="s">
        <v>5</v>
      </c>
      <c r="C466" s="6">
        <v>0.62</v>
      </c>
      <c r="D466" s="6">
        <v>0.34</v>
      </c>
      <c r="E466" s="6">
        <v>0.47</v>
      </c>
      <c r="F466" t="str">
        <f t="shared" ref="F466:F494" si="203">UPPER(TEXT(G466,"ddd"))</f>
        <v>WED</v>
      </c>
      <c r="G466" s="3">
        <f t="shared" ref="G466:G493" si="204">DATE(2020,3,18)</f>
        <v>43908</v>
      </c>
      <c r="H466" s="2">
        <f t="shared" ref="H466:H494" ca="1" si="205">TODAY()-G466</f>
        <v>345</v>
      </c>
      <c r="I466" t="str">
        <f t="shared" ref="I466:I494" si="206">TRIM(LEFT(B466,FIND(" ",B466,1)))</f>
        <v>UST2Y</v>
      </c>
      <c r="J466">
        <f t="shared" ref="J466:J494" si="207">C466</f>
        <v>0.62</v>
      </c>
      <c r="K466">
        <f t="shared" ref="K466:K494" si="208">D466</f>
        <v>0.34</v>
      </c>
      <c r="L466">
        <f t="shared" ref="L466:L494" si="209">AVERAGE(J466:K466)</f>
        <v>0.48</v>
      </c>
      <c r="M466">
        <f t="shared" ref="M466:M494" si="210">_xlfn.STDEV.P(J466:K466)</f>
        <v>0.14000000000000001</v>
      </c>
      <c r="N466">
        <f t="shared" si="200"/>
        <v>0.27999999999999997</v>
      </c>
      <c r="O466">
        <f t="shared" ref="O466:O494" si="211">E466</f>
        <v>0.47</v>
      </c>
      <c r="P466">
        <f t="shared" ref="P466:P494" si="212">(O466-L466)/M466</f>
        <v>-7.142857142857148E-2</v>
      </c>
      <c r="Q466" t="str">
        <f t="shared" si="201"/>
        <v>31.91% | 27.66%</v>
      </c>
      <c r="R466" t="str">
        <f t="shared" ref="R466:R494" si="213">MID(B466,FIND("(",B466,1)+1,FIND(")",B466,1)-FIND("(",B466,1)-1)</f>
        <v>BEARISH</v>
      </c>
      <c r="S466">
        <f t="shared" si="202"/>
        <v>-1</v>
      </c>
    </row>
    <row r="467" spans="1:19" hidden="1" x14ac:dyDescent="0.25">
      <c r="A467" s="5" t="str">
        <f t="shared" si="199"/>
        <v>43908SPX</v>
      </c>
      <c r="B467" s="6" t="s">
        <v>6</v>
      </c>
      <c r="C467" s="6">
        <v>2276</v>
      </c>
      <c r="D467" s="6">
        <v>2592</v>
      </c>
      <c r="E467" s="6">
        <v>2529</v>
      </c>
      <c r="F467" t="str">
        <f t="shared" si="203"/>
        <v>WED</v>
      </c>
      <c r="G467" s="3">
        <f t="shared" si="204"/>
        <v>43908</v>
      </c>
      <c r="H467" s="2">
        <f t="shared" ca="1" si="205"/>
        <v>345</v>
      </c>
      <c r="I467" t="str">
        <f t="shared" si="206"/>
        <v>SPX</v>
      </c>
      <c r="J467">
        <f t="shared" si="207"/>
        <v>2276</v>
      </c>
      <c r="K467">
        <f t="shared" si="208"/>
        <v>2592</v>
      </c>
      <c r="L467">
        <f t="shared" si="209"/>
        <v>2434</v>
      </c>
      <c r="M467">
        <f t="shared" si="210"/>
        <v>158</v>
      </c>
      <c r="N467">
        <f t="shared" si="200"/>
        <v>316</v>
      </c>
      <c r="O467">
        <f t="shared" si="211"/>
        <v>2529</v>
      </c>
      <c r="P467">
        <f t="shared" si="212"/>
        <v>0.60126582278481011</v>
      </c>
      <c r="Q467" t="str">
        <f t="shared" si="201"/>
        <v>10% | 2.49%</v>
      </c>
      <c r="R467" t="str">
        <f t="shared" si="213"/>
        <v>BEARISH</v>
      </c>
      <c r="S467">
        <f t="shared" si="202"/>
        <v>-1</v>
      </c>
    </row>
    <row r="468" spans="1:19" hidden="1" x14ac:dyDescent="0.25">
      <c r="A468" s="5" t="str">
        <f t="shared" si="199"/>
        <v>43908RUT</v>
      </c>
      <c r="B468" s="6" t="s">
        <v>7</v>
      </c>
      <c r="C468" s="6">
        <v>962</v>
      </c>
      <c r="D468" s="6">
        <v>1205</v>
      </c>
      <c r="E468" s="6">
        <v>1106</v>
      </c>
      <c r="F468" t="str">
        <f t="shared" si="203"/>
        <v>WED</v>
      </c>
      <c r="G468" s="3">
        <f t="shared" si="204"/>
        <v>43908</v>
      </c>
      <c r="H468" s="2">
        <f t="shared" ca="1" si="205"/>
        <v>345</v>
      </c>
      <c r="I468" t="str">
        <f t="shared" si="206"/>
        <v>RUT</v>
      </c>
      <c r="J468">
        <f t="shared" si="207"/>
        <v>962</v>
      </c>
      <c r="K468">
        <f t="shared" si="208"/>
        <v>1205</v>
      </c>
      <c r="L468">
        <f t="shared" si="209"/>
        <v>1083.5</v>
      </c>
      <c r="M468">
        <f t="shared" si="210"/>
        <v>121.5</v>
      </c>
      <c r="N468">
        <f t="shared" si="200"/>
        <v>243</v>
      </c>
      <c r="O468">
        <f t="shared" si="211"/>
        <v>1106</v>
      </c>
      <c r="P468">
        <f t="shared" si="212"/>
        <v>0.18518518518518517</v>
      </c>
      <c r="Q468" t="str">
        <f t="shared" si="201"/>
        <v>13.02% | 8.95%</v>
      </c>
      <c r="R468" t="str">
        <f t="shared" si="213"/>
        <v>BEARISH</v>
      </c>
      <c r="S468">
        <f t="shared" si="202"/>
        <v>-1</v>
      </c>
    </row>
    <row r="469" spans="1:19" hidden="1" x14ac:dyDescent="0.25">
      <c r="A469" s="5" t="str">
        <f t="shared" si="199"/>
        <v>43908COMPQ</v>
      </c>
      <c r="B469" s="6" t="s">
        <v>64</v>
      </c>
      <c r="C469" s="6">
        <v>6651</v>
      </c>
      <c r="D469" s="6">
        <v>7775</v>
      </c>
      <c r="E469" s="6">
        <v>7334</v>
      </c>
      <c r="F469" t="str">
        <f t="shared" si="203"/>
        <v>WED</v>
      </c>
      <c r="G469" s="3">
        <f t="shared" si="204"/>
        <v>43908</v>
      </c>
      <c r="H469" s="2">
        <f t="shared" ca="1" si="205"/>
        <v>345</v>
      </c>
      <c r="I469" t="str">
        <f t="shared" si="206"/>
        <v>COMPQ</v>
      </c>
      <c r="J469">
        <f t="shared" si="207"/>
        <v>6651</v>
      </c>
      <c r="K469">
        <f t="shared" si="208"/>
        <v>7775</v>
      </c>
      <c r="L469">
        <f t="shared" si="209"/>
        <v>7213</v>
      </c>
      <c r="M469">
        <f t="shared" si="210"/>
        <v>562</v>
      </c>
      <c r="N469">
        <f t="shared" si="200"/>
        <v>1124</v>
      </c>
      <c r="O469">
        <f t="shared" si="211"/>
        <v>7334</v>
      </c>
      <c r="P469">
        <f t="shared" si="212"/>
        <v>0.21530249110320285</v>
      </c>
      <c r="Q469" t="str">
        <f t="shared" si="201"/>
        <v>9.31% | 6.01%</v>
      </c>
      <c r="R469" t="str">
        <f t="shared" si="213"/>
        <v>BEARISH</v>
      </c>
      <c r="S469">
        <f t="shared" si="202"/>
        <v>-1</v>
      </c>
    </row>
    <row r="470" spans="1:19" hidden="1" x14ac:dyDescent="0.25">
      <c r="A470" s="5" t="str">
        <f t="shared" si="199"/>
        <v>43908XLU</v>
      </c>
      <c r="B470" s="6" t="s">
        <v>82</v>
      </c>
      <c r="C470" s="6">
        <v>48.84</v>
      </c>
      <c r="D470" s="6">
        <v>59.89</v>
      </c>
      <c r="E470" s="6">
        <v>57.66</v>
      </c>
      <c r="F470" t="str">
        <f t="shared" si="203"/>
        <v>WED</v>
      </c>
      <c r="G470" s="3">
        <f t="shared" si="204"/>
        <v>43908</v>
      </c>
      <c r="H470" s="2">
        <f t="shared" ca="1" si="205"/>
        <v>345</v>
      </c>
      <c r="I470" t="str">
        <f t="shared" si="206"/>
        <v>XLU</v>
      </c>
      <c r="J470">
        <f t="shared" si="207"/>
        <v>48.84</v>
      </c>
      <c r="K470">
        <f t="shared" si="208"/>
        <v>59.89</v>
      </c>
      <c r="L470">
        <f t="shared" si="209"/>
        <v>54.365000000000002</v>
      </c>
      <c r="M470">
        <f t="shared" si="210"/>
        <v>5.5250000000000199</v>
      </c>
      <c r="N470">
        <f t="shared" si="200"/>
        <v>11.049999999999997</v>
      </c>
      <c r="O470">
        <f t="shared" si="211"/>
        <v>57.66</v>
      </c>
      <c r="P470">
        <f t="shared" si="212"/>
        <v>0.59638009049773444</v>
      </c>
      <c r="Q470" t="str">
        <f t="shared" si="201"/>
        <v>15.3% | 3.87%</v>
      </c>
      <c r="R470" t="str">
        <f t="shared" si="213"/>
        <v>BEARISH</v>
      </c>
      <c r="S470">
        <f t="shared" si="202"/>
        <v>-1</v>
      </c>
    </row>
    <row r="471" spans="1:19" hidden="1" x14ac:dyDescent="0.25">
      <c r="A471" s="5" t="str">
        <f t="shared" si="199"/>
        <v>43908VNQ</v>
      </c>
      <c r="B471" s="6" t="s">
        <v>67</v>
      </c>
      <c r="C471" s="6">
        <v>62.46</v>
      </c>
      <c r="D471" s="6">
        <v>79.75</v>
      </c>
      <c r="E471" s="6">
        <v>69.17</v>
      </c>
      <c r="F471" t="str">
        <f t="shared" si="203"/>
        <v>WED</v>
      </c>
      <c r="G471" s="3">
        <f t="shared" si="204"/>
        <v>43908</v>
      </c>
      <c r="H471" s="2">
        <f t="shared" ca="1" si="205"/>
        <v>345</v>
      </c>
      <c r="I471" t="str">
        <f t="shared" si="206"/>
        <v>VNQ</v>
      </c>
      <c r="J471">
        <f t="shared" si="207"/>
        <v>62.46</v>
      </c>
      <c r="K471">
        <f t="shared" si="208"/>
        <v>79.75</v>
      </c>
      <c r="L471">
        <f t="shared" si="209"/>
        <v>71.105000000000004</v>
      </c>
      <c r="M471">
        <f t="shared" si="210"/>
        <v>8.6449999999999569</v>
      </c>
      <c r="N471">
        <f t="shared" si="200"/>
        <v>17.29</v>
      </c>
      <c r="O471">
        <f t="shared" si="211"/>
        <v>69.17</v>
      </c>
      <c r="P471">
        <f t="shared" si="212"/>
        <v>-0.22382880277617256</v>
      </c>
      <c r="Q471" t="str">
        <f t="shared" si="201"/>
        <v>9.7% | 15.3%</v>
      </c>
      <c r="R471" t="str">
        <f t="shared" si="213"/>
        <v>BEARISH</v>
      </c>
      <c r="S471">
        <f t="shared" si="202"/>
        <v>-1</v>
      </c>
    </row>
    <row r="472" spans="1:19" hidden="1" x14ac:dyDescent="0.25">
      <c r="A472" s="5" t="str">
        <f t="shared" si="199"/>
        <v>43908XLP</v>
      </c>
      <c r="B472" s="6" t="s">
        <v>11</v>
      </c>
      <c r="C472" s="6">
        <v>50.06</v>
      </c>
      <c r="D472" s="6">
        <v>58.01</v>
      </c>
      <c r="E472" s="6">
        <v>57.22</v>
      </c>
      <c r="F472" t="str">
        <f t="shared" si="203"/>
        <v>WED</v>
      </c>
      <c r="G472" s="3">
        <f t="shared" si="204"/>
        <v>43908</v>
      </c>
      <c r="H472" s="2">
        <f t="shared" ca="1" si="205"/>
        <v>345</v>
      </c>
      <c r="I472" t="str">
        <f t="shared" si="206"/>
        <v>XLP</v>
      </c>
      <c r="J472">
        <f t="shared" si="207"/>
        <v>50.06</v>
      </c>
      <c r="K472">
        <f t="shared" si="208"/>
        <v>58.01</v>
      </c>
      <c r="L472">
        <f t="shared" si="209"/>
        <v>54.034999999999997</v>
      </c>
      <c r="M472">
        <f t="shared" si="210"/>
        <v>3.9749999999999979</v>
      </c>
      <c r="N472">
        <f t="shared" si="200"/>
        <v>7.9499999999999957</v>
      </c>
      <c r="O472">
        <f t="shared" si="211"/>
        <v>57.22</v>
      </c>
      <c r="P472">
        <f t="shared" si="212"/>
        <v>0.80125786163522117</v>
      </c>
      <c r="Q472" t="str">
        <f t="shared" si="201"/>
        <v>12.51% | 1.38%</v>
      </c>
      <c r="R472" t="str">
        <f t="shared" si="213"/>
        <v>BEARISH</v>
      </c>
      <c r="S472">
        <f t="shared" si="202"/>
        <v>-1</v>
      </c>
    </row>
    <row r="473" spans="1:19" hidden="1" x14ac:dyDescent="0.25">
      <c r="A473" s="5" t="str">
        <f t="shared" si="199"/>
        <v>43908XLK</v>
      </c>
      <c r="B473" s="6" t="s">
        <v>65</v>
      </c>
      <c r="C473" s="6">
        <v>69.67</v>
      </c>
      <c r="D473" s="6">
        <v>82.32</v>
      </c>
      <c r="E473" s="6">
        <v>77.5</v>
      </c>
      <c r="F473" t="str">
        <f t="shared" si="203"/>
        <v>WED</v>
      </c>
      <c r="G473" s="3">
        <f t="shared" si="204"/>
        <v>43908</v>
      </c>
      <c r="H473" s="2">
        <f t="shared" ca="1" si="205"/>
        <v>345</v>
      </c>
      <c r="I473" t="str">
        <f t="shared" si="206"/>
        <v>XLK</v>
      </c>
      <c r="J473">
        <f t="shared" si="207"/>
        <v>69.67</v>
      </c>
      <c r="K473">
        <f t="shared" si="208"/>
        <v>82.32</v>
      </c>
      <c r="L473">
        <f t="shared" si="209"/>
        <v>75.995000000000005</v>
      </c>
      <c r="M473">
        <f t="shared" si="210"/>
        <v>6.3249999999999957</v>
      </c>
      <c r="N473">
        <f t="shared" si="200"/>
        <v>12.649999999999991</v>
      </c>
      <c r="O473">
        <f t="shared" si="211"/>
        <v>77.5</v>
      </c>
      <c r="P473">
        <f t="shared" si="212"/>
        <v>0.23794466403161998</v>
      </c>
      <c r="Q473" t="str">
        <f t="shared" si="201"/>
        <v>10.1% | 6.22%</v>
      </c>
      <c r="R473" t="str">
        <f t="shared" si="213"/>
        <v>BEARISH</v>
      </c>
      <c r="S473">
        <f t="shared" si="202"/>
        <v>-1</v>
      </c>
    </row>
    <row r="474" spans="1:19" hidden="1" x14ac:dyDescent="0.25">
      <c r="A474" s="5" t="str">
        <f t="shared" si="199"/>
        <v>43908SSEC</v>
      </c>
      <c r="B474" s="6" t="s">
        <v>14</v>
      </c>
      <c r="C474" s="6">
        <v>2702</v>
      </c>
      <c r="D474" s="6">
        <v>2933</v>
      </c>
      <c r="E474" s="6">
        <v>2728</v>
      </c>
      <c r="F474" t="str">
        <f t="shared" si="203"/>
        <v>WED</v>
      </c>
      <c r="G474" s="3">
        <f t="shared" si="204"/>
        <v>43908</v>
      </c>
      <c r="H474" s="2">
        <f t="shared" ca="1" si="205"/>
        <v>345</v>
      </c>
      <c r="I474" t="str">
        <f t="shared" si="206"/>
        <v>SSEC</v>
      </c>
      <c r="J474">
        <f t="shared" si="207"/>
        <v>2702</v>
      </c>
      <c r="K474">
        <f t="shared" si="208"/>
        <v>2933</v>
      </c>
      <c r="L474">
        <f t="shared" si="209"/>
        <v>2817.5</v>
      </c>
      <c r="M474">
        <f t="shared" si="210"/>
        <v>115.5</v>
      </c>
      <c r="N474">
        <f t="shared" si="200"/>
        <v>231</v>
      </c>
      <c r="O474">
        <f t="shared" si="211"/>
        <v>2728</v>
      </c>
      <c r="P474">
        <f t="shared" si="212"/>
        <v>-0.77489177489177485</v>
      </c>
      <c r="Q474" t="str">
        <f t="shared" si="201"/>
        <v>0.95% | 7.51%</v>
      </c>
      <c r="R474" t="str">
        <f t="shared" si="213"/>
        <v>BEARISH</v>
      </c>
      <c r="S474">
        <f t="shared" si="202"/>
        <v>-1</v>
      </c>
    </row>
    <row r="475" spans="1:19" hidden="1" x14ac:dyDescent="0.25">
      <c r="A475" s="5" t="str">
        <f t="shared" si="199"/>
        <v>43908NIKK</v>
      </c>
      <c r="B475" s="6" t="s">
        <v>15</v>
      </c>
      <c r="C475" s="6">
        <v>15978</v>
      </c>
      <c r="D475" s="6">
        <v>18007</v>
      </c>
      <c r="E475" s="6">
        <v>16726</v>
      </c>
      <c r="F475" t="str">
        <f t="shared" si="203"/>
        <v>WED</v>
      </c>
      <c r="G475" s="3">
        <f t="shared" si="204"/>
        <v>43908</v>
      </c>
      <c r="H475" s="2">
        <f t="shared" ca="1" si="205"/>
        <v>345</v>
      </c>
      <c r="I475" t="str">
        <f t="shared" si="206"/>
        <v>NIKK</v>
      </c>
      <c r="J475">
        <f t="shared" si="207"/>
        <v>15978</v>
      </c>
      <c r="K475">
        <f t="shared" si="208"/>
        <v>18007</v>
      </c>
      <c r="L475">
        <f t="shared" si="209"/>
        <v>16992.5</v>
      </c>
      <c r="M475">
        <f t="shared" si="210"/>
        <v>1014.5</v>
      </c>
      <c r="N475">
        <f t="shared" si="200"/>
        <v>2029</v>
      </c>
      <c r="O475">
        <f t="shared" si="211"/>
        <v>16726</v>
      </c>
      <c r="P475">
        <f t="shared" si="212"/>
        <v>-0.26269098077870873</v>
      </c>
      <c r="Q475" t="str">
        <f t="shared" si="201"/>
        <v>4.47% | 7.66%</v>
      </c>
      <c r="R475" t="str">
        <f t="shared" si="213"/>
        <v>BEARISH</v>
      </c>
      <c r="S475">
        <f t="shared" si="202"/>
        <v>-1</v>
      </c>
    </row>
    <row r="476" spans="1:19" hidden="1" x14ac:dyDescent="0.25">
      <c r="A476" s="5" t="str">
        <f t="shared" si="199"/>
        <v>43908DAX</v>
      </c>
      <c r="B476" s="6" t="s">
        <v>16</v>
      </c>
      <c r="C476" s="6">
        <v>7920</v>
      </c>
      <c r="D476" s="6">
        <v>9933</v>
      </c>
      <c r="E476" s="6">
        <v>8939</v>
      </c>
      <c r="F476" t="str">
        <f t="shared" si="203"/>
        <v>WED</v>
      </c>
      <c r="G476" s="3">
        <f t="shared" si="204"/>
        <v>43908</v>
      </c>
      <c r="H476" s="2">
        <f t="shared" ca="1" si="205"/>
        <v>345</v>
      </c>
      <c r="I476" t="str">
        <f t="shared" si="206"/>
        <v>DAX</v>
      </c>
      <c r="J476">
        <f t="shared" si="207"/>
        <v>7920</v>
      </c>
      <c r="K476">
        <f t="shared" si="208"/>
        <v>9933</v>
      </c>
      <c r="L476">
        <f t="shared" si="209"/>
        <v>8926.5</v>
      </c>
      <c r="M476">
        <f t="shared" si="210"/>
        <v>1006.5</v>
      </c>
      <c r="N476">
        <f t="shared" si="200"/>
        <v>2013</v>
      </c>
      <c r="O476">
        <f t="shared" si="211"/>
        <v>8939</v>
      </c>
      <c r="P476">
        <f t="shared" si="212"/>
        <v>1.2419274714356682E-2</v>
      </c>
      <c r="Q476" t="str">
        <f t="shared" si="201"/>
        <v>11.4% | 11.12%</v>
      </c>
      <c r="R476" t="str">
        <f t="shared" si="213"/>
        <v>BEARISH</v>
      </c>
      <c r="S476">
        <f t="shared" si="202"/>
        <v>-1</v>
      </c>
    </row>
    <row r="477" spans="1:19" hidden="1" x14ac:dyDescent="0.25">
      <c r="A477" s="5" t="str">
        <f t="shared" si="199"/>
        <v>43908VIX</v>
      </c>
      <c r="B477" s="6" t="s">
        <v>17</v>
      </c>
      <c r="C477" s="6">
        <v>41.56</v>
      </c>
      <c r="D477" s="6">
        <v>89.38</v>
      </c>
      <c r="E477" s="6">
        <v>75.91</v>
      </c>
      <c r="F477" t="str">
        <f t="shared" si="203"/>
        <v>WED</v>
      </c>
      <c r="G477" s="3">
        <f t="shared" si="204"/>
        <v>43908</v>
      </c>
      <c r="H477" s="2">
        <f t="shared" ca="1" si="205"/>
        <v>345</v>
      </c>
      <c r="I477" t="str">
        <f t="shared" si="206"/>
        <v>VIX</v>
      </c>
      <c r="J477">
        <f t="shared" si="207"/>
        <v>41.56</v>
      </c>
      <c r="K477">
        <f t="shared" si="208"/>
        <v>89.38</v>
      </c>
      <c r="L477">
        <f t="shared" si="209"/>
        <v>65.47</v>
      </c>
      <c r="M477">
        <f t="shared" si="210"/>
        <v>23.910000000000007</v>
      </c>
      <c r="N477">
        <f t="shared" si="200"/>
        <v>47.819999999999993</v>
      </c>
      <c r="O477">
        <f t="shared" si="211"/>
        <v>75.91</v>
      </c>
      <c r="P477">
        <f t="shared" si="212"/>
        <v>0.43663739021329967</v>
      </c>
      <c r="Q477" t="str">
        <f t="shared" si="201"/>
        <v>45.25% | 17.74%</v>
      </c>
      <c r="R477" t="str">
        <f t="shared" si="213"/>
        <v>BULLISH</v>
      </c>
      <c r="S477">
        <f t="shared" si="202"/>
        <v>1</v>
      </c>
    </row>
    <row r="478" spans="1:19" hidden="1" x14ac:dyDescent="0.25">
      <c r="A478" s="5" t="str">
        <f t="shared" si="199"/>
        <v>43908USD</v>
      </c>
      <c r="B478" s="6" t="s">
        <v>18</v>
      </c>
      <c r="C478" s="6">
        <v>95.5</v>
      </c>
      <c r="D478" s="6">
        <v>100.24</v>
      </c>
      <c r="E478" s="6">
        <v>99.8</v>
      </c>
      <c r="F478" t="str">
        <f t="shared" si="203"/>
        <v>WED</v>
      </c>
      <c r="G478" s="3">
        <f t="shared" si="204"/>
        <v>43908</v>
      </c>
      <c r="H478" s="2">
        <f t="shared" ca="1" si="205"/>
        <v>345</v>
      </c>
      <c r="I478" t="str">
        <f t="shared" si="206"/>
        <v>USD</v>
      </c>
      <c r="J478">
        <f t="shared" si="207"/>
        <v>95.5</v>
      </c>
      <c r="K478">
        <f t="shared" si="208"/>
        <v>100.24</v>
      </c>
      <c r="L478">
        <f t="shared" si="209"/>
        <v>97.87</v>
      </c>
      <c r="M478">
        <f t="shared" si="210"/>
        <v>2.3699999999999974</v>
      </c>
      <c r="N478">
        <f t="shared" si="200"/>
        <v>4.7399999999999949</v>
      </c>
      <c r="O478">
        <f t="shared" si="211"/>
        <v>99.8</v>
      </c>
      <c r="P478">
        <f t="shared" si="212"/>
        <v>0.81434599156117915</v>
      </c>
      <c r="Q478" t="str">
        <f t="shared" si="201"/>
        <v>4.31% | 0.44%</v>
      </c>
      <c r="R478" t="str">
        <f t="shared" si="213"/>
        <v>BULLISH</v>
      </c>
      <c r="S478">
        <f t="shared" si="202"/>
        <v>1</v>
      </c>
    </row>
    <row r="479" spans="1:19" hidden="1" x14ac:dyDescent="0.25">
      <c r="A479" s="5" t="str">
        <f t="shared" si="199"/>
        <v>43908EUR/USD</v>
      </c>
      <c r="B479" s="6" t="s">
        <v>19</v>
      </c>
      <c r="C479" s="6">
        <v>1.0900000000000001</v>
      </c>
      <c r="D479" s="6">
        <v>1.1100000000000001</v>
      </c>
      <c r="E479" s="6">
        <v>1.1000000000000001</v>
      </c>
      <c r="F479" t="str">
        <f t="shared" si="203"/>
        <v>WED</v>
      </c>
      <c r="G479" s="3">
        <f t="shared" si="204"/>
        <v>43908</v>
      </c>
      <c r="H479" s="2">
        <f t="shared" ca="1" si="205"/>
        <v>345</v>
      </c>
      <c r="I479" t="str">
        <f t="shared" si="206"/>
        <v>EUR/USD</v>
      </c>
      <c r="J479">
        <f t="shared" si="207"/>
        <v>1.0900000000000001</v>
      </c>
      <c r="K479">
        <f t="shared" si="208"/>
        <v>1.1100000000000001</v>
      </c>
      <c r="L479">
        <f t="shared" si="209"/>
        <v>1.1000000000000001</v>
      </c>
      <c r="M479">
        <f t="shared" si="210"/>
        <v>1.0000000000000009E-2</v>
      </c>
      <c r="N479">
        <f t="shared" si="200"/>
        <v>2.0000000000000018E-2</v>
      </c>
      <c r="O479">
        <f t="shared" si="211"/>
        <v>1.1000000000000001</v>
      </c>
      <c r="P479">
        <f t="shared" si="212"/>
        <v>0</v>
      </c>
      <c r="Q479" t="str">
        <f t="shared" si="201"/>
        <v>0.91% | 0.91%</v>
      </c>
      <c r="R479" t="str">
        <f t="shared" si="213"/>
        <v>BEARISH</v>
      </c>
      <c r="S479">
        <f t="shared" si="202"/>
        <v>-1</v>
      </c>
    </row>
    <row r="480" spans="1:19" hidden="1" x14ac:dyDescent="0.25">
      <c r="A480" s="5" t="str">
        <f t="shared" si="199"/>
        <v>43908USD/JPY</v>
      </c>
      <c r="B480" s="6" t="s">
        <v>20</v>
      </c>
      <c r="C480" s="6">
        <v>102.8</v>
      </c>
      <c r="D480" s="6">
        <v>108.74</v>
      </c>
      <c r="E480" s="6">
        <v>107.66</v>
      </c>
      <c r="F480" t="str">
        <f t="shared" si="203"/>
        <v>WED</v>
      </c>
      <c r="G480" s="3">
        <f t="shared" si="204"/>
        <v>43908</v>
      </c>
      <c r="H480" s="2">
        <f t="shared" ca="1" si="205"/>
        <v>345</v>
      </c>
      <c r="I480" t="str">
        <f t="shared" si="206"/>
        <v>USD/JPY</v>
      </c>
      <c r="J480">
        <f t="shared" si="207"/>
        <v>102.8</v>
      </c>
      <c r="K480">
        <f t="shared" si="208"/>
        <v>108.74</v>
      </c>
      <c r="L480">
        <f t="shared" si="209"/>
        <v>105.77</v>
      </c>
      <c r="M480">
        <f t="shared" si="210"/>
        <v>2.9699999999999989</v>
      </c>
      <c r="N480">
        <f t="shared" si="200"/>
        <v>5.9399999999999977</v>
      </c>
      <c r="O480">
        <f t="shared" si="211"/>
        <v>107.66</v>
      </c>
      <c r="P480">
        <f t="shared" si="212"/>
        <v>0.6363636363636368</v>
      </c>
      <c r="Q480" t="str">
        <f t="shared" si="201"/>
        <v>4.51% | 1%</v>
      </c>
      <c r="R480" t="str">
        <f t="shared" si="213"/>
        <v>BEARISH</v>
      </c>
      <c r="S480">
        <f t="shared" si="202"/>
        <v>-1</v>
      </c>
    </row>
    <row r="481" spans="1:19" hidden="1" x14ac:dyDescent="0.25">
      <c r="A481" s="5" t="str">
        <f t="shared" si="199"/>
        <v>43908GBP/USD</v>
      </c>
      <c r="B481" s="6" t="s">
        <v>21</v>
      </c>
      <c r="C481" s="6">
        <v>1.19</v>
      </c>
      <c r="D481" s="6">
        <v>1.24</v>
      </c>
      <c r="E481" s="6">
        <v>1.2</v>
      </c>
      <c r="F481" t="str">
        <f t="shared" si="203"/>
        <v>WED</v>
      </c>
      <c r="G481" s="3">
        <f t="shared" si="204"/>
        <v>43908</v>
      </c>
      <c r="H481" s="2">
        <f t="shared" ca="1" si="205"/>
        <v>345</v>
      </c>
      <c r="I481" t="str">
        <f t="shared" si="206"/>
        <v>GBP/USD</v>
      </c>
      <c r="J481">
        <f t="shared" si="207"/>
        <v>1.19</v>
      </c>
      <c r="K481">
        <f t="shared" si="208"/>
        <v>1.24</v>
      </c>
      <c r="L481">
        <f t="shared" si="209"/>
        <v>1.2149999999999999</v>
      </c>
      <c r="M481">
        <f t="shared" si="210"/>
        <v>2.5000000000000022E-2</v>
      </c>
      <c r="N481">
        <f t="shared" si="200"/>
        <v>5.0000000000000044E-2</v>
      </c>
      <c r="O481">
        <f t="shared" si="211"/>
        <v>1.2</v>
      </c>
      <c r="P481">
        <f t="shared" si="212"/>
        <v>-0.59999999999999554</v>
      </c>
      <c r="Q481" t="str">
        <f t="shared" si="201"/>
        <v>0.83% | 3.33%</v>
      </c>
      <c r="R481" t="str">
        <f t="shared" si="213"/>
        <v>BEARISH</v>
      </c>
      <c r="S481">
        <f t="shared" si="202"/>
        <v>-1</v>
      </c>
    </row>
    <row r="482" spans="1:19" hidden="1" x14ac:dyDescent="0.25">
      <c r="A482" s="5" t="str">
        <f t="shared" si="199"/>
        <v>43908USD/CHF</v>
      </c>
      <c r="B482" s="6" t="s">
        <v>76</v>
      </c>
      <c r="C482" s="6">
        <v>0.92</v>
      </c>
      <c r="D482" s="6">
        <v>0.96</v>
      </c>
      <c r="E482" s="6">
        <v>0.96</v>
      </c>
      <c r="F482" t="str">
        <f t="shared" si="203"/>
        <v>WED</v>
      </c>
      <c r="G482" s="3">
        <f t="shared" si="204"/>
        <v>43908</v>
      </c>
      <c r="H482" s="2">
        <f t="shared" ca="1" si="205"/>
        <v>345</v>
      </c>
      <c r="I482" t="str">
        <f t="shared" si="206"/>
        <v>USD/CHF</v>
      </c>
      <c r="J482">
        <f t="shared" si="207"/>
        <v>0.92</v>
      </c>
      <c r="K482">
        <f t="shared" si="208"/>
        <v>0.96</v>
      </c>
      <c r="L482">
        <f t="shared" si="209"/>
        <v>0.94</v>
      </c>
      <c r="M482">
        <f t="shared" si="210"/>
        <v>1.9999999999999962E-2</v>
      </c>
      <c r="N482">
        <f t="shared" si="200"/>
        <v>3.9999999999999925E-2</v>
      </c>
      <c r="O482">
        <f t="shared" si="211"/>
        <v>0.96</v>
      </c>
      <c r="P482">
        <f t="shared" si="212"/>
        <v>1.0000000000000029</v>
      </c>
      <c r="Q482" t="str">
        <f t="shared" si="201"/>
        <v>4.17% | 0%</v>
      </c>
      <c r="R482" t="str">
        <f t="shared" si="213"/>
        <v>BEARISH</v>
      </c>
      <c r="S482">
        <f t="shared" si="202"/>
        <v>-1</v>
      </c>
    </row>
    <row r="483" spans="1:19" hidden="1" x14ac:dyDescent="0.25">
      <c r="A483" s="5" t="str">
        <f t="shared" si="199"/>
        <v>43908WTIC</v>
      </c>
      <c r="B483" s="6" t="s">
        <v>23</v>
      </c>
      <c r="C483" s="6">
        <v>22.34</v>
      </c>
      <c r="D483" s="6">
        <v>33.64</v>
      </c>
      <c r="E483" s="6">
        <v>26.95</v>
      </c>
      <c r="F483" t="str">
        <f t="shared" si="203"/>
        <v>WED</v>
      </c>
      <c r="G483" s="3">
        <f t="shared" si="204"/>
        <v>43908</v>
      </c>
      <c r="H483" s="2">
        <f t="shared" ca="1" si="205"/>
        <v>345</v>
      </c>
      <c r="I483" t="str">
        <f t="shared" si="206"/>
        <v>WTIC</v>
      </c>
      <c r="J483">
        <f t="shared" si="207"/>
        <v>22.34</v>
      </c>
      <c r="K483">
        <f t="shared" si="208"/>
        <v>33.64</v>
      </c>
      <c r="L483">
        <f t="shared" si="209"/>
        <v>27.990000000000002</v>
      </c>
      <c r="M483">
        <f t="shared" si="210"/>
        <v>5.6499999999999808</v>
      </c>
      <c r="N483">
        <f t="shared" si="200"/>
        <v>11.3</v>
      </c>
      <c r="O483">
        <f t="shared" si="211"/>
        <v>26.95</v>
      </c>
      <c r="P483">
        <f t="shared" si="212"/>
        <v>-0.1840707964601781</v>
      </c>
      <c r="Q483" t="str">
        <f t="shared" si="201"/>
        <v>17.11% | 24.82%</v>
      </c>
      <c r="R483" t="str">
        <f t="shared" si="213"/>
        <v>BEARISH</v>
      </c>
      <c r="S483">
        <f t="shared" si="202"/>
        <v>-1</v>
      </c>
    </row>
    <row r="484" spans="1:19" hidden="1" x14ac:dyDescent="0.25">
      <c r="A484" s="5" t="str">
        <f t="shared" si="199"/>
        <v>43908NATGAS</v>
      </c>
      <c r="B484" s="6" t="s">
        <v>24</v>
      </c>
      <c r="C484" s="6">
        <v>1.59</v>
      </c>
      <c r="D484" s="6">
        <v>1.9</v>
      </c>
      <c r="E484" s="6">
        <v>1.73</v>
      </c>
      <c r="F484" t="str">
        <f t="shared" si="203"/>
        <v>WED</v>
      </c>
      <c r="G484" s="3">
        <f t="shared" si="204"/>
        <v>43908</v>
      </c>
      <c r="H484" s="2">
        <f t="shared" ca="1" si="205"/>
        <v>345</v>
      </c>
      <c r="I484" t="str">
        <f t="shared" si="206"/>
        <v>NATGAS</v>
      </c>
      <c r="J484">
        <f t="shared" si="207"/>
        <v>1.59</v>
      </c>
      <c r="K484">
        <f t="shared" si="208"/>
        <v>1.9</v>
      </c>
      <c r="L484">
        <f t="shared" si="209"/>
        <v>1.7450000000000001</v>
      </c>
      <c r="M484">
        <f t="shared" si="210"/>
        <v>0.15499999999999992</v>
      </c>
      <c r="N484">
        <f t="shared" si="200"/>
        <v>0.30999999999999983</v>
      </c>
      <c r="O484">
        <f t="shared" si="211"/>
        <v>1.73</v>
      </c>
      <c r="P484">
        <f t="shared" si="212"/>
        <v>-9.6774193548387955E-2</v>
      </c>
      <c r="Q484" t="str">
        <f t="shared" si="201"/>
        <v>8.09% | 9.83%</v>
      </c>
      <c r="R484" t="str">
        <f t="shared" si="213"/>
        <v>BEARISH</v>
      </c>
      <c r="S484">
        <f t="shared" si="202"/>
        <v>-1</v>
      </c>
    </row>
    <row r="485" spans="1:19" hidden="1" x14ac:dyDescent="0.25">
      <c r="A485" s="5" t="str">
        <f t="shared" si="199"/>
        <v>43908GOLD</v>
      </c>
      <c r="B485" s="6" t="s">
        <v>85</v>
      </c>
      <c r="C485" s="6">
        <v>1451</v>
      </c>
      <c r="D485" s="6">
        <v>1562</v>
      </c>
      <c r="E485" s="6">
        <v>1525</v>
      </c>
      <c r="F485" t="str">
        <f t="shared" si="203"/>
        <v>WED</v>
      </c>
      <c r="G485" s="3">
        <f t="shared" si="204"/>
        <v>43908</v>
      </c>
      <c r="H485" s="2">
        <f t="shared" ca="1" si="205"/>
        <v>345</v>
      </c>
      <c r="I485" t="str">
        <f t="shared" si="206"/>
        <v>GOLD</v>
      </c>
      <c r="J485">
        <f t="shared" si="207"/>
        <v>1451</v>
      </c>
      <c r="K485">
        <f t="shared" si="208"/>
        <v>1562</v>
      </c>
      <c r="L485">
        <f t="shared" si="209"/>
        <v>1506.5</v>
      </c>
      <c r="M485">
        <f t="shared" si="210"/>
        <v>55.5</v>
      </c>
      <c r="N485">
        <f t="shared" si="200"/>
        <v>111</v>
      </c>
      <c r="O485">
        <f t="shared" si="211"/>
        <v>1525</v>
      </c>
      <c r="P485">
        <f t="shared" si="212"/>
        <v>0.33333333333333331</v>
      </c>
      <c r="Q485" t="str">
        <f t="shared" si="201"/>
        <v>4.85% | 2.43%</v>
      </c>
      <c r="R485" t="str">
        <f t="shared" si="213"/>
        <v>BEARISH</v>
      </c>
      <c r="S485">
        <f t="shared" si="202"/>
        <v>-1</v>
      </c>
    </row>
    <row r="486" spans="1:19" hidden="1" x14ac:dyDescent="0.25">
      <c r="A486" s="5" t="str">
        <f t="shared" si="199"/>
        <v>43908COPPER</v>
      </c>
      <c r="B486" s="6" t="s">
        <v>26</v>
      </c>
      <c r="C486" s="6">
        <v>2.1800000000000002</v>
      </c>
      <c r="D486" s="6">
        <v>2.39</v>
      </c>
      <c r="E486" s="6">
        <v>2.31</v>
      </c>
      <c r="F486" t="str">
        <f t="shared" si="203"/>
        <v>WED</v>
      </c>
      <c r="G486" s="3">
        <f t="shared" si="204"/>
        <v>43908</v>
      </c>
      <c r="H486" s="2">
        <f t="shared" ca="1" si="205"/>
        <v>345</v>
      </c>
      <c r="I486" t="str">
        <f t="shared" si="206"/>
        <v>COPPER</v>
      </c>
      <c r="J486">
        <f t="shared" si="207"/>
        <v>2.1800000000000002</v>
      </c>
      <c r="K486">
        <f t="shared" si="208"/>
        <v>2.39</v>
      </c>
      <c r="L486">
        <f t="shared" si="209"/>
        <v>2.2850000000000001</v>
      </c>
      <c r="M486">
        <f t="shared" si="210"/>
        <v>0.10499999999999998</v>
      </c>
      <c r="N486">
        <f t="shared" si="200"/>
        <v>0.20999999999999996</v>
      </c>
      <c r="O486">
        <f t="shared" si="211"/>
        <v>2.31</v>
      </c>
      <c r="P486">
        <f t="shared" si="212"/>
        <v>0.23809523809523728</v>
      </c>
      <c r="Q486" t="str">
        <f t="shared" si="201"/>
        <v>5.63% | 3.46%</v>
      </c>
      <c r="R486" t="str">
        <f t="shared" si="213"/>
        <v>BEARISH</v>
      </c>
      <c r="S486">
        <f t="shared" si="202"/>
        <v>-1</v>
      </c>
    </row>
    <row r="487" spans="1:19" hidden="1" x14ac:dyDescent="0.25">
      <c r="A487" s="5" t="str">
        <f t="shared" si="199"/>
        <v>43908AAPL</v>
      </c>
      <c r="B487" s="6" t="s">
        <v>68</v>
      </c>
      <c r="C487" s="6">
        <v>230.93</v>
      </c>
      <c r="D487" s="6">
        <v>270.11</v>
      </c>
      <c r="E487" s="6">
        <v>252.86</v>
      </c>
      <c r="F487" t="str">
        <f t="shared" si="203"/>
        <v>WED</v>
      </c>
      <c r="G487" s="3">
        <f t="shared" si="204"/>
        <v>43908</v>
      </c>
      <c r="H487" s="2">
        <f t="shared" ca="1" si="205"/>
        <v>345</v>
      </c>
      <c r="I487" t="str">
        <f t="shared" si="206"/>
        <v>AAPL</v>
      </c>
      <c r="J487">
        <f t="shared" si="207"/>
        <v>230.93</v>
      </c>
      <c r="K487">
        <f t="shared" si="208"/>
        <v>270.11</v>
      </c>
      <c r="L487">
        <f t="shared" si="209"/>
        <v>250.52</v>
      </c>
      <c r="M487">
        <f t="shared" si="210"/>
        <v>19.590000000000003</v>
      </c>
      <c r="N487">
        <f t="shared" si="200"/>
        <v>39.180000000000007</v>
      </c>
      <c r="O487">
        <f t="shared" si="211"/>
        <v>252.86</v>
      </c>
      <c r="P487">
        <f t="shared" si="212"/>
        <v>0.11944869831546723</v>
      </c>
      <c r="Q487" t="str">
        <f t="shared" si="201"/>
        <v>8.67% | 6.82%</v>
      </c>
      <c r="R487" t="str">
        <f t="shared" si="213"/>
        <v>BEARISH</v>
      </c>
      <c r="S487">
        <f t="shared" si="202"/>
        <v>-1</v>
      </c>
    </row>
    <row r="488" spans="1:19" hidden="1" x14ac:dyDescent="0.25">
      <c r="A488" s="5" t="str">
        <f t="shared" si="199"/>
        <v>43908AMZN</v>
      </c>
      <c r="B488" s="6" t="s">
        <v>73</v>
      </c>
      <c r="C488" s="6">
        <v>1615</v>
      </c>
      <c r="D488" s="6">
        <v>1864</v>
      </c>
      <c r="E488" s="6">
        <v>1807</v>
      </c>
      <c r="F488" t="str">
        <f t="shared" si="203"/>
        <v>WED</v>
      </c>
      <c r="G488" s="3">
        <f t="shared" si="204"/>
        <v>43908</v>
      </c>
      <c r="H488" s="2">
        <f t="shared" ca="1" si="205"/>
        <v>345</v>
      </c>
      <c r="I488" t="str">
        <f t="shared" si="206"/>
        <v>AMZN</v>
      </c>
      <c r="J488">
        <f t="shared" si="207"/>
        <v>1615</v>
      </c>
      <c r="K488">
        <f t="shared" si="208"/>
        <v>1864</v>
      </c>
      <c r="L488">
        <f t="shared" si="209"/>
        <v>1739.5</v>
      </c>
      <c r="M488">
        <f t="shared" si="210"/>
        <v>124.5</v>
      </c>
      <c r="N488">
        <f t="shared" si="200"/>
        <v>249</v>
      </c>
      <c r="O488">
        <f t="shared" si="211"/>
        <v>1807</v>
      </c>
      <c r="P488">
        <f t="shared" si="212"/>
        <v>0.54216867469879515</v>
      </c>
      <c r="Q488" t="str">
        <f t="shared" si="201"/>
        <v>10.63% | 3.15%</v>
      </c>
      <c r="R488" t="str">
        <f t="shared" si="213"/>
        <v>BEARISH</v>
      </c>
      <c r="S488">
        <f t="shared" si="202"/>
        <v>-1</v>
      </c>
    </row>
    <row r="489" spans="1:19" hidden="1" x14ac:dyDescent="0.25">
      <c r="A489" s="5" t="str">
        <f t="shared" si="199"/>
        <v>43908FB</v>
      </c>
      <c r="B489" s="6" t="s">
        <v>58</v>
      </c>
      <c r="C489" s="6">
        <v>138</v>
      </c>
      <c r="D489" s="6">
        <v>166</v>
      </c>
      <c r="E489" s="6">
        <v>149</v>
      </c>
      <c r="F489" t="str">
        <f t="shared" si="203"/>
        <v>WED</v>
      </c>
      <c r="G489" s="3">
        <f t="shared" si="204"/>
        <v>43908</v>
      </c>
      <c r="H489" s="2">
        <f t="shared" ca="1" si="205"/>
        <v>345</v>
      </c>
      <c r="I489" t="str">
        <f t="shared" si="206"/>
        <v>FB</v>
      </c>
      <c r="J489">
        <f t="shared" si="207"/>
        <v>138</v>
      </c>
      <c r="K489">
        <f t="shared" si="208"/>
        <v>166</v>
      </c>
      <c r="L489">
        <f t="shared" si="209"/>
        <v>152</v>
      </c>
      <c r="M489">
        <f t="shared" si="210"/>
        <v>14</v>
      </c>
      <c r="N489">
        <f t="shared" si="200"/>
        <v>28</v>
      </c>
      <c r="O489">
        <f t="shared" si="211"/>
        <v>149</v>
      </c>
      <c r="P489">
        <f t="shared" si="212"/>
        <v>-0.21428571428571427</v>
      </c>
      <c r="Q489" t="str">
        <f t="shared" si="201"/>
        <v>7.38% | 11.41%</v>
      </c>
      <c r="R489" t="str">
        <f t="shared" si="213"/>
        <v>BEARISH</v>
      </c>
      <c r="S489">
        <f t="shared" si="202"/>
        <v>-1</v>
      </c>
    </row>
    <row r="490" spans="1:19" hidden="1" x14ac:dyDescent="0.25">
      <c r="A490" s="5" t="str">
        <f t="shared" si="199"/>
        <v>43908GOOGL</v>
      </c>
      <c r="B490" s="6" t="s">
        <v>66</v>
      </c>
      <c r="C490" s="6">
        <v>1021</v>
      </c>
      <c r="D490" s="6">
        <v>1201</v>
      </c>
      <c r="E490" s="6">
        <v>1118</v>
      </c>
      <c r="F490" t="str">
        <f t="shared" si="203"/>
        <v>WED</v>
      </c>
      <c r="G490" s="3">
        <f t="shared" si="204"/>
        <v>43908</v>
      </c>
      <c r="H490" s="2">
        <f t="shared" ca="1" si="205"/>
        <v>345</v>
      </c>
      <c r="I490" t="str">
        <f t="shared" si="206"/>
        <v>GOOGL</v>
      </c>
      <c r="J490">
        <f t="shared" si="207"/>
        <v>1021</v>
      </c>
      <c r="K490">
        <f t="shared" si="208"/>
        <v>1201</v>
      </c>
      <c r="L490">
        <f t="shared" si="209"/>
        <v>1111</v>
      </c>
      <c r="M490">
        <f t="shared" si="210"/>
        <v>90</v>
      </c>
      <c r="N490">
        <f t="shared" si="200"/>
        <v>180</v>
      </c>
      <c r="O490">
        <f t="shared" si="211"/>
        <v>1118</v>
      </c>
      <c r="P490">
        <f t="shared" si="212"/>
        <v>7.7777777777777779E-2</v>
      </c>
      <c r="Q490" t="str">
        <f t="shared" si="201"/>
        <v>8.68% | 7.42%</v>
      </c>
      <c r="R490" t="str">
        <f t="shared" si="213"/>
        <v>BEARISH</v>
      </c>
      <c r="S490">
        <f t="shared" si="202"/>
        <v>-1</v>
      </c>
    </row>
    <row r="491" spans="1:19" hidden="1" x14ac:dyDescent="0.25">
      <c r="A491" s="5" t="str">
        <f t="shared" si="199"/>
        <v>43908NFLX</v>
      </c>
      <c r="B491" s="6" t="s">
        <v>81</v>
      </c>
      <c r="C491" s="6">
        <v>282</v>
      </c>
      <c r="D491" s="6">
        <v>339</v>
      </c>
      <c r="E491" s="6">
        <v>319</v>
      </c>
      <c r="F491" t="str">
        <f t="shared" si="203"/>
        <v>WED</v>
      </c>
      <c r="G491" s="3">
        <f t="shared" si="204"/>
        <v>43908</v>
      </c>
      <c r="H491" s="2">
        <f t="shared" ca="1" si="205"/>
        <v>345</v>
      </c>
      <c r="I491" t="str">
        <f t="shared" si="206"/>
        <v>NFLX</v>
      </c>
      <c r="J491">
        <f t="shared" si="207"/>
        <v>282</v>
      </c>
      <c r="K491">
        <f t="shared" si="208"/>
        <v>339</v>
      </c>
      <c r="L491">
        <f t="shared" si="209"/>
        <v>310.5</v>
      </c>
      <c r="M491">
        <f t="shared" si="210"/>
        <v>28.5</v>
      </c>
      <c r="N491">
        <f t="shared" si="200"/>
        <v>57</v>
      </c>
      <c r="O491">
        <f t="shared" si="211"/>
        <v>319</v>
      </c>
      <c r="P491">
        <f t="shared" si="212"/>
        <v>0.2982456140350877</v>
      </c>
      <c r="Q491" t="str">
        <f t="shared" si="201"/>
        <v>11.6% | 6.27%</v>
      </c>
      <c r="R491" t="str">
        <f t="shared" si="213"/>
        <v>BEARISH</v>
      </c>
      <c r="S491">
        <f t="shared" si="202"/>
        <v>-1</v>
      </c>
    </row>
    <row r="492" spans="1:19" x14ac:dyDescent="0.25">
      <c r="A492" s="5" t="str">
        <f t="shared" si="199"/>
        <v>43908TSLA</v>
      </c>
      <c r="B492" s="6" t="s">
        <v>83</v>
      </c>
      <c r="C492" s="6">
        <v>363</v>
      </c>
      <c r="D492" s="6">
        <v>570</v>
      </c>
      <c r="E492" s="6">
        <v>430</v>
      </c>
      <c r="F492" t="str">
        <f t="shared" si="203"/>
        <v>WED</v>
      </c>
      <c r="G492" s="3">
        <f t="shared" si="204"/>
        <v>43908</v>
      </c>
      <c r="H492" s="2">
        <f t="shared" ca="1" si="205"/>
        <v>345</v>
      </c>
      <c r="I492" t="str">
        <f t="shared" si="206"/>
        <v>TSLA</v>
      </c>
      <c r="J492">
        <f t="shared" si="207"/>
        <v>363</v>
      </c>
      <c r="K492">
        <f t="shared" si="208"/>
        <v>570</v>
      </c>
      <c r="L492">
        <f t="shared" si="209"/>
        <v>466.5</v>
      </c>
      <c r="M492">
        <f t="shared" si="210"/>
        <v>103.5</v>
      </c>
      <c r="N492">
        <f t="shared" si="200"/>
        <v>207</v>
      </c>
      <c r="O492">
        <f t="shared" si="211"/>
        <v>430</v>
      </c>
      <c r="P492">
        <f t="shared" si="212"/>
        <v>-0.35265700483091789</v>
      </c>
      <c r="Q492" t="str">
        <f t="shared" si="201"/>
        <v>15.58% | 32.56%</v>
      </c>
      <c r="R492" t="str">
        <f t="shared" si="213"/>
        <v>BEARISH</v>
      </c>
      <c r="S492">
        <f t="shared" si="202"/>
        <v>-1</v>
      </c>
    </row>
    <row r="493" spans="1:19" hidden="1" x14ac:dyDescent="0.25">
      <c r="A493" s="5" t="str">
        <f t="shared" si="199"/>
        <v>43908NYXBT</v>
      </c>
      <c r="B493" s="6" t="s">
        <v>84</v>
      </c>
      <c r="C493" s="6">
        <v>4001</v>
      </c>
      <c r="D493" s="6">
        <v>6771</v>
      </c>
      <c r="E493" s="6">
        <v>5340</v>
      </c>
      <c r="F493" t="str">
        <f t="shared" si="203"/>
        <v>WED</v>
      </c>
      <c r="G493" s="3">
        <f t="shared" si="204"/>
        <v>43908</v>
      </c>
      <c r="H493" s="2">
        <f t="shared" ca="1" si="205"/>
        <v>345</v>
      </c>
      <c r="I493" t="str">
        <f t="shared" si="206"/>
        <v>NYXBT</v>
      </c>
      <c r="J493">
        <f t="shared" si="207"/>
        <v>4001</v>
      </c>
      <c r="K493">
        <f t="shared" si="208"/>
        <v>6771</v>
      </c>
      <c r="L493">
        <f t="shared" si="209"/>
        <v>5386</v>
      </c>
      <c r="M493">
        <f t="shared" si="210"/>
        <v>1385</v>
      </c>
      <c r="N493">
        <f t="shared" si="200"/>
        <v>2770</v>
      </c>
      <c r="O493">
        <f t="shared" si="211"/>
        <v>5340</v>
      </c>
      <c r="P493">
        <f t="shared" si="212"/>
        <v>-3.3212996389891697E-2</v>
      </c>
      <c r="Q493" t="str">
        <f t="shared" si="201"/>
        <v>25.07% | 26.8%</v>
      </c>
      <c r="R493" t="str">
        <f t="shared" si="213"/>
        <v>BEARISH</v>
      </c>
      <c r="S493">
        <f t="shared" si="202"/>
        <v>-1</v>
      </c>
    </row>
    <row r="494" spans="1:19" hidden="1" x14ac:dyDescent="0.25">
      <c r="A494" s="5" t="str">
        <f t="shared" si="199"/>
        <v>43909UST10Y</v>
      </c>
      <c r="B494" s="6" t="s">
        <v>4</v>
      </c>
      <c r="C494" s="6">
        <v>1.24</v>
      </c>
      <c r="D494" s="6">
        <v>0.48</v>
      </c>
      <c r="E494" s="6">
        <v>1.18</v>
      </c>
      <c r="F494" t="str">
        <f t="shared" si="203"/>
        <v>THU</v>
      </c>
      <c r="G494" s="1">
        <f>DATE(2020,3,19)</f>
        <v>43909</v>
      </c>
      <c r="H494" s="2">
        <f t="shared" ca="1" si="205"/>
        <v>344</v>
      </c>
      <c r="I494" t="str">
        <f t="shared" si="206"/>
        <v>UST10Y</v>
      </c>
      <c r="J494">
        <f t="shared" si="207"/>
        <v>1.24</v>
      </c>
      <c r="K494">
        <f t="shared" si="208"/>
        <v>0.48</v>
      </c>
      <c r="L494">
        <f t="shared" si="209"/>
        <v>0.86</v>
      </c>
      <c r="M494">
        <f t="shared" si="210"/>
        <v>0.38000000000000012</v>
      </c>
      <c r="N494">
        <f t="shared" si="200"/>
        <v>0.76</v>
      </c>
      <c r="O494">
        <f t="shared" si="211"/>
        <v>1.18</v>
      </c>
      <c r="P494">
        <f t="shared" si="212"/>
        <v>0.84210526315789436</v>
      </c>
      <c r="Q494" t="str">
        <f t="shared" si="201"/>
        <v>5.08% | 59.32%</v>
      </c>
      <c r="R494" t="str">
        <f t="shared" si="213"/>
        <v>BEARISH</v>
      </c>
      <c r="S494">
        <f t="shared" si="202"/>
        <v>-1</v>
      </c>
    </row>
    <row r="495" spans="1:19" hidden="1" x14ac:dyDescent="0.25">
      <c r="A495" s="5" t="str">
        <f t="shared" si="199"/>
        <v>43909UST2Y</v>
      </c>
      <c r="B495" s="6" t="s">
        <v>5</v>
      </c>
      <c r="C495" s="6">
        <v>0.61</v>
      </c>
      <c r="D495" s="6">
        <v>0.34</v>
      </c>
      <c r="E495" s="6">
        <v>0.54</v>
      </c>
      <c r="F495" t="str">
        <f t="shared" ref="F495:F523" si="214">UPPER(TEXT(G495,"ddd"))</f>
        <v>THU</v>
      </c>
      <c r="G495" s="1">
        <f t="shared" ref="G495:G522" si="215">DATE(2020,3,19)</f>
        <v>43909</v>
      </c>
      <c r="H495" s="2">
        <f t="shared" ref="H495:H523" ca="1" si="216">TODAY()-G495</f>
        <v>344</v>
      </c>
      <c r="I495" t="str">
        <f t="shared" ref="I495:I523" si="217">TRIM(LEFT(B495,FIND(" ",B495,1)))</f>
        <v>UST2Y</v>
      </c>
      <c r="J495">
        <f t="shared" ref="J495:J523" si="218">C495</f>
        <v>0.61</v>
      </c>
      <c r="K495">
        <f t="shared" ref="K495:K523" si="219">D495</f>
        <v>0.34</v>
      </c>
      <c r="L495">
        <f t="shared" ref="L495:L523" si="220">AVERAGE(J495:K495)</f>
        <v>0.47499999999999998</v>
      </c>
      <c r="M495">
        <f t="shared" ref="M495:M523" si="221">_xlfn.STDEV.P(J495:K495)</f>
        <v>0.13500000000000006</v>
      </c>
      <c r="N495">
        <f t="shared" si="200"/>
        <v>0.26999999999999996</v>
      </c>
      <c r="O495">
        <f t="shared" ref="O495:O523" si="222">E495</f>
        <v>0.54</v>
      </c>
      <c r="P495">
        <f t="shared" ref="P495:P523" si="223">(O495-L495)/M495</f>
        <v>0.48148148148148168</v>
      </c>
      <c r="Q495" t="str">
        <f t="shared" si="201"/>
        <v>12.96% | 37.04%</v>
      </c>
      <c r="R495" t="str">
        <f t="shared" ref="R495:R523" si="224">MID(B495,FIND("(",B495,1)+1,FIND(")",B495,1)-FIND("(",B495,1)-1)</f>
        <v>BEARISH</v>
      </c>
      <c r="S495">
        <f t="shared" si="202"/>
        <v>-1</v>
      </c>
    </row>
    <row r="496" spans="1:19" hidden="1" x14ac:dyDescent="0.25">
      <c r="A496" s="5" t="str">
        <f t="shared" si="199"/>
        <v>43909SPX</v>
      </c>
      <c r="B496" s="6" t="s">
        <v>6</v>
      </c>
      <c r="C496" s="6">
        <v>2230</v>
      </c>
      <c r="D496" s="6">
        <v>2568</v>
      </c>
      <c r="E496" s="6">
        <v>2398</v>
      </c>
      <c r="F496" t="str">
        <f t="shared" si="214"/>
        <v>THU</v>
      </c>
      <c r="G496" s="1">
        <f t="shared" si="215"/>
        <v>43909</v>
      </c>
      <c r="H496" s="2">
        <f t="shared" ca="1" si="216"/>
        <v>344</v>
      </c>
      <c r="I496" t="str">
        <f t="shared" si="217"/>
        <v>SPX</v>
      </c>
      <c r="J496">
        <f t="shared" si="218"/>
        <v>2230</v>
      </c>
      <c r="K496">
        <f t="shared" si="219"/>
        <v>2568</v>
      </c>
      <c r="L496">
        <f t="shared" si="220"/>
        <v>2399</v>
      </c>
      <c r="M496">
        <f t="shared" si="221"/>
        <v>169</v>
      </c>
      <c r="N496">
        <f t="shared" si="200"/>
        <v>338</v>
      </c>
      <c r="O496">
        <f t="shared" si="222"/>
        <v>2398</v>
      </c>
      <c r="P496">
        <f t="shared" si="223"/>
        <v>-5.9171597633136093E-3</v>
      </c>
      <c r="Q496" t="str">
        <f t="shared" si="201"/>
        <v>7.01% | 7.09%</v>
      </c>
      <c r="R496" t="str">
        <f t="shared" si="224"/>
        <v>BEARISH</v>
      </c>
      <c r="S496">
        <f t="shared" si="202"/>
        <v>-1</v>
      </c>
    </row>
    <row r="497" spans="1:19" hidden="1" x14ac:dyDescent="0.25">
      <c r="A497" s="5" t="str">
        <f t="shared" si="199"/>
        <v>43909RUT</v>
      </c>
      <c r="B497" s="6" t="s">
        <v>7</v>
      </c>
      <c r="C497" s="6">
        <v>951</v>
      </c>
      <c r="D497" s="6">
        <v>1198</v>
      </c>
      <c r="E497" s="6">
        <v>991</v>
      </c>
      <c r="F497" t="str">
        <f t="shared" si="214"/>
        <v>THU</v>
      </c>
      <c r="G497" s="1">
        <f t="shared" si="215"/>
        <v>43909</v>
      </c>
      <c r="H497" s="2">
        <f t="shared" ca="1" si="216"/>
        <v>344</v>
      </c>
      <c r="I497" t="str">
        <f t="shared" si="217"/>
        <v>RUT</v>
      </c>
      <c r="J497">
        <f t="shared" si="218"/>
        <v>951</v>
      </c>
      <c r="K497">
        <f t="shared" si="219"/>
        <v>1198</v>
      </c>
      <c r="L497">
        <f t="shared" si="220"/>
        <v>1074.5</v>
      </c>
      <c r="M497">
        <f t="shared" si="221"/>
        <v>123.5</v>
      </c>
      <c r="N497">
        <f t="shared" si="200"/>
        <v>247</v>
      </c>
      <c r="O497">
        <f t="shared" si="222"/>
        <v>991</v>
      </c>
      <c r="P497">
        <f t="shared" si="223"/>
        <v>-0.67611336032388669</v>
      </c>
      <c r="Q497" t="str">
        <f t="shared" si="201"/>
        <v>4.04% | 20.89%</v>
      </c>
      <c r="R497" t="str">
        <f t="shared" si="224"/>
        <v>BEARISH</v>
      </c>
      <c r="S497">
        <f t="shared" si="202"/>
        <v>-1</v>
      </c>
    </row>
    <row r="498" spans="1:19" hidden="1" x14ac:dyDescent="0.25">
      <c r="A498" s="5" t="str">
        <f t="shared" si="199"/>
        <v>43909COMPQ</v>
      </c>
      <c r="B498" s="6" t="s">
        <v>64</v>
      </c>
      <c r="C498" s="6">
        <v>6534</v>
      </c>
      <c r="D498" s="6">
        <v>7670</v>
      </c>
      <c r="E498" s="6">
        <v>6989</v>
      </c>
      <c r="F498" t="str">
        <f t="shared" si="214"/>
        <v>THU</v>
      </c>
      <c r="G498" s="1">
        <f t="shared" si="215"/>
        <v>43909</v>
      </c>
      <c r="H498" s="2">
        <f t="shared" ca="1" si="216"/>
        <v>344</v>
      </c>
      <c r="I498" t="str">
        <f t="shared" si="217"/>
        <v>COMPQ</v>
      </c>
      <c r="J498">
        <f t="shared" si="218"/>
        <v>6534</v>
      </c>
      <c r="K498">
        <f t="shared" si="219"/>
        <v>7670</v>
      </c>
      <c r="L498">
        <f t="shared" si="220"/>
        <v>7102</v>
      </c>
      <c r="M498">
        <f t="shared" si="221"/>
        <v>568</v>
      </c>
      <c r="N498">
        <f t="shared" si="200"/>
        <v>1136</v>
      </c>
      <c r="O498">
        <f t="shared" si="222"/>
        <v>6989</v>
      </c>
      <c r="P498">
        <f t="shared" si="223"/>
        <v>-0.198943661971831</v>
      </c>
      <c r="Q498" t="str">
        <f t="shared" si="201"/>
        <v>6.51% | 9.74%</v>
      </c>
      <c r="R498" t="str">
        <f t="shared" si="224"/>
        <v>BEARISH</v>
      </c>
      <c r="S498">
        <f t="shared" si="202"/>
        <v>-1</v>
      </c>
    </row>
    <row r="499" spans="1:19" hidden="1" x14ac:dyDescent="0.25">
      <c r="A499" s="5" t="str">
        <f t="shared" si="199"/>
        <v>43909XLU</v>
      </c>
      <c r="B499" s="6" t="s">
        <v>82</v>
      </c>
      <c r="C499" s="6">
        <v>48.34</v>
      </c>
      <c r="D499" s="6">
        <v>59.08</v>
      </c>
      <c r="E499" s="6">
        <v>55.15</v>
      </c>
      <c r="F499" t="str">
        <f t="shared" si="214"/>
        <v>THU</v>
      </c>
      <c r="G499" s="1">
        <f t="shared" si="215"/>
        <v>43909</v>
      </c>
      <c r="H499" s="2">
        <f t="shared" ca="1" si="216"/>
        <v>344</v>
      </c>
      <c r="I499" t="str">
        <f t="shared" si="217"/>
        <v>XLU</v>
      </c>
      <c r="J499">
        <f t="shared" si="218"/>
        <v>48.34</v>
      </c>
      <c r="K499">
        <f t="shared" si="219"/>
        <v>59.08</v>
      </c>
      <c r="L499">
        <f t="shared" si="220"/>
        <v>53.71</v>
      </c>
      <c r="M499">
        <f t="shared" si="221"/>
        <v>5.3699999999999974</v>
      </c>
      <c r="N499">
        <f t="shared" si="200"/>
        <v>10.739999999999995</v>
      </c>
      <c r="O499">
        <f t="shared" si="222"/>
        <v>55.15</v>
      </c>
      <c r="P499">
        <f t="shared" si="223"/>
        <v>0.2681564245810053</v>
      </c>
      <c r="Q499" t="str">
        <f t="shared" si="201"/>
        <v>12.35% | 7.13%</v>
      </c>
      <c r="R499" t="str">
        <f t="shared" si="224"/>
        <v>BEARISH</v>
      </c>
      <c r="S499">
        <f t="shared" si="202"/>
        <v>-1</v>
      </c>
    </row>
    <row r="500" spans="1:19" hidden="1" x14ac:dyDescent="0.25">
      <c r="A500" s="5" t="str">
        <f t="shared" si="199"/>
        <v>43909VNQ</v>
      </c>
      <c r="B500" s="6" t="s">
        <v>67</v>
      </c>
      <c r="C500" s="6">
        <v>51</v>
      </c>
      <c r="D500" s="6">
        <v>76.05</v>
      </c>
      <c r="E500" s="6">
        <v>62.59</v>
      </c>
      <c r="F500" t="str">
        <f t="shared" si="214"/>
        <v>THU</v>
      </c>
      <c r="G500" s="1">
        <f t="shared" si="215"/>
        <v>43909</v>
      </c>
      <c r="H500" s="2">
        <f t="shared" ca="1" si="216"/>
        <v>344</v>
      </c>
      <c r="I500" t="str">
        <f t="shared" si="217"/>
        <v>VNQ</v>
      </c>
      <c r="J500">
        <f t="shared" si="218"/>
        <v>51</v>
      </c>
      <c r="K500">
        <f t="shared" si="219"/>
        <v>76.05</v>
      </c>
      <c r="L500">
        <f t="shared" si="220"/>
        <v>63.524999999999999</v>
      </c>
      <c r="M500">
        <f t="shared" si="221"/>
        <v>12.525000000000023</v>
      </c>
      <c r="N500">
        <f t="shared" si="200"/>
        <v>25.049999999999997</v>
      </c>
      <c r="O500">
        <f t="shared" si="222"/>
        <v>62.59</v>
      </c>
      <c r="P500">
        <f t="shared" si="223"/>
        <v>-7.4650698602793886E-2</v>
      </c>
      <c r="Q500" t="str">
        <f t="shared" si="201"/>
        <v>18.52% | 21.51%</v>
      </c>
      <c r="R500" t="str">
        <f t="shared" si="224"/>
        <v>BEARISH</v>
      </c>
      <c r="S500">
        <f t="shared" si="202"/>
        <v>-1</v>
      </c>
    </row>
    <row r="501" spans="1:19" hidden="1" x14ac:dyDescent="0.25">
      <c r="A501" s="5" t="str">
        <f t="shared" si="199"/>
        <v>43909XLP</v>
      </c>
      <c r="B501" s="6" t="s">
        <v>11</v>
      </c>
      <c r="C501" s="6">
        <v>50.06</v>
      </c>
      <c r="D501" s="6">
        <v>57.88</v>
      </c>
      <c r="E501" s="6">
        <v>55.75</v>
      </c>
      <c r="F501" t="str">
        <f t="shared" si="214"/>
        <v>THU</v>
      </c>
      <c r="G501" s="1">
        <f t="shared" si="215"/>
        <v>43909</v>
      </c>
      <c r="H501" s="2">
        <f t="shared" ca="1" si="216"/>
        <v>344</v>
      </c>
      <c r="I501" t="str">
        <f t="shared" si="217"/>
        <v>XLP</v>
      </c>
      <c r="J501">
        <f t="shared" si="218"/>
        <v>50.06</v>
      </c>
      <c r="K501">
        <f t="shared" si="219"/>
        <v>57.88</v>
      </c>
      <c r="L501">
        <f t="shared" si="220"/>
        <v>53.97</v>
      </c>
      <c r="M501">
        <f t="shared" si="221"/>
        <v>3.91</v>
      </c>
      <c r="N501">
        <f t="shared" si="200"/>
        <v>7.82</v>
      </c>
      <c r="O501">
        <f t="shared" si="222"/>
        <v>55.75</v>
      </c>
      <c r="P501">
        <f t="shared" si="223"/>
        <v>0.45524296675191844</v>
      </c>
      <c r="Q501" t="str">
        <f t="shared" si="201"/>
        <v>10.21% | 3.82%</v>
      </c>
      <c r="R501" t="str">
        <f t="shared" si="224"/>
        <v>BEARISH</v>
      </c>
      <c r="S501">
        <f t="shared" si="202"/>
        <v>-1</v>
      </c>
    </row>
    <row r="502" spans="1:19" hidden="1" x14ac:dyDescent="0.25">
      <c r="A502" s="5" t="str">
        <f t="shared" si="199"/>
        <v>43909XLK</v>
      </c>
      <c r="B502" s="6" t="s">
        <v>65</v>
      </c>
      <c r="C502" s="6">
        <v>68.55</v>
      </c>
      <c r="D502" s="6">
        <v>80.61</v>
      </c>
      <c r="E502" s="6">
        <v>74.58</v>
      </c>
      <c r="F502" t="str">
        <f t="shared" si="214"/>
        <v>THU</v>
      </c>
      <c r="G502" s="1">
        <f t="shared" si="215"/>
        <v>43909</v>
      </c>
      <c r="H502" s="2">
        <f t="shared" ca="1" si="216"/>
        <v>344</v>
      </c>
      <c r="I502" t="str">
        <f t="shared" si="217"/>
        <v>XLK</v>
      </c>
      <c r="J502">
        <f t="shared" si="218"/>
        <v>68.55</v>
      </c>
      <c r="K502">
        <f t="shared" si="219"/>
        <v>80.61</v>
      </c>
      <c r="L502">
        <f t="shared" si="220"/>
        <v>74.58</v>
      </c>
      <c r="M502">
        <f t="shared" si="221"/>
        <v>6.0300000000000011</v>
      </c>
      <c r="N502">
        <f t="shared" si="200"/>
        <v>12.060000000000002</v>
      </c>
      <c r="O502">
        <f t="shared" si="222"/>
        <v>74.58</v>
      </c>
      <c r="P502">
        <f t="shared" si="223"/>
        <v>0</v>
      </c>
      <c r="Q502" t="str">
        <f t="shared" si="201"/>
        <v>8.09% | 8.09%</v>
      </c>
      <c r="R502" t="str">
        <f t="shared" si="224"/>
        <v>BEARISH</v>
      </c>
      <c r="S502">
        <f t="shared" si="202"/>
        <v>-1</v>
      </c>
    </row>
    <row r="503" spans="1:19" hidden="1" x14ac:dyDescent="0.25">
      <c r="A503" s="5" t="str">
        <f t="shared" si="199"/>
        <v>43909SSEC</v>
      </c>
      <c r="B503" s="6" t="s">
        <v>14</v>
      </c>
      <c r="C503" s="6">
        <v>2674</v>
      </c>
      <c r="D503" s="6">
        <v>2895</v>
      </c>
      <c r="E503" s="6">
        <v>2702</v>
      </c>
      <c r="F503" t="str">
        <f t="shared" si="214"/>
        <v>THU</v>
      </c>
      <c r="G503" s="1">
        <f t="shared" si="215"/>
        <v>43909</v>
      </c>
      <c r="H503" s="2">
        <f t="shared" ca="1" si="216"/>
        <v>344</v>
      </c>
      <c r="I503" t="str">
        <f t="shared" si="217"/>
        <v>SSEC</v>
      </c>
      <c r="J503">
        <f t="shared" si="218"/>
        <v>2674</v>
      </c>
      <c r="K503">
        <f t="shared" si="219"/>
        <v>2895</v>
      </c>
      <c r="L503">
        <f t="shared" si="220"/>
        <v>2784.5</v>
      </c>
      <c r="M503">
        <f t="shared" si="221"/>
        <v>110.5</v>
      </c>
      <c r="N503">
        <f t="shared" si="200"/>
        <v>221</v>
      </c>
      <c r="O503">
        <f t="shared" si="222"/>
        <v>2702</v>
      </c>
      <c r="P503">
        <f t="shared" si="223"/>
        <v>-0.74660633484162897</v>
      </c>
      <c r="Q503" t="str">
        <f t="shared" si="201"/>
        <v>1.04% | 7.14%</v>
      </c>
      <c r="R503" t="str">
        <f t="shared" si="224"/>
        <v>BEARISH</v>
      </c>
      <c r="S503">
        <f t="shared" si="202"/>
        <v>-1</v>
      </c>
    </row>
    <row r="504" spans="1:19" hidden="1" x14ac:dyDescent="0.25">
      <c r="A504" s="5" t="str">
        <f t="shared" si="199"/>
        <v>43909NIKK</v>
      </c>
      <c r="B504" s="6" t="s">
        <v>15</v>
      </c>
      <c r="C504" s="6">
        <v>15607</v>
      </c>
      <c r="D504" s="6">
        <v>18305</v>
      </c>
      <c r="E504" s="6">
        <v>16552</v>
      </c>
      <c r="F504" t="str">
        <f t="shared" si="214"/>
        <v>THU</v>
      </c>
      <c r="G504" s="1">
        <f t="shared" si="215"/>
        <v>43909</v>
      </c>
      <c r="H504" s="2">
        <f t="shared" ca="1" si="216"/>
        <v>344</v>
      </c>
      <c r="I504" t="str">
        <f t="shared" si="217"/>
        <v>NIKK</v>
      </c>
      <c r="J504">
        <f t="shared" si="218"/>
        <v>15607</v>
      </c>
      <c r="K504">
        <f t="shared" si="219"/>
        <v>18305</v>
      </c>
      <c r="L504">
        <f t="shared" si="220"/>
        <v>16956</v>
      </c>
      <c r="M504">
        <f t="shared" si="221"/>
        <v>1349</v>
      </c>
      <c r="N504">
        <f t="shared" si="200"/>
        <v>2698</v>
      </c>
      <c r="O504">
        <f t="shared" si="222"/>
        <v>16552</v>
      </c>
      <c r="P504">
        <f t="shared" si="223"/>
        <v>-0.29948109710896959</v>
      </c>
      <c r="Q504" t="str">
        <f t="shared" si="201"/>
        <v>5.71% | 10.59%</v>
      </c>
      <c r="R504" t="str">
        <f t="shared" si="224"/>
        <v>BEARISH</v>
      </c>
      <c r="S504">
        <f t="shared" si="202"/>
        <v>-1</v>
      </c>
    </row>
    <row r="505" spans="1:19" hidden="1" x14ac:dyDescent="0.25">
      <c r="A505" s="5" t="str">
        <f t="shared" si="199"/>
        <v>43909DAX</v>
      </c>
      <c r="B505" s="6" t="s">
        <v>16</v>
      </c>
      <c r="C505" s="6">
        <v>7729</v>
      </c>
      <c r="D505" s="6">
        <v>9785</v>
      </c>
      <c r="E505" s="6">
        <v>8450</v>
      </c>
      <c r="F505" t="str">
        <f t="shared" si="214"/>
        <v>THU</v>
      </c>
      <c r="G505" s="1">
        <f t="shared" si="215"/>
        <v>43909</v>
      </c>
      <c r="H505" s="2">
        <f t="shared" ca="1" si="216"/>
        <v>344</v>
      </c>
      <c r="I505" t="str">
        <f t="shared" si="217"/>
        <v>DAX</v>
      </c>
      <c r="J505">
        <f t="shared" si="218"/>
        <v>7729</v>
      </c>
      <c r="K505">
        <f t="shared" si="219"/>
        <v>9785</v>
      </c>
      <c r="L505">
        <f t="shared" si="220"/>
        <v>8757</v>
      </c>
      <c r="M505">
        <f t="shared" si="221"/>
        <v>1028</v>
      </c>
      <c r="N505">
        <f t="shared" si="200"/>
        <v>2056</v>
      </c>
      <c r="O505">
        <f t="shared" si="222"/>
        <v>8450</v>
      </c>
      <c r="P505">
        <f t="shared" si="223"/>
        <v>-0.29863813229571984</v>
      </c>
      <c r="Q505" t="str">
        <f t="shared" si="201"/>
        <v>8.53% | 15.8%</v>
      </c>
      <c r="R505" t="str">
        <f t="shared" si="224"/>
        <v>BEARISH</v>
      </c>
      <c r="S505">
        <f t="shared" si="202"/>
        <v>-1</v>
      </c>
    </row>
    <row r="506" spans="1:19" hidden="1" x14ac:dyDescent="0.25">
      <c r="A506" s="5" t="str">
        <f t="shared" si="199"/>
        <v>43909VIX</v>
      </c>
      <c r="B506" s="6" t="s">
        <v>17</v>
      </c>
      <c r="C506" s="6">
        <v>44.26</v>
      </c>
      <c r="D506" s="6">
        <v>90.98</v>
      </c>
      <c r="E506" s="6">
        <v>76.45</v>
      </c>
      <c r="F506" t="str">
        <f t="shared" si="214"/>
        <v>THU</v>
      </c>
      <c r="G506" s="1">
        <f t="shared" si="215"/>
        <v>43909</v>
      </c>
      <c r="H506" s="2">
        <f t="shared" ca="1" si="216"/>
        <v>344</v>
      </c>
      <c r="I506" t="str">
        <f t="shared" si="217"/>
        <v>VIX</v>
      </c>
      <c r="J506">
        <f t="shared" si="218"/>
        <v>44.26</v>
      </c>
      <c r="K506">
        <f t="shared" si="219"/>
        <v>90.98</v>
      </c>
      <c r="L506">
        <f t="shared" si="220"/>
        <v>67.62</v>
      </c>
      <c r="M506">
        <f t="shared" si="221"/>
        <v>23.359999999999992</v>
      </c>
      <c r="N506">
        <f t="shared" si="200"/>
        <v>46.720000000000006</v>
      </c>
      <c r="O506">
        <f t="shared" si="222"/>
        <v>76.45</v>
      </c>
      <c r="P506">
        <f t="shared" si="223"/>
        <v>0.37799657534246578</v>
      </c>
      <c r="Q506" t="str">
        <f t="shared" si="201"/>
        <v>42.11% | 19.01%</v>
      </c>
      <c r="R506" t="str">
        <f t="shared" si="224"/>
        <v>BULLISH</v>
      </c>
      <c r="S506">
        <f t="shared" si="202"/>
        <v>1</v>
      </c>
    </row>
    <row r="507" spans="1:19" hidden="1" x14ac:dyDescent="0.25">
      <c r="A507" s="5" t="str">
        <f t="shared" si="199"/>
        <v>43909USD</v>
      </c>
      <c r="B507" s="6" t="s">
        <v>18</v>
      </c>
      <c r="C507" s="6">
        <v>96.11</v>
      </c>
      <c r="D507" s="6">
        <v>102.7</v>
      </c>
      <c r="E507" s="6">
        <v>101.54</v>
      </c>
      <c r="F507" t="str">
        <f t="shared" si="214"/>
        <v>THU</v>
      </c>
      <c r="G507" s="1">
        <f t="shared" si="215"/>
        <v>43909</v>
      </c>
      <c r="H507" s="2">
        <f t="shared" ca="1" si="216"/>
        <v>344</v>
      </c>
      <c r="I507" t="str">
        <f t="shared" si="217"/>
        <v>USD</v>
      </c>
      <c r="J507">
        <f t="shared" si="218"/>
        <v>96.11</v>
      </c>
      <c r="K507">
        <f t="shared" si="219"/>
        <v>102.7</v>
      </c>
      <c r="L507">
        <f t="shared" si="220"/>
        <v>99.405000000000001</v>
      </c>
      <c r="M507">
        <f t="shared" si="221"/>
        <v>3.2950000000000017</v>
      </c>
      <c r="N507">
        <f t="shared" si="200"/>
        <v>6.5900000000000034</v>
      </c>
      <c r="O507">
        <f t="shared" si="222"/>
        <v>101.54</v>
      </c>
      <c r="P507">
        <f t="shared" si="223"/>
        <v>0.64795144157814988</v>
      </c>
      <c r="Q507" t="str">
        <f t="shared" si="201"/>
        <v>5.35% | 1.14%</v>
      </c>
      <c r="R507" t="str">
        <f t="shared" si="224"/>
        <v>BULLISH</v>
      </c>
      <c r="S507">
        <f t="shared" si="202"/>
        <v>1</v>
      </c>
    </row>
    <row r="508" spans="1:19" hidden="1" x14ac:dyDescent="0.25">
      <c r="A508" s="5" t="str">
        <f t="shared" si="199"/>
        <v>43909EUR/USD</v>
      </c>
      <c r="B508" s="6" t="s">
        <v>19</v>
      </c>
      <c r="C508" s="6">
        <v>1.07</v>
      </c>
      <c r="D508" s="6">
        <v>1.1100000000000001</v>
      </c>
      <c r="E508" s="6">
        <v>1.0900000000000001</v>
      </c>
      <c r="F508" t="str">
        <f t="shared" si="214"/>
        <v>THU</v>
      </c>
      <c r="G508" s="1">
        <f t="shared" si="215"/>
        <v>43909</v>
      </c>
      <c r="H508" s="2">
        <f t="shared" ca="1" si="216"/>
        <v>344</v>
      </c>
      <c r="I508" t="str">
        <f t="shared" si="217"/>
        <v>EUR/USD</v>
      </c>
      <c r="J508">
        <f t="shared" si="218"/>
        <v>1.07</v>
      </c>
      <c r="K508">
        <f t="shared" si="219"/>
        <v>1.1100000000000001</v>
      </c>
      <c r="L508">
        <f t="shared" si="220"/>
        <v>1.0900000000000001</v>
      </c>
      <c r="M508">
        <f t="shared" si="221"/>
        <v>2.0000000000000018E-2</v>
      </c>
      <c r="N508">
        <f t="shared" si="200"/>
        <v>4.0000000000000036E-2</v>
      </c>
      <c r="O508">
        <f t="shared" si="222"/>
        <v>1.0900000000000001</v>
      </c>
      <c r="P508">
        <f t="shared" si="223"/>
        <v>0</v>
      </c>
      <c r="Q508" t="str">
        <f t="shared" si="201"/>
        <v>1.83% | 1.83%</v>
      </c>
      <c r="R508" t="str">
        <f t="shared" si="224"/>
        <v>BEARISH</v>
      </c>
      <c r="S508">
        <f t="shared" si="202"/>
        <v>-1</v>
      </c>
    </row>
    <row r="509" spans="1:19" hidden="1" x14ac:dyDescent="0.25">
      <c r="A509" s="5" t="str">
        <f t="shared" si="199"/>
        <v>43909USD/JPY</v>
      </c>
      <c r="B509" s="6" t="s">
        <v>86</v>
      </c>
      <c r="C509" s="6">
        <v>102.81</v>
      </c>
      <c r="D509" s="6">
        <v>110.29</v>
      </c>
      <c r="E509" s="6">
        <v>108.06</v>
      </c>
      <c r="F509" t="str">
        <f t="shared" si="214"/>
        <v>THU</v>
      </c>
      <c r="G509" s="1">
        <f t="shared" si="215"/>
        <v>43909</v>
      </c>
      <c r="H509" s="2">
        <f t="shared" ca="1" si="216"/>
        <v>344</v>
      </c>
      <c r="I509" t="str">
        <f t="shared" si="217"/>
        <v>USD/JPY</v>
      </c>
      <c r="J509">
        <f t="shared" si="218"/>
        <v>102.81</v>
      </c>
      <c r="K509">
        <f t="shared" si="219"/>
        <v>110.29</v>
      </c>
      <c r="L509">
        <f t="shared" si="220"/>
        <v>106.55000000000001</v>
      </c>
      <c r="M509">
        <f t="shared" si="221"/>
        <v>3.740000000000002</v>
      </c>
      <c r="N509">
        <f t="shared" si="200"/>
        <v>7.480000000000004</v>
      </c>
      <c r="O509">
        <f t="shared" si="222"/>
        <v>108.06</v>
      </c>
      <c r="P509">
        <f t="shared" si="223"/>
        <v>0.40374331550801873</v>
      </c>
      <c r="Q509" t="str">
        <f t="shared" si="201"/>
        <v>4.86% | 2.06%</v>
      </c>
      <c r="R509" t="str">
        <f t="shared" si="224"/>
        <v>NEUTRAL</v>
      </c>
      <c r="S509">
        <f t="shared" si="202"/>
        <v>0</v>
      </c>
    </row>
    <row r="510" spans="1:19" hidden="1" x14ac:dyDescent="0.25">
      <c r="A510" s="5" t="str">
        <f t="shared" si="199"/>
        <v>43909GBP/USD</v>
      </c>
      <c r="B510" s="6" t="s">
        <v>21</v>
      </c>
      <c r="C510" s="6">
        <v>1.1399999999999999</v>
      </c>
      <c r="D510" s="6">
        <v>1.21</v>
      </c>
      <c r="E510" s="6">
        <v>1.1599999999999999</v>
      </c>
      <c r="F510" t="str">
        <f t="shared" si="214"/>
        <v>THU</v>
      </c>
      <c r="G510" s="1">
        <f t="shared" si="215"/>
        <v>43909</v>
      </c>
      <c r="H510" s="2">
        <f t="shared" ca="1" si="216"/>
        <v>344</v>
      </c>
      <c r="I510" t="str">
        <f t="shared" si="217"/>
        <v>GBP/USD</v>
      </c>
      <c r="J510">
        <f t="shared" si="218"/>
        <v>1.1399999999999999</v>
      </c>
      <c r="K510">
        <f t="shared" si="219"/>
        <v>1.21</v>
      </c>
      <c r="L510">
        <f t="shared" si="220"/>
        <v>1.1749999999999998</v>
      </c>
      <c r="M510">
        <f t="shared" si="221"/>
        <v>3.5000000000000031E-2</v>
      </c>
      <c r="N510">
        <f t="shared" si="200"/>
        <v>7.0000000000000062E-2</v>
      </c>
      <c r="O510">
        <f t="shared" si="222"/>
        <v>1.1599999999999999</v>
      </c>
      <c r="P510">
        <f t="shared" si="223"/>
        <v>-0.42857142857142538</v>
      </c>
      <c r="Q510" t="str">
        <f t="shared" si="201"/>
        <v>1.72% | 4.31%</v>
      </c>
      <c r="R510" t="str">
        <f t="shared" si="224"/>
        <v>BEARISH</v>
      </c>
      <c r="S510">
        <f t="shared" si="202"/>
        <v>-1</v>
      </c>
    </row>
    <row r="511" spans="1:19" hidden="1" x14ac:dyDescent="0.25">
      <c r="A511" s="5" t="str">
        <f t="shared" si="199"/>
        <v>43909USD/CHF</v>
      </c>
      <c r="B511" s="6" t="s">
        <v>22</v>
      </c>
      <c r="C511" s="6">
        <v>0.92</v>
      </c>
      <c r="D511" s="6">
        <v>0.97</v>
      </c>
      <c r="E511" s="6">
        <v>0.96</v>
      </c>
      <c r="F511" t="str">
        <f t="shared" si="214"/>
        <v>THU</v>
      </c>
      <c r="G511" s="1">
        <f t="shared" si="215"/>
        <v>43909</v>
      </c>
      <c r="H511" s="2">
        <f t="shared" ca="1" si="216"/>
        <v>344</v>
      </c>
      <c r="I511" t="str">
        <f t="shared" si="217"/>
        <v>USD/CHF</v>
      </c>
      <c r="J511">
        <f t="shared" si="218"/>
        <v>0.92</v>
      </c>
      <c r="K511">
        <f t="shared" si="219"/>
        <v>0.97</v>
      </c>
      <c r="L511">
        <f t="shared" si="220"/>
        <v>0.94500000000000006</v>
      </c>
      <c r="M511">
        <f t="shared" si="221"/>
        <v>2.4999999999999967E-2</v>
      </c>
      <c r="N511">
        <f t="shared" si="200"/>
        <v>4.9999999999999933E-2</v>
      </c>
      <c r="O511">
        <f t="shared" si="222"/>
        <v>0.96</v>
      </c>
      <c r="P511">
        <f t="shared" si="223"/>
        <v>0.59999999999999687</v>
      </c>
      <c r="Q511" t="str">
        <f t="shared" si="201"/>
        <v>4.17% | 1.04%</v>
      </c>
      <c r="R511" t="str">
        <f t="shared" si="224"/>
        <v>NEUTRAL</v>
      </c>
      <c r="S511">
        <f t="shared" si="202"/>
        <v>0</v>
      </c>
    </row>
    <row r="512" spans="1:19" hidden="1" x14ac:dyDescent="0.25">
      <c r="A512" s="5" t="str">
        <f t="shared" si="199"/>
        <v>43909WTIC</v>
      </c>
      <c r="B512" s="6" t="s">
        <v>23</v>
      </c>
      <c r="C512" s="6">
        <v>20.02</v>
      </c>
      <c r="D512" s="6">
        <v>30.05</v>
      </c>
      <c r="E512" s="6">
        <v>20.83</v>
      </c>
      <c r="F512" t="str">
        <f t="shared" si="214"/>
        <v>THU</v>
      </c>
      <c r="G512" s="1">
        <f t="shared" si="215"/>
        <v>43909</v>
      </c>
      <c r="H512" s="2">
        <f t="shared" ca="1" si="216"/>
        <v>344</v>
      </c>
      <c r="I512" t="str">
        <f t="shared" si="217"/>
        <v>WTIC</v>
      </c>
      <c r="J512">
        <f t="shared" si="218"/>
        <v>20.02</v>
      </c>
      <c r="K512">
        <f t="shared" si="219"/>
        <v>30.05</v>
      </c>
      <c r="L512">
        <f t="shared" si="220"/>
        <v>25.035</v>
      </c>
      <c r="M512">
        <f t="shared" si="221"/>
        <v>5.0150000000000095</v>
      </c>
      <c r="N512">
        <f t="shared" si="200"/>
        <v>10.030000000000001</v>
      </c>
      <c r="O512">
        <f t="shared" si="222"/>
        <v>20.83</v>
      </c>
      <c r="P512">
        <f t="shared" si="223"/>
        <v>-0.83848454636091607</v>
      </c>
      <c r="Q512" t="str">
        <f t="shared" si="201"/>
        <v>3.89% | 44.26%</v>
      </c>
      <c r="R512" t="str">
        <f t="shared" si="224"/>
        <v>BEARISH</v>
      </c>
      <c r="S512">
        <f t="shared" si="202"/>
        <v>-1</v>
      </c>
    </row>
    <row r="513" spans="1:19" hidden="1" x14ac:dyDescent="0.25">
      <c r="A513" s="5" t="str">
        <f t="shared" si="199"/>
        <v>43909NATGAS</v>
      </c>
      <c r="B513" s="6" t="s">
        <v>24</v>
      </c>
      <c r="C513" s="6">
        <v>1.57</v>
      </c>
      <c r="D513" s="6">
        <v>1.84</v>
      </c>
      <c r="E513" s="6">
        <v>1.6</v>
      </c>
      <c r="F513" t="str">
        <f t="shared" si="214"/>
        <v>THU</v>
      </c>
      <c r="G513" s="1">
        <f t="shared" si="215"/>
        <v>43909</v>
      </c>
      <c r="H513" s="2">
        <f t="shared" ca="1" si="216"/>
        <v>344</v>
      </c>
      <c r="I513" t="str">
        <f t="shared" si="217"/>
        <v>NATGAS</v>
      </c>
      <c r="J513">
        <f t="shared" si="218"/>
        <v>1.57</v>
      </c>
      <c r="K513">
        <f t="shared" si="219"/>
        <v>1.84</v>
      </c>
      <c r="L513">
        <f t="shared" si="220"/>
        <v>1.7050000000000001</v>
      </c>
      <c r="M513">
        <f t="shared" si="221"/>
        <v>0.13500000000000001</v>
      </c>
      <c r="N513">
        <f t="shared" si="200"/>
        <v>0.27</v>
      </c>
      <c r="O513">
        <f t="shared" si="222"/>
        <v>1.6</v>
      </c>
      <c r="P513">
        <f t="shared" si="223"/>
        <v>-0.77777777777777757</v>
      </c>
      <c r="Q513" t="str">
        <f t="shared" si="201"/>
        <v>1.88% | 15%</v>
      </c>
      <c r="R513" t="str">
        <f t="shared" si="224"/>
        <v>BEARISH</v>
      </c>
      <c r="S513">
        <f t="shared" si="202"/>
        <v>-1</v>
      </c>
    </row>
    <row r="514" spans="1:19" hidden="1" x14ac:dyDescent="0.25">
      <c r="A514" s="5" t="str">
        <f t="shared" si="199"/>
        <v>43909GOLD</v>
      </c>
      <c r="B514" s="6" t="s">
        <v>85</v>
      </c>
      <c r="C514" s="6">
        <v>1420</v>
      </c>
      <c r="D514" s="6">
        <v>1560</v>
      </c>
      <c r="E514" s="6">
        <v>1477</v>
      </c>
      <c r="F514" t="str">
        <f t="shared" si="214"/>
        <v>THU</v>
      </c>
      <c r="G514" s="1">
        <f t="shared" si="215"/>
        <v>43909</v>
      </c>
      <c r="H514" s="2">
        <f t="shared" ca="1" si="216"/>
        <v>344</v>
      </c>
      <c r="I514" t="str">
        <f t="shared" si="217"/>
        <v>GOLD</v>
      </c>
      <c r="J514">
        <f t="shared" si="218"/>
        <v>1420</v>
      </c>
      <c r="K514">
        <f t="shared" si="219"/>
        <v>1560</v>
      </c>
      <c r="L514">
        <f t="shared" si="220"/>
        <v>1490</v>
      </c>
      <c r="M514">
        <f t="shared" si="221"/>
        <v>70</v>
      </c>
      <c r="N514">
        <f t="shared" si="200"/>
        <v>140</v>
      </c>
      <c r="O514">
        <f t="shared" si="222"/>
        <v>1477</v>
      </c>
      <c r="P514">
        <f t="shared" si="223"/>
        <v>-0.18571428571428572</v>
      </c>
      <c r="Q514" t="str">
        <f t="shared" si="201"/>
        <v>3.86% | 5.62%</v>
      </c>
      <c r="R514" t="str">
        <f t="shared" si="224"/>
        <v>BEARISH</v>
      </c>
      <c r="S514">
        <f t="shared" si="202"/>
        <v>-1</v>
      </c>
    </row>
    <row r="515" spans="1:19" hidden="1" x14ac:dyDescent="0.25">
      <c r="A515" s="5" t="str">
        <f t="shared" ref="A515:A578" si="225">G515&amp;I515</f>
        <v>43909COPPER</v>
      </c>
      <c r="B515" s="6" t="s">
        <v>26</v>
      </c>
      <c r="C515" s="6">
        <v>2.0099999999999998</v>
      </c>
      <c r="D515" s="6">
        <v>2.33</v>
      </c>
      <c r="E515" s="6">
        <v>2.15</v>
      </c>
      <c r="F515" t="str">
        <f t="shared" si="214"/>
        <v>THU</v>
      </c>
      <c r="G515" s="1">
        <f t="shared" si="215"/>
        <v>43909</v>
      </c>
      <c r="H515" s="2">
        <f t="shared" ca="1" si="216"/>
        <v>344</v>
      </c>
      <c r="I515" t="str">
        <f t="shared" si="217"/>
        <v>COPPER</v>
      </c>
      <c r="J515">
        <f t="shared" si="218"/>
        <v>2.0099999999999998</v>
      </c>
      <c r="K515">
        <f t="shared" si="219"/>
        <v>2.33</v>
      </c>
      <c r="L515">
        <f t="shared" si="220"/>
        <v>2.17</v>
      </c>
      <c r="M515">
        <f t="shared" si="221"/>
        <v>0.16000000000000014</v>
      </c>
      <c r="N515">
        <f t="shared" ref="N515:N578" si="226">ABS(K515-J515)</f>
        <v>0.32000000000000028</v>
      </c>
      <c r="O515">
        <f t="shared" si="222"/>
        <v>2.15</v>
      </c>
      <c r="P515">
        <f t="shared" si="223"/>
        <v>-0.125</v>
      </c>
      <c r="Q515" t="str">
        <f t="shared" ref="Q515:Q578" si="227">ROUND(ABS(100*(O515-J515)/O515),2)&amp;"% | "&amp;ROUND(ABS(100*(K515-O515)/O515),2)&amp;"%"</f>
        <v>6.51% | 8.37%</v>
      </c>
      <c r="R515" t="str">
        <f t="shared" si="224"/>
        <v>BEARISH</v>
      </c>
      <c r="S515">
        <f t="shared" ref="S515:S578" si="228">IF(R515="BEARISH",-1,IF(R515="NEUTRAL",0,IF(R515="BULLISH",1,99)))</f>
        <v>-1</v>
      </c>
    </row>
    <row r="516" spans="1:19" hidden="1" x14ac:dyDescent="0.25">
      <c r="A516" s="5" t="str">
        <f t="shared" si="225"/>
        <v>43909AAPL</v>
      </c>
      <c r="B516" s="6" t="s">
        <v>68</v>
      </c>
      <c r="C516" s="6">
        <v>230.09</v>
      </c>
      <c r="D516" s="6">
        <v>264.98</v>
      </c>
      <c r="E516" s="6">
        <v>246.67</v>
      </c>
      <c r="F516" t="str">
        <f t="shared" si="214"/>
        <v>THU</v>
      </c>
      <c r="G516" s="1">
        <f t="shared" si="215"/>
        <v>43909</v>
      </c>
      <c r="H516" s="2">
        <f t="shared" ca="1" si="216"/>
        <v>344</v>
      </c>
      <c r="I516" t="str">
        <f t="shared" si="217"/>
        <v>AAPL</v>
      </c>
      <c r="J516">
        <f t="shared" si="218"/>
        <v>230.09</v>
      </c>
      <c r="K516">
        <f t="shared" si="219"/>
        <v>264.98</v>
      </c>
      <c r="L516">
        <f t="shared" si="220"/>
        <v>247.53500000000003</v>
      </c>
      <c r="M516">
        <f t="shared" si="221"/>
        <v>17.445000000000007</v>
      </c>
      <c r="N516">
        <f t="shared" si="226"/>
        <v>34.890000000000015</v>
      </c>
      <c r="O516">
        <f t="shared" si="222"/>
        <v>246.67</v>
      </c>
      <c r="P516">
        <f t="shared" si="223"/>
        <v>-4.9584408139870285E-2</v>
      </c>
      <c r="Q516" t="str">
        <f t="shared" si="227"/>
        <v>6.72% | 7.42%</v>
      </c>
      <c r="R516" t="str">
        <f t="shared" si="224"/>
        <v>BEARISH</v>
      </c>
      <c r="S516">
        <f t="shared" si="228"/>
        <v>-1</v>
      </c>
    </row>
    <row r="517" spans="1:19" hidden="1" x14ac:dyDescent="0.25">
      <c r="A517" s="5" t="str">
        <f t="shared" si="225"/>
        <v>43909AMZN</v>
      </c>
      <c r="B517" s="6" t="s">
        <v>73</v>
      </c>
      <c r="C517" s="6">
        <v>1634</v>
      </c>
      <c r="D517" s="6">
        <v>1893</v>
      </c>
      <c r="E517" s="6">
        <v>1830</v>
      </c>
      <c r="F517" t="str">
        <f t="shared" si="214"/>
        <v>THU</v>
      </c>
      <c r="G517" s="1">
        <f t="shared" si="215"/>
        <v>43909</v>
      </c>
      <c r="H517" s="2">
        <f t="shared" ca="1" si="216"/>
        <v>344</v>
      </c>
      <c r="I517" t="str">
        <f t="shared" si="217"/>
        <v>AMZN</v>
      </c>
      <c r="J517">
        <f t="shared" si="218"/>
        <v>1634</v>
      </c>
      <c r="K517">
        <f t="shared" si="219"/>
        <v>1893</v>
      </c>
      <c r="L517">
        <f t="shared" si="220"/>
        <v>1763.5</v>
      </c>
      <c r="M517">
        <f t="shared" si="221"/>
        <v>129.5</v>
      </c>
      <c r="N517">
        <f t="shared" si="226"/>
        <v>259</v>
      </c>
      <c r="O517">
        <f t="shared" si="222"/>
        <v>1830</v>
      </c>
      <c r="P517">
        <f t="shared" si="223"/>
        <v>0.51351351351351349</v>
      </c>
      <c r="Q517" t="str">
        <f t="shared" si="227"/>
        <v>10.71% | 3.44%</v>
      </c>
      <c r="R517" t="str">
        <f t="shared" si="224"/>
        <v>BEARISH</v>
      </c>
      <c r="S517">
        <f t="shared" si="228"/>
        <v>-1</v>
      </c>
    </row>
    <row r="518" spans="1:19" hidden="1" x14ac:dyDescent="0.25">
      <c r="A518" s="5" t="str">
        <f t="shared" si="225"/>
        <v>43909FB</v>
      </c>
      <c r="B518" s="6" t="s">
        <v>58</v>
      </c>
      <c r="C518" s="6">
        <v>135</v>
      </c>
      <c r="D518" s="6">
        <v>163</v>
      </c>
      <c r="E518" s="6">
        <v>146</v>
      </c>
      <c r="F518" t="str">
        <f t="shared" si="214"/>
        <v>THU</v>
      </c>
      <c r="G518" s="1">
        <f t="shared" si="215"/>
        <v>43909</v>
      </c>
      <c r="H518" s="2">
        <f t="shared" ca="1" si="216"/>
        <v>344</v>
      </c>
      <c r="I518" t="str">
        <f t="shared" si="217"/>
        <v>FB</v>
      </c>
      <c r="J518">
        <f t="shared" si="218"/>
        <v>135</v>
      </c>
      <c r="K518">
        <f t="shared" si="219"/>
        <v>163</v>
      </c>
      <c r="L518">
        <f t="shared" si="220"/>
        <v>149</v>
      </c>
      <c r="M518">
        <f t="shared" si="221"/>
        <v>14</v>
      </c>
      <c r="N518">
        <f t="shared" si="226"/>
        <v>28</v>
      </c>
      <c r="O518">
        <f t="shared" si="222"/>
        <v>146</v>
      </c>
      <c r="P518">
        <f t="shared" si="223"/>
        <v>-0.21428571428571427</v>
      </c>
      <c r="Q518" t="str">
        <f t="shared" si="227"/>
        <v>7.53% | 11.64%</v>
      </c>
      <c r="R518" t="str">
        <f t="shared" si="224"/>
        <v>BEARISH</v>
      </c>
      <c r="S518">
        <f t="shared" si="228"/>
        <v>-1</v>
      </c>
    </row>
    <row r="519" spans="1:19" hidden="1" x14ac:dyDescent="0.25">
      <c r="A519" s="5" t="str">
        <f t="shared" si="225"/>
        <v>43909GOOGL</v>
      </c>
      <c r="B519" s="6" t="s">
        <v>66</v>
      </c>
      <c r="C519" s="6">
        <v>1013</v>
      </c>
      <c r="D519" s="6">
        <v>1181</v>
      </c>
      <c r="E519" s="6">
        <v>1091</v>
      </c>
      <c r="F519" t="str">
        <f t="shared" si="214"/>
        <v>THU</v>
      </c>
      <c r="G519" s="1">
        <f t="shared" si="215"/>
        <v>43909</v>
      </c>
      <c r="H519" s="2">
        <f t="shared" ca="1" si="216"/>
        <v>344</v>
      </c>
      <c r="I519" t="str">
        <f t="shared" si="217"/>
        <v>GOOGL</v>
      </c>
      <c r="J519">
        <f t="shared" si="218"/>
        <v>1013</v>
      </c>
      <c r="K519">
        <f t="shared" si="219"/>
        <v>1181</v>
      </c>
      <c r="L519">
        <f t="shared" si="220"/>
        <v>1097</v>
      </c>
      <c r="M519">
        <f t="shared" si="221"/>
        <v>84</v>
      </c>
      <c r="N519">
        <f t="shared" si="226"/>
        <v>168</v>
      </c>
      <c r="O519">
        <f t="shared" si="222"/>
        <v>1091</v>
      </c>
      <c r="P519">
        <f t="shared" si="223"/>
        <v>-7.1428571428571425E-2</v>
      </c>
      <c r="Q519" t="str">
        <f t="shared" si="227"/>
        <v>7.15% | 8.25%</v>
      </c>
      <c r="R519" t="str">
        <f t="shared" si="224"/>
        <v>BEARISH</v>
      </c>
      <c r="S519">
        <f t="shared" si="228"/>
        <v>-1</v>
      </c>
    </row>
    <row r="520" spans="1:19" hidden="1" x14ac:dyDescent="0.25">
      <c r="A520" s="5" t="str">
        <f t="shared" si="225"/>
        <v>43909NFLX</v>
      </c>
      <c r="B520" s="6" t="s">
        <v>81</v>
      </c>
      <c r="C520" s="6">
        <v>287</v>
      </c>
      <c r="D520" s="6">
        <v>336</v>
      </c>
      <c r="E520" s="6">
        <v>315</v>
      </c>
      <c r="F520" t="str">
        <f t="shared" si="214"/>
        <v>THU</v>
      </c>
      <c r="G520" s="1">
        <f t="shared" si="215"/>
        <v>43909</v>
      </c>
      <c r="H520" s="2">
        <f t="shared" ca="1" si="216"/>
        <v>344</v>
      </c>
      <c r="I520" t="str">
        <f t="shared" si="217"/>
        <v>NFLX</v>
      </c>
      <c r="J520">
        <f t="shared" si="218"/>
        <v>287</v>
      </c>
      <c r="K520">
        <f t="shared" si="219"/>
        <v>336</v>
      </c>
      <c r="L520">
        <f t="shared" si="220"/>
        <v>311.5</v>
      </c>
      <c r="M520">
        <f t="shared" si="221"/>
        <v>24.5</v>
      </c>
      <c r="N520">
        <f t="shared" si="226"/>
        <v>49</v>
      </c>
      <c r="O520">
        <f t="shared" si="222"/>
        <v>315</v>
      </c>
      <c r="P520">
        <f t="shared" si="223"/>
        <v>0.14285714285714285</v>
      </c>
      <c r="Q520" t="str">
        <f t="shared" si="227"/>
        <v>8.89% | 6.67%</v>
      </c>
      <c r="R520" t="str">
        <f t="shared" si="224"/>
        <v>BEARISH</v>
      </c>
      <c r="S520">
        <f t="shared" si="228"/>
        <v>-1</v>
      </c>
    </row>
    <row r="521" spans="1:19" x14ac:dyDescent="0.25">
      <c r="A521" s="5" t="str">
        <f t="shared" si="225"/>
        <v>43909TSLA</v>
      </c>
      <c r="B521" s="6" t="s">
        <v>83</v>
      </c>
      <c r="C521" s="6">
        <v>323</v>
      </c>
      <c r="D521" s="6">
        <v>540</v>
      </c>
      <c r="E521" s="6">
        <v>361</v>
      </c>
      <c r="F521" t="str">
        <f t="shared" si="214"/>
        <v>THU</v>
      </c>
      <c r="G521" s="1">
        <f t="shared" si="215"/>
        <v>43909</v>
      </c>
      <c r="H521" s="2">
        <f t="shared" ca="1" si="216"/>
        <v>344</v>
      </c>
      <c r="I521" t="str">
        <f t="shared" si="217"/>
        <v>TSLA</v>
      </c>
      <c r="J521">
        <f t="shared" si="218"/>
        <v>323</v>
      </c>
      <c r="K521">
        <f t="shared" si="219"/>
        <v>540</v>
      </c>
      <c r="L521">
        <f t="shared" si="220"/>
        <v>431.5</v>
      </c>
      <c r="M521">
        <f t="shared" si="221"/>
        <v>108.5</v>
      </c>
      <c r="N521">
        <f t="shared" si="226"/>
        <v>217</v>
      </c>
      <c r="O521">
        <f t="shared" si="222"/>
        <v>361</v>
      </c>
      <c r="P521">
        <f t="shared" si="223"/>
        <v>-0.64976958525345618</v>
      </c>
      <c r="Q521" t="str">
        <f t="shared" si="227"/>
        <v>10.53% | 49.58%</v>
      </c>
      <c r="R521" t="str">
        <f t="shared" si="224"/>
        <v>BEARISH</v>
      </c>
      <c r="S521">
        <f t="shared" si="228"/>
        <v>-1</v>
      </c>
    </row>
    <row r="522" spans="1:19" hidden="1" x14ac:dyDescent="0.25">
      <c r="A522" s="5" t="str">
        <f t="shared" si="225"/>
        <v>43909NYXBT</v>
      </c>
      <c r="B522" s="6" t="s">
        <v>84</v>
      </c>
      <c r="C522" s="6">
        <v>4030</v>
      </c>
      <c r="D522" s="6">
        <v>6222</v>
      </c>
      <c r="E522" s="6">
        <v>5291</v>
      </c>
      <c r="F522" t="str">
        <f t="shared" si="214"/>
        <v>THU</v>
      </c>
      <c r="G522" s="1">
        <f t="shared" si="215"/>
        <v>43909</v>
      </c>
      <c r="H522" s="2">
        <f t="shared" ca="1" si="216"/>
        <v>344</v>
      </c>
      <c r="I522" t="str">
        <f t="shared" si="217"/>
        <v>NYXBT</v>
      </c>
      <c r="J522">
        <f t="shared" si="218"/>
        <v>4030</v>
      </c>
      <c r="K522">
        <f t="shared" si="219"/>
        <v>6222</v>
      </c>
      <c r="L522">
        <f t="shared" si="220"/>
        <v>5126</v>
      </c>
      <c r="M522">
        <f t="shared" si="221"/>
        <v>1096</v>
      </c>
      <c r="N522">
        <f t="shared" si="226"/>
        <v>2192</v>
      </c>
      <c r="O522">
        <f t="shared" si="222"/>
        <v>5291</v>
      </c>
      <c r="P522">
        <f t="shared" si="223"/>
        <v>0.15054744525547445</v>
      </c>
      <c r="Q522" t="str">
        <f t="shared" si="227"/>
        <v>23.83% | 17.6%</v>
      </c>
      <c r="R522" t="str">
        <f t="shared" si="224"/>
        <v>BEARISH</v>
      </c>
      <c r="S522">
        <f t="shared" si="228"/>
        <v>-1</v>
      </c>
    </row>
    <row r="523" spans="1:19" hidden="1" x14ac:dyDescent="0.25">
      <c r="A523" s="5" t="str">
        <f t="shared" si="225"/>
        <v>43910UST10Y</v>
      </c>
      <c r="B523" s="6" t="s">
        <v>4</v>
      </c>
      <c r="C523" s="6">
        <v>1.28</v>
      </c>
      <c r="D523" s="6">
        <v>0.5</v>
      </c>
      <c r="E523" s="6">
        <v>1.1200000000000001</v>
      </c>
      <c r="F523" t="str">
        <f t="shared" si="214"/>
        <v>FRI</v>
      </c>
      <c r="G523" s="3">
        <f>DATE(2020,3,20)</f>
        <v>43910</v>
      </c>
      <c r="H523" s="2">
        <f t="shared" ca="1" si="216"/>
        <v>343</v>
      </c>
      <c r="I523" t="str">
        <f t="shared" si="217"/>
        <v>UST10Y</v>
      </c>
      <c r="J523">
        <f t="shared" si="218"/>
        <v>1.28</v>
      </c>
      <c r="K523">
        <f t="shared" si="219"/>
        <v>0.5</v>
      </c>
      <c r="L523">
        <f t="shared" si="220"/>
        <v>0.89</v>
      </c>
      <c r="M523">
        <f t="shared" si="221"/>
        <v>0.39</v>
      </c>
      <c r="N523">
        <f t="shared" si="226"/>
        <v>0.78</v>
      </c>
      <c r="O523">
        <f t="shared" si="222"/>
        <v>1.1200000000000001</v>
      </c>
      <c r="P523">
        <f t="shared" si="223"/>
        <v>0.58974358974358998</v>
      </c>
      <c r="Q523" t="str">
        <f t="shared" si="227"/>
        <v>14.29% | 55.36%</v>
      </c>
      <c r="R523" t="str">
        <f t="shared" si="224"/>
        <v>BEARISH</v>
      </c>
      <c r="S523">
        <f t="shared" si="228"/>
        <v>-1</v>
      </c>
    </row>
    <row r="524" spans="1:19" hidden="1" x14ac:dyDescent="0.25">
      <c r="A524" s="5" t="str">
        <f t="shared" si="225"/>
        <v>43910UST2Y</v>
      </c>
      <c r="B524" s="6" t="s">
        <v>5</v>
      </c>
      <c r="C524" s="6">
        <v>0.59</v>
      </c>
      <c r="D524" s="6">
        <v>0.34</v>
      </c>
      <c r="E524" s="6">
        <v>0.44</v>
      </c>
      <c r="F524" t="str">
        <f t="shared" ref="F524:F552" si="229">UPPER(TEXT(G524,"ddd"))</f>
        <v>FRI</v>
      </c>
      <c r="G524" s="3">
        <f t="shared" ref="G524:G551" si="230">DATE(2020,3,20)</f>
        <v>43910</v>
      </c>
      <c r="H524" s="2">
        <f t="shared" ref="H524:H552" ca="1" si="231">TODAY()-G524</f>
        <v>343</v>
      </c>
      <c r="I524" t="str">
        <f t="shared" ref="I524:I552" si="232">TRIM(LEFT(B524,FIND(" ",B524,1)))</f>
        <v>UST2Y</v>
      </c>
      <c r="J524">
        <f t="shared" ref="J524:J552" si="233">C524</f>
        <v>0.59</v>
      </c>
      <c r="K524">
        <f t="shared" ref="K524:K552" si="234">D524</f>
        <v>0.34</v>
      </c>
      <c r="L524">
        <f t="shared" ref="L524:L552" si="235">AVERAGE(J524:K524)</f>
        <v>0.46499999999999997</v>
      </c>
      <c r="M524">
        <f t="shared" ref="M524:M552" si="236">_xlfn.STDEV.P(J524:K524)</f>
        <v>0.12500000000000011</v>
      </c>
      <c r="N524">
        <f t="shared" si="226"/>
        <v>0.24999999999999994</v>
      </c>
      <c r="O524">
        <f t="shared" ref="O524:O552" si="237">E524</f>
        <v>0.44</v>
      </c>
      <c r="P524">
        <f t="shared" ref="P524:P552" si="238">(O524-L524)/M524</f>
        <v>-0.19999999999999957</v>
      </c>
      <c r="Q524" t="str">
        <f t="shared" si="227"/>
        <v>34.09% | 22.73%</v>
      </c>
      <c r="R524" t="str">
        <f t="shared" ref="R524:R552" si="239">MID(B524,FIND("(",B524,1)+1,FIND(")",B524,1)-FIND("(",B524,1)-1)</f>
        <v>BEARISH</v>
      </c>
      <c r="S524">
        <f t="shared" si="228"/>
        <v>-1</v>
      </c>
    </row>
    <row r="525" spans="1:19" hidden="1" x14ac:dyDescent="0.25">
      <c r="A525" s="5" t="str">
        <f t="shared" si="225"/>
        <v>43910SPX</v>
      </c>
      <c r="B525" s="6" t="s">
        <v>6</v>
      </c>
      <c r="C525" s="6">
        <v>2228</v>
      </c>
      <c r="D525" s="6">
        <v>2567</v>
      </c>
      <c r="E525" s="6">
        <v>2409</v>
      </c>
      <c r="F525" t="str">
        <f t="shared" si="229"/>
        <v>FRI</v>
      </c>
      <c r="G525" s="3">
        <f t="shared" si="230"/>
        <v>43910</v>
      </c>
      <c r="H525" s="2">
        <f t="shared" ca="1" si="231"/>
        <v>343</v>
      </c>
      <c r="I525" t="str">
        <f t="shared" si="232"/>
        <v>SPX</v>
      </c>
      <c r="J525">
        <f t="shared" si="233"/>
        <v>2228</v>
      </c>
      <c r="K525">
        <f t="shared" si="234"/>
        <v>2567</v>
      </c>
      <c r="L525">
        <f t="shared" si="235"/>
        <v>2397.5</v>
      </c>
      <c r="M525">
        <f t="shared" si="236"/>
        <v>169.5</v>
      </c>
      <c r="N525">
        <f t="shared" si="226"/>
        <v>339</v>
      </c>
      <c r="O525">
        <f t="shared" si="237"/>
        <v>2409</v>
      </c>
      <c r="P525">
        <f t="shared" si="238"/>
        <v>6.7846607669616518E-2</v>
      </c>
      <c r="Q525" t="str">
        <f t="shared" si="227"/>
        <v>7.51% | 6.56%</v>
      </c>
      <c r="R525" t="str">
        <f t="shared" si="239"/>
        <v>BEARISH</v>
      </c>
      <c r="S525">
        <f t="shared" si="228"/>
        <v>-1</v>
      </c>
    </row>
    <row r="526" spans="1:19" hidden="1" x14ac:dyDescent="0.25">
      <c r="A526" s="5" t="str">
        <f t="shared" si="225"/>
        <v>43910RUT</v>
      </c>
      <c r="B526" s="6" t="s">
        <v>7</v>
      </c>
      <c r="C526" s="6">
        <v>960</v>
      </c>
      <c r="D526" s="6">
        <v>1190</v>
      </c>
      <c r="E526" s="6">
        <v>1058</v>
      </c>
      <c r="F526" t="str">
        <f t="shared" si="229"/>
        <v>FRI</v>
      </c>
      <c r="G526" s="3">
        <f t="shared" si="230"/>
        <v>43910</v>
      </c>
      <c r="H526" s="2">
        <f t="shared" ca="1" si="231"/>
        <v>343</v>
      </c>
      <c r="I526" t="str">
        <f t="shared" si="232"/>
        <v>RUT</v>
      </c>
      <c r="J526">
        <f t="shared" si="233"/>
        <v>960</v>
      </c>
      <c r="K526">
        <f t="shared" si="234"/>
        <v>1190</v>
      </c>
      <c r="L526">
        <f t="shared" si="235"/>
        <v>1075</v>
      </c>
      <c r="M526">
        <f t="shared" si="236"/>
        <v>115</v>
      </c>
      <c r="N526">
        <f t="shared" si="226"/>
        <v>230</v>
      </c>
      <c r="O526">
        <f t="shared" si="237"/>
        <v>1058</v>
      </c>
      <c r="P526">
        <f t="shared" si="238"/>
        <v>-0.14782608695652175</v>
      </c>
      <c r="Q526" t="str">
        <f t="shared" si="227"/>
        <v>9.26% | 12.48%</v>
      </c>
      <c r="R526" t="str">
        <f t="shared" si="239"/>
        <v>BEARISH</v>
      </c>
      <c r="S526">
        <f t="shared" si="228"/>
        <v>-1</v>
      </c>
    </row>
    <row r="527" spans="1:19" hidden="1" x14ac:dyDescent="0.25">
      <c r="A527" s="5" t="str">
        <f t="shared" si="225"/>
        <v>43910COMPQ</v>
      </c>
      <c r="B527" s="6" t="s">
        <v>64</v>
      </c>
      <c r="C527" s="6">
        <v>6454</v>
      </c>
      <c r="D527" s="6">
        <v>7632</v>
      </c>
      <c r="E527" s="6">
        <v>7150</v>
      </c>
      <c r="F527" t="str">
        <f t="shared" si="229"/>
        <v>FRI</v>
      </c>
      <c r="G527" s="3">
        <f t="shared" si="230"/>
        <v>43910</v>
      </c>
      <c r="H527" s="2">
        <f t="shared" ca="1" si="231"/>
        <v>343</v>
      </c>
      <c r="I527" t="str">
        <f t="shared" si="232"/>
        <v>COMPQ</v>
      </c>
      <c r="J527">
        <f t="shared" si="233"/>
        <v>6454</v>
      </c>
      <c r="K527">
        <f t="shared" si="234"/>
        <v>7632</v>
      </c>
      <c r="L527">
        <f t="shared" si="235"/>
        <v>7043</v>
      </c>
      <c r="M527">
        <f t="shared" si="236"/>
        <v>589</v>
      </c>
      <c r="N527">
        <f t="shared" si="226"/>
        <v>1178</v>
      </c>
      <c r="O527">
        <f t="shared" si="237"/>
        <v>7150</v>
      </c>
      <c r="P527">
        <f t="shared" si="238"/>
        <v>0.18166383701188454</v>
      </c>
      <c r="Q527" t="str">
        <f t="shared" si="227"/>
        <v>9.73% | 6.74%</v>
      </c>
      <c r="R527" t="str">
        <f t="shared" si="239"/>
        <v>BEARISH</v>
      </c>
      <c r="S527">
        <f t="shared" si="228"/>
        <v>-1</v>
      </c>
    </row>
    <row r="528" spans="1:19" hidden="1" x14ac:dyDescent="0.25">
      <c r="A528" s="5" t="str">
        <f t="shared" si="225"/>
        <v>43910XLU</v>
      </c>
      <c r="B528" s="6" t="s">
        <v>82</v>
      </c>
      <c r="C528" s="6">
        <v>48.39</v>
      </c>
      <c r="D528" s="6">
        <v>57.5</v>
      </c>
      <c r="E528" s="6">
        <v>51.94</v>
      </c>
      <c r="F528" t="str">
        <f t="shared" si="229"/>
        <v>FRI</v>
      </c>
      <c r="G528" s="3">
        <f t="shared" si="230"/>
        <v>43910</v>
      </c>
      <c r="H528" s="2">
        <f t="shared" ca="1" si="231"/>
        <v>343</v>
      </c>
      <c r="I528" t="str">
        <f t="shared" si="232"/>
        <v>XLU</v>
      </c>
      <c r="J528">
        <f t="shared" si="233"/>
        <v>48.39</v>
      </c>
      <c r="K528">
        <f t="shared" si="234"/>
        <v>57.5</v>
      </c>
      <c r="L528">
        <f t="shared" si="235"/>
        <v>52.945</v>
      </c>
      <c r="M528">
        <f t="shared" si="236"/>
        <v>4.5549999999999997</v>
      </c>
      <c r="N528">
        <f t="shared" si="226"/>
        <v>9.11</v>
      </c>
      <c r="O528">
        <f t="shared" si="237"/>
        <v>51.94</v>
      </c>
      <c r="P528">
        <f t="shared" si="238"/>
        <v>-0.22063666300768445</v>
      </c>
      <c r="Q528" t="str">
        <f t="shared" si="227"/>
        <v>6.83% | 10.7%</v>
      </c>
      <c r="R528" t="str">
        <f t="shared" si="239"/>
        <v>BEARISH</v>
      </c>
      <c r="S528">
        <f t="shared" si="228"/>
        <v>-1</v>
      </c>
    </row>
    <row r="529" spans="1:19" hidden="1" x14ac:dyDescent="0.25">
      <c r="A529" s="5" t="str">
        <f t="shared" si="225"/>
        <v>43910VNQ</v>
      </c>
      <c r="B529" s="6" t="s">
        <v>67</v>
      </c>
      <c r="C529" s="6">
        <v>56.41</v>
      </c>
      <c r="D529" s="6">
        <v>73.930000000000007</v>
      </c>
      <c r="E529" s="6">
        <v>62.81</v>
      </c>
      <c r="F529" t="str">
        <f t="shared" si="229"/>
        <v>FRI</v>
      </c>
      <c r="G529" s="3">
        <f t="shared" si="230"/>
        <v>43910</v>
      </c>
      <c r="H529" s="2">
        <f t="shared" ca="1" si="231"/>
        <v>343</v>
      </c>
      <c r="I529" t="str">
        <f t="shared" si="232"/>
        <v>VNQ</v>
      </c>
      <c r="J529">
        <f t="shared" si="233"/>
        <v>56.41</v>
      </c>
      <c r="K529">
        <f t="shared" si="234"/>
        <v>73.930000000000007</v>
      </c>
      <c r="L529">
        <f t="shared" si="235"/>
        <v>65.17</v>
      </c>
      <c r="M529">
        <f t="shared" si="236"/>
        <v>8.7599999999999696</v>
      </c>
      <c r="N529">
        <f t="shared" si="226"/>
        <v>17.52000000000001</v>
      </c>
      <c r="O529">
        <f t="shared" si="237"/>
        <v>62.81</v>
      </c>
      <c r="P529">
        <f t="shared" si="238"/>
        <v>-0.2694063926940648</v>
      </c>
      <c r="Q529" t="str">
        <f t="shared" si="227"/>
        <v>10.19% | 17.7%</v>
      </c>
      <c r="R529" t="str">
        <f t="shared" si="239"/>
        <v>BEARISH</v>
      </c>
      <c r="S529">
        <f t="shared" si="228"/>
        <v>-1</v>
      </c>
    </row>
    <row r="530" spans="1:19" hidden="1" x14ac:dyDescent="0.25">
      <c r="A530" s="5" t="str">
        <f t="shared" si="225"/>
        <v>43910XLP</v>
      </c>
      <c r="B530" s="6" t="s">
        <v>11</v>
      </c>
      <c r="C530" s="6">
        <v>50.08</v>
      </c>
      <c r="D530" s="6">
        <v>57.76</v>
      </c>
      <c r="E530" s="6">
        <v>53.89</v>
      </c>
      <c r="F530" t="str">
        <f t="shared" si="229"/>
        <v>FRI</v>
      </c>
      <c r="G530" s="3">
        <f t="shared" si="230"/>
        <v>43910</v>
      </c>
      <c r="H530" s="2">
        <f t="shared" ca="1" si="231"/>
        <v>343</v>
      </c>
      <c r="I530" t="str">
        <f t="shared" si="232"/>
        <v>XLP</v>
      </c>
      <c r="J530">
        <f t="shared" si="233"/>
        <v>50.08</v>
      </c>
      <c r="K530">
        <f t="shared" si="234"/>
        <v>57.76</v>
      </c>
      <c r="L530">
        <f t="shared" si="235"/>
        <v>53.92</v>
      </c>
      <c r="M530">
        <f t="shared" si="236"/>
        <v>3.84</v>
      </c>
      <c r="N530">
        <f t="shared" si="226"/>
        <v>7.68</v>
      </c>
      <c r="O530">
        <f t="shared" si="237"/>
        <v>53.89</v>
      </c>
      <c r="P530">
        <f t="shared" si="238"/>
        <v>-7.8125000000002966E-3</v>
      </c>
      <c r="Q530" t="str">
        <f t="shared" si="227"/>
        <v>7.07% | 7.18%</v>
      </c>
      <c r="R530" t="str">
        <f t="shared" si="239"/>
        <v>BEARISH</v>
      </c>
      <c r="S530">
        <f t="shared" si="228"/>
        <v>-1</v>
      </c>
    </row>
    <row r="531" spans="1:19" hidden="1" x14ac:dyDescent="0.25">
      <c r="A531" s="5" t="str">
        <f t="shared" si="225"/>
        <v>43910XLK</v>
      </c>
      <c r="B531" s="6" t="s">
        <v>65</v>
      </c>
      <c r="C531" s="6">
        <v>68.87</v>
      </c>
      <c r="D531" s="6">
        <v>81.150000000000006</v>
      </c>
      <c r="E531" s="6">
        <v>74.849999999999994</v>
      </c>
      <c r="F531" t="str">
        <f t="shared" si="229"/>
        <v>FRI</v>
      </c>
      <c r="G531" s="3">
        <f t="shared" si="230"/>
        <v>43910</v>
      </c>
      <c r="H531" s="2">
        <f t="shared" ca="1" si="231"/>
        <v>343</v>
      </c>
      <c r="I531" t="str">
        <f t="shared" si="232"/>
        <v>XLK</v>
      </c>
      <c r="J531">
        <f t="shared" si="233"/>
        <v>68.87</v>
      </c>
      <c r="K531">
        <f t="shared" si="234"/>
        <v>81.150000000000006</v>
      </c>
      <c r="L531">
        <f t="shared" si="235"/>
        <v>75.010000000000005</v>
      </c>
      <c r="M531">
        <f t="shared" si="236"/>
        <v>6.1400000000000006</v>
      </c>
      <c r="N531">
        <f t="shared" si="226"/>
        <v>12.280000000000001</v>
      </c>
      <c r="O531">
        <f t="shared" si="237"/>
        <v>74.849999999999994</v>
      </c>
      <c r="P531">
        <f t="shared" si="238"/>
        <v>-2.6058631921825861E-2</v>
      </c>
      <c r="Q531" t="str">
        <f t="shared" si="227"/>
        <v>7.99% | 8.42%</v>
      </c>
      <c r="R531" t="str">
        <f t="shared" si="239"/>
        <v>BEARISH</v>
      </c>
      <c r="S531">
        <f t="shared" si="228"/>
        <v>-1</v>
      </c>
    </row>
    <row r="532" spans="1:19" hidden="1" x14ac:dyDescent="0.25">
      <c r="A532" s="5" t="str">
        <f t="shared" si="225"/>
        <v>43910SSEC</v>
      </c>
      <c r="B532" s="6" t="s">
        <v>14</v>
      </c>
      <c r="C532" s="6">
        <v>2650</v>
      </c>
      <c r="D532" s="6">
        <v>2915</v>
      </c>
      <c r="E532" s="6">
        <v>2745</v>
      </c>
      <c r="F532" t="str">
        <f t="shared" si="229"/>
        <v>FRI</v>
      </c>
      <c r="G532" s="3">
        <f t="shared" si="230"/>
        <v>43910</v>
      </c>
      <c r="H532" s="2">
        <f t="shared" ca="1" si="231"/>
        <v>343</v>
      </c>
      <c r="I532" t="str">
        <f t="shared" si="232"/>
        <v>SSEC</v>
      </c>
      <c r="J532">
        <f t="shared" si="233"/>
        <v>2650</v>
      </c>
      <c r="K532">
        <f t="shared" si="234"/>
        <v>2915</v>
      </c>
      <c r="L532">
        <f t="shared" si="235"/>
        <v>2782.5</v>
      </c>
      <c r="M532">
        <f t="shared" si="236"/>
        <v>132.5</v>
      </c>
      <c r="N532">
        <f t="shared" si="226"/>
        <v>265</v>
      </c>
      <c r="O532">
        <f t="shared" si="237"/>
        <v>2745</v>
      </c>
      <c r="P532">
        <f t="shared" si="238"/>
        <v>-0.28301886792452829</v>
      </c>
      <c r="Q532" t="str">
        <f t="shared" si="227"/>
        <v>3.46% | 6.19%</v>
      </c>
      <c r="R532" t="str">
        <f t="shared" si="239"/>
        <v>BEARISH</v>
      </c>
      <c r="S532">
        <f t="shared" si="228"/>
        <v>-1</v>
      </c>
    </row>
    <row r="533" spans="1:19" hidden="1" x14ac:dyDescent="0.25">
      <c r="A533" s="5" t="str">
        <f t="shared" si="225"/>
        <v>43910NIKK</v>
      </c>
      <c r="B533" s="6" t="s">
        <v>15</v>
      </c>
      <c r="C533" s="6">
        <v>15601</v>
      </c>
      <c r="D533" s="6">
        <v>18455</v>
      </c>
      <c r="E533" s="6">
        <v>16552</v>
      </c>
      <c r="F533" t="str">
        <f t="shared" si="229"/>
        <v>FRI</v>
      </c>
      <c r="G533" s="3">
        <f t="shared" si="230"/>
        <v>43910</v>
      </c>
      <c r="H533" s="2">
        <f t="shared" ca="1" si="231"/>
        <v>343</v>
      </c>
      <c r="I533" t="str">
        <f t="shared" si="232"/>
        <v>NIKK</v>
      </c>
      <c r="J533">
        <f t="shared" si="233"/>
        <v>15601</v>
      </c>
      <c r="K533">
        <f t="shared" si="234"/>
        <v>18455</v>
      </c>
      <c r="L533">
        <f t="shared" si="235"/>
        <v>17028</v>
      </c>
      <c r="M533">
        <f t="shared" si="236"/>
        <v>1427</v>
      </c>
      <c r="N533">
        <f t="shared" si="226"/>
        <v>2854</v>
      </c>
      <c r="O533">
        <f t="shared" si="237"/>
        <v>16552</v>
      </c>
      <c r="P533">
        <f t="shared" si="238"/>
        <v>-0.33356692361597756</v>
      </c>
      <c r="Q533" t="str">
        <f t="shared" si="227"/>
        <v>5.75% | 11.5%</v>
      </c>
      <c r="R533" t="str">
        <f t="shared" si="239"/>
        <v>BEARISH</v>
      </c>
      <c r="S533">
        <f t="shared" si="228"/>
        <v>-1</v>
      </c>
    </row>
    <row r="534" spans="1:19" hidden="1" x14ac:dyDescent="0.25">
      <c r="A534" s="5" t="str">
        <f t="shared" si="225"/>
        <v>43910DAX</v>
      </c>
      <c r="B534" s="6" t="s">
        <v>16</v>
      </c>
      <c r="C534" s="6">
        <v>7766</v>
      </c>
      <c r="D534" s="6">
        <v>9509</v>
      </c>
      <c r="E534" s="6">
        <v>8610</v>
      </c>
      <c r="F534" t="str">
        <f t="shared" si="229"/>
        <v>FRI</v>
      </c>
      <c r="G534" s="3">
        <f t="shared" si="230"/>
        <v>43910</v>
      </c>
      <c r="H534" s="2">
        <f t="shared" ca="1" si="231"/>
        <v>343</v>
      </c>
      <c r="I534" t="str">
        <f t="shared" si="232"/>
        <v>DAX</v>
      </c>
      <c r="J534">
        <f t="shared" si="233"/>
        <v>7766</v>
      </c>
      <c r="K534">
        <f t="shared" si="234"/>
        <v>9509</v>
      </c>
      <c r="L534">
        <f t="shared" si="235"/>
        <v>8637.5</v>
      </c>
      <c r="M534">
        <f t="shared" si="236"/>
        <v>871.5</v>
      </c>
      <c r="N534">
        <f t="shared" si="226"/>
        <v>1743</v>
      </c>
      <c r="O534">
        <f t="shared" si="237"/>
        <v>8610</v>
      </c>
      <c r="P534">
        <f t="shared" si="238"/>
        <v>-3.1554790590935168E-2</v>
      </c>
      <c r="Q534" t="str">
        <f t="shared" si="227"/>
        <v>9.8% | 10.44%</v>
      </c>
      <c r="R534" t="str">
        <f t="shared" si="239"/>
        <v>BEARISH</v>
      </c>
      <c r="S534">
        <f t="shared" si="228"/>
        <v>-1</v>
      </c>
    </row>
    <row r="535" spans="1:19" hidden="1" x14ac:dyDescent="0.25">
      <c r="A535" s="5" t="str">
        <f t="shared" si="225"/>
        <v>43910VIX</v>
      </c>
      <c r="B535" s="6" t="s">
        <v>17</v>
      </c>
      <c r="C535" s="6">
        <v>45.14</v>
      </c>
      <c r="D535" s="6">
        <v>91.33</v>
      </c>
      <c r="E535" s="6">
        <v>72</v>
      </c>
      <c r="F535" t="str">
        <f t="shared" si="229"/>
        <v>FRI</v>
      </c>
      <c r="G535" s="3">
        <f t="shared" si="230"/>
        <v>43910</v>
      </c>
      <c r="H535" s="2">
        <f t="shared" ca="1" si="231"/>
        <v>343</v>
      </c>
      <c r="I535" t="str">
        <f t="shared" si="232"/>
        <v>VIX</v>
      </c>
      <c r="J535">
        <f t="shared" si="233"/>
        <v>45.14</v>
      </c>
      <c r="K535">
        <f t="shared" si="234"/>
        <v>91.33</v>
      </c>
      <c r="L535">
        <f t="shared" si="235"/>
        <v>68.234999999999999</v>
      </c>
      <c r="M535">
        <f t="shared" si="236"/>
        <v>23.095000000000002</v>
      </c>
      <c r="N535">
        <f t="shared" si="226"/>
        <v>46.19</v>
      </c>
      <c r="O535">
        <f t="shared" si="237"/>
        <v>72</v>
      </c>
      <c r="P535">
        <f t="shared" si="238"/>
        <v>0.16302229919896083</v>
      </c>
      <c r="Q535" t="str">
        <f t="shared" si="227"/>
        <v>37.31% | 26.85%</v>
      </c>
      <c r="R535" t="str">
        <f t="shared" si="239"/>
        <v>BULLISH</v>
      </c>
      <c r="S535">
        <f t="shared" si="228"/>
        <v>1</v>
      </c>
    </row>
    <row r="536" spans="1:19" hidden="1" x14ac:dyDescent="0.25">
      <c r="A536" s="5" t="str">
        <f t="shared" si="225"/>
        <v>43910USD</v>
      </c>
      <c r="B536" s="6" t="s">
        <v>18</v>
      </c>
      <c r="C536" s="6">
        <v>97.01</v>
      </c>
      <c r="D536" s="6">
        <v>103.95</v>
      </c>
      <c r="E536" s="6">
        <v>103.61</v>
      </c>
      <c r="F536" t="str">
        <f t="shared" si="229"/>
        <v>FRI</v>
      </c>
      <c r="G536" s="3">
        <f t="shared" si="230"/>
        <v>43910</v>
      </c>
      <c r="H536" s="2">
        <f t="shared" ca="1" si="231"/>
        <v>343</v>
      </c>
      <c r="I536" t="str">
        <f t="shared" si="232"/>
        <v>USD</v>
      </c>
      <c r="J536">
        <f t="shared" si="233"/>
        <v>97.01</v>
      </c>
      <c r="K536">
        <f t="shared" si="234"/>
        <v>103.95</v>
      </c>
      <c r="L536">
        <f t="shared" si="235"/>
        <v>100.48</v>
      </c>
      <c r="M536">
        <f t="shared" si="236"/>
        <v>3.4699999999999989</v>
      </c>
      <c r="N536">
        <f t="shared" si="226"/>
        <v>6.9399999999999977</v>
      </c>
      <c r="O536">
        <f t="shared" si="237"/>
        <v>103.61</v>
      </c>
      <c r="P536">
        <f t="shared" si="238"/>
        <v>0.90201729106628137</v>
      </c>
      <c r="Q536" t="str">
        <f t="shared" si="227"/>
        <v>6.37% | 0.33%</v>
      </c>
      <c r="R536" t="str">
        <f t="shared" si="239"/>
        <v>BULLISH</v>
      </c>
      <c r="S536">
        <f t="shared" si="228"/>
        <v>1</v>
      </c>
    </row>
    <row r="537" spans="1:19" hidden="1" x14ac:dyDescent="0.25">
      <c r="A537" s="5" t="str">
        <f t="shared" si="225"/>
        <v>43910EUR/USD</v>
      </c>
      <c r="B537" s="6" t="s">
        <v>19</v>
      </c>
      <c r="C537" s="6">
        <v>1.06</v>
      </c>
      <c r="D537" s="6">
        <v>1.1000000000000001</v>
      </c>
      <c r="E537" s="6">
        <v>1.06</v>
      </c>
      <c r="F537" t="str">
        <f t="shared" si="229"/>
        <v>FRI</v>
      </c>
      <c r="G537" s="3">
        <f t="shared" si="230"/>
        <v>43910</v>
      </c>
      <c r="H537" s="2">
        <f t="shared" ca="1" si="231"/>
        <v>343</v>
      </c>
      <c r="I537" t="str">
        <f t="shared" si="232"/>
        <v>EUR/USD</v>
      </c>
      <c r="J537">
        <f t="shared" si="233"/>
        <v>1.06</v>
      </c>
      <c r="K537">
        <f t="shared" si="234"/>
        <v>1.1000000000000001</v>
      </c>
      <c r="L537">
        <f t="shared" si="235"/>
        <v>1.08</v>
      </c>
      <c r="M537">
        <f t="shared" si="236"/>
        <v>2.0000000000000018E-2</v>
      </c>
      <c r="N537">
        <f t="shared" si="226"/>
        <v>4.0000000000000036E-2</v>
      </c>
      <c r="O537">
        <f t="shared" si="237"/>
        <v>1.06</v>
      </c>
      <c r="P537">
        <f t="shared" si="238"/>
        <v>-1</v>
      </c>
      <c r="Q537" t="str">
        <f t="shared" si="227"/>
        <v>0% | 3.77%</v>
      </c>
      <c r="R537" t="str">
        <f t="shared" si="239"/>
        <v>BEARISH</v>
      </c>
      <c r="S537">
        <f t="shared" si="228"/>
        <v>-1</v>
      </c>
    </row>
    <row r="538" spans="1:19" hidden="1" x14ac:dyDescent="0.25">
      <c r="A538" s="5" t="str">
        <f t="shared" si="225"/>
        <v>43910USD/JPY</v>
      </c>
      <c r="B538" s="6" t="s">
        <v>86</v>
      </c>
      <c r="C538" s="6">
        <v>102.5</v>
      </c>
      <c r="D538" s="6">
        <v>111.24</v>
      </c>
      <c r="E538" s="6">
        <v>110.67</v>
      </c>
      <c r="F538" t="str">
        <f t="shared" si="229"/>
        <v>FRI</v>
      </c>
      <c r="G538" s="3">
        <f t="shared" si="230"/>
        <v>43910</v>
      </c>
      <c r="H538" s="2">
        <f t="shared" ca="1" si="231"/>
        <v>343</v>
      </c>
      <c r="I538" t="str">
        <f t="shared" si="232"/>
        <v>USD/JPY</v>
      </c>
      <c r="J538">
        <f t="shared" si="233"/>
        <v>102.5</v>
      </c>
      <c r="K538">
        <f t="shared" si="234"/>
        <v>111.24</v>
      </c>
      <c r="L538">
        <f t="shared" si="235"/>
        <v>106.87</v>
      </c>
      <c r="M538">
        <f t="shared" si="236"/>
        <v>4.3699999999999974</v>
      </c>
      <c r="N538">
        <f t="shared" si="226"/>
        <v>8.7399999999999949</v>
      </c>
      <c r="O538">
        <f t="shared" si="237"/>
        <v>110.67</v>
      </c>
      <c r="P538">
        <f t="shared" si="238"/>
        <v>0.86956521739130421</v>
      </c>
      <c r="Q538" t="str">
        <f t="shared" si="227"/>
        <v>7.38% | 0.52%</v>
      </c>
      <c r="R538" t="str">
        <f t="shared" si="239"/>
        <v>NEUTRAL</v>
      </c>
      <c r="S538">
        <f t="shared" si="228"/>
        <v>0</v>
      </c>
    </row>
    <row r="539" spans="1:19" hidden="1" x14ac:dyDescent="0.25">
      <c r="A539" s="5" t="str">
        <f t="shared" si="225"/>
        <v>43910GBP/USD</v>
      </c>
      <c r="B539" s="6" t="s">
        <v>21</v>
      </c>
      <c r="C539" s="6">
        <v>1.1299999999999999</v>
      </c>
      <c r="D539" s="6">
        <v>1.21</v>
      </c>
      <c r="E539" s="6">
        <v>1.1499999999999999</v>
      </c>
      <c r="F539" t="str">
        <f t="shared" si="229"/>
        <v>FRI</v>
      </c>
      <c r="G539" s="3">
        <f t="shared" si="230"/>
        <v>43910</v>
      </c>
      <c r="H539" s="2">
        <f t="shared" ca="1" si="231"/>
        <v>343</v>
      </c>
      <c r="I539" t="str">
        <f t="shared" si="232"/>
        <v>GBP/USD</v>
      </c>
      <c r="J539">
        <f t="shared" si="233"/>
        <v>1.1299999999999999</v>
      </c>
      <c r="K539">
        <f t="shared" si="234"/>
        <v>1.21</v>
      </c>
      <c r="L539">
        <f t="shared" si="235"/>
        <v>1.17</v>
      </c>
      <c r="M539">
        <f t="shared" si="236"/>
        <v>4.0000000000000036E-2</v>
      </c>
      <c r="N539">
        <f t="shared" si="226"/>
        <v>8.0000000000000071E-2</v>
      </c>
      <c r="O539">
        <f t="shared" si="237"/>
        <v>1.1499999999999999</v>
      </c>
      <c r="P539">
        <f t="shared" si="238"/>
        <v>-0.5</v>
      </c>
      <c r="Q539" t="str">
        <f t="shared" si="227"/>
        <v>1.74% | 5.22%</v>
      </c>
      <c r="R539" t="str">
        <f t="shared" si="239"/>
        <v>BEARISH</v>
      </c>
      <c r="S539">
        <f t="shared" si="228"/>
        <v>-1</v>
      </c>
    </row>
    <row r="540" spans="1:19" hidden="1" x14ac:dyDescent="0.25">
      <c r="A540" s="5" t="str">
        <f t="shared" si="225"/>
        <v>43910USD/CHF</v>
      </c>
      <c r="B540" s="6" t="s">
        <v>22</v>
      </c>
      <c r="C540" s="6">
        <v>0.92</v>
      </c>
      <c r="D540" s="6">
        <v>0.98</v>
      </c>
      <c r="E540" s="6">
        <v>0.98</v>
      </c>
      <c r="F540" t="str">
        <f t="shared" si="229"/>
        <v>FRI</v>
      </c>
      <c r="G540" s="3">
        <f t="shared" si="230"/>
        <v>43910</v>
      </c>
      <c r="H540" s="2">
        <f t="shared" ca="1" si="231"/>
        <v>343</v>
      </c>
      <c r="I540" t="str">
        <f t="shared" si="232"/>
        <v>USD/CHF</v>
      </c>
      <c r="J540">
        <f t="shared" si="233"/>
        <v>0.92</v>
      </c>
      <c r="K540">
        <f t="shared" si="234"/>
        <v>0.98</v>
      </c>
      <c r="L540">
        <f t="shared" si="235"/>
        <v>0.95</v>
      </c>
      <c r="M540">
        <f t="shared" si="236"/>
        <v>2.9999999999999971E-2</v>
      </c>
      <c r="N540">
        <f t="shared" si="226"/>
        <v>5.9999999999999942E-2</v>
      </c>
      <c r="O540">
        <f t="shared" si="237"/>
        <v>0.98</v>
      </c>
      <c r="P540">
        <f t="shared" si="238"/>
        <v>1.0000000000000018</v>
      </c>
      <c r="Q540" t="str">
        <f t="shared" si="227"/>
        <v>6.12% | 0%</v>
      </c>
      <c r="R540" t="str">
        <f t="shared" si="239"/>
        <v>NEUTRAL</v>
      </c>
      <c r="S540">
        <f t="shared" si="228"/>
        <v>0</v>
      </c>
    </row>
    <row r="541" spans="1:19" hidden="1" x14ac:dyDescent="0.25">
      <c r="A541" s="5" t="str">
        <f t="shared" si="225"/>
        <v>43910WTIC</v>
      </c>
      <c r="B541" s="6" t="s">
        <v>23</v>
      </c>
      <c r="C541" s="6">
        <v>21.29</v>
      </c>
      <c r="D541" s="6">
        <v>30.34</v>
      </c>
      <c r="E541" s="6">
        <v>25.91</v>
      </c>
      <c r="F541" t="str">
        <f t="shared" si="229"/>
        <v>FRI</v>
      </c>
      <c r="G541" s="3">
        <f t="shared" si="230"/>
        <v>43910</v>
      </c>
      <c r="H541" s="2">
        <f t="shared" ca="1" si="231"/>
        <v>343</v>
      </c>
      <c r="I541" t="str">
        <f t="shared" si="232"/>
        <v>WTIC</v>
      </c>
      <c r="J541">
        <f t="shared" si="233"/>
        <v>21.29</v>
      </c>
      <c r="K541">
        <f t="shared" si="234"/>
        <v>30.34</v>
      </c>
      <c r="L541">
        <f t="shared" si="235"/>
        <v>25.814999999999998</v>
      </c>
      <c r="M541">
        <f t="shared" si="236"/>
        <v>4.5250000000000163</v>
      </c>
      <c r="N541">
        <f t="shared" si="226"/>
        <v>9.0500000000000007</v>
      </c>
      <c r="O541">
        <f t="shared" si="237"/>
        <v>25.91</v>
      </c>
      <c r="P541">
        <f t="shared" si="238"/>
        <v>2.0994475138122005E-2</v>
      </c>
      <c r="Q541" t="str">
        <f t="shared" si="227"/>
        <v>17.83% | 17.1%</v>
      </c>
      <c r="R541" t="str">
        <f t="shared" si="239"/>
        <v>BEARISH</v>
      </c>
      <c r="S541">
        <f t="shared" si="228"/>
        <v>-1</v>
      </c>
    </row>
    <row r="542" spans="1:19" hidden="1" x14ac:dyDescent="0.25">
      <c r="A542" s="5" t="str">
        <f t="shared" si="225"/>
        <v>43910NATGAS</v>
      </c>
      <c r="B542" s="6" t="s">
        <v>24</v>
      </c>
      <c r="C542" s="6">
        <v>1.57</v>
      </c>
      <c r="D542" s="6">
        <v>1.81</v>
      </c>
      <c r="E542" s="6">
        <v>1.65</v>
      </c>
      <c r="F542" t="str">
        <f t="shared" si="229"/>
        <v>FRI</v>
      </c>
      <c r="G542" s="3">
        <f t="shared" si="230"/>
        <v>43910</v>
      </c>
      <c r="H542" s="2">
        <f t="shared" ca="1" si="231"/>
        <v>343</v>
      </c>
      <c r="I542" t="str">
        <f t="shared" si="232"/>
        <v>NATGAS</v>
      </c>
      <c r="J542">
        <f t="shared" si="233"/>
        <v>1.57</v>
      </c>
      <c r="K542">
        <f t="shared" si="234"/>
        <v>1.81</v>
      </c>
      <c r="L542">
        <f t="shared" si="235"/>
        <v>1.69</v>
      </c>
      <c r="M542">
        <f t="shared" si="236"/>
        <v>0.12</v>
      </c>
      <c r="N542">
        <f t="shared" si="226"/>
        <v>0.24</v>
      </c>
      <c r="O542">
        <f t="shared" si="237"/>
        <v>1.65</v>
      </c>
      <c r="P542">
        <f t="shared" si="238"/>
        <v>-0.33333333333333365</v>
      </c>
      <c r="Q542" t="str">
        <f t="shared" si="227"/>
        <v>4.85% | 9.7%</v>
      </c>
      <c r="R542" t="str">
        <f t="shared" si="239"/>
        <v>BEARISH</v>
      </c>
      <c r="S542">
        <f t="shared" si="228"/>
        <v>-1</v>
      </c>
    </row>
    <row r="543" spans="1:19" hidden="1" x14ac:dyDescent="0.25">
      <c r="A543" s="5" t="str">
        <f t="shared" si="225"/>
        <v>43910GOLD</v>
      </c>
      <c r="B543" s="6" t="s">
        <v>85</v>
      </c>
      <c r="C543" s="6">
        <v>1406</v>
      </c>
      <c r="D543" s="6">
        <v>1559</v>
      </c>
      <c r="E543" s="6">
        <v>1479</v>
      </c>
      <c r="F543" t="str">
        <f t="shared" si="229"/>
        <v>FRI</v>
      </c>
      <c r="G543" s="3">
        <f t="shared" si="230"/>
        <v>43910</v>
      </c>
      <c r="H543" s="2">
        <f t="shared" ca="1" si="231"/>
        <v>343</v>
      </c>
      <c r="I543" t="str">
        <f t="shared" si="232"/>
        <v>GOLD</v>
      </c>
      <c r="J543">
        <f t="shared" si="233"/>
        <v>1406</v>
      </c>
      <c r="K543">
        <f t="shared" si="234"/>
        <v>1559</v>
      </c>
      <c r="L543">
        <f t="shared" si="235"/>
        <v>1482.5</v>
      </c>
      <c r="M543">
        <f t="shared" si="236"/>
        <v>76.5</v>
      </c>
      <c r="N543">
        <f t="shared" si="226"/>
        <v>153</v>
      </c>
      <c r="O543">
        <f t="shared" si="237"/>
        <v>1479</v>
      </c>
      <c r="P543">
        <f t="shared" si="238"/>
        <v>-4.5751633986928102E-2</v>
      </c>
      <c r="Q543" t="str">
        <f t="shared" si="227"/>
        <v>4.94% | 5.41%</v>
      </c>
      <c r="R543" t="str">
        <f t="shared" si="239"/>
        <v>BEARISH</v>
      </c>
      <c r="S543">
        <f t="shared" si="228"/>
        <v>-1</v>
      </c>
    </row>
    <row r="544" spans="1:19" hidden="1" x14ac:dyDescent="0.25">
      <c r="A544" s="5" t="str">
        <f t="shared" si="225"/>
        <v>43910COPPER</v>
      </c>
      <c r="B544" s="6" t="s">
        <v>26</v>
      </c>
      <c r="C544" s="6">
        <v>2.02</v>
      </c>
      <c r="D544" s="6">
        <v>2.29</v>
      </c>
      <c r="E544" s="6">
        <v>2.19</v>
      </c>
      <c r="F544" t="str">
        <f t="shared" si="229"/>
        <v>FRI</v>
      </c>
      <c r="G544" s="3">
        <f t="shared" si="230"/>
        <v>43910</v>
      </c>
      <c r="H544" s="2">
        <f t="shared" ca="1" si="231"/>
        <v>343</v>
      </c>
      <c r="I544" t="str">
        <f t="shared" si="232"/>
        <v>COPPER</v>
      </c>
      <c r="J544">
        <f t="shared" si="233"/>
        <v>2.02</v>
      </c>
      <c r="K544">
        <f t="shared" si="234"/>
        <v>2.29</v>
      </c>
      <c r="L544">
        <f t="shared" si="235"/>
        <v>2.1550000000000002</v>
      </c>
      <c r="M544">
        <f t="shared" si="236"/>
        <v>0.13500000000000001</v>
      </c>
      <c r="N544">
        <f t="shared" si="226"/>
        <v>0.27</v>
      </c>
      <c r="O544">
        <f t="shared" si="237"/>
        <v>2.19</v>
      </c>
      <c r="P544">
        <f t="shared" si="238"/>
        <v>0.25925925925925702</v>
      </c>
      <c r="Q544" t="str">
        <f t="shared" si="227"/>
        <v>7.76% | 4.57%</v>
      </c>
      <c r="R544" t="str">
        <f t="shared" si="239"/>
        <v>BEARISH</v>
      </c>
      <c r="S544">
        <f t="shared" si="228"/>
        <v>-1</v>
      </c>
    </row>
    <row r="545" spans="1:19" hidden="1" x14ac:dyDescent="0.25">
      <c r="A545" s="5" t="str">
        <f t="shared" si="225"/>
        <v>43910AAPL</v>
      </c>
      <c r="B545" s="6" t="s">
        <v>68</v>
      </c>
      <c r="C545" s="6">
        <v>229.11</v>
      </c>
      <c r="D545" s="6">
        <v>262.38</v>
      </c>
      <c r="E545" s="6">
        <v>244.78</v>
      </c>
      <c r="F545" t="str">
        <f t="shared" si="229"/>
        <v>FRI</v>
      </c>
      <c r="G545" s="3">
        <f t="shared" si="230"/>
        <v>43910</v>
      </c>
      <c r="H545" s="2">
        <f t="shared" ca="1" si="231"/>
        <v>343</v>
      </c>
      <c r="I545" t="str">
        <f t="shared" si="232"/>
        <v>AAPL</v>
      </c>
      <c r="J545">
        <f t="shared" si="233"/>
        <v>229.11</v>
      </c>
      <c r="K545">
        <f t="shared" si="234"/>
        <v>262.38</v>
      </c>
      <c r="L545">
        <f t="shared" si="235"/>
        <v>245.745</v>
      </c>
      <c r="M545">
        <f t="shared" si="236"/>
        <v>16.634999999999991</v>
      </c>
      <c r="N545">
        <f t="shared" si="226"/>
        <v>33.269999999999982</v>
      </c>
      <c r="O545">
        <f t="shared" si="237"/>
        <v>244.78</v>
      </c>
      <c r="P545">
        <f t="shared" si="238"/>
        <v>-5.8010219416892335E-2</v>
      </c>
      <c r="Q545" t="str">
        <f t="shared" si="227"/>
        <v>6.4% | 7.19%</v>
      </c>
      <c r="R545" t="str">
        <f t="shared" si="239"/>
        <v>BEARISH</v>
      </c>
      <c r="S545">
        <f t="shared" si="228"/>
        <v>-1</v>
      </c>
    </row>
    <row r="546" spans="1:19" hidden="1" x14ac:dyDescent="0.25">
      <c r="A546" s="5" t="str">
        <f t="shared" si="225"/>
        <v>43910AMZN</v>
      </c>
      <c r="B546" s="6" t="s">
        <v>73</v>
      </c>
      <c r="C546" s="6">
        <v>1648</v>
      </c>
      <c r="D546" s="6">
        <v>1941</v>
      </c>
      <c r="E546" s="6">
        <v>1880</v>
      </c>
      <c r="F546" t="str">
        <f t="shared" si="229"/>
        <v>FRI</v>
      </c>
      <c r="G546" s="3">
        <f t="shared" si="230"/>
        <v>43910</v>
      </c>
      <c r="H546" s="2">
        <f t="shared" ca="1" si="231"/>
        <v>343</v>
      </c>
      <c r="I546" t="str">
        <f t="shared" si="232"/>
        <v>AMZN</v>
      </c>
      <c r="J546">
        <f t="shared" si="233"/>
        <v>1648</v>
      </c>
      <c r="K546">
        <f t="shared" si="234"/>
        <v>1941</v>
      </c>
      <c r="L546">
        <f t="shared" si="235"/>
        <v>1794.5</v>
      </c>
      <c r="M546">
        <f t="shared" si="236"/>
        <v>146.5</v>
      </c>
      <c r="N546">
        <f t="shared" si="226"/>
        <v>293</v>
      </c>
      <c r="O546">
        <f t="shared" si="237"/>
        <v>1880</v>
      </c>
      <c r="P546">
        <f t="shared" si="238"/>
        <v>0.58361774744027306</v>
      </c>
      <c r="Q546" t="str">
        <f t="shared" si="227"/>
        <v>12.34% | 3.24%</v>
      </c>
      <c r="R546" t="str">
        <f t="shared" si="239"/>
        <v>BEARISH</v>
      </c>
      <c r="S546">
        <f t="shared" si="228"/>
        <v>-1</v>
      </c>
    </row>
    <row r="547" spans="1:19" hidden="1" x14ac:dyDescent="0.25">
      <c r="A547" s="5" t="str">
        <f t="shared" si="225"/>
        <v>43910FB</v>
      </c>
      <c r="B547" s="6" t="s">
        <v>58</v>
      </c>
      <c r="C547" s="6">
        <v>135</v>
      </c>
      <c r="D547" s="6">
        <v>162</v>
      </c>
      <c r="E547" s="6">
        <v>153</v>
      </c>
      <c r="F547" t="str">
        <f t="shared" si="229"/>
        <v>FRI</v>
      </c>
      <c r="G547" s="3">
        <f t="shared" si="230"/>
        <v>43910</v>
      </c>
      <c r="H547" s="2">
        <f t="shared" ca="1" si="231"/>
        <v>343</v>
      </c>
      <c r="I547" t="str">
        <f t="shared" si="232"/>
        <v>FB</v>
      </c>
      <c r="J547">
        <f t="shared" si="233"/>
        <v>135</v>
      </c>
      <c r="K547">
        <f t="shared" si="234"/>
        <v>162</v>
      </c>
      <c r="L547">
        <f t="shared" si="235"/>
        <v>148.5</v>
      </c>
      <c r="M547">
        <f t="shared" si="236"/>
        <v>13.5</v>
      </c>
      <c r="N547">
        <f t="shared" si="226"/>
        <v>27</v>
      </c>
      <c r="O547">
        <f t="shared" si="237"/>
        <v>153</v>
      </c>
      <c r="P547">
        <f t="shared" si="238"/>
        <v>0.33333333333333331</v>
      </c>
      <c r="Q547" t="str">
        <f t="shared" si="227"/>
        <v>11.76% | 5.88%</v>
      </c>
      <c r="R547" t="str">
        <f t="shared" si="239"/>
        <v>BEARISH</v>
      </c>
      <c r="S547">
        <f t="shared" si="228"/>
        <v>-1</v>
      </c>
    </row>
    <row r="548" spans="1:19" hidden="1" x14ac:dyDescent="0.25">
      <c r="A548" s="5" t="str">
        <f t="shared" si="225"/>
        <v>43910GOOGL</v>
      </c>
      <c r="B548" s="6" t="s">
        <v>66</v>
      </c>
      <c r="C548" s="6">
        <v>1020</v>
      </c>
      <c r="D548" s="6">
        <v>1177</v>
      </c>
      <c r="E548" s="6">
        <v>1111</v>
      </c>
      <c r="F548" t="str">
        <f t="shared" si="229"/>
        <v>FRI</v>
      </c>
      <c r="G548" s="3">
        <f t="shared" si="230"/>
        <v>43910</v>
      </c>
      <c r="H548" s="2">
        <f t="shared" ca="1" si="231"/>
        <v>343</v>
      </c>
      <c r="I548" t="str">
        <f t="shared" si="232"/>
        <v>GOOGL</v>
      </c>
      <c r="J548">
        <f t="shared" si="233"/>
        <v>1020</v>
      </c>
      <c r="K548">
        <f t="shared" si="234"/>
        <v>1177</v>
      </c>
      <c r="L548">
        <f t="shared" si="235"/>
        <v>1098.5</v>
      </c>
      <c r="M548">
        <f t="shared" si="236"/>
        <v>78.5</v>
      </c>
      <c r="N548">
        <f t="shared" si="226"/>
        <v>157</v>
      </c>
      <c r="O548">
        <f t="shared" si="237"/>
        <v>1111</v>
      </c>
      <c r="P548">
        <f t="shared" si="238"/>
        <v>0.15923566878980891</v>
      </c>
      <c r="Q548" t="str">
        <f t="shared" si="227"/>
        <v>8.19% | 5.94%</v>
      </c>
      <c r="R548" t="str">
        <f t="shared" si="239"/>
        <v>BEARISH</v>
      </c>
      <c r="S548">
        <f t="shared" si="228"/>
        <v>-1</v>
      </c>
    </row>
    <row r="549" spans="1:19" hidden="1" x14ac:dyDescent="0.25">
      <c r="A549" s="5" t="str">
        <f t="shared" si="225"/>
        <v>43910NFLX</v>
      </c>
      <c r="B549" s="6" t="s">
        <v>81</v>
      </c>
      <c r="C549" s="6">
        <v>290</v>
      </c>
      <c r="D549" s="6">
        <v>349</v>
      </c>
      <c r="E549" s="6">
        <v>332</v>
      </c>
      <c r="F549" t="str">
        <f t="shared" si="229"/>
        <v>FRI</v>
      </c>
      <c r="G549" s="3">
        <f t="shared" si="230"/>
        <v>43910</v>
      </c>
      <c r="H549" s="2">
        <f t="shared" ca="1" si="231"/>
        <v>343</v>
      </c>
      <c r="I549" t="str">
        <f t="shared" si="232"/>
        <v>NFLX</v>
      </c>
      <c r="J549">
        <f t="shared" si="233"/>
        <v>290</v>
      </c>
      <c r="K549">
        <f t="shared" si="234"/>
        <v>349</v>
      </c>
      <c r="L549">
        <f t="shared" si="235"/>
        <v>319.5</v>
      </c>
      <c r="M549">
        <f t="shared" si="236"/>
        <v>29.5</v>
      </c>
      <c r="N549">
        <f t="shared" si="226"/>
        <v>59</v>
      </c>
      <c r="O549">
        <f t="shared" si="237"/>
        <v>332</v>
      </c>
      <c r="P549">
        <f t="shared" si="238"/>
        <v>0.42372881355932202</v>
      </c>
      <c r="Q549" t="str">
        <f t="shared" si="227"/>
        <v>12.65% | 5.12%</v>
      </c>
      <c r="R549" t="str">
        <f t="shared" si="239"/>
        <v>BEARISH</v>
      </c>
      <c r="S549">
        <f t="shared" si="228"/>
        <v>-1</v>
      </c>
    </row>
    <row r="550" spans="1:19" x14ac:dyDescent="0.25">
      <c r="A550" s="5" t="str">
        <f t="shared" si="225"/>
        <v>43910TSLA</v>
      </c>
      <c r="B550" s="6" t="s">
        <v>83</v>
      </c>
      <c r="C550" s="6">
        <v>301</v>
      </c>
      <c r="D550" s="6">
        <v>507</v>
      </c>
      <c r="E550" s="6">
        <v>427</v>
      </c>
      <c r="F550" t="str">
        <f t="shared" si="229"/>
        <v>FRI</v>
      </c>
      <c r="G550" s="3">
        <f t="shared" si="230"/>
        <v>43910</v>
      </c>
      <c r="H550" s="2">
        <f t="shared" ca="1" si="231"/>
        <v>343</v>
      </c>
      <c r="I550" t="str">
        <f t="shared" si="232"/>
        <v>TSLA</v>
      </c>
      <c r="J550">
        <f t="shared" si="233"/>
        <v>301</v>
      </c>
      <c r="K550">
        <f t="shared" si="234"/>
        <v>507</v>
      </c>
      <c r="L550">
        <f t="shared" si="235"/>
        <v>404</v>
      </c>
      <c r="M550">
        <f t="shared" si="236"/>
        <v>103</v>
      </c>
      <c r="N550">
        <f t="shared" si="226"/>
        <v>206</v>
      </c>
      <c r="O550">
        <f t="shared" si="237"/>
        <v>427</v>
      </c>
      <c r="P550">
        <f t="shared" si="238"/>
        <v>0.22330097087378642</v>
      </c>
      <c r="Q550" t="str">
        <f t="shared" si="227"/>
        <v>29.51% | 18.74%</v>
      </c>
      <c r="R550" t="str">
        <f t="shared" si="239"/>
        <v>BEARISH</v>
      </c>
      <c r="S550">
        <f t="shared" si="228"/>
        <v>-1</v>
      </c>
    </row>
    <row r="551" spans="1:19" hidden="1" x14ac:dyDescent="0.25">
      <c r="A551" s="5" t="str">
        <f t="shared" si="225"/>
        <v>43910NYXBT</v>
      </c>
      <c r="B551" s="6" t="s">
        <v>84</v>
      </c>
      <c r="C551" s="6">
        <v>4351</v>
      </c>
      <c r="D551" s="6">
        <v>7940</v>
      </c>
      <c r="E551" s="6">
        <v>5933</v>
      </c>
      <c r="F551" t="str">
        <f t="shared" si="229"/>
        <v>FRI</v>
      </c>
      <c r="G551" s="3">
        <f t="shared" si="230"/>
        <v>43910</v>
      </c>
      <c r="H551" s="2">
        <f t="shared" ca="1" si="231"/>
        <v>343</v>
      </c>
      <c r="I551" t="str">
        <f t="shared" si="232"/>
        <v>NYXBT</v>
      </c>
      <c r="J551">
        <f t="shared" si="233"/>
        <v>4351</v>
      </c>
      <c r="K551">
        <f t="shared" si="234"/>
        <v>7940</v>
      </c>
      <c r="L551">
        <f t="shared" si="235"/>
        <v>6145.5</v>
      </c>
      <c r="M551">
        <f t="shared" si="236"/>
        <v>1794.5</v>
      </c>
      <c r="N551">
        <f t="shared" si="226"/>
        <v>3589</v>
      </c>
      <c r="O551">
        <f t="shared" si="237"/>
        <v>5933</v>
      </c>
      <c r="P551">
        <f t="shared" si="238"/>
        <v>-0.11841738645862357</v>
      </c>
      <c r="Q551" t="str">
        <f t="shared" si="227"/>
        <v>26.66% | 33.83%</v>
      </c>
      <c r="R551" t="str">
        <f t="shared" si="239"/>
        <v>BEARISH</v>
      </c>
      <c r="S551">
        <f t="shared" si="228"/>
        <v>-1</v>
      </c>
    </row>
    <row r="552" spans="1:19" hidden="1" x14ac:dyDescent="0.25">
      <c r="A552" s="5" t="str">
        <f t="shared" si="225"/>
        <v>43913UST10Y</v>
      </c>
      <c r="B552" s="6" t="s">
        <v>4</v>
      </c>
      <c r="C552" s="6">
        <v>1.23</v>
      </c>
      <c r="D552" s="6">
        <v>0.63</v>
      </c>
      <c r="E552" s="6">
        <v>0.92</v>
      </c>
      <c r="F552" t="str">
        <f t="shared" si="229"/>
        <v>MON</v>
      </c>
      <c r="G552" s="1">
        <f>DATE(2020,3,23)</f>
        <v>43913</v>
      </c>
      <c r="H552" s="2">
        <f t="shared" ca="1" si="231"/>
        <v>340</v>
      </c>
      <c r="I552" t="str">
        <f t="shared" si="232"/>
        <v>UST10Y</v>
      </c>
      <c r="J552">
        <f t="shared" si="233"/>
        <v>1.23</v>
      </c>
      <c r="K552">
        <f t="shared" si="234"/>
        <v>0.63</v>
      </c>
      <c r="L552">
        <f t="shared" si="235"/>
        <v>0.92999999999999994</v>
      </c>
      <c r="M552">
        <f t="shared" si="236"/>
        <v>0.30000000000000016</v>
      </c>
      <c r="N552">
        <f t="shared" si="226"/>
        <v>0.6</v>
      </c>
      <c r="O552">
        <f t="shared" si="237"/>
        <v>0.92</v>
      </c>
      <c r="P552">
        <f t="shared" si="238"/>
        <v>-3.3333333333332979E-2</v>
      </c>
      <c r="Q552" t="str">
        <f t="shared" si="227"/>
        <v>33.7% | 31.52%</v>
      </c>
      <c r="R552" t="str">
        <f t="shared" si="239"/>
        <v>BEARISH</v>
      </c>
      <c r="S552">
        <f t="shared" si="228"/>
        <v>-1</v>
      </c>
    </row>
    <row r="553" spans="1:19" hidden="1" x14ac:dyDescent="0.25">
      <c r="A553" s="5" t="str">
        <f t="shared" si="225"/>
        <v>43913UST2Y</v>
      </c>
      <c r="B553" s="6" t="s">
        <v>5</v>
      </c>
      <c r="C553" s="6">
        <v>0.56999999999999995</v>
      </c>
      <c r="D553" s="6">
        <v>0.26</v>
      </c>
      <c r="E553" s="6">
        <v>0.37</v>
      </c>
      <c r="F553" t="str">
        <f t="shared" ref="F553:F581" si="240">UPPER(TEXT(G553,"ddd"))</f>
        <v>MON</v>
      </c>
      <c r="G553" s="1">
        <f t="shared" ref="G553:G580" si="241">DATE(2020,3,23)</f>
        <v>43913</v>
      </c>
      <c r="H553" s="2">
        <f t="shared" ref="H553:H581" ca="1" si="242">TODAY()-G553</f>
        <v>340</v>
      </c>
      <c r="I553" t="str">
        <f t="shared" ref="I553:I581" si="243">TRIM(LEFT(B553,FIND(" ",B553,1)))</f>
        <v>UST2Y</v>
      </c>
      <c r="J553">
        <f t="shared" ref="J553:J581" si="244">C553</f>
        <v>0.56999999999999995</v>
      </c>
      <c r="K553">
        <f t="shared" ref="K553:K581" si="245">D553</f>
        <v>0.26</v>
      </c>
      <c r="L553">
        <f t="shared" ref="L553:L581" si="246">AVERAGE(J553:K553)</f>
        <v>0.41499999999999998</v>
      </c>
      <c r="M553">
        <f t="shared" ref="M553:M581" si="247">_xlfn.STDEV.P(J553:K553)</f>
        <v>0.15499999999999997</v>
      </c>
      <c r="N553">
        <f t="shared" si="226"/>
        <v>0.30999999999999994</v>
      </c>
      <c r="O553">
        <f t="shared" ref="O553:O581" si="248">E553</f>
        <v>0.37</v>
      </c>
      <c r="P553">
        <f t="shared" ref="P553:P581" si="249">(O553-L553)/M553</f>
        <v>-0.29032258064516125</v>
      </c>
      <c r="Q553" t="str">
        <f t="shared" si="227"/>
        <v>54.05% | 29.73%</v>
      </c>
      <c r="R553" t="str">
        <f t="shared" ref="R553:R581" si="250">MID(B553,FIND("(",B553,1)+1,FIND(")",B553,1)-FIND("(",B553,1)-1)</f>
        <v>BEARISH</v>
      </c>
      <c r="S553">
        <f t="shared" si="228"/>
        <v>-1</v>
      </c>
    </row>
    <row r="554" spans="1:19" hidden="1" x14ac:dyDescent="0.25">
      <c r="A554" s="5" t="str">
        <f t="shared" si="225"/>
        <v>43913SPX</v>
      </c>
      <c r="B554" s="6" t="s">
        <v>6</v>
      </c>
      <c r="C554" s="6">
        <v>2138</v>
      </c>
      <c r="D554" s="6">
        <v>2548</v>
      </c>
      <c r="E554" s="6">
        <v>2304</v>
      </c>
      <c r="F554" t="str">
        <f t="shared" si="240"/>
        <v>MON</v>
      </c>
      <c r="G554" s="1">
        <f t="shared" si="241"/>
        <v>43913</v>
      </c>
      <c r="H554" s="2">
        <f t="shared" ca="1" si="242"/>
        <v>340</v>
      </c>
      <c r="I554" t="str">
        <f t="shared" si="243"/>
        <v>SPX</v>
      </c>
      <c r="J554">
        <f t="shared" si="244"/>
        <v>2138</v>
      </c>
      <c r="K554">
        <f t="shared" si="245"/>
        <v>2548</v>
      </c>
      <c r="L554">
        <f t="shared" si="246"/>
        <v>2343</v>
      </c>
      <c r="M554">
        <f t="shared" si="247"/>
        <v>205</v>
      </c>
      <c r="N554">
        <f t="shared" si="226"/>
        <v>410</v>
      </c>
      <c r="O554">
        <f t="shared" si="248"/>
        <v>2304</v>
      </c>
      <c r="P554">
        <f t="shared" si="249"/>
        <v>-0.19024390243902439</v>
      </c>
      <c r="Q554" t="str">
        <f t="shared" si="227"/>
        <v>7.2% | 10.59%</v>
      </c>
      <c r="R554" t="str">
        <f t="shared" si="250"/>
        <v>BEARISH</v>
      </c>
      <c r="S554">
        <f t="shared" si="228"/>
        <v>-1</v>
      </c>
    </row>
    <row r="555" spans="1:19" hidden="1" x14ac:dyDescent="0.25">
      <c r="A555" s="5" t="str">
        <f t="shared" si="225"/>
        <v>43913RUT</v>
      </c>
      <c r="B555" s="6" t="s">
        <v>7</v>
      </c>
      <c r="C555" s="6">
        <v>940</v>
      </c>
      <c r="D555" s="6">
        <v>1170</v>
      </c>
      <c r="E555" s="6">
        <v>1013</v>
      </c>
      <c r="F555" t="str">
        <f t="shared" si="240"/>
        <v>MON</v>
      </c>
      <c r="G555" s="1">
        <f t="shared" si="241"/>
        <v>43913</v>
      </c>
      <c r="H555" s="2">
        <f t="shared" ca="1" si="242"/>
        <v>340</v>
      </c>
      <c r="I555" t="str">
        <f t="shared" si="243"/>
        <v>RUT</v>
      </c>
      <c r="J555">
        <f t="shared" si="244"/>
        <v>940</v>
      </c>
      <c r="K555">
        <f t="shared" si="245"/>
        <v>1170</v>
      </c>
      <c r="L555">
        <f t="shared" si="246"/>
        <v>1055</v>
      </c>
      <c r="M555">
        <f t="shared" si="247"/>
        <v>115</v>
      </c>
      <c r="N555">
        <f t="shared" si="226"/>
        <v>230</v>
      </c>
      <c r="O555">
        <f t="shared" si="248"/>
        <v>1013</v>
      </c>
      <c r="P555">
        <f t="shared" si="249"/>
        <v>-0.36521739130434783</v>
      </c>
      <c r="Q555" t="str">
        <f t="shared" si="227"/>
        <v>7.21% | 15.5%</v>
      </c>
      <c r="R555" t="str">
        <f t="shared" si="250"/>
        <v>BEARISH</v>
      </c>
      <c r="S555">
        <f t="shared" si="228"/>
        <v>-1</v>
      </c>
    </row>
    <row r="556" spans="1:19" hidden="1" x14ac:dyDescent="0.25">
      <c r="A556" s="5" t="str">
        <f t="shared" si="225"/>
        <v>43913COMPQ</v>
      </c>
      <c r="B556" s="6" t="s">
        <v>64</v>
      </c>
      <c r="C556" s="6">
        <v>6402</v>
      </c>
      <c r="D556" s="6">
        <v>7401</v>
      </c>
      <c r="E556" s="6">
        <v>6879</v>
      </c>
      <c r="F556" t="str">
        <f t="shared" si="240"/>
        <v>MON</v>
      </c>
      <c r="G556" s="1">
        <f t="shared" si="241"/>
        <v>43913</v>
      </c>
      <c r="H556" s="2">
        <f t="shared" ca="1" si="242"/>
        <v>340</v>
      </c>
      <c r="I556" t="str">
        <f t="shared" si="243"/>
        <v>COMPQ</v>
      </c>
      <c r="J556">
        <f t="shared" si="244"/>
        <v>6402</v>
      </c>
      <c r="K556">
        <f t="shared" si="245"/>
        <v>7401</v>
      </c>
      <c r="L556">
        <f t="shared" si="246"/>
        <v>6901.5</v>
      </c>
      <c r="M556">
        <f t="shared" si="247"/>
        <v>499.5</v>
      </c>
      <c r="N556">
        <f t="shared" si="226"/>
        <v>999</v>
      </c>
      <c r="O556">
        <f t="shared" si="248"/>
        <v>6879</v>
      </c>
      <c r="P556">
        <f t="shared" si="249"/>
        <v>-4.5045045045045043E-2</v>
      </c>
      <c r="Q556" t="str">
        <f t="shared" si="227"/>
        <v>6.93% | 7.59%</v>
      </c>
      <c r="R556" t="str">
        <f t="shared" si="250"/>
        <v>BEARISH</v>
      </c>
      <c r="S556">
        <f t="shared" si="228"/>
        <v>-1</v>
      </c>
    </row>
    <row r="557" spans="1:19" hidden="1" x14ac:dyDescent="0.25">
      <c r="A557" s="5" t="str">
        <f t="shared" si="225"/>
        <v>43913XLU</v>
      </c>
      <c r="B557" s="6" t="s">
        <v>82</v>
      </c>
      <c r="C557" s="6">
        <v>45.18</v>
      </c>
      <c r="D557" s="6">
        <v>55.46</v>
      </c>
      <c r="E557" s="6">
        <v>47.82</v>
      </c>
      <c r="F557" t="str">
        <f t="shared" si="240"/>
        <v>MON</v>
      </c>
      <c r="G557" s="1">
        <f t="shared" si="241"/>
        <v>43913</v>
      </c>
      <c r="H557" s="2">
        <f t="shared" ca="1" si="242"/>
        <v>340</v>
      </c>
      <c r="I557" t="str">
        <f t="shared" si="243"/>
        <v>XLU</v>
      </c>
      <c r="J557">
        <f t="shared" si="244"/>
        <v>45.18</v>
      </c>
      <c r="K557">
        <f t="shared" si="245"/>
        <v>55.46</v>
      </c>
      <c r="L557">
        <f t="shared" si="246"/>
        <v>50.32</v>
      </c>
      <c r="M557">
        <f t="shared" si="247"/>
        <v>5.139999999999973</v>
      </c>
      <c r="N557">
        <f t="shared" si="226"/>
        <v>10.280000000000001</v>
      </c>
      <c r="O557">
        <f t="shared" si="248"/>
        <v>47.82</v>
      </c>
      <c r="P557">
        <f t="shared" si="249"/>
        <v>-0.48638132295720099</v>
      </c>
      <c r="Q557" t="str">
        <f t="shared" si="227"/>
        <v>5.52% | 15.98%</v>
      </c>
      <c r="R557" t="str">
        <f t="shared" si="250"/>
        <v>BEARISH</v>
      </c>
      <c r="S557">
        <f t="shared" si="228"/>
        <v>-1</v>
      </c>
    </row>
    <row r="558" spans="1:19" hidden="1" x14ac:dyDescent="0.25">
      <c r="A558" s="5" t="str">
        <f t="shared" si="225"/>
        <v>43913VNQ</v>
      </c>
      <c r="B558" s="6" t="s">
        <v>67</v>
      </c>
      <c r="C558" s="6">
        <v>52.27</v>
      </c>
      <c r="D558" s="6">
        <v>71.02</v>
      </c>
      <c r="E558" s="6">
        <v>59.68</v>
      </c>
      <c r="F558" t="str">
        <f t="shared" si="240"/>
        <v>MON</v>
      </c>
      <c r="G558" s="1">
        <f t="shared" si="241"/>
        <v>43913</v>
      </c>
      <c r="H558" s="2">
        <f t="shared" ca="1" si="242"/>
        <v>340</v>
      </c>
      <c r="I558" t="str">
        <f t="shared" si="243"/>
        <v>VNQ</v>
      </c>
      <c r="J558">
        <f t="shared" si="244"/>
        <v>52.27</v>
      </c>
      <c r="K558">
        <f t="shared" si="245"/>
        <v>71.02</v>
      </c>
      <c r="L558">
        <f t="shared" si="246"/>
        <v>61.644999999999996</v>
      </c>
      <c r="M558">
        <f t="shared" si="247"/>
        <v>9.3750000000000249</v>
      </c>
      <c r="N558">
        <f t="shared" si="226"/>
        <v>18.749999999999993</v>
      </c>
      <c r="O558">
        <f t="shared" si="248"/>
        <v>59.68</v>
      </c>
      <c r="P558">
        <f t="shared" si="249"/>
        <v>-0.20959999999999904</v>
      </c>
      <c r="Q558" t="str">
        <f t="shared" si="227"/>
        <v>12.42% | 19%</v>
      </c>
      <c r="R558" t="str">
        <f t="shared" si="250"/>
        <v>BEARISH</v>
      </c>
      <c r="S558">
        <f t="shared" si="228"/>
        <v>-1</v>
      </c>
    </row>
    <row r="559" spans="1:19" hidden="1" x14ac:dyDescent="0.25">
      <c r="A559" s="5" t="str">
        <f t="shared" si="225"/>
        <v>43913XLP</v>
      </c>
      <c r="B559" s="6" t="s">
        <v>11</v>
      </c>
      <c r="C559" s="6">
        <v>48.23</v>
      </c>
      <c r="D559" s="6">
        <v>55.32</v>
      </c>
      <c r="E559" s="6">
        <v>50.4</v>
      </c>
      <c r="F559" t="str">
        <f t="shared" si="240"/>
        <v>MON</v>
      </c>
      <c r="G559" s="1">
        <f t="shared" si="241"/>
        <v>43913</v>
      </c>
      <c r="H559" s="2">
        <f t="shared" ca="1" si="242"/>
        <v>340</v>
      </c>
      <c r="I559" t="str">
        <f t="shared" si="243"/>
        <v>XLP</v>
      </c>
      <c r="J559">
        <f t="shared" si="244"/>
        <v>48.23</v>
      </c>
      <c r="K559">
        <f t="shared" si="245"/>
        <v>55.32</v>
      </c>
      <c r="L559">
        <f t="shared" si="246"/>
        <v>51.774999999999999</v>
      </c>
      <c r="M559">
        <f t="shared" si="247"/>
        <v>3.5450000000000017</v>
      </c>
      <c r="N559">
        <f t="shared" si="226"/>
        <v>7.0900000000000034</v>
      </c>
      <c r="O559">
        <f t="shared" si="248"/>
        <v>50.4</v>
      </c>
      <c r="P559">
        <f t="shared" si="249"/>
        <v>-0.38787023977432983</v>
      </c>
      <c r="Q559" t="str">
        <f t="shared" si="227"/>
        <v>4.31% | 9.76%</v>
      </c>
      <c r="R559" t="str">
        <f t="shared" si="250"/>
        <v>BEARISH</v>
      </c>
      <c r="S559">
        <f t="shared" si="228"/>
        <v>-1</v>
      </c>
    </row>
    <row r="560" spans="1:19" hidden="1" x14ac:dyDescent="0.25">
      <c r="A560" s="5" t="str">
        <f t="shared" si="225"/>
        <v>43913XLK</v>
      </c>
      <c r="B560" s="6" t="s">
        <v>65</v>
      </c>
      <c r="C560" s="6">
        <v>66.14</v>
      </c>
      <c r="D560" s="6">
        <v>81.150000000000006</v>
      </c>
      <c r="E560" s="6">
        <v>71.42</v>
      </c>
      <c r="F560" t="str">
        <f t="shared" si="240"/>
        <v>MON</v>
      </c>
      <c r="G560" s="1">
        <f t="shared" si="241"/>
        <v>43913</v>
      </c>
      <c r="H560" s="2">
        <f t="shared" ca="1" si="242"/>
        <v>340</v>
      </c>
      <c r="I560" t="str">
        <f t="shared" si="243"/>
        <v>XLK</v>
      </c>
      <c r="J560">
        <f t="shared" si="244"/>
        <v>66.14</v>
      </c>
      <c r="K560">
        <f t="shared" si="245"/>
        <v>81.150000000000006</v>
      </c>
      <c r="L560">
        <f t="shared" si="246"/>
        <v>73.64500000000001</v>
      </c>
      <c r="M560">
        <f t="shared" si="247"/>
        <v>7.5049999999999457</v>
      </c>
      <c r="N560">
        <f t="shared" si="226"/>
        <v>15.010000000000005</v>
      </c>
      <c r="O560">
        <f t="shared" si="248"/>
        <v>71.42</v>
      </c>
      <c r="P560">
        <f t="shared" si="249"/>
        <v>-0.29646902065290137</v>
      </c>
      <c r="Q560" t="str">
        <f t="shared" si="227"/>
        <v>7.39% | 13.62%</v>
      </c>
      <c r="R560" t="str">
        <f t="shared" si="250"/>
        <v>BEARISH</v>
      </c>
      <c r="S560">
        <f t="shared" si="228"/>
        <v>-1</v>
      </c>
    </row>
    <row r="561" spans="1:19" hidden="1" x14ac:dyDescent="0.25">
      <c r="A561" s="5" t="str">
        <f t="shared" si="225"/>
        <v>43913SSEC</v>
      </c>
      <c r="B561" s="6" t="s">
        <v>14</v>
      </c>
      <c r="C561" s="6">
        <v>2608</v>
      </c>
      <c r="D561" s="6">
        <v>2845</v>
      </c>
      <c r="E561" s="6">
        <v>2660</v>
      </c>
      <c r="F561" t="str">
        <f t="shared" si="240"/>
        <v>MON</v>
      </c>
      <c r="G561" s="1">
        <f t="shared" si="241"/>
        <v>43913</v>
      </c>
      <c r="H561" s="2">
        <f t="shared" ca="1" si="242"/>
        <v>340</v>
      </c>
      <c r="I561" t="str">
        <f t="shared" si="243"/>
        <v>SSEC</v>
      </c>
      <c r="J561">
        <f t="shared" si="244"/>
        <v>2608</v>
      </c>
      <c r="K561">
        <f t="shared" si="245"/>
        <v>2845</v>
      </c>
      <c r="L561">
        <f t="shared" si="246"/>
        <v>2726.5</v>
      </c>
      <c r="M561">
        <f t="shared" si="247"/>
        <v>118.5</v>
      </c>
      <c r="N561">
        <f t="shared" si="226"/>
        <v>237</v>
      </c>
      <c r="O561">
        <f t="shared" si="248"/>
        <v>2660</v>
      </c>
      <c r="P561">
        <f t="shared" si="249"/>
        <v>-0.56118143459915615</v>
      </c>
      <c r="Q561" t="str">
        <f t="shared" si="227"/>
        <v>1.95% | 6.95%</v>
      </c>
      <c r="R561" t="str">
        <f t="shared" si="250"/>
        <v>BEARISH</v>
      </c>
      <c r="S561">
        <f t="shared" si="228"/>
        <v>-1</v>
      </c>
    </row>
    <row r="562" spans="1:19" hidden="1" x14ac:dyDescent="0.25">
      <c r="A562" s="5" t="str">
        <f t="shared" si="225"/>
        <v>43913NIKK</v>
      </c>
      <c r="B562" s="6" t="s">
        <v>15</v>
      </c>
      <c r="C562" s="6">
        <v>15453</v>
      </c>
      <c r="D562" s="6">
        <v>18112</v>
      </c>
      <c r="E562" s="6">
        <v>16887</v>
      </c>
      <c r="F562" t="str">
        <f t="shared" si="240"/>
        <v>MON</v>
      </c>
      <c r="G562" s="1">
        <f t="shared" si="241"/>
        <v>43913</v>
      </c>
      <c r="H562" s="2">
        <f t="shared" ca="1" si="242"/>
        <v>340</v>
      </c>
      <c r="I562" t="str">
        <f t="shared" si="243"/>
        <v>NIKK</v>
      </c>
      <c r="J562">
        <f t="shared" si="244"/>
        <v>15453</v>
      </c>
      <c r="K562">
        <f t="shared" si="245"/>
        <v>18112</v>
      </c>
      <c r="L562">
        <f t="shared" si="246"/>
        <v>16782.5</v>
      </c>
      <c r="M562">
        <f t="shared" si="247"/>
        <v>1329.5</v>
      </c>
      <c r="N562">
        <f t="shared" si="226"/>
        <v>2659</v>
      </c>
      <c r="O562">
        <f t="shared" si="248"/>
        <v>16887</v>
      </c>
      <c r="P562">
        <f t="shared" si="249"/>
        <v>7.8600977811207215E-2</v>
      </c>
      <c r="Q562" t="str">
        <f t="shared" si="227"/>
        <v>8.49% | 7.25%</v>
      </c>
      <c r="R562" t="str">
        <f t="shared" si="250"/>
        <v>BEARISH</v>
      </c>
      <c r="S562">
        <f t="shared" si="228"/>
        <v>-1</v>
      </c>
    </row>
    <row r="563" spans="1:19" hidden="1" x14ac:dyDescent="0.25">
      <c r="A563" s="5" t="str">
        <f t="shared" si="225"/>
        <v>43913DAX</v>
      </c>
      <c r="B563" s="6" t="s">
        <v>16</v>
      </c>
      <c r="C563" s="6">
        <v>7809</v>
      </c>
      <c r="D563" s="6">
        <v>9230</v>
      </c>
      <c r="E563" s="6">
        <v>8928</v>
      </c>
      <c r="F563" t="str">
        <f t="shared" si="240"/>
        <v>MON</v>
      </c>
      <c r="G563" s="1">
        <f t="shared" si="241"/>
        <v>43913</v>
      </c>
      <c r="H563" s="2">
        <f t="shared" ca="1" si="242"/>
        <v>340</v>
      </c>
      <c r="I563" t="str">
        <f t="shared" si="243"/>
        <v>DAX</v>
      </c>
      <c r="J563">
        <f t="shared" si="244"/>
        <v>7809</v>
      </c>
      <c r="K563">
        <f t="shared" si="245"/>
        <v>9230</v>
      </c>
      <c r="L563">
        <f t="shared" si="246"/>
        <v>8519.5</v>
      </c>
      <c r="M563">
        <f t="shared" si="247"/>
        <v>710.5</v>
      </c>
      <c r="N563">
        <f t="shared" si="226"/>
        <v>1421</v>
      </c>
      <c r="O563">
        <f t="shared" si="248"/>
        <v>8928</v>
      </c>
      <c r="P563">
        <f t="shared" si="249"/>
        <v>0.57494722026741729</v>
      </c>
      <c r="Q563" t="str">
        <f t="shared" si="227"/>
        <v>12.53% | 3.38%</v>
      </c>
      <c r="R563" t="str">
        <f t="shared" si="250"/>
        <v>BEARISH</v>
      </c>
      <c r="S563">
        <f t="shared" si="228"/>
        <v>-1</v>
      </c>
    </row>
    <row r="564" spans="1:19" hidden="1" x14ac:dyDescent="0.25">
      <c r="A564" s="5" t="str">
        <f t="shared" si="225"/>
        <v>43913VIX</v>
      </c>
      <c r="B564" s="6" t="s">
        <v>17</v>
      </c>
      <c r="C564" s="6">
        <v>45.86</v>
      </c>
      <c r="D564" s="6">
        <v>91.17</v>
      </c>
      <c r="E564" s="6">
        <v>66.040000000000006</v>
      </c>
      <c r="F564" t="str">
        <f t="shared" si="240"/>
        <v>MON</v>
      </c>
      <c r="G564" s="1">
        <f t="shared" si="241"/>
        <v>43913</v>
      </c>
      <c r="H564" s="2">
        <f t="shared" ca="1" si="242"/>
        <v>340</v>
      </c>
      <c r="I564" t="str">
        <f t="shared" si="243"/>
        <v>VIX</v>
      </c>
      <c r="J564">
        <f t="shared" si="244"/>
        <v>45.86</v>
      </c>
      <c r="K564">
        <f t="shared" si="245"/>
        <v>91.17</v>
      </c>
      <c r="L564">
        <f t="shared" si="246"/>
        <v>68.515000000000001</v>
      </c>
      <c r="M564">
        <f t="shared" si="247"/>
        <v>22.655000000000001</v>
      </c>
      <c r="N564">
        <f t="shared" si="226"/>
        <v>45.31</v>
      </c>
      <c r="O564">
        <f t="shared" si="248"/>
        <v>66.040000000000006</v>
      </c>
      <c r="P564">
        <f t="shared" si="249"/>
        <v>-0.1092474067534758</v>
      </c>
      <c r="Q564" t="str">
        <f t="shared" si="227"/>
        <v>30.56% | 38.05%</v>
      </c>
      <c r="R564" t="str">
        <f t="shared" si="250"/>
        <v>BULLISH</v>
      </c>
      <c r="S564">
        <f t="shared" si="228"/>
        <v>1</v>
      </c>
    </row>
    <row r="565" spans="1:19" hidden="1" x14ac:dyDescent="0.25">
      <c r="A565" s="5" t="str">
        <f t="shared" si="225"/>
        <v>43913USD</v>
      </c>
      <c r="B565" s="6" t="s">
        <v>18</v>
      </c>
      <c r="C565" s="6">
        <v>98.16</v>
      </c>
      <c r="D565" s="6">
        <v>104.88</v>
      </c>
      <c r="E565" s="6">
        <v>103.5</v>
      </c>
      <c r="F565" t="str">
        <f t="shared" si="240"/>
        <v>MON</v>
      </c>
      <c r="G565" s="1">
        <f t="shared" si="241"/>
        <v>43913</v>
      </c>
      <c r="H565" s="2">
        <f t="shared" ca="1" si="242"/>
        <v>340</v>
      </c>
      <c r="I565" t="str">
        <f t="shared" si="243"/>
        <v>USD</v>
      </c>
      <c r="J565">
        <f t="shared" si="244"/>
        <v>98.16</v>
      </c>
      <c r="K565">
        <f t="shared" si="245"/>
        <v>104.88</v>
      </c>
      <c r="L565">
        <f t="shared" si="246"/>
        <v>101.52</v>
      </c>
      <c r="M565">
        <f t="shared" si="247"/>
        <v>3.3599999999999994</v>
      </c>
      <c r="N565">
        <f t="shared" si="226"/>
        <v>6.7199999999999989</v>
      </c>
      <c r="O565">
        <f t="shared" si="248"/>
        <v>103.5</v>
      </c>
      <c r="P565">
        <f t="shared" si="249"/>
        <v>0.58928571428571552</v>
      </c>
      <c r="Q565" t="str">
        <f t="shared" si="227"/>
        <v>5.16% | 1.33%</v>
      </c>
      <c r="R565" t="str">
        <f t="shared" si="250"/>
        <v>BULLISH</v>
      </c>
      <c r="S565">
        <f t="shared" si="228"/>
        <v>1</v>
      </c>
    </row>
    <row r="566" spans="1:19" hidden="1" x14ac:dyDescent="0.25">
      <c r="A566" s="5" t="str">
        <f t="shared" si="225"/>
        <v>43913EUR/USD</v>
      </c>
      <c r="B566" s="6" t="s">
        <v>19</v>
      </c>
      <c r="C566" s="6">
        <v>1.06</v>
      </c>
      <c r="D566" s="6">
        <v>1.0900000000000001</v>
      </c>
      <c r="E566" s="6">
        <v>1.06</v>
      </c>
      <c r="F566" t="str">
        <f t="shared" si="240"/>
        <v>MON</v>
      </c>
      <c r="G566" s="1">
        <f t="shared" si="241"/>
        <v>43913</v>
      </c>
      <c r="H566" s="2">
        <f t="shared" ca="1" si="242"/>
        <v>340</v>
      </c>
      <c r="I566" t="str">
        <f t="shared" si="243"/>
        <v>EUR/USD</v>
      </c>
      <c r="J566">
        <f t="shared" si="244"/>
        <v>1.06</v>
      </c>
      <c r="K566">
        <f t="shared" si="245"/>
        <v>1.0900000000000001</v>
      </c>
      <c r="L566">
        <f t="shared" si="246"/>
        <v>1.0750000000000002</v>
      </c>
      <c r="M566">
        <f t="shared" si="247"/>
        <v>1.5000000000000013E-2</v>
      </c>
      <c r="N566">
        <f t="shared" si="226"/>
        <v>3.0000000000000027E-2</v>
      </c>
      <c r="O566">
        <f t="shared" si="248"/>
        <v>1.06</v>
      </c>
      <c r="P566">
        <f t="shared" si="249"/>
        <v>-1.0000000000000073</v>
      </c>
      <c r="Q566" t="str">
        <f t="shared" si="227"/>
        <v>0% | 2.83%</v>
      </c>
      <c r="R566" t="str">
        <f t="shared" si="250"/>
        <v>BEARISH</v>
      </c>
      <c r="S566">
        <f t="shared" si="228"/>
        <v>-1</v>
      </c>
    </row>
    <row r="567" spans="1:19" hidden="1" x14ac:dyDescent="0.25">
      <c r="A567" s="5" t="str">
        <f t="shared" si="225"/>
        <v>43913USD/JPY</v>
      </c>
      <c r="B567" s="6" t="s">
        <v>86</v>
      </c>
      <c r="C567" s="6">
        <v>102.65</v>
      </c>
      <c r="D567" s="6">
        <v>111.96</v>
      </c>
      <c r="E567" s="6">
        <v>111.2</v>
      </c>
      <c r="F567" t="str">
        <f t="shared" si="240"/>
        <v>MON</v>
      </c>
      <c r="G567" s="1">
        <f t="shared" si="241"/>
        <v>43913</v>
      </c>
      <c r="H567" s="2">
        <f t="shared" ca="1" si="242"/>
        <v>340</v>
      </c>
      <c r="I567" t="str">
        <f t="shared" si="243"/>
        <v>USD/JPY</v>
      </c>
      <c r="J567">
        <f t="shared" si="244"/>
        <v>102.65</v>
      </c>
      <c r="K567">
        <f t="shared" si="245"/>
        <v>111.96</v>
      </c>
      <c r="L567">
        <f t="shared" si="246"/>
        <v>107.30500000000001</v>
      </c>
      <c r="M567">
        <f t="shared" si="247"/>
        <v>4.654999999999994</v>
      </c>
      <c r="N567">
        <f t="shared" si="226"/>
        <v>9.3099999999999881</v>
      </c>
      <c r="O567">
        <f t="shared" si="248"/>
        <v>111.2</v>
      </c>
      <c r="P567">
        <f t="shared" si="249"/>
        <v>0.83673469387755128</v>
      </c>
      <c r="Q567" t="str">
        <f t="shared" si="227"/>
        <v>7.69% | 0.68%</v>
      </c>
      <c r="R567" t="str">
        <f t="shared" si="250"/>
        <v>NEUTRAL</v>
      </c>
      <c r="S567">
        <f t="shared" si="228"/>
        <v>0</v>
      </c>
    </row>
    <row r="568" spans="1:19" hidden="1" x14ac:dyDescent="0.25">
      <c r="A568" s="5" t="str">
        <f t="shared" si="225"/>
        <v>43913GBP/USD</v>
      </c>
      <c r="B568" s="6" t="s">
        <v>21</v>
      </c>
      <c r="C568" s="6">
        <v>1.1100000000000001</v>
      </c>
      <c r="D568" s="6">
        <v>1.2</v>
      </c>
      <c r="E568" s="6">
        <v>1.1599999999999999</v>
      </c>
      <c r="F568" t="str">
        <f t="shared" si="240"/>
        <v>MON</v>
      </c>
      <c r="G568" s="1">
        <f t="shared" si="241"/>
        <v>43913</v>
      </c>
      <c r="H568" s="2">
        <f t="shared" ca="1" si="242"/>
        <v>340</v>
      </c>
      <c r="I568" t="str">
        <f t="shared" si="243"/>
        <v>GBP/USD</v>
      </c>
      <c r="J568">
        <f t="shared" si="244"/>
        <v>1.1100000000000001</v>
      </c>
      <c r="K568">
        <f t="shared" si="245"/>
        <v>1.2</v>
      </c>
      <c r="L568">
        <f t="shared" si="246"/>
        <v>1.155</v>
      </c>
      <c r="M568">
        <f t="shared" si="247"/>
        <v>4.4999999999999929E-2</v>
      </c>
      <c r="N568">
        <f t="shared" si="226"/>
        <v>8.9999999999999858E-2</v>
      </c>
      <c r="O568">
        <f t="shared" si="248"/>
        <v>1.1599999999999999</v>
      </c>
      <c r="P568">
        <f t="shared" si="249"/>
        <v>0.11111111111110891</v>
      </c>
      <c r="Q568" t="str">
        <f t="shared" si="227"/>
        <v>4.31% | 3.45%</v>
      </c>
      <c r="R568" t="str">
        <f t="shared" si="250"/>
        <v>BEARISH</v>
      </c>
      <c r="S568">
        <f t="shared" si="228"/>
        <v>-1</v>
      </c>
    </row>
    <row r="569" spans="1:19" hidden="1" x14ac:dyDescent="0.25">
      <c r="A569" s="5" t="str">
        <f t="shared" si="225"/>
        <v>43913USD/CHF</v>
      </c>
      <c r="B569" s="6" t="s">
        <v>22</v>
      </c>
      <c r="C569" s="6">
        <v>0.95</v>
      </c>
      <c r="D569" s="6">
        <v>0.99</v>
      </c>
      <c r="E569" s="6">
        <v>0.98</v>
      </c>
      <c r="F569" t="str">
        <f t="shared" si="240"/>
        <v>MON</v>
      </c>
      <c r="G569" s="1">
        <f t="shared" si="241"/>
        <v>43913</v>
      </c>
      <c r="H569" s="2">
        <f t="shared" ca="1" si="242"/>
        <v>340</v>
      </c>
      <c r="I569" t="str">
        <f t="shared" si="243"/>
        <v>USD/CHF</v>
      </c>
      <c r="J569">
        <f t="shared" si="244"/>
        <v>0.95</v>
      </c>
      <c r="K569">
        <f t="shared" si="245"/>
        <v>0.99</v>
      </c>
      <c r="L569">
        <f t="shared" si="246"/>
        <v>0.97</v>
      </c>
      <c r="M569">
        <f t="shared" si="247"/>
        <v>2.0000000000000018E-2</v>
      </c>
      <c r="N569">
        <f t="shared" si="226"/>
        <v>4.0000000000000036E-2</v>
      </c>
      <c r="O569">
        <f t="shared" si="248"/>
        <v>0.98</v>
      </c>
      <c r="P569">
        <f t="shared" si="249"/>
        <v>0.5</v>
      </c>
      <c r="Q569" t="str">
        <f t="shared" si="227"/>
        <v>3.06% | 1.02%</v>
      </c>
      <c r="R569" t="str">
        <f t="shared" si="250"/>
        <v>NEUTRAL</v>
      </c>
      <c r="S569">
        <f t="shared" si="228"/>
        <v>0</v>
      </c>
    </row>
    <row r="570" spans="1:19" hidden="1" x14ac:dyDescent="0.25">
      <c r="A570" s="5" t="str">
        <f t="shared" si="225"/>
        <v>43913WTIC</v>
      </c>
      <c r="B570" s="6" t="s">
        <v>23</v>
      </c>
      <c r="C570" s="6">
        <v>19.350000000000001</v>
      </c>
      <c r="D570" s="6">
        <v>28.41</v>
      </c>
      <c r="E570" s="6">
        <v>22.63</v>
      </c>
      <c r="F570" t="str">
        <f t="shared" si="240"/>
        <v>MON</v>
      </c>
      <c r="G570" s="1">
        <f t="shared" si="241"/>
        <v>43913</v>
      </c>
      <c r="H570" s="2">
        <f t="shared" ca="1" si="242"/>
        <v>340</v>
      </c>
      <c r="I570" t="str">
        <f t="shared" si="243"/>
        <v>WTIC</v>
      </c>
      <c r="J570">
        <f t="shared" si="244"/>
        <v>19.350000000000001</v>
      </c>
      <c r="K570">
        <f t="shared" si="245"/>
        <v>28.41</v>
      </c>
      <c r="L570">
        <f t="shared" si="246"/>
        <v>23.880000000000003</v>
      </c>
      <c r="M570">
        <f t="shared" si="247"/>
        <v>4.529999999999986</v>
      </c>
      <c r="N570">
        <f t="shared" si="226"/>
        <v>9.0599999999999987</v>
      </c>
      <c r="O570">
        <f t="shared" si="248"/>
        <v>22.63</v>
      </c>
      <c r="P570">
        <f t="shared" si="249"/>
        <v>-0.27593818984547624</v>
      </c>
      <c r="Q570" t="str">
        <f t="shared" si="227"/>
        <v>14.49% | 25.54%</v>
      </c>
      <c r="R570" t="str">
        <f t="shared" si="250"/>
        <v>BEARISH</v>
      </c>
      <c r="S570">
        <f t="shared" si="228"/>
        <v>-1</v>
      </c>
    </row>
    <row r="571" spans="1:19" hidden="1" x14ac:dyDescent="0.25">
      <c r="A571" s="5" t="str">
        <f t="shared" si="225"/>
        <v>43913NATGAS</v>
      </c>
      <c r="B571" s="6" t="s">
        <v>24</v>
      </c>
      <c r="C571" s="6">
        <v>1.47</v>
      </c>
      <c r="D571" s="6">
        <v>1.8</v>
      </c>
      <c r="E571" s="6">
        <v>1.67</v>
      </c>
      <c r="F571" t="str">
        <f t="shared" si="240"/>
        <v>MON</v>
      </c>
      <c r="G571" s="1">
        <f t="shared" si="241"/>
        <v>43913</v>
      </c>
      <c r="H571" s="2">
        <f t="shared" ca="1" si="242"/>
        <v>340</v>
      </c>
      <c r="I571" t="str">
        <f t="shared" si="243"/>
        <v>NATGAS</v>
      </c>
      <c r="J571">
        <f t="shared" si="244"/>
        <v>1.47</v>
      </c>
      <c r="K571">
        <f t="shared" si="245"/>
        <v>1.8</v>
      </c>
      <c r="L571">
        <f t="shared" si="246"/>
        <v>1.635</v>
      </c>
      <c r="M571">
        <f t="shared" si="247"/>
        <v>0.16500000000000017</v>
      </c>
      <c r="N571">
        <f t="shared" si="226"/>
        <v>0.33000000000000007</v>
      </c>
      <c r="O571">
        <f t="shared" si="248"/>
        <v>1.67</v>
      </c>
      <c r="P571">
        <f t="shared" si="249"/>
        <v>0.21212121212121141</v>
      </c>
      <c r="Q571" t="str">
        <f t="shared" si="227"/>
        <v>11.98% | 7.78%</v>
      </c>
      <c r="R571" t="str">
        <f t="shared" si="250"/>
        <v>BEARISH</v>
      </c>
      <c r="S571">
        <f t="shared" si="228"/>
        <v>-1</v>
      </c>
    </row>
    <row r="572" spans="1:19" hidden="1" x14ac:dyDescent="0.25">
      <c r="A572" s="5" t="str">
        <f t="shared" si="225"/>
        <v>43913GOLD</v>
      </c>
      <c r="B572" s="6" t="s">
        <v>85</v>
      </c>
      <c r="C572" s="6">
        <v>1402</v>
      </c>
      <c r="D572" s="6">
        <v>1541</v>
      </c>
      <c r="E572" s="6">
        <v>1484</v>
      </c>
      <c r="F572" t="str">
        <f t="shared" si="240"/>
        <v>MON</v>
      </c>
      <c r="G572" s="1">
        <f t="shared" si="241"/>
        <v>43913</v>
      </c>
      <c r="H572" s="2">
        <f t="shared" ca="1" si="242"/>
        <v>340</v>
      </c>
      <c r="I572" t="str">
        <f t="shared" si="243"/>
        <v>GOLD</v>
      </c>
      <c r="J572">
        <f t="shared" si="244"/>
        <v>1402</v>
      </c>
      <c r="K572">
        <f t="shared" si="245"/>
        <v>1541</v>
      </c>
      <c r="L572">
        <f t="shared" si="246"/>
        <v>1471.5</v>
      </c>
      <c r="M572">
        <f t="shared" si="247"/>
        <v>69.5</v>
      </c>
      <c r="N572">
        <f t="shared" si="226"/>
        <v>139</v>
      </c>
      <c r="O572">
        <f t="shared" si="248"/>
        <v>1484</v>
      </c>
      <c r="P572">
        <f t="shared" si="249"/>
        <v>0.17985611510791366</v>
      </c>
      <c r="Q572" t="str">
        <f t="shared" si="227"/>
        <v>5.53% | 3.84%</v>
      </c>
      <c r="R572" t="str">
        <f t="shared" si="250"/>
        <v>BEARISH</v>
      </c>
      <c r="S572">
        <f t="shared" si="228"/>
        <v>-1</v>
      </c>
    </row>
    <row r="573" spans="1:19" hidden="1" x14ac:dyDescent="0.25">
      <c r="A573" s="5" t="str">
        <f t="shared" si="225"/>
        <v>43913COPPER</v>
      </c>
      <c r="B573" s="6" t="s">
        <v>26</v>
      </c>
      <c r="C573" s="6">
        <v>2.02</v>
      </c>
      <c r="D573" s="6">
        <v>2.34</v>
      </c>
      <c r="E573" s="6">
        <v>2.17</v>
      </c>
      <c r="F573" t="str">
        <f t="shared" si="240"/>
        <v>MON</v>
      </c>
      <c r="G573" s="1">
        <f t="shared" si="241"/>
        <v>43913</v>
      </c>
      <c r="H573" s="2">
        <f t="shared" ca="1" si="242"/>
        <v>340</v>
      </c>
      <c r="I573" t="str">
        <f t="shared" si="243"/>
        <v>COPPER</v>
      </c>
      <c r="J573">
        <f t="shared" si="244"/>
        <v>2.02</v>
      </c>
      <c r="K573">
        <f t="shared" si="245"/>
        <v>2.34</v>
      </c>
      <c r="L573">
        <f t="shared" si="246"/>
        <v>2.1799999999999997</v>
      </c>
      <c r="M573">
        <f t="shared" si="247"/>
        <v>0.15999999999999992</v>
      </c>
      <c r="N573">
        <f t="shared" si="226"/>
        <v>0.31999999999999984</v>
      </c>
      <c r="O573">
        <f t="shared" si="248"/>
        <v>2.17</v>
      </c>
      <c r="P573">
        <f t="shared" si="249"/>
        <v>-6.2499999999998695E-2</v>
      </c>
      <c r="Q573" t="str">
        <f t="shared" si="227"/>
        <v>6.91% | 7.83%</v>
      </c>
      <c r="R573" t="str">
        <f t="shared" si="250"/>
        <v>BEARISH</v>
      </c>
      <c r="S573">
        <f t="shared" si="228"/>
        <v>-1</v>
      </c>
    </row>
    <row r="574" spans="1:19" hidden="1" x14ac:dyDescent="0.25">
      <c r="A574" s="5" t="str">
        <f t="shared" si="225"/>
        <v>43913AAPL</v>
      </c>
      <c r="B574" s="6" t="s">
        <v>68</v>
      </c>
      <c r="C574" s="6">
        <v>209.89</v>
      </c>
      <c r="D574" s="6">
        <v>255.9</v>
      </c>
      <c r="E574" s="6">
        <v>229.24</v>
      </c>
      <c r="F574" t="str">
        <f t="shared" si="240"/>
        <v>MON</v>
      </c>
      <c r="G574" s="1">
        <f t="shared" si="241"/>
        <v>43913</v>
      </c>
      <c r="H574" s="2">
        <f t="shared" ca="1" si="242"/>
        <v>340</v>
      </c>
      <c r="I574" t="str">
        <f t="shared" si="243"/>
        <v>AAPL</v>
      </c>
      <c r="J574">
        <f t="shared" si="244"/>
        <v>209.89</v>
      </c>
      <c r="K574">
        <f t="shared" si="245"/>
        <v>255.9</v>
      </c>
      <c r="L574">
        <f t="shared" si="246"/>
        <v>232.89499999999998</v>
      </c>
      <c r="M574">
        <f t="shared" si="247"/>
        <v>23.00500000000001</v>
      </c>
      <c r="N574">
        <f t="shared" si="226"/>
        <v>46.010000000000019</v>
      </c>
      <c r="O574">
        <f t="shared" si="248"/>
        <v>229.24</v>
      </c>
      <c r="P574">
        <f t="shared" si="249"/>
        <v>-0.15887850467289594</v>
      </c>
      <c r="Q574" t="str">
        <f t="shared" si="227"/>
        <v>8.44% | 11.63%</v>
      </c>
      <c r="R574" t="str">
        <f t="shared" si="250"/>
        <v>BEARISH</v>
      </c>
      <c r="S574">
        <f t="shared" si="228"/>
        <v>-1</v>
      </c>
    </row>
    <row r="575" spans="1:19" hidden="1" x14ac:dyDescent="0.25">
      <c r="A575" s="5" t="str">
        <f t="shared" si="225"/>
        <v>43913AMZN</v>
      </c>
      <c r="B575" s="6" t="s">
        <v>73</v>
      </c>
      <c r="C575" s="6">
        <v>1657</v>
      </c>
      <c r="D575" s="6">
        <v>1946</v>
      </c>
      <c r="E575" s="6">
        <v>1846</v>
      </c>
      <c r="F575" t="str">
        <f t="shared" si="240"/>
        <v>MON</v>
      </c>
      <c r="G575" s="1">
        <f t="shared" si="241"/>
        <v>43913</v>
      </c>
      <c r="H575" s="2">
        <f t="shared" ca="1" si="242"/>
        <v>340</v>
      </c>
      <c r="I575" t="str">
        <f t="shared" si="243"/>
        <v>AMZN</v>
      </c>
      <c r="J575">
        <f t="shared" si="244"/>
        <v>1657</v>
      </c>
      <c r="K575">
        <f t="shared" si="245"/>
        <v>1946</v>
      </c>
      <c r="L575">
        <f t="shared" si="246"/>
        <v>1801.5</v>
      </c>
      <c r="M575">
        <f t="shared" si="247"/>
        <v>144.5</v>
      </c>
      <c r="N575">
        <f t="shared" si="226"/>
        <v>289</v>
      </c>
      <c r="O575">
        <f t="shared" si="248"/>
        <v>1846</v>
      </c>
      <c r="P575">
        <f t="shared" si="249"/>
        <v>0.30795847750865052</v>
      </c>
      <c r="Q575" t="str">
        <f t="shared" si="227"/>
        <v>10.24% | 5.42%</v>
      </c>
      <c r="R575" t="str">
        <f t="shared" si="250"/>
        <v>BEARISH</v>
      </c>
      <c r="S575">
        <f t="shared" si="228"/>
        <v>-1</v>
      </c>
    </row>
    <row r="576" spans="1:19" hidden="1" x14ac:dyDescent="0.25">
      <c r="A576" s="5" t="str">
        <f t="shared" si="225"/>
        <v>43913FB</v>
      </c>
      <c r="B576" s="6" t="s">
        <v>58</v>
      </c>
      <c r="C576" s="6">
        <v>132</v>
      </c>
      <c r="D576" s="6">
        <v>162</v>
      </c>
      <c r="E576" s="6">
        <v>149</v>
      </c>
      <c r="F576" t="str">
        <f t="shared" si="240"/>
        <v>MON</v>
      </c>
      <c r="G576" s="1">
        <f t="shared" si="241"/>
        <v>43913</v>
      </c>
      <c r="H576" s="2">
        <f t="shared" ca="1" si="242"/>
        <v>340</v>
      </c>
      <c r="I576" t="str">
        <f t="shared" si="243"/>
        <v>FB</v>
      </c>
      <c r="J576">
        <f t="shared" si="244"/>
        <v>132</v>
      </c>
      <c r="K576">
        <f t="shared" si="245"/>
        <v>162</v>
      </c>
      <c r="L576">
        <f t="shared" si="246"/>
        <v>147</v>
      </c>
      <c r="M576">
        <f t="shared" si="247"/>
        <v>15</v>
      </c>
      <c r="N576">
        <f t="shared" si="226"/>
        <v>30</v>
      </c>
      <c r="O576">
        <f t="shared" si="248"/>
        <v>149</v>
      </c>
      <c r="P576">
        <f t="shared" si="249"/>
        <v>0.13333333333333333</v>
      </c>
      <c r="Q576" t="str">
        <f t="shared" si="227"/>
        <v>11.41% | 8.72%</v>
      </c>
      <c r="R576" t="str">
        <f t="shared" si="250"/>
        <v>BEARISH</v>
      </c>
      <c r="S576">
        <f t="shared" si="228"/>
        <v>-1</v>
      </c>
    </row>
    <row r="577" spans="1:19" hidden="1" x14ac:dyDescent="0.25">
      <c r="A577" s="5" t="str">
        <f t="shared" si="225"/>
        <v>43913GOOGL</v>
      </c>
      <c r="B577" s="6" t="s">
        <v>66</v>
      </c>
      <c r="C577" s="6">
        <v>1000</v>
      </c>
      <c r="D577" s="6">
        <v>1151</v>
      </c>
      <c r="E577" s="6">
        <v>1068</v>
      </c>
      <c r="F577" t="str">
        <f t="shared" si="240"/>
        <v>MON</v>
      </c>
      <c r="G577" s="1">
        <f t="shared" si="241"/>
        <v>43913</v>
      </c>
      <c r="H577" s="2">
        <f t="shared" ca="1" si="242"/>
        <v>340</v>
      </c>
      <c r="I577" t="str">
        <f t="shared" si="243"/>
        <v>GOOGL</v>
      </c>
      <c r="J577">
        <f t="shared" si="244"/>
        <v>1000</v>
      </c>
      <c r="K577">
        <f t="shared" si="245"/>
        <v>1151</v>
      </c>
      <c r="L577">
        <f t="shared" si="246"/>
        <v>1075.5</v>
      </c>
      <c r="M577">
        <f t="shared" si="247"/>
        <v>75.5</v>
      </c>
      <c r="N577">
        <f t="shared" si="226"/>
        <v>151</v>
      </c>
      <c r="O577">
        <f t="shared" si="248"/>
        <v>1068</v>
      </c>
      <c r="P577">
        <f t="shared" si="249"/>
        <v>-9.9337748344370855E-2</v>
      </c>
      <c r="Q577" t="str">
        <f t="shared" si="227"/>
        <v>6.37% | 7.77%</v>
      </c>
      <c r="R577" t="str">
        <f t="shared" si="250"/>
        <v>BEARISH</v>
      </c>
      <c r="S577">
        <f t="shared" si="228"/>
        <v>-1</v>
      </c>
    </row>
    <row r="578" spans="1:19" hidden="1" x14ac:dyDescent="0.25">
      <c r="A578" s="5" t="str">
        <f t="shared" si="225"/>
        <v>43913NFLX</v>
      </c>
      <c r="B578" s="6" t="s">
        <v>81</v>
      </c>
      <c r="C578" s="6">
        <v>290</v>
      </c>
      <c r="D578" s="6">
        <v>347</v>
      </c>
      <c r="E578" s="6">
        <v>332</v>
      </c>
      <c r="F578" t="str">
        <f t="shared" si="240"/>
        <v>MON</v>
      </c>
      <c r="G578" s="1">
        <f t="shared" si="241"/>
        <v>43913</v>
      </c>
      <c r="H578" s="2">
        <f t="shared" ca="1" si="242"/>
        <v>340</v>
      </c>
      <c r="I578" t="str">
        <f t="shared" si="243"/>
        <v>NFLX</v>
      </c>
      <c r="J578">
        <f t="shared" si="244"/>
        <v>290</v>
      </c>
      <c r="K578">
        <f t="shared" si="245"/>
        <v>347</v>
      </c>
      <c r="L578">
        <f t="shared" si="246"/>
        <v>318.5</v>
      </c>
      <c r="M578">
        <f t="shared" si="247"/>
        <v>28.5</v>
      </c>
      <c r="N578">
        <f t="shared" si="226"/>
        <v>57</v>
      </c>
      <c r="O578">
        <f t="shared" si="248"/>
        <v>332</v>
      </c>
      <c r="P578">
        <f t="shared" si="249"/>
        <v>0.47368421052631576</v>
      </c>
      <c r="Q578" t="str">
        <f t="shared" si="227"/>
        <v>12.65% | 4.52%</v>
      </c>
      <c r="R578" t="str">
        <f t="shared" si="250"/>
        <v>BEARISH</v>
      </c>
      <c r="S578">
        <f t="shared" si="228"/>
        <v>-1</v>
      </c>
    </row>
    <row r="579" spans="1:19" x14ac:dyDescent="0.25">
      <c r="A579" s="5" t="str">
        <f t="shared" ref="A579:A642" si="251">G579&amp;I579</f>
        <v>43913TSLA</v>
      </c>
      <c r="B579" s="6" t="s">
        <v>83</v>
      </c>
      <c r="C579" s="6">
        <v>301</v>
      </c>
      <c r="D579" s="6">
        <v>498</v>
      </c>
      <c r="E579" s="6">
        <v>427</v>
      </c>
      <c r="F579" t="str">
        <f t="shared" si="240"/>
        <v>MON</v>
      </c>
      <c r="G579" s="1">
        <f t="shared" si="241"/>
        <v>43913</v>
      </c>
      <c r="H579" s="2">
        <f t="shared" ca="1" si="242"/>
        <v>340</v>
      </c>
      <c r="I579" t="str">
        <f t="shared" si="243"/>
        <v>TSLA</v>
      </c>
      <c r="J579">
        <f t="shared" si="244"/>
        <v>301</v>
      </c>
      <c r="K579">
        <f t="shared" si="245"/>
        <v>498</v>
      </c>
      <c r="L579">
        <f t="shared" si="246"/>
        <v>399.5</v>
      </c>
      <c r="M579">
        <f t="shared" si="247"/>
        <v>98.5</v>
      </c>
      <c r="N579">
        <f t="shared" ref="N579:N642" si="252">ABS(K579-J579)</f>
        <v>197</v>
      </c>
      <c r="O579">
        <f t="shared" si="248"/>
        <v>427</v>
      </c>
      <c r="P579">
        <f t="shared" si="249"/>
        <v>0.27918781725888325</v>
      </c>
      <c r="Q579" t="str">
        <f t="shared" ref="Q579:Q642" si="253">ROUND(ABS(100*(O579-J579)/O579),2)&amp;"% | "&amp;ROUND(ABS(100*(K579-O579)/O579),2)&amp;"%"</f>
        <v>29.51% | 16.63%</v>
      </c>
      <c r="R579" t="str">
        <f t="shared" si="250"/>
        <v>BEARISH</v>
      </c>
      <c r="S579">
        <f t="shared" ref="S579:S642" si="254">IF(R579="BEARISH",-1,IF(R579="NEUTRAL",0,IF(R579="BULLISH",1,99)))</f>
        <v>-1</v>
      </c>
    </row>
    <row r="580" spans="1:19" hidden="1" x14ac:dyDescent="0.25">
      <c r="A580" s="5" t="str">
        <f t="shared" si="251"/>
        <v>43913NYXBT</v>
      </c>
      <c r="B580" s="6" t="s">
        <v>84</v>
      </c>
      <c r="C580" s="6">
        <v>4393</v>
      </c>
      <c r="D580" s="6">
        <v>7833</v>
      </c>
      <c r="E580" s="6">
        <v>6609</v>
      </c>
      <c r="F580" t="str">
        <f t="shared" si="240"/>
        <v>MON</v>
      </c>
      <c r="G580" s="1">
        <f t="shared" si="241"/>
        <v>43913</v>
      </c>
      <c r="H580" s="2">
        <f t="shared" ca="1" si="242"/>
        <v>340</v>
      </c>
      <c r="I580" t="str">
        <f t="shared" si="243"/>
        <v>NYXBT</v>
      </c>
      <c r="J580">
        <f t="shared" si="244"/>
        <v>4393</v>
      </c>
      <c r="K580">
        <f t="shared" si="245"/>
        <v>7833</v>
      </c>
      <c r="L580">
        <f t="shared" si="246"/>
        <v>6113</v>
      </c>
      <c r="M580">
        <f t="shared" si="247"/>
        <v>1720</v>
      </c>
      <c r="N580">
        <f t="shared" si="252"/>
        <v>3440</v>
      </c>
      <c r="O580">
        <f t="shared" si="248"/>
        <v>6609</v>
      </c>
      <c r="P580">
        <f t="shared" si="249"/>
        <v>0.28837209302325584</v>
      </c>
      <c r="Q580" t="str">
        <f t="shared" si="253"/>
        <v>33.53% | 18.52%</v>
      </c>
      <c r="R580" t="str">
        <f t="shared" si="250"/>
        <v>BEARISH</v>
      </c>
      <c r="S580">
        <f t="shared" si="254"/>
        <v>-1</v>
      </c>
    </row>
    <row r="581" spans="1:19" hidden="1" x14ac:dyDescent="0.25">
      <c r="A581" s="5" t="str">
        <f t="shared" si="251"/>
        <v>43914UST10Y</v>
      </c>
      <c r="B581" s="6" t="s">
        <v>4</v>
      </c>
      <c r="C581" s="6">
        <v>1.23</v>
      </c>
      <c r="D581" s="6">
        <v>0.64</v>
      </c>
      <c r="E581" s="6">
        <v>0.76</v>
      </c>
      <c r="F581" t="str">
        <f t="shared" si="240"/>
        <v>TUE</v>
      </c>
      <c r="G581" s="3">
        <f>DATE(2020,3,24)</f>
        <v>43914</v>
      </c>
      <c r="H581" s="2">
        <f t="shared" ca="1" si="242"/>
        <v>339</v>
      </c>
      <c r="I581" t="str">
        <f t="shared" si="243"/>
        <v>UST10Y</v>
      </c>
      <c r="J581">
        <f t="shared" si="244"/>
        <v>1.23</v>
      </c>
      <c r="K581">
        <f t="shared" si="245"/>
        <v>0.64</v>
      </c>
      <c r="L581">
        <f t="shared" si="246"/>
        <v>0.93500000000000005</v>
      </c>
      <c r="M581">
        <f t="shared" si="247"/>
        <v>0.29499999999999965</v>
      </c>
      <c r="N581">
        <f t="shared" si="252"/>
        <v>0.59</v>
      </c>
      <c r="O581">
        <f t="shared" si="248"/>
        <v>0.76</v>
      </c>
      <c r="P581">
        <f t="shared" si="249"/>
        <v>-0.59322033898305171</v>
      </c>
      <c r="Q581" t="str">
        <f t="shared" si="253"/>
        <v>61.84% | 15.79%</v>
      </c>
      <c r="R581" t="str">
        <f t="shared" si="250"/>
        <v>BEARISH</v>
      </c>
      <c r="S581">
        <f t="shared" si="254"/>
        <v>-1</v>
      </c>
    </row>
    <row r="582" spans="1:19" hidden="1" x14ac:dyDescent="0.25">
      <c r="A582" s="5" t="str">
        <f t="shared" si="251"/>
        <v>43914UST2Y</v>
      </c>
      <c r="B582" s="6" t="s">
        <v>5</v>
      </c>
      <c r="C582" s="6">
        <v>0.56999999999999995</v>
      </c>
      <c r="D582" s="6">
        <v>0.26</v>
      </c>
      <c r="E582" s="6">
        <v>0.28000000000000003</v>
      </c>
      <c r="F582" t="str">
        <f t="shared" ref="F582:F610" si="255">UPPER(TEXT(G582,"ddd"))</f>
        <v>TUE</v>
      </c>
      <c r="G582" s="3">
        <f t="shared" ref="G582:G609" si="256">DATE(2020,3,24)</f>
        <v>43914</v>
      </c>
      <c r="H582" s="2">
        <f t="shared" ref="H582:H610" ca="1" si="257">TODAY()-G582</f>
        <v>339</v>
      </c>
      <c r="I582" t="str">
        <f t="shared" ref="I582:I610" si="258">TRIM(LEFT(B582,FIND(" ",B582,1)))</f>
        <v>UST2Y</v>
      </c>
      <c r="J582">
        <f t="shared" ref="J582:J610" si="259">C582</f>
        <v>0.56999999999999995</v>
      </c>
      <c r="K582">
        <f t="shared" ref="K582:K610" si="260">D582</f>
        <v>0.26</v>
      </c>
      <c r="L582">
        <f t="shared" ref="L582:L610" si="261">AVERAGE(J582:K582)</f>
        <v>0.41499999999999998</v>
      </c>
      <c r="M582">
        <f t="shared" ref="M582:M610" si="262">_xlfn.STDEV.P(J582:K582)</f>
        <v>0.15499999999999997</v>
      </c>
      <c r="N582">
        <f t="shared" si="252"/>
        <v>0.30999999999999994</v>
      </c>
      <c r="O582">
        <f t="shared" ref="O582:O610" si="263">E582</f>
        <v>0.28000000000000003</v>
      </c>
      <c r="P582">
        <f t="shared" ref="P582:P610" si="264">(O582-L582)/M582</f>
        <v>-0.87096774193548376</v>
      </c>
      <c r="Q582" t="str">
        <f t="shared" si="253"/>
        <v>103.57% | 7.14%</v>
      </c>
      <c r="R582" t="str">
        <f t="shared" ref="R582:R610" si="265">MID(B582,FIND("(",B582,1)+1,FIND(")",B582,1)-FIND("(",B582,1)-1)</f>
        <v>BEARISH</v>
      </c>
      <c r="S582">
        <f t="shared" si="254"/>
        <v>-1</v>
      </c>
    </row>
    <row r="583" spans="1:19" hidden="1" x14ac:dyDescent="0.25">
      <c r="A583" s="5" t="str">
        <f t="shared" si="251"/>
        <v>43914SPX</v>
      </c>
      <c r="B583" s="6" t="s">
        <v>6</v>
      </c>
      <c r="C583" s="6">
        <v>2135</v>
      </c>
      <c r="D583" s="6">
        <v>2486</v>
      </c>
      <c r="E583" s="6">
        <v>2237</v>
      </c>
      <c r="F583" t="str">
        <f t="shared" si="255"/>
        <v>TUE</v>
      </c>
      <c r="G583" s="3">
        <f t="shared" si="256"/>
        <v>43914</v>
      </c>
      <c r="H583" s="2">
        <f t="shared" ca="1" si="257"/>
        <v>339</v>
      </c>
      <c r="I583" t="str">
        <f t="shared" si="258"/>
        <v>SPX</v>
      </c>
      <c r="J583">
        <f t="shared" si="259"/>
        <v>2135</v>
      </c>
      <c r="K583">
        <f t="shared" si="260"/>
        <v>2486</v>
      </c>
      <c r="L583">
        <f t="shared" si="261"/>
        <v>2310.5</v>
      </c>
      <c r="M583">
        <f t="shared" si="262"/>
        <v>175.5</v>
      </c>
      <c r="N583">
        <f t="shared" si="252"/>
        <v>351</v>
      </c>
      <c r="O583">
        <f t="shared" si="263"/>
        <v>2237</v>
      </c>
      <c r="P583">
        <f t="shared" si="264"/>
        <v>-0.41880341880341881</v>
      </c>
      <c r="Q583" t="str">
        <f t="shared" si="253"/>
        <v>4.56% | 11.13%</v>
      </c>
      <c r="R583" t="str">
        <f t="shared" si="265"/>
        <v>BEARISH</v>
      </c>
      <c r="S583">
        <f t="shared" si="254"/>
        <v>-1</v>
      </c>
    </row>
    <row r="584" spans="1:19" hidden="1" x14ac:dyDescent="0.25">
      <c r="A584" s="5" t="str">
        <f t="shared" si="251"/>
        <v>43914RUT</v>
      </c>
      <c r="B584" s="6" t="s">
        <v>7</v>
      </c>
      <c r="C584" s="6">
        <v>955</v>
      </c>
      <c r="D584" s="6">
        <v>1105</v>
      </c>
      <c r="E584" s="6">
        <v>1002</v>
      </c>
      <c r="F584" t="str">
        <f t="shared" si="255"/>
        <v>TUE</v>
      </c>
      <c r="G584" s="3">
        <f t="shared" si="256"/>
        <v>43914</v>
      </c>
      <c r="H584" s="2">
        <f t="shared" ca="1" si="257"/>
        <v>339</v>
      </c>
      <c r="I584" t="str">
        <f t="shared" si="258"/>
        <v>RUT</v>
      </c>
      <c r="J584">
        <f t="shared" si="259"/>
        <v>955</v>
      </c>
      <c r="K584">
        <f t="shared" si="260"/>
        <v>1105</v>
      </c>
      <c r="L584">
        <f t="shared" si="261"/>
        <v>1030</v>
      </c>
      <c r="M584">
        <f t="shared" si="262"/>
        <v>75</v>
      </c>
      <c r="N584">
        <f t="shared" si="252"/>
        <v>150</v>
      </c>
      <c r="O584">
        <f t="shared" si="263"/>
        <v>1002</v>
      </c>
      <c r="P584">
        <f t="shared" si="264"/>
        <v>-0.37333333333333335</v>
      </c>
      <c r="Q584" t="str">
        <f t="shared" si="253"/>
        <v>4.69% | 10.28%</v>
      </c>
      <c r="R584" t="str">
        <f t="shared" si="265"/>
        <v>BEARISH</v>
      </c>
      <c r="S584">
        <f t="shared" si="254"/>
        <v>-1</v>
      </c>
    </row>
    <row r="585" spans="1:19" hidden="1" x14ac:dyDescent="0.25">
      <c r="A585" s="5" t="str">
        <f t="shared" si="251"/>
        <v>43914COMPQ</v>
      </c>
      <c r="B585" s="6" t="s">
        <v>64</v>
      </c>
      <c r="C585" s="6">
        <v>6396</v>
      </c>
      <c r="D585" s="6">
        <v>7248</v>
      </c>
      <c r="E585" s="6">
        <v>6860</v>
      </c>
      <c r="F585" t="str">
        <f t="shared" si="255"/>
        <v>TUE</v>
      </c>
      <c r="G585" s="3">
        <f t="shared" si="256"/>
        <v>43914</v>
      </c>
      <c r="H585" s="2">
        <f t="shared" ca="1" si="257"/>
        <v>339</v>
      </c>
      <c r="I585" t="str">
        <f t="shared" si="258"/>
        <v>COMPQ</v>
      </c>
      <c r="J585">
        <f t="shared" si="259"/>
        <v>6396</v>
      </c>
      <c r="K585">
        <f t="shared" si="260"/>
        <v>7248</v>
      </c>
      <c r="L585">
        <f t="shared" si="261"/>
        <v>6822</v>
      </c>
      <c r="M585">
        <f t="shared" si="262"/>
        <v>426</v>
      </c>
      <c r="N585">
        <f t="shared" si="252"/>
        <v>852</v>
      </c>
      <c r="O585">
        <f t="shared" si="263"/>
        <v>6860</v>
      </c>
      <c r="P585">
        <f t="shared" si="264"/>
        <v>8.9201877934272297E-2</v>
      </c>
      <c r="Q585" t="str">
        <f t="shared" si="253"/>
        <v>6.76% | 5.66%</v>
      </c>
      <c r="R585" t="str">
        <f t="shared" si="265"/>
        <v>BEARISH</v>
      </c>
      <c r="S585">
        <f t="shared" si="254"/>
        <v>-1</v>
      </c>
    </row>
    <row r="586" spans="1:19" hidden="1" x14ac:dyDescent="0.25">
      <c r="A586" s="5" t="str">
        <f t="shared" si="251"/>
        <v>43914XLU</v>
      </c>
      <c r="B586" s="6" t="s">
        <v>82</v>
      </c>
      <c r="C586" s="6">
        <v>43.55</v>
      </c>
      <c r="D586" s="6">
        <v>53.4</v>
      </c>
      <c r="E586" s="6">
        <v>44.93</v>
      </c>
      <c r="F586" t="str">
        <f t="shared" si="255"/>
        <v>TUE</v>
      </c>
      <c r="G586" s="3">
        <f t="shared" si="256"/>
        <v>43914</v>
      </c>
      <c r="H586" s="2">
        <f t="shared" ca="1" si="257"/>
        <v>339</v>
      </c>
      <c r="I586" t="str">
        <f t="shared" si="258"/>
        <v>XLU</v>
      </c>
      <c r="J586">
        <f t="shared" si="259"/>
        <v>43.55</v>
      </c>
      <c r="K586">
        <f t="shared" si="260"/>
        <v>53.4</v>
      </c>
      <c r="L586">
        <f t="shared" si="261"/>
        <v>48.474999999999994</v>
      </c>
      <c r="M586">
        <f t="shared" si="262"/>
        <v>4.9250000000000238</v>
      </c>
      <c r="N586">
        <f t="shared" si="252"/>
        <v>9.8500000000000014</v>
      </c>
      <c r="O586">
        <f t="shared" si="263"/>
        <v>44.93</v>
      </c>
      <c r="P586">
        <f t="shared" si="264"/>
        <v>-0.71979695431471624</v>
      </c>
      <c r="Q586" t="str">
        <f t="shared" si="253"/>
        <v>3.07% | 18.85%</v>
      </c>
      <c r="R586" t="str">
        <f t="shared" si="265"/>
        <v>BEARISH</v>
      </c>
      <c r="S586">
        <f t="shared" si="254"/>
        <v>-1</v>
      </c>
    </row>
    <row r="587" spans="1:19" hidden="1" x14ac:dyDescent="0.25">
      <c r="A587" s="5" t="str">
        <f t="shared" si="251"/>
        <v>43914VNQ</v>
      </c>
      <c r="B587" s="6" t="s">
        <v>67</v>
      </c>
      <c r="C587" s="6">
        <v>51.21</v>
      </c>
      <c r="D587" s="6">
        <v>67.930000000000007</v>
      </c>
      <c r="E587" s="6">
        <v>56.91</v>
      </c>
      <c r="F587" t="str">
        <f t="shared" si="255"/>
        <v>TUE</v>
      </c>
      <c r="G587" s="3">
        <f t="shared" si="256"/>
        <v>43914</v>
      </c>
      <c r="H587" s="2">
        <f t="shared" ca="1" si="257"/>
        <v>339</v>
      </c>
      <c r="I587" t="str">
        <f t="shared" si="258"/>
        <v>VNQ</v>
      </c>
      <c r="J587">
        <f t="shared" si="259"/>
        <v>51.21</v>
      </c>
      <c r="K587">
        <f t="shared" si="260"/>
        <v>67.930000000000007</v>
      </c>
      <c r="L587">
        <f t="shared" si="261"/>
        <v>59.570000000000007</v>
      </c>
      <c r="M587">
        <f t="shared" si="262"/>
        <v>8.3599999999999977</v>
      </c>
      <c r="N587">
        <f t="shared" si="252"/>
        <v>16.720000000000006</v>
      </c>
      <c r="O587">
        <f t="shared" si="263"/>
        <v>56.91</v>
      </c>
      <c r="P587">
        <f t="shared" si="264"/>
        <v>-0.31818181818181956</v>
      </c>
      <c r="Q587" t="str">
        <f t="shared" si="253"/>
        <v>10.02% | 19.36%</v>
      </c>
      <c r="R587" t="str">
        <f t="shared" si="265"/>
        <v>BEARISH</v>
      </c>
      <c r="S587">
        <f t="shared" si="254"/>
        <v>-1</v>
      </c>
    </row>
    <row r="588" spans="1:19" hidden="1" x14ac:dyDescent="0.25">
      <c r="A588" s="5" t="str">
        <f t="shared" si="251"/>
        <v>43914XLP</v>
      </c>
      <c r="B588" s="6" t="s">
        <v>11</v>
      </c>
      <c r="C588" s="6">
        <v>44.41</v>
      </c>
      <c r="D588" s="6">
        <v>53.41</v>
      </c>
      <c r="E588" s="6">
        <v>48.63</v>
      </c>
      <c r="F588" t="str">
        <f t="shared" si="255"/>
        <v>TUE</v>
      </c>
      <c r="G588" s="3">
        <f t="shared" si="256"/>
        <v>43914</v>
      </c>
      <c r="H588" s="2">
        <f t="shared" ca="1" si="257"/>
        <v>339</v>
      </c>
      <c r="I588" t="str">
        <f t="shared" si="258"/>
        <v>XLP</v>
      </c>
      <c r="J588">
        <f t="shared" si="259"/>
        <v>44.41</v>
      </c>
      <c r="K588">
        <f t="shared" si="260"/>
        <v>53.41</v>
      </c>
      <c r="L588">
        <f t="shared" si="261"/>
        <v>48.91</v>
      </c>
      <c r="M588">
        <f t="shared" si="262"/>
        <v>4.5</v>
      </c>
      <c r="N588">
        <f t="shared" si="252"/>
        <v>9</v>
      </c>
      <c r="O588">
        <f t="shared" si="263"/>
        <v>48.63</v>
      </c>
      <c r="P588">
        <f t="shared" si="264"/>
        <v>-6.2222222222220895E-2</v>
      </c>
      <c r="Q588" t="str">
        <f t="shared" si="253"/>
        <v>8.68% | 9.83%</v>
      </c>
      <c r="R588" t="str">
        <f t="shared" si="265"/>
        <v>BEARISH</v>
      </c>
      <c r="S588">
        <f t="shared" si="254"/>
        <v>-1</v>
      </c>
    </row>
    <row r="589" spans="1:19" hidden="1" x14ac:dyDescent="0.25">
      <c r="A589" s="5" t="str">
        <f t="shared" si="251"/>
        <v>43914XLK</v>
      </c>
      <c r="B589" s="6" t="s">
        <v>65</v>
      </c>
      <c r="C589" s="6">
        <v>66.260000000000005</v>
      </c>
      <c r="D589" s="6">
        <v>77.08</v>
      </c>
      <c r="E589" s="6">
        <v>70.400000000000006</v>
      </c>
      <c r="F589" t="str">
        <f t="shared" si="255"/>
        <v>TUE</v>
      </c>
      <c r="G589" s="3">
        <f t="shared" si="256"/>
        <v>43914</v>
      </c>
      <c r="H589" s="2">
        <f t="shared" ca="1" si="257"/>
        <v>339</v>
      </c>
      <c r="I589" t="str">
        <f t="shared" si="258"/>
        <v>XLK</v>
      </c>
      <c r="J589">
        <f t="shared" si="259"/>
        <v>66.260000000000005</v>
      </c>
      <c r="K589">
        <f t="shared" si="260"/>
        <v>77.08</v>
      </c>
      <c r="L589">
        <f t="shared" si="261"/>
        <v>71.67</v>
      </c>
      <c r="M589">
        <f t="shared" si="262"/>
        <v>5.4099999999999966</v>
      </c>
      <c r="N589">
        <f t="shared" si="252"/>
        <v>10.819999999999993</v>
      </c>
      <c r="O589">
        <f t="shared" si="263"/>
        <v>70.400000000000006</v>
      </c>
      <c r="P589">
        <f t="shared" si="264"/>
        <v>-0.23475046210720829</v>
      </c>
      <c r="Q589" t="str">
        <f t="shared" si="253"/>
        <v>5.88% | 9.49%</v>
      </c>
      <c r="R589" t="str">
        <f t="shared" si="265"/>
        <v>BEARISH</v>
      </c>
      <c r="S589">
        <f t="shared" si="254"/>
        <v>-1</v>
      </c>
    </row>
    <row r="590" spans="1:19" hidden="1" x14ac:dyDescent="0.25">
      <c r="A590" s="5" t="str">
        <f t="shared" si="251"/>
        <v>43914SSEC</v>
      </c>
      <c r="B590" s="6" t="s">
        <v>14</v>
      </c>
      <c r="C590" s="6">
        <v>2590</v>
      </c>
      <c r="D590" s="6">
        <v>2885</v>
      </c>
      <c r="E590" s="6">
        <v>2722</v>
      </c>
      <c r="F590" t="str">
        <f t="shared" si="255"/>
        <v>TUE</v>
      </c>
      <c r="G590" s="3">
        <f t="shared" si="256"/>
        <v>43914</v>
      </c>
      <c r="H590" s="2">
        <f t="shared" ca="1" si="257"/>
        <v>339</v>
      </c>
      <c r="I590" t="str">
        <f t="shared" si="258"/>
        <v>SSEC</v>
      </c>
      <c r="J590">
        <f t="shared" si="259"/>
        <v>2590</v>
      </c>
      <c r="K590">
        <f t="shared" si="260"/>
        <v>2885</v>
      </c>
      <c r="L590">
        <f t="shared" si="261"/>
        <v>2737.5</v>
      </c>
      <c r="M590">
        <f t="shared" si="262"/>
        <v>147.5</v>
      </c>
      <c r="N590">
        <f t="shared" si="252"/>
        <v>295</v>
      </c>
      <c r="O590">
        <f t="shared" si="263"/>
        <v>2722</v>
      </c>
      <c r="P590">
        <f t="shared" si="264"/>
        <v>-0.10508474576271186</v>
      </c>
      <c r="Q590" t="str">
        <f t="shared" si="253"/>
        <v>4.85% | 5.99%</v>
      </c>
      <c r="R590" t="str">
        <f t="shared" si="265"/>
        <v>BEARISH</v>
      </c>
      <c r="S590">
        <f t="shared" si="254"/>
        <v>-1</v>
      </c>
    </row>
    <row r="591" spans="1:19" hidden="1" x14ac:dyDescent="0.25">
      <c r="A591" s="5" t="str">
        <f t="shared" si="251"/>
        <v>43914NIKK</v>
      </c>
      <c r="B591" s="6" t="s">
        <v>15</v>
      </c>
      <c r="C591" s="6">
        <v>15370</v>
      </c>
      <c r="D591" s="6">
        <v>18400</v>
      </c>
      <c r="E591" s="6">
        <v>18092</v>
      </c>
      <c r="F591" t="str">
        <f t="shared" si="255"/>
        <v>TUE</v>
      </c>
      <c r="G591" s="3">
        <f t="shared" si="256"/>
        <v>43914</v>
      </c>
      <c r="H591" s="2">
        <f t="shared" ca="1" si="257"/>
        <v>339</v>
      </c>
      <c r="I591" t="str">
        <f t="shared" si="258"/>
        <v>NIKK</v>
      </c>
      <c r="J591">
        <f t="shared" si="259"/>
        <v>15370</v>
      </c>
      <c r="K591">
        <f t="shared" si="260"/>
        <v>18400</v>
      </c>
      <c r="L591">
        <f t="shared" si="261"/>
        <v>16885</v>
      </c>
      <c r="M591">
        <f t="shared" si="262"/>
        <v>1515</v>
      </c>
      <c r="N591">
        <f t="shared" si="252"/>
        <v>3030</v>
      </c>
      <c r="O591">
        <f t="shared" si="263"/>
        <v>18092</v>
      </c>
      <c r="P591">
        <f t="shared" si="264"/>
        <v>0.7966996699669967</v>
      </c>
      <c r="Q591" t="str">
        <f t="shared" si="253"/>
        <v>15.05% | 1.7%</v>
      </c>
      <c r="R591" t="str">
        <f t="shared" si="265"/>
        <v>BEARISH</v>
      </c>
      <c r="S591">
        <f t="shared" si="254"/>
        <v>-1</v>
      </c>
    </row>
    <row r="592" spans="1:19" hidden="1" x14ac:dyDescent="0.25">
      <c r="A592" s="5" t="str">
        <f t="shared" si="251"/>
        <v>43914DAX</v>
      </c>
      <c r="B592" s="6" t="s">
        <v>16</v>
      </c>
      <c r="C592" s="6">
        <v>7904</v>
      </c>
      <c r="D592" s="6">
        <v>10140</v>
      </c>
      <c r="E592" s="6">
        <v>8741</v>
      </c>
      <c r="F592" t="str">
        <f t="shared" si="255"/>
        <v>TUE</v>
      </c>
      <c r="G592" s="3">
        <f t="shared" si="256"/>
        <v>43914</v>
      </c>
      <c r="H592" s="2">
        <f t="shared" ca="1" si="257"/>
        <v>339</v>
      </c>
      <c r="I592" t="str">
        <f t="shared" si="258"/>
        <v>DAX</v>
      </c>
      <c r="J592">
        <f t="shared" si="259"/>
        <v>7904</v>
      </c>
      <c r="K592">
        <f t="shared" si="260"/>
        <v>10140</v>
      </c>
      <c r="L592">
        <f t="shared" si="261"/>
        <v>9022</v>
      </c>
      <c r="M592">
        <f t="shared" si="262"/>
        <v>1118</v>
      </c>
      <c r="N592">
        <f t="shared" si="252"/>
        <v>2236</v>
      </c>
      <c r="O592">
        <f t="shared" si="263"/>
        <v>8741</v>
      </c>
      <c r="P592">
        <f t="shared" si="264"/>
        <v>-0.25134168157423969</v>
      </c>
      <c r="Q592" t="str">
        <f t="shared" si="253"/>
        <v>9.58% | 16.01%</v>
      </c>
      <c r="R592" t="str">
        <f t="shared" si="265"/>
        <v>BEARISH</v>
      </c>
      <c r="S592">
        <f t="shared" si="254"/>
        <v>-1</v>
      </c>
    </row>
    <row r="593" spans="1:19" hidden="1" x14ac:dyDescent="0.25">
      <c r="A593" s="5" t="str">
        <f t="shared" si="251"/>
        <v>43914VIX</v>
      </c>
      <c r="B593" s="6" t="s">
        <v>17</v>
      </c>
      <c r="C593" s="6">
        <v>47.56</v>
      </c>
      <c r="D593" s="6">
        <v>88.45</v>
      </c>
      <c r="E593" s="6">
        <v>61.59</v>
      </c>
      <c r="F593" t="str">
        <f t="shared" si="255"/>
        <v>TUE</v>
      </c>
      <c r="G593" s="3">
        <f t="shared" si="256"/>
        <v>43914</v>
      </c>
      <c r="H593" s="2">
        <f t="shared" ca="1" si="257"/>
        <v>339</v>
      </c>
      <c r="I593" t="str">
        <f t="shared" si="258"/>
        <v>VIX</v>
      </c>
      <c r="J593">
        <f t="shared" si="259"/>
        <v>47.56</v>
      </c>
      <c r="K593">
        <f t="shared" si="260"/>
        <v>88.45</v>
      </c>
      <c r="L593">
        <f t="shared" si="261"/>
        <v>68.004999999999995</v>
      </c>
      <c r="M593">
        <f t="shared" si="262"/>
        <v>20.445000000000018</v>
      </c>
      <c r="N593">
        <f t="shared" si="252"/>
        <v>40.89</v>
      </c>
      <c r="O593">
        <f t="shared" si="263"/>
        <v>61.59</v>
      </c>
      <c r="P593">
        <f t="shared" si="264"/>
        <v>-0.3137686475910974</v>
      </c>
      <c r="Q593" t="str">
        <f t="shared" si="253"/>
        <v>22.78% | 43.61%</v>
      </c>
      <c r="R593" t="str">
        <f t="shared" si="265"/>
        <v>BULLISH</v>
      </c>
      <c r="S593">
        <f t="shared" si="254"/>
        <v>1</v>
      </c>
    </row>
    <row r="594" spans="1:19" hidden="1" x14ac:dyDescent="0.25">
      <c r="A594" s="5" t="str">
        <f t="shared" si="251"/>
        <v>43914USD</v>
      </c>
      <c r="B594" s="6" t="s">
        <v>18</v>
      </c>
      <c r="C594" s="6">
        <v>98.25</v>
      </c>
      <c r="D594" s="6">
        <v>105.42</v>
      </c>
      <c r="E594" s="6">
        <v>103.24</v>
      </c>
      <c r="F594" t="str">
        <f t="shared" si="255"/>
        <v>TUE</v>
      </c>
      <c r="G594" s="3">
        <f t="shared" si="256"/>
        <v>43914</v>
      </c>
      <c r="H594" s="2">
        <f t="shared" ca="1" si="257"/>
        <v>339</v>
      </c>
      <c r="I594" t="str">
        <f t="shared" si="258"/>
        <v>USD</v>
      </c>
      <c r="J594">
        <f t="shared" si="259"/>
        <v>98.25</v>
      </c>
      <c r="K594">
        <f t="shared" si="260"/>
        <v>105.42</v>
      </c>
      <c r="L594">
        <f t="shared" si="261"/>
        <v>101.83500000000001</v>
      </c>
      <c r="M594">
        <f t="shared" si="262"/>
        <v>3.5850000000000009</v>
      </c>
      <c r="N594">
        <f t="shared" si="252"/>
        <v>7.1700000000000017</v>
      </c>
      <c r="O594">
        <f t="shared" si="263"/>
        <v>103.24</v>
      </c>
      <c r="P594">
        <f t="shared" si="264"/>
        <v>0.39191073919107017</v>
      </c>
      <c r="Q594" t="str">
        <f t="shared" si="253"/>
        <v>4.83% | 2.11%</v>
      </c>
      <c r="R594" t="str">
        <f t="shared" si="265"/>
        <v>BULLISH</v>
      </c>
      <c r="S594">
        <f t="shared" si="254"/>
        <v>1</v>
      </c>
    </row>
    <row r="595" spans="1:19" hidden="1" x14ac:dyDescent="0.25">
      <c r="A595" s="5" t="str">
        <f t="shared" si="251"/>
        <v>43914EUR/USD</v>
      </c>
      <c r="B595" s="6" t="s">
        <v>19</v>
      </c>
      <c r="C595" s="6">
        <v>1.05</v>
      </c>
      <c r="D595" s="6">
        <v>1.1000000000000001</v>
      </c>
      <c r="E595" s="6">
        <v>1.07</v>
      </c>
      <c r="F595" t="str">
        <f t="shared" si="255"/>
        <v>TUE</v>
      </c>
      <c r="G595" s="3">
        <f t="shared" si="256"/>
        <v>43914</v>
      </c>
      <c r="H595" s="2">
        <f t="shared" ca="1" si="257"/>
        <v>339</v>
      </c>
      <c r="I595" t="str">
        <f t="shared" si="258"/>
        <v>EUR/USD</v>
      </c>
      <c r="J595">
        <f t="shared" si="259"/>
        <v>1.05</v>
      </c>
      <c r="K595">
        <f t="shared" si="260"/>
        <v>1.1000000000000001</v>
      </c>
      <c r="L595">
        <f t="shared" si="261"/>
        <v>1.0750000000000002</v>
      </c>
      <c r="M595">
        <f t="shared" si="262"/>
        <v>2.5000000000000022E-2</v>
      </c>
      <c r="N595">
        <f t="shared" si="252"/>
        <v>5.0000000000000044E-2</v>
      </c>
      <c r="O595">
        <f t="shared" si="263"/>
        <v>1.07</v>
      </c>
      <c r="P595">
        <f t="shared" si="264"/>
        <v>-0.20000000000000445</v>
      </c>
      <c r="Q595" t="str">
        <f t="shared" si="253"/>
        <v>1.87% | 2.8%</v>
      </c>
      <c r="R595" t="str">
        <f t="shared" si="265"/>
        <v>BEARISH</v>
      </c>
      <c r="S595">
        <f t="shared" si="254"/>
        <v>-1</v>
      </c>
    </row>
    <row r="596" spans="1:19" hidden="1" x14ac:dyDescent="0.25">
      <c r="A596" s="5" t="str">
        <f t="shared" si="251"/>
        <v>43914USD/JPY</v>
      </c>
      <c r="B596" s="6" t="s">
        <v>86</v>
      </c>
      <c r="C596" s="6">
        <v>103.33</v>
      </c>
      <c r="D596" s="6">
        <v>113.01</v>
      </c>
      <c r="E596" s="6">
        <v>111.34</v>
      </c>
      <c r="F596" t="str">
        <f t="shared" si="255"/>
        <v>TUE</v>
      </c>
      <c r="G596" s="3">
        <f t="shared" si="256"/>
        <v>43914</v>
      </c>
      <c r="H596" s="2">
        <f t="shared" ca="1" si="257"/>
        <v>339</v>
      </c>
      <c r="I596" t="str">
        <f t="shared" si="258"/>
        <v>USD/JPY</v>
      </c>
      <c r="J596">
        <f t="shared" si="259"/>
        <v>103.33</v>
      </c>
      <c r="K596">
        <f t="shared" si="260"/>
        <v>113.01</v>
      </c>
      <c r="L596">
        <f t="shared" si="261"/>
        <v>108.17</v>
      </c>
      <c r="M596">
        <f t="shared" si="262"/>
        <v>4.8400000000000034</v>
      </c>
      <c r="N596">
        <f t="shared" si="252"/>
        <v>9.6800000000000068</v>
      </c>
      <c r="O596">
        <f t="shared" si="263"/>
        <v>111.34</v>
      </c>
      <c r="P596">
        <f t="shared" si="264"/>
        <v>0.65495867768595029</v>
      </c>
      <c r="Q596" t="str">
        <f t="shared" si="253"/>
        <v>7.19% | 1.5%</v>
      </c>
      <c r="R596" t="str">
        <f t="shared" si="265"/>
        <v>NEUTRAL</v>
      </c>
      <c r="S596">
        <f t="shared" si="254"/>
        <v>0</v>
      </c>
    </row>
    <row r="597" spans="1:19" hidden="1" x14ac:dyDescent="0.25">
      <c r="A597" s="5" t="str">
        <f t="shared" si="251"/>
        <v>43914GBP/USD</v>
      </c>
      <c r="B597" s="6" t="s">
        <v>21</v>
      </c>
      <c r="C597" s="6">
        <v>1.1000000000000001</v>
      </c>
      <c r="D597" s="6">
        <v>1.2</v>
      </c>
      <c r="E597" s="6">
        <v>1.1499999999999999</v>
      </c>
      <c r="F597" t="str">
        <f t="shared" si="255"/>
        <v>TUE</v>
      </c>
      <c r="G597" s="3">
        <f t="shared" si="256"/>
        <v>43914</v>
      </c>
      <c r="H597" s="2">
        <f t="shared" ca="1" si="257"/>
        <v>339</v>
      </c>
      <c r="I597" t="str">
        <f t="shared" si="258"/>
        <v>GBP/USD</v>
      </c>
      <c r="J597">
        <f t="shared" si="259"/>
        <v>1.1000000000000001</v>
      </c>
      <c r="K597">
        <f t="shared" si="260"/>
        <v>1.2</v>
      </c>
      <c r="L597">
        <f t="shared" si="261"/>
        <v>1.1499999999999999</v>
      </c>
      <c r="M597">
        <f t="shared" si="262"/>
        <v>4.9999999999999933E-2</v>
      </c>
      <c r="N597">
        <f t="shared" si="252"/>
        <v>9.9999999999999867E-2</v>
      </c>
      <c r="O597">
        <f t="shared" si="263"/>
        <v>1.1499999999999999</v>
      </c>
      <c r="P597">
        <f t="shared" si="264"/>
        <v>0</v>
      </c>
      <c r="Q597" t="str">
        <f t="shared" si="253"/>
        <v>4.35% | 4.35%</v>
      </c>
      <c r="R597" t="str">
        <f t="shared" si="265"/>
        <v>BEARISH</v>
      </c>
      <c r="S597">
        <f t="shared" si="254"/>
        <v>-1</v>
      </c>
    </row>
    <row r="598" spans="1:19" hidden="1" x14ac:dyDescent="0.25">
      <c r="A598" s="5" t="str">
        <f t="shared" si="251"/>
        <v>43914USD/CHF</v>
      </c>
      <c r="B598" s="6" t="s">
        <v>22</v>
      </c>
      <c r="C598" s="6">
        <v>0.95</v>
      </c>
      <c r="D598" s="6">
        <v>0.99</v>
      </c>
      <c r="E598" s="6">
        <v>0.98</v>
      </c>
      <c r="F598" t="str">
        <f t="shared" si="255"/>
        <v>TUE</v>
      </c>
      <c r="G598" s="3">
        <f t="shared" si="256"/>
        <v>43914</v>
      </c>
      <c r="H598" s="2">
        <f t="shared" ca="1" si="257"/>
        <v>339</v>
      </c>
      <c r="I598" t="str">
        <f t="shared" si="258"/>
        <v>USD/CHF</v>
      </c>
      <c r="J598">
        <f t="shared" si="259"/>
        <v>0.95</v>
      </c>
      <c r="K598">
        <f t="shared" si="260"/>
        <v>0.99</v>
      </c>
      <c r="L598">
        <f t="shared" si="261"/>
        <v>0.97</v>
      </c>
      <c r="M598">
        <f t="shared" si="262"/>
        <v>2.0000000000000018E-2</v>
      </c>
      <c r="N598">
        <f t="shared" si="252"/>
        <v>4.0000000000000036E-2</v>
      </c>
      <c r="O598">
        <f t="shared" si="263"/>
        <v>0.98</v>
      </c>
      <c r="P598">
        <f t="shared" si="264"/>
        <v>0.5</v>
      </c>
      <c r="Q598" t="str">
        <f t="shared" si="253"/>
        <v>3.06% | 1.02%</v>
      </c>
      <c r="R598" t="str">
        <f t="shared" si="265"/>
        <v>NEUTRAL</v>
      </c>
      <c r="S598">
        <f t="shared" si="254"/>
        <v>0</v>
      </c>
    </row>
    <row r="599" spans="1:19" hidden="1" x14ac:dyDescent="0.25">
      <c r="A599" s="5" t="str">
        <f t="shared" si="251"/>
        <v>43914WTIC</v>
      </c>
      <c r="B599" s="6" t="s">
        <v>23</v>
      </c>
      <c r="C599" s="6">
        <v>18.850000000000001</v>
      </c>
      <c r="D599" s="6">
        <v>28.18</v>
      </c>
      <c r="E599" s="6">
        <v>23.36</v>
      </c>
      <c r="F599" t="str">
        <f t="shared" si="255"/>
        <v>TUE</v>
      </c>
      <c r="G599" s="3">
        <f t="shared" si="256"/>
        <v>43914</v>
      </c>
      <c r="H599" s="2">
        <f t="shared" ca="1" si="257"/>
        <v>339</v>
      </c>
      <c r="I599" t="str">
        <f t="shared" si="258"/>
        <v>WTIC</v>
      </c>
      <c r="J599">
        <f t="shared" si="259"/>
        <v>18.850000000000001</v>
      </c>
      <c r="K599">
        <f t="shared" si="260"/>
        <v>28.18</v>
      </c>
      <c r="L599">
        <f t="shared" si="261"/>
        <v>23.515000000000001</v>
      </c>
      <c r="M599">
        <f t="shared" si="262"/>
        <v>4.6649999999999938</v>
      </c>
      <c r="N599">
        <f t="shared" si="252"/>
        <v>9.3299999999999983</v>
      </c>
      <c r="O599">
        <f t="shared" si="263"/>
        <v>23.36</v>
      </c>
      <c r="P599">
        <f t="shared" si="264"/>
        <v>-3.3226152197213581E-2</v>
      </c>
      <c r="Q599" t="str">
        <f t="shared" si="253"/>
        <v>19.31% | 20.63%</v>
      </c>
      <c r="R599" t="str">
        <f t="shared" si="265"/>
        <v>BEARISH</v>
      </c>
      <c r="S599">
        <f t="shared" si="254"/>
        <v>-1</v>
      </c>
    </row>
    <row r="600" spans="1:19" hidden="1" x14ac:dyDescent="0.25">
      <c r="A600" s="5" t="str">
        <f t="shared" si="251"/>
        <v>43914NATGAS</v>
      </c>
      <c r="B600" s="6" t="s">
        <v>24</v>
      </c>
      <c r="C600" s="6">
        <v>1.45</v>
      </c>
      <c r="D600" s="6">
        <v>1.8</v>
      </c>
      <c r="E600" s="6">
        <v>1.67</v>
      </c>
      <c r="F600" t="str">
        <f t="shared" si="255"/>
        <v>TUE</v>
      </c>
      <c r="G600" s="3">
        <f t="shared" si="256"/>
        <v>43914</v>
      </c>
      <c r="H600" s="2">
        <f t="shared" ca="1" si="257"/>
        <v>339</v>
      </c>
      <c r="I600" t="str">
        <f t="shared" si="258"/>
        <v>NATGAS</v>
      </c>
      <c r="J600">
        <f t="shared" si="259"/>
        <v>1.45</v>
      </c>
      <c r="K600">
        <f t="shared" si="260"/>
        <v>1.8</v>
      </c>
      <c r="L600">
        <f t="shared" si="261"/>
        <v>1.625</v>
      </c>
      <c r="M600">
        <f t="shared" si="262"/>
        <v>0.17500000000000035</v>
      </c>
      <c r="N600">
        <f t="shared" si="252"/>
        <v>0.35000000000000009</v>
      </c>
      <c r="O600">
        <f t="shared" si="263"/>
        <v>1.67</v>
      </c>
      <c r="P600">
        <f t="shared" si="264"/>
        <v>0.25714285714285623</v>
      </c>
      <c r="Q600" t="str">
        <f t="shared" si="253"/>
        <v>13.17% | 7.78%</v>
      </c>
      <c r="R600" t="str">
        <f t="shared" si="265"/>
        <v>BEARISH</v>
      </c>
      <c r="S600">
        <f t="shared" si="254"/>
        <v>-1</v>
      </c>
    </row>
    <row r="601" spans="1:19" hidden="1" x14ac:dyDescent="0.25">
      <c r="A601" s="5" t="str">
        <f t="shared" si="251"/>
        <v>43914GOLD</v>
      </c>
      <c r="B601" s="6" t="s">
        <v>25</v>
      </c>
      <c r="C601" s="6">
        <v>1421</v>
      </c>
      <c r="D601" s="6">
        <v>1648</v>
      </c>
      <c r="E601" s="6">
        <v>1567</v>
      </c>
      <c r="F601" t="str">
        <f t="shared" si="255"/>
        <v>TUE</v>
      </c>
      <c r="G601" s="3">
        <f t="shared" si="256"/>
        <v>43914</v>
      </c>
      <c r="H601" s="2">
        <f t="shared" ca="1" si="257"/>
        <v>339</v>
      </c>
      <c r="I601" t="str">
        <f t="shared" si="258"/>
        <v>GOLD</v>
      </c>
      <c r="J601">
        <f t="shared" si="259"/>
        <v>1421</v>
      </c>
      <c r="K601">
        <f t="shared" si="260"/>
        <v>1648</v>
      </c>
      <c r="L601">
        <f t="shared" si="261"/>
        <v>1534.5</v>
      </c>
      <c r="M601">
        <f t="shared" si="262"/>
        <v>113.5</v>
      </c>
      <c r="N601">
        <f t="shared" si="252"/>
        <v>227</v>
      </c>
      <c r="O601">
        <f t="shared" si="263"/>
        <v>1567</v>
      </c>
      <c r="P601">
        <f t="shared" si="264"/>
        <v>0.28634361233480177</v>
      </c>
      <c r="Q601" t="str">
        <f t="shared" si="253"/>
        <v>9.32% | 5.17%</v>
      </c>
      <c r="R601" t="str">
        <f t="shared" si="265"/>
        <v>BULLISH</v>
      </c>
      <c r="S601">
        <f t="shared" si="254"/>
        <v>1</v>
      </c>
    </row>
    <row r="602" spans="1:19" hidden="1" x14ac:dyDescent="0.25">
      <c r="A602" s="5" t="str">
        <f t="shared" si="251"/>
        <v>43914COPPER</v>
      </c>
      <c r="B602" s="6" t="s">
        <v>26</v>
      </c>
      <c r="C602" s="6">
        <v>2</v>
      </c>
      <c r="D602" s="6">
        <v>2.3199999999999998</v>
      </c>
      <c r="E602" s="6">
        <v>2.1</v>
      </c>
      <c r="F602" t="str">
        <f t="shared" si="255"/>
        <v>TUE</v>
      </c>
      <c r="G602" s="3">
        <f t="shared" si="256"/>
        <v>43914</v>
      </c>
      <c r="H602" s="2">
        <f t="shared" ca="1" si="257"/>
        <v>339</v>
      </c>
      <c r="I602" t="str">
        <f t="shared" si="258"/>
        <v>COPPER</v>
      </c>
      <c r="J602">
        <f t="shared" si="259"/>
        <v>2</v>
      </c>
      <c r="K602">
        <f t="shared" si="260"/>
        <v>2.3199999999999998</v>
      </c>
      <c r="L602">
        <f t="shared" si="261"/>
        <v>2.16</v>
      </c>
      <c r="M602">
        <f t="shared" si="262"/>
        <v>0.15999999999999992</v>
      </c>
      <c r="N602">
        <f t="shared" si="252"/>
        <v>0.31999999999999984</v>
      </c>
      <c r="O602">
        <f t="shared" si="263"/>
        <v>2.1</v>
      </c>
      <c r="P602">
        <f t="shared" si="264"/>
        <v>-0.3750000000000005</v>
      </c>
      <c r="Q602" t="str">
        <f t="shared" si="253"/>
        <v>4.76% | 10.48%</v>
      </c>
      <c r="R602" t="str">
        <f t="shared" si="265"/>
        <v>BEARISH</v>
      </c>
      <c r="S602">
        <f t="shared" si="254"/>
        <v>-1</v>
      </c>
    </row>
    <row r="603" spans="1:19" hidden="1" x14ac:dyDescent="0.25">
      <c r="A603" s="5" t="str">
        <f t="shared" si="251"/>
        <v>43914AAPL</v>
      </c>
      <c r="B603" s="6" t="s">
        <v>68</v>
      </c>
      <c r="C603" s="6">
        <v>210.45</v>
      </c>
      <c r="D603" s="6">
        <v>249.18</v>
      </c>
      <c r="E603" s="6">
        <v>224.37</v>
      </c>
      <c r="F603" t="str">
        <f t="shared" si="255"/>
        <v>TUE</v>
      </c>
      <c r="G603" s="3">
        <f t="shared" si="256"/>
        <v>43914</v>
      </c>
      <c r="H603" s="2">
        <f t="shared" ca="1" si="257"/>
        <v>339</v>
      </c>
      <c r="I603" t="str">
        <f t="shared" si="258"/>
        <v>AAPL</v>
      </c>
      <c r="J603">
        <f t="shared" si="259"/>
        <v>210.45</v>
      </c>
      <c r="K603">
        <f t="shared" si="260"/>
        <v>249.18</v>
      </c>
      <c r="L603">
        <f t="shared" si="261"/>
        <v>229.815</v>
      </c>
      <c r="M603">
        <f t="shared" si="262"/>
        <v>19.365000000000009</v>
      </c>
      <c r="N603">
        <f t="shared" si="252"/>
        <v>38.730000000000018</v>
      </c>
      <c r="O603">
        <f t="shared" si="263"/>
        <v>224.37</v>
      </c>
      <c r="P603">
        <f t="shared" si="264"/>
        <v>-0.28117738187451541</v>
      </c>
      <c r="Q603" t="str">
        <f t="shared" si="253"/>
        <v>6.2% | 11.06%</v>
      </c>
      <c r="R603" t="str">
        <f t="shared" si="265"/>
        <v>BEARISH</v>
      </c>
      <c r="S603">
        <f t="shared" si="254"/>
        <v>-1</v>
      </c>
    </row>
    <row r="604" spans="1:19" hidden="1" x14ac:dyDescent="0.25">
      <c r="A604" s="5" t="str">
        <f t="shared" si="251"/>
        <v>43914AMZN</v>
      </c>
      <c r="B604" s="6" t="s">
        <v>69</v>
      </c>
      <c r="C604" s="6">
        <v>1656</v>
      </c>
      <c r="D604" s="6">
        <v>1956</v>
      </c>
      <c r="E604" s="6">
        <v>1902</v>
      </c>
      <c r="F604" t="str">
        <f t="shared" si="255"/>
        <v>TUE</v>
      </c>
      <c r="G604" s="3">
        <f t="shared" si="256"/>
        <v>43914</v>
      </c>
      <c r="H604" s="2">
        <f t="shared" ca="1" si="257"/>
        <v>339</v>
      </c>
      <c r="I604" t="str">
        <f t="shared" si="258"/>
        <v>AMZN</v>
      </c>
      <c r="J604">
        <f t="shared" si="259"/>
        <v>1656</v>
      </c>
      <c r="K604">
        <f t="shared" si="260"/>
        <v>1956</v>
      </c>
      <c r="L604">
        <f t="shared" si="261"/>
        <v>1806</v>
      </c>
      <c r="M604">
        <f t="shared" si="262"/>
        <v>150</v>
      </c>
      <c r="N604">
        <f t="shared" si="252"/>
        <v>300</v>
      </c>
      <c r="O604">
        <f t="shared" si="263"/>
        <v>1902</v>
      </c>
      <c r="P604">
        <f t="shared" si="264"/>
        <v>0.64</v>
      </c>
      <c r="Q604" t="str">
        <f t="shared" si="253"/>
        <v>12.93% | 2.84%</v>
      </c>
      <c r="R604" t="str">
        <f t="shared" si="265"/>
        <v>NEUTRAL</v>
      </c>
      <c r="S604">
        <f t="shared" si="254"/>
        <v>0</v>
      </c>
    </row>
    <row r="605" spans="1:19" hidden="1" x14ac:dyDescent="0.25">
      <c r="A605" s="5" t="str">
        <f t="shared" si="251"/>
        <v>43914FB</v>
      </c>
      <c r="B605" s="6" t="s">
        <v>58</v>
      </c>
      <c r="C605" s="6">
        <v>134</v>
      </c>
      <c r="D605" s="6">
        <v>158</v>
      </c>
      <c r="E605" s="6">
        <v>148</v>
      </c>
      <c r="F605" t="str">
        <f t="shared" si="255"/>
        <v>TUE</v>
      </c>
      <c r="G605" s="3">
        <f t="shared" si="256"/>
        <v>43914</v>
      </c>
      <c r="H605" s="2">
        <f t="shared" ca="1" si="257"/>
        <v>339</v>
      </c>
      <c r="I605" t="str">
        <f t="shared" si="258"/>
        <v>FB</v>
      </c>
      <c r="J605">
        <f t="shared" si="259"/>
        <v>134</v>
      </c>
      <c r="K605">
        <f t="shared" si="260"/>
        <v>158</v>
      </c>
      <c r="L605">
        <f t="shared" si="261"/>
        <v>146</v>
      </c>
      <c r="M605">
        <f t="shared" si="262"/>
        <v>12</v>
      </c>
      <c r="N605">
        <f t="shared" si="252"/>
        <v>24</v>
      </c>
      <c r="O605">
        <f t="shared" si="263"/>
        <v>148</v>
      </c>
      <c r="P605">
        <f t="shared" si="264"/>
        <v>0.16666666666666666</v>
      </c>
      <c r="Q605" t="str">
        <f t="shared" si="253"/>
        <v>9.46% | 6.76%</v>
      </c>
      <c r="R605" t="str">
        <f t="shared" si="265"/>
        <v>BEARISH</v>
      </c>
      <c r="S605">
        <f t="shared" si="254"/>
        <v>-1</v>
      </c>
    </row>
    <row r="606" spans="1:19" hidden="1" x14ac:dyDescent="0.25">
      <c r="A606" s="5" t="str">
        <f t="shared" si="251"/>
        <v>43914GOOGL</v>
      </c>
      <c r="B606" s="6" t="s">
        <v>66</v>
      </c>
      <c r="C606" s="6">
        <v>1004</v>
      </c>
      <c r="D606" s="6">
        <v>1137</v>
      </c>
      <c r="E606" s="6">
        <v>1054</v>
      </c>
      <c r="F606" t="str">
        <f t="shared" si="255"/>
        <v>TUE</v>
      </c>
      <c r="G606" s="3">
        <f t="shared" si="256"/>
        <v>43914</v>
      </c>
      <c r="H606" s="2">
        <f t="shared" ca="1" si="257"/>
        <v>339</v>
      </c>
      <c r="I606" t="str">
        <f t="shared" si="258"/>
        <v>GOOGL</v>
      </c>
      <c r="J606">
        <f t="shared" si="259"/>
        <v>1004</v>
      </c>
      <c r="K606">
        <f t="shared" si="260"/>
        <v>1137</v>
      </c>
      <c r="L606">
        <f t="shared" si="261"/>
        <v>1070.5</v>
      </c>
      <c r="M606">
        <f t="shared" si="262"/>
        <v>66.5</v>
      </c>
      <c r="N606">
        <f t="shared" si="252"/>
        <v>133</v>
      </c>
      <c r="O606">
        <f t="shared" si="263"/>
        <v>1054</v>
      </c>
      <c r="P606">
        <f t="shared" si="264"/>
        <v>-0.24812030075187969</v>
      </c>
      <c r="Q606" t="str">
        <f t="shared" si="253"/>
        <v>4.74% | 7.87%</v>
      </c>
      <c r="R606" t="str">
        <f t="shared" si="265"/>
        <v>BEARISH</v>
      </c>
      <c r="S606">
        <f t="shared" si="254"/>
        <v>-1</v>
      </c>
    </row>
    <row r="607" spans="1:19" hidden="1" x14ac:dyDescent="0.25">
      <c r="A607" s="5" t="str">
        <f t="shared" si="251"/>
        <v>43914NFLX</v>
      </c>
      <c r="B607" s="6" t="s">
        <v>81</v>
      </c>
      <c r="C607" s="6">
        <v>294</v>
      </c>
      <c r="D607" s="6">
        <v>374</v>
      </c>
      <c r="E607" s="6">
        <v>360</v>
      </c>
      <c r="F607" t="str">
        <f t="shared" si="255"/>
        <v>TUE</v>
      </c>
      <c r="G607" s="3">
        <f t="shared" si="256"/>
        <v>43914</v>
      </c>
      <c r="H607" s="2">
        <f t="shared" ca="1" si="257"/>
        <v>339</v>
      </c>
      <c r="I607" t="str">
        <f t="shared" si="258"/>
        <v>NFLX</v>
      </c>
      <c r="J607">
        <f t="shared" si="259"/>
        <v>294</v>
      </c>
      <c r="K607">
        <f t="shared" si="260"/>
        <v>374</v>
      </c>
      <c r="L607">
        <f t="shared" si="261"/>
        <v>334</v>
      </c>
      <c r="M607">
        <f t="shared" si="262"/>
        <v>40</v>
      </c>
      <c r="N607">
        <f t="shared" si="252"/>
        <v>80</v>
      </c>
      <c r="O607">
        <f t="shared" si="263"/>
        <v>360</v>
      </c>
      <c r="P607">
        <f t="shared" si="264"/>
        <v>0.65</v>
      </c>
      <c r="Q607" t="str">
        <f t="shared" si="253"/>
        <v>18.33% | 3.89%</v>
      </c>
      <c r="R607" t="str">
        <f t="shared" si="265"/>
        <v>BEARISH</v>
      </c>
      <c r="S607">
        <f t="shared" si="254"/>
        <v>-1</v>
      </c>
    </row>
    <row r="608" spans="1:19" x14ac:dyDescent="0.25">
      <c r="A608" s="5" t="str">
        <f t="shared" si="251"/>
        <v>43914TSLA</v>
      </c>
      <c r="B608" s="6" t="s">
        <v>83</v>
      </c>
      <c r="C608" s="6">
        <v>301</v>
      </c>
      <c r="D608" s="6">
        <v>494</v>
      </c>
      <c r="E608" s="6">
        <v>434</v>
      </c>
      <c r="F608" t="str">
        <f t="shared" si="255"/>
        <v>TUE</v>
      </c>
      <c r="G608" s="3">
        <f t="shared" si="256"/>
        <v>43914</v>
      </c>
      <c r="H608" s="2">
        <f t="shared" ca="1" si="257"/>
        <v>339</v>
      </c>
      <c r="I608" t="str">
        <f t="shared" si="258"/>
        <v>TSLA</v>
      </c>
      <c r="J608">
        <f t="shared" si="259"/>
        <v>301</v>
      </c>
      <c r="K608">
        <f t="shared" si="260"/>
        <v>494</v>
      </c>
      <c r="L608">
        <f t="shared" si="261"/>
        <v>397.5</v>
      </c>
      <c r="M608">
        <f t="shared" si="262"/>
        <v>96.5</v>
      </c>
      <c r="N608">
        <f t="shared" si="252"/>
        <v>193</v>
      </c>
      <c r="O608">
        <f t="shared" si="263"/>
        <v>434</v>
      </c>
      <c r="P608">
        <f t="shared" si="264"/>
        <v>0.37823834196891193</v>
      </c>
      <c r="Q608" t="str">
        <f t="shared" si="253"/>
        <v>30.65% | 13.82%</v>
      </c>
      <c r="R608" t="str">
        <f t="shared" si="265"/>
        <v>BEARISH</v>
      </c>
      <c r="S608">
        <f t="shared" si="254"/>
        <v>-1</v>
      </c>
    </row>
    <row r="609" spans="1:19" hidden="1" x14ac:dyDescent="0.25">
      <c r="A609" s="5" t="str">
        <f t="shared" si="251"/>
        <v>43914NYXBT</v>
      </c>
      <c r="B609" s="6" t="s">
        <v>84</v>
      </c>
      <c r="C609" s="6">
        <v>4407</v>
      </c>
      <c r="D609" s="6">
        <v>7729</v>
      </c>
      <c r="E609" s="6">
        <v>6215</v>
      </c>
      <c r="F609" t="str">
        <f t="shared" si="255"/>
        <v>TUE</v>
      </c>
      <c r="G609" s="3">
        <f t="shared" si="256"/>
        <v>43914</v>
      </c>
      <c r="H609" s="2">
        <f t="shared" ca="1" si="257"/>
        <v>339</v>
      </c>
      <c r="I609" t="str">
        <f t="shared" si="258"/>
        <v>NYXBT</v>
      </c>
      <c r="J609">
        <f t="shared" si="259"/>
        <v>4407</v>
      </c>
      <c r="K609">
        <f t="shared" si="260"/>
        <v>7729</v>
      </c>
      <c r="L609">
        <f t="shared" si="261"/>
        <v>6068</v>
      </c>
      <c r="M609">
        <f t="shared" si="262"/>
        <v>1661</v>
      </c>
      <c r="N609">
        <f t="shared" si="252"/>
        <v>3322</v>
      </c>
      <c r="O609">
        <f t="shared" si="263"/>
        <v>6215</v>
      </c>
      <c r="P609">
        <f t="shared" si="264"/>
        <v>8.8500903070439493E-2</v>
      </c>
      <c r="Q609" t="str">
        <f t="shared" si="253"/>
        <v>29.09% | 24.36%</v>
      </c>
      <c r="R609" t="str">
        <f t="shared" si="265"/>
        <v>BEARISH</v>
      </c>
      <c r="S609">
        <f t="shared" si="254"/>
        <v>-1</v>
      </c>
    </row>
    <row r="610" spans="1:19" hidden="1" x14ac:dyDescent="0.25">
      <c r="A610" s="5" t="str">
        <f t="shared" si="251"/>
        <v>43915UST10Y</v>
      </c>
      <c r="B610" s="6" t="s">
        <v>4</v>
      </c>
      <c r="C610" s="6">
        <v>1.23</v>
      </c>
      <c r="D610" s="6">
        <v>0.65</v>
      </c>
      <c r="E610" s="6">
        <v>0.84</v>
      </c>
      <c r="F610" t="str">
        <f t="shared" si="255"/>
        <v>WED</v>
      </c>
      <c r="G610" s="1">
        <f>DATE(2020,3,25)</f>
        <v>43915</v>
      </c>
      <c r="H610" s="2">
        <f t="shared" ca="1" si="257"/>
        <v>338</v>
      </c>
      <c r="I610" t="str">
        <f t="shared" si="258"/>
        <v>UST10Y</v>
      </c>
      <c r="J610">
        <f t="shared" si="259"/>
        <v>1.23</v>
      </c>
      <c r="K610">
        <f t="shared" si="260"/>
        <v>0.65</v>
      </c>
      <c r="L610">
        <f t="shared" si="261"/>
        <v>0.94</v>
      </c>
      <c r="M610">
        <f t="shared" si="262"/>
        <v>0.29000000000000009</v>
      </c>
      <c r="N610">
        <f t="shared" si="252"/>
        <v>0.57999999999999996</v>
      </c>
      <c r="O610">
        <f t="shared" si="263"/>
        <v>0.84</v>
      </c>
      <c r="P610">
        <f t="shared" si="264"/>
        <v>-0.34482758620689635</v>
      </c>
      <c r="Q610" t="str">
        <f t="shared" si="253"/>
        <v>46.43% | 22.62%</v>
      </c>
      <c r="R610" t="str">
        <f t="shared" si="265"/>
        <v>BEARISH</v>
      </c>
      <c r="S610">
        <f t="shared" si="254"/>
        <v>-1</v>
      </c>
    </row>
    <row r="611" spans="1:19" hidden="1" x14ac:dyDescent="0.25">
      <c r="A611" s="5" t="str">
        <f t="shared" si="251"/>
        <v>43915UST2Y</v>
      </c>
      <c r="B611" s="6" t="s">
        <v>5</v>
      </c>
      <c r="C611" s="6">
        <v>0.57999999999999996</v>
      </c>
      <c r="D611" s="6">
        <v>0.26</v>
      </c>
      <c r="E611" s="6">
        <v>0.38</v>
      </c>
      <c r="F611" t="str">
        <f t="shared" ref="F611:F639" si="266">UPPER(TEXT(G611,"ddd"))</f>
        <v>WED</v>
      </c>
      <c r="G611" s="1">
        <f t="shared" ref="G611:G638" si="267">DATE(2020,3,25)</f>
        <v>43915</v>
      </c>
      <c r="H611" s="2">
        <f t="shared" ref="H611:H639" ca="1" si="268">TODAY()-G611</f>
        <v>338</v>
      </c>
      <c r="I611" t="str">
        <f t="shared" ref="I611:I639" si="269">TRIM(LEFT(B611,FIND(" ",B611,1)))</f>
        <v>UST2Y</v>
      </c>
      <c r="J611">
        <f t="shared" ref="J611:J639" si="270">C611</f>
        <v>0.57999999999999996</v>
      </c>
      <c r="K611">
        <f t="shared" ref="K611:K639" si="271">D611</f>
        <v>0.26</v>
      </c>
      <c r="L611">
        <f t="shared" ref="L611:L639" si="272">AVERAGE(J611:K611)</f>
        <v>0.42</v>
      </c>
      <c r="M611">
        <f t="shared" ref="M611:M639" si="273">_xlfn.STDEV.P(J611:K611)</f>
        <v>0.16000000000000003</v>
      </c>
      <c r="N611">
        <f t="shared" si="252"/>
        <v>0.31999999999999995</v>
      </c>
      <c r="O611">
        <f t="shared" ref="O611:O639" si="274">E611</f>
        <v>0.38</v>
      </c>
      <c r="P611">
        <f t="shared" ref="P611:P639" si="275">(O611-L611)/M611</f>
        <v>-0.24999999999999983</v>
      </c>
      <c r="Q611" t="str">
        <f t="shared" si="253"/>
        <v>52.63% | 31.58%</v>
      </c>
      <c r="R611" t="str">
        <f t="shared" ref="R611:R639" si="276">MID(B611,FIND("(",B611,1)+1,FIND(")",B611,1)-FIND("(",B611,1)-1)</f>
        <v>BEARISH</v>
      </c>
      <c r="S611">
        <f t="shared" si="254"/>
        <v>-1</v>
      </c>
    </row>
    <row r="612" spans="1:19" hidden="1" x14ac:dyDescent="0.25">
      <c r="A612" s="5" t="str">
        <f t="shared" si="251"/>
        <v>43915SPX</v>
      </c>
      <c r="B612" s="6" t="s">
        <v>6</v>
      </c>
      <c r="C612" s="6">
        <v>2144</v>
      </c>
      <c r="D612" s="6">
        <v>2514</v>
      </c>
      <c r="E612" s="6">
        <v>2447</v>
      </c>
      <c r="F612" t="str">
        <f t="shared" si="266"/>
        <v>WED</v>
      </c>
      <c r="G612" s="1">
        <f t="shared" si="267"/>
        <v>43915</v>
      </c>
      <c r="H612" s="2">
        <f t="shared" ca="1" si="268"/>
        <v>338</v>
      </c>
      <c r="I612" t="str">
        <f t="shared" si="269"/>
        <v>SPX</v>
      </c>
      <c r="J612">
        <f t="shared" si="270"/>
        <v>2144</v>
      </c>
      <c r="K612">
        <f t="shared" si="271"/>
        <v>2514</v>
      </c>
      <c r="L612">
        <f t="shared" si="272"/>
        <v>2329</v>
      </c>
      <c r="M612">
        <f t="shared" si="273"/>
        <v>185</v>
      </c>
      <c r="N612">
        <f t="shared" si="252"/>
        <v>370</v>
      </c>
      <c r="O612">
        <f t="shared" si="274"/>
        <v>2447</v>
      </c>
      <c r="P612">
        <f t="shared" si="275"/>
        <v>0.63783783783783787</v>
      </c>
      <c r="Q612" t="str">
        <f t="shared" si="253"/>
        <v>12.38% | 2.74%</v>
      </c>
      <c r="R612" t="str">
        <f t="shared" si="276"/>
        <v>BEARISH</v>
      </c>
      <c r="S612">
        <f t="shared" si="254"/>
        <v>-1</v>
      </c>
    </row>
    <row r="613" spans="1:19" hidden="1" x14ac:dyDescent="0.25">
      <c r="A613" s="5" t="str">
        <f t="shared" si="251"/>
        <v>43915RUT</v>
      </c>
      <c r="B613" s="6" t="s">
        <v>7</v>
      </c>
      <c r="C613" s="6">
        <v>965</v>
      </c>
      <c r="D613" s="6">
        <v>1190</v>
      </c>
      <c r="E613" s="6">
        <v>1096</v>
      </c>
      <c r="F613" t="str">
        <f t="shared" si="266"/>
        <v>WED</v>
      </c>
      <c r="G613" s="1">
        <f t="shared" si="267"/>
        <v>43915</v>
      </c>
      <c r="H613" s="2">
        <f t="shared" ca="1" si="268"/>
        <v>338</v>
      </c>
      <c r="I613" t="str">
        <f t="shared" si="269"/>
        <v>RUT</v>
      </c>
      <c r="J613">
        <f t="shared" si="270"/>
        <v>965</v>
      </c>
      <c r="K613">
        <f t="shared" si="271"/>
        <v>1190</v>
      </c>
      <c r="L613">
        <f t="shared" si="272"/>
        <v>1077.5</v>
      </c>
      <c r="M613">
        <f t="shared" si="273"/>
        <v>112.5</v>
      </c>
      <c r="N613">
        <f t="shared" si="252"/>
        <v>225</v>
      </c>
      <c r="O613">
        <f t="shared" si="274"/>
        <v>1096</v>
      </c>
      <c r="P613">
        <f t="shared" si="275"/>
        <v>0.16444444444444445</v>
      </c>
      <c r="Q613" t="str">
        <f t="shared" si="253"/>
        <v>11.95% | 8.58%</v>
      </c>
      <c r="R613" t="str">
        <f t="shared" si="276"/>
        <v>BEARISH</v>
      </c>
      <c r="S613">
        <f t="shared" si="254"/>
        <v>-1</v>
      </c>
    </row>
    <row r="614" spans="1:19" hidden="1" x14ac:dyDescent="0.25">
      <c r="A614" s="5" t="str">
        <f t="shared" si="251"/>
        <v>43915COMPQ</v>
      </c>
      <c r="B614" s="6" t="s">
        <v>64</v>
      </c>
      <c r="C614" s="6">
        <v>6547</v>
      </c>
      <c r="D614" s="6">
        <v>7590</v>
      </c>
      <c r="E614" s="6">
        <v>7417</v>
      </c>
      <c r="F614" t="str">
        <f t="shared" si="266"/>
        <v>WED</v>
      </c>
      <c r="G614" s="1">
        <f t="shared" si="267"/>
        <v>43915</v>
      </c>
      <c r="H614" s="2">
        <f t="shared" ca="1" si="268"/>
        <v>338</v>
      </c>
      <c r="I614" t="str">
        <f t="shared" si="269"/>
        <v>COMPQ</v>
      </c>
      <c r="J614">
        <f t="shared" si="270"/>
        <v>6547</v>
      </c>
      <c r="K614">
        <f t="shared" si="271"/>
        <v>7590</v>
      </c>
      <c r="L614">
        <f t="shared" si="272"/>
        <v>7068.5</v>
      </c>
      <c r="M614">
        <f t="shared" si="273"/>
        <v>521.5</v>
      </c>
      <c r="N614">
        <f t="shared" si="252"/>
        <v>1043</v>
      </c>
      <c r="O614">
        <f t="shared" si="274"/>
        <v>7417</v>
      </c>
      <c r="P614">
        <f t="shared" si="275"/>
        <v>0.6682646212847555</v>
      </c>
      <c r="Q614" t="str">
        <f t="shared" si="253"/>
        <v>11.73% | 2.33%</v>
      </c>
      <c r="R614" t="str">
        <f t="shared" si="276"/>
        <v>BEARISH</v>
      </c>
      <c r="S614">
        <f t="shared" si="254"/>
        <v>-1</v>
      </c>
    </row>
    <row r="615" spans="1:19" hidden="1" x14ac:dyDescent="0.25">
      <c r="A615" s="5" t="str">
        <f t="shared" si="251"/>
        <v>43915XLU</v>
      </c>
      <c r="B615" s="6" t="s">
        <v>82</v>
      </c>
      <c r="C615" s="6">
        <v>43.75</v>
      </c>
      <c r="D615" s="6">
        <v>52.89</v>
      </c>
      <c r="E615" s="6">
        <v>49.76</v>
      </c>
      <c r="F615" t="str">
        <f t="shared" si="266"/>
        <v>WED</v>
      </c>
      <c r="G615" s="1">
        <f t="shared" si="267"/>
        <v>43915</v>
      </c>
      <c r="H615" s="2">
        <f t="shared" ca="1" si="268"/>
        <v>338</v>
      </c>
      <c r="I615" t="str">
        <f t="shared" si="269"/>
        <v>XLU</v>
      </c>
      <c r="J615">
        <f t="shared" si="270"/>
        <v>43.75</v>
      </c>
      <c r="K615">
        <f t="shared" si="271"/>
        <v>52.89</v>
      </c>
      <c r="L615">
        <f t="shared" si="272"/>
        <v>48.32</v>
      </c>
      <c r="M615">
        <f t="shared" si="273"/>
        <v>4.57</v>
      </c>
      <c r="N615">
        <f t="shared" si="252"/>
        <v>9.14</v>
      </c>
      <c r="O615">
        <f t="shared" si="274"/>
        <v>49.76</v>
      </c>
      <c r="P615">
        <f t="shared" si="275"/>
        <v>0.31509846827133425</v>
      </c>
      <c r="Q615" t="str">
        <f t="shared" si="253"/>
        <v>12.08% | 6.29%</v>
      </c>
      <c r="R615" t="str">
        <f t="shared" si="276"/>
        <v>BEARISH</v>
      </c>
      <c r="S615">
        <f t="shared" si="254"/>
        <v>-1</v>
      </c>
    </row>
    <row r="616" spans="1:19" hidden="1" x14ac:dyDescent="0.25">
      <c r="A616" s="5" t="str">
        <f t="shared" si="251"/>
        <v>43915VNQ</v>
      </c>
      <c r="B616" s="6" t="s">
        <v>67</v>
      </c>
      <c r="C616" s="6">
        <v>51.91</v>
      </c>
      <c r="D616" s="6">
        <v>66.680000000000007</v>
      </c>
      <c r="E616" s="6">
        <v>62.03</v>
      </c>
      <c r="F616" t="str">
        <f t="shared" si="266"/>
        <v>WED</v>
      </c>
      <c r="G616" s="1">
        <f t="shared" si="267"/>
        <v>43915</v>
      </c>
      <c r="H616" s="2">
        <f t="shared" ca="1" si="268"/>
        <v>338</v>
      </c>
      <c r="I616" t="str">
        <f t="shared" si="269"/>
        <v>VNQ</v>
      </c>
      <c r="J616">
        <f t="shared" si="270"/>
        <v>51.91</v>
      </c>
      <c r="K616">
        <f t="shared" si="271"/>
        <v>66.680000000000007</v>
      </c>
      <c r="L616">
        <f t="shared" si="272"/>
        <v>59.295000000000002</v>
      </c>
      <c r="M616">
        <f t="shared" si="273"/>
        <v>7.3849999999999856</v>
      </c>
      <c r="N616">
        <f t="shared" si="252"/>
        <v>14.77000000000001</v>
      </c>
      <c r="O616">
        <f t="shared" si="274"/>
        <v>62.03</v>
      </c>
      <c r="P616">
        <f t="shared" si="275"/>
        <v>0.37034529451591125</v>
      </c>
      <c r="Q616" t="str">
        <f t="shared" si="253"/>
        <v>16.31% | 7.5%</v>
      </c>
      <c r="R616" t="str">
        <f t="shared" si="276"/>
        <v>BEARISH</v>
      </c>
      <c r="S616">
        <f t="shared" si="254"/>
        <v>-1</v>
      </c>
    </row>
    <row r="617" spans="1:19" hidden="1" x14ac:dyDescent="0.25">
      <c r="A617" s="5" t="str">
        <f t="shared" si="251"/>
        <v>43915XLP</v>
      </c>
      <c r="B617" s="6" t="s">
        <v>11</v>
      </c>
      <c r="C617" s="6">
        <v>47.47</v>
      </c>
      <c r="D617" s="6">
        <v>52.99</v>
      </c>
      <c r="E617" s="6">
        <v>51.11</v>
      </c>
      <c r="F617" t="str">
        <f t="shared" si="266"/>
        <v>WED</v>
      </c>
      <c r="G617" s="1">
        <f t="shared" si="267"/>
        <v>43915</v>
      </c>
      <c r="H617" s="2">
        <f t="shared" ca="1" si="268"/>
        <v>338</v>
      </c>
      <c r="I617" t="str">
        <f t="shared" si="269"/>
        <v>XLP</v>
      </c>
      <c r="J617">
        <f t="shared" si="270"/>
        <v>47.47</v>
      </c>
      <c r="K617">
        <f t="shared" si="271"/>
        <v>52.99</v>
      </c>
      <c r="L617">
        <f t="shared" si="272"/>
        <v>50.230000000000004</v>
      </c>
      <c r="M617">
        <f t="shared" si="273"/>
        <v>2.7600000000000016</v>
      </c>
      <c r="N617">
        <f t="shared" si="252"/>
        <v>5.5200000000000031</v>
      </c>
      <c r="O617">
        <f t="shared" si="274"/>
        <v>51.11</v>
      </c>
      <c r="P617">
        <f t="shared" si="275"/>
        <v>0.31884057971014312</v>
      </c>
      <c r="Q617" t="str">
        <f t="shared" si="253"/>
        <v>7.12% | 3.68%</v>
      </c>
      <c r="R617" t="str">
        <f t="shared" si="276"/>
        <v>BEARISH</v>
      </c>
      <c r="S617">
        <f t="shared" si="254"/>
        <v>-1</v>
      </c>
    </row>
    <row r="618" spans="1:19" hidden="1" x14ac:dyDescent="0.25">
      <c r="A618" s="5" t="str">
        <f t="shared" si="251"/>
        <v>43915XLK</v>
      </c>
      <c r="B618" s="6" t="s">
        <v>65</v>
      </c>
      <c r="C618" s="6">
        <v>67.08</v>
      </c>
      <c r="D618" s="6">
        <v>82.76</v>
      </c>
      <c r="E618" s="6">
        <v>77.61</v>
      </c>
      <c r="F618" t="str">
        <f t="shared" si="266"/>
        <v>WED</v>
      </c>
      <c r="G618" s="1">
        <f t="shared" si="267"/>
        <v>43915</v>
      </c>
      <c r="H618" s="2">
        <f t="shared" ca="1" si="268"/>
        <v>338</v>
      </c>
      <c r="I618" t="str">
        <f t="shared" si="269"/>
        <v>XLK</v>
      </c>
      <c r="J618">
        <f t="shared" si="270"/>
        <v>67.08</v>
      </c>
      <c r="K618">
        <f t="shared" si="271"/>
        <v>82.76</v>
      </c>
      <c r="L618">
        <f t="shared" si="272"/>
        <v>74.92</v>
      </c>
      <c r="M618">
        <f t="shared" si="273"/>
        <v>7.8399999999999705</v>
      </c>
      <c r="N618">
        <f t="shared" si="252"/>
        <v>15.680000000000007</v>
      </c>
      <c r="O618">
        <f t="shared" si="274"/>
        <v>77.61</v>
      </c>
      <c r="P618">
        <f t="shared" si="275"/>
        <v>0.34311224489796016</v>
      </c>
      <c r="Q618" t="str">
        <f t="shared" si="253"/>
        <v>13.57% | 6.64%</v>
      </c>
      <c r="R618" t="str">
        <f t="shared" si="276"/>
        <v>BEARISH</v>
      </c>
      <c r="S618">
        <f t="shared" si="254"/>
        <v>-1</v>
      </c>
    </row>
    <row r="619" spans="1:19" hidden="1" x14ac:dyDescent="0.25">
      <c r="A619" s="5" t="str">
        <f t="shared" si="251"/>
        <v>43915SSEC</v>
      </c>
      <c r="B619" s="6" t="s">
        <v>14</v>
      </c>
      <c r="C619" s="6">
        <v>2610</v>
      </c>
      <c r="D619" s="6">
        <v>2873</v>
      </c>
      <c r="E619" s="6">
        <v>2781</v>
      </c>
      <c r="F619" t="str">
        <f t="shared" si="266"/>
        <v>WED</v>
      </c>
      <c r="G619" s="1">
        <f t="shared" si="267"/>
        <v>43915</v>
      </c>
      <c r="H619" s="2">
        <f t="shared" ca="1" si="268"/>
        <v>338</v>
      </c>
      <c r="I619" t="str">
        <f t="shared" si="269"/>
        <v>SSEC</v>
      </c>
      <c r="J619">
        <f t="shared" si="270"/>
        <v>2610</v>
      </c>
      <c r="K619">
        <f t="shared" si="271"/>
        <v>2873</v>
      </c>
      <c r="L619">
        <f t="shared" si="272"/>
        <v>2741.5</v>
      </c>
      <c r="M619">
        <f t="shared" si="273"/>
        <v>131.5</v>
      </c>
      <c r="N619">
        <f t="shared" si="252"/>
        <v>263</v>
      </c>
      <c r="O619">
        <f t="shared" si="274"/>
        <v>2781</v>
      </c>
      <c r="P619">
        <f t="shared" si="275"/>
        <v>0.30038022813688214</v>
      </c>
      <c r="Q619" t="str">
        <f t="shared" si="253"/>
        <v>6.15% | 3.31%</v>
      </c>
      <c r="R619" t="str">
        <f t="shared" si="276"/>
        <v>BEARISH</v>
      </c>
      <c r="S619">
        <f t="shared" si="254"/>
        <v>-1</v>
      </c>
    </row>
    <row r="620" spans="1:19" hidden="1" x14ac:dyDescent="0.25">
      <c r="A620" s="5" t="str">
        <f t="shared" si="251"/>
        <v>43915NIKK</v>
      </c>
      <c r="B620" s="6" t="s">
        <v>15</v>
      </c>
      <c r="C620" s="6">
        <v>15698</v>
      </c>
      <c r="D620" s="6">
        <v>19805</v>
      </c>
      <c r="E620" s="6">
        <v>19546</v>
      </c>
      <c r="F620" t="str">
        <f t="shared" si="266"/>
        <v>WED</v>
      </c>
      <c r="G620" s="1">
        <f t="shared" si="267"/>
        <v>43915</v>
      </c>
      <c r="H620" s="2">
        <f t="shared" ca="1" si="268"/>
        <v>338</v>
      </c>
      <c r="I620" t="str">
        <f t="shared" si="269"/>
        <v>NIKK</v>
      </c>
      <c r="J620">
        <f t="shared" si="270"/>
        <v>15698</v>
      </c>
      <c r="K620">
        <f t="shared" si="271"/>
        <v>19805</v>
      </c>
      <c r="L620">
        <f t="shared" si="272"/>
        <v>17751.5</v>
      </c>
      <c r="M620">
        <f t="shared" si="273"/>
        <v>2053.5</v>
      </c>
      <c r="N620">
        <f t="shared" si="252"/>
        <v>4107</v>
      </c>
      <c r="O620">
        <f t="shared" si="274"/>
        <v>19546</v>
      </c>
      <c r="P620">
        <f t="shared" si="275"/>
        <v>0.87387387387387383</v>
      </c>
      <c r="Q620" t="str">
        <f t="shared" si="253"/>
        <v>19.69% | 1.33%</v>
      </c>
      <c r="R620" t="str">
        <f t="shared" si="276"/>
        <v>BEARISH</v>
      </c>
      <c r="S620">
        <f t="shared" si="254"/>
        <v>-1</v>
      </c>
    </row>
    <row r="621" spans="1:19" hidden="1" x14ac:dyDescent="0.25">
      <c r="A621" s="5" t="str">
        <f t="shared" si="251"/>
        <v>43915DAX</v>
      </c>
      <c r="B621" s="6" t="s">
        <v>16</v>
      </c>
      <c r="C621" s="6">
        <v>8208</v>
      </c>
      <c r="D621" s="6">
        <v>10117</v>
      </c>
      <c r="E621" s="6">
        <v>9745</v>
      </c>
      <c r="F621" t="str">
        <f t="shared" si="266"/>
        <v>WED</v>
      </c>
      <c r="G621" s="1">
        <f t="shared" si="267"/>
        <v>43915</v>
      </c>
      <c r="H621" s="2">
        <f t="shared" ca="1" si="268"/>
        <v>338</v>
      </c>
      <c r="I621" t="str">
        <f t="shared" si="269"/>
        <v>DAX</v>
      </c>
      <c r="J621">
        <f t="shared" si="270"/>
        <v>8208</v>
      </c>
      <c r="K621">
        <f t="shared" si="271"/>
        <v>10117</v>
      </c>
      <c r="L621">
        <f t="shared" si="272"/>
        <v>9162.5</v>
      </c>
      <c r="M621">
        <f t="shared" si="273"/>
        <v>954.5</v>
      </c>
      <c r="N621">
        <f t="shared" si="252"/>
        <v>1909</v>
      </c>
      <c r="O621">
        <f t="shared" si="274"/>
        <v>9745</v>
      </c>
      <c r="P621">
        <f t="shared" si="275"/>
        <v>0.61026715557883704</v>
      </c>
      <c r="Q621" t="str">
        <f t="shared" si="253"/>
        <v>15.77% | 3.82%</v>
      </c>
      <c r="R621" t="str">
        <f t="shared" si="276"/>
        <v>BEARISH</v>
      </c>
      <c r="S621">
        <f t="shared" si="254"/>
        <v>-1</v>
      </c>
    </row>
    <row r="622" spans="1:19" hidden="1" x14ac:dyDescent="0.25">
      <c r="A622" s="5" t="str">
        <f t="shared" si="251"/>
        <v>43915VIX</v>
      </c>
      <c r="B622" s="6" t="s">
        <v>17</v>
      </c>
      <c r="C622" s="6">
        <v>49.51</v>
      </c>
      <c r="D622" s="6">
        <v>87.95</v>
      </c>
      <c r="E622" s="6">
        <v>61.67</v>
      </c>
      <c r="F622" t="str">
        <f t="shared" si="266"/>
        <v>WED</v>
      </c>
      <c r="G622" s="1">
        <f t="shared" si="267"/>
        <v>43915</v>
      </c>
      <c r="H622" s="2">
        <f t="shared" ca="1" si="268"/>
        <v>338</v>
      </c>
      <c r="I622" t="str">
        <f t="shared" si="269"/>
        <v>VIX</v>
      </c>
      <c r="J622">
        <f t="shared" si="270"/>
        <v>49.51</v>
      </c>
      <c r="K622">
        <f t="shared" si="271"/>
        <v>87.95</v>
      </c>
      <c r="L622">
        <f t="shared" si="272"/>
        <v>68.73</v>
      </c>
      <c r="M622">
        <f t="shared" si="273"/>
        <v>19.219999999999985</v>
      </c>
      <c r="N622">
        <f t="shared" si="252"/>
        <v>38.440000000000005</v>
      </c>
      <c r="O622">
        <f t="shared" si="274"/>
        <v>61.67</v>
      </c>
      <c r="P622">
        <f t="shared" si="275"/>
        <v>-0.36732570239334067</v>
      </c>
      <c r="Q622" t="str">
        <f t="shared" si="253"/>
        <v>19.72% | 42.61%</v>
      </c>
      <c r="R622" t="str">
        <f t="shared" si="276"/>
        <v>BULLISH</v>
      </c>
      <c r="S622">
        <f t="shared" si="254"/>
        <v>1</v>
      </c>
    </row>
    <row r="623" spans="1:19" hidden="1" x14ac:dyDescent="0.25">
      <c r="A623" s="5" t="str">
        <f t="shared" si="251"/>
        <v>43915USD</v>
      </c>
      <c r="B623" s="6" t="s">
        <v>18</v>
      </c>
      <c r="C623" s="6">
        <v>98.35</v>
      </c>
      <c r="D623" s="6">
        <v>105.44</v>
      </c>
      <c r="E623" s="6">
        <v>102.25</v>
      </c>
      <c r="F623" t="str">
        <f t="shared" si="266"/>
        <v>WED</v>
      </c>
      <c r="G623" s="1">
        <f t="shared" si="267"/>
        <v>43915</v>
      </c>
      <c r="H623" s="2">
        <f t="shared" ca="1" si="268"/>
        <v>338</v>
      </c>
      <c r="I623" t="str">
        <f t="shared" si="269"/>
        <v>USD</v>
      </c>
      <c r="J623">
        <f t="shared" si="270"/>
        <v>98.35</v>
      </c>
      <c r="K623">
        <f t="shared" si="271"/>
        <v>105.44</v>
      </c>
      <c r="L623">
        <f t="shared" si="272"/>
        <v>101.895</v>
      </c>
      <c r="M623">
        <f t="shared" si="273"/>
        <v>3.5450000000000017</v>
      </c>
      <c r="N623">
        <f t="shared" si="252"/>
        <v>7.0900000000000034</v>
      </c>
      <c r="O623">
        <f t="shared" si="274"/>
        <v>102.25</v>
      </c>
      <c r="P623">
        <f t="shared" si="275"/>
        <v>0.10014104372355538</v>
      </c>
      <c r="Q623" t="str">
        <f t="shared" si="253"/>
        <v>3.81% | 3.12%</v>
      </c>
      <c r="R623" t="str">
        <f t="shared" si="276"/>
        <v>BULLISH</v>
      </c>
      <c r="S623">
        <f t="shared" si="254"/>
        <v>1</v>
      </c>
    </row>
    <row r="624" spans="1:19" hidden="1" x14ac:dyDescent="0.25">
      <c r="A624" s="5" t="str">
        <f t="shared" si="251"/>
        <v>43915EUR/USD</v>
      </c>
      <c r="B624" s="6" t="s">
        <v>19</v>
      </c>
      <c r="C624" s="6">
        <v>1.05</v>
      </c>
      <c r="D624" s="6">
        <v>1.1000000000000001</v>
      </c>
      <c r="E624" s="6">
        <v>1.07</v>
      </c>
      <c r="F624" t="str">
        <f t="shared" si="266"/>
        <v>WED</v>
      </c>
      <c r="G624" s="1">
        <f t="shared" si="267"/>
        <v>43915</v>
      </c>
      <c r="H624" s="2">
        <f t="shared" ca="1" si="268"/>
        <v>338</v>
      </c>
      <c r="I624" t="str">
        <f t="shared" si="269"/>
        <v>EUR/USD</v>
      </c>
      <c r="J624">
        <f t="shared" si="270"/>
        <v>1.05</v>
      </c>
      <c r="K624">
        <f t="shared" si="271"/>
        <v>1.1000000000000001</v>
      </c>
      <c r="L624">
        <f t="shared" si="272"/>
        <v>1.0750000000000002</v>
      </c>
      <c r="M624">
        <f t="shared" si="273"/>
        <v>2.5000000000000022E-2</v>
      </c>
      <c r="N624">
        <f t="shared" si="252"/>
        <v>5.0000000000000044E-2</v>
      </c>
      <c r="O624">
        <f t="shared" si="274"/>
        <v>1.07</v>
      </c>
      <c r="P624">
        <f t="shared" si="275"/>
        <v>-0.20000000000000445</v>
      </c>
      <c r="Q624" t="str">
        <f t="shared" si="253"/>
        <v>1.87% | 2.8%</v>
      </c>
      <c r="R624" t="str">
        <f t="shared" si="276"/>
        <v>BEARISH</v>
      </c>
      <c r="S624">
        <f t="shared" si="254"/>
        <v>-1</v>
      </c>
    </row>
    <row r="625" spans="1:19" hidden="1" x14ac:dyDescent="0.25">
      <c r="A625" s="5" t="str">
        <f t="shared" si="251"/>
        <v>43915USD/JPY</v>
      </c>
      <c r="B625" s="6" t="s">
        <v>56</v>
      </c>
      <c r="C625" s="6">
        <v>104.3</v>
      </c>
      <c r="D625" s="6">
        <v>113.7</v>
      </c>
      <c r="E625" s="6">
        <v>111.47</v>
      </c>
      <c r="F625" t="str">
        <f t="shared" si="266"/>
        <v>WED</v>
      </c>
      <c r="G625" s="1">
        <f t="shared" si="267"/>
        <v>43915</v>
      </c>
      <c r="H625" s="2">
        <f t="shared" ca="1" si="268"/>
        <v>338</v>
      </c>
      <c r="I625" t="str">
        <f t="shared" si="269"/>
        <v>USD/JPY</v>
      </c>
      <c r="J625">
        <f t="shared" si="270"/>
        <v>104.3</v>
      </c>
      <c r="K625">
        <f t="shared" si="271"/>
        <v>113.7</v>
      </c>
      <c r="L625">
        <f t="shared" si="272"/>
        <v>109</v>
      </c>
      <c r="M625">
        <f t="shared" si="273"/>
        <v>4.7000000000000028</v>
      </c>
      <c r="N625">
        <f t="shared" si="252"/>
        <v>9.4000000000000057</v>
      </c>
      <c r="O625">
        <f t="shared" si="274"/>
        <v>111.47</v>
      </c>
      <c r="P625">
        <f t="shared" si="275"/>
        <v>0.5255319148936165</v>
      </c>
      <c r="Q625" t="str">
        <f t="shared" si="253"/>
        <v>6.43% | 2%</v>
      </c>
      <c r="R625" t="str">
        <f t="shared" si="276"/>
        <v>BULLISH</v>
      </c>
      <c r="S625">
        <f t="shared" si="254"/>
        <v>1</v>
      </c>
    </row>
    <row r="626" spans="1:19" hidden="1" x14ac:dyDescent="0.25">
      <c r="A626" s="5" t="str">
        <f t="shared" si="251"/>
        <v>43915GBP/USD</v>
      </c>
      <c r="B626" s="6" t="s">
        <v>21</v>
      </c>
      <c r="C626" s="6">
        <v>1.1100000000000001</v>
      </c>
      <c r="D626" s="6">
        <v>1.21</v>
      </c>
      <c r="E626" s="6">
        <v>1.17</v>
      </c>
      <c r="F626" t="str">
        <f t="shared" si="266"/>
        <v>WED</v>
      </c>
      <c r="G626" s="1">
        <f t="shared" si="267"/>
        <v>43915</v>
      </c>
      <c r="H626" s="2">
        <f t="shared" ca="1" si="268"/>
        <v>338</v>
      </c>
      <c r="I626" t="str">
        <f t="shared" si="269"/>
        <v>GBP/USD</v>
      </c>
      <c r="J626">
        <f t="shared" si="270"/>
        <v>1.1100000000000001</v>
      </c>
      <c r="K626">
        <f t="shared" si="271"/>
        <v>1.21</v>
      </c>
      <c r="L626">
        <f t="shared" si="272"/>
        <v>1.1600000000000001</v>
      </c>
      <c r="M626">
        <f t="shared" si="273"/>
        <v>4.9999999999999933E-2</v>
      </c>
      <c r="N626">
        <f t="shared" si="252"/>
        <v>9.9999999999999867E-2</v>
      </c>
      <c r="O626">
        <f t="shared" si="274"/>
        <v>1.17</v>
      </c>
      <c r="P626">
        <f t="shared" si="275"/>
        <v>0.19999999999999601</v>
      </c>
      <c r="Q626" t="str">
        <f t="shared" si="253"/>
        <v>5.13% | 3.42%</v>
      </c>
      <c r="R626" t="str">
        <f t="shared" si="276"/>
        <v>BEARISH</v>
      </c>
      <c r="S626">
        <f t="shared" si="254"/>
        <v>-1</v>
      </c>
    </row>
    <row r="627" spans="1:19" hidden="1" x14ac:dyDescent="0.25">
      <c r="A627" s="5" t="str">
        <f t="shared" si="251"/>
        <v>43915USD/CHF</v>
      </c>
      <c r="B627" s="6" t="s">
        <v>22</v>
      </c>
      <c r="C627" s="6">
        <v>0.95</v>
      </c>
      <c r="D627" s="6">
        <v>0.99</v>
      </c>
      <c r="E627" s="6">
        <v>0.98</v>
      </c>
      <c r="F627" t="str">
        <f t="shared" si="266"/>
        <v>WED</v>
      </c>
      <c r="G627" s="1">
        <f t="shared" si="267"/>
        <v>43915</v>
      </c>
      <c r="H627" s="2">
        <f t="shared" ca="1" si="268"/>
        <v>338</v>
      </c>
      <c r="I627" t="str">
        <f t="shared" si="269"/>
        <v>USD/CHF</v>
      </c>
      <c r="J627">
        <f t="shared" si="270"/>
        <v>0.95</v>
      </c>
      <c r="K627">
        <f t="shared" si="271"/>
        <v>0.99</v>
      </c>
      <c r="L627">
        <f t="shared" si="272"/>
        <v>0.97</v>
      </c>
      <c r="M627">
        <f t="shared" si="273"/>
        <v>2.0000000000000018E-2</v>
      </c>
      <c r="N627">
        <f t="shared" si="252"/>
        <v>4.0000000000000036E-2</v>
      </c>
      <c r="O627">
        <f t="shared" si="274"/>
        <v>0.98</v>
      </c>
      <c r="P627">
        <f t="shared" si="275"/>
        <v>0.5</v>
      </c>
      <c r="Q627" t="str">
        <f t="shared" si="253"/>
        <v>3.06% | 1.02%</v>
      </c>
      <c r="R627" t="str">
        <f t="shared" si="276"/>
        <v>NEUTRAL</v>
      </c>
      <c r="S627">
        <f t="shared" si="254"/>
        <v>0</v>
      </c>
    </row>
    <row r="628" spans="1:19" hidden="1" x14ac:dyDescent="0.25">
      <c r="A628" s="5" t="str">
        <f t="shared" si="251"/>
        <v>43915WTIC</v>
      </c>
      <c r="B628" s="6" t="s">
        <v>23</v>
      </c>
      <c r="C628" s="6">
        <v>18.78</v>
      </c>
      <c r="D628" s="6">
        <v>27.18</v>
      </c>
      <c r="E628" s="6">
        <v>24.01</v>
      </c>
      <c r="F628" t="str">
        <f t="shared" si="266"/>
        <v>WED</v>
      </c>
      <c r="G628" s="1">
        <f t="shared" si="267"/>
        <v>43915</v>
      </c>
      <c r="H628" s="2">
        <f t="shared" ca="1" si="268"/>
        <v>338</v>
      </c>
      <c r="I628" t="str">
        <f t="shared" si="269"/>
        <v>WTIC</v>
      </c>
      <c r="J628">
        <f t="shared" si="270"/>
        <v>18.78</v>
      </c>
      <c r="K628">
        <f t="shared" si="271"/>
        <v>27.18</v>
      </c>
      <c r="L628">
        <f t="shared" si="272"/>
        <v>22.98</v>
      </c>
      <c r="M628">
        <f t="shared" si="273"/>
        <v>4.1999999999999984</v>
      </c>
      <c r="N628">
        <f t="shared" si="252"/>
        <v>8.3999999999999986</v>
      </c>
      <c r="O628">
        <f t="shared" si="274"/>
        <v>24.01</v>
      </c>
      <c r="P628">
        <f t="shared" si="275"/>
        <v>0.24523809523809562</v>
      </c>
      <c r="Q628" t="str">
        <f t="shared" si="253"/>
        <v>21.78% | 13.2%</v>
      </c>
      <c r="R628" t="str">
        <f t="shared" si="276"/>
        <v>BEARISH</v>
      </c>
      <c r="S628">
        <f t="shared" si="254"/>
        <v>-1</v>
      </c>
    </row>
    <row r="629" spans="1:19" hidden="1" x14ac:dyDescent="0.25">
      <c r="A629" s="5" t="str">
        <f t="shared" si="251"/>
        <v>43915NATGAS</v>
      </c>
      <c r="B629" s="6" t="s">
        <v>24</v>
      </c>
      <c r="C629" s="6">
        <v>1.46</v>
      </c>
      <c r="D629" s="6">
        <v>1.81</v>
      </c>
      <c r="E629" s="6">
        <v>1.73</v>
      </c>
      <c r="F629" t="str">
        <f t="shared" si="266"/>
        <v>WED</v>
      </c>
      <c r="G629" s="1">
        <f t="shared" si="267"/>
        <v>43915</v>
      </c>
      <c r="H629" s="2">
        <f t="shared" ca="1" si="268"/>
        <v>338</v>
      </c>
      <c r="I629" t="str">
        <f t="shared" si="269"/>
        <v>NATGAS</v>
      </c>
      <c r="J629">
        <f t="shared" si="270"/>
        <v>1.46</v>
      </c>
      <c r="K629">
        <f t="shared" si="271"/>
        <v>1.81</v>
      </c>
      <c r="L629">
        <f t="shared" si="272"/>
        <v>1.635</v>
      </c>
      <c r="M629">
        <f t="shared" si="273"/>
        <v>0.17500000000000035</v>
      </c>
      <c r="N629">
        <f t="shared" si="252"/>
        <v>0.35000000000000009</v>
      </c>
      <c r="O629">
        <f t="shared" si="274"/>
        <v>1.73</v>
      </c>
      <c r="P629">
        <f t="shared" si="275"/>
        <v>0.54285714285714159</v>
      </c>
      <c r="Q629" t="str">
        <f t="shared" si="253"/>
        <v>15.61% | 4.62%</v>
      </c>
      <c r="R629" t="str">
        <f t="shared" si="276"/>
        <v>BEARISH</v>
      </c>
      <c r="S629">
        <f t="shared" si="254"/>
        <v>-1</v>
      </c>
    </row>
    <row r="630" spans="1:19" hidden="1" x14ac:dyDescent="0.25">
      <c r="A630" s="5" t="str">
        <f t="shared" si="251"/>
        <v>43915GOLD</v>
      </c>
      <c r="B630" s="6" t="s">
        <v>25</v>
      </c>
      <c r="C630" s="6">
        <v>1423</v>
      </c>
      <c r="D630" s="6">
        <v>1671</v>
      </c>
      <c r="E630" s="6">
        <v>1660</v>
      </c>
      <c r="F630" t="str">
        <f t="shared" si="266"/>
        <v>WED</v>
      </c>
      <c r="G630" s="1">
        <f t="shared" si="267"/>
        <v>43915</v>
      </c>
      <c r="H630" s="2">
        <f t="shared" ca="1" si="268"/>
        <v>338</v>
      </c>
      <c r="I630" t="str">
        <f t="shared" si="269"/>
        <v>GOLD</v>
      </c>
      <c r="J630">
        <f t="shared" si="270"/>
        <v>1423</v>
      </c>
      <c r="K630">
        <f t="shared" si="271"/>
        <v>1671</v>
      </c>
      <c r="L630">
        <f t="shared" si="272"/>
        <v>1547</v>
      </c>
      <c r="M630">
        <f t="shared" si="273"/>
        <v>124</v>
      </c>
      <c r="N630">
        <f t="shared" si="252"/>
        <v>248</v>
      </c>
      <c r="O630">
        <f t="shared" si="274"/>
        <v>1660</v>
      </c>
      <c r="P630">
        <f t="shared" si="275"/>
        <v>0.91129032258064513</v>
      </c>
      <c r="Q630" t="str">
        <f t="shared" si="253"/>
        <v>14.28% | 0.66%</v>
      </c>
      <c r="R630" t="str">
        <f t="shared" si="276"/>
        <v>BULLISH</v>
      </c>
      <c r="S630">
        <f t="shared" si="254"/>
        <v>1</v>
      </c>
    </row>
    <row r="631" spans="1:19" hidden="1" x14ac:dyDescent="0.25">
      <c r="A631" s="5" t="str">
        <f t="shared" si="251"/>
        <v>43915COPPER</v>
      </c>
      <c r="B631" s="6" t="s">
        <v>26</v>
      </c>
      <c r="C631" s="6">
        <v>2.0099999999999998</v>
      </c>
      <c r="D631" s="6">
        <v>2.29</v>
      </c>
      <c r="E631" s="6">
        <v>2.1800000000000002</v>
      </c>
      <c r="F631" t="str">
        <f t="shared" si="266"/>
        <v>WED</v>
      </c>
      <c r="G631" s="1">
        <f t="shared" si="267"/>
        <v>43915</v>
      </c>
      <c r="H631" s="2">
        <f t="shared" ca="1" si="268"/>
        <v>338</v>
      </c>
      <c r="I631" t="str">
        <f t="shared" si="269"/>
        <v>COPPER</v>
      </c>
      <c r="J631">
        <f t="shared" si="270"/>
        <v>2.0099999999999998</v>
      </c>
      <c r="K631">
        <f t="shared" si="271"/>
        <v>2.29</v>
      </c>
      <c r="L631">
        <f t="shared" si="272"/>
        <v>2.15</v>
      </c>
      <c r="M631">
        <f t="shared" si="273"/>
        <v>0.14000000000000012</v>
      </c>
      <c r="N631">
        <f t="shared" si="252"/>
        <v>0.28000000000000025</v>
      </c>
      <c r="O631">
        <f t="shared" si="274"/>
        <v>2.1800000000000002</v>
      </c>
      <c r="P631">
        <f t="shared" si="275"/>
        <v>0.21428571428571588</v>
      </c>
      <c r="Q631" t="str">
        <f t="shared" si="253"/>
        <v>7.8% | 5.05%</v>
      </c>
      <c r="R631" t="str">
        <f t="shared" si="276"/>
        <v>BEARISH</v>
      </c>
      <c r="S631">
        <f t="shared" si="254"/>
        <v>-1</v>
      </c>
    </row>
    <row r="632" spans="1:19" hidden="1" x14ac:dyDescent="0.25">
      <c r="A632" s="5" t="str">
        <f t="shared" si="251"/>
        <v>43915AAPL</v>
      </c>
      <c r="B632" s="6" t="s">
        <v>68</v>
      </c>
      <c r="C632" s="6">
        <v>215.23</v>
      </c>
      <c r="D632" s="6">
        <v>254.84</v>
      </c>
      <c r="E632" s="6">
        <v>246.88</v>
      </c>
      <c r="F632" t="str">
        <f t="shared" si="266"/>
        <v>WED</v>
      </c>
      <c r="G632" s="1">
        <f t="shared" si="267"/>
        <v>43915</v>
      </c>
      <c r="H632" s="2">
        <f t="shared" ca="1" si="268"/>
        <v>338</v>
      </c>
      <c r="I632" t="str">
        <f t="shared" si="269"/>
        <v>AAPL</v>
      </c>
      <c r="J632">
        <f t="shared" si="270"/>
        <v>215.23</v>
      </c>
      <c r="K632">
        <f t="shared" si="271"/>
        <v>254.84</v>
      </c>
      <c r="L632">
        <f t="shared" si="272"/>
        <v>235.035</v>
      </c>
      <c r="M632">
        <f t="shared" si="273"/>
        <v>19.805000000000007</v>
      </c>
      <c r="N632">
        <f t="shared" si="252"/>
        <v>39.610000000000014</v>
      </c>
      <c r="O632">
        <f t="shared" si="274"/>
        <v>246.88</v>
      </c>
      <c r="P632">
        <f t="shared" si="275"/>
        <v>0.59808129260287779</v>
      </c>
      <c r="Q632" t="str">
        <f t="shared" si="253"/>
        <v>12.82% | 3.22%</v>
      </c>
      <c r="R632" t="str">
        <f t="shared" si="276"/>
        <v>BEARISH</v>
      </c>
      <c r="S632">
        <f t="shared" si="254"/>
        <v>-1</v>
      </c>
    </row>
    <row r="633" spans="1:19" hidden="1" x14ac:dyDescent="0.25">
      <c r="A633" s="5" t="str">
        <f t="shared" si="251"/>
        <v>43915AMZN</v>
      </c>
      <c r="B633" s="6" t="s">
        <v>69</v>
      </c>
      <c r="C633" s="6">
        <v>1800</v>
      </c>
      <c r="D633" s="6">
        <v>1983</v>
      </c>
      <c r="E633" s="6">
        <v>1940</v>
      </c>
      <c r="F633" t="str">
        <f t="shared" si="266"/>
        <v>WED</v>
      </c>
      <c r="G633" s="1">
        <f t="shared" si="267"/>
        <v>43915</v>
      </c>
      <c r="H633" s="2">
        <f t="shared" ca="1" si="268"/>
        <v>338</v>
      </c>
      <c r="I633" t="str">
        <f t="shared" si="269"/>
        <v>AMZN</v>
      </c>
      <c r="J633">
        <f t="shared" si="270"/>
        <v>1800</v>
      </c>
      <c r="K633">
        <f t="shared" si="271"/>
        <v>1983</v>
      </c>
      <c r="L633">
        <f t="shared" si="272"/>
        <v>1891.5</v>
      </c>
      <c r="M633">
        <f t="shared" si="273"/>
        <v>91.5</v>
      </c>
      <c r="N633">
        <f t="shared" si="252"/>
        <v>183</v>
      </c>
      <c r="O633">
        <f t="shared" si="274"/>
        <v>1940</v>
      </c>
      <c r="P633">
        <f t="shared" si="275"/>
        <v>0.5300546448087432</v>
      </c>
      <c r="Q633" t="str">
        <f t="shared" si="253"/>
        <v>7.22% | 2.22%</v>
      </c>
      <c r="R633" t="str">
        <f t="shared" si="276"/>
        <v>NEUTRAL</v>
      </c>
      <c r="S633">
        <f t="shared" si="254"/>
        <v>0</v>
      </c>
    </row>
    <row r="634" spans="1:19" hidden="1" x14ac:dyDescent="0.25">
      <c r="A634" s="5" t="str">
        <f t="shared" si="251"/>
        <v>43915FB</v>
      </c>
      <c r="B634" s="6" t="s">
        <v>58</v>
      </c>
      <c r="C634" s="6">
        <v>138</v>
      </c>
      <c r="D634" s="6">
        <v>165</v>
      </c>
      <c r="E634" s="6">
        <v>160</v>
      </c>
      <c r="F634" t="str">
        <f t="shared" si="266"/>
        <v>WED</v>
      </c>
      <c r="G634" s="1">
        <f t="shared" si="267"/>
        <v>43915</v>
      </c>
      <c r="H634" s="2">
        <f t="shared" ca="1" si="268"/>
        <v>338</v>
      </c>
      <c r="I634" t="str">
        <f t="shared" si="269"/>
        <v>FB</v>
      </c>
      <c r="J634">
        <f t="shared" si="270"/>
        <v>138</v>
      </c>
      <c r="K634">
        <f t="shared" si="271"/>
        <v>165</v>
      </c>
      <c r="L634">
        <f t="shared" si="272"/>
        <v>151.5</v>
      </c>
      <c r="M634">
        <f t="shared" si="273"/>
        <v>13.5</v>
      </c>
      <c r="N634">
        <f t="shared" si="252"/>
        <v>27</v>
      </c>
      <c r="O634">
        <f t="shared" si="274"/>
        <v>160</v>
      </c>
      <c r="P634">
        <f t="shared" si="275"/>
        <v>0.62962962962962965</v>
      </c>
      <c r="Q634" t="str">
        <f t="shared" si="253"/>
        <v>13.75% | 3.13%</v>
      </c>
      <c r="R634" t="str">
        <f t="shared" si="276"/>
        <v>BEARISH</v>
      </c>
      <c r="S634">
        <f t="shared" si="254"/>
        <v>-1</v>
      </c>
    </row>
    <row r="635" spans="1:19" hidden="1" x14ac:dyDescent="0.25">
      <c r="A635" s="5" t="str">
        <f t="shared" si="251"/>
        <v>43915GOOGL</v>
      </c>
      <c r="B635" s="6" t="s">
        <v>66</v>
      </c>
      <c r="C635" s="6">
        <v>1014</v>
      </c>
      <c r="D635" s="6">
        <v>1160</v>
      </c>
      <c r="E635" s="6">
        <v>1130</v>
      </c>
      <c r="F635" t="str">
        <f t="shared" si="266"/>
        <v>WED</v>
      </c>
      <c r="G635" s="1">
        <f t="shared" si="267"/>
        <v>43915</v>
      </c>
      <c r="H635" s="2">
        <f t="shared" ca="1" si="268"/>
        <v>338</v>
      </c>
      <c r="I635" t="str">
        <f t="shared" si="269"/>
        <v>GOOGL</v>
      </c>
      <c r="J635">
        <f t="shared" si="270"/>
        <v>1014</v>
      </c>
      <c r="K635">
        <f t="shared" si="271"/>
        <v>1160</v>
      </c>
      <c r="L635">
        <f t="shared" si="272"/>
        <v>1087</v>
      </c>
      <c r="M635">
        <f t="shared" si="273"/>
        <v>73</v>
      </c>
      <c r="N635">
        <f t="shared" si="252"/>
        <v>146</v>
      </c>
      <c r="O635">
        <f t="shared" si="274"/>
        <v>1130</v>
      </c>
      <c r="P635">
        <f t="shared" si="275"/>
        <v>0.58904109589041098</v>
      </c>
      <c r="Q635" t="str">
        <f t="shared" si="253"/>
        <v>10.27% | 2.65%</v>
      </c>
      <c r="R635" t="str">
        <f t="shared" si="276"/>
        <v>BEARISH</v>
      </c>
      <c r="S635">
        <f t="shared" si="254"/>
        <v>-1</v>
      </c>
    </row>
    <row r="636" spans="1:19" hidden="1" x14ac:dyDescent="0.25">
      <c r="A636" s="5" t="str">
        <f t="shared" si="251"/>
        <v>43915NFLX</v>
      </c>
      <c r="B636" s="6" t="s">
        <v>81</v>
      </c>
      <c r="C636" s="6">
        <v>305</v>
      </c>
      <c r="D636" s="6">
        <v>375</v>
      </c>
      <c r="E636" s="6">
        <v>357</v>
      </c>
      <c r="F636" t="str">
        <f t="shared" si="266"/>
        <v>WED</v>
      </c>
      <c r="G636" s="1">
        <f t="shared" si="267"/>
        <v>43915</v>
      </c>
      <c r="H636" s="2">
        <f t="shared" ca="1" si="268"/>
        <v>338</v>
      </c>
      <c r="I636" t="str">
        <f t="shared" si="269"/>
        <v>NFLX</v>
      </c>
      <c r="J636">
        <f t="shared" si="270"/>
        <v>305</v>
      </c>
      <c r="K636">
        <f t="shared" si="271"/>
        <v>375</v>
      </c>
      <c r="L636">
        <f t="shared" si="272"/>
        <v>340</v>
      </c>
      <c r="M636">
        <f t="shared" si="273"/>
        <v>35</v>
      </c>
      <c r="N636">
        <f t="shared" si="252"/>
        <v>70</v>
      </c>
      <c r="O636">
        <f t="shared" si="274"/>
        <v>357</v>
      </c>
      <c r="P636">
        <f t="shared" si="275"/>
        <v>0.48571428571428571</v>
      </c>
      <c r="Q636" t="str">
        <f t="shared" si="253"/>
        <v>14.57% | 5.04%</v>
      </c>
      <c r="R636" t="str">
        <f t="shared" si="276"/>
        <v>BEARISH</v>
      </c>
      <c r="S636">
        <f t="shared" si="254"/>
        <v>-1</v>
      </c>
    </row>
    <row r="637" spans="1:19" x14ac:dyDescent="0.25">
      <c r="A637" s="5" t="str">
        <f t="shared" si="251"/>
        <v>43915TSLA</v>
      </c>
      <c r="B637" s="6" t="s">
        <v>83</v>
      </c>
      <c r="C637" s="6">
        <v>375</v>
      </c>
      <c r="D637" s="6">
        <v>528</v>
      </c>
      <c r="E637" s="6">
        <v>505</v>
      </c>
      <c r="F637" t="str">
        <f t="shared" si="266"/>
        <v>WED</v>
      </c>
      <c r="G637" s="1">
        <f t="shared" si="267"/>
        <v>43915</v>
      </c>
      <c r="H637" s="2">
        <f t="shared" ca="1" si="268"/>
        <v>338</v>
      </c>
      <c r="I637" t="str">
        <f t="shared" si="269"/>
        <v>TSLA</v>
      </c>
      <c r="J637">
        <f t="shared" si="270"/>
        <v>375</v>
      </c>
      <c r="K637">
        <f t="shared" si="271"/>
        <v>528</v>
      </c>
      <c r="L637">
        <f t="shared" si="272"/>
        <v>451.5</v>
      </c>
      <c r="M637">
        <f t="shared" si="273"/>
        <v>76.5</v>
      </c>
      <c r="N637">
        <f t="shared" si="252"/>
        <v>153</v>
      </c>
      <c r="O637">
        <f t="shared" si="274"/>
        <v>505</v>
      </c>
      <c r="P637">
        <f t="shared" si="275"/>
        <v>0.69934640522875813</v>
      </c>
      <c r="Q637" t="str">
        <f t="shared" si="253"/>
        <v>25.74% | 4.55%</v>
      </c>
      <c r="R637" t="str">
        <f t="shared" si="276"/>
        <v>BEARISH</v>
      </c>
      <c r="S637">
        <f t="shared" si="254"/>
        <v>-1</v>
      </c>
    </row>
    <row r="638" spans="1:19" hidden="1" x14ac:dyDescent="0.25">
      <c r="A638" s="5" t="str">
        <f t="shared" si="251"/>
        <v>43915NYXBT</v>
      </c>
      <c r="B638" s="6" t="s">
        <v>84</v>
      </c>
      <c r="C638" s="6">
        <v>4288</v>
      </c>
      <c r="D638" s="6">
        <v>7649</v>
      </c>
      <c r="E638" s="6">
        <v>6602</v>
      </c>
      <c r="F638" t="str">
        <f t="shared" si="266"/>
        <v>WED</v>
      </c>
      <c r="G638" s="1">
        <f t="shared" si="267"/>
        <v>43915</v>
      </c>
      <c r="H638" s="2">
        <f t="shared" ca="1" si="268"/>
        <v>338</v>
      </c>
      <c r="I638" t="str">
        <f t="shared" si="269"/>
        <v>NYXBT</v>
      </c>
      <c r="J638">
        <f t="shared" si="270"/>
        <v>4288</v>
      </c>
      <c r="K638">
        <f t="shared" si="271"/>
        <v>7649</v>
      </c>
      <c r="L638">
        <f t="shared" si="272"/>
        <v>5968.5</v>
      </c>
      <c r="M638">
        <f t="shared" si="273"/>
        <v>1680.5</v>
      </c>
      <c r="N638">
        <f t="shared" si="252"/>
        <v>3361</v>
      </c>
      <c r="O638">
        <f t="shared" si="274"/>
        <v>6602</v>
      </c>
      <c r="P638">
        <f t="shared" si="275"/>
        <v>0.37697113954180306</v>
      </c>
      <c r="Q638" t="str">
        <f t="shared" si="253"/>
        <v>35.05% | 15.86%</v>
      </c>
      <c r="R638" t="str">
        <f t="shared" si="276"/>
        <v>BEARISH</v>
      </c>
      <c r="S638">
        <f t="shared" si="254"/>
        <v>-1</v>
      </c>
    </row>
    <row r="639" spans="1:19" hidden="1" x14ac:dyDescent="0.25">
      <c r="A639" s="5" t="str">
        <f t="shared" si="251"/>
        <v>43916UST10Y</v>
      </c>
      <c r="B639" s="6" t="s">
        <v>4</v>
      </c>
      <c r="C639" s="6">
        <v>1.1599999999999999</v>
      </c>
      <c r="D639" s="6">
        <v>0.63</v>
      </c>
      <c r="E639" s="6">
        <v>0.88</v>
      </c>
      <c r="F639" t="str">
        <f t="shared" si="266"/>
        <v>THU</v>
      </c>
      <c r="G639" s="3">
        <f>DATE(2020,3,26)</f>
        <v>43916</v>
      </c>
      <c r="H639" s="2">
        <f t="shared" ca="1" si="268"/>
        <v>337</v>
      </c>
      <c r="I639" t="str">
        <f t="shared" si="269"/>
        <v>UST10Y</v>
      </c>
      <c r="J639">
        <f t="shared" si="270"/>
        <v>1.1599999999999999</v>
      </c>
      <c r="K639">
        <f t="shared" si="271"/>
        <v>0.63</v>
      </c>
      <c r="L639">
        <f t="shared" si="272"/>
        <v>0.89500000000000002</v>
      </c>
      <c r="M639">
        <f t="shared" si="273"/>
        <v>0.26499999999999996</v>
      </c>
      <c r="N639">
        <f t="shared" si="252"/>
        <v>0.52999999999999992</v>
      </c>
      <c r="O639">
        <f t="shared" si="274"/>
        <v>0.88</v>
      </c>
      <c r="P639">
        <f t="shared" si="275"/>
        <v>-5.6603773584905717E-2</v>
      </c>
      <c r="Q639" t="str">
        <f t="shared" si="253"/>
        <v>31.82% | 28.41%</v>
      </c>
      <c r="R639" t="str">
        <f t="shared" si="276"/>
        <v>BEARISH</v>
      </c>
      <c r="S639">
        <f t="shared" si="254"/>
        <v>-1</v>
      </c>
    </row>
    <row r="640" spans="1:19" hidden="1" x14ac:dyDescent="0.25">
      <c r="A640" s="5" t="str">
        <f t="shared" si="251"/>
        <v>43916UST2Y</v>
      </c>
      <c r="B640" s="6" t="s">
        <v>5</v>
      </c>
      <c r="C640" s="6">
        <v>0.56000000000000005</v>
      </c>
      <c r="D640" s="6">
        <v>0.23</v>
      </c>
      <c r="E640" s="6">
        <v>0.34</v>
      </c>
      <c r="F640" t="str">
        <f t="shared" ref="F640:F668" si="277">UPPER(TEXT(G640,"ddd"))</f>
        <v>THU</v>
      </c>
      <c r="G640" s="3">
        <f t="shared" ref="G640:G667" si="278">DATE(2020,3,26)</f>
        <v>43916</v>
      </c>
      <c r="H640" s="2">
        <f t="shared" ref="H640:H668" ca="1" si="279">TODAY()-G640</f>
        <v>337</v>
      </c>
      <c r="I640" t="str">
        <f t="shared" ref="I640:I668" si="280">TRIM(LEFT(B640,FIND(" ",B640,1)))</f>
        <v>UST2Y</v>
      </c>
      <c r="J640">
        <f t="shared" ref="J640:J668" si="281">C640</f>
        <v>0.56000000000000005</v>
      </c>
      <c r="K640">
        <f t="shared" ref="K640:K668" si="282">D640</f>
        <v>0.23</v>
      </c>
      <c r="L640">
        <f t="shared" ref="L640:L668" si="283">AVERAGE(J640:K640)</f>
        <v>0.39500000000000002</v>
      </c>
      <c r="M640">
        <f t="shared" ref="M640:M668" si="284">_xlfn.STDEV.P(J640:K640)</f>
        <v>0.16500000000000001</v>
      </c>
      <c r="N640">
        <f t="shared" si="252"/>
        <v>0.33000000000000007</v>
      </c>
      <c r="O640">
        <f t="shared" ref="O640:O668" si="285">E640</f>
        <v>0.34</v>
      </c>
      <c r="P640">
        <f t="shared" ref="P640:P668" si="286">(O640-L640)/M640</f>
        <v>-0.33333333333333326</v>
      </c>
      <c r="Q640" t="str">
        <f t="shared" si="253"/>
        <v>64.71% | 32.35%</v>
      </c>
      <c r="R640" t="str">
        <f t="shared" ref="R640:R668" si="287">MID(B640,FIND("(",B640,1)+1,FIND(")",B640,1)-FIND("(",B640,1)-1)</f>
        <v>BEARISH</v>
      </c>
      <c r="S640">
        <f t="shared" si="254"/>
        <v>-1</v>
      </c>
    </row>
    <row r="641" spans="1:19" hidden="1" x14ac:dyDescent="0.25">
      <c r="A641" s="5" t="str">
        <f t="shared" si="251"/>
        <v>43916SPX</v>
      </c>
      <c r="B641" s="6" t="s">
        <v>6</v>
      </c>
      <c r="C641" s="6">
        <v>2154</v>
      </c>
      <c r="D641" s="6">
        <v>2601</v>
      </c>
      <c r="E641" s="6">
        <v>2475</v>
      </c>
      <c r="F641" t="str">
        <f t="shared" si="277"/>
        <v>THU</v>
      </c>
      <c r="G641" s="3">
        <f t="shared" si="278"/>
        <v>43916</v>
      </c>
      <c r="H641" s="2">
        <f t="shared" ca="1" si="279"/>
        <v>337</v>
      </c>
      <c r="I641" t="str">
        <f t="shared" si="280"/>
        <v>SPX</v>
      </c>
      <c r="J641">
        <f t="shared" si="281"/>
        <v>2154</v>
      </c>
      <c r="K641">
        <f t="shared" si="282"/>
        <v>2601</v>
      </c>
      <c r="L641">
        <f t="shared" si="283"/>
        <v>2377.5</v>
      </c>
      <c r="M641">
        <f t="shared" si="284"/>
        <v>223.5</v>
      </c>
      <c r="N641">
        <f t="shared" si="252"/>
        <v>447</v>
      </c>
      <c r="O641">
        <f t="shared" si="285"/>
        <v>2475</v>
      </c>
      <c r="P641">
        <f t="shared" si="286"/>
        <v>0.43624161073825501</v>
      </c>
      <c r="Q641" t="str">
        <f t="shared" si="253"/>
        <v>12.97% | 5.09%</v>
      </c>
      <c r="R641" t="str">
        <f t="shared" si="287"/>
        <v>BEARISH</v>
      </c>
      <c r="S641">
        <f t="shared" si="254"/>
        <v>-1</v>
      </c>
    </row>
    <row r="642" spans="1:19" hidden="1" x14ac:dyDescent="0.25">
      <c r="A642" s="5" t="str">
        <f t="shared" si="251"/>
        <v>43916RUT</v>
      </c>
      <c r="B642" s="6" t="s">
        <v>7</v>
      </c>
      <c r="C642" s="6">
        <v>959</v>
      </c>
      <c r="D642" s="6">
        <v>1170</v>
      </c>
      <c r="E642" s="6">
        <v>1110</v>
      </c>
      <c r="F642" t="str">
        <f t="shared" si="277"/>
        <v>THU</v>
      </c>
      <c r="G642" s="3">
        <f t="shared" si="278"/>
        <v>43916</v>
      </c>
      <c r="H642" s="2">
        <f t="shared" ca="1" si="279"/>
        <v>337</v>
      </c>
      <c r="I642" t="str">
        <f t="shared" si="280"/>
        <v>RUT</v>
      </c>
      <c r="J642">
        <f t="shared" si="281"/>
        <v>959</v>
      </c>
      <c r="K642">
        <f t="shared" si="282"/>
        <v>1170</v>
      </c>
      <c r="L642">
        <f t="shared" si="283"/>
        <v>1064.5</v>
      </c>
      <c r="M642">
        <f t="shared" si="284"/>
        <v>105.5</v>
      </c>
      <c r="N642">
        <f t="shared" si="252"/>
        <v>211</v>
      </c>
      <c r="O642">
        <f t="shared" si="285"/>
        <v>1110</v>
      </c>
      <c r="P642">
        <f t="shared" si="286"/>
        <v>0.43127962085308058</v>
      </c>
      <c r="Q642" t="str">
        <f t="shared" si="253"/>
        <v>13.6% | 5.41%</v>
      </c>
      <c r="R642" t="str">
        <f t="shared" si="287"/>
        <v>BEARISH</v>
      </c>
      <c r="S642">
        <f t="shared" si="254"/>
        <v>-1</v>
      </c>
    </row>
    <row r="643" spans="1:19" hidden="1" x14ac:dyDescent="0.25">
      <c r="A643" s="5" t="str">
        <f t="shared" ref="A643:A706" si="288">G643&amp;I643</f>
        <v>43916COMPQ</v>
      </c>
      <c r="B643" s="6" t="s">
        <v>64</v>
      </c>
      <c r="C643" s="6">
        <v>6544</v>
      </c>
      <c r="D643" s="6">
        <v>7721</v>
      </c>
      <c r="E643" s="6">
        <v>7384</v>
      </c>
      <c r="F643" t="str">
        <f t="shared" si="277"/>
        <v>THU</v>
      </c>
      <c r="G643" s="3">
        <f t="shared" si="278"/>
        <v>43916</v>
      </c>
      <c r="H643" s="2">
        <f t="shared" ca="1" si="279"/>
        <v>337</v>
      </c>
      <c r="I643" t="str">
        <f t="shared" si="280"/>
        <v>COMPQ</v>
      </c>
      <c r="J643">
        <f t="shared" si="281"/>
        <v>6544</v>
      </c>
      <c r="K643">
        <f t="shared" si="282"/>
        <v>7721</v>
      </c>
      <c r="L643">
        <f t="shared" si="283"/>
        <v>7132.5</v>
      </c>
      <c r="M643">
        <f t="shared" si="284"/>
        <v>588.5</v>
      </c>
      <c r="N643">
        <f t="shared" ref="N643:N706" si="289">ABS(K643-J643)</f>
        <v>1177</v>
      </c>
      <c r="O643">
        <f t="shared" si="285"/>
        <v>7384</v>
      </c>
      <c r="P643">
        <f t="shared" si="286"/>
        <v>0.42735768903993204</v>
      </c>
      <c r="Q643" t="str">
        <f t="shared" ref="Q643:Q706" si="290">ROUND(ABS(100*(O643-J643)/O643),2)&amp;"% | "&amp;ROUND(ABS(100*(K643-O643)/O643),2)&amp;"%"</f>
        <v>11.38% | 4.56%</v>
      </c>
      <c r="R643" t="str">
        <f t="shared" si="287"/>
        <v>BEARISH</v>
      </c>
      <c r="S643">
        <f t="shared" ref="S643:S706" si="291">IF(R643="BEARISH",-1,IF(R643="NEUTRAL",0,IF(R643="BULLISH",1,99)))</f>
        <v>-1</v>
      </c>
    </row>
    <row r="644" spans="1:19" hidden="1" x14ac:dyDescent="0.25">
      <c r="A644" s="5" t="str">
        <f t="shared" si="288"/>
        <v>43916XLU</v>
      </c>
      <c r="B644" s="6" t="s">
        <v>82</v>
      </c>
      <c r="C644" s="6">
        <v>43.6</v>
      </c>
      <c r="D644" s="6">
        <v>53.9</v>
      </c>
      <c r="E644" s="6">
        <v>51.03</v>
      </c>
      <c r="F644" t="str">
        <f t="shared" si="277"/>
        <v>THU</v>
      </c>
      <c r="G644" s="3">
        <f t="shared" si="278"/>
        <v>43916</v>
      </c>
      <c r="H644" s="2">
        <f t="shared" ca="1" si="279"/>
        <v>337</v>
      </c>
      <c r="I644" t="str">
        <f t="shared" si="280"/>
        <v>XLU</v>
      </c>
      <c r="J644">
        <f t="shared" si="281"/>
        <v>43.6</v>
      </c>
      <c r="K644">
        <f t="shared" si="282"/>
        <v>53.9</v>
      </c>
      <c r="L644">
        <f t="shared" si="283"/>
        <v>48.75</v>
      </c>
      <c r="M644">
        <f t="shared" si="284"/>
        <v>5.1500000000000039</v>
      </c>
      <c r="N644">
        <f t="shared" si="289"/>
        <v>10.299999999999997</v>
      </c>
      <c r="O644">
        <f t="shared" si="285"/>
        <v>51.03</v>
      </c>
      <c r="P644">
        <f t="shared" si="286"/>
        <v>0.44271844660194165</v>
      </c>
      <c r="Q644" t="str">
        <f t="shared" si="290"/>
        <v>14.56% | 5.62%</v>
      </c>
      <c r="R644" t="str">
        <f t="shared" si="287"/>
        <v>BEARISH</v>
      </c>
      <c r="S644">
        <f t="shared" si="291"/>
        <v>-1</v>
      </c>
    </row>
    <row r="645" spans="1:19" hidden="1" x14ac:dyDescent="0.25">
      <c r="A645" s="5" t="str">
        <f t="shared" si="288"/>
        <v>43916VNQ</v>
      </c>
      <c r="B645" s="6" t="s">
        <v>67</v>
      </c>
      <c r="C645" s="6">
        <v>52.03</v>
      </c>
      <c r="D645" s="6">
        <v>68.5</v>
      </c>
      <c r="E645" s="6">
        <v>65.37</v>
      </c>
      <c r="F645" t="str">
        <f t="shared" si="277"/>
        <v>THU</v>
      </c>
      <c r="G645" s="3">
        <f t="shared" si="278"/>
        <v>43916</v>
      </c>
      <c r="H645" s="2">
        <f t="shared" ca="1" si="279"/>
        <v>337</v>
      </c>
      <c r="I645" t="str">
        <f t="shared" si="280"/>
        <v>VNQ</v>
      </c>
      <c r="J645">
        <f t="shared" si="281"/>
        <v>52.03</v>
      </c>
      <c r="K645">
        <f t="shared" si="282"/>
        <v>68.5</v>
      </c>
      <c r="L645">
        <f t="shared" si="283"/>
        <v>60.265000000000001</v>
      </c>
      <c r="M645">
        <f t="shared" si="284"/>
        <v>8.2349999999999888</v>
      </c>
      <c r="N645">
        <f t="shared" si="289"/>
        <v>16.47</v>
      </c>
      <c r="O645">
        <f t="shared" si="285"/>
        <v>65.37</v>
      </c>
      <c r="P645">
        <f t="shared" si="286"/>
        <v>0.61991499696417862</v>
      </c>
      <c r="Q645" t="str">
        <f t="shared" si="290"/>
        <v>20.41% | 4.79%</v>
      </c>
      <c r="R645" t="str">
        <f t="shared" si="287"/>
        <v>BEARISH</v>
      </c>
      <c r="S645">
        <f t="shared" si="291"/>
        <v>-1</v>
      </c>
    </row>
    <row r="646" spans="1:19" hidden="1" x14ac:dyDescent="0.25">
      <c r="A646" s="5" t="str">
        <f t="shared" si="288"/>
        <v>43916XLP</v>
      </c>
      <c r="B646" s="6" t="s">
        <v>11</v>
      </c>
      <c r="C646" s="6">
        <v>47.76</v>
      </c>
      <c r="D646" s="6">
        <v>52.71</v>
      </c>
      <c r="E646" s="6">
        <v>50.97</v>
      </c>
      <c r="F646" t="str">
        <f t="shared" si="277"/>
        <v>THU</v>
      </c>
      <c r="G646" s="3">
        <f t="shared" si="278"/>
        <v>43916</v>
      </c>
      <c r="H646" s="2">
        <f t="shared" ca="1" si="279"/>
        <v>337</v>
      </c>
      <c r="I646" t="str">
        <f t="shared" si="280"/>
        <v>XLP</v>
      </c>
      <c r="J646">
        <f t="shared" si="281"/>
        <v>47.76</v>
      </c>
      <c r="K646">
        <f t="shared" si="282"/>
        <v>52.71</v>
      </c>
      <c r="L646">
        <f t="shared" si="283"/>
        <v>50.234999999999999</v>
      </c>
      <c r="M646">
        <f t="shared" si="284"/>
        <v>2.4750000000000014</v>
      </c>
      <c r="N646">
        <f t="shared" si="289"/>
        <v>4.9500000000000028</v>
      </c>
      <c r="O646">
        <f t="shared" si="285"/>
        <v>50.97</v>
      </c>
      <c r="P646">
        <f t="shared" si="286"/>
        <v>0.29696969696969655</v>
      </c>
      <c r="Q646" t="str">
        <f t="shared" si="290"/>
        <v>6.3% | 3.41%</v>
      </c>
      <c r="R646" t="str">
        <f t="shared" si="287"/>
        <v>BEARISH</v>
      </c>
      <c r="S646">
        <f t="shared" si="291"/>
        <v>-1</v>
      </c>
    </row>
    <row r="647" spans="1:19" hidden="1" x14ac:dyDescent="0.25">
      <c r="A647" s="5" t="str">
        <f t="shared" si="288"/>
        <v>43916XLK</v>
      </c>
      <c r="B647" s="6" t="s">
        <v>65</v>
      </c>
      <c r="C647" s="6">
        <v>67.42</v>
      </c>
      <c r="D647" s="6">
        <v>81.93</v>
      </c>
      <c r="E647" s="6">
        <v>77.510000000000005</v>
      </c>
      <c r="F647" t="str">
        <f t="shared" si="277"/>
        <v>THU</v>
      </c>
      <c r="G647" s="3">
        <f t="shared" si="278"/>
        <v>43916</v>
      </c>
      <c r="H647" s="2">
        <f t="shared" ca="1" si="279"/>
        <v>337</v>
      </c>
      <c r="I647" t="str">
        <f t="shared" si="280"/>
        <v>XLK</v>
      </c>
      <c r="J647">
        <f t="shared" si="281"/>
        <v>67.42</v>
      </c>
      <c r="K647">
        <f t="shared" si="282"/>
        <v>81.93</v>
      </c>
      <c r="L647">
        <f t="shared" si="283"/>
        <v>74.675000000000011</v>
      </c>
      <c r="M647">
        <f t="shared" si="284"/>
        <v>7.2550000000000026</v>
      </c>
      <c r="N647">
        <f t="shared" si="289"/>
        <v>14.510000000000005</v>
      </c>
      <c r="O647">
        <f t="shared" si="285"/>
        <v>77.510000000000005</v>
      </c>
      <c r="P647">
        <f t="shared" si="286"/>
        <v>0.39076498966230089</v>
      </c>
      <c r="Q647" t="str">
        <f t="shared" si="290"/>
        <v>13.02% | 5.7%</v>
      </c>
      <c r="R647" t="str">
        <f t="shared" si="287"/>
        <v>BEARISH</v>
      </c>
      <c r="S647">
        <f t="shared" si="291"/>
        <v>-1</v>
      </c>
    </row>
    <row r="648" spans="1:19" hidden="1" x14ac:dyDescent="0.25">
      <c r="A648" s="5" t="str">
        <f t="shared" si="288"/>
        <v>43916SSEC</v>
      </c>
      <c r="B648" s="6" t="s">
        <v>14</v>
      </c>
      <c r="C648" s="6">
        <v>2631</v>
      </c>
      <c r="D648" s="6">
        <v>2856</v>
      </c>
      <c r="E648" s="6">
        <v>2764</v>
      </c>
      <c r="F648" t="str">
        <f t="shared" si="277"/>
        <v>THU</v>
      </c>
      <c r="G648" s="3">
        <f t="shared" si="278"/>
        <v>43916</v>
      </c>
      <c r="H648" s="2">
        <f t="shared" ca="1" si="279"/>
        <v>337</v>
      </c>
      <c r="I648" t="str">
        <f t="shared" si="280"/>
        <v>SSEC</v>
      </c>
      <c r="J648">
        <f t="shared" si="281"/>
        <v>2631</v>
      </c>
      <c r="K648">
        <f t="shared" si="282"/>
        <v>2856</v>
      </c>
      <c r="L648">
        <f t="shared" si="283"/>
        <v>2743.5</v>
      </c>
      <c r="M648">
        <f t="shared" si="284"/>
        <v>112.5</v>
      </c>
      <c r="N648">
        <f t="shared" si="289"/>
        <v>225</v>
      </c>
      <c r="O648">
        <f t="shared" si="285"/>
        <v>2764</v>
      </c>
      <c r="P648">
        <f t="shared" si="286"/>
        <v>0.18222222222222223</v>
      </c>
      <c r="Q648" t="str">
        <f t="shared" si="290"/>
        <v>4.81% | 3.33%</v>
      </c>
      <c r="R648" t="str">
        <f t="shared" si="287"/>
        <v>BEARISH</v>
      </c>
      <c r="S648">
        <f t="shared" si="291"/>
        <v>-1</v>
      </c>
    </row>
    <row r="649" spans="1:19" hidden="1" x14ac:dyDescent="0.25">
      <c r="A649" s="5" t="str">
        <f t="shared" si="288"/>
        <v>43916NIKK</v>
      </c>
      <c r="B649" s="6" t="s">
        <v>15</v>
      </c>
      <c r="C649" s="6">
        <v>15587</v>
      </c>
      <c r="D649" s="6">
        <v>19824</v>
      </c>
      <c r="E649" s="6">
        <v>18664</v>
      </c>
      <c r="F649" t="str">
        <f t="shared" si="277"/>
        <v>THU</v>
      </c>
      <c r="G649" s="3">
        <f t="shared" si="278"/>
        <v>43916</v>
      </c>
      <c r="H649" s="2">
        <f t="shared" ca="1" si="279"/>
        <v>337</v>
      </c>
      <c r="I649" t="str">
        <f t="shared" si="280"/>
        <v>NIKK</v>
      </c>
      <c r="J649">
        <f t="shared" si="281"/>
        <v>15587</v>
      </c>
      <c r="K649">
        <f t="shared" si="282"/>
        <v>19824</v>
      </c>
      <c r="L649">
        <f t="shared" si="283"/>
        <v>17705.5</v>
      </c>
      <c r="M649">
        <f t="shared" si="284"/>
        <v>2118.5</v>
      </c>
      <c r="N649">
        <f t="shared" si="289"/>
        <v>4237</v>
      </c>
      <c r="O649">
        <f t="shared" si="285"/>
        <v>18664</v>
      </c>
      <c r="P649">
        <f t="shared" si="286"/>
        <v>0.45244276610809536</v>
      </c>
      <c r="Q649" t="str">
        <f t="shared" si="290"/>
        <v>16.49% | 6.22%</v>
      </c>
      <c r="R649" t="str">
        <f t="shared" si="287"/>
        <v>BEARISH</v>
      </c>
      <c r="S649">
        <f t="shared" si="291"/>
        <v>-1</v>
      </c>
    </row>
    <row r="650" spans="1:19" hidden="1" x14ac:dyDescent="0.25">
      <c r="A650" s="5" t="str">
        <f t="shared" si="288"/>
        <v>43916DAX</v>
      </c>
      <c r="B650" s="6" t="s">
        <v>16</v>
      </c>
      <c r="C650" s="6">
        <v>8086</v>
      </c>
      <c r="D650" s="6">
        <v>9993</v>
      </c>
      <c r="E650" s="6">
        <v>9874</v>
      </c>
      <c r="F650" t="str">
        <f t="shared" si="277"/>
        <v>THU</v>
      </c>
      <c r="G650" s="3">
        <f t="shared" si="278"/>
        <v>43916</v>
      </c>
      <c r="H650" s="2">
        <f t="shared" ca="1" si="279"/>
        <v>337</v>
      </c>
      <c r="I650" t="str">
        <f t="shared" si="280"/>
        <v>DAX</v>
      </c>
      <c r="J650">
        <f t="shared" si="281"/>
        <v>8086</v>
      </c>
      <c r="K650">
        <f t="shared" si="282"/>
        <v>9993</v>
      </c>
      <c r="L650">
        <f t="shared" si="283"/>
        <v>9039.5</v>
      </c>
      <c r="M650">
        <f t="shared" si="284"/>
        <v>953.5</v>
      </c>
      <c r="N650">
        <f t="shared" si="289"/>
        <v>1907</v>
      </c>
      <c r="O650">
        <f t="shared" si="285"/>
        <v>9874</v>
      </c>
      <c r="P650">
        <f t="shared" si="286"/>
        <v>0.87519664394336649</v>
      </c>
      <c r="Q650" t="str">
        <f t="shared" si="290"/>
        <v>18.11% | 1.21%</v>
      </c>
      <c r="R650" t="str">
        <f t="shared" si="287"/>
        <v>BEARISH</v>
      </c>
      <c r="S650">
        <f t="shared" si="291"/>
        <v>-1</v>
      </c>
    </row>
    <row r="651" spans="1:19" hidden="1" x14ac:dyDescent="0.25">
      <c r="A651" s="5" t="str">
        <f t="shared" si="288"/>
        <v>43916VIX</v>
      </c>
      <c r="B651" s="6" t="s">
        <v>17</v>
      </c>
      <c r="C651" s="6">
        <v>50.43</v>
      </c>
      <c r="D651" s="6">
        <v>86.55</v>
      </c>
      <c r="E651" s="6">
        <v>63.95</v>
      </c>
      <c r="F651" t="str">
        <f t="shared" si="277"/>
        <v>THU</v>
      </c>
      <c r="G651" s="3">
        <f t="shared" si="278"/>
        <v>43916</v>
      </c>
      <c r="H651" s="2">
        <f t="shared" ca="1" si="279"/>
        <v>337</v>
      </c>
      <c r="I651" t="str">
        <f t="shared" si="280"/>
        <v>VIX</v>
      </c>
      <c r="J651">
        <f t="shared" si="281"/>
        <v>50.43</v>
      </c>
      <c r="K651">
        <f t="shared" si="282"/>
        <v>86.55</v>
      </c>
      <c r="L651">
        <f t="shared" si="283"/>
        <v>68.489999999999995</v>
      </c>
      <c r="M651">
        <f t="shared" si="284"/>
        <v>18.06000000000002</v>
      </c>
      <c r="N651">
        <f t="shared" si="289"/>
        <v>36.119999999999997</v>
      </c>
      <c r="O651">
        <f t="shared" si="285"/>
        <v>63.95</v>
      </c>
      <c r="P651">
        <f t="shared" si="286"/>
        <v>-0.25138427464008789</v>
      </c>
      <c r="Q651" t="str">
        <f t="shared" si="290"/>
        <v>21.14% | 35.34%</v>
      </c>
      <c r="R651" t="str">
        <f t="shared" si="287"/>
        <v>BULLISH</v>
      </c>
      <c r="S651">
        <f t="shared" si="291"/>
        <v>1</v>
      </c>
    </row>
    <row r="652" spans="1:19" hidden="1" x14ac:dyDescent="0.25">
      <c r="A652" s="5" t="str">
        <f t="shared" si="288"/>
        <v>43916USD</v>
      </c>
      <c r="B652" s="6" t="s">
        <v>18</v>
      </c>
      <c r="C652" s="6">
        <v>97.1</v>
      </c>
      <c r="D652" s="6">
        <v>105.26</v>
      </c>
      <c r="E652" s="6">
        <v>101</v>
      </c>
      <c r="F652" t="str">
        <f t="shared" si="277"/>
        <v>THU</v>
      </c>
      <c r="G652" s="3">
        <f t="shared" si="278"/>
        <v>43916</v>
      </c>
      <c r="H652" s="2">
        <f t="shared" ca="1" si="279"/>
        <v>337</v>
      </c>
      <c r="I652" t="str">
        <f t="shared" si="280"/>
        <v>USD</v>
      </c>
      <c r="J652">
        <f t="shared" si="281"/>
        <v>97.1</v>
      </c>
      <c r="K652">
        <f t="shared" si="282"/>
        <v>105.26</v>
      </c>
      <c r="L652">
        <f t="shared" si="283"/>
        <v>101.18</v>
      </c>
      <c r="M652">
        <f t="shared" si="284"/>
        <v>4.0800000000000054</v>
      </c>
      <c r="N652">
        <f t="shared" si="289"/>
        <v>8.1600000000000108</v>
      </c>
      <c r="O652">
        <f t="shared" si="285"/>
        <v>101</v>
      </c>
      <c r="P652">
        <f t="shared" si="286"/>
        <v>-4.4117647058825142E-2</v>
      </c>
      <c r="Q652" t="str">
        <f t="shared" si="290"/>
        <v>3.86% | 4.22%</v>
      </c>
      <c r="R652" t="str">
        <f t="shared" si="287"/>
        <v>BULLISH</v>
      </c>
      <c r="S652">
        <f t="shared" si="291"/>
        <v>1</v>
      </c>
    </row>
    <row r="653" spans="1:19" hidden="1" x14ac:dyDescent="0.25">
      <c r="A653" s="5" t="str">
        <f t="shared" si="288"/>
        <v>43916EUR/USD</v>
      </c>
      <c r="B653" s="6" t="s">
        <v>19</v>
      </c>
      <c r="C653" s="6">
        <v>1.05</v>
      </c>
      <c r="D653" s="6">
        <v>1.1000000000000001</v>
      </c>
      <c r="E653" s="6">
        <v>1.08</v>
      </c>
      <c r="F653" t="str">
        <f t="shared" si="277"/>
        <v>THU</v>
      </c>
      <c r="G653" s="3">
        <f t="shared" si="278"/>
        <v>43916</v>
      </c>
      <c r="H653" s="2">
        <f t="shared" ca="1" si="279"/>
        <v>337</v>
      </c>
      <c r="I653" t="str">
        <f t="shared" si="280"/>
        <v>EUR/USD</v>
      </c>
      <c r="J653">
        <f t="shared" si="281"/>
        <v>1.05</v>
      </c>
      <c r="K653">
        <f t="shared" si="282"/>
        <v>1.1000000000000001</v>
      </c>
      <c r="L653">
        <f t="shared" si="283"/>
        <v>1.0750000000000002</v>
      </c>
      <c r="M653">
        <f t="shared" si="284"/>
        <v>2.5000000000000022E-2</v>
      </c>
      <c r="N653">
        <f t="shared" si="289"/>
        <v>5.0000000000000044E-2</v>
      </c>
      <c r="O653">
        <f t="shared" si="285"/>
        <v>1.08</v>
      </c>
      <c r="P653">
        <f t="shared" si="286"/>
        <v>0.19999999999999557</v>
      </c>
      <c r="Q653" t="str">
        <f t="shared" si="290"/>
        <v>2.78% | 1.85%</v>
      </c>
      <c r="R653" t="str">
        <f t="shared" si="287"/>
        <v>BEARISH</v>
      </c>
      <c r="S653">
        <f t="shared" si="291"/>
        <v>-1</v>
      </c>
    </row>
    <row r="654" spans="1:19" hidden="1" x14ac:dyDescent="0.25">
      <c r="A654" s="5" t="str">
        <f t="shared" si="288"/>
        <v>43916USD/JPY</v>
      </c>
      <c r="B654" s="6" t="s">
        <v>56</v>
      </c>
      <c r="C654" s="6">
        <v>105.61</v>
      </c>
      <c r="D654" s="6">
        <v>113.53</v>
      </c>
      <c r="E654" s="6">
        <v>111.16</v>
      </c>
      <c r="F654" t="str">
        <f t="shared" si="277"/>
        <v>THU</v>
      </c>
      <c r="G654" s="3">
        <f t="shared" si="278"/>
        <v>43916</v>
      </c>
      <c r="H654" s="2">
        <f t="shared" ca="1" si="279"/>
        <v>337</v>
      </c>
      <c r="I654" t="str">
        <f t="shared" si="280"/>
        <v>USD/JPY</v>
      </c>
      <c r="J654">
        <f t="shared" si="281"/>
        <v>105.61</v>
      </c>
      <c r="K654">
        <f t="shared" si="282"/>
        <v>113.53</v>
      </c>
      <c r="L654">
        <f t="shared" si="283"/>
        <v>109.57</v>
      </c>
      <c r="M654">
        <f t="shared" si="284"/>
        <v>3.9600000000000009</v>
      </c>
      <c r="N654">
        <f t="shared" si="289"/>
        <v>7.9200000000000017</v>
      </c>
      <c r="O654">
        <f t="shared" si="285"/>
        <v>111.16</v>
      </c>
      <c r="P654">
        <f t="shared" si="286"/>
        <v>0.40151515151515227</v>
      </c>
      <c r="Q654" t="str">
        <f t="shared" si="290"/>
        <v>4.99% | 2.13%</v>
      </c>
      <c r="R654" t="str">
        <f t="shared" si="287"/>
        <v>BULLISH</v>
      </c>
      <c r="S654">
        <f t="shared" si="291"/>
        <v>1</v>
      </c>
    </row>
    <row r="655" spans="1:19" hidden="1" x14ac:dyDescent="0.25">
      <c r="A655" s="5" t="str">
        <f t="shared" si="288"/>
        <v>43916GBP/USD</v>
      </c>
      <c r="B655" s="6" t="s">
        <v>21</v>
      </c>
      <c r="C655" s="6">
        <v>1.1200000000000001</v>
      </c>
      <c r="D655" s="6">
        <v>1.22</v>
      </c>
      <c r="E655" s="6">
        <v>1.19</v>
      </c>
      <c r="F655" t="str">
        <f t="shared" si="277"/>
        <v>THU</v>
      </c>
      <c r="G655" s="3">
        <f t="shared" si="278"/>
        <v>43916</v>
      </c>
      <c r="H655" s="2">
        <f t="shared" ca="1" si="279"/>
        <v>337</v>
      </c>
      <c r="I655" t="str">
        <f t="shared" si="280"/>
        <v>GBP/USD</v>
      </c>
      <c r="J655">
        <f t="shared" si="281"/>
        <v>1.1200000000000001</v>
      </c>
      <c r="K655">
        <f t="shared" si="282"/>
        <v>1.22</v>
      </c>
      <c r="L655">
        <f t="shared" si="283"/>
        <v>1.17</v>
      </c>
      <c r="M655">
        <f t="shared" si="284"/>
        <v>4.9999999999999933E-2</v>
      </c>
      <c r="N655">
        <f t="shared" si="289"/>
        <v>9.9999999999999867E-2</v>
      </c>
      <c r="O655">
        <f t="shared" si="285"/>
        <v>1.19</v>
      </c>
      <c r="P655">
        <f t="shared" si="286"/>
        <v>0.40000000000000091</v>
      </c>
      <c r="Q655" t="str">
        <f t="shared" si="290"/>
        <v>5.88% | 2.52%</v>
      </c>
      <c r="R655" t="str">
        <f t="shared" si="287"/>
        <v>BEARISH</v>
      </c>
      <c r="S655">
        <f t="shared" si="291"/>
        <v>-1</v>
      </c>
    </row>
    <row r="656" spans="1:19" hidden="1" x14ac:dyDescent="0.25">
      <c r="A656" s="5" t="str">
        <f t="shared" si="288"/>
        <v>43916USD/CHF</v>
      </c>
      <c r="B656" s="6" t="s">
        <v>22</v>
      </c>
      <c r="C656" s="6">
        <v>0.95</v>
      </c>
      <c r="D656" s="6">
        <v>0.99</v>
      </c>
      <c r="E656" s="6">
        <v>0.97</v>
      </c>
      <c r="F656" t="str">
        <f t="shared" si="277"/>
        <v>THU</v>
      </c>
      <c r="G656" s="3">
        <f t="shared" si="278"/>
        <v>43916</v>
      </c>
      <c r="H656" s="2">
        <f t="shared" ca="1" si="279"/>
        <v>337</v>
      </c>
      <c r="I656" t="str">
        <f t="shared" si="280"/>
        <v>USD/CHF</v>
      </c>
      <c r="J656">
        <f t="shared" si="281"/>
        <v>0.95</v>
      </c>
      <c r="K656">
        <f t="shared" si="282"/>
        <v>0.99</v>
      </c>
      <c r="L656">
        <f t="shared" si="283"/>
        <v>0.97</v>
      </c>
      <c r="M656">
        <f t="shared" si="284"/>
        <v>2.0000000000000018E-2</v>
      </c>
      <c r="N656">
        <f t="shared" si="289"/>
        <v>4.0000000000000036E-2</v>
      </c>
      <c r="O656">
        <f t="shared" si="285"/>
        <v>0.97</v>
      </c>
      <c r="P656">
        <f t="shared" si="286"/>
        <v>0</v>
      </c>
      <c r="Q656" t="str">
        <f t="shared" si="290"/>
        <v>2.06% | 2.06%</v>
      </c>
      <c r="R656" t="str">
        <f t="shared" si="287"/>
        <v>NEUTRAL</v>
      </c>
      <c r="S656">
        <f t="shared" si="291"/>
        <v>0</v>
      </c>
    </row>
    <row r="657" spans="1:19" hidden="1" x14ac:dyDescent="0.25">
      <c r="A657" s="5" t="str">
        <f t="shared" si="288"/>
        <v>43916WTIC</v>
      </c>
      <c r="B657" s="6" t="s">
        <v>23</v>
      </c>
      <c r="C657" s="6">
        <v>19.010000000000002</v>
      </c>
      <c r="D657" s="6">
        <v>26.4</v>
      </c>
      <c r="E657" s="6">
        <v>24.49</v>
      </c>
      <c r="F657" t="str">
        <f t="shared" si="277"/>
        <v>THU</v>
      </c>
      <c r="G657" s="3">
        <f t="shared" si="278"/>
        <v>43916</v>
      </c>
      <c r="H657" s="2">
        <f t="shared" ca="1" si="279"/>
        <v>337</v>
      </c>
      <c r="I657" t="str">
        <f t="shared" si="280"/>
        <v>WTIC</v>
      </c>
      <c r="J657">
        <f t="shared" si="281"/>
        <v>19.010000000000002</v>
      </c>
      <c r="K657">
        <f t="shared" si="282"/>
        <v>26.4</v>
      </c>
      <c r="L657">
        <f t="shared" si="283"/>
        <v>22.704999999999998</v>
      </c>
      <c r="M657">
        <f t="shared" si="284"/>
        <v>3.6950000000000096</v>
      </c>
      <c r="N657">
        <f t="shared" si="289"/>
        <v>7.389999999999997</v>
      </c>
      <c r="O657">
        <f t="shared" si="285"/>
        <v>24.49</v>
      </c>
      <c r="P657">
        <f t="shared" si="286"/>
        <v>0.48308525033829375</v>
      </c>
      <c r="Q657" t="str">
        <f t="shared" si="290"/>
        <v>22.38% | 7.8%</v>
      </c>
      <c r="R657" t="str">
        <f t="shared" si="287"/>
        <v>BEARISH</v>
      </c>
      <c r="S657">
        <f t="shared" si="291"/>
        <v>-1</v>
      </c>
    </row>
    <row r="658" spans="1:19" hidden="1" x14ac:dyDescent="0.25">
      <c r="A658" s="5" t="str">
        <f t="shared" si="288"/>
        <v>43916NATGAS</v>
      </c>
      <c r="B658" s="6" t="s">
        <v>24</v>
      </c>
      <c r="C658" s="6">
        <v>1.47</v>
      </c>
      <c r="D658" s="6">
        <v>1.79</v>
      </c>
      <c r="E658" s="6">
        <v>1.71</v>
      </c>
      <c r="F658" t="str">
        <f t="shared" si="277"/>
        <v>THU</v>
      </c>
      <c r="G658" s="3">
        <f t="shared" si="278"/>
        <v>43916</v>
      </c>
      <c r="H658" s="2">
        <f t="shared" ca="1" si="279"/>
        <v>337</v>
      </c>
      <c r="I658" t="str">
        <f t="shared" si="280"/>
        <v>NATGAS</v>
      </c>
      <c r="J658">
        <f t="shared" si="281"/>
        <v>1.47</v>
      </c>
      <c r="K658">
        <f t="shared" si="282"/>
        <v>1.79</v>
      </c>
      <c r="L658">
        <f t="shared" si="283"/>
        <v>1.63</v>
      </c>
      <c r="M658">
        <f t="shared" si="284"/>
        <v>0.16000000000000003</v>
      </c>
      <c r="N658">
        <f t="shared" si="289"/>
        <v>0.32000000000000006</v>
      </c>
      <c r="O658">
        <f t="shared" si="285"/>
        <v>1.71</v>
      </c>
      <c r="P658">
        <f t="shared" si="286"/>
        <v>0.50000000000000033</v>
      </c>
      <c r="Q658" t="str">
        <f t="shared" si="290"/>
        <v>14.04% | 4.68%</v>
      </c>
      <c r="R658" t="str">
        <f t="shared" si="287"/>
        <v>BEARISH</v>
      </c>
      <c r="S658">
        <f t="shared" si="291"/>
        <v>-1</v>
      </c>
    </row>
    <row r="659" spans="1:19" hidden="1" x14ac:dyDescent="0.25">
      <c r="A659" s="5" t="str">
        <f t="shared" si="288"/>
        <v>43916GOLD</v>
      </c>
      <c r="B659" s="6" t="s">
        <v>25</v>
      </c>
      <c r="C659" s="6">
        <v>1540</v>
      </c>
      <c r="D659" s="6">
        <v>1668</v>
      </c>
      <c r="E659" s="6">
        <v>1633</v>
      </c>
      <c r="F659" t="str">
        <f t="shared" si="277"/>
        <v>THU</v>
      </c>
      <c r="G659" s="3">
        <f t="shared" si="278"/>
        <v>43916</v>
      </c>
      <c r="H659" s="2">
        <f t="shared" ca="1" si="279"/>
        <v>337</v>
      </c>
      <c r="I659" t="str">
        <f t="shared" si="280"/>
        <v>GOLD</v>
      </c>
      <c r="J659">
        <f t="shared" si="281"/>
        <v>1540</v>
      </c>
      <c r="K659">
        <f t="shared" si="282"/>
        <v>1668</v>
      </c>
      <c r="L659">
        <f t="shared" si="283"/>
        <v>1604</v>
      </c>
      <c r="M659">
        <f t="shared" si="284"/>
        <v>64</v>
      </c>
      <c r="N659">
        <f t="shared" si="289"/>
        <v>128</v>
      </c>
      <c r="O659">
        <f t="shared" si="285"/>
        <v>1633</v>
      </c>
      <c r="P659">
        <f t="shared" si="286"/>
        <v>0.453125</v>
      </c>
      <c r="Q659" t="str">
        <f t="shared" si="290"/>
        <v>5.7% | 2.14%</v>
      </c>
      <c r="R659" t="str">
        <f t="shared" si="287"/>
        <v>BULLISH</v>
      </c>
      <c r="S659">
        <f t="shared" si="291"/>
        <v>1</v>
      </c>
    </row>
    <row r="660" spans="1:19" hidden="1" x14ac:dyDescent="0.25">
      <c r="A660" s="5" t="str">
        <f t="shared" si="288"/>
        <v>43916COPPER</v>
      </c>
      <c r="B660" s="6" t="s">
        <v>26</v>
      </c>
      <c r="C660" s="6">
        <v>2</v>
      </c>
      <c r="D660" s="6">
        <v>2.2599999999999998</v>
      </c>
      <c r="E660" s="6">
        <v>2.2000000000000002</v>
      </c>
      <c r="F660" t="str">
        <f t="shared" si="277"/>
        <v>THU</v>
      </c>
      <c r="G660" s="3">
        <f t="shared" si="278"/>
        <v>43916</v>
      </c>
      <c r="H660" s="2">
        <f t="shared" ca="1" si="279"/>
        <v>337</v>
      </c>
      <c r="I660" t="str">
        <f t="shared" si="280"/>
        <v>COPPER</v>
      </c>
      <c r="J660">
        <f t="shared" si="281"/>
        <v>2</v>
      </c>
      <c r="K660">
        <f t="shared" si="282"/>
        <v>2.2599999999999998</v>
      </c>
      <c r="L660">
        <f t="shared" si="283"/>
        <v>2.13</v>
      </c>
      <c r="M660">
        <f t="shared" si="284"/>
        <v>0.12999999999999989</v>
      </c>
      <c r="N660">
        <f t="shared" si="289"/>
        <v>0.25999999999999979</v>
      </c>
      <c r="O660">
        <f t="shared" si="285"/>
        <v>2.2000000000000002</v>
      </c>
      <c r="P660">
        <f t="shared" si="286"/>
        <v>0.5384615384615411</v>
      </c>
      <c r="Q660" t="str">
        <f t="shared" si="290"/>
        <v>9.09% | 2.73%</v>
      </c>
      <c r="R660" t="str">
        <f t="shared" si="287"/>
        <v>BEARISH</v>
      </c>
      <c r="S660">
        <f t="shared" si="291"/>
        <v>-1</v>
      </c>
    </row>
    <row r="661" spans="1:19" hidden="1" x14ac:dyDescent="0.25">
      <c r="A661" s="5" t="str">
        <f t="shared" si="288"/>
        <v>43916AAPL</v>
      </c>
      <c r="B661" s="6" t="s">
        <v>68</v>
      </c>
      <c r="C661" s="6">
        <v>216.13</v>
      </c>
      <c r="D661" s="6">
        <v>258.33</v>
      </c>
      <c r="E661" s="6">
        <v>245.52</v>
      </c>
      <c r="F661" t="str">
        <f t="shared" si="277"/>
        <v>THU</v>
      </c>
      <c r="G661" s="3">
        <f t="shared" si="278"/>
        <v>43916</v>
      </c>
      <c r="H661" s="2">
        <f t="shared" ca="1" si="279"/>
        <v>337</v>
      </c>
      <c r="I661" t="str">
        <f t="shared" si="280"/>
        <v>AAPL</v>
      </c>
      <c r="J661">
        <f t="shared" si="281"/>
        <v>216.13</v>
      </c>
      <c r="K661">
        <f t="shared" si="282"/>
        <v>258.33</v>
      </c>
      <c r="L661">
        <f t="shared" si="283"/>
        <v>237.23</v>
      </c>
      <c r="M661">
        <f t="shared" si="284"/>
        <v>21.099999999999994</v>
      </c>
      <c r="N661">
        <f t="shared" si="289"/>
        <v>42.199999999999989</v>
      </c>
      <c r="O661">
        <f t="shared" si="285"/>
        <v>245.52</v>
      </c>
      <c r="P661">
        <f t="shared" si="286"/>
        <v>0.39289099526066457</v>
      </c>
      <c r="Q661" t="str">
        <f t="shared" si="290"/>
        <v>11.97% | 5.22%</v>
      </c>
      <c r="R661" t="str">
        <f t="shared" si="287"/>
        <v>BEARISH</v>
      </c>
      <c r="S661">
        <f t="shared" si="291"/>
        <v>-1</v>
      </c>
    </row>
    <row r="662" spans="1:19" hidden="1" x14ac:dyDescent="0.25">
      <c r="A662" s="5" t="str">
        <f t="shared" si="288"/>
        <v>43916AMZN</v>
      </c>
      <c r="B662" s="6" t="s">
        <v>69</v>
      </c>
      <c r="C662" s="6">
        <v>1815</v>
      </c>
      <c r="D662" s="6">
        <v>1956</v>
      </c>
      <c r="E662" s="6">
        <v>1885</v>
      </c>
      <c r="F662" t="str">
        <f t="shared" si="277"/>
        <v>THU</v>
      </c>
      <c r="G662" s="3">
        <f t="shared" si="278"/>
        <v>43916</v>
      </c>
      <c r="H662" s="2">
        <f t="shared" ca="1" si="279"/>
        <v>337</v>
      </c>
      <c r="I662" t="str">
        <f t="shared" si="280"/>
        <v>AMZN</v>
      </c>
      <c r="J662">
        <f t="shared" si="281"/>
        <v>1815</v>
      </c>
      <c r="K662">
        <f t="shared" si="282"/>
        <v>1956</v>
      </c>
      <c r="L662">
        <f t="shared" si="283"/>
        <v>1885.5</v>
      </c>
      <c r="M662">
        <f t="shared" si="284"/>
        <v>70.5</v>
      </c>
      <c r="N662">
        <f t="shared" si="289"/>
        <v>141</v>
      </c>
      <c r="O662">
        <f t="shared" si="285"/>
        <v>1885</v>
      </c>
      <c r="P662">
        <f t="shared" si="286"/>
        <v>-7.0921985815602835E-3</v>
      </c>
      <c r="Q662" t="str">
        <f t="shared" si="290"/>
        <v>3.71% | 3.77%</v>
      </c>
      <c r="R662" t="str">
        <f t="shared" si="287"/>
        <v>NEUTRAL</v>
      </c>
      <c r="S662">
        <f t="shared" si="291"/>
        <v>0</v>
      </c>
    </row>
    <row r="663" spans="1:19" hidden="1" x14ac:dyDescent="0.25">
      <c r="A663" s="5" t="str">
        <f t="shared" si="288"/>
        <v>43916FB</v>
      </c>
      <c r="B663" s="6" t="s">
        <v>58</v>
      </c>
      <c r="C663" s="6">
        <v>141</v>
      </c>
      <c r="D663" s="6">
        <v>165</v>
      </c>
      <c r="E663" s="6">
        <v>156</v>
      </c>
      <c r="F663" t="str">
        <f t="shared" si="277"/>
        <v>THU</v>
      </c>
      <c r="G663" s="3">
        <f t="shared" si="278"/>
        <v>43916</v>
      </c>
      <c r="H663" s="2">
        <f t="shared" ca="1" si="279"/>
        <v>337</v>
      </c>
      <c r="I663" t="str">
        <f t="shared" si="280"/>
        <v>FB</v>
      </c>
      <c r="J663">
        <f t="shared" si="281"/>
        <v>141</v>
      </c>
      <c r="K663">
        <f t="shared" si="282"/>
        <v>165</v>
      </c>
      <c r="L663">
        <f t="shared" si="283"/>
        <v>153</v>
      </c>
      <c r="M663">
        <f t="shared" si="284"/>
        <v>12</v>
      </c>
      <c r="N663">
        <f t="shared" si="289"/>
        <v>24</v>
      </c>
      <c r="O663">
        <f t="shared" si="285"/>
        <v>156</v>
      </c>
      <c r="P663">
        <f t="shared" si="286"/>
        <v>0.25</v>
      </c>
      <c r="Q663" t="str">
        <f t="shared" si="290"/>
        <v>9.62% | 5.77%</v>
      </c>
      <c r="R663" t="str">
        <f t="shared" si="287"/>
        <v>BEARISH</v>
      </c>
      <c r="S663">
        <f t="shared" si="291"/>
        <v>-1</v>
      </c>
    </row>
    <row r="664" spans="1:19" hidden="1" x14ac:dyDescent="0.25">
      <c r="A664" s="5" t="str">
        <f t="shared" si="288"/>
        <v>43916GOOGL</v>
      </c>
      <c r="B664" s="6" t="s">
        <v>66</v>
      </c>
      <c r="C664" s="6">
        <v>1022</v>
      </c>
      <c r="D664" s="6">
        <v>1157</v>
      </c>
      <c r="E664" s="6">
        <v>1101</v>
      </c>
      <c r="F664" t="str">
        <f t="shared" si="277"/>
        <v>THU</v>
      </c>
      <c r="G664" s="3">
        <f t="shared" si="278"/>
        <v>43916</v>
      </c>
      <c r="H664" s="2">
        <f t="shared" ca="1" si="279"/>
        <v>337</v>
      </c>
      <c r="I664" t="str">
        <f t="shared" si="280"/>
        <v>GOOGL</v>
      </c>
      <c r="J664">
        <f t="shared" si="281"/>
        <v>1022</v>
      </c>
      <c r="K664">
        <f t="shared" si="282"/>
        <v>1157</v>
      </c>
      <c r="L664">
        <f t="shared" si="283"/>
        <v>1089.5</v>
      </c>
      <c r="M664">
        <f t="shared" si="284"/>
        <v>67.5</v>
      </c>
      <c r="N664">
        <f t="shared" si="289"/>
        <v>135</v>
      </c>
      <c r="O664">
        <f t="shared" si="285"/>
        <v>1101</v>
      </c>
      <c r="P664">
        <f t="shared" si="286"/>
        <v>0.17037037037037037</v>
      </c>
      <c r="Q664" t="str">
        <f t="shared" si="290"/>
        <v>7.18% | 5.09%</v>
      </c>
      <c r="R664" t="str">
        <f t="shared" si="287"/>
        <v>BEARISH</v>
      </c>
      <c r="S664">
        <f t="shared" si="291"/>
        <v>-1</v>
      </c>
    </row>
    <row r="665" spans="1:19" hidden="1" x14ac:dyDescent="0.25">
      <c r="A665" s="5" t="str">
        <f t="shared" si="288"/>
        <v>43916NFLX</v>
      </c>
      <c r="B665" s="6" t="s">
        <v>81</v>
      </c>
      <c r="C665" s="6">
        <v>325</v>
      </c>
      <c r="D665" s="6">
        <v>369</v>
      </c>
      <c r="E665" s="6">
        <v>342</v>
      </c>
      <c r="F665" t="str">
        <f t="shared" si="277"/>
        <v>THU</v>
      </c>
      <c r="G665" s="3">
        <f t="shared" si="278"/>
        <v>43916</v>
      </c>
      <c r="H665" s="2">
        <f t="shared" ca="1" si="279"/>
        <v>337</v>
      </c>
      <c r="I665" t="str">
        <f t="shared" si="280"/>
        <v>NFLX</v>
      </c>
      <c r="J665">
        <f t="shared" si="281"/>
        <v>325</v>
      </c>
      <c r="K665">
        <f t="shared" si="282"/>
        <v>369</v>
      </c>
      <c r="L665">
        <f t="shared" si="283"/>
        <v>347</v>
      </c>
      <c r="M665">
        <f t="shared" si="284"/>
        <v>22</v>
      </c>
      <c r="N665">
        <f t="shared" si="289"/>
        <v>44</v>
      </c>
      <c r="O665">
        <f t="shared" si="285"/>
        <v>342</v>
      </c>
      <c r="P665">
        <f t="shared" si="286"/>
        <v>-0.22727272727272727</v>
      </c>
      <c r="Q665" t="str">
        <f t="shared" si="290"/>
        <v>4.97% | 7.89%</v>
      </c>
      <c r="R665" t="str">
        <f t="shared" si="287"/>
        <v>BEARISH</v>
      </c>
      <c r="S665">
        <f t="shared" si="291"/>
        <v>-1</v>
      </c>
    </row>
    <row r="666" spans="1:19" x14ac:dyDescent="0.25">
      <c r="A666" s="5" t="str">
        <f t="shared" si="288"/>
        <v>43916TSLA</v>
      </c>
      <c r="B666" s="6" t="s">
        <v>83</v>
      </c>
      <c r="C666" s="6">
        <v>405</v>
      </c>
      <c r="D666" s="6">
        <v>581</v>
      </c>
      <c r="E666" s="6">
        <v>539</v>
      </c>
      <c r="F666" t="str">
        <f t="shared" si="277"/>
        <v>THU</v>
      </c>
      <c r="G666" s="3">
        <f t="shared" si="278"/>
        <v>43916</v>
      </c>
      <c r="H666" s="2">
        <f t="shared" ca="1" si="279"/>
        <v>337</v>
      </c>
      <c r="I666" t="str">
        <f t="shared" si="280"/>
        <v>TSLA</v>
      </c>
      <c r="J666">
        <f t="shared" si="281"/>
        <v>405</v>
      </c>
      <c r="K666">
        <f t="shared" si="282"/>
        <v>581</v>
      </c>
      <c r="L666">
        <f t="shared" si="283"/>
        <v>493</v>
      </c>
      <c r="M666">
        <f t="shared" si="284"/>
        <v>88</v>
      </c>
      <c r="N666">
        <f t="shared" si="289"/>
        <v>176</v>
      </c>
      <c r="O666">
        <f t="shared" si="285"/>
        <v>539</v>
      </c>
      <c r="P666">
        <f t="shared" si="286"/>
        <v>0.52272727272727271</v>
      </c>
      <c r="Q666" t="str">
        <f t="shared" si="290"/>
        <v>24.86% | 7.79%</v>
      </c>
      <c r="R666" t="str">
        <f t="shared" si="287"/>
        <v>BEARISH</v>
      </c>
      <c r="S666">
        <f t="shared" si="291"/>
        <v>-1</v>
      </c>
    </row>
    <row r="667" spans="1:19" hidden="1" x14ac:dyDescent="0.25">
      <c r="A667" s="5" t="str">
        <f t="shared" si="288"/>
        <v>43916NYXBT</v>
      </c>
      <c r="B667" s="6" t="s">
        <v>84</v>
      </c>
      <c r="C667" s="6">
        <v>4509</v>
      </c>
      <c r="D667" s="6">
        <v>7579</v>
      </c>
      <c r="E667" s="6">
        <v>6630</v>
      </c>
      <c r="F667" t="str">
        <f t="shared" si="277"/>
        <v>THU</v>
      </c>
      <c r="G667" s="3">
        <f t="shared" si="278"/>
        <v>43916</v>
      </c>
      <c r="H667" s="2">
        <f t="shared" ca="1" si="279"/>
        <v>337</v>
      </c>
      <c r="I667" t="str">
        <f t="shared" si="280"/>
        <v>NYXBT</v>
      </c>
      <c r="J667">
        <f t="shared" si="281"/>
        <v>4509</v>
      </c>
      <c r="K667">
        <f t="shared" si="282"/>
        <v>7579</v>
      </c>
      <c r="L667">
        <f t="shared" si="283"/>
        <v>6044</v>
      </c>
      <c r="M667">
        <f t="shared" si="284"/>
        <v>1535</v>
      </c>
      <c r="N667">
        <f t="shared" si="289"/>
        <v>3070</v>
      </c>
      <c r="O667">
        <f t="shared" si="285"/>
        <v>6630</v>
      </c>
      <c r="P667">
        <f t="shared" si="286"/>
        <v>0.38175895765472312</v>
      </c>
      <c r="Q667" t="str">
        <f t="shared" si="290"/>
        <v>31.99% | 14.31%</v>
      </c>
      <c r="R667" t="str">
        <f t="shared" si="287"/>
        <v>BEARISH</v>
      </c>
      <c r="S667">
        <f t="shared" si="291"/>
        <v>-1</v>
      </c>
    </row>
    <row r="668" spans="1:19" hidden="1" x14ac:dyDescent="0.25">
      <c r="A668" s="5" t="str">
        <f t="shared" si="288"/>
        <v>43917UST10Y</v>
      </c>
      <c r="B668" s="6" t="s">
        <v>4</v>
      </c>
      <c r="C668" s="6">
        <v>1.05</v>
      </c>
      <c r="D668" s="6">
        <v>0.62</v>
      </c>
      <c r="E668" s="6">
        <v>0.83</v>
      </c>
      <c r="F668" t="str">
        <f t="shared" si="277"/>
        <v>FRI</v>
      </c>
      <c r="G668" s="1">
        <f>DATE(2020,3,27)</f>
        <v>43917</v>
      </c>
      <c r="H668" s="2">
        <f t="shared" ca="1" si="279"/>
        <v>336</v>
      </c>
      <c r="I668" t="str">
        <f t="shared" si="280"/>
        <v>UST10Y</v>
      </c>
      <c r="J668">
        <f t="shared" si="281"/>
        <v>1.05</v>
      </c>
      <c r="K668">
        <f t="shared" si="282"/>
        <v>0.62</v>
      </c>
      <c r="L668">
        <f t="shared" si="283"/>
        <v>0.83499999999999996</v>
      </c>
      <c r="M668">
        <f t="shared" si="284"/>
        <v>0.21500000000000016</v>
      </c>
      <c r="N668">
        <f t="shared" si="289"/>
        <v>0.43000000000000005</v>
      </c>
      <c r="O668">
        <f t="shared" si="285"/>
        <v>0.83</v>
      </c>
      <c r="P668">
        <f t="shared" si="286"/>
        <v>-2.3255813953488375E-2</v>
      </c>
      <c r="Q668" t="str">
        <f t="shared" si="290"/>
        <v>26.51% | 25.3%</v>
      </c>
      <c r="R668" t="str">
        <f t="shared" si="287"/>
        <v>BEARISH</v>
      </c>
      <c r="S668">
        <f t="shared" si="291"/>
        <v>-1</v>
      </c>
    </row>
    <row r="669" spans="1:19" hidden="1" x14ac:dyDescent="0.25">
      <c r="A669" s="5" t="str">
        <f t="shared" si="288"/>
        <v>43917UST2Y</v>
      </c>
      <c r="B669" s="6" t="s">
        <v>5</v>
      </c>
      <c r="C669" s="6">
        <v>0.55000000000000004</v>
      </c>
      <c r="D669" s="6">
        <v>0.22</v>
      </c>
      <c r="E669" s="6">
        <v>0.3</v>
      </c>
      <c r="F669" t="str">
        <f t="shared" ref="F669:F697" si="292">UPPER(TEXT(G669,"ddd"))</f>
        <v>FRI</v>
      </c>
      <c r="G669" s="1">
        <f t="shared" ref="G669:G696" si="293">DATE(2020,3,27)</f>
        <v>43917</v>
      </c>
      <c r="H669" s="2">
        <f t="shared" ref="H669:H697" ca="1" si="294">TODAY()-G669</f>
        <v>336</v>
      </c>
      <c r="I669" t="str">
        <f t="shared" ref="I669:I697" si="295">TRIM(LEFT(B669,FIND(" ",B669,1)))</f>
        <v>UST2Y</v>
      </c>
      <c r="J669">
        <f t="shared" ref="J669:J697" si="296">C669</f>
        <v>0.55000000000000004</v>
      </c>
      <c r="K669">
        <f t="shared" ref="K669:K697" si="297">D669</f>
        <v>0.22</v>
      </c>
      <c r="L669">
        <f t="shared" ref="L669:L697" si="298">AVERAGE(J669:K669)</f>
        <v>0.38500000000000001</v>
      </c>
      <c r="M669">
        <f t="shared" ref="M669:M697" si="299">_xlfn.STDEV.P(J669:K669)</f>
        <v>0.16500000000000009</v>
      </c>
      <c r="N669">
        <f t="shared" si="289"/>
        <v>0.33000000000000007</v>
      </c>
      <c r="O669">
        <f t="shared" ref="O669:O697" si="300">E669</f>
        <v>0.3</v>
      </c>
      <c r="P669">
        <f t="shared" ref="P669:P697" si="301">(O669-L669)/M669</f>
        <v>-0.51515151515151503</v>
      </c>
      <c r="Q669" t="str">
        <f t="shared" si="290"/>
        <v>83.33% | 26.67%</v>
      </c>
      <c r="R669" t="str">
        <f t="shared" ref="R669:R697" si="302">MID(B669,FIND("(",B669,1)+1,FIND(")",B669,1)-FIND("(",B669,1)-1)</f>
        <v>BEARISH</v>
      </c>
      <c r="S669">
        <f t="shared" si="291"/>
        <v>-1</v>
      </c>
    </row>
    <row r="670" spans="1:19" hidden="1" x14ac:dyDescent="0.25">
      <c r="A670" s="5" t="str">
        <f t="shared" si="288"/>
        <v>43917SPX</v>
      </c>
      <c r="B670" s="6" t="s">
        <v>6</v>
      </c>
      <c r="C670" s="6">
        <v>2201</v>
      </c>
      <c r="D670" s="6">
        <v>2663</v>
      </c>
      <c r="E670" s="6">
        <v>2630</v>
      </c>
      <c r="F670" t="str">
        <f t="shared" si="292"/>
        <v>FRI</v>
      </c>
      <c r="G670" s="1">
        <f t="shared" si="293"/>
        <v>43917</v>
      </c>
      <c r="H670" s="2">
        <f t="shared" ca="1" si="294"/>
        <v>336</v>
      </c>
      <c r="I670" t="str">
        <f t="shared" si="295"/>
        <v>SPX</v>
      </c>
      <c r="J670">
        <f t="shared" si="296"/>
        <v>2201</v>
      </c>
      <c r="K670">
        <f t="shared" si="297"/>
        <v>2663</v>
      </c>
      <c r="L670">
        <f t="shared" si="298"/>
        <v>2432</v>
      </c>
      <c r="M670">
        <f t="shared" si="299"/>
        <v>231</v>
      </c>
      <c r="N670">
        <f t="shared" si="289"/>
        <v>462</v>
      </c>
      <c r="O670">
        <f t="shared" si="300"/>
        <v>2630</v>
      </c>
      <c r="P670">
        <f t="shared" si="301"/>
        <v>0.8571428571428571</v>
      </c>
      <c r="Q670" t="str">
        <f t="shared" si="290"/>
        <v>16.31% | 1.25%</v>
      </c>
      <c r="R670" t="str">
        <f t="shared" si="302"/>
        <v>BEARISH</v>
      </c>
      <c r="S670">
        <f t="shared" si="291"/>
        <v>-1</v>
      </c>
    </row>
    <row r="671" spans="1:19" hidden="1" x14ac:dyDescent="0.25">
      <c r="A671" s="5" t="str">
        <f t="shared" si="288"/>
        <v>43917RUT</v>
      </c>
      <c r="B671" s="6" t="s">
        <v>7</v>
      </c>
      <c r="C671" s="6">
        <v>980</v>
      </c>
      <c r="D671" s="6">
        <v>1199</v>
      </c>
      <c r="E671" s="6">
        <v>1180</v>
      </c>
      <c r="F671" t="str">
        <f t="shared" si="292"/>
        <v>FRI</v>
      </c>
      <c r="G671" s="1">
        <f t="shared" si="293"/>
        <v>43917</v>
      </c>
      <c r="H671" s="2">
        <f t="shared" ca="1" si="294"/>
        <v>336</v>
      </c>
      <c r="I671" t="str">
        <f t="shared" si="295"/>
        <v>RUT</v>
      </c>
      <c r="J671">
        <f t="shared" si="296"/>
        <v>980</v>
      </c>
      <c r="K671">
        <f t="shared" si="297"/>
        <v>1199</v>
      </c>
      <c r="L671">
        <f t="shared" si="298"/>
        <v>1089.5</v>
      </c>
      <c r="M671">
        <f t="shared" si="299"/>
        <v>109.5</v>
      </c>
      <c r="N671">
        <f t="shared" si="289"/>
        <v>219</v>
      </c>
      <c r="O671">
        <f t="shared" si="300"/>
        <v>1180</v>
      </c>
      <c r="P671">
        <f t="shared" si="301"/>
        <v>0.82648401826484019</v>
      </c>
      <c r="Q671" t="str">
        <f t="shared" si="290"/>
        <v>16.95% | 1.61%</v>
      </c>
      <c r="R671" t="str">
        <f t="shared" si="302"/>
        <v>BEARISH</v>
      </c>
      <c r="S671">
        <f t="shared" si="291"/>
        <v>-1</v>
      </c>
    </row>
    <row r="672" spans="1:19" hidden="1" x14ac:dyDescent="0.25">
      <c r="A672" s="5" t="str">
        <f t="shared" si="288"/>
        <v>43917COMPQ</v>
      </c>
      <c r="B672" s="6" t="s">
        <v>64</v>
      </c>
      <c r="C672" s="6">
        <v>6571</v>
      </c>
      <c r="D672" s="6">
        <v>7997</v>
      </c>
      <c r="E672" s="6">
        <v>7797</v>
      </c>
      <c r="F672" t="str">
        <f t="shared" si="292"/>
        <v>FRI</v>
      </c>
      <c r="G672" s="1">
        <f t="shared" si="293"/>
        <v>43917</v>
      </c>
      <c r="H672" s="2">
        <f t="shared" ca="1" si="294"/>
        <v>336</v>
      </c>
      <c r="I672" t="str">
        <f t="shared" si="295"/>
        <v>COMPQ</v>
      </c>
      <c r="J672">
        <f t="shared" si="296"/>
        <v>6571</v>
      </c>
      <c r="K672">
        <f t="shared" si="297"/>
        <v>7997</v>
      </c>
      <c r="L672">
        <f t="shared" si="298"/>
        <v>7284</v>
      </c>
      <c r="M672">
        <f t="shared" si="299"/>
        <v>713</v>
      </c>
      <c r="N672">
        <f t="shared" si="289"/>
        <v>1426</v>
      </c>
      <c r="O672">
        <f t="shared" si="300"/>
        <v>7797</v>
      </c>
      <c r="P672">
        <f t="shared" si="301"/>
        <v>0.71949509116409538</v>
      </c>
      <c r="Q672" t="str">
        <f t="shared" si="290"/>
        <v>15.72% | 2.57%</v>
      </c>
      <c r="R672" t="str">
        <f t="shared" si="302"/>
        <v>BEARISH</v>
      </c>
      <c r="S672">
        <f t="shared" si="291"/>
        <v>-1</v>
      </c>
    </row>
    <row r="673" spans="1:19" hidden="1" x14ac:dyDescent="0.25">
      <c r="A673" s="5" t="str">
        <f t="shared" si="288"/>
        <v>43917XLU</v>
      </c>
      <c r="B673" s="6" t="s">
        <v>82</v>
      </c>
      <c r="C673" s="6">
        <v>44</v>
      </c>
      <c r="D673" s="6">
        <v>58.76</v>
      </c>
      <c r="E673" s="6">
        <v>55.38</v>
      </c>
      <c r="F673" t="str">
        <f t="shared" si="292"/>
        <v>FRI</v>
      </c>
      <c r="G673" s="1">
        <f t="shared" si="293"/>
        <v>43917</v>
      </c>
      <c r="H673" s="2">
        <f t="shared" ca="1" si="294"/>
        <v>336</v>
      </c>
      <c r="I673" t="str">
        <f t="shared" si="295"/>
        <v>XLU</v>
      </c>
      <c r="J673">
        <f t="shared" si="296"/>
        <v>44</v>
      </c>
      <c r="K673">
        <f t="shared" si="297"/>
        <v>58.76</v>
      </c>
      <c r="L673">
        <f t="shared" si="298"/>
        <v>51.379999999999995</v>
      </c>
      <c r="M673">
        <f t="shared" si="299"/>
        <v>7.3800000000000505</v>
      </c>
      <c r="N673">
        <f t="shared" si="289"/>
        <v>14.759999999999998</v>
      </c>
      <c r="O673">
        <f t="shared" si="300"/>
        <v>55.38</v>
      </c>
      <c r="P673">
        <f t="shared" si="301"/>
        <v>0.54200542005419783</v>
      </c>
      <c r="Q673" t="str">
        <f t="shared" si="290"/>
        <v>20.55% | 6.1%</v>
      </c>
      <c r="R673" t="str">
        <f t="shared" si="302"/>
        <v>BEARISH</v>
      </c>
      <c r="S673">
        <f t="shared" si="291"/>
        <v>-1</v>
      </c>
    </row>
    <row r="674" spans="1:19" hidden="1" x14ac:dyDescent="0.25">
      <c r="A674" s="5" t="str">
        <f t="shared" si="288"/>
        <v>43917VNQ</v>
      </c>
      <c r="B674" s="6" t="s">
        <v>67</v>
      </c>
      <c r="C674" s="6">
        <v>55.62</v>
      </c>
      <c r="D674" s="6">
        <v>71.92</v>
      </c>
      <c r="E674" s="6">
        <v>69.98</v>
      </c>
      <c r="F674" t="str">
        <f t="shared" si="292"/>
        <v>FRI</v>
      </c>
      <c r="G674" s="1">
        <f t="shared" si="293"/>
        <v>43917</v>
      </c>
      <c r="H674" s="2">
        <f t="shared" ca="1" si="294"/>
        <v>336</v>
      </c>
      <c r="I674" t="str">
        <f t="shared" si="295"/>
        <v>VNQ</v>
      </c>
      <c r="J674">
        <f t="shared" si="296"/>
        <v>55.62</v>
      </c>
      <c r="K674">
        <f t="shared" si="297"/>
        <v>71.92</v>
      </c>
      <c r="L674">
        <f t="shared" si="298"/>
        <v>63.769999999999996</v>
      </c>
      <c r="M674">
        <f t="shared" si="299"/>
        <v>8.1500000000000643</v>
      </c>
      <c r="N674">
        <f t="shared" si="289"/>
        <v>16.300000000000004</v>
      </c>
      <c r="O674">
        <f t="shared" si="300"/>
        <v>69.98</v>
      </c>
      <c r="P674">
        <f t="shared" si="301"/>
        <v>0.76196319018404401</v>
      </c>
      <c r="Q674" t="str">
        <f t="shared" si="290"/>
        <v>20.52% | 2.77%</v>
      </c>
      <c r="R674" t="str">
        <f t="shared" si="302"/>
        <v>BEARISH</v>
      </c>
      <c r="S674">
        <f t="shared" si="291"/>
        <v>-1</v>
      </c>
    </row>
    <row r="675" spans="1:19" hidden="1" x14ac:dyDescent="0.25">
      <c r="A675" s="5" t="str">
        <f t="shared" si="288"/>
        <v>43917XLP</v>
      </c>
      <c r="B675" s="6" t="s">
        <v>11</v>
      </c>
      <c r="C675" s="6">
        <v>47.68</v>
      </c>
      <c r="D675" s="6">
        <v>56.51</v>
      </c>
      <c r="E675" s="6">
        <v>53.76</v>
      </c>
      <c r="F675" t="str">
        <f t="shared" si="292"/>
        <v>FRI</v>
      </c>
      <c r="G675" s="1">
        <f t="shared" si="293"/>
        <v>43917</v>
      </c>
      <c r="H675" s="2">
        <f t="shared" ca="1" si="294"/>
        <v>336</v>
      </c>
      <c r="I675" t="str">
        <f t="shared" si="295"/>
        <v>XLP</v>
      </c>
      <c r="J675">
        <f t="shared" si="296"/>
        <v>47.68</v>
      </c>
      <c r="K675">
        <f t="shared" si="297"/>
        <v>56.51</v>
      </c>
      <c r="L675">
        <f t="shared" si="298"/>
        <v>52.094999999999999</v>
      </c>
      <c r="M675">
        <f t="shared" si="299"/>
        <v>4.4149999999999991</v>
      </c>
      <c r="N675">
        <f t="shared" si="289"/>
        <v>8.8299999999999983</v>
      </c>
      <c r="O675">
        <f t="shared" si="300"/>
        <v>53.76</v>
      </c>
      <c r="P675">
        <f t="shared" si="301"/>
        <v>0.37712344280860688</v>
      </c>
      <c r="Q675" t="str">
        <f t="shared" si="290"/>
        <v>11.31% | 5.12%</v>
      </c>
      <c r="R675" t="str">
        <f t="shared" si="302"/>
        <v>BEARISH</v>
      </c>
      <c r="S675">
        <f t="shared" si="291"/>
        <v>-1</v>
      </c>
    </row>
    <row r="676" spans="1:19" hidden="1" x14ac:dyDescent="0.25">
      <c r="A676" s="5" t="str">
        <f t="shared" si="288"/>
        <v>43917XLK</v>
      </c>
      <c r="B676" s="6" t="s">
        <v>65</v>
      </c>
      <c r="C676" s="6">
        <v>67.91</v>
      </c>
      <c r="D676" s="6">
        <v>83.22</v>
      </c>
      <c r="E676" s="6">
        <v>82.31</v>
      </c>
      <c r="F676" t="str">
        <f t="shared" si="292"/>
        <v>FRI</v>
      </c>
      <c r="G676" s="1">
        <f t="shared" si="293"/>
        <v>43917</v>
      </c>
      <c r="H676" s="2">
        <f t="shared" ca="1" si="294"/>
        <v>336</v>
      </c>
      <c r="I676" t="str">
        <f t="shared" si="295"/>
        <v>XLK</v>
      </c>
      <c r="J676">
        <f t="shared" si="296"/>
        <v>67.91</v>
      </c>
      <c r="K676">
        <f t="shared" si="297"/>
        <v>83.22</v>
      </c>
      <c r="L676">
        <f t="shared" si="298"/>
        <v>75.564999999999998</v>
      </c>
      <c r="M676">
        <f t="shared" si="299"/>
        <v>7.6550000000000287</v>
      </c>
      <c r="N676">
        <f t="shared" si="289"/>
        <v>15.310000000000002</v>
      </c>
      <c r="O676">
        <f t="shared" si="300"/>
        <v>82.31</v>
      </c>
      <c r="P676">
        <f t="shared" si="301"/>
        <v>0.88112344872631998</v>
      </c>
      <c r="Q676" t="str">
        <f t="shared" si="290"/>
        <v>17.49% | 1.11%</v>
      </c>
      <c r="R676" t="str">
        <f t="shared" si="302"/>
        <v>BEARISH</v>
      </c>
      <c r="S676">
        <f t="shared" si="291"/>
        <v>-1</v>
      </c>
    </row>
    <row r="677" spans="1:19" hidden="1" x14ac:dyDescent="0.25">
      <c r="A677" s="5" t="str">
        <f t="shared" si="288"/>
        <v>43917SSEC</v>
      </c>
      <c r="B677" s="6" t="s">
        <v>14</v>
      </c>
      <c r="C677" s="6">
        <v>2640</v>
      </c>
      <c r="D677" s="6">
        <v>2858</v>
      </c>
      <c r="E677" s="6">
        <v>2772</v>
      </c>
      <c r="F677" t="str">
        <f t="shared" si="292"/>
        <v>FRI</v>
      </c>
      <c r="G677" s="1">
        <f t="shared" si="293"/>
        <v>43917</v>
      </c>
      <c r="H677" s="2">
        <f t="shared" ca="1" si="294"/>
        <v>336</v>
      </c>
      <c r="I677" t="str">
        <f t="shared" si="295"/>
        <v>SSEC</v>
      </c>
      <c r="J677">
        <f t="shared" si="296"/>
        <v>2640</v>
      </c>
      <c r="K677">
        <f t="shared" si="297"/>
        <v>2858</v>
      </c>
      <c r="L677">
        <f t="shared" si="298"/>
        <v>2749</v>
      </c>
      <c r="M677">
        <f t="shared" si="299"/>
        <v>109</v>
      </c>
      <c r="N677">
        <f t="shared" si="289"/>
        <v>218</v>
      </c>
      <c r="O677">
        <f t="shared" si="300"/>
        <v>2772</v>
      </c>
      <c r="P677">
        <f t="shared" si="301"/>
        <v>0.21100917431192662</v>
      </c>
      <c r="Q677" t="str">
        <f t="shared" si="290"/>
        <v>4.76% | 3.1%</v>
      </c>
      <c r="R677" t="str">
        <f t="shared" si="302"/>
        <v>BEARISH</v>
      </c>
      <c r="S677">
        <f t="shared" si="291"/>
        <v>-1</v>
      </c>
    </row>
    <row r="678" spans="1:19" hidden="1" x14ac:dyDescent="0.25">
      <c r="A678" s="5" t="str">
        <f t="shared" si="288"/>
        <v>43917NIKK</v>
      </c>
      <c r="B678" s="6" t="s">
        <v>15</v>
      </c>
      <c r="C678" s="6">
        <v>15602</v>
      </c>
      <c r="D678" s="6">
        <v>19730</v>
      </c>
      <c r="E678" s="6">
        <v>19389</v>
      </c>
      <c r="F678" t="str">
        <f t="shared" si="292"/>
        <v>FRI</v>
      </c>
      <c r="G678" s="1">
        <f t="shared" si="293"/>
        <v>43917</v>
      </c>
      <c r="H678" s="2">
        <f t="shared" ca="1" si="294"/>
        <v>336</v>
      </c>
      <c r="I678" t="str">
        <f t="shared" si="295"/>
        <v>NIKK</v>
      </c>
      <c r="J678">
        <f t="shared" si="296"/>
        <v>15602</v>
      </c>
      <c r="K678">
        <f t="shared" si="297"/>
        <v>19730</v>
      </c>
      <c r="L678">
        <f t="shared" si="298"/>
        <v>17666</v>
      </c>
      <c r="M678">
        <f t="shared" si="299"/>
        <v>2064</v>
      </c>
      <c r="N678">
        <f t="shared" si="289"/>
        <v>4128</v>
      </c>
      <c r="O678">
        <f t="shared" si="300"/>
        <v>19389</v>
      </c>
      <c r="P678">
        <f t="shared" si="301"/>
        <v>0.8347868217054264</v>
      </c>
      <c r="Q678" t="str">
        <f t="shared" si="290"/>
        <v>19.53% | 1.76%</v>
      </c>
      <c r="R678" t="str">
        <f t="shared" si="302"/>
        <v>BEARISH</v>
      </c>
      <c r="S678">
        <f t="shared" si="291"/>
        <v>-1</v>
      </c>
    </row>
    <row r="679" spans="1:19" hidden="1" x14ac:dyDescent="0.25">
      <c r="A679" s="5" t="str">
        <f t="shared" si="288"/>
        <v>43917DAX</v>
      </c>
      <c r="B679" s="6" t="s">
        <v>16</v>
      </c>
      <c r="C679" s="6">
        <v>7950</v>
      </c>
      <c r="D679" s="6">
        <v>10240</v>
      </c>
      <c r="E679" s="6">
        <v>10000</v>
      </c>
      <c r="F679" t="str">
        <f t="shared" si="292"/>
        <v>FRI</v>
      </c>
      <c r="G679" s="1">
        <f t="shared" si="293"/>
        <v>43917</v>
      </c>
      <c r="H679" s="2">
        <f t="shared" ca="1" si="294"/>
        <v>336</v>
      </c>
      <c r="I679" t="str">
        <f t="shared" si="295"/>
        <v>DAX</v>
      </c>
      <c r="J679">
        <f t="shared" si="296"/>
        <v>7950</v>
      </c>
      <c r="K679">
        <f t="shared" si="297"/>
        <v>10240</v>
      </c>
      <c r="L679">
        <f t="shared" si="298"/>
        <v>9095</v>
      </c>
      <c r="M679">
        <f t="shared" si="299"/>
        <v>1145</v>
      </c>
      <c r="N679">
        <f t="shared" si="289"/>
        <v>2290</v>
      </c>
      <c r="O679">
        <f t="shared" si="300"/>
        <v>10000</v>
      </c>
      <c r="P679">
        <f t="shared" si="301"/>
        <v>0.79039301310043664</v>
      </c>
      <c r="Q679" t="str">
        <f t="shared" si="290"/>
        <v>20.5% | 2.4%</v>
      </c>
      <c r="R679" t="str">
        <f t="shared" si="302"/>
        <v>BEARISH</v>
      </c>
      <c r="S679">
        <f t="shared" si="291"/>
        <v>-1</v>
      </c>
    </row>
    <row r="680" spans="1:19" hidden="1" x14ac:dyDescent="0.25">
      <c r="A680" s="5" t="str">
        <f t="shared" si="288"/>
        <v>43917VIX</v>
      </c>
      <c r="B680" s="6" t="s">
        <v>17</v>
      </c>
      <c r="C680" s="6">
        <v>50.28</v>
      </c>
      <c r="D680" s="6">
        <v>85.04</v>
      </c>
      <c r="E680" s="6">
        <v>61</v>
      </c>
      <c r="F680" t="str">
        <f t="shared" si="292"/>
        <v>FRI</v>
      </c>
      <c r="G680" s="1">
        <f t="shared" si="293"/>
        <v>43917</v>
      </c>
      <c r="H680" s="2">
        <f t="shared" ca="1" si="294"/>
        <v>336</v>
      </c>
      <c r="I680" t="str">
        <f t="shared" si="295"/>
        <v>VIX</v>
      </c>
      <c r="J680">
        <f t="shared" si="296"/>
        <v>50.28</v>
      </c>
      <c r="K680">
        <f t="shared" si="297"/>
        <v>85.04</v>
      </c>
      <c r="L680">
        <f t="shared" si="298"/>
        <v>67.66</v>
      </c>
      <c r="M680">
        <f t="shared" si="299"/>
        <v>17.380000000000031</v>
      </c>
      <c r="N680">
        <f t="shared" si="289"/>
        <v>34.760000000000005</v>
      </c>
      <c r="O680">
        <f t="shared" si="300"/>
        <v>61</v>
      </c>
      <c r="P680">
        <f t="shared" si="301"/>
        <v>-0.38319907940161019</v>
      </c>
      <c r="Q680" t="str">
        <f t="shared" si="290"/>
        <v>17.57% | 39.41%</v>
      </c>
      <c r="R680" t="str">
        <f t="shared" si="302"/>
        <v>BULLISH</v>
      </c>
      <c r="S680">
        <f t="shared" si="291"/>
        <v>1</v>
      </c>
    </row>
    <row r="681" spans="1:19" hidden="1" x14ac:dyDescent="0.25">
      <c r="A681" s="5" t="str">
        <f t="shared" si="288"/>
        <v>43917USD</v>
      </c>
      <c r="B681" s="6" t="s">
        <v>18</v>
      </c>
      <c r="C681" s="6">
        <v>97.75</v>
      </c>
      <c r="D681" s="6">
        <v>105.17</v>
      </c>
      <c r="E681" s="6">
        <v>99.45</v>
      </c>
      <c r="F681" t="str">
        <f t="shared" si="292"/>
        <v>FRI</v>
      </c>
      <c r="G681" s="1">
        <f t="shared" si="293"/>
        <v>43917</v>
      </c>
      <c r="H681" s="2">
        <f t="shared" ca="1" si="294"/>
        <v>336</v>
      </c>
      <c r="I681" t="str">
        <f t="shared" si="295"/>
        <v>USD</v>
      </c>
      <c r="J681">
        <f t="shared" si="296"/>
        <v>97.75</v>
      </c>
      <c r="K681">
        <f t="shared" si="297"/>
        <v>105.17</v>
      </c>
      <c r="L681">
        <f t="shared" si="298"/>
        <v>101.46000000000001</v>
      </c>
      <c r="M681">
        <f t="shared" si="299"/>
        <v>3.7100000000000009</v>
      </c>
      <c r="N681">
        <f t="shared" si="289"/>
        <v>7.4200000000000017</v>
      </c>
      <c r="O681">
        <f t="shared" si="300"/>
        <v>99.45</v>
      </c>
      <c r="P681">
        <f t="shared" si="301"/>
        <v>-0.54177897574124112</v>
      </c>
      <c r="Q681" t="str">
        <f t="shared" si="290"/>
        <v>1.71% | 5.75%</v>
      </c>
      <c r="R681" t="str">
        <f t="shared" si="302"/>
        <v>BULLISH</v>
      </c>
      <c r="S681">
        <f t="shared" si="291"/>
        <v>1</v>
      </c>
    </row>
    <row r="682" spans="1:19" hidden="1" x14ac:dyDescent="0.25">
      <c r="A682" s="5" t="str">
        <f t="shared" si="288"/>
        <v>43917EUR/USD</v>
      </c>
      <c r="B682" s="6" t="s">
        <v>19</v>
      </c>
      <c r="C682" s="6">
        <v>1.05</v>
      </c>
      <c r="D682" s="6">
        <v>1.1100000000000001</v>
      </c>
      <c r="E682" s="6">
        <v>1.1000000000000001</v>
      </c>
      <c r="F682" t="str">
        <f t="shared" si="292"/>
        <v>FRI</v>
      </c>
      <c r="G682" s="1">
        <f t="shared" si="293"/>
        <v>43917</v>
      </c>
      <c r="H682" s="2">
        <f t="shared" ca="1" si="294"/>
        <v>336</v>
      </c>
      <c r="I682" t="str">
        <f t="shared" si="295"/>
        <v>EUR/USD</v>
      </c>
      <c r="J682">
        <f t="shared" si="296"/>
        <v>1.05</v>
      </c>
      <c r="K682">
        <f t="shared" si="297"/>
        <v>1.1100000000000001</v>
      </c>
      <c r="L682">
        <f t="shared" si="298"/>
        <v>1.08</v>
      </c>
      <c r="M682">
        <f t="shared" si="299"/>
        <v>3.0000000000000027E-2</v>
      </c>
      <c r="N682">
        <f t="shared" si="289"/>
        <v>6.0000000000000053E-2</v>
      </c>
      <c r="O682">
        <f t="shared" si="300"/>
        <v>1.1000000000000001</v>
      </c>
      <c r="P682">
        <f t="shared" si="301"/>
        <v>0.66666666666666663</v>
      </c>
      <c r="Q682" t="str">
        <f t="shared" si="290"/>
        <v>4.55% | 0.91%</v>
      </c>
      <c r="R682" t="str">
        <f t="shared" si="302"/>
        <v>BEARISH</v>
      </c>
      <c r="S682">
        <f t="shared" si="291"/>
        <v>-1</v>
      </c>
    </row>
    <row r="683" spans="1:19" hidden="1" x14ac:dyDescent="0.25">
      <c r="A683" s="5" t="str">
        <f t="shared" si="288"/>
        <v>43917USD/JPY</v>
      </c>
      <c r="B683" s="6" t="s">
        <v>56</v>
      </c>
      <c r="C683" s="6">
        <v>105.6</v>
      </c>
      <c r="D683" s="6">
        <v>113.53</v>
      </c>
      <c r="E683" s="6">
        <v>109.44</v>
      </c>
      <c r="F683" t="str">
        <f t="shared" si="292"/>
        <v>FRI</v>
      </c>
      <c r="G683" s="1">
        <f t="shared" si="293"/>
        <v>43917</v>
      </c>
      <c r="H683" s="2">
        <f t="shared" ca="1" si="294"/>
        <v>336</v>
      </c>
      <c r="I683" t="str">
        <f t="shared" si="295"/>
        <v>USD/JPY</v>
      </c>
      <c r="J683">
        <f t="shared" si="296"/>
        <v>105.6</v>
      </c>
      <c r="K683">
        <f t="shared" si="297"/>
        <v>113.53</v>
      </c>
      <c r="L683">
        <f t="shared" si="298"/>
        <v>109.565</v>
      </c>
      <c r="M683">
        <f t="shared" si="299"/>
        <v>3.9650000000000034</v>
      </c>
      <c r="N683">
        <f t="shared" si="289"/>
        <v>7.9300000000000068</v>
      </c>
      <c r="O683">
        <f t="shared" si="300"/>
        <v>109.44</v>
      </c>
      <c r="P683">
        <f t="shared" si="301"/>
        <v>-3.1525851197982319E-2</v>
      </c>
      <c r="Q683" t="str">
        <f t="shared" si="290"/>
        <v>3.51% | 3.74%</v>
      </c>
      <c r="R683" t="str">
        <f t="shared" si="302"/>
        <v>BULLISH</v>
      </c>
      <c r="S683">
        <f t="shared" si="291"/>
        <v>1</v>
      </c>
    </row>
    <row r="684" spans="1:19" hidden="1" x14ac:dyDescent="0.25">
      <c r="A684" s="5" t="str">
        <f t="shared" si="288"/>
        <v>43917GBP/USD</v>
      </c>
      <c r="B684" s="6" t="s">
        <v>21</v>
      </c>
      <c r="C684" s="6">
        <v>1.1200000000000001</v>
      </c>
      <c r="D684" s="6">
        <v>1.22</v>
      </c>
      <c r="E684" s="6">
        <v>1.22</v>
      </c>
      <c r="F684" t="str">
        <f t="shared" si="292"/>
        <v>FRI</v>
      </c>
      <c r="G684" s="1">
        <f t="shared" si="293"/>
        <v>43917</v>
      </c>
      <c r="H684" s="2">
        <f t="shared" ca="1" si="294"/>
        <v>336</v>
      </c>
      <c r="I684" t="str">
        <f t="shared" si="295"/>
        <v>GBP/USD</v>
      </c>
      <c r="J684">
        <f t="shared" si="296"/>
        <v>1.1200000000000001</v>
      </c>
      <c r="K684">
        <f t="shared" si="297"/>
        <v>1.22</v>
      </c>
      <c r="L684">
        <f t="shared" si="298"/>
        <v>1.17</v>
      </c>
      <c r="M684">
        <f t="shared" si="299"/>
        <v>4.9999999999999933E-2</v>
      </c>
      <c r="N684">
        <f t="shared" si="289"/>
        <v>9.9999999999999867E-2</v>
      </c>
      <c r="O684">
        <f t="shared" si="300"/>
        <v>1.22</v>
      </c>
      <c r="P684">
        <f t="shared" si="301"/>
        <v>1.0000000000000022</v>
      </c>
      <c r="Q684" t="str">
        <f t="shared" si="290"/>
        <v>8.2% | 0%</v>
      </c>
      <c r="R684" t="str">
        <f t="shared" si="302"/>
        <v>BEARISH</v>
      </c>
      <c r="S684">
        <f t="shared" si="291"/>
        <v>-1</v>
      </c>
    </row>
    <row r="685" spans="1:19" hidden="1" x14ac:dyDescent="0.25">
      <c r="A685" s="5" t="str">
        <f t="shared" si="288"/>
        <v>43917USD/CHF</v>
      </c>
      <c r="B685" s="6" t="s">
        <v>22</v>
      </c>
      <c r="C685" s="6">
        <v>0.95</v>
      </c>
      <c r="D685" s="6">
        <v>0.99</v>
      </c>
      <c r="E685" s="6">
        <v>0.96</v>
      </c>
      <c r="F685" t="str">
        <f t="shared" si="292"/>
        <v>FRI</v>
      </c>
      <c r="G685" s="1">
        <f t="shared" si="293"/>
        <v>43917</v>
      </c>
      <c r="H685" s="2">
        <f t="shared" ca="1" si="294"/>
        <v>336</v>
      </c>
      <c r="I685" t="str">
        <f t="shared" si="295"/>
        <v>USD/CHF</v>
      </c>
      <c r="J685">
        <f t="shared" si="296"/>
        <v>0.95</v>
      </c>
      <c r="K685">
        <f t="shared" si="297"/>
        <v>0.99</v>
      </c>
      <c r="L685">
        <f t="shared" si="298"/>
        <v>0.97</v>
      </c>
      <c r="M685">
        <f t="shared" si="299"/>
        <v>2.0000000000000018E-2</v>
      </c>
      <c r="N685">
        <f t="shared" si="289"/>
        <v>4.0000000000000036E-2</v>
      </c>
      <c r="O685">
        <f t="shared" si="300"/>
        <v>0.96</v>
      </c>
      <c r="P685">
        <f t="shared" si="301"/>
        <v>-0.5</v>
      </c>
      <c r="Q685" t="str">
        <f t="shared" si="290"/>
        <v>1.04% | 3.13%</v>
      </c>
      <c r="R685" t="str">
        <f t="shared" si="302"/>
        <v>NEUTRAL</v>
      </c>
      <c r="S685">
        <f t="shared" si="291"/>
        <v>0</v>
      </c>
    </row>
    <row r="686" spans="1:19" hidden="1" x14ac:dyDescent="0.25">
      <c r="A686" s="5" t="str">
        <f t="shared" si="288"/>
        <v>43917WTIC</v>
      </c>
      <c r="B686" s="6" t="s">
        <v>23</v>
      </c>
      <c r="C686" s="6">
        <v>19.59</v>
      </c>
      <c r="D686" s="6">
        <v>25.39</v>
      </c>
      <c r="E686" s="6">
        <v>22.6</v>
      </c>
      <c r="F686" t="str">
        <f t="shared" si="292"/>
        <v>FRI</v>
      </c>
      <c r="G686" s="1">
        <f t="shared" si="293"/>
        <v>43917</v>
      </c>
      <c r="H686" s="2">
        <f t="shared" ca="1" si="294"/>
        <v>336</v>
      </c>
      <c r="I686" t="str">
        <f t="shared" si="295"/>
        <v>WTIC</v>
      </c>
      <c r="J686">
        <f t="shared" si="296"/>
        <v>19.59</v>
      </c>
      <c r="K686">
        <f t="shared" si="297"/>
        <v>25.39</v>
      </c>
      <c r="L686">
        <f t="shared" si="298"/>
        <v>22.490000000000002</v>
      </c>
      <c r="M686">
        <f t="shared" si="299"/>
        <v>2.8999999999999848</v>
      </c>
      <c r="N686">
        <f t="shared" si="289"/>
        <v>5.8000000000000007</v>
      </c>
      <c r="O686">
        <f t="shared" si="300"/>
        <v>22.6</v>
      </c>
      <c r="P686">
        <f t="shared" si="301"/>
        <v>3.793103448275862E-2</v>
      </c>
      <c r="Q686" t="str">
        <f t="shared" si="290"/>
        <v>13.32% | 12.35%</v>
      </c>
      <c r="R686" t="str">
        <f t="shared" si="302"/>
        <v>BEARISH</v>
      </c>
      <c r="S686">
        <f t="shared" si="291"/>
        <v>-1</v>
      </c>
    </row>
    <row r="687" spans="1:19" hidden="1" x14ac:dyDescent="0.25">
      <c r="A687" s="5" t="str">
        <f t="shared" si="288"/>
        <v>43917NATGAS</v>
      </c>
      <c r="B687" s="6" t="s">
        <v>24</v>
      </c>
      <c r="C687" s="6">
        <v>1.45</v>
      </c>
      <c r="D687" s="6">
        <v>1.79</v>
      </c>
      <c r="E687" s="6">
        <v>1.69</v>
      </c>
      <c r="F687" t="str">
        <f t="shared" si="292"/>
        <v>FRI</v>
      </c>
      <c r="G687" s="1">
        <f t="shared" si="293"/>
        <v>43917</v>
      </c>
      <c r="H687" s="2">
        <f t="shared" ca="1" si="294"/>
        <v>336</v>
      </c>
      <c r="I687" t="str">
        <f t="shared" si="295"/>
        <v>NATGAS</v>
      </c>
      <c r="J687">
        <f t="shared" si="296"/>
        <v>1.45</v>
      </c>
      <c r="K687">
        <f t="shared" si="297"/>
        <v>1.79</v>
      </c>
      <c r="L687">
        <f t="shared" si="298"/>
        <v>1.62</v>
      </c>
      <c r="M687">
        <f t="shared" si="299"/>
        <v>0.16999999999999782</v>
      </c>
      <c r="N687">
        <f t="shared" si="289"/>
        <v>0.34000000000000008</v>
      </c>
      <c r="O687">
        <f t="shared" si="300"/>
        <v>1.69</v>
      </c>
      <c r="P687">
        <f t="shared" si="301"/>
        <v>0.41176470588235731</v>
      </c>
      <c r="Q687" t="str">
        <f t="shared" si="290"/>
        <v>14.2% | 5.92%</v>
      </c>
      <c r="R687" t="str">
        <f t="shared" si="302"/>
        <v>BEARISH</v>
      </c>
      <c r="S687">
        <f t="shared" si="291"/>
        <v>-1</v>
      </c>
    </row>
    <row r="688" spans="1:19" hidden="1" x14ac:dyDescent="0.25">
      <c r="A688" s="5" t="str">
        <f t="shared" si="288"/>
        <v>43917GOLD</v>
      </c>
      <c r="B688" s="6" t="s">
        <v>25</v>
      </c>
      <c r="C688" s="6">
        <v>1551</v>
      </c>
      <c r="D688" s="6">
        <v>1689</v>
      </c>
      <c r="E688" s="6">
        <v>1651</v>
      </c>
      <c r="F688" t="str">
        <f t="shared" si="292"/>
        <v>FRI</v>
      </c>
      <c r="G688" s="1">
        <f t="shared" si="293"/>
        <v>43917</v>
      </c>
      <c r="H688" s="2">
        <f t="shared" ca="1" si="294"/>
        <v>336</v>
      </c>
      <c r="I688" t="str">
        <f t="shared" si="295"/>
        <v>GOLD</v>
      </c>
      <c r="J688">
        <f t="shared" si="296"/>
        <v>1551</v>
      </c>
      <c r="K688">
        <f t="shared" si="297"/>
        <v>1689</v>
      </c>
      <c r="L688">
        <f t="shared" si="298"/>
        <v>1620</v>
      </c>
      <c r="M688">
        <f t="shared" si="299"/>
        <v>69</v>
      </c>
      <c r="N688">
        <f t="shared" si="289"/>
        <v>138</v>
      </c>
      <c r="O688">
        <f t="shared" si="300"/>
        <v>1651</v>
      </c>
      <c r="P688">
        <f t="shared" si="301"/>
        <v>0.44927536231884058</v>
      </c>
      <c r="Q688" t="str">
        <f t="shared" si="290"/>
        <v>6.06% | 2.3%</v>
      </c>
      <c r="R688" t="str">
        <f t="shared" si="302"/>
        <v>BULLISH</v>
      </c>
      <c r="S688">
        <f t="shared" si="291"/>
        <v>1</v>
      </c>
    </row>
    <row r="689" spans="1:19" hidden="1" x14ac:dyDescent="0.25">
      <c r="A689" s="5" t="str">
        <f t="shared" si="288"/>
        <v>43917COPPER</v>
      </c>
      <c r="B689" s="6" t="s">
        <v>26</v>
      </c>
      <c r="C689" s="6">
        <v>2.0099999999999998</v>
      </c>
      <c r="D689" s="6">
        <v>2.27</v>
      </c>
      <c r="E689" s="6">
        <v>2.1800000000000002</v>
      </c>
      <c r="F689" t="str">
        <f t="shared" si="292"/>
        <v>FRI</v>
      </c>
      <c r="G689" s="1">
        <f t="shared" si="293"/>
        <v>43917</v>
      </c>
      <c r="H689" s="2">
        <f t="shared" ca="1" si="294"/>
        <v>336</v>
      </c>
      <c r="I689" t="str">
        <f t="shared" si="295"/>
        <v>COPPER</v>
      </c>
      <c r="J689">
        <f t="shared" si="296"/>
        <v>2.0099999999999998</v>
      </c>
      <c r="K689">
        <f t="shared" si="297"/>
        <v>2.27</v>
      </c>
      <c r="L689">
        <f t="shared" si="298"/>
        <v>2.1399999999999997</v>
      </c>
      <c r="M689">
        <f t="shared" si="299"/>
        <v>0.13000000000000012</v>
      </c>
      <c r="N689">
        <f t="shared" si="289"/>
        <v>0.26000000000000023</v>
      </c>
      <c r="O689">
        <f t="shared" si="300"/>
        <v>2.1800000000000002</v>
      </c>
      <c r="P689">
        <f t="shared" si="301"/>
        <v>0.3076923076923111</v>
      </c>
      <c r="Q689" t="str">
        <f t="shared" si="290"/>
        <v>7.8% | 4.13%</v>
      </c>
      <c r="R689" t="str">
        <f t="shared" si="302"/>
        <v>BEARISH</v>
      </c>
      <c r="S689">
        <f t="shared" si="291"/>
        <v>-1</v>
      </c>
    </row>
    <row r="690" spans="1:19" hidden="1" x14ac:dyDescent="0.25">
      <c r="A690" s="5" t="str">
        <f t="shared" si="288"/>
        <v>43917AAPL</v>
      </c>
      <c r="B690" s="6" t="s">
        <v>68</v>
      </c>
      <c r="C690" s="6">
        <v>220.34</v>
      </c>
      <c r="D690" s="6">
        <v>265.44</v>
      </c>
      <c r="E690" s="6">
        <v>258.44</v>
      </c>
      <c r="F690" t="str">
        <f t="shared" si="292"/>
        <v>FRI</v>
      </c>
      <c r="G690" s="1">
        <f t="shared" si="293"/>
        <v>43917</v>
      </c>
      <c r="H690" s="2">
        <f t="shared" ca="1" si="294"/>
        <v>336</v>
      </c>
      <c r="I690" t="str">
        <f t="shared" si="295"/>
        <v>AAPL</v>
      </c>
      <c r="J690">
        <f t="shared" si="296"/>
        <v>220.34</v>
      </c>
      <c r="K690">
        <f t="shared" si="297"/>
        <v>265.44</v>
      </c>
      <c r="L690">
        <f t="shared" si="298"/>
        <v>242.89</v>
      </c>
      <c r="M690">
        <f t="shared" si="299"/>
        <v>22.549999999999997</v>
      </c>
      <c r="N690">
        <f t="shared" si="289"/>
        <v>45.099999999999994</v>
      </c>
      <c r="O690">
        <f t="shared" si="300"/>
        <v>258.44</v>
      </c>
      <c r="P690">
        <f t="shared" si="301"/>
        <v>0.68957871396895842</v>
      </c>
      <c r="Q690" t="str">
        <f t="shared" si="290"/>
        <v>14.74% | 2.71%</v>
      </c>
      <c r="R690" t="str">
        <f t="shared" si="302"/>
        <v>BEARISH</v>
      </c>
      <c r="S690">
        <f t="shared" si="291"/>
        <v>-1</v>
      </c>
    </row>
    <row r="691" spans="1:19" hidden="1" x14ac:dyDescent="0.25">
      <c r="A691" s="5" t="str">
        <f t="shared" si="288"/>
        <v>43917AMZN</v>
      </c>
      <c r="B691" s="6" t="s">
        <v>69</v>
      </c>
      <c r="C691" s="6">
        <v>1829</v>
      </c>
      <c r="D691" s="6">
        <v>2021</v>
      </c>
      <c r="E691" s="6">
        <v>1955</v>
      </c>
      <c r="F691" t="str">
        <f t="shared" si="292"/>
        <v>FRI</v>
      </c>
      <c r="G691" s="1">
        <f t="shared" si="293"/>
        <v>43917</v>
      </c>
      <c r="H691" s="2">
        <f t="shared" ca="1" si="294"/>
        <v>336</v>
      </c>
      <c r="I691" t="str">
        <f t="shared" si="295"/>
        <v>AMZN</v>
      </c>
      <c r="J691">
        <f t="shared" si="296"/>
        <v>1829</v>
      </c>
      <c r="K691">
        <f t="shared" si="297"/>
        <v>2021</v>
      </c>
      <c r="L691">
        <f t="shared" si="298"/>
        <v>1925</v>
      </c>
      <c r="M691">
        <f t="shared" si="299"/>
        <v>96</v>
      </c>
      <c r="N691">
        <f t="shared" si="289"/>
        <v>192</v>
      </c>
      <c r="O691">
        <f t="shared" si="300"/>
        <v>1955</v>
      </c>
      <c r="P691">
        <f t="shared" si="301"/>
        <v>0.3125</v>
      </c>
      <c r="Q691" t="str">
        <f t="shared" si="290"/>
        <v>6.45% | 3.38%</v>
      </c>
      <c r="R691" t="str">
        <f t="shared" si="302"/>
        <v>NEUTRAL</v>
      </c>
      <c r="S691">
        <f t="shared" si="291"/>
        <v>0</v>
      </c>
    </row>
    <row r="692" spans="1:19" hidden="1" x14ac:dyDescent="0.25">
      <c r="A692" s="5" t="str">
        <f t="shared" si="288"/>
        <v>43917FB</v>
      </c>
      <c r="B692" s="6" t="s">
        <v>58</v>
      </c>
      <c r="C692" s="6">
        <v>140</v>
      </c>
      <c r="D692" s="6">
        <v>165</v>
      </c>
      <c r="E692" s="6">
        <v>163</v>
      </c>
      <c r="F692" t="str">
        <f t="shared" si="292"/>
        <v>FRI</v>
      </c>
      <c r="G692" s="1">
        <f t="shared" si="293"/>
        <v>43917</v>
      </c>
      <c r="H692" s="2">
        <f t="shared" ca="1" si="294"/>
        <v>336</v>
      </c>
      <c r="I692" t="str">
        <f t="shared" si="295"/>
        <v>FB</v>
      </c>
      <c r="J692">
        <f t="shared" si="296"/>
        <v>140</v>
      </c>
      <c r="K692">
        <f t="shared" si="297"/>
        <v>165</v>
      </c>
      <c r="L692">
        <f t="shared" si="298"/>
        <v>152.5</v>
      </c>
      <c r="M692">
        <f t="shared" si="299"/>
        <v>12.5</v>
      </c>
      <c r="N692">
        <f t="shared" si="289"/>
        <v>25</v>
      </c>
      <c r="O692">
        <f t="shared" si="300"/>
        <v>163</v>
      </c>
      <c r="P692">
        <f t="shared" si="301"/>
        <v>0.84</v>
      </c>
      <c r="Q692" t="str">
        <f t="shared" si="290"/>
        <v>14.11% | 1.23%</v>
      </c>
      <c r="R692" t="str">
        <f t="shared" si="302"/>
        <v>BEARISH</v>
      </c>
      <c r="S692">
        <f t="shared" si="291"/>
        <v>-1</v>
      </c>
    </row>
    <row r="693" spans="1:19" hidden="1" x14ac:dyDescent="0.25">
      <c r="A693" s="5" t="str">
        <f t="shared" si="288"/>
        <v>43917GOOGL</v>
      </c>
      <c r="B693" s="6" t="s">
        <v>66</v>
      </c>
      <c r="C693" s="6">
        <v>1027</v>
      </c>
      <c r="D693" s="6">
        <v>1175</v>
      </c>
      <c r="E693" s="6">
        <v>1162</v>
      </c>
      <c r="F693" t="str">
        <f t="shared" si="292"/>
        <v>FRI</v>
      </c>
      <c r="G693" s="1">
        <f t="shared" si="293"/>
        <v>43917</v>
      </c>
      <c r="H693" s="2">
        <f t="shared" ca="1" si="294"/>
        <v>336</v>
      </c>
      <c r="I693" t="str">
        <f t="shared" si="295"/>
        <v>GOOGL</v>
      </c>
      <c r="J693">
        <f t="shared" si="296"/>
        <v>1027</v>
      </c>
      <c r="K693">
        <f t="shared" si="297"/>
        <v>1175</v>
      </c>
      <c r="L693">
        <f t="shared" si="298"/>
        <v>1101</v>
      </c>
      <c r="M693">
        <f t="shared" si="299"/>
        <v>74</v>
      </c>
      <c r="N693">
        <f t="shared" si="289"/>
        <v>148</v>
      </c>
      <c r="O693">
        <f t="shared" si="300"/>
        <v>1162</v>
      </c>
      <c r="P693">
        <f t="shared" si="301"/>
        <v>0.82432432432432434</v>
      </c>
      <c r="Q693" t="str">
        <f t="shared" si="290"/>
        <v>11.62% | 1.12%</v>
      </c>
      <c r="R693" t="str">
        <f t="shared" si="302"/>
        <v>BEARISH</v>
      </c>
      <c r="S693">
        <f t="shared" si="291"/>
        <v>-1</v>
      </c>
    </row>
    <row r="694" spans="1:19" hidden="1" x14ac:dyDescent="0.25">
      <c r="A694" s="5" t="str">
        <f t="shared" si="288"/>
        <v>43917NFLX</v>
      </c>
      <c r="B694" s="6" t="s">
        <v>81</v>
      </c>
      <c r="C694" s="6">
        <v>325</v>
      </c>
      <c r="D694" s="6">
        <v>378</v>
      </c>
      <c r="E694" s="6">
        <v>362</v>
      </c>
      <c r="F694" t="str">
        <f t="shared" si="292"/>
        <v>FRI</v>
      </c>
      <c r="G694" s="1">
        <f t="shared" si="293"/>
        <v>43917</v>
      </c>
      <c r="H694" s="2">
        <f t="shared" ca="1" si="294"/>
        <v>336</v>
      </c>
      <c r="I694" t="str">
        <f t="shared" si="295"/>
        <v>NFLX</v>
      </c>
      <c r="J694">
        <f t="shared" si="296"/>
        <v>325</v>
      </c>
      <c r="K694">
        <f t="shared" si="297"/>
        <v>378</v>
      </c>
      <c r="L694">
        <f t="shared" si="298"/>
        <v>351.5</v>
      </c>
      <c r="M694">
        <f t="shared" si="299"/>
        <v>26.5</v>
      </c>
      <c r="N694">
        <f t="shared" si="289"/>
        <v>53</v>
      </c>
      <c r="O694">
        <f t="shared" si="300"/>
        <v>362</v>
      </c>
      <c r="P694">
        <f t="shared" si="301"/>
        <v>0.39622641509433965</v>
      </c>
      <c r="Q694" t="str">
        <f t="shared" si="290"/>
        <v>10.22% | 4.42%</v>
      </c>
      <c r="R694" t="str">
        <f t="shared" si="302"/>
        <v>BEARISH</v>
      </c>
      <c r="S694">
        <f t="shared" si="291"/>
        <v>-1</v>
      </c>
    </row>
    <row r="695" spans="1:19" x14ac:dyDescent="0.25">
      <c r="A695" s="5" t="str">
        <f t="shared" si="288"/>
        <v>43917TSLA</v>
      </c>
      <c r="B695" s="6" t="s">
        <v>83</v>
      </c>
      <c r="C695" s="6">
        <v>367</v>
      </c>
      <c r="D695" s="6">
        <v>579</v>
      </c>
      <c r="E695" s="6">
        <v>528</v>
      </c>
      <c r="F695" t="str">
        <f t="shared" si="292"/>
        <v>FRI</v>
      </c>
      <c r="G695" s="1">
        <f t="shared" si="293"/>
        <v>43917</v>
      </c>
      <c r="H695" s="2">
        <f t="shared" ca="1" si="294"/>
        <v>336</v>
      </c>
      <c r="I695" t="str">
        <f t="shared" si="295"/>
        <v>TSLA</v>
      </c>
      <c r="J695">
        <f t="shared" si="296"/>
        <v>367</v>
      </c>
      <c r="K695">
        <f t="shared" si="297"/>
        <v>579</v>
      </c>
      <c r="L695">
        <f t="shared" si="298"/>
        <v>473</v>
      </c>
      <c r="M695">
        <f t="shared" si="299"/>
        <v>106</v>
      </c>
      <c r="N695">
        <f t="shared" si="289"/>
        <v>212</v>
      </c>
      <c r="O695">
        <f t="shared" si="300"/>
        <v>528</v>
      </c>
      <c r="P695">
        <f t="shared" si="301"/>
        <v>0.51886792452830188</v>
      </c>
      <c r="Q695" t="str">
        <f t="shared" si="290"/>
        <v>30.49% | 9.66%</v>
      </c>
      <c r="R695" t="str">
        <f t="shared" si="302"/>
        <v>BEARISH</v>
      </c>
      <c r="S695">
        <f t="shared" si="291"/>
        <v>-1</v>
      </c>
    </row>
    <row r="696" spans="1:19" hidden="1" x14ac:dyDescent="0.25">
      <c r="A696" s="5" t="str">
        <f t="shared" si="288"/>
        <v>43917NYXBT</v>
      </c>
      <c r="B696" s="6" t="s">
        <v>84</v>
      </c>
      <c r="C696" s="6">
        <v>4635</v>
      </c>
      <c r="D696" s="6">
        <v>7246</v>
      </c>
      <c r="E696" s="6">
        <v>6620</v>
      </c>
      <c r="F696" t="str">
        <f t="shared" si="292"/>
        <v>FRI</v>
      </c>
      <c r="G696" s="1">
        <f t="shared" si="293"/>
        <v>43917</v>
      </c>
      <c r="H696" s="2">
        <f t="shared" ca="1" si="294"/>
        <v>336</v>
      </c>
      <c r="I696" t="str">
        <f t="shared" si="295"/>
        <v>NYXBT</v>
      </c>
      <c r="J696">
        <f t="shared" si="296"/>
        <v>4635</v>
      </c>
      <c r="K696">
        <f t="shared" si="297"/>
        <v>7246</v>
      </c>
      <c r="L696">
        <f t="shared" si="298"/>
        <v>5940.5</v>
      </c>
      <c r="M696">
        <f t="shared" si="299"/>
        <v>1305.5</v>
      </c>
      <c r="N696">
        <f t="shared" si="289"/>
        <v>2611</v>
      </c>
      <c r="O696">
        <f t="shared" si="300"/>
        <v>6620</v>
      </c>
      <c r="P696">
        <f t="shared" si="301"/>
        <v>0.52049023362696289</v>
      </c>
      <c r="Q696" t="str">
        <f t="shared" si="290"/>
        <v>29.98% | 9.46%</v>
      </c>
      <c r="R696" t="str">
        <f t="shared" si="302"/>
        <v>BEARISH</v>
      </c>
      <c r="S696">
        <f t="shared" si="291"/>
        <v>-1</v>
      </c>
    </row>
    <row r="697" spans="1:19" hidden="1" x14ac:dyDescent="0.25">
      <c r="A697" s="5" t="str">
        <f t="shared" si="288"/>
        <v>43920UST10Y</v>
      </c>
      <c r="B697" s="6" t="s">
        <v>4</v>
      </c>
      <c r="C697" s="6">
        <v>1.02</v>
      </c>
      <c r="D697" s="6">
        <v>0.6</v>
      </c>
      <c r="E697" s="6">
        <v>0.72</v>
      </c>
      <c r="F697" t="str">
        <f t="shared" si="292"/>
        <v>MON</v>
      </c>
      <c r="G697" s="3">
        <f>DATE(2020,3,30)</f>
        <v>43920</v>
      </c>
      <c r="H697" s="2">
        <f t="shared" ca="1" si="294"/>
        <v>333</v>
      </c>
      <c r="I697" t="str">
        <f t="shared" si="295"/>
        <v>UST10Y</v>
      </c>
      <c r="J697">
        <f t="shared" si="296"/>
        <v>1.02</v>
      </c>
      <c r="K697">
        <f t="shared" si="297"/>
        <v>0.6</v>
      </c>
      <c r="L697">
        <f t="shared" si="298"/>
        <v>0.81</v>
      </c>
      <c r="M697">
        <f t="shared" si="299"/>
        <v>0.20999999999999955</v>
      </c>
      <c r="N697">
        <f t="shared" si="289"/>
        <v>0.42000000000000004</v>
      </c>
      <c r="O697">
        <f t="shared" si="300"/>
        <v>0.72</v>
      </c>
      <c r="P697">
        <f t="shared" si="301"/>
        <v>-0.42857142857142988</v>
      </c>
      <c r="Q697" t="str">
        <f t="shared" si="290"/>
        <v>41.67% | 16.67%</v>
      </c>
      <c r="R697" t="str">
        <f t="shared" si="302"/>
        <v>BEARISH</v>
      </c>
      <c r="S697">
        <f t="shared" si="291"/>
        <v>-1</v>
      </c>
    </row>
    <row r="698" spans="1:19" hidden="1" x14ac:dyDescent="0.25">
      <c r="A698" s="5" t="str">
        <f t="shared" si="288"/>
        <v>43920UST2Y</v>
      </c>
      <c r="B698" s="6" t="s">
        <v>5</v>
      </c>
      <c r="C698" s="6">
        <v>0.47</v>
      </c>
      <c r="D698" s="6">
        <v>0.2</v>
      </c>
      <c r="E698" s="6">
        <v>0.25</v>
      </c>
      <c r="F698" t="str">
        <f t="shared" ref="F698:F726" si="303">UPPER(TEXT(G698,"ddd"))</f>
        <v>MON</v>
      </c>
      <c r="G698" s="3">
        <f t="shared" ref="G698:G725" si="304">DATE(2020,3,30)</f>
        <v>43920</v>
      </c>
      <c r="H698" s="2">
        <f t="shared" ref="H698:H726" ca="1" si="305">TODAY()-G698</f>
        <v>333</v>
      </c>
      <c r="I698" t="str">
        <f t="shared" ref="I698:I726" si="306">TRIM(LEFT(B698,FIND(" ",B698,1)))</f>
        <v>UST2Y</v>
      </c>
      <c r="J698">
        <f t="shared" ref="J698:J726" si="307">C698</f>
        <v>0.47</v>
      </c>
      <c r="K698">
        <f t="shared" ref="K698:K726" si="308">D698</f>
        <v>0.2</v>
      </c>
      <c r="L698">
        <f t="shared" ref="L698:L726" si="309">AVERAGE(J698:K698)</f>
        <v>0.33499999999999996</v>
      </c>
      <c r="M698">
        <f t="shared" ref="M698:M726" si="310">_xlfn.STDEV.P(J698:K698)</f>
        <v>0.13500000000000012</v>
      </c>
      <c r="N698">
        <f t="shared" si="289"/>
        <v>0.26999999999999996</v>
      </c>
      <c r="O698">
        <f t="shared" ref="O698:O726" si="311">E698</f>
        <v>0.25</v>
      </c>
      <c r="P698">
        <f t="shared" ref="P698:P726" si="312">(O698-L698)/M698</f>
        <v>-0.62962962962962876</v>
      </c>
      <c r="Q698" t="str">
        <f t="shared" si="290"/>
        <v>88% | 20%</v>
      </c>
      <c r="R698" t="str">
        <f t="shared" ref="R698:R726" si="313">MID(B698,FIND("(",B698,1)+1,FIND(")",B698,1)-FIND("(",B698,1)-1)</f>
        <v>BEARISH</v>
      </c>
      <c r="S698">
        <f t="shared" si="291"/>
        <v>-1</v>
      </c>
    </row>
    <row r="699" spans="1:19" hidden="1" x14ac:dyDescent="0.25">
      <c r="A699" s="5" t="str">
        <f t="shared" si="288"/>
        <v>43920SPX</v>
      </c>
      <c r="B699" s="6" t="s">
        <v>6</v>
      </c>
      <c r="C699" s="6">
        <v>2205</v>
      </c>
      <c r="D699" s="6">
        <v>2672</v>
      </c>
      <c r="E699" s="6">
        <v>2541</v>
      </c>
      <c r="F699" t="str">
        <f t="shared" si="303"/>
        <v>MON</v>
      </c>
      <c r="G699" s="3">
        <f t="shared" si="304"/>
        <v>43920</v>
      </c>
      <c r="H699" s="2">
        <f t="shared" ca="1" si="305"/>
        <v>333</v>
      </c>
      <c r="I699" t="str">
        <f t="shared" si="306"/>
        <v>SPX</v>
      </c>
      <c r="J699">
        <f t="shared" si="307"/>
        <v>2205</v>
      </c>
      <c r="K699">
        <f t="shared" si="308"/>
        <v>2672</v>
      </c>
      <c r="L699">
        <f t="shared" si="309"/>
        <v>2438.5</v>
      </c>
      <c r="M699">
        <f t="shared" si="310"/>
        <v>233.5</v>
      </c>
      <c r="N699">
        <f t="shared" si="289"/>
        <v>467</v>
      </c>
      <c r="O699">
        <f t="shared" si="311"/>
        <v>2541</v>
      </c>
      <c r="P699">
        <f t="shared" si="312"/>
        <v>0.43897216274089934</v>
      </c>
      <c r="Q699" t="str">
        <f t="shared" si="290"/>
        <v>13.22% | 5.16%</v>
      </c>
      <c r="R699" t="str">
        <f t="shared" si="313"/>
        <v>BEARISH</v>
      </c>
      <c r="S699">
        <f t="shared" si="291"/>
        <v>-1</v>
      </c>
    </row>
    <row r="700" spans="1:19" hidden="1" x14ac:dyDescent="0.25">
      <c r="A700" s="5" t="str">
        <f t="shared" si="288"/>
        <v>43920RUT</v>
      </c>
      <c r="B700" s="6" t="s">
        <v>7</v>
      </c>
      <c r="C700" s="6">
        <v>960</v>
      </c>
      <c r="D700" s="6">
        <v>1190</v>
      </c>
      <c r="E700" s="6">
        <v>1131</v>
      </c>
      <c r="F700" t="str">
        <f t="shared" si="303"/>
        <v>MON</v>
      </c>
      <c r="G700" s="3">
        <f t="shared" si="304"/>
        <v>43920</v>
      </c>
      <c r="H700" s="2">
        <f t="shared" ca="1" si="305"/>
        <v>333</v>
      </c>
      <c r="I700" t="str">
        <f t="shared" si="306"/>
        <v>RUT</v>
      </c>
      <c r="J700">
        <f t="shared" si="307"/>
        <v>960</v>
      </c>
      <c r="K700">
        <f t="shared" si="308"/>
        <v>1190</v>
      </c>
      <c r="L700">
        <f t="shared" si="309"/>
        <v>1075</v>
      </c>
      <c r="M700">
        <f t="shared" si="310"/>
        <v>115</v>
      </c>
      <c r="N700">
        <f t="shared" si="289"/>
        <v>230</v>
      </c>
      <c r="O700">
        <f t="shared" si="311"/>
        <v>1131</v>
      </c>
      <c r="P700">
        <f t="shared" si="312"/>
        <v>0.48695652173913045</v>
      </c>
      <c r="Q700" t="str">
        <f t="shared" si="290"/>
        <v>15.12% | 5.22%</v>
      </c>
      <c r="R700" t="str">
        <f t="shared" si="313"/>
        <v>BEARISH</v>
      </c>
      <c r="S700">
        <f t="shared" si="291"/>
        <v>-1</v>
      </c>
    </row>
    <row r="701" spans="1:19" hidden="1" x14ac:dyDescent="0.25">
      <c r="A701" s="5" t="str">
        <f t="shared" si="288"/>
        <v>43920COMPQ</v>
      </c>
      <c r="B701" s="6" t="s">
        <v>64</v>
      </c>
      <c r="C701" s="6">
        <v>6657</v>
      </c>
      <c r="D701" s="6">
        <v>7849</v>
      </c>
      <c r="E701" s="6">
        <v>7502</v>
      </c>
      <c r="F701" t="str">
        <f t="shared" si="303"/>
        <v>MON</v>
      </c>
      <c r="G701" s="3">
        <f t="shared" si="304"/>
        <v>43920</v>
      </c>
      <c r="H701" s="2">
        <f t="shared" ca="1" si="305"/>
        <v>333</v>
      </c>
      <c r="I701" t="str">
        <f t="shared" si="306"/>
        <v>COMPQ</v>
      </c>
      <c r="J701">
        <f t="shared" si="307"/>
        <v>6657</v>
      </c>
      <c r="K701">
        <f t="shared" si="308"/>
        <v>7849</v>
      </c>
      <c r="L701">
        <f t="shared" si="309"/>
        <v>7253</v>
      </c>
      <c r="M701">
        <f t="shared" si="310"/>
        <v>596</v>
      </c>
      <c r="N701">
        <f t="shared" si="289"/>
        <v>1192</v>
      </c>
      <c r="O701">
        <f t="shared" si="311"/>
        <v>7502</v>
      </c>
      <c r="P701">
        <f t="shared" si="312"/>
        <v>0.41778523489932884</v>
      </c>
      <c r="Q701" t="str">
        <f t="shared" si="290"/>
        <v>11.26% | 4.63%</v>
      </c>
      <c r="R701" t="str">
        <f t="shared" si="313"/>
        <v>BEARISH</v>
      </c>
      <c r="S701">
        <f t="shared" si="291"/>
        <v>-1</v>
      </c>
    </row>
    <row r="702" spans="1:19" hidden="1" x14ac:dyDescent="0.25">
      <c r="A702" s="5" t="str">
        <f t="shared" si="288"/>
        <v>43920XLU</v>
      </c>
      <c r="B702" s="6" t="s">
        <v>82</v>
      </c>
      <c r="C702" s="6">
        <v>44.06</v>
      </c>
      <c r="D702" s="6">
        <v>57.98</v>
      </c>
      <c r="E702" s="6">
        <v>55.68</v>
      </c>
      <c r="F702" t="str">
        <f t="shared" si="303"/>
        <v>MON</v>
      </c>
      <c r="G702" s="3">
        <f t="shared" si="304"/>
        <v>43920</v>
      </c>
      <c r="H702" s="2">
        <f t="shared" ca="1" si="305"/>
        <v>333</v>
      </c>
      <c r="I702" t="str">
        <f t="shared" si="306"/>
        <v>XLU</v>
      </c>
      <c r="J702">
        <f t="shared" si="307"/>
        <v>44.06</v>
      </c>
      <c r="K702">
        <f t="shared" si="308"/>
        <v>57.98</v>
      </c>
      <c r="L702">
        <f t="shared" si="309"/>
        <v>51.019999999999996</v>
      </c>
      <c r="M702">
        <f t="shared" si="310"/>
        <v>6.9600000000000408</v>
      </c>
      <c r="N702">
        <f t="shared" si="289"/>
        <v>13.919999999999995</v>
      </c>
      <c r="O702">
        <f t="shared" si="311"/>
        <v>55.68</v>
      </c>
      <c r="P702">
        <f t="shared" si="312"/>
        <v>0.66954022988505413</v>
      </c>
      <c r="Q702" t="str">
        <f t="shared" si="290"/>
        <v>20.87% | 4.13%</v>
      </c>
      <c r="R702" t="str">
        <f t="shared" si="313"/>
        <v>BEARISH</v>
      </c>
      <c r="S702">
        <f t="shared" si="291"/>
        <v>-1</v>
      </c>
    </row>
    <row r="703" spans="1:19" hidden="1" x14ac:dyDescent="0.25">
      <c r="A703" s="5" t="str">
        <f t="shared" si="288"/>
        <v>43920VNQ</v>
      </c>
      <c r="B703" s="6" t="s">
        <v>67</v>
      </c>
      <c r="C703" s="6">
        <v>55.53</v>
      </c>
      <c r="D703" s="6">
        <v>73.239999999999995</v>
      </c>
      <c r="E703" s="6">
        <v>70.05</v>
      </c>
      <c r="F703" t="str">
        <f t="shared" si="303"/>
        <v>MON</v>
      </c>
      <c r="G703" s="3">
        <f t="shared" si="304"/>
        <v>43920</v>
      </c>
      <c r="H703" s="2">
        <f t="shared" ca="1" si="305"/>
        <v>333</v>
      </c>
      <c r="I703" t="str">
        <f t="shared" si="306"/>
        <v>VNQ</v>
      </c>
      <c r="J703">
        <f t="shared" si="307"/>
        <v>55.53</v>
      </c>
      <c r="K703">
        <f t="shared" si="308"/>
        <v>73.239999999999995</v>
      </c>
      <c r="L703">
        <f t="shared" si="309"/>
        <v>64.384999999999991</v>
      </c>
      <c r="M703">
        <f t="shared" si="310"/>
        <v>8.8550000000000182</v>
      </c>
      <c r="N703">
        <f t="shared" si="289"/>
        <v>17.709999999999994</v>
      </c>
      <c r="O703">
        <f t="shared" si="311"/>
        <v>70.05</v>
      </c>
      <c r="P703">
        <f t="shared" si="312"/>
        <v>0.63975155279503049</v>
      </c>
      <c r="Q703" t="str">
        <f t="shared" si="290"/>
        <v>20.73% | 4.55%</v>
      </c>
      <c r="R703" t="str">
        <f t="shared" si="313"/>
        <v>BEARISH</v>
      </c>
      <c r="S703">
        <f t="shared" si="291"/>
        <v>-1</v>
      </c>
    </row>
    <row r="704" spans="1:19" hidden="1" x14ac:dyDescent="0.25">
      <c r="A704" s="5" t="str">
        <f t="shared" si="288"/>
        <v>43920XLP</v>
      </c>
      <c r="B704" s="6" t="s">
        <v>11</v>
      </c>
      <c r="C704" s="6">
        <v>47.68</v>
      </c>
      <c r="D704" s="6">
        <v>56.3</v>
      </c>
      <c r="E704" s="6">
        <v>53.51</v>
      </c>
      <c r="F704" t="str">
        <f t="shared" si="303"/>
        <v>MON</v>
      </c>
      <c r="G704" s="3">
        <f t="shared" si="304"/>
        <v>43920</v>
      </c>
      <c r="H704" s="2">
        <f t="shared" ca="1" si="305"/>
        <v>333</v>
      </c>
      <c r="I704" t="str">
        <f t="shared" si="306"/>
        <v>XLP</v>
      </c>
      <c r="J704">
        <f t="shared" si="307"/>
        <v>47.68</v>
      </c>
      <c r="K704">
        <f t="shared" si="308"/>
        <v>56.3</v>
      </c>
      <c r="L704">
        <f t="shared" si="309"/>
        <v>51.989999999999995</v>
      </c>
      <c r="M704">
        <f t="shared" si="310"/>
        <v>4.3099999999999987</v>
      </c>
      <c r="N704">
        <f t="shared" si="289"/>
        <v>8.6199999999999974</v>
      </c>
      <c r="O704">
        <f t="shared" si="311"/>
        <v>53.51</v>
      </c>
      <c r="P704">
        <f t="shared" si="312"/>
        <v>0.35266821345707738</v>
      </c>
      <c r="Q704" t="str">
        <f t="shared" si="290"/>
        <v>10.9% | 5.21%</v>
      </c>
      <c r="R704" t="str">
        <f t="shared" si="313"/>
        <v>BEARISH</v>
      </c>
      <c r="S704">
        <f t="shared" si="291"/>
        <v>-1</v>
      </c>
    </row>
    <row r="705" spans="1:19" hidden="1" x14ac:dyDescent="0.25">
      <c r="A705" s="5" t="str">
        <f t="shared" si="288"/>
        <v>43920XLK</v>
      </c>
      <c r="B705" s="6" t="s">
        <v>65</v>
      </c>
      <c r="C705" s="6">
        <v>68.09</v>
      </c>
      <c r="D705" s="6">
        <v>82.99</v>
      </c>
      <c r="E705" s="6">
        <v>78.59</v>
      </c>
      <c r="F705" t="str">
        <f t="shared" si="303"/>
        <v>MON</v>
      </c>
      <c r="G705" s="3">
        <f t="shared" si="304"/>
        <v>43920</v>
      </c>
      <c r="H705" s="2">
        <f t="shared" ca="1" si="305"/>
        <v>333</v>
      </c>
      <c r="I705" t="str">
        <f t="shared" si="306"/>
        <v>XLK</v>
      </c>
      <c r="J705">
        <f t="shared" si="307"/>
        <v>68.09</v>
      </c>
      <c r="K705">
        <f t="shared" si="308"/>
        <v>82.99</v>
      </c>
      <c r="L705">
        <f t="shared" si="309"/>
        <v>75.539999999999992</v>
      </c>
      <c r="M705">
        <f t="shared" si="310"/>
        <v>7.4499999999999957</v>
      </c>
      <c r="N705">
        <f t="shared" si="289"/>
        <v>14.899999999999991</v>
      </c>
      <c r="O705">
        <f t="shared" si="311"/>
        <v>78.59</v>
      </c>
      <c r="P705">
        <f t="shared" si="312"/>
        <v>0.40939597315436416</v>
      </c>
      <c r="Q705" t="str">
        <f t="shared" si="290"/>
        <v>13.36% | 5.6%</v>
      </c>
      <c r="R705" t="str">
        <f t="shared" si="313"/>
        <v>BEARISH</v>
      </c>
      <c r="S705">
        <f t="shared" si="291"/>
        <v>-1</v>
      </c>
    </row>
    <row r="706" spans="1:19" hidden="1" x14ac:dyDescent="0.25">
      <c r="A706" s="5" t="str">
        <f t="shared" si="288"/>
        <v>43920SSEC</v>
      </c>
      <c r="B706" s="6" t="s">
        <v>14</v>
      </c>
      <c r="C706" s="6">
        <v>2660</v>
      </c>
      <c r="D706" s="6">
        <v>2821</v>
      </c>
      <c r="E706" s="6">
        <v>2747</v>
      </c>
      <c r="F706" t="str">
        <f t="shared" si="303"/>
        <v>MON</v>
      </c>
      <c r="G706" s="3">
        <f t="shared" si="304"/>
        <v>43920</v>
      </c>
      <c r="H706" s="2">
        <f t="shared" ca="1" si="305"/>
        <v>333</v>
      </c>
      <c r="I706" t="str">
        <f t="shared" si="306"/>
        <v>SSEC</v>
      </c>
      <c r="J706">
        <f t="shared" si="307"/>
        <v>2660</v>
      </c>
      <c r="K706">
        <f t="shared" si="308"/>
        <v>2821</v>
      </c>
      <c r="L706">
        <f t="shared" si="309"/>
        <v>2740.5</v>
      </c>
      <c r="M706">
        <f t="shared" si="310"/>
        <v>80.5</v>
      </c>
      <c r="N706">
        <f t="shared" si="289"/>
        <v>161</v>
      </c>
      <c r="O706">
        <f t="shared" si="311"/>
        <v>2747</v>
      </c>
      <c r="P706">
        <f t="shared" si="312"/>
        <v>8.0745341614906832E-2</v>
      </c>
      <c r="Q706" t="str">
        <f t="shared" si="290"/>
        <v>3.17% | 2.69%</v>
      </c>
      <c r="R706" t="str">
        <f t="shared" si="313"/>
        <v>BEARISH</v>
      </c>
      <c r="S706">
        <f t="shared" si="291"/>
        <v>-1</v>
      </c>
    </row>
    <row r="707" spans="1:19" hidden="1" x14ac:dyDescent="0.25">
      <c r="A707" s="5" t="str">
        <f t="shared" ref="A707:A770" si="314">G707&amp;I707</f>
        <v>43920NIKK</v>
      </c>
      <c r="B707" s="6" t="s">
        <v>15</v>
      </c>
      <c r="C707" s="6">
        <v>15513</v>
      </c>
      <c r="D707" s="6">
        <v>19725</v>
      </c>
      <c r="E707" s="6">
        <v>19084</v>
      </c>
      <c r="F707" t="str">
        <f t="shared" si="303"/>
        <v>MON</v>
      </c>
      <c r="G707" s="3">
        <f t="shared" si="304"/>
        <v>43920</v>
      </c>
      <c r="H707" s="2">
        <f t="shared" ca="1" si="305"/>
        <v>333</v>
      </c>
      <c r="I707" t="str">
        <f t="shared" si="306"/>
        <v>NIKK</v>
      </c>
      <c r="J707">
        <f t="shared" si="307"/>
        <v>15513</v>
      </c>
      <c r="K707">
        <f t="shared" si="308"/>
        <v>19725</v>
      </c>
      <c r="L707">
        <f t="shared" si="309"/>
        <v>17619</v>
      </c>
      <c r="M707">
        <f t="shared" si="310"/>
        <v>2106</v>
      </c>
      <c r="N707">
        <f t="shared" ref="N707:N770" si="315">ABS(K707-J707)</f>
        <v>4212</v>
      </c>
      <c r="O707">
        <f t="shared" si="311"/>
        <v>19084</v>
      </c>
      <c r="P707">
        <f t="shared" si="312"/>
        <v>0.69563152896486224</v>
      </c>
      <c r="Q707" t="str">
        <f t="shared" ref="Q707:Q770" si="316">ROUND(ABS(100*(O707-J707)/O707),2)&amp;"% | "&amp;ROUND(ABS(100*(K707-O707)/O707),2)&amp;"%"</f>
        <v>18.71% | 3.36%</v>
      </c>
      <c r="R707" t="str">
        <f t="shared" si="313"/>
        <v>BEARISH</v>
      </c>
      <c r="S707">
        <f t="shared" ref="S707:S770" si="317">IF(R707="BEARISH",-1,IF(R707="NEUTRAL",0,IF(R707="BULLISH",1,99)))</f>
        <v>-1</v>
      </c>
    </row>
    <row r="708" spans="1:19" hidden="1" x14ac:dyDescent="0.25">
      <c r="A708" s="5" t="str">
        <f t="shared" si="314"/>
        <v>43920DAX</v>
      </c>
      <c r="B708" s="6" t="s">
        <v>16</v>
      </c>
      <c r="C708" s="6">
        <v>8060</v>
      </c>
      <c r="D708" s="6">
        <v>10317</v>
      </c>
      <c r="E708" s="6">
        <v>9632</v>
      </c>
      <c r="F708" t="str">
        <f t="shared" si="303"/>
        <v>MON</v>
      </c>
      <c r="G708" s="3">
        <f t="shared" si="304"/>
        <v>43920</v>
      </c>
      <c r="H708" s="2">
        <f t="shared" ca="1" si="305"/>
        <v>333</v>
      </c>
      <c r="I708" t="str">
        <f t="shared" si="306"/>
        <v>DAX</v>
      </c>
      <c r="J708">
        <f t="shared" si="307"/>
        <v>8060</v>
      </c>
      <c r="K708">
        <f t="shared" si="308"/>
        <v>10317</v>
      </c>
      <c r="L708">
        <f t="shared" si="309"/>
        <v>9188.5</v>
      </c>
      <c r="M708">
        <f t="shared" si="310"/>
        <v>1128.5</v>
      </c>
      <c r="N708">
        <f t="shared" si="315"/>
        <v>2257</v>
      </c>
      <c r="O708">
        <f t="shared" si="311"/>
        <v>9632</v>
      </c>
      <c r="P708">
        <f t="shared" si="312"/>
        <v>0.39299955693398314</v>
      </c>
      <c r="Q708" t="str">
        <f t="shared" si="316"/>
        <v>16.32% | 7.11%</v>
      </c>
      <c r="R708" t="str">
        <f t="shared" si="313"/>
        <v>BEARISH</v>
      </c>
      <c r="S708">
        <f t="shared" si="317"/>
        <v>-1</v>
      </c>
    </row>
    <row r="709" spans="1:19" hidden="1" x14ac:dyDescent="0.25">
      <c r="A709" s="5" t="str">
        <f t="shared" si="314"/>
        <v>43920VIX</v>
      </c>
      <c r="B709" s="6" t="s">
        <v>17</v>
      </c>
      <c r="C709" s="6">
        <v>53.59</v>
      </c>
      <c r="D709" s="6">
        <v>84.11</v>
      </c>
      <c r="E709" s="6">
        <v>65.540000000000006</v>
      </c>
      <c r="F709" t="str">
        <f t="shared" si="303"/>
        <v>MON</v>
      </c>
      <c r="G709" s="3">
        <f t="shared" si="304"/>
        <v>43920</v>
      </c>
      <c r="H709" s="2">
        <f t="shared" ca="1" si="305"/>
        <v>333</v>
      </c>
      <c r="I709" t="str">
        <f t="shared" si="306"/>
        <v>VIX</v>
      </c>
      <c r="J709">
        <f t="shared" si="307"/>
        <v>53.59</v>
      </c>
      <c r="K709">
        <f t="shared" si="308"/>
        <v>84.11</v>
      </c>
      <c r="L709">
        <f t="shared" si="309"/>
        <v>68.849999999999994</v>
      </c>
      <c r="M709">
        <f t="shared" si="310"/>
        <v>15.260000000000016</v>
      </c>
      <c r="N709">
        <f t="shared" si="315"/>
        <v>30.519999999999996</v>
      </c>
      <c r="O709">
        <f t="shared" si="311"/>
        <v>65.540000000000006</v>
      </c>
      <c r="P709">
        <f t="shared" si="312"/>
        <v>-0.21690694626474341</v>
      </c>
      <c r="Q709" t="str">
        <f t="shared" si="316"/>
        <v>18.23% | 28.33%</v>
      </c>
      <c r="R709" t="str">
        <f t="shared" si="313"/>
        <v>BULLISH</v>
      </c>
      <c r="S709">
        <f t="shared" si="317"/>
        <v>1</v>
      </c>
    </row>
    <row r="710" spans="1:19" hidden="1" x14ac:dyDescent="0.25">
      <c r="A710" s="5" t="str">
        <f t="shared" si="314"/>
        <v>43920USD</v>
      </c>
      <c r="B710" s="6" t="s">
        <v>18</v>
      </c>
      <c r="C710" s="6">
        <v>97.65</v>
      </c>
      <c r="D710" s="6">
        <v>104.12</v>
      </c>
      <c r="E710" s="6">
        <v>98.54</v>
      </c>
      <c r="F710" t="str">
        <f t="shared" si="303"/>
        <v>MON</v>
      </c>
      <c r="G710" s="3">
        <f t="shared" si="304"/>
        <v>43920</v>
      </c>
      <c r="H710" s="2">
        <f t="shared" ca="1" si="305"/>
        <v>333</v>
      </c>
      <c r="I710" t="str">
        <f t="shared" si="306"/>
        <v>USD</v>
      </c>
      <c r="J710">
        <f t="shared" si="307"/>
        <v>97.65</v>
      </c>
      <c r="K710">
        <f t="shared" si="308"/>
        <v>104.12</v>
      </c>
      <c r="L710">
        <f t="shared" si="309"/>
        <v>100.88500000000001</v>
      </c>
      <c r="M710">
        <f t="shared" si="310"/>
        <v>3.2349999999999994</v>
      </c>
      <c r="N710">
        <f t="shared" si="315"/>
        <v>6.4699999999999989</v>
      </c>
      <c r="O710">
        <f t="shared" si="311"/>
        <v>98.54</v>
      </c>
      <c r="P710">
        <f t="shared" si="312"/>
        <v>-0.72488408037094254</v>
      </c>
      <c r="Q710" t="str">
        <f t="shared" si="316"/>
        <v>0.9% | 5.66%</v>
      </c>
      <c r="R710" t="str">
        <f t="shared" si="313"/>
        <v>BULLISH</v>
      </c>
      <c r="S710">
        <f t="shared" si="317"/>
        <v>1</v>
      </c>
    </row>
    <row r="711" spans="1:19" hidden="1" x14ac:dyDescent="0.25">
      <c r="A711" s="5" t="str">
        <f t="shared" si="314"/>
        <v>43920EUR/USD</v>
      </c>
      <c r="B711" s="6" t="s">
        <v>19</v>
      </c>
      <c r="C711" s="6">
        <v>1.05</v>
      </c>
      <c r="D711" s="6">
        <v>1.1100000000000001</v>
      </c>
      <c r="E711" s="6">
        <v>1.1100000000000001</v>
      </c>
      <c r="F711" t="str">
        <f t="shared" si="303"/>
        <v>MON</v>
      </c>
      <c r="G711" s="3">
        <f t="shared" si="304"/>
        <v>43920</v>
      </c>
      <c r="H711" s="2">
        <f t="shared" ca="1" si="305"/>
        <v>333</v>
      </c>
      <c r="I711" t="str">
        <f t="shared" si="306"/>
        <v>EUR/USD</v>
      </c>
      <c r="J711">
        <f t="shared" si="307"/>
        <v>1.05</v>
      </c>
      <c r="K711">
        <f t="shared" si="308"/>
        <v>1.1100000000000001</v>
      </c>
      <c r="L711">
        <f t="shared" si="309"/>
        <v>1.08</v>
      </c>
      <c r="M711">
        <f t="shared" si="310"/>
        <v>3.0000000000000027E-2</v>
      </c>
      <c r="N711">
        <f t="shared" si="315"/>
        <v>6.0000000000000053E-2</v>
      </c>
      <c r="O711">
        <f t="shared" si="311"/>
        <v>1.1100000000000001</v>
      </c>
      <c r="P711">
        <f t="shared" si="312"/>
        <v>1</v>
      </c>
      <c r="Q711" t="str">
        <f t="shared" si="316"/>
        <v>5.41% | 0%</v>
      </c>
      <c r="R711" t="str">
        <f t="shared" si="313"/>
        <v>BEARISH</v>
      </c>
      <c r="S711">
        <f t="shared" si="317"/>
        <v>-1</v>
      </c>
    </row>
    <row r="712" spans="1:19" hidden="1" x14ac:dyDescent="0.25">
      <c r="A712" s="5" t="str">
        <f t="shared" si="314"/>
        <v>43920USD/JPY</v>
      </c>
      <c r="B712" s="6" t="s">
        <v>86</v>
      </c>
      <c r="C712" s="6">
        <v>105.9</v>
      </c>
      <c r="D712" s="6">
        <v>112.01</v>
      </c>
      <c r="E712" s="6">
        <v>107.89</v>
      </c>
      <c r="F712" t="str">
        <f t="shared" si="303"/>
        <v>MON</v>
      </c>
      <c r="G712" s="3">
        <f t="shared" si="304"/>
        <v>43920</v>
      </c>
      <c r="H712" s="2">
        <f t="shared" ca="1" si="305"/>
        <v>333</v>
      </c>
      <c r="I712" t="str">
        <f t="shared" si="306"/>
        <v>USD/JPY</v>
      </c>
      <c r="J712">
        <f t="shared" si="307"/>
        <v>105.9</v>
      </c>
      <c r="K712">
        <f t="shared" si="308"/>
        <v>112.01</v>
      </c>
      <c r="L712">
        <f t="shared" si="309"/>
        <v>108.95500000000001</v>
      </c>
      <c r="M712">
        <f t="shared" si="310"/>
        <v>3.0549999999999997</v>
      </c>
      <c r="N712">
        <f t="shared" si="315"/>
        <v>6.1099999999999994</v>
      </c>
      <c r="O712">
        <f t="shared" si="311"/>
        <v>107.89</v>
      </c>
      <c r="P712">
        <f t="shared" si="312"/>
        <v>-0.34860883797054404</v>
      </c>
      <c r="Q712" t="str">
        <f t="shared" si="316"/>
        <v>1.84% | 3.82%</v>
      </c>
      <c r="R712" t="str">
        <f t="shared" si="313"/>
        <v>NEUTRAL</v>
      </c>
      <c r="S712">
        <f t="shared" si="317"/>
        <v>0</v>
      </c>
    </row>
    <row r="713" spans="1:19" hidden="1" x14ac:dyDescent="0.25">
      <c r="A713" s="5" t="str">
        <f t="shared" si="314"/>
        <v>43920GBP/USD</v>
      </c>
      <c r="B713" s="6" t="s">
        <v>21</v>
      </c>
      <c r="C713" s="6">
        <v>1.1200000000000001</v>
      </c>
      <c r="D713" s="6">
        <v>1.25</v>
      </c>
      <c r="E713" s="6">
        <v>1.25</v>
      </c>
      <c r="F713" t="str">
        <f t="shared" si="303"/>
        <v>MON</v>
      </c>
      <c r="G713" s="3">
        <f t="shared" si="304"/>
        <v>43920</v>
      </c>
      <c r="H713" s="2">
        <f t="shared" ca="1" si="305"/>
        <v>333</v>
      </c>
      <c r="I713" t="str">
        <f t="shared" si="306"/>
        <v>GBP/USD</v>
      </c>
      <c r="J713">
        <f t="shared" si="307"/>
        <v>1.1200000000000001</v>
      </c>
      <c r="K713">
        <f t="shared" si="308"/>
        <v>1.25</v>
      </c>
      <c r="L713">
        <f t="shared" si="309"/>
        <v>1.1850000000000001</v>
      </c>
      <c r="M713">
        <f t="shared" si="310"/>
        <v>6.4999999999999947E-2</v>
      </c>
      <c r="N713">
        <f t="shared" si="315"/>
        <v>0.12999999999999989</v>
      </c>
      <c r="O713">
        <f t="shared" si="311"/>
        <v>1.25</v>
      </c>
      <c r="P713">
        <f t="shared" si="312"/>
        <v>1</v>
      </c>
      <c r="Q713" t="str">
        <f t="shared" si="316"/>
        <v>10.4% | 0%</v>
      </c>
      <c r="R713" t="str">
        <f t="shared" si="313"/>
        <v>BEARISH</v>
      </c>
      <c r="S713">
        <f t="shared" si="317"/>
        <v>-1</v>
      </c>
    </row>
    <row r="714" spans="1:19" hidden="1" x14ac:dyDescent="0.25">
      <c r="A714" s="5" t="str">
        <f t="shared" si="314"/>
        <v>43920USD/CHF</v>
      </c>
      <c r="B714" s="6" t="s">
        <v>22</v>
      </c>
      <c r="C714" s="6">
        <v>0.94</v>
      </c>
      <c r="D714" s="6">
        <v>0.99</v>
      </c>
      <c r="E714" s="6">
        <v>0.95</v>
      </c>
      <c r="F714" t="str">
        <f t="shared" si="303"/>
        <v>MON</v>
      </c>
      <c r="G714" s="3">
        <f t="shared" si="304"/>
        <v>43920</v>
      </c>
      <c r="H714" s="2">
        <f t="shared" ca="1" si="305"/>
        <v>333</v>
      </c>
      <c r="I714" t="str">
        <f t="shared" si="306"/>
        <v>USD/CHF</v>
      </c>
      <c r="J714">
        <f t="shared" si="307"/>
        <v>0.94</v>
      </c>
      <c r="K714">
        <f t="shared" si="308"/>
        <v>0.99</v>
      </c>
      <c r="L714">
        <f t="shared" si="309"/>
        <v>0.96499999999999997</v>
      </c>
      <c r="M714">
        <f t="shared" si="310"/>
        <v>2.5000000000000022E-2</v>
      </c>
      <c r="N714">
        <f t="shared" si="315"/>
        <v>5.0000000000000044E-2</v>
      </c>
      <c r="O714">
        <f t="shared" si="311"/>
        <v>0.95</v>
      </c>
      <c r="P714">
        <f t="shared" si="312"/>
        <v>-0.6</v>
      </c>
      <c r="Q714" t="str">
        <f t="shared" si="316"/>
        <v>1.05% | 4.21%</v>
      </c>
      <c r="R714" t="str">
        <f t="shared" si="313"/>
        <v>NEUTRAL</v>
      </c>
      <c r="S714">
        <f t="shared" si="317"/>
        <v>0</v>
      </c>
    </row>
    <row r="715" spans="1:19" hidden="1" x14ac:dyDescent="0.25">
      <c r="A715" s="5" t="str">
        <f t="shared" si="314"/>
        <v>43920WTIC</v>
      </c>
      <c r="B715" s="6" t="s">
        <v>23</v>
      </c>
      <c r="C715" s="6">
        <v>19.54</v>
      </c>
      <c r="D715" s="6">
        <v>25.59</v>
      </c>
      <c r="E715" s="6">
        <v>21.51</v>
      </c>
      <c r="F715" t="str">
        <f t="shared" si="303"/>
        <v>MON</v>
      </c>
      <c r="G715" s="3">
        <f t="shared" si="304"/>
        <v>43920</v>
      </c>
      <c r="H715" s="2">
        <f t="shared" ca="1" si="305"/>
        <v>333</v>
      </c>
      <c r="I715" t="str">
        <f t="shared" si="306"/>
        <v>WTIC</v>
      </c>
      <c r="J715">
        <f t="shared" si="307"/>
        <v>19.54</v>
      </c>
      <c r="K715">
        <f t="shared" si="308"/>
        <v>25.59</v>
      </c>
      <c r="L715">
        <f t="shared" si="309"/>
        <v>22.564999999999998</v>
      </c>
      <c r="M715">
        <f t="shared" si="310"/>
        <v>3.0250000000000079</v>
      </c>
      <c r="N715">
        <f t="shared" si="315"/>
        <v>6.0500000000000007</v>
      </c>
      <c r="O715">
        <f t="shared" si="311"/>
        <v>21.51</v>
      </c>
      <c r="P715">
        <f t="shared" si="312"/>
        <v>-0.34876033057851019</v>
      </c>
      <c r="Q715" t="str">
        <f t="shared" si="316"/>
        <v>9.16% | 18.97%</v>
      </c>
      <c r="R715" t="str">
        <f t="shared" si="313"/>
        <v>BEARISH</v>
      </c>
      <c r="S715">
        <f t="shared" si="317"/>
        <v>-1</v>
      </c>
    </row>
    <row r="716" spans="1:19" hidden="1" x14ac:dyDescent="0.25">
      <c r="A716" s="5" t="str">
        <f t="shared" si="314"/>
        <v>43920NATGAS</v>
      </c>
      <c r="B716" s="6" t="s">
        <v>24</v>
      </c>
      <c r="C716" s="6">
        <v>1.47</v>
      </c>
      <c r="D716" s="6">
        <v>1.77</v>
      </c>
      <c r="E716" s="6">
        <v>1.67</v>
      </c>
      <c r="F716" t="str">
        <f t="shared" si="303"/>
        <v>MON</v>
      </c>
      <c r="G716" s="3">
        <f t="shared" si="304"/>
        <v>43920</v>
      </c>
      <c r="H716" s="2">
        <f t="shared" ca="1" si="305"/>
        <v>333</v>
      </c>
      <c r="I716" t="str">
        <f t="shared" si="306"/>
        <v>NATGAS</v>
      </c>
      <c r="J716">
        <f t="shared" si="307"/>
        <v>1.47</v>
      </c>
      <c r="K716">
        <f t="shared" si="308"/>
        <v>1.77</v>
      </c>
      <c r="L716">
        <f t="shared" si="309"/>
        <v>1.62</v>
      </c>
      <c r="M716">
        <f t="shared" si="310"/>
        <v>0.15000000000000002</v>
      </c>
      <c r="N716">
        <f t="shared" si="315"/>
        <v>0.30000000000000004</v>
      </c>
      <c r="O716">
        <f t="shared" si="311"/>
        <v>1.67</v>
      </c>
      <c r="P716">
        <f t="shared" si="312"/>
        <v>0.33333333333333209</v>
      </c>
      <c r="Q716" t="str">
        <f t="shared" si="316"/>
        <v>11.98% | 5.99%</v>
      </c>
      <c r="R716" t="str">
        <f t="shared" si="313"/>
        <v>BEARISH</v>
      </c>
      <c r="S716">
        <f t="shared" si="317"/>
        <v>-1</v>
      </c>
    </row>
    <row r="717" spans="1:19" hidden="1" x14ac:dyDescent="0.25">
      <c r="A717" s="5" t="str">
        <f t="shared" si="314"/>
        <v>43920GOLD</v>
      </c>
      <c r="B717" s="6" t="s">
        <v>25</v>
      </c>
      <c r="C717" s="6">
        <v>1491</v>
      </c>
      <c r="D717" s="6">
        <v>1670</v>
      </c>
      <c r="E717" s="6">
        <v>1654</v>
      </c>
      <c r="F717" t="str">
        <f t="shared" si="303"/>
        <v>MON</v>
      </c>
      <c r="G717" s="3">
        <f t="shared" si="304"/>
        <v>43920</v>
      </c>
      <c r="H717" s="2">
        <f t="shared" ca="1" si="305"/>
        <v>333</v>
      </c>
      <c r="I717" t="str">
        <f t="shared" si="306"/>
        <v>GOLD</v>
      </c>
      <c r="J717">
        <f t="shared" si="307"/>
        <v>1491</v>
      </c>
      <c r="K717">
        <f t="shared" si="308"/>
        <v>1670</v>
      </c>
      <c r="L717">
        <f t="shared" si="309"/>
        <v>1580.5</v>
      </c>
      <c r="M717">
        <f t="shared" si="310"/>
        <v>89.5</v>
      </c>
      <c r="N717">
        <f t="shared" si="315"/>
        <v>179</v>
      </c>
      <c r="O717">
        <f t="shared" si="311"/>
        <v>1654</v>
      </c>
      <c r="P717">
        <f t="shared" si="312"/>
        <v>0.82122905027932958</v>
      </c>
      <c r="Q717" t="str">
        <f t="shared" si="316"/>
        <v>9.85% | 0.97%</v>
      </c>
      <c r="R717" t="str">
        <f t="shared" si="313"/>
        <v>BULLISH</v>
      </c>
      <c r="S717">
        <f t="shared" si="317"/>
        <v>1</v>
      </c>
    </row>
    <row r="718" spans="1:19" hidden="1" x14ac:dyDescent="0.25">
      <c r="A718" s="5" t="str">
        <f t="shared" si="314"/>
        <v>43920COPPER</v>
      </c>
      <c r="B718" s="6" t="s">
        <v>26</v>
      </c>
      <c r="C718" s="6">
        <v>2.0099999999999998</v>
      </c>
      <c r="D718" s="6">
        <v>2.29</v>
      </c>
      <c r="E718" s="6">
        <v>2.17</v>
      </c>
      <c r="F718" t="str">
        <f t="shared" si="303"/>
        <v>MON</v>
      </c>
      <c r="G718" s="3">
        <f t="shared" si="304"/>
        <v>43920</v>
      </c>
      <c r="H718" s="2">
        <f t="shared" ca="1" si="305"/>
        <v>333</v>
      </c>
      <c r="I718" t="str">
        <f t="shared" si="306"/>
        <v>COPPER</v>
      </c>
      <c r="J718">
        <f t="shared" si="307"/>
        <v>2.0099999999999998</v>
      </c>
      <c r="K718">
        <f t="shared" si="308"/>
        <v>2.29</v>
      </c>
      <c r="L718">
        <f t="shared" si="309"/>
        <v>2.15</v>
      </c>
      <c r="M718">
        <f t="shared" si="310"/>
        <v>0.14000000000000012</v>
      </c>
      <c r="N718">
        <f t="shared" si="315"/>
        <v>0.28000000000000025</v>
      </c>
      <c r="O718">
        <f t="shared" si="311"/>
        <v>2.17</v>
      </c>
      <c r="P718">
        <f t="shared" si="312"/>
        <v>0.14285714285714285</v>
      </c>
      <c r="Q718" t="str">
        <f t="shared" si="316"/>
        <v>7.37% | 5.53%</v>
      </c>
      <c r="R718" t="str">
        <f t="shared" si="313"/>
        <v>BEARISH</v>
      </c>
      <c r="S718">
        <f t="shared" si="317"/>
        <v>-1</v>
      </c>
    </row>
    <row r="719" spans="1:19" hidden="1" x14ac:dyDescent="0.25">
      <c r="A719" s="5" t="str">
        <f t="shared" si="314"/>
        <v>43920AAPL</v>
      </c>
      <c r="B719" s="6" t="s">
        <v>68</v>
      </c>
      <c r="C719" s="6">
        <v>222.3</v>
      </c>
      <c r="D719" s="6">
        <v>264.77</v>
      </c>
      <c r="E719" s="6">
        <v>247.74</v>
      </c>
      <c r="F719" t="str">
        <f t="shared" si="303"/>
        <v>MON</v>
      </c>
      <c r="G719" s="3">
        <f t="shared" si="304"/>
        <v>43920</v>
      </c>
      <c r="H719" s="2">
        <f t="shared" ca="1" si="305"/>
        <v>333</v>
      </c>
      <c r="I719" t="str">
        <f t="shared" si="306"/>
        <v>AAPL</v>
      </c>
      <c r="J719">
        <f t="shared" si="307"/>
        <v>222.3</v>
      </c>
      <c r="K719">
        <f t="shared" si="308"/>
        <v>264.77</v>
      </c>
      <c r="L719">
        <f t="shared" si="309"/>
        <v>243.535</v>
      </c>
      <c r="M719">
        <f t="shared" si="310"/>
        <v>21.234999999999985</v>
      </c>
      <c r="N719">
        <f t="shared" si="315"/>
        <v>42.46999999999997</v>
      </c>
      <c r="O719">
        <f t="shared" si="311"/>
        <v>247.74</v>
      </c>
      <c r="P719">
        <f t="shared" si="312"/>
        <v>0.19802213327054463</v>
      </c>
      <c r="Q719" t="str">
        <f t="shared" si="316"/>
        <v>10.27% | 6.87%</v>
      </c>
      <c r="R719" t="str">
        <f t="shared" si="313"/>
        <v>BEARISH</v>
      </c>
      <c r="S719">
        <f t="shared" si="317"/>
        <v>-1</v>
      </c>
    </row>
    <row r="720" spans="1:19" hidden="1" x14ac:dyDescent="0.25">
      <c r="A720" s="5" t="str">
        <f t="shared" si="314"/>
        <v>43920AMZN</v>
      </c>
      <c r="B720" s="6" t="s">
        <v>69</v>
      </c>
      <c r="C720" s="6">
        <v>1790</v>
      </c>
      <c r="D720" s="6">
        <v>1985</v>
      </c>
      <c r="E720" s="6">
        <v>1900</v>
      </c>
      <c r="F720" t="str">
        <f t="shared" si="303"/>
        <v>MON</v>
      </c>
      <c r="G720" s="3">
        <f t="shared" si="304"/>
        <v>43920</v>
      </c>
      <c r="H720" s="2">
        <f t="shared" ca="1" si="305"/>
        <v>333</v>
      </c>
      <c r="I720" t="str">
        <f t="shared" si="306"/>
        <v>AMZN</v>
      </c>
      <c r="J720">
        <f t="shared" si="307"/>
        <v>1790</v>
      </c>
      <c r="K720">
        <f t="shared" si="308"/>
        <v>1985</v>
      </c>
      <c r="L720">
        <f t="shared" si="309"/>
        <v>1887.5</v>
      </c>
      <c r="M720">
        <f t="shared" si="310"/>
        <v>97.5</v>
      </c>
      <c r="N720">
        <f t="shared" si="315"/>
        <v>195</v>
      </c>
      <c r="O720">
        <f t="shared" si="311"/>
        <v>1900</v>
      </c>
      <c r="P720">
        <f t="shared" si="312"/>
        <v>0.12820512820512819</v>
      </c>
      <c r="Q720" t="str">
        <f t="shared" si="316"/>
        <v>5.79% | 4.47%</v>
      </c>
      <c r="R720" t="str">
        <f t="shared" si="313"/>
        <v>NEUTRAL</v>
      </c>
      <c r="S720">
        <f t="shared" si="317"/>
        <v>0</v>
      </c>
    </row>
    <row r="721" spans="1:19" hidden="1" x14ac:dyDescent="0.25">
      <c r="A721" s="5" t="str">
        <f t="shared" si="314"/>
        <v>43920FB</v>
      </c>
      <c r="B721" s="6" t="s">
        <v>58</v>
      </c>
      <c r="C721" s="6">
        <v>140</v>
      </c>
      <c r="D721" s="6">
        <v>165</v>
      </c>
      <c r="E721" s="6">
        <v>156</v>
      </c>
      <c r="F721" t="str">
        <f t="shared" si="303"/>
        <v>MON</v>
      </c>
      <c r="G721" s="3">
        <f t="shared" si="304"/>
        <v>43920</v>
      </c>
      <c r="H721" s="2">
        <f t="shared" ca="1" si="305"/>
        <v>333</v>
      </c>
      <c r="I721" t="str">
        <f t="shared" si="306"/>
        <v>FB</v>
      </c>
      <c r="J721">
        <f t="shared" si="307"/>
        <v>140</v>
      </c>
      <c r="K721">
        <f t="shared" si="308"/>
        <v>165</v>
      </c>
      <c r="L721">
        <f t="shared" si="309"/>
        <v>152.5</v>
      </c>
      <c r="M721">
        <f t="shared" si="310"/>
        <v>12.5</v>
      </c>
      <c r="N721">
        <f t="shared" si="315"/>
        <v>25</v>
      </c>
      <c r="O721">
        <f t="shared" si="311"/>
        <v>156</v>
      </c>
      <c r="P721">
        <f t="shared" si="312"/>
        <v>0.28000000000000003</v>
      </c>
      <c r="Q721" t="str">
        <f t="shared" si="316"/>
        <v>10.26% | 5.77%</v>
      </c>
      <c r="R721" t="str">
        <f t="shared" si="313"/>
        <v>BEARISH</v>
      </c>
      <c r="S721">
        <f t="shared" si="317"/>
        <v>-1</v>
      </c>
    </row>
    <row r="722" spans="1:19" hidden="1" x14ac:dyDescent="0.25">
      <c r="A722" s="5" t="str">
        <f t="shared" si="314"/>
        <v>43920GOOGL</v>
      </c>
      <c r="B722" s="6" t="s">
        <v>66</v>
      </c>
      <c r="C722" s="6">
        <v>1034</v>
      </c>
      <c r="D722" s="6">
        <v>1167</v>
      </c>
      <c r="E722" s="6">
        <v>1110</v>
      </c>
      <c r="F722" t="str">
        <f t="shared" si="303"/>
        <v>MON</v>
      </c>
      <c r="G722" s="3">
        <f t="shared" si="304"/>
        <v>43920</v>
      </c>
      <c r="H722" s="2">
        <f t="shared" ca="1" si="305"/>
        <v>333</v>
      </c>
      <c r="I722" t="str">
        <f t="shared" si="306"/>
        <v>GOOGL</v>
      </c>
      <c r="J722">
        <f t="shared" si="307"/>
        <v>1034</v>
      </c>
      <c r="K722">
        <f t="shared" si="308"/>
        <v>1167</v>
      </c>
      <c r="L722">
        <f t="shared" si="309"/>
        <v>1100.5</v>
      </c>
      <c r="M722">
        <f t="shared" si="310"/>
        <v>66.5</v>
      </c>
      <c r="N722">
        <f t="shared" si="315"/>
        <v>133</v>
      </c>
      <c r="O722">
        <f t="shared" si="311"/>
        <v>1110</v>
      </c>
      <c r="P722">
        <f t="shared" si="312"/>
        <v>0.14285714285714285</v>
      </c>
      <c r="Q722" t="str">
        <f t="shared" si="316"/>
        <v>6.85% | 5.14%</v>
      </c>
      <c r="R722" t="str">
        <f t="shared" si="313"/>
        <v>BEARISH</v>
      </c>
      <c r="S722">
        <f t="shared" si="317"/>
        <v>-1</v>
      </c>
    </row>
    <row r="723" spans="1:19" hidden="1" x14ac:dyDescent="0.25">
      <c r="A723" s="5" t="str">
        <f t="shared" si="314"/>
        <v>43920NFLX</v>
      </c>
      <c r="B723" s="6" t="s">
        <v>70</v>
      </c>
      <c r="C723" s="6">
        <v>307</v>
      </c>
      <c r="D723" s="6">
        <v>377</v>
      </c>
      <c r="E723" s="6">
        <v>357</v>
      </c>
      <c r="F723" t="str">
        <f t="shared" si="303"/>
        <v>MON</v>
      </c>
      <c r="G723" s="3">
        <f t="shared" si="304"/>
        <v>43920</v>
      </c>
      <c r="H723" s="2">
        <f t="shared" ca="1" si="305"/>
        <v>333</v>
      </c>
      <c r="I723" t="str">
        <f t="shared" si="306"/>
        <v>NFLX</v>
      </c>
      <c r="J723">
        <f t="shared" si="307"/>
        <v>307</v>
      </c>
      <c r="K723">
        <f t="shared" si="308"/>
        <v>377</v>
      </c>
      <c r="L723">
        <f t="shared" si="309"/>
        <v>342</v>
      </c>
      <c r="M723">
        <f t="shared" si="310"/>
        <v>35</v>
      </c>
      <c r="N723">
        <f t="shared" si="315"/>
        <v>70</v>
      </c>
      <c r="O723">
        <f t="shared" si="311"/>
        <v>357</v>
      </c>
      <c r="P723">
        <f t="shared" si="312"/>
        <v>0.42857142857142855</v>
      </c>
      <c r="Q723" t="str">
        <f t="shared" si="316"/>
        <v>14.01% | 5.6%</v>
      </c>
      <c r="R723" t="str">
        <f t="shared" si="313"/>
        <v>NEUTRAL</v>
      </c>
      <c r="S723">
        <f t="shared" si="317"/>
        <v>0</v>
      </c>
    </row>
    <row r="724" spans="1:19" x14ac:dyDescent="0.25">
      <c r="A724" s="5" t="str">
        <f t="shared" si="314"/>
        <v>43920TSLA</v>
      </c>
      <c r="B724" s="6" t="s">
        <v>83</v>
      </c>
      <c r="C724" s="6">
        <v>350</v>
      </c>
      <c r="D724" s="6">
        <v>573</v>
      </c>
      <c r="E724" s="6">
        <v>514</v>
      </c>
      <c r="F724" t="str">
        <f t="shared" si="303"/>
        <v>MON</v>
      </c>
      <c r="G724" s="3">
        <f t="shared" si="304"/>
        <v>43920</v>
      </c>
      <c r="H724" s="2">
        <f t="shared" ca="1" si="305"/>
        <v>333</v>
      </c>
      <c r="I724" t="str">
        <f t="shared" si="306"/>
        <v>TSLA</v>
      </c>
      <c r="J724">
        <f t="shared" si="307"/>
        <v>350</v>
      </c>
      <c r="K724">
        <f t="shared" si="308"/>
        <v>573</v>
      </c>
      <c r="L724">
        <f t="shared" si="309"/>
        <v>461.5</v>
      </c>
      <c r="M724">
        <f t="shared" si="310"/>
        <v>111.5</v>
      </c>
      <c r="N724">
        <f t="shared" si="315"/>
        <v>223</v>
      </c>
      <c r="O724">
        <f t="shared" si="311"/>
        <v>514</v>
      </c>
      <c r="P724">
        <f t="shared" si="312"/>
        <v>0.47085201793721976</v>
      </c>
      <c r="Q724" t="str">
        <f t="shared" si="316"/>
        <v>31.91% | 11.48%</v>
      </c>
      <c r="R724" t="str">
        <f t="shared" si="313"/>
        <v>BEARISH</v>
      </c>
      <c r="S724">
        <f t="shared" si="317"/>
        <v>-1</v>
      </c>
    </row>
    <row r="725" spans="1:19" hidden="1" x14ac:dyDescent="0.25">
      <c r="A725" s="5" t="str">
        <f t="shared" si="314"/>
        <v>43920NYXBT</v>
      </c>
      <c r="B725" s="6" t="s">
        <v>84</v>
      </c>
      <c r="C725" s="6">
        <v>5105</v>
      </c>
      <c r="D725" s="6">
        <v>7270</v>
      </c>
      <c r="E725" s="6">
        <v>6644</v>
      </c>
      <c r="F725" t="str">
        <f t="shared" si="303"/>
        <v>MON</v>
      </c>
      <c r="G725" s="3">
        <f t="shared" si="304"/>
        <v>43920</v>
      </c>
      <c r="H725" s="2">
        <f t="shared" ca="1" si="305"/>
        <v>333</v>
      </c>
      <c r="I725" t="str">
        <f t="shared" si="306"/>
        <v>NYXBT</v>
      </c>
      <c r="J725">
        <f t="shared" si="307"/>
        <v>5105</v>
      </c>
      <c r="K725">
        <f t="shared" si="308"/>
        <v>7270</v>
      </c>
      <c r="L725">
        <f t="shared" si="309"/>
        <v>6187.5</v>
      </c>
      <c r="M725">
        <f t="shared" si="310"/>
        <v>1082.5</v>
      </c>
      <c r="N725">
        <f t="shared" si="315"/>
        <v>2165</v>
      </c>
      <c r="O725">
        <f t="shared" si="311"/>
        <v>6644</v>
      </c>
      <c r="P725">
        <f t="shared" si="312"/>
        <v>0.42170900692840646</v>
      </c>
      <c r="Q725" t="str">
        <f t="shared" si="316"/>
        <v>23.16% | 9.42%</v>
      </c>
      <c r="R725" t="str">
        <f t="shared" si="313"/>
        <v>BEARISH</v>
      </c>
      <c r="S725">
        <f t="shared" si="317"/>
        <v>-1</v>
      </c>
    </row>
    <row r="726" spans="1:19" hidden="1" x14ac:dyDescent="0.25">
      <c r="A726" s="5" t="str">
        <f t="shared" si="314"/>
        <v>43921UST10Y</v>
      </c>
      <c r="B726" s="6" t="s">
        <v>4</v>
      </c>
      <c r="C726" s="6">
        <v>0.99</v>
      </c>
      <c r="D726" s="6">
        <v>0.56000000000000005</v>
      </c>
      <c r="E726" s="6">
        <v>0.7</v>
      </c>
      <c r="F726" t="str">
        <f t="shared" si="303"/>
        <v>TUE</v>
      </c>
      <c r="G726" s="1">
        <f>DATE(2020,3,31)</f>
        <v>43921</v>
      </c>
      <c r="H726" s="2">
        <f t="shared" ca="1" si="305"/>
        <v>332</v>
      </c>
      <c r="I726" t="str">
        <f t="shared" si="306"/>
        <v>UST10Y</v>
      </c>
      <c r="J726">
        <f t="shared" si="307"/>
        <v>0.99</v>
      </c>
      <c r="K726">
        <f t="shared" si="308"/>
        <v>0.56000000000000005</v>
      </c>
      <c r="L726">
        <f t="shared" si="309"/>
        <v>0.77500000000000002</v>
      </c>
      <c r="M726">
        <f t="shared" si="310"/>
        <v>0.21499999999999991</v>
      </c>
      <c r="N726">
        <f t="shared" si="315"/>
        <v>0.42999999999999994</v>
      </c>
      <c r="O726">
        <f t="shared" si="311"/>
        <v>0.7</v>
      </c>
      <c r="P726">
        <f t="shared" si="312"/>
        <v>-0.34883720930232603</v>
      </c>
      <c r="Q726" t="str">
        <f t="shared" si="316"/>
        <v>41.43% | 20%</v>
      </c>
      <c r="R726" t="str">
        <f t="shared" si="313"/>
        <v>BEARISH</v>
      </c>
      <c r="S726">
        <f t="shared" si="317"/>
        <v>-1</v>
      </c>
    </row>
    <row r="727" spans="1:19" hidden="1" x14ac:dyDescent="0.25">
      <c r="A727" s="5" t="str">
        <f t="shared" si="314"/>
        <v>43921UST2Y</v>
      </c>
      <c r="B727" s="6" t="s">
        <v>5</v>
      </c>
      <c r="C727" s="6">
        <v>0.45</v>
      </c>
      <c r="D727" s="6">
        <v>0.15</v>
      </c>
      <c r="E727" s="6">
        <v>0.23</v>
      </c>
      <c r="F727" t="str">
        <f t="shared" ref="F727:F755" si="318">UPPER(TEXT(G727,"ddd"))</f>
        <v>TUE</v>
      </c>
      <c r="G727" s="1">
        <f t="shared" ref="G727:G754" si="319">DATE(2020,3,31)</f>
        <v>43921</v>
      </c>
      <c r="H727" s="2">
        <f t="shared" ref="H727:H755" ca="1" si="320">TODAY()-G727</f>
        <v>332</v>
      </c>
      <c r="I727" t="str">
        <f t="shared" ref="I727:I755" si="321">TRIM(LEFT(B727,FIND(" ",B727,1)))</f>
        <v>UST2Y</v>
      </c>
      <c r="J727">
        <f t="shared" ref="J727:J755" si="322">C727</f>
        <v>0.45</v>
      </c>
      <c r="K727">
        <f t="shared" ref="K727:K755" si="323">D727</f>
        <v>0.15</v>
      </c>
      <c r="L727">
        <f t="shared" ref="L727:L755" si="324">AVERAGE(J727:K727)</f>
        <v>0.3</v>
      </c>
      <c r="M727">
        <f t="shared" ref="M727:M755" si="325">_xlfn.STDEV.P(J727:K727)</f>
        <v>0.15000000000000002</v>
      </c>
      <c r="N727">
        <f t="shared" si="315"/>
        <v>0.30000000000000004</v>
      </c>
      <c r="O727">
        <f t="shared" ref="O727:O755" si="326">E727</f>
        <v>0.23</v>
      </c>
      <c r="P727">
        <f t="shared" ref="P727:P755" si="327">(O727-L727)/M727</f>
        <v>-0.46666666666666645</v>
      </c>
      <c r="Q727" t="str">
        <f t="shared" si="316"/>
        <v>95.65% | 34.78%</v>
      </c>
      <c r="R727" t="str">
        <f t="shared" ref="R727:R755" si="328">MID(B727,FIND("(",B727,1)+1,FIND(")",B727,1)-FIND("(",B727,1)-1)</f>
        <v>BEARISH</v>
      </c>
      <c r="S727">
        <f t="shared" si="317"/>
        <v>-1</v>
      </c>
    </row>
    <row r="728" spans="1:19" hidden="1" x14ac:dyDescent="0.25">
      <c r="A728" s="5" t="str">
        <f t="shared" si="314"/>
        <v>43921SPX</v>
      </c>
      <c r="B728" s="6" t="s">
        <v>6</v>
      </c>
      <c r="C728" s="6">
        <v>2199</v>
      </c>
      <c r="D728" s="6">
        <v>2719</v>
      </c>
      <c r="E728" s="6">
        <v>2626</v>
      </c>
      <c r="F728" t="str">
        <f t="shared" si="318"/>
        <v>TUE</v>
      </c>
      <c r="G728" s="1">
        <f t="shared" si="319"/>
        <v>43921</v>
      </c>
      <c r="H728" s="2">
        <f t="shared" ca="1" si="320"/>
        <v>332</v>
      </c>
      <c r="I728" t="str">
        <f t="shared" si="321"/>
        <v>SPX</v>
      </c>
      <c r="J728">
        <f t="shared" si="322"/>
        <v>2199</v>
      </c>
      <c r="K728">
        <f t="shared" si="323"/>
        <v>2719</v>
      </c>
      <c r="L728">
        <f t="shared" si="324"/>
        <v>2459</v>
      </c>
      <c r="M728">
        <f t="shared" si="325"/>
        <v>260</v>
      </c>
      <c r="N728">
        <f t="shared" si="315"/>
        <v>520</v>
      </c>
      <c r="O728">
        <f t="shared" si="326"/>
        <v>2626</v>
      </c>
      <c r="P728">
        <f t="shared" si="327"/>
        <v>0.64230769230769236</v>
      </c>
      <c r="Q728" t="str">
        <f t="shared" si="316"/>
        <v>16.26% | 3.54%</v>
      </c>
      <c r="R728" t="str">
        <f t="shared" si="328"/>
        <v>BEARISH</v>
      </c>
      <c r="S728">
        <f t="shared" si="317"/>
        <v>-1</v>
      </c>
    </row>
    <row r="729" spans="1:19" hidden="1" x14ac:dyDescent="0.25">
      <c r="A729" s="5" t="str">
        <f t="shared" si="314"/>
        <v>43921RUT</v>
      </c>
      <c r="B729" s="6" t="s">
        <v>7</v>
      </c>
      <c r="C729" s="6">
        <v>991</v>
      </c>
      <c r="D729" s="6">
        <v>1199</v>
      </c>
      <c r="E729" s="6">
        <v>1158</v>
      </c>
      <c r="F729" t="str">
        <f t="shared" si="318"/>
        <v>TUE</v>
      </c>
      <c r="G729" s="1">
        <f t="shared" si="319"/>
        <v>43921</v>
      </c>
      <c r="H729" s="2">
        <f t="shared" ca="1" si="320"/>
        <v>332</v>
      </c>
      <c r="I729" t="str">
        <f t="shared" si="321"/>
        <v>RUT</v>
      </c>
      <c r="J729">
        <f t="shared" si="322"/>
        <v>991</v>
      </c>
      <c r="K729">
        <f t="shared" si="323"/>
        <v>1199</v>
      </c>
      <c r="L729">
        <f t="shared" si="324"/>
        <v>1095</v>
      </c>
      <c r="M729">
        <f t="shared" si="325"/>
        <v>104</v>
      </c>
      <c r="N729">
        <f t="shared" si="315"/>
        <v>208</v>
      </c>
      <c r="O729">
        <f t="shared" si="326"/>
        <v>1158</v>
      </c>
      <c r="P729">
        <f t="shared" si="327"/>
        <v>0.60576923076923073</v>
      </c>
      <c r="Q729" t="str">
        <f t="shared" si="316"/>
        <v>14.42% | 3.54%</v>
      </c>
      <c r="R729" t="str">
        <f t="shared" si="328"/>
        <v>BEARISH</v>
      </c>
      <c r="S729">
        <f t="shared" si="317"/>
        <v>-1</v>
      </c>
    </row>
    <row r="730" spans="1:19" hidden="1" x14ac:dyDescent="0.25">
      <c r="A730" s="5" t="str">
        <f t="shared" si="314"/>
        <v>43921COMPQ</v>
      </c>
      <c r="B730" s="6" t="s">
        <v>64</v>
      </c>
      <c r="C730" s="6">
        <v>6622</v>
      </c>
      <c r="D730" s="6">
        <v>7882</v>
      </c>
      <c r="E730" s="6">
        <v>7774</v>
      </c>
      <c r="F730" t="str">
        <f t="shared" si="318"/>
        <v>TUE</v>
      </c>
      <c r="G730" s="1">
        <f t="shared" si="319"/>
        <v>43921</v>
      </c>
      <c r="H730" s="2">
        <f t="shared" ca="1" si="320"/>
        <v>332</v>
      </c>
      <c r="I730" t="str">
        <f t="shared" si="321"/>
        <v>COMPQ</v>
      </c>
      <c r="J730">
        <f t="shared" si="322"/>
        <v>6622</v>
      </c>
      <c r="K730">
        <f t="shared" si="323"/>
        <v>7882</v>
      </c>
      <c r="L730">
        <f t="shared" si="324"/>
        <v>7252</v>
      </c>
      <c r="M730">
        <f t="shared" si="325"/>
        <v>630</v>
      </c>
      <c r="N730">
        <f t="shared" si="315"/>
        <v>1260</v>
      </c>
      <c r="O730">
        <f t="shared" si="326"/>
        <v>7774</v>
      </c>
      <c r="P730">
        <f t="shared" si="327"/>
        <v>0.82857142857142863</v>
      </c>
      <c r="Q730" t="str">
        <f t="shared" si="316"/>
        <v>14.82% | 1.39%</v>
      </c>
      <c r="R730" t="str">
        <f t="shared" si="328"/>
        <v>BEARISH</v>
      </c>
      <c r="S730">
        <f t="shared" si="317"/>
        <v>-1</v>
      </c>
    </row>
    <row r="731" spans="1:19" hidden="1" x14ac:dyDescent="0.25">
      <c r="A731" s="5" t="str">
        <f t="shared" si="314"/>
        <v>43921XLU</v>
      </c>
      <c r="B731" s="6" t="s">
        <v>82</v>
      </c>
      <c r="C731" s="6">
        <v>44.02</v>
      </c>
      <c r="D731" s="6">
        <v>59.05</v>
      </c>
      <c r="E731" s="6">
        <v>57.74</v>
      </c>
      <c r="F731" t="str">
        <f t="shared" si="318"/>
        <v>TUE</v>
      </c>
      <c r="G731" s="1">
        <f t="shared" si="319"/>
        <v>43921</v>
      </c>
      <c r="H731" s="2">
        <f t="shared" ca="1" si="320"/>
        <v>332</v>
      </c>
      <c r="I731" t="str">
        <f t="shared" si="321"/>
        <v>XLU</v>
      </c>
      <c r="J731">
        <f t="shared" si="322"/>
        <v>44.02</v>
      </c>
      <c r="K731">
        <f t="shared" si="323"/>
        <v>59.05</v>
      </c>
      <c r="L731">
        <f t="shared" si="324"/>
        <v>51.534999999999997</v>
      </c>
      <c r="M731">
        <f t="shared" si="325"/>
        <v>7.5150000000000396</v>
      </c>
      <c r="N731">
        <f t="shared" si="315"/>
        <v>15.029999999999994</v>
      </c>
      <c r="O731">
        <f t="shared" si="326"/>
        <v>57.74</v>
      </c>
      <c r="P731">
        <f t="shared" si="327"/>
        <v>0.82568196939454064</v>
      </c>
      <c r="Q731" t="str">
        <f t="shared" si="316"/>
        <v>23.76% | 2.27%</v>
      </c>
      <c r="R731" t="str">
        <f t="shared" si="328"/>
        <v>BEARISH</v>
      </c>
      <c r="S731">
        <f t="shared" si="317"/>
        <v>-1</v>
      </c>
    </row>
    <row r="732" spans="1:19" hidden="1" x14ac:dyDescent="0.25">
      <c r="A732" s="5" t="str">
        <f t="shared" si="314"/>
        <v>43921VNQ</v>
      </c>
      <c r="B732" s="6" t="s">
        <v>67</v>
      </c>
      <c r="C732" s="6">
        <v>55</v>
      </c>
      <c r="D732" s="6">
        <v>73.989999999999995</v>
      </c>
      <c r="E732" s="6">
        <v>71.58</v>
      </c>
      <c r="F732" t="str">
        <f t="shared" si="318"/>
        <v>TUE</v>
      </c>
      <c r="G732" s="1">
        <f t="shared" si="319"/>
        <v>43921</v>
      </c>
      <c r="H732" s="2">
        <f t="shared" ca="1" si="320"/>
        <v>332</v>
      </c>
      <c r="I732" t="str">
        <f t="shared" si="321"/>
        <v>VNQ</v>
      </c>
      <c r="J732">
        <f t="shared" si="322"/>
        <v>55</v>
      </c>
      <c r="K732">
        <f t="shared" si="323"/>
        <v>73.989999999999995</v>
      </c>
      <c r="L732">
        <f t="shared" si="324"/>
        <v>64.495000000000005</v>
      </c>
      <c r="M732">
        <f t="shared" si="325"/>
        <v>9.4949999999999051</v>
      </c>
      <c r="N732">
        <f t="shared" si="315"/>
        <v>18.989999999999995</v>
      </c>
      <c r="O732">
        <f t="shared" si="326"/>
        <v>71.58</v>
      </c>
      <c r="P732">
        <f t="shared" si="327"/>
        <v>0.7461822011585113</v>
      </c>
      <c r="Q732" t="str">
        <f t="shared" si="316"/>
        <v>23.16% | 3.37%</v>
      </c>
      <c r="R732" t="str">
        <f t="shared" si="328"/>
        <v>BEARISH</v>
      </c>
      <c r="S732">
        <f t="shared" si="317"/>
        <v>-1</v>
      </c>
    </row>
    <row r="733" spans="1:19" hidden="1" x14ac:dyDescent="0.25">
      <c r="A733" s="5" t="str">
        <f t="shared" si="314"/>
        <v>43921XLP</v>
      </c>
      <c r="B733" s="6" t="s">
        <v>11</v>
      </c>
      <c r="C733" s="6">
        <v>47.76</v>
      </c>
      <c r="D733" s="6">
        <v>56.45</v>
      </c>
      <c r="E733" s="6">
        <v>55.6</v>
      </c>
      <c r="F733" t="str">
        <f t="shared" si="318"/>
        <v>TUE</v>
      </c>
      <c r="G733" s="1">
        <f t="shared" si="319"/>
        <v>43921</v>
      </c>
      <c r="H733" s="2">
        <f t="shared" ca="1" si="320"/>
        <v>332</v>
      </c>
      <c r="I733" t="str">
        <f t="shared" si="321"/>
        <v>XLP</v>
      </c>
      <c r="J733">
        <f t="shared" si="322"/>
        <v>47.76</v>
      </c>
      <c r="K733">
        <f t="shared" si="323"/>
        <v>56.45</v>
      </c>
      <c r="L733">
        <f t="shared" si="324"/>
        <v>52.105000000000004</v>
      </c>
      <c r="M733">
        <f t="shared" si="325"/>
        <v>4.3450000000000024</v>
      </c>
      <c r="N733">
        <f t="shared" si="315"/>
        <v>8.6900000000000048</v>
      </c>
      <c r="O733">
        <f t="shared" si="326"/>
        <v>55.6</v>
      </c>
      <c r="P733">
        <f t="shared" si="327"/>
        <v>0.80437284234752482</v>
      </c>
      <c r="Q733" t="str">
        <f t="shared" si="316"/>
        <v>14.1% | 1.53%</v>
      </c>
      <c r="R733" t="str">
        <f t="shared" si="328"/>
        <v>BEARISH</v>
      </c>
      <c r="S733">
        <f t="shared" si="317"/>
        <v>-1</v>
      </c>
    </row>
    <row r="734" spans="1:19" hidden="1" x14ac:dyDescent="0.25">
      <c r="A734" s="5" t="str">
        <f t="shared" si="314"/>
        <v>43921XLK</v>
      </c>
      <c r="B734" s="6" t="s">
        <v>65</v>
      </c>
      <c r="C734" s="6">
        <v>68.19</v>
      </c>
      <c r="D734" s="6">
        <v>84.48</v>
      </c>
      <c r="E734" s="6">
        <v>81.900000000000006</v>
      </c>
      <c r="F734" t="str">
        <f t="shared" si="318"/>
        <v>TUE</v>
      </c>
      <c r="G734" s="1">
        <f t="shared" si="319"/>
        <v>43921</v>
      </c>
      <c r="H734" s="2">
        <f t="shared" ca="1" si="320"/>
        <v>332</v>
      </c>
      <c r="I734" t="str">
        <f t="shared" si="321"/>
        <v>XLK</v>
      </c>
      <c r="J734">
        <f t="shared" si="322"/>
        <v>68.19</v>
      </c>
      <c r="K734">
        <f t="shared" si="323"/>
        <v>84.48</v>
      </c>
      <c r="L734">
        <f t="shared" si="324"/>
        <v>76.335000000000008</v>
      </c>
      <c r="M734">
        <f t="shared" si="325"/>
        <v>8.1449999999999818</v>
      </c>
      <c r="N734">
        <f t="shared" si="315"/>
        <v>16.290000000000006</v>
      </c>
      <c r="O734">
        <f t="shared" si="326"/>
        <v>81.900000000000006</v>
      </c>
      <c r="P734">
        <f t="shared" si="327"/>
        <v>0.68324125230202704</v>
      </c>
      <c r="Q734" t="str">
        <f t="shared" si="316"/>
        <v>16.74% | 3.15%</v>
      </c>
      <c r="R734" t="str">
        <f t="shared" si="328"/>
        <v>BEARISH</v>
      </c>
      <c r="S734">
        <f t="shared" si="317"/>
        <v>-1</v>
      </c>
    </row>
    <row r="735" spans="1:19" hidden="1" x14ac:dyDescent="0.25">
      <c r="A735" s="5" t="str">
        <f t="shared" si="314"/>
        <v>43921SSEC</v>
      </c>
      <c r="B735" s="6" t="s">
        <v>14</v>
      </c>
      <c r="C735" s="6">
        <v>2660</v>
      </c>
      <c r="D735" s="6">
        <v>2817</v>
      </c>
      <c r="E735" s="6">
        <v>2750</v>
      </c>
      <c r="F735" t="str">
        <f t="shared" si="318"/>
        <v>TUE</v>
      </c>
      <c r="G735" s="1">
        <f t="shared" si="319"/>
        <v>43921</v>
      </c>
      <c r="H735" s="2">
        <f t="shared" ca="1" si="320"/>
        <v>332</v>
      </c>
      <c r="I735" t="str">
        <f t="shared" si="321"/>
        <v>SSEC</v>
      </c>
      <c r="J735">
        <f t="shared" si="322"/>
        <v>2660</v>
      </c>
      <c r="K735">
        <f t="shared" si="323"/>
        <v>2817</v>
      </c>
      <c r="L735">
        <f t="shared" si="324"/>
        <v>2738.5</v>
      </c>
      <c r="M735">
        <f t="shared" si="325"/>
        <v>78.5</v>
      </c>
      <c r="N735">
        <f t="shared" si="315"/>
        <v>157</v>
      </c>
      <c r="O735">
        <f t="shared" si="326"/>
        <v>2750</v>
      </c>
      <c r="P735">
        <f t="shared" si="327"/>
        <v>0.1464968152866242</v>
      </c>
      <c r="Q735" t="str">
        <f t="shared" si="316"/>
        <v>3.27% | 2.44%</v>
      </c>
      <c r="R735" t="str">
        <f t="shared" si="328"/>
        <v>BEARISH</v>
      </c>
      <c r="S735">
        <f t="shared" si="317"/>
        <v>-1</v>
      </c>
    </row>
    <row r="736" spans="1:19" hidden="1" x14ac:dyDescent="0.25">
      <c r="A736" s="5" t="str">
        <f t="shared" si="314"/>
        <v>43921NIKK</v>
      </c>
      <c r="B736" s="6" t="s">
        <v>15</v>
      </c>
      <c r="C736" s="6">
        <v>15607</v>
      </c>
      <c r="D736" s="6">
        <v>19671</v>
      </c>
      <c r="E736" s="6">
        <v>18917</v>
      </c>
      <c r="F736" t="str">
        <f t="shared" si="318"/>
        <v>TUE</v>
      </c>
      <c r="G736" s="1">
        <f t="shared" si="319"/>
        <v>43921</v>
      </c>
      <c r="H736" s="2">
        <f t="shared" ca="1" si="320"/>
        <v>332</v>
      </c>
      <c r="I736" t="str">
        <f t="shared" si="321"/>
        <v>NIKK</v>
      </c>
      <c r="J736">
        <f t="shared" si="322"/>
        <v>15607</v>
      </c>
      <c r="K736">
        <f t="shared" si="323"/>
        <v>19671</v>
      </c>
      <c r="L736">
        <f t="shared" si="324"/>
        <v>17639</v>
      </c>
      <c r="M736">
        <f t="shared" si="325"/>
        <v>2032</v>
      </c>
      <c r="N736">
        <f t="shared" si="315"/>
        <v>4064</v>
      </c>
      <c r="O736">
        <f t="shared" si="326"/>
        <v>18917</v>
      </c>
      <c r="P736">
        <f t="shared" si="327"/>
        <v>0.62893700787401574</v>
      </c>
      <c r="Q736" t="str">
        <f t="shared" si="316"/>
        <v>17.5% | 3.99%</v>
      </c>
      <c r="R736" t="str">
        <f t="shared" si="328"/>
        <v>BEARISH</v>
      </c>
      <c r="S736">
        <f t="shared" si="317"/>
        <v>-1</v>
      </c>
    </row>
    <row r="737" spans="1:19" hidden="1" x14ac:dyDescent="0.25">
      <c r="A737" s="5" t="str">
        <f t="shared" si="314"/>
        <v>43921DAX</v>
      </c>
      <c r="B737" s="6" t="s">
        <v>16</v>
      </c>
      <c r="C737" s="6">
        <v>8128</v>
      </c>
      <c r="D737" s="6">
        <v>10485</v>
      </c>
      <c r="E737" s="6">
        <v>9815</v>
      </c>
      <c r="F737" t="str">
        <f t="shared" si="318"/>
        <v>TUE</v>
      </c>
      <c r="G737" s="1">
        <f t="shared" si="319"/>
        <v>43921</v>
      </c>
      <c r="H737" s="2">
        <f t="shared" ca="1" si="320"/>
        <v>332</v>
      </c>
      <c r="I737" t="str">
        <f t="shared" si="321"/>
        <v>DAX</v>
      </c>
      <c r="J737">
        <f t="shared" si="322"/>
        <v>8128</v>
      </c>
      <c r="K737">
        <f t="shared" si="323"/>
        <v>10485</v>
      </c>
      <c r="L737">
        <f t="shared" si="324"/>
        <v>9306.5</v>
      </c>
      <c r="M737">
        <f t="shared" si="325"/>
        <v>1178.5</v>
      </c>
      <c r="N737">
        <f t="shared" si="315"/>
        <v>2357</v>
      </c>
      <c r="O737">
        <f t="shared" si="326"/>
        <v>9815</v>
      </c>
      <c r="P737">
        <f t="shared" si="327"/>
        <v>0.43148069579974546</v>
      </c>
      <c r="Q737" t="str">
        <f t="shared" si="316"/>
        <v>17.19% | 6.83%</v>
      </c>
      <c r="R737" t="str">
        <f t="shared" si="328"/>
        <v>BEARISH</v>
      </c>
      <c r="S737">
        <f t="shared" si="317"/>
        <v>-1</v>
      </c>
    </row>
    <row r="738" spans="1:19" hidden="1" x14ac:dyDescent="0.25">
      <c r="A738" s="5" t="str">
        <f t="shared" si="314"/>
        <v>43921VIX</v>
      </c>
      <c r="B738" s="6" t="s">
        <v>17</v>
      </c>
      <c r="C738" s="6">
        <v>53.64</v>
      </c>
      <c r="D738" s="6">
        <v>79.27</v>
      </c>
      <c r="E738" s="6">
        <v>57.08</v>
      </c>
      <c r="F738" t="str">
        <f t="shared" si="318"/>
        <v>TUE</v>
      </c>
      <c r="G738" s="1">
        <f t="shared" si="319"/>
        <v>43921</v>
      </c>
      <c r="H738" s="2">
        <f t="shared" ca="1" si="320"/>
        <v>332</v>
      </c>
      <c r="I738" t="str">
        <f t="shared" si="321"/>
        <v>VIX</v>
      </c>
      <c r="J738">
        <f t="shared" si="322"/>
        <v>53.64</v>
      </c>
      <c r="K738">
        <f t="shared" si="323"/>
        <v>79.27</v>
      </c>
      <c r="L738">
        <f t="shared" si="324"/>
        <v>66.454999999999998</v>
      </c>
      <c r="M738">
        <f t="shared" si="325"/>
        <v>12.814999999999962</v>
      </c>
      <c r="N738">
        <f t="shared" si="315"/>
        <v>25.629999999999995</v>
      </c>
      <c r="O738">
        <f t="shared" si="326"/>
        <v>57.08</v>
      </c>
      <c r="P738">
        <f t="shared" si="327"/>
        <v>-0.73156457276629161</v>
      </c>
      <c r="Q738" t="str">
        <f t="shared" si="316"/>
        <v>6.03% | 38.88%</v>
      </c>
      <c r="R738" t="str">
        <f t="shared" si="328"/>
        <v>BULLISH</v>
      </c>
      <c r="S738">
        <f t="shared" si="317"/>
        <v>1</v>
      </c>
    </row>
    <row r="739" spans="1:19" hidden="1" x14ac:dyDescent="0.25">
      <c r="A739" s="5" t="str">
        <f t="shared" si="314"/>
        <v>43921USD</v>
      </c>
      <c r="B739" s="6" t="s">
        <v>18</v>
      </c>
      <c r="C739" s="6">
        <v>97.6</v>
      </c>
      <c r="D739" s="6">
        <v>105.13</v>
      </c>
      <c r="E739" s="6">
        <v>99.28</v>
      </c>
      <c r="F739" t="str">
        <f t="shared" si="318"/>
        <v>TUE</v>
      </c>
      <c r="G739" s="1">
        <f t="shared" si="319"/>
        <v>43921</v>
      </c>
      <c r="H739" s="2">
        <f t="shared" ca="1" si="320"/>
        <v>332</v>
      </c>
      <c r="I739" t="str">
        <f t="shared" si="321"/>
        <v>USD</v>
      </c>
      <c r="J739">
        <f t="shared" si="322"/>
        <v>97.6</v>
      </c>
      <c r="K739">
        <f t="shared" si="323"/>
        <v>105.13</v>
      </c>
      <c r="L739">
        <f t="shared" si="324"/>
        <v>101.36499999999999</v>
      </c>
      <c r="M739">
        <f t="shared" si="325"/>
        <v>3.7650000000000006</v>
      </c>
      <c r="N739">
        <f t="shared" si="315"/>
        <v>7.5300000000000011</v>
      </c>
      <c r="O739">
        <f t="shared" si="326"/>
        <v>99.28</v>
      </c>
      <c r="P739">
        <f t="shared" si="327"/>
        <v>-0.55378486055776721</v>
      </c>
      <c r="Q739" t="str">
        <f t="shared" si="316"/>
        <v>1.69% | 5.89%</v>
      </c>
      <c r="R739" t="str">
        <f t="shared" si="328"/>
        <v>BULLISH</v>
      </c>
      <c r="S739">
        <f t="shared" si="317"/>
        <v>1</v>
      </c>
    </row>
    <row r="740" spans="1:19" hidden="1" x14ac:dyDescent="0.25">
      <c r="A740" s="5" t="str">
        <f t="shared" si="314"/>
        <v>43921EUR/USD</v>
      </c>
      <c r="B740" s="6" t="s">
        <v>19</v>
      </c>
      <c r="C740" s="6">
        <v>1.05</v>
      </c>
      <c r="D740" s="6">
        <v>1.1100000000000001</v>
      </c>
      <c r="E740" s="6">
        <v>1.1000000000000001</v>
      </c>
      <c r="F740" t="str">
        <f t="shared" si="318"/>
        <v>TUE</v>
      </c>
      <c r="G740" s="1">
        <f t="shared" si="319"/>
        <v>43921</v>
      </c>
      <c r="H740" s="2">
        <f t="shared" ca="1" si="320"/>
        <v>332</v>
      </c>
      <c r="I740" t="str">
        <f t="shared" si="321"/>
        <v>EUR/USD</v>
      </c>
      <c r="J740">
        <f t="shared" si="322"/>
        <v>1.05</v>
      </c>
      <c r="K740">
        <f t="shared" si="323"/>
        <v>1.1100000000000001</v>
      </c>
      <c r="L740">
        <f t="shared" si="324"/>
        <v>1.08</v>
      </c>
      <c r="M740">
        <f t="shared" si="325"/>
        <v>3.0000000000000027E-2</v>
      </c>
      <c r="N740">
        <f t="shared" si="315"/>
        <v>6.0000000000000053E-2</v>
      </c>
      <c r="O740">
        <f t="shared" si="326"/>
        <v>1.1000000000000001</v>
      </c>
      <c r="P740">
        <f t="shared" si="327"/>
        <v>0.66666666666666663</v>
      </c>
      <c r="Q740" t="str">
        <f t="shared" si="316"/>
        <v>4.55% | 0.91%</v>
      </c>
      <c r="R740" t="str">
        <f t="shared" si="328"/>
        <v>BEARISH</v>
      </c>
      <c r="S740">
        <f t="shared" si="317"/>
        <v>-1</v>
      </c>
    </row>
    <row r="741" spans="1:19" hidden="1" x14ac:dyDescent="0.25">
      <c r="A741" s="5" t="str">
        <f t="shared" si="314"/>
        <v>43921USD/JPY</v>
      </c>
      <c r="B741" s="6" t="s">
        <v>86</v>
      </c>
      <c r="C741" s="6">
        <v>105.99</v>
      </c>
      <c r="D741" s="6">
        <v>111.87</v>
      </c>
      <c r="E741" s="6">
        <v>107.85</v>
      </c>
      <c r="F741" t="str">
        <f t="shared" si="318"/>
        <v>TUE</v>
      </c>
      <c r="G741" s="1">
        <f t="shared" si="319"/>
        <v>43921</v>
      </c>
      <c r="H741" s="2">
        <f t="shared" ca="1" si="320"/>
        <v>332</v>
      </c>
      <c r="I741" t="str">
        <f t="shared" si="321"/>
        <v>USD/JPY</v>
      </c>
      <c r="J741">
        <f t="shared" si="322"/>
        <v>105.99</v>
      </c>
      <c r="K741">
        <f t="shared" si="323"/>
        <v>111.87</v>
      </c>
      <c r="L741">
        <f t="shared" si="324"/>
        <v>108.93</v>
      </c>
      <c r="M741">
        <f t="shared" si="325"/>
        <v>2.9400000000000048</v>
      </c>
      <c r="N741">
        <f t="shared" si="315"/>
        <v>5.8800000000000097</v>
      </c>
      <c r="O741">
        <f t="shared" si="326"/>
        <v>107.85</v>
      </c>
      <c r="P741">
        <f t="shared" si="327"/>
        <v>-0.36734693877551383</v>
      </c>
      <c r="Q741" t="str">
        <f t="shared" si="316"/>
        <v>1.72% | 3.73%</v>
      </c>
      <c r="R741" t="str">
        <f t="shared" si="328"/>
        <v>NEUTRAL</v>
      </c>
      <c r="S741">
        <f t="shared" si="317"/>
        <v>0</v>
      </c>
    </row>
    <row r="742" spans="1:19" hidden="1" x14ac:dyDescent="0.25">
      <c r="A742" s="5" t="str">
        <f t="shared" si="314"/>
        <v>43921GBP/USD</v>
      </c>
      <c r="B742" s="6" t="s">
        <v>21</v>
      </c>
      <c r="C742" s="6">
        <v>1.1100000000000001</v>
      </c>
      <c r="D742" s="6">
        <v>1.24</v>
      </c>
      <c r="E742" s="6">
        <v>1.24</v>
      </c>
      <c r="F742" t="str">
        <f t="shared" si="318"/>
        <v>TUE</v>
      </c>
      <c r="G742" s="1">
        <f t="shared" si="319"/>
        <v>43921</v>
      </c>
      <c r="H742" s="2">
        <f t="shared" ca="1" si="320"/>
        <v>332</v>
      </c>
      <c r="I742" t="str">
        <f t="shared" si="321"/>
        <v>GBP/USD</v>
      </c>
      <c r="J742">
        <f t="shared" si="322"/>
        <v>1.1100000000000001</v>
      </c>
      <c r="K742">
        <f t="shared" si="323"/>
        <v>1.24</v>
      </c>
      <c r="L742">
        <f t="shared" si="324"/>
        <v>1.175</v>
      </c>
      <c r="M742">
        <f t="shared" si="325"/>
        <v>6.4999999999999947E-2</v>
      </c>
      <c r="N742">
        <f t="shared" si="315"/>
        <v>0.12999999999999989</v>
      </c>
      <c r="O742">
        <f t="shared" si="326"/>
        <v>1.24</v>
      </c>
      <c r="P742">
        <f t="shared" si="327"/>
        <v>1</v>
      </c>
      <c r="Q742" t="str">
        <f t="shared" si="316"/>
        <v>10.48% | 0%</v>
      </c>
      <c r="R742" t="str">
        <f t="shared" si="328"/>
        <v>BEARISH</v>
      </c>
      <c r="S742">
        <f t="shared" si="317"/>
        <v>-1</v>
      </c>
    </row>
    <row r="743" spans="1:19" hidden="1" x14ac:dyDescent="0.25">
      <c r="A743" s="5" t="str">
        <f t="shared" si="314"/>
        <v>43921USD/CHF</v>
      </c>
      <c r="B743" s="6" t="s">
        <v>22</v>
      </c>
      <c r="C743" s="6">
        <v>0.94</v>
      </c>
      <c r="D743" s="6">
        <v>0.99</v>
      </c>
      <c r="E743" s="6">
        <v>0.95</v>
      </c>
      <c r="F743" t="str">
        <f t="shared" si="318"/>
        <v>TUE</v>
      </c>
      <c r="G743" s="1">
        <f t="shared" si="319"/>
        <v>43921</v>
      </c>
      <c r="H743" s="2">
        <f t="shared" ca="1" si="320"/>
        <v>332</v>
      </c>
      <c r="I743" t="str">
        <f t="shared" si="321"/>
        <v>USD/CHF</v>
      </c>
      <c r="J743">
        <f t="shared" si="322"/>
        <v>0.94</v>
      </c>
      <c r="K743">
        <f t="shared" si="323"/>
        <v>0.99</v>
      </c>
      <c r="L743">
        <f t="shared" si="324"/>
        <v>0.96499999999999997</v>
      </c>
      <c r="M743">
        <f t="shared" si="325"/>
        <v>2.5000000000000022E-2</v>
      </c>
      <c r="N743">
        <f t="shared" si="315"/>
        <v>5.0000000000000044E-2</v>
      </c>
      <c r="O743">
        <f t="shared" si="326"/>
        <v>0.95</v>
      </c>
      <c r="P743">
        <f t="shared" si="327"/>
        <v>-0.6</v>
      </c>
      <c r="Q743" t="str">
        <f t="shared" si="316"/>
        <v>1.05% | 4.21%</v>
      </c>
      <c r="R743" t="str">
        <f t="shared" si="328"/>
        <v>NEUTRAL</v>
      </c>
      <c r="S743">
        <f t="shared" si="317"/>
        <v>0</v>
      </c>
    </row>
    <row r="744" spans="1:19" hidden="1" x14ac:dyDescent="0.25">
      <c r="A744" s="5" t="str">
        <f t="shared" si="314"/>
        <v>43921WTIC</v>
      </c>
      <c r="B744" s="6" t="s">
        <v>23</v>
      </c>
      <c r="C744" s="6">
        <v>19.04</v>
      </c>
      <c r="D744" s="6">
        <v>25.31</v>
      </c>
      <c r="E744" s="6">
        <v>20.09</v>
      </c>
      <c r="F744" t="str">
        <f t="shared" si="318"/>
        <v>TUE</v>
      </c>
      <c r="G744" s="1">
        <f t="shared" si="319"/>
        <v>43921</v>
      </c>
      <c r="H744" s="2">
        <f t="shared" ca="1" si="320"/>
        <v>332</v>
      </c>
      <c r="I744" t="str">
        <f t="shared" si="321"/>
        <v>WTIC</v>
      </c>
      <c r="J744">
        <f t="shared" si="322"/>
        <v>19.04</v>
      </c>
      <c r="K744">
        <f t="shared" si="323"/>
        <v>25.31</v>
      </c>
      <c r="L744">
        <f t="shared" si="324"/>
        <v>22.174999999999997</v>
      </c>
      <c r="M744">
        <f t="shared" si="325"/>
        <v>3.1350000000000233</v>
      </c>
      <c r="N744">
        <f t="shared" si="315"/>
        <v>6.27</v>
      </c>
      <c r="O744">
        <f t="shared" si="326"/>
        <v>20.09</v>
      </c>
      <c r="P744">
        <f t="shared" si="327"/>
        <v>-0.66507177033492237</v>
      </c>
      <c r="Q744" t="str">
        <f t="shared" si="316"/>
        <v>5.23% | 25.98%</v>
      </c>
      <c r="R744" t="str">
        <f t="shared" si="328"/>
        <v>BEARISH</v>
      </c>
      <c r="S744">
        <f t="shared" si="317"/>
        <v>-1</v>
      </c>
    </row>
    <row r="745" spans="1:19" hidden="1" x14ac:dyDescent="0.25">
      <c r="A745" s="5" t="str">
        <f t="shared" si="314"/>
        <v>43921NATGAS</v>
      </c>
      <c r="B745" s="6" t="s">
        <v>24</v>
      </c>
      <c r="C745" s="6">
        <v>1.49</v>
      </c>
      <c r="D745" s="6">
        <v>1.77</v>
      </c>
      <c r="E745" s="6">
        <v>1.69</v>
      </c>
      <c r="F745" t="str">
        <f t="shared" si="318"/>
        <v>TUE</v>
      </c>
      <c r="G745" s="1">
        <f t="shared" si="319"/>
        <v>43921</v>
      </c>
      <c r="H745" s="2">
        <f t="shared" ca="1" si="320"/>
        <v>332</v>
      </c>
      <c r="I745" t="str">
        <f t="shared" si="321"/>
        <v>NATGAS</v>
      </c>
      <c r="J745">
        <f t="shared" si="322"/>
        <v>1.49</v>
      </c>
      <c r="K745">
        <f t="shared" si="323"/>
        <v>1.77</v>
      </c>
      <c r="L745">
        <f t="shared" si="324"/>
        <v>1.63</v>
      </c>
      <c r="M745">
        <f t="shared" si="325"/>
        <v>0.14000000000000001</v>
      </c>
      <c r="N745">
        <f t="shared" si="315"/>
        <v>0.28000000000000003</v>
      </c>
      <c r="O745">
        <f t="shared" si="326"/>
        <v>1.69</v>
      </c>
      <c r="P745">
        <f t="shared" si="327"/>
        <v>0.42857142857142894</v>
      </c>
      <c r="Q745" t="str">
        <f t="shared" si="316"/>
        <v>11.83% | 4.73%</v>
      </c>
      <c r="R745" t="str">
        <f t="shared" si="328"/>
        <v>BEARISH</v>
      </c>
      <c r="S745">
        <f t="shared" si="317"/>
        <v>-1</v>
      </c>
    </row>
    <row r="746" spans="1:19" hidden="1" x14ac:dyDescent="0.25">
      <c r="A746" s="5" t="str">
        <f t="shared" si="314"/>
        <v>43921GOLD</v>
      </c>
      <c r="B746" s="6" t="s">
        <v>25</v>
      </c>
      <c r="C746" s="6">
        <v>1485</v>
      </c>
      <c r="D746" s="6">
        <v>1671</v>
      </c>
      <c r="E746" s="6">
        <v>1643</v>
      </c>
      <c r="F746" t="str">
        <f t="shared" si="318"/>
        <v>TUE</v>
      </c>
      <c r="G746" s="1">
        <f t="shared" si="319"/>
        <v>43921</v>
      </c>
      <c r="H746" s="2">
        <f t="shared" ca="1" si="320"/>
        <v>332</v>
      </c>
      <c r="I746" t="str">
        <f t="shared" si="321"/>
        <v>GOLD</v>
      </c>
      <c r="J746">
        <f t="shared" si="322"/>
        <v>1485</v>
      </c>
      <c r="K746">
        <f t="shared" si="323"/>
        <v>1671</v>
      </c>
      <c r="L746">
        <f t="shared" si="324"/>
        <v>1578</v>
      </c>
      <c r="M746">
        <f t="shared" si="325"/>
        <v>93</v>
      </c>
      <c r="N746">
        <f t="shared" si="315"/>
        <v>186</v>
      </c>
      <c r="O746">
        <f t="shared" si="326"/>
        <v>1643</v>
      </c>
      <c r="P746">
        <f t="shared" si="327"/>
        <v>0.69892473118279574</v>
      </c>
      <c r="Q746" t="str">
        <f t="shared" si="316"/>
        <v>9.62% | 1.7%</v>
      </c>
      <c r="R746" t="str">
        <f t="shared" si="328"/>
        <v>BULLISH</v>
      </c>
      <c r="S746">
        <f t="shared" si="317"/>
        <v>1</v>
      </c>
    </row>
    <row r="747" spans="1:19" hidden="1" x14ac:dyDescent="0.25">
      <c r="A747" s="5" t="str">
        <f t="shared" si="314"/>
        <v>43921COPPER</v>
      </c>
      <c r="B747" s="6" t="s">
        <v>26</v>
      </c>
      <c r="C747" s="6">
        <v>2.08</v>
      </c>
      <c r="D747" s="6">
        <v>2.2400000000000002</v>
      </c>
      <c r="E747" s="6">
        <v>2.16</v>
      </c>
      <c r="F747" t="str">
        <f t="shared" si="318"/>
        <v>TUE</v>
      </c>
      <c r="G747" s="1">
        <f t="shared" si="319"/>
        <v>43921</v>
      </c>
      <c r="H747" s="2">
        <f t="shared" ca="1" si="320"/>
        <v>332</v>
      </c>
      <c r="I747" t="str">
        <f t="shared" si="321"/>
        <v>COPPER</v>
      </c>
      <c r="J747">
        <f t="shared" si="322"/>
        <v>2.08</v>
      </c>
      <c r="K747">
        <f t="shared" si="323"/>
        <v>2.2400000000000002</v>
      </c>
      <c r="L747">
        <f t="shared" si="324"/>
        <v>2.16</v>
      </c>
      <c r="M747">
        <f t="shared" si="325"/>
        <v>8.0000000000000071E-2</v>
      </c>
      <c r="N747">
        <f t="shared" si="315"/>
        <v>0.16000000000000014</v>
      </c>
      <c r="O747">
        <f t="shared" si="326"/>
        <v>2.16</v>
      </c>
      <c r="P747">
        <f t="shared" si="327"/>
        <v>0</v>
      </c>
      <c r="Q747" t="str">
        <f t="shared" si="316"/>
        <v>3.7% | 3.7%</v>
      </c>
      <c r="R747" t="str">
        <f t="shared" si="328"/>
        <v>BEARISH</v>
      </c>
      <c r="S747">
        <f t="shared" si="317"/>
        <v>-1</v>
      </c>
    </row>
    <row r="748" spans="1:19" hidden="1" x14ac:dyDescent="0.25">
      <c r="A748" s="5" t="str">
        <f t="shared" si="314"/>
        <v>43921AAPL</v>
      </c>
      <c r="B748" s="6" t="s">
        <v>68</v>
      </c>
      <c r="C748" s="6">
        <v>222.61</v>
      </c>
      <c r="D748" s="6">
        <v>264.98</v>
      </c>
      <c r="E748" s="6">
        <v>254.81</v>
      </c>
      <c r="F748" t="str">
        <f t="shared" si="318"/>
        <v>TUE</v>
      </c>
      <c r="G748" s="1">
        <f t="shared" si="319"/>
        <v>43921</v>
      </c>
      <c r="H748" s="2">
        <f t="shared" ca="1" si="320"/>
        <v>332</v>
      </c>
      <c r="I748" t="str">
        <f t="shared" si="321"/>
        <v>AAPL</v>
      </c>
      <c r="J748">
        <f t="shared" si="322"/>
        <v>222.61</v>
      </c>
      <c r="K748">
        <f t="shared" si="323"/>
        <v>264.98</v>
      </c>
      <c r="L748">
        <f t="shared" si="324"/>
        <v>243.79500000000002</v>
      </c>
      <c r="M748">
        <f t="shared" si="325"/>
        <v>21.185000000000002</v>
      </c>
      <c r="N748">
        <f t="shared" si="315"/>
        <v>42.370000000000005</v>
      </c>
      <c r="O748">
        <f t="shared" si="326"/>
        <v>254.81</v>
      </c>
      <c r="P748">
        <f t="shared" si="327"/>
        <v>0.51994335614821741</v>
      </c>
      <c r="Q748" t="str">
        <f t="shared" si="316"/>
        <v>12.64% | 3.99%</v>
      </c>
      <c r="R748" t="str">
        <f t="shared" si="328"/>
        <v>BEARISH</v>
      </c>
      <c r="S748">
        <f t="shared" si="317"/>
        <v>-1</v>
      </c>
    </row>
    <row r="749" spans="1:19" hidden="1" x14ac:dyDescent="0.25">
      <c r="A749" s="5" t="str">
        <f t="shared" si="314"/>
        <v>43921AMZN</v>
      </c>
      <c r="B749" s="6" t="s">
        <v>69</v>
      </c>
      <c r="C749" s="6">
        <v>1803</v>
      </c>
      <c r="D749" s="6">
        <v>1993</v>
      </c>
      <c r="E749" s="6">
        <v>1963</v>
      </c>
      <c r="F749" t="str">
        <f t="shared" si="318"/>
        <v>TUE</v>
      </c>
      <c r="G749" s="1">
        <f t="shared" si="319"/>
        <v>43921</v>
      </c>
      <c r="H749" s="2">
        <f t="shared" ca="1" si="320"/>
        <v>332</v>
      </c>
      <c r="I749" t="str">
        <f t="shared" si="321"/>
        <v>AMZN</v>
      </c>
      <c r="J749">
        <f t="shared" si="322"/>
        <v>1803</v>
      </c>
      <c r="K749">
        <f t="shared" si="323"/>
        <v>1993</v>
      </c>
      <c r="L749">
        <f t="shared" si="324"/>
        <v>1898</v>
      </c>
      <c r="M749">
        <f t="shared" si="325"/>
        <v>95</v>
      </c>
      <c r="N749">
        <f t="shared" si="315"/>
        <v>190</v>
      </c>
      <c r="O749">
        <f t="shared" si="326"/>
        <v>1963</v>
      </c>
      <c r="P749">
        <f t="shared" si="327"/>
        <v>0.68421052631578949</v>
      </c>
      <c r="Q749" t="str">
        <f t="shared" si="316"/>
        <v>8.15% | 1.53%</v>
      </c>
      <c r="R749" t="str">
        <f t="shared" si="328"/>
        <v>NEUTRAL</v>
      </c>
      <c r="S749">
        <f t="shared" si="317"/>
        <v>0</v>
      </c>
    </row>
    <row r="750" spans="1:19" hidden="1" x14ac:dyDescent="0.25">
      <c r="A750" s="5" t="str">
        <f t="shared" si="314"/>
        <v>43921FB</v>
      </c>
      <c r="B750" s="6" t="s">
        <v>58</v>
      </c>
      <c r="C750" s="6">
        <v>141</v>
      </c>
      <c r="D750" s="6">
        <v>169</v>
      </c>
      <c r="E750" s="6">
        <v>165</v>
      </c>
      <c r="F750" t="str">
        <f t="shared" si="318"/>
        <v>TUE</v>
      </c>
      <c r="G750" s="1">
        <f t="shared" si="319"/>
        <v>43921</v>
      </c>
      <c r="H750" s="2">
        <f t="shared" ca="1" si="320"/>
        <v>332</v>
      </c>
      <c r="I750" t="str">
        <f t="shared" si="321"/>
        <v>FB</v>
      </c>
      <c r="J750">
        <f t="shared" si="322"/>
        <v>141</v>
      </c>
      <c r="K750">
        <f t="shared" si="323"/>
        <v>169</v>
      </c>
      <c r="L750">
        <f t="shared" si="324"/>
        <v>155</v>
      </c>
      <c r="M750">
        <f t="shared" si="325"/>
        <v>14</v>
      </c>
      <c r="N750">
        <f t="shared" si="315"/>
        <v>28</v>
      </c>
      <c r="O750">
        <f t="shared" si="326"/>
        <v>165</v>
      </c>
      <c r="P750">
        <f t="shared" si="327"/>
        <v>0.7142857142857143</v>
      </c>
      <c r="Q750" t="str">
        <f t="shared" si="316"/>
        <v>14.55% | 2.42%</v>
      </c>
      <c r="R750" t="str">
        <f t="shared" si="328"/>
        <v>BEARISH</v>
      </c>
      <c r="S750">
        <f t="shared" si="317"/>
        <v>-1</v>
      </c>
    </row>
    <row r="751" spans="1:19" hidden="1" x14ac:dyDescent="0.25">
      <c r="A751" s="5" t="str">
        <f t="shared" si="314"/>
        <v>43921GOOGL</v>
      </c>
      <c r="B751" s="6" t="s">
        <v>66</v>
      </c>
      <c r="C751" s="6">
        <v>1032</v>
      </c>
      <c r="D751" s="6">
        <v>1184</v>
      </c>
      <c r="E751" s="6">
        <v>1146</v>
      </c>
      <c r="F751" t="str">
        <f t="shared" si="318"/>
        <v>TUE</v>
      </c>
      <c r="G751" s="1">
        <f t="shared" si="319"/>
        <v>43921</v>
      </c>
      <c r="H751" s="2">
        <f t="shared" ca="1" si="320"/>
        <v>332</v>
      </c>
      <c r="I751" t="str">
        <f t="shared" si="321"/>
        <v>GOOGL</v>
      </c>
      <c r="J751">
        <f t="shared" si="322"/>
        <v>1032</v>
      </c>
      <c r="K751">
        <f t="shared" si="323"/>
        <v>1184</v>
      </c>
      <c r="L751">
        <f t="shared" si="324"/>
        <v>1108</v>
      </c>
      <c r="M751">
        <f t="shared" si="325"/>
        <v>76</v>
      </c>
      <c r="N751">
        <f t="shared" si="315"/>
        <v>152</v>
      </c>
      <c r="O751">
        <f t="shared" si="326"/>
        <v>1146</v>
      </c>
      <c r="P751">
        <f t="shared" si="327"/>
        <v>0.5</v>
      </c>
      <c r="Q751" t="str">
        <f t="shared" si="316"/>
        <v>9.95% | 3.32%</v>
      </c>
      <c r="R751" t="str">
        <f t="shared" si="328"/>
        <v>BEARISH</v>
      </c>
      <c r="S751">
        <f t="shared" si="317"/>
        <v>-1</v>
      </c>
    </row>
    <row r="752" spans="1:19" hidden="1" x14ac:dyDescent="0.25">
      <c r="A752" s="5" t="str">
        <f t="shared" si="314"/>
        <v>43921NFLX</v>
      </c>
      <c r="B752" s="6" t="s">
        <v>70</v>
      </c>
      <c r="C752" s="6">
        <v>314</v>
      </c>
      <c r="D752" s="6">
        <v>385</v>
      </c>
      <c r="E752" s="6">
        <v>370</v>
      </c>
      <c r="F752" t="str">
        <f t="shared" si="318"/>
        <v>TUE</v>
      </c>
      <c r="G752" s="1">
        <f t="shared" si="319"/>
        <v>43921</v>
      </c>
      <c r="H752" s="2">
        <f t="shared" ca="1" si="320"/>
        <v>332</v>
      </c>
      <c r="I752" t="str">
        <f t="shared" si="321"/>
        <v>NFLX</v>
      </c>
      <c r="J752">
        <f t="shared" si="322"/>
        <v>314</v>
      </c>
      <c r="K752">
        <f t="shared" si="323"/>
        <v>385</v>
      </c>
      <c r="L752">
        <f t="shared" si="324"/>
        <v>349.5</v>
      </c>
      <c r="M752">
        <f t="shared" si="325"/>
        <v>35.5</v>
      </c>
      <c r="N752">
        <f t="shared" si="315"/>
        <v>71</v>
      </c>
      <c r="O752">
        <f t="shared" si="326"/>
        <v>370</v>
      </c>
      <c r="P752">
        <f t="shared" si="327"/>
        <v>0.57746478873239437</v>
      </c>
      <c r="Q752" t="str">
        <f t="shared" si="316"/>
        <v>15.14% | 4.05%</v>
      </c>
      <c r="R752" t="str">
        <f t="shared" si="328"/>
        <v>NEUTRAL</v>
      </c>
      <c r="S752">
        <f t="shared" si="317"/>
        <v>0</v>
      </c>
    </row>
    <row r="753" spans="1:19" x14ac:dyDescent="0.25">
      <c r="A753" s="5" t="str">
        <f t="shared" si="314"/>
        <v>43921TSLA</v>
      </c>
      <c r="B753" s="6" t="s">
        <v>83</v>
      </c>
      <c r="C753" s="6">
        <v>347</v>
      </c>
      <c r="D753" s="6">
        <v>568</v>
      </c>
      <c r="E753" s="6">
        <v>502</v>
      </c>
      <c r="F753" t="str">
        <f t="shared" si="318"/>
        <v>TUE</v>
      </c>
      <c r="G753" s="1">
        <f t="shared" si="319"/>
        <v>43921</v>
      </c>
      <c r="H753" s="2">
        <f t="shared" ca="1" si="320"/>
        <v>332</v>
      </c>
      <c r="I753" t="str">
        <f t="shared" si="321"/>
        <v>TSLA</v>
      </c>
      <c r="J753">
        <f t="shared" si="322"/>
        <v>347</v>
      </c>
      <c r="K753">
        <f t="shared" si="323"/>
        <v>568</v>
      </c>
      <c r="L753">
        <f t="shared" si="324"/>
        <v>457.5</v>
      </c>
      <c r="M753">
        <f t="shared" si="325"/>
        <v>110.5</v>
      </c>
      <c r="N753">
        <f t="shared" si="315"/>
        <v>221</v>
      </c>
      <c r="O753">
        <f t="shared" si="326"/>
        <v>502</v>
      </c>
      <c r="P753">
        <f t="shared" si="327"/>
        <v>0.40271493212669685</v>
      </c>
      <c r="Q753" t="str">
        <f t="shared" si="316"/>
        <v>30.88% | 13.15%</v>
      </c>
      <c r="R753" t="str">
        <f t="shared" si="328"/>
        <v>BEARISH</v>
      </c>
      <c r="S753">
        <f t="shared" si="317"/>
        <v>-1</v>
      </c>
    </row>
    <row r="754" spans="1:19" hidden="1" x14ac:dyDescent="0.25">
      <c r="A754" s="5" t="str">
        <f t="shared" si="314"/>
        <v>43921NYXBT</v>
      </c>
      <c r="B754" s="6" t="s">
        <v>84</v>
      </c>
      <c r="C754" s="6">
        <v>5208</v>
      </c>
      <c r="D754" s="6">
        <v>7184</v>
      </c>
      <c r="E754" s="6">
        <v>6343</v>
      </c>
      <c r="F754" t="str">
        <f t="shared" si="318"/>
        <v>TUE</v>
      </c>
      <c r="G754" s="1">
        <f t="shared" si="319"/>
        <v>43921</v>
      </c>
      <c r="H754" s="2">
        <f t="shared" ca="1" si="320"/>
        <v>332</v>
      </c>
      <c r="I754" t="str">
        <f t="shared" si="321"/>
        <v>NYXBT</v>
      </c>
      <c r="J754">
        <f t="shared" si="322"/>
        <v>5208</v>
      </c>
      <c r="K754">
        <f t="shared" si="323"/>
        <v>7184</v>
      </c>
      <c r="L754">
        <f t="shared" si="324"/>
        <v>6196</v>
      </c>
      <c r="M754">
        <f t="shared" si="325"/>
        <v>988</v>
      </c>
      <c r="N754">
        <f t="shared" si="315"/>
        <v>1976</v>
      </c>
      <c r="O754">
        <f t="shared" si="326"/>
        <v>6343</v>
      </c>
      <c r="P754">
        <f t="shared" si="327"/>
        <v>0.14878542510121456</v>
      </c>
      <c r="Q754" t="str">
        <f t="shared" si="316"/>
        <v>17.89% | 13.26%</v>
      </c>
      <c r="R754" t="str">
        <f t="shared" si="328"/>
        <v>BEARISH</v>
      </c>
      <c r="S754">
        <f t="shared" si="317"/>
        <v>-1</v>
      </c>
    </row>
    <row r="755" spans="1:19" hidden="1" x14ac:dyDescent="0.25">
      <c r="A755" s="5" t="str">
        <f t="shared" si="314"/>
        <v>43922UST10Y</v>
      </c>
      <c r="B755" s="6" t="s">
        <v>4</v>
      </c>
      <c r="C755" s="6">
        <v>0.98</v>
      </c>
      <c r="D755" s="6">
        <v>0.56999999999999995</v>
      </c>
      <c r="E755" s="6">
        <v>0.7</v>
      </c>
      <c r="F755" t="str">
        <f t="shared" si="318"/>
        <v>WED</v>
      </c>
      <c r="G755" s="3">
        <f>DATE(2020,4,1)</f>
        <v>43922</v>
      </c>
      <c r="H755" s="2">
        <f t="shared" ca="1" si="320"/>
        <v>331</v>
      </c>
      <c r="I755" t="str">
        <f t="shared" si="321"/>
        <v>UST10Y</v>
      </c>
      <c r="J755">
        <f t="shared" si="322"/>
        <v>0.98</v>
      </c>
      <c r="K755">
        <f t="shared" si="323"/>
        <v>0.56999999999999995</v>
      </c>
      <c r="L755">
        <f t="shared" si="324"/>
        <v>0.77499999999999991</v>
      </c>
      <c r="M755">
        <f t="shared" si="325"/>
        <v>0.20500000000000021</v>
      </c>
      <c r="N755">
        <f t="shared" si="315"/>
        <v>0.41000000000000003</v>
      </c>
      <c r="O755">
        <f t="shared" si="326"/>
        <v>0.7</v>
      </c>
      <c r="P755">
        <f t="shared" si="327"/>
        <v>-0.36585365853658475</v>
      </c>
      <c r="Q755" t="str">
        <f t="shared" si="316"/>
        <v>40% | 18.57%</v>
      </c>
      <c r="R755" t="str">
        <f t="shared" si="328"/>
        <v>BEARISH</v>
      </c>
      <c r="S755">
        <f t="shared" si="317"/>
        <v>-1</v>
      </c>
    </row>
    <row r="756" spans="1:19" hidden="1" x14ac:dyDescent="0.25">
      <c r="A756" s="5" t="str">
        <f t="shared" si="314"/>
        <v>43922UST2Y</v>
      </c>
      <c r="B756" s="6" t="s">
        <v>5</v>
      </c>
      <c r="C756" s="6">
        <v>0.32</v>
      </c>
      <c r="D756" s="6">
        <v>0.16</v>
      </c>
      <c r="E756" s="6">
        <v>0.23</v>
      </c>
      <c r="F756" t="str">
        <f t="shared" ref="F756:F784" si="329">UPPER(TEXT(G756,"ddd"))</f>
        <v>WED</v>
      </c>
      <c r="G756" s="3">
        <f t="shared" ref="G756:G783" si="330">DATE(2020,4,1)</f>
        <v>43922</v>
      </c>
      <c r="H756" s="2">
        <f t="shared" ref="H756:H784" ca="1" si="331">TODAY()-G756</f>
        <v>331</v>
      </c>
      <c r="I756" t="str">
        <f t="shared" ref="I756:I784" si="332">TRIM(LEFT(B756,FIND(" ",B756,1)))</f>
        <v>UST2Y</v>
      </c>
      <c r="J756">
        <f t="shared" ref="J756:J784" si="333">C756</f>
        <v>0.32</v>
      </c>
      <c r="K756">
        <f t="shared" ref="K756:K784" si="334">D756</f>
        <v>0.16</v>
      </c>
      <c r="L756">
        <f t="shared" ref="L756:L784" si="335">AVERAGE(J756:K756)</f>
        <v>0.24</v>
      </c>
      <c r="M756">
        <f t="shared" ref="M756:M784" si="336">_xlfn.STDEV.P(J756:K756)</f>
        <v>8.0000000000000016E-2</v>
      </c>
      <c r="N756">
        <f t="shared" si="315"/>
        <v>0.16</v>
      </c>
      <c r="O756">
        <f t="shared" ref="O756:O784" si="337">E756</f>
        <v>0.23</v>
      </c>
      <c r="P756">
        <f t="shared" ref="P756:P784" si="338">(O756-L756)/M756</f>
        <v>-0.12499999999999974</v>
      </c>
      <c r="Q756" t="str">
        <f t="shared" si="316"/>
        <v>39.13% | 30.43%</v>
      </c>
      <c r="R756" t="str">
        <f t="shared" ref="R756:R784" si="339">MID(B756,FIND("(",B756,1)+1,FIND(")",B756,1)-FIND("(",B756,1)-1)</f>
        <v>BEARISH</v>
      </c>
      <c r="S756">
        <f t="shared" si="317"/>
        <v>-1</v>
      </c>
    </row>
    <row r="757" spans="1:19" hidden="1" x14ac:dyDescent="0.25">
      <c r="A757" s="5" t="str">
        <f t="shared" si="314"/>
        <v>43922SPX</v>
      </c>
      <c r="B757" s="6" t="s">
        <v>6</v>
      </c>
      <c r="C757" s="6">
        <v>2201</v>
      </c>
      <c r="D757" s="6">
        <v>2709</v>
      </c>
      <c r="E757" s="6">
        <v>2584</v>
      </c>
      <c r="F757" t="str">
        <f t="shared" si="329"/>
        <v>WED</v>
      </c>
      <c r="G757" s="3">
        <f t="shared" si="330"/>
        <v>43922</v>
      </c>
      <c r="H757" s="2">
        <f t="shared" ca="1" si="331"/>
        <v>331</v>
      </c>
      <c r="I757" t="str">
        <f t="shared" si="332"/>
        <v>SPX</v>
      </c>
      <c r="J757">
        <f t="shared" si="333"/>
        <v>2201</v>
      </c>
      <c r="K757">
        <f t="shared" si="334"/>
        <v>2709</v>
      </c>
      <c r="L757">
        <f t="shared" si="335"/>
        <v>2455</v>
      </c>
      <c r="M757">
        <f t="shared" si="336"/>
        <v>254</v>
      </c>
      <c r="N757">
        <f t="shared" si="315"/>
        <v>508</v>
      </c>
      <c r="O757">
        <f t="shared" si="337"/>
        <v>2584</v>
      </c>
      <c r="P757">
        <f t="shared" si="338"/>
        <v>0.50787401574803148</v>
      </c>
      <c r="Q757" t="str">
        <f t="shared" si="316"/>
        <v>14.82% | 4.84%</v>
      </c>
      <c r="R757" t="str">
        <f t="shared" si="339"/>
        <v>BEARISH</v>
      </c>
      <c r="S757">
        <f t="shared" si="317"/>
        <v>-1</v>
      </c>
    </row>
    <row r="758" spans="1:19" hidden="1" x14ac:dyDescent="0.25">
      <c r="A758" s="5" t="str">
        <f t="shared" si="314"/>
        <v>43922RUT</v>
      </c>
      <c r="B758" s="6" t="s">
        <v>7</v>
      </c>
      <c r="C758" s="6">
        <v>992</v>
      </c>
      <c r="D758" s="6">
        <v>1193</v>
      </c>
      <c r="E758" s="6">
        <v>1153</v>
      </c>
      <c r="F758" t="str">
        <f t="shared" si="329"/>
        <v>WED</v>
      </c>
      <c r="G758" s="3">
        <f t="shared" si="330"/>
        <v>43922</v>
      </c>
      <c r="H758" s="2">
        <f t="shared" ca="1" si="331"/>
        <v>331</v>
      </c>
      <c r="I758" t="str">
        <f t="shared" si="332"/>
        <v>RUT</v>
      </c>
      <c r="J758">
        <f t="shared" si="333"/>
        <v>992</v>
      </c>
      <c r="K758">
        <f t="shared" si="334"/>
        <v>1193</v>
      </c>
      <c r="L758">
        <f t="shared" si="335"/>
        <v>1092.5</v>
      </c>
      <c r="M758">
        <f t="shared" si="336"/>
        <v>100.5</v>
      </c>
      <c r="N758">
        <f t="shared" si="315"/>
        <v>201</v>
      </c>
      <c r="O758">
        <f t="shared" si="337"/>
        <v>1153</v>
      </c>
      <c r="P758">
        <f t="shared" si="338"/>
        <v>0.60199004975124382</v>
      </c>
      <c r="Q758" t="str">
        <f t="shared" si="316"/>
        <v>13.96% | 3.47%</v>
      </c>
      <c r="R758" t="str">
        <f t="shared" si="339"/>
        <v>BEARISH</v>
      </c>
      <c r="S758">
        <f t="shared" si="317"/>
        <v>-1</v>
      </c>
    </row>
    <row r="759" spans="1:19" hidden="1" x14ac:dyDescent="0.25">
      <c r="A759" s="5" t="str">
        <f t="shared" si="314"/>
        <v>43922COMPQ</v>
      </c>
      <c r="B759" s="6" t="s">
        <v>64</v>
      </c>
      <c r="C759" s="6">
        <v>6702</v>
      </c>
      <c r="D759" s="6">
        <v>7932</v>
      </c>
      <c r="E759" s="6">
        <v>7700</v>
      </c>
      <c r="F759" t="str">
        <f t="shared" si="329"/>
        <v>WED</v>
      </c>
      <c r="G759" s="3">
        <f t="shared" si="330"/>
        <v>43922</v>
      </c>
      <c r="H759" s="2">
        <f t="shared" ca="1" si="331"/>
        <v>331</v>
      </c>
      <c r="I759" t="str">
        <f t="shared" si="332"/>
        <v>COMPQ</v>
      </c>
      <c r="J759">
        <f t="shared" si="333"/>
        <v>6702</v>
      </c>
      <c r="K759">
        <f t="shared" si="334"/>
        <v>7932</v>
      </c>
      <c r="L759">
        <f t="shared" si="335"/>
        <v>7317</v>
      </c>
      <c r="M759">
        <f t="shared" si="336"/>
        <v>615</v>
      </c>
      <c r="N759">
        <f t="shared" si="315"/>
        <v>1230</v>
      </c>
      <c r="O759">
        <f t="shared" si="337"/>
        <v>7700</v>
      </c>
      <c r="P759">
        <f t="shared" si="338"/>
        <v>0.62276422764227646</v>
      </c>
      <c r="Q759" t="str">
        <f t="shared" si="316"/>
        <v>12.96% | 3.01%</v>
      </c>
      <c r="R759" t="str">
        <f t="shared" si="339"/>
        <v>BEARISH</v>
      </c>
      <c r="S759">
        <f t="shared" si="317"/>
        <v>-1</v>
      </c>
    </row>
    <row r="760" spans="1:19" hidden="1" x14ac:dyDescent="0.25">
      <c r="A760" s="5" t="str">
        <f t="shared" si="314"/>
        <v>43922XLU</v>
      </c>
      <c r="B760" s="6" t="s">
        <v>82</v>
      </c>
      <c r="C760" s="6">
        <v>44</v>
      </c>
      <c r="D760" s="6">
        <v>58.38</v>
      </c>
      <c r="E760" s="6">
        <v>55.41</v>
      </c>
      <c r="F760" t="str">
        <f t="shared" si="329"/>
        <v>WED</v>
      </c>
      <c r="G760" s="3">
        <f t="shared" si="330"/>
        <v>43922</v>
      </c>
      <c r="H760" s="2">
        <f t="shared" ca="1" si="331"/>
        <v>331</v>
      </c>
      <c r="I760" t="str">
        <f t="shared" si="332"/>
        <v>XLU</v>
      </c>
      <c r="J760">
        <f t="shared" si="333"/>
        <v>44</v>
      </c>
      <c r="K760">
        <f t="shared" si="334"/>
        <v>58.38</v>
      </c>
      <c r="L760">
        <f t="shared" si="335"/>
        <v>51.19</v>
      </c>
      <c r="M760">
        <f t="shared" si="336"/>
        <v>7.1900000000000395</v>
      </c>
      <c r="N760">
        <f t="shared" si="315"/>
        <v>14.380000000000003</v>
      </c>
      <c r="O760">
        <f t="shared" si="337"/>
        <v>55.41</v>
      </c>
      <c r="P760">
        <f t="shared" si="338"/>
        <v>0.586926286509037</v>
      </c>
      <c r="Q760" t="str">
        <f t="shared" si="316"/>
        <v>20.59% | 5.36%</v>
      </c>
      <c r="R760" t="str">
        <f t="shared" si="339"/>
        <v>BEARISH</v>
      </c>
      <c r="S760">
        <f t="shared" si="317"/>
        <v>-1</v>
      </c>
    </row>
    <row r="761" spans="1:19" hidden="1" x14ac:dyDescent="0.25">
      <c r="A761" s="5" t="str">
        <f t="shared" si="314"/>
        <v>43922VNQ</v>
      </c>
      <c r="B761" s="6" t="s">
        <v>67</v>
      </c>
      <c r="C761" s="6">
        <v>55.2</v>
      </c>
      <c r="D761" s="6">
        <v>73.989999999999995</v>
      </c>
      <c r="E761" s="6">
        <v>69.849999999999994</v>
      </c>
      <c r="F761" t="str">
        <f t="shared" si="329"/>
        <v>WED</v>
      </c>
      <c r="G761" s="3">
        <f t="shared" si="330"/>
        <v>43922</v>
      </c>
      <c r="H761" s="2">
        <f t="shared" ca="1" si="331"/>
        <v>331</v>
      </c>
      <c r="I761" t="str">
        <f t="shared" si="332"/>
        <v>VNQ</v>
      </c>
      <c r="J761">
        <f t="shared" si="333"/>
        <v>55.2</v>
      </c>
      <c r="K761">
        <f t="shared" si="334"/>
        <v>73.989999999999995</v>
      </c>
      <c r="L761">
        <f t="shared" si="335"/>
        <v>64.594999999999999</v>
      </c>
      <c r="M761">
        <f t="shared" si="336"/>
        <v>9.3949999999999942</v>
      </c>
      <c r="N761">
        <f t="shared" si="315"/>
        <v>18.789999999999992</v>
      </c>
      <c r="O761">
        <f t="shared" si="337"/>
        <v>69.849999999999994</v>
      </c>
      <c r="P761">
        <f t="shared" si="338"/>
        <v>0.55934007450771672</v>
      </c>
      <c r="Q761" t="str">
        <f t="shared" si="316"/>
        <v>20.97% | 5.93%</v>
      </c>
      <c r="R761" t="str">
        <f t="shared" si="339"/>
        <v>BEARISH</v>
      </c>
      <c r="S761">
        <f t="shared" si="317"/>
        <v>-1</v>
      </c>
    </row>
    <row r="762" spans="1:19" hidden="1" x14ac:dyDescent="0.25">
      <c r="A762" s="5" t="str">
        <f t="shared" si="314"/>
        <v>43922XLP</v>
      </c>
      <c r="B762" s="6" t="s">
        <v>11</v>
      </c>
      <c r="C762" s="6">
        <v>48.06</v>
      </c>
      <c r="D762" s="6">
        <v>56.12</v>
      </c>
      <c r="E762" s="6">
        <v>54.47</v>
      </c>
      <c r="F762" t="str">
        <f t="shared" si="329"/>
        <v>WED</v>
      </c>
      <c r="G762" s="3">
        <f t="shared" si="330"/>
        <v>43922</v>
      </c>
      <c r="H762" s="2">
        <f t="shared" ca="1" si="331"/>
        <v>331</v>
      </c>
      <c r="I762" t="str">
        <f t="shared" si="332"/>
        <v>XLP</v>
      </c>
      <c r="J762">
        <f t="shared" si="333"/>
        <v>48.06</v>
      </c>
      <c r="K762">
        <f t="shared" si="334"/>
        <v>56.12</v>
      </c>
      <c r="L762">
        <f t="shared" si="335"/>
        <v>52.09</v>
      </c>
      <c r="M762">
        <f t="shared" si="336"/>
        <v>4.0299999999999976</v>
      </c>
      <c r="N762">
        <f t="shared" si="315"/>
        <v>8.0599999999999952</v>
      </c>
      <c r="O762">
        <f t="shared" si="337"/>
        <v>54.47</v>
      </c>
      <c r="P762">
        <f t="shared" si="338"/>
        <v>0.59057071960297691</v>
      </c>
      <c r="Q762" t="str">
        <f t="shared" si="316"/>
        <v>11.77% | 3.03%</v>
      </c>
      <c r="R762" t="str">
        <f t="shared" si="339"/>
        <v>BEARISH</v>
      </c>
      <c r="S762">
        <f t="shared" si="317"/>
        <v>-1</v>
      </c>
    </row>
    <row r="763" spans="1:19" hidden="1" x14ac:dyDescent="0.25">
      <c r="A763" s="5" t="str">
        <f t="shared" si="314"/>
        <v>43922XLK</v>
      </c>
      <c r="B763" s="6" t="s">
        <v>65</v>
      </c>
      <c r="C763" s="6">
        <v>68.41</v>
      </c>
      <c r="D763" s="6">
        <v>83.64</v>
      </c>
      <c r="E763" s="6">
        <v>80.37</v>
      </c>
      <c r="F763" t="str">
        <f t="shared" si="329"/>
        <v>WED</v>
      </c>
      <c r="G763" s="3">
        <f t="shared" si="330"/>
        <v>43922</v>
      </c>
      <c r="H763" s="2">
        <f t="shared" ca="1" si="331"/>
        <v>331</v>
      </c>
      <c r="I763" t="str">
        <f t="shared" si="332"/>
        <v>XLK</v>
      </c>
      <c r="J763">
        <f t="shared" si="333"/>
        <v>68.41</v>
      </c>
      <c r="K763">
        <f t="shared" si="334"/>
        <v>83.64</v>
      </c>
      <c r="L763">
        <f t="shared" si="335"/>
        <v>76.025000000000006</v>
      </c>
      <c r="M763">
        <f t="shared" si="336"/>
        <v>7.615000000000002</v>
      </c>
      <c r="N763">
        <f t="shared" si="315"/>
        <v>15.230000000000004</v>
      </c>
      <c r="O763">
        <f t="shared" si="337"/>
        <v>80.37</v>
      </c>
      <c r="P763">
        <f t="shared" si="338"/>
        <v>0.57058437294812836</v>
      </c>
      <c r="Q763" t="str">
        <f t="shared" si="316"/>
        <v>14.88% | 4.07%</v>
      </c>
      <c r="R763" t="str">
        <f t="shared" si="339"/>
        <v>BEARISH</v>
      </c>
      <c r="S763">
        <f t="shared" si="317"/>
        <v>-1</v>
      </c>
    </row>
    <row r="764" spans="1:19" hidden="1" x14ac:dyDescent="0.25">
      <c r="A764" s="5" t="str">
        <f t="shared" si="314"/>
        <v>43922SSEC</v>
      </c>
      <c r="B764" s="6" t="s">
        <v>14</v>
      </c>
      <c r="C764" s="6">
        <v>2660</v>
      </c>
      <c r="D764" s="6">
        <v>2811</v>
      </c>
      <c r="E764" s="6">
        <v>2734</v>
      </c>
      <c r="F764" t="str">
        <f t="shared" si="329"/>
        <v>WED</v>
      </c>
      <c r="G764" s="3">
        <f t="shared" si="330"/>
        <v>43922</v>
      </c>
      <c r="H764" s="2">
        <f t="shared" ca="1" si="331"/>
        <v>331</v>
      </c>
      <c r="I764" t="str">
        <f t="shared" si="332"/>
        <v>SSEC</v>
      </c>
      <c r="J764">
        <f t="shared" si="333"/>
        <v>2660</v>
      </c>
      <c r="K764">
        <f t="shared" si="334"/>
        <v>2811</v>
      </c>
      <c r="L764">
        <f t="shared" si="335"/>
        <v>2735.5</v>
      </c>
      <c r="M764">
        <f t="shared" si="336"/>
        <v>75.5</v>
      </c>
      <c r="N764">
        <f t="shared" si="315"/>
        <v>151</v>
      </c>
      <c r="O764">
        <f t="shared" si="337"/>
        <v>2734</v>
      </c>
      <c r="P764">
        <f t="shared" si="338"/>
        <v>-1.9867549668874173E-2</v>
      </c>
      <c r="Q764" t="str">
        <f t="shared" si="316"/>
        <v>2.71% | 2.82%</v>
      </c>
      <c r="R764" t="str">
        <f t="shared" si="339"/>
        <v>BEARISH</v>
      </c>
      <c r="S764">
        <f t="shared" si="317"/>
        <v>-1</v>
      </c>
    </row>
    <row r="765" spans="1:19" hidden="1" x14ac:dyDescent="0.25">
      <c r="A765" s="5" t="str">
        <f t="shared" si="314"/>
        <v>43922NIKK</v>
      </c>
      <c r="B765" s="6" t="s">
        <v>15</v>
      </c>
      <c r="C765" s="6">
        <v>15970</v>
      </c>
      <c r="D765" s="6">
        <v>19671</v>
      </c>
      <c r="E765" s="6">
        <v>18065</v>
      </c>
      <c r="F765" t="str">
        <f t="shared" si="329"/>
        <v>WED</v>
      </c>
      <c r="G765" s="3">
        <f t="shared" si="330"/>
        <v>43922</v>
      </c>
      <c r="H765" s="2">
        <f t="shared" ca="1" si="331"/>
        <v>331</v>
      </c>
      <c r="I765" t="str">
        <f t="shared" si="332"/>
        <v>NIKK</v>
      </c>
      <c r="J765">
        <f t="shared" si="333"/>
        <v>15970</v>
      </c>
      <c r="K765">
        <f t="shared" si="334"/>
        <v>19671</v>
      </c>
      <c r="L765">
        <f t="shared" si="335"/>
        <v>17820.5</v>
      </c>
      <c r="M765">
        <f t="shared" si="336"/>
        <v>1850.5</v>
      </c>
      <c r="N765">
        <f t="shared" si="315"/>
        <v>3701</v>
      </c>
      <c r="O765">
        <f t="shared" si="337"/>
        <v>18065</v>
      </c>
      <c r="P765">
        <f t="shared" si="338"/>
        <v>0.13212645231018644</v>
      </c>
      <c r="Q765" t="str">
        <f t="shared" si="316"/>
        <v>11.6% | 8.89%</v>
      </c>
      <c r="R765" t="str">
        <f t="shared" si="339"/>
        <v>BEARISH</v>
      </c>
      <c r="S765">
        <f t="shared" si="317"/>
        <v>-1</v>
      </c>
    </row>
    <row r="766" spans="1:19" hidden="1" x14ac:dyDescent="0.25">
      <c r="A766" s="5" t="str">
        <f t="shared" si="314"/>
        <v>43922DAX</v>
      </c>
      <c r="B766" s="6" t="s">
        <v>16</v>
      </c>
      <c r="C766" s="6">
        <v>8222</v>
      </c>
      <c r="D766" s="6">
        <v>10307</v>
      </c>
      <c r="E766" s="6">
        <v>9942</v>
      </c>
      <c r="F766" t="str">
        <f t="shared" si="329"/>
        <v>WED</v>
      </c>
      <c r="G766" s="3">
        <f t="shared" si="330"/>
        <v>43922</v>
      </c>
      <c r="H766" s="2">
        <f t="shared" ca="1" si="331"/>
        <v>331</v>
      </c>
      <c r="I766" t="str">
        <f t="shared" si="332"/>
        <v>DAX</v>
      </c>
      <c r="J766">
        <f t="shared" si="333"/>
        <v>8222</v>
      </c>
      <c r="K766">
        <f t="shared" si="334"/>
        <v>10307</v>
      </c>
      <c r="L766">
        <f t="shared" si="335"/>
        <v>9264.5</v>
      </c>
      <c r="M766">
        <f t="shared" si="336"/>
        <v>1042.5</v>
      </c>
      <c r="N766">
        <f t="shared" si="315"/>
        <v>2085</v>
      </c>
      <c r="O766">
        <f t="shared" si="337"/>
        <v>9942</v>
      </c>
      <c r="P766">
        <f t="shared" si="338"/>
        <v>0.64988009592326135</v>
      </c>
      <c r="Q766" t="str">
        <f t="shared" si="316"/>
        <v>17.3% | 3.67%</v>
      </c>
      <c r="R766" t="str">
        <f t="shared" si="339"/>
        <v>BEARISH</v>
      </c>
      <c r="S766">
        <f t="shared" si="317"/>
        <v>-1</v>
      </c>
    </row>
    <row r="767" spans="1:19" hidden="1" x14ac:dyDescent="0.25">
      <c r="A767" s="5" t="str">
        <f t="shared" si="314"/>
        <v>43922VIX</v>
      </c>
      <c r="B767" s="6" t="s">
        <v>17</v>
      </c>
      <c r="C767" s="6">
        <v>51.43</v>
      </c>
      <c r="D767" s="6">
        <v>76.55</v>
      </c>
      <c r="E767" s="6">
        <v>53.54</v>
      </c>
      <c r="F767" t="str">
        <f t="shared" si="329"/>
        <v>WED</v>
      </c>
      <c r="G767" s="3">
        <f t="shared" si="330"/>
        <v>43922</v>
      </c>
      <c r="H767" s="2">
        <f t="shared" ca="1" si="331"/>
        <v>331</v>
      </c>
      <c r="I767" t="str">
        <f t="shared" si="332"/>
        <v>VIX</v>
      </c>
      <c r="J767">
        <f t="shared" si="333"/>
        <v>51.43</v>
      </c>
      <c r="K767">
        <f t="shared" si="334"/>
        <v>76.55</v>
      </c>
      <c r="L767">
        <f t="shared" si="335"/>
        <v>63.989999999999995</v>
      </c>
      <c r="M767">
        <f t="shared" si="336"/>
        <v>12.56</v>
      </c>
      <c r="N767">
        <f t="shared" si="315"/>
        <v>25.119999999999997</v>
      </c>
      <c r="O767">
        <f t="shared" si="337"/>
        <v>53.54</v>
      </c>
      <c r="P767">
        <f t="shared" si="338"/>
        <v>-0.83200636942675121</v>
      </c>
      <c r="Q767" t="str">
        <f t="shared" si="316"/>
        <v>3.94% | 42.98%</v>
      </c>
      <c r="R767" t="str">
        <f t="shared" si="339"/>
        <v>BULLISH</v>
      </c>
      <c r="S767">
        <f t="shared" si="317"/>
        <v>1</v>
      </c>
    </row>
    <row r="768" spans="1:19" hidden="1" x14ac:dyDescent="0.25">
      <c r="A768" s="5" t="str">
        <f t="shared" si="314"/>
        <v>43922USD</v>
      </c>
      <c r="B768" s="6" t="s">
        <v>18</v>
      </c>
      <c r="C768" s="6">
        <v>97.25</v>
      </c>
      <c r="D768" s="6">
        <v>105</v>
      </c>
      <c r="E768" s="6">
        <v>99.09</v>
      </c>
      <c r="F768" t="str">
        <f t="shared" si="329"/>
        <v>WED</v>
      </c>
      <c r="G768" s="3">
        <f t="shared" si="330"/>
        <v>43922</v>
      </c>
      <c r="H768" s="2">
        <f t="shared" ca="1" si="331"/>
        <v>331</v>
      </c>
      <c r="I768" t="str">
        <f t="shared" si="332"/>
        <v>USD</v>
      </c>
      <c r="J768">
        <f t="shared" si="333"/>
        <v>97.25</v>
      </c>
      <c r="K768">
        <f t="shared" si="334"/>
        <v>105</v>
      </c>
      <c r="L768">
        <f t="shared" si="335"/>
        <v>101.125</v>
      </c>
      <c r="M768">
        <f t="shared" si="336"/>
        <v>3.875</v>
      </c>
      <c r="N768">
        <f t="shared" si="315"/>
        <v>7.75</v>
      </c>
      <c r="O768">
        <f t="shared" si="337"/>
        <v>99.09</v>
      </c>
      <c r="P768">
        <f t="shared" si="338"/>
        <v>-0.52516129032257974</v>
      </c>
      <c r="Q768" t="str">
        <f t="shared" si="316"/>
        <v>1.86% | 5.96%</v>
      </c>
      <c r="R768" t="str">
        <f t="shared" si="339"/>
        <v>BULLISH</v>
      </c>
      <c r="S768">
        <f t="shared" si="317"/>
        <v>1</v>
      </c>
    </row>
    <row r="769" spans="1:19" hidden="1" x14ac:dyDescent="0.25">
      <c r="A769" s="5" t="str">
        <f t="shared" si="314"/>
        <v>43922EUR/USD</v>
      </c>
      <c r="B769" s="6" t="s">
        <v>19</v>
      </c>
      <c r="C769" s="6">
        <v>1.05</v>
      </c>
      <c r="D769" s="6">
        <v>1.1000000000000001</v>
      </c>
      <c r="E769" s="6">
        <v>1.1000000000000001</v>
      </c>
      <c r="F769" t="str">
        <f t="shared" si="329"/>
        <v>WED</v>
      </c>
      <c r="G769" s="3">
        <f t="shared" si="330"/>
        <v>43922</v>
      </c>
      <c r="H769" s="2">
        <f t="shared" ca="1" si="331"/>
        <v>331</v>
      </c>
      <c r="I769" t="str">
        <f t="shared" si="332"/>
        <v>EUR/USD</v>
      </c>
      <c r="J769">
        <f t="shared" si="333"/>
        <v>1.05</v>
      </c>
      <c r="K769">
        <f t="shared" si="334"/>
        <v>1.1000000000000001</v>
      </c>
      <c r="L769">
        <f t="shared" si="335"/>
        <v>1.0750000000000002</v>
      </c>
      <c r="M769">
        <f t="shared" si="336"/>
        <v>2.5000000000000022E-2</v>
      </c>
      <c r="N769">
        <f t="shared" si="315"/>
        <v>5.0000000000000044E-2</v>
      </c>
      <c r="O769">
        <f t="shared" si="337"/>
        <v>1.1000000000000001</v>
      </c>
      <c r="P769">
        <f t="shared" si="338"/>
        <v>0.99999999999999556</v>
      </c>
      <c r="Q769" t="str">
        <f t="shared" si="316"/>
        <v>4.55% | 0%</v>
      </c>
      <c r="R769" t="str">
        <f t="shared" si="339"/>
        <v>BEARISH</v>
      </c>
      <c r="S769">
        <f t="shared" si="317"/>
        <v>-1</v>
      </c>
    </row>
    <row r="770" spans="1:19" hidden="1" x14ac:dyDescent="0.25">
      <c r="A770" s="5" t="str">
        <f t="shared" si="314"/>
        <v>43922USD/JPY</v>
      </c>
      <c r="B770" s="6" t="s">
        <v>86</v>
      </c>
      <c r="C770" s="6">
        <v>106.09</v>
      </c>
      <c r="D770" s="6">
        <v>111.88</v>
      </c>
      <c r="E770" s="6">
        <v>107.54</v>
      </c>
      <c r="F770" t="str">
        <f t="shared" si="329"/>
        <v>WED</v>
      </c>
      <c r="G770" s="3">
        <f t="shared" si="330"/>
        <v>43922</v>
      </c>
      <c r="H770" s="2">
        <f t="shared" ca="1" si="331"/>
        <v>331</v>
      </c>
      <c r="I770" t="str">
        <f t="shared" si="332"/>
        <v>USD/JPY</v>
      </c>
      <c r="J770">
        <f t="shared" si="333"/>
        <v>106.09</v>
      </c>
      <c r="K770">
        <f t="shared" si="334"/>
        <v>111.88</v>
      </c>
      <c r="L770">
        <f t="shared" si="335"/>
        <v>108.985</v>
      </c>
      <c r="M770">
        <f t="shared" si="336"/>
        <v>2.894999999999996</v>
      </c>
      <c r="N770">
        <f t="shared" si="315"/>
        <v>5.789999999999992</v>
      </c>
      <c r="O770">
        <f t="shared" si="337"/>
        <v>107.54</v>
      </c>
      <c r="P770">
        <f t="shared" si="338"/>
        <v>-0.49913644214162184</v>
      </c>
      <c r="Q770" t="str">
        <f t="shared" si="316"/>
        <v>1.35% | 4.04%</v>
      </c>
      <c r="R770" t="str">
        <f t="shared" si="339"/>
        <v>NEUTRAL</v>
      </c>
      <c r="S770">
        <f t="shared" si="317"/>
        <v>0</v>
      </c>
    </row>
    <row r="771" spans="1:19" hidden="1" x14ac:dyDescent="0.25">
      <c r="A771" s="5" t="str">
        <f t="shared" ref="A771:A834" si="340">G771&amp;I771</f>
        <v>43922GBP/USD</v>
      </c>
      <c r="B771" s="6" t="s">
        <v>21</v>
      </c>
      <c r="C771" s="6">
        <v>1.1200000000000001</v>
      </c>
      <c r="D771" s="6">
        <v>1.24</v>
      </c>
      <c r="E771" s="6">
        <v>1.24</v>
      </c>
      <c r="F771" t="str">
        <f t="shared" si="329"/>
        <v>WED</v>
      </c>
      <c r="G771" s="3">
        <f t="shared" si="330"/>
        <v>43922</v>
      </c>
      <c r="H771" s="2">
        <f t="shared" ca="1" si="331"/>
        <v>331</v>
      </c>
      <c r="I771" t="str">
        <f t="shared" si="332"/>
        <v>GBP/USD</v>
      </c>
      <c r="J771">
        <f t="shared" si="333"/>
        <v>1.1200000000000001</v>
      </c>
      <c r="K771">
        <f t="shared" si="334"/>
        <v>1.24</v>
      </c>
      <c r="L771">
        <f t="shared" si="335"/>
        <v>1.1800000000000002</v>
      </c>
      <c r="M771">
        <f t="shared" si="336"/>
        <v>5.9999999999999942E-2</v>
      </c>
      <c r="N771">
        <f t="shared" ref="N771:N834" si="341">ABS(K771-J771)</f>
        <v>0.11999999999999988</v>
      </c>
      <c r="O771">
        <f t="shared" si="337"/>
        <v>1.24</v>
      </c>
      <c r="P771">
        <f t="shared" si="338"/>
        <v>0.99999999999999811</v>
      </c>
      <c r="Q771" t="str">
        <f t="shared" ref="Q771:Q834" si="342">ROUND(ABS(100*(O771-J771)/O771),2)&amp;"% | "&amp;ROUND(ABS(100*(K771-O771)/O771),2)&amp;"%"</f>
        <v>9.68% | 0%</v>
      </c>
      <c r="R771" t="str">
        <f t="shared" si="339"/>
        <v>BEARISH</v>
      </c>
      <c r="S771">
        <f t="shared" ref="S771:S834" si="343">IF(R771="BEARISH",-1,IF(R771="NEUTRAL",0,IF(R771="BULLISH",1,99)))</f>
        <v>-1</v>
      </c>
    </row>
    <row r="772" spans="1:19" hidden="1" x14ac:dyDescent="0.25">
      <c r="A772" s="5" t="str">
        <f t="shared" si="340"/>
        <v>43922USD/CHF</v>
      </c>
      <c r="B772" s="6" t="s">
        <v>22</v>
      </c>
      <c r="C772" s="6">
        <v>0.95</v>
      </c>
      <c r="D772" s="6">
        <v>0.99</v>
      </c>
      <c r="E772" s="6">
        <v>0.96</v>
      </c>
      <c r="F772" t="str">
        <f t="shared" si="329"/>
        <v>WED</v>
      </c>
      <c r="G772" s="3">
        <f t="shared" si="330"/>
        <v>43922</v>
      </c>
      <c r="H772" s="2">
        <f t="shared" ca="1" si="331"/>
        <v>331</v>
      </c>
      <c r="I772" t="str">
        <f t="shared" si="332"/>
        <v>USD/CHF</v>
      </c>
      <c r="J772">
        <f t="shared" si="333"/>
        <v>0.95</v>
      </c>
      <c r="K772">
        <f t="shared" si="334"/>
        <v>0.99</v>
      </c>
      <c r="L772">
        <f t="shared" si="335"/>
        <v>0.97</v>
      </c>
      <c r="M772">
        <f t="shared" si="336"/>
        <v>2.0000000000000018E-2</v>
      </c>
      <c r="N772">
        <f t="shared" si="341"/>
        <v>4.0000000000000036E-2</v>
      </c>
      <c r="O772">
        <f t="shared" si="337"/>
        <v>0.96</v>
      </c>
      <c r="P772">
        <f t="shared" si="338"/>
        <v>-0.5</v>
      </c>
      <c r="Q772" t="str">
        <f t="shared" si="342"/>
        <v>1.04% | 3.13%</v>
      </c>
      <c r="R772" t="str">
        <f t="shared" si="339"/>
        <v>NEUTRAL</v>
      </c>
      <c r="S772">
        <f t="shared" si="343"/>
        <v>0</v>
      </c>
    </row>
    <row r="773" spans="1:19" hidden="1" x14ac:dyDescent="0.25">
      <c r="A773" s="5" t="str">
        <f t="shared" si="340"/>
        <v>43922WTIC</v>
      </c>
      <c r="B773" s="6" t="s">
        <v>23</v>
      </c>
      <c r="C773" s="6">
        <v>19.010000000000002</v>
      </c>
      <c r="D773" s="6">
        <v>23.79</v>
      </c>
      <c r="E773" s="6">
        <v>20.48</v>
      </c>
      <c r="F773" t="str">
        <f t="shared" si="329"/>
        <v>WED</v>
      </c>
      <c r="G773" s="3">
        <f t="shared" si="330"/>
        <v>43922</v>
      </c>
      <c r="H773" s="2">
        <f t="shared" ca="1" si="331"/>
        <v>331</v>
      </c>
      <c r="I773" t="str">
        <f t="shared" si="332"/>
        <v>WTIC</v>
      </c>
      <c r="J773">
        <f t="shared" si="333"/>
        <v>19.010000000000002</v>
      </c>
      <c r="K773">
        <f t="shared" si="334"/>
        <v>23.79</v>
      </c>
      <c r="L773">
        <f t="shared" si="335"/>
        <v>21.4</v>
      </c>
      <c r="M773">
        <f t="shared" si="336"/>
        <v>2.3900000000000161</v>
      </c>
      <c r="N773">
        <f t="shared" si="341"/>
        <v>4.7799999999999976</v>
      </c>
      <c r="O773">
        <f t="shared" si="337"/>
        <v>20.48</v>
      </c>
      <c r="P773">
        <f t="shared" si="338"/>
        <v>-0.38493723849372047</v>
      </c>
      <c r="Q773" t="str">
        <f t="shared" si="342"/>
        <v>7.18% | 16.16%</v>
      </c>
      <c r="R773" t="str">
        <f t="shared" si="339"/>
        <v>BEARISH</v>
      </c>
      <c r="S773">
        <f t="shared" si="343"/>
        <v>-1</v>
      </c>
    </row>
    <row r="774" spans="1:19" hidden="1" x14ac:dyDescent="0.25">
      <c r="A774" s="5" t="str">
        <f t="shared" si="340"/>
        <v>43922NATGAS</v>
      </c>
      <c r="B774" s="6" t="s">
        <v>24</v>
      </c>
      <c r="C774" s="6">
        <v>1.51</v>
      </c>
      <c r="D774" s="6">
        <v>1.77</v>
      </c>
      <c r="E774" s="6">
        <v>1.64</v>
      </c>
      <c r="F774" t="str">
        <f t="shared" si="329"/>
        <v>WED</v>
      </c>
      <c r="G774" s="3">
        <f t="shared" si="330"/>
        <v>43922</v>
      </c>
      <c r="H774" s="2">
        <f t="shared" ca="1" si="331"/>
        <v>331</v>
      </c>
      <c r="I774" t="str">
        <f t="shared" si="332"/>
        <v>NATGAS</v>
      </c>
      <c r="J774">
        <f t="shared" si="333"/>
        <v>1.51</v>
      </c>
      <c r="K774">
        <f t="shared" si="334"/>
        <v>1.77</v>
      </c>
      <c r="L774">
        <f t="shared" si="335"/>
        <v>1.6400000000000001</v>
      </c>
      <c r="M774">
        <f t="shared" si="336"/>
        <v>0.13</v>
      </c>
      <c r="N774">
        <f t="shared" si="341"/>
        <v>0.26</v>
      </c>
      <c r="O774">
        <f t="shared" si="337"/>
        <v>1.64</v>
      </c>
      <c r="P774">
        <f t="shared" si="338"/>
        <v>-1.7080354225002407E-15</v>
      </c>
      <c r="Q774" t="str">
        <f t="shared" si="342"/>
        <v>7.93% | 7.93%</v>
      </c>
      <c r="R774" t="str">
        <f t="shared" si="339"/>
        <v>BEARISH</v>
      </c>
      <c r="S774">
        <f t="shared" si="343"/>
        <v>-1</v>
      </c>
    </row>
    <row r="775" spans="1:19" hidden="1" x14ac:dyDescent="0.25">
      <c r="A775" s="5" t="str">
        <f t="shared" si="340"/>
        <v>43922GOLD</v>
      </c>
      <c r="B775" s="6" t="s">
        <v>25</v>
      </c>
      <c r="C775" s="6">
        <v>1499</v>
      </c>
      <c r="D775" s="6">
        <v>1660</v>
      </c>
      <c r="E775" s="6">
        <v>1596</v>
      </c>
      <c r="F775" t="str">
        <f t="shared" si="329"/>
        <v>WED</v>
      </c>
      <c r="G775" s="3">
        <f t="shared" si="330"/>
        <v>43922</v>
      </c>
      <c r="H775" s="2">
        <f t="shared" ca="1" si="331"/>
        <v>331</v>
      </c>
      <c r="I775" t="str">
        <f t="shared" si="332"/>
        <v>GOLD</v>
      </c>
      <c r="J775">
        <f t="shared" si="333"/>
        <v>1499</v>
      </c>
      <c r="K775">
        <f t="shared" si="334"/>
        <v>1660</v>
      </c>
      <c r="L775">
        <f t="shared" si="335"/>
        <v>1579.5</v>
      </c>
      <c r="M775">
        <f t="shared" si="336"/>
        <v>80.5</v>
      </c>
      <c r="N775">
        <f t="shared" si="341"/>
        <v>161</v>
      </c>
      <c r="O775">
        <f t="shared" si="337"/>
        <v>1596</v>
      </c>
      <c r="P775">
        <f t="shared" si="338"/>
        <v>0.20496894409937888</v>
      </c>
      <c r="Q775" t="str">
        <f t="shared" si="342"/>
        <v>6.08% | 4.01%</v>
      </c>
      <c r="R775" t="str">
        <f t="shared" si="339"/>
        <v>BULLISH</v>
      </c>
      <c r="S775">
        <f t="shared" si="343"/>
        <v>1</v>
      </c>
    </row>
    <row r="776" spans="1:19" hidden="1" x14ac:dyDescent="0.25">
      <c r="A776" s="5" t="str">
        <f t="shared" si="340"/>
        <v>43922COPPER</v>
      </c>
      <c r="B776" s="6" t="s">
        <v>26</v>
      </c>
      <c r="C776" s="6">
        <v>2.06</v>
      </c>
      <c r="D776" s="6">
        <v>2.23</v>
      </c>
      <c r="E776" s="6">
        <v>2.23</v>
      </c>
      <c r="F776" t="str">
        <f t="shared" si="329"/>
        <v>WED</v>
      </c>
      <c r="G776" s="3">
        <f t="shared" si="330"/>
        <v>43922</v>
      </c>
      <c r="H776" s="2">
        <f t="shared" ca="1" si="331"/>
        <v>331</v>
      </c>
      <c r="I776" t="str">
        <f t="shared" si="332"/>
        <v>COPPER</v>
      </c>
      <c r="J776">
        <f t="shared" si="333"/>
        <v>2.06</v>
      </c>
      <c r="K776">
        <f t="shared" si="334"/>
        <v>2.23</v>
      </c>
      <c r="L776">
        <f t="shared" si="335"/>
        <v>2.145</v>
      </c>
      <c r="M776">
        <f t="shared" si="336"/>
        <v>8.4999999999999964E-2</v>
      </c>
      <c r="N776">
        <f t="shared" si="341"/>
        <v>0.16999999999999993</v>
      </c>
      <c r="O776">
        <f t="shared" si="337"/>
        <v>2.23</v>
      </c>
      <c r="P776">
        <f t="shared" si="338"/>
        <v>1</v>
      </c>
      <c r="Q776" t="str">
        <f t="shared" si="342"/>
        <v>7.62% | 0%</v>
      </c>
      <c r="R776" t="str">
        <f t="shared" si="339"/>
        <v>BEARISH</v>
      </c>
      <c r="S776">
        <f t="shared" si="343"/>
        <v>-1</v>
      </c>
    </row>
    <row r="777" spans="1:19" hidden="1" x14ac:dyDescent="0.25">
      <c r="A777" s="5" t="str">
        <f t="shared" si="340"/>
        <v>43922AAPL</v>
      </c>
      <c r="B777" s="6" t="s">
        <v>68</v>
      </c>
      <c r="C777" s="6">
        <v>222.53</v>
      </c>
      <c r="D777" s="6">
        <v>264.99</v>
      </c>
      <c r="E777" s="6">
        <v>254.29</v>
      </c>
      <c r="F777" t="str">
        <f t="shared" si="329"/>
        <v>WED</v>
      </c>
      <c r="G777" s="3">
        <f t="shared" si="330"/>
        <v>43922</v>
      </c>
      <c r="H777" s="2">
        <f t="shared" ca="1" si="331"/>
        <v>331</v>
      </c>
      <c r="I777" t="str">
        <f t="shared" si="332"/>
        <v>AAPL</v>
      </c>
      <c r="J777">
        <f t="shared" si="333"/>
        <v>222.53</v>
      </c>
      <c r="K777">
        <f t="shared" si="334"/>
        <v>264.99</v>
      </c>
      <c r="L777">
        <f t="shared" si="335"/>
        <v>243.76</v>
      </c>
      <c r="M777">
        <f t="shared" si="336"/>
        <v>21.230000000000004</v>
      </c>
      <c r="N777">
        <f t="shared" si="341"/>
        <v>42.460000000000008</v>
      </c>
      <c r="O777">
        <f t="shared" si="337"/>
        <v>254.29</v>
      </c>
      <c r="P777">
        <f t="shared" si="338"/>
        <v>0.49599623174752705</v>
      </c>
      <c r="Q777" t="str">
        <f t="shared" si="342"/>
        <v>12.49% | 4.21%</v>
      </c>
      <c r="R777" t="str">
        <f t="shared" si="339"/>
        <v>BEARISH</v>
      </c>
      <c r="S777">
        <f t="shared" si="343"/>
        <v>-1</v>
      </c>
    </row>
    <row r="778" spans="1:19" hidden="1" x14ac:dyDescent="0.25">
      <c r="A778" s="5" t="str">
        <f t="shared" si="340"/>
        <v>43922AMZN</v>
      </c>
      <c r="B778" s="6" t="s">
        <v>69</v>
      </c>
      <c r="C778" s="6">
        <v>1817</v>
      </c>
      <c r="D778" s="6">
        <v>1990</v>
      </c>
      <c r="E778" s="6">
        <v>1949</v>
      </c>
      <c r="F778" t="str">
        <f t="shared" si="329"/>
        <v>WED</v>
      </c>
      <c r="G778" s="3">
        <f t="shared" si="330"/>
        <v>43922</v>
      </c>
      <c r="H778" s="2">
        <f t="shared" ca="1" si="331"/>
        <v>331</v>
      </c>
      <c r="I778" t="str">
        <f t="shared" si="332"/>
        <v>AMZN</v>
      </c>
      <c r="J778">
        <f t="shared" si="333"/>
        <v>1817</v>
      </c>
      <c r="K778">
        <f t="shared" si="334"/>
        <v>1990</v>
      </c>
      <c r="L778">
        <f t="shared" si="335"/>
        <v>1903.5</v>
      </c>
      <c r="M778">
        <f t="shared" si="336"/>
        <v>86.5</v>
      </c>
      <c r="N778">
        <f t="shared" si="341"/>
        <v>173</v>
      </c>
      <c r="O778">
        <f t="shared" si="337"/>
        <v>1949</v>
      </c>
      <c r="P778">
        <f t="shared" si="338"/>
        <v>0.52601156069364163</v>
      </c>
      <c r="Q778" t="str">
        <f t="shared" si="342"/>
        <v>6.77% | 2.1%</v>
      </c>
      <c r="R778" t="str">
        <f t="shared" si="339"/>
        <v>NEUTRAL</v>
      </c>
      <c r="S778">
        <f t="shared" si="343"/>
        <v>0</v>
      </c>
    </row>
    <row r="779" spans="1:19" hidden="1" x14ac:dyDescent="0.25">
      <c r="A779" s="5" t="str">
        <f t="shared" si="340"/>
        <v>43922FB</v>
      </c>
      <c r="B779" s="6" t="s">
        <v>58</v>
      </c>
      <c r="C779" s="6">
        <v>143</v>
      </c>
      <c r="D779" s="6">
        <v>170</v>
      </c>
      <c r="E779" s="6">
        <v>166</v>
      </c>
      <c r="F779" t="str">
        <f t="shared" si="329"/>
        <v>WED</v>
      </c>
      <c r="G779" s="3">
        <f t="shared" si="330"/>
        <v>43922</v>
      </c>
      <c r="H779" s="2">
        <f t="shared" ca="1" si="331"/>
        <v>331</v>
      </c>
      <c r="I779" t="str">
        <f t="shared" si="332"/>
        <v>FB</v>
      </c>
      <c r="J779">
        <f t="shared" si="333"/>
        <v>143</v>
      </c>
      <c r="K779">
        <f t="shared" si="334"/>
        <v>170</v>
      </c>
      <c r="L779">
        <f t="shared" si="335"/>
        <v>156.5</v>
      </c>
      <c r="M779">
        <f t="shared" si="336"/>
        <v>13.5</v>
      </c>
      <c r="N779">
        <f t="shared" si="341"/>
        <v>27</v>
      </c>
      <c r="O779">
        <f t="shared" si="337"/>
        <v>166</v>
      </c>
      <c r="P779">
        <f t="shared" si="338"/>
        <v>0.70370370370370372</v>
      </c>
      <c r="Q779" t="str">
        <f t="shared" si="342"/>
        <v>13.86% | 2.41%</v>
      </c>
      <c r="R779" t="str">
        <f t="shared" si="339"/>
        <v>BEARISH</v>
      </c>
      <c r="S779">
        <f t="shared" si="343"/>
        <v>-1</v>
      </c>
    </row>
    <row r="780" spans="1:19" hidden="1" x14ac:dyDescent="0.25">
      <c r="A780" s="5" t="str">
        <f t="shared" si="340"/>
        <v>43922GOOGL</v>
      </c>
      <c r="B780" s="6" t="s">
        <v>66</v>
      </c>
      <c r="C780" s="6">
        <v>1033</v>
      </c>
      <c r="D780" s="6">
        <v>1189</v>
      </c>
      <c r="E780" s="6">
        <v>1161</v>
      </c>
      <c r="F780" t="str">
        <f t="shared" si="329"/>
        <v>WED</v>
      </c>
      <c r="G780" s="3">
        <f t="shared" si="330"/>
        <v>43922</v>
      </c>
      <c r="H780" s="2">
        <f t="shared" ca="1" si="331"/>
        <v>331</v>
      </c>
      <c r="I780" t="str">
        <f t="shared" si="332"/>
        <v>GOOGL</v>
      </c>
      <c r="J780">
        <f t="shared" si="333"/>
        <v>1033</v>
      </c>
      <c r="K780">
        <f t="shared" si="334"/>
        <v>1189</v>
      </c>
      <c r="L780">
        <f t="shared" si="335"/>
        <v>1111</v>
      </c>
      <c r="M780">
        <f t="shared" si="336"/>
        <v>78</v>
      </c>
      <c r="N780">
        <f t="shared" si="341"/>
        <v>156</v>
      </c>
      <c r="O780">
        <f t="shared" si="337"/>
        <v>1161</v>
      </c>
      <c r="P780">
        <f t="shared" si="338"/>
        <v>0.64102564102564108</v>
      </c>
      <c r="Q780" t="str">
        <f t="shared" si="342"/>
        <v>11.02% | 2.41%</v>
      </c>
      <c r="R780" t="str">
        <f t="shared" si="339"/>
        <v>BEARISH</v>
      </c>
      <c r="S780">
        <f t="shared" si="343"/>
        <v>-1</v>
      </c>
    </row>
    <row r="781" spans="1:19" hidden="1" x14ac:dyDescent="0.25">
      <c r="A781" s="5" t="str">
        <f t="shared" si="340"/>
        <v>43922NFLX</v>
      </c>
      <c r="B781" s="6" t="s">
        <v>70</v>
      </c>
      <c r="C781" s="6">
        <v>324</v>
      </c>
      <c r="D781" s="6">
        <v>385</v>
      </c>
      <c r="E781" s="6">
        <v>375</v>
      </c>
      <c r="F781" t="str">
        <f t="shared" si="329"/>
        <v>WED</v>
      </c>
      <c r="G781" s="3">
        <f t="shared" si="330"/>
        <v>43922</v>
      </c>
      <c r="H781" s="2">
        <f t="shared" ca="1" si="331"/>
        <v>331</v>
      </c>
      <c r="I781" t="str">
        <f t="shared" si="332"/>
        <v>NFLX</v>
      </c>
      <c r="J781">
        <f t="shared" si="333"/>
        <v>324</v>
      </c>
      <c r="K781">
        <f t="shared" si="334"/>
        <v>385</v>
      </c>
      <c r="L781">
        <f t="shared" si="335"/>
        <v>354.5</v>
      </c>
      <c r="M781">
        <f t="shared" si="336"/>
        <v>30.5</v>
      </c>
      <c r="N781">
        <f t="shared" si="341"/>
        <v>61</v>
      </c>
      <c r="O781">
        <f t="shared" si="337"/>
        <v>375</v>
      </c>
      <c r="P781">
        <f t="shared" si="338"/>
        <v>0.67213114754098358</v>
      </c>
      <c r="Q781" t="str">
        <f t="shared" si="342"/>
        <v>13.6% | 2.67%</v>
      </c>
      <c r="R781" t="str">
        <f t="shared" si="339"/>
        <v>NEUTRAL</v>
      </c>
      <c r="S781">
        <f t="shared" si="343"/>
        <v>0</v>
      </c>
    </row>
    <row r="782" spans="1:19" x14ac:dyDescent="0.25">
      <c r="A782" s="5" t="str">
        <f t="shared" si="340"/>
        <v>43922TSLA</v>
      </c>
      <c r="B782" s="6" t="s">
        <v>83</v>
      </c>
      <c r="C782" s="6">
        <v>399</v>
      </c>
      <c r="D782" s="6">
        <v>565</v>
      </c>
      <c r="E782" s="6">
        <v>524</v>
      </c>
      <c r="F782" t="str">
        <f t="shared" si="329"/>
        <v>WED</v>
      </c>
      <c r="G782" s="3">
        <f t="shared" si="330"/>
        <v>43922</v>
      </c>
      <c r="H782" s="2">
        <f t="shared" ca="1" si="331"/>
        <v>331</v>
      </c>
      <c r="I782" t="str">
        <f t="shared" si="332"/>
        <v>TSLA</v>
      </c>
      <c r="J782">
        <f t="shared" si="333"/>
        <v>399</v>
      </c>
      <c r="K782">
        <f t="shared" si="334"/>
        <v>565</v>
      </c>
      <c r="L782">
        <f t="shared" si="335"/>
        <v>482</v>
      </c>
      <c r="M782">
        <f t="shared" si="336"/>
        <v>83</v>
      </c>
      <c r="N782">
        <f t="shared" si="341"/>
        <v>166</v>
      </c>
      <c r="O782">
        <f t="shared" si="337"/>
        <v>524</v>
      </c>
      <c r="P782">
        <f t="shared" si="338"/>
        <v>0.50602409638554213</v>
      </c>
      <c r="Q782" t="str">
        <f t="shared" si="342"/>
        <v>23.85% | 7.82%</v>
      </c>
      <c r="R782" t="str">
        <f t="shared" si="339"/>
        <v>BEARISH</v>
      </c>
      <c r="S782">
        <f t="shared" si="343"/>
        <v>-1</v>
      </c>
    </row>
    <row r="783" spans="1:19" hidden="1" x14ac:dyDescent="0.25">
      <c r="A783" s="5" t="str">
        <f t="shared" si="340"/>
        <v>43922NYXBT</v>
      </c>
      <c r="B783" s="6" t="s">
        <v>84</v>
      </c>
      <c r="C783" s="6">
        <v>5501</v>
      </c>
      <c r="D783" s="6">
        <v>7014</v>
      </c>
      <c r="E783" s="6">
        <v>6470</v>
      </c>
      <c r="F783" t="str">
        <f t="shared" si="329"/>
        <v>WED</v>
      </c>
      <c r="G783" s="3">
        <f t="shared" si="330"/>
        <v>43922</v>
      </c>
      <c r="H783" s="2">
        <f t="shared" ca="1" si="331"/>
        <v>331</v>
      </c>
      <c r="I783" t="str">
        <f t="shared" si="332"/>
        <v>NYXBT</v>
      </c>
      <c r="J783">
        <f t="shared" si="333"/>
        <v>5501</v>
      </c>
      <c r="K783">
        <f t="shared" si="334"/>
        <v>7014</v>
      </c>
      <c r="L783">
        <f t="shared" si="335"/>
        <v>6257.5</v>
      </c>
      <c r="M783">
        <f t="shared" si="336"/>
        <v>756.5</v>
      </c>
      <c r="N783">
        <f t="shared" si="341"/>
        <v>1513</v>
      </c>
      <c r="O783">
        <f t="shared" si="337"/>
        <v>6470</v>
      </c>
      <c r="P783">
        <f t="shared" si="338"/>
        <v>0.2808988764044944</v>
      </c>
      <c r="Q783" t="str">
        <f t="shared" si="342"/>
        <v>14.98% | 8.41%</v>
      </c>
      <c r="R783" t="str">
        <f t="shared" si="339"/>
        <v>BEARISH</v>
      </c>
      <c r="S783">
        <f t="shared" si="343"/>
        <v>-1</v>
      </c>
    </row>
    <row r="784" spans="1:19" hidden="1" x14ac:dyDescent="0.25">
      <c r="A784" s="5" t="str">
        <f t="shared" si="340"/>
        <v>43923UST10Y</v>
      </c>
      <c r="B784" s="6" t="s">
        <v>4</v>
      </c>
      <c r="C784" s="6">
        <v>0.95</v>
      </c>
      <c r="D784" s="6">
        <v>0.56999999999999995</v>
      </c>
      <c r="E784" s="6">
        <v>0.62</v>
      </c>
      <c r="F784" t="str">
        <f t="shared" si="329"/>
        <v>THU</v>
      </c>
      <c r="G784" s="1">
        <f>DATE(2020,4,2)</f>
        <v>43923</v>
      </c>
      <c r="H784" s="2">
        <f t="shared" ca="1" si="331"/>
        <v>330</v>
      </c>
      <c r="I784" t="str">
        <f t="shared" si="332"/>
        <v>UST10Y</v>
      </c>
      <c r="J784">
        <f t="shared" si="333"/>
        <v>0.95</v>
      </c>
      <c r="K784">
        <f t="shared" si="334"/>
        <v>0.56999999999999995</v>
      </c>
      <c r="L784">
        <f t="shared" si="335"/>
        <v>0.76</v>
      </c>
      <c r="M784">
        <f t="shared" si="336"/>
        <v>0.18999999999999975</v>
      </c>
      <c r="N784">
        <f t="shared" si="341"/>
        <v>0.38</v>
      </c>
      <c r="O784">
        <f t="shared" si="337"/>
        <v>0.62</v>
      </c>
      <c r="P784">
        <f t="shared" si="338"/>
        <v>-0.73684210526315896</v>
      </c>
      <c r="Q784" t="str">
        <f t="shared" si="342"/>
        <v>53.23% | 8.06%</v>
      </c>
      <c r="R784" t="str">
        <f t="shared" si="339"/>
        <v>BEARISH</v>
      </c>
      <c r="S784">
        <f t="shared" si="343"/>
        <v>-1</v>
      </c>
    </row>
    <row r="785" spans="1:19" hidden="1" x14ac:dyDescent="0.25">
      <c r="A785" s="5" t="str">
        <f t="shared" si="340"/>
        <v>43923UST2Y</v>
      </c>
      <c r="B785" s="6" t="s">
        <v>5</v>
      </c>
      <c r="C785" s="6">
        <v>0.38</v>
      </c>
      <c r="D785" s="6">
        <v>0.16</v>
      </c>
      <c r="E785" s="6">
        <v>0.23</v>
      </c>
      <c r="F785" t="str">
        <f t="shared" ref="F785:F813" si="344">UPPER(TEXT(G785,"ddd"))</f>
        <v>THU</v>
      </c>
      <c r="G785" s="1">
        <f t="shared" ref="G785:G812" si="345">DATE(2020,4,2)</f>
        <v>43923</v>
      </c>
      <c r="H785" s="2">
        <f t="shared" ref="H785:H813" ca="1" si="346">TODAY()-G785</f>
        <v>330</v>
      </c>
      <c r="I785" t="str">
        <f t="shared" ref="I785:I813" si="347">TRIM(LEFT(B785,FIND(" ",B785,1)))</f>
        <v>UST2Y</v>
      </c>
      <c r="J785">
        <f t="shared" ref="J785:J813" si="348">C785</f>
        <v>0.38</v>
      </c>
      <c r="K785">
        <f t="shared" ref="K785:K813" si="349">D785</f>
        <v>0.16</v>
      </c>
      <c r="L785">
        <f t="shared" ref="L785:L813" si="350">AVERAGE(J785:K785)</f>
        <v>0.27</v>
      </c>
      <c r="M785">
        <f t="shared" ref="M785:M813" si="351">_xlfn.STDEV.P(J785:K785)</f>
        <v>0.11</v>
      </c>
      <c r="N785">
        <f t="shared" si="341"/>
        <v>0.22</v>
      </c>
      <c r="O785">
        <f t="shared" ref="O785:O813" si="352">E785</f>
        <v>0.23</v>
      </c>
      <c r="P785">
        <f t="shared" ref="P785:P813" si="353">(O785-L785)/M785</f>
        <v>-0.3636363636363637</v>
      </c>
      <c r="Q785" t="str">
        <f t="shared" si="342"/>
        <v>65.22% | 30.43%</v>
      </c>
      <c r="R785" t="str">
        <f t="shared" ref="R785:R813" si="354">MID(B785,FIND("(",B785,1)+1,FIND(")",B785,1)-FIND("(",B785,1)-1)</f>
        <v>BEARISH</v>
      </c>
      <c r="S785">
        <f t="shared" si="343"/>
        <v>-1</v>
      </c>
    </row>
    <row r="786" spans="1:19" hidden="1" x14ac:dyDescent="0.25">
      <c r="A786" s="5" t="str">
        <f t="shared" si="340"/>
        <v>43923SPX</v>
      </c>
      <c r="B786" s="6" t="s">
        <v>6</v>
      </c>
      <c r="C786" s="6">
        <v>2212</v>
      </c>
      <c r="D786" s="6">
        <v>2691</v>
      </c>
      <c r="E786" s="6">
        <v>2470</v>
      </c>
      <c r="F786" t="str">
        <f t="shared" si="344"/>
        <v>THU</v>
      </c>
      <c r="G786" s="1">
        <f t="shared" si="345"/>
        <v>43923</v>
      </c>
      <c r="H786" s="2">
        <f t="shared" ca="1" si="346"/>
        <v>330</v>
      </c>
      <c r="I786" t="str">
        <f t="shared" si="347"/>
        <v>SPX</v>
      </c>
      <c r="J786">
        <f t="shared" si="348"/>
        <v>2212</v>
      </c>
      <c r="K786">
        <f t="shared" si="349"/>
        <v>2691</v>
      </c>
      <c r="L786">
        <f t="shared" si="350"/>
        <v>2451.5</v>
      </c>
      <c r="M786">
        <f t="shared" si="351"/>
        <v>239.5</v>
      </c>
      <c r="N786">
        <f t="shared" si="341"/>
        <v>479</v>
      </c>
      <c r="O786">
        <f t="shared" si="352"/>
        <v>2470</v>
      </c>
      <c r="P786">
        <f t="shared" si="353"/>
        <v>7.724425887265135E-2</v>
      </c>
      <c r="Q786" t="str">
        <f t="shared" si="342"/>
        <v>10.45% | 8.95%</v>
      </c>
      <c r="R786" t="str">
        <f t="shared" si="354"/>
        <v>BEARISH</v>
      </c>
      <c r="S786">
        <f t="shared" si="343"/>
        <v>-1</v>
      </c>
    </row>
    <row r="787" spans="1:19" hidden="1" x14ac:dyDescent="0.25">
      <c r="A787" s="5" t="str">
        <f t="shared" si="340"/>
        <v>43923RUT</v>
      </c>
      <c r="B787" s="6" t="s">
        <v>7</v>
      </c>
      <c r="C787" s="6">
        <v>979</v>
      </c>
      <c r="D787" s="6">
        <v>1160</v>
      </c>
      <c r="E787" s="6">
        <v>1071</v>
      </c>
      <c r="F787" t="str">
        <f t="shared" si="344"/>
        <v>THU</v>
      </c>
      <c r="G787" s="1">
        <f t="shared" si="345"/>
        <v>43923</v>
      </c>
      <c r="H787" s="2">
        <f t="shared" ca="1" si="346"/>
        <v>330</v>
      </c>
      <c r="I787" t="str">
        <f t="shared" si="347"/>
        <v>RUT</v>
      </c>
      <c r="J787">
        <f t="shared" si="348"/>
        <v>979</v>
      </c>
      <c r="K787">
        <f t="shared" si="349"/>
        <v>1160</v>
      </c>
      <c r="L787">
        <f t="shared" si="350"/>
        <v>1069.5</v>
      </c>
      <c r="M787">
        <f t="shared" si="351"/>
        <v>90.5</v>
      </c>
      <c r="N787">
        <f t="shared" si="341"/>
        <v>181</v>
      </c>
      <c r="O787">
        <f t="shared" si="352"/>
        <v>1071</v>
      </c>
      <c r="P787">
        <f t="shared" si="353"/>
        <v>1.6574585635359115E-2</v>
      </c>
      <c r="Q787" t="str">
        <f t="shared" si="342"/>
        <v>8.59% | 8.31%</v>
      </c>
      <c r="R787" t="str">
        <f t="shared" si="354"/>
        <v>BEARISH</v>
      </c>
      <c r="S787">
        <f t="shared" si="343"/>
        <v>-1</v>
      </c>
    </row>
    <row r="788" spans="1:19" hidden="1" x14ac:dyDescent="0.25">
      <c r="A788" s="5" t="str">
        <f t="shared" si="340"/>
        <v>43923COMPQ</v>
      </c>
      <c r="B788" s="6" t="s">
        <v>64</v>
      </c>
      <c r="C788" s="6">
        <v>6734</v>
      </c>
      <c r="D788" s="6">
        <v>7892</v>
      </c>
      <c r="E788" s="6">
        <v>7360</v>
      </c>
      <c r="F788" t="str">
        <f t="shared" si="344"/>
        <v>THU</v>
      </c>
      <c r="G788" s="1">
        <f t="shared" si="345"/>
        <v>43923</v>
      </c>
      <c r="H788" s="2">
        <f t="shared" ca="1" si="346"/>
        <v>330</v>
      </c>
      <c r="I788" t="str">
        <f t="shared" si="347"/>
        <v>COMPQ</v>
      </c>
      <c r="J788">
        <f t="shared" si="348"/>
        <v>6734</v>
      </c>
      <c r="K788">
        <f t="shared" si="349"/>
        <v>7892</v>
      </c>
      <c r="L788">
        <f t="shared" si="350"/>
        <v>7313</v>
      </c>
      <c r="M788">
        <f t="shared" si="351"/>
        <v>579</v>
      </c>
      <c r="N788">
        <f t="shared" si="341"/>
        <v>1158</v>
      </c>
      <c r="O788">
        <f t="shared" si="352"/>
        <v>7360</v>
      </c>
      <c r="P788">
        <f t="shared" si="353"/>
        <v>8.1174438687392061E-2</v>
      </c>
      <c r="Q788" t="str">
        <f t="shared" si="342"/>
        <v>8.51% | 7.23%</v>
      </c>
      <c r="R788" t="str">
        <f t="shared" si="354"/>
        <v>BEARISH</v>
      </c>
      <c r="S788">
        <f t="shared" si="343"/>
        <v>-1</v>
      </c>
    </row>
    <row r="789" spans="1:19" hidden="1" x14ac:dyDescent="0.25">
      <c r="A789" s="5" t="str">
        <f t="shared" si="340"/>
        <v>43923XLU</v>
      </c>
      <c r="B789" s="6" t="s">
        <v>82</v>
      </c>
      <c r="C789" s="6">
        <v>44.01</v>
      </c>
      <c r="D789" s="6">
        <v>57.3</v>
      </c>
      <c r="E789" s="6">
        <v>52.08</v>
      </c>
      <c r="F789" t="str">
        <f t="shared" si="344"/>
        <v>THU</v>
      </c>
      <c r="G789" s="1">
        <f t="shared" si="345"/>
        <v>43923</v>
      </c>
      <c r="H789" s="2">
        <f t="shared" ca="1" si="346"/>
        <v>330</v>
      </c>
      <c r="I789" t="str">
        <f t="shared" si="347"/>
        <v>XLU</v>
      </c>
      <c r="J789">
        <f t="shared" si="348"/>
        <v>44.01</v>
      </c>
      <c r="K789">
        <f t="shared" si="349"/>
        <v>57.3</v>
      </c>
      <c r="L789">
        <f t="shared" si="350"/>
        <v>50.655000000000001</v>
      </c>
      <c r="M789">
        <f t="shared" si="351"/>
        <v>6.6449999999999827</v>
      </c>
      <c r="N789">
        <f t="shared" si="341"/>
        <v>13.29</v>
      </c>
      <c r="O789">
        <f t="shared" si="352"/>
        <v>52.08</v>
      </c>
      <c r="P789">
        <f t="shared" si="353"/>
        <v>0.21444695259593693</v>
      </c>
      <c r="Q789" t="str">
        <f t="shared" si="342"/>
        <v>15.5% | 10.02%</v>
      </c>
      <c r="R789" t="str">
        <f t="shared" si="354"/>
        <v>BEARISH</v>
      </c>
      <c r="S789">
        <f t="shared" si="343"/>
        <v>-1</v>
      </c>
    </row>
    <row r="790" spans="1:19" hidden="1" x14ac:dyDescent="0.25">
      <c r="A790" s="5" t="str">
        <f t="shared" si="340"/>
        <v>43923VNQ</v>
      </c>
      <c r="B790" s="6" t="s">
        <v>67</v>
      </c>
      <c r="C790" s="6">
        <v>55.23</v>
      </c>
      <c r="D790" s="6">
        <v>74.900000000000006</v>
      </c>
      <c r="E790" s="6">
        <v>65.260000000000005</v>
      </c>
      <c r="F790" t="str">
        <f t="shared" si="344"/>
        <v>THU</v>
      </c>
      <c r="G790" s="1">
        <f t="shared" si="345"/>
        <v>43923</v>
      </c>
      <c r="H790" s="2">
        <f t="shared" ca="1" si="346"/>
        <v>330</v>
      </c>
      <c r="I790" t="str">
        <f t="shared" si="347"/>
        <v>VNQ</v>
      </c>
      <c r="J790">
        <f t="shared" si="348"/>
        <v>55.23</v>
      </c>
      <c r="K790">
        <f t="shared" si="349"/>
        <v>74.900000000000006</v>
      </c>
      <c r="L790">
        <f t="shared" si="350"/>
        <v>65.064999999999998</v>
      </c>
      <c r="M790">
        <f t="shared" si="351"/>
        <v>9.8350000000000275</v>
      </c>
      <c r="N790">
        <f t="shared" si="341"/>
        <v>19.670000000000009</v>
      </c>
      <c r="O790">
        <f t="shared" si="352"/>
        <v>65.260000000000005</v>
      </c>
      <c r="P790">
        <f t="shared" si="353"/>
        <v>1.9827147941027641E-2</v>
      </c>
      <c r="Q790" t="str">
        <f t="shared" si="342"/>
        <v>15.37% | 14.77%</v>
      </c>
      <c r="R790" t="str">
        <f t="shared" si="354"/>
        <v>BEARISH</v>
      </c>
      <c r="S790">
        <f t="shared" si="343"/>
        <v>-1</v>
      </c>
    </row>
    <row r="791" spans="1:19" hidden="1" x14ac:dyDescent="0.25">
      <c r="A791" s="5" t="str">
        <f t="shared" si="340"/>
        <v>43923XLP</v>
      </c>
      <c r="B791" s="6" t="s">
        <v>11</v>
      </c>
      <c r="C791" s="6">
        <v>48.06</v>
      </c>
      <c r="D791" s="6">
        <v>55.98</v>
      </c>
      <c r="E791" s="6">
        <v>53.55</v>
      </c>
      <c r="F791" t="str">
        <f t="shared" si="344"/>
        <v>THU</v>
      </c>
      <c r="G791" s="1">
        <f t="shared" si="345"/>
        <v>43923</v>
      </c>
      <c r="H791" s="2">
        <f t="shared" ca="1" si="346"/>
        <v>330</v>
      </c>
      <c r="I791" t="str">
        <f t="shared" si="347"/>
        <v>XLP</v>
      </c>
      <c r="J791">
        <f t="shared" si="348"/>
        <v>48.06</v>
      </c>
      <c r="K791">
        <f t="shared" si="349"/>
        <v>55.98</v>
      </c>
      <c r="L791">
        <f t="shared" si="350"/>
        <v>52.019999999999996</v>
      </c>
      <c r="M791">
        <f t="shared" si="351"/>
        <v>3.9599999999999973</v>
      </c>
      <c r="N791">
        <f t="shared" si="341"/>
        <v>7.9199999999999946</v>
      </c>
      <c r="O791">
        <f t="shared" si="352"/>
        <v>53.55</v>
      </c>
      <c r="P791">
        <f t="shared" si="353"/>
        <v>0.38636363636363691</v>
      </c>
      <c r="Q791" t="str">
        <f t="shared" si="342"/>
        <v>10.25% | 4.54%</v>
      </c>
      <c r="R791" t="str">
        <f t="shared" si="354"/>
        <v>BEARISH</v>
      </c>
      <c r="S791">
        <f t="shared" si="343"/>
        <v>-1</v>
      </c>
    </row>
    <row r="792" spans="1:19" hidden="1" x14ac:dyDescent="0.25">
      <c r="A792" s="5" t="str">
        <f t="shared" si="340"/>
        <v>43923XLK</v>
      </c>
      <c r="B792" s="6" t="s">
        <v>65</v>
      </c>
      <c r="C792" s="6">
        <v>69.239999999999995</v>
      </c>
      <c r="D792" s="6">
        <v>82.31</v>
      </c>
      <c r="E792" s="6">
        <v>76.540000000000006</v>
      </c>
      <c r="F792" t="str">
        <f t="shared" si="344"/>
        <v>THU</v>
      </c>
      <c r="G792" s="1">
        <f t="shared" si="345"/>
        <v>43923</v>
      </c>
      <c r="H792" s="2">
        <f t="shared" ca="1" si="346"/>
        <v>330</v>
      </c>
      <c r="I792" t="str">
        <f t="shared" si="347"/>
        <v>XLK</v>
      </c>
      <c r="J792">
        <f t="shared" si="348"/>
        <v>69.239999999999995</v>
      </c>
      <c r="K792">
        <f t="shared" si="349"/>
        <v>82.31</v>
      </c>
      <c r="L792">
        <f t="shared" si="350"/>
        <v>75.775000000000006</v>
      </c>
      <c r="M792">
        <f t="shared" si="351"/>
        <v>6.5350000000000037</v>
      </c>
      <c r="N792">
        <f t="shared" si="341"/>
        <v>13.070000000000007</v>
      </c>
      <c r="O792">
        <f t="shared" si="352"/>
        <v>76.540000000000006</v>
      </c>
      <c r="P792">
        <f t="shared" si="353"/>
        <v>0.11706197398622803</v>
      </c>
      <c r="Q792" t="str">
        <f t="shared" si="342"/>
        <v>9.54% | 7.54%</v>
      </c>
      <c r="R792" t="str">
        <f t="shared" si="354"/>
        <v>BEARISH</v>
      </c>
      <c r="S792">
        <f t="shared" si="343"/>
        <v>-1</v>
      </c>
    </row>
    <row r="793" spans="1:19" hidden="1" x14ac:dyDescent="0.25">
      <c r="A793" s="5" t="str">
        <f t="shared" si="340"/>
        <v>43923SSEC</v>
      </c>
      <c r="B793" s="6" t="s">
        <v>14</v>
      </c>
      <c r="C793" s="6">
        <v>2664</v>
      </c>
      <c r="D793" s="6">
        <v>2831</v>
      </c>
      <c r="E793" s="6">
        <v>2780</v>
      </c>
      <c r="F793" t="str">
        <f t="shared" si="344"/>
        <v>THU</v>
      </c>
      <c r="G793" s="1">
        <f t="shared" si="345"/>
        <v>43923</v>
      </c>
      <c r="H793" s="2">
        <f t="shared" ca="1" si="346"/>
        <v>330</v>
      </c>
      <c r="I793" t="str">
        <f t="shared" si="347"/>
        <v>SSEC</v>
      </c>
      <c r="J793">
        <f t="shared" si="348"/>
        <v>2664</v>
      </c>
      <c r="K793">
        <f t="shared" si="349"/>
        <v>2831</v>
      </c>
      <c r="L793">
        <f t="shared" si="350"/>
        <v>2747.5</v>
      </c>
      <c r="M793">
        <f t="shared" si="351"/>
        <v>83.5</v>
      </c>
      <c r="N793">
        <f t="shared" si="341"/>
        <v>167</v>
      </c>
      <c r="O793">
        <f t="shared" si="352"/>
        <v>2780</v>
      </c>
      <c r="P793">
        <f t="shared" si="353"/>
        <v>0.38922155688622756</v>
      </c>
      <c r="Q793" t="str">
        <f t="shared" si="342"/>
        <v>4.17% | 1.83%</v>
      </c>
      <c r="R793" t="str">
        <f t="shared" si="354"/>
        <v>BEARISH</v>
      </c>
      <c r="S793">
        <f t="shared" si="343"/>
        <v>-1</v>
      </c>
    </row>
    <row r="794" spans="1:19" hidden="1" x14ac:dyDescent="0.25">
      <c r="A794" s="5" t="str">
        <f t="shared" si="340"/>
        <v>43923NIKK</v>
      </c>
      <c r="B794" s="6" t="s">
        <v>15</v>
      </c>
      <c r="C794" s="6">
        <v>16257</v>
      </c>
      <c r="D794" s="6">
        <v>19501</v>
      </c>
      <c r="E794" s="6">
        <v>17818</v>
      </c>
      <c r="F794" t="str">
        <f t="shared" si="344"/>
        <v>THU</v>
      </c>
      <c r="G794" s="1">
        <f t="shared" si="345"/>
        <v>43923</v>
      </c>
      <c r="H794" s="2">
        <f t="shared" ca="1" si="346"/>
        <v>330</v>
      </c>
      <c r="I794" t="str">
        <f t="shared" si="347"/>
        <v>NIKK</v>
      </c>
      <c r="J794">
        <f t="shared" si="348"/>
        <v>16257</v>
      </c>
      <c r="K794">
        <f t="shared" si="349"/>
        <v>19501</v>
      </c>
      <c r="L794">
        <f t="shared" si="350"/>
        <v>17879</v>
      </c>
      <c r="M794">
        <f t="shared" si="351"/>
        <v>1622</v>
      </c>
      <c r="N794">
        <f t="shared" si="341"/>
        <v>3244</v>
      </c>
      <c r="O794">
        <f t="shared" si="352"/>
        <v>17818</v>
      </c>
      <c r="P794">
        <f t="shared" si="353"/>
        <v>-3.76078914919852E-2</v>
      </c>
      <c r="Q794" t="str">
        <f t="shared" si="342"/>
        <v>8.76% | 9.45%</v>
      </c>
      <c r="R794" t="str">
        <f t="shared" si="354"/>
        <v>BEARISH</v>
      </c>
      <c r="S794">
        <f t="shared" si="343"/>
        <v>-1</v>
      </c>
    </row>
    <row r="795" spans="1:19" hidden="1" x14ac:dyDescent="0.25">
      <c r="A795" s="5" t="str">
        <f t="shared" si="340"/>
        <v>43923DAX</v>
      </c>
      <c r="B795" s="6" t="s">
        <v>16</v>
      </c>
      <c r="C795" s="6">
        <v>8534</v>
      </c>
      <c r="D795" s="6">
        <v>10362</v>
      </c>
      <c r="E795" s="6">
        <v>9539</v>
      </c>
      <c r="F795" t="str">
        <f t="shared" si="344"/>
        <v>THU</v>
      </c>
      <c r="G795" s="1">
        <f t="shared" si="345"/>
        <v>43923</v>
      </c>
      <c r="H795" s="2">
        <f t="shared" ca="1" si="346"/>
        <v>330</v>
      </c>
      <c r="I795" t="str">
        <f t="shared" si="347"/>
        <v>DAX</v>
      </c>
      <c r="J795">
        <f t="shared" si="348"/>
        <v>8534</v>
      </c>
      <c r="K795">
        <f t="shared" si="349"/>
        <v>10362</v>
      </c>
      <c r="L795">
        <f t="shared" si="350"/>
        <v>9448</v>
      </c>
      <c r="M795">
        <f t="shared" si="351"/>
        <v>914</v>
      </c>
      <c r="N795">
        <f t="shared" si="341"/>
        <v>1828</v>
      </c>
      <c r="O795">
        <f t="shared" si="352"/>
        <v>9539</v>
      </c>
      <c r="P795">
        <f t="shared" si="353"/>
        <v>9.9562363238512031E-2</v>
      </c>
      <c r="Q795" t="str">
        <f t="shared" si="342"/>
        <v>10.54% | 8.63%</v>
      </c>
      <c r="R795" t="str">
        <f t="shared" si="354"/>
        <v>BEARISH</v>
      </c>
      <c r="S795">
        <f t="shared" si="343"/>
        <v>-1</v>
      </c>
    </row>
    <row r="796" spans="1:19" hidden="1" x14ac:dyDescent="0.25">
      <c r="A796" s="5" t="str">
        <f t="shared" si="340"/>
        <v>43923VIX</v>
      </c>
      <c r="B796" s="6" t="s">
        <v>17</v>
      </c>
      <c r="C796" s="6">
        <v>51.89</v>
      </c>
      <c r="D796" s="6">
        <v>78.77</v>
      </c>
      <c r="E796" s="6">
        <v>57.06</v>
      </c>
      <c r="F796" t="str">
        <f t="shared" si="344"/>
        <v>THU</v>
      </c>
      <c r="G796" s="1">
        <f t="shared" si="345"/>
        <v>43923</v>
      </c>
      <c r="H796" s="2">
        <f t="shared" ca="1" si="346"/>
        <v>330</v>
      </c>
      <c r="I796" t="str">
        <f t="shared" si="347"/>
        <v>VIX</v>
      </c>
      <c r="J796">
        <f t="shared" si="348"/>
        <v>51.89</v>
      </c>
      <c r="K796">
        <f t="shared" si="349"/>
        <v>78.77</v>
      </c>
      <c r="L796">
        <f t="shared" si="350"/>
        <v>65.33</v>
      </c>
      <c r="M796">
        <f t="shared" si="351"/>
        <v>13.440000000000005</v>
      </c>
      <c r="N796">
        <f t="shared" si="341"/>
        <v>26.879999999999995</v>
      </c>
      <c r="O796">
        <f t="shared" si="352"/>
        <v>57.06</v>
      </c>
      <c r="P796">
        <f t="shared" si="353"/>
        <v>-0.61532738095238049</v>
      </c>
      <c r="Q796" t="str">
        <f t="shared" si="342"/>
        <v>9.06% | 38.05%</v>
      </c>
      <c r="R796" t="str">
        <f t="shared" si="354"/>
        <v>BULLISH</v>
      </c>
      <c r="S796">
        <f t="shared" si="343"/>
        <v>1</v>
      </c>
    </row>
    <row r="797" spans="1:19" hidden="1" x14ac:dyDescent="0.25">
      <c r="A797" s="5" t="str">
        <f t="shared" si="340"/>
        <v>43923USD</v>
      </c>
      <c r="B797" s="6" t="s">
        <v>18</v>
      </c>
      <c r="C797" s="6">
        <v>97.14</v>
      </c>
      <c r="D797" s="6">
        <v>104.54</v>
      </c>
      <c r="E797" s="6">
        <v>99.75</v>
      </c>
      <c r="F797" t="str">
        <f t="shared" si="344"/>
        <v>THU</v>
      </c>
      <c r="G797" s="1">
        <f t="shared" si="345"/>
        <v>43923</v>
      </c>
      <c r="H797" s="2">
        <f t="shared" ca="1" si="346"/>
        <v>330</v>
      </c>
      <c r="I797" t="str">
        <f t="shared" si="347"/>
        <v>USD</v>
      </c>
      <c r="J797">
        <f t="shared" si="348"/>
        <v>97.14</v>
      </c>
      <c r="K797">
        <f t="shared" si="349"/>
        <v>104.54</v>
      </c>
      <c r="L797">
        <f t="shared" si="350"/>
        <v>100.84</v>
      </c>
      <c r="M797">
        <f t="shared" si="351"/>
        <v>3.7000000000000028</v>
      </c>
      <c r="N797">
        <f t="shared" si="341"/>
        <v>7.4000000000000057</v>
      </c>
      <c r="O797">
        <f t="shared" si="352"/>
        <v>99.75</v>
      </c>
      <c r="P797">
        <f t="shared" si="353"/>
        <v>-0.2945945945945953</v>
      </c>
      <c r="Q797" t="str">
        <f t="shared" si="342"/>
        <v>2.62% | 4.8%</v>
      </c>
      <c r="R797" t="str">
        <f t="shared" si="354"/>
        <v>BULLISH</v>
      </c>
      <c r="S797">
        <f t="shared" si="343"/>
        <v>1</v>
      </c>
    </row>
    <row r="798" spans="1:19" hidden="1" x14ac:dyDescent="0.25">
      <c r="A798" s="5" t="str">
        <f t="shared" si="340"/>
        <v>43923EUR/USD</v>
      </c>
      <c r="B798" s="6" t="s">
        <v>19</v>
      </c>
      <c r="C798" s="6">
        <v>1.06</v>
      </c>
      <c r="D798" s="6">
        <v>1.1100000000000001</v>
      </c>
      <c r="E798" s="6">
        <v>1.0900000000000001</v>
      </c>
      <c r="F798" t="str">
        <f t="shared" si="344"/>
        <v>THU</v>
      </c>
      <c r="G798" s="1">
        <f t="shared" si="345"/>
        <v>43923</v>
      </c>
      <c r="H798" s="2">
        <f t="shared" ca="1" si="346"/>
        <v>330</v>
      </c>
      <c r="I798" t="str">
        <f t="shared" si="347"/>
        <v>EUR/USD</v>
      </c>
      <c r="J798">
        <f t="shared" si="348"/>
        <v>1.06</v>
      </c>
      <c r="K798">
        <f t="shared" si="349"/>
        <v>1.1100000000000001</v>
      </c>
      <c r="L798">
        <f t="shared" si="350"/>
        <v>1.085</v>
      </c>
      <c r="M798">
        <f t="shared" si="351"/>
        <v>2.5000000000000022E-2</v>
      </c>
      <c r="N798">
        <f t="shared" si="341"/>
        <v>5.0000000000000044E-2</v>
      </c>
      <c r="O798">
        <f t="shared" si="352"/>
        <v>1.0900000000000001</v>
      </c>
      <c r="P798">
        <f t="shared" si="353"/>
        <v>0.20000000000000445</v>
      </c>
      <c r="Q798" t="str">
        <f t="shared" si="342"/>
        <v>2.75% | 1.83%</v>
      </c>
      <c r="R798" t="str">
        <f t="shared" si="354"/>
        <v>BEARISH</v>
      </c>
      <c r="S798">
        <f t="shared" si="343"/>
        <v>-1</v>
      </c>
    </row>
    <row r="799" spans="1:19" hidden="1" x14ac:dyDescent="0.25">
      <c r="A799" s="5" t="str">
        <f t="shared" si="340"/>
        <v>43923USD/JPY</v>
      </c>
      <c r="B799" s="6" t="s">
        <v>86</v>
      </c>
      <c r="C799" s="6">
        <v>106.1</v>
      </c>
      <c r="D799" s="6">
        <v>111.88</v>
      </c>
      <c r="E799" s="6">
        <v>107.06</v>
      </c>
      <c r="F799" t="str">
        <f t="shared" si="344"/>
        <v>THU</v>
      </c>
      <c r="G799" s="1">
        <f t="shared" si="345"/>
        <v>43923</v>
      </c>
      <c r="H799" s="2">
        <f t="shared" ca="1" si="346"/>
        <v>330</v>
      </c>
      <c r="I799" t="str">
        <f t="shared" si="347"/>
        <v>USD/JPY</v>
      </c>
      <c r="J799">
        <f t="shared" si="348"/>
        <v>106.1</v>
      </c>
      <c r="K799">
        <f t="shared" si="349"/>
        <v>111.88</v>
      </c>
      <c r="L799">
        <f t="shared" si="350"/>
        <v>108.99</v>
      </c>
      <c r="M799">
        <f t="shared" si="351"/>
        <v>2.8900000000000006</v>
      </c>
      <c r="N799">
        <f t="shared" si="341"/>
        <v>5.7800000000000011</v>
      </c>
      <c r="O799">
        <f t="shared" si="352"/>
        <v>107.06</v>
      </c>
      <c r="P799">
        <f t="shared" si="353"/>
        <v>-0.6678200692041496</v>
      </c>
      <c r="Q799" t="str">
        <f t="shared" si="342"/>
        <v>0.9% | 4.5%</v>
      </c>
      <c r="R799" t="str">
        <f t="shared" si="354"/>
        <v>NEUTRAL</v>
      </c>
      <c r="S799">
        <f t="shared" si="343"/>
        <v>0</v>
      </c>
    </row>
    <row r="800" spans="1:19" hidden="1" x14ac:dyDescent="0.25">
      <c r="A800" s="5" t="str">
        <f t="shared" si="340"/>
        <v>43923GBP/USD</v>
      </c>
      <c r="B800" s="6" t="s">
        <v>21</v>
      </c>
      <c r="C800" s="6">
        <v>1.1299999999999999</v>
      </c>
      <c r="D800" s="6">
        <v>1.25</v>
      </c>
      <c r="E800" s="6">
        <v>1.24</v>
      </c>
      <c r="F800" t="str">
        <f t="shared" si="344"/>
        <v>THU</v>
      </c>
      <c r="G800" s="1">
        <f t="shared" si="345"/>
        <v>43923</v>
      </c>
      <c r="H800" s="2">
        <f t="shared" ca="1" si="346"/>
        <v>330</v>
      </c>
      <c r="I800" t="str">
        <f t="shared" si="347"/>
        <v>GBP/USD</v>
      </c>
      <c r="J800">
        <f t="shared" si="348"/>
        <v>1.1299999999999999</v>
      </c>
      <c r="K800">
        <f t="shared" si="349"/>
        <v>1.25</v>
      </c>
      <c r="L800">
        <f t="shared" si="350"/>
        <v>1.19</v>
      </c>
      <c r="M800">
        <f t="shared" si="351"/>
        <v>6.0000000000000053E-2</v>
      </c>
      <c r="N800">
        <f t="shared" si="341"/>
        <v>0.12000000000000011</v>
      </c>
      <c r="O800">
        <f t="shared" si="352"/>
        <v>1.24</v>
      </c>
      <c r="P800">
        <f t="shared" si="353"/>
        <v>0.83333333333333337</v>
      </c>
      <c r="Q800" t="str">
        <f t="shared" si="342"/>
        <v>8.87% | 0.81%</v>
      </c>
      <c r="R800" t="str">
        <f t="shared" si="354"/>
        <v>BEARISH</v>
      </c>
      <c r="S800">
        <f t="shared" si="343"/>
        <v>-1</v>
      </c>
    </row>
    <row r="801" spans="1:19" hidden="1" x14ac:dyDescent="0.25">
      <c r="A801" s="5" t="str">
        <f t="shared" si="340"/>
        <v>43923USD/CHF</v>
      </c>
      <c r="B801" s="6" t="s">
        <v>22</v>
      </c>
      <c r="C801" s="6">
        <v>0.95</v>
      </c>
      <c r="D801" s="6">
        <v>0.99</v>
      </c>
      <c r="E801" s="6">
        <v>0.96</v>
      </c>
      <c r="F801" t="str">
        <f t="shared" si="344"/>
        <v>THU</v>
      </c>
      <c r="G801" s="1">
        <f t="shared" si="345"/>
        <v>43923</v>
      </c>
      <c r="H801" s="2">
        <f t="shared" ca="1" si="346"/>
        <v>330</v>
      </c>
      <c r="I801" t="str">
        <f t="shared" si="347"/>
        <v>USD/CHF</v>
      </c>
      <c r="J801">
        <f t="shared" si="348"/>
        <v>0.95</v>
      </c>
      <c r="K801">
        <f t="shared" si="349"/>
        <v>0.99</v>
      </c>
      <c r="L801">
        <f t="shared" si="350"/>
        <v>0.97</v>
      </c>
      <c r="M801">
        <f t="shared" si="351"/>
        <v>2.0000000000000018E-2</v>
      </c>
      <c r="N801">
        <f t="shared" si="341"/>
        <v>4.0000000000000036E-2</v>
      </c>
      <c r="O801">
        <f t="shared" si="352"/>
        <v>0.96</v>
      </c>
      <c r="P801">
        <f t="shared" si="353"/>
        <v>-0.5</v>
      </c>
      <c r="Q801" t="str">
        <f t="shared" si="342"/>
        <v>1.04% | 3.13%</v>
      </c>
      <c r="R801" t="str">
        <f t="shared" si="354"/>
        <v>NEUTRAL</v>
      </c>
      <c r="S801">
        <f t="shared" si="343"/>
        <v>0</v>
      </c>
    </row>
    <row r="802" spans="1:19" hidden="1" x14ac:dyDescent="0.25">
      <c r="A802" s="5" t="str">
        <f t="shared" si="340"/>
        <v>43923WTIC</v>
      </c>
      <c r="B802" s="6" t="s">
        <v>23</v>
      </c>
      <c r="C802" s="6">
        <v>19.02</v>
      </c>
      <c r="D802" s="6">
        <v>25.17</v>
      </c>
      <c r="E802" s="6">
        <v>20.309999999999999</v>
      </c>
      <c r="F802" t="str">
        <f t="shared" si="344"/>
        <v>THU</v>
      </c>
      <c r="G802" s="1">
        <f t="shared" si="345"/>
        <v>43923</v>
      </c>
      <c r="H802" s="2">
        <f t="shared" ca="1" si="346"/>
        <v>330</v>
      </c>
      <c r="I802" t="str">
        <f t="shared" si="347"/>
        <v>WTIC</v>
      </c>
      <c r="J802">
        <f t="shared" si="348"/>
        <v>19.02</v>
      </c>
      <c r="K802">
        <f t="shared" si="349"/>
        <v>25.17</v>
      </c>
      <c r="L802">
        <f t="shared" si="350"/>
        <v>22.094999999999999</v>
      </c>
      <c r="M802">
        <f t="shared" si="351"/>
        <v>3.0750000000000179</v>
      </c>
      <c r="N802">
        <f t="shared" si="341"/>
        <v>6.1500000000000021</v>
      </c>
      <c r="O802">
        <f t="shared" si="352"/>
        <v>20.309999999999999</v>
      </c>
      <c r="P802">
        <f t="shared" si="353"/>
        <v>-0.58048780487804541</v>
      </c>
      <c r="Q802" t="str">
        <f t="shared" si="342"/>
        <v>6.35% | 23.93%</v>
      </c>
      <c r="R802" t="str">
        <f t="shared" si="354"/>
        <v>BEARISH</v>
      </c>
      <c r="S802">
        <f t="shared" si="343"/>
        <v>-1</v>
      </c>
    </row>
    <row r="803" spans="1:19" hidden="1" x14ac:dyDescent="0.25">
      <c r="A803" s="5" t="str">
        <f t="shared" si="340"/>
        <v>43923NATGAS</v>
      </c>
      <c r="B803" s="6" t="s">
        <v>24</v>
      </c>
      <c r="C803" s="6">
        <v>1.5</v>
      </c>
      <c r="D803" s="6">
        <v>1.76</v>
      </c>
      <c r="E803" s="6">
        <v>1.59</v>
      </c>
      <c r="F803" t="str">
        <f t="shared" si="344"/>
        <v>THU</v>
      </c>
      <c r="G803" s="1">
        <f t="shared" si="345"/>
        <v>43923</v>
      </c>
      <c r="H803" s="2">
        <f t="shared" ca="1" si="346"/>
        <v>330</v>
      </c>
      <c r="I803" t="str">
        <f t="shared" si="347"/>
        <v>NATGAS</v>
      </c>
      <c r="J803">
        <f t="shared" si="348"/>
        <v>1.5</v>
      </c>
      <c r="K803">
        <f t="shared" si="349"/>
        <v>1.76</v>
      </c>
      <c r="L803">
        <f t="shared" si="350"/>
        <v>1.63</v>
      </c>
      <c r="M803">
        <f t="shared" si="351"/>
        <v>0.13</v>
      </c>
      <c r="N803">
        <f t="shared" si="341"/>
        <v>0.26</v>
      </c>
      <c r="O803">
        <f t="shared" si="352"/>
        <v>1.59</v>
      </c>
      <c r="P803">
        <f t="shared" si="353"/>
        <v>-0.30769230769230627</v>
      </c>
      <c r="Q803" t="str">
        <f t="shared" si="342"/>
        <v>5.66% | 10.69%</v>
      </c>
      <c r="R803" t="str">
        <f t="shared" si="354"/>
        <v>BEARISH</v>
      </c>
      <c r="S803">
        <f t="shared" si="343"/>
        <v>-1</v>
      </c>
    </row>
    <row r="804" spans="1:19" hidden="1" x14ac:dyDescent="0.25">
      <c r="A804" s="5" t="str">
        <f t="shared" si="340"/>
        <v>43923GOLD</v>
      </c>
      <c r="B804" s="6" t="s">
        <v>25</v>
      </c>
      <c r="C804" s="6">
        <v>1502</v>
      </c>
      <c r="D804" s="6">
        <v>1659</v>
      </c>
      <c r="E804" s="6">
        <v>1591</v>
      </c>
      <c r="F804" t="str">
        <f t="shared" si="344"/>
        <v>THU</v>
      </c>
      <c r="G804" s="1">
        <f t="shared" si="345"/>
        <v>43923</v>
      </c>
      <c r="H804" s="2">
        <f t="shared" ca="1" si="346"/>
        <v>330</v>
      </c>
      <c r="I804" t="str">
        <f t="shared" si="347"/>
        <v>GOLD</v>
      </c>
      <c r="J804">
        <f t="shared" si="348"/>
        <v>1502</v>
      </c>
      <c r="K804">
        <f t="shared" si="349"/>
        <v>1659</v>
      </c>
      <c r="L804">
        <f t="shared" si="350"/>
        <v>1580.5</v>
      </c>
      <c r="M804">
        <f t="shared" si="351"/>
        <v>78.5</v>
      </c>
      <c r="N804">
        <f t="shared" si="341"/>
        <v>157</v>
      </c>
      <c r="O804">
        <f t="shared" si="352"/>
        <v>1591</v>
      </c>
      <c r="P804">
        <f t="shared" si="353"/>
        <v>0.13375796178343949</v>
      </c>
      <c r="Q804" t="str">
        <f t="shared" si="342"/>
        <v>5.59% | 4.27%</v>
      </c>
      <c r="R804" t="str">
        <f t="shared" si="354"/>
        <v>BULLISH</v>
      </c>
      <c r="S804">
        <f t="shared" si="343"/>
        <v>1</v>
      </c>
    </row>
    <row r="805" spans="1:19" hidden="1" x14ac:dyDescent="0.25">
      <c r="A805" s="5" t="str">
        <f t="shared" si="340"/>
        <v>43923COPPER</v>
      </c>
      <c r="B805" s="6" t="s">
        <v>26</v>
      </c>
      <c r="C805" s="6">
        <v>2.0699999999999998</v>
      </c>
      <c r="D805" s="6">
        <v>2.25</v>
      </c>
      <c r="E805" s="6">
        <v>2.17</v>
      </c>
      <c r="F805" t="str">
        <f t="shared" si="344"/>
        <v>THU</v>
      </c>
      <c r="G805" s="1">
        <f t="shared" si="345"/>
        <v>43923</v>
      </c>
      <c r="H805" s="2">
        <f t="shared" ca="1" si="346"/>
        <v>330</v>
      </c>
      <c r="I805" t="str">
        <f t="shared" si="347"/>
        <v>COPPER</v>
      </c>
      <c r="J805">
        <f t="shared" si="348"/>
        <v>2.0699999999999998</v>
      </c>
      <c r="K805">
        <f t="shared" si="349"/>
        <v>2.25</v>
      </c>
      <c r="L805">
        <f t="shared" si="350"/>
        <v>2.16</v>
      </c>
      <c r="M805">
        <f t="shared" si="351"/>
        <v>9.000000000000008E-2</v>
      </c>
      <c r="N805">
        <f t="shared" si="341"/>
        <v>0.18000000000000016</v>
      </c>
      <c r="O805">
        <f t="shared" si="352"/>
        <v>2.17</v>
      </c>
      <c r="P805">
        <f t="shared" si="353"/>
        <v>0.11111111111110865</v>
      </c>
      <c r="Q805" t="str">
        <f t="shared" si="342"/>
        <v>4.61% | 3.69%</v>
      </c>
      <c r="R805" t="str">
        <f t="shared" si="354"/>
        <v>BEARISH</v>
      </c>
      <c r="S805">
        <f t="shared" si="343"/>
        <v>-1</v>
      </c>
    </row>
    <row r="806" spans="1:19" hidden="1" x14ac:dyDescent="0.25">
      <c r="A806" s="5" t="str">
        <f t="shared" si="340"/>
        <v>43923AAPL</v>
      </c>
      <c r="B806" s="6" t="s">
        <v>68</v>
      </c>
      <c r="C806" s="6">
        <v>222.54</v>
      </c>
      <c r="D806" s="6">
        <v>263.48</v>
      </c>
      <c r="E806" s="6">
        <v>240.91</v>
      </c>
      <c r="F806" t="str">
        <f t="shared" si="344"/>
        <v>THU</v>
      </c>
      <c r="G806" s="1">
        <f t="shared" si="345"/>
        <v>43923</v>
      </c>
      <c r="H806" s="2">
        <f t="shared" ca="1" si="346"/>
        <v>330</v>
      </c>
      <c r="I806" t="str">
        <f t="shared" si="347"/>
        <v>AAPL</v>
      </c>
      <c r="J806">
        <f t="shared" si="348"/>
        <v>222.54</v>
      </c>
      <c r="K806">
        <f t="shared" si="349"/>
        <v>263.48</v>
      </c>
      <c r="L806">
        <f t="shared" si="350"/>
        <v>243.01</v>
      </c>
      <c r="M806">
        <f t="shared" si="351"/>
        <v>20.470000000000013</v>
      </c>
      <c r="N806">
        <f t="shared" si="341"/>
        <v>40.940000000000026</v>
      </c>
      <c r="O806">
        <f t="shared" si="352"/>
        <v>240.91</v>
      </c>
      <c r="P806">
        <f t="shared" si="353"/>
        <v>-0.10258915486077151</v>
      </c>
      <c r="Q806" t="str">
        <f t="shared" si="342"/>
        <v>7.63% | 9.37%</v>
      </c>
      <c r="R806" t="str">
        <f t="shared" si="354"/>
        <v>BEARISH</v>
      </c>
      <c r="S806">
        <f t="shared" si="343"/>
        <v>-1</v>
      </c>
    </row>
    <row r="807" spans="1:19" hidden="1" x14ac:dyDescent="0.25">
      <c r="A807" s="5" t="str">
        <f t="shared" si="340"/>
        <v>43923AMZN</v>
      </c>
      <c r="B807" s="6" t="s">
        <v>69</v>
      </c>
      <c r="C807" s="6">
        <v>1824</v>
      </c>
      <c r="D807" s="6">
        <v>1990</v>
      </c>
      <c r="E807" s="6">
        <v>1907</v>
      </c>
      <c r="F807" t="str">
        <f t="shared" si="344"/>
        <v>THU</v>
      </c>
      <c r="G807" s="1">
        <f t="shared" si="345"/>
        <v>43923</v>
      </c>
      <c r="H807" s="2">
        <f t="shared" ca="1" si="346"/>
        <v>330</v>
      </c>
      <c r="I807" t="str">
        <f t="shared" si="347"/>
        <v>AMZN</v>
      </c>
      <c r="J807">
        <f t="shared" si="348"/>
        <v>1824</v>
      </c>
      <c r="K807">
        <f t="shared" si="349"/>
        <v>1990</v>
      </c>
      <c r="L807">
        <f t="shared" si="350"/>
        <v>1907</v>
      </c>
      <c r="M807">
        <f t="shared" si="351"/>
        <v>83</v>
      </c>
      <c r="N807">
        <f t="shared" si="341"/>
        <v>166</v>
      </c>
      <c r="O807">
        <f t="shared" si="352"/>
        <v>1907</v>
      </c>
      <c r="P807">
        <f t="shared" si="353"/>
        <v>0</v>
      </c>
      <c r="Q807" t="str">
        <f t="shared" si="342"/>
        <v>4.35% | 4.35%</v>
      </c>
      <c r="R807" t="str">
        <f t="shared" si="354"/>
        <v>NEUTRAL</v>
      </c>
      <c r="S807">
        <f t="shared" si="343"/>
        <v>0</v>
      </c>
    </row>
    <row r="808" spans="1:19" hidden="1" x14ac:dyDescent="0.25">
      <c r="A808" s="5" t="str">
        <f t="shared" si="340"/>
        <v>43923FB</v>
      </c>
      <c r="B808" s="6" t="s">
        <v>58</v>
      </c>
      <c r="C808" s="6">
        <v>144</v>
      </c>
      <c r="D808" s="6">
        <v>170</v>
      </c>
      <c r="E808" s="6">
        <v>159</v>
      </c>
      <c r="F808" t="str">
        <f t="shared" si="344"/>
        <v>THU</v>
      </c>
      <c r="G808" s="1">
        <f t="shared" si="345"/>
        <v>43923</v>
      </c>
      <c r="H808" s="2">
        <f t="shared" ca="1" si="346"/>
        <v>330</v>
      </c>
      <c r="I808" t="str">
        <f t="shared" si="347"/>
        <v>FB</v>
      </c>
      <c r="J808">
        <f t="shared" si="348"/>
        <v>144</v>
      </c>
      <c r="K808">
        <f t="shared" si="349"/>
        <v>170</v>
      </c>
      <c r="L808">
        <f t="shared" si="350"/>
        <v>157</v>
      </c>
      <c r="M808">
        <f t="shared" si="351"/>
        <v>13</v>
      </c>
      <c r="N808">
        <f t="shared" si="341"/>
        <v>26</v>
      </c>
      <c r="O808">
        <f t="shared" si="352"/>
        <v>159</v>
      </c>
      <c r="P808">
        <f t="shared" si="353"/>
        <v>0.15384615384615385</v>
      </c>
      <c r="Q808" t="str">
        <f t="shared" si="342"/>
        <v>9.43% | 6.92%</v>
      </c>
      <c r="R808" t="str">
        <f t="shared" si="354"/>
        <v>BEARISH</v>
      </c>
      <c r="S808">
        <f t="shared" si="343"/>
        <v>-1</v>
      </c>
    </row>
    <row r="809" spans="1:19" hidden="1" x14ac:dyDescent="0.25">
      <c r="A809" s="5" t="str">
        <f t="shared" si="340"/>
        <v>43923GOOGL</v>
      </c>
      <c r="B809" s="6" t="s">
        <v>66</v>
      </c>
      <c r="C809" s="6">
        <v>1032</v>
      </c>
      <c r="D809" s="6">
        <v>1187</v>
      </c>
      <c r="E809" s="6">
        <v>1102</v>
      </c>
      <c r="F809" t="str">
        <f t="shared" si="344"/>
        <v>THU</v>
      </c>
      <c r="G809" s="1">
        <f t="shared" si="345"/>
        <v>43923</v>
      </c>
      <c r="H809" s="2">
        <f t="shared" ca="1" si="346"/>
        <v>330</v>
      </c>
      <c r="I809" t="str">
        <f t="shared" si="347"/>
        <v>GOOGL</v>
      </c>
      <c r="J809">
        <f t="shared" si="348"/>
        <v>1032</v>
      </c>
      <c r="K809">
        <f t="shared" si="349"/>
        <v>1187</v>
      </c>
      <c r="L809">
        <f t="shared" si="350"/>
        <v>1109.5</v>
      </c>
      <c r="M809">
        <f t="shared" si="351"/>
        <v>77.5</v>
      </c>
      <c r="N809">
        <f t="shared" si="341"/>
        <v>155</v>
      </c>
      <c r="O809">
        <f t="shared" si="352"/>
        <v>1102</v>
      </c>
      <c r="P809">
        <f t="shared" si="353"/>
        <v>-9.6774193548387094E-2</v>
      </c>
      <c r="Q809" t="str">
        <f t="shared" si="342"/>
        <v>6.35% | 7.71%</v>
      </c>
      <c r="R809" t="str">
        <f t="shared" si="354"/>
        <v>BEARISH</v>
      </c>
      <c r="S809">
        <f t="shared" si="343"/>
        <v>-1</v>
      </c>
    </row>
    <row r="810" spans="1:19" hidden="1" x14ac:dyDescent="0.25">
      <c r="A810" s="5" t="str">
        <f t="shared" si="340"/>
        <v>43923NFLX</v>
      </c>
      <c r="B810" s="6" t="s">
        <v>70</v>
      </c>
      <c r="C810" s="6">
        <v>331</v>
      </c>
      <c r="D810" s="6">
        <v>384</v>
      </c>
      <c r="E810" s="6">
        <v>364</v>
      </c>
      <c r="F810" t="str">
        <f t="shared" si="344"/>
        <v>THU</v>
      </c>
      <c r="G810" s="1">
        <f t="shared" si="345"/>
        <v>43923</v>
      </c>
      <c r="H810" s="2">
        <f t="shared" ca="1" si="346"/>
        <v>330</v>
      </c>
      <c r="I810" t="str">
        <f t="shared" si="347"/>
        <v>NFLX</v>
      </c>
      <c r="J810">
        <f t="shared" si="348"/>
        <v>331</v>
      </c>
      <c r="K810">
        <f t="shared" si="349"/>
        <v>384</v>
      </c>
      <c r="L810">
        <f t="shared" si="350"/>
        <v>357.5</v>
      </c>
      <c r="M810">
        <f t="shared" si="351"/>
        <v>26.5</v>
      </c>
      <c r="N810">
        <f t="shared" si="341"/>
        <v>53</v>
      </c>
      <c r="O810">
        <f t="shared" si="352"/>
        <v>364</v>
      </c>
      <c r="P810">
        <f t="shared" si="353"/>
        <v>0.24528301886792453</v>
      </c>
      <c r="Q810" t="str">
        <f t="shared" si="342"/>
        <v>9.07% | 5.49%</v>
      </c>
      <c r="R810" t="str">
        <f t="shared" si="354"/>
        <v>NEUTRAL</v>
      </c>
      <c r="S810">
        <f t="shared" si="343"/>
        <v>0</v>
      </c>
    </row>
    <row r="811" spans="1:19" x14ac:dyDescent="0.25">
      <c r="A811" s="5" t="str">
        <f t="shared" si="340"/>
        <v>43923TSLA</v>
      </c>
      <c r="B811" s="6" t="s">
        <v>83</v>
      </c>
      <c r="C811" s="6">
        <v>408</v>
      </c>
      <c r="D811" s="6">
        <v>566</v>
      </c>
      <c r="E811" s="6">
        <v>481</v>
      </c>
      <c r="F811" t="str">
        <f t="shared" si="344"/>
        <v>THU</v>
      </c>
      <c r="G811" s="1">
        <f t="shared" si="345"/>
        <v>43923</v>
      </c>
      <c r="H811" s="2">
        <f t="shared" ca="1" si="346"/>
        <v>330</v>
      </c>
      <c r="I811" t="str">
        <f t="shared" si="347"/>
        <v>TSLA</v>
      </c>
      <c r="J811">
        <f t="shared" si="348"/>
        <v>408</v>
      </c>
      <c r="K811">
        <f t="shared" si="349"/>
        <v>566</v>
      </c>
      <c r="L811">
        <f t="shared" si="350"/>
        <v>487</v>
      </c>
      <c r="M811">
        <f t="shared" si="351"/>
        <v>79</v>
      </c>
      <c r="N811">
        <f t="shared" si="341"/>
        <v>158</v>
      </c>
      <c r="O811">
        <f t="shared" si="352"/>
        <v>481</v>
      </c>
      <c r="P811">
        <f t="shared" si="353"/>
        <v>-7.5949367088607597E-2</v>
      </c>
      <c r="Q811" t="str">
        <f t="shared" si="342"/>
        <v>15.18% | 17.67%</v>
      </c>
      <c r="R811" t="str">
        <f t="shared" si="354"/>
        <v>BEARISH</v>
      </c>
      <c r="S811">
        <f t="shared" si="343"/>
        <v>-1</v>
      </c>
    </row>
    <row r="812" spans="1:19" hidden="1" x14ac:dyDescent="0.25">
      <c r="A812" s="5" t="str">
        <f t="shared" si="340"/>
        <v>43923NYXBT</v>
      </c>
      <c r="B812" s="6" t="s">
        <v>84</v>
      </c>
      <c r="C812" s="6">
        <v>5912</v>
      </c>
      <c r="D812" s="6">
        <v>6913</v>
      </c>
      <c r="E812" s="6">
        <v>6258</v>
      </c>
      <c r="F812" t="str">
        <f t="shared" si="344"/>
        <v>THU</v>
      </c>
      <c r="G812" s="1">
        <f t="shared" si="345"/>
        <v>43923</v>
      </c>
      <c r="H812" s="2">
        <f t="shared" ca="1" si="346"/>
        <v>330</v>
      </c>
      <c r="I812" t="str">
        <f t="shared" si="347"/>
        <v>NYXBT</v>
      </c>
      <c r="J812">
        <f t="shared" si="348"/>
        <v>5912</v>
      </c>
      <c r="K812">
        <f t="shared" si="349"/>
        <v>6913</v>
      </c>
      <c r="L812">
        <f t="shared" si="350"/>
        <v>6412.5</v>
      </c>
      <c r="M812">
        <f t="shared" si="351"/>
        <v>500.5</v>
      </c>
      <c r="N812">
        <f t="shared" si="341"/>
        <v>1001</v>
      </c>
      <c r="O812">
        <f t="shared" si="352"/>
        <v>6258</v>
      </c>
      <c r="P812">
        <f t="shared" si="353"/>
        <v>-0.30869130869130867</v>
      </c>
      <c r="Q812" t="str">
        <f t="shared" si="342"/>
        <v>5.53% | 10.47%</v>
      </c>
      <c r="R812" t="str">
        <f t="shared" si="354"/>
        <v>BEARISH</v>
      </c>
      <c r="S812">
        <f t="shared" si="343"/>
        <v>-1</v>
      </c>
    </row>
    <row r="813" spans="1:19" hidden="1" x14ac:dyDescent="0.25">
      <c r="A813" s="5" t="str">
        <f t="shared" si="340"/>
        <v>43924UST10Y</v>
      </c>
      <c r="B813" s="6" t="s">
        <v>4</v>
      </c>
      <c r="C813" s="6">
        <v>0.93</v>
      </c>
      <c r="D813" s="6">
        <v>0.56000000000000005</v>
      </c>
      <c r="E813" s="6">
        <v>0.63</v>
      </c>
      <c r="F813" t="str">
        <f t="shared" si="344"/>
        <v>FRI</v>
      </c>
      <c r="G813" s="3">
        <f>DATE(2020,4,3)</f>
        <v>43924</v>
      </c>
      <c r="H813" s="2">
        <f t="shared" ca="1" si="346"/>
        <v>329</v>
      </c>
      <c r="I813" t="str">
        <f t="shared" si="347"/>
        <v>UST10Y</v>
      </c>
      <c r="J813">
        <f t="shared" si="348"/>
        <v>0.93</v>
      </c>
      <c r="K813">
        <f t="shared" si="349"/>
        <v>0.56000000000000005</v>
      </c>
      <c r="L813">
        <f t="shared" si="350"/>
        <v>0.74500000000000011</v>
      </c>
      <c r="M813">
        <f t="shared" si="351"/>
        <v>0.18499999999999955</v>
      </c>
      <c r="N813">
        <f t="shared" si="341"/>
        <v>0.37</v>
      </c>
      <c r="O813">
        <f t="shared" si="352"/>
        <v>0.63</v>
      </c>
      <c r="P813">
        <f t="shared" si="353"/>
        <v>-0.62162162162162371</v>
      </c>
      <c r="Q813" t="str">
        <f t="shared" si="342"/>
        <v>47.62% | 11.11%</v>
      </c>
      <c r="R813" t="str">
        <f t="shared" si="354"/>
        <v>BEARISH</v>
      </c>
      <c r="S813">
        <f t="shared" si="343"/>
        <v>-1</v>
      </c>
    </row>
    <row r="814" spans="1:19" hidden="1" x14ac:dyDescent="0.25">
      <c r="A814" s="5" t="str">
        <f t="shared" si="340"/>
        <v>43924UST2Y</v>
      </c>
      <c r="B814" s="6" t="s">
        <v>5</v>
      </c>
      <c r="C814" s="6">
        <v>0.37</v>
      </c>
      <c r="D814" s="6">
        <v>0.16</v>
      </c>
      <c r="E814" s="6">
        <v>0.23</v>
      </c>
      <c r="F814" t="str">
        <f t="shared" ref="F814:F842" si="355">UPPER(TEXT(G814,"ddd"))</f>
        <v>FRI</v>
      </c>
      <c r="G814" s="3">
        <f t="shared" ref="G814:G841" si="356">DATE(2020,4,3)</f>
        <v>43924</v>
      </c>
      <c r="H814" s="2">
        <f t="shared" ref="H814:H842" ca="1" si="357">TODAY()-G814</f>
        <v>329</v>
      </c>
      <c r="I814" t="str">
        <f t="shared" ref="I814:I842" si="358">TRIM(LEFT(B814,FIND(" ",B814,1)))</f>
        <v>UST2Y</v>
      </c>
      <c r="J814">
        <f t="shared" ref="J814:J842" si="359">C814</f>
        <v>0.37</v>
      </c>
      <c r="K814">
        <f t="shared" ref="K814:K842" si="360">D814</f>
        <v>0.16</v>
      </c>
      <c r="L814">
        <f t="shared" ref="L814:L842" si="361">AVERAGE(J814:K814)</f>
        <v>0.26500000000000001</v>
      </c>
      <c r="M814">
        <f t="shared" ref="M814:M842" si="362">_xlfn.STDEV.P(J814:K814)</f>
        <v>0.10499999999999997</v>
      </c>
      <c r="N814">
        <f t="shared" si="341"/>
        <v>0.21</v>
      </c>
      <c r="O814">
        <f t="shared" ref="O814:O842" si="363">E814</f>
        <v>0.23</v>
      </c>
      <c r="P814">
        <f t="shared" ref="P814:P842" si="364">(O814-L814)/M814</f>
        <v>-0.33333333333333348</v>
      </c>
      <c r="Q814" t="str">
        <f t="shared" si="342"/>
        <v>60.87% | 30.43%</v>
      </c>
      <c r="R814" t="str">
        <f t="shared" ref="R814:R842" si="365">MID(B814,FIND("(",B814,1)+1,FIND(")",B814,1)-FIND("(",B814,1)-1)</f>
        <v>BEARISH</v>
      </c>
      <c r="S814">
        <f t="shared" si="343"/>
        <v>-1</v>
      </c>
    </row>
    <row r="815" spans="1:19" hidden="1" x14ac:dyDescent="0.25">
      <c r="A815" s="5" t="str">
        <f t="shared" si="340"/>
        <v>43924SPX</v>
      </c>
      <c r="B815" s="6" t="s">
        <v>6</v>
      </c>
      <c r="C815" s="6">
        <v>2227</v>
      </c>
      <c r="D815" s="6">
        <v>2681</v>
      </c>
      <c r="E815" s="6">
        <v>2526</v>
      </c>
      <c r="F815" t="str">
        <f t="shared" si="355"/>
        <v>FRI</v>
      </c>
      <c r="G815" s="3">
        <f t="shared" si="356"/>
        <v>43924</v>
      </c>
      <c r="H815" s="2">
        <f t="shared" ca="1" si="357"/>
        <v>329</v>
      </c>
      <c r="I815" t="str">
        <f t="shared" si="358"/>
        <v>SPX</v>
      </c>
      <c r="J815">
        <f t="shared" si="359"/>
        <v>2227</v>
      </c>
      <c r="K815">
        <f t="shared" si="360"/>
        <v>2681</v>
      </c>
      <c r="L815">
        <f t="shared" si="361"/>
        <v>2454</v>
      </c>
      <c r="M815">
        <f t="shared" si="362"/>
        <v>227</v>
      </c>
      <c r="N815">
        <f t="shared" si="341"/>
        <v>454</v>
      </c>
      <c r="O815">
        <f t="shared" si="363"/>
        <v>2526</v>
      </c>
      <c r="P815">
        <f t="shared" si="364"/>
        <v>0.31718061674008813</v>
      </c>
      <c r="Q815" t="str">
        <f t="shared" si="342"/>
        <v>11.84% | 6.14%</v>
      </c>
      <c r="R815" t="str">
        <f t="shared" si="365"/>
        <v>BEARISH</v>
      </c>
      <c r="S815">
        <f t="shared" si="343"/>
        <v>-1</v>
      </c>
    </row>
    <row r="816" spans="1:19" hidden="1" x14ac:dyDescent="0.25">
      <c r="A816" s="5" t="str">
        <f t="shared" si="340"/>
        <v>43924RUT</v>
      </c>
      <c r="B816" s="6" t="s">
        <v>7</v>
      </c>
      <c r="C816" s="6">
        <v>991</v>
      </c>
      <c r="D816" s="6">
        <v>1162</v>
      </c>
      <c r="E816" s="6">
        <v>1085</v>
      </c>
      <c r="F816" t="str">
        <f t="shared" si="355"/>
        <v>FRI</v>
      </c>
      <c r="G816" s="3">
        <f t="shared" si="356"/>
        <v>43924</v>
      </c>
      <c r="H816" s="2">
        <f t="shared" ca="1" si="357"/>
        <v>329</v>
      </c>
      <c r="I816" t="str">
        <f t="shared" si="358"/>
        <v>RUT</v>
      </c>
      <c r="J816">
        <f t="shared" si="359"/>
        <v>991</v>
      </c>
      <c r="K816">
        <f t="shared" si="360"/>
        <v>1162</v>
      </c>
      <c r="L816">
        <f t="shared" si="361"/>
        <v>1076.5</v>
      </c>
      <c r="M816">
        <f t="shared" si="362"/>
        <v>85.5</v>
      </c>
      <c r="N816">
        <f t="shared" si="341"/>
        <v>171</v>
      </c>
      <c r="O816">
        <f t="shared" si="363"/>
        <v>1085</v>
      </c>
      <c r="P816">
        <f t="shared" si="364"/>
        <v>9.9415204678362568E-2</v>
      </c>
      <c r="Q816" t="str">
        <f t="shared" si="342"/>
        <v>8.66% | 7.1%</v>
      </c>
      <c r="R816" t="str">
        <f t="shared" si="365"/>
        <v>BEARISH</v>
      </c>
      <c r="S816">
        <f t="shared" si="343"/>
        <v>-1</v>
      </c>
    </row>
    <row r="817" spans="1:19" hidden="1" x14ac:dyDescent="0.25">
      <c r="A817" s="5" t="str">
        <f t="shared" si="340"/>
        <v>43924COMPQ</v>
      </c>
      <c r="B817" s="6" t="s">
        <v>64</v>
      </c>
      <c r="C817" s="6">
        <v>6909</v>
      </c>
      <c r="D817" s="6">
        <v>8010</v>
      </c>
      <c r="E817" s="6">
        <v>7487</v>
      </c>
      <c r="F817" t="str">
        <f t="shared" si="355"/>
        <v>FRI</v>
      </c>
      <c r="G817" s="3">
        <f t="shared" si="356"/>
        <v>43924</v>
      </c>
      <c r="H817" s="2">
        <f t="shared" ca="1" si="357"/>
        <v>329</v>
      </c>
      <c r="I817" t="str">
        <f t="shared" si="358"/>
        <v>COMPQ</v>
      </c>
      <c r="J817">
        <f t="shared" si="359"/>
        <v>6909</v>
      </c>
      <c r="K817">
        <f t="shared" si="360"/>
        <v>8010</v>
      </c>
      <c r="L817">
        <f t="shared" si="361"/>
        <v>7459.5</v>
      </c>
      <c r="M817">
        <f t="shared" si="362"/>
        <v>550.5</v>
      </c>
      <c r="N817">
        <f t="shared" si="341"/>
        <v>1101</v>
      </c>
      <c r="O817">
        <f t="shared" si="363"/>
        <v>7487</v>
      </c>
      <c r="P817">
        <f t="shared" si="364"/>
        <v>4.9954586739327886E-2</v>
      </c>
      <c r="Q817" t="str">
        <f t="shared" si="342"/>
        <v>7.72% | 6.99%</v>
      </c>
      <c r="R817" t="str">
        <f t="shared" si="365"/>
        <v>BEARISH</v>
      </c>
      <c r="S817">
        <f t="shared" si="343"/>
        <v>-1</v>
      </c>
    </row>
    <row r="818" spans="1:19" hidden="1" x14ac:dyDescent="0.25">
      <c r="A818" s="5" t="str">
        <f t="shared" si="340"/>
        <v>43924XLU</v>
      </c>
      <c r="B818" s="6" t="s">
        <v>82</v>
      </c>
      <c r="C818" s="6">
        <v>44.4</v>
      </c>
      <c r="D818" s="6">
        <v>57.14</v>
      </c>
      <c r="E818" s="6">
        <v>53.71</v>
      </c>
      <c r="F818" t="str">
        <f t="shared" si="355"/>
        <v>FRI</v>
      </c>
      <c r="G818" s="3">
        <f t="shared" si="356"/>
        <v>43924</v>
      </c>
      <c r="H818" s="2">
        <f t="shared" ca="1" si="357"/>
        <v>329</v>
      </c>
      <c r="I818" t="str">
        <f t="shared" si="358"/>
        <v>XLU</v>
      </c>
      <c r="J818">
        <f t="shared" si="359"/>
        <v>44.4</v>
      </c>
      <c r="K818">
        <f t="shared" si="360"/>
        <v>57.14</v>
      </c>
      <c r="L818">
        <f t="shared" si="361"/>
        <v>50.769999999999996</v>
      </c>
      <c r="M818">
        <f t="shared" si="362"/>
        <v>6.3700000000000374</v>
      </c>
      <c r="N818">
        <f t="shared" si="341"/>
        <v>12.740000000000002</v>
      </c>
      <c r="O818">
        <f t="shared" si="363"/>
        <v>53.71</v>
      </c>
      <c r="P818">
        <f t="shared" si="364"/>
        <v>0.46153846153845957</v>
      </c>
      <c r="Q818" t="str">
        <f t="shared" si="342"/>
        <v>17.33% | 6.39%</v>
      </c>
      <c r="R818" t="str">
        <f t="shared" si="365"/>
        <v>BEARISH</v>
      </c>
      <c r="S818">
        <f t="shared" si="343"/>
        <v>-1</v>
      </c>
    </row>
    <row r="819" spans="1:19" hidden="1" x14ac:dyDescent="0.25">
      <c r="A819" s="5" t="str">
        <f t="shared" si="340"/>
        <v>43924VNQ</v>
      </c>
      <c r="B819" s="6" t="s">
        <v>67</v>
      </c>
      <c r="C819" s="6">
        <v>56.41</v>
      </c>
      <c r="D819" s="6">
        <v>74.25</v>
      </c>
      <c r="E819" s="6">
        <v>65.48</v>
      </c>
      <c r="F819" t="str">
        <f t="shared" si="355"/>
        <v>FRI</v>
      </c>
      <c r="G819" s="3">
        <f t="shared" si="356"/>
        <v>43924</v>
      </c>
      <c r="H819" s="2">
        <f t="shared" ca="1" si="357"/>
        <v>329</v>
      </c>
      <c r="I819" t="str">
        <f t="shared" si="358"/>
        <v>VNQ</v>
      </c>
      <c r="J819">
        <f t="shared" si="359"/>
        <v>56.41</v>
      </c>
      <c r="K819">
        <f t="shared" si="360"/>
        <v>74.25</v>
      </c>
      <c r="L819">
        <f t="shared" si="361"/>
        <v>65.33</v>
      </c>
      <c r="M819">
        <f t="shared" si="362"/>
        <v>8.9199999999999839</v>
      </c>
      <c r="N819">
        <f t="shared" si="341"/>
        <v>17.840000000000003</v>
      </c>
      <c r="O819">
        <f t="shared" si="363"/>
        <v>65.48</v>
      </c>
      <c r="P819">
        <f t="shared" si="364"/>
        <v>1.6816143497758514E-2</v>
      </c>
      <c r="Q819" t="str">
        <f t="shared" si="342"/>
        <v>13.85% | 13.39%</v>
      </c>
      <c r="R819" t="str">
        <f t="shared" si="365"/>
        <v>BEARISH</v>
      </c>
      <c r="S819">
        <f t="shared" si="343"/>
        <v>-1</v>
      </c>
    </row>
    <row r="820" spans="1:19" hidden="1" x14ac:dyDescent="0.25">
      <c r="A820" s="5" t="str">
        <f t="shared" si="340"/>
        <v>43924XLP</v>
      </c>
      <c r="B820" s="6" t="s">
        <v>11</v>
      </c>
      <c r="C820" s="6">
        <v>48.6</v>
      </c>
      <c r="D820" s="6">
        <v>57.19</v>
      </c>
      <c r="E820" s="6">
        <v>54.92</v>
      </c>
      <c r="F820" t="str">
        <f t="shared" si="355"/>
        <v>FRI</v>
      </c>
      <c r="G820" s="3">
        <f t="shared" si="356"/>
        <v>43924</v>
      </c>
      <c r="H820" s="2">
        <f t="shared" ca="1" si="357"/>
        <v>329</v>
      </c>
      <c r="I820" t="str">
        <f t="shared" si="358"/>
        <v>XLP</v>
      </c>
      <c r="J820">
        <f t="shared" si="359"/>
        <v>48.6</v>
      </c>
      <c r="K820">
        <f t="shared" si="360"/>
        <v>57.19</v>
      </c>
      <c r="L820">
        <f t="shared" si="361"/>
        <v>52.894999999999996</v>
      </c>
      <c r="M820">
        <f t="shared" si="362"/>
        <v>4.2949999999999982</v>
      </c>
      <c r="N820">
        <f t="shared" si="341"/>
        <v>8.5899999999999963</v>
      </c>
      <c r="O820">
        <f t="shared" si="363"/>
        <v>54.92</v>
      </c>
      <c r="P820">
        <f t="shared" si="364"/>
        <v>0.47147846332945437</v>
      </c>
      <c r="Q820" t="str">
        <f t="shared" si="342"/>
        <v>11.51% | 4.13%</v>
      </c>
      <c r="R820" t="str">
        <f t="shared" si="365"/>
        <v>BEARISH</v>
      </c>
      <c r="S820">
        <f t="shared" si="343"/>
        <v>-1</v>
      </c>
    </row>
    <row r="821" spans="1:19" hidden="1" x14ac:dyDescent="0.25">
      <c r="A821" s="5" t="str">
        <f t="shared" si="340"/>
        <v>43924XLK</v>
      </c>
      <c r="B821" s="6" t="s">
        <v>65</v>
      </c>
      <c r="C821" s="6">
        <v>70.510000000000005</v>
      </c>
      <c r="D821" s="6">
        <v>84.85</v>
      </c>
      <c r="E821" s="6">
        <v>78.33</v>
      </c>
      <c r="F821" t="str">
        <f t="shared" si="355"/>
        <v>FRI</v>
      </c>
      <c r="G821" s="3">
        <f t="shared" si="356"/>
        <v>43924</v>
      </c>
      <c r="H821" s="2">
        <f t="shared" ca="1" si="357"/>
        <v>329</v>
      </c>
      <c r="I821" t="str">
        <f t="shared" si="358"/>
        <v>XLK</v>
      </c>
      <c r="J821">
        <f t="shared" si="359"/>
        <v>70.510000000000005</v>
      </c>
      <c r="K821">
        <f t="shared" si="360"/>
        <v>84.85</v>
      </c>
      <c r="L821">
        <f t="shared" si="361"/>
        <v>77.680000000000007</v>
      </c>
      <c r="M821">
        <f t="shared" si="362"/>
        <v>7.1699999999999946</v>
      </c>
      <c r="N821">
        <f t="shared" si="341"/>
        <v>14.339999999999989</v>
      </c>
      <c r="O821">
        <f t="shared" si="363"/>
        <v>78.33</v>
      </c>
      <c r="P821">
        <f t="shared" si="364"/>
        <v>9.0655509065549783E-2</v>
      </c>
      <c r="Q821" t="str">
        <f t="shared" si="342"/>
        <v>9.98% | 8.32%</v>
      </c>
      <c r="R821" t="str">
        <f t="shared" si="365"/>
        <v>BEARISH</v>
      </c>
      <c r="S821">
        <f t="shared" si="343"/>
        <v>-1</v>
      </c>
    </row>
    <row r="822" spans="1:19" hidden="1" x14ac:dyDescent="0.25">
      <c r="A822" s="5" t="str">
        <f t="shared" si="340"/>
        <v>43924SSEC</v>
      </c>
      <c r="B822" s="6" t="s">
        <v>14</v>
      </c>
      <c r="C822" s="6">
        <v>2664</v>
      </c>
      <c r="D822" s="6">
        <v>2818</v>
      </c>
      <c r="E822" s="6">
        <v>2763</v>
      </c>
      <c r="F822" t="str">
        <f t="shared" si="355"/>
        <v>FRI</v>
      </c>
      <c r="G822" s="3">
        <f t="shared" si="356"/>
        <v>43924</v>
      </c>
      <c r="H822" s="2">
        <f t="shared" ca="1" si="357"/>
        <v>329</v>
      </c>
      <c r="I822" t="str">
        <f t="shared" si="358"/>
        <v>SSEC</v>
      </c>
      <c r="J822">
        <f t="shared" si="359"/>
        <v>2664</v>
      </c>
      <c r="K822">
        <f t="shared" si="360"/>
        <v>2818</v>
      </c>
      <c r="L822">
        <f t="shared" si="361"/>
        <v>2741</v>
      </c>
      <c r="M822">
        <f t="shared" si="362"/>
        <v>77</v>
      </c>
      <c r="N822">
        <f t="shared" si="341"/>
        <v>154</v>
      </c>
      <c r="O822">
        <f t="shared" si="363"/>
        <v>2763</v>
      </c>
      <c r="P822">
        <f t="shared" si="364"/>
        <v>0.2857142857142857</v>
      </c>
      <c r="Q822" t="str">
        <f t="shared" si="342"/>
        <v>3.58% | 1.99%</v>
      </c>
      <c r="R822" t="str">
        <f t="shared" si="365"/>
        <v>BEARISH</v>
      </c>
      <c r="S822">
        <f t="shared" si="343"/>
        <v>-1</v>
      </c>
    </row>
    <row r="823" spans="1:19" hidden="1" x14ac:dyDescent="0.25">
      <c r="A823" s="5" t="str">
        <f t="shared" si="340"/>
        <v>43924NIKK</v>
      </c>
      <c r="B823" s="6" t="s">
        <v>15</v>
      </c>
      <c r="C823" s="6">
        <v>16654</v>
      </c>
      <c r="D823" s="6">
        <v>19385</v>
      </c>
      <c r="E823" s="6">
        <v>17820</v>
      </c>
      <c r="F823" t="str">
        <f t="shared" si="355"/>
        <v>FRI</v>
      </c>
      <c r="G823" s="3">
        <f t="shared" si="356"/>
        <v>43924</v>
      </c>
      <c r="H823" s="2">
        <f t="shared" ca="1" si="357"/>
        <v>329</v>
      </c>
      <c r="I823" t="str">
        <f t="shared" si="358"/>
        <v>NIKK</v>
      </c>
      <c r="J823">
        <f t="shared" si="359"/>
        <v>16654</v>
      </c>
      <c r="K823">
        <f t="shared" si="360"/>
        <v>19385</v>
      </c>
      <c r="L823">
        <f t="shared" si="361"/>
        <v>18019.5</v>
      </c>
      <c r="M823">
        <f t="shared" si="362"/>
        <v>1365.5</v>
      </c>
      <c r="N823">
        <f t="shared" si="341"/>
        <v>2731</v>
      </c>
      <c r="O823">
        <f t="shared" si="363"/>
        <v>17820</v>
      </c>
      <c r="P823">
        <f t="shared" si="364"/>
        <v>-0.14610032954961552</v>
      </c>
      <c r="Q823" t="str">
        <f t="shared" si="342"/>
        <v>6.54% | 8.78%</v>
      </c>
      <c r="R823" t="str">
        <f t="shared" si="365"/>
        <v>BEARISH</v>
      </c>
      <c r="S823">
        <f t="shared" si="343"/>
        <v>-1</v>
      </c>
    </row>
    <row r="824" spans="1:19" hidden="1" x14ac:dyDescent="0.25">
      <c r="A824" s="5" t="str">
        <f t="shared" si="340"/>
        <v>43924DAX</v>
      </c>
      <c r="B824" s="6" t="s">
        <v>16</v>
      </c>
      <c r="C824" s="6">
        <v>8609</v>
      </c>
      <c r="D824" s="6">
        <v>10314</v>
      </c>
      <c r="E824" s="6">
        <v>9569</v>
      </c>
      <c r="F824" t="str">
        <f t="shared" si="355"/>
        <v>FRI</v>
      </c>
      <c r="G824" s="3">
        <f t="shared" si="356"/>
        <v>43924</v>
      </c>
      <c r="H824" s="2">
        <f t="shared" ca="1" si="357"/>
        <v>329</v>
      </c>
      <c r="I824" t="str">
        <f t="shared" si="358"/>
        <v>DAX</v>
      </c>
      <c r="J824">
        <f t="shared" si="359"/>
        <v>8609</v>
      </c>
      <c r="K824">
        <f t="shared" si="360"/>
        <v>10314</v>
      </c>
      <c r="L824">
        <f t="shared" si="361"/>
        <v>9461.5</v>
      </c>
      <c r="M824">
        <f t="shared" si="362"/>
        <v>852.5</v>
      </c>
      <c r="N824">
        <f t="shared" si="341"/>
        <v>1705</v>
      </c>
      <c r="O824">
        <f t="shared" si="363"/>
        <v>9569</v>
      </c>
      <c r="P824">
        <f t="shared" si="364"/>
        <v>0.12609970674486803</v>
      </c>
      <c r="Q824" t="str">
        <f t="shared" si="342"/>
        <v>10.03% | 7.79%</v>
      </c>
      <c r="R824" t="str">
        <f t="shared" si="365"/>
        <v>BEARISH</v>
      </c>
      <c r="S824">
        <f t="shared" si="343"/>
        <v>-1</v>
      </c>
    </row>
    <row r="825" spans="1:19" hidden="1" x14ac:dyDescent="0.25">
      <c r="A825" s="5" t="str">
        <f t="shared" si="340"/>
        <v>43924VIX</v>
      </c>
      <c r="B825" s="6" t="s">
        <v>17</v>
      </c>
      <c r="C825" s="6">
        <v>49.02</v>
      </c>
      <c r="D825" s="6">
        <v>70.98</v>
      </c>
      <c r="E825" s="6">
        <v>50.91</v>
      </c>
      <c r="F825" t="str">
        <f t="shared" si="355"/>
        <v>FRI</v>
      </c>
      <c r="G825" s="3">
        <f t="shared" si="356"/>
        <v>43924</v>
      </c>
      <c r="H825" s="2">
        <f t="shared" ca="1" si="357"/>
        <v>329</v>
      </c>
      <c r="I825" t="str">
        <f t="shared" si="358"/>
        <v>VIX</v>
      </c>
      <c r="J825">
        <f t="shared" si="359"/>
        <v>49.02</v>
      </c>
      <c r="K825">
        <f t="shared" si="360"/>
        <v>70.98</v>
      </c>
      <c r="L825">
        <f t="shared" si="361"/>
        <v>60</v>
      </c>
      <c r="M825">
        <f t="shared" si="362"/>
        <v>10.980000000000013</v>
      </c>
      <c r="N825">
        <f t="shared" si="341"/>
        <v>21.96</v>
      </c>
      <c r="O825">
        <f t="shared" si="363"/>
        <v>50.91</v>
      </c>
      <c r="P825">
        <f t="shared" si="364"/>
        <v>-0.82786885245901576</v>
      </c>
      <c r="Q825" t="str">
        <f t="shared" si="342"/>
        <v>3.71% | 39.42%</v>
      </c>
      <c r="R825" t="str">
        <f t="shared" si="365"/>
        <v>BULLISH</v>
      </c>
      <c r="S825">
        <f t="shared" si="343"/>
        <v>1</v>
      </c>
    </row>
    <row r="826" spans="1:19" hidden="1" x14ac:dyDescent="0.25">
      <c r="A826" s="5" t="str">
        <f t="shared" si="340"/>
        <v>43924USD</v>
      </c>
      <c r="B826" s="6" t="s">
        <v>18</v>
      </c>
      <c r="C826" s="6">
        <v>97.41</v>
      </c>
      <c r="D826" s="6">
        <v>103.29</v>
      </c>
      <c r="E826" s="6">
        <v>100.27</v>
      </c>
      <c r="F826" t="str">
        <f t="shared" si="355"/>
        <v>FRI</v>
      </c>
      <c r="G826" s="3">
        <f t="shared" si="356"/>
        <v>43924</v>
      </c>
      <c r="H826" s="2">
        <f t="shared" ca="1" si="357"/>
        <v>329</v>
      </c>
      <c r="I826" t="str">
        <f t="shared" si="358"/>
        <v>USD</v>
      </c>
      <c r="J826">
        <f t="shared" si="359"/>
        <v>97.41</v>
      </c>
      <c r="K826">
        <f t="shared" si="360"/>
        <v>103.29</v>
      </c>
      <c r="L826">
        <f t="shared" si="361"/>
        <v>100.35</v>
      </c>
      <c r="M826">
        <f t="shared" si="362"/>
        <v>2.9400000000000048</v>
      </c>
      <c r="N826">
        <f t="shared" si="341"/>
        <v>5.8800000000000097</v>
      </c>
      <c r="O826">
        <f t="shared" si="363"/>
        <v>100.27</v>
      </c>
      <c r="P826">
        <f t="shared" si="364"/>
        <v>-2.7210884353740871E-2</v>
      </c>
      <c r="Q826" t="str">
        <f t="shared" si="342"/>
        <v>2.85% | 3.01%</v>
      </c>
      <c r="R826" t="str">
        <f t="shared" si="365"/>
        <v>BULLISH</v>
      </c>
      <c r="S826">
        <f t="shared" si="343"/>
        <v>1</v>
      </c>
    </row>
    <row r="827" spans="1:19" hidden="1" x14ac:dyDescent="0.25">
      <c r="A827" s="5" t="str">
        <f t="shared" si="340"/>
        <v>43924EUR/USD</v>
      </c>
      <c r="B827" s="6" t="s">
        <v>19</v>
      </c>
      <c r="C827" s="6">
        <v>1.06</v>
      </c>
      <c r="D827" s="6">
        <v>1.1000000000000001</v>
      </c>
      <c r="E827" s="6">
        <v>1.08</v>
      </c>
      <c r="F827" t="str">
        <f t="shared" si="355"/>
        <v>FRI</v>
      </c>
      <c r="G827" s="3">
        <f t="shared" si="356"/>
        <v>43924</v>
      </c>
      <c r="H827" s="2">
        <f t="shared" ca="1" si="357"/>
        <v>329</v>
      </c>
      <c r="I827" t="str">
        <f t="shared" si="358"/>
        <v>EUR/USD</v>
      </c>
      <c r="J827">
        <f t="shared" si="359"/>
        <v>1.06</v>
      </c>
      <c r="K827">
        <f t="shared" si="360"/>
        <v>1.1000000000000001</v>
      </c>
      <c r="L827">
        <f t="shared" si="361"/>
        <v>1.08</v>
      </c>
      <c r="M827">
        <f t="shared" si="362"/>
        <v>2.0000000000000018E-2</v>
      </c>
      <c r="N827">
        <f t="shared" si="341"/>
        <v>4.0000000000000036E-2</v>
      </c>
      <c r="O827">
        <f t="shared" si="363"/>
        <v>1.08</v>
      </c>
      <c r="P827">
        <f t="shared" si="364"/>
        <v>0</v>
      </c>
      <c r="Q827" t="str">
        <f t="shared" si="342"/>
        <v>1.85% | 1.85%</v>
      </c>
      <c r="R827" t="str">
        <f t="shared" si="365"/>
        <v>BEARISH</v>
      </c>
      <c r="S827">
        <f t="shared" si="343"/>
        <v>-1</v>
      </c>
    </row>
    <row r="828" spans="1:19" hidden="1" x14ac:dyDescent="0.25">
      <c r="A828" s="5" t="str">
        <f t="shared" si="340"/>
        <v>43924USD/JPY</v>
      </c>
      <c r="B828" s="6" t="s">
        <v>86</v>
      </c>
      <c r="C828" s="6">
        <v>105.45</v>
      </c>
      <c r="D828" s="6">
        <v>111.8</v>
      </c>
      <c r="E828" s="6">
        <v>107.86</v>
      </c>
      <c r="F828" t="str">
        <f t="shared" si="355"/>
        <v>FRI</v>
      </c>
      <c r="G828" s="3">
        <f t="shared" si="356"/>
        <v>43924</v>
      </c>
      <c r="H828" s="2">
        <f t="shared" ca="1" si="357"/>
        <v>329</v>
      </c>
      <c r="I828" t="str">
        <f t="shared" si="358"/>
        <v>USD/JPY</v>
      </c>
      <c r="J828">
        <f t="shared" si="359"/>
        <v>105.45</v>
      </c>
      <c r="K828">
        <f t="shared" si="360"/>
        <v>111.8</v>
      </c>
      <c r="L828">
        <f t="shared" si="361"/>
        <v>108.625</v>
      </c>
      <c r="M828">
        <f t="shared" si="362"/>
        <v>3.1749999999999972</v>
      </c>
      <c r="N828">
        <f t="shared" si="341"/>
        <v>6.3499999999999943</v>
      </c>
      <c r="O828">
        <f t="shared" si="363"/>
        <v>107.86</v>
      </c>
      <c r="P828">
        <f t="shared" si="364"/>
        <v>-0.24094488188976418</v>
      </c>
      <c r="Q828" t="str">
        <f t="shared" si="342"/>
        <v>2.23% | 3.65%</v>
      </c>
      <c r="R828" t="str">
        <f t="shared" si="365"/>
        <v>NEUTRAL</v>
      </c>
      <c r="S828">
        <f t="shared" si="343"/>
        <v>0</v>
      </c>
    </row>
    <row r="829" spans="1:19" hidden="1" x14ac:dyDescent="0.25">
      <c r="A829" s="5" t="str">
        <f t="shared" si="340"/>
        <v>43924GBP/USD</v>
      </c>
      <c r="B829" s="6" t="s">
        <v>21</v>
      </c>
      <c r="C829" s="6">
        <v>1.1499999999999999</v>
      </c>
      <c r="D829" s="6">
        <v>1.26</v>
      </c>
      <c r="E829" s="6">
        <v>1.24</v>
      </c>
      <c r="F829" t="str">
        <f t="shared" si="355"/>
        <v>FRI</v>
      </c>
      <c r="G829" s="3">
        <f t="shared" si="356"/>
        <v>43924</v>
      </c>
      <c r="H829" s="2">
        <f t="shared" ca="1" si="357"/>
        <v>329</v>
      </c>
      <c r="I829" t="str">
        <f t="shared" si="358"/>
        <v>GBP/USD</v>
      </c>
      <c r="J829">
        <f t="shared" si="359"/>
        <v>1.1499999999999999</v>
      </c>
      <c r="K829">
        <f t="shared" si="360"/>
        <v>1.26</v>
      </c>
      <c r="L829">
        <f t="shared" si="361"/>
        <v>1.2050000000000001</v>
      </c>
      <c r="M829">
        <f t="shared" si="362"/>
        <v>5.5000000000000049E-2</v>
      </c>
      <c r="N829">
        <f t="shared" si="341"/>
        <v>0.1100000000000001</v>
      </c>
      <c r="O829">
        <f t="shared" si="363"/>
        <v>1.24</v>
      </c>
      <c r="P829">
        <f t="shared" si="364"/>
        <v>0.63636363636363436</v>
      </c>
      <c r="Q829" t="str">
        <f t="shared" si="342"/>
        <v>7.26% | 1.61%</v>
      </c>
      <c r="R829" t="str">
        <f t="shared" si="365"/>
        <v>BEARISH</v>
      </c>
      <c r="S829">
        <f t="shared" si="343"/>
        <v>-1</v>
      </c>
    </row>
    <row r="830" spans="1:19" hidden="1" x14ac:dyDescent="0.25">
      <c r="A830" s="5" t="str">
        <f t="shared" si="340"/>
        <v>43924USD/CHF</v>
      </c>
      <c r="B830" s="6" t="s">
        <v>22</v>
      </c>
      <c r="C830" s="6">
        <v>0.95</v>
      </c>
      <c r="D830" s="6">
        <v>0.99</v>
      </c>
      <c r="E830" s="6">
        <v>0.97</v>
      </c>
      <c r="F830" t="str">
        <f t="shared" si="355"/>
        <v>FRI</v>
      </c>
      <c r="G830" s="3">
        <f t="shared" si="356"/>
        <v>43924</v>
      </c>
      <c r="H830" s="2">
        <f t="shared" ca="1" si="357"/>
        <v>329</v>
      </c>
      <c r="I830" t="str">
        <f t="shared" si="358"/>
        <v>USD/CHF</v>
      </c>
      <c r="J830">
        <f t="shared" si="359"/>
        <v>0.95</v>
      </c>
      <c r="K830">
        <f t="shared" si="360"/>
        <v>0.99</v>
      </c>
      <c r="L830">
        <f t="shared" si="361"/>
        <v>0.97</v>
      </c>
      <c r="M830">
        <f t="shared" si="362"/>
        <v>2.0000000000000018E-2</v>
      </c>
      <c r="N830">
        <f t="shared" si="341"/>
        <v>4.0000000000000036E-2</v>
      </c>
      <c r="O830">
        <f t="shared" si="363"/>
        <v>0.97</v>
      </c>
      <c r="P830">
        <f t="shared" si="364"/>
        <v>0</v>
      </c>
      <c r="Q830" t="str">
        <f t="shared" si="342"/>
        <v>2.06% | 2.06%</v>
      </c>
      <c r="R830" t="str">
        <f t="shared" si="365"/>
        <v>NEUTRAL</v>
      </c>
      <c r="S830">
        <f t="shared" si="343"/>
        <v>0</v>
      </c>
    </row>
    <row r="831" spans="1:19" hidden="1" x14ac:dyDescent="0.25">
      <c r="A831" s="5" t="str">
        <f t="shared" si="340"/>
        <v>43924WTIC</v>
      </c>
      <c r="B831" s="6" t="s">
        <v>23</v>
      </c>
      <c r="C831" s="6">
        <v>18.68</v>
      </c>
      <c r="D831" s="6">
        <v>26.24</v>
      </c>
      <c r="E831" s="6">
        <v>25.32</v>
      </c>
      <c r="F831" t="str">
        <f t="shared" si="355"/>
        <v>FRI</v>
      </c>
      <c r="G831" s="3">
        <f t="shared" si="356"/>
        <v>43924</v>
      </c>
      <c r="H831" s="2">
        <f t="shared" ca="1" si="357"/>
        <v>329</v>
      </c>
      <c r="I831" t="str">
        <f t="shared" si="358"/>
        <v>WTIC</v>
      </c>
      <c r="J831">
        <f t="shared" si="359"/>
        <v>18.68</v>
      </c>
      <c r="K831">
        <f t="shared" si="360"/>
        <v>26.24</v>
      </c>
      <c r="L831">
        <f t="shared" si="361"/>
        <v>22.46</v>
      </c>
      <c r="M831">
        <f t="shared" si="362"/>
        <v>3.7799999999999807</v>
      </c>
      <c r="N831">
        <f t="shared" si="341"/>
        <v>7.5599999999999987</v>
      </c>
      <c r="O831">
        <f t="shared" si="363"/>
        <v>25.32</v>
      </c>
      <c r="P831">
        <f t="shared" si="364"/>
        <v>0.75661375661376029</v>
      </c>
      <c r="Q831" t="str">
        <f t="shared" si="342"/>
        <v>26.22% | 3.63%</v>
      </c>
      <c r="R831" t="str">
        <f t="shared" si="365"/>
        <v>BEARISH</v>
      </c>
      <c r="S831">
        <f t="shared" si="343"/>
        <v>-1</v>
      </c>
    </row>
    <row r="832" spans="1:19" hidden="1" x14ac:dyDescent="0.25">
      <c r="A832" s="5" t="str">
        <f t="shared" si="340"/>
        <v>43924NATGAS</v>
      </c>
      <c r="B832" s="6" t="s">
        <v>24</v>
      </c>
      <c r="C832" s="6">
        <v>1.51</v>
      </c>
      <c r="D832" s="6">
        <v>1.73</v>
      </c>
      <c r="E832" s="6">
        <v>1.55</v>
      </c>
      <c r="F832" t="str">
        <f t="shared" si="355"/>
        <v>FRI</v>
      </c>
      <c r="G832" s="3">
        <f t="shared" si="356"/>
        <v>43924</v>
      </c>
      <c r="H832" s="2">
        <f t="shared" ca="1" si="357"/>
        <v>329</v>
      </c>
      <c r="I832" t="str">
        <f t="shared" si="358"/>
        <v>NATGAS</v>
      </c>
      <c r="J832">
        <f t="shared" si="359"/>
        <v>1.51</v>
      </c>
      <c r="K832">
        <f t="shared" si="360"/>
        <v>1.73</v>
      </c>
      <c r="L832">
        <f t="shared" si="361"/>
        <v>1.62</v>
      </c>
      <c r="M832">
        <f t="shared" si="362"/>
        <v>0.10999999999999999</v>
      </c>
      <c r="N832">
        <f t="shared" si="341"/>
        <v>0.21999999999999997</v>
      </c>
      <c r="O832">
        <f t="shared" si="363"/>
        <v>1.55</v>
      </c>
      <c r="P832">
        <f t="shared" si="364"/>
        <v>-0.63636363636363702</v>
      </c>
      <c r="Q832" t="str">
        <f t="shared" si="342"/>
        <v>2.58% | 11.61%</v>
      </c>
      <c r="R832" t="str">
        <f t="shared" si="365"/>
        <v>BEARISH</v>
      </c>
      <c r="S832">
        <f t="shared" si="343"/>
        <v>-1</v>
      </c>
    </row>
    <row r="833" spans="1:19" hidden="1" x14ac:dyDescent="0.25">
      <c r="A833" s="5" t="str">
        <f t="shared" si="340"/>
        <v>43924GOLD</v>
      </c>
      <c r="B833" s="6" t="s">
        <v>25</v>
      </c>
      <c r="C833" s="6">
        <v>1565</v>
      </c>
      <c r="D833" s="6">
        <v>1690</v>
      </c>
      <c r="E833" s="6">
        <v>1637</v>
      </c>
      <c r="F833" t="str">
        <f t="shared" si="355"/>
        <v>FRI</v>
      </c>
      <c r="G833" s="3">
        <f t="shared" si="356"/>
        <v>43924</v>
      </c>
      <c r="H833" s="2">
        <f t="shared" ca="1" si="357"/>
        <v>329</v>
      </c>
      <c r="I833" t="str">
        <f t="shared" si="358"/>
        <v>GOLD</v>
      </c>
      <c r="J833">
        <f t="shared" si="359"/>
        <v>1565</v>
      </c>
      <c r="K833">
        <f t="shared" si="360"/>
        <v>1690</v>
      </c>
      <c r="L833">
        <f t="shared" si="361"/>
        <v>1627.5</v>
      </c>
      <c r="M833">
        <f t="shared" si="362"/>
        <v>62.5</v>
      </c>
      <c r="N833">
        <f t="shared" si="341"/>
        <v>125</v>
      </c>
      <c r="O833">
        <f t="shared" si="363"/>
        <v>1637</v>
      </c>
      <c r="P833">
        <f t="shared" si="364"/>
        <v>0.152</v>
      </c>
      <c r="Q833" t="str">
        <f t="shared" si="342"/>
        <v>4.4% | 3.24%</v>
      </c>
      <c r="R833" t="str">
        <f t="shared" si="365"/>
        <v>BULLISH</v>
      </c>
      <c r="S833">
        <f t="shared" si="343"/>
        <v>1</v>
      </c>
    </row>
    <row r="834" spans="1:19" hidden="1" x14ac:dyDescent="0.25">
      <c r="A834" s="5" t="str">
        <f t="shared" si="340"/>
        <v>43924COPPER</v>
      </c>
      <c r="B834" s="6" t="s">
        <v>26</v>
      </c>
      <c r="C834" s="6">
        <v>2.09</v>
      </c>
      <c r="D834" s="6">
        <v>2.2599999999999998</v>
      </c>
      <c r="E834" s="6">
        <v>2.2200000000000002</v>
      </c>
      <c r="F834" t="str">
        <f t="shared" si="355"/>
        <v>FRI</v>
      </c>
      <c r="G834" s="3">
        <f t="shared" si="356"/>
        <v>43924</v>
      </c>
      <c r="H834" s="2">
        <f t="shared" ca="1" si="357"/>
        <v>329</v>
      </c>
      <c r="I834" t="str">
        <f t="shared" si="358"/>
        <v>COPPER</v>
      </c>
      <c r="J834">
        <f t="shared" si="359"/>
        <v>2.09</v>
      </c>
      <c r="K834">
        <f t="shared" si="360"/>
        <v>2.2599999999999998</v>
      </c>
      <c r="L834">
        <f t="shared" si="361"/>
        <v>2.1749999999999998</v>
      </c>
      <c r="M834">
        <f t="shared" si="362"/>
        <v>8.4999999999999964E-2</v>
      </c>
      <c r="N834">
        <f t="shared" si="341"/>
        <v>0.16999999999999993</v>
      </c>
      <c r="O834">
        <f t="shared" si="363"/>
        <v>2.2200000000000002</v>
      </c>
      <c r="P834">
        <f t="shared" si="364"/>
        <v>0.52941176470588691</v>
      </c>
      <c r="Q834" t="str">
        <f t="shared" si="342"/>
        <v>5.86% | 1.8%</v>
      </c>
      <c r="R834" t="str">
        <f t="shared" si="365"/>
        <v>BEARISH</v>
      </c>
      <c r="S834">
        <f t="shared" si="343"/>
        <v>-1</v>
      </c>
    </row>
    <row r="835" spans="1:19" hidden="1" x14ac:dyDescent="0.25">
      <c r="A835" s="5" t="str">
        <f t="shared" ref="A835:A898" si="366">G835&amp;I835</f>
        <v>43924AAPL</v>
      </c>
      <c r="B835" s="6" t="s">
        <v>68</v>
      </c>
      <c r="C835" s="6">
        <v>224.32</v>
      </c>
      <c r="D835" s="6">
        <v>262.44</v>
      </c>
      <c r="E835" s="6">
        <v>244.93</v>
      </c>
      <c r="F835" t="str">
        <f t="shared" si="355"/>
        <v>FRI</v>
      </c>
      <c r="G835" s="3">
        <f t="shared" si="356"/>
        <v>43924</v>
      </c>
      <c r="H835" s="2">
        <f t="shared" ca="1" si="357"/>
        <v>329</v>
      </c>
      <c r="I835" t="str">
        <f t="shared" si="358"/>
        <v>AAPL</v>
      </c>
      <c r="J835">
        <f t="shared" si="359"/>
        <v>224.32</v>
      </c>
      <c r="K835">
        <f t="shared" si="360"/>
        <v>262.44</v>
      </c>
      <c r="L835">
        <f t="shared" si="361"/>
        <v>243.38</v>
      </c>
      <c r="M835">
        <f t="shared" si="362"/>
        <v>19.060000000000002</v>
      </c>
      <c r="N835">
        <f t="shared" ref="N835:N898" si="367">ABS(K835-J835)</f>
        <v>38.120000000000005</v>
      </c>
      <c r="O835">
        <f t="shared" si="363"/>
        <v>244.93</v>
      </c>
      <c r="P835">
        <f t="shared" si="364"/>
        <v>8.1322140608605001E-2</v>
      </c>
      <c r="Q835" t="str">
        <f t="shared" ref="Q835:Q898" si="368">ROUND(ABS(100*(O835-J835)/O835),2)&amp;"% | "&amp;ROUND(ABS(100*(K835-O835)/O835),2)&amp;"%"</f>
        <v>8.41% | 7.15%</v>
      </c>
      <c r="R835" t="str">
        <f t="shared" si="365"/>
        <v>BEARISH</v>
      </c>
      <c r="S835">
        <f t="shared" ref="S835:S898" si="369">IF(R835="BEARISH",-1,IF(R835="NEUTRAL",0,IF(R835="BULLISH",1,99)))</f>
        <v>-1</v>
      </c>
    </row>
    <row r="836" spans="1:19" hidden="1" x14ac:dyDescent="0.25">
      <c r="A836" s="5" t="str">
        <f t="shared" si="366"/>
        <v>43924AMZN</v>
      </c>
      <c r="B836" s="6" t="s">
        <v>69</v>
      </c>
      <c r="C836" s="6">
        <v>1853</v>
      </c>
      <c r="D836" s="6">
        <v>1987</v>
      </c>
      <c r="E836" s="6">
        <v>1918</v>
      </c>
      <c r="F836" t="str">
        <f t="shared" si="355"/>
        <v>FRI</v>
      </c>
      <c r="G836" s="3">
        <f t="shared" si="356"/>
        <v>43924</v>
      </c>
      <c r="H836" s="2">
        <f t="shared" ca="1" si="357"/>
        <v>329</v>
      </c>
      <c r="I836" t="str">
        <f t="shared" si="358"/>
        <v>AMZN</v>
      </c>
      <c r="J836">
        <f t="shared" si="359"/>
        <v>1853</v>
      </c>
      <c r="K836">
        <f t="shared" si="360"/>
        <v>1987</v>
      </c>
      <c r="L836">
        <f t="shared" si="361"/>
        <v>1920</v>
      </c>
      <c r="M836">
        <f t="shared" si="362"/>
        <v>67</v>
      </c>
      <c r="N836">
        <f t="shared" si="367"/>
        <v>134</v>
      </c>
      <c r="O836">
        <f t="shared" si="363"/>
        <v>1918</v>
      </c>
      <c r="P836">
        <f t="shared" si="364"/>
        <v>-2.9850746268656716E-2</v>
      </c>
      <c r="Q836" t="str">
        <f t="shared" si="368"/>
        <v>3.39% | 3.6%</v>
      </c>
      <c r="R836" t="str">
        <f t="shared" si="365"/>
        <v>NEUTRAL</v>
      </c>
      <c r="S836">
        <f t="shared" si="369"/>
        <v>0</v>
      </c>
    </row>
    <row r="837" spans="1:19" hidden="1" x14ac:dyDescent="0.25">
      <c r="A837" s="5" t="str">
        <f t="shared" si="366"/>
        <v>43924FB</v>
      </c>
      <c r="B837" s="6" t="s">
        <v>58</v>
      </c>
      <c r="C837" s="6">
        <v>146</v>
      </c>
      <c r="D837" s="6">
        <v>169</v>
      </c>
      <c r="E837" s="6">
        <v>158</v>
      </c>
      <c r="F837" t="str">
        <f t="shared" si="355"/>
        <v>FRI</v>
      </c>
      <c r="G837" s="3">
        <f t="shared" si="356"/>
        <v>43924</v>
      </c>
      <c r="H837" s="2">
        <f t="shared" ca="1" si="357"/>
        <v>329</v>
      </c>
      <c r="I837" t="str">
        <f t="shared" si="358"/>
        <v>FB</v>
      </c>
      <c r="J837">
        <f t="shared" si="359"/>
        <v>146</v>
      </c>
      <c r="K837">
        <f t="shared" si="360"/>
        <v>169</v>
      </c>
      <c r="L837">
        <f t="shared" si="361"/>
        <v>157.5</v>
      </c>
      <c r="M837">
        <f t="shared" si="362"/>
        <v>11.5</v>
      </c>
      <c r="N837">
        <f t="shared" si="367"/>
        <v>23</v>
      </c>
      <c r="O837">
        <f t="shared" si="363"/>
        <v>158</v>
      </c>
      <c r="P837">
        <f t="shared" si="364"/>
        <v>4.3478260869565216E-2</v>
      </c>
      <c r="Q837" t="str">
        <f t="shared" si="368"/>
        <v>7.59% | 6.96%</v>
      </c>
      <c r="R837" t="str">
        <f t="shared" si="365"/>
        <v>BEARISH</v>
      </c>
      <c r="S837">
        <f t="shared" si="369"/>
        <v>-1</v>
      </c>
    </row>
    <row r="838" spans="1:19" hidden="1" x14ac:dyDescent="0.25">
      <c r="A838" s="5" t="str">
        <f t="shared" si="366"/>
        <v>43924GOOGL</v>
      </c>
      <c r="B838" s="6" t="s">
        <v>66</v>
      </c>
      <c r="C838" s="6">
        <v>1035</v>
      </c>
      <c r="D838" s="6">
        <v>1186</v>
      </c>
      <c r="E838" s="6">
        <v>1117</v>
      </c>
      <c r="F838" t="str">
        <f t="shared" si="355"/>
        <v>FRI</v>
      </c>
      <c r="G838" s="3">
        <f t="shared" si="356"/>
        <v>43924</v>
      </c>
      <c r="H838" s="2">
        <f t="shared" ca="1" si="357"/>
        <v>329</v>
      </c>
      <c r="I838" t="str">
        <f t="shared" si="358"/>
        <v>GOOGL</v>
      </c>
      <c r="J838">
        <f t="shared" si="359"/>
        <v>1035</v>
      </c>
      <c r="K838">
        <f t="shared" si="360"/>
        <v>1186</v>
      </c>
      <c r="L838">
        <f t="shared" si="361"/>
        <v>1110.5</v>
      </c>
      <c r="M838">
        <f t="shared" si="362"/>
        <v>75.5</v>
      </c>
      <c r="N838">
        <f t="shared" si="367"/>
        <v>151</v>
      </c>
      <c r="O838">
        <f t="shared" si="363"/>
        <v>1117</v>
      </c>
      <c r="P838">
        <f t="shared" si="364"/>
        <v>8.6092715231788075E-2</v>
      </c>
      <c r="Q838" t="str">
        <f t="shared" si="368"/>
        <v>7.34% | 6.18%</v>
      </c>
      <c r="R838" t="str">
        <f t="shared" si="365"/>
        <v>BEARISH</v>
      </c>
      <c r="S838">
        <f t="shared" si="369"/>
        <v>-1</v>
      </c>
    </row>
    <row r="839" spans="1:19" hidden="1" x14ac:dyDescent="0.25">
      <c r="A839" s="5" t="str">
        <f t="shared" si="366"/>
        <v>43924NFLX</v>
      </c>
      <c r="B839" s="6" t="s">
        <v>70</v>
      </c>
      <c r="C839" s="6">
        <v>340</v>
      </c>
      <c r="D839" s="6">
        <v>385</v>
      </c>
      <c r="E839" s="6">
        <v>370</v>
      </c>
      <c r="F839" t="str">
        <f t="shared" si="355"/>
        <v>FRI</v>
      </c>
      <c r="G839" s="3">
        <f t="shared" si="356"/>
        <v>43924</v>
      </c>
      <c r="H839" s="2">
        <f t="shared" ca="1" si="357"/>
        <v>329</v>
      </c>
      <c r="I839" t="str">
        <f t="shared" si="358"/>
        <v>NFLX</v>
      </c>
      <c r="J839">
        <f t="shared" si="359"/>
        <v>340</v>
      </c>
      <c r="K839">
        <f t="shared" si="360"/>
        <v>385</v>
      </c>
      <c r="L839">
        <f t="shared" si="361"/>
        <v>362.5</v>
      </c>
      <c r="M839">
        <f t="shared" si="362"/>
        <v>22.5</v>
      </c>
      <c r="N839">
        <f t="shared" si="367"/>
        <v>45</v>
      </c>
      <c r="O839">
        <f t="shared" si="363"/>
        <v>370</v>
      </c>
      <c r="P839">
        <f t="shared" si="364"/>
        <v>0.33333333333333331</v>
      </c>
      <c r="Q839" t="str">
        <f t="shared" si="368"/>
        <v>8.11% | 4.05%</v>
      </c>
      <c r="R839" t="str">
        <f t="shared" si="365"/>
        <v>NEUTRAL</v>
      </c>
      <c r="S839">
        <f t="shared" si="369"/>
        <v>0</v>
      </c>
    </row>
    <row r="840" spans="1:19" x14ac:dyDescent="0.25">
      <c r="A840" s="5" t="str">
        <f t="shared" si="366"/>
        <v>43924TSLA</v>
      </c>
      <c r="B840" s="6" t="s">
        <v>83</v>
      </c>
      <c r="C840" s="6">
        <v>425</v>
      </c>
      <c r="D840" s="6">
        <v>565</v>
      </c>
      <c r="E840" s="6">
        <v>454</v>
      </c>
      <c r="F840" t="str">
        <f t="shared" si="355"/>
        <v>FRI</v>
      </c>
      <c r="G840" s="3">
        <f t="shared" si="356"/>
        <v>43924</v>
      </c>
      <c r="H840" s="2">
        <f t="shared" ca="1" si="357"/>
        <v>329</v>
      </c>
      <c r="I840" t="str">
        <f t="shared" si="358"/>
        <v>TSLA</v>
      </c>
      <c r="J840">
        <f t="shared" si="359"/>
        <v>425</v>
      </c>
      <c r="K840">
        <f t="shared" si="360"/>
        <v>565</v>
      </c>
      <c r="L840">
        <f t="shared" si="361"/>
        <v>495</v>
      </c>
      <c r="M840">
        <f t="shared" si="362"/>
        <v>70</v>
      </c>
      <c r="N840">
        <f t="shared" si="367"/>
        <v>140</v>
      </c>
      <c r="O840">
        <f t="shared" si="363"/>
        <v>454</v>
      </c>
      <c r="P840">
        <f t="shared" si="364"/>
        <v>-0.58571428571428574</v>
      </c>
      <c r="Q840" t="str">
        <f t="shared" si="368"/>
        <v>6.39% | 24.45%</v>
      </c>
      <c r="R840" t="str">
        <f t="shared" si="365"/>
        <v>BEARISH</v>
      </c>
      <c r="S840">
        <f t="shared" si="369"/>
        <v>-1</v>
      </c>
    </row>
    <row r="841" spans="1:19" hidden="1" x14ac:dyDescent="0.25">
      <c r="A841" s="5" t="str">
        <f t="shared" si="366"/>
        <v>43924NYXBT</v>
      </c>
      <c r="B841" s="6" t="s">
        <v>84</v>
      </c>
      <c r="C841" s="6">
        <v>6039</v>
      </c>
      <c r="D841" s="6">
        <v>7190</v>
      </c>
      <c r="E841" s="6">
        <v>6777</v>
      </c>
      <c r="F841" t="str">
        <f t="shared" si="355"/>
        <v>FRI</v>
      </c>
      <c r="G841" s="3">
        <f t="shared" si="356"/>
        <v>43924</v>
      </c>
      <c r="H841" s="2">
        <f t="shared" ca="1" si="357"/>
        <v>329</v>
      </c>
      <c r="I841" t="str">
        <f t="shared" si="358"/>
        <v>NYXBT</v>
      </c>
      <c r="J841">
        <f t="shared" si="359"/>
        <v>6039</v>
      </c>
      <c r="K841">
        <f t="shared" si="360"/>
        <v>7190</v>
      </c>
      <c r="L841">
        <f t="shared" si="361"/>
        <v>6614.5</v>
      </c>
      <c r="M841">
        <f t="shared" si="362"/>
        <v>575.5</v>
      </c>
      <c r="N841">
        <f t="shared" si="367"/>
        <v>1151</v>
      </c>
      <c r="O841">
        <f t="shared" si="363"/>
        <v>6777</v>
      </c>
      <c r="P841">
        <f t="shared" si="364"/>
        <v>0.28236316246741966</v>
      </c>
      <c r="Q841" t="str">
        <f t="shared" si="368"/>
        <v>10.89% | 6.09%</v>
      </c>
      <c r="R841" t="str">
        <f t="shared" si="365"/>
        <v>BEARISH</v>
      </c>
      <c r="S841">
        <f t="shared" si="369"/>
        <v>-1</v>
      </c>
    </row>
    <row r="842" spans="1:19" hidden="1" x14ac:dyDescent="0.25">
      <c r="A842" s="5" t="str">
        <f t="shared" si="366"/>
        <v>43927UST10Y</v>
      </c>
      <c r="B842" s="6" t="s">
        <v>4</v>
      </c>
      <c r="C842" s="6">
        <v>0.91</v>
      </c>
      <c r="D842" s="6">
        <v>0.53</v>
      </c>
      <c r="E842" s="6">
        <v>0.62</v>
      </c>
      <c r="F842" t="str">
        <f t="shared" si="355"/>
        <v>MON</v>
      </c>
      <c r="G842" s="1">
        <f>DATE(2020,4,6)</f>
        <v>43927</v>
      </c>
      <c r="H842" s="2">
        <f t="shared" ca="1" si="357"/>
        <v>326</v>
      </c>
      <c r="I842" t="str">
        <f t="shared" si="358"/>
        <v>UST10Y</v>
      </c>
      <c r="J842">
        <f t="shared" si="359"/>
        <v>0.91</v>
      </c>
      <c r="K842">
        <f t="shared" si="360"/>
        <v>0.53</v>
      </c>
      <c r="L842">
        <f t="shared" si="361"/>
        <v>0.72</v>
      </c>
      <c r="M842">
        <f t="shared" si="362"/>
        <v>0.19000000000000006</v>
      </c>
      <c r="N842">
        <f t="shared" si="367"/>
        <v>0.38</v>
      </c>
      <c r="O842">
        <f t="shared" si="363"/>
        <v>0.62</v>
      </c>
      <c r="P842">
        <f t="shared" si="364"/>
        <v>-0.52631578947368396</v>
      </c>
      <c r="Q842" t="str">
        <f t="shared" si="368"/>
        <v>46.77% | 14.52%</v>
      </c>
      <c r="R842" t="str">
        <f t="shared" si="365"/>
        <v>BEARISH</v>
      </c>
      <c r="S842">
        <f t="shared" si="369"/>
        <v>-1</v>
      </c>
    </row>
    <row r="843" spans="1:19" hidden="1" x14ac:dyDescent="0.25">
      <c r="A843" s="5" t="str">
        <f t="shared" si="366"/>
        <v>43927UST2Y</v>
      </c>
      <c r="B843" s="6" t="s">
        <v>5</v>
      </c>
      <c r="C843" s="6">
        <v>0.37</v>
      </c>
      <c r="D843" s="6">
        <v>0.16</v>
      </c>
      <c r="E843" s="6">
        <v>0.23</v>
      </c>
      <c r="F843" t="str">
        <f t="shared" ref="F843:F871" si="370">UPPER(TEXT(G843,"ddd"))</f>
        <v>MON</v>
      </c>
      <c r="G843" s="1">
        <f t="shared" ref="G843:G870" si="371">DATE(2020,4,6)</f>
        <v>43927</v>
      </c>
      <c r="H843" s="2">
        <f t="shared" ref="H843:H871" ca="1" si="372">TODAY()-G843</f>
        <v>326</v>
      </c>
      <c r="I843" t="str">
        <f t="shared" ref="I843:I871" si="373">TRIM(LEFT(B843,FIND(" ",B843,1)))</f>
        <v>UST2Y</v>
      </c>
      <c r="J843">
        <f t="shared" ref="J843:J871" si="374">C843</f>
        <v>0.37</v>
      </c>
      <c r="K843">
        <f t="shared" ref="K843:K871" si="375">D843</f>
        <v>0.16</v>
      </c>
      <c r="L843">
        <f t="shared" ref="L843:L871" si="376">AVERAGE(J843:K843)</f>
        <v>0.26500000000000001</v>
      </c>
      <c r="M843">
        <f t="shared" ref="M843:M871" si="377">_xlfn.STDEV.P(J843:K843)</f>
        <v>0.10499999999999997</v>
      </c>
      <c r="N843">
        <f t="shared" si="367"/>
        <v>0.21</v>
      </c>
      <c r="O843">
        <f t="shared" ref="O843:O871" si="378">E843</f>
        <v>0.23</v>
      </c>
      <c r="P843">
        <f t="shared" ref="P843:P871" si="379">(O843-L843)/M843</f>
        <v>-0.33333333333333348</v>
      </c>
      <c r="Q843" t="str">
        <f t="shared" si="368"/>
        <v>60.87% | 30.43%</v>
      </c>
      <c r="R843" t="str">
        <f t="shared" ref="R843:R871" si="380">MID(B843,FIND("(",B843,1)+1,FIND(")",B843,1)-FIND("(",B843,1)-1)</f>
        <v>BEARISH</v>
      </c>
      <c r="S843">
        <f t="shared" si="369"/>
        <v>-1</v>
      </c>
    </row>
    <row r="844" spans="1:19" hidden="1" x14ac:dyDescent="0.25">
      <c r="A844" s="5" t="str">
        <f t="shared" si="366"/>
        <v>43927SPX</v>
      </c>
      <c r="B844" s="6" t="s">
        <v>6</v>
      </c>
      <c r="C844" s="6">
        <v>2303</v>
      </c>
      <c r="D844" s="6">
        <v>2660</v>
      </c>
      <c r="E844" s="6">
        <v>2488</v>
      </c>
      <c r="F844" t="str">
        <f t="shared" si="370"/>
        <v>MON</v>
      </c>
      <c r="G844" s="1">
        <f t="shared" si="371"/>
        <v>43927</v>
      </c>
      <c r="H844" s="2">
        <f t="shared" ca="1" si="372"/>
        <v>326</v>
      </c>
      <c r="I844" t="str">
        <f t="shared" si="373"/>
        <v>SPX</v>
      </c>
      <c r="J844">
        <f t="shared" si="374"/>
        <v>2303</v>
      </c>
      <c r="K844">
        <f t="shared" si="375"/>
        <v>2660</v>
      </c>
      <c r="L844">
        <f t="shared" si="376"/>
        <v>2481.5</v>
      </c>
      <c r="M844">
        <f t="shared" si="377"/>
        <v>178.5</v>
      </c>
      <c r="N844">
        <f t="shared" si="367"/>
        <v>357</v>
      </c>
      <c r="O844">
        <f t="shared" si="378"/>
        <v>2488</v>
      </c>
      <c r="P844">
        <f t="shared" si="379"/>
        <v>3.6414565826330535E-2</v>
      </c>
      <c r="Q844" t="str">
        <f t="shared" si="368"/>
        <v>7.44% | 6.91%</v>
      </c>
      <c r="R844" t="str">
        <f t="shared" si="380"/>
        <v>BEARISH</v>
      </c>
      <c r="S844">
        <f t="shared" si="369"/>
        <v>-1</v>
      </c>
    </row>
    <row r="845" spans="1:19" hidden="1" x14ac:dyDescent="0.25">
      <c r="A845" s="5" t="str">
        <f t="shared" si="366"/>
        <v>43927RUT</v>
      </c>
      <c r="B845" s="6" t="s">
        <v>7</v>
      </c>
      <c r="C845" s="6">
        <v>995</v>
      </c>
      <c r="D845" s="6">
        <v>1112</v>
      </c>
      <c r="E845" s="6">
        <v>1052</v>
      </c>
      <c r="F845" t="str">
        <f t="shared" si="370"/>
        <v>MON</v>
      </c>
      <c r="G845" s="1">
        <f t="shared" si="371"/>
        <v>43927</v>
      </c>
      <c r="H845" s="2">
        <f t="shared" ca="1" si="372"/>
        <v>326</v>
      </c>
      <c r="I845" t="str">
        <f t="shared" si="373"/>
        <v>RUT</v>
      </c>
      <c r="J845">
        <f t="shared" si="374"/>
        <v>995</v>
      </c>
      <c r="K845">
        <f t="shared" si="375"/>
        <v>1112</v>
      </c>
      <c r="L845">
        <f t="shared" si="376"/>
        <v>1053.5</v>
      </c>
      <c r="M845">
        <f t="shared" si="377"/>
        <v>58.5</v>
      </c>
      <c r="N845">
        <f t="shared" si="367"/>
        <v>117</v>
      </c>
      <c r="O845">
        <f t="shared" si="378"/>
        <v>1052</v>
      </c>
      <c r="P845">
        <f t="shared" si="379"/>
        <v>-2.564102564102564E-2</v>
      </c>
      <c r="Q845" t="str">
        <f t="shared" si="368"/>
        <v>5.42% | 5.7%</v>
      </c>
      <c r="R845" t="str">
        <f t="shared" si="380"/>
        <v>BEARISH</v>
      </c>
      <c r="S845">
        <f t="shared" si="369"/>
        <v>-1</v>
      </c>
    </row>
    <row r="846" spans="1:19" hidden="1" x14ac:dyDescent="0.25">
      <c r="A846" s="5" t="str">
        <f t="shared" si="366"/>
        <v>43927COMPQ</v>
      </c>
      <c r="B846" s="6" t="s">
        <v>64</v>
      </c>
      <c r="C846" s="6">
        <v>7099</v>
      </c>
      <c r="D846" s="6">
        <v>7876</v>
      </c>
      <c r="E846" s="6">
        <v>7373</v>
      </c>
      <c r="F846" t="str">
        <f t="shared" si="370"/>
        <v>MON</v>
      </c>
      <c r="G846" s="1">
        <f t="shared" si="371"/>
        <v>43927</v>
      </c>
      <c r="H846" s="2">
        <f t="shared" ca="1" si="372"/>
        <v>326</v>
      </c>
      <c r="I846" t="str">
        <f t="shared" si="373"/>
        <v>COMPQ</v>
      </c>
      <c r="J846">
        <f t="shared" si="374"/>
        <v>7099</v>
      </c>
      <c r="K846">
        <f t="shared" si="375"/>
        <v>7876</v>
      </c>
      <c r="L846">
        <f t="shared" si="376"/>
        <v>7487.5</v>
      </c>
      <c r="M846">
        <f t="shared" si="377"/>
        <v>388.5</v>
      </c>
      <c r="N846">
        <f t="shared" si="367"/>
        <v>777</v>
      </c>
      <c r="O846">
        <f t="shared" si="378"/>
        <v>7373</v>
      </c>
      <c r="P846">
        <f t="shared" si="379"/>
        <v>-0.29472329472329473</v>
      </c>
      <c r="Q846" t="str">
        <f t="shared" si="368"/>
        <v>3.72% | 6.82%</v>
      </c>
      <c r="R846" t="str">
        <f t="shared" si="380"/>
        <v>BEARISH</v>
      </c>
      <c r="S846">
        <f t="shared" si="369"/>
        <v>-1</v>
      </c>
    </row>
    <row r="847" spans="1:19" hidden="1" x14ac:dyDescent="0.25">
      <c r="A847" s="5" t="str">
        <f t="shared" si="366"/>
        <v>43927XLU</v>
      </c>
      <c r="B847" s="6" t="s">
        <v>82</v>
      </c>
      <c r="C847" s="6">
        <v>47.08</v>
      </c>
      <c r="D847" s="6">
        <v>58.06</v>
      </c>
      <c r="E847" s="6">
        <v>51.79</v>
      </c>
      <c r="F847" t="str">
        <f t="shared" si="370"/>
        <v>MON</v>
      </c>
      <c r="G847" s="1">
        <f t="shared" si="371"/>
        <v>43927</v>
      </c>
      <c r="H847" s="2">
        <f t="shared" ca="1" si="372"/>
        <v>326</v>
      </c>
      <c r="I847" t="str">
        <f t="shared" si="373"/>
        <v>XLU</v>
      </c>
      <c r="J847">
        <f t="shared" si="374"/>
        <v>47.08</v>
      </c>
      <c r="K847">
        <f t="shared" si="375"/>
        <v>58.06</v>
      </c>
      <c r="L847">
        <f t="shared" si="376"/>
        <v>52.57</v>
      </c>
      <c r="M847">
        <f t="shared" si="377"/>
        <v>5.4900000000000064</v>
      </c>
      <c r="N847">
        <f t="shared" si="367"/>
        <v>10.980000000000004</v>
      </c>
      <c r="O847">
        <f t="shared" si="378"/>
        <v>51.79</v>
      </c>
      <c r="P847">
        <f t="shared" si="379"/>
        <v>-0.14207650273224048</v>
      </c>
      <c r="Q847" t="str">
        <f t="shared" si="368"/>
        <v>9.09% | 12.11%</v>
      </c>
      <c r="R847" t="str">
        <f t="shared" si="380"/>
        <v>BEARISH</v>
      </c>
      <c r="S847">
        <f t="shared" si="369"/>
        <v>-1</v>
      </c>
    </row>
    <row r="848" spans="1:19" hidden="1" x14ac:dyDescent="0.25">
      <c r="A848" s="5" t="str">
        <f t="shared" si="366"/>
        <v>43927VNQ</v>
      </c>
      <c r="B848" s="6" t="s">
        <v>67</v>
      </c>
      <c r="C848" s="6">
        <v>59.45</v>
      </c>
      <c r="D848" s="6">
        <v>73.41</v>
      </c>
      <c r="E848" s="6">
        <v>64.53</v>
      </c>
      <c r="F848" t="str">
        <f t="shared" si="370"/>
        <v>MON</v>
      </c>
      <c r="G848" s="1">
        <f t="shared" si="371"/>
        <v>43927</v>
      </c>
      <c r="H848" s="2">
        <f t="shared" ca="1" si="372"/>
        <v>326</v>
      </c>
      <c r="I848" t="str">
        <f t="shared" si="373"/>
        <v>VNQ</v>
      </c>
      <c r="J848">
        <f t="shared" si="374"/>
        <v>59.45</v>
      </c>
      <c r="K848">
        <f t="shared" si="375"/>
        <v>73.41</v>
      </c>
      <c r="L848">
        <f t="shared" si="376"/>
        <v>66.430000000000007</v>
      </c>
      <c r="M848">
        <f t="shared" si="377"/>
        <v>6.9799999999998805</v>
      </c>
      <c r="N848">
        <f t="shared" si="367"/>
        <v>13.959999999999994</v>
      </c>
      <c r="O848">
        <f t="shared" si="378"/>
        <v>64.53</v>
      </c>
      <c r="P848">
        <f t="shared" si="379"/>
        <v>-0.27220630372493382</v>
      </c>
      <c r="Q848" t="str">
        <f t="shared" si="368"/>
        <v>7.87% | 13.76%</v>
      </c>
      <c r="R848" t="str">
        <f t="shared" si="380"/>
        <v>BEARISH</v>
      </c>
      <c r="S848">
        <f t="shared" si="369"/>
        <v>-1</v>
      </c>
    </row>
    <row r="849" spans="1:19" hidden="1" x14ac:dyDescent="0.25">
      <c r="A849" s="5" t="str">
        <f t="shared" si="366"/>
        <v>43927XLP</v>
      </c>
      <c r="B849" s="6" t="s">
        <v>11</v>
      </c>
      <c r="C849" s="6">
        <v>49.53</v>
      </c>
      <c r="D849" s="6">
        <v>57.27</v>
      </c>
      <c r="E849" s="6">
        <v>55.35</v>
      </c>
      <c r="F849" t="str">
        <f t="shared" si="370"/>
        <v>MON</v>
      </c>
      <c r="G849" s="1">
        <f t="shared" si="371"/>
        <v>43927</v>
      </c>
      <c r="H849" s="2">
        <f t="shared" ca="1" si="372"/>
        <v>326</v>
      </c>
      <c r="I849" t="str">
        <f t="shared" si="373"/>
        <v>XLP</v>
      </c>
      <c r="J849">
        <f t="shared" si="374"/>
        <v>49.53</v>
      </c>
      <c r="K849">
        <f t="shared" si="375"/>
        <v>57.27</v>
      </c>
      <c r="L849">
        <f t="shared" si="376"/>
        <v>53.400000000000006</v>
      </c>
      <c r="M849">
        <f t="shared" si="377"/>
        <v>3.870000000000001</v>
      </c>
      <c r="N849">
        <f t="shared" si="367"/>
        <v>7.740000000000002</v>
      </c>
      <c r="O849">
        <f t="shared" si="378"/>
        <v>55.35</v>
      </c>
      <c r="P849">
        <f t="shared" si="379"/>
        <v>0.50387596899224685</v>
      </c>
      <c r="Q849" t="str">
        <f t="shared" si="368"/>
        <v>10.51% | 3.47%</v>
      </c>
      <c r="R849" t="str">
        <f t="shared" si="380"/>
        <v>BEARISH</v>
      </c>
      <c r="S849">
        <f t="shared" si="369"/>
        <v>-1</v>
      </c>
    </row>
    <row r="850" spans="1:19" hidden="1" x14ac:dyDescent="0.25">
      <c r="A850" s="5" t="str">
        <f t="shared" si="366"/>
        <v>43927XLK</v>
      </c>
      <c r="B850" s="6" t="s">
        <v>65</v>
      </c>
      <c r="C850" s="6">
        <v>72.95</v>
      </c>
      <c r="D850" s="6">
        <v>83.13</v>
      </c>
      <c r="E850" s="6">
        <v>77.12</v>
      </c>
      <c r="F850" t="str">
        <f t="shared" si="370"/>
        <v>MON</v>
      </c>
      <c r="G850" s="1">
        <f t="shared" si="371"/>
        <v>43927</v>
      </c>
      <c r="H850" s="2">
        <f t="shared" ca="1" si="372"/>
        <v>326</v>
      </c>
      <c r="I850" t="str">
        <f t="shared" si="373"/>
        <v>XLK</v>
      </c>
      <c r="J850">
        <f t="shared" si="374"/>
        <v>72.95</v>
      </c>
      <c r="K850">
        <f t="shared" si="375"/>
        <v>83.13</v>
      </c>
      <c r="L850">
        <f t="shared" si="376"/>
        <v>78.039999999999992</v>
      </c>
      <c r="M850">
        <f t="shared" si="377"/>
        <v>5.0899999999999963</v>
      </c>
      <c r="N850">
        <f t="shared" si="367"/>
        <v>10.179999999999993</v>
      </c>
      <c r="O850">
        <f t="shared" si="378"/>
        <v>77.12</v>
      </c>
      <c r="P850">
        <f t="shared" si="379"/>
        <v>-0.18074656188604876</v>
      </c>
      <c r="Q850" t="str">
        <f t="shared" si="368"/>
        <v>5.41% | 7.79%</v>
      </c>
      <c r="R850" t="str">
        <f t="shared" si="380"/>
        <v>BEARISH</v>
      </c>
      <c r="S850">
        <f t="shared" si="369"/>
        <v>-1</v>
      </c>
    </row>
    <row r="851" spans="1:19" hidden="1" x14ac:dyDescent="0.25">
      <c r="A851" s="5" t="str">
        <f t="shared" si="366"/>
        <v>43927SSEC</v>
      </c>
      <c r="B851" s="6" t="s">
        <v>14</v>
      </c>
      <c r="C851" s="6">
        <v>2665</v>
      </c>
      <c r="D851" s="6">
        <v>2840</v>
      </c>
      <c r="E851" s="6">
        <v>2763</v>
      </c>
      <c r="F851" t="str">
        <f t="shared" si="370"/>
        <v>MON</v>
      </c>
      <c r="G851" s="1">
        <f t="shared" si="371"/>
        <v>43927</v>
      </c>
      <c r="H851" s="2">
        <f t="shared" ca="1" si="372"/>
        <v>326</v>
      </c>
      <c r="I851" t="str">
        <f t="shared" si="373"/>
        <v>SSEC</v>
      </c>
      <c r="J851">
        <f t="shared" si="374"/>
        <v>2665</v>
      </c>
      <c r="K851">
        <f t="shared" si="375"/>
        <v>2840</v>
      </c>
      <c r="L851">
        <f t="shared" si="376"/>
        <v>2752.5</v>
      </c>
      <c r="M851">
        <f t="shared" si="377"/>
        <v>87.5</v>
      </c>
      <c r="N851">
        <f t="shared" si="367"/>
        <v>175</v>
      </c>
      <c r="O851">
        <f t="shared" si="378"/>
        <v>2763</v>
      </c>
      <c r="P851">
        <f t="shared" si="379"/>
        <v>0.12</v>
      </c>
      <c r="Q851" t="str">
        <f t="shared" si="368"/>
        <v>3.55% | 2.79%</v>
      </c>
      <c r="R851" t="str">
        <f t="shared" si="380"/>
        <v>BEARISH</v>
      </c>
      <c r="S851">
        <f t="shared" si="369"/>
        <v>-1</v>
      </c>
    </row>
    <row r="852" spans="1:19" hidden="1" x14ac:dyDescent="0.25">
      <c r="A852" s="5" t="str">
        <f t="shared" si="366"/>
        <v>43927NIKK</v>
      </c>
      <c r="B852" s="6" t="s">
        <v>15</v>
      </c>
      <c r="C852" s="6">
        <v>17003</v>
      </c>
      <c r="D852" s="6">
        <v>19875</v>
      </c>
      <c r="E852" s="6">
        <v>18576</v>
      </c>
      <c r="F852" t="str">
        <f t="shared" si="370"/>
        <v>MON</v>
      </c>
      <c r="G852" s="1">
        <f t="shared" si="371"/>
        <v>43927</v>
      </c>
      <c r="H852" s="2">
        <f t="shared" ca="1" si="372"/>
        <v>326</v>
      </c>
      <c r="I852" t="str">
        <f t="shared" si="373"/>
        <v>NIKK</v>
      </c>
      <c r="J852">
        <f t="shared" si="374"/>
        <v>17003</v>
      </c>
      <c r="K852">
        <f t="shared" si="375"/>
        <v>19875</v>
      </c>
      <c r="L852">
        <f t="shared" si="376"/>
        <v>18439</v>
      </c>
      <c r="M852">
        <f t="shared" si="377"/>
        <v>1436</v>
      </c>
      <c r="N852">
        <f t="shared" si="367"/>
        <v>2872</v>
      </c>
      <c r="O852">
        <f t="shared" si="378"/>
        <v>18576</v>
      </c>
      <c r="P852">
        <f t="shared" si="379"/>
        <v>9.5403899721448471E-2</v>
      </c>
      <c r="Q852" t="str">
        <f t="shared" si="368"/>
        <v>8.47% | 6.99%</v>
      </c>
      <c r="R852" t="str">
        <f t="shared" si="380"/>
        <v>BEARISH</v>
      </c>
      <c r="S852">
        <f t="shared" si="369"/>
        <v>-1</v>
      </c>
    </row>
    <row r="853" spans="1:19" hidden="1" x14ac:dyDescent="0.25">
      <c r="A853" s="5" t="str">
        <f t="shared" si="366"/>
        <v>43927DAX</v>
      </c>
      <c r="B853" s="6" t="s">
        <v>16</v>
      </c>
      <c r="C853" s="6">
        <v>9309</v>
      </c>
      <c r="D853" s="6">
        <v>10260</v>
      </c>
      <c r="E853" s="6">
        <v>9527</v>
      </c>
      <c r="F853" t="str">
        <f t="shared" si="370"/>
        <v>MON</v>
      </c>
      <c r="G853" s="1">
        <f t="shared" si="371"/>
        <v>43927</v>
      </c>
      <c r="H853" s="2">
        <f t="shared" ca="1" si="372"/>
        <v>326</v>
      </c>
      <c r="I853" t="str">
        <f t="shared" si="373"/>
        <v>DAX</v>
      </c>
      <c r="J853">
        <f t="shared" si="374"/>
        <v>9309</v>
      </c>
      <c r="K853">
        <f t="shared" si="375"/>
        <v>10260</v>
      </c>
      <c r="L853">
        <f t="shared" si="376"/>
        <v>9784.5</v>
      </c>
      <c r="M853">
        <f t="shared" si="377"/>
        <v>475.5</v>
      </c>
      <c r="N853">
        <f t="shared" si="367"/>
        <v>951</v>
      </c>
      <c r="O853">
        <f t="shared" si="378"/>
        <v>9527</v>
      </c>
      <c r="P853">
        <f t="shared" si="379"/>
        <v>-0.54153522607781279</v>
      </c>
      <c r="Q853" t="str">
        <f t="shared" si="368"/>
        <v>2.29% | 7.69%</v>
      </c>
      <c r="R853" t="str">
        <f t="shared" si="380"/>
        <v>BEARISH</v>
      </c>
      <c r="S853">
        <f t="shared" si="369"/>
        <v>-1</v>
      </c>
    </row>
    <row r="854" spans="1:19" hidden="1" x14ac:dyDescent="0.25">
      <c r="A854" s="5" t="str">
        <f t="shared" si="366"/>
        <v>43927VIX</v>
      </c>
      <c r="B854" s="6" t="s">
        <v>17</v>
      </c>
      <c r="C854" s="6">
        <v>44.77</v>
      </c>
      <c r="D854" s="6">
        <v>70.239999999999995</v>
      </c>
      <c r="E854" s="6">
        <v>46.8</v>
      </c>
      <c r="F854" t="str">
        <f t="shared" si="370"/>
        <v>MON</v>
      </c>
      <c r="G854" s="1">
        <f t="shared" si="371"/>
        <v>43927</v>
      </c>
      <c r="H854" s="2">
        <f t="shared" ca="1" si="372"/>
        <v>326</v>
      </c>
      <c r="I854" t="str">
        <f t="shared" si="373"/>
        <v>VIX</v>
      </c>
      <c r="J854">
        <f t="shared" si="374"/>
        <v>44.77</v>
      </c>
      <c r="K854">
        <f t="shared" si="375"/>
        <v>70.239999999999995</v>
      </c>
      <c r="L854">
        <f t="shared" si="376"/>
        <v>57.504999999999995</v>
      </c>
      <c r="M854">
        <f t="shared" si="377"/>
        <v>12.735000000000021</v>
      </c>
      <c r="N854">
        <f t="shared" si="367"/>
        <v>25.469999999999992</v>
      </c>
      <c r="O854">
        <f t="shared" si="378"/>
        <v>46.8</v>
      </c>
      <c r="P854">
        <f t="shared" si="379"/>
        <v>-0.84059678052610765</v>
      </c>
      <c r="Q854" t="str">
        <f t="shared" si="368"/>
        <v>4.34% | 50.09%</v>
      </c>
      <c r="R854" t="str">
        <f t="shared" si="380"/>
        <v>BULLISH</v>
      </c>
      <c r="S854">
        <f t="shared" si="369"/>
        <v>1</v>
      </c>
    </row>
    <row r="855" spans="1:19" hidden="1" x14ac:dyDescent="0.25">
      <c r="A855" s="5" t="str">
        <f t="shared" si="366"/>
        <v>43927USD</v>
      </c>
      <c r="B855" s="6" t="s">
        <v>18</v>
      </c>
      <c r="C855" s="6">
        <v>97.75</v>
      </c>
      <c r="D855" s="6">
        <v>102.38</v>
      </c>
      <c r="E855" s="6">
        <v>100.68</v>
      </c>
      <c r="F855" t="str">
        <f t="shared" si="370"/>
        <v>MON</v>
      </c>
      <c r="G855" s="1">
        <f t="shared" si="371"/>
        <v>43927</v>
      </c>
      <c r="H855" s="2">
        <f t="shared" ca="1" si="372"/>
        <v>326</v>
      </c>
      <c r="I855" t="str">
        <f t="shared" si="373"/>
        <v>USD</v>
      </c>
      <c r="J855">
        <f t="shared" si="374"/>
        <v>97.75</v>
      </c>
      <c r="K855">
        <f t="shared" si="375"/>
        <v>102.38</v>
      </c>
      <c r="L855">
        <f t="shared" si="376"/>
        <v>100.065</v>
      </c>
      <c r="M855">
        <f t="shared" si="377"/>
        <v>2.3149999999999977</v>
      </c>
      <c r="N855">
        <f t="shared" si="367"/>
        <v>4.6299999999999955</v>
      </c>
      <c r="O855">
        <f t="shared" si="378"/>
        <v>100.68</v>
      </c>
      <c r="P855">
        <f t="shared" si="379"/>
        <v>0.26565874730022015</v>
      </c>
      <c r="Q855" t="str">
        <f t="shared" si="368"/>
        <v>2.91% | 1.69%</v>
      </c>
      <c r="R855" t="str">
        <f t="shared" si="380"/>
        <v>BULLISH</v>
      </c>
      <c r="S855">
        <f t="shared" si="369"/>
        <v>1</v>
      </c>
    </row>
    <row r="856" spans="1:19" hidden="1" x14ac:dyDescent="0.25">
      <c r="A856" s="5" t="str">
        <f t="shared" si="366"/>
        <v>43927EUR/USD</v>
      </c>
      <c r="B856" s="6" t="s">
        <v>19</v>
      </c>
      <c r="C856" s="6">
        <v>1.07</v>
      </c>
      <c r="D856" s="6">
        <v>1.1100000000000001</v>
      </c>
      <c r="E856" s="6">
        <v>1.08</v>
      </c>
      <c r="F856" t="str">
        <f t="shared" si="370"/>
        <v>MON</v>
      </c>
      <c r="G856" s="1">
        <f t="shared" si="371"/>
        <v>43927</v>
      </c>
      <c r="H856" s="2">
        <f t="shared" ca="1" si="372"/>
        <v>326</v>
      </c>
      <c r="I856" t="str">
        <f t="shared" si="373"/>
        <v>EUR/USD</v>
      </c>
      <c r="J856">
        <f t="shared" si="374"/>
        <v>1.07</v>
      </c>
      <c r="K856">
        <f t="shared" si="375"/>
        <v>1.1100000000000001</v>
      </c>
      <c r="L856">
        <f t="shared" si="376"/>
        <v>1.0900000000000001</v>
      </c>
      <c r="M856">
        <f t="shared" si="377"/>
        <v>2.0000000000000018E-2</v>
      </c>
      <c r="N856">
        <f t="shared" si="367"/>
        <v>4.0000000000000036E-2</v>
      </c>
      <c r="O856">
        <f t="shared" si="378"/>
        <v>1.08</v>
      </c>
      <c r="P856">
        <f t="shared" si="379"/>
        <v>-0.5</v>
      </c>
      <c r="Q856" t="str">
        <f t="shared" si="368"/>
        <v>0.93% | 2.78%</v>
      </c>
      <c r="R856" t="str">
        <f t="shared" si="380"/>
        <v>BEARISH</v>
      </c>
      <c r="S856">
        <f t="shared" si="369"/>
        <v>-1</v>
      </c>
    </row>
    <row r="857" spans="1:19" hidden="1" x14ac:dyDescent="0.25">
      <c r="A857" s="5" t="str">
        <f t="shared" si="366"/>
        <v>43927USD/JPY</v>
      </c>
      <c r="B857" s="6" t="s">
        <v>86</v>
      </c>
      <c r="C857" s="6">
        <v>105.52</v>
      </c>
      <c r="D857" s="6">
        <v>111.78</v>
      </c>
      <c r="E857" s="6">
        <v>108.46</v>
      </c>
      <c r="F857" t="str">
        <f t="shared" si="370"/>
        <v>MON</v>
      </c>
      <c r="G857" s="1">
        <f t="shared" si="371"/>
        <v>43927</v>
      </c>
      <c r="H857" s="2">
        <f t="shared" ca="1" si="372"/>
        <v>326</v>
      </c>
      <c r="I857" t="str">
        <f t="shared" si="373"/>
        <v>USD/JPY</v>
      </c>
      <c r="J857">
        <f t="shared" si="374"/>
        <v>105.52</v>
      </c>
      <c r="K857">
        <f t="shared" si="375"/>
        <v>111.78</v>
      </c>
      <c r="L857">
        <f t="shared" si="376"/>
        <v>108.65</v>
      </c>
      <c r="M857">
        <f t="shared" si="377"/>
        <v>3.1300000000000026</v>
      </c>
      <c r="N857">
        <f t="shared" si="367"/>
        <v>6.2600000000000051</v>
      </c>
      <c r="O857">
        <f t="shared" si="378"/>
        <v>108.46</v>
      </c>
      <c r="P857">
        <f t="shared" si="379"/>
        <v>-6.0702875399364788E-2</v>
      </c>
      <c r="Q857" t="str">
        <f t="shared" si="368"/>
        <v>2.71% | 3.06%</v>
      </c>
      <c r="R857" t="str">
        <f t="shared" si="380"/>
        <v>NEUTRAL</v>
      </c>
      <c r="S857">
        <f t="shared" si="369"/>
        <v>0</v>
      </c>
    </row>
    <row r="858" spans="1:19" hidden="1" x14ac:dyDescent="0.25">
      <c r="A858" s="5" t="str">
        <f t="shared" si="366"/>
        <v>43927GBP/USD</v>
      </c>
      <c r="B858" s="6" t="s">
        <v>21</v>
      </c>
      <c r="C858" s="6">
        <v>1.17</v>
      </c>
      <c r="D858" s="6">
        <v>1.26</v>
      </c>
      <c r="E858" s="6">
        <v>1.23</v>
      </c>
      <c r="F858" t="str">
        <f t="shared" si="370"/>
        <v>MON</v>
      </c>
      <c r="G858" s="1">
        <f t="shared" si="371"/>
        <v>43927</v>
      </c>
      <c r="H858" s="2">
        <f t="shared" ca="1" si="372"/>
        <v>326</v>
      </c>
      <c r="I858" t="str">
        <f t="shared" si="373"/>
        <v>GBP/USD</v>
      </c>
      <c r="J858">
        <f t="shared" si="374"/>
        <v>1.17</v>
      </c>
      <c r="K858">
        <f t="shared" si="375"/>
        <v>1.26</v>
      </c>
      <c r="L858">
        <f t="shared" si="376"/>
        <v>1.2149999999999999</v>
      </c>
      <c r="M858">
        <f t="shared" si="377"/>
        <v>4.500000000000004E-2</v>
      </c>
      <c r="N858">
        <f t="shared" si="367"/>
        <v>9.000000000000008E-2</v>
      </c>
      <c r="O858">
        <f t="shared" si="378"/>
        <v>1.23</v>
      </c>
      <c r="P858">
        <f t="shared" si="379"/>
        <v>0.33333333333333581</v>
      </c>
      <c r="Q858" t="str">
        <f t="shared" si="368"/>
        <v>4.88% | 2.44%</v>
      </c>
      <c r="R858" t="str">
        <f t="shared" si="380"/>
        <v>BEARISH</v>
      </c>
      <c r="S858">
        <f t="shared" si="369"/>
        <v>-1</v>
      </c>
    </row>
    <row r="859" spans="1:19" hidden="1" x14ac:dyDescent="0.25">
      <c r="A859" s="5" t="str">
        <f t="shared" si="366"/>
        <v>43927USD/CHF</v>
      </c>
      <c r="B859" s="6" t="s">
        <v>22</v>
      </c>
      <c r="C859" s="6">
        <v>0.95</v>
      </c>
      <c r="D859" s="6">
        <v>0.99</v>
      </c>
      <c r="E859" s="6">
        <v>0.97</v>
      </c>
      <c r="F859" t="str">
        <f t="shared" si="370"/>
        <v>MON</v>
      </c>
      <c r="G859" s="1">
        <f t="shared" si="371"/>
        <v>43927</v>
      </c>
      <c r="H859" s="2">
        <f t="shared" ca="1" si="372"/>
        <v>326</v>
      </c>
      <c r="I859" t="str">
        <f t="shared" si="373"/>
        <v>USD/CHF</v>
      </c>
      <c r="J859">
        <f t="shared" si="374"/>
        <v>0.95</v>
      </c>
      <c r="K859">
        <f t="shared" si="375"/>
        <v>0.99</v>
      </c>
      <c r="L859">
        <f t="shared" si="376"/>
        <v>0.97</v>
      </c>
      <c r="M859">
        <f t="shared" si="377"/>
        <v>2.0000000000000018E-2</v>
      </c>
      <c r="N859">
        <f t="shared" si="367"/>
        <v>4.0000000000000036E-2</v>
      </c>
      <c r="O859">
        <f t="shared" si="378"/>
        <v>0.97</v>
      </c>
      <c r="P859">
        <f t="shared" si="379"/>
        <v>0</v>
      </c>
      <c r="Q859" t="str">
        <f t="shared" si="368"/>
        <v>2.06% | 2.06%</v>
      </c>
      <c r="R859" t="str">
        <f t="shared" si="380"/>
        <v>NEUTRAL</v>
      </c>
      <c r="S859">
        <f t="shared" si="369"/>
        <v>0</v>
      </c>
    </row>
    <row r="860" spans="1:19" hidden="1" x14ac:dyDescent="0.25">
      <c r="A860" s="5" t="str">
        <f t="shared" si="366"/>
        <v>43927WTIC</v>
      </c>
      <c r="B860" s="6" t="s">
        <v>23</v>
      </c>
      <c r="C860" s="6">
        <v>17.809999999999999</v>
      </c>
      <c r="D860" s="6">
        <v>30.4</v>
      </c>
      <c r="E860" s="6">
        <v>28.34</v>
      </c>
      <c r="F860" t="str">
        <f t="shared" si="370"/>
        <v>MON</v>
      </c>
      <c r="G860" s="1">
        <f t="shared" si="371"/>
        <v>43927</v>
      </c>
      <c r="H860" s="2">
        <f t="shared" ca="1" si="372"/>
        <v>326</v>
      </c>
      <c r="I860" t="str">
        <f t="shared" si="373"/>
        <v>WTIC</v>
      </c>
      <c r="J860">
        <f t="shared" si="374"/>
        <v>17.809999999999999</v>
      </c>
      <c r="K860">
        <f t="shared" si="375"/>
        <v>30.4</v>
      </c>
      <c r="L860">
        <f t="shared" si="376"/>
        <v>24.104999999999997</v>
      </c>
      <c r="M860">
        <f t="shared" si="377"/>
        <v>6.2950000000000097</v>
      </c>
      <c r="N860">
        <f t="shared" si="367"/>
        <v>12.59</v>
      </c>
      <c r="O860">
        <f t="shared" si="378"/>
        <v>28.34</v>
      </c>
      <c r="P860">
        <f t="shared" si="379"/>
        <v>0.67275615567910985</v>
      </c>
      <c r="Q860" t="str">
        <f t="shared" si="368"/>
        <v>37.16% | 7.27%</v>
      </c>
      <c r="R860" t="str">
        <f t="shared" si="380"/>
        <v>BEARISH</v>
      </c>
      <c r="S860">
        <f t="shared" si="369"/>
        <v>-1</v>
      </c>
    </row>
    <row r="861" spans="1:19" hidden="1" x14ac:dyDescent="0.25">
      <c r="A861" s="5" t="str">
        <f t="shared" si="366"/>
        <v>43927NATGAS</v>
      </c>
      <c r="B861" s="6" t="s">
        <v>24</v>
      </c>
      <c r="C861" s="6">
        <v>1.52</v>
      </c>
      <c r="D861" s="6">
        <v>1.74</v>
      </c>
      <c r="E861" s="6">
        <v>1.62</v>
      </c>
      <c r="F861" t="str">
        <f t="shared" si="370"/>
        <v>MON</v>
      </c>
      <c r="G861" s="1">
        <f t="shared" si="371"/>
        <v>43927</v>
      </c>
      <c r="H861" s="2">
        <f t="shared" ca="1" si="372"/>
        <v>326</v>
      </c>
      <c r="I861" t="str">
        <f t="shared" si="373"/>
        <v>NATGAS</v>
      </c>
      <c r="J861">
        <f t="shared" si="374"/>
        <v>1.52</v>
      </c>
      <c r="K861">
        <f t="shared" si="375"/>
        <v>1.74</v>
      </c>
      <c r="L861">
        <f t="shared" si="376"/>
        <v>1.63</v>
      </c>
      <c r="M861">
        <f t="shared" si="377"/>
        <v>0.10999999999999999</v>
      </c>
      <c r="N861">
        <f t="shared" si="367"/>
        <v>0.21999999999999997</v>
      </c>
      <c r="O861">
        <f t="shared" si="378"/>
        <v>1.62</v>
      </c>
      <c r="P861">
        <f t="shared" si="379"/>
        <v>-9.0909090909088983E-2</v>
      </c>
      <c r="Q861" t="str">
        <f t="shared" si="368"/>
        <v>6.17% | 7.41%</v>
      </c>
      <c r="R861" t="str">
        <f t="shared" si="380"/>
        <v>BEARISH</v>
      </c>
      <c r="S861">
        <f t="shared" si="369"/>
        <v>-1</v>
      </c>
    </row>
    <row r="862" spans="1:19" hidden="1" x14ac:dyDescent="0.25">
      <c r="A862" s="5" t="str">
        <f t="shared" si="366"/>
        <v>43927GOLD</v>
      </c>
      <c r="B862" s="6" t="s">
        <v>25</v>
      </c>
      <c r="C862" s="6">
        <v>1589</v>
      </c>
      <c r="D862" s="6">
        <v>1687</v>
      </c>
      <c r="E862" s="6">
        <v>1645</v>
      </c>
      <c r="F862" t="str">
        <f t="shared" si="370"/>
        <v>MON</v>
      </c>
      <c r="G862" s="1">
        <f t="shared" si="371"/>
        <v>43927</v>
      </c>
      <c r="H862" s="2">
        <f t="shared" ca="1" si="372"/>
        <v>326</v>
      </c>
      <c r="I862" t="str">
        <f t="shared" si="373"/>
        <v>GOLD</v>
      </c>
      <c r="J862">
        <f t="shared" si="374"/>
        <v>1589</v>
      </c>
      <c r="K862">
        <f t="shared" si="375"/>
        <v>1687</v>
      </c>
      <c r="L862">
        <f t="shared" si="376"/>
        <v>1638</v>
      </c>
      <c r="M862">
        <f t="shared" si="377"/>
        <v>49</v>
      </c>
      <c r="N862">
        <f t="shared" si="367"/>
        <v>98</v>
      </c>
      <c r="O862">
        <f t="shared" si="378"/>
        <v>1645</v>
      </c>
      <c r="P862">
        <f t="shared" si="379"/>
        <v>0.14285714285714285</v>
      </c>
      <c r="Q862" t="str">
        <f t="shared" si="368"/>
        <v>3.4% | 2.55%</v>
      </c>
      <c r="R862" t="str">
        <f t="shared" si="380"/>
        <v>BULLISH</v>
      </c>
      <c r="S862">
        <f t="shared" si="369"/>
        <v>1</v>
      </c>
    </row>
    <row r="863" spans="1:19" hidden="1" x14ac:dyDescent="0.25">
      <c r="A863" s="5" t="str">
        <f t="shared" si="366"/>
        <v>43927COPPER</v>
      </c>
      <c r="B863" s="6" t="s">
        <v>26</v>
      </c>
      <c r="C863" s="6">
        <v>2.1</v>
      </c>
      <c r="D863" s="6">
        <v>2.2599999999999998</v>
      </c>
      <c r="E863" s="6">
        <v>2.19</v>
      </c>
      <c r="F863" t="str">
        <f t="shared" si="370"/>
        <v>MON</v>
      </c>
      <c r="G863" s="1">
        <f t="shared" si="371"/>
        <v>43927</v>
      </c>
      <c r="H863" s="2">
        <f t="shared" ca="1" si="372"/>
        <v>326</v>
      </c>
      <c r="I863" t="str">
        <f t="shared" si="373"/>
        <v>COPPER</v>
      </c>
      <c r="J863">
        <f t="shared" si="374"/>
        <v>2.1</v>
      </c>
      <c r="K863">
        <f t="shared" si="375"/>
        <v>2.2599999999999998</v>
      </c>
      <c r="L863">
        <f t="shared" si="376"/>
        <v>2.1799999999999997</v>
      </c>
      <c r="M863">
        <f t="shared" si="377"/>
        <v>7.9999999999999849E-2</v>
      </c>
      <c r="N863">
        <f t="shared" si="367"/>
        <v>0.1599999999999997</v>
      </c>
      <c r="O863">
        <f t="shared" si="378"/>
        <v>2.19</v>
      </c>
      <c r="P863">
        <f t="shared" si="379"/>
        <v>0.12500000000000314</v>
      </c>
      <c r="Q863" t="str">
        <f t="shared" si="368"/>
        <v>4.11% | 3.2%</v>
      </c>
      <c r="R863" t="str">
        <f t="shared" si="380"/>
        <v>BEARISH</v>
      </c>
      <c r="S863">
        <f t="shared" si="369"/>
        <v>-1</v>
      </c>
    </row>
    <row r="864" spans="1:19" hidden="1" x14ac:dyDescent="0.25">
      <c r="A864" s="5" t="str">
        <f t="shared" si="366"/>
        <v>43927AAPL</v>
      </c>
      <c r="B864" s="6" t="s">
        <v>68</v>
      </c>
      <c r="C864" s="6">
        <v>230.23</v>
      </c>
      <c r="D864" s="6">
        <v>261.98</v>
      </c>
      <c r="E864" s="6">
        <v>241.41</v>
      </c>
      <c r="F864" t="str">
        <f t="shared" si="370"/>
        <v>MON</v>
      </c>
      <c r="G864" s="1">
        <f t="shared" si="371"/>
        <v>43927</v>
      </c>
      <c r="H864" s="2">
        <f t="shared" ca="1" si="372"/>
        <v>326</v>
      </c>
      <c r="I864" t="str">
        <f t="shared" si="373"/>
        <v>AAPL</v>
      </c>
      <c r="J864">
        <f t="shared" si="374"/>
        <v>230.23</v>
      </c>
      <c r="K864">
        <f t="shared" si="375"/>
        <v>261.98</v>
      </c>
      <c r="L864">
        <f t="shared" si="376"/>
        <v>246.10500000000002</v>
      </c>
      <c r="M864">
        <f t="shared" si="377"/>
        <v>15.875000000000014</v>
      </c>
      <c r="N864">
        <f t="shared" si="367"/>
        <v>31.750000000000028</v>
      </c>
      <c r="O864">
        <f t="shared" si="378"/>
        <v>241.41</v>
      </c>
      <c r="P864">
        <f t="shared" si="379"/>
        <v>-0.2957480314960641</v>
      </c>
      <c r="Q864" t="str">
        <f t="shared" si="368"/>
        <v>4.63% | 8.52%</v>
      </c>
      <c r="R864" t="str">
        <f t="shared" si="380"/>
        <v>BEARISH</v>
      </c>
      <c r="S864">
        <f t="shared" si="369"/>
        <v>-1</v>
      </c>
    </row>
    <row r="865" spans="1:19" hidden="1" x14ac:dyDescent="0.25">
      <c r="A865" s="5" t="str">
        <f t="shared" si="366"/>
        <v>43927AMZN</v>
      </c>
      <c r="B865" s="6" t="s">
        <v>69</v>
      </c>
      <c r="C865" s="6">
        <v>1860</v>
      </c>
      <c r="D865" s="6">
        <v>1988</v>
      </c>
      <c r="E865" s="6">
        <v>1906</v>
      </c>
      <c r="F865" t="str">
        <f t="shared" si="370"/>
        <v>MON</v>
      </c>
      <c r="G865" s="1">
        <f t="shared" si="371"/>
        <v>43927</v>
      </c>
      <c r="H865" s="2">
        <f t="shared" ca="1" si="372"/>
        <v>326</v>
      </c>
      <c r="I865" t="str">
        <f t="shared" si="373"/>
        <v>AMZN</v>
      </c>
      <c r="J865">
        <f t="shared" si="374"/>
        <v>1860</v>
      </c>
      <c r="K865">
        <f t="shared" si="375"/>
        <v>1988</v>
      </c>
      <c r="L865">
        <f t="shared" si="376"/>
        <v>1924</v>
      </c>
      <c r="M865">
        <f t="shared" si="377"/>
        <v>64</v>
      </c>
      <c r="N865">
        <f t="shared" si="367"/>
        <v>128</v>
      </c>
      <c r="O865">
        <f t="shared" si="378"/>
        <v>1906</v>
      </c>
      <c r="P865">
        <f t="shared" si="379"/>
        <v>-0.28125</v>
      </c>
      <c r="Q865" t="str">
        <f t="shared" si="368"/>
        <v>2.41% | 4.3%</v>
      </c>
      <c r="R865" t="str">
        <f t="shared" si="380"/>
        <v>NEUTRAL</v>
      </c>
      <c r="S865">
        <f t="shared" si="369"/>
        <v>0</v>
      </c>
    </row>
    <row r="866" spans="1:19" hidden="1" x14ac:dyDescent="0.25">
      <c r="A866" s="5" t="str">
        <f t="shared" si="366"/>
        <v>43927FB</v>
      </c>
      <c r="B866" s="6" t="s">
        <v>58</v>
      </c>
      <c r="C866" s="6">
        <v>147</v>
      </c>
      <c r="D866" s="6">
        <v>170</v>
      </c>
      <c r="E866" s="6">
        <v>154</v>
      </c>
      <c r="F866" t="str">
        <f t="shared" si="370"/>
        <v>MON</v>
      </c>
      <c r="G866" s="1">
        <f t="shared" si="371"/>
        <v>43927</v>
      </c>
      <c r="H866" s="2">
        <f t="shared" ca="1" si="372"/>
        <v>326</v>
      </c>
      <c r="I866" t="str">
        <f t="shared" si="373"/>
        <v>FB</v>
      </c>
      <c r="J866">
        <f t="shared" si="374"/>
        <v>147</v>
      </c>
      <c r="K866">
        <f t="shared" si="375"/>
        <v>170</v>
      </c>
      <c r="L866">
        <f t="shared" si="376"/>
        <v>158.5</v>
      </c>
      <c r="M866">
        <f t="shared" si="377"/>
        <v>11.5</v>
      </c>
      <c r="N866">
        <f t="shared" si="367"/>
        <v>23</v>
      </c>
      <c r="O866">
        <f t="shared" si="378"/>
        <v>154</v>
      </c>
      <c r="P866">
        <f t="shared" si="379"/>
        <v>-0.39130434782608697</v>
      </c>
      <c r="Q866" t="str">
        <f t="shared" si="368"/>
        <v>4.55% | 10.39%</v>
      </c>
      <c r="R866" t="str">
        <f t="shared" si="380"/>
        <v>BEARISH</v>
      </c>
      <c r="S866">
        <f t="shared" si="369"/>
        <v>-1</v>
      </c>
    </row>
    <row r="867" spans="1:19" hidden="1" x14ac:dyDescent="0.25">
      <c r="A867" s="5" t="str">
        <f t="shared" si="366"/>
        <v>43927GOOGL</v>
      </c>
      <c r="B867" s="6" t="s">
        <v>66</v>
      </c>
      <c r="C867" s="6">
        <v>1054</v>
      </c>
      <c r="D867" s="6">
        <v>1190</v>
      </c>
      <c r="E867" s="6">
        <v>1092</v>
      </c>
      <c r="F867" t="str">
        <f t="shared" si="370"/>
        <v>MON</v>
      </c>
      <c r="G867" s="1">
        <f t="shared" si="371"/>
        <v>43927</v>
      </c>
      <c r="H867" s="2">
        <f t="shared" ca="1" si="372"/>
        <v>326</v>
      </c>
      <c r="I867" t="str">
        <f t="shared" si="373"/>
        <v>GOOGL</v>
      </c>
      <c r="J867">
        <f t="shared" si="374"/>
        <v>1054</v>
      </c>
      <c r="K867">
        <f t="shared" si="375"/>
        <v>1190</v>
      </c>
      <c r="L867">
        <f t="shared" si="376"/>
        <v>1122</v>
      </c>
      <c r="M867">
        <f t="shared" si="377"/>
        <v>68</v>
      </c>
      <c r="N867">
        <f t="shared" si="367"/>
        <v>136</v>
      </c>
      <c r="O867">
        <f t="shared" si="378"/>
        <v>1092</v>
      </c>
      <c r="P867">
        <f t="shared" si="379"/>
        <v>-0.44117647058823528</v>
      </c>
      <c r="Q867" t="str">
        <f t="shared" si="368"/>
        <v>3.48% | 8.97%</v>
      </c>
      <c r="R867" t="str">
        <f t="shared" si="380"/>
        <v>BEARISH</v>
      </c>
      <c r="S867">
        <f t="shared" si="369"/>
        <v>-1</v>
      </c>
    </row>
    <row r="868" spans="1:19" hidden="1" x14ac:dyDescent="0.25">
      <c r="A868" s="5" t="str">
        <f t="shared" si="366"/>
        <v>43927NFLX</v>
      </c>
      <c r="B868" s="6" t="s">
        <v>70</v>
      </c>
      <c r="C868" s="6">
        <v>342</v>
      </c>
      <c r="D868" s="6">
        <v>382</v>
      </c>
      <c r="E868" s="6">
        <v>361</v>
      </c>
      <c r="F868" t="str">
        <f t="shared" si="370"/>
        <v>MON</v>
      </c>
      <c r="G868" s="1">
        <f t="shared" si="371"/>
        <v>43927</v>
      </c>
      <c r="H868" s="2">
        <f t="shared" ca="1" si="372"/>
        <v>326</v>
      </c>
      <c r="I868" t="str">
        <f t="shared" si="373"/>
        <v>NFLX</v>
      </c>
      <c r="J868">
        <f t="shared" si="374"/>
        <v>342</v>
      </c>
      <c r="K868">
        <f t="shared" si="375"/>
        <v>382</v>
      </c>
      <c r="L868">
        <f t="shared" si="376"/>
        <v>362</v>
      </c>
      <c r="M868">
        <f t="shared" si="377"/>
        <v>20</v>
      </c>
      <c r="N868">
        <f t="shared" si="367"/>
        <v>40</v>
      </c>
      <c r="O868">
        <f t="shared" si="378"/>
        <v>361</v>
      </c>
      <c r="P868">
        <f t="shared" si="379"/>
        <v>-0.05</v>
      </c>
      <c r="Q868" t="str">
        <f t="shared" si="368"/>
        <v>5.26% | 5.82%</v>
      </c>
      <c r="R868" t="str">
        <f t="shared" si="380"/>
        <v>NEUTRAL</v>
      </c>
      <c r="S868">
        <f t="shared" si="369"/>
        <v>0</v>
      </c>
    </row>
    <row r="869" spans="1:19" x14ac:dyDescent="0.25">
      <c r="A869" s="5" t="str">
        <f t="shared" si="366"/>
        <v>43927TSLA</v>
      </c>
      <c r="B869" s="6" t="s">
        <v>83</v>
      </c>
      <c r="C869" s="6">
        <v>440</v>
      </c>
      <c r="D869" s="6">
        <v>559</v>
      </c>
      <c r="E869" s="6">
        <v>480</v>
      </c>
      <c r="F869" t="str">
        <f t="shared" si="370"/>
        <v>MON</v>
      </c>
      <c r="G869" s="1">
        <f t="shared" si="371"/>
        <v>43927</v>
      </c>
      <c r="H869" s="2">
        <f t="shared" ca="1" si="372"/>
        <v>326</v>
      </c>
      <c r="I869" t="str">
        <f t="shared" si="373"/>
        <v>TSLA</v>
      </c>
      <c r="J869">
        <f t="shared" si="374"/>
        <v>440</v>
      </c>
      <c r="K869">
        <f t="shared" si="375"/>
        <v>559</v>
      </c>
      <c r="L869">
        <f t="shared" si="376"/>
        <v>499.5</v>
      </c>
      <c r="M869">
        <f t="shared" si="377"/>
        <v>59.5</v>
      </c>
      <c r="N869">
        <f t="shared" si="367"/>
        <v>119</v>
      </c>
      <c r="O869">
        <f t="shared" si="378"/>
        <v>480</v>
      </c>
      <c r="P869">
        <f t="shared" si="379"/>
        <v>-0.32773109243697479</v>
      </c>
      <c r="Q869" t="str">
        <f t="shared" si="368"/>
        <v>8.33% | 16.46%</v>
      </c>
      <c r="R869" t="str">
        <f t="shared" si="380"/>
        <v>BEARISH</v>
      </c>
      <c r="S869">
        <f t="shared" si="369"/>
        <v>-1</v>
      </c>
    </row>
    <row r="870" spans="1:19" hidden="1" x14ac:dyDescent="0.25">
      <c r="A870" s="5" t="str">
        <f t="shared" si="366"/>
        <v>43927NYXBT</v>
      </c>
      <c r="B870" s="6" t="s">
        <v>84</v>
      </c>
      <c r="C870" s="6">
        <v>6119</v>
      </c>
      <c r="D870" s="6">
        <v>7266</v>
      </c>
      <c r="E870" s="6">
        <v>6788</v>
      </c>
      <c r="F870" t="str">
        <f t="shared" si="370"/>
        <v>MON</v>
      </c>
      <c r="G870" s="1">
        <f t="shared" si="371"/>
        <v>43927</v>
      </c>
      <c r="H870" s="2">
        <f t="shared" ca="1" si="372"/>
        <v>326</v>
      </c>
      <c r="I870" t="str">
        <f t="shared" si="373"/>
        <v>NYXBT</v>
      </c>
      <c r="J870">
        <f t="shared" si="374"/>
        <v>6119</v>
      </c>
      <c r="K870">
        <f t="shared" si="375"/>
        <v>7266</v>
      </c>
      <c r="L870">
        <f t="shared" si="376"/>
        <v>6692.5</v>
      </c>
      <c r="M870">
        <f t="shared" si="377"/>
        <v>573.5</v>
      </c>
      <c r="N870">
        <f t="shared" si="367"/>
        <v>1147</v>
      </c>
      <c r="O870">
        <f t="shared" si="378"/>
        <v>6788</v>
      </c>
      <c r="P870">
        <f t="shared" si="379"/>
        <v>0.16652136006974716</v>
      </c>
      <c r="Q870" t="str">
        <f t="shared" si="368"/>
        <v>9.86% | 7.04%</v>
      </c>
      <c r="R870" t="str">
        <f t="shared" si="380"/>
        <v>BEARISH</v>
      </c>
      <c r="S870">
        <f t="shared" si="369"/>
        <v>-1</v>
      </c>
    </row>
    <row r="871" spans="1:19" hidden="1" x14ac:dyDescent="0.25">
      <c r="A871" s="5" t="str">
        <f t="shared" si="366"/>
        <v>43928UST10Y</v>
      </c>
      <c r="B871" s="6" t="s">
        <v>4</v>
      </c>
      <c r="C871" s="6">
        <v>0.9</v>
      </c>
      <c r="D871" s="6">
        <v>0.53</v>
      </c>
      <c r="E871" s="6">
        <v>0.67</v>
      </c>
      <c r="F871" t="str">
        <f t="shared" si="370"/>
        <v>TUE</v>
      </c>
      <c r="G871" s="3">
        <f>DATE(2020,4,7)</f>
        <v>43928</v>
      </c>
      <c r="H871" s="2">
        <f t="shared" ca="1" si="372"/>
        <v>325</v>
      </c>
      <c r="I871" t="str">
        <f t="shared" si="373"/>
        <v>UST10Y</v>
      </c>
      <c r="J871">
        <f t="shared" si="374"/>
        <v>0.9</v>
      </c>
      <c r="K871">
        <f t="shared" si="375"/>
        <v>0.53</v>
      </c>
      <c r="L871">
        <f t="shared" si="376"/>
        <v>0.71500000000000008</v>
      </c>
      <c r="M871">
        <f t="shared" si="377"/>
        <v>0.18499999999999955</v>
      </c>
      <c r="N871">
        <f t="shared" si="367"/>
        <v>0.37</v>
      </c>
      <c r="O871">
        <f t="shared" si="378"/>
        <v>0.67</v>
      </c>
      <c r="P871">
        <f t="shared" si="379"/>
        <v>-0.24324324324324403</v>
      </c>
      <c r="Q871" t="str">
        <f t="shared" si="368"/>
        <v>34.33% | 20.9%</v>
      </c>
      <c r="R871" t="str">
        <f t="shared" si="380"/>
        <v>BEARISH</v>
      </c>
      <c r="S871">
        <f t="shared" si="369"/>
        <v>-1</v>
      </c>
    </row>
    <row r="872" spans="1:19" hidden="1" x14ac:dyDescent="0.25">
      <c r="A872" s="5" t="str">
        <f t="shared" si="366"/>
        <v>43928UST2Y</v>
      </c>
      <c r="B872" s="6" t="s">
        <v>5</v>
      </c>
      <c r="C872" s="6">
        <v>0.35</v>
      </c>
      <c r="D872" s="6">
        <v>0.17</v>
      </c>
      <c r="E872" s="6">
        <v>0.27</v>
      </c>
      <c r="F872" t="str">
        <f t="shared" ref="F872:F900" si="381">UPPER(TEXT(G872,"ddd"))</f>
        <v>TUE</v>
      </c>
      <c r="G872" s="3">
        <f t="shared" ref="G872:G899" si="382">DATE(2020,4,7)</f>
        <v>43928</v>
      </c>
      <c r="H872" s="2">
        <f t="shared" ref="H872:H900" ca="1" si="383">TODAY()-G872</f>
        <v>325</v>
      </c>
      <c r="I872" t="str">
        <f t="shared" ref="I872:I900" si="384">TRIM(LEFT(B872,FIND(" ",B872,1)))</f>
        <v>UST2Y</v>
      </c>
      <c r="J872">
        <f t="shared" ref="J872:J900" si="385">C872</f>
        <v>0.35</v>
      </c>
      <c r="K872">
        <f t="shared" ref="K872:K900" si="386">D872</f>
        <v>0.17</v>
      </c>
      <c r="L872">
        <f t="shared" ref="L872:L900" si="387">AVERAGE(J872:K872)</f>
        <v>0.26</v>
      </c>
      <c r="M872">
        <f t="shared" ref="M872:M900" si="388">_xlfn.STDEV.P(J872:K872)</f>
        <v>8.99999999999999E-2</v>
      </c>
      <c r="N872">
        <f t="shared" si="367"/>
        <v>0.17999999999999997</v>
      </c>
      <c r="O872">
        <f t="shared" ref="O872:O900" si="389">E872</f>
        <v>0.27</v>
      </c>
      <c r="P872">
        <f t="shared" ref="P872:P900" si="390">(O872-L872)/M872</f>
        <v>0.11111111111111133</v>
      </c>
      <c r="Q872" t="str">
        <f t="shared" si="368"/>
        <v>29.63% | 37.04%</v>
      </c>
      <c r="R872" t="str">
        <f t="shared" ref="R872:R900" si="391">MID(B872,FIND("(",B872,1)+1,FIND(")",B872,1)-FIND("(",B872,1)-1)</f>
        <v>BEARISH</v>
      </c>
      <c r="S872">
        <f t="shared" si="369"/>
        <v>-1</v>
      </c>
    </row>
    <row r="873" spans="1:19" hidden="1" x14ac:dyDescent="0.25">
      <c r="A873" s="5" t="str">
        <f t="shared" si="366"/>
        <v>43928SPX</v>
      </c>
      <c r="B873" s="6" t="s">
        <v>6</v>
      </c>
      <c r="C873" s="6">
        <v>2409</v>
      </c>
      <c r="D873" s="6">
        <v>2733</v>
      </c>
      <c r="E873" s="6">
        <v>2663</v>
      </c>
      <c r="F873" t="str">
        <f t="shared" si="381"/>
        <v>TUE</v>
      </c>
      <c r="G873" s="3">
        <f t="shared" si="382"/>
        <v>43928</v>
      </c>
      <c r="H873" s="2">
        <f t="shared" ca="1" si="383"/>
        <v>325</v>
      </c>
      <c r="I873" t="str">
        <f t="shared" si="384"/>
        <v>SPX</v>
      </c>
      <c r="J873">
        <f t="shared" si="385"/>
        <v>2409</v>
      </c>
      <c r="K873">
        <f t="shared" si="386"/>
        <v>2733</v>
      </c>
      <c r="L873">
        <f t="shared" si="387"/>
        <v>2571</v>
      </c>
      <c r="M873">
        <f t="shared" si="388"/>
        <v>162</v>
      </c>
      <c r="N873">
        <f t="shared" si="367"/>
        <v>324</v>
      </c>
      <c r="O873">
        <f t="shared" si="389"/>
        <v>2663</v>
      </c>
      <c r="P873">
        <f t="shared" si="390"/>
        <v>0.5679012345679012</v>
      </c>
      <c r="Q873" t="str">
        <f t="shared" si="368"/>
        <v>9.54% | 2.63%</v>
      </c>
      <c r="R873" t="str">
        <f t="shared" si="391"/>
        <v>BEARISH</v>
      </c>
      <c r="S873">
        <f t="shared" si="369"/>
        <v>-1</v>
      </c>
    </row>
    <row r="874" spans="1:19" hidden="1" x14ac:dyDescent="0.25">
      <c r="A874" s="5" t="str">
        <f t="shared" si="366"/>
        <v>43928RUT</v>
      </c>
      <c r="B874" s="6" t="s">
        <v>7</v>
      </c>
      <c r="C874" s="6">
        <v>1020</v>
      </c>
      <c r="D874" s="6">
        <v>1196</v>
      </c>
      <c r="E874" s="6">
        <v>1138</v>
      </c>
      <c r="F874" t="str">
        <f t="shared" si="381"/>
        <v>TUE</v>
      </c>
      <c r="G874" s="3">
        <f t="shared" si="382"/>
        <v>43928</v>
      </c>
      <c r="H874" s="2">
        <f t="shared" ca="1" si="383"/>
        <v>325</v>
      </c>
      <c r="I874" t="str">
        <f t="shared" si="384"/>
        <v>RUT</v>
      </c>
      <c r="J874">
        <f t="shared" si="385"/>
        <v>1020</v>
      </c>
      <c r="K874">
        <f t="shared" si="386"/>
        <v>1196</v>
      </c>
      <c r="L874">
        <f t="shared" si="387"/>
        <v>1108</v>
      </c>
      <c r="M874">
        <f t="shared" si="388"/>
        <v>88</v>
      </c>
      <c r="N874">
        <f t="shared" si="367"/>
        <v>176</v>
      </c>
      <c r="O874">
        <f t="shared" si="389"/>
        <v>1138</v>
      </c>
      <c r="P874">
        <f t="shared" si="390"/>
        <v>0.34090909090909088</v>
      </c>
      <c r="Q874" t="str">
        <f t="shared" si="368"/>
        <v>10.37% | 5.1%</v>
      </c>
      <c r="R874" t="str">
        <f t="shared" si="391"/>
        <v>BEARISH</v>
      </c>
      <c r="S874">
        <f t="shared" si="369"/>
        <v>-1</v>
      </c>
    </row>
    <row r="875" spans="1:19" hidden="1" x14ac:dyDescent="0.25">
      <c r="A875" s="5" t="str">
        <f t="shared" si="366"/>
        <v>43928COMPQ</v>
      </c>
      <c r="B875" s="6" t="s">
        <v>64</v>
      </c>
      <c r="C875" s="6">
        <v>7181</v>
      </c>
      <c r="D875" s="6">
        <v>8174</v>
      </c>
      <c r="E875" s="6">
        <v>7913</v>
      </c>
      <c r="F875" t="str">
        <f t="shared" si="381"/>
        <v>TUE</v>
      </c>
      <c r="G875" s="3">
        <f t="shared" si="382"/>
        <v>43928</v>
      </c>
      <c r="H875" s="2">
        <f t="shared" ca="1" si="383"/>
        <v>325</v>
      </c>
      <c r="I875" t="str">
        <f t="shared" si="384"/>
        <v>COMPQ</v>
      </c>
      <c r="J875">
        <f t="shared" si="385"/>
        <v>7181</v>
      </c>
      <c r="K875">
        <f t="shared" si="386"/>
        <v>8174</v>
      </c>
      <c r="L875">
        <f t="shared" si="387"/>
        <v>7677.5</v>
      </c>
      <c r="M875">
        <f t="shared" si="388"/>
        <v>496.5</v>
      </c>
      <c r="N875">
        <f t="shared" si="367"/>
        <v>993</v>
      </c>
      <c r="O875">
        <f t="shared" si="389"/>
        <v>7913</v>
      </c>
      <c r="P875">
        <f t="shared" si="390"/>
        <v>0.47432024169184289</v>
      </c>
      <c r="Q875" t="str">
        <f t="shared" si="368"/>
        <v>9.25% | 3.3%</v>
      </c>
      <c r="R875" t="str">
        <f t="shared" si="391"/>
        <v>BEARISH</v>
      </c>
      <c r="S875">
        <f t="shared" si="369"/>
        <v>-1</v>
      </c>
    </row>
    <row r="876" spans="1:19" hidden="1" x14ac:dyDescent="0.25">
      <c r="A876" s="5" t="str">
        <f t="shared" si="366"/>
        <v>43928XLU</v>
      </c>
      <c r="B876" s="6" t="s">
        <v>82</v>
      </c>
      <c r="C876" s="6">
        <v>49.04</v>
      </c>
      <c r="D876" s="6">
        <v>58.6</v>
      </c>
      <c r="E876" s="6">
        <v>55.79</v>
      </c>
      <c r="F876" t="str">
        <f t="shared" si="381"/>
        <v>TUE</v>
      </c>
      <c r="G876" s="3">
        <f t="shared" si="382"/>
        <v>43928</v>
      </c>
      <c r="H876" s="2">
        <f t="shared" ca="1" si="383"/>
        <v>325</v>
      </c>
      <c r="I876" t="str">
        <f t="shared" si="384"/>
        <v>XLU</v>
      </c>
      <c r="J876">
        <f t="shared" si="385"/>
        <v>49.04</v>
      </c>
      <c r="K876">
        <f t="shared" si="386"/>
        <v>58.6</v>
      </c>
      <c r="L876">
        <f t="shared" si="387"/>
        <v>53.82</v>
      </c>
      <c r="M876">
        <f t="shared" si="388"/>
        <v>4.7800000000000011</v>
      </c>
      <c r="N876">
        <f t="shared" si="367"/>
        <v>9.5600000000000023</v>
      </c>
      <c r="O876">
        <f t="shared" si="389"/>
        <v>55.79</v>
      </c>
      <c r="P876">
        <f t="shared" si="390"/>
        <v>0.41213389121338878</v>
      </c>
      <c r="Q876" t="str">
        <f t="shared" si="368"/>
        <v>12.1% | 5.04%</v>
      </c>
      <c r="R876" t="str">
        <f t="shared" si="391"/>
        <v>BEARISH</v>
      </c>
      <c r="S876">
        <f t="shared" si="369"/>
        <v>-1</v>
      </c>
    </row>
    <row r="877" spans="1:19" hidden="1" x14ac:dyDescent="0.25">
      <c r="A877" s="5" t="str">
        <f t="shared" si="366"/>
        <v>43928VNQ</v>
      </c>
      <c r="B877" s="6" t="s">
        <v>67</v>
      </c>
      <c r="C877" s="6">
        <v>62.02</v>
      </c>
      <c r="D877" s="6">
        <v>73.400000000000006</v>
      </c>
      <c r="E877" s="6">
        <v>69.31</v>
      </c>
      <c r="F877" t="str">
        <f t="shared" si="381"/>
        <v>TUE</v>
      </c>
      <c r="G877" s="3">
        <f t="shared" si="382"/>
        <v>43928</v>
      </c>
      <c r="H877" s="2">
        <f t="shared" ca="1" si="383"/>
        <v>325</v>
      </c>
      <c r="I877" t="str">
        <f t="shared" si="384"/>
        <v>VNQ</v>
      </c>
      <c r="J877">
        <f t="shared" si="385"/>
        <v>62.02</v>
      </c>
      <c r="K877">
        <f t="shared" si="386"/>
        <v>73.400000000000006</v>
      </c>
      <c r="L877">
        <f t="shared" si="387"/>
        <v>67.710000000000008</v>
      </c>
      <c r="M877">
        <f t="shared" si="388"/>
        <v>5.6900000000000013</v>
      </c>
      <c r="N877">
        <f t="shared" si="367"/>
        <v>11.380000000000003</v>
      </c>
      <c r="O877">
        <f t="shared" si="389"/>
        <v>69.31</v>
      </c>
      <c r="P877">
        <f t="shared" si="390"/>
        <v>0.28119507908611491</v>
      </c>
      <c r="Q877" t="str">
        <f t="shared" si="368"/>
        <v>10.52% | 5.9%</v>
      </c>
      <c r="R877" t="str">
        <f t="shared" si="391"/>
        <v>BEARISH</v>
      </c>
      <c r="S877">
        <f t="shared" si="369"/>
        <v>-1</v>
      </c>
    </row>
    <row r="878" spans="1:19" hidden="1" x14ac:dyDescent="0.25">
      <c r="A878" s="5" t="str">
        <f t="shared" si="366"/>
        <v>43928XLP</v>
      </c>
      <c r="B878" s="6" t="s">
        <v>50</v>
      </c>
      <c r="C878" s="6">
        <v>50.94</v>
      </c>
      <c r="D878" s="6">
        <v>58.85</v>
      </c>
      <c r="E878" s="6">
        <v>57.41</v>
      </c>
      <c r="F878" t="str">
        <f t="shared" si="381"/>
        <v>TUE</v>
      </c>
      <c r="G878" s="3">
        <f t="shared" si="382"/>
        <v>43928</v>
      </c>
      <c r="H878" s="2">
        <f t="shared" ca="1" si="383"/>
        <v>325</v>
      </c>
      <c r="I878" t="str">
        <f t="shared" si="384"/>
        <v>XLP</v>
      </c>
      <c r="J878">
        <f t="shared" si="385"/>
        <v>50.94</v>
      </c>
      <c r="K878">
        <f t="shared" si="386"/>
        <v>58.85</v>
      </c>
      <c r="L878">
        <f t="shared" si="387"/>
        <v>54.894999999999996</v>
      </c>
      <c r="M878">
        <f t="shared" si="388"/>
        <v>3.9550000000000018</v>
      </c>
      <c r="N878">
        <f t="shared" si="367"/>
        <v>7.9100000000000037</v>
      </c>
      <c r="O878">
        <f t="shared" si="389"/>
        <v>57.41</v>
      </c>
      <c r="P878">
        <f t="shared" si="390"/>
        <v>0.63590391908975963</v>
      </c>
      <c r="Q878" t="str">
        <f t="shared" si="368"/>
        <v>11.27% | 2.51%</v>
      </c>
      <c r="R878" t="str">
        <f t="shared" si="391"/>
        <v>NEUTRAL</v>
      </c>
      <c r="S878">
        <f t="shared" si="369"/>
        <v>0</v>
      </c>
    </row>
    <row r="879" spans="1:19" hidden="1" x14ac:dyDescent="0.25">
      <c r="A879" s="5" t="str">
        <f t="shared" si="366"/>
        <v>43928XLK</v>
      </c>
      <c r="B879" s="6" t="s">
        <v>65</v>
      </c>
      <c r="C879" s="6">
        <v>73.760000000000005</v>
      </c>
      <c r="D879" s="6">
        <v>86.42</v>
      </c>
      <c r="E879" s="6">
        <v>83.7</v>
      </c>
      <c r="F879" t="str">
        <f t="shared" si="381"/>
        <v>TUE</v>
      </c>
      <c r="G879" s="3">
        <f t="shared" si="382"/>
        <v>43928</v>
      </c>
      <c r="H879" s="2">
        <f t="shared" ca="1" si="383"/>
        <v>325</v>
      </c>
      <c r="I879" t="str">
        <f t="shared" si="384"/>
        <v>XLK</v>
      </c>
      <c r="J879">
        <f t="shared" si="385"/>
        <v>73.760000000000005</v>
      </c>
      <c r="K879">
        <f t="shared" si="386"/>
        <v>86.42</v>
      </c>
      <c r="L879">
        <f t="shared" si="387"/>
        <v>80.09</v>
      </c>
      <c r="M879">
        <f t="shared" si="388"/>
        <v>6.3299999999999983</v>
      </c>
      <c r="N879">
        <f t="shared" si="367"/>
        <v>12.659999999999997</v>
      </c>
      <c r="O879">
        <f t="shared" si="389"/>
        <v>83.7</v>
      </c>
      <c r="P879">
        <f t="shared" si="390"/>
        <v>0.57030015797788314</v>
      </c>
      <c r="Q879" t="str">
        <f t="shared" si="368"/>
        <v>11.88% | 3.25%</v>
      </c>
      <c r="R879" t="str">
        <f t="shared" si="391"/>
        <v>BEARISH</v>
      </c>
      <c r="S879">
        <f t="shared" si="369"/>
        <v>-1</v>
      </c>
    </row>
    <row r="880" spans="1:19" hidden="1" x14ac:dyDescent="0.25">
      <c r="A880" s="5" t="str">
        <f t="shared" si="366"/>
        <v>43928SSEC</v>
      </c>
      <c r="B880" s="6" t="s">
        <v>14</v>
      </c>
      <c r="C880" s="6">
        <v>2675</v>
      </c>
      <c r="D880" s="6">
        <v>2843</v>
      </c>
      <c r="E880" s="6">
        <v>2820</v>
      </c>
      <c r="F880" t="str">
        <f t="shared" si="381"/>
        <v>TUE</v>
      </c>
      <c r="G880" s="3">
        <f t="shared" si="382"/>
        <v>43928</v>
      </c>
      <c r="H880" s="2">
        <f t="shared" ca="1" si="383"/>
        <v>325</v>
      </c>
      <c r="I880" t="str">
        <f t="shared" si="384"/>
        <v>SSEC</v>
      </c>
      <c r="J880">
        <f t="shared" si="385"/>
        <v>2675</v>
      </c>
      <c r="K880">
        <f t="shared" si="386"/>
        <v>2843</v>
      </c>
      <c r="L880">
        <f t="shared" si="387"/>
        <v>2759</v>
      </c>
      <c r="M880">
        <f t="shared" si="388"/>
        <v>84</v>
      </c>
      <c r="N880">
        <f t="shared" si="367"/>
        <v>168</v>
      </c>
      <c r="O880">
        <f t="shared" si="389"/>
        <v>2820</v>
      </c>
      <c r="P880">
        <f t="shared" si="390"/>
        <v>0.72619047619047616</v>
      </c>
      <c r="Q880" t="str">
        <f t="shared" si="368"/>
        <v>5.14% | 0.82%</v>
      </c>
      <c r="R880" t="str">
        <f t="shared" si="391"/>
        <v>BEARISH</v>
      </c>
      <c r="S880">
        <f t="shared" si="369"/>
        <v>-1</v>
      </c>
    </row>
    <row r="881" spans="1:19" hidden="1" x14ac:dyDescent="0.25">
      <c r="A881" s="5" t="str">
        <f t="shared" si="366"/>
        <v>43928NIKK</v>
      </c>
      <c r="B881" s="6" t="s">
        <v>15</v>
      </c>
      <c r="C881" s="6">
        <v>17336</v>
      </c>
      <c r="D881" s="6">
        <v>19333</v>
      </c>
      <c r="E881" s="6">
        <v>18950</v>
      </c>
      <c r="F881" t="str">
        <f t="shared" si="381"/>
        <v>TUE</v>
      </c>
      <c r="G881" s="3">
        <f t="shared" si="382"/>
        <v>43928</v>
      </c>
      <c r="H881" s="2">
        <f t="shared" ca="1" si="383"/>
        <v>325</v>
      </c>
      <c r="I881" t="str">
        <f t="shared" si="384"/>
        <v>NIKK</v>
      </c>
      <c r="J881">
        <f t="shared" si="385"/>
        <v>17336</v>
      </c>
      <c r="K881">
        <f t="shared" si="386"/>
        <v>19333</v>
      </c>
      <c r="L881">
        <f t="shared" si="387"/>
        <v>18334.5</v>
      </c>
      <c r="M881">
        <f t="shared" si="388"/>
        <v>998.5</v>
      </c>
      <c r="N881">
        <f t="shared" si="367"/>
        <v>1997</v>
      </c>
      <c r="O881">
        <f t="shared" si="389"/>
        <v>18950</v>
      </c>
      <c r="P881">
        <f t="shared" si="390"/>
        <v>0.61642463695543315</v>
      </c>
      <c r="Q881" t="str">
        <f t="shared" si="368"/>
        <v>8.52% | 2.02%</v>
      </c>
      <c r="R881" t="str">
        <f t="shared" si="391"/>
        <v>BEARISH</v>
      </c>
      <c r="S881">
        <f t="shared" si="369"/>
        <v>-1</v>
      </c>
    </row>
    <row r="882" spans="1:19" hidden="1" x14ac:dyDescent="0.25">
      <c r="A882" s="5" t="str">
        <f t="shared" si="366"/>
        <v>43928DAX</v>
      </c>
      <c r="B882" s="6" t="s">
        <v>16</v>
      </c>
      <c r="C882" s="6">
        <v>9175</v>
      </c>
      <c r="D882" s="6">
        <v>10516</v>
      </c>
      <c r="E882" s="6">
        <v>10072</v>
      </c>
      <c r="F882" t="str">
        <f t="shared" si="381"/>
        <v>TUE</v>
      </c>
      <c r="G882" s="3">
        <f t="shared" si="382"/>
        <v>43928</v>
      </c>
      <c r="H882" s="2">
        <f t="shared" ca="1" si="383"/>
        <v>325</v>
      </c>
      <c r="I882" t="str">
        <f t="shared" si="384"/>
        <v>DAX</v>
      </c>
      <c r="J882">
        <f t="shared" si="385"/>
        <v>9175</v>
      </c>
      <c r="K882">
        <f t="shared" si="386"/>
        <v>10516</v>
      </c>
      <c r="L882">
        <f t="shared" si="387"/>
        <v>9845.5</v>
      </c>
      <c r="M882">
        <f t="shared" si="388"/>
        <v>670.5</v>
      </c>
      <c r="N882">
        <f t="shared" si="367"/>
        <v>1341</v>
      </c>
      <c r="O882">
        <f t="shared" si="389"/>
        <v>10072</v>
      </c>
      <c r="P882">
        <f t="shared" si="390"/>
        <v>0.3378076062639821</v>
      </c>
      <c r="Q882" t="str">
        <f t="shared" si="368"/>
        <v>8.91% | 4.41%</v>
      </c>
      <c r="R882" t="str">
        <f t="shared" si="391"/>
        <v>BEARISH</v>
      </c>
      <c r="S882">
        <f t="shared" si="369"/>
        <v>-1</v>
      </c>
    </row>
    <row r="883" spans="1:19" hidden="1" x14ac:dyDescent="0.25">
      <c r="A883" s="5" t="str">
        <f t="shared" si="366"/>
        <v>43928VIX</v>
      </c>
      <c r="B883" s="6" t="s">
        <v>17</v>
      </c>
      <c r="C883" s="6">
        <v>40.130000000000003</v>
      </c>
      <c r="D883" s="6">
        <v>70.23</v>
      </c>
      <c r="E883" s="6">
        <v>45.24</v>
      </c>
      <c r="F883" t="str">
        <f t="shared" si="381"/>
        <v>TUE</v>
      </c>
      <c r="G883" s="3">
        <f t="shared" si="382"/>
        <v>43928</v>
      </c>
      <c r="H883" s="2">
        <f t="shared" ca="1" si="383"/>
        <v>325</v>
      </c>
      <c r="I883" t="str">
        <f t="shared" si="384"/>
        <v>VIX</v>
      </c>
      <c r="J883">
        <f t="shared" si="385"/>
        <v>40.130000000000003</v>
      </c>
      <c r="K883">
        <f t="shared" si="386"/>
        <v>70.23</v>
      </c>
      <c r="L883">
        <f t="shared" si="387"/>
        <v>55.180000000000007</v>
      </c>
      <c r="M883">
        <f t="shared" si="388"/>
        <v>15.049999999999986</v>
      </c>
      <c r="N883">
        <f t="shared" si="367"/>
        <v>30.1</v>
      </c>
      <c r="O883">
        <f t="shared" si="389"/>
        <v>45.24</v>
      </c>
      <c r="P883">
        <f t="shared" si="390"/>
        <v>-0.66046511627907067</v>
      </c>
      <c r="Q883" t="str">
        <f t="shared" si="368"/>
        <v>11.3% | 55.24%</v>
      </c>
      <c r="R883" t="str">
        <f t="shared" si="391"/>
        <v>BULLISH</v>
      </c>
      <c r="S883">
        <f t="shared" si="369"/>
        <v>1</v>
      </c>
    </row>
    <row r="884" spans="1:19" hidden="1" x14ac:dyDescent="0.25">
      <c r="A884" s="5" t="str">
        <f t="shared" si="366"/>
        <v>43928USD</v>
      </c>
      <c r="B884" s="6" t="s">
        <v>18</v>
      </c>
      <c r="C884" s="6">
        <v>98.07</v>
      </c>
      <c r="D884" s="6">
        <v>101.77</v>
      </c>
      <c r="E884" s="6">
        <v>100.75</v>
      </c>
      <c r="F884" t="str">
        <f t="shared" si="381"/>
        <v>TUE</v>
      </c>
      <c r="G884" s="3">
        <f t="shared" si="382"/>
        <v>43928</v>
      </c>
      <c r="H884" s="2">
        <f t="shared" ca="1" si="383"/>
        <v>325</v>
      </c>
      <c r="I884" t="str">
        <f t="shared" si="384"/>
        <v>USD</v>
      </c>
      <c r="J884">
        <f t="shared" si="385"/>
        <v>98.07</v>
      </c>
      <c r="K884">
        <f t="shared" si="386"/>
        <v>101.77</v>
      </c>
      <c r="L884">
        <f t="shared" si="387"/>
        <v>99.919999999999987</v>
      </c>
      <c r="M884">
        <f t="shared" si="388"/>
        <v>1.8500000000000014</v>
      </c>
      <c r="N884">
        <f t="shared" si="367"/>
        <v>3.7000000000000028</v>
      </c>
      <c r="O884">
        <f t="shared" si="389"/>
        <v>100.75</v>
      </c>
      <c r="P884">
        <f t="shared" si="390"/>
        <v>0.44864864864865506</v>
      </c>
      <c r="Q884" t="str">
        <f t="shared" si="368"/>
        <v>2.66% | 1.01%</v>
      </c>
      <c r="R884" t="str">
        <f t="shared" si="391"/>
        <v>BULLISH</v>
      </c>
      <c r="S884">
        <f t="shared" si="369"/>
        <v>1</v>
      </c>
    </row>
    <row r="885" spans="1:19" hidden="1" x14ac:dyDescent="0.25">
      <c r="A885" s="5" t="str">
        <f t="shared" si="366"/>
        <v>43928EUR/USD</v>
      </c>
      <c r="B885" s="6" t="s">
        <v>19</v>
      </c>
      <c r="C885" s="6">
        <v>1.07</v>
      </c>
      <c r="D885" s="6">
        <v>1.1000000000000001</v>
      </c>
      <c r="E885" s="6">
        <v>1.07</v>
      </c>
      <c r="F885" t="str">
        <f t="shared" si="381"/>
        <v>TUE</v>
      </c>
      <c r="G885" s="3">
        <f t="shared" si="382"/>
        <v>43928</v>
      </c>
      <c r="H885" s="2">
        <f t="shared" ca="1" si="383"/>
        <v>325</v>
      </c>
      <c r="I885" t="str">
        <f t="shared" si="384"/>
        <v>EUR/USD</v>
      </c>
      <c r="J885">
        <f t="shared" si="385"/>
        <v>1.07</v>
      </c>
      <c r="K885">
        <f t="shared" si="386"/>
        <v>1.1000000000000001</v>
      </c>
      <c r="L885">
        <f t="shared" si="387"/>
        <v>1.085</v>
      </c>
      <c r="M885">
        <f t="shared" si="388"/>
        <v>1.5000000000000013E-2</v>
      </c>
      <c r="N885">
        <f t="shared" si="367"/>
        <v>3.0000000000000027E-2</v>
      </c>
      <c r="O885">
        <f t="shared" si="389"/>
        <v>1.07</v>
      </c>
      <c r="P885">
        <f t="shared" si="390"/>
        <v>-0.99999999999999256</v>
      </c>
      <c r="Q885" t="str">
        <f t="shared" si="368"/>
        <v>0% | 2.8%</v>
      </c>
      <c r="R885" t="str">
        <f t="shared" si="391"/>
        <v>BEARISH</v>
      </c>
      <c r="S885">
        <f t="shared" si="369"/>
        <v>-1</v>
      </c>
    </row>
    <row r="886" spans="1:19" hidden="1" x14ac:dyDescent="0.25">
      <c r="A886" s="5" t="str">
        <f t="shared" si="366"/>
        <v>43928USD/JPY</v>
      </c>
      <c r="B886" s="6" t="s">
        <v>86</v>
      </c>
      <c r="C886" s="6">
        <v>106.04</v>
      </c>
      <c r="D886" s="6">
        <v>111.01</v>
      </c>
      <c r="E886" s="6">
        <v>109.17</v>
      </c>
      <c r="F886" t="str">
        <f t="shared" si="381"/>
        <v>TUE</v>
      </c>
      <c r="G886" s="3">
        <f t="shared" si="382"/>
        <v>43928</v>
      </c>
      <c r="H886" s="2">
        <f t="shared" ca="1" si="383"/>
        <v>325</v>
      </c>
      <c r="I886" t="str">
        <f t="shared" si="384"/>
        <v>USD/JPY</v>
      </c>
      <c r="J886">
        <f t="shared" si="385"/>
        <v>106.04</v>
      </c>
      <c r="K886">
        <f t="shared" si="386"/>
        <v>111.01</v>
      </c>
      <c r="L886">
        <f t="shared" si="387"/>
        <v>108.52500000000001</v>
      </c>
      <c r="M886">
        <f t="shared" si="388"/>
        <v>2.4849999999999994</v>
      </c>
      <c r="N886">
        <f t="shared" si="367"/>
        <v>4.9699999999999989</v>
      </c>
      <c r="O886">
        <f t="shared" si="389"/>
        <v>109.17</v>
      </c>
      <c r="P886">
        <f t="shared" si="390"/>
        <v>0.2595573440643848</v>
      </c>
      <c r="Q886" t="str">
        <f t="shared" si="368"/>
        <v>2.87% | 1.69%</v>
      </c>
      <c r="R886" t="str">
        <f t="shared" si="391"/>
        <v>NEUTRAL</v>
      </c>
      <c r="S886">
        <f t="shared" si="369"/>
        <v>0</v>
      </c>
    </row>
    <row r="887" spans="1:19" hidden="1" x14ac:dyDescent="0.25">
      <c r="A887" s="5" t="str">
        <f t="shared" si="366"/>
        <v>43928GBP/USD</v>
      </c>
      <c r="B887" s="6" t="s">
        <v>21</v>
      </c>
      <c r="C887" s="6">
        <v>1.17</v>
      </c>
      <c r="D887" s="6">
        <v>1.26</v>
      </c>
      <c r="E887" s="6">
        <v>1.22</v>
      </c>
      <c r="F887" t="str">
        <f t="shared" si="381"/>
        <v>TUE</v>
      </c>
      <c r="G887" s="3">
        <f t="shared" si="382"/>
        <v>43928</v>
      </c>
      <c r="H887" s="2">
        <f t="shared" ca="1" si="383"/>
        <v>325</v>
      </c>
      <c r="I887" t="str">
        <f t="shared" si="384"/>
        <v>GBP/USD</v>
      </c>
      <c r="J887">
        <f t="shared" si="385"/>
        <v>1.17</v>
      </c>
      <c r="K887">
        <f t="shared" si="386"/>
        <v>1.26</v>
      </c>
      <c r="L887">
        <f t="shared" si="387"/>
        <v>1.2149999999999999</v>
      </c>
      <c r="M887">
        <f t="shared" si="388"/>
        <v>4.500000000000004E-2</v>
      </c>
      <c r="N887">
        <f t="shared" si="367"/>
        <v>9.000000000000008E-2</v>
      </c>
      <c r="O887">
        <f t="shared" si="389"/>
        <v>1.22</v>
      </c>
      <c r="P887">
        <f t="shared" si="390"/>
        <v>0.11111111111111358</v>
      </c>
      <c r="Q887" t="str">
        <f t="shared" si="368"/>
        <v>4.1% | 3.28%</v>
      </c>
      <c r="R887" t="str">
        <f t="shared" si="391"/>
        <v>BEARISH</v>
      </c>
      <c r="S887">
        <f t="shared" si="369"/>
        <v>-1</v>
      </c>
    </row>
    <row r="888" spans="1:19" hidden="1" x14ac:dyDescent="0.25">
      <c r="A888" s="5" t="str">
        <f t="shared" si="366"/>
        <v>43928USD/CHF</v>
      </c>
      <c r="B888" s="6" t="s">
        <v>22</v>
      </c>
      <c r="C888" s="6">
        <v>0.95</v>
      </c>
      <c r="D888" s="6">
        <v>0.99</v>
      </c>
      <c r="E888" s="6">
        <v>0.97</v>
      </c>
      <c r="F888" t="str">
        <f t="shared" si="381"/>
        <v>TUE</v>
      </c>
      <c r="G888" s="3">
        <f t="shared" si="382"/>
        <v>43928</v>
      </c>
      <c r="H888" s="2">
        <f t="shared" ca="1" si="383"/>
        <v>325</v>
      </c>
      <c r="I888" t="str">
        <f t="shared" si="384"/>
        <v>USD/CHF</v>
      </c>
      <c r="J888">
        <f t="shared" si="385"/>
        <v>0.95</v>
      </c>
      <c r="K888">
        <f t="shared" si="386"/>
        <v>0.99</v>
      </c>
      <c r="L888">
        <f t="shared" si="387"/>
        <v>0.97</v>
      </c>
      <c r="M888">
        <f t="shared" si="388"/>
        <v>2.0000000000000018E-2</v>
      </c>
      <c r="N888">
        <f t="shared" si="367"/>
        <v>4.0000000000000036E-2</v>
      </c>
      <c r="O888">
        <f t="shared" si="389"/>
        <v>0.97</v>
      </c>
      <c r="P888">
        <f t="shared" si="390"/>
        <v>0</v>
      </c>
      <c r="Q888" t="str">
        <f t="shared" si="368"/>
        <v>2.06% | 2.06%</v>
      </c>
      <c r="R888" t="str">
        <f t="shared" si="391"/>
        <v>NEUTRAL</v>
      </c>
      <c r="S888">
        <f t="shared" si="369"/>
        <v>0</v>
      </c>
    </row>
    <row r="889" spans="1:19" hidden="1" x14ac:dyDescent="0.25">
      <c r="A889" s="5" t="str">
        <f t="shared" si="366"/>
        <v>43928WTIC</v>
      </c>
      <c r="B889" s="6" t="s">
        <v>23</v>
      </c>
      <c r="C889" s="6">
        <v>17.79</v>
      </c>
      <c r="D889" s="6">
        <v>30.1</v>
      </c>
      <c r="E889" s="6">
        <v>26.08</v>
      </c>
      <c r="F889" t="str">
        <f t="shared" si="381"/>
        <v>TUE</v>
      </c>
      <c r="G889" s="3">
        <f t="shared" si="382"/>
        <v>43928</v>
      </c>
      <c r="H889" s="2">
        <f t="shared" ca="1" si="383"/>
        <v>325</v>
      </c>
      <c r="I889" t="str">
        <f t="shared" si="384"/>
        <v>WTIC</v>
      </c>
      <c r="J889">
        <f t="shared" si="385"/>
        <v>17.79</v>
      </c>
      <c r="K889">
        <f t="shared" si="386"/>
        <v>30.1</v>
      </c>
      <c r="L889">
        <f t="shared" si="387"/>
        <v>23.945</v>
      </c>
      <c r="M889">
        <f t="shared" si="388"/>
        <v>6.1550000000000056</v>
      </c>
      <c r="N889">
        <f t="shared" si="367"/>
        <v>12.310000000000002</v>
      </c>
      <c r="O889">
        <f t="shared" si="389"/>
        <v>26.08</v>
      </c>
      <c r="P889">
        <f t="shared" si="390"/>
        <v>0.34687246141348432</v>
      </c>
      <c r="Q889" t="str">
        <f t="shared" si="368"/>
        <v>31.79% | 15.41%</v>
      </c>
      <c r="R889" t="str">
        <f t="shared" si="391"/>
        <v>BEARISH</v>
      </c>
      <c r="S889">
        <f t="shared" si="369"/>
        <v>-1</v>
      </c>
    </row>
    <row r="890" spans="1:19" hidden="1" x14ac:dyDescent="0.25">
      <c r="A890" s="5" t="str">
        <f t="shared" si="366"/>
        <v>43928NATGAS</v>
      </c>
      <c r="B890" s="6" t="s">
        <v>24</v>
      </c>
      <c r="C890" s="6">
        <v>1.55</v>
      </c>
      <c r="D890" s="6">
        <v>1.83</v>
      </c>
      <c r="E890" s="6">
        <v>1.73</v>
      </c>
      <c r="F890" t="str">
        <f t="shared" si="381"/>
        <v>TUE</v>
      </c>
      <c r="G890" s="3">
        <f t="shared" si="382"/>
        <v>43928</v>
      </c>
      <c r="H890" s="2">
        <f t="shared" ca="1" si="383"/>
        <v>325</v>
      </c>
      <c r="I890" t="str">
        <f t="shared" si="384"/>
        <v>NATGAS</v>
      </c>
      <c r="J890">
        <f t="shared" si="385"/>
        <v>1.55</v>
      </c>
      <c r="K890">
        <f t="shared" si="386"/>
        <v>1.83</v>
      </c>
      <c r="L890">
        <f t="shared" si="387"/>
        <v>1.69</v>
      </c>
      <c r="M890">
        <f t="shared" si="388"/>
        <v>0.14000000000000001</v>
      </c>
      <c r="N890">
        <f t="shared" si="367"/>
        <v>0.28000000000000003</v>
      </c>
      <c r="O890">
        <f t="shared" si="389"/>
        <v>1.73</v>
      </c>
      <c r="P890">
        <f t="shared" si="390"/>
        <v>0.28571428571428592</v>
      </c>
      <c r="Q890" t="str">
        <f t="shared" si="368"/>
        <v>10.4% | 5.78%</v>
      </c>
      <c r="R890" t="str">
        <f t="shared" si="391"/>
        <v>BEARISH</v>
      </c>
      <c r="S890">
        <f t="shared" si="369"/>
        <v>-1</v>
      </c>
    </row>
    <row r="891" spans="1:19" hidden="1" x14ac:dyDescent="0.25">
      <c r="A891" s="5" t="str">
        <f t="shared" si="366"/>
        <v>43928GOLD</v>
      </c>
      <c r="B891" s="6" t="s">
        <v>25</v>
      </c>
      <c r="C891" s="6">
        <v>1590</v>
      </c>
      <c r="D891" s="6">
        <v>1702</v>
      </c>
      <c r="E891" s="6">
        <v>1693</v>
      </c>
      <c r="F891" t="str">
        <f t="shared" si="381"/>
        <v>TUE</v>
      </c>
      <c r="G891" s="3">
        <f t="shared" si="382"/>
        <v>43928</v>
      </c>
      <c r="H891" s="2">
        <f t="shared" ca="1" si="383"/>
        <v>325</v>
      </c>
      <c r="I891" t="str">
        <f t="shared" si="384"/>
        <v>GOLD</v>
      </c>
      <c r="J891">
        <f t="shared" si="385"/>
        <v>1590</v>
      </c>
      <c r="K891">
        <f t="shared" si="386"/>
        <v>1702</v>
      </c>
      <c r="L891">
        <f t="shared" si="387"/>
        <v>1646</v>
      </c>
      <c r="M891">
        <f t="shared" si="388"/>
        <v>56</v>
      </c>
      <c r="N891">
        <f t="shared" si="367"/>
        <v>112</v>
      </c>
      <c r="O891">
        <f t="shared" si="389"/>
        <v>1693</v>
      </c>
      <c r="P891">
        <f t="shared" si="390"/>
        <v>0.8392857142857143</v>
      </c>
      <c r="Q891" t="str">
        <f t="shared" si="368"/>
        <v>6.08% | 0.53%</v>
      </c>
      <c r="R891" t="str">
        <f t="shared" si="391"/>
        <v>BULLISH</v>
      </c>
      <c r="S891">
        <f t="shared" si="369"/>
        <v>1</v>
      </c>
    </row>
    <row r="892" spans="1:19" hidden="1" x14ac:dyDescent="0.25">
      <c r="A892" s="5" t="str">
        <f t="shared" si="366"/>
        <v>43928COPPER</v>
      </c>
      <c r="B892" s="6" t="s">
        <v>26</v>
      </c>
      <c r="C892" s="6">
        <v>2.15</v>
      </c>
      <c r="D892" s="6">
        <v>2.33</v>
      </c>
      <c r="E892" s="6">
        <v>2.2200000000000002</v>
      </c>
      <c r="F892" t="str">
        <f t="shared" si="381"/>
        <v>TUE</v>
      </c>
      <c r="G892" s="3">
        <f t="shared" si="382"/>
        <v>43928</v>
      </c>
      <c r="H892" s="2">
        <f t="shared" ca="1" si="383"/>
        <v>325</v>
      </c>
      <c r="I892" t="str">
        <f t="shared" si="384"/>
        <v>COPPER</v>
      </c>
      <c r="J892">
        <f t="shared" si="385"/>
        <v>2.15</v>
      </c>
      <c r="K892">
        <f t="shared" si="386"/>
        <v>2.33</v>
      </c>
      <c r="L892">
        <f t="shared" si="387"/>
        <v>2.2400000000000002</v>
      </c>
      <c r="M892">
        <f t="shared" si="388"/>
        <v>9.000000000000008E-2</v>
      </c>
      <c r="N892">
        <f t="shared" si="367"/>
        <v>0.18000000000000016</v>
      </c>
      <c r="O892">
        <f t="shared" si="389"/>
        <v>2.2200000000000002</v>
      </c>
      <c r="P892">
        <f t="shared" si="390"/>
        <v>-0.22222222222222221</v>
      </c>
      <c r="Q892" t="str">
        <f t="shared" si="368"/>
        <v>3.15% | 4.95%</v>
      </c>
      <c r="R892" t="str">
        <f t="shared" si="391"/>
        <v>BEARISH</v>
      </c>
      <c r="S892">
        <f t="shared" si="369"/>
        <v>-1</v>
      </c>
    </row>
    <row r="893" spans="1:19" hidden="1" x14ac:dyDescent="0.25">
      <c r="A893" s="5" t="str">
        <f t="shared" si="366"/>
        <v>43928AAPL</v>
      </c>
      <c r="B893" s="6" t="s">
        <v>68</v>
      </c>
      <c r="C893" s="6">
        <v>233.34</v>
      </c>
      <c r="D893" s="6">
        <v>272.99</v>
      </c>
      <c r="E893" s="6">
        <v>262.47000000000003</v>
      </c>
      <c r="F893" t="str">
        <f t="shared" si="381"/>
        <v>TUE</v>
      </c>
      <c r="G893" s="3">
        <f t="shared" si="382"/>
        <v>43928</v>
      </c>
      <c r="H893" s="2">
        <f t="shared" ca="1" si="383"/>
        <v>325</v>
      </c>
      <c r="I893" t="str">
        <f t="shared" si="384"/>
        <v>AAPL</v>
      </c>
      <c r="J893">
        <f t="shared" si="385"/>
        <v>233.34</v>
      </c>
      <c r="K893">
        <f t="shared" si="386"/>
        <v>272.99</v>
      </c>
      <c r="L893">
        <f t="shared" si="387"/>
        <v>253.16500000000002</v>
      </c>
      <c r="M893">
        <f t="shared" si="388"/>
        <v>19.825000000000003</v>
      </c>
      <c r="N893">
        <f t="shared" si="367"/>
        <v>39.650000000000006</v>
      </c>
      <c r="O893">
        <f t="shared" si="389"/>
        <v>262.47000000000003</v>
      </c>
      <c r="P893">
        <f t="shared" si="390"/>
        <v>0.46935687263556142</v>
      </c>
      <c r="Q893" t="str">
        <f t="shared" si="368"/>
        <v>11.1% | 4.01%</v>
      </c>
      <c r="R893" t="str">
        <f t="shared" si="391"/>
        <v>BEARISH</v>
      </c>
      <c r="S893">
        <f t="shared" si="369"/>
        <v>-1</v>
      </c>
    </row>
    <row r="894" spans="1:19" hidden="1" x14ac:dyDescent="0.25">
      <c r="A894" s="5" t="str">
        <f t="shared" si="366"/>
        <v>43928AMZN</v>
      </c>
      <c r="B894" s="6" t="s">
        <v>29</v>
      </c>
      <c r="C894" s="6">
        <v>1864</v>
      </c>
      <c r="D894" s="6">
        <v>2035</v>
      </c>
      <c r="E894" s="6">
        <v>1997</v>
      </c>
      <c r="F894" t="str">
        <f t="shared" si="381"/>
        <v>TUE</v>
      </c>
      <c r="G894" s="3">
        <f t="shared" si="382"/>
        <v>43928</v>
      </c>
      <c r="H894" s="2">
        <f t="shared" ca="1" si="383"/>
        <v>325</v>
      </c>
      <c r="I894" t="str">
        <f t="shared" si="384"/>
        <v>AMZN</v>
      </c>
      <c r="J894">
        <f t="shared" si="385"/>
        <v>1864</v>
      </c>
      <c r="K894">
        <f t="shared" si="386"/>
        <v>2035</v>
      </c>
      <c r="L894">
        <f t="shared" si="387"/>
        <v>1949.5</v>
      </c>
      <c r="M894">
        <f t="shared" si="388"/>
        <v>85.5</v>
      </c>
      <c r="N894">
        <f t="shared" si="367"/>
        <v>171</v>
      </c>
      <c r="O894">
        <f t="shared" si="389"/>
        <v>1997</v>
      </c>
      <c r="P894">
        <f t="shared" si="390"/>
        <v>0.55555555555555558</v>
      </c>
      <c r="Q894" t="str">
        <f t="shared" si="368"/>
        <v>6.66% | 1.9%</v>
      </c>
      <c r="R894" t="str">
        <f t="shared" si="391"/>
        <v>BULLISH</v>
      </c>
      <c r="S894">
        <f t="shared" si="369"/>
        <v>1</v>
      </c>
    </row>
    <row r="895" spans="1:19" hidden="1" x14ac:dyDescent="0.25">
      <c r="A895" s="5" t="str">
        <f t="shared" si="366"/>
        <v>43928FB</v>
      </c>
      <c r="B895" s="6" t="s">
        <v>58</v>
      </c>
      <c r="C895" s="6">
        <v>148</v>
      </c>
      <c r="D895" s="6">
        <v>171</v>
      </c>
      <c r="E895" s="6">
        <v>165</v>
      </c>
      <c r="F895" t="str">
        <f t="shared" si="381"/>
        <v>TUE</v>
      </c>
      <c r="G895" s="3">
        <f t="shared" si="382"/>
        <v>43928</v>
      </c>
      <c r="H895" s="2">
        <f t="shared" ca="1" si="383"/>
        <v>325</v>
      </c>
      <c r="I895" t="str">
        <f t="shared" si="384"/>
        <v>FB</v>
      </c>
      <c r="J895">
        <f t="shared" si="385"/>
        <v>148</v>
      </c>
      <c r="K895">
        <f t="shared" si="386"/>
        <v>171</v>
      </c>
      <c r="L895">
        <f t="shared" si="387"/>
        <v>159.5</v>
      </c>
      <c r="M895">
        <f t="shared" si="388"/>
        <v>11.5</v>
      </c>
      <c r="N895">
        <f t="shared" si="367"/>
        <v>23</v>
      </c>
      <c r="O895">
        <f t="shared" si="389"/>
        <v>165</v>
      </c>
      <c r="P895">
        <f t="shared" si="390"/>
        <v>0.47826086956521741</v>
      </c>
      <c r="Q895" t="str">
        <f t="shared" si="368"/>
        <v>10.3% | 3.64%</v>
      </c>
      <c r="R895" t="str">
        <f t="shared" si="391"/>
        <v>BEARISH</v>
      </c>
      <c r="S895">
        <f t="shared" si="369"/>
        <v>-1</v>
      </c>
    </row>
    <row r="896" spans="1:19" hidden="1" x14ac:dyDescent="0.25">
      <c r="A896" s="5" t="str">
        <f t="shared" si="366"/>
        <v>43928GOOGL</v>
      </c>
      <c r="B896" s="6" t="s">
        <v>66</v>
      </c>
      <c r="C896" s="6">
        <v>1056</v>
      </c>
      <c r="D896" s="6">
        <v>1199</v>
      </c>
      <c r="E896" s="6">
        <v>1183</v>
      </c>
      <c r="F896" t="str">
        <f t="shared" si="381"/>
        <v>TUE</v>
      </c>
      <c r="G896" s="3">
        <f t="shared" si="382"/>
        <v>43928</v>
      </c>
      <c r="H896" s="2">
        <f t="shared" ca="1" si="383"/>
        <v>325</v>
      </c>
      <c r="I896" t="str">
        <f t="shared" si="384"/>
        <v>GOOGL</v>
      </c>
      <c r="J896">
        <f t="shared" si="385"/>
        <v>1056</v>
      </c>
      <c r="K896">
        <f t="shared" si="386"/>
        <v>1199</v>
      </c>
      <c r="L896">
        <f t="shared" si="387"/>
        <v>1127.5</v>
      </c>
      <c r="M896">
        <f t="shared" si="388"/>
        <v>71.5</v>
      </c>
      <c r="N896">
        <f t="shared" si="367"/>
        <v>143</v>
      </c>
      <c r="O896">
        <f t="shared" si="389"/>
        <v>1183</v>
      </c>
      <c r="P896">
        <f t="shared" si="390"/>
        <v>0.77622377622377625</v>
      </c>
      <c r="Q896" t="str">
        <f t="shared" si="368"/>
        <v>10.74% | 1.35%</v>
      </c>
      <c r="R896" t="str">
        <f t="shared" si="391"/>
        <v>BEARISH</v>
      </c>
      <c r="S896">
        <f t="shared" si="369"/>
        <v>-1</v>
      </c>
    </row>
    <row r="897" spans="1:19" hidden="1" x14ac:dyDescent="0.25">
      <c r="A897" s="5" t="str">
        <f t="shared" si="366"/>
        <v>43928NFLX</v>
      </c>
      <c r="B897" s="6" t="s">
        <v>70</v>
      </c>
      <c r="C897" s="6">
        <v>343</v>
      </c>
      <c r="D897" s="6">
        <v>388</v>
      </c>
      <c r="E897" s="6">
        <v>379</v>
      </c>
      <c r="F897" t="str">
        <f t="shared" si="381"/>
        <v>TUE</v>
      </c>
      <c r="G897" s="3">
        <f t="shared" si="382"/>
        <v>43928</v>
      </c>
      <c r="H897" s="2">
        <f t="shared" ca="1" si="383"/>
        <v>325</v>
      </c>
      <c r="I897" t="str">
        <f t="shared" si="384"/>
        <v>NFLX</v>
      </c>
      <c r="J897">
        <f t="shared" si="385"/>
        <v>343</v>
      </c>
      <c r="K897">
        <f t="shared" si="386"/>
        <v>388</v>
      </c>
      <c r="L897">
        <f t="shared" si="387"/>
        <v>365.5</v>
      </c>
      <c r="M897">
        <f t="shared" si="388"/>
        <v>22.5</v>
      </c>
      <c r="N897">
        <f t="shared" si="367"/>
        <v>45</v>
      </c>
      <c r="O897">
        <f t="shared" si="389"/>
        <v>379</v>
      </c>
      <c r="P897">
        <f t="shared" si="390"/>
        <v>0.6</v>
      </c>
      <c r="Q897" t="str">
        <f t="shared" si="368"/>
        <v>9.5% | 2.37%</v>
      </c>
      <c r="R897" t="str">
        <f t="shared" si="391"/>
        <v>NEUTRAL</v>
      </c>
      <c r="S897">
        <f t="shared" si="369"/>
        <v>0</v>
      </c>
    </row>
    <row r="898" spans="1:19" x14ac:dyDescent="0.25">
      <c r="A898" s="5" t="str">
        <f t="shared" si="366"/>
        <v>43928TSLA</v>
      </c>
      <c r="B898" s="6" t="s">
        <v>83</v>
      </c>
      <c r="C898" s="6">
        <v>445</v>
      </c>
      <c r="D898" s="6">
        <v>566</v>
      </c>
      <c r="E898" s="6">
        <v>516</v>
      </c>
      <c r="F898" t="str">
        <f t="shared" si="381"/>
        <v>TUE</v>
      </c>
      <c r="G898" s="3">
        <f t="shared" si="382"/>
        <v>43928</v>
      </c>
      <c r="H898" s="2">
        <f t="shared" ca="1" si="383"/>
        <v>325</v>
      </c>
      <c r="I898" t="str">
        <f t="shared" si="384"/>
        <v>TSLA</v>
      </c>
      <c r="J898">
        <f t="shared" si="385"/>
        <v>445</v>
      </c>
      <c r="K898">
        <f t="shared" si="386"/>
        <v>566</v>
      </c>
      <c r="L898">
        <f t="shared" si="387"/>
        <v>505.5</v>
      </c>
      <c r="M898">
        <f t="shared" si="388"/>
        <v>60.5</v>
      </c>
      <c r="N898">
        <f t="shared" si="367"/>
        <v>121</v>
      </c>
      <c r="O898">
        <f t="shared" si="389"/>
        <v>516</v>
      </c>
      <c r="P898">
        <f t="shared" si="390"/>
        <v>0.17355371900826447</v>
      </c>
      <c r="Q898" t="str">
        <f t="shared" si="368"/>
        <v>13.76% | 9.69%</v>
      </c>
      <c r="R898" t="str">
        <f t="shared" si="391"/>
        <v>BEARISH</v>
      </c>
      <c r="S898">
        <f t="shared" si="369"/>
        <v>-1</v>
      </c>
    </row>
    <row r="899" spans="1:19" hidden="1" x14ac:dyDescent="0.25">
      <c r="A899" s="5" t="str">
        <f t="shared" ref="A899:A962" si="392">G899&amp;I899</f>
        <v>43928NYXBT</v>
      </c>
      <c r="B899" s="6" t="s">
        <v>84</v>
      </c>
      <c r="C899" s="6">
        <v>6108</v>
      </c>
      <c r="D899" s="6">
        <v>7261</v>
      </c>
      <c r="E899" s="6">
        <v>7099</v>
      </c>
      <c r="F899" t="str">
        <f t="shared" si="381"/>
        <v>TUE</v>
      </c>
      <c r="G899" s="3">
        <f t="shared" si="382"/>
        <v>43928</v>
      </c>
      <c r="H899" s="2">
        <f t="shared" ca="1" si="383"/>
        <v>325</v>
      </c>
      <c r="I899" t="str">
        <f t="shared" si="384"/>
        <v>NYXBT</v>
      </c>
      <c r="J899">
        <f t="shared" si="385"/>
        <v>6108</v>
      </c>
      <c r="K899">
        <f t="shared" si="386"/>
        <v>7261</v>
      </c>
      <c r="L899">
        <f t="shared" si="387"/>
        <v>6684.5</v>
      </c>
      <c r="M899">
        <f t="shared" si="388"/>
        <v>576.5</v>
      </c>
      <c r="N899">
        <f t="shared" ref="N899:N962" si="393">ABS(K899-J899)</f>
        <v>1153</v>
      </c>
      <c r="O899">
        <f t="shared" si="389"/>
        <v>7099</v>
      </c>
      <c r="P899">
        <f t="shared" si="390"/>
        <v>0.71899392888117952</v>
      </c>
      <c r="Q899" t="str">
        <f t="shared" ref="Q899:Q962" si="394">ROUND(ABS(100*(O899-J899)/O899),2)&amp;"% | "&amp;ROUND(ABS(100*(K899-O899)/O899),2)&amp;"%"</f>
        <v>13.96% | 2.28%</v>
      </c>
      <c r="R899" t="str">
        <f t="shared" si="391"/>
        <v>BEARISH</v>
      </c>
      <c r="S899">
        <f t="shared" ref="S899:S962" si="395">IF(R899="BEARISH",-1,IF(R899="NEUTRAL",0,IF(R899="BULLISH",1,99)))</f>
        <v>-1</v>
      </c>
    </row>
    <row r="900" spans="1:19" hidden="1" x14ac:dyDescent="0.25">
      <c r="A900" s="5" t="str">
        <f t="shared" si="392"/>
        <v>43929UST10Y</v>
      </c>
      <c r="B900" s="6" t="s">
        <v>4</v>
      </c>
      <c r="C900" s="6">
        <v>0.83</v>
      </c>
      <c r="D900" s="6">
        <v>0.55000000000000004</v>
      </c>
      <c r="E900" s="6">
        <v>0.75</v>
      </c>
      <c r="F900" t="str">
        <f t="shared" si="381"/>
        <v>WED</v>
      </c>
      <c r="G900" s="1">
        <f>DATE(2020,4,8)</f>
        <v>43929</v>
      </c>
      <c r="H900" s="2">
        <f t="shared" ca="1" si="383"/>
        <v>324</v>
      </c>
      <c r="I900" t="str">
        <f t="shared" si="384"/>
        <v>UST10Y</v>
      </c>
      <c r="J900">
        <f t="shared" si="385"/>
        <v>0.83</v>
      </c>
      <c r="K900">
        <f t="shared" si="386"/>
        <v>0.55000000000000004</v>
      </c>
      <c r="L900">
        <f t="shared" si="387"/>
        <v>0.69</v>
      </c>
      <c r="M900">
        <f t="shared" si="388"/>
        <v>0.14000000000000043</v>
      </c>
      <c r="N900">
        <f t="shared" si="393"/>
        <v>0.27999999999999992</v>
      </c>
      <c r="O900">
        <f t="shared" si="389"/>
        <v>0.75</v>
      </c>
      <c r="P900">
        <f t="shared" si="390"/>
        <v>0.42857142857142766</v>
      </c>
      <c r="Q900" t="str">
        <f t="shared" si="394"/>
        <v>10.67% | 26.67%</v>
      </c>
      <c r="R900" t="str">
        <f t="shared" si="391"/>
        <v>BEARISH</v>
      </c>
      <c r="S900">
        <f t="shared" si="395"/>
        <v>-1</v>
      </c>
    </row>
    <row r="901" spans="1:19" hidden="1" x14ac:dyDescent="0.25">
      <c r="A901" s="5" t="str">
        <f t="shared" si="392"/>
        <v>43929UST2Y</v>
      </c>
      <c r="B901" s="6" t="s">
        <v>5</v>
      </c>
      <c r="C901" s="6">
        <v>0.35</v>
      </c>
      <c r="D901" s="6">
        <v>0.16</v>
      </c>
      <c r="E901" s="6">
        <v>0.28000000000000003</v>
      </c>
      <c r="F901" t="str">
        <f t="shared" ref="F901:F929" si="396">UPPER(TEXT(G901,"ddd"))</f>
        <v>WED</v>
      </c>
      <c r="G901" s="1">
        <f t="shared" ref="G901:G928" si="397">DATE(2020,4,8)</f>
        <v>43929</v>
      </c>
      <c r="H901" s="2">
        <f t="shared" ref="H901:H929" ca="1" si="398">TODAY()-G901</f>
        <v>324</v>
      </c>
      <c r="I901" t="str">
        <f t="shared" ref="I901:I929" si="399">TRIM(LEFT(B901,FIND(" ",B901,1)))</f>
        <v>UST2Y</v>
      </c>
      <c r="J901">
        <f t="shared" ref="J901:J929" si="400">C901</f>
        <v>0.35</v>
      </c>
      <c r="K901">
        <f t="shared" ref="K901:K929" si="401">D901</f>
        <v>0.16</v>
      </c>
      <c r="L901">
        <f t="shared" ref="L901:L929" si="402">AVERAGE(J901:K901)</f>
        <v>0.255</v>
      </c>
      <c r="M901">
        <f t="shared" ref="M901:M929" si="403">_xlfn.STDEV.P(J901:K901)</f>
        <v>9.4999999999999959E-2</v>
      </c>
      <c r="N901">
        <f t="shared" si="393"/>
        <v>0.18999999999999997</v>
      </c>
      <c r="O901">
        <f t="shared" ref="O901:O929" si="404">E901</f>
        <v>0.28000000000000003</v>
      </c>
      <c r="P901">
        <f t="shared" ref="P901:P929" si="405">(O901-L901)/M901</f>
        <v>0.26315789473684242</v>
      </c>
      <c r="Q901" t="str">
        <f t="shared" si="394"/>
        <v>25% | 42.86%</v>
      </c>
      <c r="R901" t="str">
        <f t="shared" ref="R901:R929" si="406">MID(B901,FIND("(",B901,1)+1,FIND(")",B901,1)-FIND("(",B901,1)-1)</f>
        <v>BEARISH</v>
      </c>
      <c r="S901">
        <f t="shared" si="395"/>
        <v>-1</v>
      </c>
    </row>
    <row r="902" spans="1:19" hidden="1" x14ac:dyDescent="0.25">
      <c r="A902" s="5" t="str">
        <f t="shared" si="392"/>
        <v>43929SPX</v>
      </c>
      <c r="B902" s="6" t="s">
        <v>6</v>
      </c>
      <c r="C902" s="6">
        <v>2419</v>
      </c>
      <c r="D902" s="6">
        <v>2724</v>
      </c>
      <c r="E902" s="6">
        <v>2659</v>
      </c>
      <c r="F902" t="str">
        <f t="shared" si="396"/>
        <v>WED</v>
      </c>
      <c r="G902" s="1">
        <f t="shared" si="397"/>
        <v>43929</v>
      </c>
      <c r="H902" s="2">
        <f t="shared" ca="1" si="398"/>
        <v>324</v>
      </c>
      <c r="I902" t="str">
        <f t="shared" si="399"/>
        <v>SPX</v>
      </c>
      <c r="J902">
        <f t="shared" si="400"/>
        <v>2419</v>
      </c>
      <c r="K902">
        <f t="shared" si="401"/>
        <v>2724</v>
      </c>
      <c r="L902">
        <f t="shared" si="402"/>
        <v>2571.5</v>
      </c>
      <c r="M902">
        <f t="shared" si="403"/>
        <v>152.5</v>
      </c>
      <c r="N902">
        <f t="shared" si="393"/>
        <v>305</v>
      </c>
      <c r="O902">
        <f t="shared" si="404"/>
        <v>2659</v>
      </c>
      <c r="P902">
        <f t="shared" si="405"/>
        <v>0.57377049180327866</v>
      </c>
      <c r="Q902" t="str">
        <f t="shared" si="394"/>
        <v>9.03% | 2.44%</v>
      </c>
      <c r="R902" t="str">
        <f t="shared" si="406"/>
        <v>BEARISH</v>
      </c>
      <c r="S902">
        <f t="shared" si="395"/>
        <v>-1</v>
      </c>
    </row>
    <row r="903" spans="1:19" hidden="1" x14ac:dyDescent="0.25">
      <c r="A903" s="5" t="str">
        <f t="shared" si="392"/>
        <v>43929RUT</v>
      </c>
      <c r="B903" s="6" t="s">
        <v>7</v>
      </c>
      <c r="C903" s="6">
        <v>1030</v>
      </c>
      <c r="D903" s="6">
        <v>1191</v>
      </c>
      <c r="E903" s="6">
        <v>1139</v>
      </c>
      <c r="F903" t="str">
        <f t="shared" si="396"/>
        <v>WED</v>
      </c>
      <c r="G903" s="1">
        <f t="shared" si="397"/>
        <v>43929</v>
      </c>
      <c r="H903" s="2">
        <f t="shared" ca="1" si="398"/>
        <v>324</v>
      </c>
      <c r="I903" t="str">
        <f t="shared" si="399"/>
        <v>RUT</v>
      </c>
      <c r="J903">
        <f t="shared" si="400"/>
        <v>1030</v>
      </c>
      <c r="K903">
        <f t="shared" si="401"/>
        <v>1191</v>
      </c>
      <c r="L903">
        <f t="shared" si="402"/>
        <v>1110.5</v>
      </c>
      <c r="M903">
        <f t="shared" si="403"/>
        <v>80.5</v>
      </c>
      <c r="N903">
        <f t="shared" si="393"/>
        <v>161</v>
      </c>
      <c r="O903">
        <f t="shared" si="404"/>
        <v>1139</v>
      </c>
      <c r="P903">
        <f t="shared" si="405"/>
        <v>0.35403726708074534</v>
      </c>
      <c r="Q903" t="str">
        <f t="shared" si="394"/>
        <v>9.57% | 4.57%</v>
      </c>
      <c r="R903" t="str">
        <f t="shared" si="406"/>
        <v>BEARISH</v>
      </c>
      <c r="S903">
        <f t="shared" si="395"/>
        <v>-1</v>
      </c>
    </row>
    <row r="904" spans="1:19" hidden="1" x14ac:dyDescent="0.25">
      <c r="A904" s="5" t="str">
        <f t="shared" si="392"/>
        <v>43929COMPQ</v>
      </c>
      <c r="B904" s="6" t="s">
        <v>64</v>
      </c>
      <c r="C904" s="6">
        <v>7136</v>
      </c>
      <c r="D904" s="6">
        <v>8081</v>
      </c>
      <c r="E904" s="6">
        <v>7887</v>
      </c>
      <c r="F904" t="str">
        <f t="shared" si="396"/>
        <v>WED</v>
      </c>
      <c r="G904" s="1">
        <f t="shared" si="397"/>
        <v>43929</v>
      </c>
      <c r="H904" s="2">
        <f t="shared" ca="1" si="398"/>
        <v>324</v>
      </c>
      <c r="I904" t="str">
        <f t="shared" si="399"/>
        <v>COMPQ</v>
      </c>
      <c r="J904">
        <f t="shared" si="400"/>
        <v>7136</v>
      </c>
      <c r="K904">
        <f t="shared" si="401"/>
        <v>8081</v>
      </c>
      <c r="L904">
        <f t="shared" si="402"/>
        <v>7608.5</v>
      </c>
      <c r="M904">
        <f t="shared" si="403"/>
        <v>472.5</v>
      </c>
      <c r="N904">
        <f t="shared" si="393"/>
        <v>945</v>
      </c>
      <c r="O904">
        <f t="shared" si="404"/>
        <v>7887</v>
      </c>
      <c r="P904">
        <f t="shared" si="405"/>
        <v>0.5894179894179894</v>
      </c>
      <c r="Q904" t="str">
        <f t="shared" si="394"/>
        <v>9.52% | 2.46%</v>
      </c>
      <c r="R904" t="str">
        <f t="shared" si="406"/>
        <v>BEARISH</v>
      </c>
      <c r="S904">
        <f t="shared" si="395"/>
        <v>-1</v>
      </c>
    </row>
    <row r="905" spans="1:19" hidden="1" x14ac:dyDescent="0.25">
      <c r="A905" s="5" t="str">
        <f t="shared" si="392"/>
        <v>43929XLU</v>
      </c>
      <c r="B905" s="6" t="s">
        <v>82</v>
      </c>
      <c r="C905" s="6">
        <v>50.16</v>
      </c>
      <c r="D905" s="6">
        <v>58.33</v>
      </c>
      <c r="E905" s="6">
        <v>55.09</v>
      </c>
      <c r="F905" t="str">
        <f t="shared" si="396"/>
        <v>WED</v>
      </c>
      <c r="G905" s="1">
        <f t="shared" si="397"/>
        <v>43929</v>
      </c>
      <c r="H905" s="2">
        <f t="shared" ca="1" si="398"/>
        <v>324</v>
      </c>
      <c r="I905" t="str">
        <f t="shared" si="399"/>
        <v>XLU</v>
      </c>
      <c r="J905">
        <f t="shared" si="400"/>
        <v>50.16</v>
      </c>
      <c r="K905">
        <f t="shared" si="401"/>
        <v>58.33</v>
      </c>
      <c r="L905">
        <f t="shared" si="402"/>
        <v>54.244999999999997</v>
      </c>
      <c r="M905">
        <f t="shared" si="403"/>
        <v>4.0850000000000009</v>
      </c>
      <c r="N905">
        <f t="shared" si="393"/>
        <v>8.1700000000000017</v>
      </c>
      <c r="O905">
        <f t="shared" si="404"/>
        <v>55.09</v>
      </c>
      <c r="P905">
        <f t="shared" si="405"/>
        <v>0.20685434516524009</v>
      </c>
      <c r="Q905" t="str">
        <f t="shared" si="394"/>
        <v>8.95% | 5.88%</v>
      </c>
      <c r="R905" t="str">
        <f t="shared" si="406"/>
        <v>BEARISH</v>
      </c>
      <c r="S905">
        <f t="shared" si="395"/>
        <v>-1</v>
      </c>
    </row>
    <row r="906" spans="1:19" hidden="1" x14ac:dyDescent="0.25">
      <c r="A906" s="5" t="str">
        <f t="shared" si="392"/>
        <v>43929VNQ</v>
      </c>
      <c r="B906" s="6" t="s">
        <v>67</v>
      </c>
      <c r="C906" s="6">
        <v>62.54</v>
      </c>
      <c r="D906" s="6">
        <v>73.11</v>
      </c>
      <c r="E906" s="6">
        <v>69.95</v>
      </c>
      <c r="F906" t="str">
        <f t="shared" si="396"/>
        <v>WED</v>
      </c>
      <c r="G906" s="1">
        <f t="shared" si="397"/>
        <v>43929</v>
      </c>
      <c r="H906" s="2">
        <f t="shared" ca="1" si="398"/>
        <v>324</v>
      </c>
      <c r="I906" t="str">
        <f t="shared" si="399"/>
        <v>VNQ</v>
      </c>
      <c r="J906">
        <f t="shared" si="400"/>
        <v>62.54</v>
      </c>
      <c r="K906">
        <f t="shared" si="401"/>
        <v>73.11</v>
      </c>
      <c r="L906">
        <f t="shared" si="402"/>
        <v>67.825000000000003</v>
      </c>
      <c r="M906">
        <f t="shared" si="403"/>
        <v>5.2850000000000001</v>
      </c>
      <c r="N906">
        <f t="shared" si="393"/>
        <v>10.57</v>
      </c>
      <c r="O906">
        <f t="shared" si="404"/>
        <v>69.95</v>
      </c>
      <c r="P906">
        <f t="shared" si="405"/>
        <v>0.40208136234626302</v>
      </c>
      <c r="Q906" t="str">
        <f t="shared" si="394"/>
        <v>10.59% | 4.52%</v>
      </c>
      <c r="R906" t="str">
        <f t="shared" si="406"/>
        <v>BEARISH</v>
      </c>
      <c r="S906">
        <f t="shared" si="395"/>
        <v>-1</v>
      </c>
    </row>
    <row r="907" spans="1:19" hidden="1" x14ac:dyDescent="0.25">
      <c r="A907" s="5" t="str">
        <f t="shared" si="392"/>
        <v>43929XLP</v>
      </c>
      <c r="B907" s="6" t="s">
        <v>50</v>
      </c>
      <c r="C907" s="6">
        <v>52.12</v>
      </c>
      <c r="D907" s="6">
        <v>58.15</v>
      </c>
      <c r="E907" s="6">
        <v>56.75</v>
      </c>
      <c r="F907" t="str">
        <f t="shared" si="396"/>
        <v>WED</v>
      </c>
      <c r="G907" s="1">
        <f t="shared" si="397"/>
        <v>43929</v>
      </c>
      <c r="H907" s="2">
        <f t="shared" ca="1" si="398"/>
        <v>324</v>
      </c>
      <c r="I907" t="str">
        <f t="shared" si="399"/>
        <v>XLP</v>
      </c>
      <c r="J907">
        <f t="shared" si="400"/>
        <v>52.12</v>
      </c>
      <c r="K907">
        <f t="shared" si="401"/>
        <v>58.15</v>
      </c>
      <c r="L907">
        <f t="shared" si="402"/>
        <v>55.134999999999998</v>
      </c>
      <c r="M907">
        <f t="shared" si="403"/>
        <v>3.0150000000000006</v>
      </c>
      <c r="N907">
        <f t="shared" si="393"/>
        <v>6.0300000000000011</v>
      </c>
      <c r="O907">
        <f t="shared" si="404"/>
        <v>56.75</v>
      </c>
      <c r="P907">
        <f t="shared" si="405"/>
        <v>0.5356550580431183</v>
      </c>
      <c r="Q907" t="str">
        <f t="shared" si="394"/>
        <v>8.16% | 2.47%</v>
      </c>
      <c r="R907" t="str">
        <f t="shared" si="406"/>
        <v>NEUTRAL</v>
      </c>
      <c r="S907">
        <f t="shared" si="395"/>
        <v>0</v>
      </c>
    </row>
    <row r="908" spans="1:19" hidden="1" x14ac:dyDescent="0.25">
      <c r="A908" s="5" t="str">
        <f t="shared" si="392"/>
        <v>43929XLK</v>
      </c>
      <c r="B908" s="6" t="s">
        <v>65</v>
      </c>
      <c r="C908" s="6">
        <v>74.209999999999994</v>
      </c>
      <c r="D908" s="6">
        <v>86.39</v>
      </c>
      <c r="E908" s="6">
        <v>82.95</v>
      </c>
      <c r="F908" t="str">
        <f t="shared" si="396"/>
        <v>WED</v>
      </c>
      <c r="G908" s="1">
        <f t="shared" si="397"/>
        <v>43929</v>
      </c>
      <c r="H908" s="2">
        <f t="shared" ca="1" si="398"/>
        <v>324</v>
      </c>
      <c r="I908" t="str">
        <f t="shared" si="399"/>
        <v>XLK</v>
      </c>
      <c r="J908">
        <f t="shared" si="400"/>
        <v>74.209999999999994</v>
      </c>
      <c r="K908">
        <f t="shared" si="401"/>
        <v>86.39</v>
      </c>
      <c r="L908">
        <f t="shared" si="402"/>
        <v>80.3</v>
      </c>
      <c r="M908">
        <f t="shared" si="403"/>
        <v>6.0900000000000034</v>
      </c>
      <c r="N908">
        <f t="shared" si="393"/>
        <v>12.180000000000007</v>
      </c>
      <c r="O908">
        <f t="shared" si="404"/>
        <v>82.95</v>
      </c>
      <c r="P908">
        <f t="shared" si="405"/>
        <v>0.43513957307060824</v>
      </c>
      <c r="Q908" t="str">
        <f t="shared" si="394"/>
        <v>10.54% | 4.15%</v>
      </c>
      <c r="R908" t="str">
        <f t="shared" si="406"/>
        <v>BEARISH</v>
      </c>
      <c r="S908">
        <f t="shared" si="395"/>
        <v>-1</v>
      </c>
    </row>
    <row r="909" spans="1:19" hidden="1" x14ac:dyDescent="0.25">
      <c r="A909" s="5" t="str">
        <f t="shared" si="392"/>
        <v>43929SSEC</v>
      </c>
      <c r="B909" s="6" t="s">
        <v>14</v>
      </c>
      <c r="C909" s="6">
        <v>2701</v>
      </c>
      <c r="D909" s="6">
        <v>2833</v>
      </c>
      <c r="E909" s="6">
        <v>2815</v>
      </c>
      <c r="F909" t="str">
        <f t="shared" si="396"/>
        <v>WED</v>
      </c>
      <c r="G909" s="1">
        <f t="shared" si="397"/>
        <v>43929</v>
      </c>
      <c r="H909" s="2">
        <f t="shared" ca="1" si="398"/>
        <v>324</v>
      </c>
      <c r="I909" t="str">
        <f t="shared" si="399"/>
        <v>SSEC</v>
      </c>
      <c r="J909">
        <f t="shared" si="400"/>
        <v>2701</v>
      </c>
      <c r="K909">
        <f t="shared" si="401"/>
        <v>2833</v>
      </c>
      <c r="L909">
        <f t="shared" si="402"/>
        <v>2767</v>
      </c>
      <c r="M909">
        <f t="shared" si="403"/>
        <v>66</v>
      </c>
      <c r="N909">
        <f t="shared" si="393"/>
        <v>132</v>
      </c>
      <c r="O909">
        <f t="shared" si="404"/>
        <v>2815</v>
      </c>
      <c r="P909">
        <f t="shared" si="405"/>
        <v>0.72727272727272729</v>
      </c>
      <c r="Q909" t="str">
        <f t="shared" si="394"/>
        <v>4.05% | 0.64%</v>
      </c>
      <c r="R909" t="str">
        <f t="shared" si="406"/>
        <v>BEARISH</v>
      </c>
      <c r="S909">
        <f t="shared" si="395"/>
        <v>-1</v>
      </c>
    </row>
    <row r="910" spans="1:19" hidden="1" x14ac:dyDescent="0.25">
      <c r="A910" s="5" t="str">
        <f t="shared" si="392"/>
        <v>43929NIKK</v>
      </c>
      <c r="B910" s="6" t="s">
        <v>15</v>
      </c>
      <c r="C910" s="6">
        <v>17414</v>
      </c>
      <c r="D910" s="6">
        <v>19661</v>
      </c>
      <c r="E910" s="6">
        <v>19353</v>
      </c>
      <c r="F910" t="str">
        <f t="shared" si="396"/>
        <v>WED</v>
      </c>
      <c r="G910" s="1">
        <f t="shared" si="397"/>
        <v>43929</v>
      </c>
      <c r="H910" s="2">
        <f t="shared" ca="1" si="398"/>
        <v>324</v>
      </c>
      <c r="I910" t="str">
        <f t="shared" si="399"/>
        <v>NIKK</v>
      </c>
      <c r="J910">
        <f t="shared" si="400"/>
        <v>17414</v>
      </c>
      <c r="K910">
        <f t="shared" si="401"/>
        <v>19661</v>
      </c>
      <c r="L910">
        <f t="shared" si="402"/>
        <v>18537.5</v>
      </c>
      <c r="M910">
        <f t="shared" si="403"/>
        <v>1123.5</v>
      </c>
      <c r="N910">
        <f t="shared" si="393"/>
        <v>2247</v>
      </c>
      <c r="O910">
        <f t="shared" si="404"/>
        <v>19353</v>
      </c>
      <c r="P910">
        <f t="shared" si="405"/>
        <v>0.72585669781931461</v>
      </c>
      <c r="Q910" t="str">
        <f t="shared" si="394"/>
        <v>10.02% | 1.59%</v>
      </c>
      <c r="R910" t="str">
        <f t="shared" si="406"/>
        <v>BEARISH</v>
      </c>
      <c r="S910">
        <f t="shared" si="395"/>
        <v>-1</v>
      </c>
    </row>
    <row r="911" spans="1:19" hidden="1" x14ac:dyDescent="0.25">
      <c r="A911" s="5" t="str">
        <f t="shared" si="392"/>
        <v>43929DAX</v>
      </c>
      <c r="B911" s="6" t="s">
        <v>16</v>
      </c>
      <c r="C911" s="6">
        <v>9186</v>
      </c>
      <c r="D911" s="6">
        <v>10385</v>
      </c>
      <c r="E911" s="6">
        <v>10356</v>
      </c>
      <c r="F911" t="str">
        <f t="shared" si="396"/>
        <v>WED</v>
      </c>
      <c r="G911" s="1">
        <f t="shared" si="397"/>
        <v>43929</v>
      </c>
      <c r="H911" s="2">
        <f t="shared" ca="1" si="398"/>
        <v>324</v>
      </c>
      <c r="I911" t="str">
        <f t="shared" si="399"/>
        <v>DAX</v>
      </c>
      <c r="J911">
        <f t="shared" si="400"/>
        <v>9186</v>
      </c>
      <c r="K911">
        <f t="shared" si="401"/>
        <v>10385</v>
      </c>
      <c r="L911">
        <f t="shared" si="402"/>
        <v>9785.5</v>
      </c>
      <c r="M911">
        <f t="shared" si="403"/>
        <v>599.5</v>
      </c>
      <c r="N911">
        <f t="shared" si="393"/>
        <v>1199</v>
      </c>
      <c r="O911">
        <f t="shared" si="404"/>
        <v>10356</v>
      </c>
      <c r="P911">
        <f t="shared" si="405"/>
        <v>0.95162635529608008</v>
      </c>
      <c r="Q911" t="str">
        <f t="shared" si="394"/>
        <v>11.3% | 0.28%</v>
      </c>
      <c r="R911" t="str">
        <f t="shared" si="406"/>
        <v>BEARISH</v>
      </c>
      <c r="S911">
        <f t="shared" si="395"/>
        <v>-1</v>
      </c>
    </row>
    <row r="912" spans="1:19" hidden="1" x14ac:dyDescent="0.25">
      <c r="A912" s="5" t="str">
        <f t="shared" si="392"/>
        <v>43929VIX</v>
      </c>
      <c r="B912" s="6" t="s">
        <v>17</v>
      </c>
      <c r="C912" s="6">
        <v>40.46</v>
      </c>
      <c r="D912" s="6">
        <v>68.97</v>
      </c>
      <c r="E912" s="6">
        <v>46.7</v>
      </c>
      <c r="F912" t="str">
        <f t="shared" si="396"/>
        <v>WED</v>
      </c>
      <c r="G912" s="1">
        <f t="shared" si="397"/>
        <v>43929</v>
      </c>
      <c r="H912" s="2">
        <f t="shared" ca="1" si="398"/>
        <v>324</v>
      </c>
      <c r="I912" t="str">
        <f t="shared" si="399"/>
        <v>VIX</v>
      </c>
      <c r="J912">
        <f t="shared" si="400"/>
        <v>40.46</v>
      </c>
      <c r="K912">
        <f t="shared" si="401"/>
        <v>68.97</v>
      </c>
      <c r="L912">
        <f t="shared" si="402"/>
        <v>54.715000000000003</v>
      </c>
      <c r="M912">
        <f t="shared" si="403"/>
        <v>14.254999999999976</v>
      </c>
      <c r="N912">
        <f t="shared" si="393"/>
        <v>28.509999999999998</v>
      </c>
      <c r="O912">
        <f t="shared" si="404"/>
        <v>46.7</v>
      </c>
      <c r="P912">
        <f t="shared" si="405"/>
        <v>-0.56225885654156538</v>
      </c>
      <c r="Q912" t="str">
        <f t="shared" si="394"/>
        <v>13.36% | 47.69%</v>
      </c>
      <c r="R912" t="str">
        <f t="shared" si="406"/>
        <v>BULLISH</v>
      </c>
      <c r="S912">
        <f t="shared" si="395"/>
        <v>1</v>
      </c>
    </row>
    <row r="913" spans="1:19" hidden="1" x14ac:dyDescent="0.25">
      <c r="A913" s="5" t="str">
        <f t="shared" si="392"/>
        <v>43929USD</v>
      </c>
      <c r="B913" s="6" t="s">
        <v>18</v>
      </c>
      <c r="C913" s="6">
        <v>98.25</v>
      </c>
      <c r="D913" s="6">
        <v>101.34</v>
      </c>
      <c r="E913" s="6">
        <v>99.91</v>
      </c>
      <c r="F913" t="str">
        <f t="shared" si="396"/>
        <v>WED</v>
      </c>
      <c r="G913" s="1">
        <f t="shared" si="397"/>
        <v>43929</v>
      </c>
      <c r="H913" s="2">
        <f t="shared" ca="1" si="398"/>
        <v>324</v>
      </c>
      <c r="I913" t="str">
        <f t="shared" si="399"/>
        <v>USD</v>
      </c>
      <c r="J913">
        <f t="shared" si="400"/>
        <v>98.25</v>
      </c>
      <c r="K913">
        <f t="shared" si="401"/>
        <v>101.34</v>
      </c>
      <c r="L913">
        <f t="shared" si="402"/>
        <v>99.795000000000002</v>
      </c>
      <c r="M913">
        <f t="shared" si="403"/>
        <v>1.5450000000000017</v>
      </c>
      <c r="N913">
        <f t="shared" si="393"/>
        <v>3.0900000000000034</v>
      </c>
      <c r="O913">
        <f t="shared" si="404"/>
        <v>99.91</v>
      </c>
      <c r="P913">
        <f t="shared" si="405"/>
        <v>7.4433656957925406E-2</v>
      </c>
      <c r="Q913" t="str">
        <f t="shared" si="394"/>
        <v>1.66% | 1.43%</v>
      </c>
      <c r="R913" t="str">
        <f t="shared" si="406"/>
        <v>BULLISH</v>
      </c>
      <c r="S913">
        <f t="shared" si="395"/>
        <v>1</v>
      </c>
    </row>
    <row r="914" spans="1:19" hidden="1" x14ac:dyDescent="0.25">
      <c r="A914" s="5" t="str">
        <f t="shared" si="392"/>
        <v>43929EUR/USD</v>
      </c>
      <c r="B914" s="6" t="s">
        <v>19</v>
      </c>
      <c r="C914" s="6">
        <v>1.07</v>
      </c>
      <c r="D914" s="6">
        <v>1.1000000000000001</v>
      </c>
      <c r="E914" s="6">
        <v>1.0900000000000001</v>
      </c>
      <c r="F914" t="str">
        <f t="shared" si="396"/>
        <v>WED</v>
      </c>
      <c r="G914" s="1">
        <f t="shared" si="397"/>
        <v>43929</v>
      </c>
      <c r="H914" s="2">
        <f t="shared" ca="1" si="398"/>
        <v>324</v>
      </c>
      <c r="I914" t="str">
        <f t="shared" si="399"/>
        <v>EUR/USD</v>
      </c>
      <c r="J914">
        <f t="shared" si="400"/>
        <v>1.07</v>
      </c>
      <c r="K914">
        <f t="shared" si="401"/>
        <v>1.1000000000000001</v>
      </c>
      <c r="L914">
        <f t="shared" si="402"/>
        <v>1.085</v>
      </c>
      <c r="M914">
        <f t="shared" si="403"/>
        <v>1.5000000000000013E-2</v>
      </c>
      <c r="N914">
        <f t="shared" si="393"/>
        <v>3.0000000000000027E-2</v>
      </c>
      <c r="O914">
        <f t="shared" si="404"/>
        <v>1.0900000000000001</v>
      </c>
      <c r="P914">
        <f t="shared" si="405"/>
        <v>0.33333333333334075</v>
      </c>
      <c r="Q914" t="str">
        <f t="shared" si="394"/>
        <v>1.83% | 0.92%</v>
      </c>
      <c r="R914" t="str">
        <f t="shared" si="406"/>
        <v>BEARISH</v>
      </c>
      <c r="S914">
        <f t="shared" si="395"/>
        <v>-1</v>
      </c>
    </row>
    <row r="915" spans="1:19" hidden="1" x14ac:dyDescent="0.25">
      <c r="A915" s="5" t="str">
        <f t="shared" si="392"/>
        <v>43929USD/JPY</v>
      </c>
      <c r="B915" s="6" t="s">
        <v>86</v>
      </c>
      <c r="C915" s="6">
        <v>106.25</v>
      </c>
      <c r="D915" s="6">
        <v>110.21</v>
      </c>
      <c r="E915" s="6">
        <v>108.81</v>
      </c>
      <c r="F915" t="str">
        <f t="shared" si="396"/>
        <v>WED</v>
      </c>
      <c r="G915" s="1">
        <f t="shared" si="397"/>
        <v>43929</v>
      </c>
      <c r="H915" s="2">
        <f t="shared" ca="1" si="398"/>
        <v>324</v>
      </c>
      <c r="I915" t="str">
        <f t="shared" si="399"/>
        <v>USD/JPY</v>
      </c>
      <c r="J915">
        <f t="shared" si="400"/>
        <v>106.25</v>
      </c>
      <c r="K915">
        <f t="shared" si="401"/>
        <v>110.21</v>
      </c>
      <c r="L915">
        <f t="shared" si="402"/>
        <v>108.22999999999999</v>
      </c>
      <c r="M915">
        <f t="shared" si="403"/>
        <v>1.9799999999999969</v>
      </c>
      <c r="N915">
        <f t="shared" si="393"/>
        <v>3.9599999999999937</v>
      </c>
      <c r="O915">
        <f t="shared" si="404"/>
        <v>108.81</v>
      </c>
      <c r="P915">
        <f t="shared" si="405"/>
        <v>0.2929292929292997</v>
      </c>
      <c r="Q915" t="str">
        <f t="shared" si="394"/>
        <v>2.35% | 1.29%</v>
      </c>
      <c r="R915" t="str">
        <f t="shared" si="406"/>
        <v>NEUTRAL</v>
      </c>
      <c r="S915">
        <f t="shared" si="395"/>
        <v>0</v>
      </c>
    </row>
    <row r="916" spans="1:19" hidden="1" x14ac:dyDescent="0.25">
      <c r="A916" s="5" t="str">
        <f t="shared" si="392"/>
        <v>43929GBP/USD</v>
      </c>
      <c r="B916" s="6" t="s">
        <v>21</v>
      </c>
      <c r="C916" s="6">
        <v>1.2</v>
      </c>
      <c r="D916" s="6">
        <v>1.25</v>
      </c>
      <c r="E916" s="6">
        <v>1.23</v>
      </c>
      <c r="F916" t="str">
        <f t="shared" si="396"/>
        <v>WED</v>
      </c>
      <c r="G916" s="1">
        <f t="shared" si="397"/>
        <v>43929</v>
      </c>
      <c r="H916" s="2">
        <f t="shared" ca="1" si="398"/>
        <v>324</v>
      </c>
      <c r="I916" t="str">
        <f t="shared" si="399"/>
        <v>GBP/USD</v>
      </c>
      <c r="J916">
        <f t="shared" si="400"/>
        <v>1.2</v>
      </c>
      <c r="K916">
        <f t="shared" si="401"/>
        <v>1.25</v>
      </c>
      <c r="L916">
        <f t="shared" si="402"/>
        <v>1.2250000000000001</v>
      </c>
      <c r="M916">
        <f t="shared" si="403"/>
        <v>2.5000000000000022E-2</v>
      </c>
      <c r="N916">
        <f t="shared" si="393"/>
        <v>5.0000000000000044E-2</v>
      </c>
      <c r="O916">
        <f t="shared" si="404"/>
        <v>1.23</v>
      </c>
      <c r="P916">
        <f t="shared" si="405"/>
        <v>0.19999999999999557</v>
      </c>
      <c r="Q916" t="str">
        <f t="shared" si="394"/>
        <v>2.44% | 1.63%</v>
      </c>
      <c r="R916" t="str">
        <f t="shared" si="406"/>
        <v>BEARISH</v>
      </c>
      <c r="S916">
        <f t="shared" si="395"/>
        <v>-1</v>
      </c>
    </row>
    <row r="917" spans="1:19" hidden="1" x14ac:dyDescent="0.25">
      <c r="A917" s="5" t="str">
        <f t="shared" si="392"/>
        <v>43929USD/CHF</v>
      </c>
      <c r="B917" s="6" t="s">
        <v>22</v>
      </c>
      <c r="C917" s="6">
        <v>0.95</v>
      </c>
      <c r="D917" s="6">
        <v>0.98</v>
      </c>
      <c r="E917" s="6">
        <v>0.96</v>
      </c>
      <c r="F917" t="str">
        <f t="shared" si="396"/>
        <v>WED</v>
      </c>
      <c r="G917" s="1">
        <f t="shared" si="397"/>
        <v>43929</v>
      </c>
      <c r="H917" s="2">
        <f t="shared" ca="1" si="398"/>
        <v>324</v>
      </c>
      <c r="I917" t="str">
        <f t="shared" si="399"/>
        <v>USD/CHF</v>
      </c>
      <c r="J917">
        <f t="shared" si="400"/>
        <v>0.95</v>
      </c>
      <c r="K917">
        <f t="shared" si="401"/>
        <v>0.98</v>
      </c>
      <c r="L917">
        <f t="shared" si="402"/>
        <v>0.96499999999999997</v>
      </c>
      <c r="M917">
        <f t="shared" si="403"/>
        <v>1.5000000000000013E-2</v>
      </c>
      <c r="N917">
        <f t="shared" si="393"/>
        <v>3.0000000000000027E-2</v>
      </c>
      <c r="O917">
        <f t="shared" si="404"/>
        <v>0.96</v>
      </c>
      <c r="P917">
        <f t="shared" si="405"/>
        <v>-0.33333333333333331</v>
      </c>
      <c r="Q917" t="str">
        <f t="shared" si="394"/>
        <v>1.04% | 2.08%</v>
      </c>
      <c r="R917" t="str">
        <f t="shared" si="406"/>
        <v>NEUTRAL</v>
      </c>
      <c r="S917">
        <f t="shared" si="395"/>
        <v>0</v>
      </c>
    </row>
    <row r="918" spans="1:19" hidden="1" x14ac:dyDescent="0.25">
      <c r="A918" s="5" t="str">
        <f t="shared" si="392"/>
        <v>43929WTIC</v>
      </c>
      <c r="B918" s="6" t="s">
        <v>23</v>
      </c>
      <c r="C918" s="6">
        <v>17.55</v>
      </c>
      <c r="D918" s="6">
        <v>29.65</v>
      </c>
      <c r="E918" s="6">
        <v>23.63</v>
      </c>
      <c r="F918" t="str">
        <f t="shared" si="396"/>
        <v>WED</v>
      </c>
      <c r="G918" s="1">
        <f t="shared" si="397"/>
        <v>43929</v>
      </c>
      <c r="H918" s="2">
        <f t="shared" ca="1" si="398"/>
        <v>324</v>
      </c>
      <c r="I918" t="str">
        <f t="shared" si="399"/>
        <v>WTIC</v>
      </c>
      <c r="J918">
        <f t="shared" si="400"/>
        <v>17.55</v>
      </c>
      <c r="K918">
        <f t="shared" si="401"/>
        <v>29.65</v>
      </c>
      <c r="L918">
        <f t="shared" si="402"/>
        <v>23.6</v>
      </c>
      <c r="M918">
        <f t="shared" si="403"/>
        <v>6.0499999999999972</v>
      </c>
      <c r="N918">
        <f t="shared" si="393"/>
        <v>12.099999999999998</v>
      </c>
      <c r="O918">
        <f t="shared" si="404"/>
        <v>23.63</v>
      </c>
      <c r="P918">
        <f t="shared" si="405"/>
        <v>4.9586776859500163E-3</v>
      </c>
      <c r="Q918" t="str">
        <f t="shared" si="394"/>
        <v>25.73% | 25.48%</v>
      </c>
      <c r="R918" t="str">
        <f t="shared" si="406"/>
        <v>BEARISH</v>
      </c>
      <c r="S918">
        <f t="shared" si="395"/>
        <v>-1</v>
      </c>
    </row>
    <row r="919" spans="1:19" hidden="1" x14ac:dyDescent="0.25">
      <c r="A919" s="5" t="str">
        <f t="shared" si="392"/>
        <v>43929NATGAS</v>
      </c>
      <c r="B919" s="6" t="s">
        <v>24</v>
      </c>
      <c r="C919" s="6">
        <v>1.53</v>
      </c>
      <c r="D919" s="6">
        <v>1.88</v>
      </c>
      <c r="E919" s="6">
        <v>1.85</v>
      </c>
      <c r="F919" t="str">
        <f t="shared" si="396"/>
        <v>WED</v>
      </c>
      <c r="G919" s="1">
        <f t="shared" si="397"/>
        <v>43929</v>
      </c>
      <c r="H919" s="2">
        <f t="shared" ca="1" si="398"/>
        <v>324</v>
      </c>
      <c r="I919" t="str">
        <f t="shared" si="399"/>
        <v>NATGAS</v>
      </c>
      <c r="J919">
        <f t="shared" si="400"/>
        <v>1.53</v>
      </c>
      <c r="K919">
        <f t="shared" si="401"/>
        <v>1.88</v>
      </c>
      <c r="L919">
        <f t="shared" si="402"/>
        <v>1.7050000000000001</v>
      </c>
      <c r="M919">
        <f t="shared" si="403"/>
        <v>0.17499999999999782</v>
      </c>
      <c r="N919">
        <f t="shared" si="393"/>
        <v>0.34999999999999987</v>
      </c>
      <c r="O919">
        <f t="shared" si="404"/>
        <v>1.85</v>
      </c>
      <c r="P919">
        <f t="shared" si="405"/>
        <v>0.82857142857143895</v>
      </c>
      <c r="Q919" t="str">
        <f t="shared" si="394"/>
        <v>17.3% | 1.62%</v>
      </c>
      <c r="R919" t="str">
        <f t="shared" si="406"/>
        <v>BEARISH</v>
      </c>
      <c r="S919">
        <f t="shared" si="395"/>
        <v>-1</v>
      </c>
    </row>
    <row r="920" spans="1:19" hidden="1" x14ac:dyDescent="0.25">
      <c r="A920" s="5" t="str">
        <f t="shared" si="392"/>
        <v>43929GOLD</v>
      </c>
      <c r="B920" s="6" t="s">
        <v>25</v>
      </c>
      <c r="C920" s="6">
        <v>1604</v>
      </c>
      <c r="D920" s="6">
        <v>1718</v>
      </c>
      <c r="E920" s="6">
        <v>1683</v>
      </c>
      <c r="F920" t="str">
        <f t="shared" si="396"/>
        <v>WED</v>
      </c>
      <c r="G920" s="1">
        <f t="shared" si="397"/>
        <v>43929</v>
      </c>
      <c r="H920" s="2">
        <f t="shared" ca="1" si="398"/>
        <v>324</v>
      </c>
      <c r="I920" t="str">
        <f t="shared" si="399"/>
        <v>GOLD</v>
      </c>
      <c r="J920">
        <f t="shared" si="400"/>
        <v>1604</v>
      </c>
      <c r="K920">
        <f t="shared" si="401"/>
        <v>1718</v>
      </c>
      <c r="L920">
        <f t="shared" si="402"/>
        <v>1661</v>
      </c>
      <c r="M920">
        <f t="shared" si="403"/>
        <v>57</v>
      </c>
      <c r="N920">
        <f t="shared" si="393"/>
        <v>114</v>
      </c>
      <c r="O920">
        <f t="shared" si="404"/>
        <v>1683</v>
      </c>
      <c r="P920">
        <f t="shared" si="405"/>
        <v>0.38596491228070173</v>
      </c>
      <c r="Q920" t="str">
        <f t="shared" si="394"/>
        <v>4.69% | 2.08%</v>
      </c>
      <c r="R920" t="str">
        <f t="shared" si="406"/>
        <v>BULLISH</v>
      </c>
      <c r="S920">
        <f t="shared" si="395"/>
        <v>1</v>
      </c>
    </row>
    <row r="921" spans="1:19" hidden="1" x14ac:dyDescent="0.25">
      <c r="A921" s="5" t="str">
        <f t="shared" si="392"/>
        <v>43929COPPER</v>
      </c>
      <c r="B921" s="6" t="s">
        <v>26</v>
      </c>
      <c r="C921" s="6">
        <v>2.11</v>
      </c>
      <c r="D921" s="6">
        <v>2.31</v>
      </c>
      <c r="E921" s="6">
        <v>2.27</v>
      </c>
      <c r="F921" t="str">
        <f t="shared" si="396"/>
        <v>WED</v>
      </c>
      <c r="G921" s="1">
        <f t="shared" si="397"/>
        <v>43929</v>
      </c>
      <c r="H921" s="2">
        <f t="shared" ca="1" si="398"/>
        <v>324</v>
      </c>
      <c r="I921" t="str">
        <f t="shared" si="399"/>
        <v>COPPER</v>
      </c>
      <c r="J921">
        <f t="shared" si="400"/>
        <v>2.11</v>
      </c>
      <c r="K921">
        <f t="shared" si="401"/>
        <v>2.31</v>
      </c>
      <c r="L921">
        <f t="shared" si="402"/>
        <v>2.21</v>
      </c>
      <c r="M921">
        <f t="shared" si="403"/>
        <v>0.10000000000000009</v>
      </c>
      <c r="N921">
        <f t="shared" si="393"/>
        <v>0.20000000000000018</v>
      </c>
      <c r="O921">
        <f t="shared" si="404"/>
        <v>2.27</v>
      </c>
      <c r="P921">
        <f t="shared" si="405"/>
        <v>0.6</v>
      </c>
      <c r="Q921" t="str">
        <f t="shared" si="394"/>
        <v>7.05% | 1.76%</v>
      </c>
      <c r="R921" t="str">
        <f t="shared" si="406"/>
        <v>BEARISH</v>
      </c>
      <c r="S921">
        <f t="shared" si="395"/>
        <v>-1</v>
      </c>
    </row>
    <row r="922" spans="1:19" hidden="1" x14ac:dyDescent="0.25">
      <c r="A922" s="5" t="str">
        <f t="shared" si="392"/>
        <v>43929AAPL</v>
      </c>
      <c r="B922" s="6" t="s">
        <v>68</v>
      </c>
      <c r="C922" s="6">
        <v>234.97</v>
      </c>
      <c r="D922" s="6">
        <v>267.92</v>
      </c>
      <c r="E922" s="6">
        <v>259.43</v>
      </c>
      <c r="F922" t="str">
        <f t="shared" si="396"/>
        <v>WED</v>
      </c>
      <c r="G922" s="1">
        <f t="shared" si="397"/>
        <v>43929</v>
      </c>
      <c r="H922" s="2">
        <f t="shared" ca="1" si="398"/>
        <v>324</v>
      </c>
      <c r="I922" t="str">
        <f t="shared" si="399"/>
        <v>AAPL</v>
      </c>
      <c r="J922">
        <f t="shared" si="400"/>
        <v>234.97</v>
      </c>
      <c r="K922">
        <f t="shared" si="401"/>
        <v>267.92</v>
      </c>
      <c r="L922">
        <f t="shared" si="402"/>
        <v>251.44499999999999</v>
      </c>
      <c r="M922">
        <f t="shared" si="403"/>
        <v>16.475000000000009</v>
      </c>
      <c r="N922">
        <f t="shared" si="393"/>
        <v>32.950000000000017</v>
      </c>
      <c r="O922">
        <f t="shared" si="404"/>
        <v>259.43</v>
      </c>
      <c r="P922">
        <f t="shared" si="405"/>
        <v>0.4846737481031872</v>
      </c>
      <c r="Q922" t="str">
        <f t="shared" si="394"/>
        <v>9.43% | 3.27%</v>
      </c>
      <c r="R922" t="str">
        <f t="shared" si="406"/>
        <v>BEARISH</v>
      </c>
      <c r="S922">
        <f t="shared" si="395"/>
        <v>-1</v>
      </c>
    </row>
    <row r="923" spans="1:19" hidden="1" x14ac:dyDescent="0.25">
      <c r="A923" s="5" t="str">
        <f t="shared" si="392"/>
        <v>43929AMZN</v>
      </c>
      <c r="B923" s="6" t="s">
        <v>29</v>
      </c>
      <c r="C923" s="6">
        <v>1865</v>
      </c>
      <c r="D923" s="6">
        <v>2032</v>
      </c>
      <c r="E923" s="6">
        <v>2011</v>
      </c>
      <c r="F923" t="str">
        <f t="shared" si="396"/>
        <v>WED</v>
      </c>
      <c r="G923" s="1">
        <f t="shared" si="397"/>
        <v>43929</v>
      </c>
      <c r="H923" s="2">
        <f t="shared" ca="1" si="398"/>
        <v>324</v>
      </c>
      <c r="I923" t="str">
        <f t="shared" si="399"/>
        <v>AMZN</v>
      </c>
      <c r="J923">
        <f t="shared" si="400"/>
        <v>1865</v>
      </c>
      <c r="K923">
        <f t="shared" si="401"/>
        <v>2032</v>
      </c>
      <c r="L923">
        <f t="shared" si="402"/>
        <v>1948.5</v>
      </c>
      <c r="M923">
        <f t="shared" si="403"/>
        <v>83.5</v>
      </c>
      <c r="N923">
        <f t="shared" si="393"/>
        <v>167</v>
      </c>
      <c r="O923">
        <f t="shared" si="404"/>
        <v>2011</v>
      </c>
      <c r="P923">
        <f t="shared" si="405"/>
        <v>0.74850299401197606</v>
      </c>
      <c r="Q923" t="str">
        <f t="shared" si="394"/>
        <v>7.26% | 1.04%</v>
      </c>
      <c r="R923" t="str">
        <f t="shared" si="406"/>
        <v>BULLISH</v>
      </c>
      <c r="S923">
        <f t="shared" si="395"/>
        <v>1</v>
      </c>
    </row>
    <row r="924" spans="1:19" hidden="1" x14ac:dyDescent="0.25">
      <c r="A924" s="5" t="str">
        <f t="shared" si="392"/>
        <v>43929FB</v>
      </c>
      <c r="B924" s="6" t="s">
        <v>58</v>
      </c>
      <c r="C924" s="6">
        <v>150</v>
      </c>
      <c r="D924" s="6">
        <v>172</v>
      </c>
      <c r="E924" s="6">
        <v>168</v>
      </c>
      <c r="F924" t="str">
        <f t="shared" si="396"/>
        <v>WED</v>
      </c>
      <c r="G924" s="1">
        <f t="shared" si="397"/>
        <v>43929</v>
      </c>
      <c r="H924" s="2">
        <f t="shared" ca="1" si="398"/>
        <v>324</v>
      </c>
      <c r="I924" t="str">
        <f t="shared" si="399"/>
        <v>FB</v>
      </c>
      <c r="J924">
        <f t="shared" si="400"/>
        <v>150</v>
      </c>
      <c r="K924">
        <f t="shared" si="401"/>
        <v>172</v>
      </c>
      <c r="L924">
        <f t="shared" si="402"/>
        <v>161</v>
      </c>
      <c r="M924">
        <f t="shared" si="403"/>
        <v>11</v>
      </c>
      <c r="N924">
        <f t="shared" si="393"/>
        <v>22</v>
      </c>
      <c r="O924">
        <f t="shared" si="404"/>
        <v>168</v>
      </c>
      <c r="P924">
        <f t="shared" si="405"/>
        <v>0.63636363636363635</v>
      </c>
      <c r="Q924" t="str">
        <f t="shared" si="394"/>
        <v>10.71% | 2.38%</v>
      </c>
      <c r="R924" t="str">
        <f t="shared" si="406"/>
        <v>BEARISH</v>
      </c>
      <c r="S924">
        <f t="shared" si="395"/>
        <v>-1</v>
      </c>
    </row>
    <row r="925" spans="1:19" hidden="1" x14ac:dyDescent="0.25">
      <c r="A925" s="5" t="str">
        <f t="shared" si="392"/>
        <v>43929GOOGL</v>
      </c>
      <c r="B925" s="6" t="s">
        <v>66</v>
      </c>
      <c r="C925" s="6">
        <v>1063</v>
      </c>
      <c r="D925" s="6">
        <v>1207</v>
      </c>
      <c r="E925" s="6">
        <v>1182</v>
      </c>
      <c r="F925" t="str">
        <f t="shared" si="396"/>
        <v>WED</v>
      </c>
      <c r="G925" s="1">
        <f t="shared" si="397"/>
        <v>43929</v>
      </c>
      <c r="H925" s="2">
        <f t="shared" ca="1" si="398"/>
        <v>324</v>
      </c>
      <c r="I925" t="str">
        <f t="shared" si="399"/>
        <v>GOOGL</v>
      </c>
      <c r="J925">
        <f t="shared" si="400"/>
        <v>1063</v>
      </c>
      <c r="K925">
        <f t="shared" si="401"/>
        <v>1207</v>
      </c>
      <c r="L925">
        <f t="shared" si="402"/>
        <v>1135</v>
      </c>
      <c r="M925">
        <f t="shared" si="403"/>
        <v>72</v>
      </c>
      <c r="N925">
        <f t="shared" si="393"/>
        <v>144</v>
      </c>
      <c r="O925">
        <f t="shared" si="404"/>
        <v>1182</v>
      </c>
      <c r="P925">
        <f t="shared" si="405"/>
        <v>0.65277777777777779</v>
      </c>
      <c r="Q925" t="str">
        <f t="shared" si="394"/>
        <v>10.07% | 2.12%</v>
      </c>
      <c r="R925" t="str">
        <f t="shared" si="406"/>
        <v>BEARISH</v>
      </c>
      <c r="S925">
        <f t="shared" si="395"/>
        <v>-1</v>
      </c>
    </row>
    <row r="926" spans="1:19" hidden="1" x14ac:dyDescent="0.25">
      <c r="A926" s="5" t="str">
        <f t="shared" si="392"/>
        <v>43929NFLX</v>
      </c>
      <c r="B926" s="6" t="s">
        <v>70</v>
      </c>
      <c r="C926" s="6">
        <v>347</v>
      </c>
      <c r="D926" s="6">
        <v>384</v>
      </c>
      <c r="E926" s="6">
        <v>372</v>
      </c>
      <c r="F926" t="str">
        <f t="shared" si="396"/>
        <v>WED</v>
      </c>
      <c r="G926" s="1">
        <f t="shared" si="397"/>
        <v>43929</v>
      </c>
      <c r="H926" s="2">
        <f t="shared" ca="1" si="398"/>
        <v>324</v>
      </c>
      <c r="I926" t="str">
        <f t="shared" si="399"/>
        <v>NFLX</v>
      </c>
      <c r="J926">
        <f t="shared" si="400"/>
        <v>347</v>
      </c>
      <c r="K926">
        <f t="shared" si="401"/>
        <v>384</v>
      </c>
      <c r="L926">
        <f t="shared" si="402"/>
        <v>365.5</v>
      </c>
      <c r="M926">
        <f t="shared" si="403"/>
        <v>18.5</v>
      </c>
      <c r="N926">
        <f t="shared" si="393"/>
        <v>37</v>
      </c>
      <c r="O926">
        <f t="shared" si="404"/>
        <v>372</v>
      </c>
      <c r="P926">
        <f t="shared" si="405"/>
        <v>0.35135135135135137</v>
      </c>
      <c r="Q926" t="str">
        <f t="shared" si="394"/>
        <v>6.72% | 3.23%</v>
      </c>
      <c r="R926" t="str">
        <f t="shared" si="406"/>
        <v>NEUTRAL</v>
      </c>
      <c r="S926">
        <f t="shared" si="395"/>
        <v>0</v>
      </c>
    </row>
    <row r="927" spans="1:19" x14ac:dyDescent="0.25">
      <c r="A927" s="5" t="str">
        <f t="shared" si="392"/>
        <v>43929TSLA</v>
      </c>
      <c r="B927" s="6" t="s">
        <v>83</v>
      </c>
      <c r="C927" s="6">
        <v>441</v>
      </c>
      <c r="D927" s="6">
        <v>562</v>
      </c>
      <c r="E927" s="6">
        <v>545</v>
      </c>
      <c r="F927" t="str">
        <f t="shared" si="396"/>
        <v>WED</v>
      </c>
      <c r="G927" s="1">
        <f t="shared" si="397"/>
        <v>43929</v>
      </c>
      <c r="H927" s="2">
        <f t="shared" ca="1" si="398"/>
        <v>324</v>
      </c>
      <c r="I927" t="str">
        <f t="shared" si="399"/>
        <v>TSLA</v>
      </c>
      <c r="J927">
        <f t="shared" si="400"/>
        <v>441</v>
      </c>
      <c r="K927">
        <f t="shared" si="401"/>
        <v>562</v>
      </c>
      <c r="L927">
        <f t="shared" si="402"/>
        <v>501.5</v>
      </c>
      <c r="M927">
        <f t="shared" si="403"/>
        <v>60.5</v>
      </c>
      <c r="N927">
        <f t="shared" si="393"/>
        <v>121</v>
      </c>
      <c r="O927">
        <f t="shared" si="404"/>
        <v>545</v>
      </c>
      <c r="P927">
        <f t="shared" si="405"/>
        <v>0.71900826446280997</v>
      </c>
      <c r="Q927" t="str">
        <f t="shared" si="394"/>
        <v>19.08% | 3.12%</v>
      </c>
      <c r="R927" t="str">
        <f t="shared" si="406"/>
        <v>BEARISH</v>
      </c>
      <c r="S927">
        <f t="shared" si="395"/>
        <v>-1</v>
      </c>
    </row>
    <row r="928" spans="1:19" hidden="1" x14ac:dyDescent="0.25">
      <c r="A928" s="5" t="str">
        <f t="shared" si="392"/>
        <v>43929NYXBT</v>
      </c>
      <c r="B928" s="6" t="s">
        <v>84</v>
      </c>
      <c r="C928" s="6">
        <v>6020</v>
      </c>
      <c r="D928" s="6">
        <v>7441</v>
      </c>
      <c r="E928" s="6">
        <v>7305</v>
      </c>
      <c r="F928" t="str">
        <f t="shared" si="396"/>
        <v>WED</v>
      </c>
      <c r="G928" s="1">
        <f t="shared" si="397"/>
        <v>43929</v>
      </c>
      <c r="H928" s="2">
        <f t="shared" ca="1" si="398"/>
        <v>324</v>
      </c>
      <c r="I928" t="str">
        <f t="shared" si="399"/>
        <v>NYXBT</v>
      </c>
      <c r="J928">
        <f t="shared" si="400"/>
        <v>6020</v>
      </c>
      <c r="K928">
        <f t="shared" si="401"/>
        <v>7441</v>
      </c>
      <c r="L928">
        <f t="shared" si="402"/>
        <v>6730.5</v>
      </c>
      <c r="M928">
        <f t="shared" si="403"/>
        <v>710.5</v>
      </c>
      <c r="N928">
        <f t="shared" si="393"/>
        <v>1421</v>
      </c>
      <c r="O928">
        <f t="shared" si="404"/>
        <v>7305</v>
      </c>
      <c r="P928">
        <f t="shared" si="405"/>
        <v>0.8085855031667839</v>
      </c>
      <c r="Q928" t="str">
        <f t="shared" si="394"/>
        <v>17.59% | 1.86%</v>
      </c>
      <c r="R928" t="str">
        <f t="shared" si="406"/>
        <v>BEARISH</v>
      </c>
      <c r="S928">
        <f t="shared" si="395"/>
        <v>-1</v>
      </c>
    </row>
    <row r="929" spans="1:19" hidden="1" x14ac:dyDescent="0.25">
      <c r="A929" s="5" t="str">
        <f t="shared" si="392"/>
        <v>43930UST10Y</v>
      </c>
      <c r="B929" s="6" t="s">
        <v>4</v>
      </c>
      <c r="C929" s="6">
        <v>0.82</v>
      </c>
      <c r="D929" s="6">
        <v>0.56000000000000005</v>
      </c>
      <c r="E929" s="6">
        <v>0.77</v>
      </c>
      <c r="F929" t="str">
        <f t="shared" si="396"/>
        <v>THU</v>
      </c>
      <c r="G929" s="3">
        <f>DATE(2020,4,9)</f>
        <v>43930</v>
      </c>
      <c r="H929" s="2">
        <f t="shared" ca="1" si="398"/>
        <v>323</v>
      </c>
      <c r="I929" t="str">
        <f t="shared" si="399"/>
        <v>UST10Y</v>
      </c>
      <c r="J929">
        <f t="shared" si="400"/>
        <v>0.82</v>
      </c>
      <c r="K929">
        <f t="shared" si="401"/>
        <v>0.56000000000000005</v>
      </c>
      <c r="L929">
        <f t="shared" si="402"/>
        <v>0.69</v>
      </c>
      <c r="M929">
        <f t="shared" si="403"/>
        <v>0.13000000000000031</v>
      </c>
      <c r="N929">
        <f t="shared" si="393"/>
        <v>0.2599999999999999</v>
      </c>
      <c r="O929">
        <f t="shared" si="404"/>
        <v>0.77</v>
      </c>
      <c r="P929">
        <f t="shared" si="405"/>
        <v>0.61538461538461442</v>
      </c>
      <c r="Q929" t="str">
        <f t="shared" si="394"/>
        <v>6.49% | 27.27%</v>
      </c>
      <c r="R929" t="str">
        <f t="shared" si="406"/>
        <v>BEARISH</v>
      </c>
      <c r="S929">
        <f t="shared" si="395"/>
        <v>-1</v>
      </c>
    </row>
    <row r="930" spans="1:19" hidden="1" x14ac:dyDescent="0.25">
      <c r="A930" s="5" t="str">
        <f t="shared" si="392"/>
        <v>43930UST2Y</v>
      </c>
      <c r="B930" s="6" t="s">
        <v>5</v>
      </c>
      <c r="C930" s="6">
        <v>0.34</v>
      </c>
      <c r="D930" s="6">
        <v>0.16</v>
      </c>
      <c r="E930" s="6">
        <v>0.27</v>
      </c>
      <c r="F930" t="str">
        <f t="shared" ref="F930:F958" si="407">UPPER(TEXT(G930,"ddd"))</f>
        <v>THU</v>
      </c>
      <c r="G930" s="3">
        <f t="shared" ref="G930:G957" si="408">DATE(2020,4,9)</f>
        <v>43930</v>
      </c>
      <c r="H930" s="2">
        <f t="shared" ref="H930:H958" ca="1" si="409">TODAY()-G930</f>
        <v>323</v>
      </c>
      <c r="I930" t="str">
        <f t="shared" ref="I930:I958" si="410">TRIM(LEFT(B930,FIND(" ",B930,1)))</f>
        <v>UST2Y</v>
      </c>
      <c r="J930">
        <f t="shared" ref="J930:J958" si="411">C930</f>
        <v>0.34</v>
      </c>
      <c r="K930">
        <f t="shared" ref="K930:K958" si="412">D930</f>
        <v>0.16</v>
      </c>
      <c r="L930">
        <f t="shared" ref="L930:L958" si="413">AVERAGE(J930:K930)</f>
        <v>0.25</v>
      </c>
      <c r="M930">
        <f t="shared" ref="M930:M958" si="414">_xlfn.STDEV.P(J930:K930)</f>
        <v>9.0000000000000052E-2</v>
      </c>
      <c r="N930">
        <f t="shared" si="393"/>
        <v>0.18000000000000002</v>
      </c>
      <c r="O930">
        <f t="shared" ref="O930:O958" si="415">E930</f>
        <v>0.27</v>
      </c>
      <c r="P930">
        <f t="shared" ref="P930:P958" si="416">(O930-L930)/M930</f>
        <v>0.22222222222222229</v>
      </c>
      <c r="Q930" t="str">
        <f t="shared" si="394"/>
        <v>25.93% | 40.74%</v>
      </c>
      <c r="R930" t="str">
        <f t="shared" ref="R930:R958" si="417">MID(B930,FIND("(",B930,1)+1,FIND(")",B930,1)-FIND("(",B930,1)-1)</f>
        <v>BEARISH</v>
      </c>
      <c r="S930">
        <f t="shared" si="395"/>
        <v>-1</v>
      </c>
    </row>
    <row r="931" spans="1:19" hidden="1" x14ac:dyDescent="0.25">
      <c r="A931" s="5" t="str">
        <f t="shared" si="392"/>
        <v>43930SPX</v>
      </c>
      <c r="B931" s="6" t="s">
        <v>6</v>
      </c>
      <c r="C931" s="6">
        <v>2426</v>
      </c>
      <c r="D931" s="6">
        <v>2774</v>
      </c>
      <c r="E931" s="6">
        <v>2749</v>
      </c>
      <c r="F931" t="str">
        <f t="shared" si="407"/>
        <v>THU</v>
      </c>
      <c r="G931" s="3">
        <f t="shared" si="408"/>
        <v>43930</v>
      </c>
      <c r="H931" s="2">
        <f t="shared" ca="1" si="409"/>
        <v>323</v>
      </c>
      <c r="I931" t="str">
        <f t="shared" si="410"/>
        <v>SPX</v>
      </c>
      <c r="J931">
        <f t="shared" si="411"/>
        <v>2426</v>
      </c>
      <c r="K931">
        <f t="shared" si="412"/>
        <v>2774</v>
      </c>
      <c r="L931">
        <f t="shared" si="413"/>
        <v>2600</v>
      </c>
      <c r="M931">
        <f t="shared" si="414"/>
        <v>174</v>
      </c>
      <c r="N931">
        <f t="shared" si="393"/>
        <v>348</v>
      </c>
      <c r="O931">
        <f t="shared" si="415"/>
        <v>2749</v>
      </c>
      <c r="P931">
        <f t="shared" si="416"/>
        <v>0.85632183908045978</v>
      </c>
      <c r="Q931" t="str">
        <f t="shared" si="394"/>
        <v>11.75% | 0.91%</v>
      </c>
      <c r="R931" t="str">
        <f t="shared" si="417"/>
        <v>BEARISH</v>
      </c>
      <c r="S931">
        <f t="shared" si="395"/>
        <v>-1</v>
      </c>
    </row>
    <row r="932" spans="1:19" hidden="1" x14ac:dyDescent="0.25">
      <c r="A932" s="5" t="str">
        <f t="shared" si="392"/>
        <v>43930RUT</v>
      </c>
      <c r="B932" s="6" t="s">
        <v>7</v>
      </c>
      <c r="C932" s="6">
        <v>1045</v>
      </c>
      <c r="D932" s="6">
        <v>1212</v>
      </c>
      <c r="E932" s="6">
        <v>1191</v>
      </c>
      <c r="F932" t="str">
        <f t="shared" si="407"/>
        <v>THU</v>
      </c>
      <c r="G932" s="3">
        <f t="shared" si="408"/>
        <v>43930</v>
      </c>
      <c r="H932" s="2">
        <f t="shared" ca="1" si="409"/>
        <v>323</v>
      </c>
      <c r="I932" t="str">
        <f t="shared" si="410"/>
        <v>RUT</v>
      </c>
      <c r="J932">
        <f t="shared" si="411"/>
        <v>1045</v>
      </c>
      <c r="K932">
        <f t="shared" si="412"/>
        <v>1212</v>
      </c>
      <c r="L932">
        <f t="shared" si="413"/>
        <v>1128.5</v>
      </c>
      <c r="M932">
        <f t="shared" si="414"/>
        <v>83.5</v>
      </c>
      <c r="N932">
        <f t="shared" si="393"/>
        <v>167</v>
      </c>
      <c r="O932">
        <f t="shared" si="415"/>
        <v>1191</v>
      </c>
      <c r="P932">
        <f t="shared" si="416"/>
        <v>0.74850299401197606</v>
      </c>
      <c r="Q932" t="str">
        <f t="shared" si="394"/>
        <v>12.26% | 1.76%</v>
      </c>
      <c r="R932" t="str">
        <f t="shared" si="417"/>
        <v>BEARISH</v>
      </c>
      <c r="S932">
        <f t="shared" si="395"/>
        <v>-1</v>
      </c>
    </row>
    <row r="933" spans="1:19" hidden="1" x14ac:dyDescent="0.25">
      <c r="A933" s="5" t="str">
        <f t="shared" si="392"/>
        <v>43930COMPQ</v>
      </c>
      <c r="B933" s="6" t="s">
        <v>64</v>
      </c>
      <c r="C933" s="6">
        <v>7176</v>
      </c>
      <c r="D933" s="6">
        <v>8186</v>
      </c>
      <c r="E933" s="6">
        <v>8090</v>
      </c>
      <c r="F933" t="str">
        <f t="shared" si="407"/>
        <v>THU</v>
      </c>
      <c r="G933" s="3">
        <f t="shared" si="408"/>
        <v>43930</v>
      </c>
      <c r="H933" s="2">
        <f t="shared" ca="1" si="409"/>
        <v>323</v>
      </c>
      <c r="I933" t="str">
        <f t="shared" si="410"/>
        <v>COMPQ</v>
      </c>
      <c r="J933">
        <f t="shared" si="411"/>
        <v>7176</v>
      </c>
      <c r="K933">
        <f t="shared" si="412"/>
        <v>8186</v>
      </c>
      <c r="L933">
        <f t="shared" si="413"/>
        <v>7681</v>
      </c>
      <c r="M933">
        <f t="shared" si="414"/>
        <v>505</v>
      </c>
      <c r="N933">
        <f t="shared" si="393"/>
        <v>1010</v>
      </c>
      <c r="O933">
        <f t="shared" si="415"/>
        <v>8090</v>
      </c>
      <c r="P933">
        <f t="shared" si="416"/>
        <v>0.80990099009900995</v>
      </c>
      <c r="Q933" t="str">
        <f t="shared" si="394"/>
        <v>11.3% | 1.19%</v>
      </c>
      <c r="R933" t="str">
        <f t="shared" si="417"/>
        <v>BEARISH</v>
      </c>
      <c r="S933">
        <f t="shared" si="395"/>
        <v>-1</v>
      </c>
    </row>
    <row r="934" spans="1:19" hidden="1" x14ac:dyDescent="0.25">
      <c r="A934" s="5" t="str">
        <f t="shared" si="392"/>
        <v>43930XLU</v>
      </c>
      <c r="B934" s="6" t="s">
        <v>80</v>
      </c>
      <c r="C934" s="6">
        <v>50.16</v>
      </c>
      <c r="D934" s="6">
        <v>58.33</v>
      </c>
      <c r="E934" s="6">
        <v>58.09</v>
      </c>
      <c r="F934" t="str">
        <f t="shared" si="407"/>
        <v>THU</v>
      </c>
      <c r="G934" s="3">
        <f t="shared" si="408"/>
        <v>43930</v>
      </c>
      <c r="H934" s="2">
        <f t="shared" ca="1" si="409"/>
        <v>323</v>
      </c>
      <c r="I934" t="str">
        <f t="shared" si="410"/>
        <v>XLU</v>
      </c>
      <c r="J934">
        <f t="shared" si="411"/>
        <v>50.16</v>
      </c>
      <c r="K934">
        <f t="shared" si="412"/>
        <v>58.33</v>
      </c>
      <c r="L934">
        <f t="shared" si="413"/>
        <v>54.244999999999997</v>
      </c>
      <c r="M934">
        <f t="shared" si="414"/>
        <v>4.0850000000000009</v>
      </c>
      <c r="N934">
        <f t="shared" si="393"/>
        <v>8.1700000000000017</v>
      </c>
      <c r="O934">
        <f t="shared" si="415"/>
        <v>58.09</v>
      </c>
      <c r="P934">
        <f t="shared" si="416"/>
        <v>0.94124847001224121</v>
      </c>
      <c r="Q934" t="str">
        <f t="shared" si="394"/>
        <v>13.65% | 0.41%</v>
      </c>
      <c r="R934" t="str">
        <f t="shared" si="417"/>
        <v>NEUTRAL</v>
      </c>
      <c r="S934">
        <f t="shared" si="395"/>
        <v>0</v>
      </c>
    </row>
    <row r="935" spans="1:19" hidden="1" x14ac:dyDescent="0.25">
      <c r="A935" s="5" t="str">
        <f t="shared" si="392"/>
        <v>43930VNQ</v>
      </c>
      <c r="B935" s="6" t="s">
        <v>67</v>
      </c>
      <c r="C935" s="6">
        <v>62.6</v>
      </c>
      <c r="D935" s="6">
        <v>75.94</v>
      </c>
      <c r="E935" s="6">
        <v>74.72</v>
      </c>
      <c r="F935" t="str">
        <f t="shared" si="407"/>
        <v>THU</v>
      </c>
      <c r="G935" s="3">
        <f t="shared" si="408"/>
        <v>43930</v>
      </c>
      <c r="H935" s="2">
        <f t="shared" ca="1" si="409"/>
        <v>323</v>
      </c>
      <c r="I935" t="str">
        <f t="shared" si="410"/>
        <v>VNQ</v>
      </c>
      <c r="J935">
        <f t="shared" si="411"/>
        <v>62.6</v>
      </c>
      <c r="K935">
        <f t="shared" si="412"/>
        <v>75.94</v>
      </c>
      <c r="L935">
        <f t="shared" si="413"/>
        <v>69.27</v>
      </c>
      <c r="M935">
        <f t="shared" si="414"/>
        <v>6.6699999999999982</v>
      </c>
      <c r="N935">
        <f t="shared" si="393"/>
        <v>13.339999999999996</v>
      </c>
      <c r="O935">
        <f t="shared" si="415"/>
        <v>74.72</v>
      </c>
      <c r="P935">
        <f t="shared" si="416"/>
        <v>0.81709145427286423</v>
      </c>
      <c r="Q935" t="str">
        <f t="shared" si="394"/>
        <v>16.22% | 1.63%</v>
      </c>
      <c r="R935" t="str">
        <f t="shared" si="417"/>
        <v>BEARISH</v>
      </c>
      <c r="S935">
        <f t="shared" si="395"/>
        <v>-1</v>
      </c>
    </row>
    <row r="936" spans="1:19" hidden="1" x14ac:dyDescent="0.25">
      <c r="A936" s="5" t="str">
        <f t="shared" si="392"/>
        <v>43930XLP</v>
      </c>
      <c r="B936" s="6" t="s">
        <v>50</v>
      </c>
      <c r="C936" s="6">
        <v>52.27</v>
      </c>
      <c r="D936" s="6">
        <v>58.78</v>
      </c>
      <c r="E936" s="6">
        <v>57.59</v>
      </c>
      <c r="F936" t="str">
        <f t="shared" si="407"/>
        <v>THU</v>
      </c>
      <c r="G936" s="3">
        <f t="shared" si="408"/>
        <v>43930</v>
      </c>
      <c r="H936" s="2">
        <f t="shared" ca="1" si="409"/>
        <v>323</v>
      </c>
      <c r="I936" t="str">
        <f t="shared" si="410"/>
        <v>XLP</v>
      </c>
      <c r="J936">
        <f t="shared" si="411"/>
        <v>52.27</v>
      </c>
      <c r="K936">
        <f t="shared" si="412"/>
        <v>58.78</v>
      </c>
      <c r="L936">
        <f t="shared" si="413"/>
        <v>55.525000000000006</v>
      </c>
      <c r="M936">
        <f t="shared" si="414"/>
        <v>3.254999999999999</v>
      </c>
      <c r="N936">
        <f t="shared" si="393"/>
        <v>6.509999999999998</v>
      </c>
      <c r="O936">
        <f t="shared" si="415"/>
        <v>57.59</v>
      </c>
      <c r="P936">
        <f t="shared" si="416"/>
        <v>0.63440860215053718</v>
      </c>
      <c r="Q936" t="str">
        <f t="shared" si="394"/>
        <v>9.24% | 2.07%</v>
      </c>
      <c r="R936" t="str">
        <f t="shared" si="417"/>
        <v>NEUTRAL</v>
      </c>
      <c r="S936">
        <f t="shared" si="395"/>
        <v>0</v>
      </c>
    </row>
    <row r="937" spans="1:19" hidden="1" x14ac:dyDescent="0.25">
      <c r="A937" s="5" t="str">
        <f t="shared" si="392"/>
        <v>43930XLK</v>
      </c>
      <c r="B937" s="6" t="s">
        <v>65</v>
      </c>
      <c r="C937" s="6">
        <v>74.62</v>
      </c>
      <c r="D937" s="6">
        <v>86.79</v>
      </c>
      <c r="E937" s="6">
        <v>85.18</v>
      </c>
      <c r="F937" t="str">
        <f t="shared" si="407"/>
        <v>THU</v>
      </c>
      <c r="G937" s="3">
        <f t="shared" si="408"/>
        <v>43930</v>
      </c>
      <c r="H937" s="2">
        <f t="shared" ca="1" si="409"/>
        <v>323</v>
      </c>
      <c r="I937" t="str">
        <f t="shared" si="410"/>
        <v>XLK</v>
      </c>
      <c r="J937">
        <f t="shared" si="411"/>
        <v>74.62</v>
      </c>
      <c r="K937">
        <f t="shared" si="412"/>
        <v>86.79</v>
      </c>
      <c r="L937">
        <f t="shared" si="413"/>
        <v>80.705000000000013</v>
      </c>
      <c r="M937">
        <f t="shared" si="414"/>
        <v>6.0850000000000009</v>
      </c>
      <c r="N937">
        <f t="shared" si="393"/>
        <v>12.170000000000002</v>
      </c>
      <c r="O937">
        <f t="shared" si="415"/>
        <v>85.18</v>
      </c>
      <c r="P937">
        <f t="shared" si="416"/>
        <v>0.73541495480690122</v>
      </c>
      <c r="Q937" t="str">
        <f t="shared" si="394"/>
        <v>12.4% | 1.89%</v>
      </c>
      <c r="R937" t="str">
        <f t="shared" si="417"/>
        <v>BEARISH</v>
      </c>
      <c r="S937">
        <f t="shared" si="395"/>
        <v>-1</v>
      </c>
    </row>
    <row r="938" spans="1:19" hidden="1" x14ac:dyDescent="0.25">
      <c r="A938" s="5" t="str">
        <f t="shared" si="392"/>
        <v>43930SSEC</v>
      </c>
      <c r="B938" s="6" t="s">
        <v>14</v>
      </c>
      <c r="C938" s="6">
        <v>2706</v>
      </c>
      <c r="D938" s="6">
        <v>2837</v>
      </c>
      <c r="E938" s="6">
        <v>2825</v>
      </c>
      <c r="F938" t="str">
        <f t="shared" si="407"/>
        <v>THU</v>
      </c>
      <c r="G938" s="3">
        <f t="shared" si="408"/>
        <v>43930</v>
      </c>
      <c r="H938" s="2">
        <f t="shared" ca="1" si="409"/>
        <v>323</v>
      </c>
      <c r="I938" t="str">
        <f t="shared" si="410"/>
        <v>SSEC</v>
      </c>
      <c r="J938">
        <f t="shared" si="411"/>
        <v>2706</v>
      </c>
      <c r="K938">
        <f t="shared" si="412"/>
        <v>2837</v>
      </c>
      <c r="L938">
        <f t="shared" si="413"/>
        <v>2771.5</v>
      </c>
      <c r="M938">
        <f t="shared" si="414"/>
        <v>65.5</v>
      </c>
      <c r="N938">
        <f t="shared" si="393"/>
        <v>131</v>
      </c>
      <c r="O938">
        <f t="shared" si="415"/>
        <v>2825</v>
      </c>
      <c r="P938">
        <f t="shared" si="416"/>
        <v>0.81679389312977102</v>
      </c>
      <c r="Q938" t="str">
        <f t="shared" si="394"/>
        <v>4.21% | 0.42%</v>
      </c>
      <c r="R938" t="str">
        <f t="shared" si="417"/>
        <v>BEARISH</v>
      </c>
      <c r="S938">
        <f t="shared" si="395"/>
        <v>-1</v>
      </c>
    </row>
    <row r="939" spans="1:19" hidden="1" x14ac:dyDescent="0.25">
      <c r="A939" s="5" t="str">
        <f t="shared" si="392"/>
        <v>43930NIKK</v>
      </c>
      <c r="B939" s="6" t="s">
        <v>15</v>
      </c>
      <c r="C939" s="6">
        <v>17488</v>
      </c>
      <c r="D939" s="6">
        <v>19850</v>
      </c>
      <c r="E939" s="6">
        <v>19345</v>
      </c>
      <c r="F939" t="str">
        <f t="shared" si="407"/>
        <v>THU</v>
      </c>
      <c r="G939" s="3">
        <f t="shared" si="408"/>
        <v>43930</v>
      </c>
      <c r="H939" s="2">
        <f t="shared" ca="1" si="409"/>
        <v>323</v>
      </c>
      <c r="I939" t="str">
        <f t="shared" si="410"/>
        <v>NIKK</v>
      </c>
      <c r="J939">
        <f t="shared" si="411"/>
        <v>17488</v>
      </c>
      <c r="K939">
        <f t="shared" si="412"/>
        <v>19850</v>
      </c>
      <c r="L939">
        <f t="shared" si="413"/>
        <v>18669</v>
      </c>
      <c r="M939">
        <f t="shared" si="414"/>
        <v>1181</v>
      </c>
      <c r="N939">
        <f t="shared" si="393"/>
        <v>2362</v>
      </c>
      <c r="O939">
        <f t="shared" si="415"/>
        <v>19345</v>
      </c>
      <c r="P939">
        <f t="shared" si="416"/>
        <v>0.57239627434377649</v>
      </c>
      <c r="Q939" t="str">
        <f t="shared" si="394"/>
        <v>9.6% | 2.61%</v>
      </c>
      <c r="R939" t="str">
        <f t="shared" si="417"/>
        <v>BEARISH</v>
      </c>
      <c r="S939">
        <f t="shared" si="395"/>
        <v>-1</v>
      </c>
    </row>
    <row r="940" spans="1:19" hidden="1" x14ac:dyDescent="0.25">
      <c r="A940" s="5" t="str">
        <f t="shared" si="392"/>
        <v>43930DAX</v>
      </c>
      <c r="B940" s="6" t="s">
        <v>16</v>
      </c>
      <c r="C940" s="6">
        <v>9231</v>
      </c>
      <c r="D940" s="6">
        <v>10519</v>
      </c>
      <c r="E940" s="6">
        <v>10335</v>
      </c>
      <c r="F940" t="str">
        <f t="shared" si="407"/>
        <v>THU</v>
      </c>
      <c r="G940" s="3">
        <f t="shared" si="408"/>
        <v>43930</v>
      </c>
      <c r="H940" s="2">
        <f t="shared" ca="1" si="409"/>
        <v>323</v>
      </c>
      <c r="I940" t="str">
        <f t="shared" si="410"/>
        <v>DAX</v>
      </c>
      <c r="J940">
        <f t="shared" si="411"/>
        <v>9231</v>
      </c>
      <c r="K940">
        <f t="shared" si="412"/>
        <v>10519</v>
      </c>
      <c r="L940">
        <f t="shared" si="413"/>
        <v>9875</v>
      </c>
      <c r="M940">
        <f t="shared" si="414"/>
        <v>644</v>
      </c>
      <c r="N940">
        <f t="shared" si="393"/>
        <v>1288</v>
      </c>
      <c r="O940">
        <f t="shared" si="415"/>
        <v>10335</v>
      </c>
      <c r="P940">
        <f t="shared" si="416"/>
        <v>0.7142857142857143</v>
      </c>
      <c r="Q940" t="str">
        <f t="shared" si="394"/>
        <v>10.68% | 1.78%</v>
      </c>
      <c r="R940" t="str">
        <f t="shared" si="417"/>
        <v>BEARISH</v>
      </c>
      <c r="S940">
        <f t="shared" si="395"/>
        <v>-1</v>
      </c>
    </row>
    <row r="941" spans="1:19" hidden="1" x14ac:dyDescent="0.25">
      <c r="A941" s="5" t="str">
        <f t="shared" si="392"/>
        <v>43930VIX</v>
      </c>
      <c r="B941" s="6" t="s">
        <v>17</v>
      </c>
      <c r="C941" s="6">
        <v>38.04</v>
      </c>
      <c r="D941" s="6">
        <v>66.36</v>
      </c>
      <c r="E941" s="6">
        <v>43.35</v>
      </c>
      <c r="F941" t="str">
        <f t="shared" si="407"/>
        <v>THU</v>
      </c>
      <c r="G941" s="3">
        <f t="shared" si="408"/>
        <v>43930</v>
      </c>
      <c r="H941" s="2">
        <f t="shared" ca="1" si="409"/>
        <v>323</v>
      </c>
      <c r="I941" t="str">
        <f t="shared" si="410"/>
        <v>VIX</v>
      </c>
      <c r="J941">
        <f t="shared" si="411"/>
        <v>38.04</v>
      </c>
      <c r="K941">
        <f t="shared" si="412"/>
        <v>66.36</v>
      </c>
      <c r="L941">
        <f t="shared" si="413"/>
        <v>52.2</v>
      </c>
      <c r="M941">
        <f t="shared" si="414"/>
        <v>14.159999999999982</v>
      </c>
      <c r="N941">
        <f t="shared" si="393"/>
        <v>28.32</v>
      </c>
      <c r="O941">
        <f t="shared" si="415"/>
        <v>43.35</v>
      </c>
      <c r="P941">
        <f t="shared" si="416"/>
        <v>-0.62500000000000089</v>
      </c>
      <c r="Q941" t="str">
        <f t="shared" si="394"/>
        <v>12.25% | 53.08%</v>
      </c>
      <c r="R941" t="str">
        <f t="shared" si="417"/>
        <v>BULLISH</v>
      </c>
      <c r="S941">
        <f t="shared" si="395"/>
        <v>1</v>
      </c>
    </row>
    <row r="942" spans="1:19" hidden="1" x14ac:dyDescent="0.25">
      <c r="A942" s="5" t="str">
        <f t="shared" si="392"/>
        <v>43930USD</v>
      </c>
      <c r="B942" s="6" t="s">
        <v>18</v>
      </c>
      <c r="C942" s="6">
        <v>98.4</v>
      </c>
      <c r="D942" s="6">
        <v>101.53</v>
      </c>
      <c r="E942" s="6">
        <v>100.17</v>
      </c>
      <c r="F942" t="str">
        <f t="shared" si="407"/>
        <v>THU</v>
      </c>
      <c r="G942" s="3">
        <f t="shared" si="408"/>
        <v>43930</v>
      </c>
      <c r="H942" s="2">
        <f t="shared" ca="1" si="409"/>
        <v>323</v>
      </c>
      <c r="I942" t="str">
        <f t="shared" si="410"/>
        <v>USD</v>
      </c>
      <c r="J942">
        <f t="shared" si="411"/>
        <v>98.4</v>
      </c>
      <c r="K942">
        <f t="shared" si="412"/>
        <v>101.53</v>
      </c>
      <c r="L942">
        <f t="shared" si="413"/>
        <v>99.965000000000003</v>
      </c>
      <c r="M942">
        <f t="shared" si="414"/>
        <v>1.5649999999999977</v>
      </c>
      <c r="N942">
        <f t="shared" si="393"/>
        <v>3.1299999999999955</v>
      </c>
      <c r="O942">
        <f t="shared" si="415"/>
        <v>100.17</v>
      </c>
      <c r="P942">
        <f t="shared" si="416"/>
        <v>0.13099041533546235</v>
      </c>
      <c r="Q942" t="str">
        <f t="shared" si="394"/>
        <v>1.77% | 1.36%</v>
      </c>
      <c r="R942" t="str">
        <f t="shared" si="417"/>
        <v>BULLISH</v>
      </c>
      <c r="S942">
        <f t="shared" si="395"/>
        <v>1</v>
      </c>
    </row>
    <row r="943" spans="1:19" hidden="1" x14ac:dyDescent="0.25">
      <c r="A943" s="5" t="str">
        <f t="shared" si="392"/>
        <v>43930EUR/USD</v>
      </c>
      <c r="B943" s="6" t="s">
        <v>19</v>
      </c>
      <c r="C943" s="6">
        <v>1.07</v>
      </c>
      <c r="D943" s="6">
        <v>1.1000000000000001</v>
      </c>
      <c r="E943" s="6">
        <v>1.08</v>
      </c>
      <c r="F943" t="str">
        <f t="shared" si="407"/>
        <v>THU</v>
      </c>
      <c r="G943" s="3">
        <f t="shared" si="408"/>
        <v>43930</v>
      </c>
      <c r="H943" s="2">
        <f t="shared" ca="1" si="409"/>
        <v>323</v>
      </c>
      <c r="I943" t="str">
        <f t="shared" si="410"/>
        <v>EUR/USD</v>
      </c>
      <c r="J943">
        <f t="shared" si="411"/>
        <v>1.07</v>
      </c>
      <c r="K943">
        <f t="shared" si="412"/>
        <v>1.1000000000000001</v>
      </c>
      <c r="L943">
        <f t="shared" si="413"/>
        <v>1.085</v>
      </c>
      <c r="M943">
        <f t="shared" si="414"/>
        <v>1.5000000000000013E-2</v>
      </c>
      <c r="N943">
        <f t="shared" si="393"/>
        <v>3.0000000000000027E-2</v>
      </c>
      <c r="O943">
        <f t="shared" si="415"/>
        <v>1.08</v>
      </c>
      <c r="P943">
        <f t="shared" si="416"/>
        <v>-0.33333333333332593</v>
      </c>
      <c r="Q943" t="str">
        <f t="shared" si="394"/>
        <v>0.93% | 1.85%</v>
      </c>
      <c r="R943" t="str">
        <f t="shared" si="417"/>
        <v>BEARISH</v>
      </c>
      <c r="S943">
        <f t="shared" si="395"/>
        <v>-1</v>
      </c>
    </row>
    <row r="944" spans="1:19" hidden="1" x14ac:dyDescent="0.25">
      <c r="A944" s="5" t="str">
        <f t="shared" si="392"/>
        <v>43930USD/JPY</v>
      </c>
      <c r="B944" s="6" t="s">
        <v>86</v>
      </c>
      <c r="C944" s="6">
        <v>106.3</v>
      </c>
      <c r="D944" s="6">
        <v>110.22</v>
      </c>
      <c r="E944" s="6">
        <v>108.92</v>
      </c>
      <c r="F944" t="str">
        <f t="shared" si="407"/>
        <v>THU</v>
      </c>
      <c r="G944" s="3">
        <f t="shared" si="408"/>
        <v>43930</v>
      </c>
      <c r="H944" s="2">
        <f t="shared" ca="1" si="409"/>
        <v>323</v>
      </c>
      <c r="I944" t="str">
        <f t="shared" si="410"/>
        <v>USD/JPY</v>
      </c>
      <c r="J944">
        <f t="shared" si="411"/>
        <v>106.3</v>
      </c>
      <c r="K944">
        <f t="shared" si="412"/>
        <v>110.22</v>
      </c>
      <c r="L944">
        <f t="shared" si="413"/>
        <v>108.25999999999999</v>
      </c>
      <c r="M944">
        <f t="shared" si="414"/>
        <v>1.9600000000000009</v>
      </c>
      <c r="N944">
        <f t="shared" si="393"/>
        <v>3.9200000000000017</v>
      </c>
      <c r="O944">
        <f t="shared" si="415"/>
        <v>108.92</v>
      </c>
      <c r="P944">
        <f t="shared" si="416"/>
        <v>0.33673469387755639</v>
      </c>
      <c r="Q944" t="str">
        <f t="shared" si="394"/>
        <v>2.41% | 1.19%</v>
      </c>
      <c r="R944" t="str">
        <f t="shared" si="417"/>
        <v>NEUTRAL</v>
      </c>
      <c r="S944">
        <f t="shared" si="395"/>
        <v>0</v>
      </c>
    </row>
    <row r="945" spans="1:19" hidden="1" x14ac:dyDescent="0.25">
      <c r="A945" s="5" t="str">
        <f t="shared" si="392"/>
        <v>43930GBP/USD</v>
      </c>
      <c r="B945" s="6" t="s">
        <v>21</v>
      </c>
      <c r="C945" s="6">
        <v>1.2</v>
      </c>
      <c r="D945" s="6">
        <v>1.25</v>
      </c>
      <c r="E945" s="6">
        <v>1.24</v>
      </c>
      <c r="F945" t="str">
        <f t="shared" si="407"/>
        <v>THU</v>
      </c>
      <c r="G945" s="3">
        <f t="shared" si="408"/>
        <v>43930</v>
      </c>
      <c r="H945" s="2">
        <f t="shared" ca="1" si="409"/>
        <v>323</v>
      </c>
      <c r="I945" t="str">
        <f t="shared" si="410"/>
        <v>GBP/USD</v>
      </c>
      <c r="J945">
        <f t="shared" si="411"/>
        <v>1.2</v>
      </c>
      <c r="K945">
        <f t="shared" si="412"/>
        <v>1.25</v>
      </c>
      <c r="L945">
        <f t="shared" si="413"/>
        <v>1.2250000000000001</v>
      </c>
      <c r="M945">
        <f t="shared" si="414"/>
        <v>2.5000000000000022E-2</v>
      </c>
      <c r="N945">
        <f t="shared" si="393"/>
        <v>5.0000000000000044E-2</v>
      </c>
      <c r="O945">
        <f t="shared" si="415"/>
        <v>1.24</v>
      </c>
      <c r="P945">
        <f t="shared" si="416"/>
        <v>0.59999999999999554</v>
      </c>
      <c r="Q945" t="str">
        <f t="shared" si="394"/>
        <v>3.23% | 0.81%</v>
      </c>
      <c r="R945" t="str">
        <f t="shared" si="417"/>
        <v>BEARISH</v>
      </c>
      <c r="S945">
        <f t="shared" si="395"/>
        <v>-1</v>
      </c>
    </row>
    <row r="946" spans="1:19" hidden="1" x14ac:dyDescent="0.25">
      <c r="A946" s="5" t="str">
        <f t="shared" si="392"/>
        <v>43930USD/CHF</v>
      </c>
      <c r="B946" s="6" t="s">
        <v>22</v>
      </c>
      <c r="C946" s="6">
        <v>0.95</v>
      </c>
      <c r="D946" s="6">
        <v>0.98</v>
      </c>
      <c r="E946" s="6">
        <v>0.97</v>
      </c>
      <c r="F946" t="str">
        <f t="shared" si="407"/>
        <v>THU</v>
      </c>
      <c r="G946" s="3">
        <f t="shared" si="408"/>
        <v>43930</v>
      </c>
      <c r="H946" s="2">
        <f t="shared" ca="1" si="409"/>
        <v>323</v>
      </c>
      <c r="I946" t="str">
        <f t="shared" si="410"/>
        <v>USD/CHF</v>
      </c>
      <c r="J946">
        <f t="shared" si="411"/>
        <v>0.95</v>
      </c>
      <c r="K946">
        <f t="shared" si="412"/>
        <v>0.98</v>
      </c>
      <c r="L946">
        <f t="shared" si="413"/>
        <v>0.96499999999999997</v>
      </c>
      <c r="M946">
        <f t="shared" si="414"/>
        <v>1.5000000000000013E-2</v>
      </c>
      <c r="N946">
        <f t="shared" si="393"/>
        <v>3.0000000000000027E-2</v>
      </c>
      <c r="O946">
        <f t="shared" si="415"/>
        <v>0.97</v>
      </c>
      <c r="P946">
        <f t="shared" si="416"/>
        <v>0.33333333333333331</v>
      </c>
      <c r="Q946" t="str">
        <f t="shared" si="394"/>
        <v>2.06% | 1.03%</v>
      </c>
      <c r="R946" t="str">
        <f t="shared" si="417"/>
        <v>NEUTRAL</v>
      </c>
      <c r="S946">
        <f t="shared" si="395"/>
        <v>0</v>
      </c>
    </row>
    <row r="947" spans="1:19" hidden="1" x14ac:dyDescent="0.25">
      <c r="A947" s="5" t="str">
        <f t="shared" si="392"/>
        <v>43930WTIC</v>
      </c>
      <c r="B947" s="6" t="s">
        <v>23</v>
      </c>
      <c r="C947" s="6">
        <v>17.62</v>
      </c>
      <c r="D947" s="6">
        <v>29.92</v>
      </c>
      <c r="E947" s="6">
        <v>25.09</v>
      </c>
      <c r="F947" t="str">
        <f t="shared" si="407"/>
        <v>THU</v>
      </c>
      <c r="G947" s="3">
        <f t="shared" si="408"/>
        <v>43930</v>
      </c>
      <c r="H947" s="2">
        <f t="shared" ca="1" si="409"/>
        <v>323</v>
      </c>
      <c r="I947" t="str">
        <f t="shared" si="410"/>
        <v>WTIC</v>
      </c>
      <c r="J947">
        <f t="shared" si="411"/>
        <v>17.62</v>
      </c>
      <c r="K947">
        <f t="shared" si="412"/>
        <v>29.92</v>
      </c>
      <c r="L947">
        <f t="shared" si="413"/>
        <v>23.770000000000003</v>
      </c>
      <c r="M947">
        <f t="shared" si="414"/>
        <v>6.1499999999999897</v>
      </c>
      <c r="N947">
        <f t="shared" si="393"/>
        <v>12.3</v>
      </c>
      <c r="O947">
        <f t="shared" si="415"/>
        <v>25.09</v>
      </c>
      <c r="P947">
        <f t="shared" si="416"/>
        <v>0.21463414634146324</v>
      </c>
      <c r="Q947" t="str">
        <f t="shared" si="394"/>
        <v>29.77% | 19.25%</v>
      </c>
      <c r="R947" t="str">
        <f t="shared" si="417"/>
        <v>BEARISH</v>
      </c>
      <c r="S947">
        <f t="shared" si="395"/>
        <v>-1</v>
      </c>
    </row>
    <row r="948" spans="1:19" hidden="1" x14ac:dyDescent="0.25">
      <c r="A948" s="5" t="str">
        <f t="shared" si="392"/>
        <v>43930NATGAS</v>
      </c>
      <c r="B948" s="6" t="s">
        <v>24</v>
      </c>
      <c r="C948" s="6">
        <v>1.51</v>
      </c>
      <c r="D948" s="6">
        <v>1.88</v>
      </c>
      <c r="E948" s="6">
        <v>1.78</v>
      </c>
      <c r="F948" t="str">
        <f t="shared" si="407"/>
        <v>THU</v>
      </c>
      <c r="G948" s="3">
        <f t="shared" si="408"/>
        <v>43930</v>
      </c>
      <c r="H948" s="2">
        <f t="shared" ca="1" si="409"/>
        <v>323</v>
      </c>
      <c r="I948" t="str">
        <f t="shared" si="410"/>
        <v>NATGAS</v>
      </c>
      <c r="J948">
        <f t="shared" si="411"/>
        <v>1.51</v>
      </c>
      <c r="K948">
        <f t="shared" si="412"/>
        <v>1.88</v>
      </c>
      <c r="L948">
        <f t="shared" si="413"/>
        <v>1.6949999999999998</v>
      </c>
      <c r="M948">
        <f t="shared" si="414"/>
        <v>0.18500000000000166</v>
      </c>
      <c r="N948">
        <f t="shared" si="393"/>
        <v>0.36999999999999988</v>
      </c>
      <c r="O948">
        <f t="shared" si="415"/>
        <v>1.78</v>
      </c>
      <c r="P948">
        <f t="shared" si="416"/>
        <v>0.45945945945945632</v>
      </c>
      <c r="Q948" t="str">
        <f t="shared" si="394"/>
        <v>15.17% | 5.62%</v>
      </c>
      <c r="R948" t="str">
        <f t="shared" si="417"/>
        <v>BEARISH</v>
      </c>
      <c r="S948">
        <f t="shared" si="395"/>
        <v>-1</v>
      </c>
    </row>
    <row r="949" spans="1:19" hidden="1" x14ac:dyDescent="0.25">
      <c r="A949" s="5" t="str">
        <f t="shared" si="392"/>
        <v>43930GOLD</v>
      </c>
      <c r="B949" s="6" t="s">
        <v>25</v>
      </c>
      <c r="C949" s="6">
        <v>1619</v>
      </c>
      <c r="D949" s="6">
        <v>1719</v>
      </c>
      <c r="E949" s="6">
        <v>1684</v>
      </c>
      <c r="F949" t="str">
        <f t="shared" si="407"/>
        <v>THU</v>
      </c>
      <c r="G949" s="3">
        <f t="shared" si="408"/>
        <v>43930</v>
      </c>
      <c r="H949" s="2">
        <f t="shared" ca="1" si="409"/>
        <v>323</v>
      </c>
      <c r="I949" t="str">
        <f t="shared" si="410"/>
        <v>GOLD</v>
      </c>
      <c r="J949">
        <f t="shared" si="411"/>
        <v>1619</v>
      </c>
      <c r="K949">
        <f t="shared" si="412"/>
        <v>1719</v>
      </c>
      <c r="L949">
        <f t="shared" si="413"/>
        <v>1669</v>
      </c>
      <c r="M949">
        <f t="shared" si="414"/>
        <v>50</v>
      </c>
      <c r="N949">
        <f t="shared" si="393"/>
        <v>100</v>
      </c>
      <c r="O949">
        <f t="shared" si="415"/>
        <v>1684</v>
      </c>
      <c r="P949">
        <f t="shared" si="416"/>
        <v>0.3</v>
      </c>
      <c r="Q949" t="str">
        <f t="shared" si="394"/>
        <v>3.86% | 2.08%</v>
      </c>
      <c r="R949" t="str">
        <f t="shared" si="417"/>
        <v>BULLISH</v>
      </c>
      <c r="S949">
        <f t="shared" si="395"/>
        <v>1</v>
      </c>
    </row>
    <row r="950" spans="1:19" hidden="1" x14ac:dyDescent="0.25">
      <c r="A950" s="5" t="str">
        <f t="shared" si="392"/>
        <v>43930COPPER</v>
      </c>
      <c r="B950" s="6" t="s">
        <v>26</v>
      </c>
      <c r="C950" s="6">
        <v>2.11</v>
      </c>
      <c r="D950" s="6">
        <v>2.31</v>
      </c>
      <c r="E950" s="6">
        <v>2.2599999999999998</v>
      </c>
      <c r="F950" t="str">
        <f t="shared" si="407"/>
        <v>THU</v>
      </c>
      <c r="G950" s="3">
        <f t="shared" si="408"/>
        <v>43930</v>
      </c>
      <c r="H950" s="2">
        <f t="shared" ca="1" si="409"/>
        <v>323</v>
      </c>
      <c r="I950" t="str">
        <f t="shared" si="410"/>
        <v>COPPER</v>
      </c>
      <c r="J950">
        <f t="shared" si="411"/>
        <v>2.11</v>
      </c>
      <c r="K950">
        <f t="shared" si="412"/>
        <v>2.31</v>
      </c>
      <c r="L950">
        <f t="shared" si="413"/>
        <v>2.21</v>
      </c>
      <c r="M950">
        <f t="shared" si="414"/>
        <v>0.10000000000000009</v>
      </c>
      <c r="N950">
        <f t="shared" si="393"/>
        <v>0.20000000000000018</v>
      </c>
      <c r="O950">
        <f t="shared" si="415"/>
        <v>2.2599999999999998</v>
      </c>
      <c r="P950">
        <f t="shared" si="416"/>
        <v>0.49999999999999778</v>
      </c>
      <c r="Q950" t="str">
        <f t="shared" si="394"/>
        <v>6.64% | 2.21%</v>
      </c>
      <c r="R950" t="str">
        <f t="shared" si="417"/>
        <v>BEARISH</v>
      </c>
      <c r="S950">
        <f t="shared" si="395"/>
        <v>-1</v>
      </c>
    </row>
    <row r="951" spans="1:19" hidden="1" x14ac:dyDescent="0.25">
      <c r="A951" s="5" t="str">
        <f t="shared" si="392"/>
        <v>43930AAPL</v>
      </c>
      <c r="B951" s="6" t="s">
        <v>68</v>
      </c>
      <c r="C951" s="6">
        <v>235</v>
      </c>
      <c r="D951" s="6">
        <v>271.89999999999998</v>
      </c>
      <c r="E951" s="6">
        <v>266.07</v>
      </c>
      <c r="F951" t="str">
        <f t="shared" si="407"/>
        <v>THU</v>
      </c>
      <c r="G951" s="3">
        <f t="shared" si="408"/>
        <v>43930</v>
      </c>
      <c r="H951" s="2">
        <f t="shared" ca="1" si="409"/>
        <v>323</v>
      </c>
      <c r="I951" t="str">
        <f t="shared" si="410"/>
        <v>AAPL</v>
      </c>
      <c r="J951">
        <f t="shared" si="411"/>
        <v>235</v>
      </c>
      <c r="K951">
        <f t="shared" si="412"/>
        <v>271.89999999999998</v>
      </c>
      <c r="L951">
        <f t="shared" si="413"/>
        <v>253.45</v>
      </c>
      <c r="M951">
        <f t="shared" si="414"/>
        <v>18.449999999999989</v>
      </c>
      <c r="N951">
        <f t="shared" si="393"/>
        <v>36.899999999999977</v>
      </c>
      <c r="O951">
        <f t="shared" si="415"/>
        <v>266.07</v>
      </c>
      <c r="P951">
        <f t="shared" si="416"/>
        <v>0.68401084010840174</v>
      </c>
      <c r="Q951" t="str">
        <f t="shared" si="394"/>
        <v>11.68% | 2.19%</v>
      </c>
      <c r="R951" t="str">
        <f t="shared" si="417"/>
        <v>BEARISH</v>
      </c>
      <c r="S951">
        <f t="shared" si="395"/>
        <v>-1</v>
      </c>
    </row>
    <row r="952" spans="1:19" hidden="1" x14ac:dyDescent="0.25">
      <c r="A952" s="5" t="str">
        <f t="shared" si="392"/>
        <v>43930AMZN</v>
      </c>
      <c r="B952" s="6" t="s">
        <v>29</v>
      </c>
      <c r="C952" s="6">
        <v>1895</v>
      </c>
      <c r="D952" s="6">
        <v>2063</v>
      </c>
      <c r="E952" s="6">
        <v>2043</v>
      </c>
      <c r="F952" t="str">
        <f t="shared" si="407"/>
        <v>THU</v>
      </c>
      <c r="G952" s="3">
        <f t="shared" si="408"/>
        <v>43930</v>
      </c>
      <c r="H952" s="2">
        <f t="shared" ca="1" si="409"/>
        <v>323</v>
      </c>
      <c r="I952" t="str">
        <f t="shared" si="410"/>
        <v>AMZN</v>
      </c>
      <c r="J952">
        <f t="shared" si="411"/>
        <v>1895</v>
      </c>
      <c r="K952">
        <f t="shared" si="412"/>
        <v>2063</v>
      </c>
      <c r="L952">
        <f t="shared" si="413"/>
        <v>1979</v>
      </c>
      <c r="M952">
        <f t="shared" si="414"/>
        <v>84</v>
      </c>
      <c r="N952">
        <f t="shared" si="393"/>
        <v>168</v>
      </c>
      <c r="O952">
        <f t="shared" si="415"/>
        <v>2043</v>
      </c>
      <c r="P952">
        <f t="shared" si="416"/>
        <v>0.76190476190476186</v>
      </c>
      <c r="Q952" t="str">
        <f t="shared" si="394"/>
        <v>7.24% | 0.98%</v>
      </c>
      <c r="R952" t="str">
        <f t="shared" si="417"/>
        <v>BULLISH</v>
      </c>
      <c r="S952">
        <f t="shared" si="395"/>
        <v>1</v>
      </c>
    </row>
    <row r="953" spans="1:19" hidden="1" x14ac:dyDescent="0.25">
      <c r="A953" s="5" t="str">
        <f t="shared" si="392"/>
        <v>43930FB</v>
      </c>
      <c r="B953" s="6" t="s">
        <v>58</v>
      </c>
      <c r="C953" s="6">
        <v>151</v>
      </c>
      <c r="D953" s="6">
        <v>177</v>
      </c>
      <c r="E953" s="6">
        <v>174</v>
      </c>
      <c r="F953" t="str">
        <f t="shared" si="407"/>
        <v>THU</v>
      </c>
      <c r="G953" s="3">
        <f t="shared" si="408"/>
        <v>43930</v>
      </c>
      <c r="H953" s="2">
        <f t="shared" ca="1" si="409"/>
        <v>323</v>
      </c>
      <c r="I953" t="str">
        <f t="shared" si="410"/>
        <v>FB</v>
      </c>
      <c r="J953">
        <f t="shared" si="411"/>
        <v>151</v>
      </c>
      <c r="K953">
        <f t="shared" si="412"/>
        <v>177</v>
      </c>
      <c r="L953">
        <f t="shared" si="413"/>
        <v>164</v>
      </c>
      <c r="M953">
        <f t="shared" si="414"/>
        <v>13</v>
      </c>
      <c r="N953">
        <f t="shared" si="393"/>
        <v>26</v>
      </c>
      <c r="O953">
        <f t="shared" si="415"/>
        <v>174</v>
      </c>
      <c r="P953">
        <f t="shared" si="416"/>
        <v>0.76923076923076927</v>
      </c>
      <c r="Q953" t="str">
        <f t="shared" si="394"/>
        <v>13.22% | 1.72%</v>
      </c>
      <c r="R953" t="str">
        <f t="shared" si="417"/>
        <v>BEARISH</v>
      </c>
      <c r="S953">
        <f t="shared" si="395"/>
        <v>-1</v>
      </c>
    </row>
    <row r="954" spans="1:19" hidden="1" x14ac:dyDescent="0.25">
      <c r="A954" s="5" t="str">
        <f t="shared" si="392"/>
        <v>43930GOOGL</v>
      </c>
      <c r="B954" s="6" t="s">
        <v>66</v>
      </c>
      <c r="C954" s="6">
        <v>1066</v>
      </c>
      <c r="D954" s="6">
        <v>1224</v>
      </c>
      <c r="E954" s="6">
        <v>1207</v>
      </c>
      <c r="F954" t="str">
        <f t="shared" si="407"/>
        <v>THU</v>
      </c>
      <c r="G954" s="3">
        <f t="shared" si="408"/>
        <v>43930</v>
      </c>
      <c r="H954" s="2">
        <f t="shared" ca="1" si="409"/>
        <v>323</v>
      </c>
      <c r="I954" t="str">
        <f t="shared" si="410"/>
        <v>GOOGL</v>
      </c>
      <c r="J954">
        <f t="shared" si="411"/>
        <v>1066</v>
      </c>
      <c r="K954">
        <f t="shared" si="412"/>
        <v>1224</v>
      </c>
      <c r="L954">
        <f t="shared" si="413"/>
        <v>1145</v>
      </c>
      <c r="M954">
        <f t="shared" si="414"/>
        <v>79</v>
      </c>
      <c r="N954">
        <f t="shared" si="393"/>
        <v>158</v>
      </c>
      <c r="O954">
        <f t="shared" si="415"/>
        <v>1207</v>
      </c>
      <c r="P954">
        <f t="shared" si="416"/>
        <v>0.78481012658227844</v>
      </c>
      <c r="Q954" t="str">
        <f t="shared" si="394"/>
        <v>11.68% | 1.41%</v>
      </c>
      <c r="R954" t="str">
        <f t="shared" si="417"/>
        <v>BEARISH</v>
      </c>
      <c r="S954">
        <f t="shared" si="395"/>
        <v>-1</v>
      </c>
    </row>
    <row r="955" spans="1:19" hidden="1" x14ac:dyDescent="0.25">
      <c r="A955" s="5" t="str">
        <f t="shared" si="392"/>
        <v>43930NFLX</v>
      </c>
      <c r="B955" s="6" t="s">
        <v>32</v>
      </c>
      <c r="C955" s="6">
        <v>348</v>
      </c>
      <c r="D955" s="6">
        <v>385</v>
      </c>
      <c r="E955" s="6">
        <v>371</v>
      </c>
      <c r="F955" t="str">
        <f t="shared" si="407"/>
        <v>THU</v>
      </c>
      <c r="G955" s="3">
        <f t="shared" si="408"/>
        <v>43930</v>
      </c>
      <c r="H955" s="2">
        <f t="shared" ca="1" si="409"/>
        <v>323</v>
      </c>
      <c r="I955" t="str">
        <f t="shared" si="410"/>
        <v>NFLX</v>
      </c>
      <c r="J955">
        <f t="shared" si="411"/>
        <v>348</v>
      </c>
      <c r="K955">
        <f t="shared" si="412"/>
        <v>385</v>
      </c>
      <c r="L955">
        <f t="shared" si="413"/>
        <v>366.5</v>
      </c>
      <c r="M955">
        <f t="shared" si="414"/>
        <v>18.5</v>
      </c>
      <c r="N955">
        <f t="shared" si="393"/>
        <v>37</v>
      </c>
      <c r="O955">
        <f t="shared" si="415"/>
        <v>371</v>
      </c>
      <c r="P955">
        <f t="shared" si="416"/>
        <v>0.24324324324324326</v>
      </c>
      <c r="Q955" t="str">
        <f t="shared" si="394"/>
        <v>6.2% | 3.77%</v>
      </c>
      <c r="R955" t="str">
        <f t="shared" si="417"/>
        <v>BULLISH</v>
      </c>
      <c r="S955">
        <f t="shared" si="395"/>
        <v>1</v>
      </c>
    </row>
    <row r="956" spans="1:19" x14ac:dyDescent="0.25">
      <c r="A956" s="5" t="str">
        <f t="shared" si="392"/>
        <v>43930TSLA</v>
      </c>
      <c r="B956" s="6" t="s">
        <v>83</v>
      </c>
      <c r="C956" s="6">
        <v>445</v>
      </c>
      <c r="D956" s="6">
        <v>570</v>
      </c>
      <c r="E956" s="6">
        <v>548</v>
      </c>
      <c r="F956" t="str">
        <f t="shared" si="407"/>
        <v>THU</v>
      </c>
      <c r="G956" s="3">
        <f t="shared" si="408"/>
        <v>43930</v>
      </c>
      <c r="H956" s="2">
        <f t="shared" ca="1" si="409"/>
        <v>323</v>
      </c>
      <c r="I956" t="str">
        <f t="shared" si="410"/>
        <v>TSLA</v>
      </c>
      <c r="J956">
        <f t="shared" si="411"/>
        <v>445</v>
      </c>
      <c r="K956">
        <f t="shared" si="412"/>
        <v>570</v>
      </c>
      <c r="L956">
        <f t="shared" si="413"/>
        <v>507.5</v>
      </c>
      <c r="M956">
        <f t="shared" si="414"/>
        <v>62.5</v>
      </c>
      <c r="N956">
        <f t="shared" si="393"/>
        <v>125</v>
      </c>
      <c r="O956">
        <f t="shared" si="415"/>
        <v>548</v>
      </c>
      <c r="P956">
        <f t="shared" si="416"/>
        <v>0.64800000000000002</v>
      </c>
      <c r="Q956" t="str">
        <f t="shared" si="394"/>
        <v>18.8% | 4.01%</v>
      </c>
      <c r="R956" t="str">
        <f t="shared" si="417"/>
        <v>BEARISH</v>
      </c>
      <c r="S956">
        <f t="shared" si="395"/>
        <v>-1</v>
      </c>
    </row>
    <row r="957" spans="1:19" hidden="1" x14ac:dyDescent="0.25">
      <c r="A957" s="5" t="str">
        <f t="shared" si="392"/>
        <v>43930NYXBT</v>
      </c>
      <c r="B957" s="6" t="s">
        <v>84</v>
      </c>
      <c r="C957" s="6">
        <v>6006</v>
      </c>
      <c r="D957" s="6">
        <v>7512</v>
      </c>
      <c r="E957" s="6">
        <v>7261</v>
      </c>
      <c r="F957" t="str">
        <f t="shared" si="407"/>
        <v>THU</v>
      </c>
      <c r="G957" s="3">
        <f t="shared" si="408"/>
        <v>43930</v>
      </c>
      <c r="H957" s="2">
        <f t="shared" ca="1" si="409"/>
        <v>323</v>
      </c>
      <c r="I957" t="str">
        <f t="shared" si="410"/>
        <v>NYXBT</v>
      </c>
      <c r="J957">
        <f t="shared" si="411"/>
        <v>6006</v>
      </c>
      <c r="K957">
        <f t="shared" si="412"/>
        <v>7512</v>
      </c>
      <c r="L957">
        <f t="shared" si="413"/>
        <v>6759</v>
      </c>
      <c r="M957">
        <f t="shared" si="414"/>
        <v>753</v>
      </c>
      <c r="N957">
        <f t="shared" si="393"/>
        <v>1506</v>
      </c>
      <c r="O957">
        <f t="shared" si="415"/>
        <v>7261</v>
      </c>
      <c r="P957">
        <f t="shared" si="416"/>
        <v>0.66666666666666663</v>
      </c>
      <c r="Q957" t="str">
        <f t="shared" si="394"/>
        <v>17.28% | 3.46%</v>
      </c>
      <c r="R957" t="str">
        <f t="shared" si="417"/>
        <v>BEARISH</v>
      </c>
      <c r="S957">
        <f t="shared" si="395"/>
        <v>-1</v>
      </c>
    </row>
    <row r="958" spans="1:19" hidden="1" x14ac:dyDescent="0.25">
      <c r="A958" s="5" t="str">
        <f t="shared" si="392"/>
        <v>43934UST10Y</v>
      </c>
      <c r="B958" s="6" t="s">
        <v>4</v>
      </c>
      <c r="C958" s="6">
        <v>0.81</v>
      </c>
      <c r="D958" s="6">
        <v>0.56000000000000005</v>
      </c>
      <c r="E958" s="6">
        <v>0.73</v>
      </c>
      <c r="F958" t="str">
        <f t="shared" si="407"/>
        <v>MON</v>
      </c>
      <c r="G958" s="1">
        <f>DATE(2020,4,13)</f>
        <v>43934</v>
      </c>
      <c r="H958" s="2">
        <f t="shared" ca="1" si="409"/>
        <v>319</v>
      </c>
      <c r="I958" t="str">
        <f t="shared" si="410"/>
        <v>UST10Y</v>
      </c>
      <c r="J958">
        <f t="shared" si="411"/>
        <v>0.81</v>
      </c>
      <c r="K958">
        <f t="shared" si="412"/>
        <v>0.56000000000000005</v>
      </c>
      <c r="L958">
        <f t="shared" si="413"/>
        <v>0.68500000000000005</v>
      </c>
      <c r="M958">
        <f t="shared" si="414"/>
        <v>0.12500000000000022</v>
      </c>
      <c r="N958">
        <f t="shared" si="393"/>
        <v>0.25</v>
      </c>
      <c r="O958">
        <f t="shared" si="415"/>
        <v>0.73</v>
      </c>
      <c r="P958">
        <f t="shared" si="416"/>
        <v>0.35999999999999877</v>
      </c>
      <c r="Q958" t="str">
        <f t="shared" si="394"/>
        <v>10.96% | 23.29%</v>
      </c>
      <c r="R958" t="str">
        <f t="shared" si="417"/>
        <v>BEARISH</v>
      </c>
      <c r="S958">
        <f t="shared" si="395"/>
        <v>-1</v>
      </c>
    </row>
    <row r="959" spans="1:19" hidden="1" x14ac:dyDescent="0.25">
      <c r="A959" s="5" t="str">
        <f t="shared" si="392"/>
        <v>43934UST2Y</v>
      </c>
      <c r="B959" s="6" t="s">
        <v>5</v>
      </c>
      <c r="C959" s="6">
        <v>0.32</v>
      </c>
      <c r="D959" s="6">
        <v>0.15</v>
      </c>
      <c r="E959" s="6">
        <v>0.23</v>
      </c>
      <c r="F959" t="str">
        <f t="shared" ref="F959:F987" si="418">UPPER(TEXT(G959,"ddd"))</f>
        <v>MON</v>
      </c>
      <c r="G959" s="1">
        <f t="shared" ref="G959:G986" si="419">DATE(2020,4,13)</f>
        <v>43934</v>
      </c>
      <c r="H959" s="2">
        <f t="shared" ref="H959:H987" ca="1" si="420">TODAY()-G959</f>
        <v>319</v>
      </c>
      <c r="I959" t="str">
        <f t="shared" ref="I959:I987" si="421">TRIM(LEFT(B959,FIND(" ",B959,1)))</f>
        <v>UST2Y</v>
      </c>
      <c r="J959">
        <f t="shared" ref="J959:J987" si="422">C959</f>
        <v>0.32</v>
      </c>
      <c r="K959">
        <f t="shared" ref="K959:K987" si="423">D959</f>
        <v>0.15</v>
      </c>
      <c r="L959">
        <f t="shared" ref="L959:L987" si="424">AVERAGE(J959:K959)</f>
        <v>0.23499999999999999</v>
      </c>
      <c r="M959">
        <f t="shared" ref="M959:M987" si="425">_xlfn.STDEV.P(J959:K959)</f>
        <v>8.5000000000000048E-2</v>
      </c>
      <c r="N959">
        <f t="shared" si="393"/>
        <v>0.17</v>
      </c>
      <c r="O959">
        <f t="shared" ref="O959:O987" si="426">E959</f>
        <v>0.23</v>
      </c>
      <c r="P959">
        <f t="shared" ref="P959:P987" si="427">(O959-L959)/M959</f>
        <v>-5.88235294117644E-2</v>
      </c>
      <c r="Q959" t="str">
        <f t="shared" si="394"/>
        <v>39.13% | 34.78%</v>
      </c>
      <c r="R959" t="str">
        <f t="shared" ref="R959:R987" si="428">MID(B959,FIND("(",B959,1)+1,FIND(")",B959,1)-FIND("(",B959,1)-1)</f>
        <v>BEARISH</v>
      </c>
      <c r="S959">
        <f t="shared" si="395"/>
        <v>-1</v>
      </c>
    </row>
    <row r="960" spans="1:19" hidden="1" x14ac:dyDescent="0.25">
      <c r="A960" s="5" t="str">
        <f t="shared" si="392"/>
        <v>43934SPX</v>
      </c>
      <c r="B960" s="6" t="s">
        <v>6</v>
      </c>
      <c r="C960" s="6">
        <v>2405</v>
      </c>
      <c r="D960" s="6">
        <v>2842</v>
      </c>
      <c r="E960" s="6">
        <v>2789</v>
      </c>
      <c r="F960" t="str">
        <f t="shared" si="418"/>
        <v>MON</v>
      </c>
      <c r="G960" s="1">
        <f t="shared" si="419"/>
        <v>43934</v>
      </c>
      <c r="H960" s="2">
        <f t="shared" ca="1" si="420"/>
        <v>319</v>
      </c>
      <c r="I960" t="str">
        <f t="shared" si="421"/>
        <v>SPX</v>
      </c>
      <c r="J960">
        <f t="shared" si="422"/>
        <v>2405</v>
      </c>
      <c r="K960">
        <f t="shared" si="423"/>
        <v>2842</v>
      </c>
      <c r="L960">
        <f t="shared" si="424"/>
        <v>2623.5</v>
      </c>
      <c r="M960">
        <f t="shared" si="425"/>
        <v>218.5</v>
      </c>
      <c r="N960">
        <f t="shared" si="393"/>
        <v>437</v>
      </c>
      <c r="O960">
        <f t="shared" si="426"/>
        <v>2789</v>
      </c>
      <c r="P960">
        <f t="shared" si="427"/>
        <v>0.75743707093821511</v>
      </c>
      <c r="Q960" t="str">
        <f t="shared" si="394"/>
        <v>13.77% | 1.9%</v>
      </c>
      <c r="R960" t="str">
        <f t="shared" si="428"/>
        <v>BEARISH</v>
      </c>
      <c r="S960">
        <f t="shared" si="395"/>
        <v>-1</v>
      </c>
    </row>
    <row r="961" spans="1:19" hidden="1" x14ac:dyDescent="0.25">
      <c r="A961" s="5" t="str">
        <f t="shared" si="392"/>
        <v>43934RUT</v>
      </c>
      <c r="B961" s="6" t="s">
        <v>7</v>
      </c>
      <c r="C961" s="6">
        <v>1116</v>
      </c>
      <c r="D961" s="6">
        <v>1271</v>
      </c>
      <c r="E961" s="6">
        <v>1246</v>
      </c>
      <c r="F961" t="str">
        <f t="shared" si="418"/>
        <v>MON</v>
      </c>
      <c r="G961" s="1">
        <f t="shared" si="419"/>
        <v>43934</v>
      </c>
      <c r="H961" s="2">
        <f t="shared" ca="1" si="420"/>
        <v>319</v>
      </c>
      <c r="I961" t="str">
        <f t="shared" si="421"/>
        <v>RUT</v>
      </c>
      <c r="J961">
        <f t="shared" si="422"/>
        <v>1116</v>
      </c>
      <c r="K961">
        <f t="shared" si="423"/>
        <v>1271</v>
      </c>
      <c r="L961">
        <f t="shared" si="424"/>
        <v>1193.5</v>
      </c>
      <c r="M961">
        <f t="shared" si="425"/>
        <v>77.5</v>
      </c>
      <c r="N961">
        <f t="shared" si="393"/>
        <v>155</v>
      </c>
      <c r="O961">
        <f t="shared" si="426"/>
        <v>1246</v>
      </c>
      <c r="P961">
        <f t="shared" si="427"/>
        <v>0.67741935483870963</v>
      </c>
      <c r="Q961" t="str">
        <f t="shared" si="394"/>
        <v>10.43% | 2.01%</v>
      </c>
      <c r="R961" t="str">
        <f t="shared" si="428"/>
        <v>BEARISH</v>
      </c>
      <c r="S961">
        <f t="shared" si="395"/>
        <v>-1</v>
      </c>
    </row>
    <row r="962" spans="1:19" hidden="1" x14ac:dyDescent="0.25">
      <c r="A962" s="5" t="str">
        <f t="shared" si="392"/>
        <v>43934COMPQ</v>
      </c>
      <c r="B962" s="6" t="s">
        <v>64</v>
      </c>
      <c r="C962" s="6">
        <v>7195</v>
      </c>
      <c r="D962" s="6">
        <v>8349</v>
      </c>
      <c r="E962" s="6">
        <v>8153</v>
      </c>
      <c r="F962" t="str">
        <f t="shared" si="418"/>
        <v>MON</v>
      </c>
      <c r="G962" s="1">
        <f t="shared" si="419"/>
        <v>43934</v>
      </c>
      <c r="H962" s="2">
        <f t="shared" ca="1" si="420"/>
        <v>319</v>
      </c>
      <c r="I962" t="str">
        <f t="shared" si="421"/>
        <v>COMPQ</v>
      </c>
      <c r="J962">
        <f t="shared" si="422"/>
        <v>7195</v>
      </c>
      <c r="K962">
        <f t="shared" si="423"/>
        <v>8349</v>
      </c>
      <c r="L962">
        <f t="shared" si="424"/>
        <v>7772</v>
      </c>
      <c r="M962">
        <f t="shared" si="425"/>
        <v>577</v>
      </c>
      <c r="N962">
        <f t="shared" si="393"/>
        <v>1154</v>
      </c>
      <c r="O962">
        <f t="shared" si="426"/>
        <v>8153</v>
      </c>
      <c r="P962">
        <f t="shared" si="427"/>
        <v>0.66031195840554591</v>
      </c>
      <c r="Q962" t="str">
        <f t="shared" si="394"/>
        <v>11.75% | 2.4%</v>
      </c>
      <c r="R962" t="str">
        <f t="shared" si="428"/>
        <v>BEARISH</v>
      </c>
      <c r="S962">
        <f t="shared" si="395"/>
        <v>-1</v>
      </c>
    </row>
    <row r="963" spans="1:19" hidden="1" x14ac:dyDescent="0.25">
      <c r="A963" s="5" t="str">
        <f t="shared" ref="A963:A1026" si="429">G963&amp;I963</f>
        <v>43934XLU</v>
      </c>
      <c r="B963" s="6" t="s">
        <v>80</v>
      </c>
      <c r="C963" s="6">
        <v>50.18</v>
      </c>
      <c r="D963" s="6">
        <v>61.75</v>
      </c>
      <c r="E963" s="6">
        <v>60.83</v>
      </c>
      <c r="F963" t="str">
        <f t="shared" si="418"/>
        <v>MON</v>
      </c>
      <c r="G963" s="1">
        <f t="shared" si="419"/>
        <v>43934</v>
      </c>
      <c r="H963" s="2">
        <f t="shared" ca="1" si="420"/>
        <v>319</v>
      </c>
      <c r="I963" t="str">
        <f t="shared" si="421"/>
        <v>XLU</v>
      </c>
      <c r="J963">
        <f t="shared" si="422"/>
        <v>50.18</v>
      </c>
      <c r="K963">
        <f t="shared" si="423"/>
        <v>61.75</v>
      </c>
      <c r="L963">
        <f t="shared" si="424"/>
        <v>55.965000000000003</v>
      </c>
      <c r="M963">
        <f t="shared" si="425"/>
        <v>5.7849999999999708</v>
      </c>
      <c r="N963">
        <f t="shared" ref="N963:N1026" si="430">ABS(K963-J963)</f>
        <v>11.57</v>
      </c>
      <c r="O963">
        <f t="shared" si="426"/>
        <v>60.83</v>
      </c>
      <c r="P963">
        <f t="shared" si="427"/>
        <v>0.84096802074330501</v>
      </c>
      <c r="Q963" t="str">
        <f t="shared" ref="Q963:Q1026" si="431">ROUND(ABS(100*(O963-J963)/O963),2)&amp;"% | "&amp;ROUND(ABS(100*(K963-O963)/O963),2)&amp;"%"</f>
        <v>17.51% | 1.51%</v>
      </c>
      <c r="R963" t="str">
        <f t="shared" si="428"/>
        <v>NEUTRAL</v>
      </c>
      <c r="S963">
        <f t="shared" ref="S963:S1026" si="432">IF(R963="BEARISH",-1,IF(R963="NEUTRAL",0,IF(R963="BULLISH",1,99)))</f>
        <v>0</v>
      </c>
    </row>
    <row r="964" spans="1:19" hidden="1" x14ac:dyDescent="0.25">
      <c r="A964" s="5" t="str">
        <f t="shared" si="429"/>
        <v>43934VNQ</v>
      </c>
      <c r="B964" s="6" t="s">
        <v>67</v>
      </c>
      <c r="C964" s="6">
        <v>62.07</v>
      </c>
      <c r="D964" s="6">
        <v>79.84</v>
      </c>
      <c r="E964" s="6">
        <v>78.91</v>
      </c>
      <c r="F964" t="str">
        <f t="shared" si="418"/>
        <v>MON</v>
      </c>
      <c r="G964" s="1">
        <f t="shared" si="419"/>
        <v>43934</v>
      </c>
      <c r="H964" s="2">
        <f t="shared" ca="1" si="420"/>
        <v>319</v>
      </c>
      <c r="I964" t="str">
        <f t="shared" si="421"/>
        <v>VNQ</v>
      </c>
      <c r="J964">
        <f t="shared" si="422"/>
        <v>62.07</v>
      </c>
      <c r="K964">
        <f t="shared" si="423"/>
        <v>79.84</v>
      </c>
      <c r="L964">
        <f t="shared" si="424"/>
        <v>70.954999999999998</v>
      </c>
      <c r="M964">
        <f t="shared" si="425"/>
        <v>8.8850000000000495</v>
      </c>
      <c r="N964">
        <f t="shared" si="430"/>
        <v>17.770000000000003</v>
      </c>
      <c r="O964">
        <f t="shared" si="426"/>
        <v>78.91</v>
      </c>
      <c r="P964">
        <f t="shared" si="427"/>
        <v>0.89532920652785075</v>
      </c>
      <c r="Q964" t="str">
        <f t="shared" si="431"/>
        <v>21.34% | 1.18%</v>
      </c>
      <c r="R964" t="str">
        <f t="shared" si="428"/>
        <v>BEARISH</v>
      </c>
      <c r="S964">
        <f t="shared" si="432"/>
        <v>-1</v>
      </c>
    </row>
    <row r="965" spans="1:19" hidden="1" x14ac:dyDescent="0.25">
      <c r="A965" s="5" t="str">
        <f t="shared" si="429"/>
        <v>43934XLP</v>
      </c>
      <c r="B965" s="6" t="s">
        <v>50</v>
      </c>
      <c r="C965" s="6">
        <v>52.92</v>
      </c>
      <c r="D965" s="6">
        <v>58.99</v>
      </c>
      <c r="E965" s="6">
        <v>58.13</v>
      </c>
      <c r="F965" t="str">
        <f t="shared" si="418"/>
        <v>MON</v>
      </c>
      <c r="G965" s="1">
        <f t="shared" si="419"/>
        <v>43934</v>
      </c>
      <c r="H965" s="2">
        <f t="shared" ca="1" si="420"/>
        <v>319</v>
      </c>
      <c r="I965" t="str">
        <f t="shared" si="421"/>
        <v>XLP</v>
      </c>
      <c r="J965">
        <f t="shared" si="422"/>
        <v>52.92</v>
      </c>
      <c r="K965">
        <f t="shared" si="423"/>
        <v>58.99</v>
      </c>
      <c r="L965">
        <f t="shared" si="424"/>
        <v>55.954999999999998</v>
      </c>
      <c r="M965">
        <f t="shared" si="425"/>
        <v>3.0350000000000001</v>
      </c>
      <c r="N965">
        <f t="shared" si="430"/>
        <v>6.07</v>
      </c>
      <c r="O965">
        <f t="shared" si="426"/>
        <v>58.13</v>
      </c>
      <c r="P965">
        <f t="shared" si="427"/>
        <v>0.71663920922570157</v>
      </c>
      <c r="Q965" t="str">
        <f t="shared" si="431"/>
        <v>8.96% | 1.48%</v>
      </c>
      <c r="R965" t="str">
        <f t="shared" si="428"/>
        <v>NEUTRAL</v>
      </c>
      <c r="S965">
        <f t="shared" si="432"/>
        <v>0</v>
      </c>
    </row>
    <row r="966" spans="1:19" hidden="1" x14ac:dyDescent="0.25">
      <c r="A966" s="5" t="str">
        <f t="shared" si="429"/>
        <v>43934XLK</v>
      </c>
      <c r="B966" s="6" t="s">
        <v>65</v>
      </c>
      <c r="C966" s="6">
        <v>74.67</v>
      </c>
      <c r="D966" s="6">
        <v>87.44</v>
      </c>
      <c r="E966" s="6">
        <v>85.2</v>
      </c>
      <c r="F966" t="str">
        <f t="shared" si="418"/>
        <v>MON</v>
      </c>
      <c r="G966" s="1">
        <f t="shared" si="419"/>
        <v>43934</v>
      </c>
      <c r="H966" s="2">
        <f t="shared" ca="1" si="420"/>
        <v>319</v>
      </c>
      <c r="I966" t="str">
        <f t="shared" si="421"/>
        <v>XLK</v>
      </c>
      <c r="J966">
        <f t="shared" si="422"/>
        <v>74.67</v>
      </c>
      <c r="K966">
        <f t="shared" si="423"/>
        <v>87.44</v>
      </c>
      <c r="L966">
        <f t="shared" si="424"/>
        <v>81.055000000000007</v>
      </c>
      <c r="M966">
        <f t="shared" si="425"/>
        <v>6.384999999999998</v>
      </c>
      <c r="N966">
        <f t="shared" si="430"/>
        <v>12.769999999999996</v>
      </c>
      <c r="O966">
        <f t="shared" si="426"/>
        <v>85.2</v>
      </c>
      <c r="P966">
        <f t="shared" si="427"/>
        <v>0.6491777603758806</v>
      </c>
      <c r="Q966" t="str">
        <f t="shared" si="431"/>
        <v>12.36% | 2.63%</v>
      </c>
      <c r="R966" t="str">
        <f t="shared" si="428"/>
        <v>BEARISH</v>
      </c>
      <c r="S966">
        <f t="shared" si="432"/>
        <v>-1</v>
      </c>
    </row>
    <row r="967" spans="1:19" hidden="1" x14ac:dyDescent="0.25">
      <c r="A967" s="5" t="str">
        <f t="shared" si="429"/>
        <v>43934SSEC</v>
      </c>
      <c r="B967" s="6" t="s">
        <v>14</v>
      </c>
      <c r="C967" s="6">
        <v>2706</v>
      </c>
      <c r="D967" s="6">
        <v>2847</v>
      </c>
      <c r="E967" s="6">
        <v>2783</v>
      </c>
      <c r="F967" t="str">
        <f t="shared" si="418"/>
        <v>MON</v>
      </c>
      <c r="G967" s="1">
        <f t="shared" si="419"/>
        <v>43934</v>
      </c>
      <c r="H967" s="2">
        <f t="shared" ca="1" si="420"/>
        <v>319</v>
      </c>
      <c r="I967" t="str">
        <f t="shared" si="421"/>
        <v>SSEC</v>
      </c>
      <c r="J967">
        <f t="shared" si="422"/>
        <v>2706</v>
      </c>
      <c r="K967">
        <f t="shared" si="423"/>
        <v>2847</v>
      </c>
      <c r="L967">
        <f t="shared" si="424"/>
        <v>2776.5</v>
      </c>
      <c r="M967">
        <f t="shared" si="425"/>
        <v>70.5</v>
      </c>
      <c r="N967">
        <f t="shared" si="430"/>
        <v>141</v>
      </c>
      <c r="O967">
        <f t="shared" si="426"/>
        <v>2783</v>
      </c>
      <c r="P967">
        <f t="shared" si="427"/>
        <v>9.2198581560283682E-2</v>
      </c>
      <c r="Q967" t="str">
        <f t="shared" si="431"/>
        <v>2.77% | 2.3%</v>
      </c>
      <c r="R967" t="str">
        <f t="shared" si="428"/>
        <v>BEARISH</v>
      </c>
      <c r="S967">
        <f t="shared" si="432"/>
        <v>-1</v>
      </c>
    </row>
    <row r="968" spans="1:19" hidden="1" x14ac:dyDescent="0.25">
      <c r="A968" s="5" t="str">
        <f t="shared" si="429"/>
        <v>43934NIKK</v>
      </c>
      <c r="B968" s="6" t="s">
        <v>15</v>
      </c>
      <c r="C968" s="6">
        <v>17347</v>
      </c>
      <c r="D968" s="6">
        <v>19952</v>
      </c>
      <c r="E968" s="6">
        <v>19043</v>
      </c>
      <c r="F968" t="str">
        <f t="shared" si="418"/>
        <v>MON</v>
      </c>
      <c r="G968" s="1">
        <f t="shared" si="419"/>
        <v>43934</v>
      </c>
      <c r="H968" s="2">
        <f t="shared" ca="1" si="420"/>
        <v>319</v>
      </c>
      <c r="I968" t="str">
        <f t="shared" si="421"/>
        <v>NIKK</v>
      </c>
      <c r="J968">
        <f t="shared" si="422"/>
        <v>17347</v>
      </c>
      <c r="K968">
        <f t="shared" si="423"/>
        <v>19952</v>
      </c>
      <c r="L968">
        <f t="shared" si="424"/>
        <v>18649.5</v>
      </c>
      <c r="M968">
        <f t="shared" si="425"/>
        <v>1302.5</v>
      </c>
      <c r="N968">
        <f t="shared" si="430"/>
        <v>2605</v>
      </c>
      <c r="O968">
        <f t="shared" si="426"/>
        <v>19043</v>
      </c>
      <c r="P968">
        <f t="shared" si="427"/>
        <v>0.30211132437619964</v>
      </c>
      <c r="Q968" t="str">
        <f t="shared" si="431"/>
        <v>8.91% | 4.77%</v>
      </c>
      <c r="R968" t="str">
        <f t="shared" si="428"/>
        <v>BEARISH</v>
      </c>
      <c r="S968">
        <f t="shared" si="432"/>
        <v>-1</v>
      </c>
    </row>
    <row r="969" spans="1:19" hidden="1" x14ac:dyDescent="0.25">
      <c r="A969" s="5" t="str">
        <f t="shared" si="429"/>
        <v>43934DAX</v>
      </c>
      <c r="B969" s="6" t="s">
        <v>16</v>
      </c>
      <c r="C969" s="6">
        <v>9230</v>
      </c>
      <c r="D969" s="6">
        <v>10716</v>
      </c>
      <c r="E969" s="6">
        <v>10570</v>
      </c>
      <c r="F969" t="str">
        <f t="shared" si="418"/>
        <v>MON</v>
      </c>
      <c r="G969" s="1">
        <f t="shared" si="419"/>
        <v>43934</v>
      </c>
      <c r="H969" s="2">
        <f t="shared" ca="1" si="420"/>
        <v>319</v>
      </c>
      <c r="I969" t="str">
        <f t="shared" si="421"/>
        <v>DAX</v>
      </c>
      <c r="J969">
        <f t="shared" si="422"/>
        <v>9230</v>
      </c>
      <c r="K969">
        <f t="shared" si="423"/>
        <v>10716</v>
      </c>
      <c r="L969">
        <f t="shared" si="424"/>
        <v>9973</v>
      </c>
      <c r="M969">
        <f t="shared" si="425"/>
        <v>743</v>
      </c>
      <c r="N969">
        <f t="shared" si="430"/>
        <v>1486</v>
      </c>
      <c r="O969">
        <f t="shared" si="426"/>
        <v>10570</v>
      </c>
      <c r="P969">
        <f t="shared" si="427"/>
        <v>0.80349932705248994</v>
      </c>
      <c r="Q969" t="str">
        <f t="shared" si="431"/>
        <v>12.68% | 1.38%</v>
      </c>
      <c r="R969" t="str">
        <f t="shared" si="428"/>
        <v>BEARISH</v>
      </c>
      <c r="S969">
        <f t="shared" si="432"/>
        <v>-1</v>
      </c>
    </row>
    <row r="970" spans="1:19" hidden="1" x14ac:dyDescent="0.25">
      <c r="A970" s="5" t="str">
        <f t="shared" si="429"/>
        <v>43934VIX</v>
      </c>
      <c r="B970" s="6" t="s">
        <v>17</v>
      </c>
      <c r="C970" s="6">
        <v>37.31</v>
      </c>
      <c r="D970" s="6">
        <v>60.99</v>
      </c>
      <c r="E970" s="6">
        <v>41.67</v>
      </c>
      <c r="F970" t="str">
        <f t="shared" si="418"/>
        <v>MON</v>
      </c>
      <c r="G970" s="1">
        <f t="shared" si="419"/>
        <v>43934</v>
      </c>
      <c r="H970" s="2">
        <f t="shared" ca="1" si="420"/>
        <v>319</v>
      </c>
      <c r="I970" t="str">
        <f t="shared" si="421"/>
        <v>VIX</v>
      </c>
      <c r="J970">
        <f t="shared" si="422"/>
        <v>37.31</v>
      </c>
      <c r="K970">
        <f t="shared" si="423"/>
        <v>60.99</v>
      </c>
      <c r="L970">
        <f t="shared" si="424"/>
        <v>49.150000000000006</v>
      </c>
      <c r="M970">
        <f t="shared" si="425"/>
        <v>11.839999999999991</v>
      </c>
      <c r="N970">
        <f t="shared" si="430"/>
        <v>23.68</v>
      </c>
      <c r="O970">
        <f t="shared" si="426"/>
        <v>41.67</v>
      </c>
      <c r="P970">
        <f t="shared" si="427"/>
        <v>-0.63175675675675758</v>
      </c>
      <c r="Q970" t="str">
        <f t="shared" si="431"/>
        <v>10.46% | 46.36%</v>
      </c>
      <c r="R970" t="str">
        <f t="shared" si="428"/>
        <v>BULLISH</v>
      </c>
      <c r="S970">
        <f t="shared" si="432"/>
        <v>1</v>
      </c>
    </row>
    <row r="971" spans="1:19" hidden="1" x14ac:dyDescent="0.25">
      <c r="A971" s="5" t="str">
        <f t="shared" si="429"/>
        <v>43934USD</v>
      </c>
      <c r="B971" s="6" t="s">
        <v>18</v>
      </c>
      <c r="C971" s="6">
        <v>98.54</v>
      </c>
      <c r="D971" s="6">
        <v>101.14</v>
      </c>
      <c r="E971" s="6">
        <v>99.5</v>
      </c>
      <c r="F971" t="str">
        <f t="shared" si="418"/>
        <v>MON</v>
      </c>
      <c r="G971" s="1">
        <f t="shared" si="419"/>
        <v>43934</v>
      </c>
      <c r="H971" s="2">
        <f t="shared" ca="1" si="420"/>
        <v>319</v>
      </c>
      <c r="I971" t="str">
        <f t="shared" si="421"/>
        <v>USD</v>
      </c>
      <c r="J971">
        <f t="shared" si="422"/>
        <v>98.54</v>
      </c>
      <c r="K971">
        <f t="shared" si="423"/>
        <v>101.14</v>
      </c>
      <c r="L971">
        <f t="shared" si="424"/>
        <v>99.84</v>
      </c>
      <c r="M971">
        <f t="shared" si="425"/>
        <v>1.2999999999999972</v>
      </c>
      <c r="N971">
        <f t="shared" si="430"/>
        <v>2.5999999999999943</v>
      </c>
      <c r="O971">
        <f t="shared" si="426"/>
        <v>99.5</v>
      </c>
      <c r="P971">
        <f t="shared" si="427"/>
        <v>-0.26153846153846472</v>
      </c>
      <c r="Q971" t="str">
        <f t="shared" si="431"/>
        <v>0.96% | 1.65%</v>
      </c>
      <c r="R971" t="str">
        <f t="shared" si="428"/>
        <v>BULLISH</v>
      </c>
      <c r="S971">
        <f t="shared" si="432"/>
        <v>1</v>
      </c>
    </row>
    <row r="972" spans="1:19" hidden="1" x14ac:dyDescent="0.25">
      <c r="A972" s="5" t="str">
        <f t="shared" si="429"/>
        <v>43934EUR/USD</v>
      </c>
      <c r="B972" s="6" t="s">
        <v>19</v>
      </c>
      <c r="C972" s="6">
        <v>1.07</v>
      </c>
      <c r="D972" s="6">
        <v>1.1000000000000001</v>
      </c>
      <c r="E972" s="6">
        <v>1.0900000000000001</v>
      </c>
      <c r="F972" t="str">
        <f t="shared" si="418"/>
        <v>MON</v>
      </c>
      <c r="G972" s="1">
        <f t="shared" si="419"/>
        <v>43934</v>
      </c>
      <c r="H972" s="2">
        <f t="shared" ca="1" si="420"/>
        <v>319</v>
      </c>
      <c r="I972" t="str">
        <f t="shared" si="421"/>
        <v>EUR/USD</v>
      </c>
      <c r="J972">
        <f t="shared" si="422"/>
        <v>1.07</v>
      </c>
      <c r="K972">
        <f t="shared" si="423"/>
        <v>1.1000000000000001</v>
      </c>
      <c r="L972">
        <f t="shared" si="424"/>
        <v>1.085</v>
      </c>
      <c r="M972">
        <f t="shared" si="425"/>
        <v>1.5000000000000013E-2</v>
      </c>
      <c r="N972">
        <f t="shared" si="430"/>
        <v>3.0000000000000027E-2</v>
      </c>
      <c r="O972">
        <f t="shared" si="426"/>
        <v>1.0900000000000001</v>
      </c>
      <c r="P972">
        <f t="shared" si="427"/>
        <v>0.33333333333334075</v>
      </c>
      <c r="Q972" t="str">
        <f t="shared" si="431"/>
        <v>1.83% | 0.92%</v>
      </c>
      <c r="R972" t="str">
        <f t="shared" si="428"/>
        <v>BEARISH</v>
      </c>
      <c r="S972">
        <f t="shared" si="432"/>
        <v>-1</v>
      </c>
    </row>
    <row r="973" spans="1:19" hidden="1" x14ac:dyDescent="0.25">
      <c r="A973" s="5" t="str">
        <f t="shared" si="429"/>
        <v>43934USD/JPY</v>
      </c>
      <c r="B973" s="6" t="s">
        <v>86</v>
      </c>
      <c r="C973" s="6">
        <v>106.45</v>
      </c>
      <c r="D973" s="6">
        <v>110.02</v>
      </c>
      <c r="E973" s="6">
        <v>108.57</v>
      </c>
      <c r="F973" t="str">
        <f t="shared" si="418"/>
        <v>MON</v>
      </c>
      <c r="G973" s="1">
        <f t="shared" si="419"/>
        <v>43934</v>
      </c>
      <c r="H973" s="2">
        <f t="shared" ca="1" si="420"/>
        <v>319</v>
      </c>
      <c r="I973" t="str">
        <f t="shared" si="421"/>
        <v>USD/JPY</v>
      </c>
      <c r="J973">
        <f t="shared" si="422"/>
        <v>106.45</v>
      </c>
      <c r="K973">
        <f t="shared" si="423"/>
        <v>110.02</v>
      </c>
      <c r="L973">
        <f t="shared" si="424"/>
        <v>108.235</v>
      </c>
      <c r="M973">
        <f t="shared" si="425"/>
        <v>1.7849999999999966</v>
      </c>
      <c r="N973">
        <f t="shared" si="430"/>
        <v>3.5699999999999932</v>
      </c>
      <c r="O973">
        <f t="shared" si="426"/>
        <v>108.57</v>
      </c>
      <c r="P973">
        <f t="shared" si="427"/>
        <v>0.18767507002800807</v>
      </c>
      <c r="Q973" t="str">
        <f t="shared" si="431"/>
        <v>1.95% | 1.34%</v>
      </c>
      <c r="R973" t="str">
        <f t="shared" si="428"/>
        <v>NEUTRAL</v>
      </c>
      <c r="S973">
        <f t="shared" si="432"/>
        <v>0</v>
      </c>
    </row>
    <row r="974" spans="1:19" hidden="1" x14ac:dyDescent="0.25">
      <c r="A974" s="5" t="str">
        <f t="shared" si="429"/>
        <v>43934GBP/USD</v>
      </c>
      <c r="B974" s="6" t="s">
        <v>21</v>
      </c>
      <c r="C974" s="6">
        <v>1.21</v>
      </c>
      <c r="D974" s="6">
        <v>1.26</v>
      </c>
      <c r="E974" s="6">
        <v>1.25</v>
      </c>
      <c r="F974" t="str">
        <f t="shared" si="418"/>
        <v>MON</v>
      </c>
      <c r="G974" s="1">
        <f t="shared" si="419"/>
        <v>43934</v>
      </c>
      <c r="H974" s="2">
        <f t="shared" ca="1" si="420"/>
        <v>319</v>
      </c>
      <c r="I974" t="str">
        <f t="shared" si="421"/>
        <v>GBP/USD</v>
      </c>
      <c r="J974">
        <f t="shared" si="422"/>
        <v>1.21</v>
      </c>
      <c r="K974">
        <f t="shared" si="423"/>
        <v>1.26</v>
      </c>
      <c r="L974">
        <f t="shared" si="424"/>
        <v>1.2349999999999999</v>
      </c>
      <c r="M974">
        <f t="shared" si="425"/>
        <v>2.5000000000000022E-2</v>
      </c>
      <c r="N974">
        <f t="shared" si="430"/>
        <v>5.0000000000000044E-2</v>
      </c>
      <c r="O974">
        <f t="shared" si="426"/>
        <v>1.25</v>
      </c>
      <c r="P974">
        <f t="shared" si="427"/>
        <v>0.60000000000000442</v>
      </c>
      <c r="Q974" t="str">
        <f t="shared" si="431"/>
        <v>3.2% | 0.8%</v>
      </c>
      <c r="R974" t="str">
        <f t="shared" si="428"/>
        <v>BEARISH</v>
      </c>
      <c r="S974">
        <f t="shared" si="432"/>
        <v>-1</v>
      </c>
    </row>
    <row r="975" spans="1:19" hidden="1" x14ac:dyDescent="0.25">
      <c r="A975" s="5" t="str">
        <f t="shared" si="429"/>
        <v>43934USD/CHF</v>
      </c>
      <c r="B975" s="6" t="s">
        <v>22</v>
      </c>
      <c r="C975" s="6">
        <v>0.95</v>
      </c>
      <c r="D975" s="6">
        <v>0.98</v>
      </c>
      <c r="E975" s="6">
        <v>0.96</v>
      </c>
      <c r="F975" t="str">
        <f t="shared" si="418"/>
        <v>MON</v>
      </c>
      <c r="G975" s="1">
        <f t="shared" si="419"/>
        <v>43934</v>
      </c>
      <c r="H975" s="2">
        <f t="shared" ca="1" si="420"/>
        <v>319</v>
      </c>
      <c r="I975" t="str">
        <f t="shared" si="421"/>
        <v>USD/CHF</v>
      </c>
      <c r="J975">
        <f t="shared" si="422"/>
        <v>0.95</v>
      </c>
      <c r="K975">
        <f t="shared" si="423"/>
        <v>0.98</v>
      </c>
      <c r="L975">
        <f t="shared" si="424"/>
        <v>0.96499999999999997</v>
      </c>
      <c r="M975">
        <f t="shared" si="425"/>
        <v>1.5000000000000013E-2</v>
      </c>
      <c r="N975">
        <f t="shared" si="430"/>
        <v>3.0000000000000027E-2</v>
      </c>
      <c r="O975">
        <f t="shared" si="426"/>
        <v>0.96</v>
      </c>
      <c r="P975">
        <f t="shared" si="427"/>
        <v>-0.33333333333333331</v>
      </c>
      <c r="Q975" t="str">
        <f t="shared" si="431"/>
        <v>1.04% | 2.08%</v>
      </c>
      <c r="R975" t="str">
        <f t="shared" si="428"/>
        <v>NEUTRAL</v>
      </c>
      <c r="S975">
        <f t="shared" si="432"/>
        <v>0</v>
      </c>
    </row>
    <row r="976" spans="1:19" hidden="1" x14ac:dyDescent="0.25">
      <c r="A976" s="5" t="str">
        <f t="shared" si="429"/>
        <v>43934WTIC</v>
      </c>
      <c r="B976" s="6" t="s">
        <v>23</v>
      </c>
      <c r="C976" s="6">
        <v>18.010000000000002</v>
      </c>
      <c r="D976" s="6">
        <v>28.84</v>
      </c>
      <c r="E976" s="6">
        <v>22.76</v>
      </c>
      <c r="F976" t="str">
        <f t="shared" si="418"/>
        <v>MON</v>
      </c>
      <c r="G976" s="1">
        <f t="shared" si="419"/>
        <v>43934</v>
      </c>
      <c r="H976" s="2">
        <f t="shared" ca="1" si="420"/>
        <v>319</v>
      </c>
      <c r="I976" t="str">
        <f t="shared" si="421"/>
        <v>WTIC</v>
      </c>
      <c r="J976">
        <f t="shared" si="422"/>
        <v>18.010000000000002</v>
      </c>
      <c r="K976">
        <f t="shared" si="423"/>
        <v>28.84</v>
      </c>
      <c r="L976">
        <f t="shared" si="424"/>
        <v>23.425000000000001</v>
      </c>
      <c r="M976">
        <f t="shared" si="425"/>
        <v>5.415</v>
      </c>
      <c r="N976">
        <f t="shared" si="430"/>
        <v>10.829999999999998</v>
      </c>
      <c r="O976">
        <f t="shared" si="426"/>
        <v>22.76</v>
      </c>
      <c r="P976">
        <f t="shared" si="427"/>
        <v>-0.12280701754385949</v>
      </c>
      <c r="Q976" t="str">
        <f t="shared" si="431"/>
        <v>20.87% | 26.71%</v>
      </c>
      <c r="R976" t="str">
        <f t="shared" si="428"/>
        <v>BEARISH</v>
      </c>
      <c r="S976">
        <f t="shared" si="432"/>
        <v>-1</v>
      </c>
    </row>
    <row r="977" spans="1:19" hidden="1" x14ac:dyDescent="0.25">
      <c r="A977" s="5" t="str">
        <f t="shared" si="429"/>
        <v>43934NATGAS</v>
      </c>
      <c r="B977" s="6" t="s">
        <v>24</v>
      </c>
      <c r="C977" s="6">
        <v>1.52</v>
      </c>
      <c r="D977" s="6">
        <v>1.88</v>
      </c>
      <c r="E977" s="6">
        <v>1.73</v>
      </c>
      <c r="F977" t="str">
        <f t="shared" si="418"/>
        <v>MON</v>
      </c>
      <c r="G977" s="1">
        <f t="shared" si="419"/>
        <v>43934</v>
      </c>
      <c r="H977" s="2">
        <f t="shared" ca="1" si="420"/>
        <v>319</v>
      </c>
      <c r="I977" t="str">
        <f t="shared" si="421"/>
        <v>NATGAS</v>
      </c>
      <c r="J977">
        <f t="shared" si="422"/>
        <v>1.52</v>
      </c>
      <c r="K977">
        <f t="shared" si="423"/>
        <v>1.88</v>
      </c>
      <c r="L977">
        <f t="shared" si="424"/>
        <v>1.7</v>
      </c>
      <c r="M977">
        <f t="shared" si="425"/>
        <v>0.17999999999999997</v>
      </c>
      <c r="N977">
        <f t="shared" si="430"/>
        <v>0.35999999999999988</v>
      </c>
      <c r="O977">
        <f t="shared" si="426"/>
        <v>1.73</v>
      </c>
      <c r="P977">
        <f t="shared" si="427"/>
        <v>0.16666666666666685</v>
      </c>
      <c r="Q977" t="str">
        <f t="shared" si="431"/>
        <v>12.14% | 8.67%</v>
      </c>
      <c r="R977" t="str">
        <f t="shared" si="428"/>
        <v>BEARISH</v>
      </c>
      <c r="S977">
        <f t="shared" si="432"/>
        <v>-1</v>
      </c>
    </row>
    <row r="978" spans="1:19" hidden="1" x14ac:dyDescent="0.25">
      <c r="A978" s="5" t="str">
        <f t="shared" si="429"/>
        <v>43934GOLD</v>
      </c>
      <c r="B978" s="6" t="s">
        <v>25</v>
      </c>
      <c r="C978" s="6">
        <v>1628</v>
      </c>
      <c r="D978" s="6">
        <v>1760</v>
      </c>
      <c r="E978" s="6">
        <v>1752</v>
      </c>
      <c r="F978" t="str">
        <f t="shared" si="418"/>
        <v>MON</v>
      </c>
      <c r="G978" s="1">
        <f t="shared" si="419"/>
        <v>43934</v>
      </c>
      <c r="H978" s="2">
        <f t="shared" ca="1" si="420"/>
        <v>319</v>
      </c>
      <c r="I978" t="str">
        <f t="shared" si="421"/>
        <v>GOLD</v>
      </c>
      <c r="J978">
        <f t="shared" si="422"/>
        <v>1628</v>
      </c>
      <c r="K978">
        <f t="shared" si="423"/>
        <v>1760</v>
      </c>
      <c r="L978">
        <f t="shared" si="424"/>
        <v>1694</v>
      </c>
      <c r="M978">
        <f t="shared" si="425"/>
        <v>66</v>
      </c>
      <c r="N978">
        <f t="shared" si="430"/>
        <v>132</v>
      </c>
      <c r="O978">
        <f t="shared" si="426"/>
        <v>1752</v>
      </c>
      <c r="P978">
        <f t="shared" si="427"/>
        <v>0.87878787878787878</v>
      </c>
      <c r="Q978" t="str">
        <f t="shared" si="431"/>
        <v>7.08% | 0.46%</v>
      </c>
      <c r="R978" t="str">
        <f t="shared" si="428"/>
        <v>BULLISH</v>
      </c>
      <c r="S978">
        <f t="shared" si="432"/>
        <v>1</v>
      </c>
    </row>
    <row r="979" spans="1:19" hidden="1" x14ac:dyDescent="0.25">
      <c r="A979" s="5" t="str">
        <f t="shared" si="429"/>
        <v>43934COPPER</v>
      </c>
      <c r="B979" s="6" t="s">
        <v>26</v>
      </c>
      <c r="C979" s="6">
        <v>2.13</v>
      </c>
      <c r="D979" s="6">
        <v>2.36</v>
      </c>
      <c r="E979" s="6">
        <v>2.2599999999999998</v>
      </c>
      <c r="F979" t="str">
        <f t="shared" si="418"/>
        <v>MON</v>
      </c>
      <c r="G979" s="1">
        <f t="shared" si="419"/>
        <v>43934</v>
      </c>
      <c r="H979" s="2">
        <f t="shared" ca="1" si="420"/>
        <v>319</v>
      </c>
      <c r="I979" t="str">
        <f t="shared" si="421"/>
        <v>COPPER</v>
      </c>
      <c r="J979">
        <f t="shared" si="422"/>
        <v>2.13</v>
      </c>
      <c r="K979">
        <f t="shared" si="423"/>
        <v>2.36</v>
      </c>
      <c r="L979">
        <f t="shared" si="424"/>
        <v>2.2450000000000001</v>
      </c>
      <c r="M979">
        <f t="shared" si="425"/>
        <v>0.11499999999999999</v>
      </c>
      <c r="N979">
        <f t="shared" si="430"/>
        <v>0.22999999999999998</v>
      </c>
      <c r="O979">
        <f t="shared" si="426"/>
        <v>2.2599999999999998</v>
      </c>
      <c r="P979">
        <f t="shared" si="427"/>
        <v>0.13043478260869287</v>
      </c>
      <c r="Q979" t="str">
        <f t="shared" si="431"/>
        <v>5.75% | 4.42%</v>
      </c>
      <c r="R979" t="str">
        <f t="shared" si="428"/>
        <v>BEARISH</v>
      </c>
      <c r="S979">
        <f t="shared" si="432"/>
        <v>-1</v>
      </c>
    </row>
    <row r="980" spans="1:19" hidden="1" x14ac:dyDescent="0.25">
      <c r="A980" s="5" t="str">
        <f t="shared" si="429"/>
        <v>43934AAPL</v>
      </c>
      <c r="B980" s="6" t="s">
        <v>68</v>
      </c>
      <c r="C980" s="6">
        <v>235.05</v>
      </c>
      <c r="D980" s="6">
        <v>273.22000000000003</v>
      </c>
      <c r="E980" s="6">
        <v>267.99</v>
      </c>
      <c r="F980" t="str">
        <f t="shared" si="418"/>
        <v>MON</v>
      </c>
      <c r="G980" s="1">
        <f t="shared" si="419"/>
        <v>43934</v>
      </c>
      <c r="H980" s="2">
        <f t="shared" ca="1" si="420"/>
        <v>319</v>
      </c>
      <c r="I980" t="str">
        <f t="shared" si="421"/>
        <v>AAPL</v>
      </c>
      <c r="J980">
        <f t="shared" si="422"/>
        <v>235.05</v>
      </c>
      <c r="K980">
        <f t="shared" si="423"/>
        <v>273.22000000000003</v>
      </c>
      <c r="L980">
        <f t="shared" si="424"/>
        <v>254.13500000000002</v>
      </c>
      <c r="M980">
        <f t="shared" si="425"/>
        <v>19.085000000000008</v>
      </c>
      <c r="N980">
        <f t="shared" si="430"/>
        <v>38.170000000000016</v>
      </c>
      <c r="O980">
        <f t="shared" si="426"/>
        <v>267.99</v>
      </c>
      <c r="P980">
        <f t="shared" si="427"/>
        <v>0.72596279800890673</v>
      </c>
      <c r="Q980" t="str">
        <f t="shared" si="431"/>
        <v>12.29% | 1.95%</v>
      </c>
      <c r="R980" t="str">
        <f t="shared" si="428"/>
        <v>BEARISH</v>
      </c>
      <c r="S980">
        <f t="shared" si="432"/>
        <v>-1</v>
      </c>
    </row>
    <row r="981" spans="1:19" hidden="1" x14ac:dyDescent="0.25">
      <c r="A981" s="5" t="str">
        <f t="shared" si="429"/>
        <v>43934AMZN</v>
      </c>
      <c r="B981" s="6" t="s">
        <v>29</v>
      </c>
      <c r="C981" s="6">
        <v>1920</v>
      </c>
      <c r="D981" s="6">
        <v>2075</v>
      </c>
      <c r="E981" s="6">
        <v>2042</v>
      </c>
      <c r="F981" t="str">
        <f t="shared" si="418"/>
        <v>MON</v>
      </c>
      <c r="G981" s="1">
        <f t="shared" si="419"/>
        <v>43934</v>
      </c>
      <c r="H981" s="2">
        <f t="shared" ca="1" si="420"/>
        <v>319</v>
      </c>
      <c r="I981" t="str">
        <f t="shared" si="421"/>
        <v>AMZN</v>
      </c>
      <c r="J981">
        <f t="shared" si="422"/>
        <v>1920</v>
      </c>
      <c r="K981">
        <f t="shared" si="423"/>
        <v>2075</v>
      </c>
      <c r="L981">
        <f t="shared" si="424"/>
        <v>1997.5</v>
      </c>
      <c r="M981">
        <f t="shared" si="425"/>
        <v>77.5</v>
      </c>
      <c r="N981">
        <f t="shared" si="430"/>
        <v>155</v>
      </c>
      <c r="O981">
        <f t="shared" si="426"/>
        <v>2042</v>
      </c>
      <c r="P981">
        <f t="shared" si="427"/>
        <v>0.5741935483870968</v>
      </c>
      <c r="Q981" t="str">
        <f t="shared" si="431"/>
        <v>5.97% | 1.62%</v>
      </c>
      <c r="R981" t="str">
        <f t="shared" si="428"/>
        <v>BULLISH</v>
      </c>
      <c r="S981">
        <f t="shared" si="432"/>
        <v>1</v>
      </c>
    </row>
    <row r="982" spans="1:19" hidden="1" x14ac:dyDescent="0.25">
      <c r="A982" s="5" t="str">
        <f t="shared" si="429"/>
        <v>43934FB</v>
      </c>
      <c r="B982" s="6" t="s">
        <v>58</v>
      </c>
      <c r="C982" s="6">
        <v>151</v>
      </c>
      <c r="D982" s="6">
        <v>179</v>
      </c>
      <c r="E982" s="6">
        <v>175</v>
      </c>
      <c r="F982" t="str">
        <f t="shared" si="418"/>
        <v>MON</v>
      </c>
      <c r="G982" s="1">
        <f t="shared" si="419"/>
        <v>43934</v>
      </c>
      <c r="H982" s="2">
        <f t="shared" ca="1" si="420"/>
        <v>319</v>
      </c>
      <c r="I982" t="str">
        <f t="shared" si="421"/>
        <v>FB</v>
      </c>
      <c r="J982">
        <f t="shared" si="422"/>
        <v>151</v>
      </c>
      <c r="K982">
        <f t="shared" si="423"/>
        <v>179</v>
      </c>
      <c r="L982">
        <f t="shared" si="424"/>
        <v>165</v>
      </c>
      <c r="M982">
        <f t="shared" si="425"/>
        <v>14</v>
      </c>
      <c r="N982">
        <f t="shared" si="430"/>
        <v>28</v>
      </c>
      <c r="O982">
        <f t="shared" si="426"/>
        <v>175</v>
      </c>
      <c r="P982">
        <f t="shared" si="427"/>
        <v>0.7142857142857143</v>
      </c>
      <c r="Q982" t="str">
        <f t="shared" si="431"/>
        <v>13.71% | 2.29%</v>
      </c>
      <c r="R982" t="str">
        <f t="shared" si="428"/>
        <v>BEARISH</v>
      </c>
      <c r="S982">
        <f t="shared" si="432"/>
        <v>-1</v>
      </c>
    </row>
    <row r="983" spans="1:19" hidden="1" x14ac:dyDescent="0.25">
      <c r="A983" s="5" t="str">
        <f t="shared" si="429"/>
        <v>43934GOOGL</v>
      </c>
      <c r="B983" s="6" t="s">
        <v>66</v>
      </c>
      <c r="C983" s="6">
        <v>1069</v>
      </c>
      <c r="D983" s="6">
        <v>1238</v>
      </c>
      <c r="E983" s="6">
        <v>1206</v>
      </c>
      <c r="F983" t="str">
        <f t="shared" si="418"/>
        <v>MON</v>
      </c>
      <c r="G983" s="1">
        <f t="shared" si="419"/>
        <v>43934</v>
      </c>
      <c r="H983" s="2">
        <f t="shared" ca="1" si="420"/>
        <v>319</v>
      </c>
      <c r="I983" t="str">
        <f t="shared" si="421"/>
        <v>GOOGL</v>
      </c>
      <c r="J983">
        <f t="shared" si="422"/>
        <v>1069</v>
      </c>
      <c r="K983">
        <f t="shared" si="423"/>
        <v>1238</v>
      </c>
      <c r="L983">
        <f t="shared" si="424"/>
        <v>1153.5</v>
      </c>
      <c r="M983">
        <f t="shared" si="425"/>
        <v>84.5</v>
      </c>
      <c r="N983">
        <f t="shared" si="430"/>
        <v>169</v>
      </c>
      <c r="O983">
        <f t="shared" si="426"/>
        <v>1206</v>
      </c>
      <c r="P983">
        <f t="shared" si="427"/>
        <v>0.62130177514792895</v>
      </c>
      <c r="Q983" t="str">
        <f t="shared" si="431"/>
        <v>11.36% | 2.65%</v>
      </c>
      <c r="R983" t="str">
        <f t="shared" si="428"/>
        <v>BEARISH</v>
      </c>
      <c r="S983">
        <f t="shared" si="432"/>
        <v>-1</v>
      </c>
    </row>
    <row r="984" spans="1:19" hidden="1" x14ac:dyDescent="0.25">
      <c r="A984" s="5" t="str">
        <f t="shared" si="429"/>
        <v>43934NFLX</v>
      </c>
      <c r="B984" s="6" t="s">
        <v>32</v>
      </c>
      <c r="C984" s="6">
        <v>352</v>
      </c>
      <c r="D984" s="6">
        <v>383</v>
      </c>
      <c r="E984" s="6">
        <v>370</v>
      </c>
      <c r="F984" t="str">
        <f t="shared" si="418"/>
        <v>MON</v>
      </c>
      <c r="G984" s="1">
        <f t="shared" si="419"/>
        <v>43934</v>
      </c>
      <c r="H984" s="2">
        <f t="shared" ca="1" si="420"/>
        <v>319</v>
      </c>
      <c r="I984" t="str">
        <f t="shared" si="421"/>
        <v>NFLX</v>
      </c>
      <c r="J984">
        <f t="shared" si="422"/>
        <v>352</v>
      </c>
      <c r="K984">
        <f t="shared" si="423"/>
        <v>383</v>
      </c>
      <c r="L984">
        <f t="shared" si="424"/>
        <v>367.5</v>
      </c>
      <c r="M984">
        <f t="shared" si="425"/>
        <v>15.5</v>
      </c>
      <c r="N984">
        <f t="shared" si="430"/>
        <v>31</v>
      </c>
      <c r="O984">
        <f t="shared" si="426"/>
        <v>370</v>
      </c>
      <c r="P984">
        <f t="shared" si="427"/>
        <v>0.16129032258064516</v>
      </c>
      <c r="Q984" t="str">
        <f t="shared" si="431"/>
        <v>4.86% | 3.51%</v>
      </c>
      <c r="R984" t="str">
        <f t="shared" si="428"/>
        <v>BULLISH</v>
      </c>
      <c r="S984">
        <f t="shared" si="432"/>
        <v>1</v>
      </c>
    </row>
    <row r="985" spans="1:19" x14ac:dyDescent="0.25">
      <c r="A985" s="5" t="str">
        <f t="shared" si="429"/>
        <v>43934TSLA</v>
      </c>
      <c r="B985" s="6" t="s">
        <v>83</v>
      </c>
      <c r="C985" s="6">
        <v>441</v>
      </c>
      <c r="D985" s="6">
        <v>589</v>
      </c>
      <c r="E985" s="6">
        <v>573</v>
      </c>
      <c r="F985" t="str">
        <f t="shared" si="418"/>
        <v>MON</v>
      </c>
      <c r="G985" s="1">
        <f t="shared" si="419"/>
        <v>43934</v>
      </c>
      <c r="H985" s="2">
        <f t="shared" ca="1" si="420"/>
        <v>319</v>
      </c>
      <c r="I985" t="str">
        <f t="shared" si="421"/>
        <v>TSLA</v>
      </c>
      <c r="J985">
        <f t="shared" si="422"/>
        <v>441</v>
      </c>
      <c r="K985">
        <f t="shared" si="423"/>
        <v>589</v>
      </c>
      <c r="L985">
        <f t="shared" si="424"/>
        <v>515</v>
      </c>
      <c r="M985">
        <f t="shared" si="425"/>
        <v>74</v>
      </c>
      <c r="N985">
        <f t="shared" si="430"/>
        <v>148</v>
      </c>
      <c r="O985">
        <f t="shared" si="426"/>
        <v>573</v>
      </c>
      <c r="P985">
        <f t="shared" si="427"/>
        <v>0.78378378378378377</v>
      </c>
      <c r="Q985" t="str">
        <f t="shared" si="431"/>
        <v>23.04% | 2.79%</v>
      </c>
      <c r="R985" t="str">
        <f t="shared" si="428"/>
        <v>BEARISH</v>
      </c>
      <c r="S985">
        <f t="shared" si="432"/>
        <v>-1</v>
      </c>
    </row>
    <row r="986" spans="1:19" hidden="1" x14ac:dyDescent="0.25">
      <c r="A986" s="5" t="str">
        <f t="shared" si="429"/>
        <v>43934NYXBT</v>
      </c>
      <c r="B986" s="6" t="s">
        <v>84</v>
      </c>
      <c r="C986" s="6">
        <v>6030</v>
      </c>
      <c r="D986" s="6">
        <v>7667</v>
      </c>
      <c r="E986" s="6">
        <v>7335</v>
      </c>
      <c r="F986" t="str">
        <f t="shared" si="418"/>
        <v>MON</v>
      </c>
      <c r="G986" s="1">
        <f t="shared" si="419"/>
        <v>43934</v>
      </c>
      <c r="H986" s="2">
        <f t="shared" ca="1" si="420"/>
        <v>319</v>
      </c>
      <c r="I986" t="str">
        <f t="shared" si="421"/>
        <v>NYXBT</v>
      </c>
      <c r="J986">
        <f t="shared" si="422"/>
        <v>6030</v>
      </c>
      <c r="K986">
        <f t="shared" si="423"/>
        <v>7667</v>
      </c>
      <c r="L986">
        <f t="shared" si="424"/>
        <v>6848.5</v>
      </c>
      <c r="M986">
        <f t="shared" si="425"/>
        <v>818.5</v>
      </c>
      <c r="N986">
        <f t="shared" si="430"/>
        <v>1637</v>
      </c>
      <c r="O986">
        <f t="shared" si="426"/>
        <v>7335</v>
      </c>
      <c r="P986">
        <f t="shared" si="427"/>
        <v>0.59437996334758703</v>
      </c>
      <c r="Q986" t="str">
        <f t="shared" si="431"/>
        <v>17.79% | 4.53%</v>
      </c>
      <c r="R986" t="str">
        <f t="shared" si="428"/>
        <v>BEARISH</v>
      </c>
      <c r="S986">
        <f t="shared" si="432"/>
        <v>-1</v>
      </c>
    </row>
    <row r="987" spans="1:19" hidden="1" x14ac:dyDescent="0.25">
      <c r="A987" s="5" t="str">
        <f t="shared" si="429"/>
        <v>43935UST10Y</v>
      </c>
      <c r="B987" s="6" t="s">
        <v>4</v>
      </c>
      <c r="C987" s="6">
        <v>0.82</v>
      </c>
      <c r="D987" s="6">
        <v>0.56000000000000005</v>
      </c>
      <c r="E987" s="6">
        <v>0.76</v>
      </c>
      <c r="F987" t="str">
        <f t="shared" si="418"/>
        <v>TUE</v>
      </c>
      <c r="G987" s="3">
        <f>DATE(2020,4,14)</f>
        <v>43935</v>
      </c>
      <c r="H987" s="2">
        <f t="shared" ca="1" si="420"/>
        <v>318</v>
      </c>
      <c r="I987" t="str">
        <f t="shared" si="421"/>
        <v>UST10Y</v>
      </c>
      <c r="J987">
        <f t="shared" si="422"/>
        <v>0.82</v>
      </c>
      <c r="K987">
        <f t="shared" si="423"/>
        <v>0.56000000000000005</v>
      </c>
      <c r="L987">
        <f t="shared" si="424"/>
        <v>0.69</v>
      </c>
      <c r="M987">
        <f t="shared" si="425"/>
        <v>0.13000000000000031</v>
      </c>
      <c r="N987">
        <f t="shared" si="430"/>
        <v>0.2599999999999999</v>
      </c>
      <c r="O987">
        <f t="shared" si="426"/>
        <v>0.76</v>
      </c>
      <c r="P987">
        <f t="shared" si="427"/>
        <v>0.53846153846153766</v>
      </c>
      <c r="Q987" t="str">
        <f t="shared" si="431"/>
        <v>7.89% | 26.32%</v>
      </c>
      <c r="R987" t="str">
        <f t="shared" si="428"/>
        <v>BEARISH</v>
      </c>
      <c r="S987">
        <f t="shared" si="432"/>
        <v>-1</v>
      </c>
    </row>
    <row r="988" spans="1:19" hidden="1" x14ac:dyDescent="0.25">
      <c r="A988" s="5" t="str">
        <f t="shared" si="429"/>
        <v>43935UST2Y</v>
      </c>
      <c r="B988" s="6" t="s">
        <v>5</v>
      </c>
      <c r="C988" s="6">
        <v>0.31</v>
      </c>
      <c r="D988" s="6">
        <v>0.18</v>
      </c>
      <c r="E988" s="6">
        <v>0.25</v>
      </c>
      <c r="F988" t="str">
        <f t="shared" ref="F988:F1016" si="433">UPPER(TEXT(G988,"ddd"))</f>
        <v>TUE</v>
      </c>
      <c r="G988" s="3">
        <f t="shared" ref="G988:G1015" si="434">DATE(2020,4,14)</f>
        <v>43935</v>
      </c>
      <c r="H988" s="2">
        <f t="shared" ref="H988:H1016" ca="1" si="435">TODAY()-G988</f>
        <v>318</v>
      </c>
      <c r="I988" t="str">
        <f t="shared" ref="I988:I1016" si="436">TRIM(LEFT(B988,FIND(" ",B988,1)))</f>
        <v>UST2Y</v>
      </c>
      <c r="J988">
        <f t="shared" ref="J988:J1016" si="437">C988</f>
        <v>0.31</v>
      </c>
      <c r="K988">
        <f t="shared" ref="K988:K1016" si="438">D988</f>
        <v>0.18</v>
      </c>
      <c r="L988">
        <f t="shared" ref="L988:L1016" si="439">AVERAGE(J988:K988)</f>
        <v>0.245</v>
      </c>
      <c r="M988">
        <f t="shared" ref="M988:M1016" si="440">_xlfn.STDEV.P(J988:K988)</f>
        <v>6.5000000000000044E-2</v>
      </c>
      <c r="N988">
        <f t="shared" si="430"/>
        <v>0.13</v>
      </c>
      <c r="O988">
        <f t="shared" ref="O988:O1016" si="441">E988</f>
        <v>0.25</v>
      </c>
      <c r="P988">
        <f t="shared" ref="P988:P1016" si="442">(O988-L988)/M988</f>
        <v>7.6923076923076941E-2</v>
      </c>
      <c r="Q988" t="str">
        <f t="shared" si="431"/>
        <v>24% | 28%</v>
      </c>
      <c r="R988" t="str">
        <f t="shared" ref="R988:R1016" si="443">MID(B988,FIND("(",B988,1)+1,FIND(")",B988,1)-FIND("(",B988,1)-1)</f>
        <v>BEARISH</v>
      </c>
      <c r="S988">
        <f t="shared" si="432"/>
        <v>-1</v>
      </c>
    </row>
    <row r="989" spans="1:19" hidden="1" x14ac:dyDescent="0.25">
      <c r="A989" s="5" t="str">
        <f t="shared" si="429"/>
        <v>43935SPX</v>
      </c>
      <c r="B989" s="6" t="s">
        <v>6</v>
      </c>
      <c r="C989" s="6">
        <v>2402</v>
      </c>
      <c r="D989" s="6">
        <v>2860</v>
      </c>
      <c r="E989" s="6">
        <v>2761</v>
      </c>
      <c r="F989" t="str">
        <f t="shared" si="433"/>
        <v>TUE</v>
      </c>
      <c r="G989" s="3">
        <f t="shared" si="434"/>
        <v>43935</v>
      </c>
      <c r="H989" s="2">
        <f t="shared" ca="1" si="435"/>
        <v>318</v>
      </c>
      <c r="I989" t="str">
        <f t="shared" si="436"/>
        <v>SPX</v>
      </c>
      <c r="J989">
        <f t="shared" si="437"/>
        <v>2402</v>
      </c>
      <c r="K989">
        <f t="shared" si="438"/>
        <v>2860</v>
      </c>
      <c r="L989">
        <f t="shared" si="439"/>
        <v>2631</v>
      </c>
      <c r="M989">
        <f t="shared" si="440"/>
        <v>229</v>
      </c>
      <c r="N989">
        <f t="shared" si="430"/>
        <v>458</v>
      </c>
      <c r="O989">
        <f t="shared" si="441"/>
        <v>2761</v>
      </c>
      <c r="P989">
        <f t="shared" si="442"/>
        <v>0.56768558951965065</v>
      </c>
      <c r="Q989" t="str">
        <f t="shared" si="431"/>
        <v>13% | 3.59%</v>
      </c>
      <c r="R989" t="str">
        <f t="shared" si="443"/>
        <v>BEARISH</v>
      </c>
      <c r="S989">
        <f t="shared" si="432"/>
        <v>-1</v>
      </c>
    </row>
    <row r="990" spans="1:19" hidden="1" x14ac:dyDescent="0.25">
      <c r="A990" s="5" t="str">
        <f t="shared" si="429"/>
        <v>43935RUT</v>
      </c>
      <c r="B990" s="6" t="s">
        <v>7</v>
      </c>
      <c r="C990" s="6">
        <v>1112</v>
      </c>
      <c r="D990" s="6">
        <v>1251</v>
      </c>
      <c r="E990" s="6">
        <v>1212</v>
      </c>
      <c r="F990" t="str">
        <f t="shared" si="433"/>
        <v>TUE</v>
      </c>
      <c r="G990" s="3">
        <f t="shared" si="434"/>
        <v>43935</v>
      </c>
      <c r="H990" s="2">
        <f t="shared" ca="1" si="435"/>
        <v>318</v>
      </c>
      <c r="I990" t="str">
        <f t="shared" si="436"/>
        <v>RUT</v>
      </c>
      <c r="J990">
        <f t="shared" si="437"/>
        <v>1112</v>
      </c>
      <c r="K990">
        <f t="shared" si="438"/>
        <v>1251</v>
      </c>
      <c r="L990">
        <f t="shared" si="439"/>
        <v>1181.5</v>
      </c>
      <c r="M990">
        <f t="shared" si="440"/>
        <v>69.5</v>
      </c>
      <c r="N990">
        <f t="shared" si="430"/>
        <v>139</v>
      </c>
      <c r="O990">
        <f t="shared" si="441"/>
        <v>1212</v>
      </c>
      <c r="P990">
        <f t="shared" si="442"/>
        <v>0.43884892086330934</v>
      </c>
      <c r="Q990" t="str">
        <f t="shared" si="431"/>
        <v>8.25% | 3.22%</v>
      </c>
      <c r="R990" t="str">
        <f t="shared" si="443"/>
        <v>BEARISH</v>
      </c>
      <c r="S990">
        <f t="shared" si="432"/>
        <v>-1</v>
      </c>
    </row>
    <row r="991" spans="1:19" hidden="1" x14ac:dyDescent="0.25">
      <c r="A991" s="5" t="str">
        <f t="shared" si="429"/>
        <v>43935COMPQ</v>
      </c>
      <c r="B991" s="6" t="s">
        <v>64</v>
      </c>
      <c r="C991" s="6">
        <v>7164</v>
      </c>
      <c r="D991" s="6">
        <v>8348</v>
      </c>
      <c r="E991" s="6">
        <v>8192</v>
      </c>
      <c r="F991" t="str">
        <f t="shared" si="433"/>
        <v>TUE</v>
      </c>
      <c r="G991" s="3">
        <f t="shared" si="434"/>
        <v>43935</v>
      </c>
      <c r="H991" s="2">
        <f t="shared" ca="1" si="435"/>
        <v>318</v>
      </c>
      <c r="I991" t="str">
        <f t="shared" si="436"/>
        <v>COMPQ</v>
      </c>
      <c r="J991">
        <f t="shared" si="437"/>
        <v>7164</v>
      </c>
      <c r="K991">
        <f t="shared" si="438"/>
        <v>8348</v>
      </c>
      <c r="L991">
        <f t="shared" si="439"/>
        <v>7756</v>
      </c>
      <c r="M991">
        <f t="shared" si="440"/>
        <v>592</v>
      </c>
      <c r="N991">
        <f t="shared" si="430"/>
        <v>1184</v>
      </c>
      <c r="O991">
        <f t="shared" si="441"/>
        <v>8192</v>
      </c>
      <c r="P991">
        <f t="shared" si="442"/>
        <v>0.73648648648648651</v>
      </c>
      <c r="Q991" t="str">
        <f t="shared" si="431"/>
        <v>12.55% | 1.9%</v>
      </c>
      <c r="R991" t="str">
        <f t="shared" si="443"/>
        <v>BEARISH</v>
      </c>
      <c r="S991">
        <f t="shared" si="432"/>
        <v>-1</v>
      </c>
    </row>
    <row r="992" spans="1:19" hidden="1" x14ac:dyDescent="0.25">
      <c r="A992" s="5" t="str">
        <f t="shared" si="429"/>
        <v>43935XLU</v>
      </c>
      <c r="B992" s="6" t="s">
        <v>80</v>
      </c>
      <c r="C992" s="6">
        <v>49.87</v>
      </c>
      <c r="D992" s="6">
        <v>61.62</v>
      </c>
      <c r="E992" s="6">
        <v>58.9</v>
      </c>
      <c r="F992" t="str">
        <f t="shared" si="433"/>
        <v>TUE</v>
      </c>
      <c r="G992" s="3">
        <f t="shared" si="434"/>
        <v>43935</v>
      </c>
      <c r="H992" s="2">
        <f t="shared" ca="1" si="435"/>
        <v>318</v>
      </c>
      <c r="I992" t="str">
        <f t="shared" si="436"/>
        <v>XLU</v>
      </c>
      <c r="J992">
        <f t="shared" si="437"/>
        <v>49.87</v>
      </c>
      <c r="K992">
        <f t="shared" si="438"/>
        <v>61.62</v>
      </c>
      <c r="L992">
        <f t="shared" si="439"/>
        <v>55.744999999999997</v>
      </c>
      <c r="M992">
        <f t="shared" si="440"/>
        <v>5.8749999999999609</v>
      </c>
      <c r="N992">
        <f t="shared" si="430"/>
        <v>11.75</v>
      </c>
      <c r="O992">
        <f t="shared" si="441"/>
        <v>58.9</v>
      </c>
      <c r="P992">
        <f t="shared" si="442"/>
        <v>0.5370212765957485</v>
      </c>
      <c r="Q992" t="str">
        <f t="shared" si="431"/>
        <v>15.33% | 4.62%</v>
      </c>
      <c r="R992" t="str">
        <f t="shared" si="443"/>
        <v>NEUTRAL</v>
      </c>
      <c r="S992">
        <f t="shared" si="432"/>
        <v>0</v>
      </c>
    </row>
    <row r="993" spans="1:19" hidden="1" x14ac:dyDescent="0.25">
      <c r="A993" s="5" t="str">
        <f t="shared" si="429"/>
        <v>43935VNQ</v>
      </c>
      <c r="B993" s="6" t="s">
        <v>67</v>
      </c>
      <c r="C993" s="6">
        <v>60.9</v>
      </c>
      <c r="D993" s="6">
        <v>79.84</v>
      </c>
      <c r="E993" s="6">
        <v>75.59</v>
      </c>
      <c r="F993" t="str">
        <f t="shared" si="433"/>
        <v>TUE</v>
      </c>
      <c r="G993" s="3">
        <f t="shared" si="434"/>
        <v>43935</v>
      </c>
      <c r="H993" s="2">
        <f t="shared" ca="1" si="435"/>
        <v>318</v>
      </c>
      <c r="I993" t="str">
        <f t="shared" si="436"/>
        <v>VNQ</v>
      </c>
      <c r="J993">
        <f t="shared" si="437"/>
        <v>60.9</v>
      </c>
      <c r="K993">
        <f t="shared" si="438"/>
        <v>79.84</v>
      </c>
      <c r="L993">
        <f t="shared" si="439"/>
        <v>70.37</v>
      </c>
      <c r="M993">
        <f t="shared" si="440"/>
        <v>9.4699999999999669</v>
      </c>
      <c r="N993">
        <f t="shared" si="430"/>
        <v>18.940000000000005</v>
      </c>
      <c r="O993">
        <f t="shared" si="441"/>
        <v>75.59</v>
      </c>
      <c r="P993">
        <f t="shared" si="442"/>
        <v>0.55121436114044531</v>
      </c>
      <c r="Q993" t="str">
        <f t="shared" si="431"/>
        <v>19.43% | 5.62%</v>
      </c>
      <c r="R993" t="str">
        <f t="shared" si="443"/>
        <v>BEARISH</v>
      </c>
      <c r="S993">
        <f t="shared" si="432"/>
        <v>-1</v>
      </c>
    </row>
    <row r="994" spans="1:19" hidden="1" x14ac:dyDescent="0.25">
      <c r="A994" s="5" t="str">
        <f t="shared" si="429"/>
        <v>43935XLP</v>
      </c>
      <c r="B994" s="6" t="s">
        <v>50</v>
      </c>
      <c r="C994" s="6">
        <v>52.98</v>
      </c>
      <c r="D994" s="6">
        <v>59.44</v>
      </c>
      <c r="E994" s="6">
        <v>57.7</v>
      </c>
      <c r="F994" t="str">
        <f t="shared" si="433"/>
        <v>TUE</v>
      </c>
      <c r="G994" s="3">
        <f t="shared" si="434"/>
        <v>43935</v>
      </c>
      <c r="H994" s="2">
        <f t="shared" ca="1" si="435"/>
        <v>318</v>
      </c>
      <c r="I994" t="str">
        <f t="shared" si="436"/>
        <v>XLP</v>
      </c>
      <c r="J994">
        <f t="shared" si="437"/>
        <v>52.98</v>
      </c>
      <c r="K994">
        <f t="shared" si="438"/>
        <v>59.44</v>
      </c>
      <c r="L994">
        <f t="shared" si="439"/>
        <v>56.209999999999994</v>
      </c>
      <c r="M994">
        <f t="shared" si="440"/>
        <v>3.2300000000000004</v>
      </c>
      <c r="N994">
        <f t="shared" si="430"/>
        <v>6.4600000000000009</v>
      </c>
      <c r="O994">
        <f t="shared" si="441"/>
        <v>57.7</v>
      </c>
      <c r="P994">
        <f t="shared" si="442"/>
        <v>0.46130030959752599</v>
      </c>
      <c r="Q994" t="str">
        <f t="shared" si="431"/>
        <v>8.18% | 3.02%</v>
      </c>
      <c r="R994" t="str">
        <f t="shared" si="443"/>
        <v>NEUTRAL</v>
      </c>
      <c r="S994">
        <f t="shared" si="432"/>
        <v>0</v>
      </c>
    </row>
    <row r="995" spans="1:19" hidden="1" x14ac:dyDescent="0.25">
      <c r="A995" s="5" t="str">
        <f t="shared" si="429"/>
        <v>43935XLK</v>
      </c>
      <c r="B995" s="6" t="s">
        <v>65</v>
      </c>
      <c r="C995" s="6">
        <v>74.64</v>
      </c>
      <c r="D995" s="6">
        <v>88.47</v>
      </c>
      <c r="E995" s="6">
        <v>85.39</v>
      </c>
      <c r="F995" t="str">
        <f t="shared" si="433"/>
        <v>TUE</v>
      </c>
      <c r="G995" s="3">
        <f t="shared" si="434"/>
        <v>43935</v>
      </c>
      <c r="H995" s="2">
        <f t="shared" ca="1" si="435"/>
        <v>318</v>
      </c>
      <c r="I995" t="str">
        <f t="shared" si="436"/>
        <v>XLK</v>
      </c>
      <c r="J995">
        <f t="shared" si="437"/>
        <v>74.64</v>
      </c>
      <c r="K995">
        <f t="shared" si="438"/>
        <v>88.47</v>
      </c>
      <c r="L995">
        <f t="shared" si="439"/>
        <v>81.555000000000007</v>
      </c>
      <c r="M995">
        <f t="shared" si="440"/>
        <v>6.9149999999999991</v>
      </c>
      <c r="N995">
        <f t="shared" si="430"/>
        <v>13.829999999999998</v>
      </c>
      <c r="O995">
        <f t="shared" si="441"/>
        <v>85.39</v>
      </c>
      <c r="P995">
        <f t="shared" si="442"/>
        <v>0.55459146782357116</v>
      </c>
      <c r="Q995" t="str">
        <f t="shared" si="431"/>
        <v>12.59% | 3.61%</v>
      </c>
      <c r="R995" t="str">
        <f t="shared" si="443"/>
        <v>BEARISH</v>
      </c>
      <c r="S995">
        <f t="shared" si="432"/>
        <v>-1</v>
      </c>
    </row>
    <row r="996" spans="1:19" hidden="1" x14ac:dyDescent="0.25">
      <c r="A996" s="5" t="str">
        <f t="shared" si="429"/>
        <v>43935SSEC</v>
      </c>
      <c r="B996" s="6" t="s">
        <v>14</v>
      </c>
      <c r="C996" s="6">
        <v>2715</v>
      </c>
      <c r="D996" s="6">
        <v>2856</v>
      </c>
      <c r="E996" s="6">
        <v>2827</v>
      </c>
      <c r="F996" t="str">
        <f t="shared" si="433"/>
        <v>TUE</v>
      </c>
      <c r="G996" s="3">
        <f t="shared" si="434"/>
        <v>43935</v>
      </c>
      <c r="H996" s="2">
        <f t="shared" ca="1" si="435"/>
        <v>318</v>
      </c>
      <c r="I996" t="str">
        <f t="shared" si="436"/>
        <v>SSEC</v>
      </c>
      <c r="J996">
        <f t="shared" si="437"/>
        <v>2715</v>
      </c>
      <c r="K996">
        <f t="shared" si="438"/>
        <v>2856</v>
      </c>
      <c r="L996">
        <f t="shared" si="439"/>
        <v>2785.5</v>
      </c>
      <c r="M996">
        <f t="shared" si="440"/>
        <v>70.5</v>
      </c>
      <c r="N996">
        <f t="shared" si="430"/>
        <v>141</v>
      </c>
      <c r="O996">
        <f t="shared" si="441"/>
        <v>2827</v>
      </c>
      <c r="P996">
        <f t="shared" si="442"/>
        <v>0.58865248226950351</v>
      </c>
      <c r="Q996" t="str">
        <f t="shared" si="431"/>
        <v>3.96% | 1.03%</v>
      </c>
      <c r="R996" t="str">
        <f t="shared" si="443"/>
        <v>BEARISH</v>
      </c>
      <c r="S996">
        <f t="shared" si="432"/>
        <v>-1</v>
      </c>
    </row>
    <row r="997" spans="1:19" hidden="1" x14ac:dyDescent="0.25">
      <c r="A997" s="5" t="str">
        <f t="shared" si="429"/>
        <v>43935NIKK</v>
      </c>
      <c r="B997" s="6" t="s">
        <v>15</v>
      </c>
      <c r="C997" s="6">
        <v>17450</v>
      </c>
      <c r="D997" s="6">
        <v>19995</v>
      </c>
      <c r="E997" s="6">
        <v>19638</v>
      </c>
      <c r="F997" t="str">
        <f t="shared" si="433"/>
        <v>TUE</v>
      </c>
      <c r="G997" s="3">
        <f t="shared" si="434"/>
        <v>43935</v>
      </c>
      <c r="H997" s="2">
        <f t="shared" ca="1" si="435"/>
        <v>318</v>
      </c>
      <c r="I997" t="str">
        <f t="shared" si="436"/>
        <v>NIKK</v>
      </c>
      <c r="J997">
        <f t="shared" si="437"/>
        <v>17450</v>
      </c>
      <c r="K997">
        <f t="shared" si="438"/>
        <v>19995</v>
      </c>
      <c r="L997">
        <f t="shared" si="439"/>
        <v>18722.5</v>
      </c>
      <c r="M997">
        <f t="shared" si="440"/>
        <v>1272.5</v>
      </c>
      <c r="N997">
        <f t="shared" si="430"/>
        <v>2545</v>
      </c>
      <c r="O997">
        <f t="shared" si="441"/>
        <v>19638</v>
      </c>
      <c r="P997">
        <f t="shared" si="442"/>
        <v>0.71944990176817292</v>
      </c>
      <c r="Q997" t="str">
        <f t="shared" si="431"/>
        <v>11.14% | 1.82%</v>
      </c>
      <c r="R997" t="str">
        <f t="shared" si="443"/>
        <v>BEARISH</v>
      </c>
      <c r="S997">
        <f t="shared" si="432"/>
        <v>-1</v>
      </c>
    </row>
    <row r="998" spans="1:19" hidden="1" x14ac:dyDescent="0.25">
      <c r="A998" s="5" t="str">
        <f t="shared" si="429"/>
        <v>43935DAX</v>
      </c>
      <c r="B998" s="6" t="s">
        <v>16</v>
      </c>
      <c r="C998" s="6">
        <v>9135</v>
      </c>
      <c r="D998" s="6">
        <v>10716</v>
      </c>
      <c r="E998" s="6">
        <v>10570</v>
      </c>
      <c r="F998" t="str">
        <f t="shared" si="433"/>
        <v>TUE</v>
      </c>
      <c r="G998" s="3">
        <f t="shared" si="434"/>
        <v>43935</v>
      </c>
      <c r="H998" s="2">
        <f t="shared" ca="1" si="435"/>
        <v>318</v>
      </c>
      <c r="I998" t="str">
        <f t="shared" si="436"/>
        <v>DAX</v>
      </c>
      <c r="J998">
        <f t="shared" si="437"/>
        <v>9135</v>
      </c>
      <c r="K998">
        <f t="shared" si="438"/>
        <v>10716</v>
      </c>
      <c r="L998">
        <f t="shared" si="439"/>
        <v>9925.5</v>
      </c>
      <c r="M998">
        <f t="shared" si="440"/>
        <v>790.5</v>
      </c>
      <c r="N998">
        <f t="shared" si="430"/>
        <v>1581</v>
      </c>
      <c r="O998">
        <f t="shared" si="441"/>
        <v>10570</v>
      </c>
      <c r="P998">
        <f t="shared" si="442"/>
        <v>0.8153067678684377</v>
      </c>
      <c r="Q998" t="str">
        <f t="shared" si="431"/>
        <v>13.58% | 1.38%</v>
      </c>
      <c r="R998" t="str">
        <f t="shared" si="443"/>
        <v>BEARISH</v>
      </c>
      <c r="S998">
        <f t="shared" si="432"/>
        <v>-1</v>
      </c>
    </row>
    <row r="999" spans="1:19" hidden="1" x14ac:dyDescent="0.25">
      <c r="A999" s="5" t="str">
        <f t="shared" si="429"/>
        <v>43935VIX</v>
      </c>
      <c r="B999" s="6" t="s">
        <v>17</v>
      </c>
      <c r="C999" s="6">
        <v>37.020000000000003</v>
      </c>
      <c r="D999" s="6">
        <v>59.64</v>
      </c>
      <c r="E999" s="6">
        <v>41.17</v>
      </c>
      <c r="F999" t="str">
        <f t="shared" si="433"/>
        <v>TUE</v>
      </c>
      <c r="G999" s="3">
        <f t="shared" si="434"/>
        <v>43935</v>
      </c>
      <c r="H999" s="2">
        <f t="shared" ca="1" si="435"/>
        <v>318</v>
      </c>
      <c r="I999" t="str">
        <f t="shared" si="436"/>
        <v>VIX</v>
      </c>
      <c r="J999">
        <f t="shared" si="437"/>
        <v>37.020000000000003</v>
      </c>
      <c r="K999">
        <f t="shared" si="438"/>
        <v>59.64</v>
      </c>
      <c r="L999">
        <f t="shared" si="439"/>
        <v>48.33</v>
      </c>
      <c r="M999">
        <f t="shared" si="440"/>
        <v>11.309999999999997</v>
      </c>
      <c r="N999">
        <f t="shared" si="430"/>
        <v>22.619999999999997</v>
      </c>
      <c r="O999">
        <f t="shared" si="441"/>
        <v>41.17</v>
      </c>
      <c r="P999">
        <f t="shared" si="442"/>
        <v>-0.63306808134394332</v>
      </c>
      <c r="Q999" t="str">
        <f t="shared" si="431"/>
        <v>10.08% | 44.86%</v>
      </c>
      <c r="R999" t="str">
        <f t="shared" si="443"/>
        <v>BULLISH</v>
      </c>
      <c r="S999">
        <f t="shared" si="432"/>
        <v>1</v>
      </c>
    </row>
    <row r="1000" spans="1:19" hidden="1" x14ac:dyDescent="0.25">
      <c r="A1000" s="5" t="str">
        <f t="shared" si="429"/>
        <v>43935USD</v>
      </c>
      <c r="B1000" s="6" t="s">
        <v>18</v>
      </c>
      <c r="C1000" s="6">
        <v>98.66</v>
      </c>
      <c r="D1000" s="6">
        <v>101.13</v>
      </c>
      <c r="E1000" s="6">
        <v>99.34</v>
      </c>
      <c r="F1000" t="str">
        <f t="shared" si="433"/>
        <v>TUE</v>
      </c>
      <c r="G1000" s="3">
        <f t="shared" si="434"/>
        <v>43935</v>
      </c>
      <c r="H1000" s="2">
        <f t="shared" ca="1" si="435"/>
        <v>318</v>
      </c>
      <c r="I1000" t="str">
        <f t="shared" si="436"/>
        <v>USD</v>
      </c>
      <c r="J1000">
        <f t="shared" si="437"/>
        <v>98.66</v>
      </c>
      <c r="K1000">
        <f t="shared" si="438"/>
        <v>101.13</v>
      </c>
      <c r="L1000">
        <f t="shared" si="439"/>
        <v>99.894999999999996</v>
      </c>
      <c r="M1000">
        <f t="shared" si="440"/>
        <v>1.2349999999999994</v>
      </c>
      <c r="N1000">
        <f t="shared" si="430"/>
        <v>2.4699999999999989</v>
      </c>
      <c r="O1000">
        <f t="shared" si="441"/>
        <v>99.34</v>
      </c>
      <c r="P1000">
        <f t="shared" si="442"/>
        <v>-0.44939271255060154</v>
      </c>
      <c r="Q1000" t="str">
        <f t="shared" si="431"/>
        <v>0.68% | 1.8%</v>
      </c>
      <c r="R1000" t="str">
        <f t="shared" si="443"/>
        <v>BULLISH</v>
      </c>
      <c r="S1000">
        <f t="shared" si="432"/>
        <v>1</v>
      </c>
    </row>
    <row r="1001" spans="1:19" hidden="1" x14ac:dyDescent="0.25">
      <c r="A1001" s="5" t="str">
        <f t="shared" si="429"/>
        <v>43935EUR/USD</v>
      </c>
      <c r="B1001" s="6" t="s">
        <v>19</v>
      </c>
      <c r="C1001" s="6">
        <v>1.07</v>
      </c>
      <c r="D1001" s="6">
        <v>1.1000000000000001</v>
      </c>
      <c r="E1001" s="6">
        <v>1.0900000000000001</v>
      </c>
      <c r="F1001" t="str">
        <f t="shared" si="433"/>
        <v>TUE</v>
      </c>
      <c r="G1001" s="3">
        <f t="shared" si="434"/>
        <v>43935</v>
      </c>
      <c r="H1001" s="2">
        <f t="shared" ca="1" si="435"/>
        <v>318</v>
      </c>
      <c r="I1001" t="str">
        <f t="shared" si="436"/>
        <v>EUR/USD</v>
      </c>
      <c r="J1001">
        <f t="shared" si="437"/>
        <v>1.07</v>
      </c>
      <c r="K1001">
        <f t="shared" si="438"/>
        <v>1.1000000000000001</v>
      </c>
      <c r="L1001">
        <f t="shared" si="439"/>
        <v>1.085</v>
      </c>
      <c r="M1001">
        <f t="shared" si="440"/>
        <v>1.5000000000000013E-2</v>
      </c>
      <c r="N1001">
        <f t="shared" si="430"/>
        <v>3.0000000000000027E-2</v>
      </c>
      <c r="O1001">
        <f t="shared" si="441"/>
        <v>1.0900000000000001</v>
      </c>
      <c r="P1001">
        <f t="shared" si="442"/>
        <v>0.33333333333334075</v>
      </c>
      <c r="Q1001" t="str">
        <f t="shared" si="431"/>
        <v>1.83% | 0.92%</v>
      </c>
      <c r="R1001" t="str">
        <f t="shared" si="443"/>
        <v>BEARISH</v>
      </c>
      <c r="S1001">
        <f t="shared" si="432"/>
        <v>-1</v>
      </c>
    </row>
    <row r="1002" spans="1:19" hidden="1" x14ac:dyDescent="0.25">
      <c r="A1002" s="5" t="str">
        <f t="shared" si="429"/>
        <v>43935USD/JPY</v>
      </c>
      <c r="B1002" s="6" t="s">
        <v>86</v>
      </c>
      <c r="C1002" s="6">
        <v>106.49</v>
      </c>
      <c r="D1002" s="6">
        <v>110</v>
      </c>
      <c r="E1002" s="6">
        <v>107.75</v>
      </c>
      <c r="F1002" t="str">
        <f t="shared" si="433"/>
        <v>TUE</v>
      </c>
      <c r="G1002" s="3">
        <f t="shared" si="434"/>
        <v>43935</v>
      </c>
      <c r="H1002" s="2">
        <f t="shared" ca="1" si="435"/>
        <v>318</v>
      </c>
      <c r="I1002" t="str">
        <f t="shared" si="436"/>
        <v>USD/JPY</v>
      </c>
      <c r="J1002">
        <f t="shared" si="437"/>
        <v>106.49</v>
      </c>
      <c r="K1002">
        <f t="shared" si="438"/>
        <v>110</v>
      </c>
      <c r="L1002">
        <f t="shared" si="439"/>
        <v>108.245</v>
      </c>
      <c r="M1002">
        <f t="shared" si="440"/>
        <v>1.7550000000000026</v>
      </c>
      <c r="N1002">
        <f t="shared" si="430"/>
        <v>3.5100000000000051</v>
      </c>
      <c r="O1002">
        <f t="shared" si="441"/>
        <v>107.75</v>
      </c>
      <c r="P1002">
        <f t="shared" si="442"/>
        <v>-0.28205128205128421</v>
      </c>
      <c r="Q1002" t="str">
        <f t="shared" si="431"/>
        <v>1.17% | 2.09%</v>
      </c>
      <c r="R1002" t="str">
        <f t="shared" si="443"/>
        <v>NEUTRAL</v>
      </c>
      <c r="S1002">
        <f t="shared" si="432"/>
        <v>0</v>
      </c>
    </row>
    <row r="1003" spans="1:19" hidden="1" x14ac:dyDescent="0.25">
      <c r="A1003" s="5" t="str">
        <f t="shared" si="429"/>
        <v>43935GBP/USD</v>
      </c>
      <c r="B1003" s="6" t="s">
        <v>21</v>
      </c>
      <c r="C1003" s="6">
        <v>1.22</v>
      </c>
      <c r="D1003" s="6">
        <v>1.26</v>
      </c>
      <c r="E1003" s="6">
        <v>1.25</v>
      </c>
      <c r="F1003" t="str">
        <f t="shared" si="433"/>
        <v>TUE</v>
      </c>
      <c r="G1003" s="3">
        <f t="shared" si="434"/>
        <v>43935</v>
      </c>
      <c r="H1003" s="2">
        <f t="shared" ca="1" si="435"/>
        <v>318</v>
      </c>
      <c r="I1003" t="str">
        <f t="shared" si="436"/>
        <v>GBP/USD</v>
      </c>
      <c r="J1003">
        <f t="shared" si="437"/>
        <v>1.22</v>
      </c>
      <c r="K1003">
        <f t="shared" si="438"/>
        <v>1.26</v>
      </c>
      <c r="L1003">
        <f t="shared" si="439"/>
        <v>1.24</v>
      </c>
      <c r="M1003">
        <f t="shared" si="440"/>
        <v>2.0000000000000018E-2</v>
      </c>
      <c r="N1003">
        <f t="shared" si="430"/>
        <v>4.0000000000000036E-2</v>
      </c>
      <c r="O1003">
        <f t="shared" si="441"/>
        <v>1.25</v>
      </c>
      <c r="P1003">
        <f t="shared" si="442"/>
        <v>0.5</v>
      </c>
      <c r="Q1003" t="str">
        <f t="shared" si="431"/>
        <v>2.4% | 0.8%</v>
      </c>
      <c r="R1003" t="str">
        <f t="shared" si="443"/>
        <v>BEARISH</v>
      </c>
      <c r="S1003">
        <f t="shared" si="432"/>
        <v>-1</v>
      </c>
    </row>
    <row r="1004" spans="1:19" hidden="1" x14ac:dyDescent="0.25">
      <c r="A1004" s="5" t="str">
        <f t="shared" si="429"/>
        <v>43935USD/CHF</v>
      </c>
      <c r="B1004" s="6" t="s">
        <v>22</v>
      </c>
      <c r="C1004" s="6">
        <v>0.95</v>
      </c>
      <c r="D1004" s="6">
        <v>0.98</v>
      </c>
      <c r="E1004" s="6">
        <v>0.96</v>
      </c>
      <c r="F1004" t="str">
        <f t="shared" si="433"/>
        <v>TUE</v>
      </c>
      <c r="G1004" s="3">
        <f t="shared" si="434"/>
        <v>43935</v>
      </c>
      <c r="H1004" s="2">
        <f t="shared" ca="1" si="435"/>
        <v>318</v>
      </c>
      <c r="I1004" t="str">
        <f t="shared" si="436"/>
        <v>USD/CHF</v>
      </c>
      <c r="J1004">
        <f t="shared" si="437"/>
        <v>0.95</v>
      </c>
      <c r="K1004">
        <f t="shared" si="438"/>
        <v>0.98</v>
      </c>
      <c r="L1004">
        <f t="shared" si="439"/>
        <v>0.96499999999999997</v>
      </c>
      <c r="M1004">
        <f t="shared" si="440"/>
        <v>1.5000000000000013E-2</v>
      </c>
      <c r="N1004">
        <f t="shared" si="430"/>
        <v>3.0000000000000027E-2</v>
      </c>
      <c r="O1004">
        <f t="shared" si="441"/>
        <v>0.96</v>
      </c>
      <c r="P1004">
        <f t="shared" si="442"/>
        <v>-0.33333333333333331</v>
      </c>
      <c r="Q1004" t="str">
        <f t="shared" si="431"/>
        <v>1.04% | 2.08%</v>
      </c>
      <c r="R1004" t="str">
        <f t="shared" si="443"/>
        <v>NEUTRAL</v>
      </c>
      <c r="S1004">
        <f t="shared" si="432"/>
        <v>0</v>
      </c>
    </row>
    <row r="1005" spans="1:19" hidden="1" x14ac:dyDescent="0.25">
      <c r="A1005" s="5" t="str">
        <f t="shared" si="429"/>
        <v>43935WTIC</v>
      </c>
      <c r="B1005" s="6" t="s">
        <v>23</v>
      </c>
      <c r="C1005" s="6">
        <v>18.13</v>
      </c>
      <c r="D1005" s="6">
        <v>28.37</v>
      </c>
      <c r="E1005" s="6">
        <v>22.41</v>
      </c>
      <c r="F1005" t="str">
        <f t="shared" si="433"/>
        <v>TUE</v>
      </c>
      <c r="G1005" s="3">
        <f t="shared" si="434"/>
        <v>43935</v>
      </c>
      <c r="H1005" s="2">
        <f t="shared" ca="1" si="435"/>
        <v>318</v>
      </c>
      <c r="I1005" t="str">
        <f t="shared" si="436"/>
        <v>WTIC</v>
      </c>
      <c r="J1005">
        <f t="shared" si="437"/>
        <v>18.13</v>
      </c>
      <c r="K1005">
        <f t="shared" si="438"/>
        <v>28.37</v>
      </c>
      <c r="L1005">
        <f t="shared" si="439"/>
        <v>23.25</v>
      </c>
      <c r="M1005">
        <f t="shared" si="440"/>
        <v>5.1200000000000063</v>
      </c>
      <c r="N1005">
        <f t="shared" si="430"/>
        <v>10.240000000000002</v>
      </c>
      <c r="O1005">
        <f t="shared" si="441"/>
        <v>22.41</v>
      </c>
      <c r="P1005">
        <f t="shared" si="442"/>
        <v>-0.16406249999999978</v>
      </c>
      <c r="Q1005" t="str">
        <f t="shared" si="431"/>
        <v>19.1% | 26.6%</v>
      </c>
      <c r="R1005" t="str">
        <f t="shared" si="443"/>
        <v>BEARISH</v>
      </c>
      <c r="S1005">
        <f t="shared" si="432"/>
        <v>-1</v>
      </c>
    </row>
    <row r="1006" spans="1:19" hidden="1" x14ac:dyDescent="0.25">
      <c r="A1006" s="5" t="str">
        <f t="shared" si="429"/>
        <v>43935NATGAS</v>
      </c>
      <c r="B1006" s="6" t="s">
        <v>24</v>
      </c>
      <c r="C1006" s="6">
        <v>1.53</v>
      </c>
      <c r="D1006" s="6">
        <v>1.87</v>
      </c>
      <c r="E1006" s="6">
        <v>1.72</v>
      </c>
      <c r="F1006" t="str">
        <f t="shared" si="433"/>
        <v>TUE</v>
      </c>
      <c r="G1006" s="3">
        <f t="shared" si="434"/>
        <v>43935</v>
      </c>
      <c r="H1006" s="2">
        <f t="shared" ca="1" si="435"/>
        <v>318</v>
      </c>
      <c r="I1006" t="str">
        <f t="shared" si="436"/>
        <v>NATGAS</v>
      </c>
      <c r="J1006">
        <f t="shared" si="437"/>
        <v>1.53</v>
      </c>
      <c r="K1006">
        <f t="shared" si="438"/>
        <v>1.87</v>
      </c>
      <c r="L1006">
        <f t="shared" si="439"/>
        <v>1.7000000000000002</v>
      </c>
      <c r="M1006">
        <f t="shared" si="440"/>
        <v>0.17000000000000004</v>
      </c>
      <c r="N1006">
        <f t="shared" si="430"/>
        <v>0.34000000000000008</v>
      </c>
      <c r="O1006">
        <f t="shared" si="441"/>
        <v>1.72</v>
      </c>
      <c r="P1006">
        <f t="shared" si="442"/>
        <v>0.11764705882352819</v>
      </c>
      <c r="Q1006" t="str">
        <f t="shared" si="431"/>
        <v>11.05% | 8.72%</v>
      </c>
      <c r="R1006" t="str">
        <f t="shared" si="443"/>
        <v>BEARISH</v>
      </c>
      <c r="S1006">
        <f t="shared" si="432"/>
        <v>-1</v>
      </c>
    </row>
    <row r="1007" spans="1:19" hidden="1" x14ac:dyDescent="0.25">
      <c r="A1007" s="5" t="str">
        <f t="shared" si="429"/>
        <v>43935GOLD</v>
      </c>
      <c r="B1007" s="6" t="s">
        <v>25</v>
      </c>
      <c r="C1007" s="6">
        <v>1670</v>
      </c>
      <c r="D1007" s="6">
        <v>1789</v>
      </c>
      <c r="E1007" s="6">
        <v>1761</v>
      </c>
      <c r="F1007" t="str">
        <f t="shared" si="433"/>
        <v>TUE</v>
      </c>
      <c r="G1007" s="3">
        <f t="shared" si="434"/>
        <v>43935</v>
      </c>
      <c r="H1007" s="2">
        <f t="shared" ca="1" si="435"/>
        <v>318</v>
      </c>
      <c r="I1007" t="str">
        <f t="shared" si="436"/>
        <v>GOLD</v>
      </c>
      <c r="J1007">
        <f t="shared" si="437"/>
        <v>1670</v>
      </c>
      <c r="K1007">
        <f t="shared" si="438"/>
        <v>1789</v>
      </c>
      <c r="L1007">
        <f t="shared" si="439"/>
        <v>1729.5</v>
      </c>
      <c r="M1007">
        <f t="shared" si="440"/>
        <v>59.5</v>
      </c>
      <c r="N1007">
        <f t="shared" si="430"/>
        <v>119</v>
      </c>
      <c r="O1007">
        <f t="shared" si="441"/>
        <v>1761</v>
      </c>
      <c r="P1007">
        <f t="shared" si="442"/>
        <v>0.52941176470588236</v>
      </c>
      <c r="Q1007" t="str">
        <f t="shared" si="431"/>
        <v>5.17% | 1.59%</v>
      </c>
      <c r="R1007" t="str">
        <f t="shared" si="443"/>
        <v>BULLISH</v>
      </c>
      <c r="S1007">
        <f t="shared" si="432"/>
        <v>1</v>
      </c>
    </row>
    <row r="1008" spans="1:19" hidden="1" x14ac:dyDescent="0.25">
      <c r="A1008" s="5" t="str">
        <f t="shared" si="429"/>
        <v>43935COPPER</v>
      </c>
      <c r="B1008" s="6" t="s">
        <v>26</v>
      </c>
      <c r="C1008" s="6">
        <v>2.14</v>
      </c>
      <c r="D1008" s="6">
        <v>2.34</v>
      </c>
      <c r="E1008" s="6">
        <v>2.2999999999999998</v>
      </c>
      <c r="F1008" t="str">
        <f t="shared" si="433"/>
        <v>TUE</v>
      </c>
      <c r="G1008" s="3">
        <f t="shared" si="434"/>
        <v>43935</v>
      </c>
      <c r="H1008" s="2">
        <f t="shared" ca="1" si="435"/>
        <v>318</v>
      </c>
      <c r="I1008" t="str">
        <f t="shared" si="436"/>
        <v>COPPER</v>
      </c>
      <c r="J1008">
        <f t="shared" si="437"/>
        <v>2.14</v>
      </c>
      <c r="K1008">
        <f t="shared" si="438"/>
        <v>2.34</v>
      </c>
      <c r="L1008">
        <f t="shared" si="439"/>
        <v>2.2400000000000002</v>
      </c>
      <c r="M1008">
        <f t="shared" si="440"/>
        <v>9.9999999999999867E-2</v>
      </c>
      <c r="N1008">
        <f t="shared" si="430"/>
        <v>0.19999999999999973</v>
      </c>
      <c r="O1008">
        <f t="shared" si="441"/>
        <v>2.2999999999999998</v>
      </c>
      <c r="P1008">
        <f t="shared" si="442"/>
        <v>0.59999999999999687</v>
      </c>
      <c r="Q1008" t="str">
        <f t="shared" si="431"/>
        <v>6.96% | 1.74%</v>
      </c>
      <c r="R1008" t="str">
        <f t="shared" si="443"/>
        <v>BEARISH</v>
      </c>
      <c r="S1008">
        <f t="shared" si="432"/>
        <v>-1</v>
      </c>
    </row>
    <row r="1009" spans="1:19" hidden="1" x14ac:dyDescent="0.25">
      <c r="A1009" s="5" t="str">
        <f t="shared" si="429"/>
        <v>43935AAPL</v>
      </c>
      <c r="B1009" s="6" t="s">
        <v>68</v>
      </c>
      <c r="C1009" s="6">
        <v>235.07</v>
      </c>
      <c r="D1009" s="6">
        <v>280.43</v>
      </c>
      <c r="E1009" s="6">
        <v>273.25</v>
      </c>
      <c r="F1009" t="str">
        <f t="shared" si="433"/>
        <v>TUE</v>
      </c>
      <c r="G1009" s="3">
        <f t="shared" si="434"/>
        <v>43935</v>
      </c>
      <c r="H1009" s="2">
        <f t="shared" ca="1" si="435"/>
        <v>318</v>
      </c>
      <c r="I1009" t="str">
        <f t="shared" si="436"/>
        <v>AAPL</v>
      </c>
      <c r="J1009">
        <f t="shared" si="437"/>
        <v>235.07</v>
      </c>
      <c r="K1009">
        <f t="shared" si="438"/>
        <v>280.43</v>
      </c>
      <c r="L1009">
        <f t="shared" si="439"/>
        <v>257.75</v>
      </c>
      <c r="M1009">
        <f t="shared" si="440"/>
        <v>22.680000000000007</v>
      </c>
      <c r="N1009">
        <f t="shared" si="430"/>
        <v>45.360000000000014</v>
      </c>
      <c r="O1009">
        <f t="shared" si="441"/>
        <v>273.25</v>
      </c>
      <c r="P1009">
        <f t="shared" si="442"/>
        <v>0.68342151675484986</v>
      </c>
      <c r="Q1009" t="str">
        <f t="shared" si="431"/>
        <v>13.97% | 2.63%</v>
      </c>
      <c r="R1009" t="str">
        <f t="shared" si="443"/>
        <v>BEARISH</v>
      </c>
      <c r="S1009">
        <f t="shared" si="432"/>
        <v>-1</v>
      </c>
    </row>
    <row r="1010" spans="1:19" hidden="1" x14ac:dyDescent="0.25">
      <c r="A1010" s="5" t="str">
        <f t="shared" si="429"/>
        <v>43935AMZN</v>
      </c>
      <c r="B1010" s="6" t="s">
        <v>29</v>
      </c>
      <c r="C1010" s="6">
        <v>1953</v>
      </c>
      <c r="D1010" s="6">
        <v>2204</v>
      </c>
      <c r="E1010" s="6">
        <v>2168</v>
      </c>
      <c r="F1010" t="str">
        <f t="shared" si="433"/>
        <v>TUE</v>
      </c>
      <c r="G1010" s="3">
        <f t="shared" si="434"/>
        <v>43935</v>
      </c>
      <c r="H1010" s="2">
        <f t="shared" ca="1" si="435"/>
        <v>318</v>
      </c>
      <c r="I1010" t="str">
        <f t="shared" si="436"/>
        <v>AMZN</v>
      </c>
      <c r="J1010">
        <f t="shared" si="437"/>
        <v>1953</v>
      </c>
      <c r="K1010">
        <f t="shared" si="438"/>
        <v>2204</v>
      </c>
      <c r="L1010">
        <f t="shared" si="439"/>
        <v>2078.5</v>
      </c>
      <c r="M1010">
        <f t="shared" si="440"/>
        <v>125.5</v>
      </c>
      <c r="N1010">
        <f t="shared" si="430"/>
        <v>251</v>
      </c>
      <c r="O1010">
        <f t="shared" si="441"/>
        <v>2168</v>
      </c>
      <c r="P1010">
        <f t="shared" si="442"/>
        <v>0.71314741035856577</v>
      </c>
      <c r="Q1010" t="str">
        <f t="shared" si="431"/>
        <v>9.92% | 1.66%</v>
      </c>
      <c r="R1010" t="str">
        <f t="shared" si="443"/>
        <v>BULLISH</v>
      </c>
      <c r="S1010">
        <f t="shared" si="432"/>
        <v>1</v>
      </c>
    </row>
    <row r="1011" spans="1:19" hidden="1" x14ac:dyDescent="0.25">
      <c r="A1011" s="5" t="str">
        <f t="shared" si="429"/>
        <v>43935FB</v>
      </c>
      <c r="B1011" s="6" t="s">
        <v>58</v>
      </c>
      <c r="C1011" s="6">
        <v>151</v>
      </c>
      <c r="D1011" s="6">
        <v>181</v>
      </c>
      <c r="E1011" s="6">
        <v>174</v>
      </c>
      <c r="F1011" t="str">
        <f t="shared" si="433"/>
        <v>TUE</v>
      </c>
      <c r="G1011" s="3">
        <f t="shared" si="434"/>
        <v>43935</v>
      </c>
      <c r="H1011" s="2">
        <f t="shared" ca="1" si="435"/>
        <v>318</v>
      </c>
      <c r="I1011" t="str">
        <f t="shared" si="436"/>
        <v>FB</v>
      </c>
      <c r="J1011">
        <f t="shared" si="437"/>
        <v>151</v>
      </c>
      <c r="K1011">
        <f t="shared" si="438"/>
        <v>181</v>
      </c>
      <c r="L1011">
        <f t="shared" si="439"/>
        <v>166</v>
      </c>
      <c r="M1011">
        <f t="shared" si="440"/>
        <v>15</v>
      </c>
      <c r="N1011">
        <f t="shared" si="430"/>
        <v>30</v>
      </c>
      <c r="O1011">
        <f t="shared" si="441"/>
        <v>174</v>
      </c>
      <c r="P1011">
        <f t="shared" si="442"/>
        <v>0.53333333333333333</v>
      </c>
      <c r="Q1011" t="str">
        <f t="shared" si="431"/>
        <v>13.22% | 4.02%</v>
      </c>
      <c r="R1011" t="str">
        <f t="shared" si="443"/>
        <v>BEARISH</v>
      </c>
      <c r="S1011">
        <f t="shared" si="432"/>
        <v>-1</v>
      </c>
    </row>
    <row r="1012" spans="1:19" hidden="1" x14ac:dyDescent="0.25">
      <c r="A1012" s="5" t="str">
        <f t="shared" si="429"/>
        <v>43935GOOGL</v>
      </c>
      <c r="B1012" s="6" t="s">
        <v>66</v>
      </c>
      <c r="C1012" s="6">
        <v>1071</v>
      </c>
      <c r="D1012" s="6">
        <v>1252</v>
      </c>
      <c r="E1012" s="6">
        <v>1210</v>
      </c>
      <c r="F1012" t="str">
        <f t="shared" si="433"/>
        <v>TUE</v>
      </c>
      <c r="G1012" s="3">
        <f t="shared" si="434"/>
        <v>43935</v>
      </c>
      <c r="H1012" s="2">
        <f t="shared" ca="1" si="435"/>
        <v>318</v>
      </c>
      <c r="I1012" t="str">
        <f t="shared" si="436"/>
        <v>GOOGL</v>
      </c>
      <c r="J1012">
        <f t="shared" si="437"/>
        <v>1071</v>
      </c>
      <c r="K1012">
        <f t="shared" si="438"/>
        <v>1252</v>
      </c>
      <c r="L1012">
        <f t="shared" si="439"/>
        <v>1161.5</v>
      </c>
      <c r="M1012">
        <f t="shared" si="440"/>
        <v>90.5</v>
      </c>
      <c r="N1012">
        <f t="shared" si="430"/>
        <v>181</v>
      </c>
      <c r="O1012">
        <f t="shared" si="441"/>
        <v>1210</v>
      </c>
      <c r="P1012">
        <f t="shared" si="442"/>
        <v>0.53591160220994472</v>
      </c>
      <c r="Q1012" t="str">
        <f t="shared" si="431"/>
        <v>11.49% | 3.47%</v>
      </c>
      <c r="R1012" t="str">
        <f t="shared" si="443"/>
        <v>BEARISH</v>
      </c>
      <c r="S1012">
        <f t="shared" si="432"/>
        <v>-1</v>
      </c>
    </row>
    <row r="1013" spans="1:19" hidden="1" x14ac:dyDescent="0.25">
      <c r="A1013" s="5" t="str">
        <f t="shared" si="429"/>
        <v>43935NFLX</v>
      </c>
      <c r="B1013" s="6" t="s">
        <v>32</v>
      </c>
      <c r="C1013" s="6">
        <v>360</v>
      </c>
      <c r="D1013" s="6">
        <v>404</v>
      </c>
      <c r="E1013" s="6">
        <v>396</v>
      </c>
      <c r="F1013" t="str">
        <f t="shared" si="433"/>
        <v>TUE</v>
      </c>
      <c r="G1013" s="3">
        <f t="shared" si="434"/>
        <v>43935</v>
      </c>
      <c r="H1013" s="2">
        <f t="shared" ca="1" si="435"/>
        <v>318</v>
      </c>
      <c r="I1013" t="str">
        <f t="shared" si="436"/>
        <v>NFLX</v>
      </c>
      <c r="J1013">
        <f t="shared" si="437"/>
        <v>360</v>
      </c>
      <c r="K1013">
        <f t="shared" si="438"/>
        <v>404</v>
      </c>
      <c r="L1013">
        <f t="shared" si="439"/>
        <v>382</v>
      </c>
      <c r="M1013">
        <f t="shared" si="440"/>
        <v>22</v>
      </c>
      <c r="N1013">
        <f t="shared" si="430"/>
        <v>44</v>
      </c>
      <c r="O1013">
        <f t="shared" si="441"/>
        <v>396</v>
      </c>
      <c r="P1013">
        <f t="shared" si="442"/>
        <v>0.63636363636363635</v>
      </c>
      <c r="Q1013" t="str">
        <f t="shared" si="431"/>
        <v>9.09% | 2.02%</v>
      </c>
      <c r="R1013" t="str">
        <f t="shared" si="443"/>
        <v>BULLISH</v>
      </c>
      <c r="S1013">
        <f t="shared" si="432"/>
        <v>1</v>
      </c>
    </row>
    <row r="1014" spans="1:19" x14ac:dyDescent="0.25">
      <c r="A1014" s="5" t="str">
        <f t="shared" si="429"/>
        <v>43935TSLA</v>
      </c>
      <c r="B1014" s="6" t="s">
        <v>33</v>
      </c>
      <c r="C1014" s="6">
        <v>430</v>
      </c>
      <c r="D1014" s="6">
        <v>678</v>
      </c>
      <c r="E1014" s="6">
        <v>650</v>
      </c>
      <c r="F1014" t="str">
        <f t="shared" si="433"/>
        <v>TUE</v>
      </c>
      <c r="G1014" s="3">
        <f t="shared" si="434"/>
        <v>43935</v>
      </c>
      <c r="H1014" s="2">
        <f t="shared" ca="1" si="435"/>
        <v>318</v>
      </c>
      <c r="I1014" t="str">
        <f t="shared" si="436"/>
        <v>TSLA</v>
      </c>
      <c r="J1014">
        <f t="shared" si="437"/>
        <v>430</v>
      </c>
      <c r="K1014">
        <f t="shared" si="438"/>
        <v>678</v>
      </c>
      <c r="L1014">
        <f t="shared" si="439"/>
        <v>554</v>
      </c>
      <c r="M1014">
        <f t="shared" si="440"/>
        <v>124</v>
      </c>
      <c r="N1014">
        <f t="shared" si="430"/>
        <v>248</v>
      </c>
      <c r="O1014">
        <f t="shared" si="441"/>
        <v>650</v>
      </c>
      <c r="P1014">
        <f t="shared" si="442"/>
        <v>0.77419354838709675</v>
      </c>
      <c r="Q1014" t="str">
        <f t="shared" si="431"/>
        <v>33.85% | 4.31%</v>
      </c>
      <c r="R1014" t="str">
        <f t="shared" si="443"/>
        <v>BULLISH</v>
      </c>
      <c r="S1014">
        <f t="shared" si="432"/>
        <v>1</v>
      </c>
    </row>
    <row r="1015" spans="1:19" hidden="1" x14ac:dyDescent="0.25">
      <c r="A1015" s="5" t="str">
        <f t="shared" si="429"/>
        <v>43935NYXBT</v>
      </c>
      <c r="B1015" s="6" t="s">
        <v>84</v>
      </c>
      <c r="C1015" s="6">
        <v>6065</v>
      </c>
      <c r="D1015" s="6">
        <v>7624</v>
      </c>
      <c r="E1015" s="6">
        <v>6714</v>
      </c>
      <c r="F1015" t="str">
        <f t="shared" si="433"/>
        <v>TUE</v>
      </c>
      <c r="G1015" s="3">
        <f t="shared" si="434"/>
        <v>43935</v>
      </c>
      <c r="H1015" s="2">
        <f t="shared" ca="1" si="435"/>
        <v>318</v>
      </c>
      <c r="I1015" t="str">
        <f t="shared" si="436"/>
        <v>NYXBT</v>
      </c>
      <c r="J1015">
        <f t="shared" si="437"/>
        <v>6065</v>
      </c>
      <c r="K1015">
        <f t="shared" si="438"/>
        <v>7624</v>
      </c>
      <c r="L1015">
        <f t="shared" si="439"/>
        <v>6844.5</v>
      </c>
      <c r="M1015">
        <f t="shared" si="440"/>
        <v>779.5</v>
      </c>
      <c r="N1015">
        <f t="shared" si="430"/>
        <v>1559</v>
      </c>
      <c r="O1015">
        <f t="shared" si="441"/>
        <v>6714</v>
      </c>
      <c r="P1015">
        <f t="shared" si="442"/>
        <v>-0.16741500962155229</v>
      </c>
      <c r="Q1015" t="str">
        <f t="shared" si="431"/>
        <v>9.67% | 13.55%</v>
      </c>
      <c r="R1015" t="str">
        <f t="shared" si="443"/>
        <v>BEARISH</v>
      </c>
      <c r="S1015">
        <f t="shared" si="432"/>
        <v>-1</v>
      </c>
    </row>
    <row r="1016" spans="1:19" hidden="1" x14ac:dyDescent="0.25">
      <c r="A1016" s="5" t="str">
        <f t="shared" si="429"/>
        <v>43936UST10Y</v>
      </c>
      <c r="B1016" s="6" t="s">
        <v>4</v>
      </c>
      <c r="C1016" s="6">
        <v>0.81</v>
      </c>
      <c r="D1016" s="6">
        <v>0.56000000000000005</v>
      </c>
      <c r="E1016" s="6">
        <v>0.76</v>
      </c>
      <c r="F1016" t="str">
        <f t="shared" si="433"/>
        <v>WED</v>
      </c>
      <c r="G1016" s="1">
        <f>DATE(2020,4,15)</f>
        <v>43936</v>
      </c>
      <c r="H1016" s="2">
        <f t="shared" ca="1" si="435"/>
        <v>317</v>
      </c>
      <c r="I1016" t="str">
        <f t="shared" si="436"/>
        <v>UST10Y</v>
      </c>
      <c r="J1016">
        <f t="shared" si="437"/>
        <v>0.81</v>
      </c>
      <c r="K1016">
        <f t="shared" si="438"/>
        <v>0.56000000000000005</v>
      </c>
      <c r="L1016">
        <f t="shared" si="439"/>
        <v>0.68500000000000005</v>
      </c>
      <c r="M1016">
        <f t="shared" si="440"/>
        <v>0.12500000000000022</v>
      </c>
      <c r="N1016">
        <f t="shared" si="430"/>
        <v>0.25</v>
      </c>
      <c r="O1016">
        <f t="shared" si="441"/>
        <v>0.76</v>
      </c>
      <c r="P1016">
        <f t="shared" si="442"/>
        <v>0.59999999999999853</v>
      </c>
      <c r="Q1016" t="str">
        <f t="shared" si="431"/>
        <v>6.58% | 26.32%</v>
      </c>
      <c r="R1016" t="str">
        <f t="shared" si="443"/>
        <v>BEARISH</v>
      </c>
      <c r="S1016">
        <f t="shared" si="432"/>
        <v>-1</v>
      </c>
    </row>
    <row r="1017" spans="1:19" hidden="1" x14ac:dyDescent="0.25">
      <c r="A1017" s="5" t="str">
        <f t="shared" si="429"/>
        <v>43936UST2Y</v>
      </c>
      <c r="B1017" s="6" t="s">
        <v>5</v>
      </c>
      <c r="C1017" s="6">
        <v>0.28999999999999998</v>
      </c>
      <c r="D1017" s="6">
        <v>0.17</v>
      </c>
      <c r="E1017" s="6">
        <v>0.23</v>
      </c>
      <c r="F1017" t="str">
        <f t="shared" ref="F1017:F1045" si="444">UPPER(TEXT(G1017,"ddd"))</f>
        <v>WED</v>
      </c>
      <c r="G1017" s="1">
        <f t="shared" ref="G1017:G1044" si="445">DATE(2020,4,15)</f>
        <v>43936</v>
      </c>
      <c r="H1017" s="2">
        <f t="shared" ref="H1017:H1045" ca="1" si="446">TODAY()-G1017</f>
        <v>317</v>
      </c>
      <c r="I1017" t="str">
        <f t="shared" ref="I1017:I1045" si="447">TRIM(LEFT(B1017,FIND(" ",B1017,1)))</f>
        <v>UST2Y</v>
      </c>
      <c r="J1017">
        <f t="shared" ref="J1017:J1045" si="448">C1017</f>
        <v>0.28999999999999998</v>
      </c>
      <c r="K1017">
        <f t="shared" ref="K1017:K1045" si="449">D1017</f>
        <v>0.17</v>
      </c>
      <c r="L1017">
        <f t="shared" ref="L1017:L1045" si="450">AVERAGE(J1017:K1017)</f>
        <v>0.22999999999999998</v>
      </c>
      <c r="M1017">
        <f t="shared" ref="M1017:M1045" si="451">_xlfn.STDEV.P(J1017:K1017)</f>
        <v>6.0000000000000109E-2</v>
      </c>
      <c r="N1017">
        <f t="shared" si="430"/>
        <v>0.11999999999999997</v>
      </c>
      <c r="O1017">
        <f t="shared" ref="O1017:O1045" si="452">E1017</f>
        <v>0.23</v>
      </c>
      <c r="P1017">
        <f t="shared" ref="P1017:P1045" si="453">(O1017-L1017)/M1017</f>
        <v>4.625929269271477E-16</v>
      </c>
      <c r="Q1017" t="str">
        <f t="shared" si="431"/>
        <v>26.09% | 26.09%</v>
      </c>
      <c r="R1017" t="str">
        <f t="shared" ref="R1017:R1045" si="454">MID(B1017,FIND("(",B1017,1)+1,FIND(")",B1017,1)-FIND("(",B1017,1)-1)</f>
        <v>BEARISH</v>
      </c>
      <c r="S1017">
        <f t="shared" si="432"/>
        <v>-1</v>
      </c>
    </row>
    <row r="1018" spans="1:19" hidden="1" x14ac:dyDescent="0.25">
      <c r="A1018" s="5" t="str">
        <f t="shared" si="429"/>
        <v>43936SPX</v>
      </c>
      <c r="B1018" s="6" t="s">
        <v>6</v>
      </c>
      <c r="C1018" s="6">
        <v>2400</v>
      </c>
      <c r="D1018" s="6">
        <v>2922</v>
      </c>
      <c r="E1018" s="6">
        <v>2846</v>
      </c>
      <c r="F1018" t="str">
        <f t="shared" si="444"/>
        <v>WED</v>
      </c>
      <c r="G1018" s="1">
        <f t="shared" si="445"/>
        <v>43936</v>
      </c>
      <c r="H1018" s="2">
        <f t="shared" ca="1" si="446"/>
        <v>317</v>
      </c>
      <c r="I1018" t="str">
        <f t="shared" si="447"/>
        <v>SPX</v>
      </c>
      <c r="J1018">
        <f t="shared" si="448"/>
        <v>2400</v>
      </c>
      <c r="K1018">
        <f t="shared" si="449"/>
        <v>2922</v>
      </c>
      <c r="L1018">
        <f t="shared" si="450"/>
        <v>2661</v>
      </c>
      <c r="M1018">
        <f t="shared" si="451"/>
        <v>261</v>
      </c>
      <c r="N1018">
        <f t="shared" si="430"/>
        <v>522</v>
      </c>
      <c r="O1018">
        <f t="shared" si="452"/>
        <v>2846</v>
      </c>
      <c r="P1018">
        <f t="shared" si="453"/>
        <v>0.70881226053639845</v>
      </c>
      <c r="Q1018" t="str">
        <f t="shared" si="431"/>
        <v>15.67% | 2.67%</v>
      </c>
      <c r="R1018" t="str">
        <f t="shared" si="454"/>
        <v>BEARISH</v>
      </c>
      <c r="S1018">
        <f t="shared" si="432"/>
        <v>-1</v>
      </c>
    </row>
    <row r="1019" spans="1:19" hidden="1" x14ac:dyDescent="0.25">
      <c r="A1019" s="5" t="str">
        <f t="shared" si="429"/>
        <v>43936RUT</v>
      </c>
      <c r="B1019" s="6" t="s">
        <v>7</v>
      </c>
      <c r="C1019" s="6">
        <v>1131</v>
      </c>
      <c r="D1019" s="6">
        <v>1272</v>
      </c>
      <c r="E1019" s="6">
        <v>1237</v>
      </c>
      <c r="F1019" t="str">
        <f t="shared" si="444"/>
        <v>WED</v>
      </c>
      <c r="G1019" s="1">
        <f t="shared" si="445"/>
        <v>43936</v>
      </c>
      <c r="H1019" s="2">
        <f t="shared" ca="1" si="446"/>
        <v>317</v>
      </c>
      <c r="I1019" t="str">
        <f t="shared" si="447"/>
        <v>RUT</v>
      </c>
      <c r="J1019">
        <f t="shared" si="448"/>
        <v>1131</v>
      </c>
      <c r="K1019">
        <f t="shared" si="449"/>
        <v>1272</v>
      </c>
      <c r="L1019">
        <f t="shared" si="450"/>
        <v>1201.5</v>
      </c>
      <c r="M1019">
        <f t="shared" si="451"/>
        <v>70.5</v>
      </c>
      <c r="N1019">
        <f t="shared" si="430"/>
        <v>141</v>
      </c>
      <c r="O1019">
        <f t="shared" si="452"/>
        <v>1237</v>
      </c>
      <c r="P1019">
        <f t="shared" si="453"/>
        <v>0.50354609929078009</v>
      </c>
      <c r="Q1019" t="str">
        <f t="shared" si="431"/>
        <v>8.57% | 2.83%</v>
      </c>
      <c r="R1019" t="str">
        <f t="shared" si="454"/>
        <v>BEARISH</v>
      </c>
      <c r="S1019">
        <f t="shared" si="432"/>
        <v>-1</v>
      </c>
    </row>
    <row r="1020" spans="1:19" hidden="1" x14ac:dyDescent="0.25">
      <c r="A1020" s="5" t="str">
        <f t="shared" si="429"/>
        <v>43936COMPQ</v>
      </c>
      <c r="B1020" s="6" t="s">
        <v>64</v>
      </c>
      <c r="C1020" s="6">
        <v>7120</v>
      </c>
      <c r="D1020" s="6">
        <v>8656</v>
      </c>
      <c r="E1020" s="6">
        <v>8515</v>
      </c>
      <c r="F1020" t="str">
        <f t="shared" si="444"/>
        <v>WED</v>
      </c>
      <c r="G1020" s="1">
        <f t="shared" si="445"/>
        <v>43936</v>
      </c>
      <c r="H1020" s="2">
        <f t="shared" ca="1" si="446"/>
        <v>317</v>
      </c>
      <c r="I1020" t="str">
        <f t="shared" si="447"/>
        <v>COMPQ</v>
      </c>
      <c r="J1020">
        <f t="shared" si="448"/>
        <v>7120</v>
      </c>
      <c r="K1020">
        <f t="shared" si="449"/>
        <v>8656</v>
      </c>
      <c r="L1020">
        <f t="shared" si="450"/>
        <v>7888</v>
      </c>
      <c r="M1020">
        <f t="shared" si="451"/>
        <v>768</v>
      </c>
      <c r="N1020">
        <f t="shared" si="430"/>
        <v>1536</v>
      </c>
      <c r="O1020">
        <f t="shared" si="452"/>
        <v>8515</v>
      </c>
      <c r="P1020">
        <f t="shared" si="453"/>
        <v>0.81640625</v>
      </c>
      <c r="Q1020" t="str">
        <f t="shared" si="431"/>
        <v>16.38% | 1.66%</v>
      </c>
      <c r="R1020" t="str">
        <f t="shared" si="454"/>
        <v>BEARISH</v>
      </c>
      <c r="S1020">
        <f t="shared" si="432"/>
        <v>-1</v>
      </c>
    </row>
    <row r="1021" spans="1:19" hidden="1" x14ac:dyDescent="0.25">
      <c r="A1021" s="5" t="str">
        <f t="shared" si="429"/>
        <v>43936XLU</v>
      </c>
      <c r="B1021" s="6" t="s">
        <v>80</v>
      </c>
      <c r="C1021" s="6">
        <v>49.85</v>
      </c>
      <c r="D1021" s="6">
        <v>62.9</v>
      </c>
      <c r="E1021" s="6">
        <v>60.63</v>
      </c>
      <c r="F1021" t="str">
        <f t="shared" si="444"/>
        <v>WED</v>
      </c>
      <c r="G1021" s="1">
        <f t="shared" si="445"/>
        <v>43936</v>
      </c>
      <c r="H1021" s="2">
        <f t="shared" ca="1" si="446"/>
        <v>317</v>
      </c>
      <c r="I1021" t="str">
        <f t="shared" si="447"/>
        <v>XLU</v>
      </c>
      <c r="J1021">
        <f t="shared" si="448"/>
        <v>49.85</v>
      </c>
      <c r="K1021">
        <f t="shared" si="449"/>
        <v>62.9</v>
      </c>
      <c r="L1021">
        <f t="shared" si="450"/>
        <v>56.375</v>
      </c>
      <c r="M1021">
        <f t="shared" si="451"/>
        <v>6.5249999999999959</v>
      </c>
      <c r="N1021">
        <f t="shared" si="430"/>
        <v>13.049999999999997</v>
      </c>
      <c r="O1021">
        <f t="shared" si="452"/>
        <v>60.63</v>
      </c>
      <c r="P1021">
        <f t="shared" si="453"/>
        <v>0.65210727969348736</v>
      </c>
      <c r="Q1021" t="str">
        <f t="shared" si="431"/>
        <v>17.78% | 3.74%</v>
      </c>
      <c r="R1021" t="str">
        <f t="shared" si="454"/>
        <v>NEUTRAL</v>
      </c>
      <c r="S1021">
        <f t="shared" si="432"/>
        <v>0</v>
      </c>
    </row>
    <row r="1022" spans="1:19" hidden="1" x14ac:dyDescent="0.25">
      <c r="A1022" s="5" t="str">
        <f t="shared" si="429"/>
        <v>43936VNQ</v>
      </c>
      <c r="B1022" s="6" t="s">
        <v>67</v>
      </c>
      <c r="C1022" s="6">
        <v>60.61</v>
      </c>
      <c r="D1022" s="6">
        <v>81.040000000000006</v>
      </c>
      <c r="E1022" s="6">
        <v>77.709999999999994</v>
      </c>
      <c r="F1022" t="str">
        <f t="shared" si="444"/>
        <v>WED</v>
      </c>
      <c r="G1022" s="1">
        <f t="shared" si="445"/>
        <v>43936</v>
      </c>
      <c r="H1022" s="2">
        <f t="shared" ca="1" si="446"/>
        <v>317</v>
      </c>
      <c r="I1022" t="str">
        <f t="shared" si="447"/>
        <v>VNQ</v>
      </c>
      <c r="J1022">
        <f t="shared" si="448"/>
        <v>60.61</v>
      </c>
      <c r="K1022">
        <f t="shared" si="449"/>
        <v>81.040000000000006</v>
      </c>
      <c r="L1022">
        <f t="shared" si="450"/>
        <v>70.825000000000003</v>
      </c>
      <c r="M1022">
        <f t="shared" si="451"/>
        <v>10.215000000000011</v>
      </c>
      <c r="N1022">
        <f t="shared" si="430"/>
        <v>20.430000000000007</v>
      </c>
      <c r="O1022">
        <f t="shared" si="452"/>
        <v>77.709999999999994</v>
      </c>
      <c r="P1022">
        <f t="shared" si="453"/>
        <v>0.67400881057268569</v>
      </c>
      <c r="Q1022" t="str">
        <f t="shared" si="431"/>
        <v>22% | 4.29%</v>
      </c>
      <c r="R1022" t="str">
        <f t="shared" si="454"/>
        <v>BEARISH</v>
      </c>
      <c r="S1022">
        <f t="shared" si="432"/>
        <v>-1</v>
      </c>
    </row>
    <row r="1023" spans="1:19" hidden="1" x14ac:dyDescent="0.25">
      <c r="A1023" s="5" t="str">
        <f t="shared" si="429"/>
        <v>43936XLP</v>
      </c>
      <c r="B1023" s="6" t="s">
        <v>54</v>
      </c>
      <c r="C1023" s="6">
        <v>53.34</v>
      </c>
      <c r="D1023" s="6">
        <v>60.85</v>
      </c>
      <c r="E1023" s="6">
        <v>60.15</v>
      </c>
      <c r="F1023" t="str">
        <f t="shared" si="444"/>
        <v>WED</v>
      </c>
      <c r="G1023" s="1">
        <f t="shared" si="445"/>
        <v>43936</v>
      </c>
      <c r="H1023" s="2">
        <f t="shared" ca="1" si="446"/>
        <v>317</v>
      </c>
      <c r="I1023" t="str">
        <f t="shared" si="447"/>
        <v>XLP</v>
      </c>
      <c r="J1023">
        <f t="shared" si="448"/>
        <v>53.34</v>
      </c>
      <c r="K1023">
        <f t="shared" si="449"/>
        <v>60.85</v>
      </c>
      <c r="L1023">
        <f t="shared" si="450"/>
        <v>57.094999999999999</v>
      </c>
      <c r="M1023">
        <f t="shared" si="451"/>
        <v>3.754999999999999</v>
      </c>
      <c r="N1023">
        <f t="shared" si="430"/>
        <v>7.509999999999998</v>
      </c>
      <c r="O1023">
        <f t="shared" si="452"/>
        <v>60.15</v>
      </c>
      <c r="P1023">
        <f t="shared" si="453"/>
        <v>0.81358189081225052</v>
      </c>
      <c r="Q1023" t="str">
        <f t="shared" si="431"/>
        <v>11.32% | 1.16%</v>
      </c>
      <c r="R1023" t="str">
        <f t="shared" si="454"/>
        <v>BULLISH</v>
      </c>
      <c r="S1023">
        <f t="shared" si="432"/>
        <v>1</v>
      </c>
    </row>
    <row r="1024" spans="1:19" hidden="1" x14ac:dyDescent="0.25">
      <c r="A1024" s="5" t="str">
        <f t="shared" si="429"/>
        <v>43936XLK</v>
      </c>
      <c r="B1024" s="6" t="s">
        <v>65</v>
      </c>
      <c r="C1024" s="6">
        <v>74.5</v>
      </c>
      <c r="D1024" s="6">
        <v>90.8</v>
      </c>
      <c r="E1024" s="6">
        <v>88.97</v>
      </c>
      <c r="F1024" t="str">
        <f t="shared" si="444"/>
        <v>WED</v>
      </c>
      <c r="G1024" s="1">
        <f t="shared" si="445"/>
        <v>43936</v>
      </c>
      <c r="H1024" s="2">
        <f t="shared" ca="1" si="446"/>
        <v>317</v>
      </c>
      <c r="I1024" t="str">
        <f t="shared" si="447"/>
        <v>XLK</v>
      </c>
      <c r="J1024">
        <f t="shared" si="448"/>
        <v>74.5</v>
      </c>
      <c r="K1024">
        <f t="shared" si="449"/>
        <v>90.8</v>
      </c>
      <c r="L1024">
        <f t="shared" si="450"/>
        <v>82.65</v>
      </c>
      <c r="M1024">
        <f t="shared" si="451"/>
        <v>8.1499999999999986</v>
      </c>
      <c r="N1024">
        <f t="shared" si="430"/>
        <v>16.299999999999997</v>
      </c>
      <c r="O1024">
        <f t="shared" si="452"/>
        <v>88.97</v>
      </c>
      <c r="P1024">
        <f t="shared" si="453"/>
        <v>0.7754601226993858</v>
      </c>
      <c r="Q1024" t="str">
        <f t="shared" si="431"/>
        <v>16.26% | 2.06%</v>
      </c>
      <c r="R1024" t="str">
        <f t="shared" si="454"/>
        <v>BEARISH</v>
      </c>
      <c r="S1024">
        <f t="shared" si="432"/>
        <v>-1</v>
      </c>
    </row>
    <row r="1025" spans="1:19" hidden="1" x14ac:dyDescent="0.25">
      <c r="A1025" s="5" t="str">
        <f t="shared" si="429"/>
        <v>43936SSEC</v>
      </c>
      <c r="B1025" s="6" t="s">
        <v>14</v>
      </c>
      <c r="C1025" s="6">
        <v>2714</v>
      </c>
      <c r="D1025" s="6">
        <v>2855</v>
      </c>
      <c r="E1025" s="6">
        <v>2811</v>
      </c>
      <c r="F1025" t="str">
        <f t="shared" si="444"/>
        <v>WED</v>
      </c>
      <c r="G1025" s="1">
        <f t="shared" si="445"/>
        <v>43936</v>
      </c>
      <c r="H1025" s="2">
        <f t="shared" ca="1" si="446"/>
        <v>317</v>
      </c>
      <c r="I1025" t="str">
        <f t="shared" si="447"/>
        <v>SSEC</v>
      </c>
      <c r="J1025">
        <f t="shared" si="448"/>
        <v>2714</v>
      </c>
      <c r="K1025">
        <f t="shared" si="449"/>
        <v>2855</v>
      </c>
      <c r="L1025">
        <f t="shared" si="450"/>
        <v>2784.5</v>
      </c>
      <c r="M1025">
        <f t="shared" si="451"/>
        <v>70.5</v>
      </c>
      <c r="N1025">
        <f t="shared" si="430"/>
        <v>141</v>
      </c>
      <c r="O1025">
        <f t="shared" si="452"/>
        <v>2811</v>
      </c>
      <c r="P1025">
        <f t="shared" si="453"/>
        <v>0.37588652482269502</v>
      </c>
      <c r="Q1025" t="str">
        <f t="shared" si="431"/>
        <v>3.45% | 1.57%</v>
      </c>
      <c r="R1025" t="str">
        <f t="shared" si="454"/>
        <v>BEARISH</v>
      </c>
      <c r="S1025">
        <f t="shared" si="432"/>
        <v>-1</v>
      </c>
    </row>
    <row r="1026" spans="1:19" hidden="1" x14ac:dyDescent="0.25">
      <c r="A1026" s="5" t="str">
        <f t="shared" si="429"/>
        <v>43936NIKK</v>
      </c>
      <c r="B1026" s="6" t="s">
        <v>15</v>
      </c>
      <c r="C1026" s="6">
        <v>17589</v>
      </c>
      <c r="D1026" s="6">
        <v>20108</v>
      </c>
      <c r="E1026" s="6">
        <v>19550</v>
      </c>
      <c r="F1026" t="str">
        <f t="shared" si="444"/>
        <v>WED</v>
      </c>
      <c r="G1026" s="1">
        <f t="shared" si="445"/>
        <v>43936</v>
      </c>
      <c r="H1026" s="2">
        <f t="shared" ca="1" si="446"/>
        <v>317</v>
      </c>
      <c r="I1026" t="str">
        <f t="shared" si="447"/>
        <v>NIKK</v>
      </c>
      <c r="J1026">
        <f t="shared" si="448"/>
        <v>17589</v>
      </c>
      <c r="K1026">
        <f t="shared" si="449"/>
        <v>20108</v>
      </c>
      <c r="L1026">
        <f t="shared" si="450"/>
        <v>18848.5</v>
      </c>
      <c r="M1026">
        <f t="shared" si="451"/>
        <v>1259.5</v>
      </c>
      <c r="N1026">
        <f t="shared" si="430"/>
        <v>2519</v>
      </c>
      <c r="O1026">
        <f t="shared" si="452"/>
        <v>19550</v>
      </c>
      <c r="P1026">
        <f t="shared" si="453"/>
        <v>0.55696705041683203</v>
      </c>
      <c r="Q1026" t="str">
        <f t="shared" si="431"/>
        <v>10.03% | 2.85%</v>
      </c>
      <c r="R1026" t="str">
        <f t="shared" si="454"/>
        <v>BEARISH</v>
      </c>
      <c r="S1026">
        <f t="shared" si="432"/>
        <v>-1</v>
      </c>
    </row>
    <row r="1027" spans="1:19" hidden="1" x14ac:dyDescent="0.25">
      <c r="A1027" s="5" t="str">
        <f t="shared" ref="A1027:A1090" si="455">G1027&amp;I1027</f>
        <v>43936DAX</v>
      </c>
      <c r="B1027" s="6" t="s">
        <v>16</v>
      </c>
      <c r="C1027" s="6">
        <v>9202</v>
      </c>
      <c r="D1027" s="6">
        <v>10845</v>
      </c>
      <c r="E1027" s="6">
        <v>10705</v>
      </c>
      <c r="F1027" t="str">
        <f t="shared" si="444"/>
        <v>WED</v>
      </c>
      <c r="G1027" s="1">
        <f t="shared" si="445"/>
        <v>43936</v>
      </c>
      <c r="H1027" s="2">
        <f t="shared" ca="1" si="446"/>
        <v>317</v>
      </c>
      <c r="I1027" t="str">
        <f t="shared" si="447"/>
        <v>DAX</v>
      </c>
      <c r="J1027">
        <f t="shared" si="448"/>
        <v>9202</v>
      </c>
      <c r="K1027">
        <f t="shared" si="449"/>
        <v>10845</v>
      </c>
      <c r="L1027">
        <f t="shared" si="450"/>
        <v>10023.5</v>
      </c>
      <c r="M1027">
        <f t="shared" si="451"/>
        <v>821.5</v>
      </c>
      <c r="N1027">
        <f t="shared" ref="N1027:N1090" si="456">ABS(K1027-J1027)</f>
        <v>1643</v>
      </c>
      <c r="O1027">
        <f t="shared" si="452"/>
        <v>10705</v>
      </c>
      <c r="P1027">
        <f t="shared" si="453"/>
        <v>0.8295800365185636</v>
      </c>
      <c r="Q1027" t="str">
        <f t="shared" ref="Q1027:Q1090" si="457">ROUND(ABS(100*(O1027-J1027)/O1027),2)&amp;"% | "&amp;ROUND(ABS(100*(K1027-O1027)/O1027),2)&amp;"%"</f>
        <v>14.04% | 1.31%</v>
      </c>
      <c r="R1027" t="str">
        <f t="shared" si="454"/>
        <v>BEARISH</v>
      </c>
      <c r="S1027">
        <f t="shared" ref="S1027:S1090" si="458">IF(R1027="BEARISH",-1,IF(R1027="NEUTRAL",0,IF(R1027="BULLISH",1,99)))</f>
        <v>-1</v>
      </c>
    </row>
    <row r="1028" spans="1:19" hidden="1" x14ac:dyDescent="0.25">
      <c r="A1028" s="5" t="str">
        <f t="shared" si="455"/>
        <v>43936VIX</v>
      </c>
      <c r="B1028" s="6" t="s">
        <v>17</v>
      </c>
      <c r="C1028" s="6">
        <v>34.75</v>
      </c>
      <c r="D1028" s="6">
        <v>58.46</v>
      </c>
      <c r="E1028" s="6">
        <v>37.76</v>
      </c>
      <c r="F1028" t="str">
        <f t="shared" si="444"/>
        <v>WED</v>
      </c>
      <c r="G1028" s="1">
        <f t="shared" si="445"/>
        <v>43936</v>
      </c>
      <c r="H1028" s="2">
        <f t="shared" ca="1" si="446"/>
        <v>317</v>
      </c>
      <c r="I1028" t="str">
        <f t="shared" si="447"/>
        <v>VIX</v>
      </c>
      <c r="J1028">
        <f t="shared" si="448"/>
        <v>34.75</v>
      </c>
      <c r="K1028">
        <f t="shared" si="449"/>
        <v>58.46</v>
      </c>
      <c r="L1028">
        <f t="shared" si="450"/>
        <v>46.605000000000004</v>
      </c>
      <c r="M1028">
        <f t="shared" si="451"/>
        <v>11.854999999999981</v>
      </c>
      <c r="N1028">
        <f t="shared" si="456"/>
        <v>23.71</v>
      </c>
      <c r="O1028">
        <f t="shared" si="452"/>
        <v>37.76</v>
      </c>
      <c r="P1028">
        <f t="shared" si="453"/>
        <v>-0.7460986925347971</v>
      </c>
      <c r="Q1028" t="str">
        <f t="shared" si="457"/>
        <v>7.97% | 54.82%</v>
      </c>
      <c r="R1028" t="str">
        <f t="shared" si="454"/>
        <v>BULLISH</v>
      </c>
      <c r="S1028">
        <f t="shared" si="458"/>
        <v>1</v>
      </c>
    </row>
    <row r="1029" spans="1:19" hidden="1" x14ac:dyDescent="0.25">
      <c r="A1029" s="5" t="str">
        <f t="shared" si="455"/>
        <v>43936USD</v>
      </c>
      <c r="B1029" s="6" t="s">
        <v>18</v>
      </c>
      <c r="C1029" s="6">
        <v>98.6</v>
      </c>
      <c r="D1029" s="6">
        <v>101.19</v>
      </c>
      <c r="E1029" s="6">
        <v>98.89</v>
      </c>
      <c r="F1029" t="str">
        <f t="shared" si="444"/>
        <v>WED</v>
      </c>
      <c r="G1029" s="1">
        <f t="shared" si="445"/>
        <v>43936</v>
      </c>
      <c r="H1029" s="2">
        <f t="shared" ca="1" si="446"/>
        <v>317</v>
      </c>
      <c r="I1029" t="str">
        <f t="shared" si="447"/>
        <v>USD</v>
      </c>
      <c r="J1029">
        <f t="shared" si="448"/>
        <v>98.6</v>
      </c>
      <c r="K1029">
        <f t="shared" si="449"/>
        <v>101.19</v>
      </c>
      <c r="L1029">
        <f t="shared" si="450"/>
        <v>99.894999999999996</v>
      </c>
      <c r="M1029">
        <f t="shared" si="451"/>
        <v>1.2950000000000017</v>
      </c>
      <c r="N1029">
        <f t="shared" si="456"/>
        <v>2.5900000000000034</v>
      </c>
      <c r="O1029">
        <f t="shared" si="452"/>
        <v>98.89</v>
      </c>
      <c r="P1029">
        <f t="shared" si="453"/>
        <v>-0.77606177606177151</v>
      </c>
      <c r="Q1029" t="str">
        <f t="shared" si="457"/>
        <v>0.29% | 2.33%</v>
      </c>
      <c r="R1029" t="str">
        <f t="shared" si="454"/>
        <v>BULLISH</v>
      </c>
      <c r="S1029">
        <f t="shared" si="458"/>
        <v>1</v>
      </c>
    </row>
    <row r="1030" spans="1:19" hidden="1" x14ac:dyDescent="0.25">
      <c r="A1030" s="5" t="str">
        <f t="shared" si="455"/>
        <v>43936EUR/USD</v>
      </c>
      <c r="B1030" s="6" t="s">
        <v>19</v>
      </c>
      <c r="C1030" s="6">
        <v>1.07</v>
      </c>
      <c r="D1030" s="6">
        <v>1.1000000000000001</v>
      </c>
      <c r="E1030" s="6">
        <v>1.0900000000000001</v>
      </c>
      <c r="F1030" t="str">
        <f t="shared" si="444"/>
        <v>WED</v>
      </c>
      <c r="G1030" s="1">
        <f t="shared" si="445"/>
        <v>43936</v>
      </c>
      <c r="H1030" s="2">
        <f t="shared" ca="1" si="446"/>
        <v>317</v>
      </c>
      <c r="I1030" t="str">
        <f t="shared" si="447"/>
        <v>EUR/USD</v>
      </c>
      <c r="J1030">
        <f t="shared" si="448"/>
        <v>1.07</v>
      </c>
      <c r="K1030">
        <f t="shared" si="449"/>
        <v>1.1000000000000001</v>
      </c>
      <c r="L1030">
        <f t="shared" si="450"/>
        <v>1.085</v>
      </c>
      <c r="M1030">
        <f t="shared" si="451"/>
        <v>1.5000000000000013E-2</v>
      </c>
      <c r="N1030">
        <f t="shared" si="456"/>
        <v>3.0000000000000027E-2</v>
      </c>
      <c r="O1030">
        <f t="shared" si="452"/>
        <v>1.0900000000000001</v>
      </c>
      <c r="P1030">
        <f t="shared" si="453"/>
        <v>0.33333333333334075</v>
      </c>
      <c r="Q1030" t="str">
        <f t="shared" si="457"/>
        <v>1.83% | 0.92%</v>
      </c>
      <c r="R1030" t="str">
        <f t="shared" si="454"/>
        <v>BEARISH</v>
      </c>
      <c r="S1030">
        <f t="shared" si="458"/>
        <v>-1</v>
      </c>
    </row>
    <row r="1031" spans="1:19" hidden="1" x14ac:dyDescent="0.25">
      <c r="A1031" s="5" t="str">
        <f t="shared" si="455"/>
        <v>43936USD/JPY</v>
      </c>
      <c r="B1031" s="6" t="s">
        <v>86</v>
      </c>
      <c r="C1031" s="6">
        <v>106.4</v>
      </c>
      <c r="D1031" s="6">
        <v>109.78</v>
      </c>
      <c r="E1031" s="6">
        <v>107.21</v>
      </c>
      <c r="F1031" t="str">
        <f t="shared" si="444"/>
        <v>WED</v>
      </c>
      <c r="G1031" s="1">
        <f t="shared" si="445"/>
        <v>43936</v>
      </c>
      <c r="H1031" s="2">
        <f t="shared" ca="1" si="446"/>
        <v>317</v>
      </c>
      <c r="I1031" t="str">
        <f t="shared" si="447"/>
        <v>USD/JPY</v>
      </c>
      <c r="J1031">
        <f t="shared" si="448"/>
        <v>106.4</v>
      </c>
      <c r="K1031">
        <f t="shared" si="449"/>
        <v>109.78</v>
      </c>
      <c r="L1031">
        <f t="shared" si="450"/>
        <v>108.09</v>
      </c>
      <c r="M1031">
        <f t="shared" si="451"/>
        <v>1.6899999999999977</v>
      </c>
      <c r="N1031">
        <f t="shared" si="456"/>
        <v>3.3799999999999955</v>
      </c>
      <c r="O1031">
        <f t="shared" si="452"/>
        <v>107.21</v>
      </c>
      <c r="P1031">
        <f t="shared" si="453"/>
        <v>-0.52071005917160407</v>
      </c>
      <c r="Q1031" t="str">
        <f t="shared" si="457"/>
        <v>0.76% | 2.4%</v>
      </c>
      <c r="R1031" t="str">
        <f t="shared" si="454"/>
        <v>NEUTRAL</v>
      </c>
      <c r="S1031">
        <f t="shared" si="458"/>
        <v>0</v>
      </c>
    </row>
    <row r="1032" spans="1:19" hidden="1" x14ac:dyDescent="0.25">
      <c r="A1032" s="5" t="str">
        <f t="shared" si="455"/>
        <v>43936GBP/USD</v>
      </c>
      <c r="B1032" s="6" t="s">
        <v>21</v>
      </c>
      <c r="C1032" s="6">
        <v>1.22</v>
      </c>
      <c r="D1032" s="6">
        <v>1.26</v>
      </c>
      <c r="E1032" s="6">
        <v>1.26</v>
      </c>
      <c r="F1032" t="str">
        <f t="shared" si="444"/>
        <v>WED</v>
      </c>
      <c r="G1032" s="1">
        <f t="shared" si="445"/>
        <v>43936</v>
      </c>
      <c r="H1032" s="2">
        <f t="shared" ca="1" si="446"/>
        <v>317</v>
      </c>
      <c r="I1032" t="str">
        <f t="shared" si="447"/>
        <v>GBP/USD</v>
      </c>
      <c r="J1032">
        <f t="shared" si="448"/>
        <v>1.22</v>
      </c>
      <c r="K1032">
        <f t="shared" si="449"/>
        <v>1.26</v>
      </c>
      <c r="L1032">
        <f t="shared" si="450"/>
        <v>1.24</v>
      </c>
      <c r="M1032">
        <f t="shared" si="451"/>
        <v>2.0000000000000018E-2</v>
      </c>
      <c r="N1032">
        <f t="shared" si="456"/>
        <v>4.0000000000000036E-2</v>
      </c>
      <c r="O1032">
        <f t="shared" si="452"/>
        <v>1.26</v>
      </c>
      <c r="P1032">
        <f t="shared" si="453"/>
        <v>1</v>
      </c>
      <c r="Q1032" t="str">
        <f t="shared" si="457"/>
        <v>3.17% | 0%</v>
      </c>
      <c r="R1032" t="str">
        <f t="shared" si="454"/>
        <v>BEARISH</v>
      </c>
      <c r="S1032">
        <f t="shared" si="458"/>
        <v>-1</v>
      </c>
    </row>
    <row r="1033" spans="1:19" hidden="1" x14ac:dyDescent="0.25">
      <c r="A1033" s="5" t="str">
        <f t="shared" si="455"/>
        <v>43936USD/CHF</v>
      </c>
      <c r="B1033" s="6" t="s">
        <v>22</v>
      </c>
      <c r="C1033" s="6">
        <v>0.95</v>
      </c>
      <c r="D1033" s="6">
        <v>0.98</v>
      </c>
      <c r="E1033" s="6">
        <v>0.96</v>
      </c>
      <c r="F1033" t="str">
        <f t="shared" si="444"/>
        <v>WED</v>
      </c>
      <c r="G1033" s="1">
        <f t="shared" si="445"/>
        <v>43936</v>
      </c>
      <c r="H1033" s="2">
        <f t="shared" ca="1" si="446"/>
        <v>317</v>
      </c>
      <c r="I1033" t="str">
        <f t="shared" si="447"/>
        <v>USD/CHF</v>
      </c>
      <c r="J1033">
        <f t="shared" si="448"/>
        <v>0.95</v>
      </c>
      <c r="K1033">
        <f t="shared" si="449"/>
        <v>0.98</v>
      </c>
      <c r="L1033">
        <f t="shared" si="450"/>
        <v>0.96499999999999997</v>
      </c>
      <c r="M1033">
        <f t="shared" si="451"/>
        <v>1.5000000000000013E-2</v>
      </c>
      <c r="N1033">
        <f t="shared" si="456"/>
        <v>3.0000000000000027E-2</v>
      </c>
      <c r="O1033">
        <f t="shared" si="452"/>
        <v>0.96</v>
      </c>
      <c r="P1033">
        <f t="shared" si="453"/>
        <v>-0.33333333333333331</v>
      </c>
      <c r="Q1033" t="str">
        <f t="shared" si="457"/>
        <v>1.04% | 2.08%</v>
      </c>
      <c r="R1033" t="str">
        <f t="shared" si="454"/>
        <v>NEUTRAL</v>
      </c>
      <c r="S1033">
        <f t="shared" si="458"/>
        <v>0</v>
      </c>
    </row>
    <row r="1034" spans="1:19" hidden="1" x14ac:dyDescent="0.25">
      <c r="A1034" s="5" t="str">
        <f t="shared" si="455"/>
        <v>43936WTIC</v>
      </c>
      <c r="B1034" s="6" t="s">
        <v>23</v>
      </c>
      <c r="C1034" s="6">
        <v>18.079999999999998</v>
      </c>
      <c r="D1034" s="6">
        <v>23.98</v>
      </c>
      <c r="E1034" s="6">
        <v>20.11</v>
      </c>
      <c r="F1034" t="str">
        <f t="shared" si="444"/>
        <v>WED</v>
      </c>
      <c r="G1034" s="1">
        <f t="shared" si="445"/>
        <v>43936</v>
      </c>
      <c r="H1034" s="2">
        <f t="shared" ca="1" si="446"/>
        <v>317</v>
      </c>
      <c r="I1034" t="str">
        <f t="shared" si="447"/>
        <v>WTIC</v>
      </c>
      <c r="J1034">
        <f t="shared" si="448"/>
        <v>18.079999999999998</v>
      </c>
      <c r="K1034">
        <f t="shared" si="449"/>
        <v>23.98</v>
      </c>
      <c r="L1034">
        <f t="shared" si="450"/>
        <v>21.03</v>
      </c>
      <c r="M1034">
        <f t="shared" si="451"/>
        <v>2.9499999999999882</v>
      </c>
      <c r="N1034">
        <f t="shared" si="456"/>
        <v>5.9000000000000021</v>
      </c>
      <c r="O1034">
        <f t="shared" si="452"/>
        <v>20.11</v>
      </c>
      <c r="P1034">
        <f t="shared" si="453"/>
        <v>-0.31186440677966282</v>
      </c>
      <c r="Q1034" t="str">
        <f t="shared" si="457"/>
        <v>10.09% | 19.24%</v>
      </c>
      <c r="R1034" t="str">
        <f t="shared" si="454"/>
        <v>BEARISH</v>
      </c>
      <c r="S1034">
        <f t="shared" si="458"/>
        <v>-1</v>
      </c>
    </row>
    <row r="1035" spans="1:19" hidden="1" x14ac:dyDescent="0.25">
      <c r="A1035" s="5" t="str">
        <f t="shared" si="455"/>
        <v>43936NATGAS</v>
      </c>
      <c r="B1035" s="6" t="s">
        <v>24</v>
      </c>
      <c r="C1035" s="6">
        <v>1.49</v>
      </c>
      <c r="D1035" s="6">
        <v>1.85</v>
      </c>
      <c r="E1035" s="6">
        <v>1.65</v>
      </c>
      <c r="F1035" t="str">
        <f t="shared" si="444"/>
        <v>WED</v>
      </c>
      <c r="G1035" s="1">
        <f t="shared" si="445"/>
        <v>43936</v>
      </c>
      <c r="H1035" s="2">
        <f t="shared" ca="1" si="446"/>
        <v>317</v>
      </c>
      <c r="I1035" t="str">
        <f t="shared" si="447"/>
        <v>NATGAS</v>
      </c>
      <c r="J1035">
        <f t="shared" si="448"/>
        <v>1.49</v>
      </c>
      <c r="K1035">
        <f t="shared" si="449"/>
        <v>1.85</v>
      </c>
      <c r="L1035">
        <f t="shared" si="450"/>
        <v>1.67</v>
      </c>
      <c r="M1035">
        <f t="shared" si="451"/>
        <v>0.17999999999999997</v>
      </c>
      <c r="N1035">
        <f t="shared" si="456"/>
        <v>0.3600000000000001</v>
      </c>
      <c r="O1035">
        <f t="shared" si="452"/>
        <v>1.65</v>
      </c>
      <c r="P1035">
        <f t="shared" si="453"/>
        <v>-0.11111111111111123</v>
      </c>
      <c r="Q1035" t="str">
        <f t="shared" si="457"/>
        <v>9.7% | 12.12%</v>
      </c>
      <c r="R1035" t="str">
        <f t="shared" si="454"/>
        <v>BEARISH</v>
      </c>
      <c r="S1035">
        <f t="shared" si="458"/>
        <v>-1</v>
      </c>
    </row>
    <row r="1036" spans="1:19" hidden="1" x14ac:dyDescent="0.25">
      <c r="A1036" s="5" t="str">
        <f t="shared" si="455"/>
        <v>43936GOLD</v>
      </c>
      <c r="B1036" s="6" t="s">
        <v>25</v>
      </c>
      <c r="C1036" s="6">
        <v>1648</v>
      </c>
      <c r="D1036" s="6">
        <v>1807</v>
      </c>
      <c r="E1036" s="6">
        <v>1768</v>
      </c>
      <c r="F1036" t="str">
        <f t="shared" si="444"/>
        <v>WED</v>
      </c>
      <c r="G1036" s="1">
        <f t="shared" si="445"/>
        <v>43936</v>
      </c>
      <c r="H1036" s="2">
        <f t="shared" ca="1" si="446"/>
        <v>317</v>
      </c>
      <c r="I1036" t="str">
        <f t="shared" si="447"/>
        <v>GOLD</v>
      </c>
      <c r="J1036">
        <f t="shared" si="448"/>
        <v>1648</v>
      </c>
      <c r="K1036">
        <f t="shared" si="449"/>
        <v>1807</v>
      </c>
      <c r="L1036">
        <f t="shared" si="450"/>
        <v>1727.5</v>
      </c>
      <c r="M1036">
        <f t="shared" si="451"/>
        <v>79.5</v>
      </c>
      <c r="N1036">
        <f t="shared" si="456"/>
        <v>159</v>
      </c>
      <c r="O1036">
        <f t="shared" si="452"/>
        <v>1768</v>
      </c>
      <c r="P1036">
        <f t="shared" si="453"/>
        <v>0.50943396226415094</v>
      </c>
      <c r="Q1036" t="str">
        <f t="shared" si="457"/>
        <v>6.79% | 2.21%</v>
      </c>
      <c r="R1036" t="str">
        <f t="shared" si="454"/>
        <v>BULLISH</v>
      </c>
      <c r="S1036">
        <f t="shared" si="458"/>
        <v>1</v>
      </c>
    </row>
    <row r="1037" spans="1:19" hidden="1" x14ac:dyDescent="0.25">
      <c r="A1037" s="5" t="str">
        <f t="shared" si="455"/>
        <v>43936COPPER</v>
      </c>
      <c r="B1037" s="6" t="s">
        <v>26</v>
      </c>
      <c r="C1037" s="6">
        <v>2.13</v>
      </c>
      <c r="D1037" s="6">
        <v>2.33</v>
      </c>
      <c r="E1037" s="6">
        <v>2.33</v>
      </c>
      <c r="F1037" t="str">
        <f t="shared" si="444"/>
        <v>WED</v>
      </c>
      <c r="G1037" s="1">
        <f t="shared" si="445"/>
        <v>43936</v>
      </c>
      <c r="H1037" s="2">
        <f t="shared" ca="1" si="446"/>
        <v>317</v>
      </c>
      <c r="I1037" t="str">
        <f t="shared" si="447"/>
        <v>COPPER</v>
      </c>
      <c r="J1037">
        <f t="shared" si="448"/>
        <v>2.13</v>
      </c>
      <c r="K1037">
        <f t="shared" si="449"/>
        <v>2.33</v>
      </c>
      <c r="L1037">
        <f t="shared" si="450"/>
        <v>2.23</v>
      </c>
      <c r="M1037">
        <f t="shared" si="451"/>
        <v>0.10000000000000009</v>
      </c>
      <c r="N1037">
        <f t="shared" si="456"/>
        <v>0.20000000000000018</v>
      </c>
      <c r="O1037">
        <f t="shared" si="452"/>
        <v>2.33</v>
      </c>
      <c r="P1037">
        <f t="shared" si="453"/>
        <v>1</v>
      </c>
      <c r="Q1037" t="str">
        <f t="shared" si="457"/>
        <v>8.58% | 0%</v>
      </c>
      <c r="R1037" t="str">
        <f t="shared" si="454"/>
        <v>BEARISH</v>
      </c>
      <c r="S1037">
        <f t="shared" si="458"/>
        <v>-1</v>
      </c>
    </row>
    <row r="1038" spans="1:19" hidden="1" x14ac:dyDescent="0.25">
      <c r="A1038" s="5" t="str">
        <f t="shared" si="455"/>
        <v>43936AAPL</v>
      </c>
      <c r="B1038" s="6" t="s">
        <v>68</v>
      </c>
      <c r="C1038" s="6">
        <v>232.9</v>
      </c>
      <c r="D1038" s="6">
        <v>290.93</v>
      </c>
      <c r="E1038" s="6">
        <v>287.05</v>
      </c>
      <c r="F1038" t="str">
        <f t="shared" si="444"/>
        <v>WED</v>
      </c>
      <c r="G1038" s="1">
        <f t="shared" si="445"/>
        <v>43936</v>
      </c>
      <c r="H1038" s="2">
        <f t="shared" ca="1" si="446"/>
        <v>317</v>
      </c>
      <c r="I1038" t="str">
        <f t="shared" si="447"/>
        <v>AAPL</v>
      </c>
      <c r="J1038">
        <f t="shared" si="448"/>
        <v>232.9</v>
      </c>
      <c r="K1038">
        <f t="shared" si="449"/>
        <v>290.93</v>
      </c>
      <c r="L1038">
        <f t="shared" si="450"/>
        <v>261.91500000000002</v>
      </c>
      <c r="M1038">
        <f t="shared" si="451"/>
        <v>29.014999999999855</v>
      </c>
      <c r="N1038">
        <f t="shared" si="456"/>
        <v>58.03</v>
      </c>
      <c r="O1038">
        <f t="shared" si="452"/>
        <v>287.05</v>
      </c>
      <c r="P1038">
        <f t="shared" si="453"/>
        <v>0.86627606410477742</v>
      </c>
      <c r="Q1038" t="str">
        <f t="shared" si="457"/>
        <v>18.86% | 1.35%</v>
      </c>
      <c r="R1038" t="str">
        <f t="shared" si="454"/>
        <v>BEARISH</v>
      </c>
      <c r="S1038">
        <f t="shared" si="458"/>
        <v>-1</v>
      </c>
    </row>
    <row r="1039" spans="1:19" hidden="1" x14ac:dyDescent="0.25">
      <c r="A1039" s="5" t="str">
        <f t="shared" si="455"/>
        <v>43936AMZN</v>
      </c>
      <c r="B1039" s="6" t="s">
        <v>29</v>
      </c>
      <c r="C1039" s="6">
        <v>2032</v>
      </c>
      <c r="D1039" s="6">
        <v>2295</v>
      </c>
      <c r="E1039" s="6">
        <v>2283</v>
      </c>
      <c r="F1039" t="str">
        <f t="shared" si="444"/>
        <v>WED</v>
      </c>
      <c r="G1039" s="1">
        <f t="shared" si="445"/>
        <v>43936</v>
      </c>
      <c r="H1039" s="2">
        <f t="shared" ca="1" si="446"/>
        <v>317</v>
      </c>
      <c r="I1039" t="str">
        <f t="shared" si="447"/>
        <v>AMZN</v>
      </c>
      <c r="J1039">
        <f t="shared" si="448"/>
        <v>2032</v>
      </c>
      <c r="K1039">
        <f t="shared" si="449"/>
        <v>2295</v>
      </c>
      <c r="L1039">
        <f t="shared" si="450"/>
        <v>2163.5</v>
      </c>
      <c r="M1039">
        <f t="shared" si="451"/>
        <v>131.5</v>
      </c>
      <c r="N1039">
        <f t="shared" si="456"/>
        <v>263</v>
      </c>
      <c r="O1039">
        <f t="shared" si="452"/>
        <v>2283</v>
      </c>
      <c r="P1039">
        <f t="shared" si="453"/>
        <v>0.90874524714828897</v>
      </c>
      <c r="Q1039" t="str">
        <f t="shared" si="457"/>
        <v>10.99% | 0.53%</v>
      </c>
      <c r="R1039" t="str">
        <f t="shared" si="454"/>
        <v>BULLISH</v>
      </c>
      <c r="S1039">
        <f t="shared" si="458"/>
        <v>1</v>
      </c>
    </row>
    <row r="1040" spans="1:19" hidden="1" x14ac:dyDescent="0.25">
      <c r="A1040" s="5" t="str">
        <f t="shared" si="455"/>
        <v>43936FB</v>
      </c>
      <c r="B1040" s="6" t="s">
        <v>58</v>
      </c>
      <c r="C1040" s="6">
        <v>151</v>
      </c>
      <c r="D1040" s="6">
        <v>182</v>
      </c>
      <c r="E1040" s="6">
        <v>178</v>
      </c>
      <c r="F1040" t="str">
        <f t="shared" si="444"/>
        <v>WED</v>
      </c>
      <c r="G1040" s="1">
        <f t="shared" si="445"/>
        <v>43936</v>
      </c>
      <c r="H1040" s="2">
        <f t="shared" ca="1" si="446"/>
        <v>317</v>
      </c>
      <c r="I1040" t="str">
        <f t="shared" si="447"/>
        <v>FB</v>
      </c>
      <c r="J1040">
        <f t="shared" si="448"/>
        <v>151</v>
      </c>
      <c r="K1040">
        <f t="shared" si="449"/>
        <v>182</v>
      </c>
      <c r="L1040">
        <f t="shared" si="450"/>
        <v>166.5</v>
      </c>
      <c r="M1040">
        <f t="shared" si="451"/>
        <v>15.5</v>
      </c>
      <c r="N1040">
        <f t="shared" si="456"/>
        <v>31</v>
      </c>
      <c r="O1040">
        <f t="shared" si="452"/>
        <v>178</v>
      </c>
      <c r="P1040">
        <f t="shared" si="453"/>
        <v>0.74193548387096775</v>
      </c>
      <c r="Q1040" t="str">
        <f t="shared" si="457"/>
        <v>15.17% | 2.25%</v>
      </c>
      <c r="R1040" t="str">
        <f t="shared" si="454"/>
        <v>BEARISH</v>
      </c>
      <c r="S1040">
        <f t="shared" si="458"/>
        <v>-1</v>
      </c>
    </row>
    <row r="1041" spans="1:19" hidden="1" x14ac:dyDescent="0.25">
      <c r="A1041" s="5" t="str">
        <f t="shared" si="455"/>
        <v>43936GOOGL</v>
      </c>
      <c r="B1041" s="6" t="s">
        <v>66</v>
      </c>
      <c r="C1041" s="6">
        <v>1066</v>
      </c>
      <c r="D1041" s="6">
        <v>1285</v>
      </c>
      <c r="E1041" s="6">
        <v>1265</v>
      </c>
      <c r="F1041" t="str">
        <f t="shared" si="444"/>
        <v>WED</v>
      </c>
      <c r="G1041" s="1">
        <f t="shared" si="445"/>
        <v>43936</v>
      </c>
      <c r="H1041" s="2">
        <f t="shared" ca="1" si="446"/>
        <v>317</v>
      </c>
      <c r="I1041" t="str">
        <f t="shared" si="447"/>
        <v>GOOGL</v>
      </c>
      <c r="J1041">
        <f t="shared" si="448"/>
        <v>1066</v>
      </c>
      <c r="K1041">
        <f t="shared" si="449"/>
        <v>1285</v>
      </c>
      <c r="L1041">
        <f t="shared" si="450"/>
        <v>1175.5</v>
      </c>
      <c r="M1041">
        <f t="shared" si="451"/>
        <v>109.5</v>
      </c>
      <c r="N1041">
        <f t="shared" si="456"/>
        <v>219</v>
      </c>
      <c r="O1041">
        <f t="shared" si="452"/>
        <v>1265</v>
      </c>
      <c r="P1041">
        <f t="shared" si="453"/>
        <v>0.81735159817351599</v>
      </c>
      <c r="Q1041" t="str">
        <f t="shared" si="457"/>
        <v>15.73% | 1.58%</v>
      </c>
      <c r="R1041" t="str">
        <f t="shared" si="454"/>
        <v>BEARISH</v>
      </c>
      <c r="S1041">
        <f t="shared" si="458"/>
        <v>-1</v>
      </c>
    </row>
    <row r="1042" spans="1:19" hidden="1" x14ac:dyDescent="0.25">
      <c r="A1042" s="5" t="str">
        <f t="shared" si="455"/>
        <v>43936NFLX</v>
      </c>
      <c r="B1042" s="6" t="s">
        <v>32</v>
      </c>
      <c r="C1042" s="6">
        <v>366</v>
      </c>
      <c r="D1042" s="6">
        <v>420</v>
      </c>
      <c r="E1042" s="6">
        <v>413</v>
      </c>
      <c r="F1042" t="str">
        <f t="shared" si="444"/>
        <v>WED</v>
      </c>
      <c r="G1042" s="1">
        <f t="shared" si="445"/>
        <v>43936</v>
      </c>
      <c r="H1042" s="2">
        <f t="shared" ca="1" si="446"/>
        <v>317</v>
      </c>
      <c r="I1042" t="str">
        <f t="shared" si="447"/>
        <v>NFLX</v>
      </c>
      <c r="J1042">
        <f t="shared" si="448"/>
        <v>366</v>
      </c>
      <c r="K1042">
        <f t="shared" si="449"/>
        <v>420</v>
      </c>
      <c r="L1042">
        <f t="shared" si="450"/>
        <v>393</v>
      </c>
      <c r="M1042">
        <f t="shared" si="451"/>
        <v>27</v>
      </c>
      <c r="N1042">
        <f t="shared" si="456"/>
        <v>54</v>
      </c>
      <c r="O1042">
        <f t="shared" si="452"/>
        <v>413</v>
      </c>
      <c r="P1042">
        <f t="shared" si="453"/>
        <v>0.7407407407407407</v>
      </c>
      <c r="Q1042" t="str">
        <f t="shared" si="457"/>
        <v>11.38% | 1.69%</v>
      </c>
      <c r="R1042" t="str">
        <f t="shared" si="454"/>
        <v>BULLISH</v>
      </c>
      <c r="S1042">
        <f t="shared" si="458"/>
        <v>1</v>
      </c>
    </row>
    <row r="1043" spans="1:19" x14ac:dyDescent="0.25">
      <c r="A1043" s="5" t="str">
        <f t="shared" si="455"/>
        <v>43936TSLA</v>
      </c>
      <c r="B1043" s="6" t="s">
        <v>33</v>
      </c>
      <c r="C1043" s="6">
        <v>552</v>
      </c>
      <c r="D1043" s="6">
        <v>756</v>
      </c>
      <c r="E1043" s="6">
        <v>709</v>
      </c>
      <c r="F1043" t="str">
        <f t="shared" si="444"/>
        <v>WED</v>
      </c>
      <c r="G1043" s="1">
        <f t="shared" si="445"/>
        <v>43936</v>
      </c>
      <c r="H1043" s="2">
        <f t="shared" ca="1" si="446"/>
        <v>317</v>
      </c>
      <c r="I1043" t="str">
        <f t="shared" si="447"/>
        <v>TSLA</v>
      </c>
      <c r="J1043">
        <f t="shared" si="448"/>
        <v>552</v>
      </c>
      <c r="K1043">
        <f t="shared" si="449"/>
        <v>756</v>
      </c>
      <c r="L1043">
        <f t="shared" si="450"/>
        <v>654</v>
      </c>
      <c r="M1043">
        <f t="shared" si="451"/>
        <v>102</v>
      </c>
      <c r="N1043">
        <f t="shared" si="456"/>
        <v>204</v>
      </c>
      <c r="O1043">
        <f t="shared" si="452"/>
        <v>709</v>
      </c>
      <c r="P1043">
        <f t="shared" si="453"/>
        <v>0.53921568627450978</v>
      </c>
      <c r="Q1043" t="str">
        <f t="shared" si="457"/>
        <v>22.14% | 6.63%</v>
      </c>
      <c r="R1043" t="str">
        <f t="shared" si="454"/>
        <v>BULLISH</v>
      </c>
      <c r="S1043">
        <f t="shared" si="458"/>
        <v>1</v>
      </c>
    </row>
    <row r="1044" spans="1:19" hidden="1" x14ac:dyDescent="0.25">
      <c r="A1044" s="5" t="str">
        <f t="shared" si="455"/>
        <v>43936NYXBT</v>
      </c>
      <c r="B1044" s="6" t="s">
        <v>84</v>
      </c>
      <c r="C1044" s="6">
        <v>6178</v>
      </c>
      <c r="D1044" s="6">
        <v>7610</v>
      </c>
      <c r="E1044" s="6">
        <v>6915</v>
      </c>
      <c r="F1044" t="str">
        <f t="shared" si="444"/>
        <v>WED</v>
      </c>
      <c r="G1044" s="1">
        <f t="shared" si="445"/>
        <v>43936</v>
      </c>
      <c r="H1044" s="2">
        <f t="shared" ca="1" si="446"/>
        <v>317</v>
      </c>
      <c r="I1044" t="str">
        <f t="shared" si="447"/>
        <v>NYXBT</v>
      </c>
      <c r="J1044">
        <f t="shared" si="448"/>
        <v>6178</v>
      </c>
      <c r="K1044">
        <f t="shared" si="449"/>
        <v>7610</v>
      </c>
      <c r="L1044">
        <f t="shared" si="450"/>
        <v>6894</v>
      </c>
      <c r="M1044">
        <f t="shared" si="451"/>
        <v>716</v>
      </c>
      <c r="N1044">
        <f t="shared" si="456"/>
        <v>1432</v>
      </c>
      <c r="O1044">
        <f t="shared" si="452"/>
        <v>6915</v>
      </c>
      <c r="P1044">
        <f t="shared" si="453"/>
        <v>2.9329608938547486E-2</v>
      </c>
      <c r="Q1044" t="str">
        <f t="shared" si="457"/>
        <v>10.66% | 10.05%</v>
      </c>
      <c r="R1044" t="str">
        <f t="shared" si="454"/>
        <v>BEARISH</v>
      </c>
      <c r="S1044">
        <f t="shared" si="458"/>
        <v>-1</v>
      </c>
    </row>
    <row r="1045" spans="1:19" hidden="1" x14ac:dyDescent="0.25">
      <c r="A1045" s="5" t="str">
        <f t="shared" si="455"/>
        <v>43937UST10Y</v>
      </c>
      <c r="B1045" s="6" t="s">
        <v>4</v>
      </c>
      <c r="C1045" s="6">
        <v>0.82</v>
      </c>
      <c r="D1045" s="6">
        <v>0.56000000000000005</v>
      </c>
      <c r="E1045" s="6">
        <v>0.63</v>
      </c>
      <c r="F1045" t="str">
        <f t="shared" si="444"/>
        <v>THU</v>
      </c>
      <c r="G1045" s="3">
        <f>DATE(2020,4,16)</f>
        <v>43937</v>
      </c>
      <c r="H1045" s="2">
        <f t="shared" ca="1" si="446"/>
        <v>316</v>
      </c>
      <c r="I1045" t="str">
        <f t="shared" si="447"/>
        <v>UST10Y</v>
      </c>
      <c r="J1045">
        <f t="shared" si="448"/>
        <v>0.82</v>
      </c>
      <c r="K1045">
        <f t="shared" si="449"/>
        <v>0.56000000000000005</v>
      </c>
      <c r="L1045">
        <f t="shared" si="450"/>
        <v>0.69</v>
      </c>
      <c r="M1045">
        <f t="shared" si="451"/>
        <v>0.13000000000000031</v>
      </c>
      <c r="N1045">
        <f t="shared" si="456"/>
        <v>0.2599999999999999</v>
      </c>
      <c r="O1045">
        <f t="shared" si="452"/>
        <v>0.63</v>
      </c>
      <c r="P1045">
        <f t="shared" si="453"/>
        <v>-0.46153846153846001</v>
      </c>
      <c r="Q1045" t="str">
        <f t="shared" si="457"/>
        <v>30.16% | 11.11%</v>
      </c>
      <c r="R1045" t="str">
        <f t="shared" si="454"/>
        <v>BEARISH</v>
      </c>
      <c r="S1045">
        <f t="shared" si="458"/>
        <v>-1</v>
      </c>
    </row>
    <row r="1046" spans="1:19" hidden="1" x14ac:dyDescent="0.25">
      <c r="A1046" s="5" t="str">
        <f t="shared" si="455"/>
        <v>43937UST2Y</v>
      </c>
      <c r="B1046" s="6" t="s">
        <v>5</v>
      </c>
      <c r="C1046" s="6">
        <v>0.28000000000000003</v>
      </c>
      <c r="D1046" s="6">
        <v>0.17</v>
      </c>
      <c r="E1046" s="6">
        <v>0.2</v>
      </c>
      <c r="F1046" t="str">
        <f t="shared" ref="F1046:F1074" si="459">UPPER(TEXT(G1046,"ddd"))</f>
        <v>THU</v>
      </c>
      <c r="G1046" s="3">
        <f t="shared" ref="G1046:G1073" si="460">DATE(2020,4,16)</f>
        <v>43937</v>
      </c>
      <c r="H1046" s="2">
        <f t="shared" ref="H1046:H1074" ca="1" si="461">TODAY()-G1046</f>
        <v>316</v>
      </c>
      <c r="I1046" t="str">
        <f t="shared" ref="I1046:I1074" si="462">TRIM(LEFT(B1046,FIND(" ",B1046,1)))</f>
        <v>UST2Y</v>
      </c>
      <c r="J1046">
        <f t="shared" ref="J1046:J1074" si="463">C1046</f>
        <v>0.28000000000000003</v>
      </c>
      <c r="K1046">
        <f t="shared" ref="K1046:K1074" si="464">D1046</f>
        <v>0.17</v>
      </c>
      <c r="L1046">
        <f t="shared" ref="L1046:L1074" si="465">AVERAGE(J1046:K1046)</f>
        <v>0.22500000000000003</v>
      </c>
      <c r="M1046">
        <f t="shared" ref="M1046:M1074" si="466">_xlfn.STDEV.P(J1046:K1046)</f>
        <v>5.4999999999999938E-2</v>
      </c>
      <c r="N1046">
        <f t="shared" si="456"/>
        <v>0.11000000000000001</v>
      </c>
      <c r="O1046">
        <f t="shared" ref="O1046:O1074" si="467">E1046</f>
        <v>0.2</v>
      </c>
      <c r="P1046">
        <f t="shared" ref="P1046:P1074" si="468">(O1046-L1046)/M1046</f>
        <v>-0.45454545454545547</v>
      </c>
      <c r="Q1046" t="str">
        <f t="shared" si="457"/>
        <v>40% | 15%</v>
      </c>
      <c r="R1046" t="str">
        <f t="shared" ref="R1046:R1074" si="469">MID(B1046,FIND("(",B1046,1)+1,FIND(")",B1046,1)-FIND("(",B1046,1)-1)</f>
        <v>BEARISH</v>
      </c>
      <c r="S1046">
        <f t="shared" si="458"/>
        <v>-1</v>
      </c>
    </row>
    <row r="1047" spans="1:19" hidden="1" x14ac:dyDescent="0.25">
      <c r="A1047" s="5" t="str">
        <f t="shared" si="455"/>
        <v>43937SPX</v>
      </c>
      <c r="B1047" s="6" t="s">
        <v>6</v>
      </c>
      <c r="C1047" s="6">
        <v>2455</v>
      </c>
      <c r="D1047" s="6">
        <v>2899</v>
      </c>
      <c r="E1047" s="6">
        <v>2783</v>
      </c>
      <c r="F1047" t="str">
        <f t="shared" si="459"/>
        <v>THU</v>
      </c>
      <c r="G1047" s="3">
        <f t="shared" si="460"/>
        <v>43937</v>
      </c>
      <c r="H1047" s="2">
        <f t="shared" ca="1" si="461"/>
        <v>316</v>
      </c>
      <c r="I1047" t="str">
        <f t="shared" si="462"/>
        <v>SPX</v>
      </c>
      <c r="J1047">
        <f t="shared" si="463"/>
        <v>2455</v>
      </c>
      <c r="K1047">
        <f t="shared" si="464"/>
        <v>2899</v>
      </c>
      <c r="L1047">
        <f t="shared" si="465"/>
        <v>2677</v>
      </c>
      <c r="M1047">
        <f t="shared" si="466"/>
        <v>222</v>
      </c>
      <c r="N1047">
        <f t="shared" si="456"/>
        <v>444</v>
      </c>
      <c r="O1047">
        <f t="shared" si="467"/>
        <v>2783</v>
      </c>
      <c r="P1047">
        <f t="shared" si="468"/>
        <v>0.47747747747747749</v>
      </c>
      <c r="Q1047" t="str">
        <f t="shared" si="457"/>
        <v>11.79% | 4.17%</v>
      </c>
      <c r="R1047" t="str">
        <f t="shared" si="469"/>
        <v>BEARISH</v>
      </c>
      <c r="S1047">
        <f t="shared" si="458"/>
        <v>-1</v>
      </c>
    </row>
    <row r="1048" spans="1:19" hidden="1" x14ac:dyDescent="0.25">
      <c r="A1048" s="5" t="str">
        <f t="shared" si="455"/>
        <v>43937RUT</v>
      </c>
      <c r="B1048" s="6" t="s">
        <v>7</v>
      </c>
      <c r="C1048" s="6">
        <v>1130</v>
      </c>
      <c r="D1048" s="6">
        <v>1252</v>
      </c>
      <c r="E1048" s="6">
        <v>1183</v>
      </c>
      <c r="F1048" t="str">
        <f t="shared" si="459"/>
        <v>THU</v>
      </c>
      <c r="G1048" s="3">
        <f t="shared" si="460"/>
        <v>43937</v>
      </c>
      <c r="H1048" s="2">
        <f t="shared" ca="1" si="461"/>
        <v>316</v>
      </c>
      <c r="I1048" t="str">
        <f t="shared" si="462"/>
        <v>RUT</v>
      </c>
      <c r="J1048">
        <f t="shared" si="463"/>
        <v>1130</v>
      </c>
      <c r="K1048">
        <f t="shared" si="464"/>
        <v>1252</v>
      </c>
      <c r="L1048">
        <f t="shared" si="465"/>
        <v>1191</v>
      </c>
      <c r="M1048">
        <f t="shared" si="466"/>
        <v>61</v>
      </c>
      <c r="N1048">
        <f t="shared" si="456"/>
        <v>122</v>
      </c>
      <c r="O1048">
        <f t="shared" si="467"/>
        <v>1183</v>
      </c>
      <c r="P1048">
        <f t="shared" si="468"/>
        <v>-0.13114754098360656</v>
      </c>
      <c r="Q1048" t="str">
        <f t="shared" si="457"/>
        <v>4.48% | 5.83%</v>
      </c>
      <c r="R1048" t="str">
        <f t="shared" si="469"/>
        <v>BEARISH</v>
      </c>
      <c r="S1048">
        <f t="shared" si="458"/>
        <v>-1</v>
      </c>
    </row>
    <row r="1049" spans="1:19" hidden="1" x14ac:dyDescent="0.25">
      <c r="A1049" s="5" t="str">
        <f t="shared" si="455"/>
        <v>43937COMPQ</v>
      </c>
      <c r="B1049" s="6" t="s">
        <v>64</v>
      </c>
      <c r="C1049" s="6">
        <v>7280</v>
      </c>
      <c r="D1049" s="6">
        <v>8701</v>
      </c>
      <c r="E1049" s="6">
        <v>8393</v>
      </c>
      <c r="F1049" t="str">
        <f t="shared" si="459"/>
        <v>THU</v>
      </c>
      <c r="G1049" s="3">
        <f t="shared" si="460"/>
        <v>43937</v>
      </c>
      <c r="H1049" s="2">
        <f t="shared" ca="1" si="461"/>
        <v>316</v>
      </c>
      <c r="I1049" t="str">
        <f t="shared" si="462"/>
        <v>COMPQ</v>
      </c>
      <c r="J1049">
        <f t="shared" si="463"/>
        <v>7280</v>
      </c>
      <c r="K1049">
        <f t="shared" si="464"/>
        <v>8701</v>
      </c>
      <c r="L1049">
        <f t="shared" si="465"/>
        <v>7990.5</v>
      </c>
      <c r="M1049">
        <f t="shared" si="466"/>
        <v>710.5</v>
      </c>
      <c r="N1049">
        <f t="shared" si="456"/>
        <v>1421</v>
      </c>
      <c r="O1049">
        <f t="shared" si="467"/>
        <v>8393</v>
      </c>
      <c r="P1049">
        <f t="shared" si="468"/>
        <v>0.56650246305418717</v>
      </c>
      <c r="Q1049" t="str">
        <f t="shared" si="457"/>
        <v>13.26% | 3.67%</v>
      </c>
      <c r="R1049" t="str">
        <f t="shared" si="469"/>
        <v>BEARISH</v>
      </c>
      <c r="S1049">
        <f t="shared" si="458"/>
        <v>-1</v>
      </c>
    </row>
    <row r="1050" spans="1:19" hidden="1" x14ac:dyDescent="0.25">
      <c r="A1050" s="5" t="str">
        <f t="shared" si="455"/>
        <v>43937XLU</v>
      </c>
      <c r="B1050" s="6" t="s">
        <v>80</v>
      </c>
      <c r="C1050" s="6">
        <v>50.67</v>
      </c>
      <c r="D1050" s="6">
        <v>62.98</v>
      </c>
      <c r="E1050" s="6">
        <v>58.63</v>
      </c>
      <c r="F1050" t="str">
        <f t="shared" si="459"/>
        <v>THU</v>
      </c>
      <c r="G1050" s="3">
        <f t="shared" si="460"/>
        <v>43937</v>
      </c>
      <c r="H1050" s="2">
        <f t="shared" ca="1" si="461"/>
        <v>316</v>
      </c>
      <c r="I1050" t="str">
        <f t="shared" si="462"/>
        <v>XLU</v>
      </c>
      <c r="J1050">
        <f t="shared" si="463"/>
        <v>50.67</v>
      </c>
      <c r="K1050">
        <f t="shared" si="464"/>
        <v>62.98</v>
      </c>
      <c r="L1050">
        <f t="shared" si="465"/>
        <v>56.825000000000003</v>
      </c>
      <c r="M1050">
        <f t="shared" si="466"/>
        <v>6.1549999999999496</v>
      </c>
      <c r="N1050">
        <f t="shared" si="456"/>
        <v>12.309999999999995</v>
      </c>
      <c r="O1050">
        <f t="shared" si="467"/>
        <v>58.63</v>
      </c>
      <c r="P1050">
        <f t="shared" si="468"/>
        <v>0.29325751421608681</v>
      </c>
      <c r="Q1050" t="str">
        <f t="shared" si="457"/>
        <v>13.58% | 7.42%</v>
      </c>
      <c r="R1050" t="str">
        <f t="shared" si="469"/>
        <v>NEUTRAL</v>
      </c>
      <c r="S1050">
        <f t="shared" si="458"/>
        <v>0</v>
      </c>
    </row>
    <row r="1051" spans="1:19" hidden="1" x14ac:dyDescent="0.25">
      <c r="A1051" s="5" t="str">
        <f t="shared" si="455"/>
        <v>43937VNQ</v>
      </c>
      <c r="B1051" s="6" t="s">
        <v>67</v>
      </c>
      <c r="C1051" s="6">
        <v>62.41</v>
      </c>
      <c r="D1051" s="6">
        <v>81.150000000000006</v>
      </c>
      <c r="E1051" s="6">
        <v>74.63</v>
      </c>
      <c r="F1051" t="str">
        <f t="shared" si="459"/>
        <v>THU</v>
      </c>
      <c r="G1051" s="3">
        <f t="shared" si="460"/>
        <v>43937</v>
      </c>
      <c r="H1051" s="2">
        <f t="shared" ca="1" si="461"/>
        <v>316</v>
      </c>
      <c r="I1051" t="str">
        <f t="shared" si="462"/>
        <v>VNQ</v>
      </c>
      <c r="J1051">
        <f t="shared" si="463"/>
        <v>62.41</v>
      </c>
      <c r="K1051">
        <f t="shared" si="464"/>
        <v>81.150000000000006</v>
      </c>
      <c r="L1051">
        <f t="shared" si="465"/>
        <v>71.78</v>
      </c>
      <c r="M1051">
        <f t="shared" si="466"/>
        <v>9.3700000000000152</v>
      </c>
      <c r="N1051">
        <f t="shared" si="456"/>
        <v>18.740000000000009</v>
      </c>
      <c r="O1051">
        <f t="shared" si="467"/>
        <v>74.63</v>
      </c>
      <c r="P1051">
        <f t="shared" si="468"/>
        <v>0.30416221985058589</v>
      </c>
      <c r="Q1051" t="str">
        <f t="shared" si="457"/>
        <v>16.37% | 8.74%</v>
      </c>
      <c r="R1051" t="str">
        <f t="shared" si="469"/>
        <v>BEARISH</v>
      </c>
      <c r="S1051">
        <f t="shared" si="458"/>
        <v>-1</v>
      </c>
    </row>
    <row r="1052" spans="1:19" hidden="1" x14ac:dyDescent="0.25">
      <c r="A1052" s="5" t="str">
        <f t="shared" si="455"/>
        <v>43937XLP</v>
      </c>
      <c r="B1052" s="6" t="s">
        <v>54</v>
      </c>
      <c r="C1052" s="6">
        <v>54.3</v>
      </c>
      <c r="D1052" s="6">
        <v>60.91</v>
      </c>
      <c r="E1052" s="6">
        <v>59.2</v>
      </c>
      <c r="F1052" t="str">
        <f t="shared" si="459"/>
        <v>THU</v>
      </c>
      <c r="G1052" s="3">
        <f t="shared" si="460"/>
        <v>43937</v>
      </c>
      <c r="H1052" s="2">
        <f t="shared" ca="1" si="461"/>
        <v>316</v>
      </c>
      <c r="I1052" t="str">
        <f t="shared" si="462"/>
        <v>XLP</v>
      </c>
      <c r="J1052">
        <f t="shared" si="463"/>
        <v>54.3</v>
      </c>
      <c r="K1052">
        <f t="shared" si="464"/>
        <v>60.91</v>
      </c>
      <c r="L1052">
        <f t="shared" si="465"/>
        <v>57.604999999999997</v>
      </c>
      <c r="M1052">
        <f t="shared" si="466"/>
        <v>3.3049999999999997</v>
      </c>
      <c r="N1052">
        <f t="shared" si="456"/>
        <v>6.6099999999999994</v>
      </c>
      <c r="O1052">
        <f t="shared" si="467"/>
        <v>59.2</v>
      </c>
      <c r="P1052">
        <f t="shared" si="468"/>
        <v>0.48260211800302755</v>
      </c>
      <c r="Q1052" t="str">
        <f t="shared" si="457"/>
        <v>8.28% | 2.89%</v>
      </c>
      <c r="R1052" t="str">
        <f t="shared" si="469"/>
        <v>BULLISH</v>
      </c>
      <c r="S1052">
        <f t="shared" si="458"/>
        <v>1</v>
      </c>
    </row>
    <row r="1053" spans="1:19" hidden="1" x14ac:dyDescent="0.25">
      <c r="A1053" s="5" t="str">
        <f t="shared" si="455"/>
        <v>43937XLK</v>
      </c>
      <c r="B1053" s="6" t="s">
        <v>65</v>
      </c>
      <c r="C1053" s="6">
        <v>75.510000000000005</v>
      </c>
      <c r="D1053" s="6">
        <v>90.9</v>
      </c>
      <c r="E1053" s="6">
        <v>87.03</v>
      </c>
      <c r="F1053" t="str">
        <f t="shared" si="459"/>
        <v>THU</v>
      </c>
      <c r="G1053" s="3">
        <f t="shared" si="460"/>
        <v>43937</v>
      </c>
      <c r="H1053" s="2">
        <f t="shared" ca="1" si="461"/>
        <v>316</v>
      </c>
      <c r="I1053" t="str">
        <f t="shared" si="462"/>
        <v>XLK</v>
      </c>
      <c r="J1053">
        <f t="shared" si="463"/>
        <v>75.510000000000005</v>
      </c>
      <c r="K1053">
        <f t="shared" si="464"/>
        <v>90.9</v>
      </c>
      <c r="L1053">
        <f t="shared" si="465"/>
        <v>83.205000000000013</v>
      </c>
      <c r="M1053">
        <f t="shared" si="466"/>
        <v>7.6950000000000003</v>
      </c>
      <c r="N1053">
        <f t="shared" si="456"/>
        <v>15.39</v>
      </c>
      <c r="O1053">
        <f t="shared" si="467"/>
        <v>87.03</v>
      </c>
      <c r="P1053">
        <f t="shared" si="468"/>
        <v>0.49707602339181139</v>
      </c>
      <c r="Q1053" t="str">
        <f t="shared" si="457"/>
        <v>13.24% | 4.45%</v>
      </c>
      <c r="R1053" t="str">
        <f t="shared" si="469"/>
        <v>BEARISH</v>
      </c>
      <c r="S1053">
        <f t="shared" si="458"/>
        <v>-1</v>
      </c>
    </row>
    <row r="1054" spans="1:19" hidden="1" x14ac:dyDescent="0.25">
      <c r="A1054" s="5" t="str">
        <f t="shared" si="455"/>
        <v>43937SSEC</v>
      </c>
      <c r="B1054" s="6" t="s">
        <v>14</v>
      </c>
      <c r="C1054" s="6">
        <v>2740</v>
      </c>
      <c r="D1054" s="6">
        <v>2847</v>
      </c>
      <c r="E1054" s="6">
        <v>2819</v>
      </c>
      <c r="F1054" t="str">
        <f t="shared" si="459"/>
        <v>THU</v>
      </c>
      <c r="G1054" s="3">
        <f t="shared" si="460"/>
        <v>43937</v>
      </c>
      <c r="H1054" s="2">
        <f t="shared" ca="1" si="461"/>
        <v>316</v>
      </c>
      <c r="I1054" t="str">
        <f t="shared" si="462"/>
        <v>SSEC</v>
      </c>
      <c r="J1054">
        <f t="shared" si="463"/>
        <v>2740</v>
      </c>
      <c r="K1054">
        <f t="shared" si="464"/>
        <v>2847</v>
      </c>
      <c r="L1054">
        <f t="shared" si="465"/>
        <v>2793.5</v>
      </c>
      <c r="M1054">
        <f t="shared" si="466"/>
        <v>53.5</v>
      </c>
      <c r="N1054">
        <f t="shared" si="456"/>
        <v>107</v>
      </c>
      <c r="O1054">
        <f t="shared" si="467"/>
        <v>2819</v>
      </c>
      <c r="P1054">
        <f t="shared" si="468"/>
        <v>0.47663551401869159</v>
      </c>
      <c r="Q1054" t="str">
        <f t="shared" si="457"/>
        <v>2.8% | 0.99%</v>
      </c>
      <c r="R1054" t="str">
        <f t="shared" si="469"/>
        <v>BEARISH</v>
      </c>
      <c r="S1054">
        <f t="shared" si="458"/>
        <v>-1</v>
      </c>
    </row>
    <row r="1055" spans="1:19" hidden="1" x14ac:dyDescent="0.25">
      <c r="A1055" s="5" t="str">
        <f t="shared" si="455"/>
        <v>43937NIKK</v>
      </c>
      <c r="B1055" s="6" t="s">
        <v>15</v>
      </c>
      <c r="C1055" s="6">
        <v>17808</v>
      </c>
      <c r="D1055" s="6">
        <v>20180</v>
      </c>
      <c r="E1055" s="6">
        <v>19290</v>
      </c>
      <c r="F1055" t="str">
        <f t="shared" si="459"/>
        <v>THU</v>
      </c>
      <c r="G1055" s="3">
        <f t="shared" si="460"/>
        <v>43937</v>
      </c>
      <c r="H1055" s="2">
        <f t="shared" ca="1" si="461"/>
        <v>316</v>
      </c>
      <c r="I1055" t="str">
        <f t="shared" si="462"/>
        <v>NIKK</v>
      </c>
      <c r="J1055">
        <f t="shared" si="463"/>
        <v>17808</v>
      </c>
      <c r="K1055">
        <f t="shared" si="464"/>
        <v>20180</v>
      </c>
      <c r="L1055">
        <f t="shared" si="465"/>
        <v>18994</v>
      </c>
      <c r="M1055">
        <f t="shared" si="466"/>
        <v>1186</v>
      </c>
      <c r="N1055">
        <f t="shared" si="456"/>
        <v>2372</v>
      </c>
      <c r="O1055">
        <f t="shared" si="467"/>
        <v>19290</v>
      </c>
      <c r="P1055">
        <f t="shared" si="468"/>
        <v>0.24957841483979765</v>
      </c>
      <c r="Q1055" t="str">
        <f t="shared" si="457"/>
        <v>7.68% | 4.61%</v>
      </c>
      <c r="R1055" t="str">
        <f t="shared" si="469"/>
        <v>BEARISH</v>
      </c>
      <c r="S1055">
        <f t="shared" si="458"/>
        <v>-1</v>
      </c>
    </row>
    <row r="1056" spans="1:19" hidden="1" x14ac:dyDescent="0.25">
      <c r="A1056" s="5" t="str">
        <f t="shared" si="455"/>
        <v>43937DAX</v>
      </c>
      <c r="B1056" s="6" t="s">
        <v>16</v>
      </c>
      <c r="C1056" s="6">
        <v>9421</v>
      </c>
      <c r="D1056" s="6">
        <v>10799</v>
      </c>
      <c r="E1056" s="6">
        <v>10278</v>
      </c>
      <c r="F1056" t="str">
        <f t="shared" si="459"/>
        <v>THU</v>
      </c>
      <c r="G1056" s="3">
        <f t="shared" si="460"/>
        <v>43937</v>
      </c>
      <c r="H1056" s="2">
        <f t="shared" ca="1" si="461"/>
        <v>316</v>
      </c>
      <c r="I1056" t="str">
        <f t="shared" si="462"/>
        <v>DAX</v>
      </c>
      <c r="J1056">
        <f t="shared" si="463"/>
        <v>9421</v>
      </c>
      <c r="K1056">
        <f t="shared" si="464"/>
        <v>10799</v>
      </c>
      <c r="L1056">
        <f t="shared" si="465"/>
        <v>10110</v>
      </c>
      <c r="M1056">
        <f t="shared" si="466"/>
        <v>689</v>
      </c>
      <c r="N1056">
        <f t="shared" si="456"/>
        <v>1378</v>
      </c>
      <c r="O1056">
        <f t="shared" si="467"/>
        <v>10278</v>
      </c>
      <c r="P1056">
        <f t="shared" si="468"/>
        <v>0.24383164005805516</v>
      </c>
      <c r="Q1056" t="str">
        <f t="shared" si="457"/>
        <v>8.34% | 5.07%</v>
      </c>
      <c r="R1056" t="str">
        <f t="shared" si="469"/>
        <v>BEARISH</v>
      </c>
      <c r="S1056">
        <f t="shared" si="458"/>
        <v>-1</v>
      </c>
    </row>
    <row r="1057" spans="1:19" hidden="1" x14ac:dyDescent="0.25">
      <c r="A1057" s="5" t="str">
        <f t="shared" si="455"/>
        <v>43937VIX</v>
      </c>
      <c r="B1057" s="6" t="s">
        <v>17</v>
      </c>
      <c r="C1057" s="6">
        <v>36.020000000000003</v>
      </c>
      <c r="D1057" s="6">
        <v>56.34</v>
      </c>
      <c r="E1057" s="6">
        <v>40.840000000000003</v>
      </c>
      <c r="F1057" t="str">
        <f t="shared" si="459"/>
        <v>THU</v>
      </c>
      <c r="G1057" s="3">
        <f t="shared" si="460"/>
        <v>43937</v>
      </c>
      <c r="H1057" s="2">
        <f t="shared" ca="1" si="461"/>
        <v>316</v>
      </c>
      <c r="I1057" t="str">
        <f t="shared" si="462"/>
        <v>VIX</v>
      </c>
      <c r="J1057">
        <f t="shared" si="463"/>
        <v>36.020000000000003</v>
      </c>
      <c r="K1057">
        <f t="shared" si="464"/>
        <v>56.34</v>
      </c>
      <c r="L1057">
        <f t="shared" si="465"/>
        <v>46.180000000000007</v>
      </c>
      <c r="M1057">
        <f t="shared" si="466"/>
        <v>10.159999999999988</v>
      </c>
      <c r="N1057">
        <f t="shared" si="456"/>
        <v>20.32</v>
      </c>
      <c r="O1057">
        <f t="shared" si="467"/>
        <v>40.840000000000003</v>
      </c>
      <c r="P1057">
        <f t="shared" si="468"/>
        <v>-0.52559055118110332</v>
      </c>
      <c r="Q1057" t="str">
        <f t="shared" si="457"/>
        <v>11.8% | 37.95%</v>
      </c>
      <c r="R1057" t="str">
        <f t="shared" si="469"/>
        <v>BULLISH</v>
      </c>
      <c r="S1057">
        <f t="shared" si="458"/>
        <v>1</v>
      </c>
    </row>
    <row r="1058" spans="1:19" hidden="1" x14ac:dyDescent="0.25">
      <c r="A1058" s="5" t="str">
        <f t="shared" si="455"/>
        <v>43937USD</v>
      </c>
      <c r="B1058" s="6" t="s">
        <v>18</v>
      </c>
      <c r="C1058" s="6">
        <v>98.7</v>
      </c>
      <c r="D1058" s="6">
        <v>101.19</v>
      </c>
      <c r="E1058" s="6">
        <v>99.49</v>
      </c>
      <c r="F1058" t="str">
        <f t="shared" si="459"/>
        <v>THU</v>
      </c>
      <c r="G1058" s="3">
        <f t="shared" si="460"/>
        <v>43937</v>
      </c>
      <c r="H1058" s="2">
        <f t="shared" ca="1" si="461"/>
        <v>316</v>
      </c>
      <c r="I1058" t="str">
        <f t="shared" si="462"/>
        <v>USD</v>
      </c>
      <c r="J1058">
        <f t="shared" si="463"/>
        <v>98.7</v>
      </c>
      <c r="K1058">
        <f t="shared" si="464"/>
        <v>101.19</v>
      </c>
      <c r="L1058">
        <f t="shared" si="465"/>
        <v>99.944999999999993</v>
      </c>
      <c r="M1058">
        <f t="shared" si="466"/>
        <v>1.2449999999999974</v>
      </c>
      <c r="N1058">
        <f t="shared" si="456"/>
        <v>2.4899999999999949</v>
      </c>
      <c r="O1058">
        <f t="shared" si="467"/>
        <v>99.49</v>
      </c>
      <c r="P1058">
        <f t="shared" si="468"/>
        <v>-0.36546184738955761</v>
      </c>
      <c r="Q1058" t="str">
        <f t="shared" si="457"/>
        <v>0.79% | 1.71%</v>
      </c>
      <c r="R1058" t="str">
        <f t="shared" si="469"/>
        <v>BULLISH</v>
      </c>
      <c r="S1058">
        <f t="shared" si="458"/>
        <v>1</v>
      </c>
    </row>
    <row r="1059" spans="1:19" hidden="1" x14ac:dyDescent="0.25">
      <c r="A1059" s="5" t="str">
        <f t="shared" si="455"/>
        <v>43937EUR/USD</v>
      </c>
      <c r="B1059" s="6" t="s">
        <v>19</v>
      </c>
      <c r="C1059" s="6">
        <v>1.07</v>
      </c>
      <c r="D1059" s="6">
        <v>1.1000000000000001</v>
      </c>
      <c r="E1059" s="6">
        <v>1.0900000000000001</v>
      </c>
      <c r="F1059" t="str">
        <f t="shared" si="459"/>
        <v>THU</v>
      </c>
      <c r="G1059" s="3">
        <f t="shared" si="460"/>
        <v>43937</v>
      </c>
      <c r="H1059" s="2">
        <f t="shared" ca="1" si="461"/>
        <v>316</v>
      </c>
      <c r="I1059" t="str">
        <f t="shared" si="462"/>
        <v>EUR/USD</v>
      </c>
      <c r="J1059">
        <f t="shared" si="463"/>
        <v>1.07</v>
      </c>
      <c r="K1059">
        <f t="shared" si="464"/>
        <v>1.1000000000000001</v>
      </c>
      <c r="L1059">
        <f t="shared" si="465"/>
        <v>1.085</v>
      </c>
      <c r="M1059">
        <f t="shared" si="466"/>
        <v>1.5000000000000013E-2</v>
      </c>
      <c r="N1059">
        <f t="shared" si="456"/>
        <v>3.0000000000000027E-2</v>
      </c>
      <c r="O1059">
        <f t="shared" si="467"/>
        <v>1.0900000000000001</v>
      </c>
      <c r="P1059">
        <f t="shared" si="468"/>
        <v>0.33333333333334075</v>
      </c>
      <c r="Q1059" t="str">
        <f t="shared" si="457"/>
        <v>1.83% | 0.92%</v>
      </c>
      <c r="R1059" t="str">
        <f t="shared" si="469"/>
        <v>BEARISH</v>
      </c>
      <c r="S1059">
        <f t="shared" si="458"/>
        <v>-1</v>
      </c>
    </row>
    <row r="1060" spans="1:19" hidden="1" x14ac:dyDescent="0.25">
      <c r="A1060" s="5" t="str">
        <f t="shared" si="455"/>
        <v>43937USD/JPY</v>
      </c>
      <c r="B1060" s="6" t="s">
        <v>86</v>
      </c>
      <c r="C1060" s="6">
        <v>106.49</v>
      </c>
      <c r="D1060" s="6">
        <v>109.7</v>
      </c>
      <c r="E1060" s="6">
        <v>107.5</v>
      </c>
      <c r="F1060" t="str">
        <f t="shared" si="459"/>
        <v>THU</v>
      </c>
      <c r="G1060" s="3">
        <f t="shared" si="460"/>
        <v>43937</v>
      </c>
      <c r="H1060" s="2">
        <f t="shared" ca="1" si="461"/>
        <v>316</v>
      </c>
      <c r="I1060" t="str">
        <f t="shared" si="462"/>
        <v>USD/JPY</v>
      </c>
      <c r="J1060">
        <f t="shared" si="463"/>
        <v>106.49</v>
      </c>
      <c r="K1060">
        <f t="shared" si="464"/>
        <v>109.7</v>
      </c>
      <c r="L1060">
        <f t="shared" si="465"/>
        <v>108.095</v>
      </c>
      <c r="M1060">
        <f t="shared" si="466"/>
        <v>1.605000000000004</v>
      </c>
      <c r="N1060">
        <f t="shared" si="456"/>
        <v>3.210000000000008</v>
      </c>
      <c r="O1060">
        <f t="shared" si="467"/>
        <v>107.5</v>
      </c>
      <c r="P1060">
        <f t="shared" si="468"/>
        <v>-0.37071651090342517</v>
      </c>
      <c r="Q1060" t="str">
        <f t="shared" si="457"/>
        <v>0.94% | 2.05%</v>
      </c>
      <c r="R1060" t="str">
        <f t="shared" si="469"/>
        <v>NEUTRAL</v>
      </c>
      <c r="S1060">
        <f t="shared" si="458"/>
        <v>0</v>
      </c>
    </row>
    <row r="1061" spans="1:19" hidden="1" x14ac:dyDescent="0.25">
      <c r="A1061" s="5" t="str">
        <f t="shared" si="455"/>
        <v>43937GBP/USD</v>
      </c>
      <c r="B1061" s="6" t="s">
        <v>21</v>
      </c>
      <c r="C1061" s="6">
        <v>1.21</v>
      </c>
      <c r="D1061" s="6">
        <v>1.26</v>
      </c>
      <c r="E1061" s="6">
        <v>1.25</v>
      </c>
      <c r="F1061" t="str">
        <f t="shared" si="459"/>
        <v>THU</v>
      </c>
      <c r="G1061" s="3">
        <f t="shared" si="460"/>
        <v>43937</v>
      </c>
      <c r="H1061" s="2">
        <f t="shared" ca="1" si="461"/>
        <v>316</v>
      </c>
      <c r="I1061" t="str">
        <f t="shared" si="462"/>
        <v>GBP/USD</v>
      </c>
      <c r="J1061">
        <f t="shared" si="463"/>
        <v>1.21</v>
      </c>
      <c r="K1061">
        <f t="shared" si="464"/>
        <v>1.26</v>
      </c>
      <c r="L1061">
        <f t="shared" si="465"/>
        <v>1.2349999999999999</v>
      </c>
      <c r="M1061">
        <f t="shared" si="466"/>
        <v>2.5000000000000022E-2</v>
      </c>
      <c r="N1061">
        <f t="shared" si="456"/>
        <v>5.0000000000000044E-2</v>
      </c>
      <c r="O1061">
        <f t="shared" si="467"/>
        <v>1.25</v>
      </c>
      <c r="P1061">
        <f t="shared" si="468"/>
        <v>0.60000000000000442</v>
      </c>
      <c r="Q1061" t="str">
        <f t="shared" si="457"/>
        <v>3.2% | 0.8%</v>
      </c>
      <c r="R1061" t="str">
        <f t="shared" si="469"/>
        <v>BEARISH</v>
      </c>
      <c r="S1061">
        <f t="shared" si="458"/>
        <v>-1</v>
      </c>
    </row>
    <row r="1062" spans="1:19" hidden="1" x14ac:dyDescent="0.25">
      <c r="A1062" s="5" t="str">
        <f t="shared" si="455"/>
        <v>43937USD/CHF</v>
      </c>
      <c r="B1062" s="6" t="s">
        <v>22</v>
      </c>
      <c r="C1062" s="6">
        <v>0.95</v>
      </c>
      <c r="D1062" s="6">
        <v>0.98</v>
      </c>
      <c r="E1062" s="6">
        <v>0.96</v>
      </c>
      <c r="F1062" t="str">
        <f t="shared" si="459"/>
        <v>THU</v>
      </c>
      <c r="G1062" s="3">
        <f t="shared" si="460"/>
        <v>43937</v>
      </c>
      <c r="H1062" s="2">
        <f t="shared" ca="1" si="461"/>
        <v>316</v>
      </c>
      <c r="I1062" t="str">
        <f t="shared" si="462"/>
        <v>USD/CHF</v>
      </c>
      <c r="J1062">
        <f t="shared" si="463"/>
        <v>0.95</v>
      </c>
      <c r="K1062">
        <f t="shared" si="464"/>
        <v>0.98</v>
      </c>
      <c r="L1062">
        <f t="shared" si="465"/>
        <v>0.96499999999999997</v>
      </c>
      <c r="M1062">
        <f t="shared" si="466"/>
        <v>1.5000000000000013E-2</v>
      </c>
      <c r="N1062">
        <f t="shared" si="456"/>
        <v>3.0000000000000027E-2</v>
      </c>
      <c r="O1062">
        <f t="shared" si="467"/>
        <v>0.96</v>
      </c>
      <c r="P1062">
        <f t="shared" si="468"/>
        <v>-0.33333333333333331</v>
      </c>
      <c r="Q1062" t="str">
        <f t="shared" si="457"/>
        <v>1.04% | 2.08%</v>
      </c>
      <c r="R1062" t="str">
        <f t="shared" si="469"/>
        <v>NEUTRAL</v>
      </c>
      <c r="S1062">
        <f t="shared" si="458"/>
        <v>0</v>
      </c>
    </row>
    <row r="1063" spans="1:19" hidden="1" x14ac:dyDescent="0.25">
      <c r="A1063" s="5" t="str">
        <f t="shared" si="455"/>
        <v>43937WTIC</v>
      </c>
      <c r="B1063" s="6" t="s">
        <v>23</v>
      </c>
      <c r="C1063" s="6">
        <v>18.190000000000001</v>
      </c>
      <c r="D1063" s="6">
        <v>23.93</v>
      </c>
      <c r="E1063" s="6">
        <v>19.87</v>
      </c>
      <c r="F1063" t="str">
        <f t="shared" si="459"/>
        <v>THU</v>
      </c>
      <c r="G1063" s="3">
        <f t="shared" si="460"/>
        <v>43937</v>
      </c>
      <c r="H1063" s="2">
        <f t="shared" ca="1" si="461"/>
        <v>316</v>
      </c>
      <c r="I1063" t="str">
        <f t="shared" si="462"/>
        <v>WTIC</v>
      </c>
      <c r="J1063">
        <f t="shared" si="463"/>
        <v>18.190000000000001</v>
      </c>
      <c r="K1063">
        <f t="shared" si="464"/>
        <v>23.93</v>
      </c>
      <c r="L1063">
        <f t="shared" si="465"/>
        <v>21.060000000000002</v>
      </c>
      <c r="M1063">
        <f t="shared" si="466"/>
        <v>2.8699999999999886</v>
      </c>
      <c r="N1063">
        <f t="shared" si="456"/>
        <v>5.7399999999999984</v>
      </c>
      <c r="O1063">
        <f t="shared" si="467"/>
        <v>19.87</v>
      </c>
      <c r="P1063">
        <f t="shared" si="468"/>
        <v>-0.4146341463414655</v>
      </c>
      <c r="Q1063" t="str">
        <f t="shared" si="457"/>
        <v>8.45% | 20.43%</v>
      </c>
      <c r="R1063" t="str">
        <f t="shared" si="469"/>
        <v>BEARISH</v>
      </c>
      <c r="S1063">
        <f t="shared" si="458"/>
        <v>-1</v>
      </c>
    </row>
    <row r="1064" spans="1:19" hidden="1" x14ac:dyDescent="0.25">
      <c r="A1064" s="5" t="str">
        <f t="shared" si="455"/>
        <v>43937NATGAS</v>
      </c>
      <c r="B1064" s="6" t="s">
        <v>24</v>
      </c>
      <c r="C1064" s="6">
        <v>1.49</v>
      </c>
      <c r="D1064" s="6">
        <v>1.86</v>
      </c>
      <c r="E1064" s="6">
        <v>1.6</v>
      </c>
      <c r="F1064" t="str">
        <f t="shared" si="459"/>
        <v>THU</v>
      </c>
      <c r="G1064" s="3">
        <f t="shared" si="460"/>
        <v>43937</v>
      </c>
      <c r="H1064" s="2">
        <f t="shared" ca="1" si="461"/>
        <v>316</v>
      </c>
      <c r="I1064" t="str">
        <f t="shared" si="462"/>
        <v>NATGAS</v>
      </c>
      <c r="J1064">
        <f t="shared" si="463"/>
        <v>1.49</v>
      </c>
      <c r="K1064">
        <f t="shared" si="464"/>
        <v>1.86</v>
      </c>
      <c r="L1064">
        <f t="shared" si="465"/>
        <v>1.675</v>
      </c>
      <c r="M1064">
        <f t="shared" si="466"/>
        <v>0.18500000000000047</v>
      </c>
      <c r="N1064">
        <f t="shared" si="456"/>
        <v>0.37000000000000011</v>
      </c>
      <c r="O1064">
        <f t="shared" si="467"/>
        <v>1.6</v>
      </c>
      <c r="P1064">
        <f t="shared" si="468"/>
        <v>-0.40540540540540415</v>
      </c>
      <c r="Q1064" t="str">
        <f t="shared" si="457"/>
        <v>6.88% | 16.25%</v>
      </c>
      <c r="R1064" t="str">
        <f t="shared" si="469"/>
        <v>BEARISH</v>
      </c>
      <c r="S1064">
        <f t="shared" si="458"/>
        <v>-1</v>
      </c>
    </row>
    <row r="1065" spans="1:19" hidden="1" x14ac:dyDescent="0.25">
      <c r="A1065" s="5" t="str">
        <f t="shared" si="455"/>
        <v>43937GOLD</v>
      </c>
      <c r="B1065" s="6" t="s">
        <v>25</v>
      </c>
      <c r="C1065" s="6">
        <v>1654</v>
      </c>
      <c r="D1065" s="6">
        <v>1805</v>
      </c>
      <c r="E1065" s="6">
        <v>1740</v>
      </c>
      <c r="F1065" t="str">
        <f t="shared" si="459"/>
        <v>THU</v>
      </c>
      <c r="G1065" s="3">
        <f t="shared" si="460"/>
        <v>43937</v>
      </c>
      <c r="H1065" s="2">
        <f t="shared" ca="1" si="461"/>
        <v>316</v>
      </c>
      <c r="I1065" t="str">
        <f t="shared" si="462"/>
        <v>GOLD</v>
      </c>
      <c r="J1065">
        <f t="shared" si="463"/>
        <v>1654</v>
      </c>
      <c r="K1065">
        <f t="shared" si="464"/>
        <v>1805</v>
      </c>
      <c r="L1065">
        <f t="shared" si="465"/>
        <v>1729.5</v>
      </c>
      <c r="M1065">
        <f t="shared" si="466"/>
        <v>75.5</v>
      </c>
      <c r="N1065">
        <f t="shared" si="456"/>
        <v>151</v>
      </c>
      <c r="O1065">
        <f t="shared" si="467"/>
        <v>1740</v>
      </c>
      <c r="P1065">
        <f t="shared" si="468"/>
        <v>0.13907284768211919</v>
      </c>
      <c r="Q1065" t="str">
        <f t="shared" si="457"/>
        <v>4.94% | 3.74%</v>
      </c>
      <c r="R1065" t="str">
        <f t="shared" si="469"/>
        <v>BULLISH</v>
      </c>
      <c r="S1065">
        <f t="shared" si="458"/>
        <v>1</v>
      </c>
    </row>
    <row r="1066" spans="1:19" hidden="1" x14ac:dyDescent="0.25">
      <c r="A1066" s="5" t="str">
        <f t="shared" si="455"/>
        <v>43937COPPER</v>
      </c>
      <c r="B1066" s="6" t="s">
        <v>26</v>
      </c>
      <c r="C1066" s="6">
        <v>2.17</v>
      </c>
      <c r="D1066" s="6">
        <v>2.35</v>
      </c>
      <c r="E1066" s="6">
        <v>2.2999999999999998</v>
      </c>
      <c r="F1066" t="str">
        <f t="shared" si="459"/>
        <v>THU</v>
      </c>
      <c r="G1066" s="3">
        <f t="shared" si="460"/>
        <v>43937</v>
      </c>
      <c r="H1066" s="2">
        <f t="shared" ca="1" si="461"/>
        <v>316</v>
      </c>
      <c r="I1066" t="str">
        <f t="shared" si="462"/>
        <v>COPPER</v>
      </c>
      <c r="J1066">
        <f t="shared" si="463"/>
        <v>2.17</v>
      </c>
      <c r="K1066">
        <f t="shared" si="464"/>
        <v>2.35</v>
      </c>
      <c r="L1066">
        <f t="shared" si="465"/>
        <v>2.2599999999999998</v>
      </c>
      <c r="M1066">
        <f t="shared" si="466"/>
        <v>9.000000000000008E-2</v>
      </c>
      <c r="N1066">
        <f t="shared" si="456"/>
        <v>0.18000000000000016</v>
      </c>
      <c r="O1066">
        <f t="shared" si="467"/>
        <v>2.2999999999999998</v>
      </c>
      <c r="P1066">
        <f t="shared" si="468"/>
        <v>0.44444444444444442</v>
      </c>
      <c r="Q1066" t="str">
        <f t="shared" si="457"/>
        <v>5.65% | 2.17%</v>
      </c>
      <c r="R1066" t="str">
        <f t="shared" si="469"/>
        <v>BEARISH</v>
      </c>
      <c r="S1066">
        <f t="shared" si="458"/>
        <v>-1</v>
      </c>
    </row>
    <row r="1067" spans="1:19" hidden="1" x14ac:dyDescent="0.25">
      <c r="A1067" s="5" t="str">
        <f t="shared" si="455"/>
        <v>43937AAPL</v>
      </c>
      <c r="B1067" s="6" t="s">
        <v>68</v>
      </c>
      <c r="C1067" s="6">
        <v>234.88</v>
      </c>
      <c r="D1067" s="6">
        <v>294.60000000000002</v>
      </c>
      <c r="E1067" s="6">
        <v>284.43</v>
      </c>
      <c r="F1067" t="str">
        <f t="shared" si="459"/>
        <v>THU</v>
      </c>
      <c r="G1067" s="3">
        <f t="shared" si="460"/>
        <v>43937</v>
      </c>
      <c r="H1067" s="2">
        <f t="shared" ca="1" si="461"/>
        <v>316</v>
      </c>
      <c r="I1067" t="str">
        <f t="shared" si="462"/>
        <v>AAPL</v>
      </c>
      <c r="J1067">
        <f t="shared" si="463"/>
        <v>234.88</v>
      </c>
      <c r="K1067">
        <f t="shared" si="464"/>
        <v>294.60000000000002</v>
      </c>
      <c r="L1067">
        <f t="shared" si="465"/>
        <v>264.74</v>
      </c>
      <c r="M1067">
        <f t="shared" si="466"/>
        <v>29.860000000000092</v>
      </c>
      <c r="N1067">
        <f t="shared" si="456"/>
        <v>59.720000000000027</v>
      </c>
      <c r="O1067">
        <f t="shared" si="467"/>
        <v>284.43</v>
      </c>
      <c r="P1067">
        <f t="shared" si="468"/>
        <v>0.65941058271935493</v>
      </c>
      <c r="Q1067" t="str">
        <f t="shared" si="457"/>
        <v>17.42% | 3.58%</v>
      </c>
      <c r="R1067" t="str">
        <f t="shared" si="469"/>
        <v>BEARISH</v>
      </c>
      <c r="S1067">
        <f t="shared" si="458"/>
        <v>-1</v>
      </c>
    </row>
    <row r="1068" spans="1:19" hidden="1" x14ac:dyDescent="0.25">
      <c r="A1068" s="5" t="str">
        <f t="shared" si="455"/>
        <v>43937AMZN</v>
      </c>
      <c r="B1068" s="6" t="s">
        <v>29</v>
      </c>
      <c r="C1068" s="6">
        <v>2075</v>
      </c>
      <c r="D1068" s="6">
        <v>2361</v>
      </c>
      <c r="E1068" s="6">
        <v>2307</v>
      </c>
      <c r="F1068" t="str">
        <f t="shared" si="459"/>
        <v>THU</v>
      </c>
      <c r="G1068" s="3">
        <f t="shared" si="460"/>
        <v>43937</v>
      </c>
      <c r="H1068" s="2">
        <f t="shared" ca="1" si="461"/>
        <v>316</v>
      </c>
      <c r="I1068" t="str">
        <f t="shared" si="462"/>
        <v>AMZN</v>
      </c>
      <c r="J1068">
        <f t="shared" si="463"/>
        <v>2075</v>
      </c>
      <c r="K1068">
        <f t="shared" si="464"/>
        <v>2361</v>
      </c>
      <c r="L1068">
        <f t="shared" si="465"/>
        <v>2218</v>
      </c>
      <c r="M1068">
        <f t="shared" si="466"/>
        <v>143</v>
      </c>
      <c r="N1068">
        <f t="shared" si="456"/>
        <v>286</v>
      </c>
      <c r="O1068">
        <f t="shared" si="467"/>
        <v>2307</v>
      </c>
      <c r="P1068">
        <f t="shared" si="468"/>
        <v>0.6223776223776224</v>
      </c>
      <c r="Q1068" t="str">
        <f t="shared" si="457"/>
        <v>10.06% | 2.34%</v>
      </c>
      <c r="R1068" t="str">
        <f t="shared" si="469"/>
        <v>BULLISH</v>
      </c>
      <c r="S1068">
        <f t="shared" si="458"/>
        <v>1</v>
      </c>
    </row>
    <row r="1069" spans="1:19" hidden="1" x14ac:dyDescent="0.25">
      <c r="A1069" s="5" t="str">
        <f t="shared" si="455"/>
        <v>43937FB</v>
      </c>
      <c r="B1069" s="6" t="s">
        <v>58</v>
      </c>
      <c r="C1069" s="6">
        <v>152</v>
      </c>
      <c r="D1069" s="6">
        <v>182</v>
      </c>
      <c r="E1069" s="6">
        <v>176</v>
      </c>
      <c r="F1069" t="str">
        <f t="shared" si="459"/>
        <v>THU</v>
      </c>
      <c r="G1069" s="3">
        <f t="shared" si="460"/>
        <v>43937</v>
      </c>
      <c r="H1069" s="2">
        <f t="shared" ca="1" si="461"/>
        <v>316</v>
      </c>
      <c r="I1069" t="str">
        <f t="shared" si="462"/>
        <v>FB</v>
      </c>
      <c r="J1069">
        <f t="shared" si="463"/>
        <v>152</v>
      </c>
      <c r="K1069">
        <f t="shared" si="464"/>
        <v>182</v>
      </c>
      <c r="L1069">
        <f t="shared" si="465"/>
        <v>167</v>
      </c>
      <c r="M1069">
        <f t="shared" si="466"/>
        <v>15</v>
      </c>
      <c r="N1069">
        <f t="shared" si="456"/>
        <v>30</v>
      </c>
      <c r="O1069">
        <f t="shared" si="467"/>
        <v>176</v>
      </c>
      <c r="P1069">
        <f t="shared" si="468"/>
        <v>0.6</v>
      </c>
      <c r="Q1069" t="str">
        <f t="shared" si="457"/>
        <v>13.64% | 3.41%</v>
      </c>
      <c r="R1069" t="str">
        <f t="shared" si="469"/>
        <v>BEARISH</v>
      </c>
      <c r="S1069">
        <f t="shared" si="458"/>
        <v>-1</v>
      </c>
    </row>
    <row r="1070" spans="1:19" hidden="1" x14ac:dyDescent="0.25">
      <c r="A1070" s="5" t="str">
        <f t="shared" si="455"/>
        <v>43937GOOGL</v>
      </c>
      <c r="B1070" s="6" t="s">
        <v>66</v>
      </c>
      <c r="C1070" s="6">
        <v>1073</v>
      </c>
      <c r="D1070" s="6">
        <v>1298</v>
      </c>
      <c r="E1070" s="6">
        <v>1257</v>
      </c>
      <c r="F1070" t="str">
        <f t="shared" si="459"/>
        <v>THU</v>
      </c>
      <c r="G1070" s="3">
        <f t="shared" si="460"/>
        <v>43937</v>
      </c>
      <c r="H1070" s="2">
        <f t="shared" ca="1" si="461"/>
        <v>316</v>
      </c>
      <c r="I1070" t="str">
        <f t="shared" si="462"/>
        <v>GOOGL</v>
      </c>
      <c r="J1070">
        <f t="shared" si="463"/>
        <v>1073</v>
      </c>
      <c r="K1070">
        <f t="shared" si="464"/>
        <v>1298</v>
      </c>
      <c r="L1070">
        <f t="shared" si="465"/>
        <v>1185.5</v>
      </c>
      <c r="M1070">
        <f t="shared" si="466"/>
        <v>112.5</v>
      </c>
      <c r="N1070">
        <f t="shared" si="456"/>
        <v>225</v>
      </c>
      <c r="O1070">
        <f t="shared" si="467"/>
        <v>1257</v>
      </c>
      <c r="P1070">
        <f t="shared" si="468"/>
        <v>0.63555555555555554</v>
      </c>
      <c r="Q1070" t="str">
        <f t="shared" si="457"/>
        <v>14.64% | 3.26%</v>
      </c>
      <c r="R1070" t="str">
        <f t="shared" si="469"/>
        <v>BEARISH</v>
      </c>
      <c r="S1070">
        <f t="shared" si="458"/>
        <v>-1</v>
      </c>
    </row>
    <row r="1071" spans="1:19" hidden="1" x14ac:dyDescent="0.25">
      <c r="A1071" s="5" t="str">
        <f t="shared" si="455"/>
        <v>43937NFLX</v>
      </c>
      <c r="B1071" s="6" t="s">
        <v>32</v>
      </c>
      <c r="C1071" s="6">
        <v>383</v>
      </c>
      <c r="D1071" s="6">
        <v>435</v>
      </c>
      <c r="E1071" s="6">
        <v>426</v>
      </c>
      <c r="F1071" t="str">
        <f t="shared" si="459"/>
        <v>THU</v>
      </c>
      <c r="G1071" s="3">
        <f t="shared" si="460"/>
        <v>43937</v>
      </c>
      <c r="H1071" s="2">
        <f t="shared" ca="1" si="461"/>
        <v>316</v>
      </c>
      <c r="I1071" t="str">
        <f t="shared" si="462"/>
        <v>NFLX</v>
      </c>
      <c r="J1071">
        <f t="shared" si="463"/>
        <v>383</v>
      </c>
      <c r="K1071">
        <f t="shared" si="464"/>
        <v>435</v>
      </c>
      <c r="L1071">
        <f t="shared" si="465"/>
        <v>409</v>
      </c>
      <c r="M1071">
        <f t="shared" si="466"/>
        <v>26</v>
      </c>
      <c r="N1071">
        <f t="shared" si="456"/>
        <v>52</v>
      </c>
      <c r="O1071">
        <f t="shared" si="467"/>
        <v>426</v>
      </c>
      <c r="P1071">
        <f t="shared" si="468"/>
        <v>0.65384615384615385</v>
      </c>
      <c r="Q1071" t="str">
        <f t="shared" si="457"/>
        <v>10.09% | 2.11%</v>
      </c>
      <c r="R1071" t="str">
        <f t="shared" si="469"/>
        <v>BULLISH</v>
      </c>
      <c r="S1071">
        <f t="shared" si="458"/>
        <v>1</v>
      </c>
    </row>
    <row r="1072" spans="1:19" x14ac:dyDescent="0.25">
      <c r="A1072" s="5" t="str">
        <f t="shared" si="455"/>
        <v>43937TSLA</v>
      </c>
      <c r="B1072" s="6" t="s">
        <v>33</v>
      </c>
      <c r="C1072" s="6">
        <v>577</v>
      </c>
      <c r="D1072" s="6">
        <v>764</v>
      </c>
      <c r="E1072" s="6">
        <v>729</v>
      </c>
      <c r="F1072" t="str">
        <f t="shared" si="459"/>
        <v>THU</v>
      </c>
      <c r="G1072" s="3">
        <f t="shared" si="460"/>
        <v>43937</v>
      </c>
      <c r="H1072" s="2">
        <f t="shared" ca="1" si="461"/>
        <v>316</v>
      </c>
      <c r="I1072" t="str">
        <f t="shared" si="462"/>
        <v>TSLA</v>
      </c>
      <c r="J1072">
        <f t="shared" si="463"/>
        <v>577</v>
      </c>
      <c r="K1072">
        <f t="shared" si="464"/>
        <v>764</v>
      </c>
      <c r="L1072">
        <f t="shared" si="465"/>
        <v>670.5</v>
      </c>
      <c r="M1072">
        <f t="shared" si="466"/>
        <v>93.5</v>
      </c>
      <c r="N1072">
        <f t="shared" si="456"/>
        <v>187</v>
      </c>
      <c r="O1072">
        <f t="shared" si="467"/>
        <v>729</v>
      </c>
      <c r="P1072">
        <f t="shared" si="468"/>
        <v>0.62566844919786091</v>
      </c>
      <c r="Q1072" t="str">
        <f t="shared" si="457"/>
        <v>20.85% | 4.8%</v>
      </c>
      <c r="R1072" t="str">
        <f t="shared" si="469"/>
        <v>BULLISH</v>
      </c>
      <c r="S1072">
        <f t="shared" si="458"/>
        <v>1</v>
      </c>
    </row>
    <row r="1073" spans="1:19" hidden="1" x14ac:dyDescent="0.25">
      <c r="A1073" s="5" t="str">
        <f t="shared" si="455"/>
        <v>43937NYXBT</v>
      </c>
      <c r="B1073" s="6" t="s">
        <v>84</v>
      </c>
      <c r="C1073" s="6">
        <v>6307</v>
      </c>
      <c r="D1073" s="6">
        <v>7490</v>
      </c>
      <c r="E1073" s="6">
        <v>6743</v>
      </c>
      <c r="F1073" t="str">
        <f t="shared" si="459"/>
        <v>THU</v>
      </c>
      <c r="G1073" s="3">
        <f t="shared" si="460"/>
        <v>43937</v>
      </c>
      <c r="H1073" s="2">
        <f t="shared" ca="1" si="461"/>
        <v>316</v>
      </c>
      <c r="I1073" t="str">
        <f t="shared" si="462"/>
        <v>NYXBT</v>
      </c>
      <c r="J1073">
        <f t="shared" si="463"/>
        <v>6307</v>
      </c>
      <c r="K1073">
        <f t="shared" si="464"/>
        <v>7490</v>
      </c>
      <c r="L1073">
        <f t="shared" si="465"/>
        <v>6898.5</v>
      </c>
      <c r="M1073">
        <f t="shared" si="466"/>
        <v>591.5</v>
      </c>
      <c r="N1073">
        <f t="shared" si="456"/>
        <v>1183</v>
      </c>
      <c r="O1073">
        <f t="shared" si="467"/>
        <v>6743</v>
      </c>
      <c r="P1073">
        <f t="shared" si="468"/>
        <v>-0.26289095519864752</v>
      </c>
      <c r="Q1073" t="str">
        <f t="shared" si="457"/>
        <v>6.47% | 11.08%</v>
      </c>
      <c r="R1073" t="str">
        <f t="shared" si="469"/>
        <v>BEARISH</v>
      </c>
      <c r="S1073">
        <f t="shared" si="458"/>
        <v>-1</v>
      </c>
    </row>
    <row r="1074" spans="1:19" hidden="1" x14ac:dyDescent="0.25">
      <c r="A1074" s="5" t="str">
        <f t="shared" si="455"/>
        <v>43938UST10Y</v>
      </c>
      <c r="B1074" s="6" t="s">
        <v>4</v>
      </c>
      <c r="C1074" s="6">
        <v>0.82</v>
      </c>
      <c r="D1074" s="6">
        <v>0.56999999999999995</v>
      </c>
      <c r="E1074" s="6">
        <v>0.61</v>
      </c>
      <c r="F1074" t="str">
        <f t="shared" si="459"/>
        <v>FRI</v>
      </c>
      <c r="G1074" s="1">
        <f>DATE(2020,4,17)</f>
        <v>43938</v>
      </c>
      <c r="H1074" s="2">
        <f t="shared" ca="1" si="461"/>
        <v>315</v>
      </c>
      <c r="I1074" t="str">
        <f t="shared" si="462"/>
        <v>UST10Y</v>
      </c>
      <c r="J1074">
        <f t="shared" si="463"/>
        <v>0.82</v>
      </c>
      <c r="K1074">
        <f t="shared" si="464"/>
        <v>0.56999999999999995</v>
      </c>
      <c r="L1074">
        <f t="shared" si="465"/>
        <v>0.69499999999999995</v>
      </c>
      <c r="M1074">
        <f t="shared" si="466"/>
        <v>0.125</v>
      </c>
      <c r="N1074">
        <f t="shared" si="456"/>
        <v>0.25</v>
      </c>
      <c r="O1074">
        <f t="shared" si="467"/>
        <v>0.61</v>
      </c>
      <c r="P1074">
        <f t="shared" si="468"/>
        <v>-0.67999999999999972</v>
      </c>
      <c r="Q1074" t="str">
        <f t="shared" si="457"/>
        <v>34.43% | 6.56%</v>
      </c>
      <c r="R1074" t="str">
        <f t="shared" si="469"/>
        <v>BEARISH</v>
      </c>
      <c r="S1074">
        <f t="shared" si="458"/>
        <v>-1</v>
      </c>
    </row>
    <row r="1075" spans="1:19" hidden="1" x14ac:dyDescent="0.25">
      <c r="A1075" s="5" t="str">
        <f t="shared" si="455"/>
        <v>43938UST2Y</v>
      </c>
      <c r="B1075" s="6" t="s">
        <v>5</v>
      </c>
      <c r="C1075" s="6">
        <v>0.28000000000000003</v>
      </c>
      <c r="D1075" s="6">
        <v>0.17</v>
      </c>
      <c r="E1075" s="6">
        <v>0.2</v>
      </c>
      <c r="F1075" t="str">
        <f t="shared" ref="F1075:F1103" si="470">UPPER(TEXT(G1075,"ddd"))</f>
        <v>FRI</v>
      </c>
      <c r="G1075" s="1">
        <f t="shared" ref="G1075:G1102" si="471">DATE(2020,4,17)</f>
        <v>43938</v>
      </c>
      <c r="H1075" s="2">
        <f t="shared" ref="H1075:H1103" ca="1" si="472">TODAY()-G1075</f>
        <v>315</v>
      </c>
      <c r="I1075" t="str">
        <f t="shared" ref="I1075:I1103" si="473">TRIM(LEFT(B1075,FIND(" ",B1075,1)))</f>
        <v>UST2Y</v>
      </c>
      <c r="J1075">
        <f t="shared" ref="J1075:J1103" si="474">C1075</f>
        <v>0.28000000000000003</v>
      </c>
      <c r="K1075">
        <f t="shared" ref="K1075:K1103" si="475">D1075</f>
        <v>0.17</v>
      </c>
      <c r="L1075">
        <f t="shared" ref="L1075:L1103" si="476">AVERAGE(J1075:K1075)</f>
        <v>0.22500000000000003</v>
      </c>
      <c r="M1075">
        <f t="shared" ref="M1075:M1103" si="477">_xlfn.STDEV.P(J1075:K1075)</f>
        <v>5.4999999999999938E-2</v>
      </c>
      <c r="N1075">
        <f t="shared" si="456"/>
        <v>0.11000000000000001</v>
      </c>
      <c r="O1075">
        <f t="shared" ref="O1075:O1103" si="478">E1075</f>
        <v>0.2</v>
      </c>
      <c r="P1075">
        <f t="shared" ref="P1075:P1103" si="479">(O1075-L1075)/M1075</f>
        <v>-0.45454545454545547</v>
      </c>
      <c r="Q1075" t="str">
        <f t="shared" si="457"/>
        <v>40% | 15%</v>
      </c>
      <c r="R1075" t="str">
        <f t="shared" ref="R1075:R1103" si="480">MID(B1075,FIND("(",B1075,1)+1,FIND(")",B1075,1)-FIND("(",B1075,1)-1)</f>
        <v>BEARISH</v>
      </c>
      <c r="S1075">
        <f t="shared" si="458"/>
        <v>-1</v>
      </c>
    </row>
    <row r="1076" spans="1:19" hidden="1" x14ac:dyDescent="0.25">
      <c r="A1076" s="5" t="str">
        <f t="shared" si="455"/>
        <v>43938SPX</v>
      </c>
      <c r="B1076" s="6" t="s">
        <v>6</v>
      </c>
      <c r="C1076" s="6">
        <v>2502</v>
      </c>
      <c r="D1076" s="6">
        <v>2932</v>
      </c>
      <c r="E1076" s="6">
        <v>2799</v>
      </c>
      <c r="F1076" t="str">
        <f t="shared" si="470"/>
        <v>FRI</v>
      </c>
      <c r="G1076" s="1">
        <f t="shared" si="471"/>
        <v>43938</v>
      </c>
      <c r="H1076" s="2">
        <f t="shared" ca="1" si="472"/>
        <v>315</v>
      </c>
      <c r="I1076" t="str">
        <f t="shared" si="473"/>
        <v>SPX</v>
      </c>
      <c r="J1076">
        <f t="shared" si="474"/>
        <v>2502</v>
      </c>
      <c r="K1076">
        <f t="shared" si="475"/>
        <v>2932</v>
      </c>
      <c r="L1076">
        <f t="shared" si="476"/>
        <v>2717</v>
      </c>
      <c r="M1076">
        <f t="shared" si="477"/>
        <v>215</v>
      </c>
      <c r="N1076">
        <f t="shared" si="456"/>
        <v>430</v>
      </c>
      <c r="O1076">
        <f t="shared" si="478"/>
        <v>2799</v>
      </c>
      <c r="P1076">
        <f t="shared" si="479"/>
        <v>0.38139534883720932</v>
      </c>
      <c r="Q1076" t="str">
        <f t="shared" si="457"/>
        <v>10.61% | 4.75%</v>
      </c>
      <c r="R1076" t="str">
        <f t="shared" si="480"/>
        <v>BEARISH</v>
      </c>
      <c r="S1076">
        <f t="shared" si="458"/>
        <v>-1</v>
      </c>
    </row>
    <row r="1077" spans="1:19" hidden="1" x14ac:dyDescent="0.25">
      <c r="A1077" s="5" t="str">
        <f t="shared" si="455"/>
        <v>43938RUT</v>
      </c>
      <c r="B1077" s="6" t="s">
        <v>7</v>
      </c>
      <c r="C1077" s="6">
        <v>1133</v>
      </c>
      <c r="D1077" s="6">
        <v>1251</v>
      </c>
      <c r="E1077" s="6">
        <v>1178</v>
      </c>
      <c r="F1077" t="str">
        <f t="shared" si="470"/>
        <v>FRI</v>
      </c>
      <c r="G1077" s="1">
        <f t="shared" si="471"/>
        <v>43938</v>
      </c>
      <c r="H1077" s="2">
        <f t="shared" ca="1" si="472"/>
        <v>315</v>
      </c>
      <c r="I1077" t="str">
        <f t="shared" si="473"/>
        <v>RUT</v>
      </c>
      <c r="J1077">
        <f t="shared" si="474"/>
        <v>1133</v>
      </c>
      <c r="K1077">
        <f t="shared" si="475"/>
        <v>1251</v>
      </c>
      <c r="L1077">
        <f t="shared" si="476"/>
        <v>1192</v>
      </c>
      <c r="M1077">
        <f t="shared" si="477"/>
        <v>59</v>
      </c>
      <c r="N1077">
        <f t="shared" si="456"/>
        <v>118</v>
      </c>
      <c r="O1077">
        <f t="shared" si="478"/>
        <v>1178</v>
      </c>
      <c r="P1077">
        <f t="shared" si="479"/>
        <v>-0.23728813559322035</v>
      </c>
      <c r="Q1077" t="str">
        <f t="shared" si="457"/>
        <v>3.82% | 6.2%</v>
      </c>
      <c r="R1077" t="str">
        <f t="shared" si="480"/>
        <v>BEARISH</v>
      </c>
      <c r="S1077">
        <f t="shared" si="458"/>
        <v>-1</v>
      </c>
    </row>
    <row r="1078" spans="1:19" hidden="1" x14ac:dyDescent="0.25">
      <c r="A1078" s="5" t="str">
        <f t="shared" si="455"/>
        <v>43938COMPQ</v>
      </c>
      <c r="B1078" s="6" t="s">
        <v>61</v>
      </c>
      <c r="C1078" s="6">
        <v>7409</v>
      </c>
      <c r="D1078" s="6">
        <v>8814</v>
      </c>
      <c r="E1078" s="6">
        <v>8532</v>
      </c>
      <c r="F1078" t="str">
        <f t="shared" si="470"/>
        <v>FRI</v>
      </c>
      <c r="G1078" s="1">
        <f t="shared" si="471"/>
        <v>43938</v>
      </c>
      <c r="H1078" s="2">
        <f t="shared" ca="1" si="472"/>
        <v>315</v>
      </c>
      <c r="I1078" t="str">
        <f t="shared" si="473"/>
        <v>COMPQ</v>
      </c>
      <c r="J1078">
        <f t="shared" si="474"/>
        <v>7409</v>
      </c>
      <c r="K1078">
        <f t="shared" si="475"/>
        <v>8814</v>
      </c>
      <c r="L1078">
        <f t="shared" si="476"/>
        <v>8111.5</v>
      </c>
      <c r="M1078">
        <f t="shared" si="477"/>
        <v>702.5</v>
      </c>
      <c r="N1078">
        <f t="shared" si="456"/>
        <v>1405</v>
      </c>
      <c r="O1078">
        <f t="shared" si="478"/>
        <v>8532</v>
      </c>
      <c r="P1078">
        <f t="shared" si="479"/>
        <v>0.59857651245551602</v>
      </c>
      <c r="Q1078" t="str">
        <f t="shared" si="457"/>
        <v>13.16% | 3.31%</v>
      </c>
      <c r="R1078" t="str">
        <f t="shared" si="480"/>
        <v>NEUTRAL</v>
      </c>
      <c r="S1078">
        <f t="shared" si="458"/>
        <v>0</v>
      </c>
    </row>
    <row r="1079" spans="1:19" hidden="1" x14ac:dyDescent="0.25">
      <c r="A1079" s="5" t="str">
        <f t="shared" si="455"/>
        <v>43938XLU</v>
      </c>
      <c r="B1079" s="6" t="s">
        <v>80</v>
      </c>
      <c r="C1079" s="6">
        <v>52.04</v>
      </c>
      <c r="D1079" s="6">
        <v>63.16</v>
      </c>
      <c r="E1079" s="6">
        <v>58.64</v>
      </c>
      <c r="F1079" t="str">
        <f t="shared" si="470"/>
        <v>FRI</v>
      </c>
      <c r="G1079" s="1">
        <f t="shared" si="471"/>
        <v>43938</v>
      </c>
      <c r="H1079" s="2">
        <f t="shared" ca="1" si="472"/>
        <v>315</v>
      </c>
      <c r="I1079" t="str">
        <f t="shared" si="473"/>
        <v>XLU</v>
      </c>
      <c r="J1079">
        <f t="shared" si="474"/>
        <v>52.04</v>
      </c>
      <c r="K1079">
        <f t="shared" si="475"/>
        <v>63.16</v>
      </c>
      <c r="L1079">
        <f t="shared" si="476"/>
        <v>57.599999999999994</v>
      </c>
      <c r="M1079">
        <f t="shared" si="477"/>
        <v>5.5599999999999987</v>
      </c>
      <c r="N1079">
        <f t="shared" si="456"/>
        <v>11.119999999999997</v>
      </c>
      <c r="O1079">
        <f t="shared" si="478"/>
        <v>58.64</v>
      </c>
      <c r="P1079">
        <f t="shared" si="479"/>
        <v>0.18705035971223138</v>
      </c>
      <c r="Q1079" t="str">
        <f t="shared" si="457"/>
        <v>11.26% | 7.71%</v>
      </c>
      <c r="R1079" t="str">
        <f t="shared" si="480"/>
        <v>NEUTRAL</v>
      </c>
      <c r="S1079">
        <f t="shared" si="458"/>
        <v>0</v>
      </c>
    </row>
    <row r="1080" spans="1:19" hidden="1" x14ac:dyDescent="0.25">
      <c r="A1080" s="5" t="str">
        <f t="shared" si="455"/>
        <v>43938VNQ</v>
      </c>
      <c r="B1080" s="6" t="s">
        <v>67</v>
      </c>
      <c r="C1080" s="6">
        <v>64.09</v>
      </c>
      <c r="D1080" s="6">
        <v>81.88</v>
      </c>
      <c r="E1080" s="6">
        <v>73.78</v>
      </c>
      <c r="F1080" t="str">
        <f t="shared" si="470"/>
        <v>FRI</v>
      </c>
      <c r="G1080" s="1">
        <f t="shared" si="471"/>
        <v>43938</v>
      </c>
      <c r="H1080" s="2">
        <f t="shared" ca="1" si="472"/>
        <v>315</v>
      </c>
      <c r="I1080" t="str">
        <f t="shared" si="473"/>
        <v>VNQ</v>
      </c>
      <c r="J1080">
        <f t="shared" si="474"/>
        <v>64.09</v>
      </c>
      <c r="K1080">
        <f t="shared" si="475"/>
        <v>81.88</v>
      </c>
      <c r="L1080">
        <f t="shared" si="476"/>
        <v>72.984999999999999</v>
      </c>
      <c r="M1080">
        <f t="shared" si="477"/>
        <v>8.8949999999999694</v>
      </c>
      <c r="N1080">
        <f t="shared" si="456"/>
        <v>17.789999999999992</v>
      </c>
      <c r="O1080">
        <f t="shared" si="478"/>
        <v>73.78</v>
      </c>
      <c r="P1080">
        <f t="shared" si="479"/>
        <v>8.9376053962901006E-2</v>
      </c>
      <c r="Q1080" t="str">
        <f t="shared" si="457"/>
        <v>13.13% | 10.98%</v>
      </c>
      <c r="R1080" t="str">
        <f t="shared" si="480"/>
        <v>BEARISH</v>
      </c>
      <c r="S1080">
        <f t="shared" si="458"/>
        <v>-1</v>
      </c>
    </row>
    <row r="1081" spans="1:19" hidden="1" x14ac:dyDescent="0.25">
      <c r="A1081" s="5" t="str">
        <f t="shared" si="455"/>
        <v>43938XLP</v>
      </c>
      <c r="B1081" s="6" t="s">
        <v>54</v>
      </c>
      <c r="C1081" s="6">
        <v>55.07</v>
      </c>
      <c r="D1081" s="6">
        <v>60.99</v>
      </c>
      <c r="E1081" s="6">
        <v>59.59</v>
      </c>
      <c r="F1081" t="str">
        <f t="shared" si="470"/>
        <v>FRI</v>
      </c>
      <c r="G1081" s="1">
        <f t="shared" si="471"/>
        <v>43938</v>
      </c>
      <c r="H1081" s="2">
        <f t="shared" ca="1" si="472"/>
        <v>315</v>
      </c>
      <c r="I1081" t="str">
        <f t="shared" si="473"/>
        <v>XLP</v>
      </c>
      <c r="J1081">
        <f t="shared" si="474"/>
        <v>55.07</v>
      </c>
      <c r="K1081">
        <f t="shared" si="475"/>
        <v>60.99</v>
      </c>
      <c r="L1081">
        <f t="shared" si="476"/>
        <v>58.03</v>
      </c>
      <c r="M1081">
        <f t="shared" si="477"/>
        <v>2.9600000000000009</v>
      </c>
      <c r="N1081">
        <f t="shared" si="456"/>
        <v>5.9200000000000017</v>
      </c>
      <c r="O1081">
        <f t="shared" si="478"/>
        <v>59.59</v>
      </c>
      <c r="P1081">
        <f t="shared" si="479"/>
        <v>0.52702702702702764</v>
      </c>
      <c r="Q1081" t="str">
        <f t="shared" si="457"/>
        <v>7.59% | 2.35%</v>
      </c>
      <c r="R1081" t="str">
        <f t="shared" si="480"/>
        <v>BULLISH</v>
      </c>
      <c r="S1081">
        <f t="shared" si="458"/>
        <v>1</v>
      </c>
    </row>
    <row r="1082" spans="1:19" hidden="1" x14ac:dyDescent="0.25">
      <c r="A1082" s="5" t="str">
        <f t="shared" si="455"/>
        <v>43938XLK</v>
      </c>
      <c r="B1082" s="6" t="s">
        <v>62</v>
      </c>
      <c r="C1082" s="6">
        <v>77.27</v>
      </c>
      <c r="D1082" s="6">
        <v>91.53</v>
      </c>
      <c r="E1082" s="6">
        <v>88.09</v>
      </c>
      <c r="F1082" t="str">
        <f t="shared" si="470"/>
        <v>FRI</v>
      </c>
      <c r="G1082" s="1">
        <f t="shared" si="471"/>
        <v>43938</v>
      </c>
      <c r="H1082" s="2">
        <f t="shared" ca="1" si="472"/>
        <v>315</v>
      </c>
      <c r="I1082" t="str">
        <f t="shared" si="473"/>
        <v>XLK</v>
      </c>
      <c r="J1082">
        <f t="shared" si="474"/>
        <v>77.27</v>
      </c>
      <c r="K1082">
        <f t="shared" si="475"/>
        <v>91.53</v>
      </c>
      <c r="L1082">
        <f t="shared" si="476"/>
        <v>84.4</v>
      </c>
      <c r="M1082">
        <f t="shared" si="477"/>
        <v>7.1300000000000026</v>
      </c>
      <c r="N1082">
        <f t="shared" si="456"/>
        <v>14.260000000000005</v>
      </c>
      <c r="O1082">
        <f t="shared" si="478"/>
        <v>88.09</v>
      </c>
      <c r="P1082">
        <f t="shared" si="479"/>
        <v>0.5175315568022435</v>
      </c>
      <c r="Q1082" t="str">
        <f t="shared" si="457"/>
        <v>12.28% | 3.91%</v>
      </c>
      <c r="R1082" t="str">
        <f t="shared" si="480"/>
        <v>NEUTRAL</v>
      </c>
      <c r="S1082">
        <f t="shared" si="458"/>
        <v>0</v>
      </c>
    </row>
    <row r="1083" spans="1:19" hidden="1" x14ac:dyDescent="0.25">
      <c r="A1083" s="5" t="str">
        <f t="shared" si="455"/>
        <v>43938SSEC</v>
      </c>
      <c r="B1083" s="6" t="s">
        <v>14</v>
      </c>
      <c r="C1083" s="6">
        <v>2756</v>
      </c>
      <c r="D1083" s="6">
        <v>2867</v>
      </c>
      <c r="E1083" s="6">
        <v>2838</v>
      </c>
      <c r="F1083" t="str">
        <f t="shared" si="470"/>
        <v>FRI</v>
      </c>
      <c r="G1083" s="1">
        <f t="shared" si="471"/>
        <v>43938</v>
      </c>
      <c r="H1083" s="2">
        <f t="shared" ca="1" si="472"/>
        <v>315</v>
      </c>
      <c r="I1083" t="str">
        <f t="shared" si="473"/>
        <v>SSEC</v>
      </c>
      <c r="J1083">
        <f t="shared" si="474"/>
        <v>2756</v>
      </c>
      <c r="K1083">
        <f t="shared" si="475"/>
        <v>2867</v>
      </c>
      <c r="L1083">
        <f t="shared" si="476"/>
        <v>2811.5</v>
      </c>
      <c r="M1083">
        <f t="shared" si="477"/>
        <v>55.5</v>
      </c>
      <c r="N1083">
        <f t="shared" si="456"/>
        <v>111</v>
      </c>
      <c r="O1083">
        <f t="shared" si="478"/>
        <v>2838</v>
      </c>
      <c r="P1083">
        <f t="shared" si="479"/>
        <v>0.47747747747747749</v>
      </c>
      <c r="Q1083" t="str">
        <f t="shared" si="457"/>
        <v>2.89% | 1.02%</v>
      </c>
      <c r="R1083" t="str">
        <f t="shared" si="480"/>
        <v>BEARISH</v>
      </c>
      <c r="S1083">
        <f t="shared" si="458"/>
        <v>-1</v>
      </c>
    </row>
    <row r="1084" spans="1:19" hidden="1" x14ac:dyDescent="0.25">
      <c r="A1084" s="5" t="str">
        <f t="shared" si="455"/>
        <v>43938NIKK</v>
      </c>
      <c r="B1084" s="6" t="s">
        <v>15</v>
      </c>
      <c r="C1084" s="6">
        <v>18623</v>
      </c>
      <c r="D1084" s="6">
        <v>19950</v>
      </c>
      <c r="E1084" s="6">
        <v>19897</v>
      </c>
      <c r="F1084" t="str">
        <f t="shared" si="470"/>
        <v>FRI</v>
      </c>
      <c r="G1084" s="1">
        <f t="shared" si="471"/>
        <v>43938</v>
      </c>
      <c r="H1084" s="2">
        <f t="shared" ca="1" si="472"/>
        <v>315</v>
      </c>
      <c r="I1084" t="str">
        <f t="shared" si="473"/>
        <v>NIKK</v>
      </c>
      <c r="J1084">
        <f t="shared" si="474"/>
        <v>18623</v>
      </c>
      <c r="K1084">
        <f t="shared" si="475"/>
        <v>19950</v>
      </c>
      <c r="L1084">
        <f t="shared" si="476"/>
        <v>19286.5</v>
      </c>
      <c r="M1084">
        <f t="shared" si="477"/>
        <v>663.5</v>
      </c>
      <c r="N1084">
        <f t="shared" si="456"/>
        <v>1327</v>
      </c>
      <c r="O1084">
        <f t="shared" si="478"/>
        <v>19897</v>
      </c>
      <c r="P1084">
        <f t="shared" si="479"/>
        <v>0.92012057272042203</v>
      </c>
      <c r="Q1084" t="str">
        <f t="shared" si="457"/>
        <v>6.4% | 0.27%</v>
      </c>
      <c r="R1084" t="str">
        <f t="shared" si="480"/>
        <v>BEARISH</v>
      </c>
      <c r="S1084">
        <f t="shared" si="458"/>
        <v>-1</v>
      </c>
    </row>
    <row r="1085" spans="1:19" hidden="1" x14ac:dyDescent="0.25">
      <c r="A1085" s="5" t="str">
        <f t="shared" si="455"/>
        <v>43938DAX</v>
      </c>
      <c r="B1085" s="6" t="s">
        <v>16</v>
      </c>
      <c r="C1085" s="6">
        <v>9622</v>
      </c>
      <c r="D1085" s="6">
        <v>10697</v>
      </c>
      <c r="E1085" s="6">
        <v>10295</v>
      </c>
      <c r="F1085" t="str">
        <f t="shared" si="470"/>
        <v>FRI</v>
      </c>
      <c r="G1085" s="1">
        <f t="shared" si="471"/>
        <v>43938</v>
      </c>
      <c r="H1085" s="2">
        <f t="shared" ca="1" si="472"/>
        <v>315</v>
      </c>
      <c r="I1085" t="str">
        <f t="shared" si="473"/>
        <v>DAX</v>
      </c>
      <c r="J1085">
        <f t="shared" si="474"/>
        <v>9622</v>
      </c>
      <c r="K1085">
        <f t="shared" si="475"/>
        <v>10697</v>
      </c>
      <c r="L1085">
        <f t="shared" si="476"/>
        <v>10159.5</v>
      </c>
      <c r="M1085">
        <f t="shared" si="477"/>
        <v>537.5</v>
      </c>
      <c r="N1085">
        <f t="shared" si="456"/>
        <v>1075</v>
      </c>
      <c r="O1085">
        <f t="shared" si="478"/>
        <v>10295</v>
      </c>
      <c r="P1085">
        <f t="shared" si="479"/>
        <v>0.25209302325581395</v>
      </c>
      <c r="Q1085" t="str">
        <f t="shared" si="457"/>
        <v>6.54% | 3.9%</v>
      </c>
      <c r="R1085" t="str">
        <f t="shared" si="480"/>
        <v>BEARISH</v>
      </c>
      <c r="S1085">
        <f t="shared" si="458"/>
        <v>-1</v>
      </c>
    </row>
    <row r="1086" spans="1:19" hidden="1" x14ac:dyDescent="0.25">
      <c r="A1086" s="5" t="str">
        <f t="shared" si="455"/>
        <v>43938VIX</v>
      </c>
      <c r="B1086" s="6" t="s">
        <v>17</v>
      </c>
      <c r="C1086" s="6">
        <v>36.15</v>
      </c>
      <c r="D1086" s="6">
        <v>51.5</v>
      </c>
      <c r="E1086" s="6">
        <v>40.11</v>
      </c>
      <c r="F1086" t="str">
        <f t="shared" si="470"/>
        <v>FRI</v>
      </c>
      <c r="G1086" s="1">
        <f t="shared" si="471"/>
        <v>43938</v>
      </c>
      <c r="H1086" s="2">
        <f t="shared" ca="1" si="472"/>
        <v>315</v>
      </c>
      <c r="I1086" t="str">
        <f t="shared" si="473"/>
        <v>VIX</v>
      </c>
      <c r="J1086">
        <f t="shared" si="474"/>
        <v>36.15</v>
      </c>
      <c r="K1086">
        <f t="shared" si="475"/>
        <v>51.5</v>
      </c>
      <c r="L1086">
        <f t="shared" si="476"/>
        <v>43.825000000000003</v>
      </c>
      <c r="M1086">
        <f t="shared" si="477"/>
        <v>7.6749999999999918</v>
      </c>
      <c r="N1086">
        <f t="shared" si="456"/>
        <v>15.350000000000001</v>
      </c>
      <c r="O1086">
        <f t="shared" si="478"/>
        <v>40.11</v>
      </c>
      <c r="P1086">
        <f t="shared" si="479"/>
        <v>-0.48403908794788369</v>
      </c>
      <c r="Q1086" t="str">
        <f t="shared" si="457"/>
        <v>9.87% | 28.4%</v>
      </c>
      <c r="R1086" t="str">
        <f t="shared" si="480"/>
        <v>BULLISH</v>
      </c>
      <c r="S1086">
        <f t="shared" si="458"/>
        <v>1</v>
      </c>
    </row>
    <row r="1087" spans="1:19" hidden="1" x14ac:dyDescent="0.25">
      <c r="A1087" s="5" t="str">
        <f t="shared" si="455"/>
        <v>43938USD</v>
      </c>
      <c r="B1087" s="6" t="s">
        <v>18</v>
      </c>
      <c r="C1087" s="6">
        <v>98.71</v>
      </c>
      <c r="D1087" s="6">
        <v>101.15</v>
      </c>
      <c r="E1087" s="6">
        <v>100.1</v>
      </c>
      <c r="F1087" t="str">
        <f t="shared" si="470"/>
        <v>FRI</v>
      </c>
      <c r="G1087" s="1">
        <f t="shared" si="471"/>
        <v>43938</v>
      </c>
      <c r="H1087" s="2">
        <f t="shared" ca="1" si="472"/>
        <v>315</v>
      </c>
      <c r="I1087" t="str">
        <f t="shared" si="473"/>
        <v>USD</v>
      </c>
      <c r="J1087">
        <f t="shared" si="474"/>
        <v>98.71</v>
      </c>
      <c r="K1087">
        <f t="shared" si="475"/>
        <v>101.15</v>
      </c>
      <c r="L1087">
        <f t="shared" si="476"/>
        <v>99.93</v>
      </c>
      <c r="M1087">
        <f t="shared" si="477"/>
        <v>1.220000000000006</v>
      </c>
      <c r="N1087">
        <f t="shared" si="456"/>
        <v>2.4400000000000119</v>
      </c>
      <c r="O1087">
        <f t="shared" si="478"/>
        <v>100.1</v>
      </c>
      <c r="P1087">
        <f t="shared" si="479"/>
        <v>0.13934426229507105</v>
      </c>
      <c r="Q1087" t="str">
        <f t="shared" si="457"/>
        <v>1.39% | 1.05%</v>
      </c>
      <c r="R1087" t="str">
        <f t="shared" si="480"/>
        <v>BULLISH</v>
      </c>
      <c r="S1087">
        <f t="shared" si="458"/>
        <v>1</v>
      </c>
    </row>
    <row r="1088" spans="1:19" hidden="1" x14ac:dyDescent="0.25">
      <c r="A1088" s="5" t="str">
        <f t="shared" si="455"/>
        <v>43938EUR/USD</v>
      </c>
      <c r="B1088" s="6" t="s">
        <v>19</v>
      </c>
      <c r="C1088" s="6">
        <v>1.07</v>
      </c>
      <c r="D1088" s="6">
        <v>1.1000000000000001</v>
      </c>
      <c r="E1088" s="6">
        <v>1.08</v>
      </c>
      <c r="F1088" t="str">
        <f t="shared" si="470"/>
        <v>FRI</v>
      </c>
      <c r="G1088" s="1">
        <f t="shared" si="471"/>
        <v>43938</v>
      </c>
      <c r="H1088" s="2">
        <f t="shared" ca="1" si="472"/>
        <v>315</v>
      </c>
      <c r="I1088" t="str">
        <f t="shared" si="473"/>
        <v>EUR/USD</v>
      </c>
      <c r="J1088">
        <f t="shared" si="474"/>
        <v>1.07</v>
      </c>
      <c r="K1088">
        <f t="shared" si="475"/>
        <v>1.1000000000000001</v>
      </c>
      <c r="L1088">
        <f t="shared" si="476"/>
        <v>1.085</v>
      </c>
      <c r="M1088">
        <f t="shared" si="477"/>
        <v>1.5000000000000013E-2</v>
      </c>
      <c r="N1088">
        <f t="shared" si="456"/>
        <v>3.0000000000000027E-2</v>
      </c>
      <c r="O1088">
        <f t="shared" si="478"/>
        <v>1.08</v>
      </c>
      <c r="P1088">
        <f t="shared" si="479"/>
        <v>-0.33333333333332593</v>
      </c>
      <c r="Q1088" t="str">
        <f t="shared" si="457"/>
        <v>0.93% | 1.85%</v>
      </c>
      <c r="R1088" t="str">
        <f t="shared" si="480"/>
        <v>BEARISH</v>
      </c>
      <c r="S1088">
        <f t="shared" si="458"/>
        <v>-1</v>
      </c>
    </row>
    <row r="1089" spans="1:19" hidden="1" x14ac:dyDescent="0.25">
      <c r="A1089" s="5" t="str">
        <f t="shared" si="455"/>
        <v>43938USD/JPY</v>
      </c>
      <c r="B1089" s="6" t="s">
        <v>86</v>
      </c>
      <c r="C1089" s="6">
        <v>106.5</v>
      </c>
      <c r="D1089" s="6">
        <v>109.61</v>
      </c>
      <c r="E1089" s="6">
        <v>107.82</v>
      </c>
      <c r="F1089" t="str">
        <f t="shared" si="470"/>
        <v>FRI</v>
      </c>
      <c r="G1089" s="1">
        <f t="shared" si="471"/>
        <v>43938</v>
      </c>
      <c r="H1089" s="2">
        <f t="shared" ca="1" si="472"/>
        <v>315</v>
      </c>
      <c r="I1089" t="str">
        <f t="shared" si="473"/>
        <v>USD/JPY</v>
      </c>
      <c r="J1089">
        <f t="shared" si="474"/>
        <v>106.5</v>
      </c>
      <c r="K1089">
        <f t="shared" si="475"/>
        <v>109.61</v>
      </c>
      <c r="L1089">
        <f t="shared" si="476"/>
        <v>108.05500000000001</v>
      </c>
      <c r="M1089">
        <f t="shared" si="477"/>
        <v>1.5549999999999997</v>
      </c>
      <c r="N1089">
        <f t="shared" si="456"/>
        <v>3.1099999999999994</v>
      </c>
      <c r="O1089">
        <f t="shared" si="478"/>
        <v>107.82</v>
      </c>
      <c r="P1089">
        <f t="shared" si="479"/>
        <v>-0.15112540192926924</v>
      </c>
      <c r="Q1089" t="str">
        <f t="shared" si="457"/>
        <v>1.22% | 1.66%</v>
      </c>
      <c r="R1089" t="str">
        <f t="shared" si="480"/>
        <v>NEUTRAL</v>
      </c>
      <c r="S1089">
        <f t="shared" si="458"/>
        <v>0</v>
      </c>
    </row>
    <row r="1090" spans="1:19" hidden="1" x14ac:dyDescent="0.25">
      <c r="A1090" s="5" t="str">
        <f t="shared" si="455"/>
        <v>43938GBP/USD</v>
      </c>
      <c r="B1090" s="6" t="s">
        <v>21</v>
      </c>
      <c r="C1090" s="6">
        <v>1.21</v>
      </c>
      <c r="D1090" s="6">
        <v>1.26</v>
      </c>
      <c r="E1090" s="6">
        <v>1.24</v>
      </c>
      <c r="F1090" t="str">
        <f t="shared" si="470"/>
        <v>FRI</v>
      </c>
      <c r="G1090" s="1">
        <f t="shared" si="471"/>
        <v>43938</v>
      </c>
      <c r="H1090" s="2">
        <f t="shared" ca="1" si="472"/>
        <v>315</v>
      </c>
      <c r="I1090" t="str">
        <f t="shared" si="473"/>
        <v>GBP/USD</v>
      </c>
      <c r="J1090">
        <f t="shared" si="474"/>
        <v>1.21</v>
      </c>
      <c r="K1090">
        <f t="shared" si="475"/>
        <v>1.26</v>
      </c>
      <c r="L1090">
        <f t="shared" si="476"/>
        <v>1.2349999999999999</v>
      </c>
      <c r="M1090">
        <f t="shared" si="477"/>
        <v>2.5000000000000022E-2</v>
      </c>
      <c r="N1090">
        <f t="shared" si="456"/>
        <v>5.0000000000000044E-2</v>
      </c>
      <c r="O1090">
        <f t="shared" si="478"/>
        <v>1.24</v>
      </c>
      <c r="P1090">
        <f t="shared" si="479"/>
        <v>0.20000000000000445</v>
      </c>
      <c r="Q1090" t="str">
        <f t="shared" si="457"/>
        <v>2.42% | 1.61%</v>
      </c>
      <c r="R1090" t="str">
        <f t="shared" si="480"/>
        <v>BEARISH</v>
      </c>
      <c r="S1090">
        <f t="shared" si="458"/>
        <v>-1</v>
      </c>
    </row>
    <row r="1091" spans="1:19" hidden="1" x14ac:dyDescent="0.25">
      <c r="A1091" s="5" t="str">
        <f t="shared" ref="A1091:A1154" si="481">G1091&amp;I1091</f>
        <v>43938USD/CHF</v>
      </c>
      <c r="B1091" s="6" t="s">
        <v>22</v>
      </c>
      <c r="C1091" s="6">
        <v>0.95</v>
      </c>
      <c r="D1091" s="6">
        <v>0.98</v>
      </c>
      <c r="E1091" s="6">
        <v>0.97</v>
      </c>
      <c r="F1091" t="str">
        <f t="shared" si="470"/>
        <v>FRI</v>
      </c>
      <c r="G1091" s="1">
        <f t="shared" si="471"/>
        <v>43938</v>
      </c>
      <c r="H1091" s="2">
        <f t="shared" ca="1" si="472"/>
        <v>315</v>
      </c>
      <c r="I1091" t="str">
        <f t="shared" si="473"/>
        <v>USD/CHF</v>
      </c>
      <c r="J1091">
        <f t="shared" si="474"/>
        <v>0.95</v>
      </c>
      <c r="K1091">
        <f t="shared" si="475"/>
        <v>0.98</v>
      </c>
      <c r="L1091">
        <f t="shared" si="476"/>
        <v>0.96499999999999997</v>
      </c>
      <c r="M1091">
        <f t="shared" si="477"/>
        <v>1.5000000000000013E-2</v>
      </c>
      <c r="N1091">
        <f t="shared" ref="N1091:N1154" si="482">ABS(K1091-J1091)</f>
        <v>3.0000000000000027E-2</v>
      </c>
      <c r="O1091">
        <f t="shared" si="478"/>
        <v>0.97</v>
      </c>
      <c r="P1091">
        <f t="shared" si="479"/>
        <v>0.33333333333333331</v>
      </c>
      <c r="Q1091" t="str">
        <f t="shared" ref="Q1091:Q1154" si="483">ROUND(ABS(100*(O1091-J1091)/O1091),2)&amp;"% | "&amp;ROUND(ABS(100*(K1091-O1091)/O1091),2)&amp;"%"</f>
        <v>2.06% | 1.03%</v>
      </c>
      <c r="R1091" t="str">
        <f t="shared" si="480"/>
        <v>NEUTRAL</v>
      </c>
      <c r="S1091">
        <f t="shared" ref="S1091:S1154" si="484">IF(R1091="BEARISH",-1,IF(R1091="NEUTRAL",0,IF(R1091="BULLISH",1,99)))</f>
        <v>0</v>
      </c>
    </row>
    <row r="1092" spans="1:19" hidden="1" x14ac:dyDescent="0.25">
      <c r="A1092" s="5" t="str">
        <f t="shared" si="481"/>
        <v>43938WTIC</v>
      </c>
      <c r="B1092" s="6" t="s">
        <v>23</v>
      </c>
      <c r="C1092" s="6">
        <v>18.010000000000002</v>
      </c>
      <c r="D1092" s="6">
        <v>27.11</v>
      </c>
      <c r="E1092" s="6">
        <v>25.53</v>
      </c>
      <c r="F1092" t="str">
        <f t="shared" si="470"/>
        <v>FRI</v>
      </c>
      <c r="G1092" s="1">
        <f t="shared" si="471"/>
        <v>43938</v>
      </c>
      <c r="H1092" s="2">
        <f t="shared" ca="1" si="472"/>
        <v>315</v>
      </c>
      <c r="I1092" t="str">
        <f t="shared" si="473"/>
        <v>WTIC</v>
      </c>
      <c r="J1092">
        <f t="shared" si="474"/>
        <v>18.010000000000002</v>
      </c>
      <c r="K1092">
        <f t="shared" si="475"/>
        <v>27.11</v>
      </c>
      <c r="L1092">
        <f t="shared" si="476"/>
        <v>22.560000000000002</v>
      </c>
      <c r="M1092">
        <f t="shared" si="477"/>
        <v>4.5499999999999918</v>
      </c>
      <c r="N1092">
        <f t="shared" si="482"/>
        <v>9.0999999999999979</v>
      </c>
      <c r="O1092">
        <f t="shared" si="478"/>
        <v>25.53</v>
      </c>
      <c r="P1092">
        <f t="shared" si="479"/>
        <v>0.65274725274725365</v>
      </c>
      <c r="Q1092" t="str">
        <f t="shared" si="483"/>
        <v>29.46% | 6.19%</v>
      </c>
      <c r="R1092" t="str">
        <f t="shared" si="480"/>
        <v>BEARISH</v>
      </c>
      <c r="S1092">
        <f t="shared" si="484"/>
        <v>-1</v>
      </c>
    </row>
    <row r="1093" spans="1:19" hidden="1" x14ac:dyDescent="0.25">
      <c r="A1093" s="5" t="str">
        <f t="shared" si="481"/>
        <v>43938NATGAS</v>
      </c>
      <c r="B1093" s="6" t="s">
        <v>24</v>
      </c>
      <c r="C1093" s="6">
        <v>1.48</v>
      </c>
      <c r="D1093" s="6">
        <v>1.86</v>
      </c>
      <c r="E1093" s="6">
        <v>1.69</v>
      </c>
      <c r="F1093" t="str">
        <f t="shared" si="470"/>
        <v>FRI</v>
      </c>
      <c r="G1093" s="1">
        <f t="shared" si="471"/>
        <v>43938</v>
      </c>
      <c r="H1093" s="2">
        <f t="shared" ca="1" si="472"/>
        <v>315</v>
      </c>
      <c r="I1093" t="str">
        <f t="shared" si="473"/>
        <v>NATGAS</v>
      </c>
      <c r="J1093">
        <f t="shared" si="474"/>
        <v>1.48</v>
      </c>
      <c r="K1093">
        <f t="shared" si="475"/>
        <v>1.86</v>
      </c>
      <c r="L1093">
        <f t="shared" si="476"/>
        <v>1.67</v>
      </c>
      <c r="M1093">
        <f t="shared" si="477"/>
        <v>0.19000000000000064</v>
      </c>
      <c r="N1093">
        <f t="shared" si="482"/>
        <v>0.38000000000000012</v>
      </c>
      <c r="O1093">
        <f t="shared" si="478"/>
        <v>1.69</v>
      </c>
      <c r="P1093">
        <f t="shared" si="479"/>
        <v>0.10526315789473659</v>
      </c>
      <c r="Q1093" t="str">
        <f t="shared" si="483"/>
        <v>12.43% | 10.06%</v>
      </c>
      <c r="R1093" t="str">
        <f t="shared" si="480"/>
        <v>BEARISH</v>
      </c>
      <c r="S1093">
        <f t="shared" si="484"/>
        <v>-1</v>
      </c>
    </row>
    <row r="1094" spans="1:19" hidden="1" x14ac:dyDescent="0.25">
      <c r="A1094" s="5" t="str">
        <f t="shared" si="481"/>
        <v>43938GOLD</v>
      </c>
      <c r="B1094" s="6" t="s">
        <v>25</v>
      </c>
      <c r="C1094" s="6">
        <v>1647</v>
      </c>
      <c r="D1094" s="6">
        <v>1801</v>
      </c>
      <c r="E1094" s="6">
        <v>1731</v>
      </c>
      <c r="F1094" t="str">
        <f t="shared" si="470"/>
        <v>FRI</v>
      </c>
      <c r="G1094" s="1">
        <f t="shared" si="471"/>
        <v>43938</v>
      </c>
      <c r="H1094" s="2">
        <f t="shared" ca="1" si="472"/>
        <v>315</v>
      </c>
      <c r="I1094" t="str">
        <f t="shared" si="473"/>
        <v>GOLD</v>
      </c>
      <c r="J1094">
        <f t="shared" si="474"/>
        <v>1647</v>
      </c>
      <c r="K1094">
        <f t="shared" si="475"/>
        <v>1801</v>
      </c>
      <c r="L1094">
        <f t="shared" si="476"/>
        <v>1724</v>
      </c>
      <c r="M1094">
        <f t="shared" si="477"/>
        <v>77</v>
      </c>
      <c r="N1094">
        <f t="shared" si="482"/>
        <v>154</v>
      </c>
      <c r="O1094">
        <f t="shared" si="478"/>
        <v>1731</v>
      </c>
      <c r="P1094">
        <f t="shared" si="479"/>
        <v>9.0909090909090912E-2</v>
      </c>
      <c r="Q1094" t="str">
        <f t="shared" si="483"/>
        <v>4.85% | 4.04%</v>
      </c>
      <c r="R1094" t="str">
        <f t="shared" si="480"/>
        <v>BULLISH</v>
      </c>
      <c r="S1094">
        <f t="shared" si="484"/>
        <v>1</v>
      </c>
    </row>
    <row r="1095" spans="1:19" hidden="1" x14ac:dyDescent="0.25">
      <c r="A1095" s="5" t="str">
        <f t="shared" si="481"/>
        <v>43938COPPER</v>
      </c>
      <c r="B1095" s="6" t="s">
        <v>26</v>
      </c>
      <c r="C1095" s="6">
        <v>2.1800000000000002</v>
      </c>
      <c r="D1095" s="6">
        <v>2.36</v>
      </c>
      <c r="E1095" s="6">
        <v>2.29</v>
      </c>
      <c r="F1095" t="str">
        <f t="shared" si="470"/>
        <v>FRI</v>
      </c>
      <c r="G1095" s="1">
        <f t="shared" si="471"/>
        <v>43938</v>
      </c>
      <c r="H1095" s="2">
        <f t="shared" ca="1" si="472"/>
        <v>315</v>
      </c>
      <c r="I1095" t="str">
        <f t="shared" si="473"/>
        <v>COPPER</v>
      </c>
      <c r="J1095">
        <f t="shared" si="474"/>
        <v>2.1800000000000002</v>
      </c>
      <c r="K1095">
        <f t="shared" si="475"/>
        <v>2.36</v>
      </c>
      <c r="L1095">
        <f t="shared" si="476"/>
        <v>2.27</v>
      </c>
      <c r="M1095">
        <f t="shared" si="477"/>
        <v>8.9999999999999858E-2</v>
      </c>
      <c r="N1095">
        <f t="shared" si="482"/>
        <v>0.17999999999999972</v>
      </c>
      <c r="O1095">
        <f t="shared" si="478"/>
        <v>2.29</v>
      </c>
      <c r="P1095">
        <f t="shared" si="479"/>
        <v>0.22222222222222276</v>
      </c>
      <c r="Q1095" t="str">
        <f t="shared" si="483"/>
        <v>4.8% | 3.06%</v>
      </c>
      <c r="R1095" t="str">
        <f t="shared" si="480"/>
        <v>BEARISH</v>
      </c>
      <c r="S1095">
        <f t="shared" si="484"/>
        <v>-1</v>
      </c>
    </row>
    <row r="1096" spans="1:19" hidden="1" x14ac:dyDescent="0.25">
      <c r="A1096" s="5" t="str">
        <f t="shared" si="481"/>
        <v>43938AAPL</v>
      </c>
      <c r="B1096" s="6" t="s">
        <v>63</v>
      </c>
      <c r="C1096" s="6">
        <v>240.63</v>
      </c>
      <c r="D1096" s="6">
        <v>299.10000000000002</v>
      </c>
      <c r="E1096" s="6">
        <v>286.69</v>
      </c>
      <c r="F1096" t="str">
        <f t="shared" si="470"/>
        <v>FRI</v>
      </c>
      <c r="G1096" s="1">
        <f t="shared" si="471"/>
        <v>43938</v>
      </c>
      <c r="H1096" s="2">
        <f t="shared" ca="1" si="472"/>
        <v>315</v>
      </c>
      <c r="I1096" t="str">
        <f t="shared" si="473"/>
        <v>AAPL</v>
      </c>
      <c r="J1096">
        <f t="shared" si="474"/>
        <v>240.63</v>
      </c>
      <c r="K1096">
        <f t="shared" si="475"/>
        <v>299.10000000000002</v>
      </c>
      <c r="L1096">
        <f t="shared" si="476"/>
        <v>269.86500000000001</v>
      </c>
      <c r="M1096">
        <f t="shared" si="477"/>
        <v>29.235000000000142</v>
      </c>
      <c r="N1096">
        <f t="shared" si="482"/>
        <v>58.470000000000027</v>
      </c>
      <c r="O1096">
        <f t="shared" si="478"/>
        <v>286.69</v>
      </c>
      <c r="P1096">
        <f t="shared" si="479"/>
        <v>0.57550880793569037</v>
      </c>
      <c r="Q1096" t="str">
        <f t="shared" si="483"/>
        <v>16.07% | 4.33%</v>
      </c>
      <c r="R1096" t="str">
        <f t="shared" si="480"/>
        <v>NEUTRAL</v>
      </c>
      <c r="S1096">
        <f t="shared" si="484"/>
        <v>0</v>
      </c>
    </row>
    <row r="1097" spans="1:19" hidden="1" x14ac:dyDescent="0.25">
      <c r="A1097" s="5" t="str">
        <f t="shared" si="481"/>
        <v>43938AMZN</v>
      </c>
      <c r="B1097" s="6" t="s">
        <v>29</v>
      </c>
      <c r="C1097" s="6">
        <v>2130</v>
      </c>
      <c r="D1097" s="6">
        <v>2451</v>
      </c>
      <c r="E1097" s="6">
        <v>2408</v>
      </c>
      <c r="F1097" t="str">
        <f t="shared" si="470"/>
        <v>FRI</v>
      </c>
      <c r="G1097" s="1">
        <f t="shared" si="471"/>
        <v>43938</v>
      </c>
      <c r="H1097" s="2">
        <f t="shared" ca="1" si="472"/>
        <v>315</v>
      </c>
      <c r="I1097" t="str">
        <f t="shared" si="473"/>
        <v>AMZN</v>
      </c>
      <c r="J1097">
        <f t="shared" si="474"/>
        <v>2130</v>
      </c>
      <c r="K1097">
        <f t="shared" si="475"/>
        <v>2451</v>
      </c>
      <c r="L1097">
        <f t="shared" si="476"/>
        <v>2290.5</v>
      </c>
      <c r="M1097">
        <f t="shared" si="477"/>
        <v>160.5</v>
      </c>
      <c r="N1097">
        <f t="shared" si="482"/>
        <v>321</v>
      </c>
      <c r="O1097">
        <f t="shared" si="478"/>
        <v>2408</v>
      </c>
      <c r="P1097">
        <f t="shared" si="479"/>
        <v>0.73208722741433019</v>
      </c>
      <c r="Q1097" t="str">
        <f t="shared" si="483"/>
        <v>11.54% | 1.79%</v>
      </c>
      <c r="R1097" t="str">
        <f t="shared" si="480"/>
        <v>BULLISH</v>
      </c>
      <c r="S1097">
        <f t="shared" si="484"/>
        <v>1</v>
      </c>
    </row>
    <row r="1098" spans="1:19" hidden="1" x14ac:dyDescent="0.25">
      <c r="A1098" s="5" t="str">
        <f t="shared" si="481"/>
        <v>43938FB</v>
      </c>
      <c r="B1098" s="6" t="s">
        <v>58</v>
      </c>
      <c r="C1098" s="6">
        <v>156</v>
      </c>
      <c r="D1098" s="6">
        <v>186</v>
      </c>
      <c r="E1098" s="6">
        <v>176</v>
      </c>
      <c r="F1098" t="str">
        <f t="shared" si="470"/>
        <v>FRI</v>
      </c>
      <c r="G1098" s="1">
        <f t="shared" si="471"/>
        <v>43938</v>
      </c>
      <c r="H1098" s="2">
        <f t="shared" ca="1" si="472"/>
        <v>315</v>
      </c>
      <c r="I1098" t="str">
        <f t="shared" si="473"/>
        <v>FB</v>
      </c>
      <c r="J1098">
        <f t="shared" si="474"/>
        <v>156</v>
      </c>
      <c r="K1098">
        <f t="shared" si="475"/>
        <v>186</v>
      </c>
      <c r="L1098">
        <f t="shared" si="476"/>
        <v>171</v>
      </c>
      <c r="M1098">
        <f t="shared" si="477"/>
        <v>15</v>
      </c>
      <c r="N1098">
        <f t="shared" si="482"/>
        <v>30</v>
      </c>
      <c r="O1098">
        <f t="shared" si="478"/>
        <v>176</v>
      </c>
      <c r="P1098">
        <f t="shared" si="479"/>
        <v>0.33333333333333331</v>
      </c>
      <c r="Q1098" t="str">
        <f t="shared" si="483"/>
        <v>11.36% | 5.68%</v>
      </c>
      <c r="R1098" t="str">
        <f t="shared" si="480"/>
        <v>BEARISH</v>
      </c>
      <c r="S1098">
        <f t="shared" si="484"/>
        <v>-1</v>
      </c>
    </row>
    <row r="1099" spans="1:19" hidden="1" x14ac:dyDescent="0.25">
      <c r="A1099" s="5" t="str">
        <f t="shared" si="481"/>
        <v>43938GOOGL</v>
      </c>
      <c r="B1099" s="6" t="s">
        <v>66</v>
      </c>
      <c r="C1099" s="6">
        <v>1105</v>
      </c>
      <c r="D1099" s="6">
        <v>1310</v>
      </c>
      <c r="E1099" s="6">
        <v>1257</v>
      </c>
      <c r="F1099" t="str">
        <f t="shared" si="470"/>
        <v>FRI</v>
      </c>
      <c r="G1099" s="1">
        <f t="shared" si="471"/>
        <v>43938</v>
      </c>
      <c r="H1099" s="2">
        <f t="shared" ca="1" si="472"/>
        <v>315</v>
      </c>
      <c r="I1099" t="str">
        <f t="shared" si="473"/>
        <v>GOOGL</v>
      </c>
      <c r="J1099">
        <f t="shared" si="474"/>
        <v>1105</v>
      </c>
      <c r="K1099">
        <f t="shared" si="475"/>
        <v>1310</v>
      </c>
      <c r="L1099">
        <f t="shared" si="476"/>
        <v>1207.5</v>
      </c>
      <c r="M1099">
        <f t="shared" si="477"/>
        <v>102.5</v>
      </c>
      <c r="N1099">
        <f t="shared" si="482"/>
        <v>205</v>
      </c>
      <c r="O1099">
        <f t="shared" si="478"/>
        <v>1257</v>
      </c>
      <c r="P1099">
        <f t="shared" si="479"/>
        <v>0.48292682926829267</v>
      </c>
      <c r="Q1099" t="str">
        <f t="shared" si="483"/>
        <v>12.09% | 4.22%</v>
      </c>
      <c r="R1099" t="str">
        <f t="shared" si="480"/>
        <v>BEARISH</v>
      </c>
      <c r="S1099">
        <f t="shared" si="484"/>
        <v>-1</v>
      </c>
    </row>
    <row r="1100" spans="1:19" hidden="1" x14ac:dyDescent="0.25">
      <c r="A1100" s="5" t="str">
        <f t="shared" si="481"/>
        <v>43938NFLX</v>
      </c>
      <c r="B1100" s="6" t="s">
        <v>32</v>
      </c>
      <c r="C1100" s="6">
        <v>391</v>
      </c>
      <c r="D1100" s="6">
        <v>447</v>
      </c>
      <c r="E1100" s="6">
        <v>439</v>
      </c>
      <c r="F1100" t="str">
        <f t="shared" si="470"/>
        <v>FRI</v>
      </c>
      <c r="G1100" s="1">
        <f t="shared" si="471"/>
        <v>43938</v>
      </c>
      <c r="H1100" s="2">
        <f t="shared" ca="1" si="472"/>
        <v>315</v>
      </c>
      <c r="I1100" t="str">
        <f t="shared" si="473"/>
        <v>NFLX</v>
      </c>
      <c r="J1100">
        <f t="shared" si="474"/>
        <v>391</v>
      </c>
      <c r="K1100">
        <f t="shared" si="475"/>
        <v>447</v>
      </c>
      <c r="L1100">
        <f t="shared" si="476"/>
        <v>419</v>
      </c>
      <c r="M1100">
        <f t="shared" si="477"/>
        <v>28</v>
      </c>
      <c r="N1100">
        <f t="shared" si="482"/>
        <v>56</v>
      </c>
      <c r="O1100">
        <f t="shared" si="478"/>
        <v>439</v>
      </c>
      <c r="P1100">
        <f t="shared" si="479"/>
        <v>0.7142857142857143</v>
      </c>
      <c r="Q1100" t="str">
        <f t="shared" si="483"/>
        <v>10.93% | 1.82%</v>
      </c>
      <c r="R1100" t="str">
        <f t="shared" si="480"/>
        <v>BULLISH</v>
      </c>
      <c r="S1100">
        <f t="shared" si="484"/>
        <v>1</v>
      </c>
    </row>
    <row r="1101" spans="1:19" x14ac:dyDescent="0.25">
      <c r="A1101" s="5" t="str">
        <f t="shared" si="481"/>
        <v>43938TSLA</v>
      </c>
      <c r="B1101" s="6" t="s">
        <v>33</v>
      </c>
      <c r="C1101" s="6">
        <v>561</v>
      </c>
      <c r="D1101" s="6">
        <v>799</v>
      </c>
      <c r="E1101" s="6">
        <v>745</v>
      </c>
      <c r="F1101" t="str">
        <f t="shared" si="470"/>
        <v>FRI</v>
      </c>
      <c r="G1101" s="1">
        <f t="shared" si="471"/>
        <v>43938</v>
      </c>
      <c r="H1101" s="2">
        <f t="shared" ca="1" si="472"/>
        <v>315</v>
      </c>
      <c r="I1101" t="str">
        <f t="shared" si="473"/>
        <v>TSLA</v>
      </c>
      <c r="J1101">
        <f t="shared" si="474"/>
        <v>561</v>
      </c>
      <c r="K1101">
        <f t="shared" si="475"/>
        <v>799</v>
      </c>
      <c r="L1101">
        <f t="shared" si="476"/>
        <v>680</v>
      </c>
      <c r="M1101">
        <f t="shared" si="477"/>
        <v>119</v>
      </c>
      <c r="N1101">
        <f t="shared" si="482"/>
        <v>238</v>
      </c>
      <c r="O1101">
        <f t="shared" si="478"/>
        <v>745</v>
      </c>
      <c r="P1101">
        <f t="shared" si="479"/>
        <v>0.54621848739495793</v>
      </c>
      <c r="Q1101" t="str">
        <f t="shared" si="483"/>
        <v>24.7% | 7.25%</v>
      </c>
      <c r="R1101" t="str">
        <f t="shared" si="480"/>
        <v>BULLISH</v>
      </c>
      <c r="S1101">
        <f t="shared" si="484"/>
        <v>1</v>
      </c>
    </row>
    <row r="1102" spans="1:19" hidden="1" x14ac:dyDescent="0.25">
      <c r="A1102" s="5" t="str">
        <f t="shared" si="481"/>
        <v>43938NYXBT</v>
      </c>
      <c r="B1102" s="6" t="s">
        <v>84</v>
      </c>
      <c r="C1102" s="6">
        <v>6489</v>
      </c>
      <c r="D1102" s="6">
        <v>7582</v>
      </c>
      <c r="E1102" s="6">
        <v>7020</v>
      </c>
      <c r="F1102" t="str">
        <f t="shared" si="470"/>
        <v>FRI</v>
      </c>
      <c r="G1102" s="1">
        <f t="shared" si="471"/>
        <v>43938</v>
      </c>
      <c r="H1102" s="2">
        <f t="shared" ca="1" si="472"/>
        <v>315</v>
      </c>
      <c r="I1102" t="str">
        <f t="shared" si="473"/>
        <v>NYXBT</v>
      </c>
      <c r="J1102">
        <f t="shared" si="474"/>
        <v>6489</v>
      </c>
      <c r="K1102">
        <f t="shared" si="475"/>
        <v>7582</v>
      </c>
      <c r="L1102">
        <f t="shared" si="476"/>
        <v>7035.5</v>
      </c>
      <c r="M1102">
        <f t="shared" si="477"/>
        <v>546.5</v>
      </c>
      <c r="N1102">
        <f t="shared" si="482"/>
        <v>1093</v>
      </c>
      <c r="O1102">
        <f t="shared" si="478"/>
        <v>7020</v>
      </c>
      <c r="P1102">
        <f t="shared" si="479"/>
        <v>-2.8362305580969808E-2</v>
      </c>
      <c r="Q1102" t="str">
        <f t="shared" si="483"/>
        <v>7.56% | 8.01%</v>
      </c>
      <c r="R1102" t="str">
        <f t="shared" si="480"/>
        <v>BEARISH</v>
      </c>
      <c r="S1102">
        <f t="shared" si="484"/>
        <v>-1</v>
      </c>
    </row>
    <row r="1103" spans="1:19" hidden="1" x14ac:dyDescent="0.25">
      <c r="A1103" s="5" t="str">
        <f t="shared" si="481"/>
        <v>43941UST10Y</v>
      </c>
      <c r="B1103" s="6" t="s">
        <v>4</v>
      </c>
      <c r="C1103" s="6">
        <v>0.81</v>
      </c>
      <c r="D1103" s="6">
        <v>0.56999999999999995</v>
      </c>
      <c r="E1103" s="6">
        <v>0.65</v>
      </c>
      <c r="F1103" t="str">
        <f t="shared" si="470"/>
        <v>MON</v>
      </c>
      <c r="G1103" s="3">
        <f>DATE(2020,4,20)</f>
        <v>43941</v>
      </c>
      <c r="H1103" s="2">
        <f t="shared" ca="1" si="472"/>
        <v>312</v>
      </c>
      <c r="I1103" t="str">
        <f t="shared" si="473"/>
        <v>UST10Y</v>
      </c>
      <c r="J1103">
        <f t="shared" si="474"/>
        <v>0.81</v>
      </c>
      <c r="K1103">
        <f t="shared" si="475"/>
        <v>0.56999999999999995</v>
      </c>
      <c r="L1103">
        <f t="shared" si="476"/>
        <v>0.69</v>
      </c>
      <c r="M1103">
        <f t="shared" si="477"/>
        <v>0.12000000000000056</v>
      </c>
      <c r="N1103">
        <f t="shared" si="482"/>
        <v>0.2400000000000001</v>
      </c>
      <c r="O1103">
        <f t="shared" si="478"/>
        <v>0.65</v>
      </c>
      <c r="P1103">
        <f t="shared" si="479"/>
        <v>-0.33333333333333115</v>
      </c>
      <c r="Q1103" t="str">
        <f t="shared" si="483"/>
        <v>24.62% | 12.31%</v>
      </c>
      <c r="R1103" t="str">
        <f t="shared" si="480"/>
        <v>BEARISH</v>
      </c>
      <c r="S1103">
        <f t="shared" si="484"/>
        <v>-1</v>
      </c>
    </row>
    <row r="1104" spans="1:19" hidden="1" x14ac:dyDescent="0.25">
      <c r="A1104" s="5" t="str">
        <f t="shared" si="481"/>
        <v>43941UST2Y</v>
      </c>
      <c r="B1104" s="6" t="s">
        <v>5</v>
      </c>
      <c r="C1104" s="6">
        <v>0.28000000000000003</v>
      </c>
      <c r="D1104" s="6">
        <v>0.16</v>
      </c>
      <c r="E1104" s="6">
        <v>0.2</v>
      </c>
      <c r="F1104" t="str">
        <f t="shared" ref="F1104:F1132" si="485">UPPER(TEXT(G1104,"ddd"))</f>
        <v>MON</v>
      </c>
      <c r="G1104" s="3">
        <f t="shared" ref="G1104:G1131" si="486">DATE(2020,4,20)</f>
        <v>43941</v>
      </c>
      <c r="H1104" s="2">
        <f t="shared" ref="H1104:H1132" ca="1" si="487">TODAY()-G1104</f>
        <v>312</v>
      </c>
      <c r="I1104" t="str">
        <f t="shared" ref="I1104:I1132" si="488">TRIM(LEFT(B1104,FIND(" ",B1104,1)))</f>
        <v>UST2Y</v>
      </c>
      <c r="J1104">
        <f t="shared" ref="J1104:J1132" si="489">C1104</f>
        <v>0.28000000000000003</v>
      </c>
      <c r="K1104">
        <f t="shared" ref="K1104:K1132" si="490">D1104</f>
        <v>0.16</v>
      </c>
      <c r="L1104">
        <f t="shared" ref="L1104:L1132" si="491">AVERAGE(J1104:K1104)</f>
        <v>0.22000000000000003</v>
      </c>
      <c r="M1104">
        <f t="shared" ref="M1104:M1132" si="492">_xlfn.STDEV.P(J1104:K1104)</f>
        <v>5.9999999999999935E-2</v>
      </c>
      <c r="N1104">
        <f t="shared" si="482"/>
        <v>0.12000000000000002</v>
      </c>
      <c r="O1104">
        <f t="shared" ref="O1104:O1132" si="493">E1104</f>
        <v>0.2</v>
      </c>
      <c r="P1104">
        <f t="shared" ref="P1104:P1132" si="494">(O1104-L1104)/M1104</f>
        <v>-0.33333333333333398</v>
      </c>
      <c r="Q1104" t="str">
        <f t="shared" si="483"/>
        <v>40% | 20%</v>
      </c>
      <c r="R1104" t="str">
        <f t="shared" ref="R1104:R1132" si="495">MID(B1104,FIND("(",B1104,1)+1,FIND(")",B1104,1)-FIND("(",B1104,1)-1)</f>
        <v>BEARISH</v>
      </c>
      <c r="S1104">
        <f t="shared" si="484"/>
        <v>-1</v>
      </c>
    </row>
    <row r="1105" spans="1:19" hidden="1" x14ac:dyDescent="0.25">
      <c r="A1105" s="5" t="str">
        <f t="shared" si="481"/>
        <v>43941SPX</v>
      </c>
      <c r="B1105" s="6" t="s">
        <v>6</v>
      </c>
      <c r="C1105" s="6">
        <v>2603</v>
      </c>
      <c r="D1105" s="6">
        <v>2908</v>
      </c>
      <c r="E1105" s="6">
        <v>2874</v>
      </c>
      <c r="F1105" t="str">
        <f t="shared" si="485"/>
        <v>MON</v>
      </c>
      <c r="G1105" s="3">
        <f t="shared" si="486"/>
        <v>43941</v>
      </c>
      <c r="H1105" s="2">
        <f t="shared" ca="1" si="487"/>
        <v>312</v>
      </c>
      <c r="I1105" t="str">
        <f t="shared" si="488"/>
        <v>SPX</v>
      </c>
      <c r="J1105">
        <f t="shared" si="489"/>
        <v>2603</v>
      </c>
      <c r="K1105">
        <f t="shared" si="490"/>
        <v>2908</v>
      </c>
      <c r="L1105">
        <f t="shared" si="491"/>
        <v>2755.5</v>
      </c>
      <c r="M1105">
        <f t="shared" si="492"/>
        <v>152.5</v>
      </c>
      <c r="N1105">
        <f t="shared" si="482"/>
        <v>305</v>
      </c>
      <c r="O1105">
        <f>E1105</f>
        <v>2874</v>
      </c>
      <c r="P1105">
        <f t="shared" si="494"/>
        <v>0.77704918032786885</v>
      </c>
      <c r="Q1105" t="str">
        <f t="shared" si="483"/>
        <v>9.43% | 1.18%</v>
      </c>
      <c r="R1105" t="str">
        <f t="shared" si="495"/>
        <v>BEARISH</v>
      </c>
      <c r="S1105">
        <f t="shared" si="484"/>
        <v>-1</v>
      </c>
    </row>
    <row r="1106" spans="1:19" hidden="1" x14ac:dyDescent="0.25">
      <c r="A1106" s="5" t="str">
        <f t="shared" si="481"/>
        <v>43941RUT</v>
      </c>
      <c r="B1106" s="6" t="s">
        <v>7</v>
      </c>
      <c r="C1106" s="6">
        <v>1143</v>
      </c>
      <c r="D1106" s="6">
        <v>1251</v>
      </c>
      <c r="E1106" s="6">
        <v>1229</v>
      </c>
      <c r="F1106" t="str">
        <f t="shared" si="485"/>
        <v>MON</v>
      </c>
      <c r="G1106" s="3">
        <f t="shared" si="486"/>
        <v>43941</v>
      </c>
      <c r="H1106" s="2">
        <f t="shared" ca="1" si="487"/>
        <v>312</v>
      </c>
      <c r="I1106" t="str">
        <f t="shared" si="488"/>
        <v>RUT</v>
      </c>
      <c r="J1106">
        <f t="shared" si="489"/>
        <v>1143</v>
      </c>
      <c r="K1106">
        <f t="shared" si="490"/>
        <v>1251</v>
      </c>
      <c r="L1106">
        <f t="shared" si="491"/>
        <v>1197</v>
      </c>
      <c r="M1106">
        <f t="shared" si="492"/>
        <v>54</v>
      </c>
      <c r="N1106">
        <f t="shared" si="482"/>
        <v>108</v>
      </c>
      <c r="O1106">
        <f t="shared" si="493"/>
        <v>1229</v>
      </c>
      <c r="P1106">
        <f t="shared" si="494"/>
        <v>0.59259259259259256</v>
      </c>
      <c r="Q1106" t="str">
        <f t="shared" si="483"/>
        <v>7% | 1.79%</v>
      </c>
      <c r="R1106" t="str">
        <f t="shared" si="495"/>
        <v>BEARISH</v>
      </c>
      <c r="S1106">
        <f t="shared" si="484"/>
        <v>-1</v>
      </c>
    </row>
    <row r="1107" spans="1:19" hidden="1" x14ac:dyDescent="0.25">
      <c r="A1107" s="5" t="str">
        <f t="shared" si="481"/>
        <v>43941COMPQ</v>
      </c>
      <c r="B1107" s="6" t="s">
        <v>61</v>
      </c>
      <c r="C1107" s="6">
        <v>7706</v>
      </c>
      <c r="D1107" s="6">
        <v>8791</v>
      </c>
      <c r="E1107" s="6">
        <v>8650</v>
      </c>
      <c r="F1107" t="str">
        <f t="shared" si="485"/>
        <v>MON</v>
      </c>
      <c r="G1107" s="3">
        <f t="shared" si="486"/>
        <v>43941</v>
      </c>
      <c r="H1107" s="2">
        <f t="shared" ca="1" si="487"/>
        <v>312</v>
      </c>
      <c r="I1107" t="str">
        <f t="shared" si="488"/>
        <v>COMPQ</v>
      </c>
      <c r="J1107">
        <f t="shared" si="489"/>
        <v>7706</v>
      </c>
      <c r="K1107">
        <f t="shared" si="490"/>
        <v>8791</v>
      </c>
      <c r="L1107">
        <f t="shared" si="491"/>
        <v>8248.5</v>
      </c>
      <c r="M1107">
        <f t="shared" si="492"/>
        <v>542.5</v>
      </c>
      <c r="N1107">
        <f t="shared" si="482"/>
        <v>1085</v>
      </c>
      <c r="O1107">
        <f t="shared" si="493"/>
        <v>8650</v>
      </c>
      <c r="P1107">
        <f t="shared" si="494"/>
        <v>0.74009216589861748</v>
      </c>
      <c r="Q1107" t="str">
        <f t="shared" si="483"/>
        <v>10.91% | 1.63%</v>
      </c>
      <c r="R1107" t="str">
        <f t="shared" si="495"/>
        <v>NEUTRAL</v>
      </c>
      <c r="S1107">
        <f t="shared" si="484"/>
        <v>0</v>
      </c>
    </row>
    <row r="1108" spans="1:19" hidden="1" x14ac:dyDescent="0.25">
      <c r="A1108" s="5" t="str">
        <f t="shared" si="481"/>
        <v>43941XLU</v>
      </c>
      <c r="B1108" s="6" t="s">
        <v>52</v>
      </c>
      <c r="C1108" s="6">
        <v>54.12</v>
      </c>
      <c r="D1108" s="6">
        <v>63.06</v>
      </c>
      <c r="E1108" s="6">
        <v>60.53</v>
      </c>
      <c r="F1108" t="str">
        <f t="shared" si="485"/>
        <v>MON</v>
      </c>
      <c r="G1108" s="3">
        <f t="shared" si="486"/>
        <v>43941</v>
      </c>
      <c r="H1108" s="2">
        <f t="shared" ca="1" si="487"/>
        <v>312</v>
      </c>
      <c r="I1108" t="str">
        <f t="shared" si="488"/>
        <v>XLU</v>
      </c>
      <c r="J1108">
        <f t="shared" si="489"/>
        <v>54.12</v>
      </c>
      <c r="K1108">
        <f t="shared" si="490"/>
        <v>63.06</v>
      </c>
      <c r="L1108">
        <f t="shared" si="491"/>
        <v>58.59</v>
      </c>
      <c r="M1108">
        <f t="shared" si="492"/>
        <v>4.4700000000000024</v>
      </c>
      <c r="N1108">
        <f t="shared" si="482"/>
        <v>8.9400000000000048</v>
      </c>
      <c r="O1108">
        <f t="shared" si="493"/>
        <v>60.53</v>
      </c>
      <c r="P1108">
        <f t="shared" si="494"/>
        <v>0.43400447427292993</v>
      </c>
      <c r="Q1108" t="str">
        <f t="shared" si="483"/>
        <v>10.59% | 4.18%</v>
      </c>
      <c r="R1108" t="str">
        <f t="shared" si="495"/>
        <v>BULLISH</v>
      </c>
      <c r="S1108">
        <f t="shared" si="484"/>
        <v>1</v>
      </c>
    </row>
    <row r="1109" spans="1:19" hidden="1" x14ac:dyDescent="0.25">
      <c r="A1109" s="5" t="str">
        <f t="shared" si="481"/>
        <v>43941VNQ</v>
      </c>
      <c r="B1109" s="6" t="s">
        <v>67</v>
      </c>
      <c r="C1109" s="6">
        <v>66.5</v>
      </c>
      <c r="D1109" s="6">
        <v>80.650000000000006</v>
      </c>
      <c r="E1109" s="6">
        <v>76.11</v>
      </c>
      <c r="F1109" t="str">
        <f t="shared" si="485"/>
        <v>MON</v>
      </c>
      <c r="G1109" s="3">
        <f t="shared" si="486"/>
        <v>43941</v>
      </c>
      <c r="H1109" s="2">
        <f t="shared" ca="1" si="487"/>
        <v>312</v>
      </c>
      <c r="I1109" t="str">
        <f t="shared" si="488"/>
        <v>VNQ</v>
      </c>
      <c r="J1109">
        <f t="shared" si="489"/>
        <v>66.5</v>
      </c>
      <c r="K1109">
        <f t="shared" si="490"/>
        <v>80.650000000000006</v>
      </c>
      <c r="L1109">
        <f t="shared" si="491"/>
        <v>73.575000000000003</v>
      </c>
      <c r="M1109">
        <f t="shared" si="492"/>
        <v>7.0750000000000028</v>
      </c>
      <c r="N1109">
        <f t="shared" si="482"/>
        <v>14.150000000000006</v>
      </c>
      <c r="O1109">
        <f t="shared" si="493"/>
        <v>76.11</v>
      </c>
      <c r="P1109">
        <f t="shared" si="494"/>
        <v>0.3583038869257944</v>
      </c>
      <c r="Q1109" t="str">
        <f t="shared" si="483"/>
        <v>12.63% | 5.97%</v>
      </c>
      <c r="R1109" t="str">
        <f t="shared" si="495"/>
        <v>BEARISH</v>
      </c>
      <c r="S1109">
        <f t="shared" si="484"/>
        <v>-1</v>
      </c>
    </row>
    <row r="1110" spans="1:19" hidden="1" x14ac:dyDescent="0.25">
      <c r="A1110" s="5" t="str">
        <f t="shared" si="481"/>
        <v>43941XLP</v>
      </c>
      <c r="B1110" s="6" t="s">
        <v>54</v>
      </c>
      <c r="C1110" s="6">
        <v>55.9</v>
      </c>
      <c r="D1110" s="6">
        <v>61.17</v>
      </c>
      <c r="E1110" s="6">
        <v>60.5</v>
      </c>
      <c r="F1110" t="str">
        <f t="shared" si="485"/>
        <v>MON</v>
      </c>
      <c r="G1110" s="3">
        <f t="shared" si="486"/>
        <v>43941</v>
      </c>
      <c r="H1110" s="2">
        <f t="shared" ca="1" si="487"/>
        <v>312</v>
      </c>
      <c r="I1110" t="str">
        <f t="shared" si="488"/>
        <v>XLP</v>
      </c>
      <c r="J1110">
        <f t="shared" si="489"/>
        <v>55.9</v>
      </c>
      <c r="K1110">
        <f t="shared" si="490"/>
        <v>61.17</v>
      </c>
      <c r="L1110">
        <f t="shared" si="491"/>
        <v>58.534999999999997</v>
      </c>
      <c r="M1110">
        <f t="shared" si="492"/>
        <v>2.6350000000000016</v>
      </c>
      <c r="N1110">
        <f t="shared" si="482"/>
        <v>5.2700000000000031</v>
      </c>
      <c r="O1110">
        <f t="shared" si="493"/>
        <v>60.5</v>
      </c>
      <c r="P1110">
        <f t="shared" si="494"/>
        <v>0.74573055028463087</v>
      </c>
      <c r="Q1110" t="str">
        <f t="shared" si="483"/>
        <v>7.6% | 1.11%</v>
      </c>
      <c r="R1110" t="str">
        <f t="shared" si="495"/>
        <v>BULLISH</v>
      </c>
      <c r="S1110">
        <f t="shared" si="484"/>
        <v>1</v>
      </c>
    </row>
    <row r="1111" spans="1:19" hidden="1" x14ac:dyDescent="0.25">
      <c r="A1111" s="5" t="str">
        <f t="shared" si="481"/>
        <v>43941XLK</v>
      </c>
      <c r="B1111" s="6" t="s">
        <v>62</v>
      </c>
      <c r="C1111" s="6">
        <v>80.94</v>
      </c>
      <c r="D1111" s="6">
        <v>90.96</v>
      </c>
      <c r="E1111" s="6">
        <v>89.26</v>
      </c>
      <c r="F1111" t="str">
        <f t="shared" si="485"/>
        <v>MON</v>
      </c>
      <c r="G1111" s="3">
        <f t="shared" si="486"/>
        <v>43941</v>
      </c>
      <c r="H1111" s="2">
        <f t="shared" ca="1" si="487"/>
        <v>312</v>
      </c>
      <c r="I1111" t="str">
        <f t="shared" si="488"/>
        <v>XLK</v>
      </c>
      <c r="J1111">
        <f t="shared" si="489"/>
        <v>80.94</v>
      </c>
      <c r="K1111">
        <f t="shared" si="490"/>
        <v>90.96</v>
      </c>
      <c r="L1111">
        <f t="shared" si="491"/>
        <v>85.949999999999989</v>
      </c>
      <c r="M1111">
        <f t="shared" si="492"/>
        <v>5.009999999999998</v>
      </c>
      <c r="N1111">
        <f t="shared" si="482"/>
        <v>10.019999999999996</v>
      </c>
      <c r="O1111">
        <f t="shared" si="493"/>
        <v>89.26</v>
      </c>
      <c r="P1111">
        <f t="shared" si="494"/>
        <v>0.66067864271457444</v>
      </c>
      <c r="Q1111" t="str">
        <f t="shared" si="483"/>
        <v>9.32% | 1.9%</v>
      </c>
      <c r="R1111" t="str">
        <f t="shared" si="495"/>
        <v>NEUTRAL</v>
      </c>
      <c r="S1111">
        <f t="shared" si="484"/>
        <v>0</v>
      </c>
    </row>
    <row r="1112" spans="1:19" hidden="1" x14ac:dyDescent="0.25">
      <c r="A1112" s="5" t="str">
        <f t="shared" si="481"/>
        <v>43941SSEC</v>
      </c>
      <c r="B1112" s="6" t="s">
        <v>14</v>
      </c>
      <c r="C1112" s="6">
        <v>2763</v>
      </c>
      <c r="D1112" s="6">
        <v>2867</v>
      </c>
      <c r="E1112" s="6">
        <v>2852</v>
      </c>
      <c r="F1112" t="str">
        <f t="shared" si="485"/>
        <v>MON</v>
      </c>
      <c r="G1112" s="3">
        <f t="shared" si="486"/>
        <v>43941</v>
      </c>
      <c r="H1112" s="2">
        <f t="shared" ca="1" si="487"/>
        <v>312</v>
      </c>
      <c r="I1112" t="str">
        <f t="shared" si="488"/>
        <v>SSEC</v>
      </c>
      <c r="J1112">
        <f t="shared" si="489"/>
        <v>2763</v>
      </c>
      <c r="K1112">
        <f t="shared" si="490"/>
        <v>2867</v>
      </c>
      <c r="L1112">
        <f t="shared" si="491"/>
        <v>2815</v>
      </c>
      <c r="M1112">
        <f t="shared" si="492"/>
        <v>52</v>
      </c>
      <c r="N1112">
        <f t="shared" si="482"/>
        <v>104</v>
      </c>
      <c r="O1112">
        <f t="shared" si="493"/>
        <v>2852</v>
      </c>
      <c r="P1112">
        <f t="shared" si="494"/>
        <v>0.71153846153846156</v>
      </c>
      <c r="Q1112" t="str">
        <f t="shared" si="483"/>
        <v>3.12% | 0.53%</v>
      </c>
      <c r="R1112" t="str">
        <f t="shared" si="495"/>
        <v>BEARISH</v>
      </c>
      <c r="S1112">
        <f t="shared" si="484"/>
        <v>-1</v>
      </c>
    </row>
    <row r="1113" spans="1:19" hidden="1" x14ac:dyDescent="0.25">
      <c r="A1113" s="5" t="str">
        <f t="shared" si="481"/>
        <v>43941NIKK</v>
      </c>
      <c r="B1113" s="6" t="s">
        <v>15</v>
      </c>
      <c r="C1113" s="6">
        <v>18825</v>
      </c>
      <c r="D1113" s="6">
        <v>19967</v>
      </c>
      <c r="E1113" s="6">
        <v>19669</v>
      </c>
      <c r="F1113" t="str">
        <f t="shared" si="485"/>
        <v>MON</v>
      </c>
      <c r="G1113" s="3">
        <f t="shared" si="486"/>
        <v>43941</v>
      </c>
      <c r="H1113" s="2">
        <f t="shared" ca="1" si="487"/>
        <v>312</v>
      </c>
      <c r="I1113" t="str">
        <f t="shared" si="488"/>
        <v>NIKK</v>
      </c>
      <c r="J1113">
        <f t="shared" si="489"/>
        <v>18825</v>
      </c>
      <c r="K1113">
        <f t="shared" si="490"/>
        <v>19967</v>
      </c>
      <c r="L1113">
        <f t="shared" si="491"/>
        <v>19396</v>
      </c>
      <c r="M1113">
        <f t="shared" si="492"/>
        <v>571</v>
      </c>
      <c r="N1113">
        <f t="shared" si="482"/>
        <v>1142</v>
      </c>
      <c r="O1113">
        <f t="shared" si="493"/>
        <v>19669</v>
      </c>
      <c r="P1113">
        <f t="shared" si="494"/>
        <v>0.47810858143607704</v>
      </c>
      <c r="Q1113" t="str">
        <f t="shared" si="483"/>
        <v>4.29% | 1.52%</v>
      </c>
      <c r="R1113" t="str">
        <f t="shared" si="495"/>
        <v>BEARISH</v>
      </c>
      <c r="S1113">
        <f t="shared" si="484"/>
        <v>-1</v>
      </c>
    </row>
    <row r="1114" spans="1:19" hidden="1" x14ac:dyDescent="0.25">
      <c r="A1114" s="5" t="str">
        <f t="shared" si="481"/>
        <v>43941DAX</v>
      </c>
      <c r="B1114" s="6" t="s">
        <v>16</v>
      </c>
      <c r="C1114" s="6">
        <v>9873</v>
      </c>
      <c r="D1114" s="6">
        <v>10709</v>
      </c>
      <c r="E1114" s="6">
        <v>10617</v>
      </c>
      <c r="F1114" t="str">
        <f t="shared" si="485"/>
        <v>MON</v>
      </c>
      <c r="G1114" s="3">
        <f t="shared" si="486"/>
        <v>43941</v>
      </c>
      <c r="H1114" s="2">
        <f t="shared" ca="1" si="487"/>
        <v>312</v>
      </c>
      <c r="I1114" t="str">
        <f t="shared" si="488"/>
        <v>DAX</v>
      </c>
      <c r="J1114">
        <f t="shared" si="489"/>
        <v>9873</v>
      </c>
      <c r="K1114">
        <f t="shared" si="490"/>
        <v>10709</v>
      </c>
      <c r="L1114">
        <f t="shared" si="491"/>
        <v>10291</v>
      </c>
      <c r="M1114">
        <f t="shared" si="492"/>
        <v>418</v>
      </c>
      <c r="N1114">
        <f t="shared" si="482"/>
        <v>836</v>
      </c>
      <c r="O1114">
        <f t="shared" si="493"/>
        <v>10617</v>
      </c>
      <c r="P1114">
        <f t="shared" si="494"/>
        <v>0.77990430622009566</v>
      </c>
      <c r="Q1114" t="str">
        <f t="shared" si="483"/>
        <v>7.01% | 0.87%</v>
      </c>
      <c r="R1114" t="str">
        <f t="shared" si="495"/>
        <v>BEARISH</v>
      </c>
      <c r="S1114">
        <f t="shared" si="484"/>
        <v>-1</v>
      </c>
    </row>
    <row r="1115" spans="1:19" hidden="1" x14ac:dyDescent="0.25">
      <c r="A1115" s="5" t="str">
        <f t="shared" si="481"/>
        <v>43941VIX</v>
      </c>
      <c r="B1115" s="6" t="s">
        <v>17</v>
      </c>
      <c r="C1115" s="6">
        <v>36</v>
      </c>
      <c r="D1115" s="6">
        <v>49.32</v>
      </c>
      <c r="E1115" s="6">
        <v>38.15</v>
      </c>
      <c r="F1115" t="str">
        <f t="shared" si="485"/>
        <v>MON</v>
      </c>
      <c r="G1115" s="3">
        <f t="shared" si="486"/>
        <v>43941</v>
      </c>
      <c r="H1115" s="2">
        <f t="shared" ca="1" si="487"/>
        <v>312</v>
      </c>
      <c r="I1115" t="str">
        <f t="shared" si="488"/>
        <v>VIX</v>
      </c>
      <c r="J1115">
        <f t="shared" si="489"/>
        <v>36</v>
      </c>
      <c r="K1115">
        <f t="shared" si="490"/>
        <v>49.32</v>
      </c>
      <c r="L1115">
        <f t="shared" si="491"/>
        <v>42.66</v>
      </c>
      <c r="M1115">
        <f t="shared" si="492"/>
        <v>6.6600000000000241</v>
      </c>
      <c r="N1115">
        <f t="shared" si="482"/>
        <v>13.32</v>
      </c>
      <c r="O1115">
        <f t="shared" si="493"/>
        <v>38.15</v>
      </c>
      <c r="P1115">
        <f t="shared" si="494"/>
        <v>-0.67717717717717441</v>
      </c>
      <c r="Q1115" t="str">
        <f t="shared" si="483"/>
        <v>5.64% | 29.28%</v>
      </c>
      <c r="R1115" t="str">
        <f t="shared" si="495"/>
        <v>BULLISH</v>
      </c>
      <c r="S1115">
        <f t="shared" si="484"/>
        <v>1</v>
      </c>
    </row>
    <row r="1116" spans="1:19" hidden="1" x14ac:dyDescent="0.25">
      <c r="A1116" s="5" t="str">
        <f t="shared" si="481"/>
        <v>43941USD</v>
      </c>
      <c r="B1116" s="6" t="s">
        <v>18</v>
      </c>
      <c r="C1116" s="6">
        <v>98.72</v>
      </c>
      <c r="D1116" s="6">
        <v>100.91</v>
      </c>
      <c r="E1116" s="6">
        <v>99.84</v>
      </c>
      <c r="F1116" t="str">
        <f t="shared" si="485"/>
        <v>MON</v>
      </c>
      <c r="G1116" s="3">
        <f t="shared" si="486"/>
        <v>43941</v>
      </c>
      <c r="H1116" s="2">
        <f t="shared" ca="1" si="487"/>
        <v>312</v>
      </c>
      <c r="I1116" t="str">
        <f t="shared" si="488"/>
        <v>USD</v>
      </c>
      <c r="J1116">
        <f t="shared" si="489"/>
        <v>98.72</v>
      </c>
      <c r="K1116">
        <f t="shared" si="490"/>
        <v>100.91</v>
      </c>
      <c r="L1116">
        <f t="shared" si="491"/>
        <v>99.814999999999998</v>
      </c>
      <c r="M1116">
        <f t="shared" si="492"/>
        <v>1.0949999999999989</v>
      </c>
      <c r="N1116">
        <f t="shared" si="482"/>
        <v>2.1899999999999977</v>
      </c>
      <c r="O1116">
        <f t="shared" si="493"/>
        <v>99.84</v>
      </c>
      <c r="P1116">
        <f t="shared" si="494"/>
        <v>2.2831050228315716E-2</v>
      </c>
      <c r="Q1116" t="str">
        <f t="shared" si="483"/>
        <v>1.12% | 1.07%</v>
      </c>
      <c r="R1116" t="str">
        <f t="shared" si="495"/>
        <v>BULLISH</v>
      </c>
      <c r="S1116">
        <f t="shared" si="484"/>
        <v>1</v>
      </c>
    </row>
    <row r="1117" spans="1:19" hidden="1" x14ac:dyDescent="0.25">
      <c r="A1117" s="5" t="str">
        <f t="shared" si="481"/>
        <v>43941EUR/USD</v>
      </c>
      <c r="B1117" s="6" t="s">
        <v>19</v>
      </c>
      <c r="C1117" s="6">
        <v>1.07</v>
      </c>
      <c r="D1117" s="6">
        <v>1.1000000000000001</v>
      </c>
      <c r="E1117" s="6">
        <v>1.08</v>
      </c>
      <c r="F1117" t="str">
        <f t="shared" si="485"/>
        <v>MON</v>
      </c>
      <c r="G1117" s="3">
        <f t="shared" si="486"/>
        <v>43941</v>
      </c>
      <c r="H1117" s="2">
        <f t="shared" ca="1" si="487"/>
        <v>312</v>
      </c>
      <c r="I1117" t="str">
        <f t="shared" si="488"/>
        <v>EUR/USD</v>
      </c>
      <c r="J1117">
        <f t="shared" si="489"/>
        <v>1.07</v>
      </c>
      <c r="K1117">
        <f t="shared" si="490"/>
        <v>1.1000000000000001</v>
      </c>
      <c r="L1117">
        <f t="shared" si="491"/>
        <v>1.085</v>
      </c>
      <c r="M1117">
        <f t="shared" si="492"/>
        <v>1.5000000000000013E-2</v>
      </c>
      <c r="N1117">
        <f t="shared" si="482"/>
        <v>3.0000000000000027E-2</v>
      </c>
      <c r="O1117">
        <f t="shared" si="493"/>
        <v>1.08</v>
      </c>
      <c r="P1117">
        <f t="shared" si="494"/>
        <v>-0.33333333333332593</v>
      </c>
      <c r="Q1117" t="str">
        <f t="shared" si="483"/>
        <v>0.93% | 1.85%</v>
      </c>
      <c r="R1117" t="str">
        <f t="shared" si="495"/>
        <v>BEARISH</v>
      </c>
      <c r="S1117">
        <f t="shared" si="484"/>
        <v>-1</v>
      </c>
    </row>
    <row r="1118" spans="1:19" hidden="1" x14ac:dyDescent="0.25">
      <c r="A1118" s="5" t="str">
        <f t="shared" si="481"/>
        <v>43941USD/JPY</v>
      </c>
      <c r="B1118" s="6" t="s">
        <v>86</v>
      </c>
      <c r="C1118" s="6">
        <v>106.55</v>
      </c>
      <c r="D1118" s="6">
        <v>109.54</v>
      </c>
      <c r="E1118" s="6">
        <v>107.6</v>
      </c>
      <c r="F1118" t="str">
        <f t="shared" si="485"/>
        <v>MON</v>
      </c>
      <c r="G1118" s="3">
        <f t="shared" si="486"/>
        <v>43941</v>
      </c>
      <c r="H1118" s="2">
        <f t="shared" ca="1" si="487"/>
        <v>312</v>
      </c>
      <c r="I1118" t="str">
        <f t="shared" si="488"/>
        <v>USD/JPY</v>
      </c>
      <c r="J1118">
        <f t="shared" si="489"/>
        <v>106.55</v>
      </c>
      <c r="K1118">
        <f t="shared" si="490"/>
        <v>109.54</v>
      </c>
      <c r="L1118">
        <f t="shared" si="491"/>
        <v>108.045</v>
      </c>
      <c r="M1118">
        <f t="shared" si="492"/>
        <v>1.4950000000000045</v>
      </c>
      <c r="N1118">
        <f t="shared" si="482"/>
        <v>2.9900000000000091</v>
      </c>
      <c r="O1118">
        <f t="shared" si="493"/>
        <v>107.6</v>
      </c>
      <c r="P1118">
        <f t="shared" si="494"/>
        <v>-0.2976588628762582</v>
      </c>
      <c r="Q1118" t="str">
        <f t="shared" si="483"/>
        <v>0.98% | 1.8%</v>
      </c>
      <c r="R1118" t="str">
        <f t="shared" si="495"/>
        <v>NEUTRAL</v>
      </c>
      <c r="S1118">
        <f t="shared" si="484"/>
        <v>0</v>
      </c>
    </row>
    <row r="1119" spans="1:19" hidden="1" x14ac:dyDescent="0.25">
      <c r="A1119" s="5" t="str">
        <f t="shared" si="481"/>
        <v>43941GBP/USD</v>
      </c>
      <c r="B1119" s="6" t="s">
        <v>21</v>
      </c>
      <c r="C1119" s="6">
        <v>1.22</v>
      </c>
      <c r="D1119" s="6">
        <v>1.26</v>
      </c>
      <c r="E1119" s="6">
        <v>1.25</v>
      </c>
      <c r="F1119" t="str">
        <f t="shared" si="485"/>
        <v>MON</v>
      </c>
      <c r="G1119" s="3">
        <f t="shared" si="486"/>
        <v>43941</v>
      </c>
      <c r="H1119" s="2">
        <f t="shared" ca="1" si="487"/>
        <v>312</v>
      </c>
      <c r="I1119" t="str">
        <f t="shared" si="488"/>
        <v>GBP/USD</v>
      </c>
      <c r="J1119">
        <f t="shared" si="489"/>
        <v>1.22</v>
      </c>
      <c r="K1119">
        <f t="shared" si="490"/>
        <v>1.26</v>
      </c>
      <c r="L1119">
        <f t="shared" si="491"/>
        <v>1.24</v>
      </c>
      <c r="M1119">
        <f t="shared" si="492"/>
        <v>2.0000000000000018E-2</v>
      </c>
      <c r="N1119">
        <f t="shared" si="482"/>
        <v>4.0000000000000036E-2</v>
      </c>
      <c r="O1119">
        <f t="shared" si="493"/>
        <v>1.25</v>
      </c>
      <c r="P1119">
        <f t="shared" si="494"/>
        <v>0.5</v>
      </c>
      <c r="Q1119" t="str">
        <f t="shared" si="483"/>
        <v>2.4% | 0.8%</v>
      </c>
      <c r="R1119" t="str">
        <f t="shared" si="495"/>
        <v>BEARISH</v>
      </c>
      <c r="S1119">
        <f t="shared" si="484"/>
        <v>-1</v>
      </c>
    </row>
    <row r="1120" spans="1:19" hidden="1" x14ac:dyDescent="0.25">
      <c r="A1120" s="5" t="str">
        <f t="shared" si="481"/>
        <v>43941USD/CHF</v>
      </c>
      <c r="B1120" s="6" t="s">
        <v>22</v>
      </c>
      <c r="C1120" s="6">
        <v>0.95</v>
      </c>
      <c r="D1120" s="6">
        <v>0.98</v>
      </c>
      <c r="E1120" s="6">
        <v>0.96</v>
      </c>
      <c r="F1120" t="str">
        <f t="shared" si="485"/>
        <v>MON</v>
      </c>
      <c r="G1120" s="3">
        <f t="shared" si="486"/>
        <v>43941</v>
      </c>
      <c r="H1120" s="2">
        <f t="shared" ca="1" si="487"/>
        <v>312</v>
      </c>
      <c r="I1120" t="str">
        <f t="shared" si="488"/>
        <v>USD/CHF</v>
      </c>
      <c r="J1120">
        <f t="shared" si="489"/>
        <v>0.95</v>
      </c>
      <c r="K1120">
        <f t="shared" si="490"/>
        <v>0.98</v>
      </c>
      <c r="L1120">
        <f t="shared" si="491"/>
        <v>0.96499999999999997</v>
      </c>
      <c r="M1120">
        <f t="shared" si="492"/>
        <v>1.5000000000000013E-2</v>
      </c>
      <c r="N1120">
        <f t="shared" si="482"/>
        <v>3.0000000000000027E-2</v>
      </c>
      <c r="O1120">
        <f t="shared" si="493"/>
        <v>0.96</v>
      </c>
      <c r="P1120">
        <f t="shared" si="494"/>
        <v>-0.33333333333333331</v>
      </c>
      <c r="Q1120" t="str">
        <f t="shared" si="483"/>
        <v>1.04% | 2.08%</v>
      </c>
      <c r="R1120" t="str">
        <f t="shared" si="495"/>
        <v>NEUTRAL</v>
      </c>
      <c r="S1120">
        <f t="shared" si="484"/>
        <v>0</v>
      </c>
    </row>
    <row r="1121" spans="1:19" hidden="1" x14ac:dyDescent="0.25">
      <c r="A1121" s="5" t="str">
        <f t="shared" si="481"/>
        <v>43941WTIC</v>
      </c>
      <c r="B1121" s="6" t="s">
        <v>23</v>
      </c>
      <c r="C1121" s="6">
        <v>14.07</v>
      </c>
      <c r="D1121" s="6">
        <v>26.01</v>
      </c>
      <c r="E1121" s="6">
        <v>25.03</v>
      </c>
      <c r="F1121" t="str">
        <f t="shared" si="485"/>
        <v>MON</v>
      </c>
      <c r="G1121" s="3">
        <f t="shared" si="486"/>
        <v>43941</v>
      </c>
      <c r="H1121" s="2">
        <f t="shared" ca="1" si="487"/>
        <v>312</v>
      </c>
      <c r="I1121" t="str">
        <f t="shared" si="488"/>
        <v>WTIC</v>
      </c>
      <c r="J1121">
        <f t="shared" si="489"/>
        <v>14.07</v>
      </c>
      <c r="K1121">
        <f t="shared" si="490"/>
        <v>26.01</v>
      </c>
      <c r="L1121">
        <f t="shared" si="491"/>
        <v>20.04</v>
      </c>
      <c r="M1121">
        <f t="shared" si="492"/>
        <v>5.9700000000000086</v>
      </c>
      <c r="N1121">
        <f t="shared" si="482"/>
        <v>11.940000000000001</v>
      </c>
      <c r="O1121">
        <f t="shared" si="493"/>
        <v>25.03</v>
      </c>
      <c r="P1121">
        <f t="shared" si="494"/>
        <v>0.83584589614740279</v>
      </c>
      <c r="Q1121" t="str">
        <f t="shared" si="483"/>
        <v>43.79% | 3.92%</v>
      </c>
      <c r="R1121" t="str">
        <f t="shared" si="495"/>
        <v>BEARISH</v>
      </c>
      <c r="S1121">
        <f t="shared" si="484"/>
        <v>-1</v>
      </c>
    </row>
    <row r="1122" spans="1:19" hidden="1" x14ac:dyDescent="0.25">
      <c r="A1122" s="5" t="str">
        <f t="shared" si="481"/>
        <v>43941NATGAS</v>
      </c>
      <c r="B1122" s="6" t="s">
        <v>24</v>
      </c>
      <c r="C1122" s="6">
        <v>1.48</v>
      </c>
      <c r="D1122" s="6">
        <v>1.86</v>
      </c>
      <c r="E1122" s="6">
        <v>1.75</v>
      </c>
      <c r="F1122" t="str">
        <f t="shared" si="485"/>
        <v>MON</v>
      </c>
      <c r="G1122" s="3">
        <f t="shared" si="486"/>
        <v>43941</v>
      </c>
      <c r="H1122" s="2">
        <f t="shared" ca="1" si="487"/>
        <v>312</v>
      </c>
      <c r="I1122" t="str">
        <f t="shared" si="488"/>
        <v>NATGAS</v>
      </c>
      <c r="J1122">
        <f t="shared" si="489"/>
        <v>1.48</v>
      </c>
      <c r="K1122">
        <f t="shared" si="490"/>
        <v>1.86</v>
      </c>
      <c r="L1122">
        <f t="shared" si="491"/>
        <v>1.67</v>
      </c>
      <c r="M1122">
        <f t="shared" si="492"/>
        <v>0.19000000000000064</v>
      </c>
      <c r="N1122">
        <f t="shared" si="482"/>
        <v>0.38000000000000012</v>
      </c>
      <c r="O1122">
        <f t="shared" si="493"/>
        <v>1.75</v>
      </c>
      <c r="P1122">
        <f t="shared" si="494"/>
        <v>0.42105263157894635</v>
      </c>
      <c r="Q1122" t="str">
        <f t="shared" si="483"/>
        <v>15.43% | 6.29%</v>
      </c>
      <c r="R1122" t="str">
        <f t="shared" si="495"/>
        <v>BEARISH</v>
      </c>
      <c r="S1122">
        <f t="shared" si="484"/>
        <v>-1</v>
      </c>
    </row>
    <row r="1123" spans="1:19" hidden="1" x14ac:dyDescent="0.25">
      <c r="A1123" s="5" t="str">
        <f t="shared" si="481"/>
        <v>43941GOLD</v>
      </c>
      <c r="B1123" s="6" t="s">
        <v>25</v>
      </c>
      <c r="C1123" s="6">
        <v>1657</v>
      </c>
      <c r="D1123" s="6">
        <v>1787</v>
      </c>
      <c r="E1123" s="6">
        <v>1698</v>
      </c>
      <c r="F1123" t="str">
        <f t="shared" si="485"/>
        <v>MON</v>
      </c>
      <c r="G1123" s="3">
        <f t="shared" si="486"/>
        <v>43941</v>
      </c>
      <c r="H1123" s="2">
        <f t="shared" ca="1" si="487"/>
        <v>312</v>
      </c>
      <c r="I1123" t="str">
        <f t="shared" si="488"/>
        <v>GOLD</v>
      </c>
      <c r="J1123">
        <f t="shared" si="489"/>
        <v>1657</v>
      </c>
      <c r="K1123">
        <f t="shared" si="490"/>
        <v>1787</v>
      </c>
      <c r="L1123">
        <f t="shared" si="491"/>
        <v>1722</v>
      </c>
      <c r="M1123">
        <f t="shared" si="492"/>
        <v>65</v>
      </c>
      <c r="N1123">
        <f t="shared" si="482"/>
        <v>130</v>
      </c>
      <c r="O1123">
        <f t="shared" si="493"/>
        <v>1698</v>
      </c>
      <c r="P1123">
        <f t="shared" si="494"/>
        <v>-0.36923076923076925</v>
      </c>
      <c r="Q1123" t="str">
        <f t="shared" si="483"/>
        <v>2.41% | 5.24%</v>
      </c>
      <c r="R1123" t="str">
        <f t="shared" si="495"/>
        <v>BULLISH</v>
      </c>
      <c r="S1123">
        <f t="shared" si="484"/>
        <v>1</v>
      </c>
    </row>
    <row r="1124" spans="1:19" hidden="1" x14ac:dyDescent="0.25">
      <c r="A1124" s="5" t="str">
        <f t="shared" si="481"/>
        <v>43941COPPER</v>
      </c>
      <c r="B1124" s="6" t="s">
        <v>26</v>
      </c>
      <c r="C1124" s="6">
        <v>2.2000000000000002</v>
      </c>
      <c r="D1124" s="6">
        <v>2.37</v>
      </c>
      <c r="E1124" s="6">
        <v>2.34</v>
      </c>
      <c r="F1124" t="str">
        <f t="shared" si="485"/>
        <v>MON</v>
      </c>
      <c r="G1124" s="3">
        <f t="shared" si="486"/>
        <v>43941</v>
      </c>
      <c r="H1124" s="2">
        <f t="shared" ca="1" si="487"/>
        <v>312</v>
      </c>
      <c r="I1124" t="str">
        <f t="shared" si="488"/>
        <v>COPPER</v>
      </c>
      <c r="J1124">
        <f t="shared" si="489"/>
        <v>2.2000000000000002</v>
      </c>
      <c r="K1124">
        <f t="shared" si="490"/>
        <v>2.37</v>
      </c>
      <c r="L1124">
        <f t="shared" si="491"/>
        <v>2.2850000000000001</v>
      </c>
      <c r="M1124">
        <f t="shared" si="492"/>
        <v>8.4999999999999964E-2</v>
      </c>
      <c r="N1124">
        <f t="shared" si="482"/>
        <v>0.16999999999999993</v>
      </c>
      <c r="O1124">
        <f t="shared" si="493"/>
        <v>2.34</v>
      </c>
      <c r="P1124">
        <f t="shared" si="494"/>
        <v>0.64705882352940869</v>
      </c>
      <c r="Q1124" t="str">
        <f t="shared" si="483"/>
        <v>5.98% | 1.28%</v>
      </c>
      <c r="R1124" t="str">
        <f t="shared" si="495"/>
        <v>BEARISH</v>
      </c>
      <c r="S1124">
        <f t="shared" si="484"/>
        <v>-1</v>
      </c>
    </row>
    <row r="1125" spans="1:19" hidden="1" x14ac:dyDescent="0.25">
      <c r="A1125" s="5" t="str">
        <f t="shared" si="481"/>
        <v>43941AAPL</v>
      </c>
      <c r="B1125" s="6" t="s">
        <v>63</v>
      </c>
      <c r="C1125" s="6">
        <v>252.8</v>
      </c>
      <c r="D1125" s="6">
        <v>299.67</v>
      </c>
      <c r="E1125" s="6">
        <v>282.8</v>
      </c>
      <c r="F1125" t="str">
        <f t="shared" si="485"/>
        <v>MON</v>
      </c>
      <c r="G1125" s="3">
        <f t="shared" si="486"/>
        <v>43941</v>
      </c>
      <c r="H1125" s="2">
        <f t="shared" ca="1" si="487"/>
        <v>312</v>
      </c>
      <c r="I1125" t="str">
        <f t="shared" si="488"/>
        <v>AAPL</v>
      </c>
      <c r="J1125">
        <f t="shared" si="489"/>
        <v>252.8</v>
      </c>
      <c r="K1125">
        <f t="shared" si="490"/>
        <v>299.67</v>
      </c>
      <c r="L1125">
        <f t="shared" si="491"/>
        <v>276.23500000000001</v>
      </c>
      <c r="M1125">
        <f t="shared" si="492"/>
        <v>23.435000000000002</v>
      </c>
      <c r="N1125">
        <f t="shared" si="482"/>
        <v>46.870000000000005</v>
      </c>
      <c r="O1125">
        <f t="shared" si="493"/>
        <v>282.8</v>
      </c>
      <c r="P1125">
        <f t="shared" si="494"/>
        <v>0.28013654789844239</v>
      </c>
      <c r="Q1125" t="str">
        <f t="shared" si="483"/>
        <v>10.61% | 5.97%</v>
      </c>
      <c r="R1125" t="str">
        <f t="shared" si="495"/>
        <v>NEUTRAL</v>
      </c>
      <c r="S1125">
        <f t="shared" si="484"/>
        <v>0</v>
      </c>
    </row>
    <row r="1126" spans="1:19" hidden="1" x14ac:dyDescent="0.25">
      <c r="A1126" s="5" t="str">
        <f t="shared" si="481"/>
        <v>43941AMZN</v>
      </c>
      <c r="B1126" s="6" t="s">
        <v>29</v>
      </c>
      <c r="C1126" s="6">
        <v>2152</v>
      </c>
      <c r="D1126" s="6">
        <v>2493</v>
      </c>
      <c r="E1126" s="6">
        <v>2375</v>
      </c>
      <c r="F1126" t="str">
        <f t="shared" si="485"/>
        <v>MON</v>
      </c>
      <c r="G1126" s="3">
        <f t="shared" si="486"/>
        <v>43941</v>
      </c>
      <c r="H1126" s="2">
        <f t="shared" ca="1" si="487"/>
        <v>312</v>
      </c>
      <c r="I1126" t="str">
        <f t="shared" si="488"/>
        <v>AMZN</v>
      </c>
      <c r="J1126">
        <f t="shared" si="489"/>
        <v>2152</v>
      </c>
      <c r="K1126">
        <f t="shared" si="490"/>
        <v>2493</v>
      </c>
      <c r="L1126">
        <f t="shared" si="491"/>
        <v>2322.5</v>
      </c>
      <c r="M1126">
        <f t="shared" si="492"/>
        <v>170.5</v>
      </c>
      <c r="N1126">
        <f t="shared" si="482"/>
        <v>341</v>
      </c>
      <c r="O1126">
        <f t="shared" si="493"/>
        <v>2375</v>
      </c>
      <c r="P1126">
        <f t="shared" si="494"/>
        <v>0.30791788856304986</v>
      </c>
      <c r="Q1126" t="str">
        <f t="shared" si="483"/>
        <v>9.39% | 4.97%</v>
      </c>
      <c r="R1126" t="str">
        <f t="shared" si="495"/>
        <v>BULLISH</v>
      </c>
      <c r="S1126">
        <f t="shared" si="484"/>
        <v>1</v>
      </c>
    </row>
    <row r="1127" spans="1:19" hidden="1" x14ac:dyDescent="0.25">
      <c r="A1127" s="5" t="str">
        <f t="shared" si="481"/>
        <v>43941FB</v>
      </c>
      <c r="B1127" s="6" t="s">
        <v>58</v>
      </c>
      <c r="C1127" s="6">
        <v>159</v>
      </c>
      <c r="D1127" s="6">
        <v>184</v>
      </c>
      <c r="E1127" s="6">
        <v>179</v>
      </c>
      <c r="F1127" t="str">
        <f t="shared" si="485"/>
        <v>MON</v>
      </c>
      <c r="G1127" s="3">
        <f t="shared" si="486"/>
        <v>43941</v>
      </c>
      <c r="H1127" s="2">
        <f t="shared" ca="1" si="487"/>
        <v>312</v>
      </c>
      <c r="I1127" t="str">
        <f t="shared" si="488"/>
        <v>FB</v>
      </c>
      <c r="J1127">
        <f t="shared" si="489"/>
        <v>159</v>
      </c>
      <c r="K1127">
        <f t="shared" si="490"/>
        <v>184</v>
      </c>
      <c r="L1127">
        <f t="shared" si="491"/>
        <v>171.5</v>
      </c>
      <c r="M1127">
        <f t="shared" si="492"/>
        <v>12.5</v>
      </c>
      <c r="N1127">
        <f t="shared" si="482"/>
        <v>25</v>
      </c>
      <c r="O1127">
        <f t="shared" si="493"/>
        <v>179</v>
      </c>
      <c r="P1127">
        <f t="shared" si="494"/>
        <v>0.6</v>
      </c>
      <c r="Q1127" t="str">
        <f t="shared" si="483"/>
        <v>11.17% | 2.79%</v>
      </c>
      <c r="R1127" t="str">
        <f t="shared" si="495"/>
        <v>BEARISH</v>
      </c>
      <c r="S1127">
        <f t="shared" si="484"/>
        <v>-1</v>
      </c>
    </row>
    <row r="1128" spans="1:19" hidden="1" x14ac:dyDescent="0.25">
      <c r="A1128" s="5" t="str">
        <f t="shared" si="481"/>
        <v>43941GOOGL</v>
      </c>
      <c r="B1128" s="6" t="s">
        <v>66</v>
      </c>
      <c r="C1128" s="6">
        <v>1137</v>
      </c>
      <c r="D1128" s="6">
        <v>1300</v>
      </c>
      <c r="E1128" s="6">
        <v>1279</v>
      </c>
      <c r="F1128" t="str">
        <f t="shared" si="485"/>
        <v>MON</v>
      </c>
      <c r="G1128" s="3">
        <f t="shared" si="486"/>
        <v>43941</v>
      </c>
      <c r="H1128" s="2">
        <f t="shared" ca="1" si="487"/>
        <v>312</v>
      </c>
      <c r="I1128" t="str">
        <f t="shared" si="488"/>
        <v>GOOGL</v>
      </c>
      <c r="J1128">
        <f t="shared" si="489"/>
        <v>1137</v>
      </c>
      <c r="K1128">
        <f t="shared" si="490"/>
        <v>1300</v>
      </c>
      <c r="L1128">
        <f t="shared" si="491"/>
        <v>1218.5</v>
      </c>
      <c r="M1128">
        <f t="shared" si="492"/>
        <v>81.5</v>
      </c>
      <c r="N1128">
        <f t="shared" si="482"/>
        <v>163</v>
      </c>
      <c r="O1128">
        <f t="shared" si="493"/>
        <v>1279</v>
      </c>
      <c r="P1128">
        <f t="shared" si="494"/>
        <v>0.74233128834355833</v>
      </c>
      <c r="Q1128" t="str">
        <f t="shared" si="483"/>
        <v>11.1% | 1.64%</v>
      </c>
      <c r="R1128" t="str">
        <f t="shared" si="495"/>
        <v>BEARISH</v>
      </c>
      <c r="S1128">
        <f t="shared" si="484"/>
        <v>-1</v>
      </c>
    </row>
    <row r="1129" spans="1:19" hidden="1" x14ac:dyDescent="0.25">
      <c r="A1129" s="5" t="str">
        <f t="shared" si="481"/>
        <v>43941NFLX</v>
      </c>
      <c r="B1129" s="6" t="s">
        <v>32</v>
      </c>
      <c r="C1129" s="6">
        <v>379</v>
      </c>
      <c r="D1129" s="6">
        <v>451</v>
      </c>
      <c r="E1129" s="6">
        <v>422</v>
      </c>
      <c r="F1129" t="str">
        <f t="shared" si="485"/>
        <v>MON</v>
      </c>
      <c r="G1129" s="3">
        <f t="shared" si="486"/>
        <v>43941</v>
      </c>
      <c r="H1129" s="2">
        <f t="shared" ca="1" si="487"/>
        <v>312</v>
      </c>
      <c r="I1129" t="str">
        <f t="shared" si="488"/>
        <v>NFLX</v>
      </c>
      <c r="J1129">
        <f t="shared" si="489"/>
        <v>379</v>
      </c>
      <c r="K1129">
        <f t="shared" si="490"/>
        <v>451</v>
      </c>
      <c r="L1129">
        <f t="shared" si="491"/>
        <v>415</v>
      </c>
      <c r="M1129">
        <f t="shared" si="492"/>
        <v>36</v>
      </c>
      <c r="N1129">
        <f t="shared" si="482"/>
        <v>72</v>
      </c>
      <c r="O1129">
        <f t="shared" si="493"/>
        <v>422</v>
      </c>
      <c r="P1129">
        <f t="shared" si="494"/>
        <v>0.19444444444444445</v>
      </c>
      <c r="Q1129" t="str">
        <f t="shared" si="483"/>
        <v>10.19% | 6.87%</v>
      </c>
      <c r="R1129" t="str">
        <f t="shared" si="495"/>
        <v>BULLISH</v>
      </c>
      <c r="S1129">
        <f t="shared" si="484"/>
        <v>1</v>
      </c>
    </row>
    <row r="1130" spans="1:19" x14ac:dyDescent="0.25">
      <c r="A1130" s="5" t="str">
        <f t="shared" si="481"/>
        <v>43941TSLA</v>
      </c>
      <c r="B1130" s="6" t="s">
        <v>33</v>
      </c>
      <c r="C1130" s="6">
        <v>464</v>
      </c>
      <c r="D1130" s="6">
        <v>825</v>
      </c>
      <c r="E1130" s="6">
        <v>753</v>
      </c>
      <c r="F1130" t="str">
        <f t="shared" si="485"/>
        <v>MON</v>
      </c>
      <c r="G1130" s="3">
        <f t="shared" si="486"/>
        <v>43941</v>
      </c>
      <c r="H1130" s="2">
        <f t="shared" ca="1" si="487"/>
        <v>312</v>
      </c>
      <c r="I1130" t="str">
        <f t="shared" si="488"/>
        <v>TSLA</v>
      </c>
      <c r="J1130">
        <f t="shared" si="489"/>
        <v>464</v>
      </c>
      <c r="K1130">
        <f t="shared" si="490"/>
        <v>825</v>
      </c>
      <c r="L1130">
        <f t="shared" si="491"/>
        <v>644.5</v>
      </c>
      <c r="M1130">
        <f t="shared" si="492"/>
        <v>180.5</v>
      </c>
      <c r="N1130">
        <f t="shared" si="482"/>
        <v>361</v>
      </c>
      <c r="O1130">
        <f t="shared" si="493"/>
        <v>753</v>
      </c>
      <c r="P1130">
        <f t="shared" si="494"/>
        <v>0.60110803324099726</v>
      </c>
      <c r="Q1130" t="str">
        <f t="shared" si="483"/>
        <v>38.38% | 9.56%</v>
      </c>
      <c r="R1130" t="str">
        <f t="shared" si="495"/>
        <v>BULLISH</v>
      </c>
      <c r="S1130">
        <f t="shared" si="484"/>
        <v>1</v>
      </c>
    </row>
    <row r="1131" spans="1:19" hidden="1" x14ac:dyDescent="0.25">
      <c r="A1131" s="5" t="str">
        <f t="shared" si="481"/>
        <v>43941NYXBT</v>
      </c>
      <c r="B1131" s="6" t="s">
        <v>84</v>
      </c>
      <c r="C1131" s="6">
        <v>6516</v>
      </c>
      <c r="D1131" s="6">
        <v>7490</v>
      </c>
      <c r="E1131" s="6">
        <v>7037</v>
      </c>
      <c r="F1131" t="str">
        <f t="shared" si="485"/>
        <v>MON</v>
      </c>
      <c r="G1131" s="3">
        <f t="shared" si="486"/>
        <v>43941</v>
      </c>
      <c r="H1131" s="2">
        <f t="shared" ca="1" si="487"/>
        <v>312</v>
      </c>
      <c r="I1131" t="str">
        <f t="shared" si="488"/>
        <v>NYXBT</v>
      </c>
      <c r="J1131">
        <f t="shared" si="489"/>
        <v>6516</v>
      </c>
      <c r="K1131">
        <f t="shared" si="490"/>
        <v>7490</v>
      </c>
      <c r="L1131">
        <f t="shared" si="491"/>
        <v>7003</v>
      </c>
      <c r="M1131">
        <f t="shared" si="492"/>
        <v>487</v>
      </c>
      <c r="N1131">
        <f t="shared" si="482"/>
        <v>974</v>
      </c>
      <c r="O1131">
        <f t="shared" si="493"/>
        <v>7037</v>
      </c>
      <c r="P1131">
        <f t="shared" si="494"/>
        <v>6.9815195071868577E-2</v>
      </c>
      <c r="Q1131" t="str">
        <f t="shared" si="483"/>
        <v>7.4% | 6.44%</v>
      </c>
      <c r="R1131" t="str">
        <f t="shared" si="495"/>
        <v>BEARISH</v>
      </c>
      <c r="S1131">
        <f t="shared" si="484"/>
        <v>-1</v>
      </c>
    </row>
    <row r="1132" spans="1:19" hidden="1" x14ac:dyDescent="0.25">
      <c r="A1132" s="5" t="str">
        <f t="shared" si="481"/>
        <v>43942UST10Y</v>
      </c>
      <c r="B1132" s="6" t="s">
        <v>4</v>
      </c>
      <c r="C1132" s="6">
        <v>0.79</v>
      </c>
      <c r="D1132" s="6">
        <v>0.56000000000000005</v>
      </c>
      <c r="E1132" s="6">
        <v>0.63</v>
      </c>
      <c r="F1132" t="str">
        <f t="shared" si="485"/>
        <v>TUE</v>
      </c>
      <c r="G1132" s="1">
        <f>DATE(2020,4,21)</f>
        <v>43942</v>
      </c>
      <c r="H1132" s="2">
        <f t="shared" ca="1" si="487"/>
        <v>311</v>
      </c>
      <c r="I1132" t="str">
        <f t="shared" si="488"/>
        <v>UST10Y</v>
      </c>
      <c r="J1132">
        <f t="shared" si="489"/>
        <v>0.79</v>
      </c>
      <c r="K1132">
        <f t="shared" si="490"/>
        <v>0.56000000000000005</v>
      </c>
      <c r="L1132">
        <f t="shared" si="491"/>
        <v>0.67500000000000004</v>
      </c>
      <c r="M1132">
        <f t="shared" si="492"/>
        <v>0.11500000000000019</v>
      </c>
      <c r="N1132">
        <f t="shared" si="482"/>
        <v>0.22999999999999998</v>
      </c>
      <c r="O1132">
        <f t="shared" si="493"/>
        <v>0.63</v>
      </c>
      <c r="P1132">
        <f t="shared" si="494"/>
        <v>-0.3913043478260867</v>
      </c>
      <c r="Q1132" t="str">
        <f t="shared" si="483"/>
        <v>25.4% | 11.11%</v>
      </c>
      <c r="R1132" t="str">
        <f t="shared" si="495"/>
        <v>BEARISH</v>
      </c>
      <c r="S1132">
        <f t="shared" si="484"/>
        <v>-1</v>
      </c>
    </row>
    <row r="1133" spans="1:19" hidden="1" x14ac:dyDescent="0.25">
      <c r="A1133" s="5" t="str">
        <f t="shared" si="481"/>
        <v>43942UST2Y</v>
      </c>
      <c r="B1133" s="6" t="s">
        <v>5</v>
      </c>
      <c r="C1133" s="6">
        <v>0.28000000000000003</v>
      </c>
      <c r="D1133" s="6">
        <v>0.16</v>
      </c>
      <c r="E1133" s="6">
        <v>0.2</v>
      </c>
      <c r="F1133" t="str">
        <f t="shared" ref="F1133:F1162" si="496">UPPER(TEXT(G1133,"ddd"))</f>
        <v>TUE</v>
      </c>
      <c r="G1133" s="1">
        <f t="shared" ref="G1133:G1161" si="497">DATE(2020,4,21)</f>
        <v>43942</v>
      </c>
      <c r="H1133" s="2">
        <f t="shared" ref="H1133:H1162" ca="1" si="498">TODAY()-G1133</f>
        <v>311</v>
      </c>
      <c r="I1133" t="str">
        <f t="shared" ref="I1133:I1162" si="499">TRIM(LEFT(B1133,FIND(" ",B1133,1)))</f>
        <v>UST2Y</v>
      </c>
      <c r="J1133">
        <f t="shared" ref="J1133:J1162" si="500">C1133</f>
        <v>0.28000000000000003</v>
      </c>
      <c r="K1133">
        <f t="shared" ref="K1133:K1162" si="501">D1133</f>
        <v>0.16</v>
      </c>
      <c r="L1133">
        <f t="shared" ref="L1133:L1162" si="502">AVERAGE(J1133:K1133)</f>
        <v>0.22000000000000003</v>
      </c>
      <c r="M1133">
        <f t="shared" ref="M1133:M1162" si="503">_xlfn.STDEV.P(J1133:K1133)</f>
        <v>5.9999999999999935E-2</v>
      </c>
      <c r="N1133">
        <f t="shared" si="482"/>
        <v>0.12000000000000002</v>
      </c>
      <c r="O1133">
        <f t="shared" ref="O1133:O1162" si="504">E1133</f>
        <v>0.2</v>
      </c>
      <c r="P1133">
        <f t="shared" ref="P1133:P1162" si="505">(O1133-L1133)/M1133</f>
        <v>-0.33333333333333398</v>
      </c>
      <c r="Q1133" t="str">
        <f t="shared" si="483"/>
        <v>40% | 20%</v>
      </c>
      <c r="R1133" t="str">
        <f t="shared" ref="R1133:R1162" si="506">MID(B1133,FIND("(",B1133,1)+1,FIND(")",B1133,1)-FIND("(",B1133,1)-1)</f>
        <v>BEARISH</v>
      </c>
      <c r="S1133">
        <f t="shared" si="484"/>
        <v>-1</v>
      </c>
    </row>
    <row r="1134" spans="1:19" hidden="1" x14ac:dyDescent="0.25">
      <c r="A1134" s="5" t="str">
        <f t="shared" si="481"/>
        <v>43942SPX</v>
      </c>
      <c r="B1134" s="6" t="s">
        <v>6</v>
      </c>
      <c r="C1134" s="6">
        <v>2650</v>
      </c>
      <c r="D1134" s="6">
        <v>2899</v>
      </c>
      <c r="E1134" s="6">
        <v>2823</v>
      </c>
      <c r="F1134" t="str">
        <f t="shared" si="496"/>
        <v>TUE</v>
      </c>
      <c r="G1134" s="1">
        <f t="shared" si="497"/>
        <v>43942</v>
      </c>
      <c r="H1134" s="2">
        <f t="shared" ca="1" si="498"/>
        <v>311</v>
      </c>
      <c r="I1134" t="str">
        <f t="shared" si="499"/>
        <v>SPX</v>
      </c>
      <c r="J1134">
        <f t="shared" si="500"/>
        <v>2650</v>
      </c>
      <c r="K1134">
        <f t="shared" si="501"/>
        <v>2899</v>
      </c>
      <c r="L1134">
        <f t="shared" si="502"/>
        <v>2774.5</v>
      </c>
      <c r="M1134">
        <f t="shared" si="503"/>
        <v>124.5</v>
      </c>
      <c r="N1134">
        <f t="shared" si="482"/>
        <v>249</v>
      </c>
      <c r="O1134">
        <f t="shared" si="504"/>
        <v>2823</v>
      </c>
      <c r="P1134">
        <f t="shared" si="505"/>
        <v>0.38955823293172692</v>
      </c>
      <c r="Q1134" t="str">
        <f t="shared" si="483"/>
        <v>6.13% | 2.69%</v>
      </c>
      <c r="R1134" t="str">
        <f t="shared" si="506"/>
        <v>BEARISH</v>
      </c>
      <c r="S1134">
        <f t="shared" si="484"/>
        <v>-1</v>
      </c>
    </row>
    <row r="1135" spans="1:19" hidden="1" x14ac:dyDescent="0.25">
      <c r="A1135" s="5" t="str">
        <f t="shared" si="481"/>
        <v>43942RUT</v>
      </c>
      <c r="B1135" s="6" t="s">
        <v>7</v>
      </c>
      <c r="C1135" s="6">
        <v>1160</v>
      </c>
      <c r="D1135" s="6">
        <v>1250</v>
      </c>
      <c r="E1135" s="6">
        <v>1213</v>
      </c>
      <c r="F1135" t="str">
        <f t="shared" si="496"/>
        <v>TUE</v>
      </c>
      <c r="G1135" s="1">
        <f t="shared" si="497"/>
        <v>43942</v>
      </c>
      <c r="H1135" s="2">
        <f t="shared" ca="1" si="498"/>
        <v>311</v>
      </c>
      <c r="I1135" t="str">
        <f t="shared" si="499"/>
        <v>RUT</v>
      </c>
      <c r="J1135">
        <f t="shared" si="500"/>
        <v>1160</v>
      </c>
      <c r="K1135">
        <f t="shared" si="501"/>
        <v>1250</v>
      </c>
      <c r="L1135">
        <f t="shared" si="502"/>
        <v>1205</v>
      </c>
      <c r="M1135">
        <f t="shared" si="503"/>
        <v>45</v>
      </c>
      <c r="N1135">
        <f t="shared" si="482"/>
        <v>90</v>
      </c>
      <c r="O1135">
        <f t="shared" si="504"/>
        <v>1213</v>
      </c>
      <c r="P1135">
        <f t="shared" si="505"/>
        <v>0.17777777777777778</v>
      </c>
      <c r="Q1135" t="str">
        <f t="shared" si="483"/>
        <v>4.37% | 3.05%</v>
      </c>
      <c r="R1135" t="str">
        <f t="shared" si="506"/>
        <v>BEARISH</v>
      </c>
      <c r="S1135">
        <f t="shared" si="484"/>
        <v>-1</v>
      </c>
    </row>
    <row r="1136" spans="1:19" hidden="1" x14ac:dyDescent="0.25">
      <c r="A1136" s="5" t="str">
        <f t="shared" si="481"/>
        <v>43942COMPQ</v>
      </c>
      <c r="B1136" s="6" t="s">
        <v>61</v>
      </c>
      <c r="C1136" s="6">
        <v>7831</v>
      </c>
      <c r="D1136" s="6">
        <v>8820</v>
      </c>
      <c r="E1136" s="6">
        <v>8560</v>
      </c>
      <c r="F1136" t="str">
        <f t="shared" si="496"/>
        <v>TUE</v>
      </c>
      <c r="G1136" s="1">
        <f t="shared" si="497"/>
        <v>43942</v>
      </c>
      <c r="H1136" s="2">
        <f t="shared" ca="1" si="498"/>
        <v>311</v>
      </c>
      <c r="I1136" t="str">
        <f t="shared" si="499"/>
        <v>COMPQ</v>
      </c>
      <c r="J1136">
        <f t="shared" si="500"/>
        <v>7831</v>
      </c>
      <c r="K1136">
        <f t="shared" si="501"/>
        <v>8820</v>
      </c>
      <c r="L1136">
        <f t="shared" si="502"/>
        <v>8325.5</v>
      </c>
      <c r="M1136">
        <f t="shared" si="503"/>
        <v>494.5</v>
      </c>
      <c r="N1136">
        <f t="shared" si="482"/>
        <v>989</v>
      </c>
      <c r="O1136">
        <f t="shared" si="504"/>
        <v>8560</v>
      </c>
      <c r="P1136">
        <f t="shared" si="505"/>
        <v>0.47421638018200202</v>
      </c>
      <c r="Q1136" t="str">
        <f t="shared" si="483"/>
        <v>8.52% | 3.04%</v>
      </c>
      <c r="R1136" t="str">
        <f t="shared" si="506"/>
        <v>NEUTRAL</v>
      </c>
      <c r="S1136">
        <f t="shared" si="484"/>
        <v>0</v>
      </c>
    </row>
    <row r="1137" spans="1:19" hidden="1" x14ac:dyDescent="0.25">
      <c r="A1137" s="5" t="str">
        <f t="shared" si="481"/>
        <v>43942XLU</v>
      </c>
      <c r="B1137" s="6" t="s">
        <v>52</v>
      </c>
      <c r="C1137" s="6">
        <v>55.05</v>
      </c>
      <c r="D1137" s="6">
        <v>62.2</v>
      </c>
      <c r="E1137" s="6">
        <v>58.24</v>
      </c>
      <c r="F1137" t="str">
        <f t="shared" si="496"/>
        <v>TUE</v>
      </c>
      <c r="G1137" s="1">
        <f t="shared" si="497"/>
        <v>43942</v>
      </c>
      <c r="H1137" s="2">
        <f t="shared" ca="1" si="498"/>
        <v>311</v>
      </c>
      <c r="I1137" t="str">
        <f t="shared" si="499"/>
        <v>XLU</v>
      </c>
      <c r="J1137">
        <f t="shared" si="500"/>
        <v>55.05</v>
      </c>
      <c r="K1137">
        <f t="shared" si="501"/>
        <v>62.2</v>
      </c>
      <c r="L1137">
        <f t="shared" si="502"/>
        <v>58.625</v>
      </c>
      <c r="M1137">
        <f t="shared" si="503"/>
        <v>3.5750000000000028</v>
      </c>
      <c r="N1137">
        <f t="shared" si="482"/>
        <v>7.1500000000000057</v>
      </c>
      <c r="O1137">
        <f t="shared" si="504"/>
        <v>58.24</v>
      </c>
      <c r="P1137">
        <f t="shared" si="505"/>
        <v>-0.10769230769230705</v>
      </c>
      <c r="Q1137" t="str">
        <f t="shared" si="483"/>
        <v>5.48% | 6.8%</v>
      </c>
      <c r="R1137" t="str">
        <f t="shared" si="506"/>
        <v>BULLISH</v>
      </c>
      <c r="S1137">
        <f t="shared" si="484"/>
        <v>1</v>
      </c>
    </row>
    <row r="1138" spans="1:19" hidden="1" x14ac:dyDescent="0.25">
      <c r="A1138" s="5" t="str">
        <f t="shared" si="481"/>
        <v>43942VNQ</v>
      </c>
      <c r="B1138" s="6" t="s">
        <v>67</v>
      </c>
      <c r="C1138" s="6">
        <v>68.95</v>
      </c>
      <c r="D1138" s="6">
        <v>79.900000000000006</v>
      </c>
      <c r="E1138" s="6">
        <v>73.28</v>
      </c>
      <c r="F1138" t="str">
        <f t="shared" si="496"/>
        <v>TUE</v>
      </c>
      <c r="G1138" s="1">
        <f t="shared" si="497"/>
        <v>43942</v>
      </c>
      <c r="H1138" s="2">
        <f t="shared" ca="1" si="498"/>
        <v>311</v>
      </c>
      <c r="I1138" t="str">
        <f t="shared" si="499"/>
        <v>VNQ</v>
      </c>
      <c r="J1138">
        <f t="shared" si="500"/>
        <v>68.95</v>
      </c>
      <c r="K1138">
        <f t="shared" si="501"/>
        <v>79.900000000000006</v>
      </c>
      <c r="L1138">
        <f t="shared" si="502"/>
        <v>74.425000000000011</v>
      </c>
      <c r="M1138">
        <f t="shared" si="503"/>
        <v>5.4750000000000014</v>
      </c>
      <c r="N1138">
        <f t="shared" si="482"/>
        <v>10.950000000000003</v>
      </c>
      <c r="O1138">
        <f t="shared" si="504"/>
        <v>73.28</v>
      </c>
      <c r="P1138">
        <f t="shared" si="505"/>
        <v>-0.20913242009132602</v>
      </c>
      <c r="Q1138" t="str">
        <f t="shared" si="483"/>
        <v>5.91% | 9.03%</v>
      </c>
      <c r="R1138" t="str">
        <f t="shared" si="506"/>
        <v>BEARISH</v>
      </c>
      <c r="S1138">
        <f t="shared" si="484"/>
        <v>-1</v>
      </c>
    </row>
    <row r="1139" spans="1:19" hidden="1" x14ac:dyDescent="0.25">
      <c r="A1139" s="5" t="str">
        <f t="shared" si="481"/>
        <v>43942XLP</v>
      </c>
      <c r="B1139" s="6" t="s">
        <v>54</v>
      </c>
      <c r="C1139" s="6">
        <v>56.06</v>
      </c>
      <c r="D1139" s="6">
        <v>61.17</v>
      </c>
      <c r="E1139" s="6">
        <v>59.31</v>
      </c>
      <c r="F1139" t="str">
        <f t="shared" si="496"/>
        <v>TUE</v>
      </c>
      <c r="G1139" s="1">
        <f t="shared" si="497"/>
        <v>43942</v>
      </c>
      <c r="H1139" s="2">
        <f t="shared" ca="1" si="498"/>
        <v>311</v>
      </c>
      <c r="I1139" t="str">
        <f t="shared" si="499"/>
        <v>XLP</v>
      </c>
      <c r="J1139">
        <f t="shared" si="500"/>
        <v>56.06</v>
      </c>
      <c r="K1139">
        <f t="shared" si="501"/>
        <v>61.17</v>
      </c>
      <c r="L1139">
        <f t="shared" si="502"/>
        <v>58.615000000000002</v>
      </c>
      <c r="M1139">
        <f t="shared" si="503"/>
        <v>2.5549999999999997</v>
      </c>
      <c r="N1139">
        <f t="shared" si="482"/>
        <v>5.1099999999999994</v>
      </c>
      <c r="O1139">
        <f t="shared" si="504"/>
        <v>59.31</v>
      </c>
      <c r="P1139">
        <f t="shared" si="505"/>
        <v>0.27201565557729956</v>
      </c>
      <c r="Q1139" t="str">
        <f t="shared" si="483"/>
        <v>5.48% | 3.14%</v>
      </c>
      <c r="R1139" t="str">
        <f t="shared" si="506"/>
        <v>BULLISH</v>
      </c>
      <c r="S1139">
        <f t="shared" si="484"/>
        <v>1</v>
      </c>
    </row>
    <row r="1140" spans="1:19" hidden="1" x14ac:dyDescent="0.25">
      <c r="A1140" s="5" t="str">
        <f t="shared" si="481"/>
        <v>43942XLK</v>
      </c>
      <c r="B1140" s="6" t="s">
        <v>62</v>
      </c>
      <c r="C1140" s="6">
        <v>81.400000000000006</v>
      </c>
      <c r="D1140" s="6">
        <v>90.52</v>
      </c>
      <c r="E1140" s="6">
        <v>87.83</v>
      </c>
      <c r="F1140" t="str">
        <f t="shared" si="496"/>
        <v>TUE</v>
      </c>
      <c r="G1140" s="1">
        <f t="shared" si="497"/>
        <v>43942</v>
      </c>
      <c r="H1140" s="2">
        <f t="shared" ca="1" si="498"/>
        <v>311</v>
      </c>
      <c r="I1140" t="str">
        <f t="shared" si="499"/>
        <v>XLK</v>
      </c>
      <c r="J1140">
        <f t="shared" si="500"/>
        <v>81.400000000000006</v>
      </c>
      <c r="K1140">
        <f t="shared" si="501"/>
        <v>90.52</v>
      </c>
      <c r="L1140">
        <f t="shared" si="502"/>
        <v>85.960000000000008</v>
      </c>
      <c r="M1140">
        <f t="shared" si="503"/>
        <v>4.5599999999999952</v>
      </c>
      <c r="N1140">
        <f t="shared" si="482"/>
        <v>9.1199999999999903</v>
      </c>
      <c r="O1140">
        <f t="shared" si="504"/>
        <v>87.83</v>
      </c>
      <c r="P1140">
        <f t="shared" si="505"/>
        <v>0.41008771929824395</v>
      </c>
      <c r="Q1140" t="str">
        <f t="shared" si="483"/>
        <v>7.32% | 3.06%</v>
      </c>
      <c r="R1140" t="str">
        <f t="shared" si="506"/>
        <v>NEUTRAL</v>
      </c>
      <c r="S1140">
        <f t="shared" si="484"/>
        <v>0</v>
      </c>
    </row>
    <row r="1141" spans="1:19" hidden="1" x14ac:dyDescent="0.25">
      <c r="A1141" s="5" t="str">
        <f t="shared" si="481"/>
        <v>43942SSEC</v>
      </c>
      <c r="B1141" s="6" t="s">
        <v>14</v>
      </c>
      <c r="C1141" s="6">
        <v>2759</v>
      </c>
      <c r="D1141" s="6">
        <v>2860</v>
      </c>
      <c r="E1141" s="6">
        <v>2827</v>
      </c>
      <c r="F1141" t="str">
        <f t="shared" si="496"/>
        <v>TUE</v>
      </c>
      <c r="G1141" s="1">
        <f t="shared" si="497"/>
        <v>43942</v>
      </c>
      <c r="H1141" s="2">
        <f t="shared" ca="1" si="498"/>
        <v>311</v>
      </c>
      <c r="I1141" t="str">
        <f t="shared" si="499"/>
        <v>SSEC</v>
      </c>
      <c r="J1141">
        <f t="shared" si="500"/>
        <v>2759</v>
      </c>
      <c r="K1141">
        <f t="shared" si="501"/>
        <v>2860</v>
      </c>
      <c r="L1141">
        <f t="shared" si="502"/>
        <v>2809.5</v>
      </c>
      <c r="M1141">
        <f t="shared" si="503"/>
        <v>50.5</v>
      </c>
      <c r="N1141">
        <f t="shared" si="482"/>
        <v>101</v>
      </c>
      <c r="O1141">
        <f t="shared" si="504"/>
        <v>2827</v>
      </c>
      <c r="P1141">
        <f t="shared" si="505"/>
        <v>0.34653465346534651</v>
      </c>
      <c r="Q1141" t="str">
        <f t="shared" si="483"/>
        <v>2.41% | 1.17%</v>
      </c>
      <c r="R1141" t="str">
        <f t="shared" si="506"/>
        <v>BEARISH</v>
      </c>
      <c r="S1141">
        <f t="shared" si="484"/>
        <v>-1</v>
      </c>
    </row>
    <row r="1142" spans="1:19" hidden="1" x14ac:dyDescent="0.25">
      <c r="A1142" s="5" t="str">
        <f t="shared" si="481"/>
        <v>43942NIKK</v>
      </c>
      <c r="B1142" s="6" t="s">
        <v>15</v>
      </c>
      <c r="C1142" s="6">
        <v>18890</v>
      </c>
      <c r="D1142" s="6">
        <v>19950</v>
      </c>
      <c r="E1142" s="6">
        <v>19280</v>
      </c>
      <c r="F1142" t="str">
        <f t="shared" si="496"/>
        <v>TUE</v>
      </c>
      <c r="G1142" s="1">
        <f t="shared" si="497"/>
        <v>43942</v>
      </c>
      <c r="H1142" s="2">
        <f t="shared" ca="1" si="498"/>
        <v>311</v>
      </c>
      <c r="I1142" t="str">
        <f t="shared" si="499"/>
        <v>NIKK</v>
      </c>
      <c r="J1142">
        <f t="shared" si="500"/>
        <v>18890</v>
      </c>
      <c r="K1142">
        <f t="shared" si="501"/>
        <v>19950</v>
      </c>
      <c r="L1142">
        <f t="shared" si="502"/>
        <v>19420</v>
      </c>
      <c r="M1142">
        <f t="shared" si="503"/>
        <v>530</v>
      </c>
      <c r="N1142">
        <f t="shared" si="482"/>
        <v>1060</v>
      </c>
      <c r="O1142">
        <f t="shared" si="504"/>
        <v>19280</v>
      </c>
      <c r="P1142">
        <f t="shared" si="505"/>
        <v>-0.26415094339622641</v>
      </c>
      <c r="Q1142" t="str">
        <f t="shared" si="483"/>
        <v>2.02% | 3.48%</v>
      </c>
      <c r="R1142" t="str">
        <f t="shared" si="506"/>
        <v>BEARISH</v>
      </c>
      <c r="S1142">
        <f t="shared" si="484"/>
        <v>-1</v>
      </c>
    </row>
    <row r="1143" spans="1:19" hidden="1" x14ac:dyDescent="0.25">
      <c r="A1143" s="5" t="str">
        <f t="shared" si="481"/>
        <v>43942DAX</v>
      </c>
      <c r="B1143" s="6" t="s">
        <v>16</v>
      </c>
      <c r="C1143" s="6">
        <v>9901</v>
      </c>
      <c r="D1143" s="6">
        <v>10745</v>
      </c>
      <c r="E1143" s="6">
        <v>10665</v>
      </c>
      <c r="F1143" t="str">
        <f t="shared" si="496"/>
        <v>TUE</v>
      </c>
      <c r="G1143" s="1">
        <f t="shared" si="497"/>
        <v>43942</v>
      </c>
      <c r="H1143" s="2">
        <f t="shared" ca="1" si="498"/>
        <v>311</v>
      </c>
      <c r="I1143" t="str">
        <f t="shared" si="499"/>
        <v>DAX</v>
      </c>
      <c r="J1143">
        <f t="shared" si="500"/>
        <v>9901</v>
      </c>
      <c r="K1143">
        <f t="shared" si="501"/>
        <v>10745</v>
      </c>
      <c r="L1143">
        <f t="shared" si="502"/>
        <v>10323</v>
      </c>
      <c r="M1143">
        <f t="shared" si="503"/>
        <v>422</v>
      </c>
      <c r="N1143">
        <f t="shared" si="482"/>
        <v>844</v>
      </c>
      <c r="O1143">
        <f t="shared" si="504"/>
        <v>10665</v>
      </c>
      <c r="P1143">
        <f t="shared" si="505"/>
        <v>0.81042654028436023</v>
      </c>
      <c r="Q1143" t="str">
        <f t="shared" si="483"/>
        <v>7.16% | 0.75%</v>
      </c>
      <c r="R1143" t="str">
        <f t="shared" si="506"/>
        <v>BEARISH</v>
      </c>
      <c r="S1143">
        <f t="shared" si="484"/>
        <v>-1</v>
      </c>
    </row>
    <row r="1144" spans="1:19" hidden="1" x14ac:dyDescent="0.25">
      <c r="A1144" s="5" t="str">
        <f t="shared" si="481"/>
        <v>43942VIX</v>
      </c>
      <c r="B1144" s="6" t="s">
        <v>17</v>
      </c>
      <c r="C1144" s="6">
        <v>36.090000000000003</v>
      </c>
      <c r="D1144" s="6">
        <v>49.93</v>
      </c>
      <c r="E1144" s="6">
        <v>43.83</v>
      </c>
      <c r="F1144" t="str">
        <f t="shared" si="496"/>
        <v>TUE</v>
      </c>
      <c r="G1144" s="1">
        <f t="shared" si="497"/>
        <v>43942</v>
      </c>
      <c r="H1144" s="2">
        <f t="shared" ca="1" si="498"/>
        <v>311</v>
      </c>
      <c r="I1144" t="str">
        <f t="shared" si="499"/>
        <v>VIX</v>
      </c>
      <c r="J1144">
        <f t="shared" si="500"/>
        <v>36.090000000000003</v>
      </c>
      <c r="K1144">
        <f t="shared" si="501"/>
        <v>49.93</v>
      </c>
      <c r="L1144">
        <f t="shared" si="502"/>
        <v>43.010000000000005</v>
      </c>
      <c r="M1144">
        <f t="shared" si="503"/>
        <v>6.9199999999999902</v>
      </c>
      <c r="N1144">
        <f t="shared" si="482"/>
        <v>13.839999999999996</v>
      </c>
      <c r="O1144">
        <f t="shared" si="504"/>
        <v>43.83</v>
      </c>
      <c r="P1144">
        <f t="shared" si="505"/>
        <v>0.11849710982658877</v>
      </c>
      <c r="Q1144" t="str">
        <f t="shared" si="483"/>
        <v>17.66% | 13.92%</v>
      </c>
      <c r="R1144" t="str">
        <f t="shared" si="506"/>
        <v>BULLISH</v>
      </c>
      <c r="S1144">
        <f t="shared" si="484"/>
        <v>1</v>
      </c>
    </row>
    <row r="1145" spans="1:19" hidden="1" x14ac:dyDescent="0.25">
      <c r="A1145" s="5" t="str">
        <f t="shared" si="481"/>
        <v>43942USD</v>
      </c>
      <c r="B1145" s="6" t="s">
        <v>18</v>
      </c>
      <c r="C1145" s="6">
        <v>98.9</v>
      </c>
      <c r="D1145" s="6">
        <v>100.99</v>
      </c>
      <c r="E1145" s="6">
        <v>100.06</v>
      </c>
      <c r="F1145" t="str">
        <f t="shared" si="496"/>
        <v>TUE</v>
      </c>
      <c r="G1145" s="1">
        <f t="shared" si="497"/>
        <v>43942</v>
      </c>
      <c r="H1145" s="2">
        <f t="shared" ca="1" si="498"/>
        <v>311</v>
      </c>
      <c r="I1145" t="str">
        <f t="shared" si="499"/>
        <v>USD</v>
      </c>
      <c r="J1145">
        <f t="shared" si="500"/>
        <v>98.9</v>
      </c>
      <c r="K1145">
        <f t="shared" si="501"/>
        <v>100.99</v>
      </c>
      <c r="L1145">
        <f t="shared" si="502"/>
        <v>99.944999999999993</v>
      </c>
      <c r="M1145">
        <f t="shared" si="503"/>
        <v>1.0449999999999946</v>
      </c>
      <c r="N1145">
        <f t="shared" si="482"/>
        <v>2.0899999999999892</v>
      </c>
      <c r="O1145">
        <f t="shared" si="504"/>
        <v>100.06</v>
      </c>
      <c r="P1145">
        <f t="shared" si="505"/>
        <v>0.11004784688996143</v>
      </c>
      <c r="Q1145" t="str">
        <f t="shared" si="483"/>
        <v>1.16% | 0.93%</v>
      </c>
      <c r="R1145" t="str">
        <f t="shared" si="506"/>
        <v>BULLISH</v>
      </c>
      <c r="S1145">
        <f t="shared" si="484"/>
        <v>1</v>
      </c>
    </row>
    <row r="1146" spans="1:19" hidden="1" x14ac:dyDescent="0.25">
      <c r="A1146" s="5" t="str">
        <f t="shared" si="481"/>
        <v>43942EUR/USD</v>
      </c>
      <c r="B1146" s="6" t="s">
        <v>19</v>
      </c>
      <c r="C1146" s="6">
        <v>1.07</v>
      </c>
      <c r="D1146" s="6">
        <v>1.0900000000000001</v>
      </c>
      <c r="E1146" s="6">
        <v>1.08</v>
      </c>
      <c r="F1146" t="str">
        <f t="shared" si="496"/>
        <v>TUE</v>
      </c>
      <c r="G1146" s="1">
        <f t="shared" si="497"/>
        <v>43942</v>
      </c>
      <c r="H1146" s="2">
        <f t="shared" ca="1" si="498"/>
        <v>311</v>
      </c>
      <c r="I1146" t="str">
        <f t="shared" si="499"/>
        <v>EUR/USD</v>
      </c>
      <c r="J1146">
        <f t="shared" si="500"/>
        <v>1.07</v>
      </c>
      <c r="K1146">
        <f t="shared" si="501"/>
        <v>1.0900000000000001</v>
      </c>
      <c r="L1146">
        <f t="shared" si="502"/>
        <v>1.08</v>
      </c>
      <c r="M1146">
        <f t="shared" si="503"/>
        <v>1.0000000000000009E-2</v>
      </c>
      <c r="N1146">
        <f t="shared" si="482"/>
        <v>2.0000000000000018E-2</v>
      </c>
      <c r="O1146">
        <f t="shared" si="504"/>
        <v>1.08</v>
      </c>
      <c r="P1146">
        <f t="shared" si="505"/>
        <v>0</v>
      </c>
      <c r="Q1146" t="str">
        <f t="shared" si="483"/>
        <v>0.93% | 0.93%</v>
      </c>
      <c r="R1146" t="str">
        <f t="shared" si="506"/>
        <v>BEARISH</v>
      </c>
      <c r="S1146">
        <f t="shared" si="484"/>
        <v>-1</v>
      </c>
    </row>
    <row r="1147" spans="1:19" hidden="1" x14ac:dyDescent="0.25">
      <c r="A1147" s="5" t="str">
        <f t="shared" si="481"/>
        <v>43942USD/JPY</v>
      </c>
      <c r="B1147" s="6" t="s">
        <v>86</v>
      </c>
      <c r="C1147" s="6">
        <v>106.58</v>
      </c>
      <c r="D1147" s="6">
        <v>109.27</v>
      </c>
      <c r="E1147" s="6">
        <v>107.69</v>
      </c>
      <c r="F1147" t="str">
        <f t="shared" si="496"/>
        <v>TUE</v>
      </c>
      <c r="G1147" s="1">
        <f t="shared" si="497"/>
        <v>43942</v>
      </c>
      <c r="H1147" s="2">
        <f t="shared" ca="1" si="498"/>
        <v>311</v>
      </c>
      <c r="I1147" t="str">
        <f t="shared" si="499"/>
        <v>USD/JPY</v>
      </c>
      <c r="J1147">
        <f t="shared" si="500"/>
        <v>106.58</v>
      </c>
      <c r="K1147">
        <f t="shared" si="501"/>
        <v>109.27</v>
      </c>
      <c r="L1147">
        <f t="shared" si="502"/>
        <v>107.925</v>
      </c>
      <c r="M1147">
        <f t="shared" si="503"/>
        <v>1.3449999999999989</v>
      </c>
      <c r="N1147">
        <f t="shared" si="482"/>
        <v>2.6899999999999977</v>
      </c>
      <c r="O1147">
        <f t="shared" si="504"/>
        <v>107.69</v>
      </c>
      <c r="P1147">
        <f t="shared" si="505"/>
        <v>-0.1747211895910778</v>
      </c>
      <c r="Q1147" t="str">
        <f t="shared" si="483"/>
        <v>1.03% | 1.47%</v>
      </c>
      <c r="R1147" t="str">
        <f t="shared" si="506"/>
        <v>NEUTRAL</v>
      </c>
      <c r="S1147">
        <f t="shared" si="484"/>
        <v>0</v>
      </c>
    </row>
    <row r="1148" spans="1:19" hidden="1" x14ac:dyDescent="0.25">
      <c r="A1148" s="5" t="str">
        <f t="shared" si="481"/>
        <v>43942GBP/USD</v>
      </c>
      <c r="B1148" s="6" t="s">
        <v>21</v>
      </c>
      <c r="C1148" s="6">
        <v>1.22</v>
      </c>
      <c r="D1148" s="6">
        <v>1.26</v>
      </c>
      <c r="E1148" s="6">
        <v>1.24</v>
      </c>
      <c r="F1148" t="str">
        <f t="shared" si="496"/>
        <v>TUE</v>
      </c>
      <c r="G1148" s="1">
        <f t="shared" si="497"/>
        <v>43942</v>
      </c>
      <c r="H1148" s="2">
        <f t="shared" ca="1" si="498"/>
        <v>311</v>
      </c>
      <c r="I1148" t="str">
        <f t="shared" si="499"/>
        <v>GBP/USD</v>
      </c>
      <c r="J1148">
        <f t="shared" si="500"/>
        <v>1.22</v>
      </c>
      <c r="K1148">
        <f t="shared" si="501"/>
        <v>1.26</v>
      </c>
      <c r="L1148">
        <f t="shared" si="502"/>
        <v>1.24</v>
      </c>
      <c r="M1148">
        <f t="shared" si="503"/>
        <v>2.0000000000000018E-2</v>
      </c>
      <c r="N1148">
        <f t="shared" si="482"/>
        <v>4.0000000000000036E-2</v>
      </c>
      <c r="O1148">
        <f t="shared" si="504"/>
        <v>1.24</v>
      </c>
      <c r="P1148">
        <f t="shared" si="505"/>
        <v>0</v>
      </c>
      <c r="Q1148" t="str">
        <f t="shared" si="483"/>
        <v>1.61% | 1.61%</v>
      </c>
      <c r="R1148" t="str">
        <f t="shared" si="506"/>
        <v>BEARISH</v>
      </c>
      <c r="S1148">
        <f t="shared" si="484"/>
        <v>-1</v>
      </c>
    </row>
    <row r="1149" spans="1:19" hidden="1" x14ac:dyDescent="0.25">
      <c r="A1149" s="5" t="str">
        <f t="shared" si="481"/>
        <v>43942USD/CHF</v>
      </c>
      <c r="B1149" s="6" t="s">
        <v>22</v>
      </c>
      <c r="C1149" s="6">
        <v>0.95</v>
      </c>
      <c r="D1149" s="6">
        <v>0.98</v>
      </c>
      <c r="E1149" s="6">
        <v>0.96</v>
      </c>
      <c r="F1149" t="str">
        <f t="shared" si="496"/>
        <v>TUE</v>
      </c>
      <c r="G1149" s="1">
        <f t="shared" si="497"/>
        <v>43942</v>
      </c>
      <c r="H1149" s="2">
        <f t="shared" ca="1" si="498"/>
        <v>311</v>
      </c>
      <c r="I1149" t="str">
        <f t="shared" si="499"/>
        <v>USD/CHF</v>
      </c>
      <c r="J1149">
        <f t="shared" si="500"/>
        <v>0.95</v>
      </c>
      <c r="K1149">
        <f t="shared" si="501"/>
        <v>0.98</v>
      </c>
      <c r="L1149">
        <f t="shared" si="502"/>
        <v>0.96499999999999997</v>
      </c>
      <c r="M1149">
        <f t="shared" si="503"/>
        <v>1.5000000000000013E-2</v>
      </c>
      <c r="N1149">
        <f t="shared" si="482"/>
        <v>3.0000000000000027E-2</v>
      </c>
      <c r="O1149">
        <f t="shared" si="504"/>
        <v>0.96</v>
      </c>
      <c r="P1149">
        <f t="shared" si="505"/>
        <v>-0.33333333333333331</v>
      </c>
      <c r="Q1149" t="str">
        <f t="shared" si="483"/>
        <v>1.04% | 2.08%</v>
      </c>
      <c r="R1149" t="str">
        <f t="shared" si="506"/>
        <v>NEUTRAL</v>
      </c>
      <c r="S1149">
        <f t="shared" si="484"/>
        <v>0</v>
      </c>
    </row>
    <row r="1150" spans="1:19" hidden="1" x14ac:dyDescent="0.25">
      <c r="A1150" s="5" t="str">
        <f t="shared" si="481"/>
        <v>43942WTIC</v>
      </c>
      <c r="B1150" s="6" t="s">
        <v>23</v>
      </c>
      <c r="C1150" s="6">
        <v>13.07</v>
      </c>
      <c r="D1150" s="6">
        <v>22.96</v>
      </c>
      <c r="E1150" s="6">
        <v>20.43</v>
      </c>
      <c r="F1150" t="str">
        <f t="shared" si="496"/>
        <v>TUE</v>
      </c>
      <c r="G1150" s="1">
        <f t="shared" si="497"/>
        <v>43942</v>
      </c>
      <c r="H1150" s="2">
        <f t="shared" ca="1" si="498"/>
        <v>311</v>
      </c>
      <c r="I1150" t="str">
        <f t="shared" si="499"/>
        <v>WTIC</v>
      </c>
      <c r="J1150">
        <f t="shared" si="500"/>
        <v>13.07</v>
      </c>
      <c r="K1150">
        <f t="shared" si="501"/>
        <v>22.96</v>
      </c>
      <c r="L1150">
        <f t="shared" si="502"/>
        <v>18.015000000000001</v>
      </c>
      <c r="M1150">
        <f t="shared" si="503"/>
        <v>4.9449999999999967</v>
      </c>
      <c r="N1150">
        <f t="shared" si="482"/>
        <v>9.89</v>
      </c>
      <c r="O1150">
        <f t="shared" si="504"/>
        <v>20.43</v>
      </c>
      <c r="P1150">
        <f t="shared" si="505"/>
        <v>0.48837209302325596</v>
      </c>
      <c r="Q1150" t="str">
        <f t="shared" si="483"/>
        <v>36.03% | 12.38%</v>
      </c>
      <c r="R1150" t="str">
        <f t="shared" si="506"/>
        <v>BEARISH</v>
      </c>
      <c r="S1150">
        <f t="shared" si="484"/>
        <v>-1</v>
      </c>
    </row>
    <row r="1151" spans="1:19" hidden="1" x14ac:dyDescent="0.25">
      <c r="A1151" s="5" t="str">
        <f t="shared" si="481"/>
        <v>43942NATGAS</v>
      </c>
      <c r="B1151" s="6" t="s">
        <v>24</v>
      </c>
      <c r="C1151" s="6">
        <v>1.56</v>
      </c>
      <c r="D1151" s="6">
        <v>1.95</v>
      </c>
      <c r="E1151" s="6">
        <v>1.92</v>
      </c>
      <c r="F1151" t="str">
        <f t="shared" si="496"/>
        <v>TUE</v>
      </c>
      <c r="G1151" s="1">
        <f t="shared" si="497"/>
        <v>43942</v>
      </c>
      <c r="H1151" s="2">
        <f t="shared" ca="1" si="498"/>
        <v>311</v>
      </c>
      <c r="I1151" t="str">
        <f t="shared" si="499"/>
        <v>NATGAS</v>
      </c>
      <c r="J1151">
        <f t="shared" si="500"/>
        <v>1.56</v>
      </c>
      <c r="K1151">
        <f t="shared" si="501"/>
        <v>1.95</v>
      </c>
      <c r="L1151">
        <f t="shared" si="502"/>
        <v>1.7549999999999999</v>
      </c>
      <c r="M1151">
        <f t="shared" si="503"/>
        <v>0.19500000000000164</v>
      </c>
      <c r="N1151">
        <f t="shared" si="482"/>
        <v>0.3899999999999999</v>
      </c>
      <c r="O1151">
        <f t="shared" si="504"/>
        <v>1.92</v>
      </c>
      <c r="P1151">
        <f t="shared" si="505"/>
        <v>0.84615384615383915</v>
      </c>
      <c r="Q1151" t="str">
        <f t="shared" si="483"/>
        <v>18.75% | 1.56%</v>
      </c>
      <c r="R1151" t="str">
        <f t="shared" si="506"/>
        <v>BEARISH</v>
      </c>
      <c r="S1151">
        <f t="shared" si="484"/>
        <v>-1</v>
      </c>
    </row>
    <row r="1152" spans="1:19" hidden="1" x14ac:dyDescent="0.25">
      <c r="A1152" s="5" t="str">
        <f t="shared" si="481"/>
        <v>43942GOLD</v>
      </c>
      <c r="B1152" s="6" t="s">
        <v>25</v>
      </c>
      <c r="C1152" s="6">
        <v>1661</v>
      </c>
      <c r="D1152" s="6">
        <v>1797</v>
      </c>
      <c r="E1152" s="6">
        <v>1711</v>
      </c>
      <c r="F1152" t="str">
        <f t="shared" si="496"/>
        <v>TUE</v>
      </c>
      <c r="G1152" s="1">
        <f t="shared" si="497"/>
        <v>43942</v>
      </c>
      <c r="H1152" s="2">
        <f t="shared" ca="1" si="498"/>
        <v>311</v>
      </c>
      <c r="I1152" t="str">
        <f t="shared" si="499"/>
        <v>GOLD</v>
      </c>
      <c r="J1152">
        <f t="shared" si="500"/>
        <v>1661</v>
      </c>
      <c r="K1152">
        <f t="shared" si="501"/>
        <v>1797</v>
      </c>
      <c r="L1152">
        <f t="shared" si="502"/>
        <v>1729</v>
      </c>
      <c r="M1152">
        <f t="shared" si="503"/>
        <v>68</v>
      </c>
      <c r="N1152">
        <f t="shared" si="482"/>
        <v>136</v>
      </c>
      <c r="O1152">
        <f t="shared" si="504"/>
        <v>1711</v>
      </c>
      <c r="P1152">
        <f t="shared" si="505"/>
        <v>-0.26470588235294118</v>
      </c>
      <c r="Q1152" t="str">
        <f t="shared" si="483"/>
        <v>2.92% | 5.03%</v>
      </c>
      <c r="R1152" t="str">
        <f t="shared" si="506"/>
        <v>BULLISH</v>
      </c>
      <c r="S1152">
        <f t="shared" si="484"/>
        <v>1</v>
      </c>
    </row>
    <row r="1153" spans="1:19" hidden="1" x14ac:dyDescent="0.25">
      <c r="A1153" s="5" t="str">
        <f t="shared" si="481"/>
        <v>43942COPPER</v>
      </c>
      <c r="B1153" s="6" t="s">
        <v>26</v>
      </c>
      <c r="C1153" s="6">
        <v>2.21</v>
      </c>
      <c r="D1153" s="6">
        <v>2.36</v>
      </c>
      <c r="E1153" s="6">
        <v>2.3199999999999998</v>
      </c>
      <c r="F1153" t="str">
        <f t="shared" si="496"/>
        <v>TUE</v>
      </c>
      <c r="G1153" s="1">
        <f t="shared" si="497"/>
        <v>43942</v>
      </c>
      <c r="H1153" s="2">
        <f t="shared" ca="1" si="498"/>
        <v>311</v>
      </c>
      <c r="I1153" t="str">
        <f t="shared" si="499"/>
        <v>COPPER</v>
      </c>
      <c r="J1153">
        <f t="shared" si="500"/>
        <v>2.21</v>
      </c>
      <c r="K1153">
        <f t="shared" si="501"/>
        <v>2.36</v>
      </c>
      <c r="L1153">
        <f t="shared" si="502"/>
        <v>2.2850000000000001</v>
      </c>
      <c r="M1153">
        <f t="shared" si="503"/>
        <v>7.4999999999999956E-2</v>
      </c>
      <c r="N1153">
        <f t="shared" si="482"/>
        <v>0.14999999999999991</v>
      </c>
      <c r="O1153">
        <f t="shared" si="504"/>
        <v>2.3199999999999998</v>
      </c>
      <c r="P1153">
        <f t="shared" si="505"/>
        <v>0.4666666666666629</v>
      </c>
      <c r="Q1153" t="str">
        <f t="shared" si="483"/>
        <v>4.74% | 1.72%</v>
      </c>
      <c r="R1153" t="str">
        <f t="shared" si="506"/>
        <v>BEARISH</v>
      </c>
      <c r="S1153">
        <f t="shared" si="484"/>
        <v>-1</v>
      </c>
    </row>
    <row r="1154" spans="1:19" hidden="1" x14ac:dyDescent="0.25">
      <c r="A1154" s="5" t="str">
        <f t="shared" si="481"/>
        <v>43942MSFT</v>
      </c>
      <c r="B1154" s="6" t="s">
        <v>27</v>
      </c>
      <c r="C1154" s="6">
        <v>162</v>
      </c>
      <c r="D1154" s="6">
        <v>182</v>
      </c>
      <c r="E1154" s="6">
        <v>175</v>
      </c>
      <c r="F1154" t="str">
        <f t="shared" si="496"/>
        <v>TUE</v>
      </c>
      <c r="G1154" s="1">
        <f t="shared" si="497"/>
        <v>43942</v>
      </c>
      <c r="H1154" s="2">
        <f t="shared" ca="1" si="498"/>
        <v>311</v>
      </c>
      <c r="I1154" t="str">
        <f t="shared" si="499"/>
        <v>MSFT</v>
      </c>
      <c r="J1154">
        <f t="shared" si="500"/>
        <v>162</v>
      </c>
      <c r="K1154">
        <f t="shared" si="501"/>
        <v>182</v>
      </c>
      <c r="L1154">
        <f t="shared" si="502"/>
        <v>172</v>
      </c>
      <c r="M1154">
        <f t="shared" si="503"/>
        <v>10</v>
      </c>
      <c r="N1154">
        <f t="shared" si="482"/>
        <v>20</v>
      </c>
      <c r="O1154">
        <f t="shared" si="504"/>
        <v>175</v>
      </c>
      <c r="P1154">
        <f t="shared" si="505"/>
        <v>0.3</v>
      </c>
      <c r="Q1154" t="str">
        <f t="shared" si="483"/>
        <v>7.43% | 4%</v>
      </c>
      <c r="R1154" t="str">
        <f t="shared" si="506"/>
        <v>BULLISH</v>
      </c>
      <c r="S1154">
        <f t="shared" si="484"/>
        <v>1</v>
      </c>
    </row>
    <row r="1155" spans="1:19" hidden="1" x14ac:dyDescent="0.25">
      <c r="A1155" s="5" t="str">
        <f t="shared" ref="A1155:A1218" si="507">G1155&amp;I1155</f>
        <v>43942AAPL</v>
      </c>
      <c r="B1155" s="6" t="s">
        <v>68</v>
      </c>
      <c r="C1155" s="6">
        <v>255.22</v>
      </c>
      <c r="D1155" s="6">
        <v>294.89999999999998</v>
      </c>
      <c r="E1155" s="6">
        <v>276.93</v>
      </c>
      <c r="F1155" t="str">
        <f t="shared" si="496"/>
        <v>TUE</v>
      </c>
      <c r="G1155" s="1">
        <f t="shared" si="497"/>
        <v>43942</v>
      </c>
      <c r="H1155" s="2">
        <f t="shared" ca="1" si="498"/>
        <v>311</v>
      </c>
      <c r="I1155" t="str">
        <f t="shared" si="499"/>
        <v>AAPL</v>
      </c>
      <c r="J1155">
        <f t="shared" si="500"/>
        <v>255.22</v>
      </c>
      <c r="K1155">
        <f t="shared" si="501"/>
        <v>294.89999999999998</v>
      </c>
      <c r="L1155">
        <f t="shared" si="502"/>
        <v>275.06</v>
      </c>
      <c r="M1155">
        <f t="shared" si="503"/>
        <v>19.839999999999989</v>
      </c>
      <c r="N1155">
        <f t="shared" ref="N1155:N1218" si="508">ABS(K1155-J1155)</f>
        <v>39.679999999999978</v>
      </c>
      <c r="O1155">
        <f t="shared" si="504"/>
        <v>276.93</v>
      </c>
      <c r="P1155">
        <f t="shared" si="505"/>
        <v>9.4254032258064793E-2</v>
      </c>
      <c r="Q1155" t="str">
        <f t="shared" ref="Q1155:Q1218" si="509">ROUND(ABS(100*(O1155-J1155)/O1155),2)&amp;"% | "&amp;ROUND(ABS(100*(K1155-O1155)/O1155),2)&amp;"%"</f>
        <v>7.84% | 6.49%</v>
      </c>
      <c r="R1155" t="str">
        <f t="shared" si="506"/>
        <v>BEARISH</v>
      </c>
      <c r="S1155">
        <f t="shared" ref="S1155:S1218" si="510">IF(R1155="BEARISH",-1,IF(R1155="NEUTRAL",0,IF(R1155="BULLISH",1,99)))</f>
        <v>-1</v>
      </c>
    </row>
    <row r="1156" spans="1:19" hidden="1" x14ac:dyDescent="0.25">
      <c r="A1156" s="5" t="str">
        <f t="shared" si="507"/>
        <v>43942AMZN</v>
      </c>
      <c r="B1156" s="6" t="s">
        <v>29</v>
      </c>
      <c r="C1156" s="6">
        <v>2228</v>
      </c>
      <c r="D1156" s="6">
        <v>2530</v>
      </c>
      <c r="E1156" s="6">
        <v>2393</v>
      </c>
      <c r="F1156" t="str">
        <f t="shared" si="496"/>
        <v>TUE</v>
      </c>
      <c r="G1156" s="1">
        <f t="shared" si="497"/>
        <v>43942</v>
      </c>
      <c r="H1156" s="2">
        <f t="shared" ca="1" si="498"/>
        <v>311</v>
      </c>
      <c r="I1156" t="str">
        <f t="shared" si="499"/>
        <v>AMZN</v>
      </c>
      <c r="J1156">
        <f t="shared" si="500"/>
        <v>2228</v>
      </c>
      <c r="K1156">
        <f t="shared" si="501"/>
        <v>2530</v>
      </c>
      <c r="L1156">
        <f t="shared" si="502"/>
        <v>2379</v>
      </c>
      <c r="M1156">
        <f t="shared" si="503"/>
        <v>151</v>
      </c>
      <c r="N1156">
        <f t="shared" si="508"/>
        <v>302</v>
      </c>
      <c r="O1156">
        <f t="shared" si="504"/>
        <v>2393</v>
      </c>
      <c r="P1156">
        <f t="shared" si="505"/>
        <v>9.2715231788079472E-2</v>
      </c>
      <c r="Q1156" t="str">
        <f t="shared" si="509"/>
        <v>6.9% | 5.73%</v>
      </c>
      <c r="R1156" t="str">
        <f t="shared" si="506"/>
        <v>BULLISH</v>
      </c>
      <c r="S1156">
        <f t="shared" si="510"/>
        <v>1</v>
      </c>
    </row>
    <row r="1157" spans="1:19" hidden="1" x14ac:dyDescent="0.25">
      <c r="A1157" s="5" t="str">
        <f t="shared" si="507"/>
        <v>43942FB</v>
      </c>
      <c r="B1157" s="6" t="s">
        <v>58</v>
      </c>
      <c r="C1157" s="6">
        <v>161</v>
      </c>
      <c r="D1157" s="6">
        <v>183</v>
      </c>
      <c r="E1157" s="6">
        <v>178</v>
      </c>
      <c r="F1157" t="str">
        <f t="shared" si="496"/>
        <v>TUE</v>
      </c>
      <c r="G1157" s="1">
        <f t="shared" si="497"/>
        <v>43942</v>
      </c>
      <c r="H1157" s="2">
        <f t="shared" ca="1" si="498"/>
        <v>311</v>
      </c>
      <c r="I1157" t="str">
        <f t="shared" si="499"/>
        <v>FB</v>
      </c>
      <c r="J1157">
        <f t="shared" si="500"/>
        <v>161</v>
      </c>
      <c r="K1157">
        <f t="shared" si="501"/>
        <v>183</v>
      </c>
      <c r="L1157">
        <f t="shared" si="502"/>
        <v>172</v>
      </c>
      <c r="M1157">
        <f t="shared" si="503"/>
        <v>11</v>
      </c>
      <c r="N1157">
        <f t="shared" si="508"/>
        <v>22</v>
      </c>
      <c r="O1157">
        <f t="shared" si="504"/>
        <v>178</v>
      </c>
      <c r="P1157">
        <f t="shared" si="505"/>
        <v>0.54545454545454541</v>
      </c>
      <c r="Q1157" t="str">
        <f t="shared" si="509"/>
        <v>9.55% | 2.81%</v>
      </c>
      <c r="R1157" t="str">
        <f t="shared" si="506"/>
        <v>BEARISH</v>
      </c>
      <c r="S1157">
        <f t="shared" si="510"/>
        <v>-1</v>
      </c>
    </row>
    <row r="1158" spans="1:19" hidden="1" x14ac:dyDescent="0.25">
      <c r="A1158" s="5" t="str">
        <f t="shared" si="507"/>
        <v>43942GOOGL</v>
      </c>
      <c r="B1158" s="6" t="s">
        <v>66</v>
      </c>
      <c r="C1158" s="6">
        <v>1151</v>
      </c>
      <c r="D1158" s="6">
        <v>1300</v>
      </c>
      <c r="E1158" s="6">
        <v>1261</v>
      </c>
      <c r="F1158" t="str">
        <f t="shared" si="496"/>
        <v>TUE</v>
      </c>
      <c r="G1158" s="1">
        <f t="shared" si="497"/>
        <v>43942</v>
      </c>
      <c r="H1158" s="2">
        <f t="shared" ca="1" si="498"/>
        <v>311</v>
      </c>
      <c r="I1158" t="str">
        <f t="shared" si="499"/>
        <v>GOOGL</v>
      </c>
      <c r="J1158">
        <f t="shared" si="500"/>
        <v>1151</v>
      </c>
      <c r="K1158">
        <f t="shared" si="501"/>
        <v>1300</v>
      </c>
      <c r="L1158">
        <f t="shared" si="502"/>
        <v>1225.5</v>
      </c>
      <c r="M1158">
        <f t="shared" si="503"/>
        <v>74.5</v>
      </c>
      <c r="N1158">
        <f t="shared" si="508"/>
        <v>149</v>
      </c>
      <c r="O1158">
        <f t="shared" si="504"/>
        <v>1261</v>
      </c>
      <c r="P1158">
        <f t="shared" si="505"/>
        <v>0.47651006711409394</v>
      </c>
      <c r="Q1158" t="str">
        <f t="shared" si="509"/>
        <v>8.72% | 3.09%</v>
      </c>
      <c r="R1158" t="str">
        <f t="shared" si="506"/>
        <v>BEARISH</v>
      </c>
      <c r="S1158">
        <f t="shared" si="510"/>
        <v>-1</v>
      </c>
    </row>
    <row r="1159" spans="1:19" hidden="1" x14ac:dyDescent="0.25">
      <c r="A1159" s="5" t="str">
        <f t="shared" si="507"/>
        <v>43942NFLX</v>
      </c>
      <c r="B1159" s="6" t="s">
        <v>32</v>
      </c>
      <c r="C1159" s="6">
        <v>358</v>
      </c>
      <c r="D1159" s="6">
        <v>469</v>
      </c>
      <c r="E1159" s="6">
        <v>437</v>
      </c>
      <c r="F1159" t="str">
        <f t="shared" si="496"/>
        <v>TUE</v>
      </c>
      <c r="G1159" s="1">
        <f t="shared" si="497"/>
        <v>43942</v>
      </c>
      <c r="H1159" s="2">
        <f t="shared" ca="1" si="498"/>
        <v>311</v>
      </c>
      <c r="I1159" t="str">
        <f t="shared" si="499"/>
        <v>NFLX</v>
      </c>
      <c r="J1159">
        <f t="shared" si="500"/>
        <v>358</v>
      </c>
      <c r="K1159">
        <f t="shared" si="501"/>
        <v>469</v>
      </c>
      <c r="L1159">
        <f t="shared" si="502"/>
        <v>413.5</v>
      </c>
      <c r="M1159">
        <f t="shared" si="503"/>
        <v>55.5</v>
      </c>
      <c r="N1159">
        <f t="shared" si="508"/>
        <v>111</v>
      </c>
      <c r="O1159">
        <f t="shared" si="504"/>
        <v>437</v>
      </c>
      <c r="P1159">
        <f t="shared" si="505"/>
        <v>0.42342342342342343</v>
      </c>
      <c r="Q1159" t="str">
        <f t="shared" si="509"/>
        <v>18.08% | 7.32%</v>
      </c>
      <c r="R1159" t="str">
        <f t="shared" si="506"/>
        <v>BULLISH</v>
      </c>
      <c r="S1159">
        <f t="shared" si="510"/>
        <v>1</v>
      </c>
    </row>
    <row r="1160" spans="1:19" x14ac:dyDescent="0.25">
      <c r="A1160" s="5" t="str">
        <f t="shared" si="507"/>
        <v>43942TSLA</v>
      </c>
      <c r="B1160" s="6" t="s">
        <v>33</v>
      </c>
      <c r="C1160" s="6">
        <v>488</v>
      </c>
      <c r="D1160" s="6">
        <v>836</v>
      </c>
      <c r="E1160" s="6">
        <v>746</v>
      </c>
      <c r="F1160" t="str">
        <f t="shared" si="496"/>
        <v>TUE</v>
      </c>
      <c r="G1160" s="1">
        <f t="shared" si="497"/>
        <v>43942</v>
      </c>
      <c r="H1160" s="2">
        <f t="shared" ca="1" si="498"/>
        <v>311</v>
      </c>
      <c r="I1160" t="str">
        <f t="shared" si="499"/>
        <v>TSLA</v>
      </c>
      <c r="J1160">
        <f t="shared" si="500"/>
        <v>488</v>
      </c>
      <c r="K1160">
        <f t="shared" si="501"/>
        <v>836</v>
      </c>
      <c r="L1160">
        <f t="shared" si="502"/>
        <v>662</v>
      </c>
      <c r="M1160">
        <f t="shared" si="503"/>
        <v>174</v>
      </c>
      <c r="N1160">
        <f t="shared" si="508"/>
        <v>348</v>
      </c>
      <c r="O1160">
        <f t="shared" si="504"/>
        <v>746</v>
      </c>
      <c r="P1160">
        <f t="shared" si="505"/>
        <v>0.48275862068965519</v>
      </c>
      <c r="Q1160" t="str">
        <f t="shared" si="509"/>
        <v>34.58% | 12.06%</v>
      </c>
      <c r="R1160" t="str">
        <f t="shared" si="506"/>
        <v>BULLISH</v>
      </c>
      <c r="S1160">
        <f t="shared" si="510"/>
        <v>1</v>
      </c>
    </row>
    <row r="1161" spans="1:19" hidden="1" x14ac:dyDescent="0.25">
      <c r="A1161" s="5" t="str">
        <f t="shared" si="507"/>
        <v>43942NYXBT</v>
      </c>
      <c r="B1161" s="6" t="s">
        <v>84</v>
      </c>
      <c r="C1161" s="6">
        <v>6514</v>
      </c>
      <c r="D1161" s="6">
        <v>7495</v>
      </c>
      <c r="E1161" s="6">
        <v>7070</v>
      </c>
      <c r="F1161" t="str">
        <f t="shared" si="496"/>
        <v>TUE</v>
      </c>
      <c r="G1161" s="1">
        <f t="shared" si="497"/>
        <v>43942</v>
      </c>
      <c r="H1161" s="2">
        <f t="shared" ca="1" si="498"/>
        <v>311</v>
      </c>
      <c r="I1161" t="str">
        <f t="shared" si="499"/>
        <v>NYXBT</v>
      </c>
      <c r="J1161">
        <f t="shared" si="500"/>
        <v>6514</v>
      </c>
      <c r="K1161">
        <f t="shared" si="501"/>
        <v>7495</v>
      </c>
      <c r="L1161">
        <f t="shared" si="502"/>
        <v>7004.5</v>
      </c>
      <c r="M1161">
        <f t="shared" si="503"/>
        <v>490.5</v>
      </c>
      <c r="N1161">
        <f t="shared" si="508"/>
        <v>981</v>
      </c>
      <c r="O1161">
        <f t="shared" si="504"/>
        <v>7070</v>
      </c>
      <c r="P1161">
        <f t="shared" si="505"/>
        <v>0.13353720693170235</v>
      </c>
      <c r="Q1161" t="str">
        <f t="shared" si="509"/>
        <v>7.86% | 6.01%</v>
      </c>
      <c r="R1161" t="str">
        <f t="shared" si="506"/>
        <v>BEARISH</v>
      </c>
      <c r="S1161">
        <f t="shared" si="510"/>
        <v>-1</v>
      </c>
    </row>
    <row r="1162" spans="1:19" hidden="1" x14ac:dyDescent="0.25">
      <c r="A1162" s="5" t="str">
        <f t="shared" si="507"/>
        <v>43943UST10Y</v>
      </c>
      <c r="B1162" s="6" t="s">
        <v>4</v>
      </c>
      <c r="C1162" s="6">
        <v>0.78</v>
      </c>
      <c r="D1162" s="6">
        <v>0.54</v>
      </c>
      <c r="E1162" s="6">
        <v>0.57999999999999996</v>
      </c>
      <c r="F1162" t="str">
        <f t="shared" si="496"/>
        <v>WED</v>
      </c>
      <c r="G1162" s="3">
        <f>DATE(2020,4,22)</f>
        <v>43943</v>
      </c>
      <c r="H1162" s="2">
        <f t="shared" ca="1" si="498"/>
        <v>310</v>
      </c>
      <c r="I1162" t="str">
        <f t="shared" si="499"/>
        <v>UST10Y</v>
      </c>
      <c r="J1162">
        <f t="shared" si="500"/>
        <v>0.78</v>
      </c>
      <c r="K1162">
        <f t="shared" si="501"/>
        <v>0.54</v>
      </c>
      <c r="L1162">
        <f t="shared" si="502"/>
        <v>0.66</v>
      </c>
      <c r="M1162">
        <f t="shared" si="503"/>
        <v>0.12000000000000009</v>
      </c>
      <c r="N1162">
        <f t="shared" si="508"/>
        <v>0.24</v>
      </c>
      <c r="O1162">
        <f t="shared" si="504"/>
        <v>0.57999999999999996</v>
      </c>
      <c r="P1162">
        <f t="shared" si="505"/>
        <v>-0.66666666666666674</v>
      </c>
      <c r="Q1162" t="str">
        <f t="shared" si="509"/>
        <v>34.48% | 6.9%</v>
      </c>
      <c r="R1162" t="str">
        <f t="shared" si="506"/>
        <v>BEARISH</v>
      </c>
      <c r="S1162">
        <f t="shared" si="510"/>
        <v>-1</v>
      </c>
    </row>
    <row r="1163" spans="1:19" hidden="1" x14ac:dyDescent="0.25">
      <c r="A1163" s="5" t="str">
        <f t="shared" si="507"/>
        <v>43943UST2Y</v>
      </c>
      <c r="B1163" s="6" t="s">
        <v>5</v>
      </c>
      <c r="C1163" s="6">
        <v>0.27</v>
      </c>
      <c r="D1163" s="6">
        <v>0.17</v>
      </c>
      <c r="E1163" s="6">
        <v>0.2</v>
      </c>
      <c r="F1163" t="str">
        <f t="shared" ref="F1163:F1192" si="511">UPPER(TEXT(G1163,"ddd"))</f>
        <v>WED</v>
      </c>
      <c r="G1163" s="3">
        <f t="shared" ref="G1163:G1191" si="512">DATE(2020,4,22)</f>
        <v>43943</v>
      </c>
      <c r="H1163" s="2">
        <f t="shared" ref="H1163:H1192" ca="1" si="513">TODAY()-G1163</f>
        <v>310</v>
      </c>
      <c r="I1163" t="str">
        <f t="shared" ref="I1163:I1192" si="514">TRIM(LEFT(B1163,FIND(" ",B1163,1)))</f>
        <v>UST2Y</v>
      </c>
      <c r="J1163">
        <f t="shared" ref="J1163:J1192" si="515">C1163</f>
        <v>0.27</v>
      </c>
      <c r="K1163">
        <f t="shared" ref="K1163:K1192" si="516">D1163</f>
        <v>0.17</v>
      </c>
      <c r="L1163">
        <f t="shared" ref="L1163:L1192" si="517">AVERAGE(J1163:K1163)</f>
        <v>0.22000000000000003</v>
      </c>
      <c r="M1163">
        <f t="shared" ref="M1163:M1192" si="518">_xlfn.STDEV.P(J1163:K1163)</f>
        <v>4.9999999999999954E-2</v>
      </c>
      <c r="N1163">
        <f t="shared" si="508"/>
        <v>0.1</v>
      </c>
      <c r="O1163">
        <f t="shared" ref="O1163:O1192" si="519">E1163</f>
        <v>0.2</v>
      </c>
      <c r="P1163">
        <f t="shared" ref="P1163:P1192" si="520">(O1163-L1163)/M1163</f>
        <v>-0.40000000000000074</v>
      </c>
      <c r="Q1163" t="str">
        <f t="shared" si="509"/>
        <v>35% | 15%</v>
      </c>
      <c r="R1163" t="str">
        <f t="shared" ref="R1163:R1192" si="521">MID(B1163,FIND("(",B1163,1)+1,FIND(")",B1163,1)-FIND("(",B1163,1)-1)</f>
        <v>BEARISH</v>
      </c>
      <c r="S1163">
        <f t="shared" si="510"/>
        <v>-1</v>
      </c>
    </row>
    <row r="1164" spans="1:19" hidden="1" x14ac:dyDescent="0.25">
      <c r="A1164" s="5" t="str">
        <f t="shared" si="507"/>
        <v>43943SPX</v>
      </c>
      <c r="B1164" s="6" t="s">
        <v>6</v>
      </c>
      <c r="C1164" s="6">
        <v>2697</v>
      </c>
      <c r="D1164" s="6">
        <v>2890</v>
      </c>
      <c r="E1164" s="6">
        <v>2736</v>
      </c>
      <c r="F1164" t="str">
        <f t="shared" si="511"/>
        <v>WED</v>
      </c>
      <c r="G1164" s="3">
        <f t="shared" si="512"/>
        <v>43943</v>
      </c>
      <c r="H1164" s="2">
        <f t="shared" ca="1" si="513"/>
        <v>310</v>
      </c>
      <c r="I1164" t="str">
        <f t="shared" si="514"/>
        <v>SPX</v>
      </c>
      <c r="J1164">
        <f t="shared" si="515"/>
        <v>2697</v>
      </c>
      <c r="K1164">
        <f t="shared" si="516"/>
        <v>2890</v>
      </c>
      <c r="L1164">
        <f t="shared" si="517"/>
        <v>2793.5</v>
      </c>
      <c r="M1164">
        <f t="shared" si="518"/>
        <v>96.5</v>
      </c>
      <c r="N1164">
        <f t="shared" si="508"/>
        <v>193</v>
      </c>
      <c r="O1164">
        <f t="shared" si="519"/>
        <v>2736</v>
      </c>
      <c r="P1164">
        <f t="shared" si="520"/>
        <v>-0.59585492227979275</v>
      </c>
      <c r="Q1164" t="str">
        <f t="shared" si="509"/>
        <v>1.43% | 5.63%</v>
      </c>
      <c r="R1164" t="str">
        <f t="shared" si="521"/>
        <v>BEARISH</v>
      </c>
      <c r="S1164">
        <f t="shared" si="510"/>
        <v>-1</v>
      </c>
    </row>
    <row r="1165" spans="1:19" hidden="1" x14ac:dyDescent="0.25">
      <c r="A1165" s="5" t="str">
        <f t="shared" si="507"/>
        <v>43943RUT</v>
      </c>
      <c r="B1165" s="6" t="s">
        <v>7</v>
      </c>
      <c r="C1165" s="6">
        <v>1142</v>
      </c>
      <c r="D1165" s="6">
        <v>1240</v>
      </c>
      <c r="E1165" s="6">
        <v>1185</v>
      </c>
      <c r="F1165" t="str">
        <f t="shared" si="511"/>
        <v>WED</v>
      </c>
      <c r="G1165" s="3">
        <f t="shared" si="512"/>
        <v>43943</v>
      </c>
      <c r="H1165" s="2">
        <f t="shared" ca="1" si="513"/>
        <v>310</v>
      </c>
      <c r="I1165" t="str">
        <f t="shared" si="514"/>
        <v>RUT</v>
      </c>
      <c r="J1165">
        <f t="shared" si="515"/>
        <v>1142</v>
      </c>
      <c r="K1165">
        <f t="shared" si="516"/>
        <v>1240</v>
      </c>
      <c r="L1165">
        <f t="shared" si="517"/>
        <v>1191</v>
      </c>
      <c r="M1165">
        <f t="shared" si="518"/>
        <v>49</v>
      </c>
      <c r="N1165">
        <f t="shared" si="508"/>
        <v>98</v>
      </c>
      <c r="O1165">
        <f t="shared" si="519"/>
        <v>1185</v>
      </c>
      <c r="P1165">
        <f t="shared" si="520"/>
        <v>-0.12244897959183673</v>
      </c>
      <c r="Q1165" t="str">
        <f t="shared" si="509"/>
        <v>3.63% | 4.64%</v>
      </c>
      <c r="R1165" t="str">
        <f t="shared" si="521"/>
        <v>BEARISH</v>
      </c>
      <c r="S1165">
        <f t="shared" si="510"/>
        <v>-1</v>
      </c>
    </row>
    <row r="1166" spans="1:19" hidden="1" x14ac:dyDescent="0.25">
      <c r="A1166" s="5" t="str">
        <f t="shared" si="507"/>
        <v>43943COMPQ</v>
      </c>
      <c r="B1166" s="6" t="s">
        <v>61</v>
      </c>
      <c r="C1166" s="6">
        <v>7969</v>
      </c>
      <c r="D1166" s="6">
        <v>8765</v>
      </c>
      <c r="E1166" s="6">
        <v>8263</v>
      </c>
      <c r="F1166" t="str">
        <f t="shared" si="511"/>
        <v>WED</v>
      </c>
      <c r="G1166" s="3">
        <f t="shared" si="512"/>
        <v>43943</v>
      </c>
      <c r="H1166" s="2">
        <f t="shared" ca="1" si="513"/>
        <v>310</v>
      </c>
      <c r="I1166" t="str">
        <f t="shared" si="514"/>
        <v>COMPQ</v>
      </c>
      <c r="J1166">
        <f t="shared" si="515"/>
        <v>7969</v>
      </c>
      <c r="K1166">
        <f t="shared" si="516"/>
        <v>8765</v>
      </c>
      <c r="L1166">
        <f t="shared" si="517"/>
        <v>8367</v>
      </c>
      <c r="M1166">
        <f t="shared" si="518"/>
        <v>398</v>
      </c>
      <c r="N1166">
        <f t="shared" si="508"/>
        <v>796</v>
      </c>
      <c r="O1166">
        <f t="shared" si="519"/>
        <v>8263</v>
      </c>
      <c r="P1166">
        <f t="shared" si="520"/>
        <v>-0.2613065326633166</v>
      </c>
      <c r="Q1166" t="str">
        <f t="shared" si="509"/>
        <v>3.56% | 6.08%</v>
      </c>
      <c r="R1166" t="str">
        <f t="shared" si="521"/>
        <v>NEUTRAL</v>
      </c>
      <c r="S1166">
        <f t="shared" si="510"/>
        <v>0</v>
      </c>
    </row>
    <row r="1167" spans="1:19" hidden="1" x14ac:dyDescent="0.25">
      <c r="A1167" s="5" t="str">
        <f t="shared" si="507"/>
        <v>43943XLU</v>
      </c>
      <c r="B1167" s="6" t="s">
        <v>52</v>
      </c>
      <c r="C1167" s="6">
        <v>55.99</v>
      </c>
      <c r="D1167" s="6">
        <v>61.68</v>
      </c>
      <c r="E1167" s="6">
        <v>57.28</v>
      </c>
      <c r="F1167" t="str">
        <f t="shared" si="511"/>
        <v>WED</v>
      </c>
      <c r="G1167" s="3">
        <f t="shared" si="512"/>
        <v>43943</v>
      </c>
      <c r="H1167" s="2">
        <f t="shared" ca="1" si="513"/>
        <v>310</v>
      </c>
      <c r="I1167" t="str">
        <f t="shared" si="514"/>
        <v>XLU</v>
      </c>
      <c r="J1167">
        <f t="shared" si="515"/>
        <v>55.99</v>
      </c>
      <c r="K1167">
        <f t="shared" si="516"/>
        <v>61.68</v>
      </c>
      <c r="L1167">
        <f t="shared" si="517"/>
        <v>58.835000000000001</v>
      </c>
      <c r="M1167">
        <f t="shared" si="518"/>
        <v>2.8449999999999989</v>
      </c>
      <c r="N1167">
        <f t="shared" si="508"/>
        <v>5.6899999999999977</v>
      </c>
      <c r="O1167">
        <f t="shared" si="519"/>
        <v>57.28</v>
      </c>
      <c r="P1167">
        <f t="shared" si="520"/>
        <v>-0.54657293497363812</v>
      </c>
      <c r="Q1167" t="str">
        <f t="shared" si="509"/>
        <v>2.25% | 7.68%</v>
      </c>
      <c r="R1167" t="str">
        <f t="shared" si="521"/>
        <v>BULLISH</v>
      </c>
      <c r="S1167">
        <f t="shared" si="510"/>
        <v>1</v>
      </c>
    </row>
    <row r="1168" spans="1:19" hidden="1" x14ac:dyDescent="0.25">
      <c r="A1168" s="5" t="str">
        <f t="shared" si="507"/>
        <v>43943VNQ</v>
      </c>
      <c r="B1168" s="6" t="s">
        <v>67</v>
      </c>
      <c r="C1168" s="6">
        <v>70.08</v>
      </c>
      <c r="D1168" s="6">
        <v>79.3</v>
      </c>
      <c r="E1168" s="6">
        <v>71.95</v>
      </c>
      <c r="F1168" t="str">
        <f t="shared" si="511"/>
        <v>WED</v>
      </c>
      <c r="G1168" s="3">
        <f t="shared" si="512"/>
        <v>43943</v>
      </c>
      <c r="H1168" s="2">
        <f t="shared" ca="1" si="513"/>
        <v>310</v>
      </c>
      <c r="I1168" t="str">
        <f t="shared" si="514"/>
        <v>VNQ</v>
      </c>
      <c r="J1168">
        <f t="shared" si="515"/>
        <v>70.08</v>
      </c>
      <c r="K1168">
        <f t="shared" si="516"/>
        <v>79.3</v>
      </c>
      <c r="L1168">
        <f t="shared" si="517"/>
        <v>74.69</v>
      </c>
      <c r="M1168">
        <f t="shared" si="518"/>
        <v>4.6099999999999994</v>
      </c>
      <c r="N1168">
        <f t="shared" si="508"/>
        <v>9.2199999999999989</v>
      </c>
      <c r="O1168">
        <f t="shared" si="519"/>
        <v>71.95</v>
      </c>
      <c r="P1168">
        <f t="shared" si="520"/>
        <v>-0.59436008676789487</v>
      </c>
      <c r="Q1168" t="str">
        <f t="shared" si="509"/>
        <v>2.6% | 10.22%</v>
      </c>
      <c r="R1168" t="str">
        <f t="shared" si="521"/>
        <v>BEARISH</v>
      </c>
      <c r="S1168">
        <f t="shared" si="510"/>
        <v>-1</v>
      </c>
    </row>
    <row r="1169" spans="1:19" hidden="1" x14ac:dyDescent="0.25">
      <c r="A1169" s="5" t="str">
        <f t="shared" si="507"/>
        <v>43943XLP</v>
      </c>
      <c r="B1169" s="6" t="s">
        <v>54</v>
      </c>
      <c r="C1169" s="6">
        <v>56.38</v>
      </c>
      <c r="D1169" s="6">
        <v>61.1</v>
      </c>
      <c r="E1169" s="6">
        <v>58.05</v>
      </c>
      <c r="F1169" t="str">
        <f t="shared" si="511"/>
        <v>WED</v>
      </c>
      <c r="G1169" s="3">
        <f t="shared" si="512"/>
        <v>43943</v>
      </c>
      <c r="H1169" s="2">
        <f t="shared" ca="1" si="513"/>
        <v>310</v>
      </c>
      <c r="I1169" t="str">
        <f t="shared" si="514"/>
        <v>XLP</v>
      </c>
      <c r="J1169">
        <f t="shared" si="515"/>
        <v>56.38</v>
      </c>
      <c r="K1169">
        <f t="shared" si="516"/>
        <v>61.1</v>
      </c>
      <c r="L1169">
        <f t="shared" si="517"/>
        <v>58.74</v>
      </c>
      <c r="M1169">
        <f t="shared" si="518"/>
        <v>2.3599999999999994</v>
      </c>
      <c r="N1169">
        <f t="shared" si="508"/>
        <v>4.7199999999999989</v>
      </c>
      <c r="O1169">
        <f t="shared" si="519"/>
        <v>58.05</v>
      </c>
      <c r="P1169">
        <f t="shared" si="520"/>
        <v>-0.29237288135593431</v>
      </c>
      <c r="Q1169" t="str">
        <f t="shared" si="509"/>
        <v>2.88% | 5.25%</v>
      </c>
      <c r="R1169" t="str">
        <f t="shared" si="521"/>
        <v>BULLISH</v>
      </c>
      <c r="S1169">
        <f t="shared" si="510"/>
        <v>1</v>
      </c>
    </row>
    <row r="1170" spans="1:19" hidden="1" x14ac:dyDescent="0.25">
      <c r="A1170" s="5" t="str">
        <f t="shared" si="507"/>
        <v>43943XLK</v>
      </c>
      <c r="B1170" s="6" t="s">
        <v>62</v>
      </c>
      <c r="C1170" s="6">
        <v>82.28</v>
      </c>
      <c r="D1170" s="6">
        <v>90.34</v>
      </c>
      <c r="E1170" s="6">
        <v>84.15</v>
      </c>
      <c r="F1170" t="str">
        <f t="shared" si="511"/>
        <v>WED</v>
      </c>
      <c r="G1170" s="3">
        <f t="shared" si="512"/>
        <v>43943</v>
      </c>
      <c r="H1170" s="2">
        <f t="shared" ca="1" si="513"/>
        <v>310</v>
      </c>
      <c r="I1170" t="str">
        <f t="shared" si="514"/>
        <v>XLK</v>
      </c>
      <c r="J1170">
        <f t="shared" si="515"/>
        <v>82.28</v>
      </c>
      <c r="K1170">
        <f t="shared" si="516"/>
        <v>90.34</v>
      </c>
      <c r="L1170">
        <f t="shared" si="517"/>
        <v>86.31</v>
      </c>
      <c r="M1170">
        <f t="shared" si="518"/>
        <v>4.0300000000000011</v>
      </c>
      <c r="N1170">
        <f t="shared" si="508"/>
        <v>8.0600000000000023</v>
      </c>
      <c r="O1170">
        <f t="shared" si="519"/>
        <v>84.15</v>
      </c>
      <c r="P1170">
        <f t="shared" si="520"/>
        <v>-0.53598014888337364</v>
      </c>
      <c r="Q1170" t="str">
        <f t="shared" si="509"/>
        <v>2.22% | 7.36%</v>
      </c>
      <c r="R1170" t="str">
        <f t="shared" si="521"/>
        <v>NEUTRAL</v>
      </c>
      <c r="S1170">
        <f t="shared" si="510"/>
        <v>0</v>
      </c>
    </row>
    <row r="1171" spans="1:19" hidden="1" x14ac:dyDescent="0.25">
      <c r="A1171" s="5" t="str">
        <f t="shared" si="507"/>
        <v>43943SSEC</v>
      </c>
      <c r="B1171" s="6" t="s">
        <v>14</v>
      </c>
      <c r="C1171" s="6">
        <v>2740</v>
      </c>
      <c r="D1171" s="6">
        <v>2871</v>
      </c>
      <c r="E1171" s="6">
        <v>2843</v>
      </c>
      <c r="F1171" t="str">
        <f t="shared" si="511"/>
        <v>WED</v>
      </c>
      <c r="G1171" s="3">
        <f t="shared" si="512"/>
        <v>43943</v>
      </c>
      <c r="H1171" s="2">
        <f t="shared" ca="1" si="513"/>
        <v>310</v>
      </c>
      <c r="I1171" t="str">
        <f t="shared" si="514"/>
        <v>SSEC</v>
      </c>
      <c r="J1171">
        <f t="shared" si="515"/>
        <v>2740</v>
      </c>
      <c r="K1171">
        <f t="shared" si="516"/>
        <v>2871</v>
      </c>
      <c r="L1171">
        <f t="shared" si="517"/>
        <v>2805.5</v>
      </c>
      <c r="M1171">
        <f t="shared" si="518"/>
        <v>65.5</v>
      </c>
      <c r="N1171">
        <f t="shared" si="508"/>
        <v>131</v>
      </c>
      <c r="O1171">
        <f t="shared" si="519"/>
        <v>2843</v>
      </c>
      <c r="P1171">
        <f t="shared" si="520"/>
        <v>0.5725190839694656</v>
      </c>
      <c r="Q1171" t="str">
        <f t="shared" si="509"/>
        <v>3.62% | 0.98%</v>
      </c>
      <c r="R1171" t="str">
        <f t="shared" si="521"/>
        <v>BEARISH</v>
      </c>
      <c r="S1171">
        <f t="shared" si="510"/>
        <v>-1</v>
      </c>
    </row>
    <row r="1172" spans="1:19" hidden="1" x14ac:dyDescent="0.25">
      <c r="A1172" s="5" t="str">
        <f t="shared" si="507"/>
        <v>43943NIKK</v>
      </c>
      <c r="B1172" s="6" t="s">
        <v>15</v>
      </c>
      <c r="C1172" s="6">
        <v>18905</v>
      </c>
      <c r="D1172" s="6">
        <v>19960</v>
      </c>
      <c r="E1172" s="6">
        <v>19137</v>
      </c>
      <c r="F1172" t="str">
        <f t="shared" si="511"/>
        <v>WED</v>
      </c>
      <c r="G1172" s="3">
        <f t="shared" si="512"/>
        <v>43943</v>
      </c>
      <c r="H1172" s="2">
        <f t="shared" ca="1" si="513"/>
        <v>310</v>
      </c>
      <c r="I1172" t="str">
        <f t="shared" si="514"/>
        <v>NIKK</v>
      </c>
      <c r="J1172">
        <f t="shared" si="515"/>
        <v>18905</v>
      </c>
      <c r="K1172">
        <f t="shared" si="516"/>
        <v>19960</v>
      </c>
      <c r="L1172">
        <f t="shared" si="517"/>
        <v>19432.5</v>
      </c>
      <c r="M1172">
        <f t="shared" si="518"/>
        <v>527.5</v>
      </c>
      <c r="N1172">
        <f t="shared" si="508"/>
        <v>1055</v>
      </c>
      <c r="O1172">
        <f t="shared" si="519"/>
        <v>19137</v>
      </c>
      <c r="P1172">
        <f t="shared" si="520"/>
        <v>-0.56018957345971565</v>
      </c>
      <c r="Q1172" t="str">
        <f t="shared" si="509"/>
        <v>1.21% | 4.3%</v>
      </c>
      <c r="R1172" t="str">
        <f t="shared" si="521"/>
        <v>BEARISH</v>
      </c>
      <c r="S1172">
        <f t="shared" si="510"/>
        <v>-1</v>
      </c>
    </row>
    <row r="1173" spans="1:19" hidden="1" x14ac:dyDescent="0.25">
      <c r="A1173" s="5" t="str">
        <f t="shared" si="507"/>
        <v>43943DAX</v>
      </c>
      <c r="B1173" s="6" t="s">
        <v>16</v>
      </c>
      <c r="C1173" s="6">
        <v>10102</v>
      </c>
      <c r="D1173" s="6">
        <v>10793</v>
      </c>
      <c r="E1173" s="6">
        <v>10252</v>
      </c>
      <c r="F1173" t="str">
        <f t="shared" si="511"/>
        <v>WED</v>
      </c>
      <c r="G1173" s="3">
        <f t="shared" si="512"/>
        <v>43943</v>
      </c>
      <c r="H1173" s="2">
        <f t="shared" ca="1" si="513"/>
        <v>310</v>
      </c>
      <c r="I1173" t="str">
        <f t="shared" si="514"/>
        <v>DAX</v>
      </c>
      <c r="J1173">
        <f t="shared" si="515"/>
        <v>10102</v>
      </c>
      <c r="K1173">
        <f t="shared" si="516"/>
        <v>10793</v>
      </c>
      <c r="L1173">
        <f t="shared" si="517"/>
        <v>10447.5</v>
      </c>
      <c r="M1173">
        <f t="shared" si="518"/>
        <v>345.5</v>
      </c>
      <c r="N1173">
        <f t="shared" si="508"/>
        <v>691</v>
      </c>
      <c r="O1173">
        <f t="shared" si="519"/>
        <v>10252</v>
      </c>
      <c r="P1173">
        <f t="shared" si="520"/>
        <v>-0.56584659913169322</v>
      </c>
      <c r="Q1173" t="str">
        <f t="shared" si="509"/>
        <v>1.46% | 5.28%</v>
      </c>
      <c r="R1173" t="str">
        <f t="shared" si="521"/>
        <v>BEARISH</v>
      </c>
      <c r="S1173">
        <f t="shared" si="510"/>
        <v>-1</v>
      </c>
    </row>
    <row r="1174" spans="1:19" hidden="1" x14ac:dyDescent="0.25">
      <c r="A1174" s="5" t="str">
        <f t="shared" si="507"/>
        <v>43943VIX</v>
      </c>
      <c r="B1174" s="6" t="s">
        <v>17</v>
      </c>
      <c r="C1174" s="6">
        <v>36.17</v>
      </c>
      <c r="D1174" s="6">
        <v>49.16</v>
      </c>
      <c r="E1174" s="6">
        <v>45.41</v>
      </c>
      <c r="F1174" t="str">
        <f t="shared" si="511"/>
        <v>WED</v>
      </c>
      <c r="G1174" s="3">
        <f t="shared" si="512"/>
        <v>43943</v>
      </c>
      <c r="H1174" s="2">
        <f t="shared" ca="1" si="513"/>
        <v>310</v>
      </c>
      <c r="I1174" t="str">
        <f t="shared" si="514"/>
        <v>VIX</v>
      </c>
      <c r="J1174">
        <f t="shared" si="515"/>
        <v>36.17</v>
      </c>
      <c r="K1174">
        <f t="shared" si="516"/>
        <v>49.16</v>
      </c>
      <c r="L1174">
        <f t="shared" si="517"/>
        <v>42.664999999999999</v>
      </c>
      <c r="M1174">
        <f t="shared" si="518"/>
        <v>6.4950000000000001</v>
      </c>
      <c r="N1174">
        <f t="shared" si="508"/>
        <v>12.989999999999995</v>
      </c>
      <c r="O1174">
        <f t="shared" si="519"/>
        <v>45.41</v>
      </c>
      <c r="P1174">
        <f t="shared" si="520"/>
        <v>0.42263279445727442</v>
      </c>
      <c r="Q1174" t="str">
        <f t="shared" si="509"/>
        <v>20.35% | 8.26%</v>
      </c>
      <c r="R1174" t="str">
        <f t="shared" si="521"/>
        <v>BULLISH</v>
      </c>
      <c r="S1174">
        <f t="shared" si="510"/>
        <v>1</v>
      </c>
    </row>
    <row r="1175" spans="1:19" hidden="1" x14ac:dyDescent="0.25">
      <c r="A1175" s="5" t="str">
        <f t="shared" si="507"/>
        <v>43943USD</v>
      </c>
      <c r="B1175" s="6" t="s">
        <v>18</v>
      </c>
      <c r="C1175" s="6">
        <v>98.9</v>
      </c>
      <c r="D1175" s="6">
        <v>100.95</v>
      </c>
      <c r="E1175" s="6">
        <v>100.37</v>
      </c>
      <c r="F1175" t="str">
        <f t="shared" si="511"/>
        <v>WED</v>
      </c>
      <c r="G1175" s="3">
        <f t="shared" si="512"/>
        <v>43943</v>
      </c>
      <c r="H1175" s="2">
        <f t="shared" ca="1" si="513"/>
        <v>310</v>
      </c>
      <c r="I1175" t="str">
        <f t="shared" si="514"/>
        <v>USD</v>
      </c>
      <c r="J1175">
        <f t="shared" si="515"/>
        <v>98.9</v>
      </c>
      <c r="K1175">
        <f t="shared" si="516"/>
        <v>100.95</v>
      </c>
      <c r="L1175">
        <f t="shared" si="517"/>
        <v>99.925000000000011</v>
      </c>
      <c r="M1175">
        <f t="shared" si="518"/>
        <v>1.0249999999999986</v>
      </c>
      <c r="N1175">
        <f t="shared" si="508"/>
        <v>2.0499999999999972</v>
      </c>
      <c r="O1175">
        <f t="shared" si="519"/>
        <v>100.37</v>
      </c>
      <c r="P1175">
        <f t="shared" si="520"/>
        <v>0.43414634146340858</v>
      </c>
      <c r="Q1175" t="str">
        <f t="shared" si="509"/>
        <v>1.46% | 0.58%</v>
      </c>
      <c r="R1175" t="str">
        <f t="shared" si="521"/>
        <v>BULLISH</v>
      </c>
      <c r="S1175">
        <f t="shared" si="510"/>
        <v>1</v>
      </c>
    </row>
    <row r="1176" spans="1:19" hidden="1" x14ac:dyDescent="0.25">
      <c r="A1176" s="5" t="str">
        <f t="shared" si="507"/>
        <v>43943EUR/USD</v>
      </c>
      <c r="B1176" s="6" t="s">
        <v>19</v>
      </c>
      <c r="C1176" s="6">
        <v>1.07</v>
      </c>
      <c r="D1176" s="6">
        <v>1.0900000000000001</v>
      </c>
      <c r="E1176" s="6">
        <v>1.08</v>
      </c>
      <c r="F1176" t="str">
        <f t="shared" si="511"/>
        <v>WED</v>
      </c>
      <c r="G1176" s="3">
        <f t="shared" si="512"/>
        <v>43943</v>
      </c>
      <c r="H1176" s="2">
        <f t="shared" ca="1" si="513"/>
        <v>310</v>
      </c>
      <c r="I1176" t="str">
        <f t="shared" si="514"/>
        <v>EUR/USD</v>
      </c>
      <c r="J1176">
        <f t="shared" si="515"/>
        <v>1.07</v>
      </c>
      <c r="K1176">
        <f t="shared" si="516"/>
        <v>1.0900000000000001</v>
      </c>
      <c r="L1176">
        <f t="shared" si="517"/>
        <v>1.08</v>
      </c>
      <c r="M1176">
        <f t="shared" si="518"/>
        <v>1.0000000000000009E-2</v>
      </c>
      <c r="N1176">
        <f t="shared" si="508"/>
        <v>2.0000000000000018E-2</v>
      </c>
      <c r="O1176">
        <f t="shared" si="519"/>
        <v>1.08</v>
      </c>
      <c r="P1176">
        <f t="shared" si="520"/>
        <v>0</v>
      </c>
      <c r="Q1176" t="str">
        <f t="shared" si="509"/>
        <v>0.93% | 0.93%</v>
      </c>
      <c r="R1176" t="str">
        <f t="shared" si="521"/>
        <v>BEARISH</v>
      </c>
      <c r="S1176">
        <f t="shared" si="510"/>
        <v>-1</v>
      </c>
    </row>
    <row r="1177" spans="1:19" hidden="1" x14ac:dyDescent="0.25">
      <c r="A1177" s="5" t="str">
        <f t="shared" si="507"/>
        <v>43943USD/JPY</v>
      </c>
      <c r="B1177" s="6" t="s">
        <v>86</v>
      </c>
      <c r="C1177" s="6">
        <v>106.6</v>
      </c>
      <c r="D1177" s="6">
        <v>109.27</v>
      </c>
      <c r="E1177" s="6">
        <v>107.76</v>
      </c>
      <c r="F1177" t="str">
        <f t="shared" si="511"/>
        <v>WED</v>
      </c>
      <c r="G1177" s="3">
        <f t="shared" si="512"/>
        <v>43943</v>
      </c>
      <c r="H1177" s="2">
        <f t="shared" ca="1" si="513"/>
        <v>310</v>
      </c>
      <c r="I1177" t="str">
        <f t="shared" si="514"/>
        <v>USD/JPY</v>
      </c>
      <c r="J1177">
        <f t="shared" si="515"/>
        <v>106.6</v>
      </c>
      <c r="K1177">
        <f t="shared" si="516"/>
        <v>109.27</v>
      </c>
      <c r="L1177">
        <f t="shared" si="517"/>
        <v>107.935</v>
      </c>
      <c r="M1177">
        <f t="shared" si="518"/>
        <v>1.3350000000000009</v>
      </c>
      <c r="N1177">
        <f t="shared" si="508"/>
        <v>2.6700000000000017</v>
      </c>
      <c r="O1177">
        <f t="shared" si="519"/>
        <v>107.76</v>
      </c>
      <c r="P1177">
        <f t="shared" si="520"/>
        <v>-0.13108614232209517</v>
      </c>
      <c r="Q1177" t="str">
        <f t="shared" si="509"/>
        <v>1.08% | 1.4%</v>
      </c>
      <c r="R1177" t="str">
        <f t="shared" si="521"/>
        <v>NEUTRAL</v>
      </c>
      <c r="S1177">
        <f t="shared" si="510"/>
        <v>0</v>
      </c>
    </row>
    <row r="1178" spans="1:19" hidden="1" x14ac:dyDescent="0.25">
      <c r="A1178" s="5" t="str">
        <f t="shared" si="507"/>
        <v>43943GBP/USD</v>
      </c>
      <c r="B1178" s="6" t="s">
        <v>21</v>
      </c>
      <c r="C1178" s="6">
        <v>1.22</v>
      </c>
      <c r="D1178" s="6">
        <v>1.26</v>
      </c>
      <c r="E1178" s="6">
        <v>1.23</v>
      </c>
      <c r="F1178" t="str">
        <f t="shared" si="511"/>
        <v>WED</v>
      </c>
      <c r="G1178" s="3">
        <f t="shared" si="512"/>
        <v>43943</v>
      </c>
      <c r="H1178" s="2">
        <f t="shared" ca="1" si="513"/>
        <v>310</v>
      </c>
      <c r="I1178" t="str">
        <f t="shared" si="514"/>
        <v>GBP/USD</v>
      </c>
      <c r="J1178">
        <f t="shared" si="515"/>
        <v>1.22</v>
      </c>
      <c r="K1178">
        <f t="shared" si="516"/>
        <v>1.26</v>
      </c>
      <c r="L1178">
        <f t="shared" si="517"/>
        <v>1.24</v>
      </c>
      <c r="M1178">
        <f t="shared" si="518"/>
        <v>2.0000000000000018E-2</v>
      </c>
      <c r="N1178">
        <f t="shared" si="508"/>
        <v>4.0000000000000036E-2</v>
      </c>
      <c r="O1178">
        <f t="shared" si="519"/>
        <v>1.23</v>
      </c>
      <c r="P1178">
        <f t="shared" si="520"/>
        <v>-0.5</v>
      </c>
      <c r="Q1178" t="str">
        <f t="shared" si="509"/>
        <v>0.81% | 2.44%</v>
      </c>
      <c r="R1178" t="str">
        <f t="shared" si="521"/>
        <v>BEARISH</v>
      </c>
      <c r="S1178">
        <f t="shared" si="510"/>
        <v>-1</v>
      </c>
    </row>
    <row r="1179" spans="1:19" hidden="1" x14ac:dyDescent="0.25">
      <c r="A1179" s="5" t="str">
        <f t="shared" si="507"/>
        <v>43943USD/CHF</v>
      </c>
      <c r="B1179" s="6" t="s">
        <v>22</v>
      </c>
      <c r="C1179" s="6">
        <v>0.95</v>
      </c>
      <c r="D1179" s="6">
        <v>0.98</v>
      </c>
      <c r="E1179" s="6">
        <v>0.97</v>
      </c>
      <c r="F1179" t="str">
        <f t="shared" si="511"/>
        <v>WED</v>
      </c>
      <c r="G1179" s="3">
        <f t="shared" si="512"/>
        <v>43943</v>
      </c>
      <c r="H1179" s="2">
        <f t="shared" ca="1" si="513"/>
        <v>310</v>
      </c>
      <c r="I1179" t="str">
        <f t="shared" si="514"/>
        <v>USD/CHF</v>
      </c>
      <c r="J1179">
        <f t="shared" si="515"/>
        <v>0.95</v>
      </c>
      <c r="K1179">
        <f t="shared" si="516"/>
        <v>0.98</v>
      </c>
      <c r="L1179">
        <f t="shared" si="517"/>
        <v>0.96499999999999997</v>
      </c>
      <c r="M1179">
        <f t="shared" si="518"/>
        <v>1.5000000000000013E-2</v>
      </c>
      <c r="N1179">
        <f t="shared" si="508"/>
        <v>3.0000000000000027E-2</v>
      </c>
      <c r="O1179">
        <f t="shared" si="519"/>
        <v>0.97</v>
      </c>
      <c r="P1179">
        <f t="shared" si="520"/>
        <v>0.33333333333333331</v>
      </c>
      <c r="Q1179" t="str">
        <f t="shared" si="509"/>
        <v>2.06% | 1.03%</v>
      </c>
      <c r="R1179" t="str">
        <f t="shared" si="521"/>
        <v>NEUTRAL</v>
      </c>
      <c r="S1179">
        <f t="shared" si="510"/>
        <v>0</v>
      </c>
    </row>
    <row r="1180" spans="1:19" hidden="1" x14ac:dyDescent="0.25">
      <c r="A1180" s="5" t="str">
        <f t="shared" si="507"/>
        <v>43943WTIC</v>
      </c>
      <c r="B1180" s="6" t="s">
        <v>23</v>
      </c>
      <c r="C1180" s="6">
        <v>10.57</v>
      </c>
      <c r="D1180" s="6">
        <v>20.420000000000002</v>
      </c>
      <c r="E1180" s="6">
        <v>11.57</v>
      </c>
      <c r="F1180" t="str">
        <f t="shared" si="511"/>
        <v>WED</v>
      </c>
      <c r="G1180" s="3">
        <f t="shared" si="512"/>
        <v>43943</v>
      </c>
      <c r="H1180" s="2">
        <f t="shared" ca="1" si="513"/>
        <v>310</v>
      </c>
      <c r="I1180" t="str">
        <f t="shared" si="514"/>
        <v>WTIC</v>
      </c>
      <c r="J1180">
        <f t="shared" si="515"/>
        <v>10.57</v>
      </c>
      <c r="K1180">
        <f t="shared" si="516"/>
        <v>20.420000000000002</v>
      </c>
      <c r="L1180">
        <f t="shared" si="517"/>
        <v>15.495000000000001</v>
      </c>
      <c r="M1180">
        <f t="shared" si="518"/>
        <v>4.9250000000000007</v>
      </c>
      <c r="N1180">
        <f t="shared" si="508"/>
        <v>9.8500000000000014</v>
      </c>
      <c r="O1180">
        <f t="shared" si="519"/>
        <v>11.57</v>
      </c>
      <c r="P1180">
        <f t="shared" si="520"/>
        <v>-0.79695431472081224</v>
      </c>
      <c r="Q1180" t="str">
        <f t="shared" si="509"/>
        <v>8.64% | 76.49%</v>
      </c>
      <c r="R1180" t="str">
        <f t="shared" si="521"/>
        <v>BEARISH</v>
      </c>
      <c r="S1180">
        <f t="shared" si="510"/>
        <v>-1</v>
      </c>
    </row>
    <row r="1181" spans="1:19" hidden="1" x14ac:dyDescent="0.25">
      <c r="A1181" s="5" t="str">
        <f t="shared" si="507"/>
        <v>43943NATGAS</v>
      </c>
      <c r="B1181" s="6" t="s">
        <v>24</v>
      </c>
      <c r="C1181" s="6">
        <v>1.56</v>
      </c>
      <c r="D1181" s="6">
        <v>1.95</v>
      </c>
      <c r="E1181" s="6">
        <v>1.82</v>
      </c>
      <c r="F1181" t="str">
        <f t="shared" si="511"/>
        <v>WED</v>
      </c>
      <c r="G1181" s="3">
        <f t="shared" si="512"/>
        <v>43943</v>
      </c>
      <c r="H1181" s="2">
        <f t="shared" ca="1" si="513"/>
        <v>310</v>
      </c>
      <c r="I1181" t="str">
        <f t="shared" si="514"/>
        <v>NATGAS</v>
      </c>
      <c r="J1181">
        <f t="shared" si="515"/>
        <v>1.56</v>
      </c>
      <c r="K1181">
        <f t="shared" si="516"/>
        <v>1.95</v>
      </c>
      <c r="L1181">
        <f t="shared" si="517"/>
        <v>1.7549999999999999</v>
      </c>
      <c r="M1181">
        <f t="shared" si="518"/>
        <v>0.19500000000000164</v>
      </c>
      <c r="N1181">
        <f t="shared" si="508"/>
        <v>0.3899999999999999</v>
      </c>
      <c r="O1181">
        <f t="shared" si="519"/>
        <v>1.82</v>
      </c>
      <c r="P1181">
        <f t="shared" si="520"/>
        <v>0.33333333333333137</v>
      </c>
      <c r="Q1181" t="str">
        <f t="shared" si="509"/>
        <v>14.29% | 7.14%</v>
      </c>
      <c r="R1181" t="str">
        <f t="shared" si="521"/>
        <v>BEARISH</v>
      </c>
      <c r="S1181">
        <f t="shared" si="510"/>
        <v>-1</v>
      </c>
    </row>
    <row r="1182" spans="1:19" hidden="1" x14ac:dyDescent="0.25">
      <c r="A1182" s="5" t="str">
        <f t="shared" si="507"/>
        <v>43943GOLD</v>
      </c>
      <c r="B1182" s="6" t="s">
        <v>25</v>
      </c>
      <c r="C1182" s="6">
        <v>1662</v>
      </c>
      <c r="D1182" s="6">
        <v>1789</v>
      </c>
      <c r="E1182" s="6">
        <v>1687</v>
      </c>
      <c r="F1182" t="str">
        <f t="shared" si="511"/>
        <v>WED</v>
      </c>
      <c r="G1182" s="3">
        <f t="shared" si="512"/>
        <v>43943</v>
      </c>
      <c r="H1182" s="2">
        <f t="shared" ca="1" si="513"/>
        <v>310</v>
      </c>
      <c r="I1182" t="str">
        <f t="shared" si="514"/>
        <v>GOLD</v>
      </c>
      <c r="J1182">
        <f t="shared" si="515"/>
        <v>1662</v>
      </c>
      <c r="K1182">
        <f t="shared" si="516"/>
        <v>1789</v>
      </c>
      <c r="L1182">
        <f t="shared" si="517"/>
        <v>1725.5</v>
      </c>
      <c r="M1182">
        <f t="shared" si="518"/>
        <v>63.5</v>
      </c>
      <c r="N1182">
        <f t="shared" si="508"/>
        <v>127</v>
      </c>
      <c r="O1182">
        <f t="shared" si="519"/>
        <v>1687</v>
      </c>
      <c r="P1182">
        <f t="shared" si="520"/>
        <v>-0.60629921259842523</v>
      </c>
      <c r="Q1182" t="str">
        <f t="shared" si="509"/>
        <v>1.48% | 6.05%</v>
      </c>
      <c r="R1182" t="str">
        <f t="shared" si="521"/>
        <v>BULLISH</v>
      </c>
      <c r="S1182">
        <f t="shared" si="510"/>
        <v>1</v>
      </c>
    </row>
    <row r="1183" spans="1:19" hidden="1" x14ac:dyDescent="0.25">
      <c r="A1183" s="5" t="str">
        <f t="shared" si="507"/>
        <v>43943COPPER</v>
      </c>
      <c r="B1183" s="6" t="s">
        <v>26</v>
      </c>
      <c r="C1183" s="6">
        <v>2.2000000000000002</v>
      </c>
      <c r="D1183" s="6">
        <v>2.37</v>
      </c>
      <c r="E1183" s="6">
        <v>2.23</v>
      </c>
      <c r="F1183" t="str">
        <f t="shared" si="511"/>
        <v>WED</v>
      </c>
      <c r="G1183" s="3">
        <f t="shared" si="512"/>
        <v>43943</v>
      </c>
      <c r="H1183" s="2">
        <f t="shared" ca="1" si="513"/>
        <v>310</v>
      </c>
      <c r="I1183" t="str">
        <f t="shared" si="514"/>
        <v>COPPER</v>
      </c>
      <c r="J1183">
        <f t="shared" si="515"/>
        <v>2.2000000000000002</v>
      </c>
      <c r="K1183">
        <f t="shared" si="516"/>
        <v>2.37</v>
      </c>
      <c r="L1183">
        <f t="shared" si="517"/>
        <v>2.2850000000000001</v>
      </c>
      <c r="M1183">
        <f t="shared" si="518"/>
        <v>8.4999999999999964E-2</v>
      </c>
      <c r="N1183">
        <f t="shared" si="508"/>
        <v>0.16999999999999993</v>
      </c>
      <c r="O1183">
        <f t="shared" si="519"/>
        <v>2.23</v>
      </c>
      <c r="P1183">
        <f t="shared" si="520"/>
        <v>-0.64705882352941391</v>
      </c>
      <c r="Q1183" t="str">
        <f t="shared" si="509"/>
        <v>1.35% | 6.28%</v>
      </c>
      <c r="R1183" t="str">
        <f t="shared" si="521"/>
        <v>BEARISH</v>
      </c>
      <c r="S1183">
        <f t="shared" si="510"/>
        <v>-1</v>
      </c>
    </row>
    <row r="1184" spans="1:19" hidden="1" x14ac:dyDescent="0.25">
      <c r="A1184" s="5" t="str">
        <f t="shared" si="507"/>
        <v>43943MSFT</v>
      </c>
      <c r="B1184" s="6" t="s">
        <v>27</v>
      </c>
      <c r="C1184" s="6">
        <v>161</v>
      </c>
      <c r="D1184" s="6">
        <v>181</v>
      </c>
      <c r="E1184" s="6">
        <v>167</v>
      </c>
      <c r="F1184" t="str">
        <f t="shared" si="511"/>
        <v>WED</v>
      </c>
      <c r="G1184" s="3">
        <f t="shared" si="512"/>
        <v>43943</v>
      </c>
      <c r="H1184" s="2">
        <f t="shared" ca="1" si="513"/>
        <v>310</v>
      </c>
      <c r="I1184" t="str">
        <f t="shared" si="514"/>
        <v>MSFT</v>
      </c>
      <c r="J1184">
        <f t="shared" si="515"/>
        <v>161</v>
      </c>
      <c r="K1184">
        <f t="shared" si="516"/>
        <v>181</v>
      </c>
      <c r="L1184">
        <f t="shared" si="517"/>
        <v>171</v>
      </c>
      <c r="M1184">
        <f t="shared" si="518"/>
        <v>10</v>
      </c>
      <c r="N1184">
        <f t="shared" si="508"/>
        <v>20</v>
      </c>
      <c r="O1184">
        <f t="shared" si="519"/>
        <v>167</v>
      </c>
      <c r="P1184">
        <f t="shared" si="520"/>
        <v>-0.4</v>
      </c>
      <c r="Q1184" t="str">
        <f t="shared" si="509"/>
        <v>3.59% | 8.38%</v>
      </c>
      <c r="R1184" t="str">
        <f t="shared" si="521"/>
        <v>BULLISH</v>
      </c>
      <c r="S1184">
        <f t="shared" si="510"/>
        <v>1</v>
      </c>
    </row>
    <row r="1185" spans="1:19" hidden="1" x14ac:dyDescent="0.25">
      <c r="A1185" s="5" t="str">
        <f t="shared" si="507"/>
        <v>43943AAPL</v>
      </c>
      <c r="B1185" s="6" t="s">
        <v>68</v>
      </c>
      <c r="C1185" s="6">
        <v>258</v>
      </c>
      <c r="D1185" s="6">
        <v>293</v>
      </c>
      <c r="E1185" s="6">
        <v>268</v>
      </c>
      <c r="F1185" t="str">
        <f t="shared" si="511"/>
        <v>WED</v>
      </c>
      <c r="G1185" s="3">
        <f t="shared" si="512"/>
        <v>43943</v>
      </c>
      <c r="H1185" s="2">
        <f t="shared" ca="1" si="513"/>
        <v>310</v>
      </c>
      <c r="I1185" t="str">
        <f t="shared" si="514"/>
        <v>AAPL</v>
      </c>
      <c r="J1185">
        <f t="shared" si="515"/>
        <v>258</v>
      </c>
      <c r="K1185">
        <f t="shared" si="516"/>
        <v>293</v>
      </c>
      <c r="L1185">
        <f t="shared" si="517"/>
        <v>275.5</v>
      </c>
      <c r="M1185">
        <f t="shared" si="518"/>
        <v>17.5</v>
      </c>
      <c r="N1185">
        <f t="shared" si="508"/>
        <v>35</v>
      </c>
      <c r="O1185">
        <f t="shared" si="519"/>
        <v>268</v>
      </c>
      <c r="P1185">
        <f t="shared" si="520"/>
        <v>-0.42857142857142855</v>
      </c>
      <c r="Q1185" t="str">
        <f t="shared" si="509"/>
        <v>3.73% | 9.33%</v>
      </c>
      <c r="R1185" t="str">
        <f t="shared" si="521"/>
        <v>BEARISH</v>
      </c>
      <c r="S1185">
        <f t="shared" si="510"/>
        <v>-1</v>
      </c>
    </row>
    <row r="1186" spans="1:19" hidden="1" x14ac:dyDescent="0.25">
      <c r="A1186" s="5" t="str">
        <f t="shared" si="507"/>
        <v>43943AMZN</v>
      </c>
      <c r="B1186" s="6" t="s">
        <v>29</v>
      </c>
      <c r="C1186" s="6">
        <v>2241</v>
      </c>
      <c r="D1186" s="6">
        <v>2532</v>
      </c>
      <c r="E1186" s="6">
        <v>2328</v>
      </c>
      <c r="F1186" t="str">
        <f t="shared" si="511"/>
        <v>WED</v>
      </c>
      <c r="G1186" s="3">
        <f t="shared" si="512"/>
        <v>43943</v>
      </c>
      <c r="H1186" s="2">
        <f t="shared" ca="1" si="513"/>
        <v>310</v>
      </c>
      <c r="I1186" t="str">
        <f t="shared" si="514"/>
        <v>AMZN</v>
      </c>
      <c r="J1186">
        <f t="shared" si="515"/>
        <v>2241</v>
      </c>
      <c r="K1186">
        <f t="shared" si="516"/>
        <v>2532</v>
      </c>
      <c r="L1186">
        <f t="shared" si="517"/>
        <v>2386.5</v>
      </c>
      <c r="M1186">
        <f t="shared" si="518"/>
        <v>145.5</v>
      </c>
      <c r="N1186">
        <f t="shared" si="508"/>
        <v>291</v>
      </c>
      <c r="O1186">
        <f t="shared" si="519"/>
        <v>2328</v>
      </c>
      <c r="P1186">
        <f t="shared" si="520"/>
        <v>-0.40206185567010311</v>
      </c>
      <c r="Q1186" t="str">
        <f t="shared" si="509"/>
        <v>3.74% | 8.76%</v>
      </c>
      <c r="R1186" t="str">
        <f t="shared" si="521"/>
        <v>BULLISH</v>
      </c>
      <c r="S1186">
        <f t="shared" si="510"/>
        <v>1</v>
      </c>
    </row>
    <row r="1187" spans="1:19" hidden="1" x14ac:dyDescent="0.25">
      <c r="A1187" s="5" t="str">
        <f t="shared" si="507"/>
        <v>43943FB</v>
      </c>
      <c r="B1187" s="6" t="s">
        <v>58</v>
      </c>
      <c r="C1187" s="6">
        <v>161</v>
      </c>
      <c r="D1187" s="6">
        <v>181</v>
      </c>
      <c r="E1187" s="6">
        <v>170</v>
      </c>
      <c r="F1187" t="str">
        <f t="shared" si="511"/>
        <v>WED</v>
      </c>
      <c r="G1187" s="3">
        <f t="shared" si="512"/>
        <v>43943</v>
      </c>
      <c r="H1187" s="2">
        <f t="shared" ca="1" si="513"/>
        <v>310</v>
      </c>
      <c r="I1187" t="str">
        <f t="shared" si="514"/>
        <v>FB</v>
      </c>
      <c r="J1187">
        <f t="shared" si="515"/>
        <v>161</v>
      </c>
      <c r="K1187">
        <f t="shared" si="516"/>
        <v>181</v>
      </c>
      <c r="L1187">
        <f t="shared" si="517"/>
        <v>171</v>
      </c>
      <c r="M1187">
        <f t="shared" si="518"/>
        <v>10</v>
      </c>
      <c r="N1187">
        <f t="shared" si="508"/>
        <v>20</v>
      </c>
      <c r="O1187">
        <f t="shared" si="519"/>
        <v>170</v>
      </c>
      <c r="P1187">
        <f t="shared" si="520"/>
        <v>-0.1</v>
      </c>
      <c r="Q1187" t="str">
        <f t="shared" si="509"/>
        <v>5.29% | 6.47%</v>
      </c>
      <c r="R1187" t="str">
        <f t="shared" si="521"/>
        <v>BEARISH</v>
      </c>
      <c r="S1187">
        <f t="shared" si="510"/>
        <v>-1</v>
      </c>
    </row>
    <row r="1188" spans="1:19" hidden="1" x14ac:dyDescent="0.25">
      <c r="A1188" s="5" t="str">
        <f t="shared" si="507"/>
        <v>43943GOOGL</v>
      </c>
      <c r="B1188" s="6" t="s">
        <v>66</v>
      </c>
      <c r="C1188" s="6">
        <v>1171</v>
      </c>
      <c r="D1188" s="6">
        <v>1271</v>
      </c>
      <c r="E1188" s="6">
        <v>1212</v>
      </c>
      <c r="F1188" t="str">
        <f t="shared" si="511"/>
        <v>WED</v>
      </c>
      <c r="G1188" s="3">
        <f t="shared" si="512"/>
        <v>43943</v>
      </c>
      <c r="H1188" s="2">
        <f t="shared" ca="1" si="513"/>
        <v>310</v>
      </c>
      <c r="I1188" t="str">
        <f t="shared" si="514"/>
        <v>GOOGL</v>
      </c>
      <c r="J1188">
        <f t="shared" si="515"/>
        <v>1171</v>
      </c>
      <c r="K1188">
        <f t="shared" si="516"/>
        <v>1271</v>
      </c>
      <c r="L1188">
        <f t="shared" si="517"/>
        <v>1221</v>
      </c>
      <c r="M1188">
        <f t="shared" si="518"/>
        <v>50</v>
      </c>
      <c r="N1188">
        <f t="shared" si="508"/>
        <v>100</v>
      </c>
      <c r="O1188">
        <f t="shared" si="519"/>
        <v>1212</v>
      </c>
      <c r="P1188">
        <f t="shared" si="520"/>
        <v>-0.18</v>
      </c>
      <c r="Q1188" t="str">
        <f t="shared" si="509"/>
        <v>3.38% | 4.87%</v>
      </c>
      <c r="R1188" t="str">
        <f t="shared" si="521"/>
        <v>BEARISH</v>
      </c>
      <c r="S1188">
        <f t="shared" si="510"/>
        <v>-1</v>
      </c>
    </row>
    <row r="1189" spans="1:19" hidden="1" x14ac:dyDescent="0.25">
      <c r="A1189" s="5" t="str">
        <f t="shared" si="507"/>
        <v>43943NFLX</v>
      </c>
      <c r="B1189" s="6" t="s">
        <v>32</v>
      </c>
      <c r="C1189" s="6">
        <v>386</v>
      </c>
      <c r="D1189" s="6">
        <v>470</v>
      </c>
      <c r="E1189" s="6">
        <v>433</v>
      </c>
      <c r="F1189" t="str">
        <f t="shared" si="511"/>
        <v>WED</v>
      </c>
      <c r="G1189" s="3">
        <f t="shared" si="512"/>
        <v>43943</v>
      </c>
      <c r="H1189" s="2">
        <f t="shared" ca="1" si="513"/>
        <v>310</v>
      </c>
      <c r="I1189" t="str">
        <f t="shared" si="514"/>
        <v>NFLX</v>
      </c>
      <c r="J1189">
        <f t="shared" si="515"/>
        <v>386</v>
      </c>
      <c r="K1189">
        <f t="shared" si="516"/>
        <v>470</v>
      </c>
      <c r="L1189">
        <f t="shared" si="517"/>
        <v>428</v>
      </c>
      <c r="M1189">
        <f t="shared" si="518"/>
        <v>42</v>
      </c>
      <c r="N1189">
        <f t="shared" si="508"/>
        <v>84</v>
      </c>
      <c r="O1189">
        <f t="shared" si="519"/>
        <v>433</v>
      </c>
      <c r="P1189">
        <f t="shared" si="520"/>
        <v>0.11904761904761904</v>
      </c>
      <c r="Q1189" t="str">
        <f t="shared" si="509"/>
        <v>10.85% | 8.55%</v>
      </c>
      <c r="R1189" t="str">
        <f t="shared" si="521"/>
        <v>BULLISH</v>
      </c>
      <c r="S1189">
        <f t="shared" si="510"/>
        <v>1</v>
      </c>
    </row>
    <row r="1190" spans="1:19" x14ac:dyDescent="0.25">
      <c r="A1190" s="5" t="str">
        <f t="shared" si="507"/>
        <v>43943TSLA</v>
      </c>
      <c r="B1190" s="6" t="s">
        <v>33</v>
      </c>
      <c r="C1190" s="6">
        <v>540</v>
      </c>
      <c r="D1190" s="6">
        <v>832</v>
      </c>
      <c r="E1190" s="6">
        <v>686</v>
      </c>
      <c r="F1190" t="str">
        <f t="shared" si="511"/>
        <v>WED</v>
      </c>
      <c r="G1190" s="3">
        <f t="shared" si="512"/>
        <v>43943</v>
      </c>
      <c r="H1190" s="2">
        <f t="shared" ca="1" si="513"/>
        <v>310</v>
      </c>
      <c r="I1190" t="str">
        <f t="shared" si="514"/>
        <v>TSLA</v>
      </c>
      <c r="J1190">
        <f t="shared" si="515"/>
        <v>540</v>
      </c>
      <c r="K1190">
        <f t="shared" si="516"/>
        <v>832</v>
      </c>
      <c r="L1190">
        <f t="shared" si="517"/>
        <v>686</v>
      </c>
      <c r="M1190">
        <f t="shared" si="518"/>
        <v>146</v>
      </c>
      <c r="N1190">
        <f t="shared" si="508"/>
        <v>292</v>
      </c>
      <c r="O1190">
        <f t="shared" si="519"/>
        <v>686</v>
      </c>
      <c r="P1190">
        <f t="shared" si="520"/>
        <v>0</v>
      </c>
      <c r="Q1190" t="str">
        <f t="shared" si="509"/>
        <v>21.28% | 21.28%</v>
      </c>
      <c r="R1190" t="str">
        <f t="shared" si="521"/>
        <v>BULLISH</v>
      </c>
      <c r="S1190">
        <f t="shared" si="510"/>
        <v>1</v>
      </c>
    </row>
    <row r="1191" spans="1:19" hidden="1" x14ac:dyDescent="0.25">
      <c r="A1191" s="5" t="str">
        <f t="shared" si="507"/>
        <v>43943NYXBT</v>
      </c>
      <c r="B1191" s="6" t="s">
        <v>84</v>
      </c>
      <c r="C1191" s="6">
        <v>6493</v>
      </c>
      <c r="D1191" s="6">
        <v>7399</v>
      </c>
      <c r="E1191" s="6">
        <v>6854</v>
      </c>
      <c r="F1191" t="str">
        <f t="shared" si="511"/>
        <v>WED</v>
      </c>
      <c r="G1191" s="3">
        <f t="shared" si="512"/>
        <v>43943</v>
      </c>
      <c r="H1191" s="2">
        <f t="shared" ca="1" si="513"/>
        <v>310</v>
      </c>
      <c r="I1191" t="str">
        <f t="shared" si="514"/>
        <v>NYXBT</v>
      </c>
      <c r="J1191">
        <f t="shared" si="515"/>
        <v>6493</v>
      </c>
      <c r="K1191">
        <f t="shared" si="516"/>
        <v>7399</v>
      </c>
      <c r="L1191">
        <f t="shared" si="517"/>
        <v>6946</v>
      </c>
      <c r="M1191">
        <f t="shared" si="518"/>
        <v>453</v>
      </c>
      <c r="N1191">
        <f t="shared" si="508"/>
        <v>906</v>
      </c>
      <c r="O1191">
        <f t="shared" si="519"/>
        <v>6854</v>
      </c>
      <c r="P1191">
        <f t="shared" si="520"/>
        <v>-0.20309050772626933</v>
      </c>
      <c r="Q1191" t="str">
        <f t="shared" si="509"/>
        <v>5.27% | 7.95%</v>
      </c>
      <c r="R1191" t="str">
        <f t="shared" si="521"/>
        <v>BEARISH</v>
      </c>
      <c r="S1191">
        <f t="shared" si="510"/>
        <v>-1</v>
      </c>
    </row>
    <row r="1192" spans="1:19" hidden="1" x14ac:dyDescent="0.25">
      <c r="A1192" s="5" t="str">
        <f t="shared" si="507"/>
        <v>43944UST10Y</v>
      </c>
      <c r="B1192" s="6" t="s">
        <v>4</v>
      </c>
      <c r="C1192" s="6">
        <v>0.77</v>
      </c>
      <c r="D1192" s="6">
        <v>0.53</v>
      </c>
      <c r="E1192" s="6">
        <v>0.63</v>
      </c>
      <c r="F1192" t="str">
        <f t="shared" si="511"/>
        <v>THU</v>
      </c>
      <c r="G1192" s="1">
        <f>DATE(2020,4,23)</f>
        <v>43944</v>
      </c>
      <c r="H1192" s="2">
        <f t="shared" ca="1" si="513"/>
        <v>309</v>
      </c>
      <c r="I1192" t="str">
        <f t="shared" si="514"/>
        <v>UST10Y</v>
      </c>
      <c r="J1192">
        <f t="shared" si="515"/>
        <v>0.77</v>
      </c>
      <c r="K1192">
        <f t="shared" si="516"/>
        <v>0.53</v>
      </c>
      <c r="L1192">
        <f t="shared" si="517"/>
        <v>0.65</v>
      </c>
      <c r="M1192">
        <f t="shared" si="518"/>
        <v>0.11999999999999987</v>
      </c>
      <c r="N1192">
        <f t="shared" si="508"/>
        <v>0.24</v>
      </c>
      <c r="O1192">
        <f t="shared" si="519"/>
        <v>0.63</v>
      </c>
      <c r="P1192">
        <f t="shared" si="520"/>
        <v>-0.16666666666666699</v>
      </c>
      <c r="Q1192" t="str">
        <f t="shared" si="509"/>
        <v>22.22% | 15.87%</v>
      </c>
      <c r="R1192" t="str">
        <f t="shared" si="521"/>
        <v>BEARISH</v>
      </c>
      <c r="S1192">
        <f t="shared" si="510"/>
        <v>-1</v>
      </c>
    </row>
    <row r="1193" spans="1:19" hidden="1" x14ac:dyDescent="0.25">
      <c r="A1193" s="5" t="str">
        <f t="shared" si="507"/>
        <v>43944UST2Y</v>
      </c>
      <c r="B1193" s="6" t="s">
        <v>5</v>
      </c>
      <c r="C1193" s="6">
        <v>0.26</v>
      </c>
      <c r="D1193" s="6">
        <v>0.17</v>
      </c>
      <c r="E1193" s="6">
        <v>0.22</v>
      </c>
      <c r="F1193" t="str">
        <f t="shared" ref="F1193:F1223" si="522">UPPER(TEXT(G1193,"ddd"))</f>
        <v>THU</v>
      </c>
      <c r="G1193" s="1">
        <f t="shared" ref="G1193:G1222" si="523">DATE(2020,4,23)</f>
        <v>43944</v>
      </c>
      <c r="H1193" s="2">
        <f t="shared" ref="H1193:H1223" ca="1" si="524">TODAY()-G1193</f>
        <v>309</v>
      </c>
      <c r="I1193" t="str">
        <f t="shared" ref="I1193:I1223" si="525">TRIM(LEFT(B1193,FIND(" ",B1193,1)))</f>
        <v>UST2Y</v>
      </c>
      <c r="J1193">
        <f t="shared" ref="J1193:J1223" si="526">C1193</f>
        <v>0.26</v>
      </c>
      <c r="K1193">
        <f t="shared" ref="K1193:K1223" si="527">D1193</f>
        <v>0.17</v>
      </c>
      <c r="L1193">
        <f t="shared" ref="L1193:L1223" si="528">AVERAGE(J1193:K1193)</f>
        <v>0.21500000000000002</v>
      </c>
      <c r="M1193">
        <f t="shared" ref="M1193:M1223" si="529">_xlfn.STDEV.P(J1193:K1193)</f>
        <v>4.4999999999999991E-2</v>
      </c>
      <c r="N1193">
        <f t="shared" si="508"/>
        <v>0.09</v>
      </c>
      <c r="O1193">
        <f t="shared" ref="O1193:O1223" si="530">E1193</f>
        <v>0.22</v>
      </c>
      <c r="P1193">
        <f t="shared" ref="P1193:P1223" si="531">(O1193-L1193)/M1193</f>
        <v>0.11111111111111062</v>
      </c>
      <c r="Q1193" t="str">
        <f t="shared" si="509"/>
        <v>18.18% | 22.73%</v>
      </c>
      <c r="R1193" t="str">
        <f t="shared" ref="R1193:R1223" si="532">MID(B1193,FIND("(",B1193,1)+1,FIND(")",B1193,1)-FIND("(",B1193,1)-1)</f>
        <v>BEARISH</v>
      </c>
      <c r="S1193">
        <f t="shared" si="510"/>
        <v>-1</v>
      </c>
    </row>
    <row r="1194" spans="1:19" hidden="1" x14ac:dyDescent="0.25">
      <c r="A1194" s="5" t="str">
        <f t="shared" si="507"/>
        <v>43944SPX</v>
      </c>
      <c r="B1194" s="6" t="s">
        <v>6</v>
      </c>
      <c r="C1194" s="6">
        <v>2712</v>
      </c>
      <c r="D1194" s="6">
        <v>2887</v>
      </c>
      <c r="E1194" s="6">
        <v>2799</v>
      </c>
      <c r="F1194" t="str">
        <f t="shared" si="522"/>
        <v>THU</v>
      </c>
      <c r="G1194" s="1">
        <f t="shared" si="523"/>
        <v>43944</v>
      </c>
      <c r="H1194" s="2">
        <f t="shared" ca="1" si="524"/>
        <v>309</v>
      </c>
      <c r="I1194" t="str">
        <f t="shared" si="525"/>
        <v>SPX</v>
      </c>
      <c r="J1194">
        <f t="shared" si="526"/>
        <v>2712</v>
      </c>
      <c r="K1194">
        <f t="shared" si="527"/>
        <v>2887</v>
      </c>
      <c r="L1194">
        <f t="shared" si="528"/>
        <v>2799.5</v>
      </c>
      <c r="M1194">
        <f t="shared" si="529"/>
        <v>87.5</v>
      </c>
      <c r="N1194">
        <f t="shared" si="508"/>
        <v>175</v>
      </c>
      <c r="O1194">
        <f t="shared" si="530"/>
        <v>2799</v>
      </c>
      <c r="P1194">
        <f t="shared" si="531"/>
        <v>-5.7142857142857143E-3</v>
      </c>
      <c r="Q1194" t="str">
        <f t="shared" si="509"/>
        <v>3.11% | 3.14%</v>
      </c>
      <c r="R1194" t="str">
        <f t="shared" si="532"/>
        <v>BEARISH</v>
      </c>
      <c r="S1194">
        <f t="shared" si="510"/>
        <v>-1</v>
      </c>
    </row>
    <row r="1195" spans="1:19" hidden="1" x14ac:dyDescent="0.25">
      <c r="A1195" s="5" t="str">
        <f t="shared" si="507"/>
        <v>43944RUT</v>
      </c>
      <c r="B1195" s="6" t="s">
        <v>7</v>
      </c>
      <c r="C1195" s="6">
        <v>1150</v>
      </c>
      <c r="D1195" s="6">
        <v>1247</v>
      </c>
      <c r="E1195" s="6">
        <v>1201</v>
      </c>
      <c r="F1195" t="str">
        <f t="shared" si="522"/>
        <v>THU</v>
      </c>
      <c r="G1195" s="1">
        <f t="shared" si="523"/>
        <v>43944</v>
      </c>
      <c r="H1195" s="2">
        <f t="shared" ca="1" si="524"/>
        <v>309</v>
      </c>
      <c r="I1195" t="str">
        <f t="shared" si="525"/>
        <v>RUT</v>
      </c>
      <c r="J1195">
        <f t="shared" si="526"/>
        <v>1150</v>
      </c>
      <c r="K1195">
        <f t="shared" si="527"/>
        <v>1247</v>
      </c>
      <c r="L1195">
        <f t="shared" si="528"/>
        <v>1198.5</v>
      </c>
      <c r="M1195">
        <f t="shared" si="529"/>
        <v>48.5</v>
      </c>
      <c r="N1195">
        <f t="shared" si="508"/>
        <v>97</v>
      </c>
      <c r="O1195">
        <f t="shared" si="530"/>
        <v>1201</v>
      </c>
      <c r="P1195">
        <f t="shared" si="531"/>
        <v>5.1546391752577317E-2</v>
      </c>
      <c r="Q1195" t="str">
        <f t="shared" si="509"/>
        <v>4.25% | 3.83%</v>
      </c>
      <c r="R1195" t="str">
        <f t="shared" si="532"/>
        <v>BEARISH</v>
      </c>
      <c r="S1195">
        <f t="shared" si="510"/>
        <v>-1</v>
      </c>
    </row>
    <row r="1196" spans="1:19" hidden="1" x14ac:dyDescent="0.25">
      <c r="A1196" s="5" t="str">
        <f t="shared" si="507"/>
        <v>43944COMPQ</v>
      </c>
      <c r="B1196" s="6" t="s">
        <v>61</v>
      </c>
      <c r="C1196" s="6">
        <v>8035</v>
      </c>
      <c r="D1196" s="6">
        <v>8759</v>
      </c>
      <c r="E1196" s="6">
        <v>8495</v>
      </c>
      <c r="F1196" t="str">
        <f t="shared" si="522"/>
        <v>THU</v>
      </c>
      <c r="G1196" s="1">
        <f t="shared" si="523"/>
        <v>43944</v>
      </c>
      <c r="H1196" s="2">
        <f t="shared" ca="1" si="524"/>
        <v>309</v>
      </c>
      <c r="I1196" t="str">
        <f t="shared" si="525"/>
        <v>COMPQ</v>
      </c>
      <c r="J1196">
        <f t="shared" si="526"/>
        <v>8035</v>
      </c>
      <c r="K1196">
        <f t="shared" si="527"/>
        <v>8759</v>
      </c>
      <c r="L1196">
        <f t="shared" si="528"/>
        <v>8397</v>
      </c>
      <c r="M1196">
        <f t="shared" si="529"/>
        <v>362</v>
      </c>
      <c r="N1196">
        <f t="shared" si="508"/>
        <v>724</v>
      </c>
      <c r="O1196">
        <f t="shared" si="530"/>
        <v>8495</v>
      </c>
      <c r="P1196">
        <f t="shared" si="531"/>
        <v>0.27071823204419887</v>
      </c>
      <c r="Q1196" t="str">
        <f t="shared" si="509"/>
        <v>5.41% | 3.11%</v>
      </c>
      <c r="R1196" t="str">
        <f t="shared" si="532"/>
        <v>NEUTRAL</v>
      </c>
      <c r="S1196">
        <f t="shared" si="510"/>
        <v>0</v>
      </c>
    </row>
    <row r="1197" spans="1:19" hidden="1" x14ac:dyDescent="0.25">
      <c r="A1197" s="5" t="str">
        <f t="shared" si="507"/>
        <v>43944XLP</v>
      </c>
      <c r="B1197" s="6" t="s">
        <v>54</v>
      </c>
      <c r="C1197" s="6">
        <v>56.88</v>
      </c>
      <c r="D1197" s="6">
        <v>61.08</v>
      </c>
      <c r="E1197" s="6">
        <v>58.61</v>
      </c>
      <c r="F1197" t="str">
        <f t="shared" si="522"/>
        <v>THU</v>
      </c>
      <c r="G1197" s="1">
        <f t="shared" si="523"/>
        <v>43944</v>
      </c>
      <c r="H1197" s="2">
        <f t="shared" ca="1" si="524"/>
        <v>309</v>
      </c>
      <c r="I1197" t="str">
        <f t="shared" si="525"/>
        <v>XLP</v>
      </c>
      <c r="J1197">
        <f t="shared" si="526"/>
        <v>56.88</v>
      </c>
      <c r="K1197">
        <f t="shared" si="527"/>
        <v>61.08</v>
      </c>
      <c r="L1197">
        <f t="shared" si="528"/>
        <v>58.980000000000004</v>
      </c>
      <c r="M1197">
        <f t="shared" si="529"/>
        <v>2.0999999999999979</v>
      </c>
      <c r="N1197">
        <f t="shared" si="508"/>
        <v>4.1999999999999957</v>
      </c>
      <c r="O1197">
        <f t="shared" si="530"/>
        <v>58.61</v>
      </c>
      <c r="P1197">
        <f t="shared" si="531"/>
        <v>-0.17619047619047853</v>
      </c>
      <c r="Q1197" t="str">
        <f t="shared" si="509"/>
        <v>2.95% | 4.21%</v>
      </c>
      <c r="R1197" t="str">
        <f t="shared" si="532"/>
        <v>BULLISH</v>
      </c>
      <c r="S1197">
        <f t="shared" si="510"/>
        <v>1</v>
      </c>
    </row>
    <row r="1198" spans="1:19" hidden="1" x14ac:dyDescent="0.25">
      <c r="A1198" s="5" t="str">
        <f t="shared" si="507"/>
        <v>43944XLV</v>
      </c>
      <c r="B1198" s="6" t="s">
        <v>9</v>
      </c>
      <c r="C1198" s="6">
        <v>93</v>
      </c>
      <c r="D1198" s="6">
        <v>102.01</v>
      </c>
      <c r="E1198" s="6">
        <v>98.42</v>
      </c>
      <c r="F1198" t="str">
        <f t="shared" si="522"/>
        <v>THU</v>
      </c>
      <c r="G1198" s="1">
        <f t="shared" si="523"/>
        <v>43944</v>
      </c>
      <c r="H1198" s="2">
        <f t="shared" ca="1" si="524"/>
        <v>309</v>
      </c>
      <c r="I1198" t="str">
        <f t="shared" si="525"/>
        <v>XLV</v>
      </c>
      <c r="J1198">
        <f t="shared" si="526"/>
        <v>93</v>
      </c>
      <c r="K1198">
        <f t="shared" si="527"/>
        <v>102.01</v>
      </c>
      <c r="L1198">
        <f t="shared" si="528"/>
        <v>97.504999999999995</v>
      </c>
      <c r="M1198">
        <f t="shared" si="529"/>
        <v>4.5050000000000026</v>
      </c>
      <c r="N1198">
        <f t="shared" si="508"/>
        <v>9.0100000000000051</v>
      </c>
      <c r="O1198">
        <f t="shared" si="530"/>
        <v>98.42</v>
      </c>
      <c r="P1198">
        <f t="shared" si="531"/>
        <v>0.20310765815760393</v>
      </c>
      <c r="Q1198" t="str">
        <f t="shared" si="509"/>
        <v>5.51% | 3.65%</v>
      </c>
      <c r="R1198" t="str">
        <f t="shared" si="532"/>
        <v>BULLISH</v>
      </c>
      <c r="S1198">
        <f t="shared" si="510"/>
        <v>1</v>
      </c>
    </row>
    <row r="1199" spans="1:19" hidden="1" x14ac:dyDescent="0.25">
      <c r="A1199" s="5" t="str">
        <f t="shared" si="507"/>
        <v>43944XLU</v>
      </c>
      <c r="B1199" s="6" t="s">
        <v>52</v>
      </c>
      <c r="C1199" s="6">
        <v>56.18</v>
      </c>
      <c r="D1199" s="6">
        <v>61.68</v>
      </c>
      <c r="E1199" s="6">
        <v>58.95</v>
      </c>
      <c r="F1199" t="str">
        <f t="shared" si="522"/>
        <v>THU</v>
      </c>
      <c r="G1199" s="1">
        <f t="shared" si="523"/>
        <v>43944</v>
      </c>
      <c r="H1199" s="2">
        <f t="shared" ca="1" si="524"/>
        <v>309</v>
      </c>
      <c r="I1199" t="str">
        <f t="shared" si="525"/>
        <v>XLU</v>
      </c>
      <c r="J1199">
        <f t="shared" si="526"/>
        <v>56.18</v>
      </c>
      <c r="K1199">
        <f t="shared" si="527"/>
        <v>61.68</v>
      </c>
      <c r="L1199">
        <f t="shared" si="528"/>
        <v>58.93</v>
      </c>
      <c r="M1199">
        <f t="shared" si="529"/>
        <v>2.75</v>
      </c>
      <c r="N1199">
        <f t="shared" si="508"/>
        <v>5.5</v>
      </c>
      <c r="O1199">
        <f t="shared" si="530"/>
        <v>58.95</v>
      </c>
      <c r="P1199">
        <f t="shared" si="531"/>
        <v>7.2727272727284098E-3</v>
      </c>
      <c r="Q1199" t="str">
        <f t="shared" si="509"/>
        <v>4.7% | 4.63%</v>
      </c>
      <c r="R1199" t="str">
        <f t="shared" si="532"/>
        <v>BULLISH</v>
      </c>
      <c r="S1199">
        <f t="shared" si="510"/>
        <v>1</v>
      </c>
    </row>
    <row r="1200" spans="1:19" hidden="1" x14ac:dyDescent="0.25">
      <c r="A1200" s="5" t="str">
        <f t="shared" si="507"/>
        <v>43944XLK</v>
      </c>
      <c r="B1200" s="6" t="s">
        <v>62</v>
      </c>
      <c r="C1200" s="6">
        <v>83.07</v>
      </c>
      <c r="D1200" s="6">
        <v>90.47</v>
      </c>
      <c r="E1200" s="6">
        <v>87.39</v>
      </c>
      <c r="F1200" t="str">
        <f t="shared" si="522"/>
        <v>THU</v>
      </c>
      <c r="G1200" s="1">
        <f t="shared" si="523"/>
        <v>43944</v>
      </c>
      <c r="H1200" s="2">
        <f t="shared" ca="1" si="524"/>
        <v>309</v>
      </c>
      <c r="I1200" t="str">
        <f t="shared" si="525"/>
        <v>XLK</v>
      </c>
      <c r="J1200">
        <f t="shared" si="526"/>
        <v>83.07</v>
      </c>
      <c r="K1200">
        <f t="shared" si="527"/>
        <v>90.47</v>
      </c>
      <c r="L1200">
        <f t="shared" si="528"/>
        <v>86.77</v>
      </c>
      <c r="M1200">
        <f t="shared" si="529"/>
        <v>3.7000000000000028</v>
      </c>
      <c r="N1200">
        <f t="shared" si="508"/>
        <v>7.4000000000000057</v>
      </c>
      <c r="O1200">
        <f t="shared" si="530"/>
        <v>87.39</v>
      </c>
      <c r="P1200">
        <f t="shared" si="531"/>
        <v>0.16756756756756866</v>
      </c>
      <c r="Q1200" t="str">
        <f t="shared" si="509"/>
        <v>4.94% | 3.52%</v>
      </c>
      <c r="R1200" t="str">
        <f t="shared" si="532"/>
        <v>NEUTRAL</v>
      </c>
      <c r="S1200">
        <f t="shared" si="510"/>
        <v>0</v>
      </c>
    </row>
    <row r="1201" spans="1:19" hidden="1" x14ac:dyDescent="0.25">
      <c r="A1201" s="5" t="str">
        <f t="shared" si="507"/>
        <v>43944XLF</v>
      </c>
      <c r="B1201" s="6" t="s">
        <v>12</v>
      </c>
      <c r="C1201" s="6">
        <v>20.03</v>
      </c>
      <c r="D1201" s="6">
        <v>23.45</v>
      </c>
      <c r="E1201" s="6">
        <v>21.52</v>
      </c>
      <c r="F1201" t="str">
        <f t="shared" si="522"/>
        <v>THU</v>
      </c>
      <c r="G1201" s="1">
        <f t="shared" si="523"/>
        <v>43944</v>
      </c>
      <c r="H1201" s="2">
        <f t="shared" ca="1" si="524"/>
        <v>309</v>
      </c>
      <c r="I1201" t="str">
        <f t="shared" si="525"/>
        <v>XLF</v>
      </c>
      <c r="J1201">
        <f t="shared" si="526"/>
        <v>20.03</v>
      </c>
      <c r="K1201">
        <f t="shared" si="527"/>
        <v>23.45</v>
      </c>
      <c r="L1201">
        <f t="shared" si="528"/>
        <v>21.740000000000002</v>
      </c>
      <c r="M1201">
        <f t="shared" si="529"/>
        <v>1.7099999999999991</v>
      </c>
      <c r="N1201">
        <f t="shared" si="508"/>
        <v>3.4199999999999982</v>
      </c>
      <c r="O1201">
        <f t="shared" si="530"/>
        <v>21.52</v>
      </c>
      <c r="P1201">
        <f t="shared" si="531"/>
        <v>-0.12865497076023541</v>
      </c>
      <c r="Q1201" t="str">
        <f t="shared" si="509"/>
        <v>6.92% | 8.97%</v>
      </c>
      <c r="R1201" t="str">
        <f t="shared" si="532"/>
        <v>BEARISH</v>
      </c>
      <c r="S1201">
        <f t="shared" si="510"/>
        <v>-1</v>
      </c>
    </row>
    <row r="1202" spans="1:19" hidden="1" x14ac:dyDescent="0.25">
      <c r="A1202" s="5" t="str">
        <f t="shared" si="507"/>
        <v>43944SSEC</v>
      </c>
      <c r="B1202" s="6" t="s">
        <v>14</v>
      </c>
      <c r="C1202" s="6">
        <v>2759</v>
      </c>
      <c r="D1202" s="6">
        <v>2864</v>
      </c>
      <c r="E1202" s="6">
        <v>2838</v>
      </c>
      <c r="F1202" t="str">
        <f t="shared" si="522"/>
        <v>THU</v>
      </c>
      <c r="G1202" s="1">
        <f t="shared" si="523"/>
        <v>43944</v>
      </c>
      <c r="H1202" s="2">
        <f t="shared" ca="1" si="524"/>
        <v>309</v>
      </c>
      <c r="I1202" t="str">
        <f t="shared" si="525"/>
        <v>SSEC</v>
      </c>
      <c r="J1202">
        <f t="shared" si="526"/>
        <v>2759</v>
      </c>
      <c r="K1202">
        <f t="shared" si="527"/>
        <v>2864</v>
      </c>
      <c r="L1202">
        <f t="shared" si="528"/>
        <v>2811.5</v>
      </c>
      <c r="M1202">
        <f t="shared" si="529"/>
        <v>52.5</v>
      </c>
      <c r="N1202">
        <f t="shared" si="508"/>
        <v>105</v>
      </c>
      <c r="O1202">
        <f t="shared" si="530"/>
        <v>2838</v>
      </c>
      <c r="P1202">
        <f t="shared" si="531"/>
        <v>0.50476190476190474</v>
      </c>
      <c r="Q1202" t="str">
        <f t="shared" si="509"/>
        <v>2.78% | 0.92%</v>
      </c>
      <c r="R1202" t="str">
        <f t="shared" si="532"/>
        <v>BEARISH</v>
      </c>
      <c r="S1202">
        <f t="shared" si="510"/>
        <v>-1</v>
      </c>
    </row>
    <row r="1203" spans="1:19" hidden="1" x14ac:dyDescent="0.25">
      <c r="A1203" s="5" t="str">
        <f t="shared" si="507"/>
        <v>43944NIKK</v>
      </c>
      <c r="B1203" s="6" t="s">
        <v>15</v>
      </c>
      <c r="C1203" s="6">
        <v>18823</v>
      </c>
      <c r="D1203" s="6">
        <v>19976</v>
      </c>
      <c r="E1203" s="6">
        <v>19429</v>
      </c>
      <c r="F1203" t="str">
        <f t="shared" si="522"/>
        <v>THU</v>
      </c>
      <c r="G1203" s="1">
        <f t="shared" si="523"/>
        <v>43944</v>
      </c>
      <c r="H1203" s="2">
        <f t="shared" ca="1" si="524"/>
        <v>309</v>
      </c>
      <c r="I1203" t="str">
        <f t="shared" si="525"/>
        <v>NIKK</v>
      </c>
      <c r="J1203">
        <f t="shared" si="526"/>
        <v>18823</v>
      </c>
      <c r="K1203">
        <f t="shared" si="527"/>
        <v>19976</v>
      </c>
      <c r="L1203">
        <f t="shared" si="528"/>
        <v>19399.5</v>
      </c>
      <c r="M1203">
        <f t="shared" si="529"/>
        <v>576.5</v>
      </c>
      <c r="N1203">
        <f t="shared" si="508"/>
        <v>1153</v>
      </c>
      <c r="O1203">
        <f t="shared" si="530"/>
        <v>19429</v>
      </c>
      <c r="P1203">
        <f t="shared" si="531"/>
        <v>5.1170858629661753E-2</v>
      </c>
      <c r="Q1203" t="str">
        <f t="shared" si="509"/>
        <v>3.12% | 2.82%</v>
      </c>
      <c r="R1203" t="str">
        <f t="shared" si="532"/>
        <v>BEARISH</v>
      </c>
      <c r="S1203">
        <f t="shared" si="510"/>
        <v>-1</v>
      </c>
    </row>
    <row r="1204" spans="1:19" hidden="1" x14ac:dyDescent="0.25">
      <c r="A1204" s="5" t="str">
        <f t="shared" si="507"/>
        <v>43944DAX</v>
      </c>
      <c r="B1204" s="6" t="s">
        <v>16</v>
      </c>
      <c r="C1204" s="6">
        <v>10008</v>
      </c>
      <c r="D1204" s="6">
        <v>10790</v>
      </c>
      <c r="E1204" s="6">
        <v>10419</v>
      </c>
      <c r="F1204" t="str">
        <f t="shared" si="522"/>
        <v>THU</v>
      </c>
      <c r="G1204" s="1">
        <f t="shared" si="523"/>
        <v>43944</v>
      </c>
      <c r="H1204" s="2">
        <f t="shared" ca="1" si="524"/>
        <v>309</v>
      </c>
      <c r="I1204" t="str">
        <f t="shared" si="525"/>
        <v>DAX</v>
      </c>
      <c r="J1204">
        <f t="shared" si="526"/>
        <v>10008</v>
      </c>
      <c r="K1204">
        <f t="shared" si="527"/>
        <v>10790</v>
      </c>
      <c r="L1204">
        <f t="shared" si="528"/>
        <v>10399</v>
      </c>
      <c r="M1204">
        <f t="shared" si="529"/>
        <v>391</v>
      </c>
      <c r="N1204">
        <f t="shared" si="508"/>
        <v>782</v>
      </c>
      <c r="O1204">
        <f t="shared" si="530"/>
        <v>10419</v>
      </c>
      <c r="P1204">
        <f t="shared" si="531"/>
        <v>5.1150895140664961E-2</v>
      </c>
      <c r="Q1204" t="str">
        <f t="shared" si="509"/>
        <v>3.94% | 3.56%</v>
      </c>
      <c r="R1204" t="str">
        <f t="shared" si="532"/>
        <v>BEARISH</v>
      </c>
      <c r="S1204">
        <f t="shared" si="510"/>
        <v>-1</v>
      </c>
    </row>
    <row r="1205" spans="1:19" hidden="1" x14ac:dyDescent="0.25">
      <c r="A1205" s="5" t="str">
        <f t="shared" si="507"/>
        <v>43944VIX</v>
      </c>
      <c r="B1205" s="6" t="s">
        <v>17</v>
      </c>
      <c r="C1205" s="6">
        <v>36.450000000000003</v>
      </c>
      <c r="D1205" s="6">
        <v>48.32</v>
      </c>
      <c r="E1205" s="6">
        <v>41.98</v>
      </c>
      <c r="F1205" t="str">
        <f t="shared" si="522"/>
        <v>THU</v>
      </c>
      <c r="G1205" s="1">
        <f t="shared" si="523"/>
        <v>43944</v>
      </c>
      <c r="H1205" s="2">
        <f t="shared" ca="1" si="524"/>
        <v>309</v>
      </c>
      <c r="I1205" t="str">
        <f t="shared" si="525"/>
        <v>VIX</v>
      </c>
      <c r="J1205">
        <f t="shared" si="526"/>
        <v>36.450000000000003</v>
      </c>
      <c r="K1205">
        <f t="shared" si="527"/>
        <v>48.32</v>
      </c>
      <c r="L1205">
        <f t="shared" si="528"/>
        <v>42.385000000000005</v>
      </c>
      <c r="M1205">
        <f t="shared" si="529"/>
        <v>5.9349999999999561</v>
      </c>
      <c r="N1205">
        <f t="shared" si="508"/>
        <v>11.869999999999997</v>
      </c>
      <c r="O1205">
        <f t="shared" si="530"/>
        <v>41.98</v>
      </c>
      <c r="P1205">
        <f t="shared" si="531"/>
        <v>-6.8239258635216724E-2</v>
      </c>
      <c r="Q1205" t="str">
        <f t="shared" si="509"/>
        <v>13.17% | 15.1%</v>
      </c>
      <c r="R1205" t="str">
        <f t="shared" si="532"/>
        <v>BULLISH</v>
      </c>
      <c r="S1205">
        <f t="shared" si="510"/>
        <v>1</v>
      </c>
    </row>
    <row r="1206" spans="1:19" hidden="1" x14ac:dyDescent="0.25">
      <c r="A1206" s="5" t="str">
        <f t="shared" si="507"/>
        <v>43944USD</v>
      </c>
      <c r="B1206" s="6" t="s">
        <v>18</v>
      </c>
      <c r="C1206" s="6">
        <v>98.8</v>
      </c>
      <c r="D1206" s="6">
        <v>101.29</v>
      </c>
      <c r="E1206" s="6">
        <v>100.53</v>
      </c>
      <c r="F1206" t="str">
        <f t="shared" si="522"/>
        <v>THU</v>
      </c>
      <c r="G1206" s="1">
        <f t="shared" si="523"/>
        <v>43944</v>
      </c>
      <c r="H1206" s="2">
        <f t="shared" ca="1" si="524"/>
        <v>309</v>
      </c>
      <c r="I1206" t="str">
        <f t="shared" si="525"/>
        <v>USD</v>
      </c>
      <c r="J1206">
        <f t="shared" si="526"/>
        <v>98.8</v>
      </c>
      <c r="K1206">
        <f t="shared" si="527"/>
        <v>101.29</v>
      </c>
      <c r="L1206">
        <f t="shared" si="528"/>
        <v>100.045</v>
      </c>
      <c r="M1206">
        <f t="shared" si="529"/>
        <v>1.2450000000000045</v>
      </c>
      <c r="N1206">
        <f t="shared" si="508"/>
        <v>2.4900000000000091</v>
      </c>
      <c r="O1206">
        <f t="shared" si="530"/>
        <v>100.53</v>
      </c>
      <c r="P1206">
        <f t="shared" si="531"/>
        <v>0.38955823293172503</v>
      </c>
      <c r="Q1206" t="str">
        <f t="shared" si="509"/>
        <v>1.72% | 0.76%</v>
      </c>
      <c r="R1206" t="str">
        <f t="shared" si="532"/>
        <v>BULLISH</v>
      </c>
      <c r="S1206">
        <f t="shared" si="510"/>
        <v>1</v>
      </c>
    </row>
    <row r="1207" spans="1:19" hidden="1" x14ac:dyDescent="0.25">
      <c r="A1207" s="5" t="str">
        <f t="shared" si="507"/>
        <v>43944EUR/USD</v>
      </c>
      <c r="B1207" s="6" t="s">
        <v>19</v>
      </c>
      <c r="C1207" s="6">
        <v>1.07</v>
      </c>
      <c r="D1207" s="6">
        <v>1.0900000000000001</v>
      </c>
      <c r="E1207" s="6">
        <v>1.08</v>
      </c>
      <c r="F1207" t="str">
        <f t="shared" si="522"/>
        <v>THU</v>
      </c>
      <c r="G1207" s="1">
        <f t="shared" si="523"/>
        <v>43944</v>
      </c>
      <c r="H1207" s="2">
        <f t="shared" ca="1" si="524"/>
        <v>309</v>
      </c>
      <c r="I1207" t="str">
        <f t="shared" si="525"/>
        <v>EUR/USD</v>
      </c>
      <c r="J1207">
        <f t="shared" si="526"/>
        <v>1.07</v>
      </c>
      <c r="K1207">
        <f t="shared" si="527"/>
        <v>1.0900000000000001</v>
      </c>
      <c r="L1207">
        <f t="shared" si="528"/>
        <v>1.08</v>
      </c>
      <c r="M1207">
        <f t="shared" si="529"/>
        <v>1.0000000000000009E-2</v>
      </c>
      <c r="N1207">
        <f t="shared" si="508"/>
        <v>2.0000000000000018E-2</v>
      </c>
      <c r="O1207">
        <f t="shared" si="530"/>
        <v>1.08</v>
      </c>
      <c r="P1207">
        <f t="shared" si="531"/>
        <v>0</v>
      </c>
      <c r="Q1207" t="str">
        <f t="shared" si="509"/>
        <v>0.93% | 0.93%</v>
      </c>
      <c r="R1207" t="str">
        <f t="shared" si="532"/>
        <v>BEARISH</v>
      </c>
      <c r="S1207">
        <f t="shared" si="510"/>
        <v>-1</v>
      </c>
    </row>
    <row r="1208" spans="1:19" hidden="1" x14ac:dyDescent="0.25">
      <c r="A1208" s="5" t="str">
        <f t="shared" si="507"/>
        <v>43944USD/JPY</v>
      </c>
      <c r="B1208" s="6" t="s">
        <v>86</v>
      </c>
      <c r="C1208" s="6">
        <v>106.81</v>
      </c>
      <c r="D1208" s="6">
        <v>109.06</v>
      </c>
      <c r="E1208" s="6">
        <v>107.71</v>
      </c>
      <c r="F1208" t="str">
        <f t="shared" si="522"/>
        <v>THU</v>
      </c>
      <c r="G1208" s="1">
        <f t="shared" si="523"/>
        <v>43944</v>
      </c>
      <c r="H1208" s="2">
        <f t="shared" ca="1" si="524"/>
        <v>309</v>
      </c>
      <c r="I1208" t="str">
        <f t="shared" si="525"/>
        <v>USD/JPY</v>
      </c>
      <c r="J1208">
        <f t="shared" si="526"/>
        <v>106.81</v>
      </c>
      <c r="K1208">
        <f t="shared" si="527"/>
        <v>109.06</v>
      </c>
      <c r="L1208">
        <f t="shared" si="528"/>
        <v>107.935</v>
      </c>
      <c r="M1208">
        <f t="shared" si="529"/>
        <v>1.125</v>
      </c>
      <c r="N1208">
        <f t="shared" si="508"/>
        <v>2.25</v>
      </c>
      <c r="O1208">
        <f t="shared" si="530"/>
        <v>107.71</v>
      </c>
      <c r="P1208">
        <f t="shared" si="531"/>
        <v>-0.20000000000000759</v>
      </c>
      <c r="Q1208" t="str">
        <f t="shared" si="509"/>
        <v>0.84% | 1.25%</v>
      </c>
      <c r="R1208" t="str">
        <f t="shared" si="532"/>
        <v>NEUTRAL</v>
      </c>
      <c r="S1208">
        <f t="shared" si="510"/>
        <v>0</v>
      </c>
    </row>
    <row r="1209" spans="1:19" hidden="1" x14ac:dyDescent="0.25">
      <c r="A1209" s="5" t="str">
        <f t="shared" si="507"/>
        <v>43944GBP/USD</v>
      </c>
      <c r="B1209" s="6" t="s">
        <v>21</v>
      </c>
      <c r="C1209" s="6">
        <v>1.22</v>
      </c>
      <c r="D1209" s="6">
        <v>1.26</v>
      </c>
      <c r="E1209" s="6">
        <v>1.23</v>
      </c>
      <c r="F1209" t="str">
        <f t="shared" si="522"/>
        <v>THU</v>
      </c>
      <c r="G1209" s="1">
        <f t="shared" si="523"/>
        <v>43944</v>
      </c>
      <c r="H1209" s="2">
        <f t="shared" ca="1" si="524"/>
        <v>309</v>
      </c>
      <c r="I1209" t="str">
        <f t="shared" si="525"/>
        <v>GBP/USD</v>
      </c>
      <c r="J1209">
        <f t="shared" si="526"/>
        <v>1.22</v>
      </c>
      <c r="K1209">
        <f t="shared" si="527"/>
        <v>1.26</v>
      </c>
      <c r="L1209">
        <f t="shared" si="528"/>
        <v>1.24</v>
      </c>
      <c r="M1209">
        <f t="shared" si="529"/>
        <v>2.0000000000000018E-2</v>
      </c>
      <c r="N1209">
        <f t="shared" si="508"/>
        <v>4.0000000000000036E-2</v>
      </c>
      <c r="O1209">
        <f t="shared" si="530"/>
        <v>1.23</v>
      </c>
      <c r="P1209">
        <f t="shared" si="531"/>
        <v>-0.5</v>
      </c>
      <c r="Q1209" t="str">
        <f t="shared" si="509"/>
        <v>0.81% | 2.44%</v>
      </c>
      <c r="R1209" t="str">
        <f t="shared" si="532"/>
        <v>BEARISH</v>
      </c>
      <c r="S1209">
        <f t="shared" si="510"/>
        <v>-1</v>
      </c>
    </row>
    <row r="1210" spans="1:19" hidden="1" x14ac:dyDescent="0.25">
      <c r="A1210" s="5" t="str">
        <f t="shared" si="507"/>
        <v>43944USD/CHF</v>
      </c>
      <c r="B1210" s="6" t="s">
        <v>22</v>
      </c>
      <c r="C1210" s="6">
        <v>0.96</v>
      </c>
      <c r="D1210" s="6">
        <v>0.98</v>
      </c>
      <c r="E1210" s="6">
        <v>0.97</v>
      </c>
      <c r="F1210" t="str">
        <f t="shared" si="522"/>
        <v>THU</v>
      </c>
      <c r="G1210" s="1">
        <f t="shared" si="523"/>
        <v>43944</v>
      </c>
      <c r="H1210" s="2">
        <f t="shared" ca="1" si="524"/>
        <v>309</v>
      </c>
      <c r="I1210" t="str">
        <f t="shared" si="525"/>
        <v>USD/CHF</v>
      </c>
      <c r="J1210">
        <f t="shared" si="526"/>
        <v>0.96</v>
      </c>
      <c r="K1210">
        <f t="shared" si="527"/>
        <v>0.98</v>
      </c>
      <c r="L1210">
        <f t="shared" si="528"/>
        <v>0.97</v>
      </c>
      <c r="M1210">
        <f t="shared" si="529"/>
        <v>1.0000000000000009E-2</v>
      </c>
      <c r="N1210">
        <f t="shared" si="508"/>
        <v>2.0000000000000018E-2</v>
      </c>
      <c r="O1210">
        <f t="shared" si="530"/>
        <v>0.97</v>
      </c>
      <c r="P1210">
        <f t="shared" si="531"/>
        <v>0</v>
      </c>
      <c r="Q1210" t="str">
        <f t="shared" si="509"/>
        <v>1.03% | 1.03%</v>
      </c>
      <c r="R1210" t="str">
        <f t="shared" si="532"/>
        <v>NEUTRAL</v>
      </c>
      <c r="S1210">
        <f t="shared" si="510"/>
        <v>0</v>
      </c>
    </row>
    <row r="1211" spans="1:19" hidden="1" x14ac:dyDescent="0.25">
      <c r="A1211" s="5" t="str">
        <f t="shared" si="507"/>
        <v>43944WTIC</v>
      </c>
      <c r="B1211" s="6" t="s">
        <v>23</v>
      </c>
      <c r="C1211" s="6">
        <v>11.15</v>
      </c>
      <c r="D1211" s="6">
        <v>20.16</v>
      </c>
      <c r="E1211" s="6">
        <v>13.78</v>
      </c>
      <c r="F1211" t="str">
        <f t="shared" si="522"/>
        <v>THU</v>
      </c>
      <c r="G1211" s="1">
        <f t="shared" si="523"/>
        <v>43944</v>
      </c>
      <c r="H1211" s="2">
        <f t="shared" ca="1" si="524"/>
        <v>309</v>
      </c>
      <c r="I1211" t="str">
        <f t="shared" si="525"/>
        <v>WTIC</v>
      </c>
      <c r="J1211">
        <f t="shared" si="526"/>
        <v>11.15</v>
      </c>
      <c r="K1211">
        <f t="shared" si="527"/>
        <v>20.16</v>
      </c>
      <c r="L1211">
        <f t="shared" si="528"/>
        <v>15.655000000000001</v>
      </c>
      <c r="M1211">
        <f t="shared" si="529"/>
        <v>4.5049999999999981</v>
      </c>
      <c r="N1211">
        <f t="shared" si="508"/>
        <v>9.01</v>
      </c>
      <c r="O1211">
        <f t="shared" si="530"/>
        <v>13.78</v>
      </c>
      <c r="P1211">
        <f t="shared" si="531"/>
        <v>-0.41620421753607162</v>
      </c>
      <c r="Q1211" t="str">
        <f t="shared" si="509"/>
        <v>19.09% | 46.3%</v>
      </c>
      <c r="R1211" t="str">
        <f t="shared" si="532"/>
        <v>BEARISH</v>
      </c>
      <c r="S1211">
        <f t="shared" si="510"/>
        <v>-1</v>
      </c>
    </row>
    <row r="1212" spans="1:19" hidden="1" x14ac:dyDescent="0.25">
      <c r="A1212" s="5" t="str">
        <f t="shared" si="507"/>
        <v>43944NATGAS</v>
      </c>
      <c r="B1212" s="6" t="s">
        <v>87</v>
      </c>
      <c r="C1212" s="6">
        <v>1.62</v>
      </c>
      <c r="D1212" s="6">
        <v>2.0699999999999998</v>
      </c>
      <c r="E1212" s="6">
        <v>2.0499999999999998</v>
      </c>
      <c r="F1212" t="str">
        <f t="shared" si="522"/>
        <v>THU</v>
      </c>
      <c r="G1212" s="1">
        <f t="shared" si="523"/>
        <v>43944</v>
      </c>
      <c r="H1212" s="2">
        <f t="shared" ca="1" si="524"/>
        <v>309</v>
      </c>
      <c r="I1212" t="str">
        <f t="shared" si="525"/>
        <v>NATGAS</v>
      </c>
      <c r="J1212">
        <f t="shared" si="526"/>
        <v>1.62</v>
      </c>
      <c r="K1212">
        <f t="shared" si="527"/>
        <v>2.0699999999999998</v>
      </c>
      <c r="L1212">
        <f t="shared" si="528"/>
        <v>1.845</v>
      </c>
      <c r="M1212">
        <f t="shared" si="529"/>
        <v>0.22500000000000031</v>
      </c>
      <c r="N1212">
        <f t="shared" si="508"/>
        <v>0.44999999999999973</v>
      </c>
      <c r="O1212">
        <f t="shared" si="530"/>
        <v>2.0499999999999998</v>
      </c>
      <c r="P1212">
        <f t="shared" si="531"/>
        <v>0.91111111111110921</v>
      </c>
      <c r="Q1212" t="str">
        <f t="shared" si="509"/>
        <v>20.98% | 0.98%</v>
      </c>
      <c r="R1212" t="str">
        <f t="shared" si="532"/>
        <v>NEUTRAL</v>
      </c>
      <c r="S1212">
        <f t="shared" si="510"/>
        <v>0</v>
      </c>
    </row>
    <row r="1213" spans="1:19" hidden="1" x14ac:dyDescent="0.25">
      <c r="A1213" s="5" t="str">
        <f t="shared" si="507"/>
        <v>43944GOLD</v>
      </c>
      <c r="B1213" s="6" t="s">
        <v>25</v>
      </c>
      <c r="C1213" s="6">
        <v>1689</v>
      </c>
      <c r="D1213" s="6">
        <v>1789</v>
      </c>
      <c r="E1213" s="6">
        <v>1738</v>
      </c>
      <c r="F1213" t="str">
        <f t="shared" si="522"/>
        <v>THU</v>
      </c>
      <c r="G1213" s="1">
        <f t="shared" si="523"/>
        <v>43944</v>
      </c>
      <c r="H1213" s="2">
        <f t="shared" ca="1" si="524"/>
        <v>309</v>
      </c>
      <c r="I1213" t="str">
        <f t="shared" si="525"/>
        <v>GOLD</v>
      </c>
      <c r="J1213">
        <f t="shared" si="526"/>
        <v>1689</v>
      </c>
      <c r="K1213">
        <f t="shared" si="527"/>
        <v>1789</v>
      </c>
      <c r="L1213">
        <f t="shared" si="528"/>
        <v>1739</v>
      </c>
      <c r="M1213">
        <f t="shared" si="529"/>
        <v>50</v>
      </c>
      <c r="N1213">
        <f t="shared" si="508"/>
        <v>100</v>
      </c>
      <c r="O1213">
        <f t="shared" si="530"/>
        <v>1738</v>
      </c>
      <c r="P1213">
        <f t="shared" si="531"/>
        <v>-0.02</v>
      </c>
      <c r="Q1213" t="str">
        <f t="shared" si="509"/>
        <v>2.82% | 2.93%</v>
      </c>
      <c r="R1213" t="str">
        <f t="shared" si="532"/>
        <v>BULLISH</v>
      </c>
      <c r="S1213">
        <f t="shared" si="510"/>
        <v>1</v>
      </c>
    </row>
    <row r="1214" spans="1:19" hidden="1" x14ac:dyDescent="0.25">
      <c r="A1214" s="5" t="str">
        <f t="shared" si="507"/>
        <v>43944COPPER</v>
      </c>
      <c r="B1214" s="6" t="s">
        <v>26</v>
      </c>
      <c r="C1214" s="6">
        <v>2.21</v>
      </c>
      <c r="D1214" s="6">
        <v>2.37</v>
      </c>
      <c r="E1214" s="6">
        <v>2.29</v>
      </c>
      <c r="F1214" t="str">
        <f t="shared" si="522"/>
        <v>THU</v>
      </c>
      <c r="G1214" s="1">
        <f t="shared" si="523"/>
        <v>43944</v>
      </c>
      <c r="H1214" s="2">
        <f t="shared" ca="1" si="524"/>
        <v>309</v>
      </c>
      <c r="I1214" t="str">
        <f t="shared" si="525"/>
        <v>COPPER</v>
      </c>
      <c r="J1214">
        <f t="shared" si="526"/>
        <v>2.21</v>
      </c>
      <c r="K1214">
        <f t="shared" si="527"/>
        <v>2.37</v>
      </c>
      <c r="L1214">
        <f t="shared" si="528"/>
        <v>2.29</v>
      </c>
      <c r="M1214">
        <f t="shared" si="529"/>
        <v>8.0000000000000071E-2</v>
      </c>
      <c r="N1214">
        <f t="shared" si="508"/>
        <v>0.16000000000000014</v>
      </c>
      <c r="O1214">
        <f t="shared" si="530"/>
        <v>2.29</v>
      </c>
      <c r="P1214">
        <f t="shared" si="531"/>
        <v>0</v>
      </c>
      <c r="Q1214" t="str">
        <f t="shared" si="509"/>
        <v>3.49% | 3.49%</v>
      </c>
      <c r="R1214" t="str">
        <f t="shared" si="532"/>
        <v>BEARISH</v>
      </c>
      <c r="S1214">
        <f t="shared" si="510"/>
        <v>-1</v>
      </c>
    </row>
    <row r="1215" spans="1:19" hidden="1" x14ac:dyDescent="0.25">
      <c r="A1215" s="5" t="str">
        <f t="shared" si="507"/>
        <v>43944MSFT</v>
      </c>
      <c r="B1215" s="6" t="s">
        <v>27</v>
      </c>
      <c r="C1215" s="6">
        <v>163</v>
      </c>
      <c r="D1215" s="6">
        <v>182</v>
      </c>
      <c r="E1215" s="6">
        <v>173</v>
      </c>
      <c r="F1215" t="str">
        <f t="shared" si="522"/>
        <v>THU</v>
      </c>
      <c r="G1215" s="1">
        <f t="shared" si="523"/>
        <v>43944</v>
      </c>
      <c r="H1215" s="2">
        <f t="shared" ca="1" si="524"/>
        <v>309</v>
      </c>
      <c r="I1215" t="str">
        <f t="shared" si="525"/>
        <v>MSFT</v>
      </c>
      <c r="J1215">
        <f t="shared" si="526"/>
        <v>163</v>
      </c>
      <c r="K1215">
        <f t="shared" si="527"/>
        <v>182</v>
      </c>
      <c r="L1215">
        <f t="shared" si="528"/>
        <v>172.5</v>
      </c>
      <c r="M1215">
        <f t="shared" si="529"/>
        <v>9.5</v>
      </c>
      <c r="N1215">
        <f t="shared" si="508"/>
        <v>19</v>
      </c>
      <c r="O1215">
        <f t="shared" si="530"/>
        <v>173</v>
      </c>
      <c r="P1215">
        <f t="shared" si="531"/>
        <v>5.2631578947368418E-2</v>
      </c>
      <c r="Q1215" t="str">
        <f t="shared" si="509"/>
        <v>5.78% | 5.2%</v>
      </c>
      <c r="R1215" t="str">
        <f t="shared" si="532"/>
        <v>BULLISH</v>
      </c>
      <c r="S1215">
        <f t="shared" si="510"/>
        <v>1</v>
      </c>
    </row>
    <row r="1216" spans="1:19" hidden="1" x14ac:dyDescent="0.25">
      <c r="A1216" s="5" t="str">
        <f t="shared" si="507"/>
        <v>43944AAPL</v>
      </c>
      <c r="B1216" s="6" t="s">
        <v>68</v>
      </c>
      <c r="C1216" s="6">
        <v>260</v>
      </c>
      <c r="D1216" s="6">
        <v>293</v>
      </c>
      <c r="E1216" s="6">
        <v>276</v>
      </c>
      <c r="F1216" t="str">
        <f t="shared" si="522"/>
        <v>THU</v>
      </c>
      <c r="G1216" s="1">
        <f t="shared" si="523"/>
        <v>43944</v>
      </c>
      <c r="H1216" s="2">
        <f t="shared" ca="1" si="524"/>
        <v>309</v>
      </c>
      <c r="I1216" t="str">
        <f t="shared" si="525"/>
        <v>AAPL</v>
      </c>
      <c r="J1216">
        <f t="shared" si="526"/>
        <v>260</v>
      </c>
      <c r="K1216">
        <f t="shared" si="527"/>
        <v>293</v>
      </c>
      <c r="L1216">
        <f t="shared" si="528"/>
        <v>276.5</v>
      </c>
      <c r="M1216">
        <f t="shared" si="529"/>
        <v>16.5</v>
      </c>
      <c r="N1216">
        <f t="shared" si="508"/>
        <v>33</v>
      </c>
      <c r="O1216">
        <f t="shared" si="530"/>
        <v>276</v>
      </c>
      <c r="P1216">
        <f t="shared" si="531"/>
        <v>-3.0303030303030304E-2</v>
      </c>
      <c r="Q1216" t="str">
        <f t="shared" si="509"/>
        <v>5.8% | 6.16%</v>
      </c>
      <c r="R1216" t="str">
        <f t="shared" si="532"/>
        <v>BEARISH</v>
      </c>
      <c r="S1216">
        <f t="shared" si="510"/>
        <v>-1</v>
      </c>
    </row>
    <row r="1217" spans="1:19" hidden="1" x14ac:dyDescent="0.25">
      <c r="A1217" s="5" t="str">
        <f t="shared" si="507"/>
        <v>43944AMZN</v>
      </c>
      <c r="B1217" s="6" t="s">
        <v>29</v>
      </c>
      <c r="C1217" s="6">
        <v>2276</v>
      </c>
      <c r="D1217" s="6">
        <v>2530</v>
      </c>
      <c r="E1217" s="6">
        <v>2363</v>
      </c>
      <c r="F1217" t="str">
        <f t="shared" si="522"/>
        <v>THU</v>
      </c>
      <c r="G1217" s="1">
        <f t="shared" si="523"/>
        <v>43944</v>
      </c>
      <c r="H1217" s="2">
        <f t="shared" ca="1" si="524"/>
        <v>309</v>
      </c>
      <c r="I1217" t="str">
        <f t="shared" si="525"/>
        <v>AMZN</v>
      </c>
      <c r="J1217">
        <f t="shared" si="526"/>
        <v>2276</v>
      </c>
      <c r="K1217">
        <f t="shared" si="527"/>
        <v>2530</v>
      </c>
      <c r="L1217">
        <f t="shared" si="528"/>
        <v>2403</v>
      </c>
      <c r="M1217">
        <f t="shared" si="529"/>
        <v>127</v>
      </c>
      <c r="N1217">
        <f t="shared" si="508"/>
        <v>254</v>
      </c>
      <c r="O1217">
        <f t="shared" si="530"/>
        <v>2363</v>
      </c>
      <c r="P1217">
        <f t="shared" si="531"/>
        <v>-0.31496062992125984</v>
      </c>
      <c r="Q1217" t="str">
        <f t="shared" si="509"/>
        <v>3.68% | 7.07%</v>
      </c>
      <c r="R1217" t="str">
        <f t="shared" si="532"/>
        <v>BULLISH</v>
      </c>
      <c r="S1217">
        <f t="shared" si="510"/>
        <v>1</v>
      </c>
    </row>
    <row r="1218" spans="1:19" hidden="1" x14ac:dyDescent="0.25">
      <c r="A1218" s="5" t="str">
        <f t="shared" si="507"/>
        <v>43944FB</v>
      </c>
      <c r="B1218" s="6" t="s">
        <v>58</v>
      </c>
      <c r="C1218" s="6">
        <v>165</v>
      </c>
      <c r="D1218" s="6">
        <v>184</v>
      </c>
      <c r="E1218" s="6">
        <v>182</v>
      </c>
      <c r="F1218" t="str">
        <f t="shared" si="522"/>
        <v>THU</v>
      </c>
      <c r="G1218" s="1">
        <f t="shared" si="523"/>
        <v>43944</v>
      </c>
      <c r="H1218" s="2">
        <f t="shared" ca="1" si="524"/>
        <v>309</v>
      </c>
      <c r="I1218" t="str">
        <f t="shared" si="525"/>
        <v>FB</v>
      </c>
      <c r="J1218">
        <f t="shared" si="526"/>
        <v>165</v>
      </c>
      <c r="K1218">
        <f t="shared" si="527"/>
        <v>184</v>
      </c>
      <c r="L1218">
        <f t="shared" si="528"/>
        <v>174.5</v>
      </c>
      <c r="M1218">
        <f t="shared" si="529"/>
        <v>9.5</v>
      </c>
      <c r="N1218">
        <f t="shared" si="508"/>
        <v>19</v>
      </c>
      <c r="O1218">
        <f t="shared" si="530"/>
        <v>182</v>
      </c>
      <c r="P1218">
        <f t="shared" si="531"/>
        <v>0.78947368421052633</v>
      </c>
      <c r="Q1218" t="str">
        <f t="shared" si="509"/>
        <v>9.34% | 1.1%</v>
      </c>
      <c r="R1218" t="str">
        <f t="shared" si="532"/>
        <v>BEARISH</v>
      </c>
      <c r="S1218">
        <f t="shared" si="510"/>
        <v>-1</v>
      </c>
    </row>
    <row r="1219" spans="1:19" hidden="1" x14ac:dyDescent="0.25">
      <c r="A1219" s="5" t="str">
        <f t="shared" ref="A1219:A1282" si="533">G1219&amp;I1219</f>
        <v>43944GOOGL</v>
      </c>
      <c r="B1219" s="6" t="s">
        <v>66</v>
      </c>
      <c r="C1219" s="6">
        <v>1192</v>
      </c>
      <c r="D1219" s="6">
        <v>1298</v>
      </c>
      <c r="E1219" s="6">
        <v>1258</v>
      </c>
      <c r="F1219" t="str">
        <f t="shared" si="522"/>
        <v>THU</v>
      </c>
      <c r="G1219" s="1">
        <f t="shared" si="523"/>
        <v>43944</v>
      </c>
      <c r="H1219" s="2">
        <f t="shared" ca="1" si="524"/>
        <v>309</v>
      </c>
      <c r="I1219" t="str">
        <f t="shared" si="525"/>
        <v>GOOGL</v>
      </c>
      <c r="J1219">
        <f t="shared" si="526"/>
        <v>1192</v>
      </c>
      <c r="K1219">
        <f t="shared" si="527"/>
        <v>1298</v>
      </c>
      <c r="L1219">
        <f t="shared" si="528"/>
        <v>1245</v>
      </c>
      <c r="M1219">
        <f t="shared" si="529"/>
        <v>53</v>
      </c>
      <c r="N1219">
        <f t="shared" ref="N1219:N1282" si="534">ABS(K1219-J1219)</f>
        <v>106</v>
      </c>
      <c r="O1219">
        <f t="shared" si="530"/>
        <v>1258</v>
      </c>
      <c r="P1219">
        <f t="shared" si="531"/>
        <v>0.24528301886792453</v>
      </c>
      <c r="Q1219" t="str">
        <f t="shared" ref="Q1219:Q1282" si="535">ROUND(ABS(100*(O1219-J1219)/O1219),2)&amp;"% | "&amp;ROUND(ABS(100*(K1219-O1219)/O1219),2)&amp;"%"</f>
        <v>5.25% | 3.18%</v>
      </c>
      <c r="R1219" t="str">
        <f t="shared" si="532"/>
        <v>BEARISH</v>
      </c>
      <c r="S1219">
        <f t="shared" ref="S1219:S1282" si="536">IF(R1219="BEARISH",-1,IF(R1219="NEUTRAL",0,IF(R1219="BULLISH",1,99)))</f>
        <v>-1</v>
      </c>
    </row>
    <row r="1220" spans="1:19" hidden="1" x14ac:dyDescent="0.25">
      <c r="A1220" s="5" t="str">
        <f t="shared" si="533"/>
        <v>43944NFLX</v>
      </c>
      <c r="B1220" s="6" t="s">
        <v>32</v>
      </c>
      <c r="C1220" s="6">
        <v>389</v>
      </c>
      <c r="D1220" s="6">
        <v>460</v>
      </c>
      <c r="E1220" s="6">
        <v>421</v>
      </c>
      <c r="F1220" t="str">
        <f t="shared" si="522"/>
        <v>THU</v>
      </c>
      <c r="G1220" s="1">
        <f t="shared" si="523"/>
        <v>43944</v>
      </c>
      <c r="H1220" s="2">
        <f t="shared" ca="1" si="524"/>
        <v>309</v>
      </c>
      <c r="I1220" t="str">
        <f t="shared" si="525"/>
        <v>NFLX</v>
      </c>
      <c r="J1220">
        <f t="shared" si="526"/>
        <v>389</v>
      </c>
      <c r="K1220">
        <f t="shared" si="527"/>
        <v>460</v>
      </c>
      <c r="L1220">
        <f t="shared" si="528"/>
        <v>424.5</v>
      </c>
      <c r="M1220">
        <f t="shared" si="529"/>
        <v>35.5</v>
      </c>
      <c r="N1220">
        <f t="shared" si="534"/>
        <v>71</v>
      </c>
      <c r="O1220">
        <f t="shared" si="530"/>
        <v>421</v>
      </c>
      <c r="P1220">
        <f t="shared" si="531"/>
        <v>-9.8591549295774641E-2</v>
      </c>
      <c r="Q1220" t="str">
        <f t="shared" si="535"/>
        <v>7.6% | 9.26%</v>
      </c>
      <c r="R1220" t="str">
        <f t="shared" si="532"/>
        <v>BULLISH</v>
      </c>
      <c r="S1220">
        <f t="shared" si="536"/>
        <v>1</v>
      </c>
    </row>
    <row r="1221" spans="1:19" x14ac:dyDescent="0.25">
      <c r="A1221" s="5" t="str">
        <f t="shared" si="533"/>
        <v>43944TSLA</v>
      </c>
      <c r="B1221" s="6" t="s">
        <v>33</v>
      </c>
      <c r="C1221" s="6">
        <v>577</v>
      </c>
      <c r="D1221" s="6">
        <v>819</v>
      </c>
      <c r="E1221" s="6">
        <v>732</v>
      </c>
      <c r="F1221" t="str">
        <f t="shared" si="522"/>
        <v>THU</v>
      </c>
      <c r="G1221" s="1">
        <f t="shared" si="523"/>
        <v>43944</v>
      </c>
      <c r="H1221" s="2">
        <f t="shared" ca="1" si="524"/>
        <v>309</v>
      </c>
      <c r="I1221" t="str">
        <f t="shared" si="525"/>
        <v>TSLA</v>
      </c>
      <c r="J1221">
        <f t="shared" si="526"/>
        <v>577</v>
      </c>
      <c r="K1221">
        <f t="shared" si="527"/>
        <v>819</v>
      </c>
      <c r="L1221">
        <f t="shared" si="528"/>
        <v>698</v>
      </c>
      <c r="M1221">
        <f t="shared" si="529"/>
        <v>121</v>
      </c>
      <c r="N1221">
        <f t="shared" si="534"/>
        <v>242</v>
      </c>
      <c r="O1221">
        <f t="shared" si="530"/>
        <v>732</v>
      </c>
      <c r="P1221">
        <f t="shared" si="531"/>
        <v>0.28099173553719009</v>
      </c>
      <c r="Q1221" t="str">
        <f t="shared" si="535"/>
        <v>21.17% | 11.89%</v>
      </c>
      <c r="R1221" t="str">
        <f t="shared" si="532"/>
        <v>BULLISH</v>
      </c>
      <c r="S1221">
        <f t="shared" si="536"/>
        <v>1</v>
      </c>
    </row>
    <row r="1222" spans="1:19" hidden="1" x14ac:dyDescent="0.25">
      <c r="A1222" s="5" t="str">
        <f t="shared" si="533"/>
        <v>43944NYXBT</v>
      </c>
      <c r="B1222" s="6" t="s">
        <v>84</v>
      </c>
      <c r="C1222" s="6">
        <v>6601</v>
      </c>
      <c r="D1222" s="6">
        <v>7445</v>
      </c>
      <c r="E1222" s="6">
        <v>7111</v>
      </c>
      <c r="F1222" t="str">
        <f t="shared" si="522"/>
        <v>THU</v>
      </c>
      <c r="G1222" s="1">
        <f t="shared" si="523"/>
        <v>43944</v>
      </c>
      <c r="H1222" s="2">
        <f t="shared" ca="1" si="524"/>
        <v>309</v>
      </c>
      <c r="I1222" t="str">
        <f t="shared" si="525"/>
        <v>NYXBT</v>
      </c>
      <c r="J1222">
        <f t="shared" si="526"/>
        <v>6601</v>
      </c>
      <c r="K1222">
        <f t="shared" si="527"/>
        <v>7445</v>
      </c>
      <c r="L1222">
        <f t="shared" si="528"/>
        <v>7023</v>
      </c>
      <c r="M1222">
        <f t="shared" si="529"/>
        <v>422</v>
      </c>
      <c r="N1222">
        <f t="shared" si="534"/>
        <v>844</v>
      </c>
      <c r="O1222">
        <f t="shared" si="530"/>
        <v>7111</v>
      </c>
      <c r="P1222">
        <f t="shared" si="531"/>
        <v>0.20853080568720378</v>
      </c>
      <c r="Q1222" t="str">
        <f t="shared" si="535"/>
        <v>7.17% | 4.7%</v>
      </c>
      <c r="R1222" t="str">
        <f t="shared" si="532"/>
        <v>BEARISH</v>
      </c>
      <c r="S1222">
        <f t="shared" si="536"/>
        <v>-1</v>
      </c>
    </row>
    <row r="1223" spans="1:19" hidden="1" x14ac:dyDescent="0.25">
      <c r="A1223" s="5" t="str">
        <f t="shared" si="533"/>
        <v>43945UST10Y</v>
      </c>
      <c r="B1223" s="6" t="s">
        <v>4</v>
      </c>
      <c r="C1223" s="6">
        <v>0.76</v>
      </c>
      <c r="D1223" s="6">
        <v>0.52</v>
      </c>
      <c r="E1223" s="6">
        <v>0.61</v>
      </c>
      <c r="F1223" t="str">
        <f t="shared" si="522"/>
        <v>FRI</v>
      </c>
      <c r="G1223" s="3">
        <f>DATE(2020,4,24)</f>
        <v>43945</v>
      </c>
      <c r="H1223" s="2">
        <f t="shared" ca="1" si="524"/>
        <v>308</v>
      </c>
      <c r="I1223" t="str">
        <f t="shared" si="525"/>
        <v>UST10Y</v>
      </c>
      <c r="J1223">
        <f t="shared" si="526"/>
        <v>0.76</v>
      </c>
      <c r="K1223">
        <f t="shared" si="527"/>
        <v>0.52</v>
      </c>
      <c r="L1223">
        <f t="shared" si="528"/>
        <v>0.64</v>
      </c>
      <c r="M1223">
        <f t="shared" si="529"/>
        <v>0.12000000000000009</v>
      </c>
      <c r="N1223">
        <f t="shared" si="534"/>
        <v>0.24</v>
      </c>
      <c r="O1223">
        <f t="shared" si="530"/>
        <v>0.61</v>
      </c>
      <c r="P1223">
        <f t="shared" si="531"/>
        <v>-0.25000000000000006</v>
      </c>
      <c r="Q1223" t="str">
        <f t="shared" si="535"/>
        <v>24.59% | 14.75%</v>
      </c>
      <c r="R1223" t="str">
        <f t="shared" si="532"/>
        <v>BEARISH</v>
      </c>
      <c r="S1223">
        <f t="shared" si="536"/>
        <v>-1</v>
      </c>
    </row>
    <row r="1224" spans="1:19" hidden="1" x14ac:dyDescent="0.25">
      <c r="A1224" s="5" t="str">
        <f t="shared" si="533"/>
        <v>43945UST2Y</v>
      </c>
      <c r="B1224" s="6" t="s">
        <v>5</v>
      </c>
      <c r="C1224" s="6">
        <v>0.25</v>
      </c>
      <c r="D1224" s="6">
        <v>0.17</v>
      </c>
      <c r="E1224" s="6">
        <v>0.22</v>
      </c>
      <c r="F1224" t="str">
        <f t="shared" ref="F1224:F1254" si="537">UPPER(TEXT(G1224,"ddd"))</f>
        <v>FRI</v>
      </c>
      <c r="G1224" s="3">
        <f t="shared" ref="G1224:G1253" si="538">DATE(2020,4,24)</f>
        <v>43945</v>
      </c>
      <c r="H1224" s="2">
        <f t="shared" ref="H1224:H1254" ca="1" si="539">TODAY()-G1224</f>
        <v>308</v>
      </c>
      <c r="I1224" t="str">
        <f t="shared" ref="I1224:I1254" si="540">TRIM(LEFT(B1224,FIND(" ",B1224,1)))</f>
        <v>UST2Y</v>
      </c>
      <c r="J1224">
        <f t="shared" ref="J1224:J1254" si="541">C1224</f>
        <v>0.25</v>
      </c>
      <c r="K1224">
        <f t="shared" ref="K1224:K1254" si="542">D1224</f>
        <v>0.17</v>
      </c>
      <c r="L1224">
        <f t="shared" ref="L1224:L1254" si="543">AVERAGE(J1224:K1224)</f>
        <v>0.21000000000000002</v>
      </c>
      <c r="M1224">
        <f t="shared" ref="M1224:M1254" si="544">_xlfn.STDEV.P(J1224:K1224)</f>
        <v>3.9999999999999966E-2</v>
      </c>
      <c r="N1224">
        <f t="shared" si="534"/>
        <v>7.9999999999999988E-2</v>
      </c>
      <c r="O1224">
        <f t="shared" ref="O1224:O1254" si="545">E1224</f>
        <v>0.22</v>
      </c>
      <c r="P1224">
        <f t="shared" ref="P1224:P1254" si="546">(O1224-L1224)/M1224</f>
        <v>0.24999999999999975</v>
      </c>
      <c r="Q1224" t="str">
        <f t="shared" si="535"/>
        <v>13.64% | 22.73%</v>
      </c>
      <c r="R1224" t="str">
        <f t="shared" ref="R1224:R1254" si="547">MID(B1224,FIND("(",B1224,1)+1,FIND(")",B1224,1)-FIND("(",B1224,1)-1)</f>
        <v>BEARISH</v>
      </c>
      <c r="S1224">
        <f t="shared" si="536"/>
        <v>-1</v>
      </c>
    </row>
    <row r="1225" spans="1:19" hidden="1" x14ac:dyDescent="0.25">
      <c r="A1225" s="5" t="str">
        <f t="shared" si="533"/>
        <v>43945SPX</v>
      </c>
      <c r="B1225" s="6" t="s">
        <v>6</v>
      </c>
      <c r="C1225" s="6">
        <v>2713</v>
      </c>
      <c r="D1225" s="6">
        <v>2882</v>
      </c>
      <c r="E1225" s="6">
        <v>2797</v>
      </c>
      <c r="F1225" t="str">
        <f t="shared" si="537"/>
        <v>FRI</v>
      </c>
      <c r="G1225" s="3">
        <f t="shared" si="538"/>
        <v>43945</v>
      </c>
      <c r="H1225" s="2">
        <f t="shared" ca="1" si="539"/>
        <v>308</v>
      </c>
      <c r="I1225" t="str">
        <f t="shared" si="540"/>
        <v>SPX</v>
      </c>
      <c r="J1225">
        <f t="shared" si="541"/>
        <v>2713</v>
      </c>
      <c r="K1225">
        <f t="shared" si="542"/>
        <v>2882</v>
      </c>
      <c r="L1225">
        <f t="shared" si="543"/>
        <v>2797.5</v>
      </c>
      <c r="M1225">
        <f t="shared" si="544"/>
        <v>84.5</v>
      </c>
      <c r="N1225">
        <f t="shared" si="534"/>
        <v>169</v>
      </c>
      <c r="O1225">
        <f t="shared" si="545"/>
        <v>2797</v>
      </c>
      <c r="P1225">
        <f t="shared" si="546"/>
        <v>-5.9171597633136093E-3</v>
      </c>
      <c r="Q1225" t="str">
        <f t="shared" si="535"/>
        <v>3% | 3.04%</v>
      </c>
      <c r="R1225" t="str">
        <f t="shared" si="547"/>
        <v>BEARISH</v>
      </c>
      <c r="S1225">
        <f t="shared" si="536"/>
        <v>-1</v>
      </c>
    </row>
    <row r="1226" spans="1:19" hidden="1" x14ac:dyDescent="0.25">
      <c r="A1226" s="5" t="str">
        <f t="shared" si="533"/>
        <v>43945RUT</v>
      </c>
      <c r="B1226" s="6" t="s">
        <v>7</v>
      </c>
      <c r="C1226" s="6">
        <v>1165</v>
      </c>
      <c r="D1226" s="6">
        <v>1248</v>
      </c>
      <c r="E1226" s="6">
        <v>1214</v>
      </c>
      <c r="F1226" t="str">
        <f t="shared" si="537"/>
        <v>FRI</v>
      </c>
      <c r="G1226" s="3">
        <f t="shared" si="538"/>
        <v>43945</v>
      </c>
      <c r="H1226" s="2">
        <f t="shared" ca="1" si="539"/>
        <v>308</v>
      </c>
      <c r="I1226" t="str">
        <f t="shared" si="540"/>
        <v>RUT</v>
      </c>
      <c r="J1226">
        <f t="shared" si="541"/>
        <v>1165</v>
      </c>
      <c r="K1226">
        <f t="shared" si="542"/>
        <v>1248</v>
      </c>
      <c r="L1226">
        <f t="shared" si="543"/>
        <v>1206.5</v>
      </c>
      <c r="M1226">
        <f t="shared" si="544"/>
        <v>41.5</v>
      </c>
      <c r="N1226">
        <f t="shared" si="534"/>
        <v>83</v>
      </c>
      <c r="O1226">
        <f t="shared" si="545"/>
        <v>1214</v>
      </c>
      <c r="P1226">
        <f t="shared" si="546"/>
        <v>0.18072289156626506</v>
      </c>
      <c r="Q1226" t="str">
        <f t="shared" si="535"/>
        <v>4.04% | 2.8%</v>
      </c>
      <c r="R1226" t="str">
        <f t="shared" si="547"/>
        <v>BEARISH</v>
      </c>
      <c r="S1226">
        <f t="shared" si="536"/>
        <v>-1</v>
      </c>
    </row>
    <row r="1227" spans="1:19" hidden="1" x14ac:dyDescent="0.25">
      <c r="A1227" s="5" t="str">
        <f t="shared" si="533"/>
        <v>43945COMPQ</v>
      </c>
      <c r="B1227" s="6" t="s">
        <v>64</v>
      </c>
      <c r="C1227" s="6">
        <v>8141</v>
      </c>
      <c r="D1227" s="6">
        <v>8742</v>
      </c>
      <c r="E1227" s="6">
        <v>8494</v>
      </c>
      <c r="F1227" t="str">
        <f t="shared" si="537"/>
        <v>FRI</v>
      </c>
      <c r="G1227" s="3">
        <f t="shared" si="538"/>
        <v>43945</v>
      </c>
      <c r="H1227" s="2">
        <f t="shared" ca="1" si="539"/>
        <v>308</v>
      </c>
      <c r="I1227" t="str">
        <f t="shared" si="540"/>
        <v>COMPQ</v>
      </c>
      <c r="J1227">
        <f t="shared" si="541"/>
        <v>8141</v>
      </c>
      <c r="K1227">
        <f t="shared" si="542"/>
        <v>8742</v>
      </c>
      <c r="L1227">
        <f t="shared" si="543"/>
        <v>8441.5</v>
      </c>
      <c r="M1227">
        <f t="shared" si="544"/>
        <v>300.5</v>
      </c>
      <c r="N1227">
        <f t="shared" si="534"/>
        <v>601</v>
      </c>
      <c r="O1227">
        <f t="shared" si="545"/>
        <v>8494</v>
      </c>
      <c r="P1227">
        <f t="shared" si="546"/>
        <v>0.17470881863560733</v>
      </c>
      <c r="Q1227" t="str">
        <f t="shared" si="535"/>
        <v>4.16% | 2.92%</v>
      </c>
      <c r="R1227" t="str">
        <f t="shared" si="547"/>
        <v>BEARISH</v>
      </c>
      <c r="S1227">
        <f t="shared" si="536"/>
        <v>-1</v>
      </c>
    </row>
    <row r="1228" spans="1:19" hidden="1" x14ac:dyDescent="0.25">
      <c r="A1228" s="5" t="str">
        <f t="shared" si="533"/>
        <v>43945XLP</v>
      </c>
      <c r="B1228" s="6" t="s">
        <v>54</v>
      </c>
      <c r="C1228" s="6">
        <v>56.9</v>
      </c>
      <c r="D1228" s="6">
        <v>61.08</v>
      </c>
      <c r="E1228" s="6">
        <v>58.09</v>
      </c>
      <c r="F1228" t="str">
        <f t="shared" si="537"/>
        <v>FRI</v>
      </c>
      <c r="G1228" s="3">
        <f t="shared" si="538"/>
        <v>43945</v>
      </c>
      <c r="H1228" s="2">
        <f t="shared" ca="1" si="539"/>
        <v>308</v>
      </c>
      <c r="I1228" t="str">
        <f t="shared" si="540"/>
        <v>XLP</v>
      </c>
      <c r="J1228">
        <f t="shared" si="541"/>
        <v>56.9</v>
      </c>
      <c r="K1228">
        <f t="shared" si="542"/>
        <v>61.08</v>
      </c>
      <c r="L1228">
        <f t="shared" si="543"/>
        <v>58.989999999999995</v>
      </c>
      <c r="M1228">
        <f t="shared" si="544"/>
        <v>2.09</v>
      </c>
      <c r="N1228">
        <f t="shared" si="534"/>
        <v>4.18</v>
      </c>
      <c r="O1228">
        <f t="shared" si="545"/>
        <v>58.09</v>
      </c>
      <c r="P1228">
        <f t="shared" si="546"/>
        <v>-0.43062200956937396</v>
      </c>
      <c r="Q1228" t="str">
        <f t="shared" si="535"/>
        <v>2.05% | 5.15%</v>
      </c>
      <c r="R1228" t="str">
        <f t="shared" si="547"/>
        <v>BULLISH</v>
      </c>
      <c r="S1228">
        <f t="shared" si="536"/>
        <v>1</v>
      </c>
    </row>
    <row r="1229" spans="1:19" hidden="1" x14ac:dyDescent="0.25">
      <c r="A1229" s="5" t="str">
        <f t="shared" si="533"/>
        <v>43945XLV</v>
      </c>
      <c r="B1229" s="6" t="s">
        <v>9</v>
      </c>
      <c r="C1229" s="6">
        <v>93.15</v>
      </c>
      <c r="D1229" s="6">
        <v>102</v>
      </c>
      <c r="E1229" s="6">
        <v>98.96</v>
      </c>
      <c r="F1229" t="str">
        <f t="shared" si="537"/>
        <v>FRI</v>
      </c>
      <c r="G1229" s="3">
        <f t="shared" si="538"/>
        <v>43945</v>
      </c>
      <c r="H1229" s="2">
        <f t="shared" ca="1" si="539"/>
        <v>308</v>
      </c>
      <c r="I1229" t="str">
        <f t="shared" si="540"/>
        <v>XLV</v>
      </c>
      <c r="J1229">
        <f t="shared" si="541"/>
        <v>93.15</v>
      </c>
      <c r="K1229">
        <f t="shared" si="542"/>
        <v>102</v>
      </c>
      <c r="L1229">
        <f t="shared" si="543"/>
        <v>97.575000000000003</v>
      </c>
      <c r="M1229">
        <f t="shared" si="544"/>
        <v>4.4249999999999972</v>
      </c>
      <c r="N1229">
        <f t="shared" si="534"/>
        <v>8.8499999999999943</v>
      </c>
      <c r="O1229">
        <f t="shared" si="545"/>
        <v>98.96</v>
      </c>
      <c r="P1229">
        <f t="shared" si="546"/>
        <v>0.31299435028248401</v>
      </c>
      <c r="Q1229" t="str">
        <f t="shared" si="535"/>
        <v>5.87% | 3.07%</v>
      </c>
      <c r="R1229" t="str">
        <f t="shared" si="547"/>
        <v>BULLISH</v>
      </c>
      <c r="S1229">
        <f t="shared" si="536"/>
        <v>1</v>
      </c>
    </row>
    <row r="1230" spans="1:19" hidden="1" x14ac:dyDescent="0.25">
      <c r="A1230" s="5" t="str">
        <f t="shared" si="533"/>
        <v>43945XLU</v>
      </c>
      <c r="B1230" s="6" t="s">
        <v>52</v>
      </c>
      <c r="C1230" s="6">
        <v>56.2</v>
      </c>
      <c r="D1230" s="6">
        <v>60.99</v>
      </c>
      <c r="E1230" s="6">
        <v>57.96</v>
      </c>
      <c r="F1230" t="str">
        <f t="shared" si="537"/>
        <v>FRI</v>
      </c>
      <c r="G1230" s="3">
        <f t="shared" si="538"/>
        <v>43945</v>
      </c>
      <c r="H1230" s="2">
        <f t="shared" ca="1" si="539"/>
        <v>308</v>
      </c>
      <c r="I1230" t="str">
        <f t="shared" si="540"/>
        <v>XLU</v>
      </c>
      <c r="J1230">
        <f t="shared" si="541"/>
        <v>56.2</v>
      </c>
      <c r="K1230">
        <f t="shared" si="542"/>
        <v>60.99</v>
      </c>
      <c r="L1230">
        <f t="shared" si="543"/>
        <v>58.594999999999999</v>
      </c>
      <c r="M1230">
        <f t="shared" si="544"/>
        <v>2.3949999999999996</v>
      </c>
      <c r="N1230">
        <f t="shared" si="534"/>
        <v>4.7899999999999991</v>
      </c>
      <c r="O1230">
        <f t="shared" si="545"/>
        <v>57.96</v>
      </c>
      <c r="P1230">
        <f t="shared" si="546"/>
        <v>-0.26513569937369441</v>
      </c>
      <c r="Q1230" t="str">
        <f t="shared" si="535"/>
        <v>3.04% | 5.23%</v>
      </c>
      <c r="R1230" t="str">
        <f t="shared" si="547"/>
        <v>BULLISH</v>
      </c>
      <c r="S1230">
        <f t="shared" si="536"/>
        <v>1</v>
      </c>
    </row>
    <row r="1231" spans="1:19" hidden="1" x14ac:dyDescent="0.25">
      <c r="A1231" s="5" t="str">
        <f t="shared" si="533"/>
        <v>43945XLK</v>
      </c>
      <c r="B1231" s="6" t="s">
        <v>65</v>
      </c>
      <c r="C1231" s="6">
        <v>83.13</v>
      </c>
      <c r="D1231" s="6">
        <v>90.3</v>
      </c>
      <c r="E1231" s="6">
        <v>86.79</v>
      </c>
      <c r="F1231" t="str">
        <f t="shared" si="537"/>
        <v>FRI</v>
      </c>
      <c r="G1231" s="3">
        <f t="shared" si="538"/>
        <v>43945</v>
      </c>
      <c r="H1231" s="2">
        <f t="shared" ca="1" si="539"/>
        <v>308</v>
      </c>
      <c r="I1231" t="str">
        <f t="shared" si="540"/>
        <v>XLK</v>
      </c>
      <c r="J1231">
        <f t="shared" si="541"/>
        <v>83.13</v>
      </c>
      <c r="K1231">
        <f t="shared" si="542"/>
        <v>90.3</v>
      </c>
      <c r="L1231">
        <f t="shared" si="543"/>
        <v>86.715000000000003</v>
      </c>
      <c r="M1231">
        <f t="shared" si="544"/>
        <v>3.5850000000000009</v>
      </c>
      <c r="N1231">
        <f t="shared" si="534"/>
        <v>7.1700000000000017</v>
      </c>
      <c r="O1231">
        <f t="shared" si="545"/>
        <v>86.79</v>
      </c>
      <c r="P1231">
        <f t="shared" si="546"/>
        <v>2.0920502092050996E-2</v>
      </c>
      <c r="Q1231" t="str">
        <f t="shared" si="535"/>
        <v>4.22% | 4.04%</v>
      </c>
      <c r="R1231" t="str">
        <f t="shared" si="547"/>
        <v>BEARISH</v>
      </c>
      <c r="S1231">
        <f t="shared" si="536"/>
        <v>-1</v>
      </c>
    </row>
    <row r="1232" spans="1:19" hidden="1" x14ac:dyDescent="0.25">
      <c r="A1232" s="5" t="str">
        <f t="shared" si="533"/>
        <v>43945XLF</v>
      </c>
      <c r="B1232" s="6" t="s">
        <v>12</v>
      </c>
      <c r="C1232" s="6">
        <v>19.93</v>
      </c>
      <c r="D1232" s="6">
        <v>22.9</v>
      </c>
      <c r="E1232" s="6">
        <v>21.43</v>
      </c>
      <c r="F1232" t="str">
        <f t="shared" si="537"/>
        <v>FRI</v>
      </c>
      <c r="G1232" s="3">
        <f t="shared" si="538"/>
        <v>43945</v>
      </c>
      <c r="H1232" s="2">
        <f t="shared" ca="1" si="539"/>
        <v>308</v>
      </c>
      <c r="I1232" t="str">
        <f t="shared" si="540"/>
        <v>XLF</v>
      </c>
      <c r="J1232">
        <f t="shared" si="541"/>
        <v>19.93</v>
      </c>
      <c r="K1232">
        <f t="shared" si="542"/>
        <v>22.9</v>
      </c>
      <c r="L1232">
        <f t="shared" si="543"/>
        <v>21.414999999999999</v>
      </c>
      <c r="M1232">
        <f t="shared" si="544"/>
        <v>1.4849999999999994</v>
      </c>
      <c r="N1232">
        <f t="shared" si="534"/>
        <v>2.9699999999999989</v>
      </c>
      <c r="O1232">
        <f t="shared" si="545"/>
        <v>21.43</v>
      </c>
      <c r="P1232">
        <f t="shared" si="546"/>
        <v>1.0101010101010487E-2</v>
      </c>
      <c r="Q1232" t="str">
        <f t="shared" si="535"/>
        <v>7% | 6.86%</v>
      </c>
      <c r="R1232" t="str">
        <f t="shared" si="547"/>
        <v>BEARISH</v>
      </c>
      <c r="S1232">
        <f t="shared" si="536"/>
        <v>-1</v>
      </c>
    </row>
    <row r="1233" spans="1:19" hidden="1" x14ac:dyDescent="0.25">
      <c r="A1233" s="5" t="str">
        <f t="shared" si="533"/>
        <v>43945SSEC</v>
      </c>
      <c r="B1233" s="6" t="s">
        <v>14</v>
      </c>
      <c r="C1233" s="6">
        <v>2767</v>
      </c>
      <c r="D1233" s="6">
        <v>2865</v>
      </c>
      <c r="E1233" s="6">
        <v>2808</v>
      </c>
      <c r="F1233" t="str">
        <f t="shared" si="537"/>
        <v>FRI</v>
      </c>
      <c r="G1233" s="3">
        <f t="shared" si="538"/>
        <v>43945</v>
      </c>
      <c r="H1233" s="2">
        <f t="shared" ca="1" si="539"/>
        <v>308</v>
      </c>
      <c r="I1233" t="str">
        <f t="shared" si="540"/>
        <v>SSEC</v>
      </c>
      <c r="J1233">
        <f t="shared" si="541"/>
        <v>2767</v>
      </c>
      <c r="K1233">
        <f t="shared" si="542"/>
        <v>2865</v>
      </c>
      <c r="L1233">
        <f t="shared" si="543"/>
        <v>2816</v>
      </c>
      <c r="M1233">
        <f t="shared" si="544"/>
        <v>49</v>
      </c>
      <c r="N1233">
        <f t="shared" si="534"/>
        <v>98</v>
      </c>
      <c r="O1233">
        <f t="shared" si="545"/>
        <v>2808</v>
      </c>
      <c r="P1233">
        <f t="shared" si="546"/>
        <v>-0.16326530612244897</v>
      </c>
      <c r="Q1233" t="str">
        <f t="shared" si="535"/>
        <v>1.46% | 2.03%</v>
      </c>
      <c r="R1233" t="str">
        <f t="shared" si="547"/>
        <v>BEARISH</v>
      </c>
      <c r="S1233">
        <f t="shared" si="536"/>
        <v>-1</v>
      </c>
    </row>
    <row r="1234" spans="1:19" hidden="1" x14ac:dyDescent="0.25">
      <c r="A1234" s="5" t="str">
        <f t="shared" si="533"/>
        <v>43945NIKK</v>
      </c>
      <c r="B1234" s="6" t="s">
        <v>15</v>
      </c>
      <c r="C1234" s="6">
        <v>18816</v>
      </c>
      <c r="D1234" s="6">
        <v>19960</v>
      </c>
      <c r="E1234" s="6">
        <v>19262</v>
      </c>
      <c r="F1234" t="str">
        <f t="shared" si="537"/>
        <v>FRI</v>
      </c>
      <c r="G1234" s="3">
        <f t="shared" si="538"/>
        <v>43945</v>
      </c>
      <c r="H1234" s="2">
        <f t="shared" ca="1" si="539"/>
        <v>308</v>
      </c>
      <c r="I1234" t="str">
        <f t="shared" si="540"/>
        <v>NIKK</v>
      </c>
      <c r="J1234">
        <f t="shared" si="541"/>
        <v>18816</v>
      </c>
      <c r="K1234">
        <f t="shared" si="542"/>
        <v>19960</v>
      </c>
      <c r="L1234">
        <f t="shared" si="543"/>
        <v>19388</v>
      </c>
      <c r="M1234">
        <f t="shared" si="544"/>
        <v>572</v>
      </c>
      <c r="N1234">
        <f t="shared" si="534"/>
        <v>1144</v>
      </c>
      <c r="O1234">
        <f t="shared" si="545"/>
        <v>19262</v>
      </c>
      <c r="P1234">
        <f t="shared" si="546"/>
        <v>-0.22027972027972029</v>
      </c>
      <c r="Q1234" t="str">
        <f t="shared" si="535"/>
        <v>2.32% | 3.62%</v>
      </c>
      <c r="R1234" t="str">
        <f t="shared" si="547"/>
        <v>BEARISH</v>
      </c>
      <c r="S1234">
        <f t="shared" si="536"/>
        <v>-1</v>
      </c>
    </row>
    <row r="1235" spans="1:19" hidden="1" x14ac:dyDescent="0.25">
      <c r="A1235" s="5" t="str">
        <f t="shared" si="533"/>
        <v>43945DAX</v>
      </c>
      <c r="B1235" s="6" t="s">
        <v>16</v>
      </c>
      <c r="C1235" s="6">
        <v>10106</v>
      </c>
      <c r="D1235" s="6">
        <v>10802</v>
      </c>
      <c r="E1235" s="6">
        <v>10506</v>
      </c>
      <c r="F1235" t="str">
        <f t="shared" si="537"/>
        <v>FRI</v>
      </c>
      <c r="G1235" s="3">
        <f t="shared" si="538"/>
        <v>43945</v>
      </c>
      <c r="H1235" s="2">
        <f t="shared" ca="1" si="539"/>
        <v>308</v>
      </c>
      <c r="I1235" t="str">
        <f t="shared" si="540"/>
        <v>DAX</v>
      </c>
      <c r="J1235">
        <f t="shared" si="541"/>
        <v>10106</v>
      </c>
      <c r="K1235">
        <f t="shared" si="542"/>
        <v>10802</v>
      </c>
      <c r="L1235">
        <f t="shared" si="543"/>
        <v>10454</v>
      </c>
      <c r="M1235">
        <f t="shared" si="544"/>
        <v>348</v>
      </c>
      <c r="N1235">
        <f t="shared" si="534"/>
        <v>696</v>
      </c>
      <c r="O1235">
        <f t="shared" si="545"/>
        <v>10506</v>
      </c>
      <c r="P1235">
        <f t="shared" si="546"/>
        <v>0.14942528735632185</v>
      </c>
      <c r="Q1235" t="str">
        <f t="shared" si="535"/>
        <v>3.81% | 2.82%</v>
      </c>
      <c r="R1235" t="str">
        <f t="shared" si="547"/>
        <v>BEARISH</v>
      </c>
      <c r="S1235">
        <f t="shared" si="536"/>
        <v>-1</v>
      </c>
    </row>
    <row r="1236" spans="1:19" hidden="1" x14ac:dyDescent="0.25">
      <c r="A1236" s="5" t="str">
        <f t="shared" si="533"/>
        <v>43945VIX</v>
      </c>
      <c r="B1236" s="6" t="s">
        <v>17</v>
      </c>
      <c r="C1236" s="6">
        <v>36.68</v>
      </c>
      <c r="D1236" s="6">
        <v>47.96</v>
      </c>
      <c r="E1236" s="6">
        <v>41.38</v>
      </c>
      <c r="F1236" t="str">
        <f t="shared" si="537"/>
        <v>FRI</v>
      </c>
      <c r="G1236" s="3">
        <f t="shared" si="538"/>
        <v>43945</v>
      </c>
      <c r="H1236" s="2">
        <f t="shared" ca="1" si="539"/>
        <v>308</v>
      </c>
      <c r="I1236" t="str">
        <f t="shared" si="540"/>
        <v>VIX</v>
      </c>
      <c r="J1236">
        <f t="shared" si="541"/>
        <v>36.68</v>
      </c>
      <c r="K1236">
        <f t="shared" si="542"/>
        <v>47.96</v>
      </c>
      <c r="L1236">
        <f t="shared" si="543"/>
        <v>42.32</v>
      </c>
      <c r="M1236">
        <f t="shared" si="544"/>
        <v>5.6399999999999837</v>
      </c>
      <c r="N1236">
        <f t="shared" si="534"/>
        <v>11.280000000000001</v>
      </c>
      <c r="O1236">
        <f t="shared" si="545"/>
        <v>41.38</v>
      </c>
      <c r="P1236">
        <f t="shared" si="546"/>
        <v>-0.16666666666666674</v>
      </c>
      <c r="Q1236" t="str">
        <f t="shared" si="535"/>
        <v>11.36% | 15.9%</v>
      </c>
      <c r="R1236" t="str">
        <f t="shared" si="547"/>
        <v>BULLISH</v>
      </c>
      <c r="S1236">
        <f t="shared" si="536"/>
        <v>1</v>
      </c>
    </row>
    <row r="1237" spans="1:19" hidden="1" x14ac:dyDescent="0.25">
      <c r="A1237" s="5" t="str">
        <f t="shared" si="533"/>
        <v>43945USD</v>
      </c>
      <c r="B1237" s="6" t="s">
        <v>18</v>
      </c>
      <c r="C1237" s="6">
        <v>98.82</v>
      </c>
      <c r="D1237" s="6">
        <v>101.2</v>
      </c>
      <c r="E1237" s="6">
        <v>100.54</v>
      </c>
      <c r="F1237" t="str">
        <f t="shared" si="537"/>
        <v>FRI</v>
      </c>
      <c r="G1237" s="3">
        <f t="shared" si="538"/>
        <v>43945</v>
      </c>
      <c r="H1237" s="2">
        <f t="shared" ca="1" si="539"/>
        <v>308</v>
      </c>
      <c r="I1237" t="str">
        <f t="shared" si="540"/>
        <v>USD</v>
      </c>
      <c r="J1237">
        <f t="shared" si="541"/>
        <v>98.82</v>
      </c>
      <c r="K1237">
        <f t="shared" si="542"/>
        <v>101.2</v>
      </c>
      <c r="L1237">
        <f t="shared" si="543"/>
        <v>100.00999999999999</v>
      </c>
      <c r="M1237">
        <f t="shared" si="544"/>
        <v>1.1900000000000048</v>
      </c>
      <c r="N1237">
        <f t="shared" si="534"/>
        <v>2.3800000000000097</v>
      </c>
      <c r="O1237">
        <f t="shared" si="545"/>
        <v>100.54</v>
      </c>
      <c r="P1237">
        <f t="shared" si="546"/>
        <v>0.44537815126051528</v>
      </c>
      <c r="Q1237" t="str">
        <f t="shared" si="535"/>
        <v>1.71% | 0.66%</v>
      </c>
      <c r="R1237" t="str">
        <f t="shared" si="547"/>
        <v>BULLISH</v>
      </c>
      <c r="S1237">
        <f t="shared" si="536"/>
        <v>1</v>
      </c>
    </row>
    <row r="1238" spans="1:19" hidden="1" x14ac:dyDescent="0.25">
      <c r="A1238" s="5" t="str">
        <f t="shared" si="533"/>
        <v>43945EUR/USD</v>
      </c>
      <c r="B1238" s="6" t="s">
        <v>19</v>
      </c>
      <c r="C1238" s="6">
        <v>1.07</v>
      </c>
      <c r="D1238" s="6">
        <v>1.0900000000000001</v>
      </c>
      <c r="E1238" s="6">
        <v>1.07</v>
      </c>
      <c r="F1238" t="str">
        <f t="shared" si="537"/>
        <v>FRI</v>
      </c>
      <c r="G1238" s="3">
        <f t="shared" si="538"/>
        <v>43945</v>
      </c>
      <c r="H1238" s="2">
        <f t="shared" ca="1" si="539"/>
        <v>308</v>
      </c>
      <c r="I1238" t="str">
        <f t="shared" si="540"/>
        <v>EUR/USD</v>
      </c>
      <c r="J1238">
        <f t="shared" si="541"/>
        <v>1.07</v>
      </c>
      <c r="K1238">
        <f t="shared" si="542"/>
        <v>1.0900000000000001</v>
      </c>
      <c r="L1238">
        <f t="shared" si="543"/>
        <v>1.08</v>
      </c>
      <c r="M1238">
        <f t="shared" si="544"/>
        <v>1.0000000000000009E-2</v>
      </c>
      <c r="N1238">
        <f t="shared" si="534"/>
        <v>2.0000000000000018E-2</v>
      </c>
      <c r="O1238">
        <f t="shared" si="545"/>
        <v>1.07</v>
      </c>
      <c r="P1238">
        <f t="shared" si="546"/>
        <v>-1</v>
      </c>
      <c r="Q1238" t="str">
        <f t="shared" si="535"/>
        <v>0% | 1.87%</v>
      </c>
      <c r="R1238" t="str">
        <f t="shared" si="547"/>
        <v>BEARISH</v>
      </c>
      <c r="S1238">
        <f t="shared" si="536"/>
        <v>-1</v>
      </c>
    </row>
    <row r="1239" spans="1:19" hidden="1" x14ac:dyDescent="0.25">
      <c r="A1239" s="5" t="str">
        <f t="shared" si="533"/>
        <v>43945USD/JPY</v>
      </c>
      <c r="B1239" s="6" t="s">
        <v>86</v>
      </c>
      <c r="C1239" s="6">
        <v>106.85</v>
      </c>
      <c r="D1239" s="6">
        <v>109</v>
      </c>
      <c r="E1239" s="6">
        <v>107.63</v>
      </c>
      <c r="F1239" t="str">
        <f t="shared" si="537"/>
        <v>FRI</v>
      </c>
      <c r="G1239" s="3">
        <f t="shared" si="538"/>
        <v>43945</v>
      </c>
      <c r="H1239" s="2">
        <f t="shared" ca="1" si="539"/>
        <v>308</v>
      </c>
      <c r="I1239" t="str">
        <f t="shared" si="540"/>
        <v>USD/JPY</v>
      </c>
      <c r="J1239">
        <f t="shared" si="541"/>
        <v>106.85</v>
      </c>
      <c r="K1239">
        <f t="shared" si="542"/>
        <v>109</v>
      </c>
      <c r="L1239">
        <f t="shared" si="543"/>
        <v>107.925</v>
      </c>
      <c r="M1239">
        <f t="shared" si="544"/>
        <v>1.0750000000000028</v>
      </c>
      <c r="N1239">
        <f t="shared" si="534"/>
        <v>2.1500000000000057</v>
      </c>
      <c r="O1239">
        <f t="shared" si="545"/>
        <v>107.63</v>
      </c>
      <c r="P1239">
        <f t="shared" si="546"/>
        <v>-0.27441860465116363</v>
      </c>
      <c r="Q1239" t="str">
        <f t="shared" si="535"/>
        <v>0.72% | 1.27%</v>
      </c>
      <c r="R1239" t="str">
        <f t="shared" si="547"/>
        <v>NEUTRAL</v>
      </c>
      <c r="S1239">
        <f t="shared" si="536"/>
        <v>0</v>
      </c>
    </row>
    <row r="1240" spans="1:19" hidden="1" x14ac:dyDescent="0.25">
      <c r="A1240" s="5" t="str">
        <f t="shared" si="533"/>
        <v>43945GBP/USD</v>
      </c>
      <c r="B1240" s="6" t="s">
        <v>21</v>
      </c>
      <c r="C1240" s="6">
        <v>1.22</v>
      </c>
      <c r="D1240" s="6">
        <v>1.26</v>
      </c>
      <c r="E1240" s="6">
        <v>1.23</v>
      </c>
      <c r="F1240" t="str">
        <f t="shared" si="537"/>
        <v>FRI</v>
      </c>
      <c r="G1240" s="3">
        <f t="shared" si="538"/>
        <v>43945</v>
      </c>
      <c r="H1240" s="2">
        <f t="shared" ca="1" si="539"/>
        <v>308</v>
      </c>
      <c r="I1240" t="str">
        <f t="shared" si="540"/>
        <v>GBP/USD</v>
      </c>
      <c r="J1240">
        <f t="shared" si="541"/>
        <v>1.22</v>
      </c>
      <c r="K1240">
        <f t="shared" si="542"/>
        <v>1.26</v>
      </c>
      <c r="L1240">
        <f t="shared" si="543"/>
        <v>1.24</v>
      </c>
      <c r="M1240">
        <f t="shared" si="544"/>
        <v>2.0000000000000018E-2</v>
      </c>
      <c r="N1240">
        <f t="shared" si="534"/>
        <v>4.0000000000000036E-2</v>
      </c>
      <c r="O1240">
        <f t="shared" si="545"/>
        <v>1.23</v>
      </c>
      <c r="P1240">
        <f t="shared" si="546"/>
        <v>-0.5</v>
      </c>
      <c r="Q1240" t="str">
        <f t="shared" si="535"/>
        <v>0.81% | 2.44%</v>
      </c>
      <c r="R1240" t="str">
        <f t="shared" si="547"/>
        <v>BEARISH</v>
      </c>
      <c r="S1240">
        <f t="shared" si="536"/>
        <v>-1</v>
      </c>
    </row>
    <row r="1241" spans="1:19" hidden="1" x14ac:dyDescent="0.25">
      <c r="A1241" s="5" t="str">
        <f t="shared" si="533"/>
        <v>43945USD/CHF</v>
      </c>
      <c r="B1241" s="6" t="s">
        <v>22</v>
      </c>
      <c r="C1241" s="6">
        <v>0.96</v>
      </c>
      <c r="D1241" s="6">
        <v>0.98</v>
      </c>
      <c r="E1241" s="6">
        <v>0.97</v>
      </c>
      <c r="F1241" t="str">
        <f t="shared" si="537"/>
        <v>FRI</v>
      </c>
      <c r="G1241" s="3">
        <f t="shared" si="538"/>
        <v>43945</v>
      </c>
      <c r="H1241" s="2">
        <f t="shared" ca="1" si="539"/>
        <v>308</v>
      </c>
      <c r="I1241" t="str">
        <f t="shared" si="540"/>
        <v>USD/CHF</v>
      </c>
      <c r="J1241">
        <f t="shared" si="541"/>
        <v>0.96</v>
      </c>
      <c r="K1241">
        <f t="shared" si="542"/>
        <v>0.98</v>
      </c>
      <c r="L1241">
        <f t="shared" si="543"/>
        <v>0.97</v>
      </c>
      <c r="M1241">
        <f t="shared" si="544"/>
        <v>1.0000000000000009E-2</v>
      </c>
      <c r="N1241">
        <f t="shared" si="534"/>
        <v>2.0000000000000018E-2</v>
      </c>
      <c r="O1241">
        <f t="shared" si="545"/>
        <v>0.97</v>
      </c>
      <c r="P1241">
        <f t="shared" si="546"/>
        <v>0</v>
      </c>
      <c r="Q1241" t="str">
        <f t="shared" si="535"/>
        <v>1.03% | 1.03%</v>
      </c>
      <c r="R1241" t="str">
        <f t="shared" si="547"/>
        <v>NEUTRAL</v>
      </c>
      <c r="S1241">
        <f t="shared" si="536"/>
        <v>0</v>
      </c>
    </row>
    <row r="1242" spans="1:19" hidden="1" x14ac:dyDescent="0.25">
      <c r="A1242" s="5" t="str">
        <f t="shared" si="533"/>
        <v>43945WTIC</v>
      </c>
      <c r="B1242" s="6" t="s">
        <v>23</v>
      </c>
      <c r="C1242" s="6">
        <v>10.29</v>
      </c>
      <c r="D1242" s="6">
        <v>19.670000000000002</v>
      </c>
      <c r="E1242" s="6">
        <v>16.5</v>
      </c>
      <c r="F1242" t="str">
        <f t="shared" si="537"/>
        <v>FRI</v>
      </c>
      <c r="G1242" s="3">
        <f t="shared" si="538"/>
        <v>43945</v>
      </c>
      <c r="H1242" s="2">
        <f t="shared" ca="1" si="539"/>
        <v>308</v>
      </c>
      <c r="I1242" t="str">
        <f t="shared" si="540"/>
        <v>WTIC</v>
      </c>
      <c r="J1242">
        <f t="shared" si="541"/>
        <v>10.29</v>
      </c>
      <c r="K1242">
        <f t="shared" si="542"/>
        <v>19.670000000000002</v>
      </c>
      <c r="L1242">
        <f t="shared" si="543"/>
        <v>14.98</v>
      </c>
      <c r="M1242">
        <f t="shared" si="544"/>
        <v>4.6900000000000013</v>
      </c>
      <c r="N1242">
        <f t="shared" si="534"/>
        <v>9.3800000000000026</v>
      </c>
      <c r="O1242">
        <f t="shared" si="545"/>
        <v>16.5</v>
      </c>
      <c r="P1242">
        <f t="shared" si="546"/>
        <v>0.32409381663112991</v>
      </c>
      <c r="Q1242" t="str">
        <f t="shared" si="535"/>
        <v>37.64% | 19.21%</v>
      </c>
      <c r="R1242" t="str">
        <f t="shared" si="547"/>
        <v>BEARISH</v>
      </c>
      <c r="S1242">
        <f t="shared" si="536"/>
        <v>-1</v>
      </c>
    </row>
    <row r="1243" spans="1:19" hidden="1" x14ac:dyDescent="0.25">
      <c r="A1243" s="5" t="str">
        <f t="shared" si="533"/>
        <v>43945NATGAS</v>
      </c>
      <c r="B1243" s="6" t="s">
        <v>24</v>
      </c>
      <c r="C1243" s="6">
        <v>1.51</v>
      </c>
      <c r="D1243" s="6">
        <v>2.0499999999999998</v>
      </c>
      <c r="E1243" s="6">
        <v>1.94</v>
      </c>
      <c r="F1243" t="str">
        <f t="shared" si="537"/>
        <v>FRI</v>
      </c>
      <c r="G1243" s="3">
        <f t="shared" si="538"/>
        <v>43945</v>
      </c>
      <c r="H1243" s="2">
        <f t="shared" ca="1" si="539"/>
        <v>308</v>
      </c>
      <c r="I1243" t="str">
        <f t="shared" si="540"/>
        <v>NATGAS</v>
      </c>
      <c r="J1243">
        <f t="shared" si="541"/>
        <v>1.51</v>
      </c>
      <c r="K1243">
        <f t="shared" si="542"/>
        <v>2.0499999999999998</v>
      </c>
      <c r="L1243">
        <f t="shared" si="543"/>
        <v>1.7799999999999998</v>
      </c>
      <c r="M1243">
        <f t="shared" si="544"/>
        <v>0.27000000000000118</v>
      </c>
      <c r="N1243">
        <f t="shared" si="534"/>
        <v>0.53999999999999981</v>
      </c>
      <c r="O1243">
        <f t="shared" si="545"/>
        <v>1.94</v>
      </c>
      <c r="P1243">
        <f t="shared" si="546"/>
        <v>0.59259259259259056</v>
      </c>
      <c r="Q1243" t="str">
        <f t="shared" si="535"/>
        <v>22.16% | 5.67%</v>
      </c>
      <c r="R1243" t="str">
        <f t="shared" si="547"/>
        <v>BEARISH</v>
      </c>
      <c r="S1243">
        <f t="shared" si="536"/>
        <v>-1</v>
      </c>
    </row>
    <row r="1244" spans="1:19" hidden="1" x14ac:dyDescent="0.25">
      <c r="A1244" s="5" t="str">
        <f t="shared" si="533"/>
        <v>43945GOLD</v>
      </c>
      <c r="B1244" s="6" t="s">
        <v>25</v>
      </c>
      <c r="C1244" s="6">
        <v>1680</v>
      </c>
      <c r="D1244" s="6">
        <v>1785</v>
      </c>
      <c r="E1244" s="6">
        <v>1745</v>
      </c>
      <c r="F1244" t="str">
        <f t="shared" si="537"/>
        <v>FRI</v>
      </c>
      <c r="G1244" s="3">
        <f t="shared" si="538"/>
        <v>43945</v>
      </c>
      <c r="H1244" s="2">
        <f t="shared" ca="1" si="539"/>
        <v>308</v>
      </c>
      <c r="I1244" t="str">
        <f t="shared" si="540"/>
        <v>GOLD</v>
      </c>
      <c r="J1244">
        <f t="shared" si="541"/>
        <v>1680</v>
      </c>
      <c r="K1244">
        <f t="shared" si="542"/>
        <v>1785</v>
      </c>
      <c r="L1244">
        <f t="shared" si="543"/>
        <v>1732.5</v>
      </c>
      <c r="M1244">
        <f t="shared" si="544"/>
        <v>52.5</v>
      </c>
      <c r="N1244">
        <f t="shared" si="534"/>
        <v>105</v>
      </c>
      <c r="O1244">
        <f t="shared" si="545"/>
        <v>1745</v>
      </c>
      <c r="P1244">
        <f t="shared" si="546"/>
        <v>0.23809523809523808</v>
      </c>
      <c r="Q1244" t="str">
        <f t="shared" si="535"/>
        <v>3.72% | 2.29%</v>
      </c>
      <c r="R1244" t="str">
        <f t="shared" si="547"/>
        <v>BULLISH</v>
      </c>
      <c r="S1244">
        <f t="shared" si="536"/>
        <v>1</v>
      </c>
    </row>
    <row r="1245" spans="1:19" hidden="1" x14ac:dyDescent="0.25">
      <c r="A1245" s="5" t="str">
        <f t="shared" si="533"/>
        <v>43945COPPER</v>
      </c>
      <c r="B1245" s="6" t="s">
        <v>26</v>
      </c>
      <c r="C1245" s="6">
        <v>2.21</v>
      </c>
      <c r="D1245" s="6">
        <v>2.35</v>
      </c>
      <c r="E1245" s="6">
        <v>2.31</v>
      </c>
      <c r="F1245" t="str">
        <f t="shared" si="537"/>
        <v>FRI</v>
      </c>
      <c r="G1245" s="3">
        <f t="shared" si="538"/>
        <v>43945</v>
      </c>
      <c r="H1245" s="2">
        <f t="shared" ca="1" si="539"/>
        <v>308</v>
      </c>
      <c r="I1245" t="str">
        <f t="shared" si="540"/>
        <v>COPPER</v>
      </c>
      <c r="J1245">
        <f t="shared" si="541"/>
        <v>2.21</v>
      </c>
      <c r="K1245">
        <f t="shared" si="542"/>
        <v>2.35</v>
      </c>
      <c r="L1245">
        <f t="shared" si="543"/>
        <v>2.2800000000000002</v>
      </c>
      <c r="M1245">
        <f t="shared" si="544"/>
        <v>7.0000000000000062E-2</v>
      </c>
      <c r="N1245">
        <f t="shared" si="534"/>
        <v>0.14000000000000012</v>
      </c>
      <c r="O1245">
        <f t="shared" si="545"/>
        <v>2.31</v>
      </c>
      <c r="P1245">
        <f t="shared" si="546"/>
        <v>0.42857142857142538</v>
      </c>
      <c r="Q1245" t="str">
        <f t="shared" si="535"/>
        <v>4.33% | 1.73%</v>
      </c>
      <c r="R1245" t="str">
        <f t="shared" si="547"/>
        <v>BEARISH</v>
      </c>
      <c r="S1245">
        <f t="shared" si="536"/>
        <v>-1</v>
      </c>
    </row>
    <row r="1246" spans="1:19" hidden="1" x14ac:dyDescent="0.25">
      <c r="A1246" s="5" t="str">
        <f t="shared" si="533"/>
        <v>43945MSFT</v>
      </c>
      <c r="B1246" s="6" t="s">
        <v>27</v>
      </c>
      <c r="C1246" s="6">
        <v>162</v>
      </c>
      <c r="D1246" s="6">
        <v>180</v>
      </c>
      <c r="E1246" s="6">
        <v>171</v>
      </c>
      <c r="F1246" t="str">
        <f t="shared" si="537"/>
        <v>FRI</v>
      </c>
      <c r="G1246" s="3">
        <f t="shared" si="538"/>
        <v>43945</v>
      </c>
      <c r="H1246" s="2">
        <f t="shared" ca="1" si="539"/>
        <v>308</v>
      </c>
      <c r="I1246" t="str">
        <f t="shared" si="540"/>
        <v>MSFT</v>
      </c>
      <c r="J1246">
        <f t="shared" si="541"/>
        <v>162</v>
      </c>
      <c r="K1246">
        <f t="shared" si="542"/>
        <v>180</v>
      </c>
      <c r="L1246">
        <f t="shared" si="543"/>
        <v>171</v>
      </c>
      <c r="M1246">
        <f t="shared" si="544"/>
        <v>9</v>
      </c>
      <c r="N1246">
        <f t="shared" si="534"/>
        <v>18</v>
      </c>
      <c r="O1246">
        <f t="shared" si="545"/>
        <v>171</v>
      </c>
      <c r="P1246">
        <f t="shared" si="546"/>
        <v>0</v>
      </c>
      <c r="Q1246" t="str">
        <f t="shared" si="535"/>
        <v>5.26% | 5.26%</v>
      </c>
      <c r="R1246" t="str">
        <f t="shared" si="547"/>
        <v>BULLISH</v>
      </c>
      <c r="S1246">
        <f t="shared" si="536"/>
        <v>1</v>
      </c>
    </row>
    <row r="1247" spans="1:19" hidden="1" x14ac:dyDescent="0.25">
      <c r="A1247" s="5" t="str">
        <f t="shared" si="533"/>
        <v>43945AAPL</v>
      </c>
      <c r="B1247" s="6" t="s">
        <v>68</v>
      </c>
      <c r="C1247" s="6">
        <v>260</v>
      </c>
      <c r="D1247" s="6">
        <v>290</v>
      </c>
      <c r="E1247" s="6">
        <v>275</v>
      </c>
      <c r="F1247" t="str">
        <f t="shared" si="537"/>
        <v>FRI</v>
      </c>
      <c r="G1247" s="3">
        <f t="shared" si="538"/>
        <v>43945</v>
      </c>
      <c r="H1247" s="2">
        <f t="shared" ca="1" si="539"/>
        <v>308</v>
      </c>
      <c r="I1247" t="str">
        <f t="shared" si="540"/>
        <v>AAPL</v>
      </c>
      <c r="J1247">
        <f t="shared" si="541"/>
        <v>260</v>
      </c>
      <c r="K1247">
        <f t="shared" si="542"/>
        <v>290</v>
      </c>
      <c r="L1247">
        <f t="shared" si="543"/>
        <v>275</v>
      </c>
      <c r="M1247">
        <f t="shared" si="544"/>
        <v>15</v>
      </c>
      <c r="N1247">
        <f t="shared" si="534"/>
        <v>30</v>
      </c>
      <c r="O1247">
        <f t="shared" si="545"/>
        <v>275</v>
      </c>
      <c r="P1247">
        <f t="shared" si="546"/>
        <v>0</v>
      </c>
      <c r="Q1247" t="str">
        <f t="shared" si="535"/>
        <v>5.45% | 5.45%</v>
      </c>
      <c r="R1247" t="str">
        <f t="shared" si="547"/>
        <v>BEARISH</v>
      </c>
      <c r="S1247">
        <f t="shared" si="536"/>
        <v>-1</v>
      </c>
    </row>
    <row r="1248" spans="1:19" hidden="1" x14ac:dyDescent="0.25">
      <c r="A1248" s="5" t="str">
        <f t="shared" si="533"/>
        <v>43945AMZN</v>
      </c>
      <c r="B1248" s="6" t="s">
        <v>29</v>
      </c>
      <c r="C1248" s="6">
        <v>2199</v>
      </c>
      <c r="D1248" s="6">
        <v>2490</v>
      </c>
      <c r="E1248" s="6">
        <v>2399</v>
      </c>
      <c r="F1248" t="str">
        <f t="shared" si="537"/>
        <v>FRI</v>
      </c>
      <c r="G1248" s="3">
        <f t="shared" si="538"/>
        <v>43945</v>
      </c>
      <c r="H1248" s="2">
        <f t="shared" ca="1" si="539"/>
        <v>308</v>
      </c>
      <c r="I1248" t="str">
        <f t="shared" si="540"/>
        <v>AMZN</v>
      </c>
      <c r="J1248">
        <f t="shared" si="541"/>
        <v>2199</v>
      </c>
      <c r="K1248">
        <f t="shared" si="542"/>
        <v>2490</v>
      </c>
      <c r="L1248">
        <f t="shared" si="543"/>
        <v>2344.5</v>
      </c>
      <c r="M1248">
        <f t="shared" si="544"/>
        <v>145.5</v>
      </c>
      <c r="N1248">
        <f t="shared" si="534"/>
        <v>291</v>
      </c>
      <c r="O1248">
        <f t="shared" si="545"/>
        <v>2399</v>
      </c>
      <c r="P1248">
        <f t="shared" si="546"/>
        <v>0.37457044673539519</v>
      </c>
      <c r="Q1248" t="str">
        <f t="shared" si="535"/>
        <v>8.34% | 3.79%</v>
      </c>
      <c r="R1248" t="str">
        <f t="shared" si="547"/>
        <v>BULLISH</v>
      </c>
      <c r="S1248">
        <f t="shared" si="536"/>
        <v>1</v>
      </c>
    </row>
    <row r="1249" spans="1:19" hidden="1" x14ac:dyDescent="0.25">
      <c r="A1249" s="5" t="str">
        <f t="shared" si="533"/>
        <v>43945FB</v>
      </c>
      <c r="B1249" s="6" t="s">
        <v>58</v>
      </c>
      <c r="C1249" s="6">
        <v>166</v>
      </c>
      <c r="D1249" s="6">
        <v>186</v>
      </c>
      <c r="E1249" s="6">
        <v>185</v>
      </c>
      <c r="F1249" t="str">
        <f t="shared" si="537"/>
        <v>FRI</v>
      </c>
      <c r="G1249" s="3">
        <f t="shared" si="538"/>
        <v>43945</v>
      </c>
      <c r="H1249" s="2">
        <f t="shared" ca="1" si="539"/>
        <v>308</v>
      </c>
      <c r="I1249" t="str">
        <f t="shared" si="540"/>
        <v>FB</v>
      </c>
      <c r="J1249">
        <f t="shared" si="541"/>
        <v>166</v>
      </c>
      <c r="K1249">
        <f t="shared" si="542"/>
        <v>186</v>
      </c>
      <c r="L1249">
        <f t="shared" si="543"/>
        <v>176</v>
      </c>
      <c r="M1249">
        <f t="shared" si="544"/>
        <v>10</v>
      </c>
      <c r="N1249">
        <f t="shared" si="534"/>
        <v>20</v>
      </c>
      <c r="O1249">
        <f t="shared" si="545"/>
        <v>185</v>
      </c>
      <c r="P1249">
        <f t="shared" si="546"/>
        <v>0.9</v>
      </c>
      <c r="Q1249" t="str">
        <f t="shared" si="535"/>
        <v>10.27% | 0.54%</v>
      </c>
      <c r="R1249" t="str">
        <f t="shared" si="547"/>
        <v>BEARISH</v>
      </c>
      <c r="S1249">
        <f t="shared" si="536"/>
        <v>-1</v>
      </c>
    </row>
    <row r="1250" spans="1:19" hidden="1" x14ac:dyDescent="0.25">
      <c r="A1250" s="5" t="str">
        <f t="shared" si="533"/>
        <v>43945GOOGL</v>
      </c>
      <c r="B1250" s="6" t="s">
        <v>66</v>
      </c>
      <c r="C1250" s="6">
        <v>1196</v>
      </c>
      <c r="D1250" s="6">
        <v>1298</v>
      </c>
      <c r="E1250" s="6">
        <v>1271</v>
      </c>
      <c r="F1250" t="str">
        <f t="shared" si="537"/>
        <v>FRI</v>
      </c>
      <c r="G1250" s="3">
        <f t="shared" si="538"/>
        <v>43945</v>
      </c>
      <c r="H1250" s="2">
        <f t="shared" ca="1" si="539"/>
        <v>308</v>
      </c>
      <c r="I1250" t="str">
        <f t="shared" si="540"/>
        <v>GOOGL</v>
      </c>
      <c r="J1250">
        <f t="shared" si="541"/>
        <v>1196</v>
      </c>
      <c r="K1250">
        <f t="shared" si="542"/>
        <v>1298</v>
      </c>
      <c r="L1250">
        <f t="shared" si="543"/>
        <v>1247</v>
      </c>
      <c r="M1250">
        <f t="shared" si="544"/>
        <v>51</v>
      </c>
      <c r="N1250">
        <f t="shared" si="534"/>
        <v>102</v>
      </c>
      <c r="O1250">
        <f t="shared" si="545"/>
        <v>1271</v>
      </c>
      <c r="P1250">
        <f t="shared" si="546"/>
        <v>0.47058823529411764</v>
      </c>
      <c r="Q1250" t="str">
        <f t="shared" si="535"/>
        <v>5.9% | 2.12%</v>
      </c>
      <c r="R1250" t="str">
        <f t="shared" si="547"/>
        <v>BEARISH</v>
      </c>
      <c r="S1250">
        <f t="shared" si="536"/>
        <v>-1</v>
      </c>
    </row>
    <row r="1251" spans="1:19" hidden="1" x14ac:dyDescent="0.25">
      <c r="A1251" s="5" t="str">
        <f t="shared" si="533"/>
        <v>43945NFLX</v>
      </c>
      <c r="B1251" s="6" t="s">
        <v>32</v>
      </c>
      <c r="C1251" s="6">
        <v>392</v>
      </c>
      <c r="D1251" s="6">
        <v>451</v>
      </c>
      <c r="E1251" s="6">
        <v>426</v>
      </c>
      <c r="F1251" t="str">
        <f t="shared" si="537"/>
        <v>FRI</v>
      </c>
      <c r="G1251" s="3">
        <f t="shared" si="538"/>
        <v>43945</v>
      </c>
      <c r="H1251" s="2">
        <f t="shared" ca="1" si="539"/>
        <v>308</v>
      </c>
      <c r="I1251" t="str">
        <f t="shared" si="540"/>
        <v>NFLX</v>
      </c>
      <c r="J1251">
        <f t="shared" si="541"/>
        <v>392</v>
      </c>
      <c r="K1251">
        <f t="shared" si="542"/>
        <v>451</v>
      </c>
      <c r="L1251">
        <f t="shared" si="543"/>
        <v>421.5</v>
      </c>
      <c r="M1251">
        <f t="shared" si="544"/>
        <v>29.5</v>
      </c>
      <c r="N1251">
        <f t="shared" si="534"/>
        <v>59</v>
      </c>
      <c r="O1251">
        <f t="shared" si="545"/>
        <v>426</v>
      </c>
      <c r="P1251">
        <f t="shared" si="546"/>
        <v>0.15254237288135594</v>
      </c>
      <c r="Q1251" t="str">
        <f t="shared" si="535"/>
        <v>7.98% | 5.87%</v>
      </c>
      <c r="R1251" t="str">
        <f t="shared" si="547"/>
        <v>BULLISH</v>
      </c>
      <c r="S1251">
        <f t="shared" si="536"/>
        <v>1</v>
      </c>
    </row>
    <row r="1252" spans="1:19" x14ac:dyDescent="0.25">
      <c r="A1252" s="5" t="str">
        <f t="shared" si="533"/>
        <v>43945TSLA</v>
      </c>
      <c r="B1252" s="6" t="s">
        <v>33</v>
      </c>
      <c r="C1252" s="6">
        <v>580</v>
      </c>
      <c r="D1252" s="6">
        <v>790</v>
      </c>
      <c r="E1252" s="6">
        <v>705</v>
      </c>
      <c r="F1252" t="str">
        <f t="shared" si="537"/>
        <v>FRI</v>
      </c>
      <c r="G1252" s="3">
        <f t="shared" si="538"/>
        <v>43945</v>
      </c>
      <c r="H1252" s="2">
        <f t="shared" ca="1" si="539"/>
        <v>308</v>
      </c>
      <c r="I1252" t="str">
        <f t="shared" si="540"/>
        <v>TSLA</v>
      </c>
      <c r="J1252">
        <f t="shared" si="541"/>
        <v>580</v>
      </c>
      <c r="K1252">
        <f t="shared" si="542"/>
        <v>790</v>
      </c>
      <c r="L1252">
        <f t="shared" si="543"/>
        <v>685</v>
      </c>
      <c r="M1252">
        <f t="shared" si="544"/>
        <v>105</v>
      </c>
      <c r="N1252">
        <f t="shared" si="534"/>
        <v>210</v>
      </c>
      <c r="O1252">
        <f t="shared" si="545"/>
        <v>705</v>
      </c>
      <c r="P1252">
        <f t="shared" si="546"/>
        <v>0.19047619047619047</v>
      </c>
      <c r="Q1252" t="str">
        <f t="shared" si="535"/>
        <v>17.73% | 12.06%</v>
      </c>
      <c r="R1252" t="str">
        <f t="shared" si="547"/>
        <v>BULLISH</v>
      </c>
      <c r="S1252">
        <f t="shared" si="536"/>
        <v>1</v>
      </c>
    </row>
    <row r="1253" spans="1:19" hidden="1" x14ac:dyDescent="0.25">
      <c r="A1253" s="5" t="str">
        <f t="shared" si="533"/>
        <v>43945NYXBT</v>
      </c>
      <c r="B1253" s="6" t="s">
        <v>84</v>
      </c>
      <c r="C1253" s="6">
        <v>6432</v>
      </c>
      <c r="D1253" s="6">
        <v>7718</v>
      </c>
      <c r="E1253" s="6">
        <v>7548</v>
      </c>
      <c r="F1253" t="str">
        <f t="shared" si="537"/>
        <v>FRI</v>
      </c>
      <c r="G1253" s="3">
        <f t="shared" si="538"/>
        <v>43945</v>
      </c>
      <c r="H1253" s="2">
        <f t="shared" ca="1" si="539"/>
        <v>308</v>
      </c>
      <c r="I1253" t="str">
        <f t="shared" si="540"/>
        <v>NYXBT</v>
      </c>
      <c r="J1253">
        <f t="shared" si="541"/>
        <v>6432</v>
      </c>
      <c r="K1253">
        <f t="shared" si="542"/>
        <v>7718</v>
      </c>
      <c r="L1253">
        <f t="shared" si="543"/>
        <v>7075</v>
      </c>
      <c r="M1253">
        <f t="shared" si="544"/>
        <v>643</v>
      </c>
      <c r="N1253">
        <f t="shared" si="534"/>
        <v>1286</v>
      </c>
      <c r="O1253">
        <f t="shared" si="545"/>
        <v>7548</v>
      </c>
      <c r="P1253">
        <f t="shared" si="546"/>
        <v>0.73561430793157079</v>
      </c>
      <c r="Q1253" t="str">
        <f t="shared" si="535"/>
        <v>14.79% | 2.25%</v>
      </c>
      <c r="R1253" t="str">
        <f t="shared" si="547"/>
        <v>BEARISH</v>
      </c>
      <c r="S1253">
        <f t="shared" si="536"/>
        <v>-1</v>
      </c>
    </row>
    <row r="1254" spans="1:19" hidden="1" x14ac:dyDescent="0.25">
      <c r="A1254" s="5" t="str">
        <f t="shared" si="533"/>
        <v>43948UST10Y</v>
      </c>
      <c r="B1254" s="6" t="s">
        <v>4</v>
      </c>
      <c r="C1254" s="6">
        <v>0.73</v>
      </c>
      <c r="D1254" s="6">
        <v>0.53</v>
      </c>
      <c r="E1254" s="6">
        <v>0.6</v>
      </c>
      <c r="F1254" t="str">
        <f t="shared" si="537"/>
        <v>MON</v>
      </c>
      <c r="G1254" s="1">
        <f>DATE(2020,4,27)</f>
        <v>43948</v>
      </c>
      <c r="H1254" s="2">
        <f t="shared" ca="1" si="539"/>
        <v>305</v>
      </c>
      <c r="I1254" t="str">
        <f t="shared" si="540"/>
        <v>UST10Y</v>
      </c>
      <c r="J1254">
        <f t="shared" si="541"/>
        <v>0.73</v>
      </c>
      <c r="K1254">
        <f t="shared" si="542"/>
        <v>0.53</v>
      </c>
      <c r="L1254">
        <f t="shared" si="543"/>
        <v>0.63</v>
      </c>
      <c r="M1254">
        <f t="shared" si="544"/>
        <v>9.999999999999977E-2</v>
      </c>
      <c r="N1254">
        <f t="shared" si="534"/>
        <v>0.19999999999999996</v>
      </c>
      <c r="O1254">
        <f t="shared" si="545"/>
        <v>0.6</v>
      </c>
      <c r="P1254">
        <f t="shared" si="546"/>
        <v>-0.30000000000000093</v>
      </c>
      <c r="Q1254" t="str">
        <f t="shared" si="535"/>
        <v>21.67% | 11.67%</v>
      </c>
      <c r="R1254" t="str">
        <f t="shared" si="547"/>
        <v>BEARISH</v>
      </c>
      <c r="S1254">
        <f t="shared" si="536"/>
        <v>-1</v>
      </c>
    </row>
    <row r="1255" spans="1:19" hidden="1" x14ac:dyDescent="0.25">
      <c r="A1255" s="5" t="str">
        <f t="shared" si="533"/>
        <v>43948UST2Y</v>
      </c>
      <c r="B1255" s="6" t="s">
        <v>5</v>
      </c>
      <c r="C1255" s="6">
        <v>0.25</v>
      </c>
      <c r="D1255" s="6">
        <v>0.18</v>
      </c>
      <c r="E1255" s="6">
        <v>0.22</v>
      </c>
      <c r="F1255" t="str">
        <f t="shared" ref="F1255:F1285" si="548">UPPER(TEXT(G1255,"ddd"))</f>
        <v>MON</v>
      </c>
      <c r="G1255" s="1">
        <f t="shared" ref="G1255:G1284" si="549">DATE(2020,4,27)</f>
        <v>43948</v>
      </c>
      <c r="H1255" s="2">
        <f t="shared" ref="H1255:H1285" ca="1" si="550">TODAY()-G1255</f>
        <v>305</v>
      </c>
      <c r="I1255" t="str">
        <f t="shared" ref="I1255:I1285" si="551">TRIM(LEFT(B1255,FIND(" ",B1255,1)))</f>
        <v>UST2Y</v>
      </c>
      <c r="J1255">
        <f t="shared" ref="J1255:J1285" si="552">C1255</f>
        <v>0.25</v>
      </c>
      <c r="K1255">
        <f t="shared" ref="K1255:K1285" si="553">D1255</f>
        <v>0.18</v>
      </c>
      <c r="L1255">
        <f t="shared" ref="L1255:L1285" si="554">AVERAGE(J1255:K1255)</f>
        <v>0.215</v>
      </c>
      <c r="M1255">
        <f t="shared" ref="M1255:M1285" si="555">_xlfn.STDEV.P(J1255:K1255)</f>
        <v>3.5000000000000052E-2</v>
      </c>
      <c r="N1255">
        <f t="shared" si="534"/>
        <v>7.0000000000000007E-2</v>
      </c>
      <c r="O1255">
        <f t="shared" ref="O1255:O1285" si="556">E1255</f>
        <v>0.22</v>
      </c>
      <c r="P1255">
        <f t="shared" ref="P1255:P1285" si="557">(O1255-L1255)/M1255</f>
        <v>0.14285714285714277</v>
      </c>
      <c r="Q1255" t="str">
        <f t="shared" si="535"/>
        <v>13.64% | 18.18%</v>
      </c>
      <c r="R1255" t="str">
        <f t="shared" ref="R1255:R1285" si="558">MID(B1255,FIND("(",B1255,1)+1,FIND(")",B1255,1)-FIND("(",B1255,1)-1)</f>
        <v>BEARISH</v>
      </c>
      <c r="S1255">
        <f t="shared" si="536"/>
        <v>-1</v>
      </c>
    </row>
    <row r="1256" spans="1:19" hidden="1" x14ac:dyDescent="0.25">
      <c r="A1256" s="5" t="str">
        <f t="shared" si="533"/>
        <v>43948SPX</v>
      </c>
      <c r="B1256" s="6" t="s">
        <v>6</v>
      </c>
      <c r="C1256" s="6">
        <v>2725</v>
      </c>
      <c r="D1256" s="6">
        <v>2888</v>
      </c>
      <c r="E1256" s="6">
        <v>2836</v>
      </c>
      <c r="F1256" t="str">
        <f t="shared" si="548"/>
        <v>MON</v>
      </c>
      <c r="G1256" s="1">
        <f t="shared" si="549"/>
        <v>43948</v>
      </c>
      <c r="H1256" s="2">
        <f t="shared" ca="1" si="550"/>
        <v>305</v>
      </c>
      <c r="I1256" t="str">
        <f t="shared" si="551"/>
        <v>SPX</v>
      </c>
      <c r="J1256">
        <f t="shared" si="552"/>
        <v>2725</v>
      </c>
      <c r="K1256">
        <f t="shared" si="553"/>
        <v>2888</v>
      </c>
      <c r="L1256">
        <f t="shared" si="554"/>
        <v>2806.5</v>
      </c>
      <c r="M1256">
        <f t="shared" si="555"/>
        <v>81.5</v>
      </c>
      <c r="N1256">
        <f t="shared" si="534"/>
        <v>163</v>
      </c>
      <c r="O1256">
        <f t="shared" si="556"/>
        <v>2836</v>
      </c>
      <c r="P1256">
        <f t="shared" si="557"/>
        <v>0.3619631901840491</v>
      </c>
      <c r="Q1256" t="str">
        <f t="shared" si="535"/>
        <v>3.91% | 1.83%</v>
      </c>
      <c r="R1256" t="str">
        <f t="shared" si="558"/>
        <v>BEARISH</v>
      </c>
      <c r="S1256">
        <f t="shared" si="536"/>
        <v>-1</v>
      </c>
    </row>
    <row r="1257" spans="1:19" hidden="1" x14ac:dyDescent="0.25">
      <c r="A1257" s="5" t="str">
        <f t="shared" si="533"/>
        <v>43948RUT</v>
      </c>
      <c r="B1257" s="6" t="s">
        <v>7</v>
      </c>
      <c r="C1257" s="6">
        <v>1170</v>
      </c>
      <c r="D1257" s="6">
        <v>1261</v>
      </c>
      <c r="E1257" s="6">
        <v>1233</v>
      </c>
      <c r="F1257" t="str">
        <f t="shared" si="548"/>
        <v>MON</v>
      </c>
      <c r="G1257" s="1">
        <f t="shared" si="549"/>
        <v>43948</v>
      </c>
      <c r="H1257" s="2">
        <f t="shared" ca="1" si="550"/>
        <v>305</v>
      </c>
      <c r="I1257" t="str">
        <f t="shared" si="551"/>
        <v>RUT</v>
      </c>
      <c r="J1257">
        <f t="shared" si="552"/>
        <v>1170</v>
      </c>
      <c r="K1257">
        <f t="shared" si="553"/>
        <v>1261</v>
      </c>
      <c r="L1257">
        <f t="shared" si="554"/>
        <v>1215.5</v>
      </c>
      <c r="M1257">
        <f t="shared" si="555"/>
        <v>45.5</v>
      </c>
      <c r="N1257">
        <f t="shared" si="534"/>
        <v>91</v>
      </c>
      <c r="O1257">
        <f t="shared" si="556"/>
        <v>1233</v>
      </c>
      <c r="P1257">
        <f t="shared" si="557"/>
        <v>0.38461538461538464</v>
      </c>
      <c r="Q1257" t="str">
        <f t="shared" si="535"/>
        <v>5.11% | 2.27%</v>
      </c>
      <c r="R1257" t="str">
        <f t="shared" si="558"/>
        <v>BEARISH</v>
      </c>
      <c r="S1257">
        <f t="shared" si="536"/>
        <v>-1</v>
      </c>
    </row>
    <row r="1258" spans="1:19" hidden="1" x14ac:dyDescent="0.25">
      <c r="A1258" s="5" t="str">
        <f t="shared" si="533"/>
        <v>43948COMPQ</v>
      </c>
      <c r="B1258" s="6" t="s">
        <v>61</v>
      </c>
      <c r="C1258" s="6">
        <v>8196</v>
      </c>
      <c r="D1258" s="6">
        <v>8748</v>
      </c>
      <c r="E1258" s="6">
        <v>8634</v>
      </c>
      <c r="F1258" t="str">
        <f t="shared" si="548"/>
        <v>MON</v>
      </c>
      <c r="G1258" s="1">
        <f t="shared" si="549"/>
        <v>43948</v>
      </c>
      <c r="H1258" s="2">
        <f t="shared" ca="1" si="550"/>
        <v>305</v>
      </c>
      <c r="I1258" t="str">
        <f t="shared" si="551"/>
        <v>COMPQ</v>
      </c>
      <c r="J1258">
        <f t="shared" si="552"/>
        <v>8196</v>
      </c>
      <c r="K1258">
        <f t="shared" si="553"/>
        <v>8748</v>
      </c>
      <c r="L1258">
        <f t="shared" si="554"/>
        <v>8472</v>
      </c>
      <c r="M1258">
        <f t="shared" si="555"/>
        <v>276</v>
      </c>
      <c r="N1258">
        <f t="shared" si="534"/>
        <v>552</v>
      </c>
      <c r="O1258">
        <f t="shared" si="556"/>
        <v>8634</v>
      </c>
      <c r="P1258">
        <f t="shared" si="557"/>
        <v>0.58695652173913049</v>
      </c>
      <c r="Q1258" t="str">
        <f t="shared" si="535"/>
        <v>5.07% | 1.32%</v>
      </c>
      <c r="R1258" t="str">
        <f t="shared" si="558"/>
        <v>NEUTRAL</v>
      </c>
      <c r="S1258">
        <f t="shared" si="536"/>
        <v>0</v>
      </c>
    </row>
    <row r="1259" spans="1:19" hidden="1" x14ac:dyDescent="0.25">
      <c r="A1259" s="5" t="str">
        <f t="shared" si="533"/>
        <v>43948XLP</v>
      </c>
      <c r="B1259" s="6" t="s">
        <v>54</v>
      </c>
      <c r="C1259" s="6">
        <v>57.12</v>
      </c>
      <c r="D1259" s="6">
        <v>60.95</v>
      </c>
      <c r="E1259" s="6">
        <v>58.71</v>
      </c>
      <c r="F1259" t="str">
        <f t="shared" si="548"/>
        <v>MON</v>
      </c>
      <c r="G1259" s="1">
        <f t="shared" si="549"/>
        <v>43948</v>
      </c>
      <c r="H1259" s="2">
        <f t="shared" ca="1" si="550"/>
        <v>305</v>
      </c>
      <c r="I1259" t="str">
        <f t="shared" si="551"/>
        <v>XLP</v>
      </c>
      <c r="J1259">
        <f t="shared" si="552"/>
        <v>57.12</v>
      </c>
      <c r="K1259">
        <f t="shared" si="553"/>
        <v>60.95</v>
      </c>
      <c r="L1259">
        <f t="shared" si="554"/>
        <v>59.034999999999997</v>
      </c>
      <c r="M1259">
        <f t="shared" si="555"/>
        <v>1.9150000000000027</v>
      </c>
      <c r="N1259">
        <f t="shared" si="534"/>
        <v>3.8300000000000054</v>
      </c>
      <c r="O1259">
        <f t="shared" si="556"/>
        <v>58.71</v>
      </c>
      <c r="P1259">
        <f t="shared" si="557"/>
        <v>-0.16971279373367901</v>
      </c>
      <c r="Q1259" t="str">
        <f t="shared" si="535"/>
        <v>2.71% | 3.82%</v>
      </c>
      <c r="R1259" t="str">
        <f t="shared" si="558"/>
        <v>BULLISH</v>
      </c>
      <c r="S1259">
        <f t="shared" si="536"/>
        <v>1</v>
      </c>
    </row>
    <row r="1260" spans="1:19" hidden="1" x14ac:dyDescent="0.25">
      <c r="A1260" s="5" t="str">
        <f t="shared" si="533"/>
        <v>43948XLV</v>
      </c>
      <c r="B1260" s="6" t="s">
        <v>9</v>
      </c>
      <c r="C1260" s="6">
        <v>94.22</v>
      </c>
      <c r="D1260" s="6">
        <v>102.01</v>
      </c>
      <c r="E1260" s="6">
        <v>100.29</v>
      </c>
      <c r="F1260" t="str">
        <f t="shared" si="548"/>
        <v>MON</v>
      </c>
      <c r="G1260" s="1">
        <f t="shared" si="549"/>
        <v>43948</v>
      </c>
      <c r="H1260" s="2">
        <f t="shared" ca="1" si="550"/>
        <v>305</v>
      </c>
      <c r="I1260" t="str">
        <f t="shared" si="551"/>
        <v>XLV</v>
      </c>
      <c r="J1260">
        <f t="shared" si="552"/>
        <v>94.22</v>
      </c>
      <c r="K1260">
        <f t="shared" si="553"/>
        <v>102.01</v>
      </c>
      <c r="L1260">
        <f t="shared" si="554"/>
        <v>98.115000000000009</v>
      </c>
      <c r="M1260">
        <f t="shared" si="555"/>
        <v>3.8950000000000031</v>
      </c>
      <c r="N1260">
        <f t="shared" si="534"/>
        <v>7.7900000000000063</v>
      </c>
      <c r="O1260">
        <f t="shared" si="556"/>
        <v>100.29</v>
      </c>
      <c r="P1260">
        <f t="shared" si="557"/>
        <v>0.55840821566110277</v>
      </c>
      <c r="Q1260" t="str">
        <f t="shared" si="535"/>
        <v>6.05% | 1.72%</v>
      </c>
      <c r="R1260" t="str">
        <f t="shared" si="558"/>
        <v>BULLISH</v>
      </c>
      <c r="S1260">
        <f t="shared" si="536"/>
        <v>1</v>
      </c>
    </row>
    <row r="1261" spans="1:19" hidden="1" x14ac:dyDescent="0.25">
      <c r="A1261" s="5" t="str">
        <f t="shared" si="533"/>
        <v>43948XLU</v>
      </c>
      <c r="B1261" s="6" t="s">
        <v>52</v>
      </c>
      <c r="C1261" s="6">
        <v>56.29</v>
      </c>
      <c r="D1261" s="6">
        <v>60.97</v>
      </c>
      <c r="E1261" s="6">
        <v>58.32</v>
      </c>
      <c r="F1261" t="str">
        <f t="shared" si="548"/>
        <v>MON</v>
      </c>
      <c r="G1261" s="1">
        <f t="shared" si="549"/>
        <v>43948</v>
      </c>
      <c r="H1261" s="2">
        <f t="shared" ca="1" si="550"/>
        <v>305</v>
      </c>
      <c r="I1261" t="str">
        <f t="shared" si="551"/>
        <v>XLU</v>
      </c>
      <c r="J1261">
        <f t="shared" si="552"/>
        <v>56.29</v>
      </c>
      <c r="K1261">
        <f t="shared" si="553"/>
        <v>60.97</v>
      </c>
      <c r="L1261">
        <f t="shared" si="554"/>
        <v>58.629999999999995</v>
      </c>
      <c r="M1261">
        <f t="shared" si="555"/>
        <v>2.34</v>
      </c>
      <c r="N1261">
        <f t="shared" si="534"/>
        <v>4.68</v>
      </c>
      <c r="O1261">
        <f t="shared" si="556"/>
        <v>58.32</v>
      </c>
      <c r="P1261">
        <f t="shared" si="557"/>
        <v>-0.13247863247863043</v>
      </c>
      <c r="Q1261" t="str">
        <f t="shared" si="535"/>
        <v>3.48% | 4.54%</v>
      </c>
      <c r="R1261" t="str">
        <f t="shared" si="558"/>
        <v>BULLISH</v>
      </c>
      <c r="S1261">
        <f t="shared" si="536"/>
        <v>1</v>
      </c>
    </row>
    <row r="1262" spans="1:19" hidden="1" x14ac:dyDescent="0.25">
      <c r="A1262" s="5" t="str">
        <f t="shared" si="533"/>
        <v>43948XLK</v>
      </c>
      <c r="B1262" s="6" t="s">
        <v>65</v>
      </c>
      <c r="C1262" s="6">
        <v>84.07</v>
      </c>
      <c r="D1262" s="6">
        <v>90.77</v>
      </c>
      <c r="E1262" s="6">
        <v>88.63</v>
      </c>
      <c r="F1262" t="str">
        <f t="shared" si="548"/>
        <v>MON</v>
      </c>
      <c r="G1262" s="1">
        <f t="shared" si="549"/>
        <v>43948</v>
      </c>
      <c r="H1262" s="2">
        <f t="shared" ca="1" si="550"/>
        <v>305</v>
      </c>
      <c r="I1262" t="str">
        <f t="shared" si="551"/>
        <v>XLK</v>
      </c>
      <c r="J1262">
        <f t="shared" si="552"/>
        <v>84.07</v>
      </c>
      <c r="K1262">
        <f t="shared" si="553"/>
        <v>90.77</v>
      </c>
      <c r="L1262">
        <f t="shared" si="554"/>
        <v>87.419999999999987</v>
      </c>
      <c r="M1262">
        <f t="shared" si="555"/>
        <v>3.3500000000000014</v>
      </c>
      <c r="N1262">
        <f t="shared" si="534"/>
        <v>6.7000000000000028</v>
      </c>
      <c r="O1262">
        <f t="shared" si="556"/>
        <v>88.63</v>
      </c>
      <c r="P1262">
        <f t="shared" si="557"/>
        <v>0.3611940298507485</v>
      </c>
      <c r="Q1262" t="str">
        <f t="shared" si="535"/>
        <v>5.14% | 2.41%</v>
      </c>
      <c r="R1262" t="str">
        <f t="shared" si="558"/>
        <v>BEARISH</v>
      </c>
      <c r="S1262">
        <f t="shared" si="536"/>
        <v>-1</v>
      </c>
    </row>
    <row r="1263" spans="1:19" hidden="1" x14ac:dyDescent="0.25">
      <c r="A1263" s="5" t="str">
        <f t="shared" si="533"/>
        <v>43948XLF</v>
      </c>
      <c r="B1263" s="6" t="s">
        <v>12</v>
      </c>
      <c r="C1263" s="6">
        <v>19.989999999999998</v>
      </c>
      <c r="D1263" s="6">
        <v>22.88</v>
      </c>
      <c r="E1263" s="6">
        <v>21.74</v>
      </c>
      <c r="F1263" t="str">
        <f t="shared" si="548"/>
        <v>MON</v>
      </c>
      <c r="G1263" s="1">
        <f t="shared" si="549"/>
        <v>43948</v>
      </c>
      <c r="H1263" s="2">
        <f t="shared" ca="1" si="550"/>
        <v>305</v>
      </c>
      <c r="I1263" t="str">
        <f t="shared" si="551"/>
        <v>XLF</v>
      </c>
      <c r="J1263">
        <f t="shared" si="552"/>
        <v>19.989999999999998</v>
      </c>
      <c r="K1263">
        <f t="shared" si="553"/>
        <v>22.88</v>
      </c>
      <c r="L1263">
        <f t="shared" si="554"/>
        <v>21.434999999999999</v>
      </c>
      <c r="M1263">
        <f t="shared" si="555"/>
        <v>1.4450000000000003</v>
      </c>
      <c r="N1263">
        <f t="shared" si="534"/>
        <v>2.8900000000000006</v>
      </c>
      <c r="O1263">
        <f t="shared" si="556"/>
        <v>21.74</v>
      </c>
      <c r="P1263">
        <f t="shared" si="557"/>
        <v>0.21107266435986136</v>
      </c>
      <c r="Q1263" t="str">
        <f t="shared" si="535"/>
        <v>8.05% | 5.24%</v>
      </c>
      <c r="R1263" t="str">
        <f t="shared" si="558"/>
        <v>BEARISH</v>
      </c>
      <c r="S1263">
        <f t="shared" si="536"/>
        <v>-1</v>
      </c>
    </row>
    <row r="1264" spans="1:19" hidden="1" x14ac:dyDescent="0.25">
      <c r="A1264" s="5" t="str">
        <f t="shared" si="533"/>
        <v>43948SSEC</v>
      </c>
      <c r="B1264" s="6" t="s">
        <v>14</v>
      </c>
      <c r="C1264" s="6">
        <v>2775</v>
      </c>
      <c r="D1264" s="6">
        <v>2866</v>
      </c>
      <c r="E1264" s="6">
        <v>2815</v>
      </c>
      <c r="F1264" t="str">
        <f t="shared" si="548"/>
        <v>MON</v>
      </c>
      <c r="G1264" s="1">
        <f t="shared" si="549"/>
        <v>43948</v>
      </c>
      <c r="H1264" s="2">
        <f t="shared" ca="1" si="550"/>
        <v>305</v>
      </c>
      <c r="I1264" t="str">
        <f t="shared" si="551"/>
        <v>SSEC</v>
      </c>
      <c r="J1264">
        <f t="shared" si="552"/>
        <v>2775</v>
      </c>
      <c r="K1264">
        <f t="shared" si="553"/>
        <v>2866</v>
      </c>
      <c r="L1264">
        <f t="shared" si="554"/>
        <v>2820.5</v>
      </c>
      <c r="M1264">
        <f t="shared" si="555"/>
        <v>45.5</v>
      </c>
      <c r="N1264">
        <f t="shared" si="534"/>
        <v>91</v>
      </c>
      <c r="O1264">
        <f t="shared" si="556"/>
        <v>2815</v>
      </c>
      <c r="P1264">
        <f t="shared" si="557"/>
        <v>-0.12087912087912088</v>
      </c>
      <c r="Q1264" t="str">
        <f t="shared" si="535"/>
        <v>1.42% | 1.81%</v>
      </c>
      <c r="R1264" t="str">
        <f t="shared" si="558"/>
        <v>BEARISH</v>
      </c>
      <c r="S1264">
        <f t="shared" si="536"/>
        <v>-1</v>
      </c>
    </row>
    <row r="1265" spans="1:19" hidden="1" x14ac:dyDescent="0.25">
      <c r="A1265" s="5" t="str">
        <f t="shared" si="533"/>
        <v>43948NIKK</v>
      </c>
      <c r="B1265" s="6" t="s">
        <v>15</v>
      </c>
      <c r="C1265" s="6">
        <v>18901</v>
      </c>
      <c r="D1265" s="6">
        <v>19953</v>
      </c>
      <c r="E1265" s="6">
        <v>19783</v>
      </c>
      <c r="F1265" t="str">
        <f t="shared" si="548"/>
        <v>MON</v>
      </c>
      <c r="G1265" s="1">
        <f t="shared" si="549"/>
        <v>43948</v>
      </c>
      <c r="H1265" s="2">
        <f t="shared" ca="1" si="550"/>
        <v>305</v>
      </c>
      <c r="I1265" t="str">
        <f t="shared" si="551"/>
        <v>NIKK</v>
      </c>
      <c r="J1265">
        <f t="shared" si="552"/>
        <v>18901</v>
      </c>
      <c r="K1265">
        <f t="shared" si="553"/>
        <v>19953</v>
      </c>
      <c r="L1265">
        <f t="shared" si="554"/>
        <v>19427</v>
      </c>
      <c r="M1265">
        <f t="shared" si="555"/>
        <v>526</v>
      </c>
      <c r="N1265">
        <f t="shared" si="534"/>
        <v>1052</v>
      </c>
      <c r="O1265">
        <f t="shared" si="556"/>
        <v>19783</v>
      </c>
      <c r="P1265">
        <f t="shared" si="557"/>
        <v>0.67680608365019013</v>
      </c>
      <c r="Q1265" t="str">
        <f t="shared" si="535"/>
        <v>4.46% | 0.86%</v>
      </c>
      <c r="R1265" t="str">
        <f t="shared" si="558"/>
        <v>BEARISH</v>
      </c>
      <c r="S1265">
        <f t="shared" si="536"/>
        <v>-1</v>
      </c>
    </row>
    <row r="1266" spans="1:19" hidden="1" x14ac:dyDescent="0.25">
      <c r="A1266" s="5" t="str">
        <f t="shared" si="533"/>
        <v>43948DAX</v>
      </c>
      <c r="B1266" s="6" t="s">
        <v>16</v>
      </c>
      <c r="C1266" s="6">
        <v>10108</v>
      </c>
      <c r="D1266" s="6">
        <v>10775</v>
      </c>
      <c r="E1266" s="6">
        <v>10331</v>
      </c>
      <c r="F1266" t="str">
        <f t="shared" si="548"/>
        <v>MON</v>
      </c>
      <c r="G1266" s="1">
        <f t="shared" si="549"/>
        <v>43948</v>
      </c>
      <c r="H1266" s="2">
        <f t="shared" ca="1" si="550"/>
        <v>305</v>
      </c>
      <c r="I1266" t="str">
        <f t="shared" si="551"/>
        <v>DAX</v>
      </c>
      <c r="J1266">
        <f t="shared" si="552"/>
        <v>10108</v>
      </c>
      <c r="K1266">
        <f t="shared" si="553"/>
        <v>10775</v>
      </c>
      <c r="L1266">
        <f t="shared" si="554"/>
        <v>10441.5</v>
      </c>
      <c r="M1266">
        <f t="shared" si="555"/>
        <v>333.5</v>
      </c>
      <c r="N1266">
        <f t="shared" si="534"/>
        <v>667</v>
      </c>
      <c r="O1266">
        <f t="shared" si="556"/>
        <v>10331</v>
      </c>
      <c r="P1266">
        <f t="shared" si="557"/>
        <v>-0.33133433283358321</v>
      </c>
      <c r="Q1266" t="str">
        <f t="shared" si="535"/>
        <v>2.16% | 4.3%</v>
      </c>
      <c r="R1266" t="str">
        <f t="shared" si="558"/>
        <v>BEARISH</v>
      </c>
      <c r="S1266">
        <f t="shared" si="536"/>
        <v>-1</v>
      </c>
    </row>
    <row r="1267" spans="1:19" hidden="1" x14ac:dyDescent="0.25">
      <c r="A1267" s="5" t="str">
        <f t="shared" si="533"/>
        <v>43948VIX</v>
      </c>
      <c r="B1267" s="6" t="s">
        <v>17</v>
      </c>
      <c r="C1267" s="6">
        <v>34.22</v>
      </c>
      <c r="D1267" s="6">
        <v>47.27</v>
      </c>
      <c r="E1267" s="6">
        <v>35.93</v>
      </c>
      <c r="F1267" t="str">
        <f t="shared" si="548"/>
        <v>MON</v>
      </c>
      <c r="G1267" s="1">
        <f t="shared" si="549"/>
        <v>43948</v>
      </c>
      <c r="H1267" s="2">
        <f t="shared" ca="1" si="550"/>
        <v>305</v>
      </c>
      <c r="I1267" t="str">
        <f t="shared" si="551"/>
        <v>VIX</v>
      </c>
      <c r="J1267">
        <f t="shared" si="552"/>
        <v>34.22</v>
      </c>
      <c r="K1267">
        <f t="shared" si="553"/>
        <v>47.27</v>
      </c>
      <c r="L1267">
        <f t="shared" si="554"/>
        <v>40.745000000000005</v>
      </c>
      <c r="M1267">
        <f t="shared" si="555"/>
        <v>6.5249999999999613</v>
      </c>
      <c r="N1267">
        <f t="shared" si="534"/>
        <v>13.050000000000004</v>
      </c>
      <c r="O1267">
        <f t="shared" si="556"/>
        <v>35.93</v>
      </c>
      <c r="P1267">
        <f t="shared" si="557"/>
        <v>-0.73793103448276376</v>
      </c>
      <c r="Q1267" t="str">
        <f t="shared" si="535"/>
        <v>4.76% | 31.56%</v>
      </c>
      <c r="R1267" t="str">
        <f t="shared" si="558"/>
        <v>BULLISH</v>
      </c>
      <c r="S1267">
        <f t="shared" si="536"/>
        <v>1</v>
      </c>
    </row>
    <row r="1268" spans="1:19" hidden="1" x14ac:dyDescent="0.25">
      <c r="A1268" s="5" t="str">
        <f t="shared" si="533"/>
        <v>43948USD</v>
      </c>
      <c r="B1268" s="6" t="s">
        <v>18</v>
      </c>
      <c r="C1268" s="6">
        <v>99</v>
      </c>
      <c r="D1268" s="6">
        <v>101.17</v>
      </c>
      <c r="E1268" s="6">
        <v>100.43</v>
      </c>
      <c r="F1268" t="str">
        <f t="shared" si="548"/>
        <v>MON</v>
      </c>
      <c r="G1268" s="1">
        <f t="shared" si="549"/>
        <v>43948</v>
      </c>
      <c r="H1268" s="2">
        <f t="shared" ca="1" si="550"/>
        <v>305</v>
      </c>
      <c r="I1268" t="str">
        <f t="shared" si="551"/>
        <v>USD</v>
      </c>
      <c r="J1268">
        <f t="shared" si="552"/>
        <v>99</v>
      </c>
      <c r="K1268">
        <f t="shared" si="553"/>
        <v>101.17</v>
      </c>
      <c r="L1268">
        <f t="shared" si="554"/>
        <v>100.08500000000001</v>
      </c>
      <c r="M1268">
        <f t="shared" si="555"/>
        <v>1.0850000000000009</v>
      </c>
      <c r="N1268">
        <f t="shared" si="534"/>
        <v>2.1700000000000017</v>
      </c>
      <c r="O1268">
        <f t="shared" si="556"/>
        <v>100.43</v>
      </c>
      <c r="P1268">
        <f t="shared" si="557"/>
        <v>0.31797235023041343</v>
      </c>
      <c r="Q1268" t="str">
        <f t="shared" si="535"/>
        <v>1.42% | 0.74%</v>
      </c>
      <c r="R1268" t="str">
        <f t="shared" si="558"/>
        <v>BULLISH</v>
      </c>
      <c r="S1268">
        <f t="shared" si="536"/>
        <v>1</v>
      </c>
    </row>
    <row r="1269" spans="1:19" hidden="1" x14ac:dyDescent="0.25">
      <c r="A1269" s="5" t="str">
        <f t="shared" si="533"/>
        <v>43948EUR/USD</v>
      </c>
      <c r="B1269" s="6" t="s">
        <v>19</v>
      </c>
      <c r="C1269" s="6">
        <v>1.07</v>
      </c>
      <c r="D1269" s="6">
        <v>1.0900000000000001</v>
      </c>
      <c r="E1269" s="6">
        <v>1.08</v>
      </c>
      <c r="F1269" t="str">
        <f t="shared" si="548"/>
        <v>MON</v>
      </c>
      <c r="G1269" s="1">
        <f t="shared" si="549"/>
        <v>43948</v>
      </c>
      <c r="H1269" s="2">
        <f t="shared" ca="1" si="550"/>
        <v>305</v>
      </c>
      <c r="I1269" t="str">
        <f t="shared" si="551"/>
        <v>EUR/USD</v>
      </c>
      <c r="J1269">
        <f t="shared" si="552"/>
        <v>1.07</v>
      </c>
      <c r="K1269">
        <f t="shared" si="553"/>
        <v>1.0900000000000001</v>
      </c>
      <c r="L1269">
        <f t="shared" si="554"/>
        <v>1.08</v>
      </c>
      <c r="M1269">
        <f t="shared" si="555"/>
        <v>1.0000000000000009E-2</v>
      </c>
      <c r="N1269">
        <f t="shared" si="534"/>
        <v>2.0000000000000018E-2</v>
      </c>
      <c r="O1269">
        <f t="shared" si="556"/>
        <v>1.08</v>
      </c>
      <c r="P1269">
        <f t="shared" si="557"/>
        <v>0</v>
      </c>
      <c r="Q1269" t="str">
        <f t="shared" si="535"/>
        <v>0.93% | 0.93%</v>
      </c>
      <c r="R1269" t="str">
        <f t="shared" si="558"/>
        <v>BEARISH</v>
      </c>
      <c r="S1269">
        <f t="shared" si="536"/>
        <v>-1</v>
      </c>
    </row>
    <row r="1270" spans="1:19" hidden="1" x14ac:dyDescent="0.25">
      <c r="A1270" s="5" t="str">
        <f t="shared" si="533"/>
        <v>43948USD/JPY</v>
      </c>
      <c r="B1270" s="6" t="s">
        <v>20</v>
      </c>
      <c r="C1270" s="6">
        <v>106.87</v>
      </c>
      <c r="D1270" s="6">
        <v>108.46</v>
      </c>
      <c r="E1270" s="6">
        <v>107.47</v>
      </c>
      <c r="F1270" t="str">
        <f t="shared" si="548"/>
        <v>MON</v>
      </c>
      <c r="G1270" s="1">
        <f t="shared" si="549"/>
        <v>43948</v>
      </c>
      <c r="H1270" s="2">
        <f t="shared" ca="1" si="550"/>
        <v>305</v>
      </c>
      <c r="I1270" t="str">
        <f t="shared" si="551"/>
        <v>USD/JPY</v>
      </c>
      <c r="J1270">
        <f t="shared" si="552"/>
        <v>106.87</v>
      </c>
      <c r="K1270">
        <f t="shared" si="553"/>
        <v>108.46</v>
      </c>
      <c r="L1270">
        <f t="shared" si="554"/>
        <v>107.66499999999999</v>
      </c>
      <c r="M1270">
        <f t="shared" si="555"/>
        <v>0.7949999999999946</v>
      </c>
      <c r="N1270">
        <f t="shared" si="534"/>
        <v>1.5899999999999892</v>
      </c>
      <c r="O1270">
        <f t="shared" si="556"/>
        <v>107.47</v>
      </c>
      <c r="P1270">
        <f t="shared" si="557"/>
        <v>-0.24528301886791762</v>
      </c>
      <c r="Q1270" t="str">
        <f t="shared" si="535"/>
        <v>0.56% | 0.92%</v>
      </c>
      <c r="R1270" t="str">
        <f t="shared" si="558"/>
        <v>BEARISH</v>
      </c>
      <c r="S1270">
        <f t="shared" si="536"/>
        <v>-1</v>
      </c>
    </row>
    <row r="1271" spans="1:19" hidden="1" x14ac:dyDescent="0.25">
      <c r="A1271" s="5" t="str">
        <f t="shared" si="533"/>
        <v>43948GBP/USD</v>
      </c>
      <c r="B1271" s="6" t="s">
        <v>21</v>
      </c>
      <c r="C1271" s="6">
        <v>1.22</v>
      </c>
      <c r="D1271" s="6">
        <v>1.25</v>
      </c>
      <c r="E1271" s="6">
        <v>1.24</v>
      </c>
      <c r="F1271" t="str">
        <f t="shared" si="548"/>
        <v>MON</v>
      </c>
      <c r="G1271" s="1">
        <f t="shared" si="549"/>
        <v>43948</v>
      </c>
      <c r="H1271" s="2">
        <f t="shared" ca="1" si="550"/>
        <v>305</v>
      </c>
      <c r="I1271" t="str">
        <f t="shared" si="551"/>
        <v>GBP/USD</v>
      </c>
      <c r="J1271">
        <f t="shared" si="552"/>
        <v>1.22</v>
      </c>
      <c r="K1271">
        <f t="shared" si="553"/>
        <v>1.25</v>
      </c>
      <c r="L1271">
        <f t="shared" si="554"/>
        <v>1.2349999999999999</v>
      </c>
      <c r="M1271">
        <f t="shared" si="555"/>
        <v>1.5000000000000013E-2</v>
      </c>
      <c r="N1271">
        <f t="shared" si="534"/>
        <v>3.0000000000000027E-2</v>
      </c>
      <c r="O1271">
        <f t="shared" si="556"/>
        <v>1.24</v>
      </c>
      <c r="P1271">
        <f t="shared" si="557"/>
        <v>0.33333333333334075</v>
      </c>
      <c r="Q1271" t="str">
        <f t="shared" si="535"/>
        <v>1.61% | 0.81%</v>
      </c>
      <c r="R1271" t="str">
        <f t="shared" si="558"/>
        <v>BEARISH</v>
      </c>
      <c r="S1271">
        <f t="shared" si="536"/>
        <v>-1</v>
      </c>
    </row>
    <row r="1272" spans="1:19" hidden="1" x14ac:dyDescent="0.25">
      <c r="A1272" s="5" t="str">
        <f t="shared" si="533"/>
        <v>43948USD/CHF</v>
      </c>
      <c r="B1272" s="6" t="s">
        <v>22</v>
      </c>
      <c r="C1272" s="6">
        <v>0.96</v>
      </c>
      <c r="D1272" s="6">
        <v>0.98</v>
      </c>
      <c r="E1272" s="6">
        <v>0.97</v>
      </c>
      <c r="F1272" t="str">
        <f t="shared" si="548"/>
        <v>MON</v>
      </c>
      <c r="G1272" s="1">
        <f t="shared" si="549"/>
        <v>43948</v>
      </c>
      <c r="H1272" s="2">
        <f t="shared" ca="1" si="550"/>
        <v>305</v>
      </c>
      <c r="I1272" t="str">
        <f t="shared" si="551"/>
        <v>USD/CHF</v>
      </c>
      <c r="J1272">
        <f t="shared" si="552"/>
        <v>0.96</v>
      </c>
      <c r="K1272">
        <f t="shared" si="553"/>
        <v>0.98</v>
      </c>
      <c r="L1272">
        <f t="shared" si="554"/>
        <v>0.97</v>
      </c>
      <c r="M1272">
        <f t="shared" si="555"/>
        <v>1.0000000000000009E-2</v>
      </c>
      <c r="N1272">
        <f t="shared" si="534"/>
        <v>2.0000000000000018E-2</v>
      </c>
      <c r="O1272">
        <f t="shared" si="556"/>
        <v>0.97</v>
      </c>
      <c r="P1272">
        <f t="shared" si="557"/>
        <v>0</v>
      </c>
      <c r="Q1272" t="str">
        <f t="shared" si="535"/>
        <v>1.03% | 1.03%</v>
      </c>
      <c r="R1272" t="str">
        <f t="shared" si="558"/>
        <v>NEUTRAL</v>
      </c>
      <c r="S1272">
        <f t="shared" si="536"/>
        <v>0</v>
      </c>
    </row>
    <row r="1273" spans="1:19" hidden="1" x14ac:dyDescent="0.25">
      <c r="A1273" s="5" t="str">
        <f t="shared" si="533"/>
        <v>43948WTIC</v>
      </c>
      <c r="B1273" s="6" t="s">
        <v>23</v>
      </c>
      <c r="C1273" s="6">
        <v>10.01</v>
      </c>
      <c r="D1273" s="6">
        <v>18.87</v>
      </c>
      <c r="E1273" s="6">
        <v>16.940000000000001</v>
      </c>
      <c r="F1273" t="str">
        <f t="shared" si="548"/>
        <v>MON</v>
      </c>
      <c r="G1273" s="1">
        <f t="shared" si="549"/>
        <v>43948</v>
      </c>
      <c r="H1273" s="2">
        <f t="shared" ca="1" si="550"/>
        <v>305</v>
      </c>
      <c r="I1273" t="str">
        <f t="shared" si="551"/>
        <v>WTIC</v>
      </c>
      <c r="J1273">
        <f t="shared" si="552"/>
        <v>10.01</v>
      </c>
      <c r="K1273">
        <f t="shared" si="553"/>
        <v>18.87</v>
      </c>
      <c r="L1273">
        <f t="shared" si="554"/>
        <v>14.440000000000001</v>
      </c>
      <c r="M1273">
        <f t="shared" si="555"/>
        <v>4.43</v>
      </c>
      <c r="N1273">
        <f t="shared" si="534"/>
        <v>8.8600000000000012</v>
      </c>
      <c r="O1273">
        <f t="shared" si="556"/>
        <v>16.940000000000001</v>
      </c>
      <c r="P1273">
        <f t="shared" si="557"/>
        <v>0.56433408577878108</v>
      </c>
      <c r="Q1273" t="str">
        <f t="shared" si="535"/>
        <v>40.91% | 11.39%</v>
      </c>
      <c r="R1273" t="str">
        <f t="shared" si="558"/>
        <v>BEARISH</v>
      </c>
      <c r="S1273">
        <f t="shared" si="536"/>
        <v>-1</v>
      </c>
    </row>
    <row r="1274" spans="1:19" hidden="1" x14ac:dyDescent="0.25">
      <c r="A1274" s="5" t="str">
        <f t="shared" si="533"/>
        <v>43948NATGAS</v>
      </c>
      <c r="B1274" s="6" t="s">
        <v>24</v>
      </c>
      <c r="C1274" s="6">
        <v>1.53</v>
      </c>
      <c r="D1274" s="6">
        <v>2.0099999999999998</v>
      </c>
      <c r="E1274" s="6">
        <v>1.89</v>
      </c>
      <c r="F1274" t="str">
        <f t="shared" si="548"/>
        <v>MON</v>
      </c>
      <c r="G1274" s="1">
        <f t="shared" si="549"/>
        <v>43948</v>
      </c>
      <c r="H1274" s="2">
        <f t="shared" ca="1" si="550"/>
        <v>305</v>
      </c>
      <c r="I1274" t="str">
        <f t="shared" si="551"/>
        <v>NATGAS</v>
      </c>
      <c r="J1274">
        <f t="shared" si="552"/>
        <v>1.53</v>
      </c>
      <c r="K1274">
        <f t="shared" si="553"/>
        <v>2.0099999999999998</v>
      </c>
      <c r="L1274">
        <f t="shared" si="554"/>
        <v>1.77</v>
      </c>
      <c r="M1274">
        <f t="shared" si="555"/>
        <v>0.23999999999999788</v>
      </c>
      <c r="N1274">
        <f t="shared" si="534"/>
        <v>0.47999999999999976</v>
      </c>
      <c r="O1274">
        <f t="shared" si="556"/>
        <v>1.89</v>
      </c>
      <c r="P1274">
        <f t="shared" si="557"/>
        <v>0.50000000000000389</v>
      </c>
      <c r="Q1274" t="str">
        <f t="shared" si="535"/>
        <v>19.05% | 6.35%</v>
      </c>
      <c r="R1274" t="str">
        <f t="shared" si="558"/>
        <v>BEARISH</v>
      </c>
      <c r="S1274">
        <f t="shared" si="536"/>
        <v>-1</v>
      </c>
    </row>
    <row r="1275" spans="1:19" hidden="1" x14ac:dyDescent="0.25">
      <c r="A1275" s="5" t="str">
        <f t="shared" si="533"/>
        <v>43948GOLD</v>
      </c>
      <c r="B1275" s="6" t="s">
        <v>25</v>
      </c>
      <c r="C1275" s="6">
        <v>1681</v>
      </c>
      <c r="D1275" s="6">
        <v>1796</v>
      </c>
      <c r="E1275" s="6">
        <v>1735</v>
      </c>
      <c r="F1275" t="str">
        <f t="shared" si="548"/>
        <v>MON</v>
      </c>
      <c r="G1275" s="1">
        <f t="shared" si="549"/>
        <v>43948</v>
      </c>
      <c r="H1275" s="2">
        <f t="shared" ca="1" si="550"/>
        <v>305</v>
      </c>
      <c r="I1275" t="str">
        <f t="shared" si="551"/>
        <v>GOLD</v>
      </c>
      <c r="J1275">
        <f t="shared" si="552"/>
        <v>1681</v>
      </c>
      <c r="K1275">
        <f t="shared" si="553"/>
        <v>1796</v>
      </c>
      <c r="L1275">
        <f t="shared" si="554"/>
        <v>1738.5</v>
      </c>
      <c r="M1275">
        <f t="shared" si="555"/>
        <v>57.5</v>
      </c>
      <c r="N1275">
        <f t="shared" si="534"/>
        <v>115</v>
      </c>
      <c r="O1275">
        <f t="shared" si="556"/>
        <v>1735</v>
      </c>
      <c r="P1275">
        <f t="shared" si="557"/>
        <v>-6.0869565217391307E-2</v>
      </c>
      <c r="Q1275" t="str">
        <f t="shared" si="535"/>
        <v>3.11% | 3.52%</v>
      </c>
      <c r="R1275" t="str">
        <f t="shared" si="558"/>
        <v>BULLISH</v>
      </c>
      <c r="S1275">
        <f t="shared" si="536"/>
        <v>1</v>
      </c>
    </row>
    <row r="1276" spans="1:19" hidden="1" x14ac:dyDescent="0.25">
      <c r="A1276" s="5" t="str">
        <f t="shared" si="533"/>
        <v>43948COPPER</v>
      </c>
      <c r="B1276" s="6" t="s">
        <v>26</v>
      </c>
      <c r="C1276" s="6">
        <v>2.23</v>
      </c>
      <c r="D1276" s="6">
        <v>2.38</v>
      </c>
      <c r="E1276" s="6">
        <v>2.34</v>
      </c>
      <c r="F1276" t="str">
        <f t="shared" si="548"/>
        <v>MON</v>
      </c>
      <c r="G1276" s="1">
        <f t="shared" si="549"/>
        <v>43948</v>
      </c>
      <c r="H1276" s="2">
        <f t="shared" ca="1" si="550"/>
        <v>305</v>
      </c>
      <c r="I1276" t="str">
        <f t="shared" si="551"/>
        <v>COPPER</v>
      </c>
      <c r="J1276">
        <f t="shared" si="552"/>
        <v>2.23</v>
      </c>
      <c r="K1276">
        <f t="shared" si="553"/>
        <v>2.38</v>
      </c>
      <c r="L1276">
        <f t="shared" si="554"/>
        <v>2.3049999999999997</v>
      </c>
      <c r="M1276">
        <f t="shared" si="555"/>
        <v>7.4999999999999956E-2</v>
      </c>
      <c r="N1276">
        <f t="shared" si="534"/>
        <v>0.14999999999999991</v>
      </c>
      <c r="O1276">
        <f t="shared" si="556"/>
        <v>2.34</v>
      </c>
      <c r="P1276">
        <f t="shared" si="557"/>
        <v>0.46666666666666884</v>
      </c>
      <c r="Q1276" t="str">
        <f t="shared" si="535"/>
        <v>4.7% | 1.71%</v>
      </c>
      <c r="R1276" t="str">
        <f t="shared" si="558"/>
        <v>BEARISH</v>
      </c>
      <c r="S1276">
        <f t="shared" si="536"/>
        <v>-1</v>
      </c>
    </row>
    <row r="1277" spans="1:19" hidden="1" x14ac:dyDescent="0.25">
      <c r="A1277" s="5" t="str">
        <f t="shared" si="533"/>
        <v>43948MSFT</v>
      </c>
      <c r="B1277" s="6" t="s">
        <v>27</v>
      </c>
      <c r="C1277" s="6">
        <v>165</v>
      </c>
      <c r="D1277" s="6">
        <v>181</v>
      </c>
      <c r="E1277" s="6">
        <v>174</v>
      </c>
      <c r="F1277" t="str">
        <f t="shared" si="548"/>
        <v>MON</v>
      </c>
      <c r="G1277" s="1">
        <f t="shared" si="549"/>
        <v>43948</v>
      </c>
      <c r="H1277" s="2">
        <f t="shared" ca="1" si="550"/>
        <v>305</v>
      </c>
      <c r="I1277" t="str">
        <f t="shared" si="551"/>
        <v>MSFT</v>
      </c>
      <c r="J1277">
        <f t="shared" si="552"/>
        <v>165</v>
      </c>
      <c r="K1277">
        <f t="shared" si="553"/>
        <v>181</v>
      </c>
      <c r="L1277">
        <f t="shared" si="554"/>
        <v>173</v>
      </c>
      <c r="M1277">
        <f t="shared" si="555"/>
        <v>8</v>
      </c>
      <c r="N1277">
        <f t="shared" si="534"/>
        <v>16</v>
      </c>
      <c r="O1277">
        <f t="shared" si="556"/>
        <v>174</v>
      </c>
      <c r="P1277">
        <f t="shared" si="557"/>
        <v>0.125</v>
      </c>
      <c r="Q1277" t="str">
        <f t="shared" si="535"/>
        <v>5.17% | 4.02%</v>
      </c>
      <c r="R1277" t="str">
        <f t="shared" si="558"/>
        <v>BULLISH</v>
      </c>
      <c r="S1277">
        <f t="shared" si="536"/>
        <v>1</v>
      </c>
    </row>
    <row r="1278" spans="1:19" hidden="1" x14ac:dyDescent="0.25">
      <c r="A1278" s="5" t="str">
        <f t="shared" si="533"/>
        <v>43948AAPL</v>
      </c>
      <c r="B1278" s="6" t="s">
        <v>63</v>
      </c>
      <c r="C1278" s="6">
        <v>264</v>
      </c>
      <c r="D1278" s="6">
        <v>293</v>
      </c>
      <c r="E1278" s="6">
        <v>282</v>
      </c>
      <c r="F1278" t="str">
        <f t="shared" si="548"/>
        <v>MON</v>
      </c>
      <c r="G1278" s="1">
        <f t="shared" si="549"/>
        <v>43948</v>
      </c>
      <c r="H1278" s="2">
        <f t="shared" ca="1" si="550"/>
        <v>305</v>
      </c>
      <c r="I1278" t="str">
        <f t="shared" si="551"/>
        <v>AAPL</v>
      </c>
      <c r="J1278">
        <f t="shared" si="552"/>
        <v>264</v>
      </c>
      <c r="K1278">
        <f t="shared" si="553"/>
        <v>293</v>
      </c>
      <c r="L1278">
        <f t="shared" si="554"/>
        <v>278.5</v>
      </c>
      <c r="M1278">
        <f t="shared" si="555"/>
        <v>14.5</v>
      </c>
      <c r="N1278">
        <f t="shared" si="534"/>
        <v>29</v>
      </c>
      <c r="O1278">
        <f t="shared" si="556"/>
        <v>282</v>
      </c>
      <c r="P1278">
        <f t="shared" si="557"/>
        <v>0.2413793103448276</v>
      </c>
      <c r="Q1278" t="str">
        <f t="shared" si="535"/>
        <v>6.38% | 3.9%</v>
      </c>
      <c r="R1278" t="str">
        <f t="shared" si="558"/>
        <v>NEUTRAL</v>
      </c>
      <c r="S1278">
        <f t="shared" si="536"/>
        <v>0</v>
      </c>
    </row>
    <row r="1279" spans="1:19" hidden="1" x14ac:dyDescent="0.25">
      <c r="A1279" s="5" t="str">
        <f t="shared" si="533"/>
        <v>43948AMZN</v>
      </c>
      <c r="B1279" s="6" t="s">
        <v>29</v>
      </c>
      <c r="C1279" s="6">
        <v>2270</v>
      </c>
      <c r="D1279" s="6">
        <v>2470</v>
      </c>
      <c r="E1279" s="6">
        <v>2410</v>
      </c>
      <c r="F1279" t="str">
        <f t="shared" si="548"/>
        <v>MON</v>
      </c>
      <c r="G1279" s="1">
        <f t="shared" si="549"/>
        <v>43948</v>
      </c>
      <c r="H1279" s="2">
        <f t="shared" ca="1" si="550"/>
        <v>305</v>
      </c>
      <c r="I1279" t="str">
        <f t="shared" si="551"/>
        <v>AMZN</v>
      </c>
      <c r="J1279">
        <f t="shared" si="552"/>
        <v>2270</v>
      </c>
      <c r="K1279">
        <f t="shared" si="553"/>
        <v>2470</v>
      </c>
      <c r="L1279">
        <f t="shared" si="554"/>
        <v>2370</v>
      </c>
      <c r="M1279">
        <f t="shared" si="555"/>
        <v>100</v>
      </c>
      <c r="N1279">
        <f t="shared" si="534"/>
        <v>200</v>
      </c>
      <c r="O1279">
        <f t="shared" si="556"/>
        <v>2410</v>
      </c>
      <c r="P1279">
        <f t="shared" si="557"/>
        <v>0.4</v>
      </c>
      <c r="Q1279" t="str">
        <f t="shared" si="535"/>
        <v>5.81% | 2.49%</v>
      </c>
      <c r="R1279" t="str">
        <f t="shared" si="558"/>
        <v>BULLISH</v>
      </c>
      <c r="S1279">
        <f t="shared" si="536"/>
        <v>1</v>
      </c>
    </row>
    <row r="1280" spans="1:19" hidden="1" x14ac:dyDescent="0.25">
      <c r="A1280" s="5" t="str">
        <f t="shared" si="533"/>
        <v>43948FB</v>
      </c>
      <c r="B1280" s="6" t="s">
        <v>58</v>
      </c>
      <c r="C1280" s="6">
        <v>168</v>
      </c>
      <c r="D1280" s="6">
        <v>192</v>
      </c>
      <c r="E1280" s="6">
        <v>190</v>
      </c>
      <c r="F1280" t="str">
        <f t="shared" si="548"/>
        <v>MON</v>
      </c>
      <c r="G1280" s="1">
        <f t="shared" si="549"/>
        <v>43948</v>
      </c>
      <c r="H1280" s="2">
        <f t="shared" ca="1" si="550"/>
        <v>305</v>
      </c>
      <c r="I1280" t="str">
        <f t="shared" si="551"/>
        <v>FB</v>
      </c>
      <c r="J1280">
        <f t="shared" si="552"/>
        <v>168</v>
      </c>
      <c r="K1280">
        <f t="shared" si="553"/>
        <v>192</v>
      </c>
      <c r="L1280">
        <f t="shared" si="554"/>
        <v>180</v>
      </c>
      <c r="M1280">
        <f t="shared" si="555"/>
        <v>12</v>
      </c>
      <c r="N1280">
        <f t="shared" si="534"/>
        <v>24</v>
      </c>
      <c r="O1280">
        <f t="shared" si="556"/>
        <v>190</v>
      </c>
      <c r="P1280">
        <f t="shared" si="557"/>
        <v>0.83333333333333337</v>
      </c>
      <c r="Q1280" t="str">
        <f t="shared" si="535"/>
        <v>11.58% | 1.05%</v>
      </c>
      <c r="R1280" t="str">
        <f t="shared" si="558"/>
        <v>BEARISH</v>
      </c>
      <c r="S1280">
        <f t="shared" si="536"/>
        <v>-1</v>
      </c>
    </row>
    <row r="1281" spans="1:19" hidden="1" x14ac:dyDescent="0.25">
      <c r="A1281" s="5" t="str">
        <f t="shared" si="533"/>
        <v>43948GOOGL</v>
      </c>
      <c r="B1281" s="6" t="s">
        <v>66</v>
      </c>
      <c r="C1281" s="6">
        <v>1202</v>
      </c>
      <c r="D1281" s="6">
        <v>1298</v>
      </c>
      <c r="E1281" s="6">
        <v>1276</v>
      </c>
      <c r="F1281" t="str">
        <f t="shared" si="548"/>
        <v>MON</v>
      </c>
      <c r="G1281" s="1">
        <f t="shared" si="549"/>
        <v>43948</v>
      </c>
      <c r="H1281" s="2">
        <f t="shared" ca="1" si="550"/>
        <v>305</v>
      </c>
      <c r="I1281" t="str">
        <f t="shared" si="551"/>
        <v>GOOGL</v>
      </c>
      <c r="J1281">
        <f t="shared" si="552"/>
        <v>1202</v>
      </c>
      <c r="K1281">
        <f t="shared" si="553"/>
        <v>1298</v>
      </c>
      <c r="L1281">
        <f t="shared" si="554"/>
        <v>1250</v>
      </c>
      <c r="M1281">
        <f t="shared" si="555"/>
        <v>48</v>
      </c>
      <c r="N1281">
        <f t="shared" si="534"/>
        <v>96</v>
      </c>
      <c r="O1281">
        <f t="shared" si="556"/>
        <v>1276</v>
      </c>
      <c r="P1281">
        <f t="shared" si="557"/>
        <v>0.54166666666666663</v>
      </c>
      <c r="Q1281" t="str">
        <f t="shared" si="535"/>
        <v>5.8% | 1.72%</v>
      </c>
      <c r="R1281" t="str">
        <f t="shared" si="558"/>
        <v>BEARISH</v>
      </c>
      <c r="S1281">
        <f t="shared" si="536"/>
        <v>-1</v>
      </c>
    </row>
    <row r="1282" spans="1:19" hidden="1" x14ac:dyDescent="0.25">
      <c r="A1282" s="5" t="str">
        <f t="shared" si="533"/>
        <v>43948NFLX</v>
      </c>
      <c r="B1282" s="6" t="s">
        <v>32</v>
      </c>
      <c r="C1282" s="6">
        <v>394</v>
      </c>
      <c r="D1282" s="6">
        <v>443</v>
      </c>
      <c r="E1282" s="6">
        <v>424</v>
      </c>
      <c r="F1282" t="str">
        <f t="shared" si="548"/>
        <v>MON</v>
      </c>
      <c r="G1282" s="1">
        <f t="shared" si="549"/>
        <v>43948</v>
      </c>
      <c r="H1282" s="2">
        <f t="shared" ca="1" si="550"/>
        <v>305</v>
      </c>
      <c r="I1282" t="str">
        <f t="shared" si="551"/>
        <v>NFLX</v>
      </c>
      <c r="J1282">
        <f t="shared" si="552"/>
        <v>394</v>
      </c>
      <c r="K1282">
        <f t="shared" si="553"/>
        <v>443</v>
      </c>
      <c r="L1282">
        <f t="shared" si="554"/>
        <v>418.5</v>
      </c>
      <c r="M1282">
        <f t="shared" si="555"/>
        <v>24.5</v>
      </c>
      <c r="N1282">
        <f t="shared" si="534"/>
        <v>49</v>
      </c>
      <c r="O1282">
        <f t="shared" si="556"/>
        <v>424</v>
      </c>
      <c r="P1282">
        <f t="shared" si="557"/>
        <v>0.22448979591836735</v>
      </c>
      <c r="Q1282" t="str">
        <f t="shared" si="535"/>
        <v>7.08% | 4.48%</v>
      </c>
      <c r="R1282" t="str">
        <f t="shared" si="558"/>
        <v>BULLISH</v>
      </c>
      <c r="S1282">
        <f t="shared" si="536"/>
        <v>1</v>
      </c>
    </row>
    <row r="1283" spans="1:19" x14ac:dyDescent="0.25">
      <c r="A1283" s="5" t="str">
        <f t="shared" ref="A1283:A1346" si="559">G1283&amp;I1283</f>
        <v>43948TSLA</v>
      </c>
      <c r="B1283" s="6" t="s">
        <v>33</v>
      </c>
      <c r="C1283" s="6">
        <v>637</v>
      </c>
      <c r="D1283" s="6">
        <v>770</v>
      </c>
      <c r="E1283" s="6">
        <v>725</v>
      </c>
      <c r="F1283" t="str">
        <f t="shared" si="548"/>
        <v>MON</v>
      </c>
      <c r="G1283" s="1">
        <f t="shared" si="549"/>
        <v>43948</v>
      </c>
      <c r="H1283" s="2">
        <f t="shared" ca="1" si="550"/>
        <v>305</v>
      </c>
      <c r="I1283" t="str">
        <f t="shared" si="551"/>
        <v>TSLA</v>
      </c>
      <c r="J1283">
        <f t="shared" si="552"/>
        <v>637</v>
      </c>
      <c r="K1283">
        <f t="shared" si="553"/>
        <v>770</v>
      </c>
      <c r="L1283">
        <f t="shared" si="554"/>
        <v>703.5</v>
      </c>
      <c r="M1283">
        <f t="shared" si="555"/>
        <v>66.5</v>
      </c>
      <c r="N1283">
        <f t="shared" ref="N1283:N1346" si="560">ABS(K1283-J1283)</f>
        <v>133</v>
      </c>
      <c r="O1283">
        <f t="shared" si="556"/>
        <v>725</v>
      </c>
      <c r="P1283">
        <f t="shared" si="557"/>
        <v>0.32330827067669171</v>
      </c>
      <c r="Q1283" t="str">
        <f t="shared" ref="Q1283:Q1346" si="561">ROUND(ABS(100*(O1283-J1283)/O1283),2)&amp;"% | "&amp;ROUND(ABS(100*(K1283-O1283)/O1283),2)&amp;"%"</f>
        <v>12.14% | 6.21%</v>
      </c>
      <c r="R1283" t="str">
        <f t="shared" si="558"/>
        <v>BULLISH</v>
      </c>
      <c r="S1283">
        <f t="shared" ref="S1283:S1346" si="562">IF(R1283="BEARISH",-1,IF(R1283="NEUTRAL",0,IF(R1283="BULLISH",1,99)))</f>
        <v>1</v>
      </c>
    </row>
    <row r="1284" spans="1:19" hidden="1" x14ac:dyDescent="0.25">
      <c r="A1284" s="5" t="str">
        <f t="shared" si="559"/>
        <v>43948NYXBT</v>
      </c>
      <c r="B1284" s="6" t="s">
        <v>84</v>
      </c>
      <c r="C1284" s="6">
        <v>6482</v>
      </c>
      <c r="D1284" s="6">
        <v>7599</v>
      </c>
      <c r="E1284" s="6">
        <v>7472</v>
      </c>
      <c r="F1284" t="str">
        <f t="shared" si="548"/>
        <v>MON</v>
      </c>
      <c r="G1284" s="1">
        <f t="shared" si="549"/>
        <v>43948</v>
      </c>
      <c r="H1284" s="2">
        <f t="shared" ca="1" si="550"/>
        <v>305</v>
      </c>
      <c r="I1284" t="str">
        <f t="shared" si="551"/>
        <v>NYXBT</v>
      </c>
      <c r="J1284">
        <f t="shared" si="552"/>
        <v>6482</v>
      </c>
      <c r="K1284">
        <f t="shared" si="553"/>
        <v>7599</v>
      </c>
      <c r="L1284">
        <f t="shared" si="554"/>
        <v>7040.5</v>
      </c>
      <c r="M1284">
        <f t="shared" si="555"/>
        <v>558.5</v>
      </c>
      <c r="N1284">
        <f t="shared" si="560"/>
        <v>1117</v>
      </c>
      <c r="O1284">
        <f t="shared" si="556"/>
        <v>7472</v>
      </c>
      <c r="P1284">
        <f t="shared" si="557"/>
        <v>0.77260519247985671</v>
      </c>
      <c r="Q1284" t="str">
        <f t="shared" si="561"/>
        <v>13.25% | 1.7%</v>
      </c>
      <c r="R1284" t="str">
        <f t="shared" si="558"/>
        <v>BEARISH</v>
      </c>
      <c r="S1284">
        <f t="shared" si="562"/>
        <v>-1</v>
      </c>
    </row>
    <row r="1285" spans="1:19" hidden="1" x14ac:dyDescent="0.25">
      <c r="A1285" s="5" t="str">
        <f t="shared" si="559"/>
        <v>43949UST10Y</v>
      </c>
      <c r="B1285" s="6" t="s">
        <v>4</v>
      </c>
      <c r="C1285" s="6">
        <v>0.69</v>
      </c>
      <c r="D1285" s="6">
        <v>0.56000000000000005</v>
      </c>
      <c r="E1285" s="6">
        <v>0.67</v>
      </c>
      <c r="F1285" t="str">
        <f t="shared" si="548"/>
        <v>TUE</v>
      </c>
      <c r="G1285" s="3">
        <f>DATE(2020,4,28)</f>
        <v>43949</v>
      </c>
      <c r="H1285" s="2">
        <f t="shared" ca="1" si="550"/>
        <v>304</v>
      </c>
      <c r="I1285" t="str">
        <f t="shared" si="551"/>
        <v>UST10Y</v>
      </c>
      <c r="J1285">
        <f t="shared" si="552"/>
        <v>0.69</v>
      </c>
      <c r="K1285">
        <f t="shared" si="553"/>
        <v>0.56000000000000005</v>
      </c>
      <c r="L1285">
        <f t="shared" si="554"/>
        <v>0.625</v>
      </c>
      <c r="M1285">
        <f t="shared" si="555"/>
        <v>6.4999999999999836E-2</v>
      </c>
      <c r="N1285">
        <f t="shared" si="560"/>
        <v>0.12999999999999989</v>
      </c>
      <c r="O1285">
        <f t="shared" si="556"/>
        <v>0.67</v>
      </c>
      <c r="P1285">
        <f t="shared" si="557"/>
        <v>0.69230769230769462</v>
      </c>
      <c r="Q1285" t="str">
        <f t="shared" si="561"/>
        <v>2.99% | 16.42%</v>
      </c>
      <c r="R1285" t="str">
        <f t="shared" si="558"/>
        <v>BEARISH</v>
      </c>
      <c r="S1285">
        <f t="shared" si="562"/>
        <v>-1</v>
      </c>
    </row>
    <row r="1286" spans="1:19" hidden="1" x14ac:dyDescent="0.25">
      <c r="A1286" s="5" t="str">
        <f t="shared" si="559"/>
        <v>43949UST2Y</v>
      </c>
      <c r="B1286" s="6" t="s">
        <v>5</v>
      </c>
      <c r="C1286" s="6">
        <v>0.25</v>
      </c>
      <c r="D1286" s="6">
        <v>0.18</v>
      </c>
      <c r="E1286" s="6">
        <v>0.24</v>
      </c>
      <c r="F1286" t="str">
        <f t="shared" ref="F1286:F1316" si="563">UPPER(TEXT(G1286,"ddd"))</f>
        <v>TUE</v>
      </c>
      <c r="G1286" s="3">
        <f t="shared" ref="G1286:G1315" si="564">DATE(2020,4,28)</f>
        <v>43949</v>
      </c>
      <c r="H1286" s="2">
        <f t="shared" ref="H1286:H1316" ca="1" si="565">TODAY()-G1286</f>
        <v>304</v>
      </c>
      <c r="I1286" t="str">
        <f t="shared" ref="I1286:I1316" si="566">TRIM(LEFT(B1286,FIND(" ",B1286,1)))</f>
        <v>UST2Y</v>
      </c>
      <c r="J1286">
        <f t="shared" ref="J1286:J1316" si="567">C1286</f>
        <v>0.25</v>
      </c>
      <c r="K1286">
        <f t="shared" ref="K1286:K1316" si="568">D1286</f>
        <v>0.18</v>
      </c>
      <c r="L1286">
        <f t="shared" ref="L1286:L1316" si="569">AVERAGE(J1286:K1286)</f>
        <v>0.215</v>
      </c>
      <c r="M1286">
        <f t="shared" ref="M1286:M1316" si="570">_xlfn.STDEV.P(J1286:K1286)</f>
        <v>3.5000000000000052E-2</v>
      </c>
      <c r="N1286">
        <f t="shared" si="560"/>
        <v>7.0000000000000007E-2</v>
      </c>
      <c r="O1286">
        <f t="shared" ref="O1286:O1316" si="571">E1286</f>
        <v>0.24</v>
      </c>
      <c r="P1286">
        <f t="shared" ref="P1286:P1316" si="572">(O1286-L1286)/M1286</f>
        <v>0.71428571428571308</v>
      </c>
      <c r="Q1286" t="str">
        <f t="shared" si="561"/>
        <v>4.17% | 25%</v>
      </c>
      <c r="R1286" t="str">
        <f t="shared" ref="R1286:R1316" si="573">MID(B1286,FIND("(",B1286,1)+1,FIND(")",B1286,1)-FIND("(",B1286,1)-1)</f>
        <v>BEARISH</v>
      </c>
      <c r="S1286">
        <f t="shared" si="562"/>
        <v>-1</v>
      </c>
    </row>
    <row r="1287" spans="1:19" hidden="1" x14ac:dyDescent="0.25">
      <c r="A1287" s="5" t="str">
        <f t="shared" si="559"/>
        <v>43949SPX</v>
      </c>
      <c r="B1287" s="6" t="s">
        <v>6</v>
      </c>
      <c r="C1287" s="6">
        <v>2730</v>
      </c>
      <c r="D1287" s="6">
        <v>2899</v>
      </c>
      <c r="E1287" s="6">
        <v>2878</v>
      </c>
      <c r="F1287" t="str">
        <f t="shared" si="563"/>
        <v>TUE</v>
      </c>
      <c r="G1287" s="3">
        <f t="shared" si="564"/>
        <v>43949</v>
      </c>
      <c r="H1287" s="2">
        <f t="shared" ca="1" si="565"/>
        <v>304</v>
      </c>
      <c r="I1287" t="str">
        <f t="shared" si="566"/>
        <v>SPX</v>
      </c>
      <c r="J1287">
        <f t="shared" si="567"/>
        <v>2730</v>
      </c>
      <c r="K1287">
        <f t="shared" si="568"/>
        <v>2899</v>
      </c>
      <c r="L1287">
        <f t="shared" si="569"/>
        <v>2814.5</v>
      </c>
      <c r="M1287">
        <f t="shared" si="570"/>
        <v>84.5</v>
      </c>
      <c r="N1287">
        <f t="shared" si="560"/>
        <v>169</v>
      </c>
      <c r="O1287">
        <f t="shared" si="571"/>
        <v>2878</v>
      </c>
      <c r="P1287">
        <f t="shared" si="572"/>
        <v>0.75147928994082835</v>
      </c>
      <c r="Q1287" t="str">
        <f t="shared" si="561"/>
        <v>5.14% | 0.73%</v>
      </c>
      <c r="R1287" t="str">
        <f t="shared" si="573"/>
        <v>BEARISH</v>
      </c>
      <c r="S1287">
        <f t="shared" si="562"/>
        <v>-1</v>
      </c>
    </row>
    <row r="1288" spans="1:19" hidden="1" x14ac:dyDescent="0.25">
      <c r="A1288" s="5" t="str">
        <f t="shared" si="559"/>
        <v>43949RUT</v>
      </c>
      <c r="B1288" s="6" t="s">
        <v>7</v>
      </c>
      <c r="C1288" s="6">
        <v>1152</v>
      </c>
      <c r="D1288" s="6">
        <v>1295</v>
      </c>
      <c r="E1288" s="6">
        <v>1281</v>
      </c>
      <c r="F1288" t="str">
        <f t="shared" si="563"/>
        <v>TUE</v>
      </c>
      <c r="G1288" s="3">
        <f t="shared" si="564"/>
        <v>43949</v>
      </c>
      <c r="H1288" s="2">
        <f t="shared" ca="1" si="565"/>
        <v>304</v>
      </c>
      <c r="I1288" t="str">
        <f t="shared" si="566"/>
        <v>RUT</v>
      </c>
      <c r="J1288">
        <f t="shared" si="567"/>
        <v>1152</v>
      </c>
      <c r="K1288">
        <f t="shared" si="568"/>
        <v>1295</v>
      </c>
      <c r="L1288">
        <f t="shared" si="569"/>
        <v>1223.5</v>
      </c>
      <c r="M1288">
        <f t="shared" si="570"/>
        <v>71.5</v>
      </c>
      <c r="N1288">
        <f t="shared" si="560"/>
        <v>143</v>
      </c>
      <c r="O1288">
        <f t="shared" si="571"/>
        <v>1281</v>
      </c>
      <c r="P1288">
        <f t="shared" si="572"/>
        <v>0.80419580419580416</v>
      </c>
      <c r="Q1288" t="str">
        <f t="shared" si="561"/>
        <v>10.07% | 1.09%</v>
      </c>
      <c r="R1288" t="str">
        <f t="shared" si="573"/>
        <v>BEARISH</v>
      </c>
      <c r="S1288">
        <f t="shared" si="562"/>
        <v>-1</v>
      </c>
    </row>
    <row r="1289" spans="1:19" hidden="1" x14ac:dyDescent="0.25">
      <c r="A1289" s="5" t="str">
        <f t="shared" si="559"/>
        <v>43949COMPQ</v>
      </c>
      <c r="B1289" s="6" t="s">
        <v>61</v>
      </c>
      <c r="C1289" s="6">
        <v>8233</v>
      </c>
      <c r="D1289" s="6">
        <v>8799</v>
      </c>
      <c r="E1289" s="6">
        <v>8730</v>
      </c>
      <c r="F1289" t="str">
        <f t="shared" si="563"/>
        <v>TUE</v>
      </c>
      <c r="G1289" s="3">
        <f t="shared" si="564"/>
        <v>43949</v>
      </c>
      <c r="H1289" s="2">
        <f t="shared" ca="1" si="565"/>
        <v>304</v>
      </c>
      <c r="I1289" t="str">
        <f t="shared" si="566"/>
        <v>COMPQ</v>
      </c>
      <c r="J1289">
        <f t="shared" si="567"/>
        <v>8233</v>
      </c>
      <c r="K1289">
        <f t="shared" si="568"/>
        <v>8799</v>
      </c>
      <c r="L1289">
        <f t="shared" si="569"/>
        <v>8516</v>
      </c>
      <c r="M1289">
        <f t="shared" si="570"/>
        <v>283</v>
      </c>
      <c r="N1289">
        <f t="shared" si="560"/>
        <v>566</v>
      </c>
      <c r="O1289">
        <f t="shared" si="571"/>
        <v>8730</v>
      </c>
      <c r="P1289">
        <f t="shared" si="572"/>
        <v>0.75618374558303891</v>
      </c>
      <c r="Q1289" t="str">
        <f t="shared" si="561"/>
        <v>5.69% | 0.79%</v>
      </c>
      <c r="R1289" t="str">
        <f t="shared" si="573"/>
        <v>NEUTRAL</v>
      </c>
      <c r="S1289">
        <f t="shared" si="562"/>
        <v>0</v>
      </c>
    </row>
    <row r="1290" spans="1:19" hidden="1" x14ac:dyDescent="0.25">
      <c r="A1290" s="5" t="str">
        <f t="shared" si="559"/>
        <v>43949XLP</v>
      </c>
      <c r="B1290" s="6" t="s">
        <v>54</v>
      </c>
      <c r="C1290" s="6">
        <v>57.25</v>
      </c>
      <c r="D1290" s="6">
        <v>60.74</v>
      </c>
      <c r="E1290" s="6">
        <v>58.88</v>
      </c>
      <c r="F1290" t="str">
        <f t="shared" si="563"/>
        <v>TUE</v>
      </c>
      <c r="G1290" s="3">
        <f t="shared" si="564"/>
        <v>43949</v>
      </c>
      <c r="H1290" s="2">
        <f t="shared" ca="1" si="565"/>
        <v>304</v>
      </c>
      <c r="I1290" t="str">
        <f t="shared" si="566"/>
        <v>XLP</v>
      </c>
      <c r="J1290">
        <f t="shared" si="567"/>
        <v>57.25</v>
      </c>
      <c r="K1290">
        <f t="shared" si="568"/>
        <v>60.74</v>
      </c>
      <c r="L1290">
        <f t="shared" si="569"/>
        <v>58.995000000000005</v>
      </c>
      <c r="M1290">
        <f t="shared" si="570"/>
        <v>1.745000000000001</v>
      </c>
      <c r="N1290">
        <f t="shared" si="560"/>
        <v>3.490000000000002</v>
      </c>
      <c r="O1290">
        <f t="shared" si="571"/>
        <v>58.88</v>
      </c>
      <c r="P1290">
        <f t="shared" si="572"/>
        <v>-6.5902578796562708E-2</v>
      </c>
      <c r="Q1290" t="str">
        <f t="shared" si="561"/>
        <v>2.77% | 3.16%</v>
      </c>
      <c r="R1290" t="str">
        <f t="shared" si="573"/>
        <v>BULLISH</v>
      </c>
      <c r="S1290">
        <f t="shared" si="562"/>
        <v>1</v>
      </c>
    </row>
    <row r="1291" spans="1:19" hidden="1" x14ac:dyDescent="0.25">
      <c r="A1291" s="5" t="str">
        <f t="shared" si="559"/>
        <v>43949XLV</v>
      </c>
      <c r="B1291" s="6" t="s">
        <v>9</v>
      </c>
      <c r="C1291" s="6">
        <v>94.74</v>
      </c>
      <c r="D1291" s="6">
        <v>102.51</v>
      </c>
      <c r="E1291" s="6">
        <v>101.58</v>
      </c>
      <c r="F1291" t="str">
        <f t="shared" si="563"/>
        <v>TUE</v>
      </c>
      <c r="G1291" s="3">
        <f t="shared" si="564"/>
        <v>43949</v>
      </c>
      <c r="H1291" s="2">
        <f t="shared" ca="1" si="565"/>
        <v>304</v>
      </c>
      <c r="I1291" t="str">
        <f t="shared" si="566"/>
        <v>XLV</v>
      </c>
      <c r="J1291">
        <f t="shared" si="567"/>
        <v>94.74</v>
      </c>
      <c r="K1291">
        <f t="shared" si="568"/>
        <v>102.51</v>
      </c>
      <c r="L1291">
        <f t="shared" si="569"/>
        <v>98.625</v>
      </c>
      <c r="M1291">
        <f t="shared" si="570"/>
        <v>3.8850000000000051</v>
      </c>
      <c r="N1291">
        <f t="shared" si="560"/>
        <v>7.7700000000000102</v>
      </c>
      <c r="O1291">
        <f t="shared" si="571"/>
        <v>101.58</v>
      </c>
      <c r="P1291">
        <f t="shared" si="572"/>
        <v>0.76061776061775921</v>
      </c>
      <c r="Q1291" t="str">
        <f t="shared" si="561"/>
        <v>6.73% | 0.92%</v>
      </c>
      <c r="R1291" t="str">
        <f t="shared" si="573"/>
        <v>BULLISH</v>
      </c>
      <c r="S1291">
        <f t="shared" si="562"/>
        <v>1</v>
      </c>
    </row>
    <row r="1292" spans="1:19" hidden="1" x14ac:dyDescent="0.25">
      <c r="A1292" s="5" t="str">
        <f t="shared" si="559"/>
        <v>43949XLU</v>
      </c>
      <c r="B1292" s="6" t="s">
        <v>52</v>
      </c>
      <c r="C1292" s="6">
        <v>56.43</v>
      </c>
      <c r="D1292" s="6">
        <v>60.68</v>
      </c>
      <c r="E1292" s="6">
        <v>58.93</v>
      </c>
      <c r="F1292" t="str">
        <f t="shared" si="563"/>
        <v>TUE</v>
      </c>
      <c r="G1292" s="3">
        <f t="shared" si="564"/>
        <v>43949</v>
      </c>
      <c r="H1292" s="2">
        <f t="shared" ca="1" si="565"/>
        <v>304</v>
      </c>
      <c r="I1292" t="str">
        <f t="shared" si="566"/>
        <v>XLU</v>
      </c>
      <c r="J1292">
        <f t="shared" si="567"/>
        <v>56.43</v>
      </c>
      <c r="K1292">
        <f t="shared" si="568"/>
        <v>60.68</v>
      </c>
      <c r="L1292">
        <f t="shared" si="569"/>
        <v>58.555</v>
      </c>
      <c r="M1292">
        <f t="shared" si="570"/>
        <v>2.125</v>
      </c>
      <c r="N1292">
        <f t="shared" si="560"/>
        <v>4.25</v>
      </c>
      <c r="O1292">
        <f t="shared" si="571"/>
        <v>58.93</v>
      </c>
      <c r="P1292">
        <f t="shared" si="572"/>
        <v>0.17647058823529413</v>
      </c>
      <c r="Q1292" t="str">
        <f t="shared" si="561"/>
        <v>4.24% | 2.97%</v>
      </c>
      <c r="R1292" t="str">
        <f t="shared" si="573"/>
        <v>BULLISH</v>
      </c>
      <c r="S1292">
        <f t="shared" si="562"/>
        <v>1</v>
      </c>
    </row>
    <row r="1293" spans="1:19" hidden="1" x14ac:dyDescent="0.25">
      <c r="A1293" s="5" t="str">
        <f t="shared" si="559"/>
        <v>43949XLK</v>
      </c>
      <c r="B1293" s="6" t="s">
        <v>62</v>
      </c>
      <c r="C1293" s="6">
        <v>84.42</v>
      </c>
      <c r="D1293" s="6">
        <v>90.82</v>
      </c>
      <c r="E1293" s="6">
        <v>89.39</v>
      </c>
      <c r="F1293" t="str">
        <f t="shared" si="563"/>
        <v>TUE</v>
      </c>
      <c r="G1293" s="3">
        <f t="shared" si="564"/>
        <v>43949</v>
      </c>
      <c r="H1293" s="2">
        <f t="shared" ca="1" si="565"/>
        <v>304</v>
      </c>
      <c r="I1293" t="str">
        <f t="shared" si="566"/>
        <v>XLK</v>
      </c>
      <c r="J1293">
        <f t="shared" si="567"/>
        <v>84.42</v>
      </c>
      <c r="K1293">
        <f t="shared" si="568"/>
        <v>90.82</v>
      </c>
      <c r="L1293">
        <f t="shared" si="569"/>
        <v>87.62</v>
      </c>
      <c r="M1293">
        <f t="shared" si="570"/>
        <v>3.1999999999999957</v>
      </c>
      <c r="N1293">
        <f t="shared" si="560"/>
        <v>6.3999999999999915</v>
      </c>
      <c r="O1293">
        <f t="shared" si="571"/>
        <v>89.39</v>
      </c>
      <c r="P1293">
        <f t="shared" si="572"/>
        <v>0.55312499999999953</v>
      </c>
      <c r="Q1293" t="str">
        <f t="shared" si="561"/>
        <v>5.56% | 1.6%</v>
      </c>
      <c r="R1293" t="str">
        <f t="shared" si="573"/>
        <v>NEUTRAL</v>
      </c>
      <c r="S1293">
        <f t="shared" si="562"/>
        <v>0</v>
      </c>
    </row>
    <row r="1294" spans="1:19" hidden="1" x14ac:dyDescent="0.25">
      <c r="A1294" s="5" t="str">
        <f t="shared" si="559"/>
        <v>43949XLF</v>
      </c>
      <c r="B1294" s="6" t="s">
        <v>12</v>
      </c>
      <c r="C1294" s="6">
        <v>20.11</v>
      </c>
      <c r="D1294" s="6">
        <v>22.8</v>
      </c>
      <c r="E1294" s="6">
        <v>22.48</v>
      </c>
      <c r="F1294" t="str">
        <f t="shared" si="563"/>
        <v>TUE</v>
      </c>
      <c r="G1294" s="3">
        <f t="shared" si="564"/>
        <v>43949</v>
      </c>
      <c r="H1294" s="2">
        <f t="shared" ca="1" si="565"/>
        <v>304</v>
      </c>
      <c r="I1294" t="str">
        <f t="shared" si="566"/>
        <v>XLF</v>
      </c>
      <c r="J1294">
        <f t="shared" si="567"/>
        <v>20.11</v>
      </c>
      <c r="K1294">
        <f t="shared" si="568"/>
        <v>22.8</v>
      </c>
      <c r="L1294">
        <f t="shared" si="569"/>
        <v>21.454999999999998</v>
      </c>
      <c r="M1294">
        <f t="shared" si="570"/>
        <v>1.3450000000000006</v>
      </c>
      <c r="N1294">
        <f t="shared" si="560"/>
        <v>2.6900000000000013</v>
      </c>
      <c r="O1294">
        <f t="shared" si="571"/>
        <v>22.48</v>
      </c>
      <c r="P1294">
        <f t="shared" si="572"/>
        <v>0.76208178438661833</v>
      </c>
      <c r="Q1294" t="str">
        <f t="shared" si="561"/>
        <v>10.54% | 1.42%</v>
      </c>
      <c r="R1294" t="str">
        <f t="shared" si="573"/>
        <v>BEARISH</v>
      </c>
      <c r="S1294">
        <f t="shared" si="562"/>
        <v>-1</v>
      </c>
    </row>
    <row r="1295" spans="1:19" hidden="1" x14ac:dyDescent="0.25">
      <c r="A1295" s="5" t="str">
        <f t="shared" si="559"/>
        <v>43949SSEC</v>
      </c>
      <c r="B1295" s="6" t="s">
        <v>14</v>
      </c>
      <c r="C1295" s="6">
        <v>2768</v>
      </c>
      <c r="D1295" s="6">
        <v>2850</v>
      </c>
      <c r="E1295" s="6">
        <v>2810</v>
      </c>
      <c r="F1295" t="str">
        <f t="shared" si="563"/>
        <v>TUE</v>
      </c>
      <c r="G1295" s="3">
        <f t="shared" si="564"/>
        <v>43949</v>
      </c>
      <c r="H1295" s="2">
        <f t="shared" ca="1" si="565"/>
        <v>304</v>
      </c>
      <c r="I1295" t="str">
        <f t="shared" si="566"/>
        <v>SSEC</v>
      </c>
      <c r="J1295">
        <f t="shared" si="567"/>
        <v>2768</v>
      </c>
      <c r="K1295">
        <f t="shared" si="568"/>
        <v>2850</v>
      </c>
      <c r="L1295">
        <f t="shared" si="569"/>
        <v>2809</v>
      </c>
      <c r="M1295">
        <f t="shared" si="570"/>
        <v>41</v>
      </c>
      <c r="N1295">
        <f t="shared" si="560"/>
        <v>82</v>
      </c>
      <c r="O1295">
        <f t="shared" si="571"/>
        <v>2810</v>
      </c>
      <c r="P1295">
        <f t="shared" si="572"/>
        <v>2.4390243902439025E-2</v>
      </c>
      <c r="Q1295" t="str">
        <f t="shared" si="561"/>
        <v>1.49% | 1.42%</v>
      </c>
      <c r="R1295" t="str">
        <f t="shared" si="573"/>
        <v>BEARISH</v>
      </c>
      <c r="S1295">
        <f t="shared" si="562"/>
        <v>-1</v>
      </c>
    </row>
    <row r="1296" spans="1:19" hidden="1" x14ac:dyDescent="0.25">
      <c r="A1296" s="5" t="str">
        <f t="shared" si="559"/>
        <v>43949NIKK</v>
      </c>
      <c r="B1296" s="6" t="s">
        <v>15</v>
      </c>
      <c r="C1296" s="6">
        <v>18980</v>
      </c>
      <c r="D1296" s="6">
        <v>19981</v>
      </c>
      <c r="E1296" s="6">
        <v>19771</v>
      </c>
      <c r="F1296" t="str">
        <f t="shared" si="563"/>
        <v>TUE</v>
      </c>
      <c r="G1296" s="3">
        <f t="shared" si="564"/>
        <v>43949</v>
      </c>
      <c r="H1296" s="2">
        <f t="shared" ca="1" si="565"/>
        <v>304</v>
      </c>
      <c r="I1296" t="str">
        <f t="shared" si="566"/>
        <v>NIKK</v>
      </c>
      <c r="J1296">
        <f t="shared" si="567"/>
        <v>18980</v>
      </c>
      <c r="K1296">
        <f t="shared" si="568"/>
        <v>19981</v>
      </c>
      <c r="L1296">
        <f t="shared" si="569"/>
        <v>19480.5</v>
      </c>
      <c r="M1296">
        <f t="shared" si="570"/>
        <v>500.5</v>
      </c>
      <c r="N1296">
        <f t="shared" si="560"/>
        <v>1001</v>
      </c>
      <c r="O1296">
        <f t="shared" si="571"/>
        <v>19771</v>
      </c>
      <c r="P1296">
        <f t="shared" si="572"/>
        <v>0.58041958041958042</v>
      </c>
      <c r="Q1296" t="str">
        <f t="shared" si="561"/>
        <v>4% | 1.06%</v>
      </c>
      <c r="R1296" t="str">
        <f t="shared" si="573"/>
        <v>BEARISH</v>
      </c>
      <c r="S1296">
        <f t="shared" si="562"/>
        <v>-1</v>
      </c>
    </row>
    <row r="1297" spans="1:19" hidden="1" x14ac:dyDescent="0.25">
      <c r="A1297" s="5" t="str">
        <f t="shared" si="559"/>
        <v>43949DAX</v>
      </c>
      <c r="B1297" s="6" t="s">
        <v>16</v>
      </c>
      <c r="C1297" s="6">
        <v>10109</v>
      </c>
      <c r="D1297" s="6">
        <v>10793</v>
      </c>
      <c r="E1297" s="6">
        <v>10652</v>
      </c>
      <c r="F1297" t="str">
        <f t="shared" si="563"/>
        <v>TUE</v>
      </c>
      <c r="G1297" s="3">
        <f t="shared" si="564"/>
        <v>43949</v>
      </c>
      <c r="H1297" s="2">
        <f t="shared" ca="1" si="565"/>
        <v>304</v>
      </c>
      <c r="I1297" t="str">
        <f t="shared" si="566"/>
        <v>DAX</v>
      </c>
      <c r="J1297">
        <f t="shared" si="567"/>
        <v>10109</v>
      </c>
      <c r="K1297">
        <f t="shared" si="568"/>
        <v>10793</v>
      </c>
      <c r="L1297">
        <f t="shared" si="569"/>
        <v>10451</v>
      </c>
      <c r="M1297">
        <f t="shared" si="570"/>
        <v>342</v>
      </c>
      <c r="N1297">
        <f t="shared" si="560"/>
        <v>684</v>
      </c>
      <c r="O1297">
        <f t="shared" si="571"/>
        <v>10652</v>
      </c>
      <c r="P1297">
        <f t="shared" si="572"/>
        <v>0.58771929824561409</v>
      </c>
      <c r="Q1297" t="str">
        <f t="shared" si="561"/>
        <v>5.1% | 1.32%</v>
      </c>
      <c r="R1297" t="str">
        <f t="shared" si="573"/>
        <v>BEARISH</v>
      </c>
      <c r="S1297">
        <f t="shared" si="562"/>
        <v>-1</v>
      </c>
    </row>
    <row r="1298" spans="1:19" hidden="1" x14ac:dyDescent="0.25">
      <c r="A1298" s="5" t="str">
        <f t="shared" si="559"/>
        <v>43949VIX</v>
      </c>
      <c r="B1298" s="6" t="s">
        <v>17</v>
      </c>
      <c r="C1298" s="6">
        <v>31.94</v>
      </c>
      <c r="D1298" s="6">
        <v>47.36</v>
      </c>
      <c r="E1298" s="6">
        <v>33.29</v>
      </c>
      <c r="F1298" t="str">
        <f t="shared" si="563"/>
        <v>TUE</v>
      </c>
      <c r="G1298" s="3">
        <f t="shared" si="564"/>
        <v>43949</v>
      </c>
      <c r="H1298" s="2">
        <f t="shared" ca="1" si="565"/>
        <v>304</v>
      </c>
      <c r="I1298" t="str">
        <f t="shared" si="566"/>
        <v>VIX</v>
      </c>
      <c r="J1298">
        <f t="shared" si="567"/>
        <v>31.94</v>
      </c>
      <c r="K1298">
        <f t="shared" si="568"/>
        <v>47.36</v>
      </c>
      <c r="L1298">
        <f t="shared" si="569"/>
        <v>39.65</v>
      </c>
      <c r="M1298">
        <f t="shared" si="570"/>
        <v>7.7100000000000106</v>
      </c>
      <c r="N1298">
        <f t="shared" si="560"/>
        <v>15.419999999999998</v>
      </c>
      <c r="O1298">
        <f t="shared" si="571"/>
        <v>33.29</v>
      </c>
      <c r="P1298">
        <f t="shared" si="572"/>
        <v>-0.8249027237354073</v>
      </c>
      <c r="Q1298" t="str">
        <f t="shared" si="561"/>
        <v>4.06% | 42.26%</v>
      </c>
      <c r="R1298" t="str">
        <f t="shared" si="573"/>
        <v>BULLISH</v>
      </c>
      <c r="S1298">
        <f t="shared" si="562"/>
        <v>1</v>
      </c>
    </row>
    <row r="1299" spans="1:19" hidden="1" x14ac:dyDescent="0.25">
      <c r="A1299" s="5" t="str">
        <f t="shared" si="559"/>
        <v>43949USD</v>
      </c>
      <c r="B1299" s="6" t="s">
        <v>18</v>
      </c>
      <c r="C1299" s="6">
        <v>99.02</v>
      </c>
      <c r="D1299" s="6">
        <v>100.92</v>
      </c>
      <c r="E1299" s="6">
        <v>100.1</v>
      </c>
      <c r="F1299" t="str">
        <f t="shared" si="563"/>
        <v>TUE</v>
      </c>
      <c r="G1299" s="3">
        <f t="shared" si="564"/>
        <v>43949</v>
      </c>
      <c r="H1299" s="2">
        <f t="shared" ca="1" si="565"/>
        <v>304</v>
      </c>
      <c r="I1299" t="str">
        <f t="shared" si="566"/>
        <v>USD</v>
      </c>
      <c r="J1299">
        <f t="shared" si="567"/>
        <v>99.02</v>
      </c>
      <c r="K1299">
        <f t="shared" si="568"/>
        <v>100.92</v>
      </c>
      <c r="L1299">
        <f t="shared" si="569"/>
        <v>99.97</v>
      </c>
      <c r="M1299">
        <f t="shared" si="570"/>
        <v>0.95000000000000284</v>
      </c>
      <c r="N1299">
        <f t="shared" si="560"/>
        <v>1.9000000000000057</v>
      </c>
      <c r="O1299">
        <f t="shared" si="571"/>
        <v>100.1</v>
      </c>
      <c r="P1299">
        <f t="shared" si="572"/>
        <v>0.13684210526315269</v>
      </c>
      <c r="Q1299" t="str">
        <f t="shared" si="561"/>
        <v>1.08% | 0.82%</v>
      </c>
      <c r="R1299" t="str">
        <f t="shared" si="573"/>
        <v>BULLISH</v>
      </c>
      <c r="S1299">
        <f t="shared" si="562"/>
        <v>1</v>
      </c>
    </row>
    <row r="1300" spans="1:19" hidden="1" x14ac:dyDescent="0.25">
      <c r="A1300" s="5" t="str">
        <f t="shared" si="559"/>
        <v>43949EUR/USD</v>
      </c>
      <c r="B1300" s="6" t="s">
        <v>19</v>
      </c>
      <c r="C1300" s="6">
        <v>1.07</v>
      </c>
      <c r="D1300" s="6">
        <v>1.0900000000000001</v>
      </c>
      <c r="E1300" s="6">
        <v>1.08</v>
      </c>
      <c r="F1300" t="str">
        <f t="shared" si="563"/>
        <v>TUE</v>
      </c>
      <c r="G1300" s="3">
        <f t="shared" si="564"/>
        <v>43949</v>
      </c>
      <c r="H1300" s="2">
        <f t="shared" ca="1" si="565"/>
        <v>304</v>
      </c>
      <c r="I1300" t="str">
        <f t="shared" si="566"/>
        <v>EUR/USD</v>
      </c>
      <c r="J1300">
        <f t="shared" si="567"/>
        <v>1.07</v>
      </c>
      <c r="K1300">
        <f t="shared" si="568"/>
        <v>1.0900000000000001</v>
      </c>
      <c r="L1300">
        <f t="shared" si="569"/>
        <v>1.08</v>
      </c>
      <c r="M1300">
        <f t="shared" si="570"/>
        <v>1.0000000000000009E-2</v>
      </c>
      <c r="N1300">
        <f t="shared" si="560"/>
        <v>2.0000000000000018E-2</v>
      </c>
      <c r="O1300">
        <f t="shared" si="571"/>
        <v>1.08</v>
      </c>
      <c r="P1300">
        <f t="shared" si="572"/>
        <v>0</v>
      </c>
      <c r="Q1300" t="str">
        <f t="shared" si="561"/>
        <v>0.93% | 0.93%</v>
      </c>
      <c r="R1300" t="str">
        <f t="shared" si="573"/>
        <v>BEARISH</v>
      </c>
      <c r="S1300">
        <f t="shared" si="562"/>
        <v>-1</v>
      </c>
    </row>
    <row r="1301" spans="1:19" hidden="1" x14ac:dyDescent="0.25">
      <c r="A1301" s="5" t="str">
        <f t="shared" si="559"/>
        <v>43949USD/JPY</v>
      </c>
      <c r="B1301" s="6" t="s">
        <v>20</v>
      </c>
      <c r="C1301" s="6">
        <v>106.35</v>
      </c>
      <c r="D1301" s="6">
        <v>108.23</v>
      </c>
      <c r="E1301" s="6">
        <v>107.28</v>
      </c>
      <c r="F1301" t="str">
        <f t="shared" si="563"/>
        <v>TUE</v>
      </c>
      <c r="G1301" s="3">
        <f t="shared" si="564"/>
        <v>43949</v>
      </c>
      <c r="H1301" s="2">
        <f t="shared" ca="1" si="565"/>
        <v>304</v>
      </c>
      <c r="I1301" t="str">
        <f t="shared" si="566"/>
        <v>USD/JPY</v>
      </c>
      <c r="J1301">
        <f t="shared" si="567"/>
        <v>106.35</v>
      </c>
      <c r="K1301">
        <f t="shared" si="568"/>
        <v>108.23</v>
      </c>
      <c r="L1301">
        <f t="shared" si="569"/>
        <v>107.28999999999999</v>
      </c>
      <c r="M1301">
        <f t="shared" si="570"/>
        <v>0.94000000000000483</v>
      </c>
      <c r="N1301">
        <f t="shared" si="560"/>
        <v>1.8800000000000097</v>
      </c>
      <c r="O1301">
        <f t="shared" si="571"/>
        <v>107.28</v>
      </c>
      <c r="P1301">
        <f t="shared" si="572"/>
        <v>-1.0638297872330695E-2</v>
      </c>
      <c r="Q1301" t="str">
        <f t="shared" si="561"/>
        <v>0.87% | 0.89%</v>
      </c>
      <c r="R1301" t="str">
        <f t="shared" si="573"/>
        <v>BEARISH</v>
      </c>
      <c r="S1301">
        <f t="shared" si="562"/>
        <v>-1</v>
      </c>
    </row>
    <row r="1302" spans="1:19" hidden="1" x14ac:dyDescent="0.25">
      <c r="A1302" s="5" t="str">
        <f t="shared" si="559"/>
        <v>43949GBP/USD</v>
      </c>
      <c r="B1302" s="6" t="s">
        <v>21</v>
      </c>
      <c r="C1302" s="6">
        <v>1.22</v>
      </c>
      <c r="D1302" s="6">
        <v>1.25</v>
      </c>
      <c r="E1302" s="6">
        <v>1.24</v>
      </c>
      <c r="F1302" t="str">
        <f t="shared" si="563"/>
        <v>TUE</v>
      </c>
      <c r="G1302" s="3">
        <f t="shared" si="564"/>
        <v>43949</v>
      </c>
      <c r="H1302" s="2">
        <f t="shared" ca="1" si="565"/>
        <v>304</v>
      </c>
      <c r="I1302" t="str">
        <f t="shared" si="566"/>
        <v>GBP/USD</v>
      </c>
      <c r="J1302">
        <f t="shared" si="567"/>
        <v>1.22</v>
      </c>
      <c r="K1302">
        <f t="shared" si="568"/>
        <v>1.25</v>
      </c>
      <c r="L1302">
        <f t="shared" si="569"/>
        <v>1.2349999999999999</v>
      </c>
      <c r="M1302">
        <f t="shared" si="570"/>
        <v>1.5000000000000013E-2</v>
      </c>
      <c r="N1302">
        <f t="shared" si="560"/>
        <v>3.0000000000000027E-2</v>
      </c>
      <c r="O1302">
        <f t="shared" si="571"/>
        <v>1.24</v>
      </c>
      <c r="P1302">
        <f t="shared" si="572"/>
        <v>0.33333333333334075</v>
      </c>
      <c r="Q1302" t="str">
        <f t="shared" si="561"/>
        <v>1.61% | 0.81%</v>
      </c>
      <c r="R1302" t="str">
        <f t="shared" si="573"/>
        <v>BEARISH</v>
      </c>
      <c r="S1302">
        <f t="shared" si="562"/>
        <v>-1</v>
      </c>
    </row>
    <row r="1303" spans="1:19" hidden="1" x14ac:dyDescent="0.25">
      <c r="A1303" s="5" t="str">
        <f t="shared" si="559"/>
        <v>43949USD/CHF</v>
      </c>
      <c r="B1303" s="6" t="s">
        <v>22</v>
      </c>
      <c r="C1303" s="6">
        <v>0.96</v>
      </c>
      <c r="D1303" s="6">
        <v>0.98</v>
      </c>
      <c r="E1303" s="6">
        <v>0.97</v>
      </c>
      <c r="F1303" t="str">
        <f t="shared" si="563"/>
        <v>TUE</v>
      </c>
      <c r="G1303" s="3">
        <f t="shared" si="564"/>
        <v>43949</v>
      </c>
      <c r="H1303" s="2">
        <f t="shared" ca="1" si="565"/>
        <v>304</v>
      </c>
      <c r="I1303" t="str">
        <f t="shared" si="566"/>
        <v>USD/CHF</v>
      </c>
      <c r="J1303">
        <f t="shared" si="567"/>
        <v>0.96</v>
      </c>
      <c r="K1303">
        <f t="shared" si="568"/>
        <v>0.98</v>
      </c>
      <c r="L1303">
        <f t="shared" si="569"/>
        <v>0.97</v>
      </c>
      <c r="M1303">
        <f t="shared" si="570"/>
        <v>1.0000000000000009E-2</v>
      </c>
      <c r="N1303">
        <f t="shared" si="560"/>
        <v>2.0000000000000018E-2</v>
      </c>
      <c r="O1303">
        <f t="shared" si="571"/>
        <v>0.97</v>
      </c>
      <c r="P1303">
        <f t="shared" si="572"/>
        <v>0</v>
      </c>
      <c r="Q1303" t="str">
        <f t="shared" si="561"/>
        <v>1.03% | 1.03%</v>
      </c>
      <c r="R1303" t="str">
        <f t="shared" si="573"/>
        <v>NEUTRAL</v>
      </c>
      <c r="S1303">
        <f t="shared" si="562"/>
        <v>0</v>
      </c>
    </row>
    <row r="1304" spans="1:19" hidden="1" x14ac:dyDescent="0.25">
      <c r="A1304" s="5" t="str">
        <f t="shared" si="559"/>
        <v>43949WTIC</v>
      </c>
      <c r="B1304" s="6" t="s">
        <v>23</v>
      </c>
      <c r="C1304" s="6">
        <v>8.4</v>
      </c>
      <c r="D1304" s="6">
        <v>18.03</v>
      </c>
      <c r="E1304" s="6">
        <v>12.78</v>
      </c>
      <c r="F1304" t="str">
        <f t="shared" si="563"/>
        <v>TUE</v>
      </c>
      <c r="G1304" s="3">
        <f t="shared" si="564"/>
        <v>43949</v>
      </c>
      <c r="H1304" s="2">
        <f t="shared" ca="1" si="565"/>
        <v>304</v>
      </c>
      <c r="I1304" t="str">
        <f t="shared" si="566"/>
        <v>WTIC</v>
      </c>
      <c r="J1304">
        <f t="shared" si="567"/>
        <v>8.4</v>
      </c>
      <c r="K1304">
        <f t="shared" si="568"/>
        <v>18.03</v>
      </c>
      <c r="L1304">
        <f t="shared" si="569"/>
        <v>13.215</v>
      </c>
      <c r="M1304">
        <f t="shared" si="570"/>
        <v>4.8150000000000031</v>
      </c>
      <c r="N1304">
        <f t="shared" si="560"/>
        <v>9.6300000000000008</v>
      </c>
      <c r="O1304">
        <f t="shared" si="571"/>
        <v>12.78</v>
      </c>
      <c r="P1304">
        <f t="shared" si="572"/>
        <v>-9.0342679127725908E-2</v>
      </c>
      <c r="Q1304" t="str">
        <f t="shared" si="561"/>
        <v>34.27% | 41.08%</v>
      </c>
      <c r="R1304" t="str">
        <f t="shared" si="573"/>
        <v>BEARISH</v>
      </c>
      <c r="S1304">
        <f t="shared" si="562"/>
        <v>-1</v>
      </c>
    </row>
    <row r="1305" spans="1:19" hidden="1" x14ac:dyDescent="0.25">
      <c r="A1305" s="5" t="str">
        <f t="shared" si="559"/>
        <v>43949NATGAS</v>
      </c>
      <c r="B1305" s="6" t="s">
        <v>24</v>
      </c>
      <c r="C1305" s="6">
        <v>1.55</v>
      </c>
      <c r="D1305" s="6">
        <v>2</v>
      </c>
      <c r="E1305" s="6">
        <v>1.92</v>
      </c>
      <c r="F1305" t="str">
        <f t="shared" si="563"/>
        <v>TUE</v>
      </c>
      <c r="G1305" s="3">
        <f t="shared" si="564"/>
        <v>43949</v>
      </c>
      <c r="H1305" s="2">
        <f t="shared" ca="1" si="565"/>
        <v>304</v>
      </c>
      <c r="I1305" t="str">
        <f t="shared" si="566"/>
        <v>NATGAS</v>
      </c>
      <c r="J1305">
        <f t="shared" si="567"/>
        <v>1.55</v>
      </c>
      <c r="K1305">
        <f t="shared" si="568"/>
        <v>2</v>
      </c>
      <c r="L1305">
        <f t="shared" si="569"/>
        <v>1.7749999999999999</v>
      </c>
      <c r="M1305">
        <f t="shared" si="570"/>
        <v>0.22500000000000031</v>
      </c>
      <c r="N1305">
        <f t="shared" si="560"/>
        <v>0.44999999999999996</v>
      </c>
      <c r="O1305">
        <f t="shared" si="571"/>
        <v>1.92</v>
      </c>
      <c r="P1305">
        <f t="shared" si="572"/>
        <v>0.6444444444444436</v>
      </c>
      <c r="Q1305" t="str">
        <f t="shared" si="561"/>
        <v>19.27% | 4.17%</v>
      </c>
      <c r="R1305" t="str">
        <f t="shared" si="573"/>
        <v>BEARISH</v>
      </c>
      <c r="S1305">
        <f t="shared" si="562"/>
        <v>-1</v>
      </c>
    </row>
    <row r="1306" spans="1:19" hidden="1" x14ac:dyDescent="0.25">
      <c r="A1306" s="5" t="str">
        <f t="shared" si="559"/>
        <v>43949GOLD</v>
      </c>
      <c r="B1306" s="6" t="s">
        <v>25</v>
      </c>
      <c r="C1306" s="6">
        <v>1683</v>
      </c>
      <c r="D1306" s="6">
        <v>1780</v>
      </c>
      <c r="E1306" s="6">
        <v>1723</v>
      </c>
      <c r="F1306" t="str">
        <f t="shared" si="563"/>
        <v>TUE</v>
      </c>
      <c r="G1306" s="3">
        <f t="shared" si="564"/>
        <v>43949</v>
      </c>
      <c r="H1306" s="2">
        <f t="shared" ca="1" si="565"/>
        <v>304</v>
      </c>
      <c r="I1306" t="str">
        <f t="shared" si="566"/>
        <v>GOLD</v>
      </c>
      <c r="J1306">
        <f t="shared" si="567"/>
        <v>1683</v>
      </c>
      <c r="K1306">
        <f t="shared" si="568"/>
        <v>1780</v>
      </c>
      <c r="L1306">
        <f t="shared" si="569"/>
        <v>1731.5</v>
      </c>
      <c r="M1306">
        <f t="shared" si="570"/>
        <v>48.5</v>
      </c>
      <c r="N1306">
        <f t="shared" si="560"/>
        <v>97</v>
      </c>
      <c r="O1306">
        <f t="shared" si="571"/>
        <v>1723</v>
      </c>
      <c r="P1306">
        <f t="shared" si="572"/>
        <v>-0.17525773195876287</v>
      </c>
      <c r="Q1306" t="str">
        <f t="shared" si="561"/>
        <v>2.32% | 3.31%</v>
      </c>
      <c r="R1306" t="str">
        <f t="shared" si="573"/>
        <v>BULLISH</v>
      </c>
      <c r="S1306">
        <f t="shared" si="562"/>
        <v>1</v>
      </c>
    </row>
    <row r="1307" spans="1:19" hidden="1" x14ac:dyDescent="0.25">
      <c r="A1307" s="5" t="str">
        <f t="shared" si="559"/>
        <v>43949COPPER</v>
      </c>
      <c r="B1307" s="6" t="s">
        <v>26</v>
      </c>
      <c r="C1307" s="6">
        <v>2.21</v>
      </c>
      <c r="D1307" s="6">
        <v>2.38</v>
      </c>
      <c r="E1307" s="6">
        <v>2.35</v>
      </c>
      <c r="F1307" t="str">
        <f t="shared" si="563"/>
        <v>TUE</v>
      </c>
      <c r="G1307" s="3">
        <f t="shared" si="564"/>
        <v>43949</v>
      </c>
      <c r="H1307" s="2">
        <f t="shared" ca="1" si="565"/>
        <v>304</v>
      </c>
      <c r="I1307" t="str">
        <f t="shared" si="566"/>
        <v>COPPER</v>
      </c>
      <c r="J1307">
        <f t="shared" si="567"/>
        <v>2.21</v>
      </c>
      <c r="K1307">
        <f t="shared" si="568"/>
        <v>2.38</v>
      </c>
      <c r="L1307">
        <f t="shared" si="569"/>
        <v>2.2949999999999999</v>
      </c>
      <c r="M1307">
        <f t="shared" si="570"/>
        <v>8.4999999999999964E-2</v>
      </c>
      <c r="N1307">
        <f t="shared" si="560"/>
        <v>0.16999999999999993</v>
      </c>
      <c r="O1307">
        <f t="shared" si="571"/>
        <v>2.35</v>
      </c>
      <c r="P1307">
        <f t="shared" si="572"/>
        <v>0.64705882352941391</v>
      </c>
      <c r="Q1307" t="str">
        <f t="shared" si="561"/>
        <v>5.96% | 1.28%</v>
      </c>
      <c r="R1307" t="str">
        <f t="shared" si="573"/>
        <v>BEARISH</v>
      </c>
      <c r="S1307">
        <f t="shared" si="562"/>
        <v>-1</v>
      </c>
    </row>
    <row r="1308" spans="1:19" hidden="1" x14ac:dyDescent="0.25">
      <c r="A1308" s="5" t="str">
        <f t="shared" si="559"/>
        <v>43949MSFT</v>
      </c>
      <c r="B1308" s="6" t="s">
        <v>27</v>
      </c>
      <c r="C1308" s="6">
        <v>166</v>
      </c>
      <c r="D1308" s="6">
        <v>180</v>
      </c>
      <c r="E1308" s="6">
        <v>174</v>
      </c>
      <c r="F1308" t="str">
        <f t="shared" si="563"/>
        <v>TUE</v>
      </c>
      <c r="G1308" s="3">
        <f t="shared" si="564"/>
        <v>43949</v>
      </c>
      <c r="H1308" s="2">
        <f t="shared" ca="1" si="565"/>
        <v>304</v>
      </c>
      <c r="I1308" t="str">
        <f t="shared" si="566"/>
        <v>MSFT</v>
      </c>
      <c r="J1308">
        <f t="shared" si="567"/>
        <v>166</v>
      </c>
      <c r="K1308">
        <f t="shared" si="568"/>
        <v>180</v>
      </c>
      <c r="L1308">
        <f t="shared" si="569"/>
        <v>173</v>
      </c>
      <c r="M1308">
        <f t="shared" si="570"/>
        <v>7</v>
      </c>
      <c r="N1308">
        <f t="shared" si="560"/>
        <v>14</v>
      </c>
      <c r="O1308">
        <f t="shared" si="571"/>
        <v>174</v>
      </c>
      <c r="P1308">
        <f t="shared" si="572"/>
        <v>0.14285714285714285</v>
      </c>
      <c r="Q1308" t="str">
        <f t="shared" si="561"/>
        <v>4.6% | 3.45%</v>
      </c>
      <c r="R1308" t="str">
        <f t="shared" si="573"/>
        <v>BULLISH</v>
      </c>
      <c r="S1308">
        <f t="shared" si="562"/>
        <v>1</v>
      </c>
    </row>
    <row r="1309" spans="1:19" hidden="1" x14ac:dyDescent="0.25">
      <c r="A1309" s="5" t="str">
        <f t="shared" si="559"/>
        <v>43949AAPL</v>
      </c>
      <c r="B1309" s="6" t="s">
        <v>63</v>
      </c>
      <c r="C1309" s="6">
        <v>266</v>
      </c>
      <c r="D1309" s="6">
        <v>291</v>
      </c>
      <c r="E1309" s="6">
        <v>283</v>
      </c>
      <c r="F1309" t="str">
        <f t="shared" si="563"/>
        <v>TUE</v>
      </c>
      <c r="G1309" s="3">
        <f t="shared" si="564"/>
        <v>43949</v>
      </c>
      <c r="H1309" s="2">
        <f t="shared" ca="1" si="565"/>
        <v>304</v>
      </c>
      <c r="I1309" t="str">
        <f t="shared" si="566"/>
        <v>AAPL</v>
      </c>
      <c r="J1309">
        <f t="shared" si="567"/>
        <v>266</v>
      </c>
      <c r="K1309">
        <f t="shared" si="568"/>
        <v>291</v>
      </c>
      <c r="L1309">
        <f t="shared" si="569"/>
        <v>278.5</v>
      </c>
      <c r="M1309">
        <f t="shared" si="570"/>
        <v>12.5</v>
      </c>
      <c r="N1309">
        <f t="shared" si="560"/>
        <v>25</v>
      </c>
      <c r="O1309">
        <f t="shared" si="571"/>
        <v>283</v>
      </c>
      <c r="P1309">
        <f t="shared" si="572"/>
        <v>0.36</v>
      </c>
      <c r="Q1309" t="str">
        <f t="shared" si="561"/>
        <v>6.01% | 2.83%</v>
      </c>
      <c r="R1309" t="str">
        <f t="shared" si="573"/>
        <v>NEUTRAL</v>
      </c>
      <c r="S1309">
        <f t="shared" si="562"/>
        <v>0</v>
      </c>
    </row>
    <row r="1310" spans="1:19" hidden="1" x14ac:dyDescent="0.25">
      <c r="A1310" s="5" t="str">
        <f t="shared" si="559"/>
        <v>43949AMZN</v>
      </c>
      <c r="B1310" s="6" t="s">
        <v>29</v>
      </c>
      <c r="C1310" s="6">
        <v>2290</v>
      </c>
      <c r="D1310" s="6">
        <v>2441</v>
      </c>
      <c r="E1310" s="6">
        <v>2376</v>
      </c>
      <c r="F1310" t="str">
        <f t="shared" si="563"/>
        <v>TUE</v>
      </c>
      <c r="G1310" s="3">
        <f t="shared" si="564"/>
        <v>43949</v>
      </c>
      <c r="H1310" s="2">
        <f t="shared" ca="1" si="565"/>
        <v>304</v>
      </c>
      <c r="I1310" t="str">
        <f t="shared" si="566"/>
        <v>AMZN</v>
      </c>
      <c r="J1310">
        <f t="shared" si="567"/>
        <v>2290</v>
      </c>
      <c r="K1310">
        <f t="shared" si="568"/>
        <v>2441</v>
      </c>
      <c r="L1310">
        <f t="shared" si="569"/>
        <v>2365.5</v>
      </c>
      <c r="M1310">
        <f t="shared" si="570"/>
        <v>75.5</v>
      </c>
      <c r="N1310">
        <f t="shared" si="560"/>
        <v>151</v>
      </c>
      <c r="O1310">
        <f t="shared" si="571"/>
        <v>2376</v>
      </c>
      <c r="P1310">
        <f t="shared" si="572"/>
        <v>0.13907284768211919</v>
      </c>
      <c r="Q1310" t="str">
        <f t="shared" si="561"/>
        <v>3.62% | 2.74%</v>
      </c>
      <c r="R1310" t="str">
        <f t="shared" si="573"/>
        <v>BULLISH</v>
      </c>
      <c r="S1310">
        <f t="shared" si="562"/>
        <v>1</v>
      </c>
    </row>
    <row r="1311" spans="1:19" hidden="1" x14ac:dyDescent="0.25">
      <c r="A1311" s="5" t="str">
        <f t="shared" si="559"/>
        <v>43949FB</v>
      </c>
      <c r="B1311" s="6" t="s">
        <v>58</v>
      </c>
      <c r="C1311" s="6">
        <v>168</v>
      </c>
      <c r="D1311" s="6">
        <v>192</v>
      </c>
      <c r="E1311" s="6">
        <v>187</v>
      </c>
      <c r="F1311" t="str">
        <f t="shared" si="563"/>
        <v>TUE</v>
      </c>
      <c r="G1311" s="3">
        <f t="shared" si="564"/>
        <v>43949</v>
      </c>
      <c r="H1311" s="2">
        <f t="shared" ca="1" si="565"/>
        <v>304</v>
      </c>
      <c r="I1311" t="str">
        <f t="shared" si="566"/>
        <v>FB</v>
      </c>
      <c r="J1311">
        <f t="shared" si="567"/>
        <v>168</v>
      </c>
      <c r="K1311">
        <f t="shared" si="568"/>
        <v>192</v>
      </c>
      <c r="L1311">
        <f t="shared" si="569"/>
        <v>180</v>
      </c>
      <c r="M1311">
        <f t="shared" si="570"/>
        <v>12</v>
      </c>
      <c r="N1311">
        <f t="shared" si="560"/>
        <v>24</v>
      </c>
      <c r="O1311">
        <f t="shared" si="571"/>
        <v>187</v>
      </c>
      <c r="P1311">
        <f t="shared" si="572"/>
        <v>0.58333333333333337</v>
      </c>
      <c r="Q1311" t="str">
        <f t="shared" si="561"/>
        <v>10.16% | 2.67%</v>
      </c>
      <c r="R1311" t="str">
        <f t="shared" si="573"/>
        <v>BEARISH</v>
      </c>
      <c r="S1311">
        <f t="shared" si="562"/>
        <v>-1</v>
      </c>
    </row>
    <row r="1312" spans="1:19" hidden="1" x14ac:dyDescent="0.25">
      <c r="A1312" s="5" t="str">
        <f t="shared" si="559"/>
        <v>43949GOOGL</v>
      </c>
      <c r="B1312" s="6" t="s">
        <v>66</v>
      </c>
      <c r="C1312" s="6">
        <v>1212</v>
      </c>
      <c r="D1312" s="6">
        <v>1298</v>
      </c>
      <c r="E1312" s="6">
        <v>1270</v>
      </c>
      <c r="F1312" t="str">
        <f t="shared" si="563"/>
        <v>TUE</v>
      </c>
      <c r="G1312" s="3">
        <f t="shared" si="564"/>
        <v>43949</v>
      </c>
      <c r="H1312" s="2">
        <f t="shared" ca="1" si="565"/>
        <v>304</v>
      </c>
      <c r="I1312" t="str">
        <f t="shared" si="566"/>
        <v>GOOGL</v>
      </c>
      <c r="J1312">
        <f t="shared" si="567"/>
        <v>1212</v>
      </c>
      <c r="K1312">
        <f t="shared" si="568"/>
        <v>1298</v>
      </c>
      <c r="L1312">
        <f t="shared" si="569"/>
        <v>1255</v>
      </c>
      <c r="M1312">
        <f t="shared" si="570"/>
        <v>43</v>
      </c>
      <c r="N1312">
        <f t="shared" si="560"/>
        <v>86</v>
      </c>
      <c r="O1312">
        <f t="shared" si="571"/>
        <v>1270</v>
      </c>
      <c r="P1312">
        <f t="shared" si="572"/>
        <v>0.34883720930232559</v>
      </c>
      <c r="Q1312" t="str">
        <f t="shared" si="561"/>
        <v>4.57% | 2.2%</v>
      </c>
      <c r="R1312" t="str">
        <f t="shared" si="573"/>
        <v>BEARISH</v>
      </c>
      <c r="S1312">
        <f t="shared" si="562"/>
        <v>-1</v>
      </c>
    </row>
    <row r="1313" spans="1:19" hidden="1" x14ac:dyDescent="0.25">
      <c r="A1313" s="5" t="str">
        <f t="shared" si="559"/>
        <v>43949NFLX</v>
      </c>
      <c r="B1313" s="6" t="s">
        <v>32</v>
      </c>
      <c r="C1313" s="6">
        <v>396</v>
      </c>
      <c r="D1313" s="6">
        <v>442</v>
      </c>
      <c r="E1313" s="6">
        <v>421</v>
      </c>
      <c r="F1313" t="str">
        <f t="shared" si="563"/>
        <v>TUE</v>
      </c>
      <c r="G1313" s="3">
        <f t="shared" si="564"/>
        <v>43949</v>
      </c>
      <c r="H1313" s="2">
        <f t="shared" ca="1" si="565"/>
        <v>304</v>
      </c>
      <c r="I1313" t="str">
        <f t="shared" si="566"/>
        <v>NFLX</v>
      </c>
      <c r="J1313">
        <f t="shared" si="567"/>
        <v>396</v>
      </c>
      <c r="K1313">
        <f t="shared" si="568"/>
        <v>442</v>
      </c>
      <c r="L1313">
        <f t="shared" si="569"/>
        <v>419</v>
      </c>
      <c r="M1313">
        <f t="shared" si="570"/>
        <v>23</v>
      </c>
      <c r="N1313">
        <f t="shared" si="560"/>
        <v>46</v>
      </c>
      <c r="O1313">
        <f t="shared" si="571"/>
        <v>421</v>
      </c>
      <c r="P1313">
        <f t="shared" si="572"/>
        <v>8.6956521739130432E-2</v>
      </c>
      <c r="Q1313" t="str">
        <f t="shared" si="561"/>
        <v>5.94% | 4.99%</v>
      </c>
      <c r="R1313" t="str">
        <f t="shared" si="573"/>
        <v>BULLISH</v>
      </c>
      <c r="S1313">
        <f t="shared" si="562"/>
        <v>1</v>
      </c>
    </row>
    <row r="1314" spans="1:19" x14ac:dyDescent="0.25">
      <c r="A1314" s="5" t="str">
        <f t="shared" si="559"/>
        <v>43949TSLA</v>
      </c>
      <c r="B1314" s="6" t="s">
        <v>33</v>
      </c>
      <c r="C1314" s="6">
        <v>648</v>
      </c>
      <c r="D1314" s="6">
        <v>823</v>
      </c>
      <c r="E1314" s="6">
        <v>798</v>
      </c>
      <c r="F1314" t="str">
        <f t="shared" si="563"/>
        <v>TUE</v>
      </c>
      <c r="G1314" s="3">
        <f t="shared" si="564"/>
        <v>43949</v>
      </c>
      <c r="H1314" s="2">
        <f t="shared" ca="1" si="565"/>
        <v>304</v>
      </c>
      <c r="I1314" t="str">
        <f t="shared" si="566"/>
        <v>TSLA</v>
      </c>
      <c r="J1314">
        <f t="shared" si="567"/>
        <v>648</v>
      </c>
      <c r="K1314">
        <f t="shared" si="568"/>
        <v>823</v>
      </c>
      <c r="L1314">
        <f t="shared" si="569"/>
        <v>735.5</v>
      </c>
      <c r="M1314">
        <f t="shared" si="570"/>
        <v>87.5</v>
      </c>
      <c r="N1314">
        <f t="shared" si="560"/>
        <v>175</v>
      </c>
      <c r="O1314">
        <f t="shared" si="571"/>
        <v>798</v>
      </c>
      <c r="P1314">
        <f t="shared" si="572"/>
        <v>0.7142857142857143</v>
      </c>
      <c r="Q1314" t="str">
        <f t="shared" si="561"/>
        <v>18.8% | 3.13%</v>
      </c>
      <c r="R1314" t="str">
        <f t="shared" si="573"/>
        <v>BULLISH</v>
      </c>
      <c r="S1314">
        <f t="shared" si="562"/>
        <v>1</v>
      </c>
    </row>
    <row r="1315" spans="1:19" hidden="1" x14ac:dyDescent="0.25">
      <c r="A1315" s="5" t="str">
        <f t="shared" si="559"/>
        <v>43949NYXBT</v>
      </c>
      <c r="B1315" s="6" t="s">
        <v>84</v>
      </c>
      <c r="C1315" s="6">
        <v>6464</v>
      </c>
      <c r="D1315" s="6">
        <v>7797</v>
      </c>
      <c r="E1315" s="6">
        <v>7677</v>
      </c>
      <c r="F1315" t="str">
        <f t="shared" si="563"/>
        <v>TUE</v>
      </c>
      <c r="G1315" s="3">
        <f t="shared" si="564"/>
        <v>43949</v>
      </c>
      <c r="H1315" s="2">
        <f t="shared" ca="1" si="565"/>
        <v>304</v>
      </c>
      <c r="I1315" t="str">
        <f t="shared" si="566"/>
        <v>NYXBT</v>
      </c>
      <c r="J1315">
        <f t="shared" si="567"/>
        <v>6464</v>
      </c>
      <c r="K1315">
        <f t="shared" si="568"/>
        <v>7797</v>
      </c>
      <c r="L1315">
        <f t="shared" si="569"/>
        <v>7130.5</v>
      </c>
      <c r="M1315">
        <f t="shared" si="570"/>
        <v>666.5</v>
      </c>
      <c r="N1315">
        <f t="shared" si="560"/>
        <v>1333</v>
      </c>
      <c r="O1315">
        <f t="shared" si="571"/>
        <v>7677</v>
      </c>
      <c r="P1315">
        <f t="shared" si="572"/>
        <v>0.81995498874718675</v>
      </c>
      <c r="Q1315" t="str">
        <f t="shared" si="561"/>
        <v>15.8% | 1.56%</v>
      </c>
      <c r="R1315" t="str">
        <f t="shared" si="573"/>
        <v>BEARISH</v>
      </c>
      <c r="S1315">
        <f t="shared" si="562"/>
        <v>-1</v>
      </c>
    </row>
    <row r="1316" spans="1:19" hidden="1" x14ac:dyDescent="0.25">
      <c r="A1316" s="5" t="str">
        <f t="shared" si="559"/>
        <v>43950UST10Y</v>
      </c>
      <c r="B1316" s="6" t="s">
        <v>4</v>
      </c>
      <c r="C1316" s="6">
        <v>0.68</v>
      </c>
      <c r="D1316" s="6">
        <v>0.55000000000000004</v>
      </c>
      <c r="E1316" s="6">
        <v>0.62</v>
      </c>
      <c r="F1316" t="str">
        <f t="shared" si="563"/>
        <v>WED</v>
      </c>
      <c r="G1316" s="1">
        <f>DATE(2020,4,29)</f>
        <v>43950</v>
      </c>
      <c r="H1316" s="2">
        <f t="shared" ca="1" si="565"/>
        <v>303</v>
      </c>
      <c r="I1316" t="str">
        <f t="shared" si="566"/>
        <v>UST10Y</v>
      </c>
      <c r="J1316">
        <f t="shared" si="567"/>
        <v>0.68</v>
      </c>
      <c r="K1316">
        <f t="shared" si="568"/>
        <v>0.55000000000000004</v>
      </c>
      <c r="L1316">
        <f t="shared" si="569"/>
        <v>0.61499999999999999</v>
      </c>
      <c r="M1316">
        <f t="shared" si="570"/>
        <v>6.5000000000000696E-2</v>
      </c>
      <c r="N1316">
        <f t="shared" si="560"/>
        <v>0.13</v>
      </c>
      <c r="O1316">
        <f t="shared" si="571"/>
        <v>0.62</v>
      </c>
      <c r="P1316">
        <f t="shared" si="572"/>
        <v>7.6923076923076164E-2</v>
      </c>
      <c r="Q1316" t="str">
        <f t="shared" si="561"/>
        <v>9.68% | 11.29%</v>
      </c>
      <c r="R1316" t="str">
        <f t="shared" si="573"/>
        <v>BEARISH</v>
      </c>
      <c r="S1316">
        <f t="shared" si="562"/>
        <v>-1</v>
      </c>
    </row>
    <row r="1317" spans="1:19" hidden="1" x14ac:dyDescent="0.25">
      <c r="A1317" s="5" t="str">
        <f t="shared" si="559"/>
        <v>43950UST2Y</v>
      </c>
      <c r="B1317" s="6" t="s">
        <v>5</v>
      </c>
      <c r="C1317" s="6">
        <v>0.24</v>
      </c>
      <c r="D1317" s="6">
        <v>0.17</v>
      </c>
      <c r="E1317" s="6">
        <v>0.2</v>
      </c>
      <c r="F1317" t="str">
        <f t="shared" ref="F1317:F1347" si="574">UPPER(TEXT(G1317,"ddd"))</f>
        <v>WED</v>
      </c>
      <c r="G1317" s="1">
        <f t="shared" ref="G1317:G1346" si="575">DATE(2020,4,29)</f>
        <v>43950</v>
      </c>
      <c r="H1317" s="2">
        <f t="shared" ref="H1317:H1347" ca="1" si="576">TODAY()-G1317</f>
        <v>303</v>
      </c>
      <c r="I1317" t="str">
        <f t="shared" ref="I1317:I1347" si="577">TRIM(LEFT(B1317,FIND(" ",B1317,1)))</f>
        <v>UST2Y</v>
      </c>
      <c r="J1317">
        <f t="shared" ref="J1317:J1347" si="578">C1317</f>
        <v>0.24</v>
      </c>
      <c r="K1317">
        <f t="shared" ref="K1317:K1347" si="579">D1317</f>
        <v>0.17</v>
      </c>
      <c r="L1317">
        <f t="shared" ref="L1317:L1347" si="580">AVERAGE(J1317:K1317)</f>
        <v>0.20500000000000002</v>
      </c>
      <c r="M1317">
        <f t="shared" ref="M1317:M1347" si="581">_xlfn.STDEV.P(J1317:K1317)</f>
        <v>3.4999999999999955E-2</v>
      </c>
      <c r="N1317">
        <f t="shared" si="560"/>
        <v>6.9999999999999979E-2</v>
      </c>
      <c r="O1317">
        <f t="shared" ref="O1317:O1347" si="582">E1317</f>
        <v>0.2</v>
      </c>
      <c r="P1317">
        <f t="shared" ref="P1317:P1347" si="583">(O1317-L1317)/M1317</f>
        <v>-0.14285714285714318</v>
      </c>
      <c r="Q1317" t="str">
        <f t="shared" si="561"/>
        <v>20% | 15%</v>
      </c>
      <c r="R1317" t="str">
        <f t="shared" ref="R1317:R1347" si="584">MID(B1317,FIND("(",B1317,1)+1,FIND(")",B1317,1)-FIND("(",B1317,1)-1)</f>
        <v>BEARISH</v>
      </c>
      <c r="S1317">
        <f t="shared" si="562"/>
        <v>-1</v>
      </c>
    </row>
    <row r="1318" spans="1:19" hidden="1" x14ac:dyDescent="0.25">
      <c r="A1318" s="5" t="str">
        <f t="shared" si="559"/>
        <v>43950SPX</v>
      </c>
      <c r="B1318" s="6" t="s">
        <v>6</v>
      </c>
      <c r="C1318" s="6">
        <v>2726</v>
      </c>
      <c r="D1318" s="6">
        <v>2910</v>
      </c>
      <c r="E1318" s="6">
        <v>2863</v>
      </c>
      <c r="F1318" t="str">
        <f t="shared" si="574"/>
        <v>WED</v>
      </c>
      <c r="G1318" s="1">
        <f t="shared" si="575"/>
        <v>43950</v>
      </c>
      <c r="H1318" s="2">
        <f t="shared" ca="1" si="576"/>
        <v>303</v>
      </c>
      <c r="I1318" t="str">
        <f t="shared" si="577"/>
        <v>SPX</v>
      </c>
      <c r="J1318">
        <f t="shared" si="578"/>
        <v>2726</v>
      </c>
      <c r="K1318">
        <f t="shared" si="579"/>
        <v>2910</v>
      </c>
      <c r="L1318">
        <f t="shared" si="580"/>
        <v>2818</v>
      </c>
      <c r="M1318">
        <f t="shared" si="581"/>
        <v>92</v>
      </c>
      <c r="N1318">
        <f t="shared" si="560"/>
        <v>184</v>
      </c>
      <c r="O1318">
        <f t="shared" si="582"/>
        <v>2863</v>
      </c>
      <c r="P1318">
        <f t="shared" si="583"/>
        <v>0.4891304347826087</v>
      </c>
      <c r="Q1318" t="str">
        <f t="shared" si="561"/>
        <v>4.79% | 1.64%</v>
      </c>
      <c r="R1318" t="str">
        <f t="shared" si="584"/>
        <v>BEARISH</v>
      </c>
      <c r="S1318">
        <f t="shared" si="562"/>
        <v>-1</v>
      </c>
    </row>
    <row r="1319" spans="1:19" hidden="1" x14ac:dyDescent="0.25">
      <c r="A1319" s="5" t="str">
        <f t="shared" si="559"/>
        <v>43950RUT</v>
      </c>
      <c r="B1319" s="6" t="s">
        <v>7</v>
      </c>
      <c r="C1319" s="6">
        <v>1201</v>
      </c>
      <c r="D1319" s="6">
        <v>1310</v>
      </c>
      <c r="E1319" s="6">
        <v>1298</v>
      </c>
      <c r="F1319" t="str">
        <f t="shared" si="574"/>
        <v>WED</v>
      </c>
      <c r="G1319" s="1">
        <f t="shared" si="575"/>
        <v>43950</v>
      </c>
      <c r="H1319" s="2">
        <f t="shared" ca="1" si="576"/>
        <v>303</v>
      </c>
      <c r="I1319" t="str">
        <f t="shared" si="577"/>
        <v>RUT</v>
      </c>
      <c r="J1319">
        <f t="shared" si="578"/>
        <v>1201</v>
      </c>
      <c r="K1319">
        <f t="shared" si="579"/>
        <v>1310</v>
      </c>
      <c r="L1319">
        <f t="shared" si="580"/>
        <v>1255.5</v>
      </c>
      <c r="M1319">
        <f t="shared" si="581"/>
        <v>54.5</v>
      </c>
      <c r="N1319">
        <f t="shared" si="560"/>
        <v>109</v>
      </c>
      <c r="O1319">
        <f t="shared" si="582"/>
        <v>1298</v>
      </c>
      <c r="P1319">
        <f t="shared" si="583"/>
        <v>0.77981651376146788</v>
      </c>
      <c r="Q1319" t="str">
        <f t="shared" si="561"/>
        <v>7.47% | 0.92%</v>
      </c>
      <c r="R1319" t="str">
        <f t="shared" si="584"/>
        <v>BEARISH</v>
      </c>
      <c r="S1319">
        <f t="shared" si="562"/>
        <v>-1</v>
      </c>
    </row>
    <row r="1320" spans="1:19" hidden="1" x14ac:dyDescent="0.25">
      <c r="A1320" s="5" t="str">
        <f t="shared" si="559"/>
        <v>43950COMPQ</v>
      </c>
      <c r="B1320" s="6" t="s">
        <v>61</v>
      </c>
      <c r="C1320" s="6">
        <v>8260</v>
      </c>
      <c r="D1320" s="6">
        <v>8805</v>
      </c>
      <c r="E1320" s="6">
        <v>8607</v>
      </c>
      <c r="F1320" t="str">
        <f t="shared" si="574"/>
        <v>WED</v>
      </c>
      <c r="G1320" s="1">
        <f t="shared" si="575"/>
        <v>43950</v>
      </c>
      <c r="H1320" s="2">
        <f t="shared" ca="1" si="576"/>
        <v>303</v>
      </c>
      <c r="I1320" t="str">
        <f t="shared" si="577"/>
        <v>COMPQ</v>
      </c>
      <c r="J1320">
        <f t="shared" si="578"/>
        <v>8260</v>
      </c>
      <c r="K1320">
        <f t="shared" si="579"/>
        <v>8805</v>
      </c>
      <c r="L1320">
        <f t="shared" si="580"/>
        <v>8532.5</v>
      </c>
      <c r="M1320">
        <f t="shared" si="581"/>
        <v>272.5</v>
      </c>
      <c r="N1320">
        <f t="shared" si="560"/>
        <v>545</v>
      </c>
      <c r="O1320">
        <f t="shared" si="582"/>
        <v>8607</v>
      </c>
      <c r="P1320">
        <f t="shared" si="583"/>
        <v>0.27339449541284405</v>
      </c>
      <c r="Q1320" t="str">
        <f t="shared" si="561"/>
        <v>4.03% | 2.3%</v>
      </c>
      <c r="R1320" t="str">
        <f t="shared" si="584"/>
        <v>NEUTRAL</v>
      </c>
      <c r="S1320">
        <f t="shared" si="562"/>
        <v>0</v>
      </c>
    </row>
    <row r="1321" spans="1:19" hidden="1" x14ac:dyDescent="0.25">
      <c r="A1321" s="5" t="str">
        <f t="shared" si="559"/>
        <v>43950XLP</v>
      </c>
      <c r="B1321" s="6" t="s">
        <v>54</v>
      </c>
      <c r="C1321" s="6">
        <v>57.35</v>
      </c>
      <c r="D1321" s="6">
        <v>60.7</v>
      </c>
      <c r="E1321" s="6">
        <v>59.21</v>
      </c>
      <c r="F1321" t="str">
        <f t="shared" si="574"/>
        <v>WED</v>
      </c>
      <c r="G1321" s="1">
        <f t="shared" si="575"/>
        <v>43950</v>
      </c>
      <c r="H1321" s="2">
        <f t="shared" ca="1" si="576"/>
        <v>303</v>
      </c>
      <c r="I1321" t="str">
        <f t="shared" si="577"/>
        <v>XLP</v>
      </c>
      <c r="J1321">
        <f t="shared" si="578"/>
        <v>57.35</v>
      </c>
      <c r="K1321">
        <f t="shared" si="579"/>
        <v>60.7</v>
      </c>
      <c r="L1321">
        <f t="shared" si="580"/>
        <v>59.025000000000006</v>
      </c>
      <c r="M1321">
        <f t="shared" si="581"/>
        <v>1.6750000000000007</v>
      </c>
      <c r="N1321">
        <f t="shared" si="560"/>
        <v>3.3500000000000014</v>
      </c>
      <c r="O1321">
        <f t="shared" si="582"/>
        <v>59.21</v>
      </c>
      <c r="P1321">
        <f t="shared" si="583"/>
        <v>0.11044776119402692</v>
      </c>
      <c r="Q1321" t="str">
        <f t="shared" si="561"/>
        <v>3.14% | 2.52%</v>
      </c>
      <c r="R1321" t="str">
        <f t="shared" si="584"/>
        <v>BULLISH</v>
      </c>
      <c r="S1321">
        <f t="shared" si="562"/>
        <v>1</v>
      </c>
    </row>
    <row r="1322" spans="1:19" hidden="1" x14ac:dyDescent="0.25">
      <c r="A1322" s="5" t="str">
        <f t="shared" si="559"/>
        <v>43950XLV</v>
      </c>
      <c r="B1322" s="6" t="s">
        <v>9</v>
      </c>
      <c r="C1322" s="6">
        <v>95.09</v>
      </c>
      <c r="D1322" s="6">
        <v>102.19</v>
      </c>
      <c r="E1322" s="6">
        <v>99.53</v>
      </c>
      <c r="F1322" t="str">
        <f t="shared" si="574"/>
        <v>WED</v>
      </c>
      <c r="G1322" s="1">
        <f t="shared" si="575"/>
        <v>43950</v>
      </c>
      <c r="H1322" s="2">
        <f t="shared" ca="1" si="576"/>
        <v>303</v>
      </c>
      <c r="I1322" t="str">
        <f t="shared" si="577"/>
        <v>XLV</v>
      </c>
      <c r="J1322">
        <f t="shared" si="578"/>
        <v>95.09</v>
      </c>
      <c r="K1322">
        <f t="shared" si="579"/>
        <v>102.19</v>
      </c>
      <c r="L1322">
        <f t="shared" si="580"/>
        <v>98.64</v>
      </c>
      <c r="M1322">
        <f t="shared" si="581"/>
        <v>3.5499999999999972</v>
      </c>
      <c r="N1322">
        <f t="shared" si="560"/>
        <v>7.0999999999999943</v>
      </c>
      <c r="O1322">
        <f t="shared" si="582"/>
        <v>99.53</v>
      </c>
      <c r="P1322">
        <f t="shared" si="583"/>
        <v>0.25070422535211306</v>
      </c>
      <c r="Q1322" t="str">
        <f t="shared" si="561"/>
        <v>4.46% | 2.67%</v>
      </c>
      <c r="R1322" t="str">
        <f t="shared" si="584"/>
        <v>BULLISH</v>
      </c>
      <c r="S1322">
        <f t="shared" si="562"/>
        <v>1</v>
      </c>
    </row>
    <row r="1323" spans="1:19" hidden="1" x14ac:dyDescent="0.25">
      <c r="A1323" s="5" t="str">
        <f t="shared" si="559"/>
        <v>43950XLU</v>
      </c>
      <c r="B1323" s="6" t="s">
        <v>80</v>
      </c>
      <c r="C1323" s="6">
        <v>56.66</v>
      </c>
      <c r="D1323" s="6">
        <v>60.48</v>
      </c>
      <c r="E1323" s="6">
        <v>59.15</v>
      </c>
      <c r="F1323" t="str">
        <f t="shared" si="574"/>
        <v>WED</v>
      </c>
      <c r="G1323" s="1">
        <f t="shared" si="575"/>
        <v>43950</v>
      </c>
      <c r="H1323" s="2">
        <f t="shared" ca="1" si="576"/>
        <v>303</v>
      </c>
      <c r="I1323" t="str">
        <f t="shared" si="577"/>
        <v>XLU</v>
      </c>
      <c r="J1323">
        <f t="shared" si="578"/>
        <v>56.66</v>
      </c>
      <c r="K1323">
        <f t="shared" si="579"/>
        <v>60.48</v>
      </c>
      <c r="L1323">
        <f t="shared" si="580"/>
        <v>58.569999999999993</v>
      </c>
      <c r="M1323">
        <f t="shared" si="581"/>
        <v>1.9100000000000001</v>
      </c>
      <c r="N1323">
        <f t="shared" si="560"/>
        <v>3.8200000000000003</v>
      </c>
      <c r="O1323">
        <f t="shared" si="582"/>
        <v>59.15</v>
      </c>
      <c r="P1323">
        <f t="shared" si="583"/>
        <v>0.3036649214659714</v>
      </c>
      <c r="Q1323" t="str">
        <f t="shared" si="561"/>
        <v>4.21% | 2.25%</v>
      </c>
      <c r="R1323" t="str">
        <f t="shared" si="584"/>
        <v>NEUTRAL</v>
      </c>
      <c r="S1323">
        <f t="shared" si="562"/>
        <v>0</v>
      </c>
    </row>
    <row r="1324" spans="1:19" hidden="1" x14ac:dyDescent="0.25">
      <c r="A1324" s="5" t="str">
        <f t="shared" si="559"/>
        <v>43950XLK</v>
      </c>
      <c r="B1324" s="6" t="s">
        <v>62</v>
      </c>
      <c r="C1324" s="6">
        <v>84.56</v>
      </c>
      <c r="D1324" s="6">
        <v>90.75</v>
      </c>
      <c r="E1324" s="6">
        <v>88.2</v>
      </c>
      <c r="F1324" t="str">
        <f t="shared" si="574"/>
        <v>WED</v>
      </c>
      <c r="G1324" s="1">
        <f t="shared" si="575"/>
        <v>43950</v>
      </c>
      <c r="H1324" s="2">
        <f t="shared" ca="1" si="576"/>
        <v>303</v>
      </c>
      <c r="I1324" t="str">
        <f t="shared" si="577"/>
        <v>XLK</v>
      </c>
      <c r="J1324">
        <f t="shared" si="578"/>
        <v>84.56</v>
      </c>
      <c r="K1324">
        <f t="shared" si="579"/>
        <v>90.75</v>
      </c>
      <c r="L1324">
        <f t="shared" si="580"/>
        <v>87.655000000000001</v>
      </c>
      <c r="M1324">
        <f t="shared" si="581"/>
        <v>3.0949999999999989</v>
      </c>
      <c r="N1324">
        <f t="shared" si="560"/>
        <v>6.1899999999999977</v>
      </c>
      <c r="O1324">
        <f t="shared" si="582"/>
        <v>88.2</v>
      </c>
      <c r="P1324">
        <f t="shared" si="583"/>
        <v>0.17609046849757734</v>
      </c>
      <c r="Q1324" t="str">
        <f t="shared" si="561"/>
        <v>4.13% | 2.89%</v>
      </c>
      <c r="R1324" t="str">
        <f t="shared" si="584"/>
        <v>NEUTRAL</v>
      </c>
      <c r="S1324">
        <f t="shared" si="562"/>
        <v>0</v>
      </c>
    </row>
    <row r="1325" spans="1:19" hidden="1" x14ac:dyDescent="0.25">
      <c r="A1325" s="5" t="str">
        <f t="shared" si="559"/>
        <v>43950XLF</v>
      </c>
      <c r="B1325" s="6" t="s">
        <v>12</v>
      </c>
      <c r="C1325" s="6">
        <v>20.239999999999998</v>
      </c>
      <c r="D1325" s="6">
        <v>23.19</v>
      </c>
      <c r="E1325" s="6">
        <v>22.72</v>
      </c>
      <c r="F1325" t="str">
        <f t="shared" si="574"/>
        <v>WED</v>
      </c>
      <c r="G1325" s="1">
        <f t="shared" si="575"/>
        <v>43950</v>
      </c>
      <c r="H1325" s="2">
        <f t="shared" ca="1" si="576"/>
        <v>303</v>
      </c>
      <c r="I1325" t="str">
        <f t="shared" si="577"/>
        <v>XLF</v>
      </c>
      <c r="J1325">
        <f t="shared" si="578"/>
        <v>20.239999999999998</v>
      </c>
      <c r="K1325">
        <f t="shared" si="579"/>
        <v>23.19</v>
      </c>
      <c r="L1325">
        <f t="shared" si="580"/>
        <v>21.715</v>
      </c>
      <c r="M1325">
        <f t="shared" si="581"/>
        <v>1.4750000000000014</v>
      </c>
      <c r="N1325">
        <f t="shared" si="560"/>
        <v>2.9500000000000028</v>
      </c>
      <c r="O1325">
        <f t="shared" si="582"/>
        <v>22.72</v>
      </c>
      <c r="P1325">
        <f t="shared" si="583"/>
        <v>0.68135593220338853</v>
      </c>
      <c r="Q1325" t="str">
        <f t="shared" si="561"/>
        <v>10.92% | 2.07%</v>
      </c>
      <c r="R1325" t="str">
        <f t="shared" si="584"/>
        <v>BEARISH</v>
      </c>
      <c r="S1325">
        <f t="shared" si="562"/>
        <v>-1</v>
      </c>
    </row>
    <row r="1326" spans="1:19" hidden="1" x14ac:dyDescent="0.25">
      <c r="A1326" s="5" t="str">
        <f t="shared" si="559"/>
        <v>43950SSEC</v>
      </c>
      <c r="B1326" s="6" t="s">
        <v>14</v>
      </c>
      <c r="C1326" s="6">
        <v>2788</v>
      </c>
      <c r="D1326" s="6">
        <v>2859</v>
      </c>
      <c r="E1326" s="6">
        <v>2822</v>
      </c>
      <c r="F1326" t="str">
        <f t="shared" si="574"/>
        <v>WED</v>
      </c>
      <c r="G1326" s="1">
        <f t="shared" si="575"/>
        <v>43950</v>
      </c>
      <c r="H1326" s="2">
        <f t="shared" ca="1" si="576"/>
        <v>303</v>
      </c>
      <c r="I1326" t="str">
        <f t="shared" si="577"/>
        <v>SSEC</v>
      </c>
      <c r="J1326">
        <f t="shared" si="578"/>
        <v>2788</v>
      </c>
      <c r="K1326">
        <f t="shared" si="579"/>
        <v>2859</v>
      </c>
      <c r="L1326">
        <f t="shared" si="580"/>
        <v>2823.5</v>
      </c>
      <c r="M1326">
        <f t="shared" si="581"/>
        <v>35.5</v>
      </c>
      <c r="N1326">
        <f t="shared" si="560"/>
        <v>71</v>
      </c>
      <c r="O1326">
        <f t="shared" si="582"/>
        <v>2822</v>
      </c>
      <c r="P1326">
        <f t="shared" si="583"/>
        <v>-4.2253521126760563E-2</v>
      </c>
      <c r="Q1326" t="str">
        <f t="shared" si="561"/>
        <v>1.2% | 1.31%</v>
      </c>
      <c r="R1326" t="str">
        <f t="shared" si="584"/>
        <v>BEARISH</v>
      </c>
      <c r="S1326">
        <f t="shared" si="562"/>
        <v>-1</v>
      </c>
    </row>
    <row r="1327" spans="1:19" hidden="1" x14ac:dyDescent="0.25">
      <c r="A1327" s="5" t="str">
        <f t="shared" si="559"/>
        <v>43950NIKK</v>
      </c>
      <c r="B1327" s="6" t="s">
        <v>15</v>
      </c>
      <c r="C1327" s="6">
        <v>18980</v>
      </c>
      <c r="D1327" s="6">
        <v>19981</v>
      </c>
      <c r="E1327" s="6">
        <v>19771</v>
      </c>
      <c r="F1327" t="str">
        <f t="shared" si="574"/>
        <v>WED</v>
      </c>
      <c r="G1327" s="1">
        <f t="shared" si="575"/>
        <v>43950</v>
      </c>
      <c r="H1327" s="2">
        <f t="shared" ca="1" si="576"/>
        <v>303</v>
      </c>
      <c r="I1327" t="str">
        <f t="shared" si="577"/>
        <v>NIKK</v>
      </c>
      <c r="J1327">
        <f t="shared" si="578"/>
        <v>18980</v>
      </c>
      <c r="K1327">
        <f t="shared" si="579"/>
        <v>19981</v>
      </c>
      <c r="L1327">
        <f t="shared" si="580"/>
        <v>19480.5</v>
      </c>
      <c r="M1327">
        <f t="shared" si="581"/>
        <v>500.5</v>
      </c>
      <c r="N1327">
        <f t="shared" si="560"/>
        <v>1001</v>
      </c>
      <c r="O1327">
        <f t="shared" si="582"/>
        <v>19771</v>
      </c>
      <c r="P1327">
        <f t="shared" si="583"/>
        <v>0.58041958041958042</v>
      </c>
      <c r="Q1327" t="str">
        <f t="shared" si="561"/>
        <v>4% | 1.06%</v>
      </c>
      <c r="R1327" t="str">
        <f t="shared" si="584"/>
        <v>BEARISH</v>
      </c>
      <c r="S1327">
        <f t="shared" si="562"/>
        <v>-1</v>
      </c>
    </row>
    <row r="1328" spans="1:19" hidden="1" x14ac:dyDescent="0.25">
      <c r="A1328" s="5" t="str">
        <f t="shared" si="559"/>
        <v>43950DAX</v>
      </c>
      <c r="B1328" s="6" t="s">
        <v>16</v>
      </c>
      <c r="C1328" s="6">
        <v>10134</v>
      </c>
      <c r="D1328" s="6">
        <v>10893</v>
      </c>
      <c r="E1328" s="6">
        <v>10796</v>
      </c>
      <c r="F1328" t="str">
        <f t="shared" si="574"/>
        <v>WED</v>
      </c>
      <c r="G1328" s="1">
        <f t="shared" si="575"/>
        <v>43950</v>
      </c>
      <c r="H1328" s="2">
        <f t="shared" ca="1" si="576"/>
        <v>303</v>
      </c>
      <c r="I1328" t="str">
        <f t="shared" si="577"/>
        <v>DAX</v>
      </c>
      <c r="J1328">
        <f t="shared" si="578"/>
        <v>10134</v>
      </c>
      <c r="K1328">
        <f t="shared" si="579"/>
        <v>10893</v>
      </c>
      <c r="L1328">
        <f t="shared" si="580"/>
        <v>10513.5</v>
      </c>
      <c r="M1328">
        <f t="shared" si="581"/>
        <v>379.5</v>
      </c>
      <c r="N1328">
        <f t="shared" si="560"/>
        <v>759</v>
      </c>
      <c r="O1328">
        <f t="shared" si="582"/>
        <v>10796</v>
      </c>
      <c r="P1328">
        <f t="shared" si="583"/>
        <v>0.74440052700922266</v>
      </c>
      <c r="Q1328" t="str">
        <f t="shared" si="561"/>
        <v>6.13% | 0.9%</v>
      </c>
      <c r="R1328" t="str">
        <f t="shared" si="584"/>
        <v>BEARISH</v>
      </c>
      <c r="S1328">
        <f t="shared" si="562"/>
        <v>-1</v>
      </c>
    </row>
    <row r="1329" spans="1:19" hidden="1" x14ac:dyDescent="0.25">
      <c r="A1329" s="5" t="str">
        <f t="shared" si="559"/>
        <v>43950VIX</v>
      </c>
      <c r="B1329" s="6" t="s">
        <v>17</v>
      </c>
      <c r="C1329" s="6">
        <v>31.02</v>
      </c>
      <c r="D1329" s="6">
        <v>47.53</v>
      </c>
      <c r="E1329" s="6">
        <v>33.57</v>
      </c>
      <c r="F1329" t="str">
        <f t="shared" si="574"/>
        <v>WED</v>
      </c>
      <c r="G1329" s="1">
        <f t="shared" si="575"/>
        <v>43950</v>
      </c>
      <c r="H1329" s="2">
        <f t="shared" ca="1" si="576"/>
        <v>303</v>
      </c>
      <c r="I1329" t="str">
        <f t="shared" si="577"/>
        <v>VIX</v>
      </c>
      <c r="J1329">
        <f t="shared" si="578"/>
        <v>31.02</v>
      </c>
      <c r="K1329">
        <f t="shared" si="579"/>
        <v>47.53</v>
      </c>
      <c r="L1329">
        <f t="shared" si="580"/>
        <v>39.274999999999999</v>
      </c>
      <c r="M1329">
        <f t="shared" si="581"/>
        <v>8.2550000000000026</v>
      </c>
      <c r="N1329">
        <f t="shared" si="560"/>
        <v>16.510000000000002</v>
      </c>
      <c r="O1329">
        <f t="shared" si="582"/>
        <v>33.57</v>
      </c>
      <c r="P1329">
        <f t="shared" si="583"/>
        <v>-0.69109630526953314</v>
      </c>
      <c r="Q1329" t="str">
        <f t="shared" si="561"/>
        <v>7.6% | 41.58%</v>
      </c>
      <c r="R1329" t="str">
        <f t="shared" si="584"/>
        <v>BULLISH</v>
      </c>
      <c r="S1329">
        <f t="shared" si="562"/>
        <v>1</v>
      </c>
    </row>
    <row r="1330" spans="1:19" hidden="1" x14ac:dyDescent="0.25">
      <c r="A1330" s="5" t="str">
        <f t="shared" si="559"/>
        <v>43950USD</v>
      </c>
      <c r="B1330" s="6" t="s">
        <v>18</v>
      </c>
      <c r="C1330" s="6">
        <v>99.05</v>
      </c>
      <c r="D1330" s="6">
        <v>100.91</v>
      </c>
      <c r="E1330" s="6">
        <v>99.93</v>
      </c>
      <c r="F1330" t="str">
        <f t="shared" si="574"/>
        <v>WED</v>
      </c>
      <c r="G1330" s="1">
        <f t="shared" si="575"/>
        <v>43950</v>
      </c>
      <c r="H1330" s="2">
        <f t="shared" ca="1" si="576"/>
        <v>303</v>
      </c>
      <c r="I1330" t="str">
        <f t="shared" si="577"/>
        <v>USD</v>
      </c>
      <c r="J1330">
        <f t="shared" si="578"/>
        <v>99.05</v>
      </c>
      <c r="K1330">
        <f t="shared" si="579"/>
        <v>100.91</v>
      </c>
      <c r="L1330">
        <f t="shared" si="580"/>
        <v>99.97999999999999</v>
      </c>
      <c r="M1330">
        <f t="shared" si="581"/>
        <v>0.92999999999999972</v>
      </c>
      <c r="N1330">
        <f t="shared" si="560"/>
        <v>1.8599999999999994</v>
      </c>
      <c r="O1330">
        <f t="shared" si="582"/>
        <v>99.93</v>
      </c>
      <c r="P1330">
        <f t="shared" si="583"/>
        <v>-5.3763440860196736E-2</v>
      </c>
      <c r="Q1330" t="str">
        <f t="shared" si="561"/>
        <v>0.88% | 0.98%</v>
      </c>
      <c r="R1330" t="str">
        <f t="shared" si="584"/>
        <v>BULLISH</v>
      </c>
      <c r="S1330">
        <f t="shared" si="562"/>
        <v>1</v>
      </c>
    </row>
    <row r="1331" spans="1:19" hidden="1" x14ac:dyDescent="0.25">
      <c r="A1331" s="5" t="str">
        <f t="shared" si="559"/>
        <v>43950EUR/USD</v>
      </c>
      <c r="B1331" s="6" t="s">
        <v>19</v>
      </c>
      <c r="C1331" s="6">
        <v>1.07</v>
      </c>
      <c r="D1331" s="6">
        <v>1.0900000000000001</v>
      </c>
      <c r="E1331" s="6">
        <v>1.08</v>
      </c>
      <c r="F1331" t="str">
        <f t="shared" si="574"/>
        <v>WED</v>
      </c>
      <c r="G1331" s="1">
        <f t="shared" si="575"/>
        <v>43950</v>
      </c>
      <c r="H1331" s="2">
        <f t="shared" ca="1" si="576"/>
        <v>303</v>
      </c>
      <c r="I1331" t="str">
        <f t="shared" si="577"/>
        <v>EUR/USD</v>
      </c>
      <c r="J1331">
        <f t="shared" si="578"/>
        <v>1.07</v>
      </c>
      <c r="K1331">
        <f t="shared" si="579"/>
        <v>1.0900000000000001</v>
      </c>
      <c r="L1331">
        <f t="shared" si="580"/>
        <v>1.08</v>
      </c>
      <c r="M1331">
        <f t="shared" si="581"/>
        <v>1.0000000000000009E-2</v>
      </c>
      <c r="N1331">
        <f t="shared" si="560"/>
        <v>2.0000000000000018E-2</v>
      </c>
      <c r="O1331">
        <f t="shared" si="582"/>
        <v>1.08</v>
      </c>
      <c r="P1331">
        <f t="shared" si="583"/>
        <v>0</v>
      </c>
      <c r="Q1331" t="str">
        <f t="shared" si="561"/>
        <v>0.93% | 0.93%</v>
      </c>
      <c r="R1331" t="str">
        <f t="shared" si="584"/>
        <v>BEARISH</v>
      </c>
      <c r="S1331">
        <f t="shared" si="562"/>
        <v>-1</v>
      </c>
    </row>
    <row r="1332" spans="1:19" hidden="1" x14ac:dyDescent="0.25">
      <c r="A1332" s="5" t="str">
        <f t="shared" si="559"/>
        <v>43950USD/JPY</v>
      </c>
      <c r="B1332" s="6" t="s">
        <v>20</v>
      </c>
      <c r="C1332" s="6">
        <v>105.96</v>
      </c>
      <c r="D1332" s="6">
        <v>108.4</v>
      </c>
      <c r="E1332" s="6">
        <v>106.88</v>
      </c>
      <c r="F1332" t="str">
        <f t="shared" si="574"/>
        <v>WED</v>
      </c>
      <c r="G1332" s="1">
        <f t="shared" si="575"/>
        <v>43950</v>
      </c>
      <c r="H1332" s="2">
        <f t="shared" ca="1" si="576"/>
        <v>303</v>
      </c>
      <c r="I1332" t="str">
        <f t="shared" si="577"/>
        <v>USD/JPY</v>
      </c>
      <c r="J1332">
        <f t="shared" si="578"/>
        <v>105.96</v>
      </c>
      <c r="K1332">
        <f t="shared" si="579"/>
        <v>108.4</v>
      </c>
      <c r="L1332">
        <f t="shared" si="580"/>
        <v>107.18</v>
      </c>
      <c r="M1332">
        <f t="shared" si="581"/>
        <v>1.220000000000006</v>
      </c>
      <c r="N1332">
        <f t="shared" si="560"/>
        <v>2.4400000000000119</v>
      </c>
      <c r="O1332">
        <f t="shared" si="582"/>
        <v>106.88</v>
      </c>
      <c r="P1332">
        <f t="shared" si="583"/>
        <v>-0.24590163934427042</v>
      </c>
      <c r="Q1332" t="str">
        <f t="shared" si="561"/>
        <v>0.86% | 1.42%</v>
      </c>
      <c r="R1332" t="str">
        <f t="shared" si="584"/>
        <v>BEARISH</v>
      </c>
      <c r="S1332">
        <f t="shared" si="562"/>
        <v>-1</v>
      </c>
    </row>
    <row r="1333" spans="1:19" hidden="1" x14ac:dyDescent="0.25">
      <c r="A1333" s="5" t="str">
        <f t="shared" si="559"/>
        <v>43950GBP/USD</v>
      </c>
      <c r="B1333" s="6" t="s">
        <v>21</v>
      </c>
      <c r="C1333" s="6">
        <v>1.22</v>
      </c>
      <c r="D1333" s="6">
        <v>1.25</v>
      </c>
      <c r="E1333" s="6">
        <v>1.24</v>
      </c>
      <c r="F1333" t="str">
        <f t="shared" si="574"/>
        <v>WED</v>
      </c>
      <c r="G1333" s="1">
        <f t="shared" si="575"/>
        <v>43950</v>
      </c>
      <c r="H1333" s="2">
        <f t="shared" ca="1" si="576"/>
        <v>303</v>
      </c>
      <c r="I1333" t="str">
        <f t="shared" si="577"/>
        <v>GBP/USD</v>
      </c>
      <c r="J1333">
        <f t="shared" si="578"/>
        <v>1.22</v>
      </c>
      <c r="K1333">
        <f t="shared" si="579"/>
        <v>1.25</v>
      </c>
      <c r="L1333">
        <f t="shared" si="580"/>
        <v>1.2349999999999999</v>
      </c>
      <c r="M1333">
        <f t="shared" si="581"/>
        <v>1.5000000000000013E-2</v>
      </c>
      <c r="N1333">
        <f t="shared" si="560"/>
        <v>3.0000000000000027E-2</v>
      </c>
      <c r="O1333">
        <f t="shared" si="582"/>
        <v>1.24</v>
      </c>
      <c r="P1333">
        <f t="shared" si="583"/>
        <v>0.33333333333334075</v>
      </c>
      <c r="Q1333" t="str">
        <f t="shared" si="561"/>
        <v>1.61% | 0.81%</v>
      </c>
      <c r="R1333" t="str">
        <f t="shared" si="584"/>
        <v>BEARISH</v>
      </c>
      <c r="S1333">
        <f t="shared" si="562"/>
        <v>-1</v>
      </c>
    </row>
    <row r="1334" spans="1:19" hidden="1" x14ac:dyDescent="0.25">
      <c r="A1334" s="5" t="str">
        <f t="shared" si="559"/>
        <v>43950USD/CHF</v>
      </c>
      <c r="B1334" s="6" t="s">
        <v>22</v>
      </c>
      <c r="C1334" s="6">
        <v>0.96</v>
      </c>
      <c r="D1334" s="6">
        <v>0.98</v>
      </c>
      <c r="E1334" s="6">
        <v>0.97</v>
      </c>
      <c r="F1334" t="str">
        <f t="shared" si="574"/>
        <v>WED</v>
      </c>
      <c r="G1334" s="1">
        <f t="shared" si="575"/>
        <v>43950</v>
      </c>
      <c r="H1334" s="2">
        <f t="shared" ca="1" si="576"/>
        <v>303</v>
      </c>
      <c r="I1334" t="str">
        <f t="shared" si="577"/>
        <v>USD/CHF</v>
      </c>
      <c r="J1334">
        <f t="shared" si="578"/>
        <v>0.96</v>
      </c>
      <c r="K1334">
        <f t="shared" si="579"/>
        <v>0.98</v>
      </c>
      <c r="L1334">
        <f t="shared" si="580"/>
        <v>0.97</v>
      </c>
      <c r="M1334">
        <f t="shared" si="581"/>
        <v>1.0000000000000009E-2</v>
      </c>
      <c r="N1334">
        <f t="shared" si="560"/>
        <v>2.0000000000000018E-2</v>
      </c>
      <c r="O1334">
        <f t="shared" si="582"/>
        <v>0.97</v>
      </c>
      <c r="P1334">
        <f t="shared" si="583"/>
        <v>0</v>
      </c>
      <c r="Q1334" t="str">
        <f t="shared" si="561"/>
        <v>1.03% | 1.03%</v>
      </c>
      <c r="R1334" t="str">
        <f t="shared" si="584"/>
        <v>NEUTRAL</v>
      </c>
      <c r="S1334">
        <f t="shared" si="562"/>
        <v>0</v>
      </c>
    </row>
    <row r="1335" spans="1:19" hidden="1" x14ac:dyDescent="0.25">
      <c r="A1335" s="5" t="str">
        <f t="shared" si="559"/>
        <v>43950WTIC</v>
      </c>
      <c r="B1335" s="6" t="s">
        <v>23</v>
      </c>
      <c r="C1335" s="6">
        <v>7.24</v>
      </c>
      <c r="D1335" s="6">
        <v>17.309999999999999</v>
      </c>
      <c r="E1335" s="6">
        <v>12.34</v>
      </c>
      <c r="F1335" t="str">
        <f t="shared" si="574"/>
        <v>WED</v>
      </c>
      <c r="G1335" s="1">
        <f t="shared" si="575"/>
        <v>43950</v>
      </c>
      <c r="H1335" s="2">
        <f t="shared" ca="1" si="576"/>
        <v>303</v>
      </c>
      <c r="I1335" t="str">
        <f t="shared" si="577"/>
        <v>WTIC</v>
      </c>
      <c r="J1335">
        <f t="shared" si="578"/>
        <v>7.24</v>
      </c>
      <c r="K1335">
        <f t="shared" si="579"/>
        <v>17.309999999999999</v>
      </c>
      <c r="L1335">
        <f t="shared" si="580"/>
        <v>12.274999999999999</v>
      </c>
      <c r="M1335">
        <f t="shared" si="581"/>
        <v>5.0350000000000001</v>
      </c>
      <c r="N1335">
        <f t="shared" si="560"/>
        <v>10.069999999999999</v>
      </c>
      <c r="O1335">
        <f t="shared" si="582"/>
        <v>12.34</v>
      </c>
      <c r="P1335">
        <f t="shared" si="583"/>
        <v>1.2909632571996281E-2</v>
      </c>
      <c r="Q1335" t="str">
        <f t="shared" si="561"/>
        <v>41.33% | 40.28%</v>
      </c>
      <c r="R1335" t="str">
        <f t="shared" si="584"/>
        <v>BEARISH</v>
      </c>
      <c r="S1335">
        <f t="shared" si="562"/>
        <v>-1</v>
      </c>
    </row>
    <row r="1336" spans="1:19" hidden="1" x14ac:dyDescent="0.25">
      <c r="A1336" s="5" t="str">
        <f t="shared" si="559"/>
        <v>43950NATGAS</v>
      </c>
      <c r="B1336" s="6" t="s">
        <v>24</v>
      </c>
      <c r="C1336" s="6">
        <v>1.66</v>
      </c>
      <c r="D1336" s="6">
        <v>2.08</v>
      </c>
      <c r="E1336" s="6">
        <v>1.95</v>
      </c>
      <c r="F1336" t="str">
        <f t="shared" si="574"/>
        <v>WED</v>
      </c>
      <c r="G1336" s="1">
        <f t="shared" si="575"/>
        <v>43950</v>
      </c>
      <c r="H1336" s="2">
        <f t="shared" ca="1" si="576"/>
        <v>303</v>
      </c>
      <c r="I1336" t="str">
        <f t="shared" si="577"/>
        <v>NATGAS</v>
      </c>
      <c r="J1336">
        <f t="shared" si="578"/>
        <v>1.66</v>
      </c>
      <c r="K1336">
        <f t="shared" si="579"/>
        <v>2.08</v>
      </c>
      <c r="L1336">
        <f t="shared" si="580"/>
        <v>1.87</v>
      </c>
      <c r="M1336">
        <f t="shared" si="581"/>
        <v>0.20999999999999955</v>
      </c>
      <c r="N1336">
        <f t="shared" si="560"/>
        <v>0.42000000000000015</v>
      </c>
      <c r="O1336">
        <f t="shared" si="582"/>
        <v>1.95</v>
      </c>
      <c r="P1336">
        <f t="shared" si="583"/>
        <v>0.38095238095238104</v>
      </c>
      <c r="Q1336" t="str">
        <f t="shared" si="561"/>
        <v>14.87% | 6.67%</v>
      </c>
      <c r="R1336" t="str">
        <f t="shared" si="584"/>
        <v>BEARISH</v>
      </c>
      <c r="S1336">
        <f t="shared" si="562"/>
        <v>-1</v>
      </c>
    </row>
    <row r="1337" spans="1:19" hidden="1" x14ac:dyDescent="0.25">
      <c r="A1337" s="5" t="str">
        <f t="shared" si="559"/>
        <v>43950GOLD</v>
      </c>
      <c r="B1337" s="6" t="s">
        <v>25</v>
      </c>
      <c r="C1337" s="6">
        <v>1685</v>
      </c>
      <c r="D1337" s="6">
        <v>1769</v>
      </c>
      <c r="E1337" s="6">
        <v>1722</v>
      </c>
      <c r="F1337" t="str">
        <f t="shared" si="574"/>
        <v>WED</v>
      </c>
      <c r="G1337" s="1">
        <f t="shared" si="575"/>
        <v>43950</v>
      </c>
      <c r="H1337" s="2">
        <f t="shared" ca="1" si="576"/>
        <v>303</v>
      </c>
      <c r="I1337" t="str">
        <f t="shared" si="577"/>
        <v>GOLD</v>
      </c>
      <c r="J1337">
        <f t="shared" si="578"/>
        <v>1685</v>
      </c>
      <c r="K1337">
        <f t="shared" si="579"/>
        <v>1769</v>
      </c>
      <c r="L1337">
        <f t="shared" si="580"/>
        <v>1727</v>
      </c>
      <c r="M1337">
        <f t="shared" si="581"/>
        <v>42</v>
      </c>
      <c r="N1337">
        <f t="shared" si="560"/>
        <v>84</v>
      </c>
      <c r="O1337">
        <f t="shared" si="582"/>
        <v>1722</v>
      </c>
      <c r="P1337">
        <f t="shared" si="583"/>
        <v>-0.11904761904761904</v>
      </c>
      <c r="Q1337" t="str">
        <f t="shared" si="561"/>
        <v>2.15% | 2.73%</v>
      </c>
      <c r="R1337" t="str">
        <f t="shared" si="584"/>
        <v>BULLISH</v>
      </c>
      <c r="S1337">
        <f t="shared" si="562"/>
        <v>1</v>
      </c>
    </row>
    <row r="1338" spans="1:19" hidden="1" x14ac:dyDescent="0.25">
      <c r="A1338" s="5" t="str">
        <f t="shared" si="559"/>
        <v>43950COPPER</v>
      </c>
      <c r="B1338" s="6" t="s">
        <v>26</v>
      </c>
      <c r="C1338" s="6">
        <v>2.27</v>
      </c>
      <c r="D1338" s="6">
        <v>2.38</v>
      </c>
      <c r="E1338" s="6">
        <v>2.35</v>
      </c>
      <c r="F1338" t="str">
        <f t="shared" si="574"/>
        <v>WED</v>
      </c>
      <c r="G1338" s="1">
        <f t="shared" si="575"/>
        <v>43950</v>
      </c>
      <c r="H1338" s="2">
        <f t="shared" ca="1" si="576"/>
        <v>303</v>
      </c>
      <c r="I1338" t="str">
        <f t="shared" si="577"/>
        <v>COPPER</v>
      </c>
      <c r="J1338">
        <f t="shared" si="578"/>
        <v>2.27</v>
      </c>
      <c r="K1338">
        <f t="shared" si="579"/>
        <v>2.38</v>
      </c>
      <c r="L1338">
        <f t="shared" si="580"/>
        <v>2.3250000000000002</v>
      </c>
      <c r="M1338">
        <f t="shared" si="581"/>
        <v>5.4999999999999938E-2</v>
      </c>
      <c r="N1338">
        <f t="shared" si="560"/>
        <v>0.10999999999999988</v>
      </c>
      <c r="O1338">
        <f t="shared" si="582"/>
        <v>2.35</v>
      </c>
      <c r="P1338">
        <f t="shared" si="583"/>
        <v>0.45454545454545342</v>
      </c>
      <c r="Q1338" t="str">
        <f t="shared" si="561"/>
        <v>3.4% | 1.28%</v>
      </c>
      <c r="R1338" t="str">
        <f t="shared" si="584"/>
        <v>BEARISH</v>
      </c>
      <c r="S1338">
        <f t="shared" si="562"/>
        <v>-1</v>
      </c>
    </row>
    <row r="1339" spans="1:19" hidden="1" x14ac:dyDescent="0.25">
      <c r="A1339" s="5" t="str">
        <f t="shared" si="559"/>
        <v>43950MSFT</v>
      </c>
      <c r="B1339" s="6" t="s">
        <v>27</v>
      </c>
      <c r="C1339" s="6">
        <v>165</v>
      </c>
      <c r="D1339" s="6">
        <v>180</v>
      </c>
      <c r="E1339" s="6">
        <v>169</v>
      </c>
      <c r="F1339" t="str">
        <f t="shared" si="574"/>
        <v>WED</v>
      </c>
      <c r="G1339" s="1">
        <f t="shared" si="575"/>
        <v>43950</v>
      </c>
      <c r="H1339" s="2">
        <f t="shared" ca="1" si="576"/>
        <v>303</v>
      </c>
      <c r="I1339" t="str">
        <f t="shared" si="577"/>
        <v>MSFT</v>
      </c>
      <c r="J1339">
        <f t="shared" si="578"/>
        <v>165</v>
      </c>
      <c r="K1339">
        <f t="shared" si="579"/>
        <v>180</v>
      </c>
      <c r="L1339">
        <f t="shared" si="580"/>
        <v>172.5</v>
      </c>
      <c r="M1339">
        <f t="shared" si="581"/>
        <v>7.5</v>
      </c>
      <c r="N1339">
        <f t="shared" si="560"/>
        <v>15</v>
      </c>
      <c r="O1339">
        <f t="shared" si="582"/>
        <v>169</v>
      </c>
      <c r="P1339">
        <f t="shared" si="583"/>
        <v>-0.46666666666666667</v>
      </c>
      <c r="Q1339" t="str">
        <f t="shared" si="561"/>
        <v>2.37% | 6.51%</v>
      </c>
      <c r="R1339" t="str">
        <f t="shared" si="584"/>
        <v>BULLISH</v>
      </c>
      <c r="S1339">
        <f t="shared" si="562"/>
        <v>1</v>
      </c>
    </row>
    <row r="1340" spans="1:19" hidden="1" x14ac:dyDescent="0.25">
      <c r="A1340" s="5" t="str">
        <f t="shared" si="559"/>
        <v>43950AAPL</v>
      </c>
      <c r="B1340" s="6" t="s">
        <v>63</v>
      </c>
      <c r="C1340" s="6">
        <v>266</v>
      </c>
      <c r="D1340" s="6">
        <v>290</v>
      </c>
      <c r="E1340" s="6">
        <v>278</v>
      </c>
      <c r="F1340" t="str">
        <f t="shared" si="574"/>
        <v>WED</v>
      </c>
      <c r="G1340" s="1">
        <f t="shared" si="575"/>
        <v>43950</v>
      </c>
      <c r="H1340" s="2">
        <f t="shared" ca="1" si="576"/>
        <v>303</v>
      </c>
      <c r="I1340" t="str">
        <f t="shared" si="577"/>
        <v>AAPL</v>
      </c>
      <c r="J1340">
        <f t="shared" si="578"/>
        <v>266</v>
      </c>
      <c r="K1340">
        <f t="shared" si="579"/>
        <v>290</v>
      </c>
      <c r="L1340">
        <f t="shared" si="580"/>
        <v>278</v>
      </c>
      <c r="M1340">
        <f t="shared" si="581"/>
        <v>12</v>
      </c>
      <c r="N1340">
        <f t="shared" si="560"/>
        <v>24</v>
      </c>
      <c r="O1340">
        <f t="shared" si="582"/>
        <v>278</v>
      </c>
      <c r="P1340">
        <f t="shared" si="583"/>
        <v>0</v>
      </c>
      <c r="Q1340" t="str">
        <f t="shared" si="561"/>
        <v>4.32% | 4.32%</v>
      </c>
      <c r="R1340" t="str">
        <f t="shared" si="584"/>
        <v>NEUTRAL</v>
      </c>
      <c r="S1340">
        <f t="shared" si="562"/>
        <v>0</v>
      </c>
    </row>
    <row r="1341" spans="1:19" hidden="1" x14ac:dyDescent="0.25">
      <c r="A1341" s="5" t="str">
        <f t="shared" si="559"/>
        <v>43950AMZN</v>
      </c>
      <c r="B1341" s="6" t="s">
        <v>29</v>
      </c>
      <c r="C1341" s="6">
        <v>2291</v>
      </c>
      <c r="D1341" s="6">
        <v>2439</v>
      </c>
      <c r="E1341" s="6">
        <v>2314</v>
      </c>
      <c r="F1341" t="str">
        <f t="shared" si="574"/>
        <v>WED</v>
      </c>
      <c r="G1341" s="1">
        <f t="shared" si="575"/>
        <v>43950</v>
      </c>
      <c r="H1341" s="2">
        <f t="shared" ca="1" si="576"/>
        <v>303</v>
      </c>
      <c r="I1341" t="str">
        <f t="shared" si="577"/>
        <v>AMZN</v>
      </c>
      <c r="J1341">
        <f t="shared" si="578"/>
        <v>2291</v>
      </c>
      <c r="K1341">
        <f t="shared" si="579"/>
        <v>2439</v>
      </c>
      <c r="L1341">
        <f t="shared" si="580"/>
        <v>2365</v>
      </c>
      <c r="M1341">
        <f t="shared" si="581"/>
        <v>74</v>
      </c>
      <c r="N1341">
        <f t="shared" si="560"/>
        <v>148</v>
      </c>
      <c r="O1341">
        <f t="shared" si="582"/>
        <v>2314</v>
      </c>
      <c r="P1341">
        <f t="shared" si="583"/>
        <v>-0.68918918918918914</v>
      </c>
      <c r="Q1341" t="str">
        <f t="shared" si="561"/>
        <v>0.99% | 5.4%</v>
      </c>
      <c r="R1341" t="str">
        <f t="shared" si="584"/>
        <v>BULLISH</v>
      </c>
      <c r="S1341">
        <f t="shared" si="562"/>
        <v>1</v>
      </c>
    </row>
    <row r="1342" spans="1:19" hidden="1" x14ac:dyDescent="0.25">
      <c r="A1342" s="5" t="str">
        <f t="shared" si="559"/>
        <v>43950FB</v>
      </c>
      <c r="B1342" s="6" t="s">
        <v>58</v>
      </c>
      <c r="C1342" s="6">
        <v>169</v>
      </c>
      <c r="D1342" s="6">
        <v>193</v>
      </c>
      <c r="E1342" s="6">
        <v>182</v>
      </c>
      <c r="F1342" t="str">
        <f t="shared" si="574"/>
        <v>WED</v>
      </c>
      <c r="G1342" s="1">
        <f t="shared" si="575"/>
        <v>43950</v>
      </c>
      <c r="H1342" s="2">
        <f t="shared" ca="1" si="576"/>
        <v>303</v>
      </c>
      <c r="I1342" t="str">
        <f t="shared" si="577"/>
        <v>FB</v>
      </c>
      <c r="J1342">
        <f t="shared" si="578"/>
        <v>169</v>
      </c>
      <c r="K1342">
        <f t="shared" si="579"/>
        <v>193</v>
      </c>
      <c r="L1342">
        <f t="shared" si="580"/>
        <v>181</v>
      </c>
      <c r="M1342">
        <f t="shared" si="581"/>
        <v>12</v>
      </c>
      <c r="N1342">
        <f t="shared" si="560"/>
        <v>24</v>
      </c>
      <c r="O1342">
        <f t="shared" si="582"/>
        <v>182</v>
      </c>
      <c r="P1342">
        <f t="shared" si="583"/>
        <v>8.3333333333333329E-2</v>
      </c>
      <c r="Q1342" t="str">
        <f t="shared" si="561"/>
        <v>7.14% | 6.04%</v>
      </c>
      <c r="R1342" t="str">
        <f t="shared" si="584"/>
        <v>BEARISH</v>
      </c>
      <c r="S1342">
        <f t="shared" si="562"/>
        <v>-1</v>
      </c>
    </row>
    <row r="1343" spans="1:19" hidden="1" x14ac:dyDescent="0.25">
      <c r="A1343" s="5" t="str">
        <f t="shared" si="559"/>
        <v>43950GOOGL</v>
      </c>
      <c r="B1343" s="6" t="s">
        <v>66</v>
      </c>
      <c r="C1343" s="6">
        <v>1215</v>
      </c>
      <c r="D1343" s="6">
        <v>1330</v>
      </c>
      <c r="E1343" s="6">
        <v>1232</v>
      </c>
      <c r="F1343" t="str">
        <f t="shared" si="574"/>
        <v>WED</v>
      </c>
      <c r="G1343" s="1">
        <f t="shared" si="575"/>
        <v>43950</v>
      </c>
      <c r="H1343" s="2">
        <f t="shared" ca="1" si="576"/>
        <v>303</v>
      </c>
      <c r="I1343" t="str">
        <f t="shared" si="577"/>
        <v>GOOGL</v>
      </c>
      <c r="J1343">
        <f t="shared" si="578"/>
        <v>1215</v>
      </c>
      <c r="K1343">
        <f t="shared" si="579"/>
        <v>1330</v>
      </c>
      <c r="L1343">
        <f t="shared" si="580"/>
        <v>1272.5</v>
      </c>
      <c r="M1343">
        <f t="shared" si="581"/>
        <v>57.5</v>
      </c>
      <c r="N1343">
        <f t="shared" si="560"/>
        <v>115</v>
      </c>
      <c r="O1343">
        <f t="shared" si="582"/>
        <v>1232</v>
      </c>
      <c r="P1343">
        <f t="shared" si="583"/>
        <v>-0.70434782608695656</v>
      </c>
      <c r="Q1343" t="str">
        <f t="shared" si="561"/>
        <v>1.38% | 7.95%</v>
      </c>
      <c r="R1343" t="str">
        <f t="shared" si="584"/>
        <v>BEARISH</v>
      </c>
      <c r="S1343">
        <f t="shared" si="562"/>
        <v>-1</v>
      </c>
    </row>
    <row r="1344" spans="1:19" hidden="1" x14ac:dyDescent="0.25">
      <c r="A1344" s="5" t="str">
        <f t="shared" si="559"/>
        <v>43950NFLX</v>
      </c>
      <c r="B1344" s="6" t="s">
        <v>32</v>
      </c>
      <c r="C1344" s="6">
        <v>396</v>
      </c>
      <c r="D1344" s="6">
        <v>443</v>
      </c>
      <c r="E1344" s="6">
        <v>403</v>
      </c>
      <c r="F1344" t="str">
        <f t="shared" si="574"/>
        <v>WED</v>
      </c>
      <c r="G1344" s="1">
        <f t="shared" si="575"/>
        <v>43950</v>
      </c>
      <c r="H1344" s="2">
        <f t="shared" ca="1" si="576"/>
        <v>303</v>
      </c>
      <c r="I1344" t="str">
        <f t="shared" si="577"/>
        <v>NFLX</v>
      </c>
      <c r="J1344">
        <f t="shared" si="578"/>
        <v>396</v>
      </c>
      <c r="K1344">
        <f t="shared" si="579"/>
        <v>443</v>
      </c>
      <c r="L1344">
        <f t="shared" si="580"/>
        <v>419.5</v>
      </c>
      <c r="M1344">
        <f t="shared" si="581"/>
        <v>23.5</v>
      </c>
      <c r="N1344">
        <f t="shared" si="560"/>
        <v>47</v>
      </c>
      <c r="O1344">
        <f t="shared" si="582"/>
        <v>403</v>
      </c>
      <c r="P1344">
        <f t="shared" si="583"/>
        <v>-0.7021276595744681</v>
      </c>
      <c r="Q1344" t="str">
        <f t="shared" si="561"/>
        <v>1.74% | 9.93%</v>
      </c>
      <c r="R1344" t="str">
        <f t="shared" si="584"/>
        <v>BULLISH</v>
      </c>
      <c r="S1344">
        <f t="shared" si="562"/>
        <v>1</v>
      </c>
    </row>
    <row r="1345" spans="1:19" x14ac:dyDescent="0.25">
      <c r="A1345" s="5" t="str">
        <f t="shared" si="559"/>
        <v>43950TSLA</v>
      </c>
      <c r="B1345" s="6" t="s">
        <v>33</v>
      </c>
      <c r="C1345" s="6">
        <v>657</v>
      </c>
      <c r="D1345" s="6">
        <v>805</v>
      </c>
      <c r="E1345" s="6">
        <v>769</v>
      </c>
      <c r="F1345" t="str">
        <f t="shared" si="574"/>
        <v>WED</v>
      </c>
      <c r="G1345" s="1">
        <f t="shared" si="575"/>
        <v>43950</v>
      </c>
      <c r="H1345" s="2">
        <f t="shared" ca="1" si="576"/>
        <v>303</v>
      </c>
      <c r="I1345" t="str">
        <f t="shared" si="577"/>
        <v>TSLA</v>
      </c>
      <c r="J1345">
        <f t="shared" si="578"/>
        <v>657</v>
      </c>
      <c r="K1345">
        <f t="shared" si="579"/>
        <v>805</v>
      </c>
      <c r="L1345">
        <f t="shared" si="580"/>
        <v>731</v>
      </c>
      <c r="M1345">
        <f t="shared" si="581"/>
        <v>74</v>
      </c>
      <c r="N1345">
        <f t="shared" si="560"/>
        <v>148</v>
      </c>
      <c r="O1345">
        <f t="shared" si="582"/>
        <v>769</v>
      </c>
      <c r="P1345">
        <f t="shared" si="583"/>
        <v>0.51351351351351349</v>
      </c>
      <c r="Q1345" t="str">
        <f t="shared" si="561"/>
        <v>14.56% | 4.68%</v>
      </c>
      <c r="R1345" t="str">
        <f t="shared" si="584"/>
        <v>BULLISH</v>
      </c>
      <c r="S1345">
        <f t="shared" si="562"/>
        <v>1</v>
      </c>
    </row>
    <row r="1346" spans="1:19" hidden="1" x14ac:dyDescent="0.25">
      <c r="A1346" s="5" t="str">
        <f t="shared" si="559"/>
        <v>43950NYXBT</v>
      </c>
      <c r="B1346" s="6" t="s">
        <v>84</v>
      </c>
      <c r="C1346" s="6">
        <v>6564</v>
      </c>
      <c r="D1346" s="6">
        <v>7899</v>
      </c>
      <c r="E1346" s="6">
        <v>7737</v>
      </c>
      <c r="F1346" t="str">
        <f t="shared" si="574"/>
        <v>WED</v>
      </c>
      <c r="G1346" s="1">
        <f t="shared" si="575"/>
        <v>43950</v>
      </c>
      <c r="H1346" s="2">
        <f t="shared" ca="1" si="576"/>
        <v>303</v>
      </c>
      <c r="I1346" t="str">
        <f t="shared" si="577"/>
        <v>NYXBT</v>
      </c>
      <c r="J1346">
        <f t="shared" si="578"/>
        <v>6564</v>
      </c>
      <c r="K1346">
        <f t="shared" si="579"/>
        <v>7899</v>
      </c>
      <c r="L1346">
        <f t="shared" si="580"/>
        <v>7231.5</v>
      </c>
      <c r="M1346">
        <f t="shared" si="581"/>
        <v>667.5</v>
      </c>
      <c r="N1346">
        <f t="shared" si="560"/>
        <v>1335</v>
      </c>
      <c r="O1346">
        <f t="shared" si="582"/>
        <v>7737</v>
      </c>
      <c r="P1346">
        <f t="shared" si="583"/>
        <v>0.75730337078651688</v>
      </c>
      <c r="Q1346" t="str">
        <f t="shared" si="561"/>
        <v>15.16% | 2.09%</v>
      </c>
      <c r="R1346" t="str">
        <f t="shared" si="584"/>
        <v>BEARISH</v>
      </c>
      <c r="S1346">
        <f t="shared" si="562"/>
        <v>-1</v>
      </c>
    </row>
    <row r="1347" spans="1:19" hidden="1" x14ac:dyDescent="0.25">
      <c r="A1347" s="5" t="str">
        <f t="shared" ref="A1347:A1410" si="585">G1347&amp;I1347</f>
        <v>43951UST10Y</v>
      </c>
      <c r="B1347" s="6" t="s">
        <v>4</v>
      </c>
      <c r="C1347" s="6">
        <v>0.68</v>
      </c>
      <c r="D1347" s="6">
        <v>0.56000000000000005</v>
      </c>
      <c r="E1347" s="6">
        <v>0.63</v>
      </c>
      <c r="F1347" t="str">
        <f t="shared" si="574"/>
        <v>THU</v>
      </c>
      <c r="G1347" s="3">
        <f>DATE(2020,4,30)</f>
        <v>43951</v>
      </c>
      <c r="H1347" s="2">
        <f t="shared" ca="1" si="576"/>
        <v>302</v>
      </c>
      <c r="I1347" t="str">
        <f t="shared" si="577"/>
        <v>UST10Y</v>
      </c>
      <c r="J1347">
        <f t="shared" si="578"/>
        <v>0.68</v>
      </c>
      <c r="K1347">
        <f t="shared" si="579"/>
        <v>0.56000000000000005</v>
      </c>
      <c r="L1347">
        <f t="shared" si="580"/>
        <v>0.62000000000000011</v>
      </c>
      <c r="M1347">
        <f t="shared" si="581"/>
        <v>0.06</v>
      </c>
      <c r="N1347">
        <f t="shared" ref="N1347:N1410" si="586">ABS(K1347-J1347)</f>
        <v>0.12</v>
      </c>
      <c r="O1347">
        <f t="shared" si="582"/>
        <v>0.63</v>
      </c>
      <c r="P1347">
        <f t="shared" si="583"/>
        <v>0.16666666666666496</v>
      </c>
      <c r="Q1347" t="str">
        <f t="shared" ref="Q1347:Q1410" si="587">ROUND(ABS(100*(O1347-J1347)/O1347),2)&amp;"% | "&amp;ROUND(ABS(100*(K1347-O1347)/O1347),2)&amp;"%"</f>
        <v>7.94% | 11.11%</v>
      </c>
      <c r="R1347" t="str">
        <f t="shared" si="584"/>
        <v>BEARISH</v>
      </c>
      <c r="S1347">
        <f t="shared" ref="S1347:S1410" si="588">IF(R1347="BEARISH",-1,IF(R1347="NEUTRAL",0,IF(R1347="BULLISH",1,99)))</f>
        <v>-1</v>
      </c>
    </row>
    <row r="1348" spans="1:19" hidden="1" x14ac:dyDescent="0.25">
      <c r="A1348" s="5" t="str">
        <f t="shared" si="585"/>
        <v>43951UST2Y</v>
      </c>
      <c r="B1348" s="6" t="s">
        <v>5</v>
      </c>
      <c r="C1348" s="6">
        <v>0.24</v>
      </c>
      <c r="D1348" s="6">
        <v>0.17</v>
      </c>
      <c r="E1348" s="6">
        <v>0.2</v>
      </c>
      <c r="F1348" t="str">
        <f t="shared" ref="F1348:F1378" si="589">UPPER(TEXT(G1348,"ddd"))</f>
        <v>THU</v>
      </c>
      <c r="G1348" s="3">
        <f t="shared" ref="G1348:G1377" si="590">DATE(2020,4,30)</f>
        <v>43951</v>
      </c>
      <c r="H1348" s="2">
        <f t="shared" ref="H1348:H1378" ca="1" si="591">TODAY()-G1348</f>
        <v>302</v>
      </c>
      <c r="I1348" t="str">
        <f t="shared" ref="I1348:I1378" si="592">TRIM(LEFT(B1348,FIND(" ",B1348,1)))</f>
        <v>UST2Y</v>
      </c>
      <c r="J1348">
        <f t="shared" ref="J1348:J1378" si="593">C1348</f>
        <v>0.24</v>
      </c>
      <c r="K1348">
        <f t="shared" ref="K1348:K1378" si="594">D1348</f>
        <v>0.17</v>
      </c>
      <c r="L1348">
        <f t="shared" ref="L1348:L1378" si="595">AVERAGE(J1348:K1348)</f>
        <v>0.20500000000000002</v>
      </c>
      <c r="M1348">
        <f t="shared" ref="M1348:M1378" si="596">_xlfn.STDEV.P(J1348:K1348)</f>
        <v>3.4999999999999955E-2</v>
      </c>
      <c r="N1348">
        <f t="shared" si="586"/>
        <v>6.9999999999999979E-2</v>
      </c>
      <c r="O1348">
        <f t="shared" ref="O1348:O1378" si="597">E1348</f>
        <v>0.2</v>
      </c>
      <c r="P1348">
        <f t="shared" ref="P1348:P1378" si="598">(O1348-L1348)/M1348</f>
        <v>-0.14285714285714318</v>
      </c>
      <c r="Q1348" t="str">
        <f t="shared" si="587"/>
        <v>20% | 15%</v>
      </c>
      <c r="R1348" t="str">
        <f t="shared" ref="R1348:R1378" si="599">MID(B1348,FIND("(",B1348,1)+1,FIND(")",B1348,1)-FIND("(",B1348,1)-1)</f>
        <v>BEARISH</v>
      </c>
      <c r="S1348">
        <f t="shared" si="588"/>
        <v>-1</v>
      </c>
    </row>
    <row r="1349" spans="1:19" hidden="1" x14ac:dyDescent="0.25">
      <c r="A1349" s="5" t="str">
        <f t="shared" si="585"/>
        <v>43951SPX</v>
      </c>
      <c r="B1349" s="6" t="s">
        <v>6</v>
      </c>
      <c r="C1349" s="6">
        <v>2766</v>
      </c>
      <c r="D1349" s="6">
        <v>2960</v>
      </c>
      <c r="E1349" s="6">
        <v>2939</v>
      </c>
      <c r="F1349" t="str">
        <f t="shared" si="589"/>
        <v>THU</v>
      </c>
      <c r="G1349" s="3">
        <f t="shared" si="590"/>
        <v>43951</v>
      </c>
      <c r="H1349" s="2">
        <f t="shared" ca="1" si="591"/>
        <v>302</v>
      </c>
      <c r="I1349" t="str">
        <f t="shared" si="592"/>
        <v>SPX</v>
      </c>
      <c r="J1349">
        <f t="shared" si="593"/>
        <v>2766</v>
      </c>
      <c r="K1349">
        <f t="shared" si="594"/>
        <v>2960</v>
      </c>
      <c r="L1349">
        <f t="shared" si="595"/>
        <v>2863</v>
      </c>
      <c r="M1349">
        <f t="shared" si="596"/>
        <v>97</v>
      </c>
      <c r="N1349">
        <f t="shared" si="586"/>
        <v>194</v>
      </c>
      <c r="O1349">
        <f t="shared" si="597"/>
        <v>2939</v>
      </c>
      <c r="P1349">
        <f t="shared" si="598"/>
        <v>0.78350515463917525</v>
      </c>
      <c r="Q1349" t="str">
        <f t="shared" si="587"/>
        <v>5.89% | 0.71%</v>
      </c>
      <c r="R1349" t="str">
        <f t="shared" si="599"/>
        <v>BEARISH</v>
      </c>
      <c r="S1349">
        <f t="shared" si="588"/>
        <v>-1</v>
      </c>
    </row>
    <row r="1350" spans="1:19" hidden="1" x14ac:dyDescent="0.25">
      <c r="A1350" s="5" t="str">
        <f t="shared" si="585"/>
        <v>43951RUT</v>
      </c>
      <c r="B1350" s="6" t="s">
        <v>7</v>
      </c>
      <c r="C1350" s="6">
        <v>1215</v>
      </c>
      <c r="D1350" s="6">
        <v>1385</v>
      </c>
      <c r="E1350" s="6">
        <v>1360</v>
      </c>
      <c r="F1350" t="str">
        <f t="shared" si="589"/>
        <v>THU</v>
      </c>
      <c r="G1350" s="3">
        <f t="shared" si="590"/>
        <v>43951</v>
      </c>
      <c r="H1350" s="2">
        <f t="shared" ca="1" si="591"/>
        <v>302</v>
      </c>
      <c r="I1350" t="str">
        <f t="shared" si="592"/>
        <v>RUT</v>
      </c>
      <c r="J1350">
        <f t="shared" si="593"/>
        <v>1215</v>
      </c>
      <c r="K1350">
        <f t="shared" si="594"/>
        <v>1385</v>
      </c>
      <c r="L1350">
        <f t="shared" si="595"/>
        <v>1300</v>
      </c>
      <c r="M1350">
        <f t="shared" si="596"/>
        <v>85</v>
      </c>
      <c r="N1350">
        <f t="shared" si="586"/>
        <v>170</v>
      </c>
      <c r="O1350">
        <f t="shared" si="597"/>
        <v>1360</v>
      </c>
      <c r="P1350">
        <f t="shared" si="598"/>
        <v>0.70588235294117652</v>
      </c>
      <c r="Q1350" t="str">
        <f t="shared" si="587"/>
        <v>10.66% | 1.84%</v>
      </c>
      <c r="R1350" t="str">
        <f t="shared" si="599"/>
        <v>BEARISH</v>
      </c>
      <c r="S1350">
        <f t="shared" si="588"/>
        <v>-1</v>
      </c>
    </row>
    <row r="1351" spans="1:19" hidden="1" x14ac:dyDescent="0.25">
      <c r="A1351" s="5" t="str">
        <f t="shared" si="585"/>
        <v>43951COMPQ</v>
      </c>
      <c r="B1351" s="6" t="s">
        <v>8</v>
      </c>
      <c r="C1351" s="6">
        <v>8255</v>
      </c>
      <c r="D1351" s="6">
        <v>8952</v>
      </c>
      <c r="E1351" s="6">
        <v>8914</v>
      </c>
      <c r="F1351" t="str">
        <f t="shared" si="589"/>
        <v>THU</v>
      </c>
      <c r="G1351" s="3">
        <f t="shared" si="590"/>
        <v>43951</v>
      </c>
      <c r="H1351" s="2">
        <f t="shared" ca="1" si="591"/>
        <v>302</v>
      </c>
      <c r="I1351" t="str">
        <f t="shared" si="592"/>
        <v>COMPQ</v>
      </c>
      <c r="J1351">
        <f t="shared" si="593"/>
        <v>8255</v>
      </c>
      <c r="K1351">
        <f t="shared" si="594"/>
        <v>8952</v>
      </c>
      <c r="L1351">
        <f t="shared" si="595"/>
        <v>8603.5</v>
      </c>
      <c r="M1351">
        <f t="shared" si="596"/>
        <v>348.5</v>
      </c>
      <c r="N1351">
        <f t="shared" si="586"/>
        <v>697</v>
      </c>
      <c r="O1351">
        <f t="shared" si="597"/>
        <v>8914</v>
      </c>
      <c r="P1351">
        <f t="shared" si="598"/>
        <v>0.89096126255380204</v>
      </c>
      <c r="Q1351" t="str">
        <f t="shared" si="587"/>
        <v>7.39% | 0.43%</v>
      </c>
      <c r="R1351" t="str">
        <f t="shared" si="599"/>
        <v>BULLISH</v>
      </c>
      <c r="S1351">
        <f t="shared" si="588"/>
        <v>1</v>
      </c>
    </row>
    <row r="1352" spans="1:19" hidden="1" x14ac:dyDescent="0.25">
      <c r="A1352" s="5" t="str">
        <f t="shared" si="585"/>
        <v>43951XLP</v>
      </c>
      <c r="B1352" s="6" t="s">
        <v>54</v>
      </c>
      <c r="C1352" s="6">
        <v>57.4</v>
      </c>
      <c r="D1352" s="6">
        <v>60.51</v>
      </c>
      <c r="E1352" s="6">
        <v>58.96</v>
      </c>
      <c r="F1352" t="str">
        <f t="shared" si="589"/>
        <v>THU</v>
      </c>
      <c r="G1352" s="3">
        <f t="shared" si="590"/>
        <v>43951</v>
      </c>
      <c r="H1352" s="2">
        <f t="shared" ca="1" si="591"/>
        <v>302</v>
      </c>
      <c r="I1352" t="str">
        <f t="shared" si="592"/>
        <v>XLP</v>
      </c>
      <c r="J1352">
        <f t="shared" si="593"/>
        <v>57.4</v>
      </c>
      <c r="K1352">
        <f t="shared" si="594"/>
        <v>60.51</v>
      </c>
      <c r="L1352">
        <f t="shared" si="595"/>
        <v>58.954999999999998</v>
      </c>
      <c r="M1352">
        <f t="shared" si="596"/>
        <v>1.5549999999999997</v>
      </c>
      <c r="N1352">
        <f t="shared" si="586"/>
        <v>3.1099999999999994</v>
      </c>
      <c r="O1352">
        <f t="shared" si="597"/>
        <v>58.96</v>
      </c>
      <c r="P1352">
        <f t="shared" si="598"/>
        <v>3.215434083602932E-3</v>
      </c>
      <c r="Q1352" t="str">
        <f t="shared" si="587"/>
        <v>2.65% | 2.63%</v>
      </c>
      <c r="R1352" t="str">
        <f t="shared" si="599"/>
        <v>BULLISH</v>
      </c>
      <c r="S1352">
        <f t="shared" si="588"/>
        <v>1</v>
      </c>
    </row>
    <row r="1353" spans="1:19" hidden="1" x14ac:dyDescent="0.25">
      <c r="A1353" s="5" t="str">
        <f t="shared" si="585"/>
        <v>43951XLV</v>
      </c>
      <c r="B1353" s="6" t="s">
        <v>9</v>
      </c>
      <c r="C1353" s="6">
        <v>95.45</v>
      </c>
      <c r="D1353" s="6">
        <v>102.43</v>
      </c>
      <c r="E1353" s="6">
        <v>100.19</v>
      </c>
      <c r="F1353" t="str">
        <f t="shared" si="589"/>
        <v>THU</v>
      </c>
      <c r="G1353" s="3">
        <f t="shared" si="590"/>
        <v>43951</v>
      </c>
      <c r="H1353" s="2">
        <f t="shared" ca="1" si="591"/>
        <v>302</v>
      </c>
      <c r="I1353" t="str">
        <f t="shared" si="592"/>
        <v>XLV</v>
      </c>
      <c r="J1353">
        <f t="shared" si="593"/>
        <v>95.45</v>
      </c>
      <c r="K1353">
        <f t="shared" si="594"/>
        <v>102.43</v>
      </c>
      <c r="L1353">
        <f t="shared" si="595"/>
        <v>98.94</v>
      </c>
      <c r="M1353">
        <f t="shared" si="596"/>
        <v>3.490000000000002</v>
      </c>
      <c r="N1353">
        <f t="shared" si="586"/>
        <v>6.980000000000004</v>
      </c>
      <c r="O1353">
        <f t="shared" si="597"/>
        <v>100.19</v>
      </c>
      <c r="P1353">
        <f t="shared" si="598"/>
        <v>0.35816618911174763</v>
      </c>
      <c r="Q1353" t="str">
        <f t="shared" si="587"/>
        <v>4.73% | 2.24%</v>
      </c>
      <c r="R1353" t="str">
        <f t="shared" si="599"/>
        <v>BULLISH</v>
      </c>
      <c r="S1353">
        <f t="shared" si="588"/>
        <v>1</v>
      </c>
    </row>
    <row r="1354" spans="1:19" hidden="1" x14ac:dyDescent="0.25">
      <c r="A1354" s="5" t="str">
        <f t="shared" si="585"/>
        <v>43951XLU</v>
      </c>
      <c r="B1354" s="6" t="s">
        <v>80</v>
      </c>
      <c r="C1354" s="6">
        <v>56.65</v>
      </c>
      <c r="D1354" s="6">
        <v>60.47</v>
      </c>
      <c r="E1354" s="6">
        <v>58.61</v>
      </c>
      <c r="F1354" t="str">
        <f t="shared" si="589"/>
        <v>THU</v>
      </c>
      <c r="G1354" s="3">
        <f t="shared" si="590"/>
        <v>43951</v>
      </c>
      <c r="H1354" s="2">
        <f t="shared" ca="1" si="591"/>
        <v>302</v>
      </c>
      <c r="I1354" t="str">
        <f t="shared" si="592"/>
        <v>XLU</v>
      </c>
      <c r="J1354">
        <f t="shared" si="593"/>
        <v>56.65</v>
      </c>
      <c r="K1354">
        <f t="shared" si="594"/>
        <v>60.47</v>
      </c>
      <c r="L1354">
        <f t="shared" si="595"/>
        <v>58.56</v>
      </c>
      <c r="M1354">
        <f t="shared" si="596"/>
        <v>1.9100000000000001</v>
      </c>
      <c r="N1354">
        <f t="shared" si="586"/>
        <v>3.8200000000000003</v>
      </c>
      <c r="O1354">
        <f t="shared" si="597"/>
        <v>58.61</v>
      </c>
      <c r="P1354">
        <f t="shared" si="598"/>
        <v>2.61780104712027E-2</v>
      </c>
      <c r="Q1354" t="str">
        <f t="shared" si="587"/>
        <v>3.34% | 3.17%</v>
      </c>
      <c r="R1354" t="str">
        <f t="shared" si="599"/>
        <v>NEUTRAL</v>
      </c>
      <c r="S1354">
        <f t="shared" si="588"/>
        <v>0</v>
      </c>
    </row>
    <row r="1355" spans="1:19" hidden="1" x14ac:dyDescent="0.25">
      <c r="A1355" s="5" t="str">
        <f t="shared" si="585"/>
        <v>43951XLK</v>
      </c>
      <c r="B1355" s="6" t="s">
        <v>10</v>
      </c>
      <c r="C1355" s="6">
        <v>85.92</v>
      </c>
      <c r="D1355" s="6">
        <v>93.11</v>
      </c>
      <c r="E1355" s="6">
        <v>91.82</v>
      </c>
      <c r="F1355" t="str">
        <f t="shared" si="589"/>
        <v>THU</v>
      </c>
      <c r="G1355" s="3">
        <f t="shared" si="590"/>
        <v>43951</v>
      </c>
      <c r="H1355" s="2">
        <f t="shared" ca="1" si="591"/>
        <v>302</v>
      </c>
      <c r="I1355" t="str">
        <f t="shared" si="592"/>
        <v>XLK</v>
      </c>
      <c r="J1355">
        <f t="shared" si="593"/>
        <v>85.92</v>
      </c>
      <c r="K1355">
        <f t="shared" si="594"/>
        <v>93.11</v>
      </c>
      <c r="L1355">
        <f t="shared" si="595"/>
        <v>89.515000000000001</v>
      </c>
      <c r="M1355">
        <f t="shared" si="596"/>
        <v>3.5949999999999989</v>
      </c>
      <c r="N1355">
        <f t="shared" si="586"/>
        <v>7.1899999999999977</v>
      </c>
      <c r="O1355">
        <f t="shared" si="597"/>
        <v>91.82</v>
      </c>
      <c r="P1355">
        <f t="shared" si="598"/>
        <v>0.64116828929067959</v>
      </c>
      <c r="Q1355" t="str">
        <f t="shared" si="587"/>
        <v>6.43% | 1.4%</v>
      </c>
      <c r="R1355" t="str">
        <f t="shared" si="599"/>
        <v>BULLISH</v>
      </c>
      <c r="S1355">
        <f t="shared" si="588"/>
        <v>1</v>
      </c>
    </row>
    <row r="1356" spans="1:19" hidden="1" x14ac:dyDescent="0.25">
      <c r="A1356" s="5" t="str">
        <f t="shared" si="585"/>
        <v>43951XLF</v>
      </c>
      <c r="B1356" s="6" t="s">
        <v>12</v>
      </c>
      <c r="C1356" s="6">
        <v>20.399999999999999</v>
      </c>
      <c r="D1356" s="6">
        <v>23.71</v>
      </c>
      <c r="E1356" s="6">
        <v>23.38</v>
      </c>
      <c r="F1356" t="str">
        <f t="shared" si="589"/>
        <v>THU</v>
      </c>
      <c r="G1356" s="3">
        <f t="shared" si="590"/>
        <v>43951</v>
      </c>
      <c r="H1356" s="2">
        <f t="shared" ca="1" si="591"/>
        <v>302</v>
      </c>
      <c r="I1356" t="str">
        <f t="shared" si="592"/>
        <v>XLF</v>
      </c>
      <c r="J1356">
        <f t="shared" si="593"/>
        <v>20.399999999999999</v>
      </c>
      <c r="K1356">
        <f t="shared" si="594"/>
        <v>23.71</v>
      </c>
      <c r="L1356">
        <f t="shared" si="595"/>
        <v>22.055</v>
      </c>
      <c r="M1356">
        <f t="shared" si="596"/>
        <v>1.6550000000000011</v>
      </c>
      <c r="N1356">
        <f t="shared" si="586"/>
        <v>3.3100000000000023</v>
      </c>
      <c r="O1356">
        <f t="shared" si="597"/>
        <v>23.38</v>
      </c>
      <c r="P1356">
        <f t="shared" si="598"/>
        <v>0.80060422960724975</v>
      </c>
      <c r="Q1356" t="str">
        <f t="shared" si="587"/>
        <v>12.75% | 1.41%</v>
      </c>
      <c r="R1356" t="str">
        <f t="shared" si="599"/>
        <v>BEARISH</v>
      </c>
      <c r="S1356">
        <f t="shared" si="588"/>
        <v>-1</v>
      </c>
    </row>
    <row r="1357" spans="1:19" hidden="1" x14ac:dyDescent="0.25">
      <c r="A1357" s="5" t="str">
        <f t="shared" si="585"/>
        <v>43951SSEC</v>
      </c>
      <c r="B1357" s="6" t="s">
        <v>14</v>
      </c>
      <c r="C1357" s="6">
        <v>2788</v>
      </c>
      <c r="D1357" s="6">
        <v>2866</v>
      </c>
      <c r="E1357" s="6">
        <v>2860</v>
      </c>
      <c r="F1357" t="str">
        <f t="shared" si="589"/>
        <v>THU</v>
      </c>
      <c r="G1357" s="3">
        <f t="shared" si="590"/>
        <v>43951</v>
      </c>
      <c r="H1357" s="2">
        <f t="shared" ca="1" si="591"/>
        <v>302</v>
      </c>
      <c r="I1357" t="str">
        <f t="shared" si="592"/>
        <v>SSEC</v>
      </c>
      <c r="J1357">
        <f t="shared" si="593"/>
        <v>2788</v>
      </c>
      <c r="K1357">
        <f t="shared" si="594"/>
        <v>2866</v>
      </c>
      <c r="L1357">
        <f t="shared" si="595"/>
        <v>2827</v>
      </c>
      <c r="M1357">
        <f t="shared" si="596"/>
        <v>39</v>
      </c>
      <c r="N1357">
        <f t="shared" si="586"/>
        <v>78</v>
      </c>
      <c r="O1357">
        <f t="shared" si="597"/>
        <v>2860</v>
      </c>
      <c r="P1357">
        <f t="shared" si="598"/>
        <v>0.84615384615384615</v>
      </c>
      <c r="Q1357" t="str">
        <f t="shared" si="587"/>
        <v>2.52% | 0.21%</v>
      </c>
      <c r="R1357" t="str">
        <f t="shared" si="599"/>
        <v>BEARISH</v>
      </c>
      <c r="S1357">
        <f t="shared" si="588"/>
        <v>-1</v>
      </c>
    </row>
    <row r="1358" spans="1:19" hidden="1" x14ac:dyDescent="0.25">
      <c r="A1358" s="5" t="str">
        <f t="shared" si="585"/>
        <v>43951NIKK</v>
      </c>
      <c r="B1358" s="6" t="s">
        <v>15</v>
      </c>
      <c r="C1358" s="6">
        <v>18970</v>
      </c>
      <c r="D1358" s="6">
        <v>20229</v>
      </c>
      <c r="E1358" s="6">
        <v>20193</v>
      </c>
      <c r="F1358" t="str">
        <f t="shared" si="589"/>
        <v>THU</v>
      </c>
      <c r="G1358" s="3">
        <f t="shared" si="590"/>
        <v>43951</v>
      </c>
      <c r="H1358" s="2">
        <f t="shared" ca="1" si="591"/>
        <v>302</v>
      </c>
      <c r="I1358" t="str">
        <f t="shared" si="592"/>
        <v>NIKK</v>
      </c>
      <c r="J1358">
        <f t="shared" si="593"/>
        <v>18970</v>
      </c>
      <c r="K1358">
        <f t="shared" si="594"/>
        <v>20229</v>
      </c>
      <c r="L1358">
        <f t="shared" si="595"/>
        <v>19599.5</v>
      </c>
      <c r="M1358">
        <f t="shared" si="596"/>
        <v>629.5</v>
      </c>
      <c r="N1358">
        <f t="shared" si="586"/>
        <v>1259</v>
      </c>
      <c r="O1358">
        <f t="shared" si="597"/>
        <v>20193</v>
      </c>
      <c r="P1358">
        <f t="shared" si="598"/>
        <v>0.94281175536139794</v>
      </c>
      <c r="Q1358" t="str">
        <f t="shared" si="587"/>
        <v>6.06% | 0.18%</v>
      </c>
      <c r="R1358" t="str">
        <f t="shared" si="599"/>
        <v>BEARISH</v>
      </c>
      <c r="S1358">
        <f t="shared" si="588"/>
        <v>-1</v>
      </c>
    </row>
    <row r="1359" spans="1:19" hidden="1" x14ac:dyDescent="0.25">
      <c r="A1359" s="5" t="str">
        <f t="shared" si="585"/>
        <v>43951DAX</v>
      </c>
      <c r="B1359" s="6" t="s">
        <v>16</v>
      </c>
      <c r="C1359" s="6">
        <v>10105</v>
      </c>
      <c r="D1359" s="6">
        <v>11203</v>
      </c>
      <c r="E1359" s="6">
        <v>11102</v>
      </c>
      <c r="F1359" t="str">
        <f t="shared" si="589"/>
        <v>THU</v>
      </c>
      <c r="G1359" s="3">
        <f t="shared" si="590"/>
        <v>43951</v>
      </c>
      <c r="H1359" s="2">
        <f t="shared" ca="1" si="591"/>
        <v>302</v>
      </c>
      <c r="I1359" t="str">
        <f t="shared" si="592"/>
        <v>DAX</v>
      </c>
      <c r="J1359">
        <f t="shared" si="593"/>
        <v>10105</v>
      </c>
      <c r="K1359">
        <f t="shared" si="594"/>
        <v>11203</v>
      </c>
      <c r="L1359">
        <f t="shared" si="595"/>
        <v>10654</v>
      </c>
      <c r="M1359">
        <f t="shared" si="596"/>
        <v>549</v>
      </c>
      <c r="N1359">
        <f t="shared" si="586"/>
        <v>1098</v>
      </c>
      <c r="O1359">
        <f t="shared" si="597"/>
        <v>11102</v>
      </c>
      <c r="P1359">
        <f t="shared" si="598"/>
        <v>0.81602914389799641</v>
      </c>
      <c r="Q1359" t="str">
        <f t="shared" si="587"/>
        <v>8.98% | 0.91%</v>
      </c>
      <c r="R1359" t="str">
        <f t="shared" si="599"/>
        <v>BEARISH</v>
      </c>
      <c r="S1359">
        <f t="shared" si="588"/>
        <v>-1</v>
      </c>
    </row>
    <row r="1360" spans="1:19" hidden="1" x14ac:dyDescent="0.25">
      <c r="A1360" s="5" t="str">
        <f t="shared" si="585"/>
        <v>43951VIX</v>
      </c>
      <c r="B1360" s="6" t="s">
        <v>17</v>
      </c>
      <c r="C1360" s="6">
        <v>29.71</v>
      </c>
      <c r="D1360" s="6">
        <v>47.95</v>
      </c>
      <c r="E1360" s="6">
        <v>31.23</v>
      </c>
      <c r="F1360" t="str">
        <f t="shared" si="589"/>
        <v>THU</v>
      </c>
      <c r="G1360" s="3">
        <f t="shared" si="590"/>
        <v>43951</v>
      </c>
      <c r="H1360" s="2">
        <f t="shared" ca="1" si="591"/>
        <v>302</v>
      </c>
      <c r="I1360" t="str">
        <f t="shared" si="592"/>
        <v>VIX</v>
      </c>
      <c r="J1360">
        <f t="shared" si="593"/>
        <v>29.71</v>
      </c>
      <c r="K1360">
        <f t="shared" si="594"/>
        <v>47.95</v>
      </c>
      <c r="L1360">
        <f t="shared" si="595"/>
        <v>38.83</v>
      </c>
      <c r="M1360">
        <f t="shared" si="596"/>
        <v>9.1200000000000188</v>
      </c>
      <c r="N1360">
        <f t="shared" si="586"/>
        <v>18.240000000000002</v>
      </c>
      <c r="O1360">
        <f t="shared" si="597"/>
        <v>31.23</v>
      </c>
      <c r="P1360">
        <f t="shared" si="598"/>
        <v>-0.83333333333333137</v>
      </c>
      <c r="Q1360" t="str">
        <f t="shared" si="587"/>
        <v>4.87% | 53.54%</v>
      </c>
      <c r="R1360" t="str">
        <f t="shared" si="599"/>
        <v>BULLISH</v>
      </c>
      <c r="S1360">
        <f t="shared" si="588"/>
        <v>1</v>
      </c>
    </row>
    <row r="1361" spans="1:19" hidden="1" x14ac:dyDescent="0.25">
      <c r="A1361" s="5" t="str">
        <f t="shared" si="585"/>
        <v>43951USD</v>
      </c>
      <c r="B1361" s="6" t="s">
        <v>18</v>
      </c>
      <c r="C1361" s="6">
        <v>99.06</v>
      </c>
      <c r="D1361" s="6">
        <v>100.97</v>
      </c>
      <c r="E1361" s="6">
        <v>99.64</v>
      </c>
      <c r="F1361" t="str">
        <f t="shared" si="589"/>
        <v>THU</v>
      </c>
      <c r="G1361" s="3">
        <f t="shared" si="590"/>
        <v>43951</v>
      </c>
      <c r="H1361" s="2">
        <f t="shared" ca="1" si="591"/>
        <v>302</v>
      </c>
      <c r="I1361" t="str">
        <f t="shared" si="592"/>
        <v>USD</v>
      </c>
      <c r="J1361">
        <f t="shared" si="593"/>
        <v>99.06</v>
      </c>
      <c r="K1361">
        <f t="shared" si="594"/>
        <v>100.97</v>
      </c>
      <c r="L1361">
        <f t="shared" si="595"/>
        <v>100.015</v>
      </c>
      <c r="M1361">
        <f t="shared" si="596"/>
        <v>0.95499999999999829</v>
      </c>
      <c r="N1361">
        <f t="shared" si="586"/>
        <v>1.9099999999999966</v>
      </c>
      <c r="O1361">
        <f t="shared" si="597"/>
        <v>99.64</v>
      </c>
      <c r="P1361">
        <f t="shared" si="598"/>
        <v>-0.39267015706806352</v>
      </c>
      <c r="Q1361" t="str">
        <f t="shared" si="587"/>
        <v>0.58% | 1.33%</v>
      </c>
      <c r="R1361" t="str">
        <f t="shared" si="599"/>
        <v>BULLISH</v>
      </c>
      <c r="S1361">
        <f t="shared" si="588"/>
        <v>1</v>
      </c>
    </row>
    <row r="1362" spans="1:19" hidden="1" x14ac:dyDescent="0.25">
      <c r="A1362" s="5" t="str">
        <f t="shared" si="585"/>
        <v>43951EUR/USD</v>
      </c>
      <c r="B1362" s="6" t="s">
        <v>19</v>
      </c>
      <c r="C1362" s="6">
        <v>1.07</v>
      </c>
      <c r="D1362" s="6">
        <v>1.0900000000000001</v>
      </c>
      <c r="E1362" s="6">
        <v>1.08</v>
      </c>
      <c r="F1362" t="str">
        <f t="shared" si="589"/>
        <v>THU</v>
      </c>
      <c r="G1362" s="3">
        <f t="shared" si="590"/>
        <v>43951</v>
      </c>
      <c r="H1362" s="2">
        <f t="shared" ca="1" si="591"/>
        <v>302</v>
      </c>
      <c r="I1362" t="str">
        <f t="shared" si="592"/>
        <v>EUR/USD</v>
      </c>
      <c r="J1362">
        <f t="shared" si="593"/>
        <v>1.07</v>
      </c>
      <c r="K1362">
        <f t="shared" si="594"/>
        <v>1.0900000000000001</v>
      </c>
      <c r="L1362">
        <f t="shared" si="595"/>
        <v>1.08</v>
      </c>
      <c r="M1362">
        <f t="shared" si="596"/>
        <v>1.0000000000000009E-2</v>
      </c>
      <c r="N1362">
        <f t="shared" si="586"/>
        <v>2.0000000000000018E-2</v>
      </c>
      <c r="O1362">
        <f t="shared" si="597"/>
        <v>1.08</v>
      </c>
      <c r="P1362">
        <f t="shared" si="598"/>
        <v>0</v>
      </c>
      <c r="Q1362" t="str">
        <f t="shared" si="587"/>
        <v>0.93% | 0.93%</v>
      </c>
      <c r="R1362" t="str">
        <f t="shared" si="599"/>
        <v>BEARISH</v>
      </c>
      <c r="S1362">
        <f t="shared" si="588"/>
        <v>-1</v>
      </c>
    </row>
    <row r="1363" spans="1:19" hidden="1" x14ac:dyDescent="0.25">
      <c r="A1363" s="5" t="str">
        <f t="shared" si="585"/>
        <v>43951USD/JPY</v>
      </c>
      <c r="B1363" s="6" t="s">
        <v>20</v>
      </c>
      <c r="C1363" s="6">
        <v>105.9</v>
      </c>
      <c r="D1363" s="6">
        <v>108.4</v>
      </c>
      <c r="E1363" s="6">
        <v>106.64</v>
      </c>
      <c r="F1363" t="str">
        <f t="shared" si="589"/>
        <v>THU</v>
      </c>
      <c r="G1363" s="3">
        <f t="shared" si="590"/>
        <v>43951</v>
      </c>
      <c r="H1363" s="2">
        <f t="shared" ca="1" si="591"/>
        <v>302</v>
      </c>
      <c r="I1363" t="str">
        <f t="shared" si="592"/>
        <v>USD/JPY</v>
      </c>
      <c r="J1363">
        <f t="shared" si="593"/>
        <v>105.9</v>
      </c>
      <c r="K1363">
        <f t="shared" si="594"/>
        <v>108.4</v>
      </c>
      <c r="L1363">
        <f t="shared" si="595"/>
        <v>107.15</v>
      </c>
      <c r="M1363">
        <f t="shared" si="596"/>
        <v>1.25</v>
      </c>
      <c r="N1363">
        <f t="shared" si="586"/>
        <v>2.5</v>
      </c>
      <c r="O1363">
        <f t="shared" si="597"/>
        <v>106.64</v>
      </c>
      <c r="P1363">
        <f t="shared" si="598"/>
        <v>-0.40800000000000408</v>
      </c>
      <c r="Q1363" t="str">
        <f t="shared" si="587"/>
        <v>0.69% | 1.65%</v>
      </c>
      <c r="R1363" t="str">
        <f t="shared" si="599"/>
        <v>BEARISH</v>
      </c>
      <c r="S1363">
        <f t="shared" si="588"/>
        <v>-1</v>
      </c>
    </row>
    <row r="1364" spans="1:19" hidden="1" x14ac:dyDescent="0.25">
      <c r="A1364" s="5" t="str">
        <f t="shared" si="585"/>
        <v>43951GBP/USD</v>
      </c>
      <c r="B1364" s="6" t="s">
        <v>21</v>
      </c>
      <c r="C1364" s="6">
        <v>1.22</v>
      </c>
      <c r="D1364" s="6">
        <v>1.25</v>
      </c>
      <c r="E1364" s="6">
        <v>1.25</v>
      </c>
      <c r="F1364" t="str">
        <f t="shared" si="589"/>
        <v>THU</v>
      </c>
      <c r="G1364" s="3">
        <f t="shared" si="590"/>
        <v>43951</v>
      </c>
      <c r="H1364" s="2">
        <f t="shared" ca="1" si="591"/>
        <v>302</v>
      </c>
      <c r="I1364" t="str">
        <f t="shared" si="592"/>
        <v>GBP/USD</v>
      </c>
      <c r="J1364">
        <f t="shared" si="593"/>
        <v>1.22</v>
      </c>
      <c r="K1364">
        <f t="shared" si="594"/>
        <v>1.25</v>
      </c>
      <c r="L1364">
        <f t="shared" si="595"/>
        <v>1.2349999999999999</v>
      </c>
      <c r="M1364">
        <f t="shared" si="596"/>
        <v>1.5000000000000013E-2</v>
      </c>
      <c r="N1364">
        <f t="shared" si="586"/>
        <v>3.0000000000000027E-2</v>
      </c>
      <c r="O1364">
        <f t="shared" si="597"/>
        <v>1.25</v>
      </c>
      <c r="P1364">
        <f t="shared" si="598"/>
        <v>1.0000000000000073</v>
      </c>
      <c r="Q1364" t="str">
        <f t="shared" si="587"/>
        <v>2.4% | 0%</v>
      </c>
      <c r="R1364" t="str">
        <f t="shared" si="599"/>
        <v>BEARISH</v>
      </c>
      <c r="S1364">
        <f t="shared" si="588"/>
        <v>-1</v>
      </c>
    </row>
    <row r="1365" spans="1:19" hidden="1" x14ac:dyDescent="0.25">
      <c r="A1365" s="5" t="str">
        <f t="shared" si="585"/>
        <v>43951USD/CHF</v>
      </c>
      <c r="B1365" s="6" t="s">
        <v>22</v>
      </c>
      <c r="C1365" s="6">
        <v>0.96</v>
      </c>
      <c r="D1365" s="6">
        <v>0.98</v>
      </c>
      <c r="E1365" s="6">
        <v>0.97</v>
      </c>
      <c r="F1365" t="str">
        <f t="shared" si="589"/>
        <v>THU</v>
      </c>
      <c r="G1365" s="3">
        <f t="shared" si="590"/>
        <v>43951</v>
      </c>
      <c r="H1365" s="2">
        <f t="shared" ca="1" si="591"/>
        <v>302</v>
      </c>
      <c r="I1365" t="str">
        <f t="shared" si="592"/>
        <v>USD/CHF</v>
      </c>
      <c r="J1365">
        <f t="shared" si="593"/>
        <v>0.96</v>
      </c>
      <c r="K1365">
        <f t="shared" si="594"/>
        <v>0.98</v>
      </c>
      <c r="L1365">
        <f t="shared" si="595"/>
        <v>0.97</v>
      </c>
      <c r="M1365">
        <f t="shared" si="596"/>
        <v>1.0000000000000009E-2</v>
      </c>
      <c r="N1365">
        <f t="shared" si="586"/>
        <v>2.0000000000000018E-2</v>
      </c>
      <c r="O1365">
        <f t="shared" si="597"/>
        <v>0.97</v>
      </c>
      <c r="P1365">
        <f t="shared" si="598"/>
        <v>0</v>
      </c>
      <c r="Q1365" t="str">
        <f t="shared" si="587"/>
        <v>1.03% | 1.03%</v>
      </c>
      <c r="R1365" t="str">
        <f t="shared" si="599"/>
        <v>NEUTRAL</v>
      </c>
      <c r="S1365">
        <f t="shared" si="588"/>
        <v>0</v>
      </c>
    </row>
    <row r="1366" spans="1:19" hidden="1" x14ac:dyDescent="0.25">
      <c r="A1366" s="5" t="str">
        <f t="shared" si="585"/>
        <v>43951WTIC</v>
      </c>
      <c r="B1366" s="6" t="s">
        <v>23</v>
      </c>
      <c r="C1366" s="6">
        <v>7.74</v>
      </c>
      <c r="D1366" s="6">
        <v>20.51</v>
      </c>
      <c r="E1366" s="6">
        <v>15.06</v>
      </c>
      <c r="F1366" t="str">
        <f t="shared" si="589"/>
        <v>THU</v>
      </c>
      <c r="G1366" s="3">
        <f t="shared" si="590"/>
        <v>43951</v>
      </c>
      <c r="H1366" s="2">
        <f t="shared" ca="1" si="591"/>
        <v>302</v>
      </c>
      <c r="I1366" t="str">
        <f t="shared" si="592"/>
        <v>WTIC</v>
      </c>
      <c r="J1366">
        <f t="shared" si="593"/>
        <v>7.74</v>
      </c>
      <c r="K1366">
        <f t="shared" si="594"/>
        <v>20.51</v>
      </c>
      <c r="L1366">
        <f t="shared" si="595"/>
        <v>14.125</v>
      </c>
      <c r="M1366">
        <f t="shared" si="596"/>
        <v>6.3850000000000025</v>
      </c>
      <c r="N1366">
        <f t="shared" si="586"/>
        <v>12.770000000000001</v>
      </c>
      <c r="O1366">
        <f t="shared" si="597"/>
        <v>15.06</v>
      </c>
      <c r="P1366">
        <f t="shared" si="598"/>
        <v>0.14643696162881756</v>
      </c>
      <c r="Q1366" t="str">
        <f t="shared" si="587"/>
        <v>48.61% | 36.19%</v>
      </c>
      <c r="R1366" t="str">
        <f t="shared" si="599"/>
        <v>BEARISH</v>
      </c>
      <c r="S1366">
        <f t="shared" si="588"/>
        <v>-1</v>
      </c>
    </row>
    <row r="1367" spans="1:19" hidden="1" x14ac:dyDescent="0.25">
      <c r="A1367" s="5" t="str">
        <f t="shared" si="585"/>
        <v>43951NATGAS</v>
      </c>
      <c r="B1367" s="6" t="s">
        <v>24</v>
      </c>
      <c r="C1367" s="6">
        <v>1.65</v>
      </c>
      <c r="D1367" s="6">
        <v>2.0499999999999998</v>
      </c>
      <c r="E1367" s="6">
        <v>1.87</v>
      </c>
      <c r="F1367" t="str">
        <f t="shared" si="589"/>
        <v>THU</v>
      </c>
      <c r="G1367" s="3">
        <f t="shared" si="590"/>
        <v>43951</v>
      </c>
      <c r="H1367" s="2">
        <f t="shared" ca="1" si="591"/>
        <v>302</v>
      </c>
      <c r="I1367" t="str">
        <f t="shared" si="592"/>
        <v>NATGAS</v>
      </c>
      <c r="J1367">
        <f t="shared" si="593"/>
        <v>1.65</v>
      </c>
      <c r="K1367">
        <f t="shared" si="594"/>
        <v>2.0499999999999998</v>
      </c>
      <c r="L1367">
        <f t="shared" si="595"/>
        <v>1.8499999999999999</v>
      </c>
      <c r="M1367">
        <f t="shared" si="596"/>
        <v>0.20000000000000009</v>
      </c>
      <c r="N1367">
        <f t="shared" si="586"/>
        <v>0.39999999999999991</v>
      </c>
      <c r="O1367">
        <f t="shared" si="597"/>
        <v>1.87</v>
      </c>
      <c r="P1367">
        <f t="shared" si="598"/>
        <v>0.10000000000000116</v>
      </c>
      <c r="Q1367" t="str">
        <f t="shared" si="587"/>
        <v>11.76% | 9.63%</v>
      </c>
      <c r="R1367" t="str">
        <f t="shared" si="599"/>
        <v>BEARISH</v>
      </c>
      <c r="S1367">
        <f t="shared" si="588"/>
        <v>-1</v>
      </c>
    </row>
    <row r="1368" spans="1:19" hidden="1" x14ac:dyDescent="0.25">
      <c r="A1368" s="5" t="str">
        <f t="shared" si="585"/>
        <v>43951GOLD</v>
      </c>
      <c r="B1368" s="6" t="s">
        <v>25</v>
      </c>
      <c r="C1368" s="6">
        <v>1689</v>
      </c>
      <c r="D1368" s="6">
        <v>1765</v>
      </c>
      <c r="E1368" s="6">
        <v>1713</v>
      </c>
      <c r="F1368" t="str">
        <f t="shared" si="589"/>
        <v>THU</v>
      </c>
      <c r="G1368" s="3">
        <f t="shared" si="590"/>
        <v>43951</v>
      </c>
      <c r="H1368" s="2">
        <f t="shared" ca="1" si="591"/>
        <v>302</v>
      </c>
      <c r="I1368" t="str">
        <f t="shared" si="592"/>
        <v>GOLD</v>
      </c>
      <c r="J1368">
        <f t="shared" si="593"/>
        <v>1689</v>
      </c>
      <c r="K1368">
        <f t="shared" si="594"/>
        <v>1765</v>
      </c>
      <c r="L1368">
        <f t="shared" si="595"/>
        <v>1727</v>
      </c>
      <c r="M1368">
        <f t="shared" si="596"/>
        <v>38</v>
      </c>
      <c r="N1368">
        <f t="shared" si="586"/>
        <v>76</v>
      </c>
      <c r="O1368">
        <f t="shared" si="597"/>
        <v>1713</v>
      </c>
      <c r="P1368">
        <f t="shared" si="598"/>
        <v>-0.36842105263157893</v>
      </c>
      <c r="Q1368" t="str">
        <f t="shared" si="587"/>
        <v>1.4% | 3.04%</v>
      </c>
      <c r="R1368" t="str">
        <f t="shared" si="599"/>
        <v>BULLISH</v>
      </c>
      <c r="S1368">
        <f t="shared" si="588"/>
        <v>1</v>
      </c>
    </row>
    <row r="1369" spans="1:19" hidden="1" x14ac:dyDescent="0.25">
      <c r="A1369" s="5" t="str">
        <f t="shared" si="585"/>
        <v>43951COPPER</v>
      </c>
      <c r="B1369" s="6" t="s">
        <v>26</v>
      </c>
      <c r="C1369" s="6">
        <v>2.2400000000000002</v>
      </c>
      <c r="D1369" s="6">
        <v>2.4</v>
      </c>
      <c r="E1369" s="6">
        <v>2.37</v>
      </c>
      <c r="F1369" t="str">
        <f t="shared" si="589"/>
        <v>THU</v>
      </c>
      <c r="G1369" s="3">
        <f t="shared" si="590"/>
        <v>43951</v>
      </c>
      <c r="H1369" s="2">
        <f t="shared" ca="1" si="591"/>
        <v>302</v>
      </c>
      <c r="I1369" t="str">
        <f t="shared" si="592"/>
        <v>COPPER</v>
      </c>
      <c r="J1369">
        <f t="shared" si="593"/>
        <v>2.2400000000000002</v>
      </c>
      <c r="K1369">
        <f t="shared" si="594"/>
        <v>2.4</v>
      </c>
      <c r="L1369">
        <f t="shared" si="595"/>
        <v>2.3200000000000003</v>
      </c>
      <c r="M1369">
        <f t="shared" si="596"/>
        <v>7.9999999999999849E-2</v>
      </c>
      <c r="N1369">
        <f t="shared" si="586"/>
        <v>0.1599999999999997</v>
      </c>
      <c r="O1369">
        <f t="shared" si="597"/>
        <v>2.37</v>
      </c>
      <c r="P1369">
        <f t="shared" si="598"/>
        <v>0.624999999999999</v>
      </c>
      <c r="Q1369" t="str">
        <f t="shared" si="587"/>
        <v>5.49% | 1.27%</v>
      </c>
      <c r="R1369" t="str">
        <f t="shared" si="599"/>
        <v>BEARISH</v>
      </c>
      <c r="S1369">
        <f t="shared" si="588"/>
        <v>-1</v>
      </c>
    </row>
    <row r="1370" spans="1:19" hidden="1" x14ac:dyDescent="0.25">
      <c r="A1370" s="5" t="str">
        <f t="shared" si="585"/>
        <v>43951MSFT</v>
      </c>
      <c r="B1370" s="6" t="s">
        <v>27</v>
      </c>
      <c r="C1370" s="6">
        <v>167</v>
      </c>
      <c r="D1370" s="6">
        <v>190</v>
      </c>
      <c r="E1370" s="6">
        <v>177</v>
      </c>
      <c r="F1370" t="str">
        <f t="shared" si="589"/>
        <v>THU</v>
      </c>
      <c r="G1370" s="3">
        <f t="shared" si="590"/>
        <v>43951</v>
      </c>
      <c r="H1370" s="2">
        <f t="shared" ca="1" si="591"/>
        <v>302</v>
      </c>
      <c r="I1370" t="str">
        <f t="shared" si="592"/>
        <v>MSFT</v>
      </c>
      <c r="J1370">
        <f t="shared" si="593"/>
        <v>167</v>
      </c>
      <c r="K1370">
        <f t="shared" si="594"/>
        <v>190</v>
      </c>
      <c r="L1370">
        <f t="shared" si="595"/>
        <v>178.5</v>
      </c>
      <c r="M1370">
        <f t="shared" si="596"/>
        <v>11.5</v>
      </c>
      <c r="N1370">
        <f t="shared" si="586"/>
        <v>23</v>
      </c>
      <c r="O1370">
        <f t="shared" si="597"/>
        <v>177</v>
      </c>
      <c r="P1370">
        <f t="shared" si="598"/>
        <v>-0.13043478260869565</v>
      </c>
      <c r="Q1370" t="str">
        <f t="shared" si="587"/>
        <v>5.65% | 7.34%</v>
      </c>
      <c r="R1370" t="str">
        <f t="shared" si="599"/>
        <v>BULLISH</v>
      </c>
      <c r="S1370">
        <f t="shared" si="588"/>
        <v>1</v>
      </c>
    </row>
    <row r="1371" spans="1:19" hidden="1" x14ac:dyDescent="0.25">
      <c r="A1371" s="5" t="str">
        <f t="shared" si="585"/>
        <v>43951AAPL</v>
      </c>
      <c r="B1371" s="6" t="s">
        <v>63</v>
      </c>
      <c r="C1371" s="6">
        <v>267</v>
      </c>
      <c r="D1371" s="6">
        <v>292</v>
      </c>
      <c r="E1371" s="6">
        <v>287</v>
      </c>
      <c r="F1371" t="str">
        <f t="shared" si="589"/>
        <v>THU</v>
      </c>
      <c r="G1371" s="3">
        <f t="shared" si="590"/>
        <v>43951</v>
      </c>
      <c r="H1371" s="2">
        <f t="shared" ca="1" si="591"/>
        <v>302</v>
      </c>
      <c r="I1371" t="str">
        <f t="shared" si="592"/>
        <v>AAPL</v>
      </c>
      <c r="J1371">
        <f t="shared" si="593"/>
        <v>267</v>
      </c>
      <c r="K1371">
        <f t="shared" si="594"/>
        <v>292</v>
      </c>
      <c r="L1371">
        <f t="shared" si="595"/>
        <v>279.5</v>
      </c>
      <c r="M1371">
        <f t="shared" si="596"/>
        <v>12.5</v>
      </c>
      <c r="N1371">
        <f t="shared" si="586"/>
        <v>25</v>
      </c>
      <c r="O1371">
        <f t="shared" si="597"/>
        <v>287</v>
      </c>
      <c r="P1371">
        <f t="shared" si="598"/>
        <v>0.6</v>
      </c>
      <c r="Q1371" t="str">
        <f t="shared" si="587"/>
        <v>6.97% | 1.74%</v>
      </c>
      <c r="R1371" t="str">
        <f t="shared" si="599"/>
        <v>NEUTRAL</v>
      </c>
      <c r="S1371">
        <f t="shared" si="588"/>
        <v>0</v>
      </c>
    </row>
    <row r="1372" spans="1:19" hidden="1" x14ac:dyDescent="0.25">
      <c r="A1372" s="5" t="str">
        <f t="shared" si="585"/>
        <v>43951AMZN</v>
      </c>
      <c r="B1372" s="6" t="s">
        <v>29</v>
      </c>
      <c r="C1372" s="6">
        <v>2311</v>
      </c>
      <c r="D1372" s="6">
        <v>2435</v>
      </c>
      <c r="E1372" s="6">
        <v>2372</v>
      </c>
      <c r="F1372" t="str">
        <f t="shared" si="589"/>
        <v>THU</v>
      </c>
      <c r="G1372" s="3">
        <f t="shared" si="590"/>
        <v>43951</v>
      </c>
      <c r="H1372" s="2">
        <f t="shared" ca="1" si="591"/>
        <v>302</v>
      </c>
      <c r="I1372" t="str">
        <f t="shared" si="592"/>
        <v>AMZN</v>
      </c>
      <c r="J1372">
        <f t="shared" si="593"/>
        <v>2311</v>
      </c>
      <c r="K1372">
        <f t="shared" si="594"/>
        <v>2435</v>
      </c>
      <c r="L1372">
        <f t="shared" si="595"/>
        <v>2373</v>
      </c>
      <c r="M1372">
        <f t="shared" si="596"/>
        <v>62</v>
      </c>
      <c r="N1372">
        <f t="shared" si="586"/>
        <v>124</v>
      </c>
      <c r="O1372">
        <f t="shared" si="597"/>
        <v>2372</v>
      </c>
      <c r="P1372">
        <f t="shared" si="598"/>
        <v>-1.6129032258064516E-2</v>
      </c>
      <c r="Q1372" t="str">
        <f t="shared" si="587"/>
        <v>2.57% | 2.66%</v>
      </c>
      <c r="R1372" t="str">
        <f t="shared" si="599"/>
        <v>BULLISH</v>
      </c>
      <c r="S1372">
        <f t="shared" si="588"/>
        <v>1</v>
      </c>
    </row>
    <row r="1373" spans="1:19" hidden="1" x14ac:dyDescent="0.25">
      <c r="A1373" s="5" t="str">
        <f t="shared" si="585"/>
        <v>43951FB</v>
      </c>
      <c r="B1373" s="6" t="s">
        <v>30</v>
      </c>
      <c r="C1373" s="6">
        <v>177</v>
      </c>
      <c r="D1373" s="6">
        <v>205</v>
      </c>
      <c r="E1373" s="6">
        <v>194</v>
      </c>
      <c r="F1373" t="str">
        <f t="shared" si="589"/>
        <v>THU</v>
      </c>
      <c r="G1373" s="3">
        <f t="shared" si="590"/>
        <v>43951</v>
      </c>
      <c r="H1373" s="2">
        <f t="shared" ca="1" si="591"/>
        <v>302</v>
      </c>
      <c r="I1373" t="str">
        <f t="shared" si="592"/>
        <v>FB</v>
      </c>
      <c r="J1373">
        <f t="shared" si="593"/>
        <v>177</v>
      </c>
      <c r="K1373">
        <f t="shared" si="594"/>
        <v>205</v>
      </c>
      <c r="L1373">
        <f t="shared" si="595"/>
        <v>191</v>
      </c>
      <c r="M1373">
        <f t="shared" si="596"/>
        <v>14</v>
      </c>
      <c r="N1373">
        <f t="shared" si="586"/>
        <v>28</v>
      </c>
      <c r="O1373">
        <f t="shared" si="597"/>
        <v>194</v>
      </c>
      <c r="P1373">
        <f t="shared" si="598"/>
        <v>0.21428571428571427</v>
      </c>
      <c r="Q1373" t="str">
        <f t="shared" si="587"/>
        <v>8.76% | 5.67%</v>
      </c>
      <c r="R1373" t="str">
        <f t="shared" si="599"/>
        <v>BULLISH</v>
      </c>
      <c r="S1373">
        <f t="shared" si="588"/>
        <v>1</v>
      </c>
    </row>
    <row r="1374" spans="1:19" hidden="1" x14ac:dyDescent="0.25">
      <c r="A1374" s="5" t="str">
        <f t="shared" si="585"/>
        <v>43951GOOGL</v>
      </c>
      <c r="B1374" s="6" t="s">
        <v>31</v>
      </c>
      <c r="C1374" s="6">
        <v>1236</v>
      </c>
      <c r="D1374" s="6">
        <v>1375</v>
      </c>
      <c r="E1374" s="6">
        <v>1342</v>
      </c>
      <c r="F1374" t="str">
        <f t="shared" si="589"/>
        <v>THU</v>
      </c>
      <c r="G1374" s="3">
        <f t="shared" si="590"/>
        <v>43951</v>
      </c>
      <c r="H1374" s="2">
        <f t="shared" ca="1" si="591"/>
        <v>302</v>
      </c>
      <c r="I1374" t="str">
        <f t="shared" si="592"/>
        <v>GOOGL</v>
      </c>
      <c r="J1374">
        <f t="shared" si="593"/>
        <v>1236</v>
      </c>
      <c r="K1374">
        <f t="shared" si="594"/>
        <v>1375</v>
      </c>
      <c r="L1374">
        <f t="shared" si="595"/>
        <v>1305.5</v>
      </c>
      <c r="M1374">
        <f t="shared" si="596"/>
        <v>69.5</v>
      </c>
      <c r="N1374">
        <f t="shared" si="586"/>
        <v>139</v>
      </c>
      <c r="O1374">
        <f t="shared" si="597"/>
        <v>1342</v>
      </c>
      <c r="P1374">
        <f t="shared" si="598"/>
        <v>0.52517985611510787</v>
      </c>
      <c r="Q1374" t="str">
        <f t="shared" si="587"/>
        <v>7.9% | 2.46%</v>
      </c>
      <c r="R1374" t="str">
        <f t="shared" si="599"/>
        <v>BULLISH</v>
      </c>
      <c r="S1374">
        <f t="shared" si="588"/>
        <v>1</v>
      </c>
    </row>
    <row r="1375" spans="1:19" hidden="1" x14ac:dyDescent="0.25">
      <c r="A1375" s="5" t="str">
        <f t="shared" si="585"/>
        <v>43951NFLX</v>
      </c>
      <c r="B1375" s="6" t="s">
        <v>32</v>
      </c>
      <c r="C1375" s="6">
        <v>397</v>
      </c>
      <c r="D1375" s="6">
        <v>444</v>
      </c>
      <c r="E1375" s="6">
        <v>411</v>
      </c>
      <c r="F1375" t="str">
        <f t="shared" si="589"/>
        <v>THU</v>
      </c>
      <c r="G1375" s="3">
        <f t="shared" si="590"/>
        <v>43951</v>
      </c>
      <c r="H1375" s="2">
        <f t="shared" ca="1" si="591"/>
        <v>302</v>
      </c>
      <c r="I1375" t="str">
        <f t="shared" si="592"/>
        <v>NFLX</v>
      </c>
      <c r="J1375">
        <f t="shared" si="593"/>
        <v>397</v>
      </c>
      <c r="K1375">
        <f t="shared" si="594"/>
        <v>444</v>
      </c>
      <c r="L1375">
        <f t="shared" si="595"/>
        <v>420.5</v>
      </c>
      <c r="M1375">
        <f t="shared" si="596"/>
        <v>23.5</v>
      </c>
      <c r="N1375">
        <f t="shared" si="586"/>
        <v>47</v>
      </c>
      <c r="O1375">
        <f t="shared" si="597"/>
        <v>411</v>
      </c>
      <c r="P1375">
        <f t="shared" si="598"/>
        <v>-0.40425531914893614</v>
      </c>
      <c r="Q1375" t="str">
        <f t="shared" si="587"/>
        <v>3.41% | 8.03%</v>
      </c>
      <c r="R1375" t="str">
        <f t="shared" si="599"/>
        <v>BULLISH</v>
      </c>
      <c r="S1375">
        <f t="shared" si="588"/>
        <v>1</v>
      </c>
    </row>
    <row r="1376" spans="1:19" x14ac:dyDescent="0.25">
      <c r="A1376" s="5" t="str">
        <f t="shared" si="585"/>
        <v>43951TSLA</v>
      </c>
      <c r="B1376" s="6" t="s">
        <v>33</v>
      </c>
      <c r="C1376" s="6">
        <v>674</v>
      </c>
      <c r="D1376" s="6">
        <v>876</v>
      </c>
      <c r="E1376" s="6">
        <v>800</v>
      </c>
      <c r="F1376" t="str">
        <f t="shared" si="589"/>
        <v>THU</v>
      </c>
      <c r="G1376" s="3">
        <f t="shared" si="590"/>
        <v>43951</v>
      </c>
      <c r="H1376" s="2">
        <f t="shared" ca="1" si="591"/>
        <v>302</v>
      </c>
      <c r="I1376" t="str">
        <f t="shared" si="592"/>
        <v>TSLA</v>
      </c>
      <c r="J1376">
        <f t="shared" si="593"/>
        <v>674</v>
      </c>
      <c r="K1376">
        <f t="shared" si="594"/>
        <v>876</v>
      </c>
      <c r="L1376">
        <f t="shared" si="595"/>
        <v>775</v>
      </c>
      <c r="M1376">
        <f t="shared" si="596"/>
        <v>101</v>
      </c>
      <c r="N1376">
        <f t="shared" si="586"/>
        <v>202</v>
      </c>
      <c r="O1376">
        <f t="shared" si="597"/>
        <v>800</v>
      </c>
      <c r="P1376">
        <f t="shared" si="598"/>
        <v>0.24752475247524752</v>
      </c>
      <c r="Q1376" t="str">
        <f t="shared" si="587"/>
        <v>15.75% | 9.5%</v>
      </c>
      <c r="R1376" t="str">
        <f t="shared" si="599"/>
        <v>BULLISH</v>
      </c>
      <c r="S1376">
        <f t="shared" si="588"/>
        <v>1</v>
      </c>
    </row>
    <row r="1377" spans="1:19" hidden="1" x14ac:dyDescent="0.25">
      <c r="A1377" s="5" t="str">
        <f t="shared" si="585"/>
        <v>43951NYXBT</v>
      </c>
      <c r="B1377" s="6" t="s">
        <v>34</v>
      </c>
      <c r="C1377" s="6">
        <v>7199</v>
      </c>
      <c r="D1377" s="6">
        <v>8507</v>
      </c>
      <c r="E1377" s="6">
        <v>8350</v>
      </c>
      <c r="F1377" t="str">
        <f t="shared" si="589"/>
        <v>THU</v>
      </c>
      <c r="G1377" s="3">
        <f t="shared" si="590"/>
        <v>43951</v>
      </c>
      <c r="H1377" s="2">
        <f t="shared" ca="1" si="591"/>
        <v>302</v>
      </c>
      <c r="I1377" t="str">
        <f t="shared" si="592"/>
        <v>NYXBT</v>
      </c>
      <c r="J1377">
        <f t="shared" si="593"/>
        <v>7199</v>
      </c>
      <c r="K1377">
        <f t="shared" si="594"/>
        <v>8507</v>
      </c>
      <c r="L1377">
        <f t="shared" si="595"/>
        <v>7853</v>
      </c>
      <c r="M1377">
        <f t="shared" si="596"/>
        <v>654</v>
      </c>
      <c r="N1377">
        <f t="shared" si="586"/>
        <v>1308</v>
      </c>
      <c r="O1377">
        <f t="shared" si="597"/>
        <v>8350</v>
      </c>
      <c r="P1377">
        <f t="shared" si="598"/>
        <v>0.75993883792048933</v>
      </c>
      <c r="Q1377" t="str">
        <f t="shared" si="587"/>
        <v>13.78% | 1.88%</v>
      </c>
      <c r="R1377" t="str">
        <f t="shared" si="599"/>
        <v>BULLISH</v>
      </c>
      <c r="S1377">
        <f t="shared" si="588"/>
        <v>1</v>
      </c>
    </row>
    <row r="1378" spans="1:19" hidden="1" x14ac:dyDescent="0.25">
      <c r="A1378" s="5" t="str">
        <f t="shared" si="585"/>
        <v>43952UST10Y</v>
      </c>
      <c r="B1378" s="6" t="s">
        <v>4</v>
      </c>
      <c r="C1378" s="6">
        <v>0.67</v>
      </c>
      <c r="D1378" s="6">
        <v>0.56000000000000005</v>
      </c>
      <c r="E1378" s="6">
        <v>0.64</v>
      </c>
      <c r="F1378" t="str">
        <f t="shared" si="589"/>
        <v>FRI</v>
      </c>
      <c r="G1378" s="1">
        <f>DATE(2020,5,1)</f>
        <v>43952</v>
      </c>
      <c r="H1378" s="2">
        <f t="shared" ca="1" si="591"/>
        <v>301</v>
      </c>
      <c r="I1378" t="str">
        <f t="shared" si="592"/>
        <v>UST10Y</v>
      </c>
      <c r="J1378">
        <f t="shared" si="593"/>
        <v>0.67</v>
      </c>
      <c r="K1378">
        <f t="shared" si="594"/>
        <v>0.56000000000000005</v>
      </c>
      <c r="L1378">
        <f t="shared" si="595"/>
        <v>0.61499999999999999</v>
      </c>
      <c r="M1378">
        <f t="shared" si="596"/>
        <v>5.4999999999999993E-2</v>
      </c>
      <c r="N1378">
        <f t="shared" si="586"/>
        <v>0.10999999999999999</v>
      </c>
      <c r="O1378">
        <f t="shared" si="597"/>
        <v>0.64</v>
      </c>
      <c r="P1378">
        <f t="shared" si="598"/>
        <v>0.45454545454545503</v>
      </c>
      <c r="Q1378" t="str">
        <f t="shared" si="587"/>
        <v>4.69% | 12.5%</v>
      </c>
      <c r="R1378" t="str">
        <f t="shared" si="599"/>
        <v>BEARISH</v>
      </c>
      <c r="S1378">
        <f t="shared" si="588"/>
        <v>-1</v>
      </c>
    </row>
    <row r="1379" spans="1:19" hidden="1" x14ac:dyDescent="0.25">
      <c r="A1379" s="5" t="str">
        <f t="shared" si="585"/>
        <v>43952UST2Y</v>
      </c>
      <c r="B1379" s="6" t="s">
        <v>5</v>
      </c>
      <c r="C1379" s="6">
        <v>0.23</v>
      </c>
      <c r="D1379" s="6">
        <v>0.16</v>
      </c>
      <c r="E1379" s="6">
        <v>0.2</v>
      </c>
      <c r="F1379" t="str">
        <f t="shared" ref="F1379:F1409" si="600">UPPER(TEXT(G1379,"ddd"))</f>
        <v>FRI</v>
      </c>
      <c r="G1379" s="1">
        <f t="shared" ref="G1379:G1408" si="601">DATE(2020,5,1)</f>
        <v>43952</v>
      </c>
      <c r="H1379" s="2">
        <f t="shared" ref="H1379:H1409" ca="1" si="602">TODAY()-G1379</f>
        <v>301</v>
      </c>
      <c r="I1379" t="str">
        <f t="shared" ref="I1379:I1409" si="603">TRIM(LEFT(B1379,FIND(" ",B1379,1)))</f>
        <v>UST2Y</v>
      </c>
      <c r="J1379">
        <f t="shared" ref="J1379:J1409" si="604">C1379</f>
        <v>0.23</v>
      </c>
      <c r="K1379">
        <f t="shared" ref="K1379:K1409" si="605">D1379</f>
        <v>0.16</v>
      </c>
      <c r="L1379">
        <f t="shared" ref="L1379:L1409" si="606">AVERAGE(J1379:K1379)</f>
        <v>0.19500000000000001</v>
      </c>
      <c r="M1379">
        <f t="shared" ref="M1379:M1409" si="607">_xlfn.STDEV.P(J1379:K1379)</f>
        <v>3.4999999999999955E-2</v>
      </c>
      <c r="N1379">
        <f t="shared" si="586"/>
        <v>7.0000000000000007E-2</v>
      </c>
      <c r="O1379">
        <f t="shared" ref="O1379:O1409" si="608">E1379</f>
        <v>0.2</v>
      </c>
      <c r="P1379">
        <f t="shared" ref="P1379:P1409" si="609">(O1379-L1379)/M1379</f>
        <v>0.14285714285714318</v>
      </c>
      <c r="Q1379" t="str">
        <f t="shared" si="587"/>
        <v>15% | 20%</v>
      </c>
      <c r="R1379" t="str">
        <f t="shared" ref="R1379:R1409" si="610">MID(B1379,FIND("(",B1379,1)+1,FIND(")",B1379,1)-FIND("(",B1379,1)-1)</f>
        <v>BEARISH</v>
      </c>
      <c r="S1379">
        <f t="shared" si="588"/>
        <v>-1</v>
      </c>
    </row>
    <row r="1380" spans="1:19" hidden="1" x14ac:dyDescent="0.25">
      <c r="A1380" s="5" t="str">
        <f t="shared" si="585"/>
        <v>43952SPX</v>
      </c>
      <c r="B1380" s="6" t="s">
        <v>6</v>
      </c>
      <c r="C1380" s="6">
        <v>2726</v>
      </c>
      <c r="D1380" s="6">
        <v>2959</v>
      </c>
      <c r="E1380" s="6">
        <v>2912</v>
      </c>
      <c r="F1380" t="str">
        <f t="shared" si="600"/>
        <v>FRI</v>
      </c>
      <c r="G1380" s="1">
        <f t="shared" si="601"/>
        <v>43952</v>
      </c>
      <c r="H1380" s="2">
        <f t="shared" ca="1" si="602"/>
        <v>301</v>
      </c>
      <c r="I1380" t="str">
        <f t="shared" si="603"/>
        <v>SPX</v>
      </c>
      <c r="J1380">
        <f t="shared" si="604"/>
        <v>2726</v>
      </c>
      <c r="K1380">
        <f t="shared" si="605"/>
        <v>2959</v>
      </c>
      <c r="L1380">
        <f t="shared" si="606"/>
        <v>2842.5</v>
      </c>
      <c r="M1380">
        <f t="shared" si="607"/>
        <v>116.5</v>
      </c>
      <c r="N1380">
        <f t="shared" si="586"/>
        <v>233</v>
      </c>
      <c r="O1380">
        <f t="shared" si="608"/>
        <v>2912</v>
      </c>
      <c r="P1380">
        <f t="shared" si="609"/>
        <v>0.59656652360515017</v>
      </c>
      <c r="Q1380" t="str">
        <f t="shared" si="587"/>
        <v>6.39% | 1.61%</v>
      </c>
      <c r="R1380" t="str">
        <f t="shared" si="610"/>
        <v>BEARISH</v>
      </c>
      <c r="S1380">
        <f t="shared" si="588"/>
        <v>-1</v>
      </c>
    </row>
    <row r="1381" spans="1:19" hidden="1" x14ac:dyDescent="0.25">
      <c r="A1381" s="5" t="str">
        <f t="shared" si="585"/>
        <v>43952RUT</v>
      </c>
      <c r="B1381" s="6" t="s">
        <v>7</v>
      </c>
      <c r="C1381" s="6">
        <v>1139</v>
      </c>
      <c r="D1381" s="6">
        <v>1370</v>
      </c>
      <c r="E1381" s="6">
        <v>1310</v>
      </c>
      <c r="F1381" t="str">
        <f t="shared" si="600"/>
        <v>FRI</v>
      </c>
      <c r="G1381" s="1">
        <f t="shared" si="601"/>
        <v>43952</v>
      </c>
      <c r="H1381" s="2">
        <f t="shared" ca="1" si="602"/>
        <v>301</v>
      </c>
      <c r="I1381" t="str">
        <f t="shared" si="603"/>
        <v>RUT</v>
      </c>
      <c r="J1381">
        <f t="shared" si="604"/>
        <v>1139</v>
      </c>
      <c r="K1381">
        <f t="shared" si="605"/>
        <v>1370</v>
      </c>
      <c r="L1381">
        <f t="shared" si="606"/>
        <v>1254.5</v>
      </c>
      <c r="M1381">
        <f t="shared" si="607"/>
        <v>115.5</v>
      </c>
      <c r="N1381">
        <f t="shared" si="586"/>
        <v>231</v>
      </c>
      <c r="O1381">
        <f t="shared" si="608"/>
        <v>1310</v>
      </c>
      <c r="P1381">
        <f t="shared" si="609"/>
        <v>0.48051948051948051</v>
      </c>
      <c r="Q1381" t="str">
        <f t="shared" si="587"/>
        <v>13.05% | 4.58%</v>
      </c>
      <c r="R1381" t="str">
        <f t="shared" si="610"/>
        <v>BEARISH</v>
      </c>
      <c r="S1381">
        <f t="shared" si="588"/>
        <v>-1</v>
      </c>
    </row>
    <row r="1382" spans="1:19" hidden="1" x14ac:dyDescent="0.25">
      <c r="A1382" s="5" t="str">
        <f t="shared" si="585"/>
        <v>43952COMPQ</v>
      </c>
      <c r="B1382" s="6" t="s">
        <v>8</v>
      </c>
      <c r="C1382" s="6">
        <v>8308</v>
      </c>
      <c r="D1382" s="6">
        <v>9008</v>
      </c>
      <c r="E1382" s="6">
        <v>8889</v>
      </c>
      <c r="F1382" t="str">
        <f t="shared" si="600"/>
        <v>FRI</v>
      </c>
      <c r="G1382" s="1">
        <f t="shared" si="601"/>
        <v>43952</v>
      </c>
      <c r="H1382" s="2">
        <f t="shared" ca="1" si="602"/>
        <v>301</v>
      </c>
      <c r="I1382" t="str">
        <f t="shared" si="603"/>
        <v>COMPQ</v>
      </c>
      <c r="J1382">
        <f t="shared" si="604"/>
        <v>8308</v>
      </c>
      <c r="K1382">
        <f t="shared" si="605"/>
        <v>9008</v>
      </c>
      <c r="L1382">
        <f t="shared" si="606"/>
        <v>8658</v>
      </c>
      <c r="M1382">
        <f t="shared" si="607"/>
        <v>350</v>
      </c>
      <c r="N1382">
        <f t="shared" si="586"/>
        <v>700</v>
      </c>
      <c r="O1382">
        <f t="shared" si="608"/>
        <v>8889</v>
      </c>
      <c r="P1382">
        <f t="shared" si="609"/>
        <v>0.66</v>
      </c>
      <c r="Q1382" t="str">
        <f t="shared" si="587"/>
        <v>6.54% | 1.34%</v>
      </c>
      <c r="R1382" t="str">
        <f t="shared" si="610"/>
        <v>BULLISH</v>
      </c>
      <c r="S1382">
        <f t="shared" si="588"/>
        <v>1</v>
      </c>
    </row>
    <row r="1383" spans="1:19" hidden="1" x14ac:dyDescent="0.25">
      <c r="A1383" s="5" t="str">
        <f t="shared" si="585"/>
        <v>43952XLP</v>
      </c>
      <c r="B1383" s="6" t="s">
        <v>54</v>
      </c>
      <c r="C1383" s="6">
        <v>57.21</v>
      </c>
      <c r="D1383" s="6">
        <v>60.09</v>
      </c>
      <c r="E1383" s="6">
        <v>58.26</v>
      </c>
      <c r="F1383" t="str">
        <f t="shared" si="600"/>
        <v>FRI</v>
      </c>
      <c r="G1383" s="1">
        <f t="shared" si="601"/>
        <v>43952</v>
      </c>
      <c r="H1383" s="2">
        <f t="shared" ca="1" si="602"/>
        <v>301</v>
      </c>
      <c r="I1383" t="str">
        <f t="shared" si="603"/>
        <v>XLP</v>
      </c>
      <c r="J1383">
        <f t="shared" si="604"/>
        <v>57.21</v>
      </c>
      <c r="K1383">
        <f t="shared" si="605"/>
        <v>60.09</v>
      </c>
      <c r="L1383">
        <f t="shared" si="606"/>
        <v>58.650000000000006</v>
      </c>
      <c r="M1383">
        <f t="shared" si="607"/>
        <v>1.4400000000000013</v>
      </c>
      <c r="N1383">
        <f t="shared" si="586"/>
        <v>2.8800000000000026</v>
      </c>
      <c r="O1383">
        <f t="shared" si="608"/>
        <v>58.26</v>
      </c>
      <c r="P1383">
        <f t="shared" si="609"/>
        <v>-0.27083333333333842</v>
      </c>
      <c r="Q1383" t="str">
        <f t="shared" si="587"/>
        <v>1.8% | 3.14%</v>
      </c>
      <c r="R1383" t="str">
        <f t="shared" si="610"/>
        <v>BULLISH</v>
      </c>
      <c r="S1383">
        <f t="shared" si="588"/>
        <v>1</v>
      </c>
    </row>
    <row r="1384" spans="1:19" hidden="1" x14ac:dyDescent="0.25">
      <c r="A1384" s="5" t="str">
        <f t="shared" si="585"/>
        <v>43952XLV</v>
      </c>
      <c r="B1384" s="6" t="s">
        <v>9</v>
      </c>
      <c r="C1384" s="6">
        <v>95.76</v>
      </c>
      <c r="D1384" s="6">
        <v>102.03</v>
      </c>
      <c r="E1384" s="6">
        <v>99.73</v>
      </c>
      <c r="F1384" t="str">
        <f t="shared" si="600"/>
        <v>FRI</v>
      </c>
      <c r="G1384" s="1">
        <f t="shared" si="601"/>
        <v>43952</v>
      </c>
      <c r="H1384" s="2">
        <f t="shared" ca="1" si="602"/>
        <v>301</v>
      </c>
      <c r="I1384" t="str">
        <f t="shared" si="603"/>
        <v>XLV</v>
      </c>
      <c r="J1384">
        <f t="shared" si="604"/>
        <v>95.76</v>
      </c>
      <c r="K1384">
        <f t="shared" si="605"/>
        <v>102.03</v>
      </c>
      <c r="L1384">
        <f t="shared" si="606"/>
        <v>98.89500000000001</v>
      </c>
      <c r="M1384">
        <f t="shared" si="607"/>
        <v>3.134999999999998</v>
      </c>
      <c r="N1384">
        <f t="shared" si="586"/>
        <v>6.269999999999996</v>
      </c>
      <c r="O1384">
        <f t="shared" si="608"/>
        <v>99.73</v>
      </c>
      <c r="P1384">
        <f t="shared" si="609"/>
        <v>0.26634768740031717</v>
      </c>
      <c r="Q1384" t="str">
        <f t="shared" si="587"/>
        <v>3.98% | 2.31%</v>
      </c>
      <c r="R1384" t="str">
        <f t="shared" si="610"/>
        <v>BULLISH</v>
      </c>
      <c r="S1384">
        <f t="shared" si="588"/>
        <v>1</v>
      </c>
    </row>
    <row r="1385" spans="1:19" hidden="1" x14ac:dyDescent="0.25">
      <c r="A1385" s="5" t="str">
        <f t="shared" si="585"/>
        <v>43952XLU</v>
      </c>
      <c r="B1385" s="6" t="s">
        <v>82</v>
      </c>
      <c r="C1385" s="6">
        <v>55.99</v>
      </c>
      <c r="D1385" s="6">
        <v>59.91</v>
      </c>
      <c r="E1385" s="6">
        <v>57.26</v>
      </c>
      <c r="F1385" t="str">
        <f t="shared" si="600"/>
        <v>FRI</v>
      </c>
      <c r="G1385" s="1">
        <f t="shared" si="601"/>
        <v>43952</v>
      </c>
      <c r="H1385" s="2">
        <f t="shared" ca="1" si="602"/>
        <v>301</v>
      </c>
      <c r="I1385" t="str">
        <f t="shared" si="603"/>
        <v>XLU</v>
      </c>
      <c r="J1385">
        <f t="shared" si="604"/>
        <v>55.99</v>
      </c>
      <c r="K1385">
        <f t="shared" si="605"/>
        <v>59.91</v>
      </c>
      <c r="L1385">
        <f t="shared" si="606"/>
        <v>57.95</v>
      </c>
      <c r="M1385">
        <f t="shared" si="607"/>
        <v>1.9599999999999973</v>
      </c>
      <c r="N1385">
        <f t="shared" si="586"/>
        <v>3.9199999999999946</v>
      </c>
      <c r="O1385">
        <f t="shared" si="608"/>
        <v>57.26</v>
      </c>
      <c r="P1385">
        <f t="shared" si="609"/>
        <v>-0.35204081632653356</v>
      </c>
      <c r="Q1385" t="str">
        <f t="shared" si="587"/>
        <v>2.22% | 4.63%</v>
      </c>
      <c r="R1385" t="str">
        <f t="shared" si="610"/>
        <v>BEARISH</v>
      </c>
      <c r="S1385">
        <f t="shared" si="588"/>
        <v>-1</v>
      </c>
    </row>
    <row r="1386" spans="1:19" hidden="1" x14ac:dyDescent="0.25">
      <c r="A1386" s="5" t="str">
        <f t="shared" si="585"/>
        <v>43952XLK</v>
      </c>
      <c r="B1386" s="6" t="s">
        <v>10</v>
      </c>
      <c r="C1386" s="6">
        <v>83.9</v>
      </c>
      <c r="D1386" s="6">
        <v>92.99</v>
      </c>
      <c r="E1386" s="6">
        <v>91.41</v>
      </c>
      <c r="F1386" t="str">
        <f t="shared" si="600"/>
        <v>FRI</v>
      </c>
      <c r="G1386" s="1">
        <f t="shared" si="601"/>
        <v>43952</v>
      </c>
      <c r="H1386" s="2">
        <f t="shared" ca="1" si="602"/>
        <v>301</v>
      </c>
      <c r="I1386" t="str">
        <f t="shared" si="603"/>
        <v>XLK</v>
      </c>
      <c r="J1386">
        <f t="shared" si="604"/>
        <v>83.9</v>
      </c>
      <c r="K1386">
        <f t="shared" si="605"/>
        <v>92.99</v>
      </c>
      <c r="L1386">
        <f t="shared" si="606"/>
        <v>88.444999999999993</v>
      </c>
      <c r="M1386">
        <f t="shared" si="607"/>
        <v>4.5449999999999946</v>
      </c>
      <c r="N1386">
        <f t="shared" si="586"/>
        <v>9.0899999999999892</v>
      </c>
      <c r="O1386">
        <f t="shared" si="608"/>
        <v>91.41</v>
      </c>
      <c r="P1386">
        <f t="shared" si="609"/>
        <v>0.65236523652365386</v>
      </c>
      <c r="Q1386" t="str">
        <f t="shared" si="587"/>
        <v>8.22% | 1.73%</v>
      </c>
      <c r="R1386" t="str">
        <f t="shared" si="610"/>
        <v>BULLISH</v>
      </c>
      <c r="S1386">
        <f t="shared" si="588"/>
        <v>1</v>
      </c>
    </row>
    <row r="1387" spans="1:19" hidden="1" x14ac:dyDescent="0.25">
      <c r="A1387" s="5" t="str">
        <f t="shared" si="585"/>
        <v>43952XLF</v>
      </c>
      <c r="B1387" s="6" t="s">
        <v>12</v>
      </c>
      <c r="C1387" s="6">
        <v>19.98</v>
      </c>
      <c r="D1387" s="6">
        <v>23.62</v>
      </c>
      <c r="E1387" s="6">
        <v>22.79</v>
      </c>
      <c r="F1387" t="str">
        <f t="shared" si="600"/>
        <v>FRI</v>
      </c>
      <c r="G1387" s="1">
        <f t="shared" si="601"/>
        <v>43952</v>
      </c>
      <c r="H1387" s="2">
        <f t="shared" ca="1" si="602"/>
        <v>301</v>
      </c>
      <c r="I1387" t="str">
        <f t="shared" si="603"/>
        <v>XLF</v>
      </c>
      <c r="J1387">
        <f t="shared" si="604"/>
        <v>19.98</v>
      </c>
      <c r="K1387">
        <f t="shared" si="605"/>
        <v>23.62</v>
      </c>
      <c r="L1387">
        <f t="shared" si="606"/>
        <v>21.8</v>
      </c>
      <c r="M1387">
        <f t="shared" si="607"/>
        <v>1.8200000000000003</v>
      </c>
      <c r="N1387">
        <f t="shared" si="586"/>
        <v>3.6400000000000006</v>
      </c>
      <c r="O1387">
        <f t="shared" si="608"/>
        <v>22.79</v>
      </c>
      <c r="P1387">
        <f t="shared" si="609"/>
        <v>0.54395604395604302</v>
      </c>
      <c r="Q1387" t="str">
        <f t="shared" si="587"/>
        <v>12.33% | 3.64%</v>
      </c>
      <c r="R1387" t="str">
        <f t="shared" si="610"/>
        <v>BEARISH</v>
      </c>
      <c r="S1387">
        <f t="shared" si="588"/>
        <v>-1</v>
      </c>
    </row>
    <row r="1388" spans="1:19" hidden="1" x14ac:dyDescent="0.25">
      <c r="A1388" s="5" t="str">
        <f t="shared" si="585"/>
        <v>43952SSEC</v>
      </c>
      <c r="B1388" s="6" t="s">
        <v>14</v>
      </c>
      <c r="C1388" s="6">
        <v>2750</v>
      </c>
      <c r="D1388" s="6">
        <v>2866</v>
      </c>
      <c r="E1388" s="6">
        <v>2860</v>
      </c>
      <c r="F1388" t="str">
        <f t="shared" si="600"/>
        <v>FRI</v>
      </c>
      <c r="G1388" s="1">
        <f t="shared" si="601"/>
        <v>43952</v>
      </c>
      <c r="H1388" s="2">
        <f t="shared" ca="1" si="602"/>
        <v>301</v>
      </c>
      <c r="I1388" t="str">
        <f t="shared" si="603"/>
        <v>SSEC</v>
      </c>
      <c r="J1388">
        <f t="shared" si="604"/>
        <v>2750</v>
      </c>
      <c r="K1388">
        <f t="shared" si="605"/>
        <v>2866</v>
      </c>
      <c r="L1388">
        <f t="shared" si="606"/>
        <v>2808</v>
      </c>
      <c r="M1388">
        <f t="shared" si="607"/>
        <v>58</v>
      </c>
      <c r="N1388">
        <f t="shared" si="586"/>
        <v>116</v>
      </c>
      <c r="O1388">
        <f t="shared" si="608"/>
        <v>2860</v>
      </c>
      <c r="P1388">
        <f t="shared" si="609"/>
        <v>0.89655172413793105</v>
      </c>
      <c r="Q1388" t="str">
        <f t="shared" si="587"/>
        <v>3.85% | 0.21%</v>
      </c>
      <c r="R1388" t="str">
        <f t="shared" si="610"/>
        <v>BEARISH</v>
      </c>
      <c r="S1388">
        <f t="shared" si="588"/>
        <v>-1</v>
      </c>
    </row>
    <row r="1389" spans="1:19" hidden="1" x14ac:dyDescent="0.25">
      <c r="A1389" s="5" t="str">
        <f t="shared" si="585"/>
        <v>43952NIKK</v>
      </c>
      <c r="B1389" s="6" t="s">
        <v>15</v>
      </c>
      <c r="C1389" s="6">
        <v>18847</v>
      </c>
      <c r="D1389" s="6">
        <v>20208</v>
      </c>
      <c r="E1389" s="6">
        <v>19619</v>
      </c>
      <c r="F1389" t="str">
        <f t="shared" si="600"/>
        <v>FRI</v>
      </c>
      <c r="G1389" s="1">
        <f t="shared" si="601"/>
        <v>43952</v>
      </c>
      <c r="H1389" s="2">
        <f t="shared" ca="1" si="602"/>
        <v>301</v>
      </c>
      <c r="I1389" t="str">
        <f t="shared" si="603"/>
        <v>NIKK</v>
      </c>
      <c r="J1389">
        <f t="shared" si="604"/>
        <v>18847</v>
      </c>
      <c r="K1389">
        <f t="shared" si="605"/>
        <v>20208</v>
      </c>
      <c r="L1389">
        <f t="shared" si="606"/>
        <v>19527.5</v>
      </c>
      <c r="M1389">
        <f t="shared" si="607"/>
        <v>680.5</v>
      </c>
      <c r="N1389">
        <f t="shared" si="586"/>
        <v>1361</v>
      </c>
      <c r="O1389">
        <f t="shared" si="608"/>
        <v>19619</v>
      </c>
      <c r="P1389">
        <f t="shared" si="609"/>
        <v>0.13445995591476856</v>
      </c>
      <c r="Q1389" t="str">
        <f t="shared" si="587"/>
        <v>3.93% | 3%</v>
      </c>
      <c r="R1389" t="str">
        <f t="shared" si="610"/>
        <v>BEARISH</v>
      </c>
      <c r="S1389">
        <f t="shared" si="588"/>
        <v>-1</v>
      </c>
    </row>
    <row r="1390" spans="1:19" hidden="1" x14ac:dyDescent="0.25">
      <c r="A1390" s="5" t="str">
        <f t="shared" si="585"/>
        <v>43952DAX</v>
      </c>
      <c r="B1390" s="6" t="s">
        <v>16</v>
      </c>
      <c r="C1390" s="6">
        <v>10006</v>
      </c>
      <c r="D1390" s="6">
        <v>11137</v>
      </c>
      <c r="E1390" s="6">
        <v>10857</v>
      </c>
      <c r="F1390" t="str">
        <f t="shared" si="600"/>
        <v>FRI</v>
      </c>
      <c r="G1390" s="1">
        <f t="shared" si="601"/>
        <v>43952</v>
      </c>
      <c r="H1390" s="2">
        <f t="shared" ca="1" si="602"/>
        <v>301</v>
      </c>
      <c r="I1390" t="str">
        <f t="shared" si="603"/>
        <v>DAX</v>
      </c>
      <c r="J1390">
        <f t="shared" si="604"/>
        <v>10006</v>
      </c>
      <c r="K1390">
        <f t="shared" si="605"/>
        <v>11137</v>
      </c>
      <c r="L1390">
        <f t="shared" si="606"/>
        <v>10571.5</v>
      </c>
      <c r="M1390">
        <f t="shared" si="607"/>
        <v>565.5</v>
      </c>
      <c r="N1390">
        <f t="shared" si="586"/>
        <v>1131</v>
      </c>
      <c r="O1390">
        <f t="shared" si="608"/>
        <v>10857</v>
      </c>
      <c r="P1390">
        <f t="shared" si="609"/>
        <v>0.50486295313881524</v>
      </c>
      <c r="Q1390" t="str">
        <f t="shared" si="587"/>
        <v>7.84% | 2.58%</v>
      </c>
      <c r="R1390" t="str">
        <f t="shared" si="610"/>
        <v>BEARISH</v>
      </c>
      <c r="S1390">
        <f t="shared" si="588"/>
        <v>-1</v>
      </c>
    </row>
    <row r="1391" spans="1:19" hidden="1" x14ac:dyDescent="0.25">
      <c r="A1391" s="5" t="str">
        <f t="shared" si="585"/>
        <v>43952VIX</v>
      </c>
      <c r="B1391" s="6" t="s">
        <v>17</v>
      </c>
      <c r="C1391" s="6">
        <v>30.01</v>
      </c>
      <c r="D1391" s="6">
        <v>47.95</v>
      </c>
      <c r="E1391" s="6">
        <v>34.15</v>
      </c>
      <c r="F1391" t="str">
        <f t="shared" si="600"/>
        <v>FRI</v>
      </c>
      <c r="G1391" s="1">
        <f t="shared" si="601"/>
        <v>43952</v>
      </c>
      <c r="H1391" s="2">
        <f t="shared" ca="1" si="602"/>
        <v>301</v>
      </c>
      <c r="I1391" t="str">
        <f t="shared" si="603"/>
        <v>VIX</v>
      </c>
      <c r="J1391">
        <f t="shared" si="604"/>
        <v>30.01</v>
      </c>
      <c r="K1391">
        <f t="shared" si="605"/>
        <v>47.95</v>
      </c>
      <c r="L1391">
        <f t="shared" si="606"/>
        <v>38.980000000000004</v>
      </c>
      <c r="M1391">
        <f t="shared" si="607"/>
        <v>8.96999999999999</v>
      </c>
      <c r="N1391">
        <f t="shared" si="586"/>
        <v>17.940000000000001</v>
      </c>
      <c r="O1391">
        <f t="shared" si="608"/>
        <v>34.15</v>
      </c>
      <c r="P1391">
        <f t="shared" si="609"/>
        <v>-0.53846153846153966</v>
      </c>
      <c r="Q1391" t="str">
        <f t="shared" si="587"/>
        <v>12.12% | 40.41%</v>
      </c>
      <c r="R1391" t="str">
        <f t="shared" si="610"/>
        <v>BULLISH</v>
      </c>
      <c r="S1391">
        <f t="shared" si="588"/>
        <v>1</v>
      </c>
    </row>
    <row r="1392" spans="1:19" hidden="1" x14ac:dyDescent="0.25">
      <c r="A1392" s="5" t="str">
        <f t="shared" si="585"/>
        <v>43952USD</v>
      </c>
      <c r="B1392" s="6" t="s">
        <v>18</v>
      </c>
      <c r="C1392" s="6">
        <v>98.85</v>
      </c>
      <c r="D1392" s="6">
        <v>101.1</v>
      </c>
      <c r="E1392" s="6">
        <v>99.03</v>
      </c>
      <c r="F1392" t="str">
        <f t="shared" si="600"/>
        <v>FRI</v>
      </c>
      <c r="G1392" s="1">
        <f t="shared" si="601"/>
        <v>43952</v>
      </c>
      <c r="H1392" s="2">
        <f t="shared" ca="1" si="602"/>
        <v>301</v>
      </c>
      <c r="I1392" t="str">
        <f t="shared" si="603"/>
        <v>USD</v>
      </c>
      <c r="J1392">
        <f t="shared" si="604"/>
        <v>98.85</v>
      </c>
      <c r="K1392">
        <f t="shared" si="605"/>
        <v>101.1</v>
      </c>
      <c r="L1392">
        <f t="shared" si="606"/>
        <v>99.974999999999994</v>
      </c>
      <c r="M1392">
        <f t="shared" si="607"/>
        <v>1.125</v>
      </c>
      <c r="N1392">
        <f t="shared" si="586"/>
        <v>2.25</v>
      </c>
      <c r="O1392">
        <f t="shared" si="608"/>
        <v>99.03</v>
      </c>
      <c r="P1392">
        <f t="shared" si="609"/>
        <v>-0.83999999999999397</v>
      </c>
      <c r="Q1392" t="str">
        <f t="shared" si="587"/>
        <v>0.18% | 2.09%</v>
      </c>
      <c r="R1392" t="str">
        <f t="shared" si="610"/>
        <v>BULLISH</v>
      </c>
      <c r="S1392">
        <f t="shared" si="588"/>
        <v>1</v>
      </c>
    </row>
    <row r="1393" spans="1:19" hidden="1" x14ac:dyDescent="0.25">
      <c r="A1393" s="5" t="str">
        <f t="shared" si="585"/>
        <v>43952EUR/USD</v>
      </c>
      <c r="B1393" s="6" t="s">
        <v>19</v>
      </c>
      <c r="C1393" s="6">
        <v>1.07</v>
      </c>
      <c r="D1393" s="6">
        <v>1.0900000000000001</v>
      </c>
      <c r="E1393" s="6">
        <v>1.0900000000000001</v>
      </c>
      <c r="F1393" t="str">
        <f t="shared" si="600"/>
        <v>FRI</v>
      </c>
      <c r="G1393" s="1">
        <f t="shared" si="601"/>
        <v>43952</v>
      </c>
      <c r="H1393" s="2">
        <f t="shared" ca="1" si="602"/>
        <v>301</v>
      </c>
      <c r="I1393" t="str">
        <f t="shared" si="603"/>
        <v>EUR/USD</v>
      </c>
      <c r="J1393">
        <f t="shared" si="604"/>
        <v>1.07</v>
      </c>
      <c r="K1393">
        <f t="shared" si="605"/>
        <v>1.0900000000000001</v>
      </c>
      <c r="L1393">
        <f t="shared" si="606"/>
        <v>1.08</v>
      </c>
      <c r="M1393">
        <f t="shared" si="607"/>
        <v>1.0000000000000009E-2</v>
      </c>
      <c r="N1393">
        <f t="shared" si="586"/>
        <v>2.0000000000000018E-2</v>
      </c>
      <c r="O1393">
        <f t="shared" si="608"/>
        <v>1.0900000000000001</v>
      </c>
      <c r="P1393">
        <f t="shared" si="609"/>
        <v>1</v>
      </c>
      <c r="Q1393" t="str">
        <f t="shared" si="587"/>
        <v>1.83% | 0%</v>
      </c>
      <c r="R1393" t="str">
        <f t="shared" si="610"/>
        <v>BEARISH</v>
      </c>
      <c r="S1393">
        <f t="shared" si="588"/>
        <v>-1</v>
      </c>
    </row>
    <row r="1394" spans="1:19" hidden="1" x14ac:dyDescent="0.25">
      <c r="A1394" s="5" t="str">
        <f t="shared" si="585"/>
        <v>43952USD/JPY</v>
      </c>
      <c r="B1394" s="6" t="s">
        <v>20</v>
      </c>
      <c r="C1394" s="6">
        <v>105.91</v>
      </c>
      <c r="D1394" s="6">
        <v>108.2</v>
      </c>
      <c r="E1394" s="6">
        <v>107.14</v>
      </c>
      <c r="F1394" t="str">
        <f t="shared" si="600"/>
        <v>FRI</v>
      </c>
      <c r="G1394" s="1">
        <f t="shared" si="601"/>
        <v>43952</v>
      </c>
      <c r="H1394" s="2">
        <f t="shared" ca="1" si="602"/>
        <v>301</v>
      </c>
      <c r="I1394" t="str">
        <f t="shared" si="603"/>
        <v>USD/JPY</v>
      </c>
      <c r="J1394">
        <f t="shared" si="604"/>
        <v>105.91</v>
      </c>
      <c r="K1394">
        <f t="shared" si="605"/>
        <v>108.2</v>
      </c>
      <c r="L1394">
        <f t="shared" si="606"/>
        <v>107.05500000000001</v>
      </c>
      <c r="M1394">
        <f t="shared" si="607"/>
        <v>1.1450000000000031</v>
      </c>
      <c r="N1394">
        <f t="shared" si="586"/>
        <v>2.2900000000000063</v>
      </c>
      <c r="O1394">
        <f t="shared" si="608"/>
        <v>107.14</v>
      </c>
      <c r="P1394">
        <f t="shared" si="609"/>
        <v>7.4235807860256339E-2</v>
      </c>
      <c r="Q1394" t="str">
        <f t="shared" si="587"/>
        <v>1.15% | 0.99%</v>
      </c>
      <c r="R1394" t="str">
        <f t="shared" si="610"/>
        <v>BEARISH</v>
      </c>
      <c r="S1394">
        <f t="shared" si="588"/>
        <v>-1</v>
      </c>
    </row>
    <row r="1395" spans="1:19" hidden="1" x14ac:dyDescent="0.25">
      <c r="A1395" s="5" t="str">
        <f t="shared" si="585"/>
        <v>43952GBP/USD</v>
      </c>
      <c r="B1395" s="6" t="s">
        <v>21</v>
      </c>
      <c r="C1395" s="6">
        <v>1.22</v>
      </c>
      <c r="D1395" s="6">
        <v>1.26</v>
      </c>
      <c r="E1395" s="6">
        <v>1.26</v>
      </c>
      <c r="F1395" t="str">
        <f t="shared" si="600"/>
        <v>FRI</v>
      </c>
      <c r="G1395" s="1">
        <f t="shared" si="601"/>
        <v>43952</v>
      </c>
      <c r="H1395" s="2">
        <f t="shared" ca="1" si="602"/>
        <v>301</v>
      </c>
      <c r="I1395" t="str">
        <f t="shared" si="603"/>
        <v>GBP/USD</v>
      </c>
      <c r="J1395">
        <f t="shared" si="604"/>
        <v>1.22</v>
      </c>
      <c r="K1395">
        <f t="shared" si="605"/>
        <v>1.26</v>
      </c>
      <c r="L1395">
        <f t="shared" si="606"/>
        <v>1.24</v>
      </c>
      <c r="M1395">
        <f t="shared" si="607"/>
        <v>2.0000000000000018E-2</v>
      </c>
      <c r="N1395">
        <f t="shared" si="586"/>
        <v>4.0000000000000036E-2</v>
      </c>
      <c r="O1395">
        <f t="shared" si="608"/>
        <v>1.26</v>
      </c>
      <c r="P1395">
        <f t="shared" si="609"/>
        <v>1</v>
      </c>
      <c r="Q1395" t="str">
        <f t="shared" si="587"/>
        <v>3.17% | 0%</v>
      </c>
      <c r="R1395" t="str">
        <f t="shared" si="610"/>
        <v>BEARISH</v>
      </c>
      <c r="S1395">
        <f t="shared" si="588"/>
        <v>-1</v>
      </c>
    </row>
    <row r="1396" spans="1:19" hidden="1" x14ac:dyDescent="0.25">
      <c r="A1396" s="5" t="str">
        <f t="shared" si="585"/>
        <v>43952USD/CHF</v>
      </c>
      <c r="B1396" s="6" t="s">
        <v>22</v>
      </c>
      <c r="C1396" s="6">
        <v>0.96</v>
      </c>
      <c r="D1396" s="6">
        <v>0.98</v>
      </c>
      <c r="E1396" s="6">
        <v>0.96</v>
      </c>
      <c r="F1396" t="str">
        <f t="shared" si="600"/>
        <v>FRI</v>
      </c>
      <c r="G1396" s="1">
        <f t="shared" si="601"/>
        <v>43952</v>
      </c>
      <c r="H1396" s="2">
        <f t="shared" ca="1" si="602"/>
        <v>301</v>
      </c>
      <c r="I1396" t="str">
        <f t="shared" si="603"/>
        <v>USD/CHF</v>
      </c>
      <c r="J1396">
        <f t="shared" si="604"/>
        <v>0.96</v>
      </c>
      <c r="K1396">
        <f t="shared" si="605"/>
        <v>0.98</v>
      </c>
      <c r="L1396">
        <f t="shared" si="606"/>
        <v>0.97</v>
      </c>
      <c r="M1396">
        <f t="shared" si="607"/>
        <v>1.0000000000000009E-2</v>
      </c>
      <c r="N1396">
        <f t="shared" si="586"/>
        <v>2.0000000000000018E-2</v>
      </c>
      <c r="O1396">
        <f t="shared" si="608"/>
        <v>0.96</v>
      </c>
      <c r="P1396">
        <f t="shared" si="609"/>
        <v>-1</v>
      </c>
      <c r="Q1396" t="str">
        <f t="shared" si="587"/>
        <v>0% | 2.08%</v>
      </c>
      <c r="R1396" t="str">
        <f t="shared" si="610"/>
        <v>NEUTRAL</v>
      </c>
      <c r="S1396">
        <f t="shared" si="588"/>
        <v>0</v>
      </c>
    </row>
    <row r="1397" spans="1:19" hidden="1" x14ac:dyDescent="0.25">
      <c r="A1397" s="5" t="str">
        <f t="shared" si="585"/>
        <v>43952WTIC</v>
      </c>
      <c r="B1397" s="6" t="s">
        <v>23</v>
      </c>
      <c r="C1397" s="6">
        <v>9.6</v>
      </c>
      <c r="D1397" s="6">
        <v>21.2</v>
      </c>
      <c r="E1397" s="6">
        <v>18.84</v>
      </c>
      <c r="F1397" t="str">
        <f t="shared" si="600"/>
        <v>FRI</v>
      </c>
      <c r="G1397" s="1">
        <f t="shared" si="601"/>
        <v>43952</v>
      </c>
      <c r="H1397" s="2">
        <f t="shared" ca="1" si="602"/>
        <v>301</v>
      </c>
      <c r="I1397" t="str">
        <f t="shared" si="603"/>
        <v>WTIC</v>
      </c>
      <c r="J1397">
        <f t="shared" si="604"/>
        <v>9.6</v>
      </c>
      <c r="K1397">
        <f t="shared" si="605"/>
        <v>21.2</v>
      </c>
      <c r="L1397">
        <f t="shared" si="606"/>
        <v>15.399999999999999</v>
      </c>
      <c r="M1397">
        <f t="shared" si="607"/>
        <v>5.8000000000000034</v>
      </c>
      <c r="N1397">
        <f t="shared" si="586"/>
        <v>11.6</v>
      </c>
      <c r="O1397">
        <f t="shared" si="608"/>
        <v>18.84</v>
      </c>
      <c r="P1397">
        <f t="shared" si="609"/>
        <v>0.59310344827586192</v>
      </c>
      <c r="Q1397" t="str">
        <f t="shared" si="587"/>
        <v>49.04% | 12.53%</v>
      </c>
      <c r="R1397" t="str">
        <f t="shared" si="610"/>
        <v>BEARISH</v>
      </c>
      <c r="S1397">
        <f t="shared" si="588"/>
        <v>-1</v>
      </c>
    </row>
    <row r="1398" spans="1:19" hidden="1" x14ac:dyDescent="0.25">
      <c r="A1398" s="5" t="str">
        <f t="shared" si="585"/>
        <v>43952NATGAS</v>
      </c>
      <c r="B1398" s="6" t="s">
        <v>24</v>
      </c>
      <c r="C1398" s="6">
        <v>1.65</v>
      </c>
      <c r="D1398" s="6">
        <v>2.06</v>
      </c>
      <c r="E1398" s="6">
        <v>1.95</v>
      </c>
      <c r="F1398" t="str">
        <f t="shared" si="600"/>
        <v>FRI</v>
      </c>
      <c r="G1398" s="1">
        <f t="shared" si="601"/>
        <v>43952</v>
      </c>
      <c r="H1398" s="2">
        <f t="shared" ca="1" si="602"/>
        <v>301</v>
      </c>
      <c r="I1398" t="str">
        <f t="shared" si="603"/>
        <v>NATGAS</v>
      </c>
      <c r="J1398">
        <f t="shared" si="604"/>
        <v>1.65</v>
      </c>
      <c r="K1398">
        <f t="shared" si="605"/>
        <v>2.06</v>
      </c>
      <c r="L1398">
        <f t="shared" si="606"/>
        <v>1.855</v>
      </c>
      <c r="M1398">
        <f t="shared" si="607"/>
        <v>0.2049999999999994</v>
      </c>
      <c r="N1398">
        <f t="shared" si="586"/>
        <v>0.41000000000000014</v>
      </c>
      <c r="O1398">
        <f t="shared" si="608"/>
        <v>1.95</v>
      </c>
      <c r="P1398">
        <f t="shared" si="609"/>
        <v>0.46341463414634265</v>
      </c>
      <c r="Q1398" t="str">
        <f t="shared" si="587"/>
        <v>15.38% | 5.64%</v>
      </c>
      <c r="R1398" t="str">
        <f t="shared" si="610"/>
        <v>BEARISH</v>
      </c>
      <c r="S1398">
        <f t="shared" si="588"/>
        <v>-1</v>
      </c>
    </row>
    <row r="1399" spans="1:19" hidden="1" x14ac:dyDescent="0.25">
      <c r="A1399" s="5" t="str">
        <f t="shared" si="585"/>
        <v>43952GOLD</v>
      </c>
      <c r="B1399" s="6" t="s">
        <v>25</v>
      </c>
      <c r="C1399" s="6">
        <v>1672</v>
      </c>
      <c r="D1399" s="6">
        <v>1757</v>
      </c>
      <c r="E1399" s="6">
        <v>1694</v>
      </c>
      <c r="F1399" t="str">
        <f t="shared" si="600"/>
        <v>FRI</v>
      </c>
      <c r="G1399" s="1">
        <f t="shared" si="601"/>
        <v>43952</v>
      </c>
      <c r="H1399" s="2">
        <f t="shared" ca="1" si="602"/>
        <v>301</v>
      </c>
      <c r="I1399" t="str">
        <f t="shared" si="603"/>
        <v>GOLD</v>
      </c>
      <c r="J1399">
        <f t="shared" si="604"/>
        <v>1672</v>
      </c>
      <c r="K1399">
        <f t="shared" si="605"/>
        <v>1757</v>
      </c>
      <c r="L1399">
        <f t="shared" si="606"/>
        <v>1714.5</v>
      </c>
      <c r="M1399">
        <f t="shared" si="607"/>
        <v>42.5</v>
      </c>
      <c r="N1399">
        <f t="shared" si="586"/>
        <v>85</v>
      </c>
      <c r="O1399">
        <f t="shared" si="608"/>
        <v>1694</v>
      </c>
      <c r="P1399">
        <f t="shared" si="609"/>
        <v>-0.4823529411764706</v>
      </c>
      <c r="Q1399" t="str">
        <f t="shared" si="587"/>
        <v>1.3% | 3.72%</v>
      </c>
      <c r="R1399" t="str">
        <f t="shared" si="610"/>
        <v>BULLISH</v>
      </c>
      <c r="S1399">
        <f t="shared" si="588"/>
        <v>1</v>
      </c>
    </row>
    <row r="1400" spans="1:19" hidden="1" x14ac:dyDescent="0.25">
      <c r="A1400" s="5" t="str">
        <f t="shared" si="585"/>
        <v>43952COPPER</v>
      </c>
      <c r="B1400" s="6" t="s">
        <v>26</v>
      </c>
      <c r="C1400" s="6">
        <v>2.23</v>
      </c>
      <c r="D1400" s="6">
        <v>2.39</v>
      </c>
      <c r="E1400" s="6">
        <v>2.34</v>
      </c>
      <c r="F1400" t="str">
        <f t="shared" si="600"/>
        <v>FRI</v>
      </c>
      <c r="G1400" s="1">
        <f t="shared" si="601"/>
        <v>43952</v>
      </c>
      <c r="H1400" s="2">
        <f t="shared" ca="1" si="602"/>
        <v>301</v>
      </c>
      <c r="I1400" t="str">
        <f t="shared" si="603"/>
        <v>COPPER</v>
      </c>
      <c r="J1400">
        <f t="shared" si="604"/>
        <v>2.23</v>
      </c>
      <c r="K1400">
        <f t="shared" si="605"/>
        <v>2.39</v>
      </c>
      <c r="L1400">
        <f t="shared" si="606"/>
        <v>2.31</v>
      </c>
      <c r="M1400">
        <f t="shared" si="607"/>
        <v>8.0000000000000071E-2</v>
      </c>
      <c r="N1400">
        <f t="shared" si="586"/>
        <v>0.16000000000000014</v>
      </c>
      <c r="O1400">
        <f t="shared" si="608"/>
        <v>2.34</v>
      </c>
      <c r="P1400">
        <f t="shared" si="609"/>
        <v>0.37499999999999722</v>
      </c>
      <c r="Q1400" t="str">
        <f t="shared" si="587"/>
        <v>4.7% | 2.14%</v>
      </c>
      <c r="R1400" t="str">
        <f t="shared" si="610"/>
        <v>BEARISH</v>
      </c>
      <c r="S1400">
        <f t="shared" si="588"/>
        <v>-1</v>
      </c>
    </row>
    <row r="1401" spans="1:19" hidden="1" x14ac:dyDescent="0.25">
      <c r="A1401" s="5" t="str">
        <f t="shared" si="585"/>
        <v>43952MSFT</v>
      </c>
      <c r="B1401" s="6" t="s">
        <v>27</v>
      </c>
      <c r="C1401" s="6">
        <v>165</v>
      </c>
      <c r="D1401" s="6">
        <v>182</v>
      </c>
      <c r="E1401" s="6">
        <v>179</v>
      </c>
      <c r="F1401" t="str">
        <f t="shared" si="600"/>
        <v>FRI</v>
      </c>
      <c r="G1401" s="1">
        <f t="shared" si="601"/>
        <v>43952</v>
      </c>
      <c r="H1401" s="2">
        <f t="shared" ca="1" si="602"/>
        <v>301</v>
      </c>
      <c r="I1401" t="str">
        <f t="shared" si="603"/>
        <v>MSFT</v>
      </c>
      <c r="J1401">
        <f t="shared" si="604"/>
        <v>165</v>
      </c>
      <c r="K1401">
        <f t="shared" si="605"/>
        <v>182</v>
      </c>
      <c r="L1401">
        <f t="shared" si="606"/>
        <v>173.5</v>
      </c>
      <c r="M1401">
        <f t="shared" si="607"/>
        <v>8.5</v>
      </c>
      <c r="N1401">
        <f t="shared" si="586"/>
        <v>17</v>
      </c>
      <c r="O1401">
        <f t="shared" si="608"/>
        <v>179</v>
      </c>
      <c r="P1401">
        <f t="shared" si="609"/>
        <v>0.6470588235294118</v>
      </c>
      <c r="Q1401" t="str">
        <f t="shared" si="587"/>
        <v>7.82% | 1.68%</v>
      </c>
      <c r="R1401" t="str">
        <f t="shared" si="610"/>
        <v>BULLISH</v>
      </c>
      <c r="S1401">
        <f t="shared" si="588"/>
        <v>1</v>
      </c>
    </row>
    <row r="1402" spans="1:19" hidden="1" x14ac:dyDescent="0.25">
      <c r="A1402" s="5" t="str">
        <f t="shared" si="585"/>
        <v>43952AAPL</v>
      </c>
      <c r="B1402" s="6" t="s">
        <v>63</v>
      </c>
      <c r="C1402" s="6">
        <v>256</v>
      </c>
      <c r="D1402" s="6">
        <v>296</v>
      </c>
      <c r="E1402" s="6">
        <v>293</v>
      </c>
      <c r="F1402" t="str">
        <f t="shared" si="600"/>
        <v>FRI</v>
      </c>
      <c r="G1402" s="1">
        <f t="shared" si="601"/>
        <v>43952</v>
      </c>
      <c r="H1402" s="2">
        <f t="shared" ca="1" si="602"/>
        <v>301</v>
      </c>
      <c r="I1402" t="str">
        <f t="shared" si="603"/>
        <v>AAPL</v>
      </c>
      <c r="J1402">
        <f t="shared" si="604"/>
        <v>256</v>
      </c>
      <c r="K1402">
        <f t="shared" si="605"/>
        <v>296</v>
      </c>
      <c r="L1402">
        <f t="shared" si="606"/>
        <v>276</v>
      </c>
      <c r="M1402">
        <f t="shared" si="607"/>
        <v>20</v>
      </c>
      <c r="N1402">
        <f t="shared" si="586"/>
        <v>40</v>
      </c>
      <c r="O1402">
        <f t="shared" si="608"/>
        <v>293</v>
      </c>
      <c r="P1402">
        <f t="shared" si="609"/>
        <v>0.85</v>
      </c>
      <c r="Q1402" t="str">
        <f t="shared" si="587"/>
        <v>12.63% | 1.02%</v>
      </c>
      <c r="R1402" t="str">
        <f t="shared" si="610"/>
        <v>NEUTRAL</v>
      </c>
      <c r="S1402">
        <f t="shared" si="588"/>
        <v>0</v>
      </c>
    </row>
    <row r="1403" spans="1:19" hidden="1" x14ac:dyDescent="0.25">
      <c r="A1403" s="5" t="str">
        <f t="shared" si="585"/>
        <v>43952AMZN</v>
      </c>
      <c r="B1403" s="6" t="s">
        <v>29</v>
      </c>
      <c r="C1403" s="6">
        <v>2216</v>
      </c>
      <c r="D1403" s="6">
        <v>2484</v>
      </c>
      <c r="E1403" s="6">
        <v>2474</v>
      </c>
      <c r="F1403" t="str">
        <f t="shared" si="600"/>
        <v>FRI</v>
      </c>
      <c r="G1403" s="1">
        <f t="shared" si="601"/>
        <v>43952</v>
      </c>
      <c r="H1403" s="2">
        <f t="shared" ca="1" si="602"/>
        <v>301</v>
      </c>
      <c r="I1403" t="str">
        <f t="shared" si="603"/>
        <v>AMZN</v>
      </c>
      <c r="J1403">
        <f t="shared" si="604"/>
        <v>2216</v>
      </c>
      <c r="K1403">
        <f t="shared" si="605"/>
        <v>2484</v>
      </c>
      <c r="L1403">
        <f t="shared" si="606"/>
        <v>2350</v>
      </c>
      <c r="M1403">
        <f t="shared" si="607"/>
        <v>134</v>
      </c>
      <c r="N1403">
        <f t="shared" si="586"/>
        <v>268</v>
      </c>
      <c r="O1403">
        <f t="shared" si="608"/>
        <v>2474</v>
      </c>
      <c r="P1403">
        <f t="shared" si="609"/>
        <v>0.92537313432835822</v>
      </c>
      <c r="Q1403" t="str">
        <f t="shared" si="587"/>
        <v>10.43% | 0.4%</v>
      </c>
      <c r="R1403" t="str">
        <f t="shared" si="610"/>
        <v>BULLISH</v>
      </c>
      <c r="S1403">
        <f t="shared" si="588"/>
        <v>1</v>
      </c>
    </row>
    <row r="1404" spans="1:19" hidden="1" x14ac:dyDescent="0.25">
      <c r="A1404" s="5" t="str">
        <f t="shared" si="585"/>
        <v>43952FB</v>
      </c>
      <c r="B1404" s="6" t="s">
        <v>30</v>
      </c>
      <c r="C1404" s="6">
        <v>169</v>
      </c>
      <c r="D1404" s="6">
        <v>207</v>
      </c>
      <c r="E1404" s="6">
        <v>204</v>
      </c>
      <c r="F1404" t="str">
        <f t="shared" si="600"/>
        <v>FRI</v>
      </c>
      <c r="G1404" s="1">
        <f t="shared" si="601"/>
        <v>43952</v>
      </c>
      <c r="H1404" s="2">
        <f t="shared" ca="1" si="602"/>
        <v>301</v>
      </c>
      <c r="I1404" t="str">
        <f t="shared" si="603"/>
        <v>FB</v>
      </c>
      <c r="J1404">
        <f t="shared" si="604"/>
        <v>169</v>
      </c>
      <c r="K1404">
        <f t="shared" si="605"/>
        <v>207</v>
      </c>
      <c r="L1404">
        <f t="shared" si="606"/>
        <v>188</v>
      </c>
      <c r="M1404">
        <f t="shared" si="607"/>
        <v>19</v>
      </c>
      <c r="N1404">
        <f t="shared" si="586"/>
        <v>38</v>
      </c>
      <c r="O1404">
        <f t="shared" si="608"/>
        <v>204</v>
      </c>
      <c r="P1404">
        <f t="shared" si="609"/>
        <v>0.84210526315789469</v>
      </c>
      <c r="Q1404" t="str">
        <f t="shared" si="587"/>
        <v>17.16% | 1.47%</v>
      </c>
      <c r="R1404" t="str">
        <f t="shared" si="610"/>
        <v>BULLISH</v>
      </c>
      <c r="S1404">
        <f t="shared" si="588"/>
        <v>1</v>
      </c>
    </row>
    <row r="1405" spans="1:19" hidden="1" x14ac:dyDescent="0.25">
      <c r="A1405" s="5" t="str">
        <f t="shared" si="585"/>
        <v>43952GOOGL</v>
      </c>
      <c r="B1405" s="6" t="s">
        <v>59</v>
      </c>
      <c r="C1405" s="6">
        <v>1191</v>
      </c>
      <c r="D1405" s="6">
        <v>1361</v>
      </c>
      <c r="E1405" s="6">
        <v>1346</v>
      </c>
      <c r="F1405" t="str">
        <f t="shared" si="600"/>
        <v>FRI</v>
      </c>
      <c r="G1405" s="1">
        <f t="shared" si="601"/>
        <v>43952</v>
      </c>
      <c r="H1405" s="2">
        <f t="shared" ca="1" si="602"/>
        <v>301</v>
      </c>
      <c r="I1405" t="str">
        <f t="shared" si="603"/>
        <v>GOOGL</v>
      </c>
      <c r="J1405">
        <f t="shared" si="604"/>
        <v>1191</v>
      </c>
      <c r="K1405">
        <f t="shared" si="605"/>
        <v>1361</v>
      </c>
      <c r="L1405">
        <f t="shared" si="606"/>
        <v>1276</v>
      </c>
      <c r="M1405">
        <f t="shared" si="607"/>
        <v>85</v>
      </c>
      <c r="N1405">
        <f t="shared" si="586"/>
        <v>170</v>
      </c>
      <c r="O1405">
        <f t="shared" si="608"/>
        <v>1346</v>
      </c>
      <c r="P1405">
        <f t="shared" si="609"/>
        <v>0.82352941176470584</v>
      </c>
      <c r="Q1405" t="str">
        <f t="shared" si="587"/>
        <v>11.52% | 1.11%</v>
      </c>
      <c r="R1405" t="str">
        <f t="shared" si="610"/>
        <v>NEUTRAL</v>
      </c>
      <c r="S1405">
        <f t="shared" si="588"/>
        <v>0</v>
      </c>
    </row>
    <row r="1406" spans="1:19" hidden="1" x14ac:dyDescent="0.25">
      <c r="A1406" s="5" t="str">
        <f t="shared" si="585"/>
        <v>43952NFLX</v>
      </c>
      <c r="B1406" s="6" t="s">
        <v>32</v>
      </c>
      <c r="C1406" s="6">
        <v>397</v>
      </c>
      <c r="D1406" s="6">
        <v>442</v>
      </c>
      <c r="E1406" s="6">
        <v>419</v>
      </c>
      <c r="F1406" t="str">
        <f t="shared" si="600"/>
        <v>FRI</v>
      </c>
      <c r="G1406" s="1">
        <f t="shared" si="601"/>
        <v>43952</v>
      </c>
      <c r="H1406" s="2">
        <f t="shared" ca="1" si="602"/>
        <v>301</v>
      </c>
      <c r="I1406" t="str">
        <f t="shared" si="603"/>
        <v>NFLX</v>
      </c>
      <c r="J1406">
        <f t="shared" si="604"/>
        <v>397</v>
      </c>
      <c r="K1406">
        <f t="shared" si="605"/>
        <v>442</v>
      </c>
      <c r="L1406">
        <f t="shared" si="606"/>
        <v>419.5</v>
      </c>
      <c r="M1406">
        <f t="shared" si="607"/>
        <v>22.5</v>
      </c>
      <c r="N1406">
        <f t="shared" si="586"/>
        <v>45</v>
      </c>
      <c r="O1406">
        <f t="shared" si="608"/>
        <v>419</v>
      </c>
      <c r="P1406">
        <f t="shared" si="609"/>
        <v>-2.2222222222222223E-2</v>
      </c>
      <c r="Q1406" t="str">
        <f t="shared" si="587"/>
        <v>5.25% | 5.49%</v>
      </c>
      <c r="R1406" t="str">
        <f t="shared" si="610"/>
        <v>BULLISH</v>
      </c>
      <c r="S1406">
        <f t="shared" si="588"/>
        <v>1</v>
      </c>
    </row>
    <row r="1407" spans="1:19" x14ac:dyDescent="0.25">
      <c r="A1407" s="5" t="str">
        <f t="shared" si="585"/>
        <v>43952TSLA</v>
      </c>
      <c r="B1407" s="6" t="s">
        <v>33</v>
      </c>
      <c r="C1407" s="6">
        <v>670</v>
      </c>
      <c r="D1407" s="6">
        <v>829</v>
      </c>
      <c r="E1407" s="6">
        <v>781</v>
      </c>
      <c r="F1407" t="str">
        <f t="shared" si="600"/>
        <v>FRI</v>
      </c>
      <c r="G1407" s="1">
        <f t="shared" si="601"/>
        <v>43952</v>
      </c>
      <c r="H1407" s="2">
        <f t="shared" ca="1" si="602"/>
        <v>301</v>
      </c>
      <c r="I1407" t="str">
        <f t="shared" si="603"/>
        <v>TSLA</v>
      </c>
      <c r="J1407">
        <f t="shared" si="604"/>
        <v>670</v>
      </c>
      <c r="K1407">
        <f t="shared" si="605"/>
        <v>829</v>
      </c>
      <c r="L1407">
        <f t="shared" si="606"/>
        <v>749.5</v>
      </c>
      <c r="M1407">
        <f t="shared" si="607"/>
        <v>79.5</v>
      </c>
      <c r="N1407">
        <f t="shared" si="586"/>
        <v>159</v>
      </c>
      <c r="O1407">
        <f t="shared" si="608"/>
        <v>781</v>
      </c>
      <c r="P1407">
        <f t="shared" si="609"/>
        <v>0.39622641509433965</v>
      </c>
      <c r="Q1407" t="str">
        <f t="shared" si="587"/>
        <v>14.21% | 6.15%</v>
      </c>
      <c r="R1407" t="str">
        <f t="shared" si="610"/>
        <v>BULLISH</v>
      </c>
      <c r="S1407">
        <f t="shared" si="588"/>
        <v>1</v>
      </c>
    </row>
    <row r="1408" spans="1:19" hidden="1" x14ac:dyDescent="0.25">
      <c r="A1408" s="5" t="str">
        <f t="shared" si="585"/>
        <v>43952NYXBT</v>
      </c>
      <c r="B1408" s="6" t="s">
        <v>34</v>
      </c>
      <c r="C1408" s="6">
        <v>7309</v>
      </c>
      <c r="D1408" s="6">
        <v>8917</v>
      </c>
      <c r="E1408" s="6">
        <v>8827</v>
      </c>
      <c r="F1408" t="str">
        <f t="shared" si="600"/>
        <v>FRI</v>
      </c>
      <c r="G1408" s="1">
        <f t="shared" si="601"/>
        <v>43952</v>
      </c>
      <c r="H1408" s="2">
        <f t="shared" ca="1" si="602"/>
        <v>301</v>
      </c>
      <c r="I1408" t="str">
        <f t="shared" si="603"/>
        <v>NYXBT</v>
      </c>
      <c r="J1408">
        <f t="shared" si="604"/>
        <v>7309</v>
      </c>
      <c r="K1408">
        <f t="shared" si="605"/>
        <v>8917</v>
      </c>
      <c r="L1408">
        <f t="shared" si="606"/>
        <v>8113</v>
      </c>
      <c r="M1408">
        <f t="shared" si="607"/>
        <v>804</v>
      </c>
      <c r="N1408">
        <f t="shared" si="586"/>
        <v>1608</v>
      </c>
      <c r="O1408">
        <f t="shared" si="608"/>
        <v>8827</v>
      </c>
      <c r="P1408">
        <f t="shared" si="609"/>
        <v>0.88805970149253732</v>
      </c>
      <c r="Q1408" t="str">
        <f t="shared" si="587"/>
        <v>17.2% | 1.02%</v>
      </c>
      <c r="R1408" t="str">
        <f t="shared" si="610"/>
        <v>BULLISH</v>
      </c>
      <c r="S1408">
        <f t="shared" si="588"/>
        <v>1</v>
      </c>
    </row>
    <row r="1409" spans="1:19" hidden="1" x14ac:dyDescent="0.25">
      <c r="A1409" s="5" t="str">
        <f t="shared" si="585"/>
        <v>43955UST10Y</v>
      </c>
      <c r="B1409" s="6" t="s">
        <v>4</v>
      </c>
      <c r="C1409" s="6">
        <v>0.67</v>
      </c>
      <c r="D1409" s="6">
        <v>0.56999999999999995</v>
      </c>
      <c r="E1409" s="6">
        <v>0.64</v>
      </c>
      <c r="F1409" t="str">
        <f t="shared" si="600"/>
        <v>MON</v>
      </c>
      <c r="G1409" s="3">
        <f>DATE(2020,5,4)</f>
        <v>43955</v>
      </c>
      <c r="H1409" s="2">
        <f t="shared" ca="1" si="602"/>
        <v>298</v>
      </c>
      <c r="I1409" t="str">
        <f t="shared" si="603"/>
        <v>UST10Y</v>
      </c>
      <c r="J1409">
        <f t="shared" si="604"/>
        <v>0.67</v>
      </c>
      <c r="K1409">
        <f t="shared" si="605"/>
        <v>0.56999999999999995</v>
      </c>
      <c r="L1409">
        <f t="shared" si="606"/>
        <v>0.62</v>
      </c>
      <c r="M1409">
        <f t="shared" si="607"/>
        <v>5.0000000000000044E-2</v>
      </c>
      <c r="N1409">
        <f t="shared" si="586"/>
        <v>0.10000000000000009</v>
      </c>
      <c r="O1409">
        <f t="shared" si="608"/>
        <v>0.64</v>
      </c>
      <c r="P1409">
        <f t="shared" si="609"/>
        <v>0.4</v>
      </c>
      <c r="Q1409" t="str">
        <f t="shared" si="587"/>
        <v>4.69% | 10.94%</v>
      </c>
      <c r="R1409" t="str">
        <f t="shared" si="610"/>
        <v>BEARISH</v>
      </c>
      <c r="S1409">
        <f t="shared" si="588"/>
        <v>-1</v>
      </c>
    </row>
    <row r="1410" spans="1:19" hidden="1" x14ac:dyDescent="0.25">
      <c r="A1410" s="5" t="str">
        <f t="shared" si="585"/>
        <v>43955UST2Y</v>
      </c>
      <c r="B1410" s="6" t="s">
        <v>5</v>
      </c>
      <c r="C1410" s="6">
        <v>0.23</v>
      </c>
      <c r="D1410" s="6">
        <v>0.16</v>
      </c>
      <c r="E1410" s="6">
        <v>0.2</v>
      </c>
      <c r="F1410" t="str">
        <f t="shared" ref="F1410:F1440" si="611">UPPER(TEXT(G1410,"ddd"))</f>
        <v>MON</v>
      </c>
      <c r="G1410" s="3">
        <f t="shared" ref="G1410:G1439" si="612">DATE(2020,5,4)</f>
        <v>43955</v>
      </c>
      <c r="H1410" s="2">
        <f t="shared" ref="H1410:H1440" ca="1" si="613">TODAY()-G1410</f>
        <v>298</v>
      </c>
      <c r="I1410" t="str">
        <f t="shared" ref="I1410:I1440" si="614">TRIM(LEFT(B1410,FIND(" ",B1410,1)))</f>
        <v>UST2Y</v>
      </c>
      <c r="J1410">
        <f t="shared" ref="J1410:J1440" si="615">C1410</f>
        <v>0.23</v>
      </c>
      <c r="K1410">
        <f t="shared" ref="K1410:K1440" si="616">D1410</f>
        <v>0.16</v>
      </c>
      <c r="L1410">
        <f t="shared" ref="L1410:L1440" si="617">AVERAGE(J1410:K1410)</f>
        <v>0.19500000000000001</v>
      </c>
      <c r="M1410">
        <f t="shared" ref="M1410:M1440" si="618">_xlfn.STDEV.P(J1410:K1410)</f>
        <v>3.4999999999999955E-2</v>
      </c>
      <c r="N1410">
        <f t="shared" si="586"/>
        <v>7.0000000000000007E-2</v>
      </c>
      <c r="O1410">
        <f t="shared" ref="O1410:O1440" si="619">E1410</f>
        <v>0.2</v>
      </c>
      <c r="P1410">
        <f t="shared" ref="P1410:P1440" si="620">(O1410-L1410)/M1410</f>
        <v>0.14285714285714318</v>
      </c>
      <c r="Q1410" t="str">
        <f t="shared" si="587"/>
        <v>15% | 20%</v>
      </c>
      <c r="R1410" t="str">
        <f t="shared" ref="R1410:R1440" si="621">MID(B1410,FIND("(",B1410,1)+1,FIND(")",B1410,1)-FIND("(",B1410,1)-1)</f>
        <v>BEARISH</v>
      </c>
      <c r="S1410">
        <f t="shared" si="588"/>
        <v>-1</v>
      </c>
    </row>
    <row r="1411" spans="1:19" hidden="1" x14ac:dyDescent="0.25">
      <c r="A1411" s="5" t="str">
        <f t="shared" ref="A1411:A1474" si="622">G1411&amp;I1411</f>
        <v>43955SPX</v>
      </c>
      <c r="B1411" s="6" t="s">
        <v>6</v>
      </c>
      <c r="C1411" s="6">
        <v>2719</v>
      </c>
      <c r="D1411" s="6">
        <v>2957</v>
      </c>
      <c r="E1411" s="6">
        <v>2830</v>
      </c>
      <c r="F1411" t="str">
        <f t="shared" si="611"/>
        <v>MON</v>
      </c>
      <c r="G1411" s="3">
        <f t="shared" si="612"/>
        <v>43955</v>
      </c>
      <c r="H1411" s="2">
        <f t="shared" ca="1" si="613"/>
        <v>298</v>
      </c>
      <c r="I1411" t="str">
        <f t="shared" si="614"/>
        <v>SPX</v>
      </c>
      <c r="J1411">
        <f t="shared" si="615"/>
        <v>2719</v>
      </c>
      <c r="K1411">
        <f t="shared" si="616"/>
        <v>2957</v>
      </c>
      <c r="L1411">
        <f t="shared" si="617"/>
        <v>2838</v>
      </c>
      <c r="M1411">
        <f t="shared" si="618"/>
        <v>119</v>
      </c>
      <c r="N1411">
        <f t="shared" ref="N1411:N1474" si="623">ABS(K1411-J1411)</f>
        <v>238</v>
      </c>
      <c r="O1411">
        <f t="shared" si="619"/>
        <v>2830</v>
      </c>
      <c r="P1411">
        <f t="shared" si="620"/>
        <v>-6.7226890756302518E-2</v>
      </c>
      <c r="Q1411" t="str">
        <f t="shared" ref="Q1411:Q1474" si="624">ROUND(ABS(100*(O1411-J1411)/O1411),2)&amp;"% | "&amp;ROUND(ABS(100*(K1411-O1411)/O1411),2)&amp;"%"</f>
        <v>3.92% | 4.49%</v>
      </c>
      <c r="R1411" t="str">
        <f t="shared" si="621"/>
        <v>BEARISH</v>
      </c>
      <c r="S1411">
        <f t="shared" ref="S1411:S1474" si="625">IF(R1411="BEARISH",-1,IF(R1411="NEUTRAL",0,IF(R1411="BULLISH",1,99)))</f>
        <v>-1</v>
      </c>
    </row>
    <row r="1412" spans="1:19" hidden="1" x14ac:dyDescent="0.25">
      <c r="A1412" s="5" t="str">
        <f t="shared" si="622"/>
        <v>43955RUT</v>
      </c>
      <c r="B1412" s="6" t="s">
        <v>7</v>
      </c>
      <c r="C1412" s="6">
        <v>1150</v>
      </c>
      <c r="D1412" s="6">
        <v>1366</v>
      </c>
      <c r="E1412" s="6">
        <v>1260</v>
      </c>
      <c r="F1412" t="str">
        <f t="shared" si="611"/>
        <v>MON</v>
      </c>
      <c r="G1412" s="3">
        <f t="shared" si="612"/>
        <v>43955</v>
      </c>
      <c r="H1412" s="2">
        <f t="shared" ca="1" si="613"/>
        <v>298</v>
      </c>
      <c r="I1412" t="str">
        <f t="shared" si="614"/>
        <v>RUT</v>
      </c>
      <c r="J1412">
        <f t="shared" si="615"/>
        <v>1150</v>
      </c>
      <c r="K1412">
        <f t="shared" si="616"/>
        <v>1366</v>
      </c>
      <c r="L1412">
        <f t="shared" si="617"/>
        <v>1258</v>
      </c>
      <c r="M1412">
        <f t="shared" si="618"/>
        <v>108</v>
      </c>
      <c r="N1412">
        <f t="shared" si="623"/>
        <v>216</v>
      </c>
      <c r="O1412">
        <f t="shared" si="619"/>
        <v>1260</v>
      </c>
      <c r="P1412">
        <f t="shared" si="620"/>
        <v>1.8518518518518517E-2</v>
      </c>
      <c r="Q1412" t="str">
        <f t="shared" si="624"/>
        <v>8.73% | 8.41%</v>
      </c>
      <c r="R1412" t="str">
        <f t="shared" si="621"/>
        <v>BEARISH</v>
      </c>
      <c r="S1412">
        <f t="shared" si="625"/>
        <v>-1</v>
      </c>
    </row>
    <row r="1413" spans="1:19" hidden="1" x14ac:dyDescent="0.25">
      <c r="A1413" s="5" t="str">
        <f t="shared" si="622"/>
        <v>43955COMPQ</v>
      </c>
      <c r="B1413" s="6" t="s">
        <v>61</v>
      </c>
      <c r="C1413" s="6">
        <v>8232</v>
      </c>
      <c r="D1413" s="6">
        <v>9001</v>
      </c>
      <c r="E1413" s="6">
        <v>8604</v>
      </c>
      <c r="F1413" t="str">
        <f t="shared" si="611"/>
        <v>MON</v>
      </c>
      <c r="G1413" s="3">
        <f t="shared" si="612"/>
        <v>43955</v>
      </c>
      <c r="H1413" s="2">
        <f t="shared" ca="1" si="613"/>
        <v>298</v>
      </c>
      <c r="I1413" t="str">
        <f t="shared" si="614"/>
        <v>COMPQ</v>
      </c>
      <c r="J1413">
        <f t="shared" si="615"/>
        <v>8232</v>
      </c>
      <c r="K1413">
        <f t="shared" si="616"/>
        <v>9001</v>
      </c>
      <c r="L1413">
        <f t="shared" si="617"/>
        <v>8616.5</v>
      </c>
      <c r="M1413">
        <f t="shared" si="618"/>
        <v>384.5</v>
      </c>
      <c r="N1413">
        <f t="shared" si="623"/>
        <v>769</v>
      </c>
      <c r="O1413">
        <f t="shared" si="619"/>
        <v>8604</v>
      </c>
      <c r="P1413">
        <f t="shared" si="620"/>
        <v>-3.2509752925877766E-2</v>
      </c>
      <c r="Q1413" t="str">
        <f t="shared" si="624"/>
        <v>4.32% | 4.61%</v>
      </c>
      <c r="R1413" t="str">
        <f t="shared" si="621"/>
        <v>NEUTRAL</v>
      </c>
      <c r="S1413">
        <f t="shared" si="625"/>
        <v>0</v>
      </c>
    </row>
    <row r="1414" spans="1:19" hidden="1" x14ac:dyDescent="0.25">
      <c r="A1414" s="5" t="str">
        <f t="shared" si="622"/>
        <v>43955XLP</v>
      </c>
      <c r="B1414" s="6" t="s">
        <v>50</v>
      </c>
      <c r="C1414" s="6">
        <v>57.02</v>
      </c>
      <c r="D1414" s="6">
        <v>59.76</v>
      </c>
      <c r="E1414" s="6">
        <v>57.62</v>
      </c>
      <c r="F1414" t="str">
        <f t="shared" si="611"/>
        <v>MON</v>
      </c>
      <c r="G1414" s="3">
        <f t="shared" si="612"/>
        <v>43955</v>
      </c>
      <c r="H1414" s="2">
        <f t="shared" ca="1" si="613"/>
        <v>298</v>
      </c>
      <c r="I1414" t="str">
        <f t="shared" si="614"/>
        <v>XLP</v>
      </c>
      <c r="J1414">
        <f t="shared" si="615"/>
        <v>57.02</v>
      </c>
      <c r="K1414">
        <f t="shared" si="616"/>
        <v>59.76</v>
      </c>
      <c r="L1414">
        <f t="shared" si="617"/>
        <v>58.39</v>
      </c>
      <c r="M1414">
        <f t="shared" si="618"/>
        <v>1.3699999999999974</v>
      </c>
      <c r="N1414">
        <f t="shared" si="623"/>
        <v>2.7399999999999949</v>
      </c>
      <c r="O1414">
        <f t="shared" si="619"/>
        <v>57.62</v>
      </c>
      <c r="P1414">
        <f t="shared" si="620"/>
        <v>-0.56204379562044127</v>
      </c>
      <c r="Q1414" t="str">
        <f t="shared" si="624"/>
        <v>1.04% | 3.71%</v>
      </c>
      <c r="R1414" t="str">
        <f t="shared" si="621"/>
        <v>NEUTRAL</v>
      </c>
      <c r="S1414">
        <f t="shared" si="625"/>
        <v>0</v>
      </c>
    </row>
    <row r="1415" spans="1:19" hidden="1" x14ac:dyDescent="0.25">
      <c r="A1415" s="5" t="str">
        <f t="shared" si="622"/>
        <v>43955XLV</v>
      </c>
      <c r="B1415" s="6" t="s">
        <v>9</v>
      </c>
      <c r="C1415" s="6">
        <v>95.11</v>
      </c>
      <c r="D1415" s="6">
        <v>101.98</v>
      </c>
      <c r="E1415" s="6">
        <v>97.83</v>
      </c>
      <c r="F1415" t="str">
        <f t="shared" si="611"/>
        <v>MON</v>
      </c>
      <c r="G1415" s="3">
        <f t="shared" si="612"/>
        <v>43955</v>
      </c>
      <c r="H1415" s="2">
        <f t="shared" ca="1" si="613"/>
        <v>298</v>
      </c>
      <c r="I1415" t="str">
        <f t="shared" si="614"/>
        <v>XLV</v>
      </c>
      <c r="J1415">
        <f t="shared" si="615"/>
        <v>95.11</v>
      </c>
      <c r="K1415">
        <f t="shared" si="616"/>
        <v>101.98</v>
      </c>
      <c r="L1415">
        <f t="shared" si="617"/>
        <v>98.545000000000002</v>
      </c>
      <c r="M1415">
        <f t="shared" si="618"/>
        <v>3.4350000000000023</v>
      </c>
      <c r="N1415">
        <f t="shared" si="623"/>
        <v>6.8700000000000045</v>
      </c>
      <c r="O1415">
        <f t="shared" si="619"/>
        <v>97.83</v>
      </c>
      <c r="P1415">
        <f t="shared" si="620"/>
        <v>-0.20815138282387277</v>
      </c>
      <c r="Q1415" t="str">
        <f t="shared" si="624"/>
        <v>2.78% | 4.24%</v>
      </c>
      <c r="R1415" t="str">
        <f t="shared" si="621"/>
        <v>BULLISH</v>
      </c>
      <c r="S1415">
        <f t="shared" si="625"/>
        <v>1</v>
      </c>
    </row>
    <row r="1416" spans="1:19" hidden="1" x14ac:dyDescent="0.25">
      <c r="A1416" s="5" t="str">
        <f t="shared" si="622"/>
        <v>43955XLU</v>
      </c>
      <c r="B1416" s="6" t="s">
        <v>82</v>
      </c>
      <c r="C1416" s="6">
        <v>55.03</v>
      </c>
      <c r="D1416" s="6">
        <v>59.9</v>
      </c>
      <c r="E1416" s="6">
        <v>55.88</v>
      </c>
      <c r="F1416" t="str">
        <f t="shared" si="611"/>
        <v>MON</v>
      </c>
      <c r="G1416" s="3">
        <f t="shared" si="612"/>
        <v>43955</v>
      </c>
      <c r="H1416" s="2">
        <f t="shared" ca="1" si="613"/>
        <v>298</v>
      </c>
      <c r="I1416" t="str">
        <f t="shared" si="614"/>
        <v>XLU</v>
      </c>
      <c r="J1416">
        <f t="shared" si="615"/>
        <v>55.03</v>
      </c>
      <c r="K1416">
        <f t="shared" si="616"/>
        <v>59.9</v>
      </c>
      <c r="L1416">
        <f t="shared" si="617"/>
        <v>57.465000000000003</v>
      </c>
      <c r="M1416">
        <f t="shared" si="618"/>
        <v>2.4349999999999987</v>
      </c>
      <c r="N1416">
        <f t="shared" si="623"/>
        <v>4.8699999999999974</v>
      </c>
      <c r="O1416">
        <f t="shared" si="619"/>
        <v>55.88</v>
      </c>
      <c r="P1416">
        <f t="shared" si="620"/>
        <v>-0.65092402464065779</v>
      </c>
      <c r="Q1416" t="str">
        <f t="shared" si="624"/>
        <v>1.52% | 7.19%</v>
      </c>
      <c r="R1416" t="str">
        <f t="shared" si="621"/>
        <v>BEARISH</v>
      </c>
      <c r="S1416">
        <f t="shared" si="625"/>
        <v>-1</v>
      </c>
    </row>
    <row r="1417" spans="1:19" hidden="1" x14ac:dyDescent="0.25">
      <c r="A1417" s="5" t="str">
        <f t="shared" si="622"/>
        <v>43955XLK</v>
      </c>
      <c r="B1417" s="6" t="s">
        <v>62</v>
      </c>
      <c r="C1417" s="6">
        <v>83.12</v>
      </c>
      <c r="D1417" s="6">
        <v>92.93</v>
      </c>
      <c r="E1417" s="6">
        <v>88.9</v>
      </c>
      <c r="F1417" t="str">
        <f t="shared" si="611"/>
        <v>MON</v>
      </c>
      <c r="G1417" s="3">
        <f t="shared" si="612"/>
        <v>43955</v>
      </c>
      <c r="H1417" s="2">
        <f t="shared" ca="1" si="613"/>
        <v>298</v>
      </c>
      <c r="I1417" t="str">
        <f t="shared" si="614"/>
        <v>XLK</v>
      </c>
      <c r="J1417">
        <f t="shared" si="615"/>
        <v>83.12</v>
      </c>
      <c r="K1417">
        <f t="shared" si="616"/>
        <v>92.93</v>
      </c>
      <c r="L1417">
        <f t="shared" si="617"/>
        <v>88.025000000000006</v>
      </c>
      <c r="M1417">
        <f t="shared" si="618"/>
        <v>4.9050000000000011</v>
      </c>
      <c r="N1417">
        <f t="shared" si="623"/>
        <v>9.8100000000000023</v>
      </c>
      <c r="O1417">
        <f t="shared" si="619"/>
        <v>88.9</v>
      </c>
      <c r="P1417">
        <f t="shared" si="620"/>
        <v>0.17838939857288477</v>
      </c>
      <c r="Q1417" t="str">
        <f t="shared" si="624"/>
        <v>6.5% | 4.53%</v>
      </c>
      <c r="R1417" t="str">
        <f t="shared" si="621"/>
        <v>NEUTRAL</v>
      </c>
      <c r="S1417">
        <f t="shared" si="625"/>
        <v>0</v>
      </c>
    </row>
    <row r="1418" spans="1:19" hidden="1" x14ac:dyDescent="0.25">
      <c r="A1418" s="5" t="str">
        <f t="shared" si="622"/>
        <v>43955XLF</v>
      </c>
      <c r="B1418" s="6" t="s">
        <v>12</v>
      </c>
      <c r="C1418" s="6">
        <v>19.98</v>
      </c>
      <c r="D1418" s="6">
        <v>23.53</v>
      </c>
      <c r="E1418" s="6">
        <v>22.06</v>
      </c>
      <c r="F1418" t="str">
        <f t="shared" si="611"/>
        <v>MON</v>
      </c>
      <c r="G1418" s="3">
        <f t="shared" si="612"/>
        <v>43955</v>
      </c>
      <c r="H1418" s="2">
        <f t="shared" ca="1" si="613"/>
        <v>298</v>
      </c>
      <c r="I1418" t="str">
        <f t="shared" si="614"/>
        <v>XLF</v>
      </c>
      <c r="J1418">
        <f t="shared" si="615"/>
        <v>19.98</v>
      </c>
      <c r="K1418">
        <f t="shared" si="616"/>
        <v>23.53</v>
      </c>
      <c r="L1418">
        <f t="shared" si="617"/>
        <v>21.755000000000003</v>
      </c>
      <c r="M1418">
        <f t="shared" si="618"/>
        <v>1.7750000000000004</v>
      </c>
      <c r="N1418">
        <f t="shared" si="623"/>
        <v>3.5500000000000007</v>
      </c>
      <c r="O1418">
        <f t="shared" si="619"/>
        <v>22.06</v>
      </c>
      <c r="P1418">
        <f t="shared" si="620"/>
        <v>0.17183098591549076</v>
      </c>
      <c r="Q1418" t="str">
        <f t="shared" si="624"/>
        <v>9.43% | 6.66%</v>
      </c>
      <c r="R1418" t="str">
        <f t="shared" si="621"/>
        <v>BEARISH</v>
      </c>
      <c r="S1418">
        <f t="shared" si="625"/>
        <v>-1</v>
      </c>
    </row>
    <row r="1419" spans="1:19" hidden="1" x14ac:dyDescent="0.25">
      <c r="A1419" s="5" t="str">
        <f t="shared" si="622"/>
        <v>43955SSEC</v>
      </c>
      <c r="B1419" s="6" t="s">
        <v>14</v>
      </c>
      <c r="C1419" s="6">
        <v>2750</v>
      </c>
      <c r="D1419" s="6">
        <v>2866</v>
      </c>
      <c r="E1419" s="6">
        <v>2860</v>
      </c>
      <c r="F1419" t="str">
        <f t="shared" si="611"/>
        <v>MON</v>
      </c>
      <c r="G1419" s="3">
        <f t="shared" si="612"/>
        <v>43955</v>
      </c>
      <c r="H1419" s="2">
        <f t="shared" ca="1" si="613"/>
        <v>298</v>
      </c>
      <c r="I1419" t="str">
        <f t="shared" si="614"/>
        <v>SSEC</v>
      </c>
      <c r="J1419">
        <f t="shared" si="615"/>
        <v>2750</v>
      </c>
      <c r="K1419">
        <f t="shared" si="616"/>
        <v>2866</v>
      </c>
      <c r="L1419">
        <f t="shared" si="617"/>
        <v>2808</v>
      </c>
      <c r="M1419">
        <f t="shared" si="618"/>
        <v>58</v>
      </c>
      <c r="N1419">
        <f t="shared" si="623"/>
        <v>116</v>
      </c>
      <c r="O1419">
        <f t="shared" si="619"/>
        <v>2860</v>
      </c>
      <c r="P1419">
        <f t="shared" si="620"/>
        <v>0.89655172413793105</v>
      </c>
      <c r="Q1419" t="str">
        <f t="shared" si="624"/>
        <v>3.85% | 0.21%</v>
      </c>
      <c r="R1419" t="str">
        <f t="shared" si="621"/>
        <v>BEARISH</v>
      </c>
      <c r="S1419">
        <f t="shared" si="625"/>
        <v>-1</v>
      </c>
    </row>
    <row r="1420" spans="1:19" hidden="1" x14ac:dyDescent="0.25">
      <c r="A1420" s="5" t="str">
        <f t="shared" si="622"/>
        <v>43955NIKK</v>
      </c>
      <c r="B1420" s="6" t="s">
        <v>15</v>
      </c>
      <c r="C1420" s="6">
        <v>18847</v>
      </c>
      <c r="D1420" s="6">
        <v>20208</v>
      </c>
      <c r="E1420" s="6">
        <v>19619</v>
      </c>
      <c r="F1420" t="str">
        <f t="shared" si="611"/>
        <v>MON</v>
      </c>
      <c r="G1420" s="3">
        <f t="shared" si="612"/>
        <v>43955</v>
      </c>
      <c r="H1420" s="2">
        <f t="shared" ca="1" si="613"/>
        <v>298</v>
      </c>
      <c r="I1420" t="str">
        <f t="shared" si="614"/>
        <v>NIKK</v>
      </c>
      <c r="J1420">
        <f t="shared" si="615"/>
        <v>18847</v>
      </c>
      <c r="K1420">
        <f t="shared" si="616"/>
        <v>20208</v>
      </c>
      <c r="L1420">
        <f t="shared" si="617"/>
        <v>19527.5</v>
      </c>
      <c r="M1420">
        <f t="shared" si="618"/>
        <v>680.5</v>
      </c>
      <c r="N1420">
        <f t="shared" si="623"/>
        <v>1361</v>
      </c>
      <c r="O1420">
        <f t="shared" si="619"/>
        <v>19619</v>
      </c>
      <c r="P1420">
        <f t="shared" si="620"/>
        <v>0.13445995591476856</v>
      </c>
      <c r="Q1420" t="str">
        <f t="shared" si="624"/>
        <v>3.93% | 3%</v>
      </c>
      <c r="R1420" t="str">
        <f t="shared" si="621"/>
        <v>BEARISH</v>
      </c>
      <c r="S1420">
        <f t="shared" si="625"/>
        <v>-1</v>
      </c>
    </row>
    <row r="1421" spans="1:19" hidden="1" x14ac:dyDescent="0.25">
      <c r="A1421" s="5" t="str">
        <f t="shared" si="622"/>
        <v>43955DAX</v>
      </c>
      <c r="B1421" s="6" t="s">
        <v>16</v>
      </c>
      <c r="C1421" s="6">
        <v>10099</v>
      </c>
      <c r="D1421" s="6">
        <v>11125</v>
      </c>
      <c r="E1421" s="6">
        <v>10857</v>
      </c>
      <c r="F1421" t="str">
        <f t="shared" si="611"/>
        <v>MON</v>
      </c>
      <c r="G1421" s="3">
        <f t="shared" si="612"/>
        <v>43955</v>
      </c>
      <c r="H1421" s="2">
        <f t="shared" ca="1" si="613"/>
        <v>298</v>
      </c>
      <c r="I1421" t="str">
        <f t="shared" si="614"/>
        <v>DAX</v>
      </c>
      <c r="J1421">
        <f t="shared" si="615"/>
        <v>10099</v>
      </c>
      <c r="K1421">
        <f t="shared" si="616"/>
        <v>11125</v>
      </c>
      <c r="L1421">
        <f t="shared" si="617"/>
        <v>10612</v>
      </c>
      <c r="M1421">
        <f t="shared" si="618"/>
        <v>513</v>
      </c>
      <c r="N1421">
        <f t="shared" si="623"/>
        <v>1026</v>
      </c>
      <c r="O1421">
        <f t="shared" si="619"/>
        <v>10857</v>
      </c>
      <c r="P1421">
        <f t="shared" si="620"/>
        <v>0.47758284600389861</v>
      </c>
      <c r="Q1421" t="str">
        <f t="shared" si="624"/>
        <v>6.98% | 2.47%</v>
      </c>
      <c r="R1421" t="str">
        <f t="shared" si="621"/>
        <v>BEARISH</v>
      </c>
      <c r="S1421">
        <f t="shared" si="625"/>
        <v>-1</v>
      </c>
    </row>
    <row r="1422" spans="1:19" hidden="1" x14ac:dyDescent="0.25">
      <c r="A1422" s="5" t="str">
        <f t="shared" si="622"/>
        <v>43955VIX</v>
      </c>
      <c r="B1422" s="6" t="s">
        <v>17</v>
      </c>
      <c r="C1422" s="6">
        <v>30.02</v>
      </c>
      <c r="D1422" s="6">
        <v>47.14</v>
      </c>
      <c r="E1422" s="6">
        <v>37.19</v>
      </c>
      <c r="F1422" t="str">
        <f t="shared" si="611"/>
        <v>MON</v>
      </c>
      <c r="G1422" s="3">
        <f t="shared" si="612"/>
        <v>43955</v>
      </c>
      <c r="H1422" s="2">
        <f t="shared" ca="1" si="613"/>
        <v>298</v>
      </c>
      <c r="I1422" t="str">
        <f t="shared" si="614"/>
        <v>VIX</v>
      </c>
      <c r="J1422">
        <f t="shared" si="615"/>
        <v>30.02</v>
      </c>
      <c r="K1422">
        <f t="shared" si="616"/>
        <v>47.14</v>
      </c>
      <c r="L1422">
        <f t="shared" si="617"/>
        <v>38.58</v>
      </c>
      <c r="M1422">
        <f t="shared" si="618"/>
        <v>8.5600000000000129</v>
      </c>
      <c r="N1422">
        <f t="shared" si="623"/>
        <v>17.12</v>
      </c>
      <c r="O1422">
        <f t="shared" si="619"/>
        <v>37.19</v>
      </c>
      <c r="P1422">
        <f t="shared" si="620"/>
        <v>-0.16238317757009327</v>
      </c>
      <c r="Q1422" t="str">
        <f t="shared" si="624"/>
        <v>19.28% | 26.75%</v>
      </c>
      <c r="R1422" t="str">
        <f t="shared" si="621"/>
        <v>BULLISH</v>
      </c>
      <c r="S1422">
        <f t="shared" si="625"/>
        <v>1</v>
      </c>
    </row>
    <row r="1423" spans="1:19" hidden="1" x14ac:dyDescent="0.25">
      <c r="A1423" s="5" t="str">
        <f t="shared" si="622"/>
        <v>43955USD</v>
      </c>
      <c r="B1423" s="6" t="s">
        <v>18</v>
      </c>
      <c r="C1423" s="6">
        <v>98.85</v>
      </c>
      <c r="D1423" s="6">
        <v>101.17</v>
      </c>
      <c r="E1423" s="6">
        <v>99.1</v>
      </c>
      <c r="F1423" t="str">
        <f t="shared" si="611"/>
        <v>MON</v>
      </c>
      <c r="G1423" s="3">
        <f t="shared" si="612"/>
        <v>43955</v>
      </c>
      <c r="H1423" s="2">
        <f t="shared" ca="1" si="613"/>
        <v>298</v>
      </c>
      <c r="I1423" t="str">
        <f t="shared" si="614"/>
        <v>USD</v>
      </c>
      <c r="J1423">
        <f t="shared" si="615"/>
        <v>98.85</v>
      </c>
      <c r="K1423">
        <f t="shared" si="616"/>
        <v>101.17</v>
      </c>
      <c r="L1423">
        <f t="shared" si="617"/>
        <v>100.00999999999999</v>
      </c>
      <c r="M1423">
        <f t="shared" si="618"/>
        <v>1.1600000000000037</v>
      </c>
      <c r="N1423">
        <f t="shared" si="623"/>
        <v>2.3200000000000074</v>
      </c>
      <c r="O1423">
        <f t="shared" si="619"/>
        <v>99.1</v>
      </c>
      <c r="P1423">
        <f t="shared" si="620"/>
        <v>-0.78448275862068417</v>
      </c>
      <c r="Q1423" t="str">
        <f t="shared" si="624"/>
        <v>0.25% | 2.09%</v>
      </c>
      <c r="R1423" t="str">
        <f t="shared" si="621"/>
        <v>BULLISH</v>
      </c>
      <c r="S1423">
        <f t="shared" si="625"/>
        <v>1</v>
      </c>
    </row>
    <row r="1424" spans="1:19" hidden="1" x14ac:dyDescent="0.25">
      <c r="A1424" s="5" t="str">
        <f t="shared" si="622"/>
        <v>43955EUR/USD</v>
      </c>
      <c r="B1424" s="6" t="s">
        <v>19</v>
      </c>
      <c r="C1424" s="6">
        <v>1.07</v>
      </c>
      <c r="D1424" s="6">
        <v>1.1000000000000001</v>
      </c>
      <c r="E1424" s="6">
        <v>1.0900000000000001</v>
      </c>
      <c r="F1424" t="str">
        <f t="shared" si="611"/>
        <v>MON</v>
      </c>
      <c r="G1424" s="3">
        <f t="shared" si="612"/>
        <v>43955</v>
      </c>
      <c r="H1424" s="2">
        <f t="shared" ca="1" si="613"/>
        <v>298</v>
      </c>
      <c r="I1424" t="str">
        <f t="shared" si="614"/>
        <v>EUR/USD</v>
      </c>
      <c r="J1424">
        <f t="shared" si="615"/>
        <v>1.07</v>
      </c>
      <c r="K1424">
        <f t="shared" si="616"/>
        <v>1.1000000000000001</v>
      </c>
      <c r="L1424">
        <f t="shared" si="617"/>
        <v>1.085</v>
      </c>
      <c r="M1424">
        <f t="shared" si="618"/>
        <v>1.5000000000000013E-2</v>
      </c>
      <c r="N1424">
        <f t="shared" si="623"/>
        <v>3.0000000000000027E-2</v>
      </c>
      <c r="O1424">
        <f t="shared" si="619"/>
        <v>1.0900000000000001</v>
      </c>
      <c r="P1424">
        <f t="shared" si="620"/>
        <v>0.33333333333334075</v>
      </c>
      <c r="Q1424" t="str">
        <f t="shared" si="624"/>
        <v>1.83% | 0.92%</v>
      </c>
      <c r="R1424" t="str">
        <f t="shared" si="621"/>
        <v>BEARISH</v>
      </c>
      <c r="S1424">
        <f t="shared" si="625"/>
        <v>-1</v>
      </c>
    </row>
    <row r="1425" spans="1:19" hidden="1" x14ac:dyDescent="0.25">
      <c r="A1425" s="5" t="str">
        <f t="shared" si="622"/>
        <v>43955USD/JPY</v>
      </c>
      <c r="B1425" s="6" t="s">
        <v>20</v>
      </c>
      <c r="C1425" s="6">
        <v>106.1</v>
      </c>
      <c r="D1425" s="6">
        <v>108.29</v>
      </c>
      <c r="E1425" s="6">
        <v>106.93</v>
      </c>
      <c r="F1425" t="str">
        <f t="shared" si="611"/>
        <v>MON</v>
      </c>
      <c r="G1425" s="3">
        <f t="shared" si="612"/>
        <v>43955</v>
      </c>
      <c r="H1425" s="2">
        <f t="shared" ca="1" si="613"/>
        <v>298</v>
      </c>
      <c r="I1425" t="str">
        <f t="shared" si="614"/>
        <v>USD/JPY</v>
      </c>
      <c r="J1425">
        <f t="shared" si="615"/>
        <v>106.1</v>
      </c>
      <c r="K1425">
        <f t="shared" si="616"/>
        <v>108.29</v>
      </c>
      <c r="L1425">
        <f t="shared" si="617"/>
        <v>107.19499999999999</v>
      </c>
      <c r="M1425">
        <f t="shared" si="618"/>
        <v>1.095000000000006</v>
      </c>
      <c r="N1425">
        <f t="shared" si="623"/>
        <v>2.1900000000000119</v>
      </c>
      <c r="O1425">
        <f t="shared" si="619"/>
        <v>106.93</v>
      </c>
      <c r="P1425">
        <f t="shared" si="620"/>
        <v>-0.24200913242007754</v>
      </c>
      <c r="Q1425" t="str">
        <f t="shared" si="624"/>
        <v>0.78% | 1.27%</v>
      </c>
      <c r="R1425" t="str">
        <f t="shared" si="621"/>
        <v>BEARISH</v>
      </c>
      <c r="S1425">
        <f t="shared" si="625"/>
        <v>-1</v>
      </c>
    </row>
    <row r="1426" spans="1:19" hidden="1" x14ac:dyDescent="0.25">
      <c r="A1426" s="5" t="str">
        <f t="shared" si="622"/>
        <v>43955GBP/USD</v>
      </c>
      <c r="B1426" s="6" t="s">
        <v>21</v>
      </c>
      <c r="C1426" s="6">
        <v>1.22</v>
      </c>
      <c r="D1426" s="6">
        <v>1.26</v>
      </c>
      <c r="E1426" s="6">
        <v>1.25</v>
      </c>
      <c r="F1426" t="str">
        <f t="shared" si="611"/>
        <v>MON</v>
      </c>
      <c r="G1426" s="3">
        <f t="shared" si="612"/>
        <v>43955</v>
      </c>
      <c r="H1426" s="2">
        <f t="shared" ca="1" si="613"/>
        <v>298</v>
      </c>
      <c r="I1426" t="str">
        <f t="shared" si="614"/>
        <v>GBP/USD</v>
      </c>
      <c r="J1426">
        <f t="shared" si="615"/>
        <v>1.22</v>
      </c>
      <c r="K1426">
        <f t="shared" si="616"/>
        <v>1.26</v>
      </c>
      <c r="L1426">
        <f t="shared" si="617"/>
        <v>1.24</v>
      </c>
      <c r="M1426">
        <f t="shared" si="618"/>
        <v>2.0000000000000018E-2</v>
      </c>
      <c r="N1426">
        <f t="shared" si="623"/>
        <v>4.0000000000000036E-2</v>
      </c>
      <c r="O1426">
        <f t="shared" si="619"/>
        <v>1.25</v>
      </c>
      <c r="P1426">
        <f t="shared" si="620"/>
        <v>0.5</v>
      </c>
      <c r="Q1426" t="str">
        <f t="shared" si="624"/>
        <v>2.4% | 0.8%</v>
      </c>
      <c r="R1426" t="str">
        <f t="shared" si="621"/>
        <v>BEARISH</v>
      </c>
      <c r="S1426">
        <f t="shared" si="625"/>
        <v>-1</v>
      </c>
    </row>
    <row r="1427" spans="1:19" hidden="1" x14ac:dyDescent="0.25">
      <c r="A1427" s="5" t="str">
        <f t="shared" si="622"/>
        <v>43955USD/CHF</v>
      </c>
      <c r="B1427" s="6" t="s">
        <v>22</v>
      </c>
      <c r="C1427" s="6">
        <v>0.96</v>
      </c>
      <c r="D1427" s="6">
        <v>0.98</v>
      </c>
      <c r="E1427" s="6">
        <v>0.96</v>
      </c>
      <c r="F1427" t="str">
        <f t="shared" si="611"/>
        <v>MON</v>
      </c>
      <c r="G1427" s="3">
        <f t="shared" si="612"/>
        <v>43955</v>
      </c>
      <c r="H1427" s="2">
        <f t="shared" ca="1" si="613"/>
        <v>298</v>
      </c>
      <c r="I1427" t="str">
        <f t="shared" si="614"/>
        <v>USD/CHF</v>
      </c>
      <c r="J1427">
        <f t="shared" si="615"/>
        <v>0.96</v>
      </c>
      <c r="K1427">
        <f t="shared" si="616"/>
        <v>0.98</v>
      </c>
      <c r="L1427">
        <f t="shared" si="617"/>
        <v>0.97</v>
      </c>
      <c r="M1427">
        <f t="shared" si="618"/>
        <v>1.0000000000000009E-2</v>
      </c>
      <c r="N1427">
        <f t="shared" si="623"/>
        <v>2.0000000000000018E-2</v>
      </c>
      <c r="O1427">
        <f t="shared" si="619"/>
        <v>0.96</v>
      </c>
      <c r="P1427">
        <f t="shared" si="620"/>
        <v>-1</v>
      </c>
      <c r="Q1427" t="str">
        <f t="shared" si="624"/>
        <v>0% | 2.08%</v>
      </c>
      <c r="R1427" t="str">
        <f t="shared" si="621"/>
        <v>NEUTRAL</v>
      </c>
      <c r="S1427">
        <f t="shared" si="625"/>
        <v>0</v>
      </c>
    </row>
    <row r="1428" spans="1:19" hidden="1" x14ac:dyDescent="0.25">
      <c r="A1428" s="5" t="str">
        <f t="shared" si="622"/>
        <v>43955WTIC</v>
      </c>
      <c r="B1428" s="6" t="s">
        <v>23</v>
      </c>
      <c r="C1428" s="6">
        <v>9.75</v>
      </c>
      <c r="D1428" s="6">
        <v>20.7</v>
      </c>
      <c r="E1428" s="6">
        <v>19.78</v>
      </c>
      <c r="F1428" t="str">
        <f t="shared" si="611"/>
        <v>MON</v>
      </c>
      <c r="G1428" s="3">
        <f t="shared" si="612"/>
        <v>43955</v>
      </c>
      <c r="H1428" s="2">
        <f t="shared" ca="1" si="613"/>
        <v>298</v>
      </c>
      <c r="I1428" t="str">
        <f t="shared" si="614"/>
        <v>WTIC</v>
      </c>
      <c r="J1428">
        <f t="shared" si="615"/>
        <v>9.75</v>
      </c>
      <c r="K1428">
        <f t="shared" si="616"/>
        <v>20.7</v>
      </c>
      <c r="L1428">
        <f t="shared" si="617"/>
        <v>15.225</v>
      </c>
      <c r="M1428">
        <f t="shared" si="618"/>
        <v>5.4750000000000005</v>
      </c>
      <c r="N1428">
        <f t="shared" si="623"/>
        <v>10.95</v>
      </c>
      <c r="O1428">
        <f t="shared" si="619"/>
        <v>19.78</v>
      </c>
      <c r="P1428">
        <f t="shared" si="620"/>
        <v>0.83196347031963491</v>
      </c>
      <c r="Q1428" t="str">
        <f t="shared" si="624"/>
        <v>50.71% | 4.65%</v>
      </c>
      <c r="R1428" t="str">
        <f t="shared" si="621"/>
        <v>BEARISH</v>
      </c>
      <c r="S1428">
        <f t="shared" si="625"/>
        <v>-1</v>
      </c>
    </row>
    <row r="1429" spans="1:19" hidden="1" x14ac:dyDescent="0.25">
      <c r="A1429" s="5" t="str">
        <f t="shared" si="622"/>
        <v>43955NATGAS</v>
      </c>
      <c r="B1429" s="6" t="s">
        <v>24</v>
      </c>
      <c r="C1429" s="6">
        <v>1.76</v>
      </c>
      <c r="D1429" s="6">
        <v>2.04</v>
      </c>
      <c r="E1429" s="6">
        <v>1.89</v>
      </c>
      <c r="F1429" t="str">
        <f t="shared" si="611"/>
        <v>MON</v>
      </c>
      <c r="G1429" s="3">
        <f t="shared" si="612"/>
        <v>43955</v>
      </c>
      <c r="H1429" s="2">
        <f t="shared" ca="1" si="613"/>
        <v>298</v>
      </c>
      <c r="I1429" t="str">
        <f t="shared" si="614"/>
        <v>NATGAS</v>
      </c>
      <c r="J1429">
        <f t="shared" si="615"/>
        <v>1.76</v>
      </c>
      <c r="K1429">
        <f t="shared" si="616"/>
        <v>2.04</v>
      </c>
      <c r="L1429">
        <f t="shared" si="617"/>
        <v>1.9</v>
      </c>
      <c r="M1429">
        <f t="shared" si="618"/>
        <v>0.14000000000000001</v>
      </c>
      <c r="N1429">
        <f t="shared" si="623"/>
        <v>0.28000000000000003</v>
      </c>
      <c r="O1429">
        <f t="shared" si="619"/>
        <v>1.89</v>
      </c>
      <c r="P1429">
        <f t="shared" si="620"/>
        <v>-7.142857142857148E-2</v>
      </c>
      <c r="Q1429" t="str">
        <f t="shared" si="624"/>
        <v>6.88% | 7.94%</v>
      </c>
      <c r="R1429" t="str">
        <f t="shared" si="621"/>
        <v>BEARISH</v>
      </c>
      <c r="S1429">
        <f t="shared" si="625"/>
        <v>-1</v>
      </c>
    </row>
    <row r="1430" spans="1:19" hidden="1" x14ac:dyDescent="0.25">
      <c r="A1430" s="5" t="str">
        <f t="shared" si="622"/>
        <v>43955GOLD</v>
      </c>
      <c r="B1430" s="6" t="s">
        <v>25</v>
      </c>
      <c r="C1430" s="6">
        <v>1678</v>
      </c>
      <c r="D1430" s="6">
        <v>1760</v>
      </c>
      <c r="E1430" s="6">
        <v>1700</v>
      </c>
      <c r="F1430" t="str">
        <f t="shared" si="611"/>
        <v>MON</v>
      </c>
      <c r="G1430" s="3">
        <f t="shared" si="612"/>
        <v>43955</v>
      </c>
      <c r="H1430" s="2">
        <f t="shared" ca="1" si="613"/>
        <v>298</v>
      </c>
      <c r="I1430" t="str">
        <f t="shared" si="614"/>
        <v>GOLD</v>
      </c>
      <c r="J1430">
        <f t="shared" si="615"/>
        <v>1678</v>
      </c>
      <c r="K1430">
        <f t="shared" si="616"/>
        <v>1760</v>
      </c>
      <c r="L1430">
        <f t="shared" si="617"/>
        <v>1719</v>
      </c>
      <c r="M1430">
        <f t="shared" si="618"/>
        <v>41</v>
      </c>
      <c r="N1430">
        <f t="shared" si="623"/>
        <v>82</v>
      </c>
      <c r="O1430">
        <f t="shared" si="619"/>
        <v>1700</v>
      </c>
      <c r="P1430">
        <f t="shared" si="620"/>
        <v>-0.46341463414634149</v>
      </c>
      <c r="Q1430" t="str">
        <f t="shared" si="624"/>
        <v>1.29% | 3.53%</v>
      </c>
      <c r="R1430" t="str">
        <f t="shared" si="621"/>
        <v>BULLISH</v>
      </c>
      <c r="S1430">
        <f t="shared" si="625"/>
        <v>1</v>
      </c>
    </row>
    <row r="1431" spans="1:19" hidden="1" x14ac:dyDescent="0.25">
      <c r="A1431" s="5" t="str">
        <f t="shared" si="622"/>
        <v>43955COPPER</v>
      </c>
      <c r="B1431" s="6" t="s">
        <v>26</v>
      </c>
      <c r="C1431" s="6">
        <v>2.23</v>
      </c>
      <c r="D1431" s="6">
        <v>2.38</v>
      </c>
      <c r="E1431" s="6">
        <v>2.31</v>
      </c>
      <c r="F1431" t="str">
        <f t="shared" si="611"/>
        <v>MON</v>
      </c>
      <c r="G1431" s="3">
        <f t="shared" si="612"/>
        <v>43955</v>
      </c>
      <c r="H1431" s="2">
        <f t="shared" ca="1" si="613"/>
        <v>298</v>
      </c>
      <c r="I1431" t="str">
        <f t="shared" si="614"/>
        <v>COPPER</v>
      </c>
      <c r="J1431">
        <f t="shared" si="615"/>
        <v>2.23</v>
      </c>
      <c r="K1431">
        <f t="shared" si="616"/>
        <v>2.38</v>
      </c>
      <c r="L1431">
        <f t="shared" si="617"/>
        <v>2.3049999999999997</v>
      </c>
      <c r="M1431">
        <f t="shared" si="618"/>
        <v>7.4999999999999956E-2</v>
      </c>
      <c r="N1431">
        <f t="shared" si="623"/>
        <v>0.14999999999999991</v>
      </c>
      <c r="O1431">
        <f t="shared" si="619"/>
        <v>2.31</v>
      </c>
      <c r="P1431">
        <f t="shared" si="620"/>
        <v>6.6666666666671204E-2</v>
      </c>
      <c r="Q1431" t="str">
        <f t="shared" si="624"/>
        <v>3.46% | 3.03%</v>
      </c>
      <c r="R1431" t="str">
        <f t="shared" si="621"/>
        <v>BEARISH</v>
      </c>
      <c r="S1431">
        <f t="shared" si="625"/>
        <v>-1</v>
      </c>
    </row>
    <row r="1432" spans="1:19" hidden="1" x14ac:dyDescent="0.25">
      <c r="A1432" s="5" t="str">
        <f t="shared" si="622"/>
        <v>43955MSFT</v>
      </c>
      <c r="B1432" s="6" t="s">
        <v>27</v>
      </c>
      <c r="C1432" s="6">
        <v>164</v>
      </c>
      <c r="D1432" s="6">
        <v>180</v>
      </c>
      <c r="E1432" s="6">
        <v>174</v>
      </c>
      <c r="F1432" t="str">
        <f t="shared" si="611"/>
        <v>MON</v>
      </c>
      <c r="G1432" s="3">
        <f t="shared" si="612"/>
        <v>43955</v>
      </c>
      <c r="H1432" s="2">
        <f t="shared" ca="1" si="613"/>
        <v>298</v>
      </c>
      <c r="I1432" t="str">
        <f t="shared" si="614"/>
        <v>MSFT</v>
      </c>
      <c r="J1432">
        <f t="shared" si="615"/>
        <v>164</v>
      </c>
      <c r="K1432">
        <f t="shared" si="616"/>
        <v>180</v>
      </c>
      <c r="L1432">
        <f t="shared" si="617"/>
        <v>172</v>
      </c>
      <c r="M1432">
        <f t="shared" si="618"/>
        <v>8</v>
      </c>
      <c r="N1432">
        <f t="shared" si="623"/>
        <v>16</v>
      </c>
      <c r="O1432">
        <f t="shared" si="619"/>
        <v>174</v>
      </c>
      <c r="P1432">
        <f t="shared" si="620"/>
        <v>0.25</v>
      </c>
      <c r="Q1432" t="str">
        <f t="shared" si="624"/>
        <v>5.75% | 3.45%</v>
      </c>
      <c r="R1432" t="str">
        <f t="shared" si="621"/>
        <v>BULLISH</v>
      </c>
      <c r="S1432">
        <f t="shared" si="625"/>
        <v>1</v>
      </c>
    </row>
    <row r="1433" spans="1:19" hidden="1" x14ac:dyDescent="0.25">
      <c r="A1433" s="5" t="str">
        <f t="shared" si="622"/>
        <v>43955AAPL</v>
      </c>
      <c r="B1433" s="6" t="s">
        <v>63</v>
      </c>
      <c r="C1433" s="6">
        <v>260</v>
      </c>
      <c r="D1433" s="6">
        <v>296</v>
      </c>
      <c r="E1433" s="6">
        <v>289</v>
      </c>
      <c r="F1433" t="str">
        <f t="shared" si="611"/>
        <v>MON</v>
      </c>
      <c r="G1433" s="3">
        <f t="shared" si="612"/>
        <v>43955</v>
      </c>
      <c r="H1433" s="2">
        <f t="shared" ca="1" si="613"/>
        <v>298</v>
      </c>
      <c r="I1433" t="str">
        <f t="shared" si="614"/>
        <v>AAPL</v>
      </c>
      <c r="J1433">
        <f t="shared" si="615"/>
        <v>260</v>
      </c>
      <c r="K1433">
        <f t="shared" si="616"/>
        <v>296</v>
      </c>
      <c r="L1433">
        <f t="shared" si="617"/>
        <v>278</v>
      </c>
      <c r="M1433">
        <f t="shared" si="618"/>
        <v>18</v>
      </c>
      <c r="N1433">
        <f t="shared" si="623"/>
        <v>36</v>
      </c>
      <c r="O1433">
        <f t="shared" si="619"/>
        <v>289</v>
      </c>
      <c r="P1433">
        <f t="shared" si="620"/>
        <v>0.61111111111111116</v>
      </c>
      <c r="Q1433" t="str">
        <f t="shared" si="624"/>
        <v>10.03% | 2.42%</v>
      </c>
      <c r="R1433" t="str">
        <f t="shared" si="621"/>
        <v>NEUTRAL</v>
      </c>
      <c r="S1433">
        <f t="shared" si="625"/>
        <v>0</v>
      </c>
    </row>
    <row r="1434" spans="1:19" hidden="1" x14ac:dyDescent="0.25">
      <c r="A1434" s="5" t="str">
        <f t="shared" si="622"/>
        <v>43955AMZN</v>
      </c>
      <c r="B1434" s="6" t="s">
        <v>29</v>
      </c>
      <c r="C1434" s="6">
        <v>2219</v>
      </c>
      <c r="D1434" s="6">
        <v>2476</v>
      </c>
      <c r="E1434" s="6">
        <v>2286</v>
      </c>
      <c r="F1434" t="str">
        <f t="shared" si="611"/>
        <v>MON</v>
      </c>
      <c r="G1434" s="3">
        <f t="shared" si="612"/>
        <v>43955</v>
      </c>
      <c r="H1434" s="2">
        <f t="shared" ca="1" si="613"/>
        <v>298</v>
      </c>
      <c r="I1434" t="str">
        <f t="shared" si="614"/>
        <v>AMZN</v>
      </c>
      <c r="J1434">
        <f t="shared" si="615"/>
        <v>2219</v>
      </c>
      <c r="K1434">
        <f t="shared" si="616"/>
        <v>2476</v>
      </c>
      <c r="L1434">
        <f t="shared" si="617"/>
        <v>2347.5</v>
      </c>
      <c r="M1434">
        <f t="shared" si="618"/>
        <v>128.5</v>
      </c>
      <c r="N1434">
        <f t="shared" si="623"/>
        <v>257</v>
      </c>
      <c r="O1434">
        <f t="shared" si="619"/>
        <v>2286</v>
      </c>
      <c r="P1434">
        <f t="shared" si="620"/>
        <v>-0.47859922178988329</v>
      </c>
      <c r="Q1434" t="str">
        <f t="shared" si="624"/>
        <v>2.93% | 8.31%</v>
      </c>
      <c r="R1434" t="str">
        <f t="shared" si="621"/>
        <v>BULLISH</v>
      </c>
      <c r="S1434">
        <f t="shared" si="625"/>
        <v>1</v>
      </c>
    </row>
    <row r="1435" spans="1:19" hidden="1" x14ac:dyDescent="0.25">
      <c r="A1435" s="5" t="str">
        <f t="shared" si="622"/>
        <v>43955FB</v>
      </c>
      <c r="B1435" s="6" t="s">
        <v>30</v>
      </c>
      <c r="C1435" s="6">
        <v>169</v>
      </c>
      <c r="D1435" s="6">
        <v>208</v>
      </c>
      <c r="E1435" s="6">
        <v>202</v>
      </c>
      <c r="F1435" t="str">
        <f t="shared" si="611"/>
        <v>MON</v>
      </c>
      <c r="G1435" s="3">
        <f t="shared" si="612"/>
        <v>43955</v>
      </c>
      <c r="H1435" s="2">
        <f t="shared" ca="1" si="613"/>
        <v>298</v>
      </c>
      <c r="I1435" t="str">
        <f t="shared" si="614"/>
        <v>FB</v>
      </c>
      <c r="J1435">
        <f t="shared" si="615"/>
        <v>169</v>
      </c>
      <c r="K1435">
        <f t="shared" si="616"/>
        <v>208</v>
      </c>
      <c r="L1435">
        <f t="shared" si="617"/>
        <v>188.5</v>
      </c>
      <c r="M1435">
        <f t="shared" si="618"/>
        <v>19.5</v>
      </c>
      <c r="N1435">
        <f t="shared" si="623"/>
        <v>39</v>
      </c>
      <c r="O1435">
        <f t="shared" si="619"/>
        <v>202</v>
      </c>
      <c r="P1435">
        <f t="shared" si="620"/>
        <v>0.69230769230769229</v>
      </c>
      <c r="Q1435" t="str">
        <f t="shared" si="624"/>
        <v>16.34% | 2.97%</v>
      </c>
      <c r="R1435" t="str">
        <f t="shared" si="621"/>
        <v>BULLISH</v>
      </c>
      <c r="S1435">
        <f t="shared" si="625"/>
        <v>1</v>
      </c>
    </row>
    <row r="1436" spans="1:19" hidden="1" x14ac:dyDescent="0.25">
      <c r="A1436" s="5" t="str">
        <f t="shared" si="622"/>
        <v>43955GOOGL</v>
      </c>
      <c r="B1436" s="6" t="s">
        <v>59</v>
      </c>
      <c r="C1436" s="6">
        <v>1190</v>
      </c>
      <c r="D1436" s="6">
        <v>1363</v>
      </c>
      <c r="E1436" s="6">
        <v>1317</v>
      </c>
      <c r="F1436" t="str">
        <f t="shared" si="611"/>
        <v>MON</v>
      </c>
      <c r="G1436" s="3">
        <f t="shared" si="612"/>
        <v>43955</v>
      </c>
      <c r="H1436" s="2">
        <f t="shared" ca="1" si="613"/>
        <v>298</v>
      </c>
      <c r="I1436" t="str">
        <f t="shared" si="614"/>
        <v>GOOGL</v>
      </c>
      <c r="J1436">
        <f t="shared" si="615"/>
        <v>1190</v>
      </c>
      <c r="K1436">
        <f t="shared" si="616"/>
        <v>1363</v>
      </c>
      <c r="L1436">
        <f t="shared" si="617"/>
        <v>1276.5</v>
      </c>
      <c r="M1436">
        <f t="shared" si="618"/>
        <v>86.5</v>
      </c>
      <c r="N1436">
        <f t="shared" si="623"/>
        <v>173</v>
      </c>
      <c r="O1436">
        <f t="shared" si="619"/>
        <v>1317</v>
      </c>
      <c r="P1436">
        <f t="shared" si="620"/>
        <v>0.46820809248554912</v>
      </c>
      <c r="Q1436" t="str">
        <f t="shared" si="624"/>
        <v>9.64% | 3.49%</v>
      </c>
      <c r="R1436" t="str">
        <f t="shared" si="621"/>
        <v>NEUTRAL</v>
      </c>
      <c r="S1436">
        <f t="shared" si="625"/>
        <v>0</v>
      </c>
    </row>
    <row r="1437" spans="1:19" hidden="1" x14ac:dyDescent="0.25">
      <c r="A1437" s="5" t="str">
        <f t="shared" si="622"/>
        <v>43955NFLX</v>
      </c>
      <c r="B1437" s="6" t="s">
        <v>32</v>
      </c>
      <c r="C1437" s="6">
        <v>399</v>
      </c>
      <c r="D1437" s="6">
        <v>440</v>
      </c>
      <c r="E1437" s="6">
        <v>415</v>
      </c>
      <c r="F1437" t="str">
        <f t="shared" si="611"/>
        <v>MON</v>
      </c>
      <c r="G1437" s="3">
        <f t="shared" si="612"/>
        <v>43955</v>
      </c>
      <c r="H1437" s="2">
        <f t="shared" ca="1" si="613"/>
        <v>298</v>
      </c>
      <c r="I1437" t="str">
        <f t="shared" si="614"/>
        <v>NFLX</v>
      </c>
      <c r="J1437">
        <f t="shared" si="615"/>
        <v>399</v>
      </c>
      <c r="K1437">
        <f t="shared" si="616"/>
        <v>440</v>
      </c>
      <c r="L1437">
        <f t="shared" si="617"/>
        <v>419.5</v>
      </c>
      <c r="M1437">
        <f t="shared" si="618"/>
        <v>20.5</v>
      </c>
      <c r="N1437">
        <f t="shared" si="623"/>
        <v>41</v>
      </c>
      <c r="O1437">
        <f t="shared" si="619"/>
        <v>415</v>
      </c>
      <c r="P1437">
        <f t="shared" si="620"/>
        <v>-0.21951219512195122</v>
      </c>
      <c r="Q1437" t="str">
        <f t="shared" si="624"/>
        <v>3.86% | 6.02%</v>
      </c>
      <c r="R1437" t="str">
        <f t="shared" si="621"/>
        <v>BULLISH</v>
      </c>
      <c r="S1437">
        <f t="shared" si="625"/>
        <v>1</v>
      </c>
    </row>
    <row r="1438" spans="1:19" x14ac:dyDescent="0.25">
      <c r="A1438" s="5" t="str">
        <f t="shared" si="622"/>
        <v>43955TSLA</v>
      </c>
      <c r="B1438" s="6" t="s">
        <v>33</v>
      </c>
      <c r="C1438" s="6">
        <v>606</v>
      </c>
      <c r="D1438" s="6">
        <v>828</v>
      </c>
      <c r="E1438" s="6">
        <v>701</v>
      </c>
      <c r="F1438" t="str">
        <f t="shared" si="611"/>
        <v>MON</v>
      </c>
      <c r="G1438" s="3">
        <f t="shared" si="612"/>
        <v>43955</v>
      </c>
      <c r="H1438" s="2">
        <f t="shared" ca="1" si="613"/>
        <v>298</v>
      </c>
      <c r="I1438" t="str">
        <f t="shared" si="614"/>
        <v>TSLA</v>
      </c>
      <c r="J1438">
        <f t="shared" si="615"/>
        <v>606</v>
      </c>
      <c r="K1438">
        <f t="shared" si="616"/>
        <v>828</v>
      </c>
      <c r="L1438">
        <f t="shared" si="617"/>
        <v>717</v>
      </c>
      <c r="M1438">
        <f t="shared" si="618"/>
        <v>111</v>
      </c>
      <c r="N1438">
        <f t="shared" si="623"/>
        <v>222</v>
      </c>
      <c r="O1438">
        <f t="shared" si="619"/>
        <v>701</v>
      </c>
      <c r="P1438">
        <f t="shared" si="620"/>
        <v>-0.14414414414414414</v>
      </c>
      <c r="Q1438" t="str">
        <f t="shared" si="624"/>
        <v>13.55% | 18.12%</v>
      </c>
      <c r="R1438" t="str">
        <f t="shared" si="621"/>
        <v>BULLISH</v>
      </c>
      <c r="S1438">
        <f t="shared" si="625"/>
        <v>1</v>
      </c>
    </row>
    <row r="1439" spans="1:19" hidden="1" x14ac:dyDescent="0.25">
      <c r="A1439" s="5" t="str">
        <f t="shared" si="622"/>
        <v>43955NYXBT</v>
      </c>
      <c r="B1439" s="6" t="s">
        <v>34</v>
      </c>
      <c r="C1439" s="6">
        <v>7409</v>
      </c>
      <c r="D1439" s="6">
        <v>9143</v>
      </c>
      <c r="E1439" s="6">
        <v>8809</v>
      </c>
      <c r="F1439" t="str">
        <f t="shared" si="611"/>
        <v>MON</v>
      </c>
      <c r="G1439" s="3">
        <f t="shared" si="612"/>
        <v>43955</v>
      </c>
      <c r="H1439" s="2">
        <f t="shared" ca="1" si="613"/>
        <v>298</v>
      </c>
      <c r="I1439" t="str">
        <f t="shared" si="614"/>
        <v>NYXBT</v>
      </c>
      <c r="J1439">
        <f t="shared" si="615"/>
        <v>7409</v>
      </c>
      <c r="K1439">
        <f t="shared" si="616"/>
        <v>9143</v>
      </c>
      <c r="L1439">
        <f t="shared" si="617"/>
        <v>8276</v>
      </c>
      <c r="M1439">
        <f t="shared" si="618"/>
        <v>867</v>
      </c>
      <c r="N1439">
        <f t="shared" si="623"/>
        <v>1734</v>
      </c>
      <c r="O1439">
        <f t="shared" si="619"/>
        <v>8809</v>
      </c>
      <c r="P1439">
        <f t="shared" si="620"/>
        <v>0.6147635524798154</v>
      </c>
      <c r="Q1439" t="str">
        <f t="shared" si="624"/>
        <v>15.89% | 3.79%</v>
      </c>
      <c r="R1439" t="str">
        <f t="shared" si="621"/>
        <v>BULLISH</v>
      </c>
      <c r="S1439">
        <f t="shared" si="625"/>
        <v>1</v>
      </c>
    </row>
    <row r="1440" spans="1:19" hidden="1" x14ac:dyDescent="0.25">
      <c r="A1440" s="5" t="str">
        <f t="shared" si="622"/>
        <v>43956UST10Y</v>
      </c>
      <c r="B1440" s="6" t="s">
        <v>4</v>
      </c>
      <c r="C1440" s="6">
        <v>0.69</v>
      </c>
      <c r="D1440" s="6">
        <v>0.57999999999999996</v>
      </c>
      <c r="E1440" s="6">
        <v>0.64</v>
      </c>
      <c r="F1440" t="str">
        <f t="shared" si="611"/>
        <v>TUE</v>
      </c>
      <c r="G1440" s="1">
        <f>DATE(2020,5,5)</f>
        <v>43956</v>
      </c>
      <c r="H1440" s="2">
        <f t="shared" ca="1" si="613"/>
        <v>297</v>
      </c>
      <c r="I1440" t="str">
        <f t="shared" si="614"/>
        <v>UST10Y</v>
      </c>
      <c r="J1440">
        <f t="shared" si="615"/>
        <v>0.69</v>
      </c>
      <c r="K1440">
        <f t="shared" si="616"/>
        <v>0.57999999999999996</v>
      </c>
      <c r="L1440">
        <f t="shared" si="617"/>
        <v>0.63500000000000001</v>
      </c>
      <c r="M1440">
        <f t="shared" si="618"/>
        <v>5.4999999999999993E-2</v>
      </c>
      <c r="N1440">
        <f t="shared" si="623"/>
        <v>0.10999999999999999</v>
      </c>
      <c r="O1440">
        <f t="shared" si="619"/>
        <v>0.64</v>
      </c>
      <c r="P1440">
        <f t="shared" si="620"/>
        <v>9.0909090909090995E-2</v>
      </c>
      <c r="Q1440" t="str">
        <f t="shared" si="624"/>
        <v>7.81% | 9.38%</v>
      </c>
      <c r="R1440" t="str">
        <f t="shared" si="621"/>
        <v>BEARISH</v>
      </c>
      <c r="S1440">
        <f t="shared" si="625"/>
        <v>-1</v>
      </c>
    </row>
    <row r="1441" spans="1:19" hidden="1" x14ac:dyDescent="0.25">
      <c r="A1441" s="5" t="str">
        <f t="shared" si="622"/>
        <v>43956UST2Y</v>
      </c>
      <c r="B1441" s="6" t="s">
        <v>5</v>
      </c>
      <c r="C1441" s="6">
        <v>0.24</v>
      </c>
      <c r="D1441" s="6">
        <v>0.16</v>
      </c>
      <c r="E1441" s="6">
        <v>0.19</v>
      </c>
      <c r="F1441" t="str">
        <f t="shared" ref="F1441:F1471" si="626">UPPER(TEXT(G1441,"ddd"))</f>
        <v>TUE</v>
      </c>
      <c r="G1441" s="1">
        <f t="shared" ref="G1441:G1470" si="627">DATE(2020,5,5)</f>
        <v>43956</v>
      </c>
      <c r="H1441" s="2">
        <f t="shared" ref="H1441:H1471" ca="1" si="628">TODAY()-G1441</f>
        <v>297</v>
      </c>
      <c r="I1441" t="str">
        <f t="shared" ref="I1441:I1471" si="629">TRIM(LEFT(B1441,FIND(" ",B1441,1)))</f>
        <v>UST2Y</v>
      </c>
      <c r="J1441">
        <f t="shared" ref="J1441:J1471" si="630">C1441</f>
        <v>0.24</v>
      </c>
      <c r="K1441">
        <f t="shared" ref="K1441:K1471" si="631">D1441</f>
        <v>0.16</v>
      </c>
      <c r="L1441">
        <f t="shared" ref="L1441:L1471" si="632">AVERAGE(J1441:K1441)</f>
        <v>0.2</v>
      </c>
      <c r="M1441">
        <f t="shared" ref="M1441:M1471" si="633">_xlfn.STDEV.P(J1441:K1441)</f>
        <v>3.9999999999999876E-2</v>
      </c>
      <c r="N1441">
        <f t="shared" si="623"/>
        <v>7.9999999999999988E-2</v>
      </c>
      <c r="O1441">
        <f t="shared" ref="O1441:O1471" si="634">E1441</f>
        <v>0.19</v>
      </c>
      <c r="P1441">
        <f t="shared" ref="P1441:P1471" si="635">(O1441-L1441)/M1441</f>
        <v>-0.250000000000001</v>
      </c>
      <c r="Q1441" t="str">
        <f t="shared" si="624"/>
        <v>26.32% | 15.79%</v>
      </c>
      <c r="R1441" t="str">
        <f t="shared" ref="R1441:R1471" si="636">MID(B1441,FIND("(",B1441,1)+1,FIND(")",B1441,1)-FIND("(",B1441,1)-1)</f>
        <v>BEARISH</v>
      </c>
      <c r="S1441">
        <f t="shared" si="625"/>
        <v>-1</v>
      </c>
    </row>
    <row r="1442" spans="1:19" hidden="1" x14ac:dyDescent="0.25">
      <c r="A1442" s="5" t="str">
        <f t="shared" si="622"/>
        <v>43956SPX</v>
      </c>
      <c r="B1442" s="6" t="s">
        <v>6</v>
      </c>
      <c r="C1442" s="6">
        <v>2761</v>
      </c>
      <c r="D1442" s="6">
        <v>2949</v>
      </c>
      <c r="E1442" s="6">
        <v>2842</v>
      </c>
      <c r="F1442" t="str">
        <f t="shared" si="626"/>
        <v>TUE</v>
      </c>
      <c r="G1442" s="1">
        <f t="shared" si="627"/>
        <v>43956</v>
      </c>
      <c r="H1442" s="2">
        <f t="shared" ca="1" si="628"/>
        <v>297</v>
      </c>
      <c r="I1442" t="str">
        <f t="shared" si="629"/>
        <v>SPX</v>
      </c>
      <c r="J1442">
        <f t="shared" si="630"/>
        <v>2761</v>
      </c>
      <c r="K1442">
        <f t="shared" si="631"/>
        <v>2949</v>
      </c>
      <c r="L1442">
        <f t="shared" si="632"/>
        <v>2855</v>
      </c>
      <c r="M1442">
        <f t="shared" si="633"/>
        <v>94</v>
      </c>
      <c r="N1442">
        <f t="shared" si="623"/>
        <v>188</v>
      </c>
      <c r="O1442">
        <f t="shared" si="634"/>
        <v>2842</v>
      </c>
      <c r="P1442">
        <f t="shared" si="635"/>
        <v>-0.13829787234042554</v>
      </c>
      <c r="Q1442" t="str">
        <f t="shared" si="624"/>
        <v>2.85% | 3.76%</v>
      </c>
      <c r="R1442" t="str">
        <f t="shared" si="636"/>
        <v>BEARISH</v>
      </c>
      <c r="S1442">
        <f t="shared" si="625"/>
        <v>-1</v>
      </c>
    </row>
    <row r="1443" spans="1:19" hidden="1" x14ac:dyDescent="0.25">
      <c r="A1443" s="5" t="str">
        <f t="shared" si="622"/>
        <v>43956RUT</v>
      </c>
      <c r="B1443" s="6" t="s">
        <v>7</v>
      </c>
      <c r="C1443" s="6">
        <v>1174</v>
      </c>
      <c r="D1443" s="6">
        <v>1364</v>
      </c>
      <c r="E1443" s="6">
        <v>1263</v>
      </c>
      <c r="F1443" t="str">
        <f t="shared" si="626"/>
        <v>TUE</v>
      </c>
      <c r="G1443" s="1">
        <f t="shared" si="627"/>
        <v>43956</v>
      </c>
      <c r="H1443" s="2">
        <f t="shared" ca="1" si="628"/>
        <v>297</v>
      </c>
      <c r="I1443" t="str">
        <f t="shared" si="629"/>
        <v>RUT</v>
      </c>
      <c r="J1443">
        <f t="shared" si="630"/>
        <v>1174</v>
      </c>
      <c r="K1443">
        <f t="shared" si="631"/>
        <v>1364</v>
      </c>
      <c r="L1443">
        <f t="shared" si="632"/>
        <v>1269</v>
      </c>
      <c r="M1443">
        <f t="shared" si="633"/>
        <v>95</v>
      </c>
      <c r="N1443">
        <f t="shared" si="623"/>
        <v>190</v>
      </c>
      <c r="O1443">
        <f t="shared" si="634"/>
        <v>1263</v>
      </c>
      <c r="P1443">
        <f t="shared" si="635"/>
        <v>-6.3157894736842107E-2</v>
      </c>
      <c r="Q1443" t="str">
        <f t="shared" si="624"/>
        <v>7.05% | 8%</v>
      </c>
      <c r="R1443" t="str">
        <f t="shared" si="636"/>
        <v>BEARISH</v>
      </c>
      <c r="S1443">
        <f t="shared" si="625"/>
        <v>-1</v>
      </c>
    </row>
    <row r="1444" spans="1:19" hidden="1" x14ac:dyDescent="0.25">
      <c r="A1444" s="5" t="str">
        <f t="shared" si="622"/>
        <v>43956COMPQ</v>
      </c>
      <c r="B1444" s="6" t="s">
        <v>8</v>
      </c>
      <c r="C1444" s="6">
        <v>8371</v>
      </c>
      <c r="D1444" s="6">
        <v>8963</v>
      </c>
      <c r="E1444" s="6">
        <v>8710</v>
      </c>
      <c r="F1444" t="str">
        <f t="shared" si="626"/>
        <v>TUE</v>
      </c>
      <c r="G1444" s="1">
        <f t="shared" si="627"/>
        <v>43956</v>
      </c>
      <c r="H1444" s="2">
        <f t="shared" ca="1" si="628"/>
        <v>297</v>
      </c>
      <c r="I1444" t="str">
        <f t="shared" si="629"/>
        <v>COMPQ</v>
      </c>
      <c r="J1444">
        <f t="shared" si="630"/>
        <v>8371</v>
      </c>
      <c r="K1444">
        <f t="shared" si="631"/>
        <v>8963</v>
      </c>
      <c r="L1444">
        <f t="shared" si="632"/>
        <v>8667</v>
      </c>
      <c r="M1444">
        <f t="shared" si="633"/>
        <v>296</v>
      </c>
      <c r="N1444">
        <f t="shared" si="623"/>
        <v>592</v>
      </c>
      <c r="O1444">
        <f t="shared" si="634"/>
        <v>8710</v>
      </c>
      <c r="P1444">
        <f t="shared" si="635"/>
        <v>0.14527027027027026</v>
      </c>
      <c r="Q1444" t="str">
        <f t="shared" si="624"/>
        <v>3.89% | 2.9%</v>
      </c>
      <c r="R1444" t="str">
        <f t="shared" si="636"/>
        <v>BULLISH</v>
      </c>
      <c r="S1444">
        <f t="shared" si="625"/>
        <v>1</v>
      </c>
    </row>
    <row r="1445" spans="1:19" hidden="1" x14ac:dyDescent="0.25">
      <c r="A1445" s="5" t="str">
        <f t="shared" si="622"/>
        <v>43956XLP</v>
      </c>
      <c r="B1445" s="6" t="s">
        <v>54</v>
      </c>
      <c r="C1445" s="6">
        <v>57.04</v>
      </c>
      <c r="D1445" s="6">
        <v>59.63</v>
      </c>
      <c r="E1445" s="6">
        <v>57.59</v>
      </c>
      <c r="F1445" t="str">
        <f t="shared" si="626"/>
        <v>TUE</v>
      </c>
      <c r="G1445" s="1">
        <f t="shared" si="627"/>
        <v>43956</v>
      </c>
      <c r="H1445" s="2">
        <f t="shared" ca="1" si="628"/>
        <v>297</v>
      </c>
      <c r="I1445" t="str">
        <f t="shared" si="629"/>
        <v>XLP</v>
      </c>
      <c r="J1445">
        <f t="shared" si="630"/>
        <v>57.04</v>
      </c>
      <c r="K1445">
        <f t="shared" si="631"/>
        <v>59.63</v>
      </c>
      <c r="L1445">
        <f t="shared" si="632"/>
        <v>58.335000000000001</v>
      </c>
      <c r="M1445">
        <f t="shared" si="633"/>
        <v>1.2950000000000017</v>
      </c>
      <c r="N1445">
        <f t="shared" si="623"/>
        <v>2.5900000000000034</v>
      </c>
      <c r="O1445">
        <f t="shared" si="634"/>
        <v>57.59</v>
      </c>
      <c r="P1445">
        <f t="shared" si="635"/>
        <v>-0.57528957528957259</v>
      </c>
      <c r="Q1445" t="str">
        <f t="shared" si="624"/>
        <v>0.96% | 3.54%</v>
      </c>
      <c r="R1445" t="str">
        <f t="shared" si="636"/>
        <v>BULLISH</v>
      </c>
      <c r="S1445">
        <f t="shared" si="625"/>
        <v>1</v>
      </c>
    </row>
    <row r="1446" spans="1:19" hidden="1" x14ac:dyDescent="0.25">
      <c r="A1446" s="5" t="str">
        <f t="shared" si="622"/>
        <v>43956XLV</v>
      </c>
      <c r="B1446" s="6" t="s">
        <v>9</v>
      </c>
      <c r="C1446" s="6">
        <v>96.04</v>
      </c>
      <c r="D1446" s="6">
        <v>101.93</v>
      </c>
      <c r="E1446" s="6">
        <v>97.78</v>
      </c>
      <c r="F1446" t="str">
        <f t="shared" si="626"/>
        <v>TUE</v>
      </c>
      <c r="G1446" s="1">
        <f t="shared" si="627"/>
        <v>43956</v>
      </c>
      <c r="H1446" s="2">
        <f t="shared" ca="1" si="628"/>
        <v>297</v>
      </c>
      <c r="I1446" t="str">
        <f t="shared" si="629"/>
        <v>XLV</v>
      </c>
      <c r="J1446">
        <f t="shared" si="630"/>
        <v>96.04</v>
      </c>
      <c r="K1446">
        <f t="shared" si="631"/>
        <v>101.93</v>
      </c>
      <c r="L1446">
        <f t="shared" si="632"/>
        <v>98.985000000000014</v>
      </c>
      <c r="M1446">
        <f t="shared" si="633"/>
        <v>2.9450000000000003</v>
      </c>
      <c r="N1446">
        <f t="shared" si="623"/>
        <v>5.8900000000000006</v>
      </c>
      <c r="O1446">
        <f t="shared" si="634"/>
        <v>97.78</v>
      </c>
      <c r="P1446">
        <f t="shared" si="635"/>
        <v>-0.40916808149406192</v>
      </c>
      <c r="Q1446" t="str">
        <f t="shared" si="624"/>
        <v>1.78% | 4.24%</v>
      </c>
      <c r="R1446" t="str">
        <f t="shared" si="636"/>
        <v>BULLISH</v>
      </c>
      <c r="S1446">
        <f t="shared" si="625"/>
        <v>1</v>
      </c>
    </row>
    <row r="1447" spans="1:19" hidden="1" x14ac:dyDescent="0.25">
      <c r="A1447" s="5" t="str">
        <f t="shared" si="622"/>
        <v>43956XLU</v>
      </c>
      <c r="B1447" s="6" t="s">
        <v>82</v>
      </c>
      <c r="C1447" s="6">
        <v>55.07</v>
      </c>
      <c r="D1447" s="6">
        <v>59.85</v>
      </c>
      <c r="E1447" s="6">
        <v>56.3</v>
      </c>
      <c r="F1447" t="str">
        <f t="shared" si="626"/>
        <v>TUE</v>
      </c>
      <c r="G1447" s="1">
        <f t="shared" si="627"/>
        <v>43956</v>
      </c>
      <c r="H1447" s="2">
        <f t="shared" ca="1" si="628"/>
        <v>297</v>
      </c>
      <c r="I1447" t="str">
        <f t="shared" si="629"/>
        <v>XLU</v>
      </c>
      <c r="J1447">
        <f t="shared" si="630"/>
        <v>55.07</v>
      </c>
      <c r="K1447">
        <f t="shared" si="631"/>
        <v>59.85</v>
      </c>
      <c r="L1447">
        <f t="shared" si="632"/>
        <v>57.46</v>
      </c>
      <c r="M1447">
        <f t="shared" si="633"/>
        <v>2.3900000000000006</v>
      </c>
      <c r="N1447">
        <f t="shared" si="623"/>
        <v>4.7800000000000011</v>
      </c>
      <c r="O1447">
        <f t="shared" si="634"/>
        <v>56.3</v>
      </c>
      <c r="P1447">
        <f t="shared" si="635"/>
        <v>-0.48535564853556629</v>
      </c>
      <c r="Q1447" t="str">
        <f t="shared" si="624"/>
        <v>2.18% | 6.31%</v>
      </c>
      <c r="R1447" t="str">
        <f t="shared" si="636"/>
        <v>BEARISH</v>
      </c>
      <c r="S1447">
        <f t="shared" si="625"/>
        <v>-1</v>
      </c>
    </row>
    <row r="1448" spans="1:19" hidden="1" x14ac:dyDescent="0.25">
      <c r="A1448" s="5" t="str">
        <f t="shared" si="622"/>
        <v>43956XLK</v>
      </c>
      <c r="B1448" s="6" t="s">
        <v>10</v>
      </c>
      <c r="C1448" s="6">
        <v>85.08</v>
      </c>
      <c r="D1448" s="6">
        <v>92.68</v>
      </c>
      <c r="E1448" s="6">
        <v>90.08</v>
      </c>
      <c r="F1448" t="str">
        <f t="shared" si="626"/>
        <v>TUE</v>
      </c>
      <c r="G1448" s="1">
        <f t="shared" si="627"/>
        <v>43956</v>
      </c>
      <c r="H1448" s="2">
        <f t="shared" ca="1" si="628"/>
        <v>297</v>
      </c>
      <c r="I1448" t="str">
        <f t="shared" si="629"/>
        <v>XLK</v>
      </c>
      <c r="J1448">
        <f t="shared" si="630"/>
        <v>85.08</v>
      </c>
      <c r="K1448">
        <f t="shared" si="631"/>
        <v>92.68</v>
      </c>
      <c r="L1448">
        <f t="shared" si="632"/>
        <v>88.88</v>
      </c>
      <c r="M1448">
        <f t="shared" si="633"/>
        <v>3.8000000000000043</v>
      </c>
      <c r="N1448">
        <f t="shared" si="623"/>
        <v>7.6000000000000085</v>
      </c>
      <c r="O1448">
        <f t="shared" si="634"/>
        <v>90.08</v>
      </c>
      <c r="P1448">
        <f t="shared" si="635"/>
        <v>0.3157894736842109</v>
      </c>
      <c r="Q1448" t="str">
        <f t="shared" si="624"/>
        <v>5.55% | 2.89%</v>
      </c>
      <c r="R1448" t="str">
        <f t="shared" si="636"/>
        <v>BULLISH</v>
      </c>
      <c r="S1448">
        <f t="shared" si="625"/>
        <v>1</v>
      </c>
    </row>
    <row r="1449" spans="1:19" hidden="1" x14ac:dyDescent="0.25">
      <c r="A1449" s="5" t="str">
        <f t="shared" si="622"/>
        <v>43956XLF</v>
      </c>
      <c r="B1449" s="6" t="s">
        <v>12</v>
      </c>
      <c r="C1449" s="6">
        <v>20.170000000000002</v>
      </c>
      <c r="D1449" s="6">
        <v>23.57</v>
      </c>
      <c r="E1449" s="6">
        <v>21.86</v>
      </c>
      <c r="F1449" t="str">
        <f t="shared" si="626"/>
        <v>TUE</v>
      </c>
      <c r="G1449" s="1">
        <f t="shared" si="627"/>
        <v>43956</v>
      </c>
      <c r="H1449" s="2">
        <f t="shared" ca="1" si="628"/>
        <v>297</v>
      </c>
      <c r="I1449" t="str">
        <f t="shared" si="629"/>
        <v>XLF</v>
      </c>
      <c r="J1449">
        <f t="shared" si="630"/>
        <v>20.170000000000002</v>
      </c>
      <c r="K1449">
        <f t="shared" si="631"/>
        <v>23.57</v>
      </c>
      <c r="L1449">
        <f t="shared" si="632"/>
        <v>21.87</v>
      </c>
      <c r="M1449">
        <f t="shared" si="633"/>
        <v>1.6999999999999993</v>
      </c>
      <c r="N1449">
        <f t="shared" si="623"/>
        <v>3.3999999999999986</v>
      </c>
      <c r="O1449">
        <f t="shared" si="634"/>
        <v>21.86</v>
      </c>
      <c r="P1449">
        <f t="shared" si="635"/>
        <v>-5.8823529411773925E-3</v>
      </c>
      <c r="Q1449" t="str">
        <f t="shared" si="624"/>
        <v>7.73% | 7.82%</v>
      </c>
      <c r="R1449" t="str">
        <f t="shared" si="636"/>
        <v>BEARISH</v>
      </c>
      <c r="S1449">
        <f t="shared" si="625"/>
        <v>-1</v>
      </c>
    </row>
    <row r="1450" spans="1:19" hidden="1" x14ac:dyDescent="0.25">
      <c r="A1450" s="5" t="str">
        <f t="shared" si="622"/>
        <v>43956SSEC</v>
      </c>
      <c r="B1450" s="6" t="s">
        <v>14</v>
      </c>
      <c r="C1450" s="6">
        <v>2750</v>
      </c>
      <c r="D1450" s="6">
        <v>2866</v>
      </c>
      <c r="E1450" s="6">
        <v>2860</v>
      </c>
      <c r="F1450" t="str">
        <f t="shared" si="626"/>
        <v>TUE</v>
      </c>
      <c r="G1450" s="1">
        <f t="shared" si="627"/>
        <v>43956</v>
      </c>
      <c r="H1450" s="2">
        <f t="shared" ca="1" si="628"/>
        <v>297</v>
      </c>
      <c r="I1450" t="str">
        <f t="shared" si="629"/>
        <v>SSEC</v>
      </c>
      <c r="J1450">
        <f t="shared" si="630"/>
        <v>2750</v>
      </c>
      <c r="K1450">
        <f t="shared" si="631"/>
        <v>2866</v>
      </c>
      <c r="L1450">
        <f t="shared" si="632"/>
        <v>2808</v>
      </c>
      <c r="M1450">
        <f t="shared" si="633"/>
        <v>58</v>
      </c>
      <c r="N1450">
        <f t="shared" si="623"/>
        <v>116</v>
      </c>
      <c r="O1450">
        <f t="shared" si="634"/>
        <v>2860</v>
      </c>
      <c r="P1450">
        <f t="shared" si="635"/>
        <v>0.89655172413793105</v>
      </c>
      <c r="Q1450" t="str">
        <f t="shared" si="624"/>
        <v>3.85% | 0.21%</v>
      </c>
      <c r="R1450" t="str">
        <f t="shared" si="636"/>
        <v>BEARISH</v>
      </c>
      <c r="S1450">
        <f t="shared" si="625"/>
        <v>-1</v>
      </c>
    </row>
    <row r="1451" spans="1:19" hidden="1" x14ac:dyDescent="0.25">
      <c r="A1451" s="5" t="str">
        <f t="shared" si="622"/>
        <v>43956NIKK</v>
      </c>
      <c r="B1451" s="6" t="s">
        <v>15</v>
      </c>
      <c r="C1451" s="6">
        <v>18847</v>
      </c>
      <c r="D1451" s="6">
        <v>20208</v>
      </c>
      <c r="E1451" s="6">
        <v>19619</v>
      </c>
      <c r="F1451" t="str">
        <f t="shared" si="626"/>
        <v>TUE</v>
      </c>
      <c r="G1451" s="1">
        <f t="shared" si="627"/>
        <v>43956</v>
      </c>
      <c r="H1451" s="2">
        <f t="shared" ca="1" si="628"/>
        <v>297</v>
      </c>
      <c r="I1451" t="str">
        <f t="shared" si="629"/>
        <v>NIKK</v>
      </c>
      <c r="J1451">
        <f t="shared" si="630"/>
        <v>18847</v>
      </c>
      <c r="K1451">
        <f t="shared" si="631"/>
        <v>20208</v>
      </c>
      <c r="L1451">
        <f t="shared" si="632"/>
        <v>19527.5</v>
      </c>
      <c r="M1451">
        <f t="shared" si="633"/>
        <v>680.5</v>
      </c>
      <c r="N1451">
        <f t="shared" si="623"/>
        <v>1361</v>
      </c>
      <c r="O1451">
        <f t="shared" si="634"/>
        <v>19619</v>
      </c>
      <c r="P1451">
        <f t="shared" si="635"/>
        <v>0.13445995591476856</v>
      </c>
      <c r="Q1451" t="str">
        <f t="shared" si="624"/>
        <v>3.93% | 3%</v>
      </c>
      <c r="R1451" t="str">
        <f t="shared" si="636"/>
        <v>BEARISH</v>
      </c>
      <c r="S1451">
        <f t="shared" si="625"/>
        <v>-1</v>
      </c>
    </row>
    <row r="1452" spans="1:19" hidden="1" x14ac:dyDescent="0.25">
      <c r="A1452" s="5" t="str">
        <f t="shared" si="622"/>
        <v>43956DAX</v>
      </c>
      <c r="B1452" s="6" t="s">
        <v>16</v>
      </c>
      <c r="C1452" s="6">
        <v>10121</v>
      </c>
      <c r="D1452" s="6">
        <v>11076</v>
      </c>
      <c r="E1452" s="6">
        <v>10469</v>
      </c>
      <c r="F1452" t="str">
        <f t="shared" si="626"/>
        <v>TUE</v>
      </c>
      <c r="G1452" s="1">
        <f t="shared" si="627"/>
        <v>43956</v>
      </c>
      <c r="H1452" s="2">
        <f t="shared" ca="1" si="628"/>
        <v>297</v>
      </c>
      <c r="I1452" t="str">
        <f t="shared" si="629"/>
        <v>DAX</v>
      </c>
      <c r="J1452">
        <f t="shared" si="630"/>
        <v>10121</v>
      </c>
      <c r="K1452">
        <f t="shared" si="631"/>
        <v>11076</v>
      </c>
      <c r="L1452">
        <f t="shared" si="632"/>
        <v>10598.5</v>
      </c>
      <c r="M1452">
        <f t="shared" si="633"/>
        <v>477.5</v>
      </c>
      <c r="N1452">
        <f t="shared" si="623"/>
        <v>955</v>
      </c>
      <c r="O1452">
        <f t="shared" si="634"/>
        <v>10469</v>
      </c>
      <c r="P1452">
        <f t="shared" si="635"/>
        <v>-0.27120418848167538</v>
      </c>
      <c r="Q1452" t="str">
        <f t="shared" si="624"/>
        <v>3.32% | 5.8%</v>
      </c>
      <c r="R1452" t="str">
        <f t="shared" si="636"/>
        <v>BEARISH</v>
      </c>
      <c r="S1452">
        <f t="shared" si="625"/>
        <v>-1</v>
      </c>
    </row>
    <row r="1453" spans="1:19" hidden="1" x14ac:dyDescent="0.25">
      <c r="A1453" s="5" t="str">
        <f t="shared" si="622"/>
        <v>43956VIX</v>
      </c>
      <c r="B1453" s="6" t="s">
        <v>17</v>
      </c>
      <c r="C1453" s="6">
        <v>30.03</v>
      </c>
      <c r="D1453" s="6">
        <v>43.92</v>
      </c>
      <c r="E1453" s="6">
        <v>35.97</v>
      </c>
      <c r="F1453" t="str">
        <f t="shared" si="626"/>
        <v>TUE</v>
      </c>
      <c r="G1453" s="1">
        <f t="shared" si="627"/>
        <v>43956</v>
      </c>
      <c r="H1453" s="2">
        <f t="shared" ca="1" si="628"/>
        <v>297</v>
      </c>
      <c r="I1453" t="str">
        <f t="shared" si="629"/>
        <v>VIX</v>
      </c>
      <c r="J1453">
        <f t="shared" si="630"/>
        <v>30.03</v>
      </c>
      <c r="K1453">
        <f t="shared" si="631"/>
        <v>43.92</v>
      </c>
      <c r="L1453">
        <f t="shared" si="632"/>
        <v>36.975000000000001</v>
      </c>
      <c r="M1453">
        <f t="shared" si="633"/>
        <v>6.9450000000000003</v>
      </c>
      <c r="N1453">
        <f t="shared" si="623"/>
        <v>13.89</v>
      </c>
      <c r="O1453">
        <f t="shared" si="634"/>
        <v>35.97</v>
      </c>
      <c r="P1453">
        <f t="shared" si="635"/>
        <v>-0.14470842332613426</v>
      </c>
      <c r="Q1453" t="str">
        <f t="shared" si="624"/>
        <v>16.51% | 22.1%</v>
      </c>
      <c r="R1453" t="str">
        <f t="shared" si="636"/>
        <v>BULLISH</v>
      </c>
      <c r="S1453">
        <f t="shared" si="625"/>
        <v>1</v>
      </c>
    </row>
    <row r="1454" spans="1:19" hidden="1" x14ac:dyDescent="0.25">
      <c r="A1454" s="5" t="str">
        <f t="shared" si="622"/>
        <v>43956USD</v>
      </c>
      <c r="B1454" s="6" t="s">
        <v>18</v>
      </c>
      <c r="C1454" s="6">
        <v>98.75</v>
      </c>
      <c r="D1454" s="6">
        <v>100.99</v>
      </c>
      <c r="E1454" s="6">
        <v>99.57</v>
      </c>
      <c r="F1454" t="str">
        <f t="shared" si="626"/>
        <v>TUE</v>
      </c>
      <c r="G1454" s="1">
        <f t="shared" si="627"/>
        <v>43956</v>
      </c>
      <c r="H1454" s="2">
        <f t="shared" ca="1" si="628"/>
        <v>297</v>
      </c>
      <c r="I1454" t="str">
        <f t="shared" si="629"/>
        <v>USD</v>
      </c>
      <c r="J1454">
        <f t="shared" si="630"/>
        <v>98.75</v>
      </c>
      <c r="K1454">
        <f t="shared" si="631"/>
        <v>100.99</v>
      </c>
      <c r="L1454">
        <f t="shared" si="632"/>
        <v>99.87</v>
      </c>
      <c r="M1454">
        <f t="shared" si="633"/>
        <v>1.1199999999999974</v>
      </c>
      <c r="N1454">
        <f t="shared" si="623"/>
        <v>2.2399999999999949</v>
      </c>
      <c r="O1454">
        <f t="shared" si="634"/>
        <v>99.57</v>
      </c>
      <c r="P1454">
        <f t="shared" si="635"/>
        <v>-0.26785714285715362</v>
      </c>
      <c r="Q1454" t="str">
        <f t="shared" si="624"/>
        <v>0.82% | 1.43%</v>
      </c>
      <c r="R1454" t="str">
        <f t="shared" si="636"/>
        <v>BULLISH</v>
      </c>
      <c r="S1454">
        <f t="shared" si="625"/>
        <v>1</v>
      </c>
    </row>
    <row r="1455" spans="1:19" hidden="1" x14ac:dyDescent="0.25">
      <c r="A1455" s="5" t="str">
        <f t="shared" si="622"/>
        <v>43956EUR/USD</v>
      </c>
      <c r="B1455" s="6" t="s">
        <v>19</v>
      </c>
      <c r="C1455" s="6">
        <v>1.07</v>
      </c>
      <c r="D1455" s="6">
        <v>1.1000000000000001</v>
      </c>
      <c r="E1455" s="6">
        <v>1.0900000000000001</v>
      </c>
      <c r="F1455" t="str">
        <f t="shared" si="626"/>
        <v>TUE</v>
      </c>
      <c r="G1455" s="1">
        <f t="shared" si="627"/>
        <v>43956</v>
      </c>
      <c r="H1455" s="2">
        <f t="shared" ca="1" si="628"/>
        <v>297</v>
      </c>
      <c r="I1455" t="str">
        <f t="shared" si="629"/>
        <v>EUR/USD</v>
      </c>
      <c r="J1455">
        <f t="shared" si="630"/>
        <v>1.07</v>
      </c>
      <c r="K1455">
        <f t="shared" si="631"/>
        <v>1.1000000000000001</v>
      </c>
      <c r="L1455">
        <f t="shared" si="632"/>
        <v>1.085</v>
      </c>
      <c r="M1455">
        <f t="shared" si="633"/>
        <v>1.5000000000000013E-2</v>
      </c>
      <c r="N1455">
        <f t="shared" si="623"/>
        <v>3.0000000000000027E-2</v>
      </c>
      <c r="O1455">
        <f t="shared" si="634"/>
        <v>1.0900000000000001</v>
      </c>
      <c r="P1455">
        <f t="shared" si="635"/>
        <v>0.33333333333334075</v>
      </c>
      <c r="Q1455" t="str">
        <f t="shared" si="624"/>
        <v>1.83% | 0.92%</v>
      </c>
      <c r="R1455" t="str">
        <f t="shared" si="636"/>
        <v>BEARISH</v>
      </c>
      <c r="S1455">
        <f t="shared" si="625"/>
        <v>-1</v>
      </c>
    </row>
    <row r="1456" spans="1:19" hidden="1" x14ac:dyDescent="0.25">
      <c r="A1456" s="5" t="str">
        <f t="shared" si="622"/>
        <v>43956USD/JPY</v>
      </c>
      <c r="B1456" s="6" t="s">
        <v>20</v>
      </c>
      <c r="C1456" s="6">
        <v>106.11</v>
      </c>
      <c r="D1456" s="6">
        <v>108.2</v>
      </c>
      <c r="E1456" s="6">
        <v>106.72</v>
      </c>
      <c r="F1456" t="str">
        <f t="shared" si="626"/>
        <v>TUE</v>
      </c>
      <c r="G1456" s="1">
        <f t="shared" si="627"/>
        <v>43956</v>
      </c>
      <c r="H1456" s="2">
        <f t="shared" ca="1" si="628"/>
        <v>297</v>
      </c>
      <c r="I1456" t="str">
        <f t="shared" si="629"/>
        <v>USD/JPY</v>
      </c>
      <c r="J1456">
        <f t="shared" si="630"/>
        <v>106.11</v>
      </c>
      <c r="K1456">
        <f t="shared" si="631"/>
        <v>108.2</v>
      </c>
      <c r="L1456">
        <f t="shared" si="632"/>
        <v>107.155</v>
      </c>
      <c r="M1456">
        <f t="shared" si="633"/>
        <v>1.0450000000000017</v>
      </c>
      <c r="N1456">
        <f t="shared" si="623"/>
        <v>2.0900000000000034</v>
      </c>
      <c r="O1456">
        <f t="shared" si="634"/>
        <v>106.72</v>
      </c>
      <c r="P1456">
        <f t="shared" si="635"/>
        <v>-0.41626794258373356</v>
      </c>
      <c r="Q1456" t="str">
        <f t="shared" si="624"/>
        <v>0.57% | 1.39%</v>
      </c>
      <c r="R1456" t="str">
        <f t="shared" si="636"/>
        <v>BEARISH</v>
      </c>
      <c r="S1456">
        <f t="shared" si="625"/>
        <v>-1</v>
      </c>
    </row>
    <row r="1457" spans="1:19" hidden="1" x14ac:dyDescent="0.25">
      <c r="A1457" s="5" t="str">
        <f t="shared" si="622"/>
        <v>43956GBP/USD</v>
      </c>
      <c r="B1457" s="6" t="s">
        <v>21</v>
      </c>
      <c r="C1457" s="6">
        <v>1.23</v>
      </c>
      <c r="D1457" s="6">
        <v>1.26</v>
      </c>
      <c r="E1457" s="6">
        <v>1.24</v>
      </c>
      <c r="F1457" t="str">
        <f t="shared" si="626"/>
        <v>TUE</v>
      </c>
      <c r="G1457" s="1">
        <f t="shared" si="627"/>
        <v>43956</v>
      </c>
      <c r="H1457" s="2">
        <f t="shared" ca="1" si="628"/>
        <v>297</v>
      </c>
      <c r="I1457" t="str">
        <f t="shared" si="629"/>
        <v>GBP/USD</v>
      </c>
      <c r="J1457">
        <f t="shared" si="630"/>
        <v>1.23</v>
      </c>
      <c r="K1457">
        <f t="shared" si="631"/>
        <v>1.26</v>
      </c>
      <c r="L1457">
        <f t="shared" si="632"/>
        <v>1.2450000000000001</v>
      </c>
      <c r="M1457">
        <f t="shared" si="633"/>
        <v>1.5000000000000013E-2</v>
      </c>
      <c r="N1457">
        <f t="shared" si="623"/>
        <v>3.0000000000000027E-2</v>
      </c>
      <c r="O1457">
        <f t="shared" si="634"/>
        <v>1.24</v>
      </c>
      <c r="P1457">
        <f t="shared" si="635"/>
        <v>-0.33333333333334075</v>
      </c>
      <c r="Q1457" t="str">
        <f t="shared" si="624"/>
        <v>0.81% | 1.61%</v>
      </c>
      <c r="R1457" t="str">
        <f t="shared" si="636"/>
        <v>BEARISH</v>
      </c>
      <c r="S1457">
        <f t="shared" si="625"/>
        <v>-1</v>
      </c>
    </row>
    <row r="1458" spans="1:19" hidden="1" x14ac:dyDescent="0.25">
      <c r="A1458" s="5" t="str">
        <f t="shared" si="622"/>
        <v>43956USD/CHF</v>
      </c>
      <c r="B1458" s="6" t="s">
        <v>22</v>
      </c>
      <c r="C1458" s="6">
        <v>0.96</v>
      </c>
      <c r="D1458" s="6">
        <v>0.98</v>
      </c>
      <c r="E1458" s="6">
        <v>0.96</v>
      </c>
      <c r="F1458" t="str">
        <f t="shared" si="626"/>
        <v>TUE</v>
      </c>
      <c r="G1458" s="1">
        <f t="shared" si="627"/>
        <v>43956</v>
      </c>
      <c r="H1458" s="2">
        <f t="shared" ca="1" si="628"/>
        <v>297</v>
      </c>
      <c r="I1458" t="str">
        <f t="shared" si="629"/>
        <v>USD/CHF</v>
      </c>
      <c r="J1458">
        <f t="shared" si="630"/>
        <v>0.96</v>
      </c>
      <c r="K1458">
        <f t="shared" si="631"/>
        <v>0.98</v>
      </c>
      <c r="L1458">
        <f t="shared" si="632"/>
        <v>0.97</v>
      </c>
      <c r="M1458">
        <f t="shared" si="633"/>
        <v>1.0000000000000009E-2</v>
      </c>
      <c r="N1458">
        <f t="shared" si="623"/>
        <v>2.0000000000000018E-2</v>
      </c>
      <c r="O1458">
        <f t="shared" si="634"/>
        <v>0.96</v>
      </c>
      <c r="P1458">
        <f t="shared" si="635"/>
        <v>-1</v>
      </c>
      <c r="Q1458" t="str">
        <f t="shared" si="624"/>
        <v>0% | 2.08%</v>
      </c>
      <c r="R1458" t="str">
        <f t="shared" si="636"/>
        <v>NEUTRAL</v>
      </c>
      <c r="S1458">
        <f t="shared" si="625"/>
        <v>0</v>
      </c>
    </row>
    <row r="1459" spans="1:19" hidden="1" x14ac:dyDescent="0.25">
      <c r="A1459" s="5" t="str">
        <f t="shared" si="622"/>
        <v>43956WTIC</v>
      </c>
      <c r="B1459" s="6" t="s">
        <v>23</v>
      </c>
      <c r="C1459" s="6">
        <v>10.72</v>
      </c>
      <c r="D1459" s="6">
        <v>22.91</v>
      </c>
      <c r="E1459" s="6">
        <v>20.39</v>
      </c>
      <c r="F1459" t="str">
        <f t="shared" si="626"/>
        <v>TUE</v>
      </c>
      <c r="G1459" s="1">
        <f t="shared" si="627"/>
        <v>43956</v>
      </c>
      <c r="H1459" s="2">
        <f t="shared" ca="1" si="628"/>
        <v>297</v>
      </c>
      <c r="I1459" t="str">
        <f t="shared" si="629"/>
        <v>WTIC</v>
      </c>
      <c r="J1459">
        <f t="shared" si="630"/>
        <v>10.72</v>
      </c>
      <c r="K1459">
        <f t="shared" si="631"/>
        <v>22.91</v>
      </c>
      <c r="L1459">
        <f t="shared" si="632"/>
        <v>16.815000000000001</v>
      </c>
      <c r="M1459">
        <f t="shared" si="633"/>
        <v>6.0949999999999998</v>
      </c>
      <c r="N1459">
        <f t="shared" si="623"/>
        <v>12.19</v>
      </c>
      <c r="O1459">
        <f t="shared" si="634"/>
        <v>20.39</v>
      </c>
      <c r="P1459">
        <f t="shared" si="635"/>
        <v>0.58654634946677597</v>
      </c>
      <c r="Q1459" t="str">
        <f t="shared" si="624"/>
        <v>47.43% | 12.36%</v>
      </c>
      <c r="R1459" t="str">
        <f t="shared" si="636"/>
        <v>BEARISH</v>
      </c>
      <c r="S1459">
        <f t="shared" si="625"/>
        <v>-1</v>
      </c>
    </row>
    <row r="1460" spans="1:19" hidden="1" x14ac:dyDescent="0.25">
      <c r="A1460" s="5" t="str">
        <f t="shared" si="622"/>
        <v>43956NATGAS</v>
      </c>
      <c r="B1460" s="6" t="s">
        <v>89</v>
      </c>
      <c r="C1460" s="6">
        <v>1.81</v>
      </c>
      <c r="D1460" s="6">
        <v>2.0699999999999998</v>
      </c>
      <c r="E1460" s="6">
        <v>1.99</v>
      </c>
      <c r="F1460" t="str">
        <f t="shared" si="626"/>
        <v>TUE</v>
      </c>
      <c r="G1460" s="1">
        <f t="shared" si="627"/>
        <v>43956</v>
      </c>
      <c r="H1460" s="2">
        <f t="shared" ca="1" si="628"/>
        <v>297</v>
      </c>
      <c r="I1460" t="str">
        <f t="shared" si="629"/>
        <v>NATGAS</v>
      </c>
      <c r="J1460">
        <f t="shared" si="630"/>
        <v>1.81</v>
      </c>
      <c r="K1460">
        <f t="shared" si="631"/>
        <v>2.0699999999999998</v>
      </c>
      <c r="L1460">
        <f t="shared" si="632"/>
        <v>1.94</v>
      </c>
      <c r="M1460">
        <f t="shared" si="633"/>
        <v>0.12999999999999989</v>
      </c>
      <c r="N1460">
        <f t="shared" si="623"/>
        <v>0.25999999999999979</v>
      </c>
      <c r="O1460">
        <f t="shared" si="634"/>
        <v>1.99</v>
      </c>
      <c r="P1460">
        <f t="shared" si="635"/>
        <v>0.38461538461538525</v>
      </c>
      <c r="Q1460" t="str">
        <f t="shared" si="624"/>
        <v>9.05% | 4.02%</v>
      </c>
      <c r="R1460" t="str">
        <f t="shared" si="636"/>
        <v>BULLISH</v>
      </c>
      <c r="S1460">
        <f t="shared" si="625"/>
        <v>1</v>
      </c>
    </row>
    <row r="1461" spans="1:19" hidden="1" x14ac:dyDescent="0.25">
      <c r="A1461" s="5" t="str">
        <f t="shared" si="622"/>
        <v>43956GOLD</v>
      </c>
      <c r="B1461" s="6" t="s">
        <v>25</v>
      </c>
      <c r="C1461" s="6">
        <v>1686</v>
      </c>
      <c r="D1461" s="6">
        <v>1755</v>
      </c>
      <c r="E1461" s="6">
        <v>1713</v>
      </c>
      <c r="F1461" t="str">
        <f t="shared" si="626"/>
        <v>TUE</v>
      </c>
      <c r="G1461" s="1">
        <f t="shared" si="627"/>
        <v>43956</v>
      </c>
      <c r="H1461" s="2">
        <f t="shared" ca="1" si="628"/>
        <v>297</v>
      </c>
      <c r="I1461" t="str">
        <f t="shared" si="629"/>
        <v>GOLD</v>
      </c>
      <c r="J1461">
        <f t="shared" si="630"/>
        <v>1686</v>
      </c>
      <c r="K1461">
        <f t="shared" si="631"/>
        <v>1755</v>
      </c>
      <c r="L1461">
        <f t="shared" si="632"/>
        <v>1720.5</v>
      </c>
      <c r="M1461">
        <f t="shared" si="633"/>
        <v>34.5</v>
      </c>
      <c r="N1461">
        <f t="shared" si="623"/>
        <v>69</v>
      </c>
      <c r="O1461">
        <f t="shared" si="634"/>
        <v>1713</v>
      </c>
      <c r="P1461">
        <f t="shared" si="635"/>
        <v>-0.21739130434782608</v>
      </c>
      <c r="Q1461" t="str">
        <f t="shared" si="624"/>
        <v>1.58% | 2.45%</v>
      </c>
      <c r="R1461" t="str">
        <f t="shared" si="636"/>
        <v>BULLISH</v>
      </c>
      <c r="S1461">
        <f t="shared" si="625"/>
        <v>1</v>
      </c>
    </row>
    <row r="1462" spans="1:19" hidden="1" x14ac:dyDescent="0.25">
      <c r="A1462" s="5" t="str">
        <f t="shared" si="622"/>
        <v>43956COPPER</v>
      </c>
      <c r="B1462" s="6" t="s">
        <v>26</v>
      </c>
      <c r="C1462" s="6">
        <v>2.25</v>
      </c>
      <c r="D1462" s="6">
        <v>2.38</v>
      </c>
      <c r="E1462" s="6">
        <v>2.31</v>
      </c>
      <c r="F1462" t="str">
        <f t="shared" si="626"/>
        <v>TUE</v>
      </c>
      <c r="G1462" s="1">
        <f t="shared" si="627"/>
        <v>43956</v>
      </c>
      <c r="H1462" s="2">
        <f t="shared" ca="1" si="628"/>
        <v>297</v>
      </c>
      <c r="I1462" t="str">
        <f t="shared" si="629"/>
        <v>COPPER</v>
      </c>
      <c r="J1462">
        <f t="shared" si="630"/>
        <v>2.25</v>
      </c>
      <c r="K1462">
        <f t="shared" si="631"/>
        <v>2.38</v>
      </c>
      <c r="L1462">
        <f t="shared" si="632"/>
        <v>2.3149999999999999</v>
      </c>
      <c r="M1462">
        <f t="shared" si="633"/>
        <v>6.4999999999999947E-2</v>
      </c>
      <c r="N1462">
        <f t="shared" si="623"/>
        <v>0.12999999999999989</v>
      </c>
      <c r="O1462">
        <f t="shared" si="634"/>
        <v>2.31</v>
      </c>
      <c r="P1462">
        <f t="shared" si="635"/>
        <v>-7.6923076923075345E-2</v>
      </c>
      <c r="Q1462" t="str">
        <f t="shared" si="624"/>
        <v>2.6% | 3.03%</v>
      </c>
      <c r="R1462" t="str">
        <f t="shared" si="636"/>
        <v>BEARISH</v>
      </c>
      <c r="S1462">
        <f t="shared" si="625"/>
        <v>-1</v>
      </c>
    </row>
    <row r="1463" spans="1:19" hidden="1" x14ac:dyDescent="0.25">
      <c r="A1463" s="5" t="str">
        <f t="shared" si="622"/>
        <v>43956MSFT</v>
      </c>
      <c r="B1463" s="6" t="s">
        <v>27</v>
      </c>
      <c r="C1463" s="6">
        <v>168</v>
      </c>
      <c r="D1463" s="6">
        <v>182</v>
      </c>
      <c r="E1463" s="6">
        <v>178</v>
      </c>
      <c r="F1463" t="str">
        <f t="shared" si="626"/>
        <v>TUE</v>
      </c>
      <c r="G1463" s="1">
        <f t="shared" si="627"/>
        <v>43956</v>
      </c>
      <c r="H1463" s="2">
        <f t="shared" ca="1" si="628"/>
        <v>297</v>
      </c>
      <c r="I1463" t="str">
        <f t="shared" si="629"/>
        <v>MSFT</v>
      </c>
      <c r="J1463">
        <f t="shared" si="630"/>
        <v>168</v>
      </c>
      <c r="K1463">
        <f t="shared" si="631"/>
        <v>182</v>
      </c>
      <c r="L1463">
        <f t="shared" si="632"/>
        <v>175</v>
      </c>
      <c r="M1463">
        <f t="shared" si="633"/>
        <v>7</v>
      </c>
      <c r="N1463">
        <f t="shared" si="623"/>
        <v>14</v>
      </c>
      <c r="O1463">
        <f t="shared" si="634"/>
        <v>178</v>
      </c>
      <c r="P1463">
        <f t="shared" si="635"/>
        <v>0.42857142857142855</v>
      </c>
      <c r="Q1463" t="str">
        <f t="shared" si="624"/>
        <v>5.62% | 2.25%</v>
      </c>
      <c r="R1463" t="str">
        <f t="shared" si="636"/>
        <v>BULLISH</v>
      </c>
      <c r="S1463">
        <f t="shared" si="625"/>
        <v>1</v>
      </c>
    </row>
    <row r="1464" spans="1:19" hidden="1" x14ac:dyDescent="0.25">
      <c r="A1464" s="5" t="str">
        <f t="shared" si="622"/>
        <v>43956AAPL</v>
      </c>
      <c r="B1464" s="6" t="s">
        <v>28</v>
      </c>
      <c r="C1464" s="6">
        <v>266</v>
      </c>
      <c r="D1464" s="6">
        <v>301</v>
      </c>
      <c r="E1464" s="6">
        <v>293</v>
      </c>
      <c r="F1464" t="str">
        <f t="shared" si="626"/>
        <v>TUE</v>
      </c>
      <c r="G1464" s="1">
        <f t="shared" si="627"/>
        <v>43956</v>
      </c>
      <c r="H1464" s="2">
        <f t="shared" ca="1" si="628"/>
        <v>297</v>
      </c>
      <c r="I1464" t="str">
        <f t="shared" si="629"/>
        <v>AAPL</v>
      </c>
      <c r="J1464">
        <f t="shared" si="630"/>
        <v>266</v>
      </c>
      <c r="K1464">
        <f t="shared" si="631"/>
        <v>301</v>
      </c>
      <c r="L1464">
        <f t="shared" si="632"/>
        <v>283.5</v>
      </c>
      <c r="M1464">
        <f t="shared" si="633"/>
        <v>17.5</v>
      </c>
      <c r="N1464">
        <f t="shared" si="623"/>
        <v>35</v>
      </c>
      <c r="O1464">
        <f t="shared" si="634"/>
        <v>293</v>
      </c>
      <c r="P1464">
        <f t="shared" si="635"/>
        <v>0.54285714285714282</v>
      </c>
      <c r="Q1464" t="str">
        <f t="shared" si="624"/>
        <v>9.22% | 2.73%</v>
      </c>
      <c r="R1464" t="str">
        <f t="shared" si="636"/>
        <v>BULLISH</v>
      </c>
      <c r="S1464">
        <f t="shared" si="625"/>
        <v>1</v>
      </c>
    </row>
    <row r="1465" spans="1:19" hidden="1" x14ac:dyDescent="0.25">
      <c r="A1465" s="5" t="str">
        <f t="shared" si="622"/>
        <v>43956AMZN</v>
      </c>
      <c r="B1465" s="6" t="s">
        <v>29</v>
      </c>
      <c r="C1465" s="6">
        <v>2228</v>
      </c>
      <c r="D1465" s="6">
        <v>2479</v>
      </c>
      <c r="E1465" s="6">
        <v>2315</v>
      </c>
      <c r="F1465" t="str">
        <f t="shared" si="626"/>
        <v>TUE</v>
      </c>
      <c r="G1465" s="1">
        <f t="shared" si="627"/>
        <v>43956</v>
      </c>
      <c r="H1465" s="2">
        <f t="shared" ca="1" si="628"/>
        <v>297</v>
      </c>
      <c r="I1465" t="str">
        <f t="shared" si="629"/>
        <v>AMZN</v>
      </c>
      <c r="J1465">
        <f t="shared" si="630"/>
        <v>2228</v>
      </c>
      <c r="K1465">
        <f t="shared" si="631"/>
        <v>2479</v>
      </c>
      <c r="L1465">
        <f t="shared" si="632"/>
        <v>2353.5</v>
      </c>
      <c r="M1465">
        <f t="shared" si="633"/>
        <v>125.5</v>
      </c>
      <c r="N1465">
        <f t="shared" si="623"/>
        <v>251</v>
      </c>
      <c r="O1465">
        <f t="shared" si="634"/>
        <v>2315</v>
      </c>
      <c r="P1465">
        <f t="shared" si="635"/>
        <v>-0.30677290836653387</v>
      </c>
      <c r="Q1465" t="str">
        <f t="shared" si="624"/>
        <v>3.76% | 7.08%</v>
      </c>
      <c r="R1465" t="str">
        <f t="shared" si="636"/>
        <v>BULLISH</v>
      </c>
      <c r="S1465">
        <f t="shared" si="625"/>
        <v>1</v>
      </c>
    </row>
    <row r="1466" spans="1:19" hidden="1" x14ac:dyDescent="0.25">
      <c r="A1466" s="5" t="str">
        <f t="shared" si="622"/>
        <v>43956FB</v>
      </c>
      <c r="B1466" s="6" t="s">
        <v>30</v>
      </c>
      <c r="C1466" s="6">
        <v>176</v>
      </c>
      <c r="D1466" s="6">
        <v>212</v>
      </c>
      <c r="E1466" s="6">
        <v>205</v>
      </c>
      <c r="F1466" t="str">
        <f t="shared" si="626"/>
        <v>TUE</v>
      </c>
      <c r="G1466" s="1">
        <f t="shared" si="627"/>
        <v>43956</v>
      </c>
      <c r="H1466" s="2">
        <f t="shared" ca="1" si="628"/>
        <v>297</v>
      </c>
      <c r="I1466" t="str">
        <f t="shared" si="629"/>
        <v>FB</v>
      </c>
      <c r="J1466">
        <f t="shared" si="630"/>
        <v>176</v>
      </c>
      <c r="K1466">
        <f t="shared" si="631"/>
        <v>212</v>
      </c>
      <c r="L1466">
        <f t="shared" si="632"/>
        <v>194</v>
      </c>
      <c r="M1466">
        <f t="shared" si="633"/>
        <v>18</v>
      </c>
      <c r="N1466">
        <f t="shared" si="623"/>
        <v>36</v>
      </c>
      <c r="O1466">
        <f t="shared" si="634"/>
        <v>205</v>
      </c>
      <c r="P1466">
        <f t="shared" si="635"/>
        <v>0.61111111111111116</v>
      </c>
      <c r="Q1466" t="str">
        <f t="shared" si="624"/>
        <v>14.15% | 3.41%</v>
      </c>
      <c r="R1466" t="str">
        <f t="shared" si="636"/>
        <v>BULLISH</v>
      </c>
      <c r="S1466">
        <f t="shared" si="625"/>
        <v>1</v>
      </c>
    </row>
    <row r="1467" spans="1:19" hidden="1" x14ac:dyDescent="0.25">
      <c r="A1467" s="5" t="str">
        <f t="shared" si="622"/>
        <v>43956GOOGL</v>
      </c>
      <c r="B1467" s="6" t="s">
        <v>59</v>
      </c>
      <c r="C1467" s="6">
        <v>1207</v>
      </c>
      <c r="D1467" s="6">
        <v>1369</v>
      </c>
      <c r="E1467" s="6">
        <v>1322</v>
      </c>
      <c r="F1467" t="str">
        <f t="shared" si="626"/>
        <v>TUE</v>
      </c>
      <c r="G1467" s="1">
        <f t="shared" si="627"/>
        <v>43956</v>
      </c>
      <c r="H1467" s="2">
        <f t="shared" ca="1" si="628"/>
        <v>297</v>
      </c>
      <c r="I1467" t="str">
        <f t="shared" si="629"/>
        <v>GOOGL</v>
      </c>
      <c r="J1467">
        <f t="shared" si="630"/>
        <v>1207</v>
      </c>
      <c r="K1467">
        <f t="shared" si="631"/>
        <v>1369</v>
      </c>
      <c r="L1467">
        <f t="shared" si="632"/>
        <v>1288</v>
      </c>
      <c r="M1467">
        <f t="shared" si="633"/>
        <v>81</v>
      </c>
      <c r="N1467">
        <f t="shared" si="623"/>
        <v>162</v>
      </c>
      <c r="O1467">
        <f t="shared" si="634"/>
        <v>1322</v>
      </c>
      <c r="P1467">
        <f t="shared" si="635"/>
        <v>0.41975308641975306</v>
      </c>
      <c r="Q1467" t="str">
        <f t="shared" si="624"/>
        <v>8.7% | 3.56%</v>
      </c>
      <c r="R1467" t="str">
        <f t="shared" si="636"/>
        <v>NEUTRAL</v>
      </c>
      <c r="S1467">
        <f t="shared" si="625"/>
        <v>0</v>
      </c>
    </row>
    <row r="1468" spans="1:19" hidden="1" x14ac:dyDescent="0.25">
      <c r="A1468" s="5" t="str">
        <f t="shared" si="622"/>
        <v>43956NFLX</v>
      </c>
      <c r="B1468" s="6" t="s">
        <v>32</v>
      </c>
      <c r="C1468" s="6">
        <v>402</v>
      </c>
      <c r="D1468" s="6">
        <v>440</v>
      </c>
      <c r="E1468" s="6">
        <v>428</v>
      </c>
      <c r="F1468" t="str">
        <f t="shared" si="626"/>
        <v>TUE</v>
      </c>
      <c r="G1468" s="1">
        <f t="shared" si="627"/>
        <v>43956</v>
      </c>
      <c r="H1468" s="2">
        <f t="shared" ca="1" si="628"/>
        <v>297</v>
      </c>
      <c r="I1468" t="str">
        <f t="shared" si="629"/>
        <v>NFLX</v>
      </c>
      <c r="J1468">
        <f t="shared" si="630"/>
        <v>402</v>
      </c>
      <c r="K1468">
        <f t="shared" si="631"/>
        <v>440</v>
      </c>
      <c r="L1468">
        <f t="shared" si="632"/>
        <v>421</v>
      </c>
      <c r="M1468">
        <f t="shared" si="633"/>
        <v>19</v>
      </c>
      <c r="N1468">
        <f t="shared" si="623"/>
        <v>38</v>
      </c>
      <c r="O1468">
        <f t="shared" si="634"/>
        <v>428</v>
      </c>
      <c r="P1468">
        <f t="shared" si="635"/>
        <v>0.36842105263157893</v>
      </c>
      <c r="Q1468" t="str">
        <f t="shared" si="624"/>
        <v>6.07% | 2.8%</v>
      </c>
      <c r="R1468" t="str">
        <f t="shared" si="636"/>
        <v>BULLISH</v>
      </c>
      <c r="S1468">
        <f t="shared" si="625"/>
        <v>1</v>
      </c>
    </row>
    <row r="1469" spans="1:19" x14ac:dyDescent="0.25">
      <c r="A1469" s="5" t="str">
        <f t="shared" si="622"/>
        <v>43956TSLA</v>
      </c>
      <c r="B1469" s="6" t="s">
        <v>33</v>
      </c>
      <c r="C1469" s="6">
        <v>680</v>
      </c>
      <c r="D1469" s="6">
        <v>827</v>
      </c>
      <c r="E1469" s="6">
        <v>761</v>
      </c>
      <c r="F1469" t="str">
        <f t="shared" si="626"/>
        <v>TUE</v>
      </c>
      <c r="G1469" s="1">
        <f t="shared" si="627"/>
        <v>43956</v>
      </c>
      <c r="H1469" s="2">
        <f t="shared" ca="1" si="628"/>
        <v>297</v>
      </c>
      <c r="I1469" t="str">
        <f t="shared" si="629"/>
        <v>TSLA</v>
      </c>
      <c r="J1469">
        <f t="shared" si="630"/>
        <v>680</v>
      </c>
      <c r="K1469">
        <f t="shared" si="631"/>
        <v>827</v>
      </c>
      <c r="L1469">
        <f t="shared" si="632"/>
        <v>753.5</v>
      </c>
      <c r="M1469">
        <f t="shared" si="633"/>
        <v>73.5</v>
      </c>
      <c r="N1469">
        <f t="shared" si="623"/>
        <v>147</v>
      </c>
      <c r="O1469">
        <f t="shared" si="634"/>
        <v>761</v>
      </c>
      <c r="P1469">
        <f t="shared" si="635"/>
        <v>0.10204081632653061</v>
      </c>
      <c r="Q1469" t="str">
        <f t="shared" si="624"/>
        <v>10.64% | 8.67%</v>
      </c>
      <c r="R1469" t="str">
        <f t="shared" si="636"/>
        <v>BULLISH</v>
      </c>
      <c r="S1469">
        <f t="shared" si="625"/>
        <v>1</v>
      </c>
    </row>
    <row r="1470" spans="1:19" hidden="1" x14ac:dyDescent="0.25">
      <c r="A1470" s="5" t="str">
        <f t="shared" si="622"/>
        <v>43956NYXBT</v>
      </c>
      <c r="B1470" s="6" t="s">
        <v>34</v>
      </c>
      <c r="C1470" s="6">
        <v>7601</v>
      </c>
      <c r="D1470" s="6">
        <v>9299</v>
      </c>
      <c r="E1470" s="6">
        <v>8803</v>
      </c>
      <c r="F1470" t="str">
        <f t="shared" si="626"/>
        <v>TUE</v>
      </c>
      <c r="G1470" s="1">
        <f t="shared" si="627"/>
        <v>43956</v>
      </c>
      <c r="H1470" s="2">
        <f t="shared" ca="1" si="628"/>
        <v>297</v>
      </c>
      <c r="I1470" t="str">
        <f t="shared" si="629"/>
        <v>NYXBT</v>
      </c>
      <c r="J1470">
        <f t="shared" si="630"/>
        <v>7601</v>
      </c>
      <c r="K1470">
        <f t="shared" si="631"/>
        <v>9299</v>
      </c>
      <c r="L1470">
        <f t="shared" si="632"/>
        <v>8450</v>
      </c>
      <c r="M1470">
        <f t="shared" si="633"/>
        <v>849</v>
      </c>
      <c r="N1470">
        <f t="shared" si="623"/>
        <v>1698</v>
      </c>
      <c r="O1470">
        <f t="shared" si="634"/>
        <v>8803</v>
      </c>
      <c r="P1470">
        <f t="shared" si="635"/>
        <v>0.41578327444051827</v>
      </c>
      <c r="Q1470" t="str">
        <f t="shared" si="624"/>
        <v>13.65% | 5.63%</v>
      </c>
      <c r="R1470" t="str">
        <f t="shared" si="636"/>
        <v>BULLISH</v>
      </c>
      <c r="S1470">
        <f t="shared" si="625"/>
        <v>1</v>
      </c>
    </row>
    <row r="1471" spans="1:19" hidden="1" x14ac:dyDescent="0.25">
      <c r="A1471" s="5" t="str">
        <f t="shared" si="622"/>
        <v>43957UST10Y</v>
      </c>
      <c r="B1471" s="6" t="s">
        <v>4</v>
      </c>
      <c r="C1471" s="6">
        <v>0.7</v>
      </c>
      <c r="D1471" s="6">
        <v>0.57999999999999996</v>
      </c>
      <c r="E1471" s="6">
        <v>0.66</v>
      </c>
      <c r="F1471" t="str">
        <f t="shared" si="626"/>
        <v>WED</v>
      </c>
      <c r="G1471" s="3">
        <f>DATE(2020,5,6)</f>
        <v>43957</v>
      </c>
      <c r="H1471" s="2">
        <f t="shared" ca="1" si="628"/>
        <v>296</v>
      </c>
      <c r="I1471" t="str">
        <f t="shared" si="629"/>
        <v>UST10Y</v>
      </c>
      <c r="J1471">
        <f t="shared" si="630"/>
        <v>0.7</v>
      </c>
      <c r="K1471">
        <f t="shared" si="631"/>
        <v>0.57999999999999996</v>
      </c>
      <c r="L1471">
        <f t="shared" si="632"/>
        <v>0.6399999999999999</v>
      </c>
      <c r="M1471">
        <f t="shared" si="633"/>
        <v>0.06</v>
      </c>
      <c r="N1471">
        <f t="shared" si="623"/>
        <v>0.12</v>
      </c>
      <c r="O1471">
        <f t="shared" si="634"/>
        <v>0.66</v>
      </c>
      <c r="P1471">
        <f t="shared" si="635"/>
        <v>0.33333333333333548</v>
      </c>
      <c r="Q1471" t="str">
        <f t="shared" si="624"/>
        <v>6.06% | 12.12%</v>
      </c>
      <c r="R1471" t="str">
        <f t="shared" si="636"/>
        <v>BEARISH</v>
      </c>
      <c r="S1471">
        <f t="shared" si="625"/>
        <v>-1</v>
      </c>
    </row>
    <row r="1472" spans="1:19" hidden="1" x14ac:dyDescent="0.25">
      <c r="A1472" s="5" t="str">
        <f t="shared" si="622"/>
        <v>43957UST2Y</v>
      </c>
      <c r="B1472" s="6" t="s">
        <v>5</v>
      </c>
      <c r="C1472" s="6">
        <v>0.23</v>
      </c>
      <c r="D1472" s="6">
        <v>0.16</v>
      </c>
      <c r="E1472" s="6">
        <v>0.19</v>
      </c>
      <c r="F1472" t="str">
        <f t="shared" ref="F1472:F1502" si="637">UPPER(TEXT(G1472,"ddd"))</f>
        <v>WED</v>
      </c>
      <c r="G1472" s="3">
        <f t="shared" ref="G1472:G1501" si="638">DATE(2020,5,6)</f>
        <v>43957</v>
      </c>
      <c r="H1472" s="2">
        <f t="shared" ref="H1472:H1502" ca="1" si="639">TODAY()-G1472</f>
        <v>296</v>
      </c>
      <c r="I1472" t="str">
        <f t="shared" ref="I1472:I1502" si="640">TRIM(LEFT(B1472,FIND(" ",B1472,1)))</f>
        <v>UST2Y</v>
      </c>
      <c r="J1472">
        <f t="shared" ref="J1472:J1502" si="641">C1472</f>
        <v>0.23</v>
      </c>
      <c r="K1472">
        <f t="shared" ref="K1472:K1502" si="642">D1472</f>
        <v>0.16</v>
      </c>
      <c r="L1472">
        <f t="shared" ref="L1472:L1502" si="643">AVERAGE(J1472:K1472)</f>
        <v>0.19500000000000001</v>
      </c>
      <c r="M1472">
        <f t="shared" ref="M1472:M1502" si="644">_xlfn.STDEV.P(J1472:K1472)</f>
        <v>3.4999999999999955E-2</v>
      </c>
      <c r="N1472">
        <f t="shared" si="623"/>
        <v>7.0000000000000007E-2</v>
      </c>
      <c r="O1472">
        <f t="shared" ref="O1472:O1502" si="645">E1472</f>
        <v>0.19</v>
      </c>
      <c r="P1472">
        <f t="shared" ref="P1472:P1502" si="646">(O1472-L1472)/M1472</f>
        <v>-0.14285714285714318</v>
      </c>
      <c r="Q1472" t="str">
        <f t="shared" si="624"/>
        <v>21.05% | 15.79%</v>
      </c>
      <c r="R1472" t="str">
        <f t="shared" ref="R1472:R1502" si="647">MID(B1472,FIND("(",B1472,1)+1,FIND(")",B1472,1)-FIND("(",B1472,1)-1)</f>
        <v>BEARISH</v>
      </c>
      <c r="S1472">
        <f t="shared" si="625"/>
        <v>-1</v>
      </c>
    </row>
    <row r="1473" spans="1:19" hidden="1" x14ac:dyDescent="0.25">
      <c r="A1473" s="5" t="str">
        <f t="shared" si="622"/>
        <v>43957SPX</v>
      </c>
      <c r="B1473" s="6" t="s">
        <v>6</v>
      </c>
      <c r="C1473" s="6">
        <v>2771</v>
      </c>
      <c r="D1473" s="6">
        <v>2945</v>
      </c>
      <c r="E1473" s="6">
        <v>2868</v>
      </c>
      <c r="F1473" t="str">
        <f t="shared" si="637"/>
        <v>WED</v>
      </c>
      <c r="G1473" s="3">
        <f t="shared" si="638"/>
        <v>43957</v>
      </c>
      <c r="H1473" s="2">
        <f t="shared" ca="1" si="639"/>
        <v>296</v>
      </c>
      <c r="I1473" t="str">
        <f t="shared" si="640"/>
        <v>SPX</v>
      </c>
      <c r="J1473">
        <f t="shared" si="641"/>
        <v>2771</v>
      </c>
      <c r="K1473">
        <f t="shared" si="642"/>
        <v>2945</v>
      </c>
      <c r="L1473">
        <f t="shared" si="643"/>
        <v>2858</v>
      </c>
      <c r="M1473">
        <f t="shared" si="644"/>
        <v>87</v>
      </c>
      <c r="N1473">
        <f t="shared" si="623"/>
        <v>174</v>
      </c>
      <c r="O1473">
        <f t="shared" si="645"/>
        <v>2868</v>
      </c>
      <c r="P1473">
        <f t="shared" si="646"/>
        <v>0.11494252873563218</v>
      </c>
      <c r="Q1473" t="str">
        <f t="shared" si="624"/>
        <v>3.38% | 2.68%</v>
      </c>
      <c r="R1473" t="str">
        <f t="shared" si="647"/>
        <v>BEARISH</v>
      </c>
      <c r="S1473">
        <f t="shared" si="625"/>
        <v>-1</v>
      </c>
    </row>
    <row r="1474" spans="1:19" hidden="1" x14ac:dyDescent="0.25">
      <c r="A1474" s="5" t="str">
        <f t="shared" si="622"/>
        <v>43957RUT</v>
      </c>
      <c r="B1474" s="6" t="s">
        <v>7</v>
      </c>
      <c r="C1474" s="6">
        <v>1195</v>
      </c>
      <c r="D1474" s="6">
        <v>1364</v>
      </c>
      <c r="E1474" s="6">
        <v>1273</v>
      </c>
      <c r="F1474" t="str">
        <f t="shared" si="637"/>
        <v>WED</v>
      </c>
      <c r="G1474" s="3">
        <f t="shared" si="638"/>
        <v>43957</v>
      </c>
      <c r="H1474" s="2">
        <f t="shared" ca="1" si="639"/>
        <v>296</v>
      </c>
      <c r="I1474" t="str">
        <f t="shared" si="640"/>
        <v>RUT</v>
      </c>
      <c r="J1474">
        <f t="shared" si="641"/>
        <v>1195</v>
      </c>
      <c r="K1474">
        <f t="shared" si="642"/>
        <v>1364</v>
      </c>
      <c r="L1474">
        <f t="shared" si="643"/>
        <v>1279.5</v>
      </c>
      <c r="M1474">
        <f t="shared" si="644"/>
        <v>84.5</v>
      </c>
      <c r="N1474">
        <f t="shared" si="623"/>
        <v>169</v>
      </c>
      <c r="O1474">
        <f t="shared" si="645"/>
        <v>1273</v>
      </c>
      <c r="P1474">
        <f t="shared" si="646"/>
        <v>-7.6923076923076927E-2</v>
      </c>
      <c r="Q1474" t="str">
        <f t="shared" si="624"/>
        <v>6.13% | 7.15%</v>
      </c>
      <c r="R1474" t="str">
        <f t="shared" si="647"/>
        <v>BEARISH</v>
      </c>
      <c r="S1474">
        <f t="shared" si="625"/>
        <v>-1</v>
      </c>
    </row>
    <row r="1475" spans="1:19" hidden="1" x14ac:dyDescent="0.25">
      <c r="A1475" s="5" t="str">
        <f t="shared" ref="A1475:A1538" si="648">G1475&amp;I1475</f>
        <v>43957COMPQ</v>
      </c>
      <c r="B1475" s="6" t="s">
        <v>8</v>
      </c>
      <c r="C1475" s="6">
        <v>8411</v>
      </c>
      <c r="D1475" s="6">
        <v>8977</v>
      </c>
      <c r="E1475" s="6">
        <v>8809</v>
      </c>
      <c r="F1475" t="str">
        <f t="shared" si="637"/>
        <v>WED</v>
      </c>
      <c r="G1475" s="3">
        <f t="shared" si="638"/>
        <v>43957</v>
      </c>
      <c r="H1475" s="2">
        <f t="shared" ca="1" si="639"/>
        <v>296</v>
      </c>
      <c r="I1475" t="str">
        <f t="shared" si="640"/>
        <v>COMPQ</v>
      </c>
      <c r="J1475">
        <f t="shared" si="641"/>
        <v>8411</v>
      </c>
      <c r="K1475">
        <f t="shared" si="642"/>
        <v>8977</v>
      </c>
      <c r="L1475">
        <f t="shared" si="643"/>
        <v>8694</v>
      </c>
      <c r="M1475">
        <f t="shared" si="644"/>
        <v>283</v>
      </c>
      <c r="N1475">
        <f t="shared" ref="N1475:N1538" si="649">ABS(K1475-J1475)</f>
        <v>566</v>
      </c>
      <c r="O1475">
        <f t="shared" si="645"/>
        <v>8809</v>
      </c>
      <c r="P1475">
        <f t="shared" si="646"/>
        <v>0.40636042402826855</v>
      </c>
      <c r="Q1475" t="str">
        <f t="shared" ref="Q1475:Q1538" si="650">ROUND(ABS(100*(O1475-J1475)/O1475),2)&amp;"% | "&amp;ROUND(ABS(100*(K1475-O1475)/O1475),2)&amp;"%"</f>
        <v>4.52% | 1.91%</v>
      </c>
      <c r="R1475" t="str">
        <f t="shared" si="647"/>
        <v>BULLISH</v>
      </c>
      <c r="S1475">
        <f t="shared" ref="S1475:S1538" si="651">IF(R1475="BEARISH",-1,IF(R1475="NEUTRAL",0,IF(R1475="BULLISH",1,99)))</f>
        <v>1</v>
      </c>
    </row>
    <row r="1476" spans="1:19" hidden="1" x14ac:dyDescent="0.25">
      <c r="A1476" s="5" t="str">
        <f t="shared" si="648"/>
        <v>43957XLV</v>
      </c>
      <c r="B1476" s="6" t="s">
        <v>9</v>
      </c>
      <c r="C1476" s="6">
        <v>96.75</v>
      </c>
      <c r="D1476" s="6">
        <v>101.91</v>
      </c>
      <c r="E1476" s="6">
        <v>99.9</v>
      </c>
      <c r="F1476" t="str">
        <f t="shared" si="637"/>
        <v>WED</v>
      </c>
      <c r="G1476" s="3">
        <f t="shared" si="638"/>
        <v>43957</v>
      </c>
      <c r="H1476" s="2">
        <f t="shared" ca="1" si="639"/>
        <v>296</v>
      </c>
      <c r="I1476" t="str">
        <f t="shared" si="640"/>
        <v>XLV</v>
      </c>
      <c r="J1476">
        <f t="shared" si="641"/>
        <v>96.75</v>
      </c>
      <c r="K1476">
        <f t="shared" si="642"/>
        <v>101.91</v>
      </c>
      <c r="L1476">
        <f t="shared" si="643"/>
        <v>99.33</v>
      </c>
      <c r="M1476">
        <f t="shared" si="644"/>
        <v>2.5799999999999983</v>
      </c>
      <c r="N1476">
        <f t="shared" si="649"/>
        <v>5.1599999999999966</v>
      </c>
      <c r="O1476">
        <f t="shared" si="645"/>
        <v>99.9</v>
      </c>
      <c r="P1476">
        <f t="shared" si="646"/>
        <v>0.22093023255814254</v>
      </c>
      <c r="Q1476" t="str">
        <f t="shared" si="650"/>
        <v>3.15% | 2.01%</v>
      </c>
      <c r="R1476" t="str">
        <f t="shared" si="647"/>
        <v>BULLISH</v>
      </c>
      <c r="S1476">
        <f t="shared" si="651"/>
        <v>1</v>
      </c>
    </row>
    <row r="1477" spans="1:19" hidden="1" x14ac:dyDescent="0.25">
      <c r="A1477" s="5" t="str">
        <f t="shared" si="648"/>
        <v>43957XLP</v>
      </c>
      <c r="B1477" s="6" t="s">
        <v>50</v>
      </c>
      <c r="C1477" s="6">
        <v>57.03</v>
      </c>
      <c r="D1477" s="6">
        <v>59.51</v>
      </c>
      <c r="E1477" s="6">
        <v>57.64</v>
      </c>
      <c r="F1477" t="str">
        <f t="shared" si="637"/>
        <v>WED</v>
      </c>
      <c r="G1477" s="3">
        <f t="shared" si="638"/>
        <v>43957</v>
      </c>
      <c r="H1477" s="2">
        <f t="shared" ca="1" si="639"/>
        <v>296</v>
      </c>
      <c r="I1477" t="str">
        <f t="shared" si="640"/>
        <v>XLP</v>
      </c>
      <c r="J1477">
        <f t="shared" si="641"/>
        <v>57.03</v>
      </c>
      <c r="K1477">
        <f t="shared" si="642"/>
        <v>59.51</v>
      </c>
      <c r="L1477">
        <f t="shared" si="643"/>
        <v>58.269999999999996</v>
      </c>
      <c r="M1477">
        <f t="shared" si="644"/>
        <v>1.2399999999999984</v>
      </c>
      <c r="N1477">
        <f t="shared" si="649"/>
        <v>2.4799999999999969</v>
      </c>
      <c r="O1477">
        <f t="shared" si="645"/>
        <v>57.64</v>
      </c>
      <c r="P1477">
        <f t="shared" si="646"/>
        <v>-0.50806451612902925</v>
      </c>
      <c r="Q1477" t="str">
        <f t="shared" si="650"/>
        <v>1.06% | 3.24%</v>
      </c>
      <c r="R1477" t="str">
        <f t="shared" si="647"/>
        <v>NEUTRAL</v>
      </c>
      <c r="S1477">
        <f t="shared" si="651"/>
        <v>0</v>
      </c>
    </row>
    <row r="1478" spans="1:19" hidden="1" x14ac:dyDescent="0.25">
      <c r="A1478" s="5" t="str">
        <f t="shared" si="648"/>
        <v>43957XLU</v>
      </c>
      <c r="B1478" s="6" t="s">
        <v>82</v>
      </c>
      <c r="C1478" s="6">
        <v>55.05</v>
      </c>
      <c r="D1478" s="6">
        <v>59.77</v>
      </c>
      <c r="E1478" s="6">
        <v>56.76</v>
      </c>
      <c r="F1478" t="str">
        <f t="shared" si="637"/>
        <v>WED</v>
      </c>
      <c r="G1478" s="3">
        <f t="shared" si="638"/>
        <v>43957</v>
      </c>
      <c r="H1478" s="2">
        <f t="shared" ca="1" si="639"/>
        <v>296</v>
      </c>
      <c r="I1478" t="str">
        <f t="shared" si="640"/>
        <v>XLU</v>
      </c>
      <c r="J1478">
        <f t="shared" si="641"/>
        <v>55.05</v>
      </c>
      <c r="K1478">
        <f t="shared" si="642"/>
        <v>59.77</v>
      </c>
      <c r="L1478">
        <f t="shared" si="643"/>
        <v>57.41</v>
      </c>
      <c r="M1478">
        <f t="shared" si="644"/>
        <v>2.360000000000003</v>
      </c>
      <c r="N1478">
        <f t="shared" si="649"/>
        <v>4.720000000000006</v>
      </c>
      <c r="O1478">
        <f t="shared" si="645"/>
        <v>56.76</v>
      </c>
      <c r="P1478">
        <f t="shared" si="646"/>
        <v>-0.27542372881355837</v>
      </c>
      <c r="Q1478" t="str">
        <f t="shared" si="650"/>
        <v>3.01% | 5.3%</v>
      </c>
      <c r="R1478" t="str">
        <f t="shared" si="647"/>
        <v>BEARISH</v>
      </c>
      <c r="S1478">
        <f t="shared" si="651"/>
        <v>-1</v>
      </c>
    </row>
    <row r="1479" spans="1:19" hidden="1" x14ac:dyDescent="0.25">
      <c r="A1479" s="5" t="str">
        <f t="shared" si="648"/>
        <v>43957XLK</v>
      </c>
      <c r="B1479" s="6" t="s">
        <v>10</v>
      </c>
      <c r="C1479" s="6">
        <v>86.24</v>
      </c>
      <c r="D1479" s="6">
        <v>92.99</v>
      </c>
      <c r="E1479" s="6">
        <v>91.32</v>
      </c>
      <c r="F1479" t="str">
        <f t="shared" si="637"/>
        <v>WED</v>
      </c>
      <c r="G1479" s="3">
        <f t="shared" si="638"/>
        <v>43957</v>
      </c>
      <c r="H1479" s="2">
        <f t="shared" ca="1" si="639"/>
        <v>296</v>
      </c>
      <c r="I1479" t="str">
        <f t="shared" si="640"/>
        <v>XLK</v>
      </c>
      <c r="J1479">
        <f t="shared" si="641"/>
        <v>86.24</v>
      </c>
      <c r="K1479">
        <f t="shared" si="642"/>
        <v>92.99</v>
      </c>
      <c r="L1479">
        <f t="shared" si="643"/>
        <v>89.614999999999995</v>
      </c>
      <c r="M1479">
        <f t="shared" si="644"/>
        <v>3.375</v>
      </c>
      <c r="N1479">
        <f t="shared" si="649"/>
        <v>6.75</v>
      </c>
      <c r="O1479">
        <f t="shared" si="645"/>
        <v>91.32</v>
      </c>
      <c r="P1479">
        <f t="shared" si="646"/>
        <v>0.50518518518518463</v>
      </c>
      <c r="Q1479" t="str">
        <f t="shared" si="650"/>
        <v>5.56% | 1.83%</v>
      </c>
      <c r="R1479" t="str">
        <f t="shared" si="647"/>
        <v>BULLISH</v>
      </c>
      <c r="S1479">
        <f t="shared" si="651"/>
        <v>1</v>
      </c>
    </row>
    <row r="1480" spans="1:19" hidden="1" x14ac:dyDescent="0.25">
      <c r="A1480" s="5" t="str">
        <f t="shared" si="648"/>
        <v>43957XLF</v>
      </c>
      <c r="B1480" s="6" t="s">
        <v>12</v>
      </c>
      <c r="C1480" s="6">
        <v>20.16</v>
      </c>
      <c r="D1480" s="6">
        <v>23.46</v>
      </c>
      <c r="E1480" s="6">
        <v>21.79</v>
      </c>
      <c r="F1480" t="str">
        <f t="shared" si="637"/>
        <v>WED</v>
      </c>
      <c r="G1480" s="3">
        <f t="shared" si="638"/>
        <v>43957</v>
      </c>
      <c r="H1480" s="2">
        <f t="shared" ca="1" si="639"/>
        <v>296</v>
      </c>
      <c r="I1480" t="str">
        <f t="shared" si="640"/>
        <v>XLF</v>
      </c>
      <c r="J1480">
        <f t="shared" si="641"/>
        <v>20.16</v>
      </c>
      <c r="K1480">
        <f t="shared" si="642"/>
        <v>23.46</v>
      </c>
      <c r="L1480">
        <f t="shared" si="643"/>
        <v>21.810000000000002</v>
      </c>
      <c r="M1480">
        <f t="shared" si="644"/>
        <v>1.6500000000000004</v>
      </c>
      <c r="N1480">
        <f t="shared" si="649"/>
        <v>3.3000000000000007</v>
      </c>
      <c r="O1480">
        <f t="shared" si="645"/>
        <v>21.79</v>
      </c>
      <c r="P1480">
        <f t="shared" si="646"/>
        <v>-1.2121212121214014E-2</v>
      </c>
      <c r="Q1480" t="str">
        <f t="shared" si="650"/>
        <v>7.48% | 7.66%</v>
      </c>
      <c r="R1480" t="str">
        <f t="shared" si="647"/>
        <v>BEARISH</v>
      </c>
      <c r="S1480">
        <f t="shared" si="651"/>
        <v>-1</v>
      </c>
    </row>
    <row r="1481" spans="1:19" hidden="1" x14ac:dyDescent="0.25">
      <c r="A1481" s="5" t="str">
        <f t="shared" si="648"/>
        <v>43957SSEC</v>
      </c>
      <c r="B1481" s="6" t="s">
        <v>14</v>
      </c>
      <c r="C1481" s="6">
        <v>2790</v>
      </c>
      <c r="D1481" s="6">
        <v>2899</v>
      </c>
      <c r="E1481" s="6">
        <v>2878</v>
      </c>
      <c r="F1481" t="str">
        <f t="shared" si="637"/>
        <v>WED</v>
      </c>
      <c r="G1481" s="3">
        <f t="shared" si="638"/>
        <v>43957</v>
      </c>
      <c r="H1481" s="2">
        <f t="shared" ca="1" si="639"/>
        <v>296</v>
      </c>
      <c r="I1481" t="str">
        <f t="shared" si="640"/>
        <v>SSEC</v>
      </c>
      <c r="J1481">
        <f t="shared" si="641"/>
        <v>2790</v>
      </c>
      <c r="K1481">
        <f t="shared" si="642"/>
        <v>2899</v>
      </c>
      <c r="L1481">
        <f t="shared" si="643"/>
        <v>2844.5</v>
      </c>
      <c r="M1481">
        <f t="shared" si="644"/>
        <v>54.5</v>
      </c>
      <c r="N1481">
        <f t="shared" si="649"/>
        <v>109</v>
      </c>
      <c r="O1481">
        <f t="shared" si="645"/>
        <v>2878</v>
      </c>
      <c r="P1481">
        <f t="shared" si="646"/>
        <v>0.61467889908256879</v>
      </c>
      <c r="Q1481" t="str">
        <f t="shared" si="650"/>
        <v>3.06% | 0.73%</v>
      </c>
      <c r="R1481" t="str">
        <f t="shared" si="647"/>
        <v>BEARISH</v>
      </c>
      <c r="S1481">
        <f t="shared" si="651"/>
        <v>-1</v>
      </c>
    </row>
    <row r="1482" spans="1:19" hidden="1" x14ac:dyDescent="0.25">
      <c r="A1482" s="5" t="str">
        <f t="shared" si="648"/>
        <v>43957NIKK</v>
      </c>
      <c r="B1482" s="6" t="s">
        <v>15</v>
      </c>
      <c r="C1482" s="6">
        <v>18847</v>
      </c>
      <c r="D1482" s="6">
        <v>20208</v>
      </c>
      <c r="E1482" s="6">
        <v>19619</v>
      </c>
      <c r="F1482" t="str">
        <f t="shared" si="637"/>
        <v>WED</v>
      </c>
      <c r="G1482" s="3">
        <f t="shared" si="638"/>
        <v>43957</v>
      </c>
      <c r="H1482" s="2">
        <f t="shared" ca="1" si="639"/>
        <v>296</v>
      </c>
      <c r="I1482" t="str">
        <f t="shared" si="640"/>
        <v>NIKK</v>
      </c>
      <c r="J1482">
        <f t="shared" si="641"/>
        <v>18847</v>
      </c>
      <c r="K1482">
        <f t="shared" si="642"/>
        <v>20208</v>
      </c>
      <c r="L1482">
        <f t="shared" si="643"/>
        <v>19527.5</v>
      </c>
      <c r="M1482">
        <f t="shared" si="644"/>
        <v>680.5</v>
      </c>
      <c r="N1482">
        <f t="shared" si="649"/>
        <v>1361</v>
      </c>
      <c r="O1482">
        <f t="shared" si="645"/>
        <v>19619</v>
      </c>
      <c r="P1482">
        <f t="shared" si="646"/>
        <v>0.13445995591476856</v>
      </c>
      <c r="Q1482" t="str">
        <f t="shared" si="650"/>
        <v>3.93% | 3%</v>
      </c>
      <c r="R1482" t="str">
        <f t="shared" si="647"/>
        <v>BEARISH</v>
      </c>
      <c r="S1482">
        <f t="shared" si="651"/>
        <v>-1</v>
      </c>
    </row>
    <row r="1483" spans="1:19" hidden="1" x14ac:dyDescent="0.25">
      <c r="A1483" s="5" t="str">
        <f t="shared" si="648"/>
        <v>43957DAX</v>
      </c>
      <c r="B1483" s="6" t="s">
        <v>16</v>
      </c>
      <c r="C1483" s="6">
        <v>10194</v>
      </c>
      <c r="D1483" s="6">
        <v>11080</v>
      </c>
      <c r="E1483" s="6">
        <v>10730</v>
      </c>
      <c r="F1483" t="str">
        <f t="shared" si="637"/>
        <v>WED</v>
      </c>
      <c r="G1483" s="3">
        <f t="shared" si="638"/>
        <v>43957</v>
      </c>
      <c r="H1483" s="2">
        <f t="shared" ca="1" si="639"/>
        <v>296</v>
      </c>
      <c r="I1483" t="str">
        <f t="shared" si="640"/>
        <v>DAX</v>
      </c>
      <c r="J1483">
        <f t="shared" si="641"/>
        <v>10194</v>
      </c>
      <c r="K1483">
        <f t="shared" si="642"/>
        <v>11080</v>
      </c>
      <c r="L1483">
        <f t="shared" si="643"/>
        <v>10637</v>
      </c>
      <c r="M1483">
        <f t="shared" si="644"/>
        <v>443</v>
      </c>
      <c r="N1483">
        <f t="shared" si="649"/>
        <v>886</v>
      </c>
      <c r="O1483">
        <f t="shared" si="645"/>
        <v>10730</v>
      </c>
      <c r="P1483">
        <f t="shared" si="646"/>
        <v>0.20993227990970656</v>
      </c>
      <c r="Q1483" t="str">
        <f t="shared" si="650"/>
        <v>5% | 3.26%</v>
      </c>
      <c r="R1483" t="str">
        <f t="shared" si="647"/>
        <v>BEARISH</v>
      </c>
      <c r="S1483">
        <f t="shared" si="651"/>
        <v>-1</v>
      </c>
    </row>
    <row r="1484" spans="1:19" hidden="1" x14ac:dyDescent="0.25">
      <c r="A1484" s="5" t="str">
        <f t="shared" si="648"/>
        <v>43957VIX</v>
      </c>
      <c r="B1484" s="6" t="s">
        <v>17</v>
      </c>
      <c r="C1484" s="6">
        <v>29.91</v>
      </c>
      <c r="D1484" s="6">
        <v>42.68</v>
      </c>
      <c r="E1484" s="6">
        <v>33.61</v>
      </c>
      <c r="F1484" t="str">
        <f t="shared" si="637"/>
        <v>WED</v>
      </c>
      <c r="G1484" s="3">
        <f t="shared" si="638"/>
        <v>43957</v>
      </c>
      <c r="H1484" s="2">
        <f t="shared" ca="1" si="639"/>
        <v>296</v>
      </c>
      <c r="I1484" t="str">
        <f t="shared" si="640"/>
        <v>VIX</v>
      </c>
      <c r="J1484">
        <f t="shared" si="641"/>
        <v>29.91</v>
      </c>
      <c r="K1484">
        <f t="shared" si="642"/>
        <v>42.68</v>
      </c>
      <c r="L1484">
        <f t="shared" si="643"/>
        <v>36.295000000000002</v>
      </c>
      <c r="M1484">
        <f t="shared" si="644"/>
        <v>6.3850000000000025</v>
      </c>
      <c r="N1484">
        <f t="shared" si="649"/>
        <v>12.77</v>
      </c>
      <c r="O1484">
        <f t="shared" si="645"/>
        <v>33.61</v>
      </c>
      <c r="P1484">
        <f t="shared" si="646"/>
        <v>-0.42051683633516074</v>
      </c>
      <c r="Q1484" t="str">
        <f t="shared" si="650"/>
        <v>11.01% | 26.99%</v>
      </c>
      <c r="R1484" t="str">
        <f t="shared" si="647"/>
        <v>BULLISH</v>
      </c>
      <c r="S1484">
        <f t="shared" si="651"/>
        <v>1</v>
      </c>
    </row>
    <row r="1485" spans="1:19" hidden="1" x14ac:dyDescent="0.25">
      <c r="A1485" s="5" t="str">
        <f t="shared" si="648"/>
        <v>43957USD</v>
      </c>
      <c r="B1485" s="6" t="s">
        <v>18</v>
      </c>
      <c r="C1485" s="6">
        <v>98.77</v>
      </c>
      <c r="D1485" s="6">
        <v>100.89</v>
      </c>
      <c r="E1485" s="6">
        <v>99.76</v>
      </c>
      <c r="F1485" t="str">
        <f t="shared" si="637"/>
        <v>WED</v>
      </c>
      <c r="G1485" s="3">
        <f t="shared" si="638"/>
        <v>43957</v>
      </c>
      <c r="H1485" s="2">
        <f t="shared" ca="1" si="639"/>
        <v>296</v>
      </c>
      <c r="I1485" t="str">
        <f t="shared" si="640"/>
        <v>USD</v>
      </c>
      <c r="J1485">
        <f t="shared" si="641"/>
        <v>98.77</v>
      </c>
      <c r="K1485">
        <f t="shared" si="642"/>
        <v>100.89</v>
      </c>
      <c r="L1485">
        <f t="shared" si="643"/>
        <v>99.83</v>
      </c>
      <c r="M1485">
        <f t="shared" si="644"/>
        <v>1.0600000000000023</v>
      </c>
      <c r="N1485">
        <f t="shared" si="649"/>
        <v>2.1200000000000045</v>
      </c>
      <c r="O1485">
        <f t="shared" si="645"/>
        <v>99.76</v>
      </c>
      <c r="P1485">
        <f t="shared" si="646"/>
        <v>-6.6037735849050025E-2</v>
      </c>
      <c r="Q1485" t="str">
        <f t="shared" si="650"/>
        <v>0.99% | 1.13%</v>
      </c>
      <c r="R1485" t="str">
        <f t="shared" si="647"/>
        <v>BULLISH</v>
      </c>
      <c r="S1485">
        <f t="shared" si="651"/>
        <v>1</v>
      </c>
    </row>
    <row r="1486" spans="1:19" hidden="1" x14ac:dyDescent="0.25">
      <c r="A1486" s="5" t="str">
        <f t="shared" si="648"/>
        <v>43957EUR/USD</v>
      </c>
      <c r="B1486" s="6" t="s">
        <v>19</v>
      </c>
      <c r="C1486" s="6">
        <v>1.07</v>
      </c>
      <c r="D1486" s="6">
        <v>1.1000000000000001</v>
      </c>
      <c r="E1486" s="6">
        <v>1.08</v>
      </c>
      <c r="F1486" t="str">
        <f t="shared" si="637"/>
        <v>WED</v>
      </c>
      <c r="G1486" s="3">
        <f t="shared" si="638"/>
        <v>43957</v>
      </c>
      <c r="H1486" s="2">
        <f t="shared" ca="1" si="639"/>
        <v>296</v>
      </c>
      <c r="I1486" t="str">
        <f t="shared" si="640"/>
        <v>EUR/USD</v>
      </c>
      <c r="J1486">
        <f t="shared" si="641"/>
        <v>1.07</v>
      </c>
      <c r="K1486">
        <f t="shared" si="642"/>
        <v>1.1000000000000001</v>
      </c>
      <c r="L1486">
        <f t="shared" si="643"/>
        <v>1.085</v>
      </c>
      <c r="M1486">
        <f t="shared" si="644"/>
        <v>1.5000000000000013E-2</v>
      </c>
      <c r="N1486">
        <f t="shared" si="649"/>
        <v>3.0000000000000027E-2</v>
      </c>
      <c r="O1486">
        <f t="shared" si="645"/>
        <v>1.08</v>
      </c>
      <c r="P1486">
        <f t="shared" si="646"/>
        <v>-0.33333333333332593</v>
      </c>
      <c r="Q1486" t="str">
        <f t="shared" si="650"/>
        <v>0.93% | 1.85%</v>
      </c>
      <c r="R1486" t="str">
        <f t="shared" si="647"/>
        <v>BEARISH</v>
      </c>
      <c r="S1486">
        <f t="shared" si="651"/>
        <v>-1</v>
      </c>
    </row>
    <row r="1487" spans="1:19" hidden="1" x14ac:dyDescent="0.25">
      <c r="A1487" s="5" t="str">
        <f t="shared" si="648"/>
        <v>43957USD/JPY</v>
      </c>
      <c r="B1487" s="6" t="s">
        <v>20</v>
      </c>
      <c r="C1487" s="6">
        <v>106.1</v>
      </c>
      <c r="D1487" s="6">
        <v>107.93</v>
      </c>
      <c r="E1487" s="6">
        <v>106.5</v>
      </c>
      <c r="F1487" t="str">
        <f t="shared" si="637"/>
        <v>WED</v>
      </c>
      <c r="G1487" s="3">
        <f t="shared" si="638"/>
        <v>43957</v>
      </c>
      <c r="H1487" s="2">
        <f t="shared" ca="1" si="639"/>
        <v>296</v>
      </c>
      <c r="I1487" t="str">
        <f t="shared" si="640"/>
        <v>USD/JPY</v>
      </c>
      <c r="J1487">
        <f t="shared" si="641"/>
        <v>106.1</v>
      </c>
      <c r="K1487">
        <f t="shared" si="642"/>
        <v>107.93</v>
      </c>
      <c r="L1487">
        <f t="shared" si="643"/>
        <v>107.015</v>
      </c>
      <c r="M1487">
        <f t="shared" si="644"/>
        <v>0.91500000000000625</v>
      </c>
      <c r="N1487">
        <f t="shared" si="649"/>
        <v>1.8300000000000125</v>
      </c>
      <c r="O1487">
        <f t="shared" si="645"/>
        <v>106.5</v>
      </c>
      <c r="P1487">
        <f t="shared" si="646"/>
        <v>-0.56284153005464155</v>
      </c>
      <c r="Q1487" t="str">
        <f t="shared" si="650"/>
        <v>0.38% | 1.34%</v>
      </c>
      <c r="R1487" t="str">
        <f t="shared" si="647"/>
        <v>BEARISH</v>
      </c>
      <c r="S1487">
        <f t="shared" si="651"/>
        <v>-1</v>
      </c>
    </row>
    <row r="1488" spans="1:19" hidden="1" x14ac:dyDescent="0.25">
      <c r="A1488" s="5" t="str">
        <f t="shared" si="648"/>
        <v>43957GBP/USD</v>
      </c>
      <c r="B1488" s="6" t="s">
        <v>21</v>
      </c>
      <c r="C1488" s="6">
        <v>1.23</v>
      </c>
      <c r="D1488" s="6">
        <v>1.26</v>
      </c>
      <c r="E1488" s="6">
        <v>1.24</v>
      </c>
      <c r="F1488" t="str">
        <f t="shared" si="637"/>
        <v>WED</v>
      </c>
      <c r="G1488" s="3">
        <f t="shared" si="638"/>
        <v>43957</v>
      </c>
      <c r="H1488" s="2">
        <f t="shared" ca="1" si="639"/>
        <v>296</v>
      </c>
      <c r="I1488" t="str">
        <f t="shared" si="640"/>
        <v>GBP/USD</v>
      </c>
      <c r="J1488">
        <f t="shared" si="641"/>
        <v>1.23</v>
      </c>
      <c r="K1488">
        <f t="shared" si="642"/>
        <v>1.26</v>
      </c>
      <c r="L1488">
        <f t="shared" si="643"/>
        <v>1.2450000000000001</v>
      </c>
      <c r="M1488">
        <f t="shared" si="644"/>
        <v>1.5000000000000013E-2</v>
      </c>
      <c r="N1488">
        <f t="shared" si="649"/>
        <v>3.0000000000000027E-2</v>
      </c>
      <c r="O1488">
        <f t="shared" si="645"/>
        <v>1.24</v>
      </c>
      <c r="P1488">
        <f t="shared" si="646"/>
        <v>-0.33333333333334075</v>
      </c>
      <c r="Q1488" t="str">
        <f t="shared" si="650"/>
        <v>0.81% | 1.61%</v>
      </c>
      <c r="R1488" t="str">
        <f t="shared" si="647"/>
        <v>BEARISH</v>
      </c>
      <c r="S1488">
        <f t="shared" si="651"/>
        <v>-1</v>
      </c>
    </row>
    <row r="1489" spans="1:19" hidden="1" x14ac:dyDescent="0.25">
      <c r="A1489" s="5" t="str">
        <f t="shared" si="648"/>
        <v>43957USD/CHF</v>
      </c>
      <c r="B1489" s="6" t="s">
        <v>22</v>
      </c>
      <c r="C1489" s="6">
        <v>0.96</v>
      </c>
      <c r="D1489" s="6">
        <v>0.98</v>
      </c>
      <c r="E1489" s="6">
        <v>0.97</v>
      </c>
      <c r="F1489" t="str">
        <f t="shared" si="637"/>
        <v>WED</v>
      </c>
      <c r="G1489" s="3">
        <f t="shared" si="638"/>
        <v>43957</v>
      </c>
      <c r="H1489" s="2">
        <f t="shared" ca="1" si="639"/>
        <v>296</v>
      </c>
      <c r="I1489" t="str">
        <f t="shared" si="640"/>
        <v>USD/CHF</v>
      </c>
      <c r="J1489">
        <f t="shared" si="641"/>
        <v>0.96</v>
      </c>
      <c r="K1489">
        <f t="shared" si="642"/>
        <v>0.98</v>
      </c>
      <c r="L1489">
        <f t="shared" si="643"/>
        <v>0.97</v>
      </c>
      <c r="M1489">
        <f t="shared" si="644"/>
        <v>1.0000000000000009E-2</v>
      </c>
      <c r="N1489">
        <f t="shared" si="649"/>
        <v>2.0000000000000018E-2</v>
      </c>
      <c r="O1489">
        <f t="shared" si="645"/>
        <v>0.97</v>
      </c>
      <c r="P1489">
        <f t="shared" si="646"/>
        <v>0</v>
      </c>
      <c r="Q1489" t="str">
        <f t="shared" si="650"/>
        <v>1.03% | 1.03%</v>
      </c>
      <c r="R1489" t="str">
        <f t="shared" si="647"/>
        <v>NEUTRAL</v>
      </c>
      <c r="S1489">
        <f t="shared" si="651"/>
        <v>0</v>
      </c>
    </row>
    <row r="1490" spans="1:19" hidden="1" x14ac:dyDescent="0.25">
      <c r="A1490" s="5" t="str">
        <f t="shared" si="648"/>
        <v>43957WTIC</v>
      </c>
      <c r="B1490" s="6" t="s">
        <v>23</v>
      </c>
      <c r="C1490" s="6">
        <v>9.56</v>
      </c>
      <c r="D1490" s="6">
        <v>26.9</v>
      </c>
      <c r="E1490" s="6">
        <v>26.49</v>
      </c>
      <c r="F1490" t="str">
        <f t="shared" si="637"/>
        <v>WED</v>
      </c>
      <c r="G1490" s="3">
        <f t="shared" si="638"/>
        <v>43957</v>
      </c>
      <c r="H1490" s="2">
        <f t="shared" ca="1" si="639"/>
        <v>296</v>
      </c>
      <c r="I1490" t="str">
        <f t="shared" si="640"/>
        <v>WTIC</v>
      </c>
      <c r="J1490">
        <f t="shared" si="641"/>
        <v>9.56</v>
      </c>
      <c r="K1490">
        <f t="shared" si="642"/>
        <v>26.9</v>
      </c>
      <c r="L1490">
        <f t="shared" si="643"/>
        <v>18.23</v>
      </c>
      <c r="M1490">
        <f t="shared" si="644"/>
        <v>8.6699999999999964</v>
      </c>
      <c r="N1490">
        <f t="shared" si="649"/>
        <v>17.339999999999996</v>
      </c>
      <c r="O1490">
        <f t="shared" si="645"/>
        <v>26.49</v>
      </c>
      <c r="P1490">
        <f t="shared" si="646"/>
        <v>0.95271049596309132</v>
      </c>
      <c r="Q1490" t="str">
        <f t="shared" si="650"/>
        <v>63.91% | 1.55%</v>
      </c>
      <c r="R1490" t="str">
        <f t="shared" si="647"/>
        <v>BEARISH</v>
      </c>
      <c r="S1490">
        <f t="shared" si="651"/>
        <v>-1</v>
      </c>
    </row>
    <row r="1491" spans="1:19" hidden="1" x14ac:dyDescent="0.25">
      <c r="A1491" s="5" t="str">
        <f t="shared" si="648"/>
        <v>43957NATGAS</v>
      </c>
      <c r="B1491" s="6" t="s">
        <v>89</v>
      </c>
      <c r="C1491" s="6">
        <v>1.85</v>
      </c>
      <c r="D1491" s="6">
        <v>2.15</v>
      </c>
      <c r="E1491" s="6">
        <v>2.13</v>
      </c>
      <c r="F1491" t="str">
        <f t="shared" si="637"/>
        <v>WED</v>
      </c>
      <c r="G1491" s="3">
        <f t="shared" si="638"/>
        <v>43957</v>
      </c>
      <c r="H1491" s="2">
        <f t="shared" ca="1" si="639"/>
        <v>296</v>
      </c>
      <c r="I1491" t="str">
        <f t="shared" si="640"/>
        <v>NATGAS</v>
      </c>
      <c r="J1491">
        <f t="shared" si="641"/>
        <v>1.85</v>
      </c>
      <c r="K1491">
        <f t="shared" si="642"/>
        <v>2.15</v>
      </c>
      <c r="L1491">
        <f t="shared" si="643"/>
        <v>2</v>
      </c>
      <c r="M1491">
        <f t="shared" si="644"/>
        <v>0.14999999999999991</v>
      </c>
      <c r="N1491">
        <f t="shared" si="649"/>
        <v>0.29999999999999982</v>
      </c>
      <c r="O1491">
        <f t="shared" si="645"/>
        <v>2.13</v>
      </c>
      <c r="P1491">
        <f t="shared" si="646"/>
        <v>0.86666666666666647</v>
      </c>
      <c r="Q1491" t="str">
        <f t="shared" si="650"/>
        <v>13.15% | 0.94%</v>
      </c>
      <c r="R1491" t="str">
        <f t="shared" si="647"/>
        <v>BULLISH</v>
      </c>
      <c r="S1491">
        <f t="shared" si="651"/>
        <v>1</v>
      </c>
    </row>
    <row r="1492" spans="1:19" hidden="1" x14ac:dyDescent="0.25">
      <c r="A1492" s="5" t="str">
        <f t="shared" si="648"/>
        <v>43957GOLD</v>
      </c>
      <c r="B1492" s="6" t="s">
        <v>25</v>
      </c>
      <c r="C1492" s="6">
        <v>1686</v>
      </c>
      <c r="D1492" s="6">
        <v>1749</v>
      </c>
      <c r="E1492" s="6">
        <v>1710</v>
      </c>
      <c r="F1492" t="str">
        <f t="shared" si="637"/>
        <v>WED</v>
      </c>
      <c r="G1492" s="3">
        <f t="shared" si="638"/>
        <v>43957</v>
      </c>
      <c r="H1492" s="2">
        <f t="shared" ca="1" si="639"/>
        <v>296</v>
      </c>
      <c r="I1492" t="str">
        <f t="shared" si="640"/>
        <v>GOLD</v>
      </c>
      <c r="J1492">
        <f t="shared" si="641"/>
        <v>1686</v>
      </c>
      <c r="K1492">
        <f t="shared" si="642"/>
        <v>1749</v>
      </c>
      <c r="L1492">
        <f t="shared" si="643"/>
        <v>1717.5</v>
      </c>
      <c r="M1492">
        <f t="shared" si="644"/>
        <v>31.5</v>
      </c>
      <c r="N1492">
        <f t="shared" si="649"/>
        <v>63</v>
      </c>
      <c r="O1492">
        <f t="shared" si="645"/>
        <v>1710</v>
      </c>
      <c r="P1492">
        <f t="shared" si="646"/>
        <v>-0.23809523809523808</v>
      </c>
      <c r="Q1492" t="str">
        <f t="shared" si="650"/>
        <v>1.4% | 2.28%</v>
      </c>
      <c r="R1492" t="str">
        <f t="shared" si="647"/>
        <v>BULLISH</v>
      </c>
      <c r="S1492">
        <f t="shared" si="651"/>
        <v>1</v>
      </c>
    </row>
    <row r="1493" spans="1:19" hidden="1" x14ac:dyDescent="0.25">
      <c r="A1493" s="5" t="str">
        <f t="shared" si="648"/>
        <v>43957COPPER</v>
      </c>
      <c r="B1493" s="6" t="s">
        <v>26</v>
      </c>
      <c r="C1493" s="6">
        <v>2.27</v>
      </c>
      <c r="D1493" s="6">
        <v>2.37</v>
      </c>
      <c r="E1493" s="6">
        <v>2.33</v>
      </c>
      <c r="F1493" t="str">
        <f t="shared" si="637"/>
        <v>WED</v>
      </c>
      <c r="G1493" s="3">
        <f t="shared" si="638"/>
        <v>43957</v>
      </c>
      <c r="H1493" s="2">
        <f t="shared" ca="1" si="639"/>
        <v>296</v>
      </c>
      <c r="I1493" t="str">
        <f t="shared" si="640"/>
        <v>COPPER</v>
      </c>
      <c r="J1493">
        <f t="shared" si="641"/>
        <v>2.27</v>
      </c>
      <c r="K1493">
        <f t="shared" si="642"/>
        <v>2.37</v>
      </c>
      <c r="L1493">
        <f t="shared" si="643"/>
        <v>2.3200000000000003</v>
      </c>
      <c r="M1493">
        <f t="shared" si="644"/>
        <v>5.0000000000000044E-2</v>
      </c>
      <c r="N1493">
        <f t="shared" si="649"/>
        <v>0.10000000000000009</v>
      </c>
      <c r="O1493">
        <f t="shared" si="645"/>
        <v>2.33</v>
      </c>
      <c r="P1493">
        <f t="shared" si="646"/>
        <v>0.19999999999999557</v>
      </c>
      <c r="Q1493" t="str">
        <f t="shared" si="650"/>
        <v>2.58% | 1.72%</v>
      </c>
      <c r="R1493" t="str">
        <f t="shared" si="647"/>
        <v>BEARISH</v>
      </c>
      <c r="S1493">
        <f t="shared" si="651"/>
        <v>-1</v>
      </c>
    </row>
    <row r="1494" spans="1:19" hidden="1" x14ac:dyDescent="0.25">
      <c r="A1494" s="5" t="str">
        <f t="shared" si="648"/>
        <v>43957MSFT</v>
      </c>
      <c r="B1494" s="6" t="s">
        <v>27</v>
      </c>
      <c r="C1494" s="6">
        <v>170</v>
      </c>
      <c r="D1494" s="6">
        <v>184</v>
      </c>
      <c r="E1494" s="6">
        <v>180</v>
      </c>
      <c r="F1494" t="str">
        <f t="shared" si="637"/>
        <v>WED</v>
      </c>
      <c r="G1494" s="3">
        <f t="shared" si="638"/>
        <v>43957</v>
      </c>
      <c r="H1494" s="2">
        <f t="shared" ca="1" si="639"/>
        <v>296</v>
      </c>
      <c r="I1494" t="str">
        <f t="shared" si="640"/>
        <v>MSFT</v>
      </c>
      <c r="J1494">
        <f t="shared" si="641"/>
        <v>170</v>
      </c>
      <c r="K1494">
        <f t="shared" si="642"/>
        <v>184</v>
      </c>
      <c r="L1494">
        <f t="shared" si="643"/>
        <v>177</v>
      </c>
      <c r="M1494">
        <f t="shared" si="644"/>
        <v>7</v>
      </c>
      <c r="N1494">
        <f t="shared" si="649"/>
        <v>14</v>
      </c>
      <c r="O1494">
        <f t="shared" si="645"/>
        <v>180</v>
      </c>
      <c r="P1494">
        <f t="shared" si="646"/>
        <v>0.42857142857142855</v>
      </c>
      <c r="Q1494" t="str">
        <f t="shared" si="650"/>
        <v>5.56% | 2.22%</v>
      </c>
      <c r="R1494" t="str">
        <f t="shared" si="647"/>
        <v>BULLISH</v>
      </c>
      <c r="S1494">
        <f t="shared" si="651"/>
        <v>1</v>
      </c>
    </row>
    <row r="1495" spans="1:19" hidden="1" x14ac:dyDescent="0.25">
      <c r="A1495" s="5" t="str">
        <f t="shared" si="648"/>
        <v>43957AAPL</v>
      </c>
      <c r="B1495" s="6" t="s">
        <v>28</v>
      </c>
      <c r="C1495" s="6">
        <v>273</v>
      </c>
      <c r="D1495" s="6">
        <v>303</v>
      </c>
      <c r="E1495" s="6">
        <v>297</v>
      </c>
      <c r="F1495" t="str">
        <f t="shared" si="637"/>
        <v>WED</v>
      </c>
      <c r="G1495" s="3">
        <f t="shared" si="638"/>
        <v>43957</v>
      </c>
      <c r="H1495" s="2">
        <f t="shared" ca="1" si="639"/>
        <v>296</v>
      </c>
      <c r="I1495" t="str">
        <f t="shared" si="640"/>
        <v>AAPL</v>
      </c>
      <c r="J1495">
        <f t="shared" si="641"/>
        <v>273</v>
      </c>
      <c r="K1495">
        <f t="shared" si="642"/>
        <v>303</v>
      </c>
      <c r="L1495">
        <f t="shared" si="643"/>
        <v>288</v>
      </c>
      <c r="M1495">
        <f t="shared" si="644"/>
        <v>15</v>
      </c>
      <c r="N1495">
        <f t="shared" si="649"/>
        <v>30</v>
      </c>
      <c r="O1495">
        <f t="shared" si="645"/>
        <v>297</v>
      </c>
      <c r="P1495">
        <f t="shared" si="646"/>
        <v>0.6</v>
      </c>
      <c r="Q1495" t="str">
        <f t="shared" si="650"/>
        <v>8.08% | 2.02%</v>
      </c>
      <c r="R1495" t="str">
        <f t="shared" si="647"/>
        <v>BULLISH</v>
      </c>
      <c r="S1495">
        <f t="shared" si="651"/>
        <v>1</v>
      </c>
    </row>
    <row r="1496" spans="1:19" hidden="1" x14ac:dyDescent="0.25">
      <c r="A1496" s="5" t="str">
        <f t="shared" si="648"/>
        <v>43957AMZN</v>
      </c>
      <c r="B1496" s="6" t="s">
        <v>29</v>
      </c>
      <c r="C1496" s="6">
        <v>2233</v>
      </c>
      <c r="D1496" s="6">
        <v>2474</v>
      </c>
      <c r="E1496" s="6">
        <v>2317</v>
      </c>
      <c r="F1496" t="str">
        <f t="shared" si="637"/>
        <v>WED</v>
      </c>
      <c r="G1496" s="3">
        <f t="shared" si="638"/>
        <v>43957</v>
      </c>
      <c r="H1496" s="2">
        <f t="shared" ca="1" si="639"/>
        <v>296</v>
      </c>
      <c r="I1496" t="str">
        <f t="shared" si="640"/>
        <v>AMZN</v>
      </c>
      <c r="J1496">
        <f t="shared" si="641"/>
        <v>2233</v>
      </c>
      <c r="K1496">
        <f t="shared" si="642"/>
        <v>2474</v>
      </c>
      <c r="L1496">
        <f t="shared" si="643"/>
        <v>2353.5</v>
      </c>
      <c r="M1496">
        <f t="shared" si="644"/>
        <v>120.5</v>
      </c>
      <c r="N1496">
        <f t="shared" si="649"/>
        <v>241</v>
      </c>
      <c r="O1496">
        <f t="shared" si="645"/>
        <v>2317</v>
      </c>
      <c r="P1496">
        <f t="shared" si="646"/>
        <v>-0.30290456431535268</v>
      </c>
      <c r="Q1496" t="str">
        <f t="shared" si="650"/>
        <v>3.63% | 6.78%</v>
      </c>
      <c r="R1496" t="str">
        <f t="shared" si="647"/>
        <v>BULLISH</v>
      </c>
      <c r="S1496">
        <f t="shared" si="651"/>
        <v>1</v>
      </c>
    </row>
    <row r="1497" spans="1:19" hidden="1" x14ac:dyDescent="0.25">
      <c r="A1497" s="5" t="str">
        <f t="shared" si="648"/>
        <v>43957FB</v>
      </c>
      <c r="B1497" s="6" t="s">
        <v>30</v>
      </c>
      <c r="C1497" s="6">
        <v>177</v>
      </c>
      <c r="D1497" s="6">
        <v>214</v>
      </c>
      <c r="E1497" s="6">
        <v>207</v>
      </c>
      <c r="F1497" t="str">
        <f t="shared" si="637"/>
        <v>WED</v>
      </c>
      <c r="G1497" s="3">
        <f t="shared" si="638"/>
        <v>43957</v>
      </c>
      <c r="H1497" s="2">
        <f t="shared" ca="1" si="639"/>
        <v>296</v>
      </c>
      <c r="I1497" t="str">
        <f t="shared" si="640"/>
        <v>FB</v>
      </c>
      <c r="J1497">
        <f t="shared" si="641"/>
        <v>177</v>
      </c>
      <c r="K1497">
        <f t="shared" si="642"/>
        <v>214</v>
      </c>
      <c r="L1497">
        <f t="shared" si="643"/>
        <v>195.5</v>
      </c>
      <c r="M1497">
        <f t="shared" si="644"/>
        <v>18.5</v>
      </c>
      <c r="N1497">
        <f t="shared" si="649"/>
        <v>37</v>
      </c>
      <c r="O1497">
        <f t="shared" si="645"/>
        <v>207</v>
      </c>
      <c r="P1497">
        <f t="shared" si="646"/>
        <v>0.6216216216216216</v>
      </c>
      <c r="Q1497" t="str">
        <f t="shared" si="650"/>
        <v>14.49% | 3.38%</v>
      </c>
      <c r="R1497" t="str">
        <f t="shared" si="647"/>
        <v>BULLISH</v>
      </c>
      <c r="S1497">
        <f t="shared" si="651"/>
        <v>1</v>
      </c>
    </row>
    <row r="1498" spans="1:19" hidden="1" x14ac:dyDescent="0.25">
      <c r="A1498" s="5" t="str">
        <f t="shared" si="648"/>
        <v>43957GOOGL</v>
      </c>
      <c r="B1498" s="6" t="s">
        <v>59</v>
      </c>
      <c r="C1498" s="6">
        <v>1225</v>
      </c>
      <c r="D1498" s="6">
        <v>1383</v>
      </c>
      <c r="E1498" s="6">
        <v>1349</v>
      </c>
      <c r="F1498" t="str">
        <f t="shared" si="637"/>
        <v>WED</v>
      </c>
      <c r="G1498" s="3">
        <f t="shared" si="638"/>
        <v>43957</v>
      </c>
      <c r="H1498" s="2">
        <f t="shared" ca="1" si="639"/>
        <v>296</v>
      </c>
      <c r="I1498" t="str">
        <f t="shared" si="640"/>
        <v>GOOGL</v>
      </c>
      <c r="J1498">
        <f t="shared" si="641"/>
        <v>1225</v>
      </c>
      <c r="K1498">
        <f t="shared" si="642"/>
        <v>1383</v>
      </c>
      <c r="L1498">
        <f t="shared" si="643"/>
        <v>1304</v>
      </c>
      <c r="M1498">
        <f t="shared" si="644"/>
        <v>79</v>
      </c>
      <c r="N1498">
        <f t="shared" si="649"/>
        <v>158</v>
      </c>
      <c r="O1498">
        <f t="shared" si="645"/>
        <v>1349</v>
      </c>
      <c r="P1498">
        <f t="shared" si="646"/>
        <v>0.569620253164557</v>
      </c>
      <c r="Q1498" t="str">
        <f t="shared" si="650"/>
        <v>9.19% | 2.52%</v>
      </c>
      <c r="R1498" t="str">
        <f t="shared" si="647"/>
        <v>NEUTRAL</v>
      </c>
      <c r="S1498">
        <f t="shared" si="651"/>
        <v>0</v>
      </c>
    </row>
    <row r="1499" spans="1:19" hidden="1" x14ac:dyDescent="0.25">
      <c r="A1499" s="5" t="str">
        <f t="shared" si="648"/>
        <v>43957NFLX</v>
      </c>
      <c r="B1499" s="6" t="s">
        <v>32</v>
      </c>
      <c r="C1499" s="6">
        <v>404</v>
      </c>
      <c r="D1499" s="6">
        <v>435</v>
      </c>
      <c r="E1499" s="6">
        <v>424</v>
      </c>
      <c r="F1499" t="str">
        <f t="shared" si="637"/>
        <v>WED</v>
      </c>
      <c r="G1499" s="3">
        <f t="shared" si="638"/>
        <v>43957</v>
      </c>
      <c r="H1499" s="2">
        <f t="shared" ca="1" si="639"/>
        <v>296</v>
      </c>
      <c r="I1499" t="str">
        <f t="shared" si="640"/>
        <v>NFLX</v>
      </c>
      <c r="J1499">
        <f t="shared" si="641"/>
        <v>404</v>
      </c>
      <c r="K1499">
        <f t="shared" si="642"/>
        <v>435</v>
      </c>
      <c r="L1499">
        <f t="shared" si="643"/>
        <v>419.5</v>
      </c>
      <c r="M1499">
        <f t="shared" si="644"/>
        <v>15.5</v>
      </c>
      <c r="N1499">
        <f t="shared" si="649"/>
        <v>31</v>
      </c>
      <c r="O1499">
        <f t="shared" si="645"/>
        <v>424</v>
      </c>
      <c r="P1499">
        <f t="shared" si="646"/>
        <v>0.29032258064516131</v>
      </c>
      <c r="Q1499" t="str">
        <f t="shared" si="650"/>
        <v>4.72% | 2.59%</v>
      </c>
      <c r="R1499" t="str">
        <f t="shared" si="647"/>
        <v>BULLISH</v>
      </c>
      <c r="S1499">
        <f t="shared" si="651"/>
        <v>1</v>
      </c>
    </row>
    <row r="1500" spans="1:19" x14ac:dyDescent="0.25">
      <c r="A1500" s="5" t="str">
        <f t="shared" si="648"/>
        <v>43957TSLA</v>
      </c>
      <c r="B1500" s="6" t="s">
        <v>33</v>
      </c>
      <c r="C1500" s="6">
        <v>683</v>
      </c>
      <c r="D1500" s="6">
        <v>829</v>
      </c>
      <c r="E1500" s="6">
        <v>768</v>
      </c>
      <c r="F1500" t="str">
        <f t="shared" si="637"/>
        <v>WED</v>
      </c>
      <c r="G1500" s="3">
        <f t="shared" si="638"/>
        <v>43957</v>
      </c>
      <c r="H1500" s="2">
        <f t="shared" ca="1" si="639"/>
        <v>296</v>
      </c>
      <c r="I1500" t="str">
        <f t="shared" si="640"/>
        <v>TSLA</v>
      </c>
      <c r="J1500">
        <f t="shared" si="641"/>
        <v>683</v>
      </c>
      <c r="K1500">
        <f t="shared" si="642"/>
        <v>829</v>
      </c>
      <c r="L1500">
        <f t="shared" si="643"/>
        <v>756</v>
      </c>
      <c r="M1500">
        <f t="shared" si="644"/>
        <v>73</v>
      </c>
      <c r="N1500">
        <f t="shared" si="649"/>
        <v>146</v>
      </c>
      <c r="O1500">
        <f t="shared" si="645"/>
        <v>768</v>
      </c>
      <c r="P1500">
        <f t="shared" si="646"/>
        <v>0.16438356164383561</v>
      </c>
      <c r="Q1500" t="str">
        <f t="shared" si="650"/>
        <v>11.07% | 7.94%</v>
      </c>
      <c r="R1500" t="str">
        <f t="shared" si="647"/>
        <v>BULLISH</v>
      </c>
      <c r="S1500">
        <f t="shared" si="651"/>
        <v>1</v>
      </c>
    </row>
    <row r="1501" spans="1:19" hidden="1" x14ac:dyDescent="0.25">
      <c r="A1501" s="5" t="str">
        <f t="shared" si="648"/>
        <v>43957NYXBT</v>
      </c>
      <c r="B1501" s="6" t="s">
        <v>34</v>
      </c>
      <c r="C1501" s="6">
        <v>7690</v>
      </c>
      <c r="D1501" s="6">
        <v>9393</v>
      </c>
      <c r="E1501" s="6">
        <v>8866</v>
      </c>
      <c r="F1501" t="str">
        <f t="shared" si="637"/>
        <v>WED</v>
      </c>
      <c r="G1501" s="3">
        <f t="shared" si="638"/>
        <v>43957</v>
      </c>
      <c r="H1501" s="2">
        <f t="shared" ca="1" si="639"/>
        <v>296</v>
      </c>
      <c r="I1501" t="str">
        <f t="shared" si="640"/>
        <v>NYXBT</v>
      </c>
      <c r="J1501">
        <f t="shared" si="641"/>
        <v>7690</v>
      </c>
      <c r="K1501">
        <f t="shared" si="642"/>
        <v>9393</v>
      </c>
      <c r="L1501">
        <f t="shared" si="643"/>
        <v>8541.5</v>
      </c>
      <c r="M1501">
        <f t="shared" si="644"/>
        <v>851.5</v>
      </c>
      <c r="N1501">
        <f t="shared" si="649"/>
        <v>1703</v>
      </c>
      <c r="O1501">
        <f t="shared" si="645"/>
        <v>8866</v>
      </c>
      <c r="P1501">
        <f t="shared" si="646"/>
        <v>0.38109219025249558</v>
      </c>
      <c r="Q1501" t="str">
        <f t="shared" si="650"/>
        <v>13.26% | 5.94%</v>
      </c>
      <c r="R1501" t="str">
        <f t="shared" si="647"/>
        <v>BULLISH</v>
      </c>
      <c r="S1501">
        <f t="shared" si="651"/>
        <v>1</v>
      </c>
    </row>
    <row r="1502" spans="1:19" hidden="1" x14ac:dyDescent="0.25">
      <c r="A1502" s="5" t="str">
        <f t="shared" si="648"/>
        <v>43958UST10Y</v>
      </c>
      <c r="B1502" s="6" t="s">
        <v>4</v>
      </c>
      <c r="C1502" s="6">
        <v>0.74</v>
      </c>
      <c r="D1502" s="6">
        <v>0.56999999999999995</v>
      </c>
      <c r="E1502" s="6">
        <v>0.72</v>
      </c>
      <c r="F1502" t="str">
        <f t="shared" si="637"/>
        <v>THU</v>
      </c>
      <c r="G1502" s="1">
        <f>DATE(2020,5,7)</f>
        <v>43958</v>
      </c>
      <c r="H1502" s="2">
        <f t="shared" ca="1" si="639"/>
        <v>295</v>
      </c>
      <c r="I1502" t="str">
        <f t="shared" si="640"/>
        <v>UST10Y</v>
      </c>
      <c r="J1502">
        <f t="shared" si="641"/>
        <v>0.74</v>
      </c>
      <c r="K1502">
        <f t="shared" si="642"/>
        <v>0.56999999999999995</v>
      </c>
      <c r="L1502">
        <f t="shared" si="643"/>
        <v>0.65500000000000003</v>
      </c>
      <c r="M1502">
        <f t="shared" si="644"/>
        <v>8.4999999999999562E-2</v>
      </c>
      <c r="N1502">
        <f t="shared" si="649"/>
        <v>0.17000000000000004</v>
      </c>
      <c r="O1502">
        <f t="shared" si="645"/>
        <v>0.72</v>
      </c>
      <c r="P1502">
        <f t="shared" si="646"/>
        <v>0.76470588235294445</v>
      </c>
      <c r="Q1502" t="str">
        <f t="shared" si="650"/>
        <v>2.78% | 20.83%</v>
      </c>
      <c r="R1502" t="str">
        <f t="shared" si="647"/>
        <v>BEARISH</v>
      </c>
      <c r="S1502">
        <f t="shared" si="651"/>
        <v>-1</v>
      </c>
    </row>
    <row r="1503" spans="1:19" hidden="1" x14ac:dyDescent="0.25">
      <c r="A1503" s="5" t="str">
        <f t="shared" si="648"/>
        <v>43958UST2Y</v>
      </c>
      <c r="B1503" s="6" t="s">
        <v>5</v>
      </c>
      <c r="C1503" s="6">
        <v>0.23</v>
      </c>
      <c r="D1503" s="6">
        <v>0.15</v>
      </c>
      <c r="E1503" s="6">
        <v>0.17</v>
      </c>
      <c r="F1503" t="str">
        <f t="shared" ref="F1503:F1533" si="652">UPPER(TEXT(G1503,"ddd"))</f>
        <v>THU</v>
      </c>
      <c r="G1503" s="1">
        <f t="shared" ref="G1503:G1532" si="653">DATE(2020,5,7)</f>
        <v>43958</v>
      </c>
      <c r="H1503" s="2">
        <f t="shared" ref="H1503:H1533" ca="1" si="654">TODAY()-G1503</f>
        <v>295</v>
      </c>
      <c r="I1503" t="str">
        <f t="shared" ref="I1503:I1533" si="655">TRIM(LEFT(B1503,FIND(" ",B1503,1)))</f>
        <v>UST2Y</v>
      </c>
      <c r="J1503">
        <f t="shared" ref="J1503:J1533" si="656">C1503</f>
        <v>0.23</v>
      </c>
      <c r="K1503">
        <f t="shared" ref="K1503:K1533" si="657">D1503</f>
        <v>0.15</v>
      </c>
      <c r="L1503">
        <f t="shared" ref="L1503:L1533" si="658">AVERAGE(J1503:K1503)</f>
        <v>0.19</v>
      </c>
      <c r="M1503">
        <f t="shared" ref="M1503:M1533" si="659">_xlfn.STDEV.P(J1503:K1503)</f>
        <v>3.9999999999999966E-2</v>
      </c>
      <c r="N1503">
        <f t="shared" si="649"/>
        <v>8.0000000000000016E-2</v>
      </c>
      <c r="O1503">
        <f t="shared" ref="O1503:O1533" si="660">E1503</f>
        <v>0.17</v>
      </c>
      <c r="P1503">
        <f t="shared" ref="P1503:P1533" si="661">(O1503-L1503)/M1503</f>
        <v>-0.50000000000000022</v>
      </c>
      <c r="Q1503" t="str">
        <f t="shared" si="650"/>
        <v>35.29% | 11.76%</v>
      </c>
      <c r="R1503" t="str">
        <f t="shared" ref="R1503:R1533" si="662">MID(B1503,FIND("(",B1503,1)+1,FIND(")",B1503,1)-FIND("(",B1503,1)-1)</f>
        <v>BEARISH</v>
      </c>
      <c r="S1503">
        <f t="shared" si="651"/>
        <v>-1</v>
      </c>
    </row>
    <row r="1504" spans="1:19" hidden="1" x14ac:dyDescent="0.25">
      <c r="A1504" s="5" t="str">
        <f t="shared" si="648"/>
        <v>43958SPX</v>
      </c>
      <c r="B1504" s="6" t="s">
        <v>6</v>
      </c>
      <c r="C1504" s="6">
        <v>2782</v>
      </c>
      <c r="D1504" s="6">
        <v>2938</v>
      </c>
      <c r="E1504" s="6">
        <v>2848</v>
      </c>
      <c r="F1504" t="str">
        <f t="shared" si="652"/>
        <v>THU</v>
      </c>
      <c r="G1504" s="1">
        <f t="shared" si="653"/>
        <v>43958</v>
      </c>
      <c r="H1504" s="2">
        <f t="shared" ca="1" si="654"/>
        <v>295</v>
      </c>
      <c r="I1504" t="str">
        <f t="shared" si="655"/>
        <v>SPX</v>
      </c>
      <c r="J1504">
        <f t="shared" si="656"/>
        <v>2782</v>
      </c>
      <c r="K1504">
        <f t="shared" si="657"/>
        <v>2938</v>
      </c>
      <c r="L1504">
        <f t="shared" si="658"/>
        <v>2860</v>
      </c>
      <c r="M1504">
        <f t="shared" si="659"/>
        <v>78</v>
      </c>
      <c r="N1504">
        <f t="shared" si="649"/>
        <v>156</v>
      </c>
      <c r="O1504">
        <f t="shared" si="660"/>
        <v>2848</v>
      </c>
      <c r="P1504">
        <f t="shared" si="661"/>
        <v>-0.15384615384615385</v>
      </c>
      <c r="Q1504" t="str">
        <f t="shared" si="650"/>
        <v>2.32% | 3.16%</v>
      </c>
      <c r="R1504" t="str">
        <f t="shared" si="662"/>
        <v>BEARISH</v>
      </c>
      <c r="S1504">
        <f t="shared" si="651"/>
        <v>-1</v>
      </c>
    </row>
    <row r="1505" spans="1:19" hidden="1" x14ac:dyDescent="0.25">
      <c r="A1505" s="5" t="str">
        <f t="shared" si="648"/>
        <v>43958RUT</v>
      </c>
      <c r="B1505" s="6" t="s">
        <v>7</v>
      </c>
      <c r="C1505" s="6">
        <v>1199</v>
      </c>
      <c r="D1505" s="6">
        <v>1347</v>
      </c>
      <c r="E1505" s="6">
        <v>1263</v>
      </c>
      <c r="F1505" t="str">
        <f t="shared" si="652"/>
        <v>THU</v>
      </c>
      <c r="G1505" s="1">
        <f t="shared" si="653"/>
        <v>43958</v>
      </c>
      <c r="H1505" s="2">
        <f t="shared" ca="1" si="654"/>
        <v>295</v>
      </c>
      <c r="I1505" t="str">
        <f t="shared" si="655"/>
        <v>RUT</v>
      </c>
      <c r="J1505">
        <f t="shared" si="656"/>
        <v>1199</v>
      </c>
      <c r="K1505">
        <f t="shared" si="657"/>
        <v>1347</v>
      </c>
      <c r="L1505">
        <f t="shared" si="658"/>
        <v>1273</v>
      </c>
      <c r="M1505">
        <f t="shared" si="659"/>
        <v>74</v>
      </c>
      <c r="N1505">
        <f t="shared" si="649"/>
        <v>148</v>
      </c>
      <c r="O1505">
        <f t="shared" si="660"/>
        <v>1263</v>
      </c>
      <c r="P1505">
        <f t="shared" si="661"/>
        <v>-0.13513513513513514</v>
      </c>
      <c r="Q1505" t="str">
        <f t="shared" si="650"/>
        <v>5.07% | 6.65%</v>
      </c>
      <c r="R1505" t="str">
        <f t="shared" si="662"/>
        <v>BEARISH</v>
      </c>
      <c r="S1505">
        <f t="shared" si="651"/>
        <v>-1</v>
      </c>
    </row>
    <row r="1506" spans="1:19" hidden="1" x14ac:dyDescent="0.25">
      <c r="A1506" s="5" t="str">
        <f t="shared" si="648"/>
        <v>43958COMPQ</v>
      </c>
      <c r="B1506" s="6" t="s">
        <v>8</v>
      </c>
      <c r="C1506" s="6">
        <v>8448</v>
      </c>
      <c r="D1506" s="6">
        <v>8989</v>
      </c>
      <c r="E1506" s="6">
        <v>8854</v>
      </c>
      <c r="F1506" t="str">
        <f t="shared" si="652"/>
        <v>THU</v>
      </c>
      <c r="G1506" s="1">
        <f t="shared" si="653"/>
        <v>43958</v>
      </c>
      <c r="H1506" s="2">
        <f t="shared" ca="1" si="654"/>
        <v>295</v>
      </c>
      <c r="I1506" t="str">
        <f t="shared" si="655"/>
        <v>COMPQ</v>
      </c>
      <c r="J1506">
        <f t="shared" si="656"/>
        <v>8448</v>
      </c>
      <c r="K1506">
        <f t="shared" si="657"/>
        <v>8989</v>
      </c>
      <c r="L1506">
        <f t="shared" si="658"/>
        <v>8718.5</v>
      </c>
      <c r="M1506">
        <f t="shared" si="659"/>
        <v>270.5</v>
      </c>
      <c r="N1506">
        <f t="shared" si="649"/>
        <v>541</v>
      </c>
      <c r="O1506">
        <f t="shared" si="660"/>
        <v>8854</v>
      </c>
      <c r="P1506">
        <f t="shared" si="661"/>
        <v>0.50092421441774493</v>
      </c>
      <c r="Q1506" t="str">
        <f t="shared" si="650"/>
        <v>4.59% | 1.52%</v>
      </c>
      <c r="R1506" t="str">
        <f t="shared" si="662"/>
        <v>BULLISH</v>
      </c>
      <c r="S1506">
        <f t="shared" si="651"/>
        <v>1</v>
      </c>
    </row>
    <row r="1507" spans="1:19" hidden="1" x14ac:dyDescent="0.25">
      <c r="A1507" s="5" t="str">
        <f t="shared" si="648"/>
        <v>43958XLV</v>
      </c>
      <c r="B1507" s="6" t="s">
        <v>9</v>
      </c>
      <c r="C1507" s="6">
        <v>96.55</v>
      </c>
      <c r="D1507" s="6">
        <v>101.89</v>
      </c>
      <c r="E1507" s="6">
        <v>98.91</v>
      </c>
      <c r="F1507" t="str">
        <f t="shared" si="652"/>
        <v>THU</v>
      </c>
      <c r="G1507" s="1">
        <f t="shared" si="653"/>
        <v>43958</v>
      </c>
      <c r="H1507" s="2">
        <f t="shared" ca="1" si="654"/>
        <v>295</v>
      </c>
      <c r="I1507" t="str">
        <f t="shared" si="655"/>
        <v>XLV</v>
      </c>
      <c r="J1507">
        <f t="shared" si="656"/>
        <v>96.55</v>
      </c>
      <c r="K1507">
        <f t="shared" si="657"/>
        <v>101.89</v>
      </c>
      <c r="L1507">
        <f t="shared" si="658"/>
        <v>99.22</v>
      </c>
      <c r="M1507">
        <f t="shared" si="659"/>
        <v>2.6700000000000017</v>
      </c>
      <c r="N1507">
        <f t="shared" si="649"/>
        <v>5.3400000000000034</v>
      </c>
      <c r="O1507">
        <f t="shared" si="660"/>
        <v>98.91</v>
      </c>
      <c r="P1507">
        <f t="shared" si="661"/>
        <v>-0.11610486891385846</v>
      </c>
      <c r="Q1507" t="str">
        <f t="shared" si="650"/>
        <v>2.39% | 3.01%</v>
      </c>
      <c r="R1507" t="str">
        <f t="shared" si="662"/>
        <v>BULLISH</v>
      </c>
      <c r="S1507">
        <f t="shared" si="651"/>
        <v>1</v>
      </c>
    </row>
    <row r="1508" spans="1:19" hidden="1" x14ac:dyDescent="0.25">
      <c r="A1508" s="5" t="str">
        <f t="shared" si="648"/>
        <v>43958XLP</v>
      </c>
      <c r="B1508" s="6" t="s">
        <v>11</v>
      </c>
      <c r="C1508" s="6">
        <v>56.55</v>
      </c>
      <c r="D1508" s="6">
        <v>58.68</v>
      </c>
      <c r="E1508" s="6">
        <v>57.01</v>
      </c>
      <c r="F1508" t="str">
        <f t="shared" si="652"/>
        <v>THU</v>
      </c>
      <c r="G1508" s="1">
        <f t="shared" si="653"/>
        <v>43958</v>
      </c>
      <c r="H1508" s="2">
        <f t="shared" ca="1" si="654"/>
        <v>295</v>
      </c>
      <c r="I1508" t="str">
        <f t="shared" si="655"/>
        <v>XLP</v>
      </c>
      <c r="J1508">
        <f t="shared" si="656"/>
        <v>56.55</v>
      </c>
      <c r="K1508">
        <f t="shared" si="657"/>
        <v>58.68</v>
      </c>
      <c r="L1508">
        <f t="shared" si="658"/>
        <v>57.614999999999995</v>
      </c>
      <c r="M1508">
        <f t="shared" si="659"/>
        <v>1.0650000000000013</v>
      </c>
      <c r="N1508">
        <f t="shared" si="649"/>
        <v>2.1300000000000026</v>
      </c>
      <c r="O1508">
        <f t="shared" si="660"/>
        <v>57.01</v>
      </c>
      <c r="P1508">
        <f t="shared" si="661"/>
        <v>-0.56807511737088845</v>
      </c>
      <c r="Q1508" t="str">
        <f t="shared" si="650"/>
        <v>0.81% | 2.93%</v>
      </c>
      <c r="R1508" t="str">
        <f t="shared" si="662"/>
        <v>BEARISH</v>
      </c>
      <c r="S1508">
        <f t="shared" si="651"/>
        <v>-1</v>
      </c>
    </row>
    <row r="1509" spans="1:19" hidden="1" x14ac:dyDescent="0.25">
      <c r="A1509" s="5" t="str">
        <f t="shared" si="648"/>
        <v>43958XLU</v>
      </c>
      <c r="B1509" s="6" t="s">
        <v>82</v>
      </c>
      <c r="C1509" s="6">
        <v>55.05</v>
      </c>
      <c r="D1509" s="6">
        <v>59.77</v>
      </c>
      <c r="E1509" s="6">
        <v>54.83</v>
      </c>
      <c r="F1509" t="str">
        <f t="shared" si="652"/>
        <v>THU</v>
      </c>
      <c r="G1509" s="1">
        <f t="shared" si="653"/>
        <v>43958</v>
      </c>
      <c r="H1509" s="2">
        <f t="shared" ca="1" si="654"/>
        <v>295</v>
      </c>
      <c r="I1509" t="str">
        <f t="shared" si="655"/>
        <v>XLU</v>
      </c>
      <c r="J1509">
        <f t="shared" si="656"/>
        <v>55.05</v>
      </c>
      <c r="K1509">
        <f t="shared" si="657"/>
        <v>59.77</v>
      </c>
      <c r="L1509">
        <f t="shared" si="658"/>
        <v>57.41</v>
      </c>
      <c r="M1509">
        <f t="shared" si="659"/>
        <v>2.360000000000003</v>
      </c>
      <c r="N1509">
        <f t="shared" si="649"/>
        <v>4.720000000000006</v>
      </c>
      <c r="O1509">
        <f t="shared" si="660"/>
        <v>54.83</v>
      </c>
      <c r="P1509">
        <f t="shared" si="661"/>
        <v>-1.0932203389830488</v>
      </c>
      <c r="Q1509" t="str">
        <f t="shared" si="650"/>
        <v>0.4% | 9.01%</v>
      </c>
      <c r="R1509" t="str">
        <f t="shared" si="662"/>
        <v>BEARISH</v>
      </c>
      <c r="S1509">
        <f t="shared" si="651"/>
        <v>-1</v>
      </c>
    </row>
    <row r="1510" spans="1:19" hidden="1" x14ac:dyDescent="0.25">
      <c r="A1510" s="5" t="str">
        <f t="shared" si="648"/>
        <v>43958XLK</v>
      </c>
      <c r="B1510" s="6" t="s">
        <v>10</v>
      </c>
      <c r="C1510" s="6">
        <v>87.11</v>
      </c>
      <c r="D1510" s="6">
        <v>93.19</v>
      </c>
      <c r="E1510" s="6">
        <v>92.03</v>
      </c>
      <c r="F1510" t="str">
        <f t="shared" si="652"/>
        <v>THU</v>
      </c>
      <c r="G1510" s="1">
        <f t="shared" si="653"/>
        <v>43958</v>
      </c>
      <c r="H1510" s="2">
        <f t="shared" ca="1" si="654"/>
        <v>295</v>
      </c>
      <c r="I1510" t="str">
        <f t="shared" si="655"/>
        <v>XLK</v>
      </c>
      <c r="J1510">
        <f t="shared" si="656"/>
        <v>87.11</v>
      </c>
      <c r="K1510">
        <f t="shared" si="657"/>
        <v>93.19</v>
      </c>
      <c r="L1510">
        <f t="shared" si="658"/>
        <v>90.15</v>
      </c>
      <c r="M1510">
        <f t="shared" si="659"/>
        <v>3.0399999999999991</v>
      </c>
      <c r="N1510">
        <f t="shared" si="649"/>
        <v>6.0799999999999983</v>
      </c>
      <c r="O1510">
        <f t="shared" si="660"/>
        <v>92.03</v>
      </c>
      <c r="P1510">
        <f t="shared" si="661"/>
        <v>0.61842105263157765</v>
      </c>
      <c r="Q1510" t="str">
        <f t="shared" si="650"/>
        <v>5.35% | 1.26%</v>
      </c>
      <c r="R1510" t="str">
        <f t="shared" si="662"/>
        <v>BULLISH</v>
      </c>
      <c r="S1510">
        <f t="shared" si="651"/>
        <v>1</v>
      </c>
    </row>
    <row r="1511" spans="1:19" hidden="1" x14ac:dyDescent="0.25">
      <c r="A1511" s="5" t="str">
        <f t="shared" si="648"/>
        <v>43958XLF</v>
      </c>
      <c r="B1511" s="6" t="s">
        <v>12</v>
      </c>
      <c r="C1511" s="6">
        <v>20.18</v>
      </c>
      <c r="D1511" s="6">
        <v>23.4</v>
      </c>
      <c r="E1511" s="6">
        <v>21.32</v>
      </c>
      <c r="F1511" t="str">
        <f t="shared" si="652"/>
        <v>THU</v>
      </c>
      <c r="G1511" s="1">
        <f t="shared" si="653"/>
        <v>43958</v>
      </c>
      <c r="H1511" s="2">
        <f t="shared" ca="1" si="654"/>
        <v>295</v>
      </c>
      <c r="I1511" t="str">
        <f t="shared" si="655"/>
        <v>XLF</v>
      </c>
      <c r="J1511">
        <f t="shared" si="656"/>
        <v>20.18</v>
      </c>
      <c r="K1511">
        <f t="shared" si="657"/>
        <v>23.4</v>
      </c>
      <c r="L1511">
        <f t="shared" si="658"/>
        <v>21.79</v>
      </c>
      <c r="M1511">
        <f t="shared" si="659"/>
        <v>1.6099999999999994</v>
      </c>
      <c r="N1511">
        <f t="shared" si="649"/>
        <v>3.2199999999999989</v>
      </c>
      <c r="O1511">
        <f t="shared" si="660"/>
        <v>21.32</v>
      </c>
      <c r="P1511">
        <f t="shared" si="661"/>
        <v>-0.2919254658385087</v>
      </c>
      <c r="Q1511" t="str">
        <f t="shared" si="650"/>
        <v>5.35% | 9.76%</v>
      </c>
      <c r="R1511" t="str">
        <f t="shared" si="662"/>
        <v>BEARISH</v>
      </c>
      <c r="S1511">
        <f t="shared" si="651"/>
        <v>-1</v>
      </c>
    </row>
    <row r="1512" spans="1:19" hidden="1" x14ac:dyDescent="0.25">
      <c r="A1512" s="5" t="str">
        <f t="shared" si="648"/>
        <v>43958SSEC</v>
      </c>
      <c r="B1512" s="6" t="s">
        <v>14</v>
      </c>
      <c r="C1512" s="6">
        <v>2780</v>
      </c>
      <c r="D1512" s="6">
        <v>2897</v>
      </c>
      <c r="E1512" s="6">
        <v>2871</v>
      </c>
      <c r="F1512" t="str">
        <f t="shared" si="652"/>
        <v>THU</v>
      </c>
      <c r="G1512" s="1">
        <f t="shared" si="653"/>
        <v>43958</v>
      </c>
      <c r="H1512" s="2">
        <f t="shared" ca="1" si="654"/>
        <v>295</v>
      </c>
      <c r="I1512" t="str">
        <f t="shared" si="655"/>
        <v>SSEC</v>
      </c>
      <c r="J1512">
        <f t="shared" si="656"/>
        <v>2780</v>
      </c>
      <c r="K1512">
        <f t="shared" si="657"/>
        <v>2897</v>
      </c>
      <c r="L1512">
        <f t="shared" si="658"/>
        <v>2838.5</v>
      </c>
      <c r="M1512">
        <f t="shared" si="659"/>
        <v>58.5</v>
      </c>
      <c r="N1512">
        <f t="shared" si="649"/>
        <v>117</v>
      </c>
      <c r="O1512">
        <f t="shared" si="660"/>
        <v>2871</v>
      </c>
      <c r="P1512">
        <f t="shared" si="661"/>
        <v>0.55555555555555558</v>
      </c>
      <c r="Q1512" t="str">
        <f t="shared" si="650"/>
        <v>3.17% | 0.91%</v>
      </c>
      <c r="R1512" t="str">
        <f t="shared" si="662"/>
        <v>BEARISH</v>
      </c>
      <c r="S1512">
        <f t="shared" si="651"/>
        <v>-1</v>
      </c>
    </row>
    <row r="1513" spans="1:19" hidden="1" x14ac:dyDescent="0.25">
      <c r="A1513" s="5" t="str">
        <f t="shared" si="648"/>
        <v>43958NIKK</v>
      </c>
      <c r="B1513" s="6" t="s">
        <v>15</v>
      </c>
      <c r="C1513" s="6">
        <v>18929</v>
      </c>
      <c r="D1513" s="6">
        <v>20195</v>
      </c>
      <c r="E1513" s="6">
        <v>19674</v>
      </c>
      <c r="F1513" t="str">
        <f t="shared" si="652"/>
        <v>THU</v>
      </c>
      <c r="G1513" s="1">
        <f t="shared" si="653"/>
        <v>43958</v>
      </c>
      <c r="H1513" s="2">
        <f t="shared" ca="1" si="654"/>
        <v>295</v>
      </c>
      <c r="I1513" t="str">
        <f t="shared" si="655"/>
        <v>NIKK</v>
      </c>
      <c r="J1513">
        <f t="shared" si="656"/>
        <v>18929</v>
      </c>
      <c r="K1513">
        <f t="shared" si="657"/>
        <v>20195</v>
      </c>
      <c r="L1513">
        <f t="shared" si="658"/>
        <v>19562</v>
      </c>
      <c r="M1513">
        <f t="shared" si="659"/>
        <v>633</v>
      </c>
      <c r="N1513">
        <f t="shared" si="649"/>
        <v>1266</v>
      </c>
      <c r="O1513">
        <f t="shared" si="660"/>
        <v>19674</v>
      </c>
      <c r="P1513">
        <f t="shared" si="661"/>
        <v>0.17693522906793049</v>
      </c>
      <c r="Q1513" t="str">
        <f t="shared" si="650"/>
        <v>3.79% | 2.65%</v>
      </c>
      <c r="R1513" t="str">
        <f t="shared" si="662"/>
        <v>BEARISH</v>
      </c>
      <c r="S1513">
        <f t="shared" si="651"/>
        <v>-1</v>
      </c>
    </row>
    <row r="1514" spans="1:19" hidden="1" x14ac:dyDescent="0.25">
      <c r="A1514" s="5" t="str">
        <f t="shared" si="648"/>
        <v>43958DAX</v>
      </c>
      <c r="B1514" s="6" t="s">
        <v>16</v>
      </c>
      <c r="C1514" s="6">
        <v>10201</v>
      </c>
      <c r="D1514" s="6">
        <v>11095</v>
      </c>
      <c r="E1514" s="6">
        <v>10610</v>
      </c>
      <c r="F1514" t="str">
        <f t="shared" si="652"/>
        <v>THU</v>
      </c>
      <c r="G1514" s="1">
        <f t="shared" si="653"/>
        <v>43958</v>
      </c>
      <c r="H1514" s="2">
        <f t="shared" ca="1" si="654"/>
        <v>295</v>
      </c>
      <c r="I1514" t="str">
        <f t="shared" si="655"/>
        <v>DAX</v>
      </c>
      <c r="J1514">
        <f t="shared" si="656"/>
        <v>10201</v>
      </c>
      <c r="K1514">
        <f t="shared" si="657"/>
        <v>11095</v>
      </c>
      <c r="L1514">
        <f t="shared" si="658"/>
        <v>10648</v>
      </c>
      <c r="M1514">
        <f t="shared" si="659"/>
        <v>447</v>
      </c>
      <c r="N1514">
        <f t="shared" si="649"/>
        <v>894</v>
      </c>
      <c r="O1514">
        <f t="shared" si="660"/>
        <v>10610</v>
      </c>
      <c r="P1514">
        <f t="shared" si="661"/>
        <v>-8.5011185682326629E-2</v>
      </c>
      <c r="Q1514" t="str">
        <f t="shared" si="650"/>
        <v>3.85% | 4.57%</v>
      </c>
      <c r="R1514" t="str">
        <f t="shared" si="662"/>
        <v>BEARISH</v>
      </c>
      <c r="S1514">
        <f t="shared" si="651"/>
        <v>-1</v>
      </c>
    </row>
    <row r="1515" spans="1:19" hidden="1" x14ac:dyDescent="0.25">
      <c r="A1515" s="5" t="str">
        <f t="shared" si="648"/>
        <v>43958VIX</v>
      </c>
      <c r="B1515" s="6" t="s">
        <v>17</v>
      </c>
      <c r="C1515" s="6">
        <v>30.69</v>
      </c>
      <c r="D1515" s="6">
        <v>42.32</v>
      </c>
      <c r="E1515" s="6">
        <v>34.119999999999997</v>
      </c>
      <c r="F1515" t="str">
        <f t="shared" si="652"/>
        <v>THU</v>
      </c>
      <c r="G1515" s="1">
        <f t="shared" si="653"/>
        <v>43958</v>
      </c>
      <c r="H1515" s="2">
        <f t="shared" ca="1" si="654"/>
        <v>295</v>
      </c>
      <c r="I1515" t="str">
        <f t="shared" si="655"/>
        <v>VIX</v>
      </c>
      <c r="J1515">
        <f t="shared" si="656"/>
        <v>30.69</v>
      </c>
      <c r="K1515">
        <f t="shared" si="657"/>
        <v>42.32</v>
      </c>
      <c r="L1515">
        <f t="shared" si="658"/>
        <v>36.505000000000003</v>
      </c>
      <c r="M1515">
        <f t="shared" si="659"/>
        <v>5.8149999999999871</v>
      </c>
      <c r="N1515">
        <f t="shared" si="649"/>
        <v>11.629999999999999</v>
      </c>
      <c r="O1515">
        <f t="shared" si="660"/>
        <v>34.119999999999997</v>
      </c>
      <c r="P1515">
        <f t="shared" si="661"/>
        <v>-0.41014617368873779</v>
      </c>
      <c r="Q1515" t="str">
        <f t="shared" si="650"/>
        <v>10.05% | 24.03%</v>
      </c>
      <c r="R1515" t="str">
        <f t="shared" si="662"/>
        <v>BULLISH</v>
      </c>
      <c r="S1515">
        <f t="shared" si="651"/>
        <v>1</v>
      </c>
    </row>
    <row r="1516" spans="1:19" hidden="1" x14ac:dyDescent="0.25">
      <c r="A1516" s="5" t="str">
        <f t="shared" si="648"/>
        <v>43958USD</v>
      </c>
      <c r="B1516" s="6" t="s">
        <v>18</v>
      </c>
      <c r="C1516" s="6">
        <v>98.88</v>
      </c>
      <c r="D1516" s="6">
        <v>100.93</v>
      </c>
      <c r="E1516" s="6">
        <v>100.14</v>
      </c>
      <c r="F1516" t="str">
        <f t="shared" si="652"/>
        <v>THU</v>
      </c>
      <c r="G1516" s="1">
        <f t="shared" si="653"/>
        <v>43958</v>
      </c>
      <c r="H1516" s="2">
        <f t="shared" ca="1" si="654"/>
        <v>295</v>
      </c>
      <c r="I1516" t="str">
        <f t="shared" si="655"/>
        <v>USD</v>
      </c>
      <c r="J1516">
        <f t="shared" si="656"/>
        <v>98.88</v>
      </c>
      <c r="K1516">
        <f t="shared" si="657"/>
        <v>100.93</v>
      </c>
      <c r="L1516">
        <f t="shared" si="658"/>
        <v>99.905000000000001</v>
      </c>
      <c r="M1516">
        <f t="shared" si="659"/>
        <v>1.0250000000000057</v>
      </c>
      <c r="N1516">
        <f t="shared" si="649"/>
        <v>2.0500000000000114</v>
      </c>
      <c r="O1516">
        <f t="shared" si="660"/>
        <v>100.14</v>
      </c>
      <c r="P1516">
        <f t="shared" si="661"/>
        <v>0.22926829268292501</v>
      </c>
      <c r="Q1516" t="str">
        <f t="shared" si="650"/>
        <v>1.26% | 0.79%</v>
      </c>
      <c r="R1516" t="str">
        <f t="shared" si="662"/>
        <v>BULLISH</v>
      </c>
      <c r="S1516">
        <f t="shared" si="651"/>
        <v>1</v>
      </c>
    </row>
    <row r="1517" spans="1:19" hidden="1" x14ac:dyDescent="0.25">
      <c r="A1517" s="5" t="str">
        <f t="shared" si="648"/>
        <v>43958EUR/USD</v>
      </c>
      <c r="B1517" s="6" t="s">
        <v>19</v>
      </c>
      <c r="C1517" s="6">
        <v>1.07</v>
      </c>
      <c r="D1517" s="6">
        <v>1.0900000000000001</v>
      </c>
      <c r="E1517" s="6">
        <v>1.07</v>
      </c>
      <c r="F1517" t="str">
        <f t="shared" si="652"/>
        <v>THU</v>
      </c>
      <c r="G1517" s="1">
        <f t="shared" si="653"/>
        <v>43958</v>
      </c>
      <c r="H1517" s="2">
        <f t="shared" ca="1" si="654"/>
        <v>295</v>
      </c>
      <c r="I1517" t="str">
        <f t="shared" si="655"/>
        <v>EUR/USD</v>
      </c>
      <c r="J1517">
        <f t="shared" si="656"/>
        <v>1.07</v>
      </c>
      <c r="K1517">
        <f t="shared" si="657"/>
        <v>1.0900000000000001</v>
      </c>
      <c r="L1517">
        <f t="shared" si="658"/>
        <v>1.08</v>
      </c>
      <c r="M1517">
        <f t="shared" si="659"/>
        <v>1.0000000000000009E-2</v>
      </c>
      <c r="N1517">
        <f t="shared" si="649"/>
        <v>2.0000000000000018E-2</v>
      </c>
      <c r="O1517">
        <f t="shared" si="660"/>
        <v>1.07</v>
      </c>
      <c r="P1517">
        <f t="shared" si="661"/>
        <v>-1</v>
      </c>
      <c r="Q1517" t="str">
        <f t="shared" si="650"/>
        <v>0% | 1.87%</v>
      </c>
      <c r="R1517" t="str">
        <f t="shared" si="662"/>
        <v>BEARISH</v>
      </c>
      <c r="S1517">
        <f t="shared" si="651"/>
        <v>-1</v>
      </c>
    </row>
    <row r="1518" spans="1:19" hidden="1" x14ac:dyDescent="0.25">
      <c r="A1518" s="5" t="str">
        <f t="shared" si="648"/>
        <v>43958USD/JPY</v>
      </c>
      <c r="B1518" s="6" t="s">
        <v>20</v>
      </c>
      <c r="C1518" s="6">
        <v>106.05</v>
      </c>
      <c r="D1518" s="6">
        <v>107.93</v>
      </c>
      <c r="E1518" s="6">
        <v>106.14</v>
      </c>
      <c r="F1518" t="str">
        <f t="shared" si="652"/>
        <v>THU</v>
      </c>
      <c r="G1518" s="1">
        <f t="shared" si="653"/>
        <v>43958</v>
      </c>
      <c r="H1518" s="2">
        <f t="shared" ca="1" si="654"/>
        <v>295</v>
      </c>
      <c r="I1518" t="str">
        <f t="shared" si="655"/>
        <v>USD/JPY</v>
      </c>
      <c r="J1518">
        <f t="shared" si="656"/>
        <v>106.05</v>
      </c>
      <c r="K1518">
        <f t="shared" si="657"/>
        <v>107.93</v>
      </c>
      <c r="L1518">
        <f t="shared" si="658"/>
        <v>106.99000000000001</v>
      </c>
      <c r="M1518">
        <f t="shared" si="659"/>
        <v>0.94000000000000483</v>
      </c>
      <c r="N1518">
        <f t="shared" si="649"/>
        <v>1.8800000000000097</v>
      </c>
      <c r="O1518">
        <f t="shared" si="660"/>
        <v>106.14</v>
      </c>
      <c r="P1518">
        <f t="shared" si="661"/>
        <v>-0.90425531914894064</v>
      </c>
      <c r="Q1518" t="str">
        <f t="shared" si="650"/>
        <v>0.08% | 1.69%</v>
      </c>
      <c r="R1518" t="str">
        <f t="shared" si="662"/>
        <v>BEARISH</v>
      </c>
      <c r="S1518">
        <f t="shared" si="651"/>
        <v>-1</v>
      </c>
    </row>
    <row r="1519" spans="1:19" hidden="1" x14ac:dyDescent="0.25">
      <c r="A1519" s="5" t="str">
        <f t="shared" si="648"/>
        <v>43958GBP/USD</v>
      </c>
      <c r="B1519" s="6" t="s">
        <v>21</v>
      </c>
      <c r="C1519" s="6">
        <v>1.23</v>
      </c>
      <c r="D1519" s="6">
        <v>1.26</v>
      </c>
      <c r="E1519" s="6">
        <v>1.23</v>
      </c>
      <c r="F1519" t="str">
        <f t="shared" si="652"/>
        <v>THU</v>
      </c>
      <c r="G1519" s="1">
        <f t="shared" si="653"/>
        <v>43958</v>
      </c>
      <c r="H1519" s="2">
        <f t="shared" ca="1" si="654"/>
        <v>295</v>
      </c>
      <c r="I1519" t="str">
        <f t="shared" si="655"/>
        <v>GBP/USD</v>
      </c>
      <c r="J1519">
        <f t="shared" si="656"/>
        <v>1.23</v>
      </c>
      <c r="K1519">
        <f t="shared" si="657"/>
        <v>1.26</v>
      </c>
      <c r="L1519">
        <f t="shared" si="658"/>
        <v>1.2450000000000001</v>
      </c>
      <c r="M1519">
        <f t="shared" si="659"/>
        <v>1.5000000000000013E-2</v>
      </c>
      <c r="N1519">
        <f t="shared" si="649"/>
        <v>3.0000000000000027E-2</v>
      </c>
      <c r="O1519">
        <f t="shared" si="660"/>
        <v>1.23</v>
      </c>
      <c r="P1519">
        <f t="shared" si="661"/>
        <v>-1.0000000000000073</v>
      </c>
      <c r="Q1519" t="str">
        <f t="shared" si="650"/>
        <v>0% | 2.44%</v>
      </c>
      <c r="R1519" t="str">
        <f t="shared" si="662"/>
        <v>BEARISH</v>
      </c>
      <c r="S1519">
        <f t="shared" si="651"/>
        <v>-1</v>
      </c>
    </row>
    <row r="1520" spans="1:19" hidden="1" x14ac:dyDescent="0.25">
      <c r="A1520" s="5" t="str">
        <f t="shared" si="648"/>
        <v>43958USD/CHF</v>
      </c>
      <c r="B1520" s="6" t="s">
        <v>22</v>
      </c>
      <c r="C1520" s="6">
        <v>0.96</v>
      </c>
      <c r="D1520" s="6">
        <v>0.98</v>
      </c>
      <c r="E1520" s="6">
        <v>0.97</v>
      </c>
      <c r="F1520" t="str">
        <f t="shared" si="652"/>
        <v>THU</v>
      </c>
      <c r="G1520" s="1">
        <f t="shared" si="653"/>
        <v>43958</v>
      </c>
      <c r="H1520" s="2">
        <f t="shared" ca="1" si="654"/>
        <v>295</v>
      </c>
      <c r="I1520" t="str">
        <f t="shared" si="655"/>
        <v>USD/CHF</v>
      </c>
      <c r="J1520">
        <f t="shared" si="656"/>
        <v>0.96</v>
      </c>
      <c r="K1520">
        <f t="shared" si="657"/>
        <v>0.98</v>
      </c>
      <c r="L1520">
        <f t="shared" si="658"/>
        <v>0.97</v>
      </c>
      <c r="M1520">
        <f t="shared" si="659"/>
        <v>1.0000000000000009E-2</v>
      </c>
      <c r="N1520">
        <f t="shared" si="649"/>
        <v>2.0000000000000018E-2</v>
      </c>
      <c r="O1520">
        <f t="shared" si="660"/>
        <v>0.97</v>
      </c>
      <c r="P1520">
        <f t="shared" si="661"/>
        <v>0</v>
      </c>
      <c r="Q1520" t="str">
        <f t="shared" si="650"/>
        <v>1.03% | 1.03%</v>
      </c>
      <c r="R1520" t="str">
        <f t="shared" si="662"/>
        <v>NEUTRAL</v>
      </c>
      <c r="S1520">
        <f t="shared" si="651"/>
        <v>0</v>
      </c>
    </row>
    <row r="1521" spans="1:19" hidden="1" x14ac:dyDescent="0.25">
      <c r="A1521" s="5" t="str">
        <f t="shared" si="648"/>
        <v>43958WTIC</v>
      </c>
      <c r="B1521" s="6" t="s">
        <v>23</v>
      </c>
      <c r="C1521" s="6">
        <v>9.06</v>
      </c>
      <c r="D1521" s="6">
        <v>28.13</v>
      </c>
      <c r="E1521" s="6">
        <v>25.62</v>
      </c>
      <c r="F1521" t="str">
        <f t="shared" si="652"/>
        <v>THU</v>
      </c>
      <c r="G1521" s="1">
        <f t="shared" si="653"/>
        <v>43958</v>
      </c>
      <c r="H1521" s="2">
        <f t="shared" ca="1" si="654"/>
        <v>295</v>
      </c>
      <c r="I1521" t="str">
        <f t="shared" si="655"/>
        <v>WTIC</v>
      </c>
      <c r="J1521">
        <f t="shared" si="656"/>
        <v>9.06</v>
      </c>
      <c r="K1521">
        <f t="shared" si="657"/>
        <v>28.13</v>
      </c>
      <c r="L1521">
        <f t="shared" si="658"/>
        <v>18.594999999999999</v>
      </c>
      <c r="M1521">
        <f t="shared" si="659"/>
        <v>9.5350000000000037</v>
      </c>
      <c r="N1521">
        <f t="shared" si="649"/>
        <v>19.07</v>
      </c>
      <c r="O1521">
        <f t="shared" si="660"/>
        <v>25.62</v>
      </c>
      <c r="P1521">
        <f t="shared" si="661"/>
        <v>0.73675930781331933</v>
      </c>
      <c r="Q1521" t="str">
        <f t="shared" si="650"/>
        <v>64.64% | 9.8%</v>
      </c>
      <c r="R1521" t="str">
        <f t="shared" si="662"/>
        <v>BEARISH</v>
      </c>
      <c r="S1521">
        <f t="shared" si="651"/>
        <v>-1</v>
      </c>
    </row>
    <row r="1522" spans="1:19" hidden="1" x14ac:dyDescent="0.25">
      <c r="A1522" s="5" t="str">
        <f t="shared" si="648"/>
        <v>43958NATGAS</v>
      </c>
      <c r="B1522" s="6" t="s">
        <v>87</v>
      </c>
      <c r="C1522" s="6">
        <v>1.8</v>
      </c>
      <c r="D1522" s="6">
        <v>2.1</v>
      </c>
      <c r="E1522" s="6">
        <v>1.94</v>
      </c>
      <c r="F1522" t="str">
        <f t="shared" si="652"/>
        <v>THU</v>
      </c>
      <c r="G1522" s="1">
        <f t="shared" si="653"/>
        <v>43958</v>
      </c>
      <c r="H1522" s="2">
        <f t="shared" ca="1" si="654"/>
        <v>295</v>
      </c>
      <c r="I1522" t="str">
        <f t="shared" si="655"/>
        <v>NATGAS</v>
      </c>
      <c r="J1522">
        <f t="shared" si="656"/>
        <v>1.8</v>
      </c>
      <c r="K1522">
        <f t="shared" si="657"/>
        <v>2.1</v>
      </c>
      <c r="L1522">
        <f t="shared" si="658"/>
        <v>1.9500000000000002</v>
      </c>
      <c r="M1522">
        <f t="shared" si="659"/>
        <v>0.15000000000000002</v>
      </c>
      <c r="N1522">
        <f t="shared" si="649"/>
        <v>0.30000000000000004</v>
      </c>
      <c r="O1522">
        <f t="shared" si="660"/>
        <v>1.94</v>
      </c>
      <c r="P1522">
        <f t="shared" si="661"/>
        <v>-6.6666666666668192E-2</v>
      </c>
      <c r="Q1522" t="str">
        <f t="shared" si="650"/>
        <v>7.22% | 8.25%</v>
      </c>
      <c r="R1522" t="str">
        <f t="shared" si="662"/>
        <v>NEUTRAL</v>
      </c>
      <c r="S1522">
        <f t="shared" si="651"/>
        <v>0</v>
      </c>
    </row>
    <row r="1523" spans="1:19" hidden="1" x14ac:dyDescent="0.25">
      <c r="A1523" s="5" t="str">
        <f t="shared" si="648"/>
        <v>43958GOLD</v>
      </c>
      <c r="B1523" s="6" t="s">
        <v>25</v>
      </c>
      <c r="C1523" s="6">
        <v>1682</v>
      </c>
      <c r="D1523" s="6">
        <v>1742</v>
      </c>
      <c r="E1523" s="6">
        <v>1688</v>
      </c>
      <c r="F1523" t="str">
        <f t="shared" si="652"/>
        <v>THU</v>
      </c>
      <c r="G1523" s="1">
        <f t="shared" si="653"/>
        <v>43958</v>
      </c>
      <c r="H1523" s="2">
        <f t="shared" ca="1" si="654"/>
        <v>295</v>
      </c>
      <c r="I1523" t="str">
        <f t="shared" si="655"/>
        <v>GOLD</v>
      </c>
      <c r="J1523">
        <f t="shared" si="656"/>
        <v>1682</v>
      </c>
      <c r="K1523">
        <f t="shared" si="657"/>
        <v>1742</v>
      </c>
      <c r="L1523">
        <f t="shared" si="658"/>
        <v>1712</v>
      </c>
      <c r="M1523">
        <f t="shared" si="659"/>
        <v>30</v>
      </c>
      <c r="N1523">
        <f t="shared" si="649"/>
        <v>60</v>
      </c>
      <c r="O1523">
        <f t="shared" si="660"/>
        <v>1688</v>
      </c>
      <c r="P1523">
        <f t="shared" si="661"/>
        <v>-0.8</v>
      </c>
      <c r="Q1523" t="str">
        <f t="shared" si="650"/>
        <v>0.36% | 3.2%</v>
      </c>
      <c r="R1523" t="str">
        <f t="shared" si="662"/>
        <v>BULLISH</v>
      </c>
      <c r="S1523">
        <f t="shared" si="651"/>
        <v>1</v>
      </c>
    </row>
    <row r="1524" spans="1:19" hidden="1" x14ac:dyDescent="0.25">
      <c r="A1524" s="5" t="str">
        <f t="shared" si="648"/>
        <v>43958COPPER</v>
      </c>
      <c r="B1524" s="6" t="s">
        <v>26</v>
      </c>
      <c r="C1524" s="6">
        <v>2.2799999999999998</v>
      </c>
      <c r="D1524" s="6">
        <v>2.39</v>
      </c>
      <c r="E1524" s="6">
        <v>2.35</v>
      </c>
      <c r="F1524" t="str">
        <f t="shared" si="652"/>
        <v>THU</v>
      </c>
      <c r="G1524" s="1">
        <f t="shared" si="653"/>
        <v>43958</v>
      </c>
      <c r="H1524" s="2">
        <f t="shared" ca="1" si="654"/>
        <v>295</v>
      </c>
      <c r="I1524" t="str">
        <f t="shared" si="655"/>
        <v>COPPER</v>
      </c>
      <c r="J1524">
        <f t="shared" si="656"/>
        <v>2.2799999999999998</v>
      </c>
      <c r="K1524">
        <f t="shared" si="657"/>
        <v>2.39</v>
      </c>
      <c r="L1524">
        <f t="shared" si="658"/>
        <v>2.335</v>
      </c>
      <c r="M1524">
        <f t="shared" si="659"/>
        <v>5.500000000000016E-2</v>
      </c>
      <c r="N1524">
        <f t="shared" si="649"/>
        <v>0.11000000000000032</v>
      </c>
      <c r="O1524">
        <f t="shared" si="660"/>
        <v>2.35</v>
      </c>
      <c r="P1524">
        <f t="shared" si="661"/>
        <v>0.27272727272727421</v>
      </c>
      <c r="Q1524" t="str">
        <f t="shared" si="650"/>
        <v>2.98% | 1.7%</v>
      </c>
      <c r="R1524" t="str">
        <f t="shared" si="662"/>
        <v>BEARISH</v>
      </c>
      <c r="S1524">
        <f t="shared" si="651"/>
        <v>-1</v>
      </c>
    </row>
    <row r="1525" spans="1:19" hidden="1" x14ac:dyDescent="0.25">
      <c r="A1525" s="5" t="str">
        <f t="shared" si="648"/>
        <v>43958MSFT</v>
      </c>
      <c r="B1525" s="6" t="s">
        <v>27</v>
      </c>
      <c r="C1525" s="6">
        <v>171</v>
      </c>
      <c r="D1525" s="6">
        <v>185</v>
      </c>
      <c r="E1525" s="6">
        <v>182</v>
      </c>
      <c r="F1525" t="str">
        <f t="shared" si="652"/>
        <v>THU</v>
      </c>
      <c r="G1525" s="1">
        <f t="shared" si="653"/>
        <v>43958</v>
      </c>
      <c r="H1525" s="2">
        <f t="shared" ca="1" si="654"/>
        <v>295</v>
      </c>
      <c r="I1525" t="str">
        <f t="shared" si="655"/>
        <v>MSFT</v>
      </c>
      <c r="J1525">
        <f t="shared" si="656"/>
        <v>171</v>
      </c>
      <c r="K1525">
        <f t="shared" si="657"/>
        <v>185</v>
      </c>
      <c r="L1525">
        <f t="shared" si="658"/>
        <v>178</v>
      </c>
      <c r="M1525">
        <f t="shared" si="659"/>
        <v>7</v>
      </c>
      <c r="N1525">
        <f t="shared" si="649"/>
        <v>14</v>
      </c>
      <c r="O1525">
        <f t="shared" si="660"/>
        <v>182</v>
      </c>
      <c r="P1525">
        <f t="shared" si="661"/>
        <v>0.5714285714285714</v>
      </c>
      <c r="Q1525" t="str">
        <f t="shared" si="650"/>
        <v>6.04% | 1.65%</v>
      </c>
      <c r="R1525" t="str">
        <f t="shared" si="662"/>
        <v>BULLISH</v>
      </c>
      <c r="S1525">
        <f t="shared" si="651"/>
        <v>1</v>
      </c>
    </row>
    <row r="1526" spans="1:19" hidden="1" x14ac:dyDescent="0.25">
      <c r="A1526" s="5" t="str">
        <f t="shared" si="648"/>
        <v>43958AAPL</v>
      </c>
      <c r="B1526" s="6" t="s">
        <v>28</v>
      </c>
      <c r="C1526" s="6">
        <v>275</v>
      </c>
      <c r="D1526" s="6">
        <v>304</v>
      </c>
      <c r="E1526" s="6">
        <v>300</v>
      </c>
      <c r="F1526" t="str">
        <f t="shared" si="652"/>
        <v>THU</v>
      </c>
      <c r="G1526" s="1">
        <f t="shared" si="653"/>
        <v>43958</v>
      </c>
      <c r="H1526" s="2">
        <f t="shared" ca="1" si="654"/>
        <v>295</v>
      </c>
      <c r="I1526" t="str">
        <f t="shared" si="655"/>
        <v>AAPL</v>
      </c>
      <c r="J1526">
        <f t="shared" si="656"/>
        <v>275</v>
      </c>
      <c r="K1526">
        <f t="shared" si="657"/>
        <v>304</v>
      </c>
      <c r="L1526">
        <f t="shared" si="658"/>
        <v>289.5</v>
      </c>
      <c r="M1526">
        <f t="shared" si="659"/>
        <v>14.5</v>
      </c>
      <c r="N1526">
        <f t="shared" si="649"/>
        <v>29</v>
      </c>
      <c r="O1526">
        <f t="shared" si="660"/>
        <v>300</v>
      </c>
      <c r="P1526">
        <f t="shared" si="661"/>
        <v>0.72413793103448276</v>
      </c>
      <c r="Q1526" t="str">
        <f t="shared" si="650"/>
        <v>8.33% | 1.33%</v>
      </c>
      <c r="R1526" t="str">
        <f t="shared" si="662"/>
        <v>BULLISH</v>
      </c>
      <c r="S1526">
        <f t="shared" si="651"/>
        <v>1</v>
      </c>
    </row>
    <row r="1527" spans="1:19" hidden="1" x14ac:dyDescent="0.25">
      <c r="A1527" s="5" t="str">
        <f t="shared" si="648"/>
        <v>43958AMZN</v>
      </c>
      <c r="B1527" s="6" t="s">
        <v>29</v>
      </c>
      <c r="C1527" s="6">
        <v>2241</v>
      </c>
      <c r="D1527" s="6">
        <v>2470</v>
      </c>
      <c r="E1527" s="6">
        <v>2351</v>
      </c>
      <c r="F1527" t="str">
        <f t="shared" si="652"/>
        <v>THU</v>
      </c>
      <c r="G1527" s="1">
        <f t="shared" si="653"/>
        <v>43958</v>
      </c>
      <c r="H1527" s="2">
        <f t="shared" ca="1" si="654"/>
        <v>295</v>
      </c>
      <c r="I1527" t="str">
        <f t="shared" si="655"/>
        <v>AMZN</v>
      </c>
      <c r="J1527">
        <f t="shared" si="656"/>
        <v>2241</v>
      </c>
      <c r="K1527">
        <f t="shared" si="657"/>
        <v>2470</v>
      </c>
      <c r="L1527">
        <f t="shared" si="658"/>
        <v>2355.5</v>
      </c>
      <c r="M1527">
        <f t="shared" si="659"/>
        <v>114.5</v>
      </c>
      <c r="N1527">
        <f t="shared" si="649"/>
        <v>229</v>
      </c>
      <c r="O1527">
        <f t="shared" si="660"/>
        <v>2351</v>
      </c>
      <c r="P1527">
        <f t="shared" si="661"/>
        <v>-3.9301310043668124E-2</v>
      </c>
      <c r="Q1527" t="str">
        <f t="shared" si="650"/>
        <v>4.68% | 5.06%</v>
      </c>
      <c r="R1527" t="str">
        <f t="shared" si="662"/>
        <v>BULLISH</v>
      </c>
      <c r="S1527">
        <f t="shared" si="651"/>
        <v>1</v>
      </c>
    </row>
    <row r="1528" spans="1:19" hidden="1" x14ac:dyDescent="0.25">
      <c r="A1528" s="5" t="str">
        <f t="shared" si="648"/>
        <v>43958FB</v>
      </c>
      <c r="B1528" s="6" t="s">
        <v>30</v>
      </c>
      <c r="C1528" s="6">
        <v>186</v>
      </c>
      <c r="D1528" s="6">
        <v>216</v>
      </c>
      <c r="E1528" s="6">
        <v>208</v>
      </c>
      <c r="F1528" t="str">
        <f t="shared" si="652"/>
        <v>THU</v>
      </c>
      <c r="G1528" s="1">
        <f t="shared" si="653"/>
        <v>43958</v>
      </c>
      <c r="H1528" s="2">
        <f t="shared" ca="1" si="654"/>
        <v>295</v>
      </c>
      <c r="I1528" t="str">
        <f t="shared" si="655"/>
        <v>FB</v>
      </c>
      <c r="J1528">
        <f t="shared" si="656"/>
        <v>186</v>
      </c>
      <c r="K1528">
        <f t="shared" si="657"/>
        <v>216</v>
      </c>
      <c r="L1528">
        <f t="shared" si="658"/>
        <v>201</v>
      </c>
      <c r="M1528">
        <f t="shared" si="659"/>
        <v>15</v>
      </c>
      <c r="N1528">
        <f t="shared" si="649"/>
        <v>30</v>
      </c>
      <c r="O1528">
        <f t="shared" si="660"/>
        <v>208</v>
      </c>
      <c r="P1528">
        <f t="shared" si="661"/>
        <v>0.46666666666666667</v>
      </c>
      <c r="Q1528" t="str">
        <f t="shared" si="650"/>
        <v>10.58% | 3.85%</v>
      </c>
      <c r="R1528" t="str">
        <f t="shared" si="662"/>
        <v>BULLISH</v>
      </c>
      <c r="S1528">
        <f t="shared" si="651"/>
        <v>1</v>
      </c>
    </row>
    <row r="1529" spans="1:19" hidden="1" x14ac:dyDescent="0.25">
      <c r="A1529" s="5" t="str">
        <f t="shared" si="648"/>
        <v>43958GOOGL</v>
      </c>
      <c r="B1529" s="6" t="s">
        <v>59</v>
      </c>
      <c r="C1529" s="6">
        <v>1230</v>
      </c>
      <c r="D1529" s="6">
        <v>1391</v>
      </c>
      <c r="E1529" s="6">
        <v>1345</v>
      </c>
      <c r="F1529" t="str">
        <f t="shared" si="652"/>
        <v>THU</v>
      </c>
      <c r="G1529" s="1">
        <f t="shared" si="653"/>
        <v>43958</v>
      </c>
      <c r="H1529" s="2">
        <f t="shared" ca="1" si="654"/>
        <v>295</v>
      </c>
      <c r="I1529" t="str">
        <f t="shared" si="655"/>
        <v>GOOGL</v>
      </c>
      <c r="J1529">
        <f t="shared" si="656"/>
        <v>1230</v>
      </c>
      <c r="K1529">
        <f t="shared" si="657"/>
        <v>1391</v>
      </c>
      <c r="L1529">
        <f t="shared" si="658"/>
        <v>1310.5</v>
      </c>
      <c r="M1529">
        <f t="shared" si="659"/>
        <v>80.5</v>
      </c>
      <c r="N1529">
        <f t="shared" si="649"/>
        <v>161</v>
      </c>
      <c r="O1529">
        <f t="shared" si="660"/>
        <v>1345</v>
      </c>
      <c r="P1529">
        <f t="shared" si="661"/>
        <v>0.42857142857142855</v>
      </c>
      <c r="Q1529" t="str">
        <f t="shared" si="650"/>
        <v>8.55% | 3.42%</v>
      </c>
      <c r="R1529" t="str">
        <f t="shared" si="662"/>
        <v>NEUTRAL</v>
      </c>
      <c r="S1529">
        <f t="shared" si="651"/>
        <v>0</v>
      </c>
    </row>
    <row r="1530" spans="1:19" hidden="1" x14ac:dyDescent="0.25">
      <c r="A1530" s="5" t="str">
        <f t="shared" si="648"/>
        <v>43958NFLX</v>
      </c>
      <c r="B1530" s="6" t="s">
        <v>32</v>
      </c>
      <c r="C1530" s="6">
        <v>406</v>
      </c>
      <c r="D1530" s="6">
        <v>439</v>
      </c>
      <c r="E1530" s="6">
        <v>434</v>
      </c>
      <c r="F1530" t="str">
        <f t="shared" si="652"/>
        <v>THU</v>
      </c>
      <c r="G1530" s="1">
        <f t="shared" si="653"/>
        <v>43958</v>
      </c>
      <c r="H1530" s="2">
        <f t="shared" ca="1" si="654"/>
        <v>295</v>
      </c>
      <c r="I1530" t="str">
        <f t="shared" si="655"/>
        <v>NFLX</v>
      </c>
      <c r="J1530">
        <f t="shared" si="656"/>
        <v>406</v>
      </c>
      <c r="K1530">
        <f t="shared" si="657"/>
        <v>439</v>
      </c>
      <c r="L1530">
        <f t="shared" si="658"/>
        <v>422.5</v>
      </c>
      <c r="M1530">
        <f t="shared" si="659"/>
        <v>16.5</v>
      </c>
      <c r="N1530">
        <f t="shared" si="649"/>
        <v>33</v>
      </c>
      <c r="O1530">
        <f t="shared" si="660"/>
        <v>434</v>
      </c>
      <c r="P1530">
        <f t="shared" si="661"/>
        <v>0.69696969696969702</v>
      </c>
      <c r="Q1530" t="str">
        <f t="shared" si="650"/>
        <v>6.45% | 1.15%</v>
      </c>
      <c r="R1530" t="str">
        <f t="shared" si="662"/>
        <v>BULLISH</v>
      </c>
      <c r="S1530">
        <f t="shared" si="651"/>
        <v>1</v>
      </c>
    </row>
    <row r="1531" spans="1:19" x14ac:dyDescent="0.25">
      <c r="A1531" s="5" t="str">
        <f t="shared" si="648"/>
        <v>43958TSLA</v>
      </c>
      <c r="B1531" s="6" t="s">
        <v>33</v>
      </c>
      <c r="C1531" s="6">
        <v>700</v>
      </c>
      <c r="D1531" s="6">
        <v>829</v>
      </c>
      <c r="E1531" s="6">
        <v>782</v>
      </c>
      <c r="F1531" t="str">
        <f t="shared" si="652"/>
        <v>THU</v>
      </c>
      <c r="G1531" s="1">
        <f t="shared" si="653"/>
        <v>43958</v>
      </c>
      <c r="H1531" s="2">
        <f t="shared" ca="1" si="654"/>
        <v>295</v>
      </c>
      <c r="I1531" t="str">
        <f t="shared" si="655"/>
        <v>TSLA</v>
      </c>
      <c r="J1531">
        <f t="shared" si="656"/>
        <v>700</v>
      </c>
      <c r="K1531">
        <f t="shared" si="657"/>
        <v>829</v>
      </c>
      <c r="L1531">
        <f t="shared" si="658"/>
        <v>764.5</v>
      </c>
      <c r="M1531">
        <f t="shared" si="659"/>
        <v>64.5</v>
      </c>
      <c r="N1531">
        <f t="shared" si="649"/>
        <v>129</v>
      </c>
      <c r="O1531">
        <f t="shared" si="660"/>
        <v>782</v>
      </c>
      <c r="P1531">
        <f t="shared" si="661"/>
        <v>0.27131782945736432</v>
      </c>
      <c r="Q1531" t="str">
        <f t="shared" si="650"/>
        <v>10.49% | 6.01%</v>
      </c>
      <c r="R1531" t="str">
        <f t="shared" si="662"/>
        <v>BULLISH</v>
      </c>
      <c r="S1531">
        <f t="shared" si="651"/>
        <v>1</v>
      </c>
    </row>
    <row r="1532" spans="1:19" hidden="1" x14ac:dyDescent="0.25">
      <c r="A1532" s="5" t="str">
        <f t="shared" si="648"/>
        <v>43958NYXBT</v>
      </c>
      <c r="B1532" s="6" t="s">
        <v>34</v>
      </c>
      <c r="C1532" s="6">
        <v>7801</v>
      </c>
      <c r="D1532" s="6">
        <v>9615</v>
      </c>
      <c r="E1532" s="6">
        <v>9225</v>
      </c>
      <c r="F1532" t="str">
        <f t="shared" si="652"/>
        <v>THU</v>
      </c>
      <c r="G1532" s="1">
        <f t="shared" si="653"/>
        <v>43958</v>
      </c>
      <c r="H1532" s="2">
        <f t="shared" ca="1" si="654"/>
        <v>295</v>
      </c>
      <c r="I1532" t="str">
        <f t="shared" si="655"/>
        <v>NYXBT</v>
      </c>
      <c r="J1532">
        <f t="shared" si="656"/>
        <v>7801</v>
      </c>
      <c r="K1532">
        <f t="shared" si="657"/>
        <v>9615</v>
      </c>
      <c r="L1532">
        <f t="shared" si="658"/>
        <v>8708</v>
      </c>
      <c r="M1532">
        <f t="shared" si="659"/>
        <v>907</v>
      </c>
      <c r="N1532">
        <f t="shared" si="649"/>
        <v>1814</v>
      </c>
      <c r="O1532">
        <f t="shared" si="660"/>
        <v>9225</v>
      </c>
      <c r="P1532">
        <f t="shared" si="661"/>
        <v>0.57001102535832415</v>
      </c>
      <c r="Q1532" t="str">
        <f t="shared" si="650"/>
        <v>15.44% | 4.23%</v>
      </c>
      <c r="R1532" t="str">
        <f t="shared" si="662"/>
        <v>BULLISH</v>
      </c>
      <c r="S1532">
        <f t="shared" si="651"/>
        <v>1</v>
      </c>
    </row>
    <row r="1533" spans="1:19" hidden="1" x14ac:dyDescent="0.25">
      <c r="A1533" s="5" t="str">
        <f t="shared" si="648"/>
        <v>43959UST10Y</v>
      </c>
      <c r="B1533" s="6" t="s">
        <v>4</v>
      </c>
      <c r="C1533" s="6">
        <v>0.72</v>
      </c>
      <c r="D1533" s="6">
        <v>0.56999999999999995</v>
      </c>
      <c r="E1533" s="6">
        <v>0.63</v>
      </c>
      <c r="F1533" t="str">
        <f t="shared" si="652"/>
        <v>FRI</v>
      </c>
      <c r="G1533" s="3">
        <f>DATE(2020,5,8)</f>
        <v>43959</v>
      </c>
      <c r="H1533" s="2">
        <f t="shared" ca="1" si="654"/>
        <v>294</v>
      </c>
      <c r="I1533" t="str">
        <f t="shared" si="655"/>
        <v>UST10Y</v>
      </c>
      <c r="J1533">
        <f t="shared" si="656"/>
        <v>0.72</v>
      </c>
      <c r="K1533">
        <f t="shared" si="657"/>
        <v>0.56999999999999995</v>
      </c>
      <c r="L1533">
        <f t="shared" si="658"/>
        <v>0.64500000000000002</v>
      </c>
      <c r="M1533">
        <f t="shared" si="659"/>
        <v>7.4999999999999567E-2</v>
      </c>
      <c r="N1533">
        <f t="shared" si="649"/>
        <v>0.15000000000000002</v>
      </c>
      <c r="O1533">
        <f t="shared" si="660"/>
        <v>0.63</v>
      </c>
      <c r="P1533">
        <f t="shared" si="661"/>
        <v>-0.20000000000000134</v>
      </c>
      <c r="Q1533" t="str">
        <f t="shared" si="650"/>
        <v>14.29% | 9.52%</v>
      </c>
      <c r="R1533" t="str">
        <f t="shared" si="662"/>
        <v>BEARISH</v>
      </c>
      <c r="S1533">
        <f t="shared" si="651"/>
        <v>-1</v>
      </c>
    </row>
    <row r="1534" spans="1:19" hidden="1" x14ac:dyDescent="0.25">
      <c r="A1534" s="5" t="str">
        <f t="shared" si="648"/>
        <v>43959UST2Y</v>
      </c>
      <c r="B1534" s="6" t="s">
        <v>5</v>
      </c>
      <c r="C1534" s="6">
        <v>0.2</v>
      </c>
      <c r="D1534" s="6">
        <v>0.1</v>
      </c>
      <c r="E1534" s="6">
        <v>0.13</v>
      </c>
      <c r="F1534" t="str">
        <f t="shared" ref="F1534:F1564" si="663">UPPER(TEXT(G1534,"ddd"))</f>
        <v>FRI</v>
      </c>
      <c r="G1534" s="3">
        <f t="shared" ref="G1534:G1563" si="664">DATE(2020,5,8)</f>
        <v>43959</v>
      </c>
      <c r="H1534" s="2">
        <f t="shared" ref="H1534:H1564" ca="1" si="665">TODAY()-G1534</f>
        <v>294</v>
      </c>
      <c r="I1534" t="str">
        <f t="shared" ref="I1534:I1564" si="666">TRIM(LEFT(B1534,FIND(" ",B1534,1)))</f>
        <v>UST2Y</v>
      </c>
      <c r="J1534">
        <f t="shared" ref="J1534:J1564" si="667">C1534</f>
        <v>0.2</v>
      </c>
      <c r="K1534">
        <f t="shared" ref="K1534:K1564" si="668">D1534</f>
        <v>0.1</v>
      </c>
      <c r="L1534">
        <f t="shared" ref="L1534:L1564" si="669">AVERAGE(J1534:K1534)</f>
        <v>0.15000000000000002</v>
      </c>
      <c r="M1534">
        <f t="shared" ref="M1534:M1564" si="670">_xlfn.STDEV.P(J1534:K1534)</f>
        <v>4.9999999999999989E-2</v>
      </c>
      <c r="N1534">
        <f t="shared" si="649"/>
        <v>0.1</v>
      </c>
      <c r="O1534">
        <f t="shared" ref="O1534:O1564" si="671">E1534</f>
        <v>0.13</v>
      </c>
      <c r="P1534">
        <f t="shared" ref="P1534:P1564" si="672">(O1534-L1534)/M1534</f>
        <v>-0.40000000000000047</v>
      </c>
      <c r="Q1534" t="str">
        <f t="shared" si="650"/>
        <v>53.85% | 23.08%</v>
      </c>
      <c r="R1534" t="str">
        <f t="shared" ref="R1534:R1564" si="673">MID(B1534,FIND("(",B1534,1)+1,FIND(")",B1534,1)-FIND("(",B1534,1)-1)</f>
        <v>BEARISH</v>
      </c>
      <c r="S1534">
        <f t="shared" si="651"/>
        <v>-1</v>
      </c>
    </row>
    <row r="1535" spans="1:19" hidden="1" x14ac:dyDescent="0.25">
      <c r="A1535" s="5" t="str">
        <f t="shared" si="648"/>
        <v>43959SPX</v>
      </c>
      <c r="B1535" s="6" t="s">
        <v>6</v>
      </c>
      <c r="C1535" s="6">
        <v>2805</v>
      </c>
      <c r="D1535" s="6">
        <v>2937</v>
      </c>
      <c r="E1535" s="6">
        <v>2881</v>
      </c>
      <c r="F1535" t="str">
        <f t="shared" si="663"/>
        <v>FRI</v>
      </c>
      <c r="G1535" s="3">
        <f t="shared" si="664"/>
        <v>43959</v>
      </c>
      <c r="H1535" s="2">
        <f t="shared" ca="1" si="665"/>
        <v>294</v>
      </c>
      <c r="I1535" t="str">
        <f t="shared" si="666"/>
        <v>SPX</v>
      </c>
      <c r="J1535">
        <f t="shared" si="667"/>
        <v>2805</v>
      </c>
      <c r="K1535">
        <f t="shared" si="668"/>
        <v>2937</v>
      </c>
      <c r="L1535">
        <f t="shared" si="669"/>
        <v>2871</v>
      </c>
      <c r="M1535">
        <f t="shared" si="670"/>
        <v>66</v>
      </c>
      <c r="N1535">
        <f t="shared" si="649"/>
        <v>132</v>
      </c>
      <c r="O1535">
        <f t="shared" si="671"/>
        <v>2881</v>
      </c>
      <c r="P1535">
        <f t="shared" si="672"/>
        <v>0.15151515151515152</v>
      </c>
      <c r="Q1535" t="str">
        <f t="shared" si="650"/>
        <v>2.64% | 1.94%</v>
      </c>
      <c r="R1535" t="str">
        <f t="shared" si="673"/>
        <v>BEARISH</v>
      </c>
      <c r="S1535">
        <f t="shared" si="651"/>
        <v>-1</v>
      </c>
    </row>
    <row r="1536" spans="1:19" hidden="1" x14ac:dyDescent="0.25">
      <c r="A1536" s="5" t="str">
        <f t="shared" si="648"/>
        <v>43959RUT</v>
      </c>
      <c r="B1536" s="6" t="s">
        <v>7</v>
      </c>
      <c r="C1536" s="6">
        <v>1226</v>
      </c>
      <c r="D1536" s="6">
        <v>1350</v>
      </c>
      <c r="E1536" s="6">
        <v>1282</v>
      </c>
      <c r="F1536" t="str">
        <f t="shared" si="663"/>
        <v>FRI</v>
      </c>
      <c r="G1536" s="3">
        <f t="shared" si="664"/>
        <v>43959</v>
      </c>
      <c r="H1536" s="2">
        <f t="shared" ca="1" si="665"/>
        <v>294</v>
      </c>
      <c r="I1536" t="str">
        <f t="shared" si="666"/>
        <v>RUT</v>
      </c>
      <c r="J1536">
        <f t="shared" si="667"/>
        <v>1226</v>
      </c>
      <c r="K1536">
        <f t="shared" si="668"/>
        <v>1350</v>
      </c>
      <c r="L1536">
        <f t="shared" si="669"/>
        <v>1288</v>
      </c>
      <c r="M1536">
        <f t="shared" si="670"/>
        <v>62</v>
      </c>
      <c r="N1536">
        <f t="shared" si="649"/>
        <v>124</v>
      </c>
      <c r="O1536">
        <f t="shared" si="671"/>
        <v>1282</v>
      </c>
      <c r="P1536">
        <f t="shared" si="672"/>
        <v>-9.6774193548387094E-2</v>
      </c>
      <c r="Q1536" t="str">
        <f t="shared" si="650"/>
        <v>4.37% | 5.3%</v>
      </c>
      <c r="R1536" t="str">
        <f t="shared" si="673"/>
        <v>BEARISH</v>
      </c>
      <c r="S1536">
        <f t="shared" si="651"/>
        <v>-1</v>
      </c>
    </row>
    <row r="1537" spans="1:19" hidden="1" x14ac:dyDescent="0.25">
      <c r="A1537" s="5" t="str">
        <f t="shared" si="648"/>
        <v>43959COMPQ</v>
      </c>
      <c r="B1537" s="6" t="s">
        <v>8</v>
      </c>
      <c r="C1537" s="6">
        <v>8526</v>
      </c>
      <c r="D1537" s="6">
        <v>9051</v>
      </c>
      <c r="E1537" s="6">
        <v>8979</v>
      </c>
      <c r="F1537" t="str">
        <f t="shared" si="663"/>
        <v>FRI</v>
      </c>
      <c r="G1537" s="3">
        <f t="shared" si="664"/>
        <v>43959</v>
      </c>
      <c r="H1537" s="2">
        <f t="shared" ca="1" si="665"/>
        <v>294</v>
      </c>
      <c r="I1537" t="str">
        <f t="shared" si="666"/>
        <v>COMPQ</v>
      </c>
      <c r="J1537">
        <f t="shared" si="667"/>
        <v>8526</v>
      </c>
      <c r="K1537">
        <f t="shared" si="668"/>
        <v>9051</v>
      </c>
      <c r="L1537">
        <f t="shared" si="669"/>
        <v>8788.5</v>
      </c>
      <c r="M1537">
        <f t="shared" si="670"/>
        <v>262.5</v>
      </c>
      <c r="N1537">
        <f t="shared" si="649"/>
        <v>525</v>
      </c>
      <c r="O1537">
        <f t="shared" si="671"/>
        <v>8979</v>
      </c>
      <c r="P1537">
        <f t="shared" si="672"/>
        <v>0.72571428571428576</v>
      </c>
      <c r="Q1537" t="str">
        <f t="shared" si="650"/>
        <v>5.05% | 0.8%</v>
      </c>
      <c r="R1537" t="str">
        <f t="shared" si="673"/>
        <v>BULLISH</v>
      </c>
      <c r="S1537">
        <f t="shared" si="651"/>
        <v>1</v>
      </c>
    </row>
    <row r="1538" spans="1:19" hidden="1" x14ac:dyDescent="0.25">
      <c r="A1538" s="5" t="str">
        <f t="shared" si="648"/>
        <v>43959XLV</v>
      </c>
      <c r="B1538" s="6" t="s">
        <v>9</v>
      </c>
      <c r="C1538" s="6">
        <v>96.67</v>
      </c>
      <c r="D1538" s="6">
        <v>101.92</v>
      </c>
      <c r="E1538" s="6">
        <v>98.9</v>
      </c>
      <c r="F1538" t="str">
        <f t="shared" si="663"/>
        <v>FRI</v>
      </c>
      <c r="G1538" s="3">
        <f t="shared" si="664"/>
        <v>43959</v>
      </c>
      <c r="H1538" s="2">
        <f t="shared" ca="1" si="665"/>
        <v>294</v>
      </c>
      <c r="I1538" t="str">
        <f t="shared" si="666"/>
        <v>XLV</v>
      </c>
      <c r="J1538">
        <f t="shared" si="667"/>
        <v>96.67</v>
      </c>
      <c r="K1538">
        <f t="shared" si="668"/>
        <v>101.92</v>
      </c>
      <c r="L1538">
        <f t="shared" si="669"/>
        <v>99.295000000000002</v>
      </c>
      <c r="M1538">
        <f t="shared" si="670"/>
        <v>2.625</v>
      </c>
      <c r="N1538">
        <f t="shared" si="649"/>
        <v>5.25</v>
      </c>
      <c r="O1538">
        <f t="shared" si="671"/>
        <v>98.9</v>
      </c>
      <c r="P1538">
        <f t="shared" si="672"/>
        <v>-0.15047619047618896</v>
      </c>
      <c r="Q1538" t="str">
        <f t="shared" si="650"/>
        <v>2.25% | 3.05%</v>
      </c>
      <c r="R1538" t="str">
        <f t="shared" si="673"/>
        <v>BULLISH</v>
      </c>
      <c r="S1538">
        <f t="shared" si="651"/>
        <v>1</v>
      </c>
    </row>
    <row r="1539" spans="1:19" hidden="1" x14ac:dyDescent="0.25">
      <c r="A1539" s="5" t="str">
        <f t="shared" ref="A1539:A1602" si="674">G1539&amp;I1539</f>
        <v>43959XLP</v>
      </c>
      <c r="B1539" s="6" t="s">
        <v>11</v>
      </c>
      <c r="C1539" s="6">
        <v>56.07</v>
      </c>
      <c r="D1539" s="6">
        <v>58.64</v>
      </c>
      <c r="E1539" s="6">
        <v>56.85</v>
      </c>
      <c r="F1539" t="str">
        <f t="shared" si="663"/>
        <v>FRI</v>
      </c>
      <c r="G1539" s="3">
        <f t="shared" si="664"/>
        <v>43959</v>
      </c>
      <c r="H1539" s="2">
        <f t="shared" ca="1" si="665"/>
        <v>294</v>
      </c>
      <c r="I1539" t="str">
        <f t="shared" si="666"/>
        <v>XLP</v>
      </c>
      <c r="J1539">
        <f t="shared" si="667"/>
        <v>56.07</v>
      </c>
      <c r="K1539">
        <f t="shared" si="668"/>
        <v>58.64</v>
      </c>
      <c r="L1539">
        <f t="shared" si="669"/>
        <v>57.355000000000004</v>
      </c>
      <c r="M1539">
        <f t="shared" si="670"/>
        <v>1.2850000000000001</v>
      </c>
      <c r="N1539">
        <f t="shared" ref="N1539:N1602" si="675">ABS(K1539-J1539)</f>
        <v>2.5700000000000003</v>
      </c>
      <c r="O1539">
        <f t="shared" si="671"/>
        <v>56.85</v>
      </c>
      <c r="P1539">
        <f t="shared" si="672"/>
        <v>-0.39299610894941828</v>
      </c>
      <c r="Q1539" t="str">
        <f t="shared" ref="Q1539:Q1602" si="676">ROUND(ABS(100*(O1539-J1539)/O1539),2)&amp;"% | "&amp;ROUND(ABS(100*(K1539-O1539)/O1539),2)&amp;"%"</f>
        <v>1.37% | 3.15%</v>
      </c>
      <c r="R1539" t="str">
        <f t="shared" si="673"/>
        <v>BEARISH</v>
      </c>
      <c r="S1539">
        <f t="shared" ref="S1539:S1602" si="677">IF(R1539="BEARISH",-1,IF(R1539="NEUTRAL",0,IF(R1539="BULLISH",1,99)))</f>
        <v>-1</v>
      </c>
    </row>
    <row r="1540" spans="1:19" hidden="1" x14ac:dyDescent="0.25">
      <c r="A1540" s="5" t="str">
        <f t="shared" si="674"/>
        <v>43959XLU</v>
      </c>
      <c r="B1540" s="6" t="s">
        <v>82</v>
      </c>
      <c r="C1540" s="6">
        <v>53.02</v>
      </c>
      <c r="D1540" s="6">
        <v>59.54</v>
      </c>
      <c r="E1540" s="6">
        <v>55.05</v>
      </c>
      <c r="F1540" t="str">
        <f t="shared" si="663"/>
        <v>FRI</v>
      </c>
      <c r="G1540" s="3">
        <f t="shared" si="664"/>
        <v>43959</v>
      </c>
      <c r="H1540" s="2">
        <f t="shared" ca="1" si="665"/>
        <v>294</v>
      </c>
      <c r="I1540" t="str">
        <f t="shared" si="666"/>
        <v>XLU</v>
      </c>
      <c r="J1540">
        <f t="shared" si="667"/>
        <v>53.02</v>
      </c>
      <c r="K1540">
        <f t="shared" si="668"/>
        <v>59.54</v>
      </c>
      <c r="L1540">
        <f t="shared" si="669"/>
        <v>56.28</v>
      </c>
      <c r="M1540">
        <f t="shared" si="670"/>
        <v>3.259999999999998</v>
      </c>
      <c r="N1540">
        <f t="shared" si="675"/>
        <v>6.519999999999996</v>
      </c>
      <c r="O1540">
        <f t="shared" si="671"/>
        <v>55.05</v>
      </c>
      <c r="P1540">
        <f t="shared" si="672"/>
        <v>-0.37730061349693395</v>
      </c>
      <c r="Q1540" t="str">
        <f t="shared" si="676"/>
        <v>3.69% | 8.16%</v>
      </c>
      <c r="R1540" t="str">
        <f t="shared" si="673"/>
        <v>BEARISH</v>
      </c>
      <c r="S1540">
        <f t="shared" si="677"/>
        <v>-1</v>
      </c>
    </row>
    <row r="1541" spans="1:19" hidden="1" x14ac:dyDescent="0.25">
      <c r="A1541" s="5" t="str">
        <f t="shared" si="674"/>
        <v>43959XLK</v>
      </c>
      <c r="B1541" s="6" t="s">
        <v>10</v>
      </c>
      <c r="C1541" s="6">
        <v>87.44</v>
      </c>
      <c r="D1541" s="6">
        <v>94.33</v>
      </c>
      <c r="E1541" s="6">
        <v>93.41</v>
      </c>
      <c r="F1541" t="str">
        <f t="shared" si="663"/>
        <v>FRI</v>
      </c>
      <c r="G1541" s="3">
        <f t="shared" si="664"/>
        <v>43959</v>
      </c>
      <c r="H1541" s="2">
        <f t="shared" ca="1" si="665"/>
        <v>294</v>
      </c>
      <c r="I1541" t="str">
        <f t="shared" si="666"/>
        <v>XLK</v>
      </c>
      <c r="J1541">
        <f t="shared" si="667"/>
        <v>87.44</v>
      </c>
      <c r="K1541">
        <f t="shared" si="668"/>
        <v>94.33</v>
      </c>
      <c r="L1541">
        <f t="shared" si="669"/>
        <v>90.884999999999991</v>
      </c>
      <c r="M1541">
        <f t="shared" si="670"/>
        <v>3.4450000000000003</v>
      </c>
      <c r="N1541">
        <f t="shared" si="675"/>
        <v>6.8900000000000006</v>
      </c>
      <c r="O1541">
        <f t="shared" si="671"/>
        <v>93.41</v>
      </c>
      <c r="P1541">
        <f t="shared" si="672"/>
        <v>0.7329462989840364</v>
      </c>
      <c r="Q1541" t="str">
        <f t="shared" si="676"/>
        <v>6.39% | 0.98%</v>
      </c>
      <c r="R1541" t="str">
        <f t="shared" si="673"/>
        <v>BULLISH</v>
      </c>
      <c r="S1541">
        <f t="shared" si="677"/>
        <v>1</v>
      </c>
    </row>
    <row r="1542" spans="1:19" hidden="1" x14ac:dyDescent="0.25">
      <c r="A1542" s="5" t="str">
        <f t="shared" si="674"/>
        <v>43959XLF</v>
      </c>
      <c r="B1542" s="6" t="s">
        <v>12</v>
      </c>
      <c r="C1542" s="6">
        <v>20.29</v>
      </c>
      <c r="D1542" s="6">
        <v>23.49</v>
      </c>
      <c r="E1542" s="6">
        <v>21.82</v>
      </c>
      <c r="F1542" t="str">
        <f t="shared" si="663"/>
        <v>FRI</v>
      </c>
      <c r="G1542" s="3">
        <f t="shared" si="664"/>
        <v>43959</v>
      </c>
      <c r="H1542" s="2">
        <f t="shared" ca="1" si="665"/>
        <v>294</v>
      </c>
      <c r="I1542" t="str">
        <f t="shared" si="666"/>
        <v>XLF</v>
      </c>
      <c r="J1542">
        <f t="shared" si="667"/>
        <v>20.29</v>
      </c>
      <c r="K1542">
        <f t="shared" si="668"/>
        <v>23.49</v>
      </c>
      <c r="L1542">
        <f t="shared" si="669"/>
        <v>21.89</v>
      </c>
      <c r="M1542">
        <f t="shared" si="670"/>
        <v>1.5999999999999996</v>
      </c>
      <c r="N1542">
        <f t="shared" si="675"/>
        <v>3.1999999999999993</v>
      </c>
      <c r="O1542">
        <f t="shared" si="671"/>
        <v>21.82</v>
      </c>
      <c r="P1542">
        <f t="shared" si="672"/>
        <v>-4.3750000000000185E-2</v>
      </c>
      <c r="Q1542" t="str">
        <f t="shared" si="676"/>
        <v>7.01% | 7.65%</v>
      </c>
      <c r="R1542" t="str">
        <f t="shared" si="673"/>
        <v>BEARISH</v>
      </c>
      <c r="S1542">
        <f t="shared" si="677"/>
        <v>-1</v>
      </c>
    </row>
    <row r="1543" spans="1:19" hidden="1" x14ac:dyDescent="0.25">
      <c r="A1543" s="5" t="str">
        <f t="shared" si="674"/>
        <v>43959SSEC</v>
      </c>
      <c r="B1543" s="6" t="s">
        <v>14</v>
      </c>
      <c r="C1543" s="6">
        <v>2785</v>
      </c>
      <c r="D1543" s="6">
        <v>2904</v>
      </c>
      <c r="E1543" s="6">
        <v>2895</v>
      </c>
      <c r="F1543" t="str">
        <f t="shared" si="663"/>
        <v>FRI</v>
      </c>
      <c r="G1543" s="3">
        <f t="shared" si="664"/>
        <v>43959</v>
      </c>
      <c r="H1543" s="2">
        <f t="shared" ca="1" si="665"/>
        <v>294</v>
      </c>
      <c r="I1543" t="str">
        <f t="shared" si="666"/>
        <v>SSEC</v>
      </c>
      <c r="J1543">
        <f t="shared" si="667"/>
        <v>2785</v>
      </c>
      <c r="K1543">
        <f t="shared" si="668"/>
        <v>2904</v>
      </c>
      <c r="L1543">
        <f t="shared" si="669"/>
        <v>2844.5</v>
      </c>
      <c r="M1543">
        <f t="shared" si="670"/>
        <v>59.5</v>
      </c>
      <c r="N1543">
        <f t="shared" si="675"/>
        <v>119</v>
      </c>
      <c r="O1543">
        <f t="shared" si="671"/>
        <v>2895</v>
      </c>
      <c r="P1543">
        <f t="shared" si="672"/>
        <v>0.84873949579831931</v>
      </c>
      <c r="Q1543" t="str">
        <f t="shared" si="676"/>
        <v>3.8% | 0.31%</v>
      </c>
      <c r="R1543" t="str">
        <f t="shared" si="673"/>
        <v>BEARISH</v>
      </c>
      <c r="S1543">
        <f t="shared" si="677"/>
        <v>-1</v>
      </c>
    </row>
    <row r="1544" spans="1:19" hidden="1" x14ac:dyDescent="0.25">
      <c r="A1544" s="5" t="str">
        <f t="shared" si="674"/>
        <v>43959NIKK</v>
      </c>
      <c r="B1544" s="6" t="s">
        <v>15</v>
      </c>
      <c r="C1544" s="6">
        <v>18950</v>
      </c>
      <c r="D1544" s="6">
        <v>20199</v>
      </c>
      <c r="E1544" s="6">
        <v>20179</v>
      </c>
      <c r="F1544" t="str">
        <f t="shared" si="663"/>
        <v>FRI</v>
      </c>
      <c r="G1544" s="3">
        <f t="shared" si="664"/>
        <v>43959</v>
      </c>
      <c r="H1544" s="2">
        <f t="shared" ca="1" si="665"/>
        <v>294</v>
      </c>
      <c r="I1544" t="str">
        <f t="shared" si="666"/>
        <v>NIKK</v>
      </c>
      <c r="J1544">
        <f t="shared" si="667"/>
        <v>18950</v>
      </c>
      <c r="K1544">
        <f t="shared" si="668"/>
        <v>20199</v>
      </c>
      <c r="L1544">
        <f t="shared" si="669"/>
        <v>19574.5</v>
      </c>
      <c r="M1544">
        <f t="shared" si="670"/>
        <v>624.5</v>
      </c>
      <c r="N1544">
        <f t="shared" si="675"/>
        <v>1249</v>
      </c>
      <c r="O1544">
        <f t="shared" si="671"/>
        <v>20179</v>
      </c>
      <c r="P1544">
        <f t="shared" si="672"/>
        <v>0.96797437950360288</v>
      </c>
      <c r="Q1544" t="str">
        <f t="shared" si="676"/>
        <v>6.09% | 0.1%</v>
      </c>
      <c r="R1544" t="str">
        <f t="shared" si="673"/>
        <v>BEARISH</v>
      </c>
      <c r="S1544">
        <f t="shared" si="677"/>
        <v>-1</v>
      </c>
    </row>
    <row r="1545" spans="1:19" hidden="1" x14ac:dyDescent="0.25">
      <c r="A1545" s="5" t="str">
        <f t="shared" si="674"/>
        <v>43959DAX</v>
      </c>
      <c r="B1545" s="6" t="s">
        <v>16</v>
      </c>
      <c r="C1545" s="6">
        <v>10308</v>
      </c>
      <c r="D1545" s="6">
        <v>11053</v>
      </c>
      <c r="E1545" s="6">
        <v>10757</v>
      </c>
      <c r="F1545" t="str">
        <f t="shared" si="663"/>
        <v>FRI</v>
      </c>
      <c r="G1545" s="3">
        <f t="shared" si="664"/>
        <v>43959</v>
      </c>
      <c r="H1545" s="2">
        <f t="shared" ca="1" si="665"/>
        <v>294</v>
      </c>
      <c r="I1545" t="str">
        <f t="shared" si="666"/>
        <v>DAX</v>
      </c>
      <c r="J1545">
        <f t="shared" si="667"/>
        <v>10308</v>
      </c>
      <c r="K1545">
        <f t="shared" si="668"/>
        <v>11053</v>
      </c>
      <c r="L1545">
        <f t="shared" si="669"/>
        <v>10680.5</v>
      </c>
      <c r="M1545">
        <f t="shared" si="670"/>
        <v>372.5</v>
      </c>
      <c r="N1545">
        <f t="shared" si="675"/>
        <v>745</v>
      </c>
      <c r="O1545">
        <f t="shared" si="671"/>
        <v>10757</v>
      </c>
      <c r="P1545">
        <f t="shared" si="672"/>
        <v>0.20536912751677852</v>
      </c>
      <c r="Q1545" t="str">
        <f t="shared" si="676"/>
        <v>4.17% | 2.75%</v>
      </c>
      <c r="R1545" t="str">
        <f t="shared" si="673"/>
        <v>BEARISH</v>
      </c>
      <c r="S1545">
        <f t="shared" si="677"/>
        <v>-1</v>
      </c>
    </row>
    <row r="1546" spans="1:19" hidden="1" x14ac:dyDescent="0.25">
      <c r="A1546" s="5" t="str">
        <f t="shared" si="674"/>
        <v>43959VIX</v>
      </c>
      <c r="B1546" s="6" t="s">
        <v>17</v>
      </c>
      <c r="C1546" s="6">
        <v>30.06</v>
      </c>
      <c r="D1546" s="6">
        <v>40.69</v>
      </c>
      <c r="E1546" s="6">
        <v>31.44</v>
      </c>
      <c r="F1546" t="str">
        <f t="shared" si="663"/>
        <v>FRI</v>
      </c>
      <c r="G1546" s="3">
        <f t="shared" si="664"/>
        <v>43959</v>
      </c>
      <c r="H1546" s="2">
        <f t="shared" ca="1" si="665"/>
        <v>294</v>
      </c>
      <c r="I1546" t="str">
        <f t="shared" si="666"/>
        <v>VIX</v>
      </c>
      <c r="J1546">
        <f t="shared" si="667"/>
        <v>30.06</v>
      </c>
      <c r="K1546">
        <f t="shared" si="668"/>
        <v>40.69</v>
      </c>
      <c r="L1546">
        <f t="shared" si="669"/>
        <v>35.375</v>
      </c>
      <c r="M1546">
        <f t="shared" si="670"/>
        <v>5.3150000000000022</v>
      </c>
      <c r="N1546">
        <f t="shared" si="675"/>
        <v>10.629999999999999</v>
      </c>
      <c r="O1546">
        <f t="shared" si="671"/>
        <v>31.44</v>
      </c>
      <c r="P1546">
        <f t="shared" si="672"/>
        <v>-0.74035747883348957</v>
      </c>
      <c r="Q1546" t="str">
        <f t="shared" si="676"/>
        <v>4.39% | 29.42%</v>
      </c>
      <c r="R1546" t="str">
        <f t="shared" si="673"/>
        <v>BULLISH</v>
      </c>
      <c r="S1546">
        <f t="shared" si="677"/>
        <v>1</v>
      </c>
    </row>
    <row r="1547" spans="1:19" hidden="1" x14ac:dyDescent="0.25">
      <c r="A1547" s="5" t="str">
        <f t="shared" si="674"/>
        <v>43959USD</v>
      </c>
      <c r="B1547" s="6" t="s">
        <v>18</v>
      </c>
      <c r="C1547" s="6">
        <v>98.9</v>
      </c>
      <c r="D1547" s="6">
        <v>100.84</v>
      </c>
      <c r="E1547" s="6">
        <v>99.91</v>
      </c>
      <c r="F1547" t="str">
        <f t="shared" si="663"/>
        <v>FRI</v>
      </c>
      <c r="G1547" s="3">
        <f t="shared" si="664"/>
        <v>43959</v>
      </c>
      <c r="H1547" s="2">
        <f t="shared" ca="1" si="665"/>
        <v>294</v>
      </c>
      <c r="I1547" t="str">
        <f t="shared" si="666"/>
        <v>USD</v>
      </c>
      <c r="J1547">
        <f t="shared" si="667"/>
        <v>98.9</v>
      </c>
      <c r="K1547">
        <f t="shared" si="668"/>
        <v>100.84</v>
      </c>
      <c r="L1547">
        <f t="shared" si="669"/>
        <v>99.87</v>
      </c>
      <c r="M1547">
        <f t="shared" si="670"/>
        <v>0.96999999999999886</v>
      </c>
      <c r="N1547">
        <f t="shared" si="675"/>
        <v>1.9399999999999977</v>
      </c>
      <c r="O1547">
        <f t="shared" si="671"/>
        <v>99.91</v>
      </c>
      <c r="P1547">
        <f t="shared" si="672"/>
        <v>4.1237113402053702E-2</v>
      </c>
      <c r="Q1547" t="str">
        <f t="shared" si="676"/>
        <v>1.01% | 0.93%</v>
      </c>
      <c r="R1547" t="str">
        <f t="shared" si="673"/>
        <v>BULLISH</v>
      </c>
      <c r="S1547">
        <f t="shared" si="677"/>
        <v>1</v>
      </c>
    </row>
    <row r="1548" spans="1:19" hidden="1" x14ac:dyDescent="0.25">
      <c r="A1548" s="5" t="str">
        <f t="shared" si="674"/>
        <v>43959EUR/USD</v>
      </c>
      <c r="B1548" s="6" t="s">
        <v>19</v>
      </c>
      <c r="C1548" s="6">
        <v>1.07</v>
      </c>
      <c r="D1548" s="6">
        <v>1.0900000000000001</v>
      </c>
      <c r="E1548" s="6">
        <v>1.08</v>
      </c>
      <c r="F1548" t="str">
        <f t="shared" si="663"/>
        <v>FRI</v>
      </c>
      <c r="G1548" s="3">
        <f t="shared" si="664"/>
        <v>43959</v>
      </c>
      <c r="H1548" s="2">
        <f t="shared" ca="1" si="665"/>
        <v>294</v>
      </c>
      <c r="I1548" t="str">
        <f t="shared" si="666"/>
        <v>EUR/USD</v>
      </c>
      <c r="J1548">
        <f t="shared" si="667"/>
        <v>1.07</v>
      </c>
      <c r="K1548">
        <f t="shared" si="668"/>
        <v>1.0900000000000001</v>
      </c>
      <c r="L1548">
        <f t="shared" si="669"/>
        <v>1.08</v>
      </c>
      <c r="M1548">
        <f t="shared" si="670"/>
        <v>1.0000000000000009E-2</v>
      </c>
      <c r="N1548">
        <f t="shared" si="675"/>
        <v>2.0000000000000018E-2</v>
      </c>
      <c r="O1548">
        <f t="shared" si="671"/>
        <v>1.08</v>
      </c>
      <c r="P1548">
        <f t="shared" si="672"/>
        <v>0</v>
      </c>
      <c r="Q1548" t="str">
        <f t="shared" si="676"/>
        <v>0.93% | 0.93%</v>
      </c>
      <c r="R1548" t="str">
        <f t="shared" si="673"/>
        <v>BEARISH</v>
      </c>
      <c r="S1548">
        <f t="shared" si="677"/>
        <v>-1</v>
      </c>
    </row>
    <row r="1549" spans="1:19" hidden="1" x14ac:dyDescent="0.25">
      <c r="A1549" s="5" t="str">
        <f t="shared" si="674"/>
        <v>43959USD/JPY</v>
      </c>
      <c r="B1549" s="6" t="s">
        <v>20</v>
      </c>
      <c r="C1549" s="6">
        <v>106.02</v>
      </c>
      <c r="D1549" s="6">
        <v>107.9</v>
      </c>
      <c r="E1549" s="6">
        <v>106.29</v>
      </c>
      <c r="F1549" t="str">
        <f t="shared" si="663"/>
        <v>FRI</v>
      </c>
      <c r="G1549" s="3">
        <f t="shared" si="664"/>
        <v>43959</v>
      </c>
      <c r="H1549" s="2">
        <f t="shared" ca="1" si="665"/>
        <v>294</v>
      </c>
      <c r="I1549" t="str">
        <f t="shared" si="666"/>
        <v>USD/JPY</v>
      </c>
      <c r="J1549">
        <f t="shared" si="667"/>
        <v>106.02</v>
      </c>
      <c r="K1549">
        <f t="shared" si="668"/>
        <v>107.9</v>
      </c>
      <c r="L1549">
        <f t="shared" si="669"/>
        <v>106.96000000000001</v>
      </c>
      <c r="M1549">
        <f t="shared" si="670"/>
        <v>0.94000000000000483</v>
      </c>
      <c r="N1549">
        <f t="shared" si="675"/>
        <v>1.8800000000000097</v>
      </c>
      <c r="O1549">
        <f t="shared" si="671"/>
        <v>106.29</v>
      </c>
      <c r="P1549">
        <f t="shared" si="672"/>
        <v>-0.71276595744680671</v>
      </c>
      <c r="Q1549" t="str">
        <f t="shared" si="676"/>
        <v>0.25% | 1.51%</v>
      </c>
      <c r="R1549" t="str">
        <f t="shared" si="673"/>
        <v>BEARISH</v>
      </c>
      <c r="S1549">
        <f t="shared" si="677"/>
        <v>-1</v>
      </c>
    </row>
    <row r="1550" spans="1:19" hidden="1" x14ac:dyDescent="0.25">
      <c r="A1550" s="5" t="str">
        <f t="shared" si="674"/>
        <v>43959GBP/USD</v>
      </c>
      <c r="B1550" s="6" t="s">
        <v>21</v>
      </c>
      <c r="C1550" s="6">
        <v>1.23</v>
      </c>
      <c r="D1550" s="6">
        <v>1.26</v>
      </c>
      <c r="E1550" s="6">
        <v>1.24</v>
      </c>
      <c r="F1550" t="str">
        <f t="shared" si="663"/>
        <v>FRI</v>
      </c>
      <c r="G1550" s="3">
        <f t="shared" si="664"/>
        <v>43959</v>
      </c>
      <c r="H1550" s="2">
        <f t="shared" ca="1" si="665"/>
        <v>294</v>
      </c>
      <c r="I1550" t="str">
        <f t="shared" si="666"/>
        <v>GBP/USD</v>
      </c>
      <c r="J1550">
        <f t="shared" si="667"/>
        <v>1.23</v>
      </c>
      <c r="K1550">
        <f t="shared" si="668"/>
        <v>1.26</v>
      </c>
      <c r="L1550">
        <f t="shared" si="669"/>
        <v>1.2450000000000001</v>
      </c>
      <c r="M1550">
        <f t="shared" si="670"/>
        <v>1.5000000000000013E-2</v>
      </c>
      <c r="N1550">
        <f t="shared" si="675"/>
        <v>3.0000000000000027E-2</v>
      </c>
      <c r="O1550">
        <f t="shared" si="671"/>
        <v>1.24</v>
      </c>
      <c r="P1550">
        <f t="shared" si="672"/>
        <v>-0.33333333333334075</v>
      </c>
      <c r="Q1550" t="str">
        <f t="shared" si="676"/>
        <v>0.81% | 1.61%</v>
      </c>
      <c r="R1550" t="str">
        <f t="shared" si="673"/>
        <v>BEARISH</v>
      </c>
      <c r="S1550">
        <f t="shared" si="677"/>
        <v>-1</v>
      </c>
    </row>
    <row r="1551" spans="1:19" hidden="1" x14ac:dyDescent="0.25">
      <c r="A1551" s="5" t="str">
        <f t="shared" si="674"/>
        <v>43959USD/CHF</v>
      </c>
      <c r="B1551" s="6" t="s">
        <v>22</v>
      </c>
      <c r="C1551" s="6">
        <v>0.96</v>
      </c>
      <c r="D1551" s="6">
        <v>0.98</v>
      </c>
      <c r="E1551" s="6">
        <v>0.97</v>
      </c>
      <c r="F1551" t="str">
        <f t="shared" si="663"/>
        <v>FRI</v>
      </c>
      <c r="G1551" s="3">
        <f t="shared" si="664"/>
        <v>43959</v>
      </c>
      <c r="H1551" s="2">
        <f t="shared" ca="1" si="665"/>
        <v>294</v>
      </c>
      <c r="I1551" t="str">
        <f t="shared" si="666"/>
        <v>USD/CHF</v>
      </c>
      <c r="J1551">
        <f t="shared" si="667"/>
        <v>0.96</v>
      </c>
      <c r="K1551">
        <f t="shared" si="668"/>
        <v>0.98</v>
      </c>
      <c r="L1551">
        <f t="shared" si="669"/>
        <v>0.97</v>
      </c>
      <c r="M1551">
        <f t="shared" si="670"/>
        <v>1.0000000000000009E-2</v>
      </c>
      <c r="N1551">
        <f t="shared" si="675"/>
        <v>2.0000000000000018E-2</v>
      </c>
      <c r="O1551">
        <f t="shared" si="671"/>
        <v>0.97</v>
      </c>
      <c r="P1551">
        <f t="shared" si="672"/>
        <v>0</v>
      </c>
      <c r="Q1551" t="str">
        <f t="shared" si="676"/>
        <v>1.03% | 1.03%</v>
      </c>
      <c r="R1551" t="str">
        <f t="shared" si="673"/>
        <v>NEUTRAL</v>
      </c>
      <c r="S1551">
        <f t="shared" si="677"/>
        <v>0</v>
      </c>
    </row>
    <row r="1552" spans="1:19" hidden="1" x14ac:dyDescent="0.25">
      <c r="A1552" s="5" t="str">
        <f t="shared" si="674"/>
        <v>43959WTIC</v>
      </c>
      <c r="B1552" s="6" t="s">
        <v>23</v>
      </c>
      <c r="C1552" s="6">
        <v>9.4600000000000009</v>
      </c>
      <c r="D1552" s="6">
        <v>28.73</v>
      </c>
      <c r="E1552" s="6">
        <v>24.83</v>
      </c>
      <c r="F1552" t="str">
        <f t="shared" si="663"/>
        <v>FRI</v>
      </c>
      <c r="G1552" s="3">
        <f t="shared" si="664"/>
        <v>43959</v>
      </c>
      <c r="H1552" s="2">
        <f t="shared" ca="1" si="665"/>
        <v>294</v>
      </c>
      <c r="I1552" t="str">
        <f t="shared" si="666"/>
        <v>WTIC</v>
      </c>
      <c r="J1552">
        <f t="shared" si="667"/>
        <v>9.4600000000000009</v>
      </c>
      <c r="K1552">
        <f t="shared" si="668"/>
        <v>28.73</v>
      </c>
      <c r="L1552">
        <f t="shared" si="669"/>
        <v>19.094999999999999</v>
      </c>
      <c r="M1552">
        <f t="shared" si="670"/>
        <v>9.6350000000000051</v>
      </c>
      <c r="N1552">
        <f t="shared" si="675"/>
        <v>19.27</v>
      </c>
      <c r="O1552">
        <f t="shared" si="671"/>
        <v>24.83</v>
      </c>
      <c r="P1552">
        <f t="shared" si="672"/>
        <v>0.59522573949143709</v>
      </c>
      <c r="Q1552" t="str">
        <f t="shared" si="676"/>
        <v>61.9% | 15.71%</v>
      </c>
      <c r="R1552" t="str">
        <f t="shared" si="673"/>
        <v>BEARISH</v>
      </c>
      <c r="S1552">
        <f t="shared" si="677"/>
        <v>-1</v>
      </c>
    </row>
    <row r="1553" spans="1:19" hidden="1" x14ac:dyDescent="0.25">
      <c r="A1553" s="5" t="str">
        <f t="shared" si="674"/>
        <v>43959NATGAS</v>
      </c>
      <c r="B1553" s="6" t="s">
        <v>24</v>
      </c>
      <c r="C1553" s="6">
        <v>1.76</v>
      </c>
      <c r="D1553" s="6">
        <v>2.08</v>
      </c>
      <c r="E1553" s="6">
        <v>1.89</v>
      </c>
      <c r="F1553" t="str">
        <f t="shared" si="663"/>
        <v>FRI</v>
      </c>
      <c r="G1553" s="3">
        <f t="shared" si="664"/>
        <v>43959</v>
      </c>
      <c r="H1553" s="2">
        <f t="shared" ca="1" si="665"/>
        <v>294</v>
      </c>
      <c r="I1553" t="str">
        <f t="shared" si="666"/>
        <v>NATGAS</v>
      </c>
      <c r="J1553">
        <f t="shared" si="667"/>
        <v>1.76</v>
      </c>
      <c r="K1553">
        <f t="shared" si="668"/>
        <v>2.08</v>
      </c>
      <c r="L1553">
        <f t="shared" si="669"/>
        <v>1.92</v>
      </c>
      <c r="M1553">
        <f t="shared" si="670"/>
        <v>0.16000000000000003</v>
      </c>
      <c r="N1553">
        <f t="shared" si="675"/>
        <v>0.32000000000000006</v>
      </c>
      <c r="O1553">
        <f t="shared" si="671"/>
        <v>1.89</v>
      </c>
      <c r="P1553">
        <f t="shared" si="672"/>
        <v>-0.18750000000000014</v>
      </c>
      <c r="Q1553" t="str">
        <f t="shared" si="676"/>
        <v>6.88% | 10.05%</v>
      </c>
      <c r="R1553" t="str">
        <f t="shared" si="673"/>
        <v>BEARISH</v>
      </c>
      <c r="S1553">
        <f t="shared" si="677"/>
        <v>-1</v>
      </c>
    </row>
    <row r="1554" spans="1:19" hidden="1" x14ac:dyDescent="0.25">
      <c r="A1554" s="5" t="str">
        <f t="shared" si="674"/>
        <v>43959GOLD</v>
      </c>
      <c r="B1554" s="6" t="s">
        <v>25</v>
      </c>
      <c r="C1554" s="6">
        <v>1684</v>
      </c>
      <c r="D1554" s="6">
        <v>1745</v>
      </c>
      <c r="E1554" s="6">
        <v>1725</v>
      </c>
      <c r="F1554" t="str">
        <f t="shared" si="663"/>
        <v>FRI</v>
      </c>
      <c r="G1554" s="3">
        <f t="shared" si="664"/>
        <v>43959</v>
      </c>
      <c r="H1554" s="2">
        <f t="shared" ca="1" si="665"/>
        <v>294</v>
      </c>
      <c r="I1554" t="str">
        <f t="shared" si="666"/>
        <v>GOLD</v>
      </c>
      <c r="J1554">
        <f t="shared" si="667"/>
        <v>1684</v>
      </c>
      <c r="K1554">
        <f t="shared" si="668"/>
        <v>1745</v>
      </c>
      <c r="L1554">
        <f t="shared" si="669"/>
        <v>1714.5</v>
      </c>
      <c r="M1554">
        <f t="shared" si="670"/>
        <v>30.5</v>
      </c>
      <c r="N1554">
        <f t="shared" si="675"/>
        <v>61</v>
      </c>
      <c r="O1554">
        <f t="shared" si="671"/>
        <v>1725</v>
      </c>
      <c r="P1554">
        <f t="shared" si="672"/>
        <v>0.34426229508196721</v>
      </c>
      <c r="Q1554" t="str">
        <f t="shared" si="676"/>
        <v>2.38% | 1.16%</v>
      </c>
      <c r="R1554" t="str">
        <f t="shared" si="673"/>
        <v>BULLISH</v>
      </c>
      <c r="S1554">
        <f t="shared" si="677"/>
        <v>1</v>
      </c>
    </row>
    <row r="1555" spans="1:19" hidden="1" x14ac:dyDescent="0.25">
      <c r="A1555" s="5" t="str">
        <f t="shared" si="674"/>
        <v>43959COPPER</v>
      </c>
      <c r="B1555" s="6" t="s">
        <v>26</v>
      </c>
      <c r="C1555" s="6">
        <v>2.2999999999999998</v>
      </c>
      <c r="D1555" s="6">
        <v>2.42</v>
      </c>
      <c r="E1555" s="6">
        <v>2.38</v>
      </c>
      <c r="F1555" t="str">
        <f t="shared" si="663"/>
        <v>FRI</v>
      </c>
      <c r="G1555" s="3">
        <f t="shared" si="664"/>
        <v>43959</v>
      </c>
      <c r="H1555" s="2">
        <f t="shared" ca="1" si="665"/>
        <v>294</v>
      </c>
      <c r="I1555" t="str">
        <f t="shared" si="666"/>
        <v>COPPER</v>
      </c>
      <c r="J1555">
        <f t="shared" si="667"/>
        <v>2.2999999999999998</v>
      </c>
      <c r="K1555">
        <f t="shared" si="668"/>
        <v>2.42</v>
      </c>
      <c r="L1555">
        <f t="shared" si="669"/>
        <v>2.36</v>
      </c>
      <c r="M1555">
        <f t="shared" si="670"/>
        <v>6.0000000000000053E-2</v>
      </c>
      <c r="N1555">
        <f t="shared" si="675"/>
        <v>0.12000000000000011</v>
      </c>
      <c r="O1555">
        <f t="shared" si="671"/>
        <v>2.38</v>
      </c>
      <c r="P1555">
        <f t="shared" si="672"/>
        <v>0.33333333333333331</v>
      </c>
      <c r="Q1555" t="str">
        <f t="shared" si="676"/>
        <v>3.36% | 1.68%</v>
      </c>
      <c r="R1555" t="str">
        <f t="shared" si="673"/>
        <v>BEARISH</v>
      </c>
      <c r="S1555">
        <f t="shared" si="677"/>
        <v>-1</v>
      </c>
    </row>
    <row r="1556" spans="1:19" hidden="1" x14ac:dyDescent="0.25">
      <c r="A1556" s="5" t="str">
        <f t="shared" si="674"/>
        <v>43959MSFT</v>
      </c>
      <c r="B1556" s="6" t="s">
        <v>27</v>
      </c>
      <c r="C1556" s="6">
        <v>172</v>
      </c>
      <c r="D1556" s="6">
        <v>187</v>
      </c>
      <c r="E1556" s="6">
        <v>183</v>
      </c>
      <c r="F1556" t="str">
        <f t="shared" si="663"/>
        <v>FRI</v>
      </c>
      <c r="G1556" s="3">
        <f t="shared" si="664"/>
        <v>43959</v>
      </c>
      <c r="H1556" s="2">
        <f t="shared" ca="1" si="665"/>
        <v>294</v>
      </c>
      <c r="I1556" t="str">
        <f t="shared" si="666"/>
        <v>MSFT</v>
      </c>
      <c r="J1556">
        <f t="shared" si="667"/>
        <v>172</v>
      </c>
      <c r="K1556">
        <f t="shared" si="668"/>
        <v>187</v>
      </c>
      <c r="L1556">
        <f t="shared" si="669"/>
        <v>179.5</v>
      </c>
      <c r="M1556">
        <f t="shared" si="670"/>
        <v>7.5</v>
      </c>
      <c r="N1556">
        <f t="shared" si="675"/>
        <v>15</v>
      </c>
      <c r="O1556">
        <f t="shared" si="671"/>
        <v>183</v>
      </c>
      <c r="P1556">
        <f t="shared" si="672"/>
        <v>0.46666666666666667</v>
      </c>
      <c r="Q1556" t="str">
        <f t="shared" si="676"/>
        <v>6.01% | 2.19%</v>
      </c>
      <c r="R1556" t="str">
        <f t="shared" si="673"/>
        <v>BULLISH</v>
      </c>
      <c r="S1556">
        <f t="shared" si="677"/>
        <v>1</v>
      </c>
    </row>
    <row r="1557" spans="1:19" hidden="1" x14ac:dyDescent="0.25">
      <c r="A1557" s="5" t="str">
        <f t="shared" si="674"/>
        <v>43959AAPL</v>
      </c>
      <c r="B1557" s="6" t="s">
        <v>28</v>
      </c>
      <c r="C1557" s="6">
        <v>281</v>
      </c>
      <c r="D1557" s="6">
        <v>308</v>
      </c>
      <c r="E1557" s="6">
        <v>303</v>
      </c>
      <c r="F1557" t="str">
        <f t="shared" si="663"/>
        <v>FRI</v>
      </c>
      <c r="G1557" s="3">
        <f t="shared" si="664"/>
        <v>43959</v>
      </c>
      <c r="H1557" s="2">
        <f t="shared" ca="1" si="665"/>
        <v>294</v>
      </c>
      <c r="I1557" t="str">
        <f t="shared" si="666"/>
        <v>AAPL</v>
      </c>
      <c r="J1557">
        <f t="shared" si="667"/>
        <v>281</v>
      </c>
      <c r="K1557">
        <f t="shared" si="668"/>
        <v>308</v>
      </c>
      <c r="L1557">
        <f t="shared" si="669"/>
        <v>294.5</v>
      </c>
      <c r="M1557">
        <f t="shared" si="670"/>
        <v>13.5</v>
      </c>
      <c r="N1557">
        <f t="shared" si="675"/>
        <v>27</v>
      </c>
      <c r="O1557">
        <f t="shared" si="671"/>
        <v>303</v>
      </c>
      <c r="P1557">
        <f t="shared" si="672"/>
        <v>0.62962962962962965</v>
      </c>
      <c r="Q1557" t="str">
        <f t="shared" si="676"/>
        <v>7.26% | 1.65%</v>
      </c>
      <c r="R1557" t="str">
        <f t="shared" si="673"/>
        <v>BULLISH</v>
      </c>
      <c r="S1557">
        <f t="shared" si="677"/>
        <v>1</v>
      </c>
    </row>
    <row r="1558" spans="1:19" hidden="1" x14ac:dyDescent="0.25">
      <c r="A1558" s="5" t="str">
        <f t="shared" si="674"/>
        <v>43959AMZN</v>
      </c>
      <c r="B1558" s="6" t="s">
        <v>29</v>
      </c>
      <c r="C1558" s="6">
        <v>2249</v>
      </c>
      <c r="D1558" s="6">
        <v>2460</v>
      </c>
      <c r="E1558" s="6">
        <v>2367</v>
      </c>
      <c r="F1558" t="str">
        <f t="shared" si="663"/>
        <v>FRI</v>
      </c>
      <c r="G1558" s="3">
        <f t="shared" si="664"/>
        <v>43959</v>
      </c>
      <c r="H1558" s="2">
        <f t="shared" ca="1" si="665"/>
        <v>294</v>
      </c>
      <c r="I1558" t="str">
        <f t="shared" si="666"/>
        <v>AMZN</v>
      </c>
      <c r="J1558">
        <f t="shared" si="667"/>
        <v>2249</v>
      </c>
      <c r="K1558">
        <f t="shared" si="668"/>
        <v>2460</v>
      </c>
      <c r="L1558">
        <f t="shared" si="669"/>
        <v>2354.5</v>
      </c>
      <c r="M1558">
        <f t="shared" si="670"/>
        <v>105.5</v>
      </c>
      <c r="N1558">
        <f t="shared" si="675"/>
        <v>211</v>
      </c>
      <c r="O1558">
        <f t="shared" si="671"/>
        <v>2367</v>
      </c>
      <c r="P1558">
        <f t="shared" si="672"/>
        <v>0.11848341232227488</v>
      </c>
      <c r="Q1558" t="str">
        <f t="shared" si="676"/>
        <v>4.99% | 3.93%</v>
      </c>
      <c r="R1558" t="str">
        <f t="shared" si="673"/>
        <v>BULLISH</v>
      </c>
      <c r="S1558">
        <f t="shared" si="677"/>
        <v>1</v>
      </c>
    </row>
    <row r="1559" spans="1:19" hidden="1" x14ac:dyDescent="0.25">
      <c r="A1559" s="5" t="str">
        <f t="shared" si="674"/>
        <v>43959FB</v>
      </c>
      <c r="B1559" s="6" t="s">
        <v>30</v>
      </c>
      <c r="C1559" s="6">
        <v>186</v>
      </c>
      <c r="D1559" s="6">
        <v>220</v>
      </c>
      <c r="E1559" s="6">
        <v>211</v>
      </c>
      <c r="F1559" t="str">
        <f t="shared" si="663"/>
        <v>FRI</v>
      </c>
      <c r="G1559" s="3">
        <f t="shared" si="664"/>
        <v>43959</v>
      </c>
      <c r="H1559" s="2">
        <f t="shared" ca="1" si="665"/>
        <v>294</v>
      </c>
      <c r="I1559" t="str">
        <f t="shared" si="666"/>
        <v>FB</v>
      </c>
      <c r="J1559">
        <f t="shared" si="667"/>
        <v>186</v>
      </c>
      <c r="K1559">
        <f t="shared" si="668"/>
        <v>220</v>
      </c>
      <c r="L1559">
        <f t="shared" si="669"/>
        <v>203</v>
      </c>
      <c r="M1559">
        <f t="shared" si="670"/>
        <v>17</v>
      </c>
      <c r="N1559">
        <f t="shared" si="675"/>
        <v>34</v>
      </c>
      <c r="O1559">
        <f t="shared" si="671"/>
        <v>211</v>
      </c>
      <c r="P1559">
        <f t="shared" si="672"/>
        <v>0.47058823529411764</v>
      </c>
      <c r="Q1559" t="str">
        <f t="shared" si="676"/>
        <v>11.85% | 4.27%</v>
      </c>
      <c r="R1559" t="str">
        <f t="shared" si="673"/>
        <v>BULLISH</v>
      </c>
      <c r="S1559">
        <f t="shared" si="677"/>
        <v>1</v>
      </c>
    </row>
    <row r="1560" spans="1:19" hidden="1" x14ac:dyDescent="0.25">
      <c r="A1560" s="5" t="str">
        <f t="shared" si="674"/>
        <v>43959GOOGL</v>
      </c>
      <c r="B1560" s="6" t="s">
        <v>31</v>
      </c>
      <c r="C1560" s="6">
        <v>1275</v>
      </c>
      <c r="D1560" s="6">
        <v>1406</v>
      </c>
      <c r="E1560" s="6">
        <v>1369</v>
      </c>
      <c r="F1560" t="str">
        <f t="shared" si="663"/>
        <v>FRI</v>
      </c>
      <c r="G1560" s="3">
        <f t="shared" si="664"/>
        <v>43959</v>
      </c>
      <c r="H1560" s="2">
        <f t="shared" ca="1" si="665"/>
        <v>294</v>
      </c>
      <c r="I1560" t="str">
        <f t="shared" si="666"/>
        <v>GOOGL</v>
      </c>
      <c r="J1560">
        <f t="shared" si="667"/>
        <v>1275</v>
      </c>
      <c r="K1560">
        <f t="shared" si="668"/>
        <v>1406</v>
      </c>
      <c r="L1560">
        <f t="shared" si="669"/>
        <v>1340.5</v>
      </c>
      <c r="M1560">
        <f t="shared" si="670"/>
        <v>65.5</v>
      </c>
      <c r="N1560">
        <f t="shared" si="675"/>
        <v>131</v>
      </c>
      <c r="O1560">
        <f t="shared" si="671"/>
        <v>1369</v>
      </c>
      <c r="P1560">
        <f t="shared" si="672"/>
        <v>0.4351145038167939</v>
      </c>
      <c r="Q1560" t="str">
        <f t="shared" si="676"/>
        <v>6.87% | 2.7%</v>
      </c>
      <c r="R1560" t="str">
        <f t="shared" si="673"/>
        <v>BULLISH</v>
      </c>
      <c r="S1560">
        <f t="shared" si="677"/>
        <v>1</v>
      </c>
    </row>
    <row r="1561" spans="1:19" hidden="1" x14ac:dyDescent="0.25">
      <c r="A1561" s="5" t="str">
        <f t="shared" si="674"/>
        <v>43959NFLX</v>
      </c>
      <c r="B1561" s="6" t="s">
        <v>32</v>
      </c>
      <c r="C1561" s="6">
        <v>401</v>
      </c>
      <c r="D1561" s="6">
        <v>443</v>
      </c>
      <c r="E1561" s="6">
        <v>436</v>
      </c>
      <c r="F1561" t="str">
        <f t="shared" si="663"/>
        <v>FRI</v>
      </c>
      <c r="G1561" s="3">
        <f t="shared" si="664"/>
        <v>43959</v>
      </c>
      <c r="H1561" s="2">
        <f t="shared" ca="1" si="665"/>
        <v>294</v>
      </c>
      <c r="I1561" t="str">
        <f t="shared" si="666"/>
        <v>NFLX</v>
      </c>
      <c r="J1561">
        <f t="shared" si="667"/>
        <v>401</v>
      </c>
      <c r="K1561">
        <f t="shared" si="668"/>
        <v>443</v>
      </c>
      <c r="L1561">
        <f t="shared" si="669"/>
        <v>422</v>
      </c>
      <c r="M1561">
        <f t="shared" si="670"/>
        <v>21</v>
      </c>
      <c r="N1561">
        <f t="shared" si="675"/>
        <v>42</v>
      </c>
      <c r="O1561">
        <f t="shared" si="671"/>
        <v>436</v>
      </c>
      <c r="P1561">
        <f t="shared" si="672"/>
        <v>0.66666666666666663</v>
      </c>
      <c r="Q1561" t="str">
        <f t="shared" si="676"/>
        <v>8.03% | 1.61%</v>
      </c>
      <c r="R1561" t="str">
        <f t="shared" si="673"/>
        <v>BULLISH</v>
      </c>
      <c r="S1561">
        <f t="shared" si="677"/>
        <v>1</v>
      </c>
    </row>
    <row r="1562" spans="1:19" x14ac:dyDescent="0.25">
      <c r="A1562" s="5" t="str">
        <f t="shared" si="674"/>
        <v>43959TSLA</v>
      </c>
      <c r="B1562" s="6" t="s">
        <v>33</v>
      </c>
      <c r="C1562" s="6">
        <v>703</v>
      </c>
      <c r="D1562" s="6">
        <v>829</v>
      </c>
      <c r="E1562" s="6">
        <v>780</v>
      </c>
      <c r="F1562" t="str">
        <f t="shared" si="663"/>
        <v>FRI</v>
      </c>
      <c r="G1562" s="3">
        <f t="shared" si="664"/>
        <v>43959</v>
      </c>
      <c r="H1562" s="2">
        <f t="shared" ca="1" si="665"/>
        <v>294</v>
      </c>
      <c r="I1562" t="str">
        <f t="shared" si="666"/>
        <v>TSLA</v>
      </c>
      <c r="J1562">
        <f t="shared" si="667"/>
        <v>703</v>
      </c>
      <c r="K1562">
        <f t="shared" si="668"/>
        <v>829</v>
      </c>
      <c r="L1562">
        <f t="shared" si="669"/>
        <v>766</v>
      </c>
      <c r="M1562">
        <f t="shared" si="670"/>
        <v>63</v>
      </c>
      <c r="N1562">
        <f t="shared" si="675"/>
        <v>126</v>
      </c>
      <c r="O1562">
        <f t="shared" si="671"/>
        <v>780</v>
      </c>
      <c r="P1562">
        <f t="shared" si="672"/>
        <v>0.22222222222222221</v>
      </c>
      <c r="Q1562" t="str">
        <f t="shared" si="676"/>
        <v>9.87% | 6.28%</v>
      </c>
      <c r="R1562" t="str">
        <f t="shared" si="673"/>
        <v>BULLISH</v>
      </c>
      <c r="S1562">
        <f t="shared" si="677"/>
        <v>1</v>
      </c>
    </row>
    <row r="1563" spans="1:19" hidden="1" x14ac:dyDescent="0.25">
      <c r="A1563" s="5" t="str">
        <f t="shared" si="674"/>
        <v>43959NYXBT</v>
      </c>
      <c r="B1563" s="6" t="s">
        <v>34</v>
      </c>
      <c r="C1563" s="6">
        <v>7933</v>
      </c>
      <c r="D1563" s="6">
        <v>9913</v>
      </c>
      <c r="E1563" s="6">
        <v>9512</v>
      </c>
      <c r="F1563" t="str">
        <f t="shared" si="663"/>
        <v>FRI</v>
      </c>
      <c r="G1563" s="3">
        <f t="shared" si="664"/>
        <v>43959</v>
      </c>
      <c r="H1563" s="2">
        <f t="shared" ca="1" si="665"/>
        <v>294</v>
      </c>
      <c r="I1563" t="str">
        <f t="shared" si="666"/>
        <v>NYXBT</v>
      </c>
      <c r="J1563">
        <f t="shared" si="667"/>
        <v>7933</v>
      </c>
      <c r="K1563">
        <f t="shared" si="668"/>
        <v>9913</v>
      </c>
      <c r="L1563">
        <f t="shared" si="669"/>
        <v>8923</v>
      </c>
      <c r="M1563">
        <f t="shared" si="670"/>
        <v>990</v>
      </c>
      <c r="N1563">
        <f t="shared" si="675"/>
        <v>1980</v>
      </c>
      <c r="O1563">
        <f t="shared" si="671"/>
        <v>9512</v>
      </c>
      <c r="P1563">
        <f t="shared" si="672"/>
        <v>0.59494949494949489</v>
      </c>
      <c r="Q1563" t="str">
        <f t="shared" si="676"/>
        <v>16.6% | 4.22%</v>
      </c>
      <c r="R1563" t="str">
        <f t="shared" si="673"/>
        <v>BULLISH</v>
      </c>
      <c r="S1563">
        <f t="shared" si="677"/>
        <v>1</v>
      </c>
    </row>
    <row r="1564" spans="1:19" hidden="1" x14ac:dyDescent="0.25">
      <c r="A1564" s="5" t="str">
        <f t="shared" si="674"/>
        <v>43962UST10Y</v>
      </c>
      <c r="B1564" s="6" t="s">
        <v>4</v>
      </c>
      <c r="C1564" s="6">
        <v>0.72</v>
      </c>
      <c r="D1564" s="6">
        <v>0.57999999999999996</v>
      </c>
      <c r="E1564" s="6">
        <v>0.69</v>
      </c>
      <c r="F1564" t="str">
        <f t="shared" si="663"/>
        <v>MON</v>
      </c>
      <c r="G1564" s="1">
        <f>DATE(2020,5,11)</f>
        <v>43962</v>
      </c>
      <c r="H1564" s="2">
        <f t="shared" ca="1" si="665"/>
        <v>291</v>
      </c>
      <c r="I1564" t="str">
        <f t="shared" si="666"/>
        <v>UST10Y</v>
      </c>
      <c r="J1564">
        <f t="shared" si="667"/>
        <v>0.72</v>
      </c>
      <c r="K1564">
        <f t="shared" si="668"/>
        <v>0.57999999999999996</v>
      </c>
      <c r="L1564">
        <f t="shared" si="669"/>
        <v>0.64999999999999991</v>
      </c>
      <c r="M1564">
        <f t="shared" si="670"/>
        <v>7.0000000000000909E-2</v>
      </c>
      <c r="N1564">
        <f t="shared" si="675"/>
        <v>0.14000000000000001</v>
      </c>
      <c r="O1564">
        <f t="shared" si="671"/>
        <v>0.69</v>
      </c>
      <c r="P1564">
        <f t="shared" si="672"/>
        <v>0.57142857142856451</v>
      </c>
      <c r="Q1564" t="str">
        <f t="shared" si="676"/>
        <v>4.35% | 15.94%</v>
      </c>
      <c r="R1564" t="str">
        <f t="shared" si="673"/>
        <v>BEARISH</v>
      </c>
      <c r="S1564">
        <f t="shared" si="677"/>
        <v>-1</v>
      </c>
    </row>
    <row r="1565" spans="1:19" hidden="1" x14ac:dyDescent="0.25">
      <c r="A1565" s="5" t="str">
        <f t="shared" si="674"/>
        <v>43962UST2Y</v>
      </c>
      <c r="B1565" s="6" t="s">
        <v>5</v>
      </c>
      <c r="C1565" s="6">
        <v>0.19</v>
      </c>
      <c r="D1565" s="6">
        <v>0.1</v>
      </c>
      <c r="E1565" s="6">
        <v>0.16</v>
      </c>
      <c r="F1565" t="str">
        <f t="shared" ref="F1565:F1595" si="678">UPPER(TEXT(G1565,"ddd"))</f>
        <v>MON</v>
      </c>
      <c r="G1565" s="1">
        <f t="shared" ref="G1565:G1594" si="679">DATE(2020,5,11)</f>
        <v>43962</v>
      </c>
      <c r="H1565" s="2">
        <f t="shared" ref="H1565:H1595" ca="1" si="680">TODAY()-G1565</f>
        <v>291</v>
      </c>
      <c r="I1565" t="str">
        <f t="shared" ref="I1565:I1595" si="681">TRIM(LEFT(B1565,FIND(" ",B1565,1)))</f>
        <v>UST2Y</v>
      </c>
      <c r="J1565">
        <f t="shared" ref="J1565:J1595" si="682">C1565</f>
        <v>0.19</v>
      </c>
      <c r="K1565">
        <f t="shared" ref="K1565:K1595" si="683">D1565</f>
        <v>0.1</v>
      </c>
      <c r="L1565">
        <f t="shared" ref="L1565:L1595" si="684">AVERAGE(J1565:K1565)</f>
        <v>0.14500000000000002</v>
      </c>
      <c r="M1565">
        <f t="shared" ref="M1565:M1595" si="685">_xlfn.STDEV.P(J1565:K1565)</f>
        <v>4.499999999999995E-2</v>
      </c>
      <c r="N1565">
        <f t="shared" si="675"/>
        <v>0.09</v>
      </c>
      <c r="O1565">
        <f t="shared" ref="O1565:O1595" si="686">E1565</f>
        <v>0.16</v>
      </c>
      <c r="P1565">
        <f t="shared" ref="P1565:P1595" si="687">(O1565-L1565)/M1565</f>
        <v>0.33333333333333337</v>
      </c>
      <c r="Q1565" t="str">
        <f t="shared" si="676"/>
        <v>18.75% | 37.5%</v>
      </c>
      <c r="R1565" t="str">
        <f t="shared" ref="R1565:R1595" si="688">MID(B1565,FIND("(",B1565,1)+1,FIND(")",B1565,1)-FIND("(",B1565,1)-1)</f>
        <v>BEARISH</v>
      </c>
      <c r="S1565">
        <f t="shared" si="677"/>
        <v>-1</v>
      </c>
    </row>
    <row r="1566" spans="1:19" hidden="1" x14ac:dyDescent="0.25">
      <c r="A1566" s="5" t="str">
        <f t="shared" si="674"/>
        <v>43962SPX</v>
      </c>
      <c r="B1566" s="6" t="s">
        <v>6</v>
      </c>
      <c r="C1566" s="6">
        <v>2806</v>
      </c>
      <c r="D1566" s="6">
        <v>2955</v>
      </c>
      <c r="E1566" s="6">
        <v>2929</v>
      </c>
      <c r="F1566" t="str">
        <f t="shared" si="678"/>
        <v>MON</v>
      </c>
      <c r="G1566" s="1">
        <f t="shared" si="679"/>
        <v>43962</v>
      </c>
      <c r="H1566" s="2">
        <f t="shared" ca="1" si="680"/>
        <v>291</v>
      </c>
      <c r="I1566" t="str">
        <f t="shared" si="681"/>
        <v>SPX</v>
      </c>
      <c r="J1566">
        <f t="shared" si="682"/>
        <v>2806</v>
      </c>
      <c r="K1566">
        <f t="shared" si="683"/>
        <v>2955</v>
      </c>
      <c r="L1566">
        <f t="shared" si="684"/>
        <v>2880.5</v>
      </c>
      <c r="M1566">
        <f t="shared" si="685"/>
        <v>74.5</v>
      </c>
      <c r="N1566">
        <f t="shared" si="675"/>
        <v>149</v>
      </c>
      <c r="O1566">
        <f t="shared" si="686"/>
        <v>2929</v>
      </c>
      <c r="P1566">
        <f t="shared" si="687"/>
        <v>0.65100671140939592</v>
      </c>
      <c r="Q1566" t="str">
        <f t="shared" si="676"/>
        <v>4.2% | 0.89%</v>
      </c>
      <c r="R1566" t="str">
        <f t="shared" si="688"/>
        <v>BEARISH</v>
      </c>
      <c r="S1566">
        <f t="shared" si="677"/>
        <v>-1</v>
      </c>
    </row>
    <row r="1567" spans="1:19" hidden="1" x14ac:dyDescent="0.25">
      <c r="A1567" s="5" t="str">
        <f t="shared" si="674"/>
        <v>43962RUT</v>
      </c>
      <c r="B1567" s="6" t="s">
        <v>7</v>
      </c>
      <c r="C1567" s="6">
        <v>1228</v>
      </c>
      <c r="D1567" s="6">
        <v>1360</v>
      </c>
      <c r="E1567" s="6">
        <v>1329</v>
      </c>
      <c r="F1567" t="str">
        <f t="shared" si="678"/>
        <v>MON</v>
      </c>
      <c r="G1567" s="1">
        <f t="shared" si="679"/>
        <v>43962</v>
      </c>
      <c r="H1567" s="2">
        <f t="shared" ca="1" si="680"/>
        <v>291</v>
      </c>
      <c r="I1567" t="str">
        <f t="shared" si="681"/>
        <v>RUT</v>
      </c>
      <c r="J1567">
        <f t="shared" si="682"/>
        <v>1228</v>
      </c>
      <c r="K1567">
        <f t="shared" si="683"/>
        <v>1360</v>
      </c>
      <c r="L1567">
        <f t="shared" si="684"/>
        <v>1294</v>
      </c>
      <c r="M1567">
        <f t="shared" si="685"/>
        <v>66</v>
      </c>
      <c r="N1567">
        <f t="shared" si="675"/>
        <v>132</v>
      </c>
      <c r="O1567">
        <f t="shared" si="686"/>
        <v>1329</v>
      </c>
      <c r="P1567">
        <f t="shared" si="687"/>
        <v>0.53030303030303028</v>
      </c>
      <c r="Q1567" t="str">
        <f t="shared" si="676"/>
        <v>7.6% | 2.33%</v>
      </c>
      <c r="R1567" t="str">
        <f t="shared" si="688"/>
        <v>BEARISH</v>
      </c>
      <c r="S1567">
        <f t="shared" si="677"/>
        <v>-1</v>
      </c>
    </row>
    <row r="1568" spans="1:19" hidden="1" x14ac:dyDescent="0.25">
      <c r="A1568" s="5" t="str">
        <f t="shared" si="674"/>
        <v>43962COMPQ</v>
      </c>
      <c r="B1568" s="6" t="s">
        <v>8</v>
      </c>
      <c r="C1568" s="6">
        <v>8534</v>
      </c>
      <c r="D1568" s="6">
        <v>9164</v>
      </c>
      <c r="E1568" s="6">
        <v>9121</v>
      </c>
      <c r="F1568" t="str">
        <f t="shared" si="678"/>
        <v>MON</v>
      </c>
      <c r="G1568" s="1">
        <f t="shared" si="679"/>
        <v>43962</v>
      </c>
      <c r="H1568" s="2">
        <f t="shared" ca="1" si="680"/>
        <v>291</v>
      </c>
      <c r="I1568" t="str">
        <f t="shared" si="681"/>
        <v>COMPQ</v>
      </c>
      <c r="J1568">
        <f t="shared" si="682"/>
        <v>8534</v>
      </c>
      <c r="K1568">
        <f t="shared" si="683"/>
        <v>9164</v>
      </c>
      <c r="L1568">
        <f t="shared" si="684"/>
        <v>8849</v>
      </c>
      <c r="M1568">
        <f t="shared" si="685"/>
        <v>315</v>
      </c>
      <c r="N1568">
        <f t="shared" si="675"/>
        <v>630</v>
      </c>
      <c r="O1568">
        <f t="shared" si="686"/>
        <v>9121</v>
      </c>
      <c r="P1568">
        <f t="shared" si="687"/>
        <v>0.86349206349206353</v>
      </c>
      <c r="Q1568" t="str">
        <f t="shared" si="676"/>
        <v>6.44% | 0.47%</v>
      </c>
      <c r="R1568" t="str">
        <f t="shared" si="688"/>
        <v>BULLISH</v>
      </c>
      <c r="S1568">
        <f t="shared" si="677"/>
        <v>1</v>
      </c>
    </row>
    <row r="1569" spans="1:19" hidden="1" x14ac:dyDescent="0.25">
      <c r="A1569" s="5" t="str">
        <f t="shared" si="674"/>
        <v>43962XLV</v>
      </c>
      <c r="B1569" s="6" t="s">
        <v>9</v>
      </c>
      <c r="C1569" s="6">
        <v>96.77</v>
      </c>
      <c r="D1569" s="6">
        <v>100.95</v>
      </c>
      <c r="E1569" s="6">
        <v>99.41</v>
      </c>
      <c r="F1569" t="str">
        <f t="shared" si="678"/>
        <v>MON</v>
      </c>
      <c r="G1569" s="1">
        <f t="shared" si="679"/>
        <v>43962</v>
      </c>
      <c r="H1569" s="2">
        <f t="shared" ca="1" si="680"/>
        <v>291</v>
      </c>
      <c r="I1569" t="str">
        <f t="shared" si="681"/>
        <v>XLV</v>
      </c>
      <c r="J1569">
        <f t="shared" si="682"/>
        <v>96.77</v>
      </c>
      <c r="K1569">
        <f t="shared" si="683"/>
        <v>100.95</v>
      </c>
      <c r="L1569">
        <f t="shared" si="684"/>
        <v>98.86</v>
      </c>
      <c r="M1569">
        <f t="shared" si="685"/>
        <v>2.0900000000000034</v>
      </c>
      <c r="N1569">
        <f t="shared" si="675"/>
        <v>4.1800000000000068</v>
      </c>
      <c r="O1569">
        <f t="shared" si="686"/>
        <v>99.41</v>
      </c>
      <c r="P1569">
        <f t="shared" si="687"/>
        <v>0.26315789473684031</v>
      </c>
      <c r="Q1569" t="str">
        <f t="shared" si="676"/>
        <v>2.66% | 1.55%</v>
      </c>
      <c r="R1569" t="str">
        <f t="shared" si="688"/>
        <v>BULLISH</v>
      </c>
      <c r="S1569">
        <f t="shared" si="677"/>
        <v>1</v>
      </c>
    </row>
    <row r="1570" spans="1:19" hidden="1" x14ac:dyDescent="0.25">
      <c r="A1570" s="5" t="str">
        <f t="shared" si="674"/>
        <v>43962XLP</v>
      </c>
      <c r="B1570" s="6" t="s">
        <v>11</v>
      </c>
      <c r="C1570" s="6">
        <v>56.14</v>
      </c>
      <c r="D1570" s="6">
        <v>59.44</v>
      </c>
      <c r="E1570" s="6">
        <v>58.12</v>
      </c>
      <c r="F1570" t="str">
        <f t="shared" si="678"/>
        <v>MON</v>
      </c>
      <c r="G1570" s="1">
        <f t="shared" si="679"/>
        <v>43962</v>
      </c>
      <c r="H1570" s="2">
        <f t="shared" ca="1" si="680"/>
        <v>291</v>
      </c>
      <c r="I1570" t="str">
        <f t="shared" si="681"/>
        <v>XLP</v>
      </c>
      <c r="J1570">
        <f t="shared" si="682"/>
        <v>56.14</v>
      </c>
      <c r="K1570">
        <f t="shared" si="683"/>
        <v>59.44</v>
      </c>
      <c r="L1570">
        <f t="shared" si="684"/>
        <v>57.79</v>
      </c>
      <c r="M1570">
        <f t="shared" si="685"/>
        <v>1.6499999999999986</v>
      </c>
      <c r="N1570">
        <f t="shared" si="675"/>
        <v>3.2999999999999972</v>
      </c>
      <c r="O1570">
        <f t="shared" si="686"/>
        <v>58.12</v>
      </c>
      <c r="P1570">
        <f t="shared" si="687"/>
        <v>0.19999999999999915</v>
      </c>
      <c r="Q1570" t="str">
        <f t="shared" si="676"/>
        <v>3.41% | 2.27%</v>
      </c>
      <c r="R1570" t="str">
        <f t="shared" si="688"/>
        <v>BEARISH</v>
      </c>
      <c r="S1570">
        <f t="shared" si="677"/>
        <v>-1</v>
      </c>
    </row>
    <row r="1571" spans="1:19" hidden="1" x14ac:dyDescent="0.25">
      <c r="A1571" s="5" t="str">
        <f t="shared" si="674"/>
        <v>43962XLU</v>
      </c>
      <c r="B1571" s="6" t="s">
        <v>82</v>
      </c>
      <c r="C1571" s="6">
        <v>53.09</v>
      </c>
      <c r="D1571" s="6">
        <v>59.49</v>
      </c>
      <c r="E1571" s="6">
        <v>56.16</v>
      </c>
      <c r="F1571" t="str">
        <f t="shared" si="678"/>
        <v>MON</v>
      </c>
      <c r="G1571" s="1">
        <f t="shared" si="679"/>
        <v>43962</v>
      </c>
      <c r="H1571" s="2">
        <f t="shared" ca="1" si="680"/>
        <v>291</v>
      </c>
      <c r="I1571" t="str">
        <f t="shared" si="681"/>
        <v>XLU</v>
      </c>
      <c r="J1571">
        <f t="shared" si="682"/>
        <v>53.09</v>
      </c>
      <c r="K1571">
        <f t="shared" si="683"/>
        <v>59.49</v>
      </c>
      <c r="L1571">
        <f t="shared" si="684"/>
        <v>56.290000000000006</v>
      </c>
      <c r="M1571">
        <f t="shared" si="685"/>
        <v>3.1999999999999993</v>
      </c>
      <c r="N1571">
        <f t="shared" si="675"/>
        <v>6.3999999999999986</v>
      </c>
      <c r="O1571">
        <f t="shared" si="686"/>
        <v>56.16</v>
      </c>
      <c r="P1571">
        <f t="shared" si="687"/>
        <v>-4.0625000000003027E-2</v>
      </c>
      <c r="Q1571" t="str">
        <f t="shared" si="676"/>
        <v>5.47% | 5.93%</v>
      </c>
      <c r="R1571" t="str">
        <f t="shared" si="688"/>
        <v>BEARISH</v>
      </c>
      <c r="S1571">
        <f t="shared" si="677"/>
        <v>-1</v>
      </c>
    </row>
    <row r="1572" spans="1:19" hidden="1" x14ac:dyDescent="0.25">
      <c r="A1572" s="5" t="str">
        <f t="shared" si="674"/>
        <v>43962XLK</v>
      </c>
      <c r="B1572" s="6" t="s">
        <v>10</v>
      </c>
      <c r="C1572" s="6">
        <v>88.26</v>
      </c>
      <c r="D1572" s="6">
        <v>95.33</v>
      </c>
      <c r="E1572" s="6">
        <v>94.78</v>
      </c>
      <c r="F1572" t="str">
        <f t="shared" si="678"/>
        <v>MON</v>
      </c>
      <c r="G1572" s="1">
        <f t="shared" si="679"/>
        <v>43962</v>
      </c>
      <c r="H1572" s="2">
        <f t="shared" ca="1" si="680"/>
        <v>291</v>
      </c>
      <c r="I1572" t="str">
        <f t="shared" si="681"/>
        <v>XLK</v>
      </c>
      <c r="J1572">
        <f t="shared" si="682"/>
        <v>88.26</v>
      </c>
      <c r="K1572">
        <f t="shared" si="683"/>
        <v>95.33</v>
      </c>
      <c r="L1572">
        <f t="shared" si="684"/>
        <v>91.795000000000002</v>
      </c>
      <c r="M1572">
        <f t="shared" si="685"/>
        <v>3.5349999999999966</v>
      </c>
      <c r="N1572">
        <f t="shared" si="675"/>
        <v>7.0699999999999932</v>
      </c>
      <c r="O1572">
        <f t="shared" si="686"/>
        <v>94.78</v>
      </c>
      <c r="P1572">
        <f t="shared" si="687"/>
        <v>0.84441301272984504</v>
      </c>
      <c r="Q1572" t="str">
        <f t="shared" si="676"/>
        <v>6.88% | 0.58%</v>
      </c>
      <c r="R1572" t="str">
        <f t="shared" si="688"/>
        <v>BULLISH</v>
      </c>
      <c r="S1572">
        <f t="shared" si="677"/>
        <v>1</v>
      </c>
    </row>
    <row r="1573" spans="1:19" hidden="1" x14ac:dyDescent="0.25">
      <c r="A1573" s="5" t="str">
        <f t="shared" si="674"/>
        <v>43962XLF</v>
      </c>
      <c r="B1573" s="6" t="s">
        <v>12</v>
      </c>
      <c r="C1573" s="6">
        <v>20.23</v>
      </c>
      <c r="D1573" s="6">
        <v>23.52</v>
      </c>
      <c r="E1573" s="6">
        <v>22.29</v>
      </c>
      <c r="F1573" t="str">
        <f t="shared" si="678"/>
        <v>MON</v>
      </c>
      <c r="G1573" s="1">
        <f t="shared" si="679"/>
        <v>43962</v>
      </c>
      <c r="H1573" s="2">
        <f t="shared" ca="1" si="680"/>
        <v>291</v>
      </c>
      <c r="I1573" t="str">
        <f t="shared" si="681"/>
        <v>XLF</v>
      </c>
      <c r="J1573">
        <f t="shared" si="682"/>
        <v>20.23</v>
      </c>
      <c r="K1573">
        <f t="shared" si="683"/>
        <v>23.52</v>
      </c>
      <c r="L1573">
        <f t="shared" si="684"/>
        <v>21.875</v>
      </c>
      <c r="M1573">
        <f t="shared" si="685"/>
        <v>1.6449999999999996</v>
      </c>
      <c r="N1573">
        <f t="shared" si="675"/>
        <v>3.2899999999999991</v>
      </c>
      <c r="O1573">
        <f t="shared" si="686"/>
        <v>22.29</v>
      </c>
      <c r="P1573">
        <f t="shared" si="687"/>
        <v>0.25227963525835823</v>
      </c>
      <c r="Q1573" t="str">
        <f t="shared" si="676"/>
        <v>9.24% | 5.52%</v>
      </c>
      <c r="R1573" t="str">
        <f t="shared" si="688"/>
        <v>BEARISH</v>
      </c>
      <c r="S1573">
        <f t="shared" si="677"/>
        <v>-1</v>
      </c>
    </row>
    <row r="1574" spans="1:19" hidden="1" x14ac:dyDescent="0.25">
      <c r="A1574" s="5" t="str">
        <f t="shared" si="674"/>
        <v>43962SSEC</v>
      </c>
      <c r="B1574" s="6" t="s">
        <v>14</v>
      </c>
      <c r="C1574" s="6">
        <v>2780</v>
      </c>
      <c r="D1574" s="6">
        <v>2903</v>
      </c>
      <c r="E1574" s="6">
        <v>2894</v>
      </c>
      <c r="F1574" t="str">
        <f t="shared" si="678"/>
        <v>MON</v>
      </c>
      <c r="G1574" s="1">
        <f t="shared" si="679"/>
        <v>43962</v>
      </c>
      <c r="H1574" s="2">
        <f t="shared" ca="1" si="680"/>
        <v>291</v>
      </c>
      <c r="I1574" t="str">
        <f t="shared" si="681"/>
        <v>SSEC</v>
      </c>
      <c r="J1574">
        <f t="shared" si="682"/>
        <v>2780</v>
      </c>
      <c r="K1574">
        <f t="shared" si="683"/>
        <v>2903</v>
      </c>
      <c r="L1574">
        <f t="shared" si="684"/>
        <v>2841.5</v>
      </c>
      <c r="M1574">
        <f t="shared" si="685"/>
        <v>61.5</v>
      </c>
      <c r="N1574">
        <f t="shared" si="675"/>
        <v>123</v>
      </c>
      <c r="O1574">
        <f t="shared" si="686"/>
        <v>2894</v>
      </c>
      <c r="P1574">
        <f t="shared" si="687"/>
        <v>0.85365853658536583</v>
      </c>
      <c r="Q1574" t="str">
        <f t="shared" si="676"/>
        <v>3.94% | 0.31%</v>
      </c>
      <c r="R1574" t="str">
        <f t="shared" si="688"/>
        <v>BEARISH</v>
      </c>
      <c r="S1574">
        <f t="shared" si="677"/>
        <v>-1</v>
      </c>
    </row>
    <row r="1575" spans="1:19" hidden="1" x14ac:dyDescent="0.25">
      <c r="A1575" s="5" t="str">
        <f t="shared" si="674"/>
        <v>43962NIKK</v>
      </c>
      <c r="B1575" s="6" t="s">
        <v>15</v>
      </c>
      <c r="C1575" s="6">
        <v>18903</v>
      </c>
      <c r="D1575" s="6">
        <v>20430</v>
      </c>
      <c r="E1575" s="6">
        <v>20390</v>
      </c>
      <c r="F1575" t="str">
        <f t="shared" si="678"/>
        <v>MON</v>
      </c>
      <c r="G1575" s="1">
        <f t="shared" si="679"/>
        <v>43962</v>
      </c>
      <c r="H1575" s="2">
        <f t="shared" ca="1" si="680"/>
        <v>291</v>
      </c>
      <c r="I1575" t="str">
        <f t="shared" si="681"/>
        <v>NIKK</v>
      </c>
      <c r="J1575">
        <f t="shared" si="682"/>
        <v>18903</v>
      </c>
      <c r="K1575">
        <f t="shared" si="683"/>
        <v>20430</v>
      </c>
      <c r="L1575">
        <f t="shared" si="684"/>
        <v>19666.5</v>
      </c>
      <c r="M1575">
        <f t="shared" si="685"/>
        <v>763.5</v>
      </c>
      <c r="N1575">
        <f t="shared" si="675"/>
        <v>1527</v>
      </c>
      <c r="O1575">
        <f t="shared" si="686"/>
        <v>20390</v>
      </c>
      <c r="P1575">
        <f t="shared" si="687"/>
        <v>0.94760969220694169</v>
      </c>
      <c r="Q1575" t="str">
        <f t="shared" si="676"/>
        <v>7.29% | 0.2%</v>
      </c>
      <c r="R1575" t="str">
        <f t="shared" si="688"/>
        <v>BEARISH</v>
      </c>
      <c r="S1575">
        <f t="shared" si="677"/>
        <v>-1</v>
      </c>
    </row>
    <row r="1576" spans="1:19" hidden="1" x14ac:dyDescent="0.25">
      <c r="A1576" s="5" t="str">
        <f t="shared" si="674"/>
        <v>43962DAX</v>
      </c>
      <c r="B1576" s="6" t="s">
        <v>16</v>
      </c>
      <c r="C1576" s="6">
        <v>10407</v>
      </c>
      <c r="D1576" s="6">
        <v>11100</v>
      </c>
      <c r="E1576" s="6">
        <v>10906</v>
      </c>
      <c r="F1576" t="str">
        <f t="shared" si="678"/>
        <v>MON</v>
      </c>
      <c r="G1576" s="1">
        <f t="shared" si="679"/>
        <v>43962</v>
      </c>
      <c r="H1576" s="2">
        <f t="shared" ca="1" si="680"/>
        <v>291</v>
      </c>
      <c r="I1576" t="str">
        <f t="shared" si="681"/>
        <v>DAX</v>
      </c>
      <c r="J1576">
        <f t="shared" si="682"/>
        <v>10407</v>
      </c>
      <c r="K1576">
        <f t="shared" si="683"/>
        <v>11100</v>
      </c>
      <c r="L1576">
        <f t="shared" si="684"/>
        <v>10753.5</v>
      </c>
      <c r="M1576">
        <f t="shared" si="685"/>
        <v>346.5</v>
      </c>
      <c r="N1576">
        <f t="shared" si="675"/>
        <v>693</v>
      </c>
      <c r="O1576">
        <f t="shared" si="686"/>
        <v>10906</v>
      </c>
      <c r="P1576">
        <f t="shared" si="687"/>
        <v>0.44011544011544013</v>
      </c>
      <c r="Q1576" t="str">
        <f t="shared" si="676"/>
        <v>4.58% | 1.78%</v>
      </c>
      <c r="R1576" t="str">
        <f t="shared" si="688"/>
        <v>BEARISH</v>
      </c>
      <c r="S1576">
        <f t="shared" si="677"/>
        <v>-1</v>
      </c>
    </row>
    <row r="1577" spans="1:19" hidden="1" x14ac:dyDescent="0.25">
      <c r="A1577" s="5" t="str">
        <f t="shared" si="674"/>
        <v>43962VIX</v>
      </c>
      <c r="B1577" s="6" t="s">
        <v>17</v>
      </c>
      <c r="C1577" s="6">
        <v>27.09</v>
      </c>
      <c r="D1577" s="6">
        <v>39.85</v>
      </c>
      <c r="E1577" s="6">
        <v>27.98</v>
      </c>
      <c r="F1577" t="str">
        <f t="shared" si="678"/>
        <v>MON</v>
      </c>
      <c r="G1577" s="1">
        <f t="shared" si="679"/>
        <v>43962</v>
      </c>
      <c r="H1577" s="2">
        <f t="shared" ca="1" si="680"/>
        <v>291</v>
      </c>
      <c r="I1577" t="str">
        <f t="shared" si="681"/>
        <v>VIX</v>
      </c>
      <c r="J1577">
        <f t="shared" si="682"/>
        <v>27.09</v>
      </c>
      <c r="K1577">
        <f t="shared" si="683"/>
        <v>39.85</v>
      </c>
      <c r="L1577">
        <f t="shared" si="684"/>
        <v>33.47</v>
      </c>
      <c r="M1577">
        <f t="shared" si="685"/>
        <v>6.3800000000000061</v>
      </c>
      <c r="N1577">
        <f t="shared" si="675"/>
        <v>12.760000000000002</v>
      </c>
      <c r="O1577">
        <f t="shared" si="686"/>
        <v>27.98</v>
      </c>
      <c r="P1577">
        <f t="shared" si="687"/>
        <v>-0.86050156739811801</v>
      </c>
      <c r="Q1577" t="str">
        <f t="shared" si="676"/>
        <v>3.18% | 42.42%</v>
      </c>
      <c r="R1577" t="str">
        <f t="shared" si="688"/>
        <v>BULLISH</v>
      </c>
      <c r="S1577">
        <f t="shared" si="677"/>
        <v>1</v>
      </c>
    </row>
    <row r="1578" spans="1:19" hidden="1" x14ac:dyDescent="0.25">
      <c r="A1578" s="5" t="str">
        <f t="shared" si="674"/>
        <v>43962USD</v>
      </c>
      <c r="B1578" s="6" t="s">
        <v>18</v>
      </c>
      <c r="C1578" s="6">
        <v>98.9</v>
      </c>
      <c r="D1578" s="6">
        <v>100.75</v>
      </c>
      <c r="E1578" s="6">
        <v>99.77</v>
      </c>
      <c r="F1578" t="str">
        <f t="shared" si="678"/>
        <v>MON</v>
      </c>
      <c r="G1578" s="1">
        <f t="shared" si="679"/>
        <v>43962</v>
      </c>
      <c r="H1578" s="2">
        <f t="shared" ca="1" si="680"/>
        <v>291</v>
      </c>
      <c r="I1578" t="str">
        <f t="shared" si="681"/>
        <v>USD</v>
      </c>
      <c r="J1578">
        <f t="shared" si="682"/>
        <v>98.9</v>
      </c>
      <c r="K1578">
        <f t="shared" si="683"/>
        <v>100.75</v>
      </c>
      <c r="L1578">
        <f t="shared" si="684"/>
        <v>99.825000000000003</v>
      </c>
      <c r="M1578">
        <f t="shared" si="685"/>
        <v>0.92499999999999716</v>
      </c>
      <c r="N1578">
        <f t="shared" si="675"/>
        <v>1.8499999999999943</v>
      </c>
      <c r="O1578">
        <f t="shared" si="686"/>
        <v>99.77</v>
      </c>
      <c r="P1578">
        <f t="shared" si="687"/>
        <v>-5.9459459459467019E-2</v>
      </c>
      <c r="Q1578" t="str">
        <f t="shared" si="676"/>
        <v>0.87% | 0.98%</v>
      </c>
      <c r="R1578" t="str">
        <f t="shared" si="688"/>
        <v>BULLISH</v>
      </c>
      <c r="S1578">
        <f t="shared" si="677"/>
        <v>1</v>
      </c>
    </row>
    <row r="1579" spans="1:19" hidden="1" x14ac:dyDescent="0.25">
      <c r="A1579" s="5" t="str">
        <f t="shared" si="674"/>
        <v>43962EUR/USD</v>
      </c>
      <c r="B1579" s="6" t="s">
        <v>19</v>
      </c>
      <c r="C1579" s="6">
        <v>1.07</v>
      </c>
      <c r="D1579" s="6">
        <v>1.0900000000000001</v>
      </c>
      <c r="E1579" s="6">
        <v>1.08</v>
      </c>
      <c r="F1579" t="str">
        <f t="shared" si="678"/>
        <v>MON</v>
      </c>
      <c r="G1579" s="1">
        <f t="shared" si="679"/>
        <v>43962</v>
      </c>
      <c r="H1579" s="2">
        <f t="shared" ca="1" si="680"/>
        <v>291</v>
      </c>
      <c r="I1579" t="str">
        <f t="shared" si="681"/>
        <v>EUR/USD</v>
      </c>
      <c r="J1579">
        <f t="shared" si="682"/>
        <v>1.07</v>
      </c>
      <c r="K1579">
        <f t="shared" si="683"/>
        <v>1.0900000000000001</v>
      </c>
      <c r="L1579">
        <f t="shared" si="684"/>
        <v>1.08</v>
      </c>
      <c r="M1579">
        <f t="shared" si="685"/>
        <v>1.0000000000000009E-2</v>
      </c>
      <c r="N1579">
        <f t="shared" si="675"/>
        <v>2.0000000000000018E-2</v>
      </c>
      <c r="O1579">
        <f t="shared" si="686"/>
        <v>1.08</v>
      </c>
      <c r="P1579">
        <f t="shared" si="687"/>
        <v>0</v>
      </c>
      <c r="Q1579" t="str">
        <f t="shared" si="676"/>
        <v>0.93% | 0.93%</v>
      </c>
      <c r="R1579" t="str">
        <f t="shared" si="688"/>
        <v>BEARISH</v>
      </c>
      <c r="S1579">
        <f t="shared" si="677"/>
        <v>-1</v>
      </c>
    </row>
    <row r="1580" spans="1:19" hidden="1" x14ac:dyDescent="0.25">
      <c r="A1580" s="5" t="str">
        <f t="shared" si="674"/>
        <v>43962USD/JPY</v>
      </c>
      <c r="B1580" s="6" t="s">
        <v>20</v>
      </c>
      <c r="C1580" s="6">
        <v>106.03</v>
      </c>
      <c r="D1580" s="6">
        <v>107.54</v>
      </c>
      <c r="E1580" s="6">
        <v>106.75</v>
      </c>
      <c r="F1580" t="str">
        <f t="shared" si="678"/>
        <v>MON</v>
      </c>
      <c r="G1580" s="1">
        <f t="shared" si="679"/>
        <v>43962</v>
      </c>
      <c r="H1580" s="2">
        <f t="shared" ca="1" si="680"/>
        <v>291</v>
      </c>
      <c r="I1580" t="str">
        <f t="shared" si="681"/>
        <v>USD/JPY</v>
      </c>
      <c r="J1580">
        <f t="shared" si="682"/>
        <v>106.03</v>
      </c>
      <c r="K1580">
        <f t="shared" si="683"/>
        <v>107.54</v>
      </c>
      <c r="L1580">
        <f t="shared" si="684"/>
        <v>106.785</v>
      </c>
      <c r="M1580">
        <f t="shared" si="685"/>
        <v>0.75500000000000256</v>
      </c>
      <c r="N1580">
        <f t="shared" si="675"/>
        <v>1.5100000000000051</v>
      </c>
      <c r="O1580">
        <f t="shared" si="686"/>
        <v>106.75</v>
      </c>
      <c r="P1580">
        <f t="shared" si="687"/>
        <v>-4.6357615894035059E-2</v>
      </c>
      <c r="Q1580" t="str">
        <f t="shared" si="676"/>
        <v>0.67% | 0.74%</v>
      </c>
      <c r="R1580" t="str">
        <f t="shared" si="688"/>
        <v>BEARISH</v>
      </c>
      <c r="S1580">
        <f t="shared" si="677"/>
        <v>-1</v>
      </c>
    </row>
    <row r="1581" spans="1:19" hidden="1" x14ac:dyDescent="0.25">
      <c r="A1581" s="5" t="str">
        <f t="shared" si="674"/>
        <v>43962GBP/USD</v>
      </c>
      <c r="B1581" s="6" t="s">
        <v>21</v>
      </c>
      <c r="C1581" s="6">
        <v>1.22</v>
      </c>
      <c r="D1581" s="6">
        <v>1.25</v>
      </c>
      <c r="E1581" s="6">
        <v>1.24</v>
      </c>
      <c r="F1581" t="str">
        <f t="shared" si="678"/>
        <v>MON</v>
      </c>
      <c r="G1581" s="1">
        <f t="shared" si="679"/>
        <v>43962</v>
      </c>
      <c r="H1581" s="2">
        <f t="shared" ca="1" si="680"/>
        <v>291</v>
      </c>
      <c r="I1581" t="str">
        <f t="shared" si="681"/>
        <v>GBP/USD</v>
      </c>
      <c r="J1581">
        <f t="shared" si="682"/>
        <v>1.22</v>
      </c>
      <c r="K1581">
        <f t="shared" si="683"/>
        <v>1.25</v>
      </c>
      <c r="L1581">
        <f t="shared" si="684"/>
        <v>1.2349999999999999</v>
      </c>
      <c r="M1581">
        <f t="shared" si="685"/>
        <v>1.5000000000000013E-2</v>
      </c>
      <c r="N1581">
        <f t="shared" si="675"/>
        <v>3.0000000000000027E-2</v>
      </c>
      <c r="O1581">
        <f t="shared" si="686"/>
        <v>1.24</v>
      </c>
      <c r="P1581">
        <f t="shared" si="687"/>
        <v>0.33333333333334075</v>
      </c>
      <c r="Q1581" t="str">
        <f t="shared" si="676"/>
        <v>1.61% | 0.81%</v>
      </c>
      <c r="R1581" t="str">
        <f t="shared" si="688"/>
        <v>BEARISH</v>
      </c>
      <c r="S1581">
        <f t="shared" si="677"/>
        <v>-1</v>
      </c>
    </row>
    <row r="1582" spans="1:19" hidden="1" x14ac:dyDescent="0.25">
      <c r="A1582" s="5" t="str">
        <f t="shared" si="674"/>
        <v>43962USD/CHF</v>
      </c>
      <c r="B1582" s="6" t="s">
        <v>22</v>
      </c>
      <c r="C1582" s="6">
        <v>0.96</v>
      </c>
      <c r="D1582" s="6">
        <v>0.98</v>
      </c>
      <c r="E1582" s="6">
        <v>0.97</v>
      </c>
      <c r="F1582" t="str">
        <f t="shared" si="678"/>
        <v>MON</v>
      </c>
      <c r="G1582" s="1">
        <f t="shared" si="679"/>
        <v>43962</v>
      </c>
      <c r="H1582" s="2">
        <f t="shared" ca="1" si="680"/>
        <v>291</v>
      </c>
      <c r="I1582" t="str">
        <f t="shared" si="681"/>
        <v>USD/CHF</v>
      </c>
      <c r="J1582">
        <f t="shared" si="682"/>
        <v>0.96</v>
      </c>
      <c r="K1582">
        <f t="shared" si="683"/>
        <v>0.98</v>
      </c>
      <c r="L1582">
        <f t="shared" si="684"/>
        <v>0.97</v>
      </c>
      <c r="M1582">
        <f t="shared" si="685"/>
        <v>1.0000000000000009E-2</v>
      </c>
      <c r="N1582">
        <f t="shared" si="675"/>
        <v>2.0000000000000018E-2</v>
      </c>
      <c r="O1582">
        <f t="shared" si="686"/>
        <v>0.97</v>
      </c>
      <c r="P1582">
        <f t="shared" si="687"/>
        <v>0</v>
      </c>
      <c r="Q1582" t="str">
        <f t="shared" si="676"/>
        <v>1.03% | 1.03%</v>
      </c>
      <c r="R1582" t="str">
        <f t="shared" si="688"/>
        <v>NEUTRAL</v>
      </c>
      <c r="S1582">
        <f t="shared" si="677"/>
        <v>0</v>
      </c>
    </row>
    <row r="1583" spans="1:19" hidden="1" x14ac:dyDescent="0.25">
      <c r="A1583" s="5" t="str">
        <f t="shared" si="674"/>
        <v>43962WTIC</v>
      </c>
      <c r="B1583" s="6" t="s">
        <v>23</v>
      </c>
      <c r="C1583" s="6">
        <v>11.14</v>
      </c>
      <c r="D1583" s="6">
        <v>27.74</v>
      </c>
      <c r="E1583" s="6">
        <v>26.17</v>
      </c>
      <c r="F1583" t="str">
        <f t="shared" si="678"/>
        <v>MON</v>
      </c>
      <c r="G1583" s="1">
        <f t="shared" si="679"/>
        <v>43962</v>
      </c>
      <c r="H1583" s="2">
        <f t="shared" ca="1" si="680"/>
        <v>291</v>
      </c>
      <c r="I1583" t="str">
        <f t="shared" si="681"/>
        <v>WTIC</v>
      </c>
      <c r="J1583">
        <f t="shared" si="682"/>
        <v>11.14</v>
      </c>
      <c r="K1583">
        <f t="shared" si="683"/>
        <v>27.74</v>
      </c>
      <c r="L1583">
        <f t="shared" si="684"/>
        <v>19.439999999999998</v>
      </c>
      <c r="M1583">
        <f t="shared" si="685"/>
        <v>8.3000000000000025</v>
      </c>
      <c r="N1583">
        <f t="shared" si="675"/>
        <v>16.599999999999998</v>
      </c>
      <c r="O1583">
        <f t="shared" si="686"/>
        <v>26.17</v>
      </c>
      <c r="P1583">
        <f t="shared" si="687"/>
        <v>0.81084337349397617</v>
      </c>
      <c r="Q1583" t="str">
        <f t="shared" si="676"/>
        <v>57.43% | 6%</v>
      </c>
      <c r="R1583" t="str">
        <f t="shared" si="688"/>
        <v>BEARISH</v>
      </c>
      <c r="S1583">
        <f t="shared" si="677"/>
        <v>-1</v>
      </c>
    </row>
    <row r="1584" spans="1:19" hidden="1" x14ac:dyDescent="0.25">
      <c r="A1584" s="5" t="str">
        <f t="shared" si="674"/>
        <v>43962NATGAS</v>
      </c>
      <c r="B1584" s="6" t="s">
        <v>24</v>
      </c>
      <c r="C1584" s="6">
        <v>1.76</v>
      </c>
      <c r="D1584" s="6">
        <v>2.1</v>
      </c>
      <c r="E1584" s="6">
        <v>1.82</v>
      </c>
      <c r="F1584" t="str">
        <f t="shared" si="678"/>
        <v>MON</v>
      </c>
      <c r="G1584" s="1">
        <f t="shared" si="679"/>
        <v>43962</v>
      </c>
      <c r="H1584" s="2">
        <f t="shared" ca="1" si="680"/>
        <v>291</v>
      </c>
      <c r="I1584" t="str">
        <f t="shared" si="681"/>
        <v>NATGAS</v>
      </c>
      <c r="J1584">
        <f t="shared" si="682"/>
        <v>1.76</v>
      </c>
      <c r="K1584">
        <f t="shared" si="683"/>
        <v>2.1</v>
      </c>
      <c r="L1584">
        <f t="shared" si="684"/>
        <v>1.9300000000000002</v>
      </c>
      <c r="M1584">
        <f t="shared" si="685"/>
        <v>0.17000000000000004</v>
      </c>
      <c r="N1584">
        <f t="shared" si="675"/>
        <v>0.34000000000000008</v>
      </c>
      <c r="O1584">
        <f t="shared" si="686"/>
        <v>1.82</v>
      </c>
      <c r="P1584">
        <f t="shared" si="687"/>
        <v>-0.64705882352941224</v>
      </c>
      <c r="Q1584" t="str">
        <f t="shared" si="676"/>
        <v>3.3% | 15.38%</v>
      </c>
      <c r="R1584" t="str">
        <f t="shared" si="688"/>
        <v>BEARISH</v>
      </c>
      <c r="S1584">
        <f t="shared" si="677"/>
        <v>-1</v>
      </c>
    </row>
    <row r="1585" spans="1:19" hidden="1" x14ac:dyDescent="0.25">
      <c r="A1585" s="5" t="str">
        <f t="shared" si="674"/>
        <v>43962GOLD</v>
      </c>
      <c r="B1585" s="6" t="s">
        <v>25</v>
      </c>
      <c r="C1585" s="6">
        <v>1684</v>
      </c>
      <c r="D1585" s="6">
        <v>1742</v>
      </c>
      <c r="E1585" s="6">
        <v>1713</v>
      </c>
      <c r="F1585" t="str">
        <f t="shared" si="678"/>
        <v>MON</v>
      </c>
      <c r="G1585" s="1">
        <f t="shared" si="679"/>
        <v>43962</v>
      </c>
      <c r="H1585" s="2">
        <f t="shared" ca="1" si="680"/>
        <v>291</v>
      </c>
      <c r="I1585" t="str">
        <f t="shared" si="681"/>
        <v>GOLD</v>
      </c>
      <c r="J1585">
        <f t="shared" si="682"/>
        <v>1684</v>
      </c>
      <c r="K1585">
        <f t="shared" si="683"/>
        <v>1742</v>
      </c>
      <c r="L1585">
        <f t="shared" si="684"/>
        <v>1713</v>
      </c>
      <c r="M1585">
        <f t="shared" si="685"/>
        <v>29</v>
      </c>
      <c r="N1585">
        <f t="shared" si="675"/>
        <v>58</v>
      </c>
      <c r="O1585">
        <f t="shared" si="686"/>
        <v>1713</v>
      </c>
      <c r="P1585">
        <f t="shared" si="687"/>
        <v>0</v>
      </c>
      <c r="Q1585" t="str">
        <f t="shared" si="676"/>
        <v>1.69% | 1.69%</v>
      </c>
      <c r="R1585" t="str">
        <f t="shared" si="688"/>
        <v>BULLISH</v>
      </c>
      <c r="S1585">
        <f t="shared" si="677"/>
        <v>1</v>
      </c>
    </row>
    <row r="1586" spans="1:19" hidden="1" x14ac:dyDescent="0.25">
      <c r="A1586" s="5" t="str">
        <f t="shared" si="674"/>
        <v>43962COPPER</v>
      </c>
      <c r="B1586" s="6" t="s">
        <v>26</v>
      </c>
      <c r="C1586" s="6">
        <v>2.2999999999999998</v>
      </c>
      <c r="D1586" s="6">
        <v>2.42</v>
      </c>
      <c r="E1586" s="6">
        <v>2.41</v>
      </c>
      <c r="F1586" t="str">
        <f t="shared" si="678"/>
        <v>MON</v>
      </c>
      <c r="G1586" s="1">
        <f t="shared" si="679"/>
        <v>43962</v>
      </c>
      <c r="H1586" s="2">
        <f t="shared" ca="1" si="680"/>
        <v>291</v>
      </c>
      <c r="I1586" t="str">
        <f t="shared" si="681"/>
        <v>COPPER</v>
      </c>
      <c r="J1586">
        <f t="shared" si="682"/>
        <v>2.2999999999999998</v>
      </c>
      <c r="K1586">
        <f t="shared" si="683"/>
        <v>2.42</v>
      </c>
      <c r="L1586">
        <f t="shared" si="684"/>
        <v>2.36</v>
      </c>
      <c r="M1586">
        <f t="shared" si="685"/>
        <v>6.0000000000000053E-2</v>
      </c>
      <c r="N1586">
        <f t="shared" si="675"/>
        <v>0.12000000000000011</v>
      </c>
      <c r="O1586">
        <f t="shared" si="686"/>
        <v>2.41</v>
      </c>
      <c r="P1586">
        <f t="shared" si="687"/>
        <v>0.83333333333333703</v>
      </c>
      <c r="Q1586" t="str">
        <f t="shared" si="676"/>
        <v>4.56% | 0.41%</v>
      </c>
      <c r="R1586" t="str">
        <f t="shared" si="688"/>
        <v>BEARISH</v>
      </c>
      <c r="S1586">
        <f t="shared" si="677"/>
        <v>-1</v>
      </c>
    </row>
    <row r="1587" spans="1:19" hidden="1" x14ac:dyDescent="0.25">
      <c r="A1587" s="5" t="str">
        <f t="shared" si="674"/>
        <v>43962MSFT</v>
      </c>
      <c r="B1587" s="6" t="s">
        <v>27</v>
      </c>
      <c r="C1587" s="6">
        <v>171</v>
      </c>
      <c r="D1587" s="6">
        <v>188</v>
      </c>
      <c r="E1587" s="6">
        <v>184</v>
      </c>
      <c r="F1587" t="str">
        <f t="shared" si="678"/>
        <v>MON</v>
      </c>
      <c r="G1587" s="1">
        <f t="shared" si="679"/>
        <v>43962</v>
      </c>
      <c r="H1587" s="2">
        <f t="shared" ca="1" si="680"/>
        <v>291</v>
      </c>
      <c r="I1587" t="str">
        <f t="shared" si="681"/>
        <v>MSFT</v>
      </c>
      <c r="J1587">
        <f t="shared" si="682"/>
        <v>171</v>
      </c>
      <c r="K1587">
        <f t="shared" si="683"/>
        <v>188</v>
      </c>
      <c r="L1587">
        <f t="shared" si="684"/>
        <v>179.5</v>
      </c>
      <c r="M1587">
        <f t="shared" si="685"/>
        <v>8.5</v>
      </c>
      <c r="N1587">
        <f t="shared" si="675"/>
        <v>17</v>
      </c>
      <c r="O1587">
        <f t="shared" si="686"/>
        <v>184</v>
      </c>
      <c r="P1587">
        <f t="shared" si="687"/>
        <v>0.52941176470588236</v>
      </c>
      <c r="Q1587" t="str">
        <f t="shared" si="676"/>
        <v>7.07% | 2.17%</v>
      </c>
      <c r="R1587" t="str">
        <f t="shared" si="688"/>
        <v>BULLISH</v>
      </c>
      <c r="S1587">
        <f t="shared" si="677"/>
        <v>1</v>
      </c>
    </row>
    <row r="1588" spans="1:19" hidden="1" x14ac:dyDescent="0.25">
      <c r="A1588" s="5" t="str">
        <f t="shared" si="674"/>
        <v>43962AAPL</v>
      </c>
      <c r="B1588" s="6" t="s">
        <v>28</v>
      </c>
      <c r="C1588" s="6">
        <v>283</v>
      </c>
      <c r="D1588" s="6">
        <v>313</v>
      </c>
      <c r="E1588" s="6">
        <v>310</v>
      </c>
      <c r="F1588" t="str">
        <f t="shared" si="678"/>
        <v>MON</v>
      </c>
      <c r="G1588" s="1">
        <f t="shared" si="679"/>
        <v>43962</v>
      </c>
      <c r="H1588" s="2">
        <f t="shared" ca="1" si="680"/>
        <v>291</v>
      </c>
      <c r="I1588" t="str">
        <f t="shared" si="681"/>
        <v>AAPL</v>
      </c>
      <c r="J1588">
        <f t="shared" si="682"/>
        <v>283</v>
      </c>
      <c r="K1588">
        <f t="shared" si="683"/>
        <v>313</v>
      </c>
      <c r="L1588">
        <f t="shared" si="684"/>
        <v>298</v>
      </c>
      <c r="M1588">
        <f t="shared" si="685"/>
        <v>15</v>
      </c>
      <c r="N1588">
        <f t="shared" si="675"/>
        <v>30</v>
      </c>
      <c r="O1588">
        <f t="shared" si="686"/>
        <v>310</v>
      </c>
      <c r="P1588">
        <f t="shared" si="687"/>
        <v>0.8</v>
      </c>
      <c r="Q1588" t="str">
        <f t="shared" si="676"/>
        <v>8.71% | 0.97%</v>
      </c>
      <c r="R1588" t="str">
        <f t="shared" si="688"/>
        <v>BULLISH</v>
      </c>
      <c r="S1588">
        <f t="shared" si="677"/>
        <v>1</v>
      </c>
    </row>
    <row r="1589" spans="1:19" hidden="1" x14ac:dyDescent="0.25">
      <c r="A1589" s="5" t="str">
        <f t="shared" si="674"/>
        <v>43962AMZN</v>
      </c>
      <c r="B1589" s="6" t="s">
        <v>29</v>
      </c>
      <c r="C1589" s="6">
        <v>2249</v>
      </c>
      <c r="D1589" s="6">
        <v>2458</v>
      </c>
      <c r="E1589" s="6">
        <v>2379</v>
      </c>
      <c r="F1589" t="str">
        <f t="shared" si="678"/>
        <v>MON</v>
      </c>
      <c r="G1589" s="1">
        <f t="shared" si="679"/>
        <v>43962</v>
      </c>
      <c r="H1589" s="2">
        <f t="shared" ca="1" si="680"/>
        <v>291</v>
      </c>
      <c r="I1589" t="str">
        <f t="shared" si="681"/>
        <v>AMZN</v>
      </c>
      <c r="J1589">
        <f t="shared" si="682"/>
        <v>2249</v>
      </c>
      <c r="K1589">
        <f t="shared" si="683"/>
        <v>2458</v>
      </c>
      <c r="L1589">
        <f t="shared" si="684"/>
        <v>2353.5</v>
      </c>
      <c r="M1589">
        <f t="shared" si="685"/>
        <v>104.5</v>
      </c>
      <c r="N1589">
        <f t="shared" si="675"/>
        <v>209</v>
      </c>
      <c r="O1589">
        <f t="shared" si="686"/>
        <v>2379</v>
      </c>
      <c r="P1589">
        <f t="shared" si="687"/>
        <v>0.24401913875598086</v>
      </c>
      <c r="Q1589" t="str">
        <f t="shared" si="676"/>
        <v>5.46% | 3.32%</v>
      </c>
      <c r="R1589" t="str">
        <f t="shared" si="688"/>
        <v>BULLISH</v>
      </c>
      <c r="S1589">
        <f t="shared" si="677"/>
        <v>1</v>
      </c>
    </row>
    <row r="1590" spans="1:19" hidden="1" x14ac:dyDescent="0.25">
      <c r="A1590" s="5" t="str">
        <f t="shared" si="674"/>
        <v>43962FB</v>
      </c>
      <c r="B1590" s="6" t="s">
        <v>30</v>
      </c>
      <c r="C1590" s="6">
        <v>186</v>
      </c>
      <c r="D1590" s="6">
        <v>220</v>
      </c>
      <c r="E1590" s="6">
        <v>212</v>
      </c>
      <c r="F1590" t="str">
        <f t="shared" si="678"/>
        <v>MON</v>
      </c>
      <c r="G1590" s="1">
        <f t="shared" si="679"/>
        <v>43962</v>
      </c>
      <c r="H1590" s="2">
        <f t="shared" ca="1" si="680"/>
        <v>291</v>
      </c>
      <c r="I1590" t="str">
        <f t="shared" si="681"/>
        <v>FB</v>
      </c>
      <c r="J1590">
        <f t="shared" si="682"/>
        <v>186</v>
      </c>
      <c r="K1590">
        <f t="shared" si="683"/>
        <v>220</v>
      </c>
      <c r="L1590">
        <f t="shared" si="684"/>
        <v>203</v>
      </c>
      <c r="M1590">
        <f t="shared" si="685"/>
        <v>17</v>
      </c>
      <c r="N1590">
        <f t="shared" si="675"/>
        <v>34</v>
      </c>
      <c r="O1590">
        <f t="shared" si="686"/>
        <v>212</v>
      </c>
      <c r="P1590">
        <f t="shared" si="687"/>
        <v>0.52941176470588236</v>
      </c>
      <c r="Q1590" t="str">
        <f t="shared" si="676"/>
        <v>12.26% | 3.77%</v>
      </c>
      <c r="R1590" t="str">
        <f t="shared" si="688"/>
        <v>BULLISH</v>
      </c>
      <c r="S1590">
        <f t="shared" si="677"/>
        <v>1</v>
      </c>
    </row>
    <row r="1591" spans="1:19" hidden="1" x14ac:dyDescent="0.25">
      <c r="A1591" s="5" t="str">
        <f t="shared" si="674"/>
        <v>43962GOOGL</v>
      </c>
      <c r="B1591" s="6" t="s">
        <v>31</v>
      </c>
      <c r="C1591" s="6">
        <v>1282</v>
      </c>
      <c r="D1591" s="6">
        <v>1418</v>
      </c>
      <c r="E1591" s="6">
        <v>1384</v>
      </c>
      <c r="F1591" t="str">
        <f t="shared" si="678"/>
        <v>MON</v>
      </c>
      <c r="G1591" s="1">
        <f t="shared" si="679"/>
        <v>43962</v>
      </c>
      <c r="H1591" s="2">
        <f t="shared" ca="1" si="680"/>
        <v>291</v>
      </c>
      <c r="I1591" t="str">
        <f t="shared" si="681"/>
        <v>GOOGL</v>
      </c>
      <c r="J1591">
        <f t="shared" si="682"/>
        <v>1282</v>
      </c>
      <c r="K1591">
        <f t="shared" si="683"/>
        <v>1418</v>
      </c>
      <c r="L1591">
        <f t="shared" si="684"/>
        <v>1350</v>
      </c>
      <c r="M1591">
        <f t="shared" si="685"/>
        <v>68</v>
      </c>
      <c r="N1591">
        <f t="shared" si="675"/>
        <v>136</v>
      </c>
      <c r="O1591">
        <f t="shared" si="686"/>
        <v>1384</v>
      </c>
      <c r="P1591">
        <f t="shared" si="687"/>
        <v>0.5</v>
      </c>
      <c r="Q1591" t="str">
        <f t="shared" si="676"/>
        <v>7.37% | 2.46%</v>
      </c>
      <c r="R1591" t="str">
        <f t="shared" si="688"/>
        <v>BULLISH</v>
      </c>
      <c r="S1591">
        <f t="shared" si="677"/>
        <v>1</v>
      </c>
    </row>
    <row r="1592" spans="1:19" hidden="1" x14ac:dyDescent="0.25">
      <c r="A1592" s="5" t="str">
        <f t="shared" si="674"/>
        <v>43962NFLX</v>
      </c>
      <c r="B1592" s="6" t="s">
        <v>32</v>
      </c>
      <c r="C1592" s="6">
        <v>402</v>
      </c>
      <c r="D1592" s="6">
        <v>445</v>
      </c>
      <c r="E1592" s="6">
        <v>435</v>
      </c>
      <c r="F1592" t="str">
        <f t="shared" si="678"/>
        <v>MON</v>
      </c>
      <c r="G1592" s="1">
        <f t="shared" si="679"/>
        <v>43962</v>
      </c>
      <c r="H1592" s="2">
        <f t="shared" ca="1" si="680"/>
        <v>291</v>
      </c>
      <c r="I1592" t="str">
        <f t="shared" si="681"/>
        <v>NFLX</v>
      </c>
      <c r="J1592">
        <f t="shared" si="682"/>
        <v>402</v>
      </c>
      <c r="K1592">
        <f t="shared" si="683"/>
        <v>445</v>
      </c>
      <c r="L1592">
        <f t="shared" si="684"/>
        <v>423.5</v>
      </c>
      <c r="M1592">
        <f t="shared" si="685"/>
        <v>21.5</v>
      </c>
      <c r="N1592">
        <f t="shared" si="675"/>
        <v>43</v>
      </c>
      <c r="O1592">
        <f t="shared" si="686"/>
        <v>435</v>
      </c>
      <c r="P1592">
        <f t="shared" si="687"/>
        <v>0.53488372093023251</v>
      </c>
      <c r="Q1592" t="str">
        <f t="shared" si="676"/>
        <v>7.59% | 2.3%</v>
      </c>
      <c r="R1592" t="str">
        <f t="shared" si="688"/>
        <v>BULLISH</v>
      </c>
      <c r="S1592">
        <f t="shared" si="677"/>
        <v>1</v>
      </c>
    </row>
    <row r="1593" spans="1:19" x14ac:dyDescent="0.25">
      <c r="A1593" s="5" t="str">
        <f t="shared" si="674"/>
        <v>43962TSLA</v>
      </c>
      <c r="B1593" s="6" t="s">
        <v>33</v>
      </c>
      <c r="C1593" s="6">
        <v>710</v>
      </c>
      <c r="D1593" s="6">
        <v>838</v>
      </c>
      <c r="E1593" s="6">
        <v>819</v>
      </c>
      <c r="F1593" t="str">
        <f t="shared" si="678"/>
        <v>MON</v>
      </c>
      <c r="G1593" s="1">
        <f t="shared" si="679"/>
        <v>43962</v>
      </c>
      <c r="H1593" s="2">
        <f t="shared" ca="1" si="680"/>
        <v>291</v>
      </c>
      <c r="I1593" t="str">
        <f t="shared" si="681"/>
        <v>TSLA</v>
      </c>
      <c r="J1593">
        <f t="shared" si="682"/>
        <v>710</v>
      </c>
      <c r="K1593">
        <f t="shared" si="683"/>
        <v>838</v>
      </c>
      <c r="L1593">
        <f t="shared" si="684"/>
        <v>774</v>
      </c>
      <c r="M1593">
        <f t="shared" si="685"/>
        <v>64</v>
      </c>
      <c r="N1593">
        <f t="shared" si="675"/>
        <v>128</v>
      </c>
      <c r="O1593">
        <f t="shared" si="686"/>
        <v>819</v>
      </c>
      <c r="P1593">
        <f t="shared" si="687"/>
        <v>0.703125</v>
      </c>
      <c r="Q1593" t="str">
        <f t="shared" si="676"/>
        <v>13.31% | 2.32%</v>
      </c>
      <c r="R1593" t="str">
        <f t="shared" si="688"/>
        <v>BULLISH</v>
      </c>
      <c r="S1593">
        <f t="shared" si="677"/>
        <v>1</v>
      </c>
    </row>
    <row r="1594" spans="1:19" hidden="1" x14ac:dyDescent="0.25">
      <c r="A1594" s="5" t="str">
        <f t="shared" si="674"/>
        <v>43962NYXBT</v>
      </c>
      <c r="B1594" s="6" t="s">
        <v>34</v>
      </c>
      <c r="C1594" s="6">
        <v>8170</v>
      </c>
      <c r="D1594" s="6">
        <v>10126</v>
      </c>
      <c r="E1594" s="6">
        <v>9978</v>
      </c>
      <c r="F1594" t="str">
        <f t="shared" si="678"/>
        <v>MON</v>
      </c>
      <c r="G1594" s="1">
        <f t="shared" si="679"/>
        <v>43962</v>
      </c>
      <c r="H1594" s="2">
        <f t="shared" ca="1" si="680"/>
        <v>291</v>
      </c>
      <c r="I1594" t="str">
        <f t="shared" si="681"/>
        <v>NYXBT</v>
      </c>
      <c r="J1594">
        <f t="shared" si="682"/>
        <v>8170</v>
      </c>
      <c r="K1594">
        <f t="shared" si="683"/>
        <v>10126</v>
      </c>
      <c r="L1594">
        <f t="shared" si="684"/>
        <v>9148</v>
      </c>
      <c r="M1594">
        <f t="shared" si="685"/>
        <v>978</v>
      </c>
      <c r="N1594">
        <f t="shared" si="675"/>
        <v>1956</v>
      </c>
      <c r="O1594">
        <f t="shared" si="686"/>
        <v>9978</v>
      </c>
      <c r="P1594">
        <f t="shared" si="687"/>
        <v>0.84867075664621672</v>
      </c>
      <c r="Q1594" t="str">
        <f t="shared" si="676"/>
        <v>18.12% | 1.48%</v>
      </c>
      <c r="R1594" t="str">
        <f t="shared" si="688"/>
        <v>BULLISH</v>
      </c>
      <c r="S1594">
        <f t="shared" si="677"/>
        <v>1</v>
      </c>
    </row>
    <row r="1595" spans="1:19" hidden="1" x14ac:dyDescent="0.25">
      <c r="A1595" s="5" t="str">
        <f t="shared" si="674"/>
        <v>43963UST10Y</v>
      </c>
      <c r="B1595" s="6" t="s">
        <v>4</v>
      </c>
      <c r="C1595" s="6">
        <v>0.74</v>
      </c>
      <c r="D1595" s="6">
        <v>0.57999999999999996</v>
      </c>
      <c r="E1595" s="6">
        <v>0.73</v>
      </c>
      <c r="F1595" t="str">
        <f t="shared" si="678"/>
        <v>TUE</v>
      </c>
      <c r="G1595" s="3">
        <f>DATE(2020,5,12)</f>
        <v>43963</v>
      </c>
      <c r="H1595" s="2">
        <f t="shared" ca="1" si="680"/>
        <v>290</v>
      </c>
      <c r="I1595" t="str">
        <f t="shared" si="681"/>
        <v>UST10Y</v>
      </c>
      <c r="J1595">
        <f t="shared" si="682"/>
        <v>0.74</v>
      </c>
      <c r="K1595">
        <f t="shared" si="683"/>
        <v>0.57999999999999996</v>
      </c>
      <c r="L1595">
        <f t="shared" si="684"/>
        <v>0.65999999999999992</v>
      </c>
      <c r="M1595">
        <f t="shared" si="685"/>
        <v>8.0000000000000446E-2</v>
      </c>
      <c r="N1595">
        <f t="shared" si="675"/>
        <v>0.16000000000000003</v>
      </c>
      <c r="O1595">
        <f t="shared" si="686"/>
        <v>0.73</v>
      </c>
      <c r="P1595">
        <f t="shared" si="687"/>
        <v>0.87499999999999589</v>
      </c>
      <c r="Q1595" t="str">
        <f t="shared" si="676"/>
        <v>1.37% | 20.55%</v>
      </c>
      <c r="R1595" t="str">
        <f t="shared" si="688"/>
        <v>BEARISH</v>
      </c>
      <c r="S1595">
        <f t="shared" si="677"/>
        <v>-1</v>
      </c>
    </row>
    <row r="1596" spans="1:19" hidden="1" x14ac:dyDescent="0.25">
      <c r="A1596" s="5" t="str">
        <f t="shared" si="674"/>
        <v>43963UST2Y</v>
      </c>
      <c r="B1596" s="6" t="s">
        <v>5</v>
      </c>
      <c r="C1596" s="6">
        <v>0.22</v>
      </c>
      <c r="D1596" s="6">
        <v>0.12</v>
      </c>
      <c r="E1596" s="6">
        <v>0.17</v>
      </c>
      <c r="F1596" t="str">
        <f t="shared" ref="F1596:F1626" si="689">UPPER(TEXT(G1596,"ddd"))</f>
        <v>TUE</v>
      </c>
      <c r="G1596" s="3">
        <f t="shared" ref="G1596:G1625" si="690">DATE(2020,5,12)</f>
        <v>43963</v>
      </c>
      <c r="H1596" s="2">
        <f t="shared" ref="H1596:H1626" ca="1" si="691">TODAY()-G1596</f>
        <v>290</v>
      </c>
      <c r="I1596" t="str">
        <f t="shared" ref="I1596:I1626" si="692">TRIM(LEFT(B1596,FIND(" ",B1596,1)))</f>
        <v>UST2Y</v>
      </c>
      <c r="J1596">
        <f t="shared" ref="J1596:J1626" si="693">C1596</f>
        <v>0.22</v>
      </c>
      <c r="K1596">
        <f t="shared" ref="K1596:K1626" si="694">D1596</f>
        <v>0.12</v>
      </c>
      <c r="L1596">
        <f t="shared" ref="L1596:L1626" si="695">AVERAGE(J1596:K1596)</f>
        <v>0.16999999999999998</v>
      </c>
      <c r="M1596">
        <f t="shared" ref="M1596:M1626" si="696">_xlfn.STDEV.P(J1596:K1596)</f>
        <v>5.0000000000000024E-2</v>
      </c>
      <c r="N1596">
        <f t="shared" si="675"/>
        <v>0.1</v>
      </c>
      <c r="O1596">
        <f t="shared" ref="O1596:O1626" si="697">E1596</f>
        <v>0.17</v>
      </c>
      <c r="P1596">
        <f t="shared" ref="P1596:P1626" si="698">(O1596-L1596)/M1596</f>
        <v>5.5511151231257797E-16</v>
      </c>
      <c r="Q1596" t="str">
        <f t="shared" si="676"/>
        <v>29.41% | 29.41%</v>
      </c>
      <c r="R1596" t="str">
        <f t="shared" ref="R1596:R1626" si="699">MID(B1596,FIND("(",B1596,1)+1,FIND(")",B1596,1)-FIND("(",B1596,1)-1)</f>
        <v>BEARISH</v>
      </c>
      <c r="S1596">
        <f t="shared" si="677"/>
        <v>-1</v>
      </c>
    </row>
    <row r="1597" spans="1:19" hidden="1" x14ac:dyDescent="0.25">
      <c r="A1597" s="5" t="str">
        <f t="shared" si="674"/>
        <v>43963SPX</v>
      </c>
      <c r="B1597" s="6" t="s">
        <v>6</v>
      </c>
      <c r="C1597" s="6">
        <v>2806</v>
      </c>
      <c r="D1597" s="6">
        <v>2967</v>
      </c>
      <c r="E1597" s="6">
        <v>2930</v>
      </c>
      <c r="F1597" t="str">
        <f t="shared" si="689"/>
        <v>TUE</v>
      </c>
      <c r="G1597" s="3">
        <f t="shared" si="690"/>
        <v>43963</v>
      </c>
      <c r="H1597" s="2">
        <f t="shared" ca="1" si="691"/>
        <v>290</v>
      </c>
      <c r="I1597" t="str">
        <f t="shared" si="692"/>
        <v>SPX</v>
      </c>
      <c r="J1597">
        <f t="shared" si="693"/>
        <v>2806</v>
      </c>
      <c r="K1597">
        <f t="shared" si="694"/>
        <v>2967</v>
      </c>
      <c r="L1597">
        <f t="shared" si="695"/>
        <v>2886.5</v>
      </c>
      <c r="M1597">
        <f t="shared" si="696"/>
        <v>80.5</v>
      </c>
      <c r="N1597">
        <f t="shared" si="675"/>
        <v>161</v>
      </c>
      <c r="O1597">
        <f t="shared" si="697"/>
        <v>2930</v>
      </c>
      <c r="P1597">
        <f t="shared" si="698"/>
        <v>0.54037267080745344</v>
      </c>
      <c r="Q1597" t="str">
        <f t="shared" si="676"/>
        <v>4.23% | 1.26%</v>
      </c>
      <c r="R1597" t="str">
        <f t="shared" si="699"/>
        <v>BEARISH</v>
      </c>
      <c r="S1597">
        <f t="shared" si="677"/>
        <v>-1</v>
      </c>
    </row>
    <row r="1598" spans="1:19" hidden="1" x14ac:dyDescent="0.25">
      <c r="A1598" s="5" t="str">
        <f t="shared" si="674"/>
        <v>43963RUT</v>
      </c>
      <c r="B1598" s="6" t="s">
        <v>7</v>
      </c>
      <c r="C1598" s="6">
        <v>1223</v>
      </c>
      <c r="D1598" s="6">
        <v>1340</v>
      </c>
      <c r="E1598" s="6">
        <v>1321</v>
      </c>
      <c r="F1598" t="str">
        <f t="shared" si="689"/>
        <v>TUE</v>
      </c>
      <c r="G1598" s="3">
        <f t="shared" si="690"/>
        <v>43963</v>
      </c>
      <c r="H1598" s="2">
        <f t="shared" ca="1" si="691"/>
        <v>290</v>
      </c>
      <c r="I1598" t="str">
        <f t="shared" si="692"/>
        <v>RUT</v>
      </c>
      <c r="J1598">
        <f t="shared" si="693"/>
        <v>1223</v>
      </c>
      <c r="K1598">
        <f t="shared" si="694"/>
        <v>1340</v>
      </c>
      <c r="L1598">
        <f t="shared" si="695"/>
        <v>1281.5</v>
      </c>
      <c r="M1598">
        <f t="shared" si="696"/>
        <v>58.5</v>
      </c>
      <c r="N1598">
        <f t="shared" si="675"/>
        <v>117</v>
      </c>
      <c r="O1598">
        <f t="shared" si="697"/>
        <v>1321</v>
      </c>
      <c r="P1598">
        <f t="shared" si="698"/>
        <v>0.67521367521367526</v>
      </c>
      <c r="Q1598" t="str">
        <f t="shared" si="676"/>
        <v>7.42% | 1.44%</v>
      </c>
      <c r="R1598" t="str">
        <f t="shared" si="699"/>
        <v>BEARISH</v>
      </c>
      <c r="S1598">
        <f t="shared" si="677"/>
        <v>-1</v>
      </c>
    </row>
    <row r="1599" spans="1:19" hidden="1" x14ac:dyDescent="0.25">
      <c r="A1599" s="5" t="str">
        <f t="shared" si="674"/>
        <v>43963COMPQ</v>
      </c>
      <c r="B1599" s="6" t="s">
        <v>8</v>
      </c>
      <c r="C1599" s="6">
        <v>8582</v>
      </c>
      <c r="D1599" s="6">
        <v>9248</v>
      </c>
      <c r="E1599" s="6">
        <v>9192</v>
      </c>
      <c r="F1599" t="str">
        <f t="shared" si="689"/>
        <v>TUE</v>
      </c>
      <c r="G1599" s="3">
        <f t="shared" si="690"/>
        <v>43963</v>
      </c>
      <c r="H1599" s="2">
        <f t="shared" ca="1" si="691"/>
        <v>290</v>
      </c>
      <c r="I1599" t="str">
        <f t="shared" si="692"/>
        <v>COMPQ</v>
      </c>
      <c r="J1599">
        <f t="shared" si="693"/>
        <v>8582</v>
      </c>
      <c r="K1599">
        <f t="shared" si="694"/>
        <v>9248</v>
      </c>
      <c r="L1599">
        <f t="shared" si="695"/>
        <v>8915</v>
      </c>
      <c r="M1599">
        <f t="shared" si="696"/>
        <v>333</v>
      </c>
      <c r="N1599">
        <f t="shared" si="675"/>
        <v>666</v>
      </c>
      <c r="O1599">
        <f t="shared" si="697"/>
        <v>9192</v>
      </c>
      <c r="P1599">
        <f t="shared" si="698"/>
        <v>0.83183183183183185</v>
      </c>
      <c r="Q1599" t="str">
        <f t="shared" si="676"/>
        <v>6.64% | 0.61%</v>
      </c>
      <c r="R1599" t="str">
        <f t="shared" si="699"/>
        <v>BULLISH</v>
      </c>
      <c r="S1599">
        <f t="shared" si="677"/>
        <v>1</v>
      </c>
    </row>
    <row r="1600" spans="1:19" hidden="1" x14ac:dyDescent="0.25">
      <c r="A1600" s="5" t="str">
        <f t="shared" si="674"/>
        <v>43963XLV</v>
      </c>
      <c r="B1600" s="6" t="s">
        <v>9</v>
      </c>
      <c r="C1600" s="6">
        <v>96.2</v>
      </c>
      <c r="D1600" s="6">
        <v>101.66</v>
      </c>
      <c r="E1600" s="6">
        <v>101.12</v>
      </c>
      <c r="F1600" t="str">
        <f t="shared" si="689"/>
        <v>TUE</v>
      </c>
      <c r="G1600" s="3">
        <f t="shared" si="690"/>
        <v>43963</v>
      </c>
      <c r="H1600" s="2">
        <f t="shared" ca="1" si="691"/>
        <v>290</v>
      </c>
      <c r="I1600" t="str">
        <f t="shared" si="692"/>
        <v>XLV</v>
      </c>
      <c r="J1600">
        <f t="shared" si="693"/>
        <v>96.2</v>
      </c>
      <c r="K1600">
        <f t="shared" si="694"/>
        <v>101.66</v>
      </c>
      <c r="L1600">
        <f t="shared" si="695"/>
        <v>98.93</v>
      </c>
      <c r="M1600">
        <f t="shared" si="696"/>
        <v>2.7299999999999969</v>
      </c>
      <c r="N1600">
        <f t="shared" si="675"/>
        <v>5.4599999999999937</v>
      </c>
      <c r="O1600">
        <f t="shared" si="697"/>
        <v>101.12</v>
      </c>
      <c r="P1600">
        <f t="shared" si="698"/>
        <v>0.80219780219780223</v>
      </c>
      <c r="Q1600" t="str">
        <f t="shared" si="676"/>
        <v>4.87% | 0.53%</v>
      </c>
      <c r="R1600" t="str">
        <f t="shared" si="699"/>
        <v>BULLISH</v>
      </c>
      <c r="S1600">
        <f t="shared" si="677"/>
        <v>1</v>
      </c>
    </row>
    <row r="1601" spans="1:19" hidden="1" x14ac:dyDescent="0.25">
      <c r="A1601" s="5" t="str">
        <f t="shared" si="674"/>
        <v>43963XLP</v>
      </c>
      <c r="B1601" s="6" t="s">
        <v>50</v>
      </c>
      <c r="C1601" s="6">
        <v>56.27</v>
      </c>
      <c r="D1601" s="6">
        <v>59.11</v>
      </c>
      <c r="E1601" s="6">
        <v>58.04</v>
      </c>
      <c r="F1601" t="str">
        <f t="shared" si="689"/>
        <v>TUE</v>
      </c>
      <c r="G1601" s="3">
        <f t="shared" si="690"/>
        <v>43963</v>
      </c>
      <c r="H1601" s="2">
        <f t="shared" ca="1" si="691"/>
        <v>290</v>
      </c>
      <c r="I1601" t="str">
        <f t="shared" si="692"/>
        <v>XLP</v>
      </c>
      <c r="J1601">
        <f t="shared" si="693"/>
        <v>56.27</v>
      </c>
      <c r="K1601">
        <f t="shared" si="694"/>
        <v>59.11</v>
      </c>
      <c r="L1601">
        <f t="shared" si="695"/>
        <v>57.69</v>
      </c>
      <c r="M1601">
        <f t="shared" si="696"/>
        <v>1.4199999999999982</v>
      </c>
      <c r="N1601">
        <f t="shared" si="675"/>
        <v>2.8399999999999963</v>
      </c>
      <c r="O1601">
        <f t="shared" si="697"/>
        <v>58.04</v>
      </c>
      <c r="P1601">
        <f t="shared" si="698"/>
        <v>0.24647887323943793</v>
      </c>
      <c r="Q1601" t="str">
        <f t="shared" si="676"/>
        <v>3.05% | 1.84%</v>
      </c>
      <c r="R1601" t="str">
        <f t="shared" si="699"/>
        <v>NEUTRAL</v>
      </c>
      <c r="S1601">
        <f t="shared" si="677"/>
        <v>0</v>
      </c>
    </row>
    <row r="1602" spans="1:19" hidden="1" x14ac:dyDescent="0.25">
      <c r="A1602" s="5" t="str">
        <f t="shared" si="674"/>
        <v>43963XLU</v>
      </c>
      <c r="B1602" s="6" t="s">
        <v>82</v>
      </c>
      <c r="C1602" s="6">
        <v>54.93</v>
      </c>
      <c r="D1602" s="6">
        <v>58.67</v>
      </c>
      <c r="E1602" s="6">
        <v>55.92</v>
      </c>
      <c r="F1602" t="str">
        <f t="shared" si="689"/>
        <v>TUE</v>
      </c>
      <c r="G1602" s="3">
        <f t="shared" si="690"/>
        <v>43963</v>
      </c>
      <c r="H1602" s="2">
        <f t="shared" ca="1" si="691"/>
        <v>290</v>
      </c>
      <c r="I1602" t="str">
        <f t="shared" si="692"/>
        <v>XLU</v>
      </c>
      <c r="J1602">
        <f t="shared" si="693"/>
        <v>54.93</v>
      </c>
      <c r="K1602">
        <f t="shared" si="694"/>
        <v>58.67</v>
      </c>
      <c r="L1602">
        <f t="shared" si="695"/>
        <v>56.8</v>
      </c>
      <c r="M1602">
        <f t="shared" si="696"/>
        <v>1.870000000000001</v>
      </c>
      <c r="N1602">
        <f t="shared" si="675"/>
        <v>3.740000000000002</v>
      </c>
      <c r="O1602">
        <f t="shared" si="697"/>
        <v>55.92</v>
      </c>
      <c r="P1602">
        <f t="shared" si="698"/>
        <v>-0.47058823529411498</v>
      </c>
      <c r="Q1602" t="str">
        <f t="shared" si="676"/>
        <v>1.77% | 4.92%</v>
      </c>
      <c r="R1602" t="str">
        <f t="shared" si="699"/>
        <v>BEARISH</v>
      </c>
      <c r="S1602">
        <f t="shared" si="677"/>
        <v>-1</v>
      </c>
    </row>
    <row r="1603" spans="1:19" hidden="1" x14ac:dyDescent="0.25">
      <c r="A1603" s="5" t="str">
        <f t="shared" ref="A1603:A1666" si="700">G1603&amp;I1603</f>
        <v>43963XLK</v>
      </c>
      <c r="B1603" s="6" t="s">
        <v>10</v>
      </c>
      <c r="C1603" s="6">
        <v>88.56</v>
      </c>
      <c r="D1603" s="6">
        <v>96.29</v>
      </c>
      <c r="E1603" s="6">
        <v>95.41</v>
      </c>
      <c r="F1603" t="str">
        <f t="shared" si="689"/>
        <v>TUE</v>
      </c>
      <c r="G1603" s="3">
        <f t="shared" si="690"/>
        <v>43963</v>
      </c>
      <c r="H1603" s="2">
        <f t="shared" ca="1" si="691"/>
        <v>290</v>
      </c>
      <c r="I1603" t="str">
        <f t="shared" si="692"/>
        <v>XLK</v>
      </c>
      <c r="J1603">
        <f t="shared" si="693"/>
        <v>88.56</v>
      </c>
      <c r="K1603">
        <f t="shared" si="694"/>
        <v>96.29</v>
      </c>
      <c r="L1603">
        <f t="shared" si="695"/>
        <v>92.425000000000011</v>
      </c>
      <c r="M1603">
        <f t="shared" si="696"/>
        <v>3.865000000000002</v>
      </c>
      <c r="N1603">
        <f t="shared" ref="N1603:N1666" si="701">ABS(K1603-J1603)</f>
        <v>7.730000000000004</v>
      </c>
      <c r="O1603">
        <f t="shared" si="697"/>
        <v>95.41</v>
      </c>
      <c r="P1603">
        <f t="shared" si="698"/>
        <v>0.77231565329883145</v>
      </c>
      <c r="Q1603" t="str">
        <f t="shared" ref="Q1603:Q1666" si="702">ROUND(ABS(100*(O1603-J1603)/O1603),2)&amp;"% | "&amp;ROUND(ABS(100*(K1603-O1603)/O1603),2)&amp;"%"</f>
        <v>7.18% | 0.92%</v>
      </c>
      <c r="R1603" t="str">
        <f t="shared" si="699"/>
        <v>BULLISH</v>
      </c>
      <c r="S1603">
        <f t="shared" ref="S1603:S1666" si="703">IF(R1603="BEARISH",-1,IF(R1603="NEUTRAL",0,IF(R1603="BULLISH",1,99)))</f>
        <v>1</v>
      </c>
    </row>
    <row r="1604" spans="1:19" hidden="1" x14ac:dyDescent="0.25">
      <c r="A1604" s="5" t="str">
        <f t="shared" si="700"/>
        <v>43963XLF</v>
      </c>
      <c r="B1604" s="6" t="s">
        <v>12</v>
      </c>
      <c r="C1604" s="6">
        <v>20.27</v>
      </c>
      <c r="D1604" s="6">
        <v>23.4</v>
      </c>
      <c r="E1604" s="6">
        <v>21.86</v>
      </c>
      <c r="F1604" t="str">
        <f t="shared" si="689"/>
        <v>TUE</v>
      </c>
      <c r="G1604" s="3">
        <f t="shared" si="690"/>
        <v>43963</v>
      </c>
      <c r="H1604" s="2">
        <f t="shared" ca="1" si="691"/>
        <v>290</v>
      </c>
      <c r="I1604" t="str">
        <f t="shared" si="692"/>
        <v>XLF</v>
      </c>
      <c r="J1604">
        <f t="shared" si="693"/>
        <v>20.27</v>
      </c>
      <c r="K1604">
        <f t="shared" si="694"/>
        <v>23.4</v>
      </c>
      <c r="L1604">
        <f t="shared" si="695"/>
        <v>21.835000000000001</v>
      </c>
      <c r="M1604">
        <f t="shared" si="696"/>
        <v>1.5649999999999995</v>
      </c>
      <c r="N1604">
        <f t="shared" si="701"/>
        <v>3.129999999999999</v>
      </c>
      <c r="O1604">
        <f t="shared" si="697"/>
        <v>21.86</v>
      </c>
      <c r="P1604">
        <f t="shared" si="698"/>
        <v>1.5974440894567787E-2</v>
      </c>
      <c r="Q1604" t="str">
        <f t="shared" si="702"/>
        <v>7.27% | 7.04%</v>
      </c>
      <c r="R1604" t="str">
        <f t="shared" si="699"/>
        <v>BEARISH</v>
      </c>
      <c r="S1604">
        <f t="shared" si="703"/>
        <v>-1</v>
      </c>
    </row>
    <row r="1605" spans="1:19" hidden="1" x14ac:dyDescent="0.25">
      <c r="A1605" s="5" t="str">
        <f t="shared" si="700"/>
        <v>43963SSEC</v>
      </c>
      <c r="B1605" s="6" t="s">
        <v>14</v>
      </c>
      <c r="C1605" s="6">
        <v>2790</v>
      </c>
      <c r="D1605" s="6">
        <v>2910</v>
      </c>
      <c r="E1605" s="6">
        <v>2891</v>
      </c>
      <c r="F1605" t="str">
        <f t="shared" si="689"/>
        <v>TUE</v>
      </c>
      <c r="G1605" s="3">
        <f t="shared" si="690"/>
        <v>43963</v>
      </c>
      <c r="H1605" s="2">
        <f t="shared" ca="1" si="691"/>
        <v>290</v>
      </c>
      <c r="I1605" t="str">
        <f t="shared" si="692"/>
        <v>SSEC</v>
      </c>
      <c r="J1605">
        <f t="shared" si="693"/>
        <v>2790</v>
      </c>
      <c r="K1605">
        <f t="shared" si="694"/>
        <v>2910</v>
      </c>
      <c r="L1605">
        <f t="shared" si="695"/>
        <v>2850</v>
      </c>
      <c r="M1605">
        <f t="shared" si="696"/>
        <v>60</v>
      </c>
      <c r="N1605">
        <f t="shared" si="701"/>
        <v>120</v>
      </c>
      <c r="O1605">
        <f t="shared" si="697"/>
        <v>2891</v>
      </c>
      <c r="P1605">
        <f t="shared" si="698"/>
        <v>0.68333333333333335</v>
      </c>
      <c r="Q1605" t="str">
        <f t="shared" si="702"/>
        <v>3.49% | 0.66%</v>
      </c>
      <c r="R1605" t="str">
        <f t="shared" si="699"/>
        <v>BEARISH</v>
      </c>
      <c r="S1605">
        <f t="shared" si="703"/>
        <v>-1</v>
      </c>
    </row>
    <row r="1606" spans="1:19" hidden="1" x14ac:dyDescent="0.25">
      <c r="A1606" s="5" t="str">
        <f t="shared" si="700"/>
        <v>43963NIKK</v>
      </c>
      <c r="B1606" s="6" t="s">
        <v>15</v>
      </c>
      <c r="C1606" s="6">
        <v>18809</v>
      </c>
      <c r="D1606" s="6">
        <v>20491</v>
      </c>
      <c r="E1606" s="6">
        <v>20366</v>
      </c>
      <c r="F1606" t="str">
        <f t="shared" si="689"/>
        <v>TUE</v>
      </c>
      <c r="G1606" s="3">
        <f t="shared" si="690"/>
        <v>43963</v>
      </c>
      <c r="H1606" s="2">
        <f t="shared" ca="1" si="691"/>
        <v>290</v>
      </c>
      <c r="I1606" t="str">
        <f t="shared" si="692"/>
        <v>NIKK</v>
      </c>
      <c r="J1606">
        <f t="shared" si="693"/>
        <v>18809</v>
      </c>
      <c r="K1606">
        <f t="shared" si="694"/>
        <v>20491</v>
      </c>
      <c r="L1606">
        <f t="shared" si="695"/>
        <v>19650</v>
      </c>
      <c r="M1606">
        <f t="shared" si="696"/>
        <v>841</v>
      </c>
      <c r="N1606">
        <f t="shared" si="701"/>
        <v>1682</v>
      </c>
      <c r="O1606">
        <f t="shared" si="697"/>
        <v>20366</v>
      </c>
      <c r="P1606">
        <f t="shared" si="698"/>
        <v>0.85136741973840668</v>
      </c>
      <c r="Q1606" t="str">
        <f t="shared" si="702"/>
        <v>7.65% | 0.61%</v>
      </c>
      <c r="R1606" t="str">
        <f t="shared" si="699"/>
        <v>BEARISH</v>
      </c>
      <c r="S1606">
        <f t="shared" si="703"/>
        <v>-1</v>
      </c>
    </row>
    <row r="1607" spans="1:19" hidden="1" x14ac:dyDescent="0.25">
      <c r="A1607" s="5" t="str">
        <f t="shared" si="700"/>
        <v>43963DAX</v>
      </c>
      <c r="B1607" s="6" t="s">
        <v>16</v>
      </c>
      <c r="C1607" s="6">
        <v>10406</v>
      </c>
      <c r="D1607" s="6">
        <v>11120</v>
      </c>
      <c r="E1607" s="6">
        <v>10823</v>
      </c>
      <c r="F1607" t="str">
        <f t="shared" si="689"/>
        <v>TUE</v>
      </c>
      <c r="G1607" s="3">
        <f t="shared" si="690"/>
        <v>43963</v>
      </c>
      <c r="H1607" s="2">
        <f t="shared" ca="1" si="691"/>
        <v>290</v>
      </c>
      <c r="I1607" t="str">
        <f t="shared" si="692"/>
        <v>DAX</v>
      </c>
      <c r="J1607">
        <f t="shared" si="693"/>
        <v>10406</v>
      </c>
      <c r="K1607">
        <f t="shared" si="694"/>
        <v>11120</v>
      </c>
      <c r="L1607">
        <f t="shared" si="695"/>
        <v>10763</v>
      </c>
      <c r="M1607">
        <f t="shared" si="696"/>
        <v>357</v>
      </c>
      <c r="N1607">
        <f t="shared" si="701"/>
        <v>714</v>
      </c>
      <c r="O1607">
        <f t="shared" si="697"/>
        <v>10823</v>
      </c>
      <c r="P1607">
        <f t="shared" si="698"/>
        <v>0.16806722689075632</v>
      </c>
      <c r="Q1607" t="str">
        <f t="shared" si="702"/>
        <v>3.85% | 2.74%</v>
      </c>
      <c r="R1607" t="str">
        <f t="shared" si="699"/>
        <v>BEARISH</v>
      </c>
      <c r="S1607">
        <f t="shared" si="703"/>
        <v>-1</v>
      </c>
    </row>
    <row r="1608" spans="1:19" hidden="1" x14ac:dyDescent="0.25">
      <c r="A1608" s="5" t="str">
        <f t="shared" si="700"/>
        <v>43963VIX</v>
      </c>
      <c r="B1608" s="6" t="s">
        <v>17</v>
      </c>
      <c r="C1608" s="6">
        <v>26.23</v>
      </c>
      <c r="D1608" s="6">
        <v>39.840000000000003</v>
      </c>
      <c r="E1608" s="6">
        <v>27.57</v>
      </c>
      <c r="F1608" t="str">
        <f t="shared" si="689"/>
        <v>TUE</v>
      </c>
      <c r="G1608" s="3">
        <f t="shared" si="690"/>
        <v>43963</v>
      </c>
      <c r="H1608" s="2">
        <f t="shared" ca="1" si="691"/>
        <v>290</v>
      </c>
      <c r="I1608" t="str">
        <f t="shared" si="692"/>
        <v>VIX</v>
      </c>
      <c r="J1608">
        <f t="shared" si="693"/>
        <v>26.23</v>
      </c>
      <c r="K1608">
        <f t="shared" si="694"/>
        <v>39.840000000000003</v>
      </c>
      <c r="L1608">
        <f t="shared" si="695"/>
        <v>33.035000000000004</v>
      </c>
      <c r="M1608">
        <f t="shared" si="696"/>
        <v>6.8050000000000033</v>
      </c>
      <c r="N1608">
        <f t="shared" si="701"/>
        <v>13.610000000000003</v>
      </c>
      <c r="O1608">
        <f t="shared" si="697"/>
        <v>27.57</v>
      </c>
      <c r="P1608">
        <f t="shared" si="698"/>
        <v>-0.80308596620132267</v>
      </c>
      <c r="Q1608" t="str">
        <f t="shared" si="702"/>
        <v>4.86% | 44.5%</v>
      </c>
      <c r="R1608" t="str">
        <f t="shared" si="699"/>
        <v>BULLISH</v>
      </c>
      <c r="S1608">
        <f t="shared" si="703"/>
        <v>1</v>
      </c>
    </row>
    <row r="1609" spans="1:19" hidden="1" x14ac:dyDescent="0.25">
      <c r="A1609" s="5" t="str">
        <f t="shared" si="700"/>
        <v>43963USD</v>
      </c>
      <c r="B1609" s="6" t="s">
        <v>18</v>
      </c>
      <c r="C1609" s="6">
        <v>99.09</v>
      </c>
      <c r="D1609" s="6">
        <v>100.77</v>
      </c>
      <c r="E1609" s="6">
        <v>100.27</v>
      </c>
      <c r="F1609" t="str">
        <f t="shared" si="689"/>
        <v>TUE</v>
      </c>
      <c r="G1609" s="3">
        <f t="shared" si="690"/>
        <v>43963</v>
      </c>
      <c r="H1609" s="2">
        <f t="shared" ca="1" si="691"/>
        <v>290</v>
      </c>
      <c r="I1609" t="str">
        <f t="shared" si="692"/>
        <v>USD</v>
      </c>
      <c r="J1609">
        <f t="shared" si="693"/>
        <v>99.09</v>
      </c>
      <c r="K1609">
        <f t="shared" si="694"/>
        <v>100.77</v>
      </c>
      <c r="L1609">
        <f t="shared" si="695"/>
        <v>99.93</v>
      </c>
      <c r="M1609">
        <f t="shared" si="696"/>
        <v>0.83999999999999631</v>
      </c>
      <c r="N1609">
        <f t="shared" si="701"/>
        <v>1.6799999999999926</v>
      </c>
      <c r="O1609">
        <f t="shared" si="697"/>
        <v>100.27</v>
      </c>
      <c r="P1609">
        <f t="shared" si="698"/>
        <v>0.40476190476189366</v>
      </c>
      <c r="Q1609" t="str">
        <f t="shared" si="702"/>
        <v>1.18% | 0.5%</v>
      </c>
      <c r="R1609" t="str">
        <f t="shared" si="699"/>
        <v>BULLISH</v>
      </c>
      <c r="S1609">
        <f t="shared" si="703"/>
        <v>1</v>
      </c>
    </row>
    <row r="1610" spans="1:19" hidden="1" x14ac:dyDescent="0.25">
      <c r="A1610" s="5" t="str">
        <f t="shared" si="700"/>
        <v>43963EUR/USD</v>
      </c>
      <c r="B1610" s="6" t="s">
        <v>19</v>
      </c>
      <c r="C1610" s="6">
        <v>1.07</v>
      </c>
      <c r="D1610" s="6">
        <v>1.0900000000000001</v>
      </c>
      <c r="E1610" s="6">
        <v>1.08</v>
      </c>
      <c r="F1610" t="str">
        <f t="shared" si="689"/>
        <v>TUE</v>
      </c>
      <c r="G1610" s="3">
        <f t="shared" si="690"/>
        <v>43963</v>
      </c>
      <c r="H1610" s="2">
        <f t="shared" ca="1" si="691"/>
        <v>290</v>
      </c>
      <c r="I1610" t="str">
        <f t="shared" si="692"/>
        <v>EUR/USD</v>
      </c>
      <c r="J1610">
        <f t="shared" si="693"/>
        <v>1.07</v>
      </c>
      <c r="K1610">
        <f t="shared" si="694"/>
        <v>1.0900000000000001</v>
      </c>
      <c r="L1610">
        <f t="shared" si="695"/>
        <v>1.08</v>
      </c>
      <c r="M1610">
        <f t="shared" si="696"/>
        <v>1.0000000000000009E-2</v>
      </c>
      <c r="N1610">
        <f t="shared" si="701"/>
        <v>2.0000000000000018E-2</v>
      </c>
      <c r="O1610">
        <f t="shared" si="697"/>
        <v>1.08</v>
      </c>
      <c r="P1610">
        <f t="shared" si="698"/>
        <v>0</v>
      </c>
      <c r="Q1610" t="str">
        <f t="shared" si="702"/>
        <v>0.93% | 0.93%</v>
      </c>
      <c r="R1610" t="str">
        <f t="shared" si="699"/>
        <v>BEARISH</v>
      </c>
      <c r="S1610">
        <f t="shared" si="703"/>
        <v>-1</v>
      </c>
    </row>
    <row r="1611" spans="1:19" hidden="1" x14ac:dyDescent="0.25">
      <c r="A1611" s="5" t="str">
        <f t="shared" si="700"/>
        <v>43963USD/JPY</v>
      </c>
      <c r="B1611" s="6" t="s">
        <v>20</v>
      </c>
      <c r="C1611" s="6">
        <v>105.75</v>
      </c>
      <c r="D1611" s="6">
        <v>108.07</v>
      </c>
      <c r="E1611" s="6">
        <v>107.64</v>
      </c>
      <c r="F1611" t="str">
        <f t="shared" si="689"/>
        <v>TUE</v>
      </c>
      <c r="G1611" s="3">
        <f t="shared" si="690"/>
        <v>43963</v>
      </c>
      <c r="H1611" s="2">
        <f t="shared" ca="1" si="691"/>
        <v>290</v>
      </c>
      <c r="I1611" t="str">
        <f t="shared" si="692"/>
        <v>USD/JPY</v>
      </c>
      <c r="J1611">
        <f t="shared" si="693"/>
        <v>105.75</v>
      </c>
      <c r="K1611">
        <f t="shared" si="694"/>
        <v>108.07</v>
      </c>
      <c r="L1611">
        <f t="shared" si="695"/>
        <v>106.91</v>
      </c>
      <c r="M1611">
        <f t="shared" si="696"/>
        <v>1.1599999999999966</v>
      </c>
      <c r="N1611">
        <f t="shared" si="701"/>
        <v>2.3199999999999932</v>
      </c>
      <c r="O1611">
        <f t="shared" si="697"/>
        <v>107.64</v>
      </c>
      <c r="P1611">
        <f t="shared" si="698"/>
        <v>0.62931034482759152</v>
      </c>
      <c r="Q1611" t="str">
        <f t="shared" si="702"/>
        <v>1.76% | 0.4%</v>
      </c>
      <c r="R1611" t="str">
        <f t="shared" si="699"/>
        <v>BEARISH</v>
      </c>
      <c r="S1611">
        <f t="shared" si="703"/>
        <v>-1</v>
      </c>
    </row>
    <row r="1612" spans="1:19" hidden="1" x14ac:dyDescent="0.25">
      <c r="A1612" s="5" t="str">
        <f t="shared" si="700"/>
        <v>43963GBP/USD</v>
      </c>
      <c r="B1612" s="6" t="s">
        <v>21</v>
      </c>
      <c r="C1612" s="6">
        <v>1.22</v>
      </c>
      <c r="D1612" s="6">
        <v>1.25</v>
      </c>
      <c r="E1612" s="6">
        <v>1.23</v>
      </c>
      <c r="F1612" t="str">
        <f t="shared" si="689"/>
        <v>TUE</v>
      </c>
      <c r="G1612" s="3">
        <f t="shared" si="690"/>
        <v>43963</v>
      </c>
      <c r="H1612" s="2">
        <f t="shared" ca="1" si="691"/>
        <v>290</v>
      </c>
      <c r="I1612" t="str">
        <f t="shared" si="692"/>
        <v>GBP/USD</v>
      </c>
      <c r="J1612">
        <f t="shared" si="693"/>
        <v>1.22</v>
      </c>
      <c r="K1612">
        <f t="shared" si="694"/>
        <v>1.25</v>
      </c>
      <c r="L1612">
        <f t="shared" si="695"/>
        <v>1.2349999999999999</v>
      </c>
      <c r="M1612">
        <f t="shared" si="696"/>
        <v>1.5000000000000013E-2</v>
      </c>
      <c r="N1612">
        <f t="shared" si="701"/>
        <v>3.0000000000000027E-2</v>
      </c>
      <c r="O1612">
        <f t="shared" si="697"/>
        <v>1.23</v>
      </c>
      <c r="P1612">
        <f t="shared" si="698"/>
        <v>-0.33333333333332593</v>
      </c>
      <c r="Q1612" t="str">
        <f t="shared" si="702"/>
        <v>0.81% | 1.63%</v>
      </c>
      <c r="R1612" t="str">
        <f t="shared" si="699"/>
        <v>BEARISH</v>
      </c>
      <c r="S1612">
        <f t="shared" si="703"/>
        <v>-1</v>
      </c>
    </row>
    <row r="1613" spans="1:19" hidden="1" x14ac:dyDescent="0.25">
      <c r="A1613" s="5" t="str">
        <f t="shared" si="700"/>
        <v>43963USD/CHF</v>
      </c>
      <c r="B1613" s="6" t="s">
        <v>22</v>
      </c>
      <c r="C1613" s="6">
        <v>0.96</v>
      </c>
      <c r="D1613" s="6">
        <v>0.98</v>
      </c>
      <c r="E1613" s="6">
        <v>0.97</v>
      </c>
      <c r="F1613" t="str">
        <f t="shared" si="689"/>
        <v>TUE</v>
      </c>
      <c r="G1613" s="3">
        <f t="shared" si="690"/>
        <v>43963</v>
      </c>
      <c r="H1613" s="2">
        <f t="shared" ca="1" si="691"/>
        <v>290</v>
      </c>
      <c r="I1613" t="str">
        <f t="shared" si="692"/>
        <v>USD/CHF</v>
      </c>
      <c r="J1613">
        <f t="shared" si="693"/>
        <v>0.96</v>
      </c>
      <c r="K1613">
        <f t="shared" si="694"/>
        <v>0.98</v>
      </c>
      <c r="L1613">
        <f t="shared" si="695"/>
        <v>0.97</v>
      </c>
      <c r="M1613">
        <f t="shared" si="696"/>
        <v>1.0000000000000009E-2</v>
      </c>
      <c r="N1613">
        <f t="shared" si="701"/>
        <v>2.0000000000000018E-2</v>
      </c>
      <c r="O1613">
        <f t="shared" si="697"/>
        <v>0.97</v>
      </c>
      <c r="P1613">
        <f t="shared" si="698"/>
        <v>0</v>
      </c>
      <c r="Q1613" t="str">
        <f t="shared" si="702"/>
        <v>1.03% | 1.03%</v>
      </c>
      <c r="R1613" t="str">
        <f t="shared" si="699"/>
        <v>NEUTRAL</v>
      </c>
      <c r="S1613">
        <f t="shared" si="703"/>
        <v>0</v>
      </c>
    </row>
    <row r="1614" spans="1:19" hidden="1" x14ac:dyDescent="0.25">
      <c r="A1614" s="5" t="str">
        <f t="shared" si="700"/>
        <v>43963WTIC</v>
      </c>
      <c r="B1614" s="6" t="s">
        <v>23</v>
      </c>
      <c r="C1614" s="6">
        <v>14.62</v>
      </c>
      <c r="D1614" s="6">
        <v>29.13</v>
      </c>
      <c r="E1614" s="6">
        <v>25.08</v>
      </c>
      <c r="F1614" t="str">
        <f t="shared" si="689"/>
        <v>TUE</v>
      </c>
      <c r="G1614" s="3">
        <f t="shared" si="690"/>
        <v>43963</v>
      </c>
      <c r="H1614" s="2">
        <f t="shared" ca="1" si="691"/>
        <v>290</v>
      </c>
      <c r="I1614" t="str">
        <f t="shared" si="692"/>
        <v>WTIC</v>
      </c>
      <c r="J1614">
        <f t="shared" si="693"/>
        <v>14.62</v>
      </c>
      <c r="K1614">
        <f t="shared" si="694"/>
        <v>29.13</v>
      </c>
      <c r="L1614">
        <f t="shared" si="695"/>
        <v>21.875</v>
      </c>
      <c r="M1614">
        <f t="shared" si="696"/>
        <v>7.2549999999999955</v>
      </c>
      <c r="N1614">
        <f t="shared" si="701"/>
        <v>14.51</v>
      </c>
      <c r="O1614">
        <f t="shared" si="697"/>
        <v>25.08</v>
      </c>
      <c r="P1614">
        <f t="shared" si="698"/>
        <v>0.44176430048242593</v>
      </c>
      <c r="Q1614" t="str">
        <f t="shared" si="702"/>
        <v>41.71% | 16.15%</v>
      </c>
      <c r="R1614" t="str">
        <f t="shared" si="699"/>
        <v>BEARISH</v>
      </c>
      <c r="S1614">
        <f t="shared" si="703"/>
        <v>-1</v>
      </c>
    </row>
    <row r="1615" spans="1:19" hidden="1" x14ac:dyDescent="0.25">
      <c r="A1615" s="5" t="str">
        <f t="shared" si="700"/>
        <v>43963NATGAS</v>
      </c>
      <c r="B1615" s="6" t="s">
        <v>24</v>
      </c>
      <c r="C1615" s="6">
        <v>1.73</v>
      </c>
      <c r="D1615" s="6">
        <v>2.09</v>
      </c>
      <c r="E1615" s="6">
        <v>1.83</v>
      </c>
      <c r="F1615" t="str">
        <f t="shared" si="689"/>
        <v>TUE</v>
      </c>
      <c r="G1615" s="3">
        <f t="shared" si="690"/>
        <v>43963</v>
      </c>
      <c r="H1615" s="2">
        <f t="shared" ca="1" si="691"/>
        <v>290</v>
      </c>
      <c r="I1615" t="str">
        <f t="shared" si="692"/>
        <v>NATGAS</v>
      </c>
      <c r="J1615">
        <f t="shared" si="693"/>
        <v>1.73</v>
      </c>
      <c r="K1615">
        <f t="shared" si="694"/>
        <v>2.09</v>
      </c>
      <c r="L1615">
        <f t="shared" si="695"/>
        <v>1.91</v>
      </c>
      <c r="M1615">
        <f t="shared" si="696"/>
        <v>0.17999999999999994</v>
      </c>
      <c r="N1615">
        <f t="shared" si="701"/>
        <v>0.35999999999999988</v>
      </c>
      <c r="O1615">
        <f t="shared" si="697"/>
        <v>1.83</v>
      </c>
      <c r="P1615">
        <f t="shared" si="698"/>
        <v>-0.44444444444444375</v>
      </c>
      <c r="Q1615" t="str">
        <f t="shared" si="702"/>
        <v>5.46% | 14.21%</v>
      </c>
      <c r="R1615" t="str">
        <f t="shared" si="699"/>
        <v>BEARISH</v>
      </c>
      <c r="S1615">
        <f t="shared" si="703"/>
        <v>-1</v>
      </c>
    </row>
    <row r="1616" spans="1:19" hidden="1" x14ac:dyDescent="0.25">
      <c r="A1616" s="5" t="str">
        <f t="shared" si="700"/>
        <v>43963GOLD</v>
      </c>
      <c r="B1616" s="6" t="s">
        <v>25</v>
      </c>
      <c r="C1616" s="6">
        <v>1684</v>
      </c>
      <c r="D1616" s="6">
        <v>1738</v>
      </c>
      <c r="E1616" s="6">
        <v>1698</v>
      </c>
      <c r="F1616" t="str">
        <f t="shared" si="689"/>
        <v>TUE</v>
      </c>
      <c r="G1616" s="3">
        <f t="shared" si="690"/>
        <v>43963</v>
      </c>
      <c r="H1616" s="2">
        <f t="shared" ca="1" si="691"/>
        <v>290</v>
      </c>
      <c r="I1616" t="str">
        <f t="shared" si="692"/>
        <v>GOLD</v>
      </c>
      <c r="J1616">
        <f t="shared" si="693"/>
        <v>1684</v>
      </c>
      <c r="K1616">
        <f t="shared" si="694"/>
        <v>1738</v>
      </c>
      <c r="L1616">
        <f t="shared" si="695"/>
        <v>1711</v>
      </c>
      <c r="M1616">
        <f t="shared" si="696"/>
        <v>27</v>
      </c>
      <c r="N1616">
        <f t="shared" si="701"/>
        <v>54</v>
      </c>
      <c r="O1616">
        <f t="shared" si="697"/>
        <v>1698</v>
      </c>
      <c r="P1616">
        <f t="shared" si="698"/>
        <v>-0.48148148148148145</v>
      </c>
      <c r="Q1616" t="str">
        <f t="shared" si="702"/>
        <v>0.82% | 2.36%</v>
      </c>
      <c r="R1616" t="str">
        <f t="shared" si="699"/>
        <v>BULLISH</v>
      </c>
      <c r="S1616">
        <f t="shared" si="703"/>
        <v>1</v>
      </c>
    </row>
    <row r="1617" spans="1:19" hidden="1" x14ac:dyDescent="0.25">
      <c r="A1617" s="5" t="str">
        <f t="shared" si="700"/>
        <v>43963COPPER</v>
      </c>
      <c r="B1617" s="6" t="s">
        <v>26</v>
      </c>
      <c r="C1617" s="6">
        <v>2.31</v>
      </c>
      <c r="D1617" s="6">
        <v>2.42</v>
      </c>
      <c r="E1617" s="6">
        <v>2.38</v>
      </c>
      <c r="F1617" t="str">
        <f t="shared" si="689"/>
        <v>TUE</v>
      </c>
      <c r="G1617" s="3">
        <f t="shared" si="690"/>
        <v>43963</v>
      </c>
      <c r="H1617" s="2">
        <f t="shared" ca="1" si="691"/>
        <v>290</v>
      </c>
      <c r="I1617" t="str">
        <f t="shared" si="692"/>
        <v>COPPER</v>
      </c>
      <c r="J1617">
        <f t="shared" si="693"/>
        <v>2.31</v>
      </c>
      <c r="K1617">
        <f t="shared" si="694"/>
        <v>2.42</v>
      </c>
      <c r="L1617">
        <f t="shared" si="695"/>
        <v>2.3650000000000002</v>
      </c>
      <c r="M1617">
        <f t="shared" si="696"/>
        <v>5.4999999999999938E-2</v>
      </c>
      <c r="N1617">
        <f t="shared" si="701"/>
        <v>0.10999999999999988</v>
      </c>
      <c r="O1617">
        <f t="shared" si="697"/>
        <v>2.38</v>
      </c>
      <c r="P1617">
        <f t="shared" si="698"/>
        <v>0.27272727272726721</v>
      </c>
      <c r="Q1617" t="str">
        <f t="shared" si="702"/>
        <v>2.94% | 1.68%</v>
      </c>
      <c r="R1617" t="str">
        <f t="shared" si="699"/>
        <v>BEARISH</v>
      </c>
      <c r="S1617">
        <f t="shared" si="703"/>
        <v>-1</v>
      </c>
    </row>
    <row r="1618" spans="1:19" hidden="1" x14ac:dyDescent="0.25">
      <c r="A1618" s="5" t="str">
        <f t="shared" si="700"/>
        <v>43963MSFT</v>
      </c>
      <c r="B1618" s="6" t="s">
        <v>27</v>
      </c>
      <c r="C1618" s="6">
        <v>174</v>
      </c>
      <c r="D1618" s="6">
        <v>189</v>
      </c>
      <c r="E1618" s="6">
        <v>186</v>
      </c>
      <c r="F1618" t="str">
        <f t="shared" si="689"/>
        <v>TUE</v>
      </c>
      <c r="G1618" s="3">
        <f t="shared" si="690"/>
        <v>43963</v>
      </c>
      <c r="H1618" s="2">
        <f t="shared" ca="1" si="691"/>
        <v>290</v>
      </c>
      <c r="I1618" t="str">
        <f t="shared" si="692"/>
        <v>MSFT</v>
      </c>
      <c r="J1618">
        <f t="shared" si="693"/>
        <v>174</v>
      </c>
      <c r="K1618">
        <f t="shared" si="694"/>
        <v>189</v>
      </c>
      <c r="L1618">
        <f t="shared" si="695"/>
        <v>181.5</v>
      </c>
      <c r="M1618">
        <f t="shared" si="696"/>
        <v>7.5</v>
      </c>
      <c r="N1618">
        <f t="shared" si="701"/>
        <v>15</v>
      </c>
      <c r="O1618">
        <f t="shared" si="697"/>
        <v>186</v>
      </c>
      <c r="P1618">
        <f t="shared" si="698"/>
        <v>0.6</v>
      </c>
      <c r="Q1618" t="str">
        <f t="shared" si="702"/>
        <v>6.45% | 1.61%</v>
      </c>
      <c r="R1618" t="str">
        <f t="shared" si="699"/>
        <v>BULLISH</v>
      </c>
      <c r="S1618">
        <f t="shared" si="703"/>
        <v>1</v>
      </c>
    </row>
    <row r="1619" spans="1:19" hidden="1" x14ac:dyDescent="0.25">
      <c r="A1619" s="5" t="str">
        <f t="shared" si="700"/>
        <v>43963AAPL</v>
      </c>
      <c r="B1619" s="6" t="s">
        <v>28</v>
      </c>
      <c r="C1619" s="6">
        <v>288</v>
      </c>
      <c r="D1619" s="6">
        <v>318</v>
      </c>
      <c r="E1619" s="6">
        <v>315</v>
      </c>
      <c r="F1619" t="str">
        <f t="shared" si="689"/>
        <v>TUE</v>
      </c>
      <c r="G1619" s="3">
        <f t="shared" si="690"/>
        <v>43963</v>
      </c>
      <c r="H1619" s="2">
        <f t="shared" ca="1" si="691"/>
        <v>290</v>
      </c>
      <c r="I1619" t="str">
        <f t="shared" si="692"/>
        <v>AAPL</v>
      </c>
      <c r="J1619">
        <f t="shared" si="693"/>
        <v>288</v>
      </c>
      <c r="K1619">
        <f t="shared" si="694"/>
        <v>318</v>
      </c>
      <c r="L1619">
        <f t="shared" si="695"/>
        <v>303</v>
      </c>
      <c r="M1619">
        <f t="shared" si="696"/>
        <v>15</v>
      </c>
      <c r="N1619">
        <f t="shared" si="701"/>
        <v>30</v>
      </c>
      <c r="O1619">
        <f t="shared" si="697"/>
        <v>315</v>
      </c>
      <c r="P1619">
        <f t="shared" si="698"/>
        <v>0.8</v>
      </c>
      <c r="Q1619" t="str">
        <f t="shared" si="702"/>
        <v>8.57% | 0.95%</v>
      </c>
      <c r="R1619" t="str">
        <f t="shared" si="699"/>
        <v>BULLISH</v>
      </c>
      <c r="S1619">
        <f t="shared" si="703"/>
        <v>1</v>
      </c>
    </row>
    <row r="1620" spans="1:19" hidden="1" x14ac:dyDescent="0.25">
      <c r="A1620" s="5" t="str">
        <f t="shared" si="700"/>
        <v>43963AMZN</v>
      </c>
      <c r="B1620" s="6" t="s">
        <v>29</v>
      </c>
      <c r="C1620" s="6">
        <v>2270</v>
      </c>
      <c r="D1620" s="6">
        <v>2472</v>
      </c>
      <c r="E1620" s="6">
        <v>2409</v>
      </c>
      <c r="F1620" t="str">
        <f t="shared" si="689"/>
        <v>TUE</v>
      </c>
      <c r="G1620" s="3">
        <f t="shared" si="690"/>
        <v>43963</v>
      </c>
      <c r="H1620" s="2">
        <f t="shared" ca="1" si="691"/>
        <v>290</v>
      </c>
      <c r="I1620" t="str">
        <f t="shared" si="692"/>
        <v>AMZN</v>
      </c>
      <c r="J1620">
        <f t="shared" si="693"/>
        <v>2270</v>
      </c>
      <c r="K1620">
        <f t="shared" si="694"/>
        <v>2472</v>
      </c>
      <c r="L1620">
        <f t="shared" si="695"/>
        <v>2371</v>
      </c>
      <c r="M1620">
        <f t="shared" si="696"/>
        <v>101</v>
      </c>
      <c r="N1620">
        <f t="shared" si="701"/>
        <v>202</v>
      </c>
      <c r="O1620">
        <f t="shared" si="697"/>
        <v>2409</v>
      </c>
      <c r="P1620">
        <f t="shared" si="698"/>
        <v>0.37623762376237624</v>
      </c>
      <c r="Q1620" t="str">
        <f t="shared" si="702"/>
        <v>5.77% | 2.62%</v>
      </c>
      <c r="R1620" t="str">
        <f t="shared" si="699"/>
        <v>BULLISH</v>
      </c>
      <c r="S1620">
        <f t="shared" si="703"/>
        <v>1</v>
      </c>
    </row>
    <row r="1621" spans="1:19" hidden="1" x14ac:dyDescent="0.25">
      <c r="A1621" s="5" t="str">
        <f t="shared" si="700"/>
        <v>43963FB</v>
      </c>
      <c r="B1621" s="6" t="s">
        <v>30</v>
      </c>
      <c r="C1621" s="6">
        <v>194</v>
      </c>
      <c r="D1621" s="6">
        <v>218</v>
      </c>
      <c r="E1621" s="6">
        <v>213</v>
      </c>
      <c r="F1621" t="str">
        <f t="shared" si="689"/>
        <v>TUE</v>
      </c>
      <c r="G1621" s="3">
        <f t="shared" si="690"/>
        <v>43963</v>
      </c>
      <c r="H1621" s="2">
        <f t="shared" ca="1" si="691"/>
        <v>290</v>
      </c>
      <c r="I1621" t="str">
        <f t="shared" si="692"/>
        <v>FB</v>
      </c>
      <c r="J1621">
        <f t="shared" si="693"/>
        <v>194</v>
      </c>
      <c r="K1621">
        <f t="shared" si="694"/>
        <v>218</v>
      </c>
      <c r="L1621">
        <f t="shared" si="695"/>
        <v>206</v>
      </c>
      <c r="M1621">
        <f t="shared" si="696"/>
        <v>12</v>
      </c>
      <c r="N1621">
        <f t="shared" si="701"/>
        <v>24</v>
      </c>
      <c r="O1621">
        <f t="shared" si="697"/>
        <v>213</v>
      </c>
      <c r="P1621">
        <f t="shared" si="698"/>
        <v>0.58333333333333337</v>
      </c>
      <c r="Q1621" t="str">
        <f t="shared" si="702"/>
        <v>8.92% | 2.35%</v>
      </c>
      <c r="R1621" t="str">
        <f t="shared" si="699"/>
        <v>BULLISH</v>
      </c>
      <c r="S1621">
        <f t="shared" si="703"/>
        <v>1</v>
      </c>
    </row>
    <row r="1622" spans="1:19" hidden="1" x14ac:dyDescent="0.25">
      <c r="A1622" s="5" t="str">
        <f t="shared" si="700"/>
        <v>43963GOOGL</v>
      </c>
      <c r="B1622" s="6" t="s">
        <v>31</v>
      </c>
      <c r="C1622" s="6">
        <v>1295</v>
      </c>
      <c r="D1622" s="6">
        <v>1408</v>
      </c>
      <c r="E1622" s="6">
        <v>1403</v>
      </c>
      <c r="F1622" t="str">
        <f t="shared" si="689"/>
        <v>TUE</v>
      </c>
      <c r="G1622" s="3">
        <f t="shared" si="690"/>
        <v>43963</v>
      </c>
      <c r="H1622" s="2">
        <f t="shared" ca="1" si="691"/>
        <v>290</v>
      </c>
      <c r="I1622" t="str">
        <f t="shared" si="692"/>
        <v>GOOGL</v>
      </c>
      <c r="J1622">
        <f t="shared" si="693"/>
        <v>1295</v>
      </c>
      <c r="K1622">
        <f t="shared" si="694"/>
        <v>1408</v>
      </c>
      <c r="L1622">
        <f t="shared" si="695"/>
        <v>1351.5</v>
      </c>
      <c r="M1622">
        <f t="shared" si="696"/>
        <v>56.5</v>
      </c>
      <c r="N1622">
        <f t="shared" si="701"/>
        <v>113</v>
      </c>
      <c r="O1622">
        <f t="shared" si="697"/>
        <v>1403</v>
      </c>
      <c r="P1622">
        <f t="shared" si="698"/>
        <v>0.91150442477876104</v>
      </c>
      <c r="Q1622" t="str">
        <f t="shared" si="702"/>
        <v>7.7% | 0.36%</v>
      </c>
      <c r="R1622" t="str">
        <f t="shared" si="699"/>
        <v>BULLISH</v>
      </c>
      <c r="S1622">
        <f t="shared" si="703"/>
        <v>1</v>
      </c>
    </row>
    <row r="1623" spans="1:19" hidden="1" x14ac:dyDescent="0.25">
      <c r="A1623" s="5" t="str">
        <f t="shared" si="700"/>
        <v>43963NFLX</v>
      </c>
      <c r="B1623" s="6" t="s">
        <v>32</v>
      </c>
      <c r="C1623" s="6">
        <v>410</v>
      </c>
      <c r="D1623" s="6">
        <v>447</v>
      </c>
      <c r="E1623" s="6">
        <v>440</v>
      </c>
      <c r="F1623" t="str">
        <f t="shared" si="689"/>
        <v>TUE</v>
      </c>
      <c r="G1623" s="3">
        <f t="shared" si="690"/>
        <v>43963</v>
      </c>
      <c r="H1623" s="2">
        <f t="shared" ca="1" si="691"/>
        <v>290</v>
      </c>
      <c r="I1623" t="str">
        <f t="shared" si="692"/>
        <v>NFLX</v>
      </c>
      <c r="J1623">
        <f t="shared" si="693"/>
        <v>410</v>
      </c>
      <c r="K1623">
        <f t="shared" si="694"/>
        <v>447</v>
      </c>
      <c r="L1623">
        <f t="shared" si="695"/>
        <v>428.5</v>
      </c>
      <c r="M1623">
        <f t="shared" si="696"/>
        <v>18.5</v>
      </c>
      <c r="N1623">
        <f t="shared" si="701"/>
        <v>37</v>
      </c>
      <c r="O1623">
        <f t="shared" si="697"/>
        <v>440</v>
      </c>
      <c r="P1623">
        <f t="shared" si="698"/>
        <v>0.6216216216216216</v>
      </c>
      <c r="Q1623" t="str">
        <f t="shared" si="702"/>
        <v>6.82% | 1.59%</v>
      </c>
      <c r="R1623" t="str">
        <f t="shared" si="699"/>
        <v>BULLISH</v>
      </c>
      <c r="S1623">
        <f t="shared" si="703"/>
        <v>1</v>
      </c>
    </row>
    <row r="1624" spans="1:19" x14ac:dyDescent="0.25">
      <c r="A1624" s="5" t="str">
        <f t="shared" si="700"/>
        <v>43963TSLA</v>
      </c>
      <c r="B1624" s="6" t="s">
        <v>33</v>
      </c>
      <c r="C1624" s="6">
        <v>711</v>
      </c>
      <c r="D1624" s="6">
        <v>845</v>
      </c>
      <c r="E1624" s="6">
        <v>811</v>
      </c>
      <c r="F1624" t="str">
        <f t="shared" si="689"/>
        <v>TUE</v>
      </c>
      <c r="G1624" s="3">
        <f t="shared" si="690"/>
        <v>43963</v>
      </c>
      <c r="H1624" s="2">
        <f t="shared" ca="1" si="691"/>
        <v>290</v>
      </c>
      <c r="I1624" t="str">
        <f t="shared" si="692"/>
        <v>TSLA</v>
      </c>
      <c r="J1624">
        <f t="shared" si="693"/>
        <v>711</v>
      </c>
      <c r="K1624">
        <f t="shared" si="694"/>
        <v>845</v>
      </c>
      <c r="L1624">
        <f t="shared" si="695"/>
        <v>778</v>
      </c>
      <c r="M1624">
        <f t="shared" si="696"/>
        <v>67</v>
      </c>
      <c r="N1624">
        <f t="shared" si="701"/>
        <v>134</v>
      </c>
      <c r="O1624">
        <f t="shared" si="697"/>
        <v>811</v>
      </c>
      <c r="P1624">
        <f t="shared" si="698"/>
        <v>0.4925373134328358</v>
      </c>
      <c r="Q1624" t="str">
        <f t="shared" si="702"/>
        <v>12.33% | 4.19%</v>
      </c>
      <c r="R1624" t="str">
        <f t="shared" si="699"/>
        <v>BULLISH</v>
      </c>
      <c r="S1624">
        <f t="shared" si="703"/>
        <v>1</v>
      </c>
    </row>
    <row r="1625" spans="1:19" hidden="1" x14ac:dyDescent="0.25">
      <c r="A1625" s="5" t="str">
        <f t="shared" si="700"/>
        <v>43963NYXBT</v>
      </c>
      <c r="B1625" s="6" t="s">
        <v>34</v>
      </c>
      <c r="C1625" s="6">
        <v>8108</v>
      </c>
      <c r="D1625" s="6">
        <v>9938</v>
      </c>
      <c r="E1625" s="6">
        <v>8885</v>
      </c>
      <c r="F1625" t="str">
        <f t="shared" si="689"/>
        <v>TUE</v>
      </c>
      <c r="G1625" s="3">
        <f t="shared" si="690"/>
        <v>43963</v>
      </c>
      <c r="H1625" s="2">
        <f t="shared" ca="1" si="691"/>
        <v>290</v>
      </c>
      <c r="I1625" t="str">
        <f t="shared" si="692"/>
        <v>NYXBT</v>
      </c>
      <c r="J1625">
        <f t="shared" si="693"/>
        <v>8108</v>
      </c>
      <c r="K1625">
        <f t="shared" si="694"/>
        <v>9938</v>
      </c>
      <c r="L1625">
        <f t="shared" si="695"/>
        <v>9023</v>
      </c>
      <c r="M1625">
        <f t="shared" si="696"/>
        <v>915</v>
      </c>
      <c r="N1625">
        <f t="shared" si="701"/>
        <v>1830</v>
      </c>
      <c r="O1625">
        <f t="shared" si="697"/>
        <v>8885</v>
      </c>
      <c r="P1625">
        <f t="shared" si="698"/>
        <v>-0.15081967213114755</v>
      </c>
      <c r="Q1625" t="str">
        <f t="shared" si="702"/>
        <v>8.75% | 11.85%</v>
      </c>
      <c r="R1625" t="str">
        <f t="shared" si="699"/>
        <v>BULLISH</v>
      </c>
      <c r="S1625">
        <f t="shared" si="703"/>
        <v>1</v>
      </c>
    </row>
    <row r="1626" spans="1:19" hidden="1" x14ac:dyDescent="0.25">
      <c r="A1626" s="5" t="str">
        <f t="shared" si="700"/>
        <v>43964UST10Y</v>
      </c>
      <c r="B1626" s="6" t="s">
        <v>4</v>
      </c>
      <c r="C1626" s="6">
        <v>0.74</v>
      </c>
      <c r="D1626" s="6">
        <v>0.59</v>
      </c>
      <c r="E1626" s="6">
        <v>0.69</v>
      </c>
      <c r="F1626" t="str">
        <f t="shared" si="689"/>
        <v>WED</v>
      </c>
      <c r="G1626" s="1">
        <f>DATE(2020,5,13)</f>
        <v>43964</v>
      </c>
      <c r="H1626" s="2">
        <f t="shared" ca="1" si="691"/>
        <v>289</v>
      </c>
      <c r="I1626" t="str">
        <f t="shared" si="692"/>
        <v>UST10Y</v>
      </c>
      <c r="J1626">
        <f t="shared" si="693"/>
        <v>0.74</v>
      </c>
      <c r="K1626">
        <f t="shared" si="694"/>
        <v>0.59</v>
      </c>
      <c r="L1626">
        <f t="shared" si="695"/>
        <v>0.66500000000000004</v>
      </c>
      <c r="M1626">
        <f t="shared" si="696"/>
        <v>7.4999999999999567E-2</v>
      </c>
      <c r="N1626">
        <f t="shared" si="701"/>
        <v>0.15000000000000002</v>
      </c>
      <c r="O1626">
        <f t="shared" si="697"/>
        <v>0.69</v>
      </c>
      <c r="P1626">
        <f t="shared" si="698"/>
        <v>0.33333333333333409</v>
      </c>
      <c r="Q1626" t="str">
        <f t="shared" si="702"/>
        <v>7.25% | 14.49%</v>
      </c>
      <c r="R1626" t="str">
        <f t="shared" si="699"/>
        <v>BEARISH</v>
      </c>
      <c r="S1626">
        <f t="shared" si="703"/>
        <v>-1</v>
      </c>
    </row>
    <row r="1627" spans="1:19" hidden="1" x14ac:dyDescent="0.25">
      <c r="A1627" s="5" t="str">
        <f t="shared" si="700"/>
        <v>43964UST2Y</v>
      </c>
      <c r="B1627" s="6" t="s">
        <v>5</v>
      </c>
      <c r="C1627" s="6">
        <v>0.22</v>
      </c>
      <c r="D1627" s="6">
        <v>0.12</v>
      </c>
      <c r="E1627" s="6">
        <v>0.17</v>
      </c>
      <c r="F1627" t="str">
        <f t="shared" ref="F1627:F1656" si="704">UPPER(TEXT(G1627,"ddd"))</f>
        <v>WED</v>
      </c>
      <c r="G1627" s="1">
        <f t="shared" ref="G1627:G1656" si="705">DATE(2020,5,13)</f>
        <v>43964</v>
      </c>
      <c r="H1627" s="2">
        <f t="shared" ref="H1627:H1656" ca="1" si="706">TODAY()-G1627</f>
        <v>289</v>
      </c>
      <c r="I1627" t="str">
        <f t="shared" ref="I1627:I1656" si="707">TRIM(LEFT(B1627,FIND(" ",B1627,1)))</f>
        <v>UST2Y</v>
      </c>
      <c r="J1627">
        <f t="shared" ref="J1627:J1656" si="708">C1627</f>
        <v>0.22</v>
      </c>
      <c r="K1627">
        <f t="shared" ref="K1627:K1656" si="709">D1627</f>
        <v>0.12</v>
      </c>
      <c r="L1627">
        <f t="shared" ref="L1627:L1656" si="710">AVERAGE(J1627:K1627)</f>
        <v>0.16999999999999998</v>
      </c>
      <c r="M1627">
        <f t="shared" ref="M1627:M1656" si="711">_xlfn.STDEV.P(J1627:K1627)</f>
        <v>5.0000000000000024E-2</v>
      </c>
      <c r="N1627">
        <f t="shared" si="701"/>
        <v>0.1</v>
      </c>
      <c r="O1627">
        <f t="shared" ref="O1627:O1656" si="712">E1627</f>
        <v>0.17</v>
      </c>
      <c r="P1627">
        <f t="shared" ref="P1627:P1656" si="713">(O1627-L1627)/M1627</f>
        <v>5.5511151231257797E-16</v>
      </c>
      <c r="Q1627" t="str">
        <f t="shared" si="702"/>
        <v>29.41% | 29.41%</v>
      </c>
      <c r="R1627" t="str">
        <f t="shared" ref="R1627:R1656" si="714">MID(B1627,FIND("(",B1627,1)+1,FIND(")",B1627,1)-FIND("(",B1627,1)-1)</f>
        <v>BEARISH</v>
      </c>
      <c r="S1627">
        <f t="shared" si="703"/>
        <v>-1</v>
      </c>
    </row>
    <row r="1628" spans="1:19" hidden="1" x14ac:dyDescent="0.25">
      <c r="A1628" s="5" t="str">
        <f t="shared" si="700"/>
        <v>43964SPX</v>
      </c>
      <c r="B1628" s="6" t="s">
        <v>6</v>
      </c>
      <c r="C1628" s="6">
        <v>2808</v>
      </c>
      <c r="D1628" s="6">
        <v>2950</v>
      </c>
      <c r="E1628" s="6">
        <v>2870</v>
      </c>
      <c r="F1628" t="str">
        <f t="shared" si="704"/>
        <v>WED</v>
      </c>
      <c r="G1628" s="1">
        <f t="shared" si="705"/>
        <v>43964</v>
      </c>
      <c r="H1628" s="2">
        <f t="shared" ca="1" si="706"/>
        <v>289</v>
      </c>
      <c r="I1628" t="str">
        <f t="shared" si="707"/>
        <v>SPX</v>
      </c>
      <c r="J1628">
        <f t="shared" si="708"/>
        <v>2808</v>
      </c>
      <c r="K1628">
        <f t="shared" si="709"/>
        <v>2950</v>
      </c>
      <c r="L1628">
        <f t="shared" si="710"/>
        <v>2879</v>
      </c>
      <c r="M1628">
        <f t="shared" si="711"/>
        <v>71</v>
      </c>
      <c r="N1628">
        <f t="shared" si="701"/>
        <v>142</v>
      </c>
      <c r="O1628">
        <f t="shared" si="712"/>
        <v>2870</v>
      </c>
      <c r="P1628">
        <f t="shared" si="713"/>
        <v>-0.12676056338028169</v>
      </c>
      <c r="Q1628" t="str">
        <f t="shared" si="702"/>
        <v>2.16% | 2.79%</v>
      </c>
      <c r="R1628" t="str">
        <f t="shared" si="714"/>
        <v>BEARISH</v>
      </c>
      <c r="S1628">
        <f t="shared" si="703"/>
        <v>-1</v>
      </c>
    </row>
    <row r="1629" spans="1:19" hidden="1" x14ac:dyDescent="0.25">
      <c r="A1629" s="5" t="str">
        <f t="shared" si="700"/>
        <v>43964RUT</v>
      </c>
      <c r="B1629" s="6" t="s">
        <v>7</v>
      </c>
      <c r="C1629" s="6">
        <v>1235</v>
      </c>
      <c r="D1629" s="6">
        <v>1334</v>
      </c>
      <c r="E1629" s="6">
        <v>1275</v>
      </c>
      <c r="F1629" t="str">
        <f t="shared" si="704"/>
        <v>WED</v>
      </c>
      <c r="G1629" s="1">
        <f t="shared" si="705"/>
        <v>43964</v>
      </c>
      <c r="H1629" s="2">
        <f t="shared" ca="1" si="706"/>
        <v>289</v>
      </c>
      <c r="I1629" t="str">
        <f t="shared" si="707"/>
        <v>RUT</v>
      </c>
      <c r="J1629">
        <f t="shared" si="708"/>
        <v>1235</v>
      </c>
      <c r="K1629">
        <f t="shared" si="709"/>
        <v>1334</v>
      </c>
      <c r="L1629">
        <f t="shared" si="710"/>
        <v>1284.5</v>
      </c>
      <c r="M1629">
        <f t="shared" si="711"/>
        <v>49.5</v>
      </c>
      <c r="N1629">
        <f t="shared" si="701"/>
        <v>99</v>
      </c>
      <c r="O1629">
        <f t="shared" si="712"/>
        <v>1275</v>
      </c>
      <c r="P1629">
        <f t="shared" si="713"/>
        <v>-0.19191919191919191</v>
      </c>
      <c r="Q1629" t="str">
        <f t="shared" si="702"/>
        <v>3.14% | 4.63%</v>
      </c>
      <c r="R1629" t="str">
        <f t="shared" si="714"/>
        <v>BEARISH</v>
      </c>
      <c r="S1629">
        <f t="shared" si="703"/>
        <v>-1</v>
      </c>
    </row>
    <row r="1630" spans="1:19" hidden="1" x14ac:dyDescent="0.25">
      <c r="A1630" s="5" t="str">
        <f t="shared" si="700"/>
        <v>43964COMPQ</v>
      </c>
      <c r="B1630" s="6" t="s">
        <v>8</v>
      </c>
      <c r="C1630" s="6">
        <v>8612</v>
      </c>
      <c r="D1630" s="6">
        <v>9263</v>
      </c>
      <c r="E1630" s="6">
        <v>9002</v>
      </c>
      <c r="F1630" t="str">
        <f t="shared" si="704"/>
        <v>WED</v>
      </c>
      <c r="G1630" s="1">
        <f t="shared" si="705"/>
        <v>43964</v>
      </c>
      <c r="H1630" s="2">
        <f t="shared" ca="1" si="706"/>
        <v>289</v>
      </c>
      <c r="I1630" t="str">
        <f t="shared" si="707"/>
        <v>COMPQ</v>
      </c>
      <c r="J1630">
        <f t="shared" si="708"/>
        <v>8612</v>
      </c>
      <c r="K1630">
        <f t="shared" si="709"/>
        <v>9263</v>
      </c>
      <c r="L1630">
        <f t="shared" si="710"/>
        <v>8937.5</v>
      </c>
      <c r="M1630">
        <f t="shared" si="711"/>
        <v>325.5</v>
      </c>
      <c r="N1630">
        <f t="shared" si="701"/>
        <v>651</v>
      </c>
      <c r="O1630">
        <f t="shared" si="712"/>
        <v>9002</v>
      </c>
      <c r="P1630">
        <f t="shared" si="713"/>
        <v>0.19815668202764977</v>
      </c>
      <c r="Q1630" t="str">
        <f t="shared" si="702"/>
        <v>4.33% | 2.9%</v>
      </c>
      <c r="R1630" t="str">
        <f t="shared" si="714"/>
        <v>BULLISH</v>
      </c>
      <c r="S1630">
        <f t="shared" si="703"/>
        <v>1</v>
      </c>
    </row>
    <row r="1631" spans="1:19" hidden="1" x14ac:dyDescent="0.25">
      <c r="A1631" s="5" t="str">
        <f t="shared" si="700"/>
        <v>43964XLV</v>
      </c>
      <c r="B1631" s="6" t="s">
        <v>9</v>
      </c>
      <c r="C1631" s="6">
        <v>96.97</v>
      </c>
      <c r="D1631" s="6">
        <v>101.41</v>
      </c>
      <c r="E1631" s="6">
        <v>99.58</v>
      </c>
      <c r="F1631" t="str">
        <f t="shared" si="704"/>
        <v>WED</v>
      </c>
      <c r="G1631" s="1">
        <f t="shared" si="705"/>
        <v>43964</v>
      </c>
      <c r="H1631" s="2">
        <f t="shared" ca="1" si="706"/>
        <v>289</v>
      </c>
      <c r="I1631" t="str">
        <f t="shared" si="707"/>
        <v>XLV</v>
      </c>
      <c r="J1631">
        <f t="shared" si="708"/>
        <v>96.97</v>
      </c>
      <c r="K1631">
        <f t="shared" si="709"/>
        <v>101.41</v>
      </c>
      <c r="L1631">
        <f t="shared" si="710"/>
        <v>99.19</v>
      </c>
      <c r="M1631">
        <f t="shared" si="711"/>
        <v>2.2199999999999989</v>
      </c>
      <c r="N1631">
        <f t="shared" si="701"/>
        <v>4.4399999999999977</v>
      </c>
      <c r="O1631">
        <f t="shared" si="712"/>
        <v>99.58</v>
      </c>
      <c r="P1631">
        <f t="shared" si="713"/>
        <v>0.17567567567567602</v>
      </c>
      <c r="Q1631" t="str">
        <f t="shared" si="702"/>
        <v>2.62% | 1.84%</v>
      </c>
      <c r="R1631" t="str">
        <f t="shared" si="714"/>
        <v>BULLISH</v>
      </c>
      <c r="S1631">
        <f t="shared" si="703"/>
        <v>1</v>
      </c>
    </row>
    <row r="1632" spans="1:19" hidden="1" x14ac:dyDescent="0.25">
      <c r="A1632" s="5" t="str">
        <f t="shared" si="700"/>
        <v>43964XLK</v>
      </c>
      <c r="B1632" s="6" t="s">
        <v>10</v>
      </c>
      <c r="C1632" s="6">
        <v>87.98</v>
      </c>
      <c r="D1632" s="6">
        <v>96.37</v>
      </c>
      <c r="E1632" s="6">
        <v>93.44</v>
      </c>
      <c r="F1632" t="str">
        <f t="shared" si="704"/>
        <v>WED</v>
      </c>
      <c r="G1632" s="1">
        <f t="shared" si="705"/>
        <v>43964</v>
      </c>
      <c r="H1632" s="2">
        <f t="shared" ca="1" si="706"/>
        <v>289</v>
      </c>
      <c r="I1632" t="str">
        <f t="shared" si="707"/>
        <v>XLK</v>
      </c>
      <c r="J1632">
        <f t="shared" si="708"/>
        <v>87.98</v>
      </c>
      <c r="K1632">
        <f t="shared" si="709"/>
        <v>96.37</v>
      </c>
      <c r="L1632">
        <f t="shared" si="710"/>
        <v>92.175000000000011</v>
      </c>
      <c r="M1632">
        <f t="shared" si="711"/>
        <v>4.1950000000000003</v>
      </c>
      <c r="N1632">
        <f t="shared" si="701"/>
        <v>8.39</v>
      </c>
      <c r="O1632">
        <f t="shared" si="712"/>
        <v>93.44</v>
      </c>
      <c r="P1632">
        <f t="shared" si="713"/>
        <v>0.30154946364719576</v>
      </c>
      <c r="Q1632" t="str">
        <f t="shared" si="702"/>
        <v>5.84% | 3.14%</v>
      </c>
      <c r="R1632" t="str">
        <f t="shared" si="714"/>
        <v>BULLISH</v>
      </c>
      <c r="S1632">
        <f t="shared" si="703"/>
        <v>1</v>
      </c>
    </row>
    <row r="1633" spans="1:19" hidden="1" x14ac:dyDescent="0.25">
      <c r="A1633" s="5" t="str">
        <f t="shared" si="700"/>
        <v>43964XLP</v>
      </c>
      <c r="B1633" s="6" t="s">
        <v>50</v>
      </c>
      <c r="C1633" s="6">
        <v>56.44</v>
      </c>
      <c r="D1633" s="6">
        <v>58.63</v>
      </c>
      <c r="E1633" s="6">
        <v>57.55</v>
      </c>
      <c r="F1633" t="str">
        <f t="shared" si="704"/>
        <v>WED</v>
      </c>
      <c r="G1633" s="1">
        <f t="shared" si="705"/>
        <v>43964</v>
      </c>
      <c r="H1633" s="2">
        <f t="shared" ca="1" si="706"/>
        <v>289</v>
      </c>
      <c r="I1633" t="str">
        <f t="shared" si="707"/>
        <v>XLP</v>
      </c>
      <c r="J1633">
        <f t="shared" si="708"/>
        <v>56.44</v>
      </c>
      <c r="K1633">
        <f t="shared" si="709"/>
        <v>58.63</v>
      </c>
      <c r="L1633">
        <f t="shared" si="710"/>
        <v>57.534999999999997</v>
      </c>
      <c r="M1633">
        <f t="shared" si="711"/>
        <v>1.0950000000000024</v>
      </c>
      <c r="N1633">
        <f t="shared" si="701"/>
        <v>2.1900000000000048</v>
      </c>
      <c r="O1633">
        <f t="shared" si="712"/>
        <v>57.55</v>
      </c>
      <c r="P1633">
        <f t="shared" si="713"/>
        <v>1.369863013698679E-2</v>
      </c>
      <c r="Q1633" t="str">
        <f t="shared" si="702"/>
        <v>1.93% | 1.88%</v>
      </c>
      <c r="R1633" t="str">
        <f t="shared" si="714"/>
        <v>NEUTRAL</v>
      </c>
      <c r="S1633">
        <f t="shared" si="703"/>
        <v>0</v>
      </c>
    </row>
    <row r="1634" spans="1:19" hidden="1" x14ac:dyDescent="0.25">
      <c r="A1634" s="5" t="str">
        <f t="shared" si="700"/>
        <v>43964XLF</v>
      </c>
      <c r="B1634" s="6" t="s">
        <v>12</v>
      </c>
      <c r="C1634" s="6">
        <v>20.39</v>
      </c>
      <c r="D1634" s="6">
        <v>22.97</v>
      </c>
      <c r="E1634" s="6">
        <v>21.29</v>
      </c>
      <c r="F1634" t="str">
        <f t="shared" si="704"/>
        <v>WED</v>
      </c>
      <c r="G1634" s="1">
        <f t="shared" si="705"/>
        <v>43964</v>
      </c>
      <c r="H1634" s="2">
        <f t="shared" ca="1" si="706"/>
        <v>289</v>
      </c>
      <c r="I1634" t="str">
        <f t="shared" si="707"/>
        <v>XLF</v>
      </c>
      <c r="J1634">
        <f t="shared" si="708"/>
        <v>20.39</v>
      </c>
      <c r="K1634">
        <f t="shared" si="709"/>
        <v>22.97</v>
      </c>
      <c r="L1634">
        <f t="shared" si="710"/>
        <v>21.68</v>
      </c>
      <c r="M1634">
        <f t="shared" si="711"/>
        <v>1.2899999999999991</v>
      </c>
      <c r="N1634">
        <f t="shared" si="701"/>
        <v>2.5799999999999983</v>
      </c>
      <c r="O1634">
        <f t="shared" si="712"/>
        <v>21.29</v>
      </c>
      <c r="P1634">
        <f t="shared" si="713"/>
        <v>-0.30232558139534949</v>
      </c>
      <c r="Q1634" t="str">
        <f t="shared" si="702"/>
        <v>4.23% | 7.89%</v>
      </c>
      <c r="R1634" t="str">
        <f t="shared" si="714"/>
        <v>BEARISH</v>
      </c>
      <c r="S1634">
        <f t="shared" si="703"/>
        <v>-1</v>
      </c>
    </row>
    <row r="1635" spans="1:19" hidden="1" x14ac:dyDescent="0.25">
      <c r="A1635" s="5" t="str">
        <f t="shared" si="700"/>
        <v>43964XLI</v>
      </c>
      <c r="B1635" s="6" t="s">
        <v>13</v>
      </c>
      <c r="C1635" s="6">
        <v>59.09</v>
      </c>
      <c r="D1635" s="6">
        <v>64.239999999999995</v>
      </c>
      <c r="E1635" s="6">
        <v>60.57</v>
      </c>
      <c r="F1635" t="str">
        <f t="shared" si="704"/>
        <v>WED</v>
      </c>
      <c r="G1635" s="1">
        <f t="shared" si="705"/>
        <v>43964</v>
      </c>
      <c r="H1635" s="2">
        <f t="shared" ca="1" si="706"/>
        <v>289</v>
      </c>
      <c r="I1635" t="str">
        <f t="shared" si="707"/>
        <v>XLI</v>
      </c>
      <c r="J1635">
        <f t="shared" si="708"/>
        <v>59.09</v>
      </c>
      <c r="K1635">
        <f t="shared" si="709"/>
        <v>64.239999999999995</v>
      </c>
      <c r="L1635">
        <f t="shared" si="710"/>
        <v>61.664999999999999</v>
      </c>
      <c r="M1635">
        <f t="shared" si="711"/>
        <v>2.5749999999999957</v>
      </c>
      <c r="N1635">
        <f t="shared" si="701"/>
        <v>5.1499999999999915</v>
      </c>
      <c r="O1635">
        <f t="shared" si="712"/>
        <v>60.57</v>
      </c>
      <c r="P1635">
        <f t="shared" si="713"/>
        <v>-0.42524271844660222</v>
      </c>
      <c r="Q1635" t="str">
        <f t="shared" si="702"/>
        <v>2.44% | 6.06%</v>
      </c>
      <c r="R1635" t="str">
        <f t="shared" si="714"/>
        <v>BEARISH</v>
      </c>
      <c r="S1635">
        <f t="shared" si="703"/>
        <v>-1</v>
      </c>
    </row>
    <row r="1636" spans="1:19" hidden="1" x14ac:dyDescent="0.25">
      <c r="A1636" s="5" t="str">
        <f t="shared" si="700"/>
        <v>43964SSEC</v>
      </c>
      <c r="B1636" s="6" t="s">
        <v>14</v>
      </c>
      <c r="C1636" s="6">
        <v>2801</v>
      </c>
      <c r="D1636" s="6">
        <v>2910</v>
      </c>
      <c r="E1636" s="6">
        <v>2898</v>
      </c>
      <c r="F1636" t="str">
        <f t="shared" si="704"/>
        <v>WED</v>
      </c>
      <c r="G1636" s="1">
        <f t="shared" si="705"/>
        <v>43964</v>
      </c>
      <c r="H1636" s="2">
        <f t="shared" ca="1" si="706"/>
        <v>289</v>
      </c>
      <c r="I1636" t="str">
        <f t="shared" si="707"/>
        <v>SSEC</v>
      </c>
      <c r="J1636">
        <f t="shared" si="708"/>
        <v>2801</v>
      </c>
      <c r="K1636">
        <f t="shared" si="709"/>
        <v>2910</v>
      </c>
      <c r="L1636">
        <f t="shared" si="710"/>
        <v>2855.5</v>
      </c>
      <c r="M1636">
        <f t="shared" si="711"/>
        <v>54.5</v>
      </c>
      <c r="N1636">
        <f t="shared" si="701"/>
        <v>109</v>
      </c>
      <c r="O1636">
        <f t="shared" si="712"/>
        <v>2898</v>
      </c>
      <c r="P1636">
        <f t="shared" si="713"/>
        <v>0.77981651376146788</v>
      </c>
      <c r="Q1636" t="str">
        <f t="shared" si="702"/>
        <v>3.35% | 0.41%</v>
      </c>
      <c r="R1636" t="str">
        <f t="shared" si="714"/>
        <v>BEARISH</v>
      </c>
      <c r="S1636">
        <f t="shared" si="703"/>
        <v>-1</v>
      </c>
    </row>
    <row r="1637" spans="1:19" hidden="1" x14ac:dyDescent="0.25">
      <c r="A1637" s="5" t="str">
        <f t="shared" si="700"/>
        <v>43964NIKK</v>
      </c>
      <c r="B1637" s="6" t="s">
        <v>15</v>
      </c>
      <c r="C1637" s="6">
        <v>19108</v>
      </c>
      <c r="D1637" s="6">
        <v>20631</v>
      </c>
      <c r="E1637" s="6">
        <v>20267</v>
      </c>
      <c r="F1637" t="str">
        <f t="shared" si="704"/>
        <v>WED</v>
      </c>
      <c r="G1637" s="1">
        <f t="shared" si="705"/>
        <v>43964</v>
      </c>
      <c r="H1637" s="2">
        <f t="shared" ca="1" si="706"/>
        <v>289</v>
      </c>
      <c r="I1637" t="str">
        <f t="shared" si="707"/>
        <v>NIKK</v>
      </c>
      <c r="J1637">
        <f t="shared" si="708"/>
        <v>19108</v>
      </c>
      <c r="K1637">
        <f t="shared" si="709"/>
        <v>20631</v>
      </c>
      <c r="L1637">
        <f t="shared" si="710"/>
        <v>19869.5</v>
      </c>
      <c r="M1637">
        <f t="shared" si="711"/>
        <v>761.5</v>
      </c>
      <c r="N1637">
        <f t="shared" si="701"/>
        <v>1523</v>
      </c>
      <c r="O1637">
        <f t="shared" si="712"/>
        <v>20267</v>
      </c>
      <c r="P1637">
        <f t="shared" si="713"/>
        <v>0.52199606040709123</v>
      </c>
      <c r="Q1637" t="str">
        <f t="shared" si="702"/>
        <v>5.72% | 1.8%</v>
      </c>
      <c r="R1637" t="str">
        <f t="shared" si="714"/>
        <v>BEARISH</v>
      </c>
      <c r="S1637">
        <f t="shared" si="703"/>
        <v>-1</v>
      </c>
    </row>
    <row r="1638" spans="1:19" hidden="1" x14ac:dyDescent="0.25">
      <c r="A1638" s="5" t="str">
        <f t="shared" si="700"/>
        <v>43964DAX</v>
      </c>
      <c r="B1638" s="6" t="s">
        <v>16</v>
      </c>
      <c r="C1638" s="6">
        <v>10512</v>
      </c>
      <c r="D1638" s="6">
        <v>11030</v>
      </c>
      <c r="E1638" s="6">
        <v>10816</v>
      </c>
      <c r="F1638" t="str">
        <f t="shared" si="704"/>
        <v>WED</v>
      </c>
      <c r="G1638" s="1">
        <f t="shared" si="705"/>
        <v>43964</v>
      </c>
      <c r="H1638" s="2">
        <f t="shared" ca="1" si="706"/>
        <v>289</v>
      </c>
      <c r="I1638" t="str">
        <f t="shared" si="707"/>
        <v>DAX</v>
      </c>
      <c r="J1638">
        <f t="shared" si="708"/>
        <v>10512</v>
      </c>
      <c r="K1638">
        <f t="shared" si="709"/>
        <v>11030</v>
      </c>
      <c r="L1638">
        <f t="shared" si="710"/>
        <v>10771</v>
      </c>
      <c r="M1638">
        <f t="shared" si="711"/>
        <v>259</v>
      </c>
      <c r="N1638">
        <f t="shared" si="701"/>
        <v>518</v>
      </c>
      <c r="O1638">
        <f t="shared" si="712"/>
        <v>10816</v>
      </c>
      <c r="P1638">
        <f t="shared" si="713"/>
        <v>0.17374517374517376</v>
      </c>
      <c r="Q1638" t="str">
        <f t="shared" si="702"/>
        <v>2.81% | 1.98%</v>
      </c>
      <c r="R1638" t="str">
        <f t="shared" si="714"/>
        <v>BEARISH</v>
      </c>
      <c r="S1638">
        <f t="shared" si="703"/>
        <v>-1</v>
      </c>
    </row>
    <row r="1639" spans="1:19" hidden="1" x14ac:dyDescent="0.25">
      <c r="A1639" s="5" t="str">
        <f t="shared" si="700"/>
        <v>43964VIX</v>
      </c>
      <c r="B1639" s="6" t="s">
        <v>17</v>
      </c>
      <c r="C1639" s="6">
        <v>26.53</v>
      </c>
      <c r="D1639" s="6">
        <v>39.97</v>
      </c>
      <c r="E1639" s="6">
        <v>33.04</v>
      </c>
      <c r="F1639" t="str">
        <f t="shared" si="704"/>
        <v>WED</v>
      </c>
      <c r="G1639" s="1">
        <f t="shared" si="705"/>
        <v>43964</v>
      </c>
      <c r="H1639" s="2">
        <f t="shared" ca="1" si="706"/>
        <v>289</v>
      </c>
      <c r="I1639" t="str">
        <f t="shared" si="707"/>
        <v>VIX</v>
      </c>
      <c r="J1639">
        <f t="shared" si="708"/>
        <v>26.53</v>
      </c>
      <c r="K1639">
        <f t="shared" si="709"/>
        <v>39.97</v>
      </c>
      <c r="L1639">
        <f t="shared" si="710"/>
        <v>33.25</v>
      </c>
      <c r="M1639">
        <f t="shared" si="711"/>
        <v>6.7200000000000024</v>
      </c>
      <c r="N1639">
        <f t="shared" si="701"/>
        <v>13.439999999999998</v>
      </c>
      <c r="O1639">
        <f t="shared" si="712"/>
        <v>33.04</v>
      </c>
      <c r="P1639">
        <f t="shared" si="713"/>
        <v>-3.1250000000000118E-2</v>
      </c>
      <c r="Q1639" t="str">
        <f t="shared" si="702"/>
        <v>19.7% | 20.97%</v>
      </c>
      <c r="R1639" t="str">
        <f t="shared" si="714"/>
        <v>BULLISH</v>
      </c>
      <c r="S1639">
        <f t="shared" si="703"/>
        <v>1</v>
      </c>
    </row>
    <row r="1640" spans="1:19" hidden="1" x14ac:dyDescent="0.25">
      <c r="A1640" s="5" t="str">
        <f t="shared" si="700"/>
        <v>43964USD</v>
      </c>
      <c r="B1640" s="6" t="s">
        <v>18</v>
      </c>
      <c r="C1640" s="6">
        <v>98.9</v>
      </c>
      <c r="D1640" s="6">
        <v>100.83</v>
      </c>
      <c r="E1640" s="6">
        <v>99.96</v>
      </c>
      <c r="F1640" t="str">
        <f t="shared" si="704"/>
        <v>WED</v>
      </c>
      <c r="G1640" s="1">
        <f t="shared" si="705"/>
        <v>43964</v>
      </c>
      <c r="H1640" s="2">
        <f t="shared" ca="1" si="706"/>
        <v>289</v>
      </c>
      <c r="I1640" t="str">
        <f t="shared" si="707"/>
        <v>USD</v>
      </c>
      <c r="J1640">
        <f t="shared" si="708"/>
        <v>98.9</v>
      </c>
      <c r="K1640">
        <f t="shared" si="709"/>
        <v>100.83</v>
      </c>
      <c r="L1640">
        <f t="shared" si="710"/>
        <v>99.865000000000009</v>
      </c>
      <c r="M1640">
        <f t="shared" si="711"/>
        <v>0.96499999999999631</v>
      </c>
      <c r="N1640">
        <f t="shared" si="701"/>
        <v>1.9299999999999926</v>
      </c>
      <c r="O1640">
        <f t="shared" si="712"/>
        <v>99.96</v>
      </c>
      <c r="P1640">
        <f t="shared" si="713"/>
        <v>9.8445595854906753E-2</v>
      </c>
      <c r="Q1640" t="str">
        <f t="shared" si="702"/>
        <v>1.06% | 0.87%</v>
      </c>
      <c r="R1640" t="str">
        <f t="shared" si="714"/>
        <v>BULLISH</v>
      </c>
      <c r="S1640">
        <f t="shared" si="703"/>
        <v>1</v>
      </c>
    </row>
    <row r="1641" spans="1:19" hidden="1" x14ac:dyDescent="0.25">
      <c r="A1641" s="5" t="str">
        <f t="shared" si="700"/>
        <v>43964EUR/USD</v>
      </c>
      <c r="B1641" s="6" t="s">
        <v>19</v>
      </c>
      <c r="C1641" s="6">
        <v>1.07</v>
      </c>
      <c r="D1641" s="6">
        <v>1.0900000000000001</v>
      </c>
      <c r="E1641" s="6">
        <v>1.08</v>
      </c>
      <c r="F1641" t="str">
        <f t="shared" si="704"/>
        <v>WED</v>
      </c>
      <c r="G1641" s="1">
        <f t="shared" si="705"/>
        <v>43964</v>
      </c>
      <c r="H1641" s="2">
        <f t="shared" ca="1" si="706"/>
        <v>289</v>
      </c>
      <c r="I1641" t="str">
        <f t="shared" si="707"/>
        <v>EUR/USD</v>
      </c>
      <c r="J1641">
        <f t="shared" si="708"/>
        <v>1.07</v>
      </c>
      <c r="K1641">
        <f t="shared" si="709"/>
        <v>1.0900000000000001</v>
      </c>
      <c r="L1641">
        <f t="shared" si="710"/>
        <v>1.08</v>
      </c>
      <c r="M1641">
        <f t="shared" si="711"/>
        <v>1.0000000000000009E-2</v>
      </c>
      <c r="N1641">
        <f t="shared" si="701"/>
        <v>2.0000000000000018E-2</v>
      </c>
      <c r="O1641">
        <f t="shared" si="712"/>
        <v>1.08</v>
      </c>
      <c r="P1641">
        <f t="shared" si="713"/>
        <v>0</v>
      </c>
      <c r="Q1641" t="str">
        <f t="shared" si="702"/>
        <v>0.93% | 0.93%</v>
      </c>
      <c r="R1641" t="str">
        <f t="shared" si="714"/>
        <v>BEARISH</v>
      </c>
      <c r="S1641">
        <f t="shared" si="703"/>
        <v>-1</v>
      </c>
    </row>
    <row r="1642" spans="1:19" hidden="1" x14ac:dyDescent="0.25">
      <c r="A1642" s="5" t="str">
        <f t="shared" si="700"/>
        <v>43964USD/JPY</v>
      </c>
      <c r="B1642" s="6" t="s">
        <v>20</v>
      </c>
      <c r="C1642" s="6">
        <v>105.8</v>
      </c>
      <c r="D1642" s="6">
        <v>107.9</v>
      </c>
      <c r="E1642" s="6">
        <v>107.17</v>
      </c>
      <c r="F1642" t="str">
        <f t="shared" si="704"/>
        <v>WED</v>
      </c>
      <c r="G1642" s="1">
        <f t="shared" si="705"/>
        <v>43964</v>
      </c>
      <c r="H1642" s="2">
        <f t="shared" ca="1" si="706"/>
        <v>289</v>
      </c>
      <c r="I1642" t="str">
        <f t="shared" si="707"/>
        <v>USD/JPY</v>
      </c>
      <c r="J1642">
        <f t="shared" si="708"/>
        <v>105.8</v>
      </c>
      <c r="K1642">
        <f t="shared" si="709"/>
        <v>107.9</v>
      </c>
      <c r="L1642">
        <f t="shared" si="710"/>
        <v>106.85</v>
      </c>
      <c r="M1642">
        <f t="shared" si="711"/>
        <v>1.0500000000000043</v>
      </c>
      <c r="N1642">
        <f t="shared" si="701"/>
        <v>2.1000000000000085</v>
      </c>
      <c r="O1642">
        <f t="shared" si="712"/>
        <v>107.17</v>
      </c>
      <c r="P1642">
        <f t="shared" si="713"/>
        <v>0.30476190476191056</v>
      </c>
      <c r="Q1642" t="str">
        <f t="shared" si="702"/>
        <v>1.28% | 0.68%</v>
      </c>
      <c r="R1642" t="str">
        <f t="shared" si="714"/>
        <v>BEARISH</v>
      </c>
      <c r="S1642">
        <f t="shared" si="703"/>
        <v>-1</v>
      </c>
    </row>
    <row r="1643" spans="1:19" hidden="1" x14ac:dyDescent="0.25">
      <c r="A1643" s="5" t="str">
        <f t="shared" si="700"/>
        <v>43964GBP/USD</v>
      </c>
      <c r="B1643" s="6" t="s">
        <v>21</v>
      </c>
      <c r="C1643" s="6">
        <v>1.22</v>
      </c>
      <c r="D1643" s="6">
        <v>1.25</v>
      </c>
      <c r="E1643" s="6">
        <v>1.23</v>
      </c>
      <c r="F1643" t="str">
        <f t="shared" si="704"/>
        <v>WED</v>
      </c>
      <c r="G1643" s="1">
        <f t="shared" si="705"/>
        <v>43964</v>
      </c>
      <c r="H1643" s="2">
        <f t="shared" ca="1" si="706"/>
        <v>289</v>
      </c>
      <c r="I1643" t="str">
        <f t="shared" si="707"/>
        <v>GBP/USD</v>
      </c>
      <c r="J1643">
        <f t="shared" si="708"/>
        <v>1.22</v>
      </c>
      <c r="K1643">
        <f t="shared" si="709"/>
        <v>1.25</v>
      </c>
      <c r="L1643">
        <f t="shared" si="710"/>
        <v>1.2349999999999999</v>
      </c>
      <c r="M1643">
        <f t="shared" si="711"/>
        <v>1.5000000000000013E-2</v>
      </c>
      <c r="N1643">
        <f t="shared" si="701"/>
        <v>3.0000000000000027E-2</v>
      </c>
      <c r="O1643">
        <f t="shared" si="712"/>
        <v>1.23</v>
      </c>
      <c r="P1643">
        <f t="shared" si="713"/>
        <v>-0.33333333333332593</v>
      </c>
      <c r="Q1643" t="str">
        <f t="shared" si="702"/>
        <v>0.81% | 1.63%</v>
      </c>
      <c r="R1643" t="str">
        <f t="shared" si="714"/>
        <v>BEARISH</v>
      </c>
      <c r="S1643">
        <f t="shared" si="703"/>
        <v>-1</v>
      </c>
    </row>
    <row r="1644" spans="1:19" hidden="1" x14ac:dyDescent="0.25">
      <c r="A1644" s="5" t="str">
        <f t="shared" si="700"/>
        <v>43964USD/CHF</v>
      </c>
      <c r="B1644" s="6" t="s">
        <v>22</v>
      </c>
      <c r="C1644" s="6">
        <v>0.96</v>
      </c>
      <c r="D1644" s="6">
        <v>0.98</v>
      </c>
      <c r="E1644" s="6">
        <v>0.97</v>
      </c>
      <c r="F1644" t="str">
        <f t="shared" si="704"/>
        <v>WED</v>
      </c>
      <c r="G1644" s="1">
        <f t="shared" si="705"/>
        <v>43964</v>
      </c>
      <c r="H1644" s="2">
        <f t="shared" ca="1" si="706"/>
        <v>289</v>
      </c>
      <c r="I1644" t="str">
        <f t="shared" si="707"/>
        <v>USD/CHF</v>
      </c>
      <c r="J1644">
        <f t="shared" si="708"/>
        <v>0.96</v>
      </c>
      <c r="K1644">
        <f t="shared" si="709"/>
        <v>0.98</v>
      </c>
      <c r="L1644">
        <f t="shared" si="710"/>
        <v>0.97</v>
      </c>
      <c r="M1644">
        <f t="shared" si="711"/>
        <v>1.0000000000000009E-2</v>
      </c>
      <c r="N1644">
        <f t="shared" si="701"/>
        <v>2.0000000000000018E-2</v>
      </c>
      <c r="O1644">
        <f t="shared" si="712"/>
        <v>0.97</v>
      </c>
      <c r="P1644">
        <f t="shared" si="713"/>
        <v>0</v>
      </c>
      <c r="Q1644" t="str">
        <f t="shared" si="702"/>
        <v>1.03% | 1.03%</v>
      </c>
      <c r="R1644" t="str">
        <f t="shared" si="714"/>
        <v>NEUTRAL</v>
      </c>
      <c r="S1644">
        <f t="shared" si="703"/>
        <v>0</v>
      </c>
    </row>
    <row r="1645" spans="1:19" hidden="1" x14ac:dyDescent="0.25">
      <c r="A1645" s="5" t="str">
        <f t="shared" si="700"/>
        <v>43964WTIC</v>
      </c>
      <c r="B1645" s="6" t="s">
        <v>23</v>
      </c>
      <c r="C1645" s="6">
        <v>17.649999999999999</v>
      </c>
      <c r="D1645" s="6">
        <v>29.7</v>
      </c>
      <c r="E1645" s="6">
        <v>26.33</v>
      </c>
      <c r="F1645" t="str">
        <f t="shared" si="704"/>
        <v>WED</v>
      </c>
      <c r="G1645" s="1">
        <f t="shared" si="705"/>
        <v>43964</v>
      </c>
      <c r="H1645" s="2">
        <f t="shared" ca="1" si="706"/>
        <v>289</v>
      </c>
      <c r="I1645" t="str">
        <f t="shared" si="707"/>
        <v>WTIC</v>
      </c>
      <c r="J1645">
        <f t="shared" si="708"/>
        <v>17.649999999999999</v>
      </c>
      <c r="K1645">
        <f t="shared" si="709"/>
        <v>29.7</v>
      </c>
      <c r="L1645">
        <f t="shared" si="710"/>
        <v>23.674999999999997</v>
      </c>
      <c r="M1645">
        <f t="shared" si="711"/>
        <v>6.0249999999999977</v>
      </c>
      <c r="N1645">
        <f t="shared" si="701"/>
        <v>12.05</v>
      </c>
      <c r="O1645">
        <f t="shared" si="712"/>
        <v>26.33</v>
      </c>
      <c r="P1645">
        <f t="shared" si="713"/>
        <v>0.44066390041493814</v>
      </c>
      <c r="Q1645" t="str">
        <f t="shared" si="702"/>
        <v>32.97% | 12.8%</v>
      </c>
      <c r="R1645" t="str">
        <f t="shared" si="714"/>
        <v>BEARISH</v>
      </c>
      <c r="S1645">
        <f t="shared" si="703"/>
        <v>-1</v>
      </c>
    </row>
    <row r="1646" spans="1:19" hidden="1" x14ac:dyDescent="0.25">
      <c r="A1646" s="5" t="str">
        <f t="shared" si="700"/>
        <v>43964NATGAS</v>
      </c>
      <c r="B1646" s="6" t="s">
        <v>24</v>
      </c>
      <c r="C1646" s="6">
        <v>1.63</v>
      </c>
      <c r="D1646" s="6">
        <v>1.91</v>
      </c>
      <c r="E1646" s="6">
        <v>1.72</v>
      </c>
      <c r="F1646" t="str">
        <f t="shared" si="704"/>
        <v>WED</v>
      </c>
      <c r="G1646" s="1">
        <f t="shared" si="705"/>
        <v>43964</v>
      </c>
      <c r="H1646" s="2">
        <f t="shared" ca="1" si="706"/>
        <v>289</v>
      </c>
      <c r="I1646" t="str">
        <f t="shared" si="707"/>
        <v>NATGAS</v>
      </c>
      <c r="J1646">
        <f t="shared" si="708"/>
        <v>1.63</v>
      </c>
      <c r="K1646">
        <f t="shared" si="709"/>
        <v>1.91</v>
      </c>
      <c r="L1646">
        <f t="shared" si="710"/>
        <v>1.77</v>
      </c>
      <c r="M1646">
        <f t="shared" si="711"/>
        <v>0.14000000000000001</v>
      </c>
      <c r="N1646">
        <f t="shared" si="701"/>
        <v>0.28000000000000003</v>
      </c>
      <c r="O1646">
        <f t="shared" si="712"/>
        <v>1.72</v>
      </c>
      <c r="P1646">
        <f t="shared" si="713"/>
        <v>-0.35714285714285743</v>
      </c>
      <c r="Q1646" t="str">
        <f t="shared" si="702"/>
        <v>5.23% | 11.05%</v>
      </c>
      <c r="R1646" t="str">
        <f t="shared" si="714"/>
        <v>BEARISH</v>
      </c>
      <c r="S1646">
        <f t="shared" si="703"/>
        <v>-1</v>
      </c>
    </row>
    <row r="1647" spans="1:19" hidden="1" x14ac:dyDescent="0.25">
      <c r="A1647" s="5" t="str">
        <f t="shared" si="700"/>
        <v>43964GOLD</v>
      </c>
      <c r="B1647" s="6" t="s">
        <v>25</v>
      </c>
      <c r="C1647" s="6">
        <v>1683</v>
      </c>
      <c r="D1647" s="6">
        <v>1737</v>
      </c>
      <c r="E1647" s="6">
        <v>1706</v>
      </c>
      <c r="F1647" t="str">
        <f t="shared" si="704"/>
        <v>WED</v>
      </c>
      <c r="G1647" s="1">
        <f t="shared" si="705"/>
        <v>43964</v>
      </c>
      <c r="H1647" s="2">
        <f t="shared" ca="1" si="706"/>
        <v>289</v>
      </c>
      <c r="I1647" t="str">
        <f t="shared" si="707"/>
        <v>GOLD</v>
      </c>
      <c r="J1647">
        <f t="shared" si="708"/>
        <v>1683</v>
      </c>
      <c r="K1647">
        <f t="shared" si="709"/>
        <v>1737</v>
      </c>
      <c r="L1647">
        <f t="shared" si="710"/>
        <v>1710</v>
      </c>
      <c r="M1647">
        <f t="shared" si="711"/>
        <v>27</v>
      </c>
      <c r="N1647">
        <f t="shared" si="701"/>
        <v>54</v>
      </c>
      <c r="O1647">
        <f t="shared" si="712"/>
        <v>1706</v>
      </c>
      <c r="P1647">
        <f t="shared" si="713"/>
        <v>-0.14814814814814814</v>
      </c>
      <c r="Q1647" t="str">
        <f t="shared" si="702"/>
        <v>1.35% | 1.82%</v>
      </c>
      <c r="R1647" t="str">
        <f t="shared" si="714"/>
        <v>BULLISH</v>
      </c>
      <c r="S1647">
        <f t="shared" si="703"/>
        <v>1</v>
      </c>
    </row>
    <row r="1648" spans="1:19" hidden="1" x14ac:dyDescent="0.25">
      <c r="A1648" s="5" t="str">
        <f t="shared" si="700"/>
        <v>43964COPPER</v>
      </c>
      <c r="B1648" s="6" t="s">
        <v>26</v>
      </c>
      <c r="C1648" s="6">
        <v>2.2999999999999998</v>
      </c>
      <c r="D1648" s="6">
        <v>2.42</v>
      </c>
      <c r="E1648" s="6">
        <v>2.36</v>
      </c>
      <c r="F1648" t="str">
        <f t="shared" si="704"/>
        <v>WED</v>
      </c>
      <c r="G1648" s="1">
        <f t="shared" si="705"/>
        <v>43964</v>
      </c>
      <c r="H1648" s="2">
        <f t="shared" ca="1" si="706"/>
        <v>289</v>
      </c>
      <c r="I1648" t="str">
        <f t="shared" si="707"/>
        <v>COPPER</v>
      </c>
      <c r="J1648">
        <f t="shared" si="708"/>
        <v>2.2999999999999998</v>
      </c>
      <c r="K1648">
        <f t="shared" si="709"/>
        <v>2.42</v>
      </c>
      <c r="L1648">
        <f t="shared" si="710"/>
        <v>2.36</v>
      </c>
      <c r="M1648">
        <f t="shared" si="711"/>
        <v>6.0000000000000053E-2</v>
      </c>
      <c r="N1648">
        <f t="shared" si="701"/>
        <v>0.12000000000000011</v>
      </c>
      <c r="O1648">
        <f t="shared" si="712"/>
        <v>2.36</v>
      </c>
      <c r="P1648">
        <f t="shared" si="713"/>
        <v>0</v>
      </c>
      <c r="Q1648" t="str">
        <f t="shared" si="702"/>
        <v>2.54% | 2.54%</v>
      </c>
      <c r="R1648" t="str">
        <f t="shared" si="714"/>
        <v>BEARISH</v>
      </c>
      <c r="S1648">
        <f t="shared" si="703"/>
        <v>-1</v>
      </c>
    </row>
    <row r="1649" spans="1:19" hidden="1" x14ac:dyDescent="0.25">
      <c r="A1649" s="5" t="str">
        <f t="shared" si="700"/>
        <v>43964MSFT</v>
      </c>
      <c r="B1649" s="6" t="s">
        <v>27</v>
      </c>
      <c r="C1649" s="6">
        <v>174</v>
      </c>
      <c r="D1649" s="6">
        <v>188</v>
      </c>
      <c r="E1649" s="6">
        <v>182</v>
      </c>
      <c r="F1649" t="str">
        <f t="shared" si="704"/>
        <v>WED</v>
      </c>
      <c r="G1649" s="1">
        <f t="shared" si="705"/>
        <v>43964</v>
      </c>
      <c r="H1649" s="2">
        <f t="shared" ca="1" si="706"/>
        <v>289</v>
      </c>
      <c r="I1649" t="str">
        <f t="shared" si="707"/>
        <v>MSFT</v>
      </c>
      <c r="J1649">
        <f t="shared" si="708"/>
        <v>174</v>
      </c>
      <c r="K1649">
        <f t="shared" si="709"/>
        <v>188</v>
      </c>
      <c r="L1649">
        <f t="shared" si="710"/>
        <v>181</v>
      </c>
      <c r="M1649">
        <f t="shared" si="711"/>
        <v>7</v>
      </c>
      <c r="N1649">
        <f t="shared" si="701"/>
        <v>14</v>
      </c>
      <c r="O1649">
        <f t="shared" si="712"/>
        <v>182</v>
      </c>
      <c r="P1649">
        <f t="shared" si="713"/>
        <v>0.14285714285714285</v>
      </c>
      <c r="Q1649" t="str">
        <f t="shared" si="702"/>
        <v>4.4% | 3.3%</v>
      </c>
      <c r="R1649" t="str">
        <f t="shared" si="714"/>
        <v>BULLISH</v>
      </c>
      <c r="S1649">
        <f t="shared" si="703"/>
        <v>1</v>
      </c>
    </row>
    <row r="1650" spans="1:19" hidden="1" x14ac:dyDescent="0.25">
      <c r="A1650" s="5" t="str">
        <f t="shared" si="700"/>
        <v>43964AAPL</v>
      </c>
      <c r="B1650" s="6" t="s">
        <v>28</v>
      </c>
      <c r="C1650" s="6">
        <v>283</v>
      </c>
      <c r="D1650" s="6">
        <v>318</v>
      </c>
      <c r="E1650" s="6">
        <v>311</v>
      </c>
      <c r="F1650" t="str">
        <f t="shared" si="704"/>
        <v>WED</v>
      </c>
      <c r="G1650" s="1">
        <f t="shared" si="705"/>
        <v>43964</v>
      </c>
      <c r="H1650" s="2">
        <f t="shared" ca="1" si="706"/>
        <v>289</v>
      </c>
      <c r="I1650" t="str">
        <f t="shared" si="707"/>
        <v>AAPL</v>
      </c>
      <c r="J1650">
        <f t="shared" si="708"/>
        <v>283</v>
      </c>
      <c r="K1650">
        <f t="shared" si="709"/>
        <v>318</v>
      </c>
      <c r="L1650">
        <f t="shared" si="710"/>
        <v>300.5</v>
      </c>
      <c r="M1650">
        <f t="shared" si="711"/>
        <v>17.5</v>
      </c>
      <c r="N1650">
        <f t="shared" si="701"/>
        <v>35</v>
      </c>
      <c r="O1650">
        <f t="shared" si="712"/>
        <v>311</v>
      </c>
      <c r="P1650">
        <f t="shared" si="713"/>
        <v>0.6</v>
      </c>
      <c r="Q1650" t="str">
        <f t="shared" si="702"/>
        <v>9% | 2.25%</v>
      </c>
      <c r="R1650" t="str">
        <f t="shared" si="714"/>
        <v>BULLISH</v>
      </c>
      <c r="S1650">
        <f t="shared" si="703"/>
        <v>1</v>
      </c>
    </row>
    <row r="1651" spans="1:19" hidden="1" x14ac:dyDescent="0.25">
      <c r="A1651" s="5" t="str">
        <f t="shared" si="700"/>
        <v>43964AMZN</v>
      </c>
      <c r="B1651" s="6" t="s">
        <v>29</v>
      </c>
      <c r="C1651" s="6">
        <v>2255</v>
      </c>
      <c r="D1651" s="6">
        <v>2469</v>
      </c>
      <c r="E1651" s="6">
        <v>2356</v>
      </c>
      <c r="F1651" t="str">
        <f t="shared" si="704"/>
        <v>WED</v>
      </c>
      <c r="G1651" s="1">
        <f t="shared" si="705"/>
        <v>43964</v>
      </c>
      <c r="H1651" s="2">
        <f t="shared" ca="1" si="706"/>
        <v>289</v>
      </c>
      <c r="I1651" t="str">
        <f t="shared" si="707"/>
        <v>AMZN</v>
      </c>
      <c r="J1651">
        <f t="shared" si="708"/>
        <v>2255</v>
      </c>
      <c r="K1651">
        <f t="shared" si="709"/>
        <v>2469</v>
      </c>
      <c r="L1651">
        <f t="shared" si="710"/>
        <v>2362</v>
      </c>
      <c r="M1651">
        <f t="shared" si="711"/>
        <v>107</v>
      </c>
      <c r="N1651">
        <f t="shared" si="701"/>
        <v>214</v>
      </c>
      <c r="O1651">
        <f t="shared" si="712"/>
        <v>2356</v>
      </c>
      <c r="P1651">
        <f t="shared" si="713"/>
        <v>-5.6074766355140186E-2</v>
      </c>
      <c r="Q1651" t="str">
        <f t="shared" si="702"/>
        <v>4.29% | 4.8%</v>
      </c>
      <c r="R1651" t="str">
        <f t="shared" si="714"/>
        <v>BULLISH</v>
      </c>
      <c r="S1651">
        <f t="shared" si="703"/>
        <v>1</v>
      </c>
    </row>
    <row r="1652" spans="1:19" hidden="1" x14ac:dyDescent="0.25">
      <c r="A1652" s="5" t="str">
        <f t="shared" si="700"/>
        <v>43964FB</v>
      </c>
      <c r="B1652" s="6" t="s">
        <v>30</v>
      </c>
      <c r="C1652" s="6">
        <v>195</v>
      </c>
      <c r="D1652" s="6">
        <v>216</v>
      </c>
      <c r="E1652" s="6">
        <v>210</v>
      </c>
      <c r="F1652" t="str">
        <f t="shared" si="704"/>
        <v>WED</v>
      </c>
      <c r="G1652" s="1">
        <f t="shared" si="705"/>
        <v>43964</v>
      </c>
      <c r="H1652" s="2">
        <f t="shared" ca="1" si="706"/>
        <v>289</v>
      </c>
      <c r="I1652" t="str">
        <f t="shared" si="707"/>
        <v>FB</v>
      </c>
      <c r="J1652">
        <f t="shared" si="708"/>
        <v>195</v>
      </c>
      <c r="K1652">
        <f t="shared" si="709"/>
        <v>216</v>
      </c>
      <c r="L1652">
        <f t="shared" si="710"/>
        <v>205.5</v>
      </c>
      <c r="M1652">
        <f t="shared" si="711"/>
        <v>10.5</v>
      </c>
      <c r="N1652">
        <f t="shared" si="701"/>
        <v>21</v>
      </c>
      <c r="O1652">
        <f t="shared" si="712"/>
        <v>210</v>
      </c>
      <c r="P1652">
        <f t="shared" si="713"/>
        <v>0.42857142857142855</v>
      </c>
      <c r="Q1652" t="str">
        <f t="shared" si="702"/>
        <v>7.14% | 2.86%</v>
      </c>
      <c r="R1652" t="str">
        <f t="shared" si="714"/>
        <v>BULLISH</v>
      </c>
      <c r="S1652">
        <f t="shared" si="703"/>
        <v>1</v>
      </c>
    </row>
    <row r="1653" spans="1:19" hidden="1" x14ac:dyDescent="0.25">
      <c r="A1653" s="5" t="str">
        <f t="shared" si="700"/>
        <v>43964GOOGL</v>
      </c>
      <c r="B1653" s="6" t="s">
        <v>31</v>
      </c>
      <c r="C1653" s="6">
        <v>1297</v>
      </c>
      <c r="D1653" s="6">
        <v>1408</v>
      </c>
      <c r="E1653" s="6">
        <v>1375</v>
      </c>
      <c r="F1653" t="str">
        <f t="shared" si="704"/>
        <v>WED</v>
      </c>
      <c r="G1653" s="1">
        <f t="shared" si="705"/>
        <v>43964</v>
      </c>
      <c r="H1653" s="2">
        <f t="shared" ca="1" si="706"/>
        <v>289</v>
      </c>
      <c r="I1653" t="str">
        <f t="shared" si="707"/>
        <v>GOOGL</v>
      </c>
      <c r="J1653">
        <f t="shared" si="708"/>
        <v>1297</v>
      </c>
      <c r="K1653">
        <f t="shared" si="709"/>
        <v>1408</v>
      </c>
      <c r="L1653">
        <f t="shared" si="710"/>
        <v>1352.5</v>
      </c>
      <c r="M1653">
        <f t="shared" si="711"/>
        <v>55.5</v>
      </c>
      <c r="N1653">
        <f t="shared" si="701"/>
        <v>111</v>
      </c>
      <c r="O1653">
        <f t="shared" si="712"/>
        <v>1375</v>
      </c>
      <c r="P1653">
        <f t="shared" si="713"/>
        <v>0.40540540540540543</v>
      </c>
      <c r="Q1653" t="str">
        <f t="shared" si="702"/>
        <v>5.67% | 2.4%</v>
      </c>
      <c r="R1653" t="str">
        <f t="shared" si="714"/>
        <v>BULLISH</v>
      </c>
      <c r="S1653">
        <f t="shared" si="703"/>
        <v>1</v>
      </c>
    </row>
    <row r="1654" spans="1:19" hidden="1" x14ac:dyDescent="0.25">
      <c r="A1654" s="5" t="str">
        <f t="shared" si="700"/>
        <v>43964NFLX</v>
      </c>
      <c r="B1654" s="6" t="s">
        <v>32</v>
      </c>
      <c r="C1654" s="6">
        <v>411</v>
      </c>
      <c r="D1654" s="6">
        <v>445</v>
      </c>
      <c r="E1654" s="6">
        <v>431</v>
      </c>
      <c r="F1654" t="str">
        <f t="shared" si="704"/>
        <v>WED</v>
      </c>
      <c r="G1654" s="1">
        <f t="shared" si="705"/>
        <v>43964</v>
      </c>
      <c r="H1654" s="2">
        <f t="shared" ca="1" si="706"/>
        <v>289</v>
      </c>
      <c r="I1654" t="str">
        <f t="shared" si="707"/>
        <v>NFLX</v>
      </c>
      <c r="J1654">
        <f t="shared" si="708"/>
        <v>411</v>
      </c>
      <c r="K1654">
        <f t="shared" si="709"/>
        <v>445</v>
      </c>
      <c r="L1654">
        <f t="shared" si="710"/>
        <v>428</v>
      </c>
      <c r="M1654">
        <f t="shared" si="711"/>
        <v>17</v>
      </c>
      <c r="N1654">
        <f t="shared" si="701"/>
        <v>34</v>
      </c>
      <c r="O1654">
        <f t="shared" si="712"/>
        <v>431</v>
      </c>
      <c r="P1654">
        <f t="shared" si="713"/>
        <v>0.17647058823529413</v>
      </c>
      <c r="Q1654" t="str">
        <f t="shared" si="702"/>
        <v>4.64% | 3.25%</v>
      </c>
      <c r="R1654" t="str">
        <f t="shared" si="714"/>
        <v>BULLISH</v>
      </c>
      <c r="S1654">
        <f t="shared" si="703"/>
        <v>1</v>
      </c>
    </row>
    <row r="1655" spans="1:19" x14ac:dyDescent="0.25">
      <c r="A1655" s="5" t="str">
        <f t="shared" si="700"/>
        <v>43964TSLA</v>
      </c>
      <c r="B1655" s="6" t="s">
        <v>33</v>
      </c>
      <c r="C1655" s="6">
        <v>710</v>
      </c>
      <c r="D1655" s="6">
        <v>848</v>
      </c>
      <c r="E1655" s="6">
        <v>809</v>
      </c>
      <c r="F1655" t="str">
        <f t="shared" si="704"/>
        <v>WED</v>
      </c>
      <c r="G1655" s="1">
        <f t="shared" si="705"/>
        <v>43964</v>
      </c>
      <c r="H1655" s="2">
        <f t="shared" ca="1" si="706"/>
        <v>289</v>
      </c>
      <c r="I1655" t="str">
        <f t="shared" si="707"/>
        <v>TSLA</v>
      </c>
      <c r="J1655">
        <f t="shared" si="708"/>
        <v>710</v>
      </c>
      <c r="K1655">
        <f t="shared" si="709"/>
        <v>848</v>
      </c>
      <c r="L1655">
        <f t="shared" si="710"/>
        <v>779</v>
      </c>
      <c r="M1655">
        <f t="shared" si="711"/>
        <v>69</v>
      </c>
      <c r="N1655">
        <f t="shared" si="701"/>
        <v>138</v>
      </c>
      <c r="O1655">
        <f t="shared" si="712"/>
        <v>809</v>
      </c>
      <c r="P1655">
        <f t="shared" si="713"/>
        <v>0.43478260869565216</v>
      </c>
      <c r="Q1655" t="str">
        <f t="shared" si="702"/>
        <v>12.24% | 4.82%</v>
      </c>
      <c r="R1655" t="str">
        <f t="shared" si="714"/>
        <v>BULLISH</v>
      </c>
      <c r="S1655">
        <f t="shared" si="703"/>
        <v>1</v>
      </c>
    </row>
    <row r="1656" spans="1:19" hidden="1" x14ac:dyDescent="0.25">
      <c r="A1656" s="5" t="str">
        <f t="shared" si="700"/>
        <v>43964NYXBT</v>
      </c>
      <c r="B1656" s="6" t="s">
        <v>34</v>
      </c>
      <c r="C1656" s="6">
        <v>8183</v>
      </c>
      <c r="D1656" s="6">
        <v>9872</v>
      </c>
      <c r="E1656" s="6">
        <v>8881</v>
      </c>
      <c r="F1656" t="str">
        <f t="shared" si="704"/>
        <v>WED</v>
      </c>
      <c r="G1656" s="1">
        <f t="shared" si="705"/>
        <v>43964</v>
      </c>
      <c r="H1656" s="2">
        <f t="shared" ca="1" si="706"/>
        <v>289</v>
      </c>
      <c r="I1656" t="str">
        <f t="shared" si="707"/>
        <v>NYXBT</v>
      </c>
      <c r="J1656">
        <f t="shared" si="708"/>
        <v>8183</v>
      </c>
      <c r="K1656">
        <f t="shared" si="709"/>
        <v>9872</v>
      </c>
      <c r="L1656">
        <f t="shared" si="710"/>
        <v>9027.5</v>
      </c>
      <c r="M1656">
        <f t="shared" si="711"/>
        <v>844.5</v>
      </c>
      <c r="N1656">
        <f t="shared" si="701"/>
        <v>1689</v>
      </c>
      <c r="O1656">
        <f t="shared" si="712"/>
        <v>8881</v>
      </c>
      <c r="P1656">
        <f t="shared" si="713"/>
        <v>-0.1734754292480758</v>
      </c>
      <c r="Q1656" t="str">
        <f t="shared" si="702"/>
        <v>7.86% | 11.16%</v>
      </c>
      <c r="R1656" t="str">
        <f t="shared" si="714"/>
        <v>BULLISH</v>
      </c>
      <c r="S1656">
        <f t="shared" si="703"/>
        <v>1</v>
      </c>
    </row>
    <row r="1657" spans="1:19" hidden="1" x14ac:dyDescent="0.25">
      <c r="A1657" s="5" t="str">
        <f t="shared" si="700"/>
        <v>43965UST10Y</v>
      </c>
      <c r="B1657" s="6" t="s">
        <v>4</v>
      </c>
      <c r="C1657" s="6">
        <v>0.74</v>
      </c>
      <c r="D1657" s="6">
        <v>0.59</v>
      </c>
      <c r="E1657" s="6">
        <v>0.64</v>
      </c>
      <c r="F1657" t="str">
        <f t="shared" ref="F1657:F1687" si="715">UPPER(TEXT(G1657,"ddd"))</f>
        <v>THU</v>
      </c>
      <c r="G1657" s="3">
        <f t="shared" ref="G1657:G1686" si="716">DATE(2020,5,14)</f>
        <v>43965</v>
      </c>
      <c r="H1657" s="2">
        <f t="shared" ref="H1657:H1687" ca="1" si="717">TODAY()-G1657</f>
        <v>288</v>
      </c>
      <c r="I1657" t="str">
        <f t="shared" ref="I1657:I1687" si="718">TRIM(LEFT(B1657,FIND(" ",B1657,1)))</f>
        <v>UST10Y</v>
      </c>
      <c r="J1657">
        <f t="shared" ref="J1657:J1687" si="719">C1657</f>
        <v>0.74</v>
      </c>
      <c r="K1657">
        <f t="shared" ref="K1657:K1687" si="720">D1657</f>
        <v>0.59</v>
      </c>
      <c r="L1657">
        <f t="shared" ref="L1657:L1687" si="721">AVERAGE(J1657:K1657)</f>
        <v>0.66500000000000004</v>
      </c>
      <c r="M1657">
        <f t="shared" ref="M1657:M1687" si="722">_xlfn.STDEV.P(J1657:K1657)</f>
        <v>7.4999999999999567E-2</v>
      </c>
      <c r="N1657">
        <f t="shared" si="701"/>
        <v>0.15000000000000002</v>
      </c>
      <c r="O1657">
        <f t="shared" ref="O1657:O1687" si="723">E1657</f>
        <v>0.64</v>
      </c>
      <c r="P1657">
        <f t="shared" ref="P1657:P1687" si="724">(O1657-L1657)/M1657</f>
        <v>-0.33333333333333554</v>
      </c>
      <c r="Q1657" t="str">
        <f t="shared" si="702"/>
        <v>15.63% | 7.81%</v>
      </c>
      <c r="R1657" t="str">
        <f t="shared" ref="R1657:R1687" si="725">MID(B1657,FIND("(",B1657,1)+1,FIND(")",B1657,1)-FIND("(",B1657,1)-1)</f>
        <v>BEARISH</v>
      </c>
      <c r="S1657">
        <f t="shared" si="703"/>
        <v>-1</v>
      </c>
    </row>
    <row r="1658" spans="1:19" hidden="1" x14ac:dyDescent="0.25">
      <c r="A1658" s="5" t="str">
        <f t="shared" si="700"/>
        <v>43965UST2Y</v>
      </c>
      <c r="B1658" s="6" t="s">
        <v>5</v>
      </c>
      <c r="C1658" s="6">
        <v>0.21</v>
      </c>
      <c r="D1658" s="6">
        <v>0.12</v>
      </c>
      <c r="E1658" s="6">
        <v>0.16</v>
      </c>
      <c r="F1658" t="str">
        <f t="shared" si="715"/>
        <v>THU</v>
      </c>
      <c r="G1658" s="3">
        <f t="shared" si="716"/>
        <v>43965</v>
      </c>
      <c r="H1658" s="2">
        <f t="shared" ca="1" si="717"/>
        <v>288</v>
      </c>
      <c r="I1658" t="str">
        <f t="shared" si="718"/>
        <v>UST2Y</v>
      </c>
      <c r="J1658">
        <f t="shared" si="719"/>
        <v>0.21</v>
      </c>
      <c r="K1658">
        <f t="shared" si="720"/>
        <v>0.12</v>
      </c>
      <c r="L1658">
        <f t="shared" si="721"/>
        <v>0.16499999999999998</v>
      </c>
      <c r="M1658">
        <f t="shared" si="722"/>
        <v>4.5000000000000068E-2</v>
      </c>
      <c r="N1658">
        <f t="shared" si="701"/>
        <v>0.09</v>
      </c>
      <c r="O1658">
        <f t="shared" si="723"/>
        <v>0.16</v>
      </c>
      <c r="P1658">
        <f t="shared" si="724"/>
        <v>-0.11111111111111042</v>
      </c>
      <c r="Q1658" t="str">
        <f t="shared" si="702"/>
        <v>31.25% | 25%</v>
      </c>
      <c r="R1658" t="str">
        <f t="shared" si="725"/>
        <v>BEARISH</v>
      </c>
      <c r="S1658">
        <f t="shared" si="703"/>
        <v>-1</v>
      </c>
    </row>
    <row r="1659" spans="1:19" hidden="1" x14ac:dyDescent="0.25">
      <c r="A1659" s="5" t="str">
        <f t="shared" si="700"/>
        <v>43965SPX</v>
      </c>
      <c r="B1659" s="6" t="s">
        <v>6</v>
      </c>
      <c r="C1659" s="6">
        <v>2784</v>
      </c>
      <c r="D1659" s="6">
        <v>2942</v>
      </c>
      <c r="E1659" s="6">
        <v>2820</v>
      </c>
      <c r="F1659" t="str">
        <f t="shared" si="715"/>
        <v>THU</v>
      </c>
      <c r="G1659" s="3">
        <f t="shared" si="716"/>
        <v>43965</v>
      </c>
      <c r="H1659" s="2">
        <f t="shared" ca="1" si="717"/>
        <v>288</v>
      </c>
      <c r="I1659" t="str">
        <f t="shared" si="718"/>
        <v>SPX</v>
      </c>
      <c r="J1659">
        <f t="shared" si="719"/>
        <v>2784</v>
      </c>
      <c r="K1659">
        <f t="shared" si="720"/>
        <v>2942</v>
      </c>
      <c r="L1659">
        <f t="shared" si="721"/>
        <v>2863</v>
      </c>
      <c r="M1659">
        <f t="shared" si="722"/>
        <v>79</v>
      </c>
      <c r="N1659">
        <f t="shared" si="701"/>
        <v>158</v>
      </c>
      <c r="O1659">
        <f t="shared" si="723"/>
        <v>2820</v>
      </c>
      <c r="P1659">
        <f t="shared" si="724"/>
        <v>-0.54430379746835444</v>
      </c>
      <c r="Q1659" t="str">
        <f t="shared" si="702"/>
        <v>1.28% | 4.33%</v>
      </c>
      <c r="R1659" t="str">
        <f t="shared" si="725"/>
        <v>BEARISH</v>
      </c>
      <c r="S1659">
        <f t="shared" si="703"/>
        <v>-1</v>
      </c>
    </row>
    <row r="1660" spans="1:19" hidden="1" x14ac:dyDescent="0.25">
      <c r="A1660" s="5" t="str">
        <f t="shared" si="700"/>
        <v>43965RUT</v>
      </c>
      <c r="B1660" s="6" t="s">
        <v>7</v>
      </c>
      <c r="C1660" s="6">
        <v>1208</v>
      </c>
      <c r="D1660" s="6">
        <v>1332</v>
      </c>
      <c r="E1660" s="6">
        <v>1233</v>
      </c>
      <c r="F1660" t="str">
        <f t="shared" si="715"/>
        <v>THU</v>
      </c>
      <c r="G1660" s="3">
        <f t="shared" si="716"/>
        <v>43965</v>
      </c>
      <c r="H1660" s="2">
        <f t="shared" ca="1" si="717"/>
        <v>288</v>
      </c>
      <c r="I1660" t="str">
        <f t="shared" si="718"/>
        <v>RUT</v>
      </c>
      <c r="J1660">
        <f t="shared" si="719"/>
        <v>1208</v>
      </c>
      <c r="K1660">
        <f t="shared" si="720"/>
        <v>1332</v>
      </c>
      <c r="L1660">
        <f t="shared" si="721"/>
        <v>1270</v>
      </c>
      <c r="M1660">
        <f t="shared" si="722"/>
        <v>62</v>
      </c>
      <c r="N1660">
        <f t="shared" si="701"/>
        <v>124</v>
      </c>
      <c r="O1660">
        <f t="shared" si="723"/>
        <v>1233</v>
      </c>
      <c r="P1660">
        <f t="shared" si="724"/>
        <v>-0.59677419354838712</v>
      </c>
      <c r="Q1660" t="str">
        <f t="shared" si="702"/>
        <v>2.03% | 8.03%</v>
      </c>
      <c r="R1660" t="str">
        <f t="shared" si="725"/>
        <v>BEARISH</v>
      </c>
      <c r="S1660">
        <f t="shared" si="703"/>
        <v>-1</v>
      </c>
    </row>
    <row r="1661" spans="1:19" hidden="1" x14ac:dyDescent="0.25">
      <c r="A1661" s="5" t="str">
        <f t="shared" si="700"/>
        <v>43965COMPQ</v>
      </c>
      <c r="B1661" s="6" t="s">
        <v>8</v>
      </c>
      <c r="C1661" s="6">
        <v>8546</v>
      </c>
      <c r="D1661" s="6">
        <v>9261</v>
      </c>
      <c r="E1661" s="6">
        <v>8863</v>
      </c>
      <c r="F1661" t="str">
        <f t="shared" si="715"/>
        <v>THU</v>
      </c>
      <c r="G1661" s="3">
        <f t="shared" si="716"/>
        <v>43965</v>
      </c>
      <c r="H1661" s="2">
        <f t="shared" ca="1" si="717"/>
        <v>288</v>
      </c>
      <c r="I1661" t="str">
        <f t="shared" si="718"/>
        <v>COMPQ</v>
      </c>
      <c r="J1661">
        <f t="shared" si="719"/>
        <v>8546</v>
      </c>
      <c r="K1661">
        <f t="shared" si="720"/>
        <v>9261</v>
      </c>
      <c r="L1661">
        <f t="shared" si="721"/>
        <v>8903.5</v>
      </c>
      <c r="M1661">
        <f t="shared" si="722"/>
        <v>357.5</v>
      </c>
      <c r="N1661">
        <f t="shared" si="701"/>
        <v>715</v>
      </c>
      <c r="O1661">
        <f t="shared" si="723"/>
        <v>8863</v>
      </c>
      <c r="P1661">
        <f t="shared" si="724"/>
        <v>-0.11328671328671329</v>
      </c>
      <c r="Q1661" t="str">
        <f t="shared" si="702"/>
        <v>3.58% | 4.49%</v>
      </c>
      <c r="R1661" t="str">
        <f t="shared" si="725"/>
        <v>BULLISH</v>
      </c>
      <c r="S1661">
        <f t="shared" si="703"/>
        <v>1</v>
      </c>
    </row>
    <row r="1662" spans="1:19" hidden="1" x14ac:dyDescent="0.25">
      <c r="A1662" s="5" t="str">
        <f t="shared" si="700"/>
        <v>43965XLV</v>
      </c>
      <c r="B1662" s="6" t="s">
        <v>9</v>
      </c>
      <c r="C1662" s="6">
        <v>97</v>
      </c>
      <c r="D1662" s="6">
        <v>101.19</v>
      </c>
      <c r="E1662" s="6">
        <v>98.5</v>
      </c>
      <c r="F1662" t="str">
        <f t="shared" si="715"/>
        <v>THU</v>
      </c>
      <c r="G1662" s="3">
        <f t="shared" si="716"/>
        <v>43965</v>
      </c>
      <c r="H1662" s="2">
        <f t="shared" ca="1" si="717"/>
        <v>288</v>
      </c>
      <c r="I1662" t="str">
        <f t="shared" si="718"/>
        <v>XLV</v>
      </c>
      <c r="J1662">
        <f t="shared" si="719"/>
        <v>97</v>
      </c>
      <c r="K1662">
        <f t="shared" si="720"/>
        <v>101.19</v>
      </c>
      <c r="L1662">
        <f t="shared" si="721"/>
        <v>99.094999999999999</v>
      </c>
      <c r="M1662">
        <f t="shared" si="722"/>
        <v>2.0949999999999989</v>
      </c>
      <c r="N1662">
        <f t="shared" si="701"/>
        <v>4.1899999999999977</v>
      </c>
      <c r="O1662">
        <f t="shared" si="723"/>
        <v>98.5</v>
      </c>
      <c r="P1662">
        <f t="shared" si="724"/>
        <v>-0.2840095465393791</v>
      </c>
      <c r="Q1662" t="str">
        <f t="shared" si="702"/>
        <v>1.52% | 2.73%</v>
      </c>
      <c r="R1662" t="str">
        <f t="shared" si="725"/>
        <v>BULLISH</v>
      </c>
      <c r="S1662">
        <f t="shared" si="703"/>
        <v>1</v>
      </c>
    </row>
    <row r="1663" spans="1:19" hidden="1" x14ac:dyDescent="0.25">
      <c r="A1663" s="5" t="str">
        <f t="shared" si="700"/>
        <v>43965XLK</v>
      </c>
      <c r="B1663" s="6" t="s">
        <v>10</v>
      </c>
      <c r="C1663" s="6">
        <v>87.97</v>
      </c>
      <c r="D1663" s="6">
        <v>96.3</v>
      </c>
      <c r="E1663" s="6">
        <v>91.83</v>
      </c>
      <c r="F1663" t="str">
        <f t="shared" si="715"/>
        <v>THU</v>
      </c>
      <c r="G1663" s="3">
        <f t="shared" si="716"/>
        <v>43965</v>
      </c>
      <c r="H1663" s="2">
        <f t="shared" ca="1" si="717"/>
        <v>288</v>
      </c>
      <c r="I1663" t="str">
        <f t="shared" si="718"/>
        <v>XLK</v>
      </c>
      <c r="J1663">
        <f t="shared" si="719"/>
        <v>87.97</v>
      </c>
      <c r="K1663">
        <f t="shared" si="720"/>
        <v>96.3</v>
      </c>
      <c r="L1663">
        <f t="shared" si="721"/>
        <v>92.134999999999991</v>
      </c>
      <c r="M1663">
        <f t="shared" si="722"/>
        <v>4.1649999999999991</v>
      </c>
      <c r="N1663">
        <f t="shared" si="701"/>
        <v>8.3299999999999983</v>
      </c>
      <c r="O1663">
        <f t="shared" si="723"/>
        <v>91.83</v>
      </c>
      <c r="P1663">
        <f t="shared" si="724"/>
        <v>-7.3229291716684922E-2</v>
      </c>
      <c r="Q1663" t="str">
        <f t="shared" si="702"/>
        <v>4.2% | 4.87%</v>
      </c>
      <c r="R1663" t="str">
        <f t="shared" si="725"/>
        <v>BULLISH</v>
      </c>
      <c r="S1663">
        <f t="shared" si="703"/>
        <v>1</v>
      </c>
    </row>
    <row r="1664" spans="1:19" hidden="1" x14ac:dyDescent="0.25">
      <c r="A1664" s="5" t="str">
        <f t="shared" si="700"/>
        <v>43965XLP</v>
      </c>
      <c r="B1664" s="6" t="s">
        <v>50</v>
      </c>
      <c r="C1664" s="6">
        <v>56.05</v>
      </c>
      <c r="D1664" s="6">
        <v>58.35</v>
      </c>
      <c r="E1664" s="6">
        <v>57.03</v>
      </c>
      <c r="F1664" t="str">
        <f t="shared" si="715"/>
        <v>THU</v>
      </c>
      <c r="G1664" s="3">
        <f t="shared" si="716"/>
        <v>43965</v>
      </c>
      <c r="H1664" s="2">
        <f t="shared" ca="1" si="717"/>
        <v>288</v>
      </c>
      <c r="I1664" t="str">
        <f t="shared" si="718"/>
        <v>XLP</v>
      </c>
      <c r="J1664">
        <f t="shared" si="719"/>
        <v>56.05</v>
      </c>
      <c r="K1664">
        <f t="shared" si="720"/>
        <v>58.35</v>
      </c>
      <c r="L1664">
        <f t="shared" si="721"/>
        <v>57.2</v>
      </c>
      <c r="M1664">
        <f t="shared" si="722"/>
        <v>1.1500000000000021</v>
      </c>
      <c r="N1664">
        <f t="shared" si="701"/>
        <v>2.3000000000000043</v>
      </c>
      <c r="O1664">
        <f t="shared" si="723"/>
        <v>57.03</v>
      </c>
      <c r="P1664">
        <f t="shared" si="724"/>
        <v>-0.14782608695652294</v>
      </c>
      <c r="Q1664" t="str">
        <f t="shared" si="702"/>
        <v>1.72% | 2.31%</v>
      </c>
      <c r="R1664" t="str">
        <f t="shared" si="725"/>
        <v>NEUTRAL</v>
      </c>
      <c r="S1664">
        <f t="shared" si="703"/>
        <v>0</v>
      </c>
    </row>
    <row r="1665" spans="1:19" hidden="1" x14ac:dyDescent="0.25">
      <c r="A1665" s="5" t="str">
        <f t="shared" si="700"/>
        <v>43965XLF</v>
      </c>
      <c r="B1665" s="6" t="s">
        <v>12</v>
      </c>
      <c r="C1665" s="6">
        <v>20.309999999999999</v>
      </c>
      <c r="D1665" s="6">
        <v>22.5</v>
      </c>
      <c r="E1665" s="6">
        <v>20.66</v>
      </c>
      <c r="F1665" t="str">
        <f t="shared" si="715"/>
        <v>THU</v>
      </c>
      <c r="G1665" s="3">
        <f t="shared" si="716"/>
        <v>43965</v>
      </c>
      <c r="H1665" s="2">
        <f t="shared" ca="1" si="717"/>
        <v>288</v>
      </c>
      <c r="I1665" t="str">
        <f t="shared" si="718"/>
        <v>XLF</v>
      </c>
      <c r="J1665">
        <f t="shared" si="719"/>
        <v>20.309999999999999</v>
      </c>
      <c r="K1665">
        <f t="shared" si="720"/>
        <v>22.5</v>
      </c>
      <c r="L1665">
        <f t="shared" si="721"/>
        <v>21.405000000000001</v>
      </c>
      <c r="M1665">
        <f t="shared" si="722"/>
        <v>1.0950000000000006</v>
      </c>
      <c r="N1665">
        <f t="shared" si="701"/>
        <v>2.1900000000000013</v>
      </c>
      <c r="O1665">
        <f t="shared" si="723"/>
        <v>20.66</v>
      </c>
      <c r="P1665">
        <f t="shared" si="724"/>
        <v>-0.68036529680365343</v>
      </c>
      <c r="Q1665" t="str">
        <f t="shared" si="702"/>
        <v>1.69% | 8.91%</v>
      </c>
      <c r="R1665" t="str">
        <f t="shared" si="725"/>
        <v>BEARISH</v>
      </c>
      <c r="S1665">
        <f t="shared" si="703"/>
        <v>-1</v>
      </c>
    </row>
    <row r="1666" spans="1:19" hidden="1" x14ac:dyDescent="0.25">
      <c r="A1666" s="5" t="str">
        <f t="shared" si="700"/>
        <v>43965XLI</v>
      </c>
      <c r="B1666" s="6" t="s">
        <v>13</v>
      </c>
      <c r="C1666" s="6">
        <v>58.72</v>
      </c>
      <c r="D1666" s="6">
        <v>63.6</v>
      </c>
      <c r="E1666" s="6">
        <v>59.05</v>
      </c>
      <c r="F1666" t="str">
        <f t="shared" si="715"/>
        <v>THU</v>
      </c>
      <c r="G1666" s="3">
        <f t="shared" si="716"/>
        <v>43965</v>
      </c>
      <c r="H1666" s="2">
        <f t="shared" ca="1" si="717"/>
        <v>288</v>
      </c>
      <c r="I1666" t="str">
        <f t="shared" si="718"/>
        <v>XLI</v>
      </c>
      <c r="J1666">
        <f t="shared" si="719"/>
        <v>58.72</v>
      </c>
      <c r="K1666">
        <f t="shared" si="720"/>
        <v>63.6</v>
      </c>
      <c r="L1666">
        <f t="shared" si="721"/>
        <v>61.16</v>
      </c>
      <c r="M1666">
        <f t="shared" si="722"/>
        <v>2.4400000000000013</v>
      </c>
      <c r="N1666">
        <f t="shared" si="701"/>
        <v>4.8800000000000026</v>
      </c>
      <c r="O1666">
        <f t="shared" si="723"/>
        <v>59.05</v>
      </c>
      <c r="P1666">
        <f t="shared" si="724"/>
        <v>-0.86475409836065509</v>
      </c>
      <c r="Q1666" t="str">
        <f t="shared" si="702"/>
        <v>0.56% | 7.71%</v>
      </c>
      <c r="R1666" t="str">
        <f t="shared" si="725"/>
        <v>BEARISH</v>
      </c>
      <c r="S1666">
        <f t="shared" si="703"/>
        <v>-1</v>
      </c>
    </row>
    <row r="1667" spans="1:19" hidden="1" x14ac:dyDescent="0.25">
      <c r="A1667" s="5" t="str">
        <f t="shared" ref="A1667:A1730" si="726">G1667&amp;I1667</f>
        <v>43965SSEC</v>
      </c>
      <c r="B1667" s="6" t="s">
        <v>14</v>
      </c>
      <c r="C1667" s="6">
        <v>2830</v>
      </c>
      <c r="D1667" s="6">
        <v>2906</v>
      </c>
      <c r="E1667" s="6">
        <v>2870</v>
      </c>
      <c r="F1667" t="str">
        <f t="shared" si="715"/>
        <v>THU</v>
      </c>
      <c r="G1667" s="3">
        <f t="shared" si="716"/>
        <v>43965</v>
      </c>
      <c r="H1667" s="2">
        <f t="shared" ca="1" si="717"/>
        <v>288</v>
      </c>
      <c r="I1667" t="str">
        <f t="shared" si="718"/>
        <v>SSEC</v>
      </c>
      <c r="J1667">
        <f t="shared" si="719"/>
        <v>2830</v>
      </c>
      <c r="K1667">
        <f t="shared" si="720"/>
        <v>2906</v>
      </c>
      <c r="L1667">
        <f t="shared" si="721"/>
        <v>2868</v>
      </c>
      <c r="M1667">
        <f t="shared" si="722"/>
        <v>38</v>
      </c>
      <c r="N1667">
        <f t="shared" ref="N1667:N1730" si="727">ABS(K1667-J1667)</f>
        <v>76</v>
      </c>
      <c r="O1667">
        <f t="shared" si="723"/>
        <v>2870</v>
      </c>
      <c r="P1667">
        <f t="shared" si="724"/>
        <v>5.2631578947368418E-2</v>
      </c>
      <c r="Q1667" t="str">
        <f t="shared" ref="Q1667:Q1730" si="728">ROUND(ABS(100*(O1667-J1667)/O1667),2)&amp;"% | "&amp;ROUND(ABS(100*(K1667-O1667)/O1667),2)&amp;"%"</f>
        <v>1.39% | 1.25%</v>
      </c>
      <c r="R1667" t="str">
        <f t="shared" si="725"/>
        <v>BEARISH</v>
      </c>
      <c r="S1667">
        <f t="shared" ref="S1667:S1730" si="729">IF(R1667="BEARISH",-1,IF(R1667="NEUTRAL",0,IF(R1667="BULLISH",1,99)))</f>
        <v>-1</v>
      </c>
    </row>
    <row r="1668" spans="1:19" hidden="1" x14ac:dyDescent="0.25">
      <c r="A1668" s="5" t="str">
        <f t="shared" si="726"/>
        <v>43965NIKK</v>
      </c>
      <c r="B1668" s="6" t="s">
        <v>15</v>
      </c>
      <c r="C1668" s="6">
        <v>19341</v>
      </c>
      <c r="D1668" s="6">
        <v>20485</v>
      </c>
      <c r="E1668" s="6">
        <v>19914</v>
      </c>
      <c r="F1668" t="str">
        <f t="shared" si="715"/>
        <v>THU</v>
      </c>
      <c r="G1668" s="3">
        <f t="shared" si="716"/>
        <v>43965</v>
      </c>
      <c r="H1668" s="2">
        <f t="shared" ca="1" si="717"/>
        <v>288</v>
      </c>
      <c r="I1668" t="str">
        <f t="shared" si="718"/>
        <v>NIKK</v>
      </c>
      <c r="J1668">
        <f t="shared" si="719"/>
        <v>19341</v>
      </c>
      <c r="K1668">
        <f t="shared" si="720"/>
        <v>20485</v>
      </c>
      <c r="L1668">
        <f t="shared" si="721"/>
        <v>19913</v>
      </c>
      <c r="M1668">
        <f t="shared" si="722"/>
        <v>572</v>
      </c>
      <c r="N1668">
        <f t="shared" si="727"/>
        <v>1144</v>
      </c>
      <c r="O1668">
        <f t="shared" si="723"/>
        <v>19914</v>
      </c>
      <c r="P1668">
        <f t="shared" si="724"/>
        <v>1.7482517482517483E-3</v>
      </c>
      <c r="Q1668" t="str">
        <f t="shared" si="728"/>
        <v>2.88% | 2.87%</v>
      </c>
      <c r="R1668" t="str">
        <f t="shared" si="725"/>
        <v>BEARISH</v>
      </c>
      <c r="S1668">
        <f t="shared" si="729"/>
        <v>-1</v>
      </c>
    </row>
    <row r="1669" spans="1:19" hidden="1" x14ac:dyDescent="0.25">
      <c r="A1669" s="5" t="str">
        <f t="shared" si="726"/>
        <v>43965DAX</v>
      </c>
      <c r="B1669" s="6" t="s">
        <v>16</v>
      </c>
      <c r="C1669" s="6">
        <v>10291</v>
      </c>
      <c r="D1669" s="6">
        <v>10990</v>
      </c>
      <c r="E1669" s="6">
        <v>10535</v>
      </c>
      <c r="F1669" t="str">
        <f t="shared" si="715"/>
        <v>THU</v>
      </c>
      <c r="G1669" s="3">
        <f t="shared" si="716"/>
        <v>43965</v>
      </c>
      <c r="H1669" s="2">
        <f t="shared" ca="1" si="717"/>
        <v>288</v>
      </c>
      <c r="I1669" t="str">
        <f t="shared" si="718"/>
        <v>DAX</v>
      </c>
      <c r="J1669">
        <f t="shared" si="719"/>
        <v>10291</v>
      </c>
      <c r="K1669">
        <f t="shared" si="720"/>
        <v>10990</v>
      </c>
      <c r="L1669">
        <f t="shared" si="721"/>
        <v>10640.5</v>
      </c>
      <c r="M1669">
        <f t="shared" si="722"/>
        <v>349.5</v>
      </c>
      <c r="N1669">
        <f t="shared" si="727"/>
        <v>699</v>
      </c>
      <c r="O1669">
        <f t="shared" si="723"/>
        <v>10535</v>
      </c>
      <c r="P1669">
        <f t="shared" si="724"/>
        <v>-0.30185979971387694</v>
      </c>
      <c r="Q1669" t="str">
        <f t="shared" si="728"/>
        <v>2.32% | 4.32%</v>
      </c>
      <c r="R1669" t="str">
        <f t="shared" si="725"/>
        <v>BEARISH</v>
      </c>
      <c r="S1669">
        <f t="shared" si="729"/>
        <v>-1</v>
      </c>
    </row>
    <row r="1670" spans="1:19" hidden="1" x14ac:dyDescent="0.25">
      <c r="A1670" s="5" t="str">
        <f t="shared" si="726"/>
        <v>43965VIX</v>
      </c>
      <c r="B1670" s="6" t="s">
        <v>17</v>
      </c>
      <c r="C1670" s="6">
        <v>26.68</v>
      </c>
      <c r="D1670" s="6">
        <v>40.24</v>
      </c>
      <c r="E1670" s="6">
        <v>35.28</v>
      </c>
      <c r="F1670" t="str">
        <f t="shared" si="715"/>
        <v>THU</v>
      </c>
      <c r="G1670" s="3">
        <f t="shared" si="716"/>
        <v>43965</v>
      </c>
      <c r="H1670" s="2">
        <f t="shared" ca="1" si="717"/>
        <v>288</v>
      </c>
      <c r="I1670" t="str">
        <f t="shared" si="718"/>
        <v>VIX</v>
      </c>
      <c r="J1670">
        <f t="shared" si="719"/>
        <v>26.68</v>
      </c>
      <c r="K1670">
        <f t="shared" si="720"/>
        <v>40.24</v>
      </c>
      <c r="L1670">
        <f t="shared" si="721"/>
        <v>33.46</v>
      </c>
      <c r="M1670">
        <f t="shared" si="722"/>
        <v>6.7799999999999985</v>
      </c>
      <c r="N1670">
        <f t="shared" si="727"/>
        <v>13.560000000000002</v>
      </c>
      <c r="O1670">
        <f t="shared" si="723"/>
        <v>35.28</v>
      </c>
      <c r="P1670">
        <f t="shared" si="724"/>
        <v>0.26843657817109157</v>
      </c>
      <c r="Q1670" t="str">
        <f t="shared" si="728"/>
        <v>24.38% | 14.06%</v>
      </c>
      <c r="R1670" t="str">
        <f t="shared" si="725"/>
        <v>BULLISH</v>
      </c>
      <c r="S1670">
        <f t="shared" si="729"/>
        <v>1</v>
      </c>
    </row>
    <row r="1671" spans="1:19" hidden="1" x14ac:dyDescent="0.25">
      <c r="A1671" s="5" t="str">
        <f t="shared" si="726"/>
        <v>43965USD</v>
      </c>
      <c r="B1671" s="6" t="s">
        <v>18</v>
      </c>
      <c r="C1671" s="6">
        <v>99.06</v>
      </c>
      <c r="D1671" s="6">
        <v>100.87</v>
      </c>
      <c r="E1671" s="6">
        <v>100.29</v>
      </c>
      <c r="F1671" t="str">
        <f t="shared" si="715"/>
        <v>THU</v>
      </c>
      <c r="G1671" s="3">
        <f t="shared" si="716"/>
        <v>43965</v>
      </c>
      <c r="H1671" s="2">
        <f t="shared" ca="1" si="717"/>
        <v>288</v>
      </c>
      <c r="I1671" t="str">
        <f t="shared" si="718"/>
        <v>USD</v>
      </c>
      <c r="J1671">
        <f t="shared" si="719"/>
        <v>99.06</v>
      </c>
      <c r="K1671">
        <f t="shared" si="720"/>
        <v>100.87</v>
      </c>
      <c r="L1671">
        <f t="shared" si="721"/>
        <v>99.965000000000003</v>
      </c>
      <c r="M1671">
        <f t="shared" si="722"/>
        <v>0.90500000000000114</v>
      </c>
      <c r="N1671">
        <f t="shared" si="727"/>
        <v>1.8100000000000023</v>
      </c>
      <c r="O1671">
        <f t="shared" si="723"/>
        <v>100.29</v>
      </c>
      <c r="P1671">
        <f t="shared" si="724"/>
        <v>0.35911602209945021</v>
      </c>
      <c r="Q1671" t="str">
        <f t="shared" si="728"/>
        <v>1.23% | 0.58%</v>
      </c>
      <c r="R1671" t="str">
        <f t="shared" si="725"/>
        <v>BULLISH</v>
      </c>
      <c r="S1671">
        <f t="shared" si="729"/>
        <v>1</v>
      </c>
    </row>
    <row r="1672" spans="1:19" hidden="1" x14ac:dyDescent="0.25">
      <c r="A1672" s="5" t="str">
        <f t="shared" si="726"/>
        <v>43965EUR/USD</v>
      </c>
      <c r="B1672" s="6" t="s">
        <v>19</v>
      </c>
      <c r="C1672" s="6">
        <v>1.07</v>
      </c>
      <c r="D1672" s="6">
        <v>1.0900000000000001</v>
      </c>
      <c r="E1672" s="6">
        <v>1.08</v>
      </c>
      <c r="F1672" t="str">
        <f t="shared" si="715"/>
        <v>THU</v>
      </c>
      <c r="G1672" s="3">
        <f t="shared" si="716"/>
        <v>43965</v>
      </c>
      <c r="H1672" s="2">
        <f t="shared" ca="1" si="717"/>
        <v>288</v>
      </c>
      <c r="I1672" t="str">
        <f t="shared" si="718"/>
        <v>EUR/USD</v>
      </c>
      <c r="J1672">
        <f t="shared" si="719"/>
        <v>1.07</v>
      </c>
      <c r="K1672">
        <f t="shared" si="720"/>
        <v>1.0900000000000001</v>
      </c>
      <c r="L1672">
        <f t="shared" si="721"/>
        <v>1.08</v>
      </c>
      <c r="M1672">
        <f t="shared" si="722"/>
        <v>1.0000000000000009E-2</v>
      </c>
      <c r="N1672">
        <f t="shared" si="727"/>
        <v>2.0000000000000018E-2</v>
      </c>
      <c r="O1672">
        <f t="shared" si="723"/>
        <v>1.08</v>
      </c>
      <c r="P1672">
        <f t="shared" si="724"/>
        <v>0</v>
      </c>
      <c r="Q1672" t="str">
        <f t="shared" si="728"/>
        <v>0.93% | 0.93%</v>
      </c>
      <c r="R1672" t="str">
        <f t="shared" si="725"/>
        <v>BEARISH</v>
      </c>
      <c r="S1672">
        <f t="shared" si="729"/>
        <v>-1</v>
      </c>
    </row>
    <row r="1673" spans="1:19" hidden="1" x14ac:dyDescent="0.25">
      <c r="A1673" s="5" t="str">
        <f t="shared" si="726"/>
        <v>43965USD/JPY</v>
      </c>
      <c r="B1673" s="6" t="s">
        <v>20</v>
      </c>
      <c r="C1673" s="6">
        <v>105.83</v>
      </c>
      <c r="D1673" s="6">
        <v>107.69</v>
      </c>
      <c r="E1673" s="6">
        <v>107.05</v>
      </c>
      <c r="F1673" t="str">
        <f t="shared" si="715"/>
        <v>THU</v>
      </c>
      <c r="G1673" s="3">
        <f t="shared" si="716"/>
        <v>43965</v>
      </c>
      <c r="H1673" s="2">
        <f t="shared" ca="1" si="717"/>
        <v>288</v>
      </c>
      <c r="I1673" t="str">
        <f t="shared" si="718"/>
        <v>USD/JPY</v>
      </c>
      <c r="J1673">
        <f t="shared" si="719"/>
        <v>105.83</v>
      </c>
      <c r="K1673">
        <f t="shared" si="720"/>
        <v>107.69</v>
      </c>
      <c r="L1673">
        <f t="shared" si="721"/>
        <v>106.75999999999999</v>
      </c>
      <c r="M1673">
        <f t="shared" si="722"/>
        <v>0.92999999999999972</v>
      </c>
      <c r="N1673">
        <f t="shared" si="727"/>
        <v>1.8599999999999994</v>
      </c>
      <c r="O1673">
        <f t="shared" si="723"/>
        <v>107.05</v>
      </c>
      <c r="P1673">
        <f t="shared" si="724"/>
        <v>0.31182795698925414</v>
      </c>
      <c r="Q1673" t="str">
        <f t="shared" si="728"/>
        <v>1.14% | 0.6%</v>
      </c>
      <c r="R1673" t="str">
        <f t="shared" si="725"/>
        <v>BEARISH</v>
      </c>
      <c r="S1673">
        <f t="shared" si="729"/>
        <v>-1</v>
      </c>
    </row>
    <row r="1674" spans="1:19" hidden="1" x14ac:dyDescent="0.25">
      <c r="A1674" s="5" t="str">
        <f t="shared" si="726"/>
        <v>43965GBP/USD</v>
      </c>
      <c r="B1674" s="6" t="s">
        <v>21</v>
      </c>
      <c r="C1674" s="6">
        <v>1.22</v>
      </c>
      <c r="D1674" s="6">
        <v>1.25</v>
      </c>
      <c r="E1674" s="6">
        <v>1.22</v>
      </c>
      <c r="F1674" t="str">
        <f t="shared" si="715"/>
        <v>THU</v>
      </c>
      <c r="G1674" s="3">
        <f t="shared" si="716"/>
        <v>43965</v>
      </c>
      <c r="H1674" s="2">
        <f t="shared" ca="1" si="717"/>
        <v>288</v>
      </c>
      <c r="I1674" t="str">
        <f t="shared" si="718"/>
        <v>GBP/USD</v>
      </c>
      <c r="J1674">
        <f t="shared" si="719"/>
        <v>1.22</v>
      </c>
      <c r="K1674">
        <f t="shared" si="720"/>
        <v>1.25</v>
      </c>
      <c r="L1674">
        <f t="shared" si="721"/>
        <v>1.2349999999999999</v>
      </c>
      <c r="M1674">
        <f t="shared" si="722"/>
        <v>1.5000000000000013E-2</v>
      </c>
      <c r="N1674">
        <f t="shared" si="727"/>
        <v>3.0000000000000027E-2</v>
      </c>
      <c r="O1674">
        <f t="shared" si="723"/>
        <v>1.22</v>
      </c>
      <c r="P1674">
        <f t="shared" si="724"/>
        <v>-0.99999999999999256</v>
      </c>
      <c r="Q1674" t="str">
        <f t="shared" si="728"/>
        <v>0% | 2.46%</v>
      </c>
      <c r="R1674" t="str">
        <f t="shared" si="725"/>
        <v>BEARISH</v>
      </c>
      <c r="S1674">
        <f t="shared" si="729"/>
        <v>-1</v>
      </c>
    </row>
    <row r="1675" spans="1:19" hidden="1" x14ac:dyDescent="0.25">
      <c r="A1675" s="5" t="str">
        <f t="shared" si="726"/>
        <v>43965USD/CHF</v>
      </c>
      <c r="B1675" s="6" t="s">
        <v>22</v>
      </c>
      <c r="C1675" s="6">
        <v>0.96</v>
      </c>
      <c r="D1675" s="6">
        <v>0.98</v>
      </c>
      <c r="E1675" s="6">
        <v>0.97</v>
      </c>
      <c r="F1675" t="str">
        <f t="shared" si="715"/>
        <v>THU</v>
      </c>
      <c r="G1675" s="3">
        <f t="shared" si="716"/>
        <v>43965</v>
      </c>
      <c r="H1675" s="2">
        <f t="shared" ca="1" si="717"/>
        <v>288</v>
      </c>
      <c r="I1675" t="str">
        <f t="shared" si="718"/>
        <v>USD/CHF</v>
      </c>
      <c r="J1675">
        <f t="shared" si="719"/>
        <v>0.96</v>
      </c>
      <c r="K1675">
        <f t="shared" si="720"/>
        <v>0.98</v>
      </c>
      <c r="L1675">
        <f t="shared" si="721"/>
        <v>0.97</v>
      </c>
      <c r="M1675">
        <f t="shared" si="722"/>
        <v>1.0000000000000009E-2</v>
      </c>
      <c r="N1675">
        <f t="shared" si="727"/>
        <v>2.0000000000000018E-2</v>
      </c>
      <c r="O1675">
        <f t="shared" si="723"/>
        <v>0.97</v>
      </c>
      <c r="P1675">
        <f t="shared" si="724"/>
        <v>0</v>
      </c>
      <c r="Q1675" t="str">
        <f t="shared" si="728"/>
        <v>1.03% | 1.03%</v>
      </c>
      <c r="R1675" t="str">
        <f t="shared" si="725"/>
        <v>NEUTRAL</v>
      </c>
      <c r="S1675">
        <f t="shared" si="729"/>
        <v>0</v>
      </c>
    </row>
    <row r="1676" spans="1:19" hidden="1" x14ac:dyDescent="0.25">
      <c r="A1676" s="5" t="str">
        <f t="shared" si="726"/>
        <v>43965WTIC</v>
      </c>
      <c r="B1676" s="6" t="s">
        <v>23</v>
      </c>
      <c r="C1676" s="6">
        <v>18.66</v>
      </c>
      <c r="D1676" s="6">
        <v>29.41</v>
      </c>
      <c r="E1676" s="6">
        <v>25.68</v>
      </c>
      <c r="F1676" t="str">
        <f t="shared" si="715"/>
        <v>THU</v>
      </c>
      <c r="G1676" s="3">
        <f t="shared" si="716"/>
        <v>43965</v>
      </c>
      <c r="H1676" s="2">
        <f t="shared" ca="1" si="717"/>
        <v>288</v>
      </c>
      <c r="I1676" t="str">
        <f t="shared" si="718"/>
        <v>WTIC</v>
      </c>
      <c r="J1676">
        <f t="shared" si="719"/>
        <v>18.66</v>
      </c>
      <c r="K1676">
        <f t="shared" si="720"/>
        <v>29.41</v>
      </c>
      <c r="L1676">
        <f t="shared" si="721"/>
        <v>24.035</v>
      </c>
      <c r="M1676">
        <f t="shared" si="722"/>
        <v>5.375</v>
      </c>
      <c r="N1676">
        <f t="shared" si="727"/>
        <v>10.75</v>
      </c>
      <c r="O1676">
        <f t="shared" si="723"/>
        <v>25.68</v>
      </c>
      <c r="P1676">
        <f t="shared" si="724"/>
        <v>0.30604651162790691</v>
      </c>
      <c r="Q1676" t="str">
        <f t="shared" si="728"/>
        <v>27.34% | 14.52%</v>
      </c>
      <c r="R1676" t="str">
        <f t="shared" si="725"/>
        <v>BEARISH</v>
      </c>
      <c r="S1676">
        <f t="shared" si="729"/>
        <v>-1</v>
      </c>
    </row>
    <row r="1677" spans="1:19" hidden="1" x14ac:dyDescent="0.25">
      <c r="A1677" s="5" t="str">
        <f t="shared" si="726"/>
        <v>43965NATGAS</v>
      </c>
      <c r="B1677" s="6" t="s">
        <v>24</v>
      </c>
      <c r="C1677" s="6">
        <v>1.6</v>
      </c>
      <c r="D1677" s="6">
        <v>1.9</v>
      </c>
      <c r="E1677" s="6">
        <v>1.62</v>
      </c>
      <c r="F1677" t="str">
        <f t="shared" si="715"/>
        <v>THU</v>
      </c>
      <c r="G1677" s="3">
        <f t="shared" si="716"/>
        <v>43965</v>
      </c>
      <c r="H1677" s="2">
        <f t="shared" ca="1" si="717"/>
        <v>288</v>
      </c>
      <c r="I1677" t="str">
        <f t="shared" si="718"/>
        <v>NATGAS</v>
      </c>
      <c r="J1677">
        <f t="shared" si="719"/>
        <v>1.6</v>
      </c>
      <c r="K1677">
        <f t="shared" si="720"/>
        <v>1.9</v>
      </c>
      <c r="L1677">
        <f t="shared" si="721"/>
        <v>1.75</v>
      </c>
      <c r="M1677">
        <f t="shared" si="722"/>
        <v>0.14999999999999991</v>
      </c>
      <c r="N1677">
        <f t="shared" si="727"/>
        <v>0.29999999999999982</v>
      </c>
      <c r="O1677">
        <f t="shared" si="723"/>
        <v>1.62</v>
      </c>
      <c r="P1677">
        <f t="shared" si="724"/>
        <v>-0.86666666666666647</v>
      </c>
      <c r="Q1677" t="str">
        <f t="shared" si="728"/>
        <v>1.23% | 17.28%</v>
      </c>
      <c r="R1677" t="str">
        <f t="shared" si="725"/>
        <v>BEARISH</v>
      </c>
      <c r="S1677">
        <f t="shared" si="729"/>
        <v>-1</v>
      </c>
    </row>
    <row r="1678" spans="1:19" hidden="1" x14ac:dyDescent="0.25">
      <c r="A1678" s="5" t="str">
        <f t="shared" si="726"/>
        <v>43965GOLD</v>
      </c>
      <c r="B1678" s="6" t="s">
        <v>25</v>
      </c>
      <c r="C1678" s="6">
        <v>1688</v>
      </c>
      <c r="D1678" s="6">
        <v>1739</v>
      </c>
      <c r="E1678" s="6">
        <v>1716</v>
      </c>
      <c r="F1678" t="str">
        <f t="shared" si="715"/>
        <v>THU</v>
      </c>
      <c r="G1678" s="3">
        <f t="shared" si="716"/>
        <v>43965</v>
      </c>
      <c r="H1678" s="2">
        <f t="shared" ca="1" si="717"/>
        <v>288</v>
      </c>
      <c r="I1678" t="str">
        <f t="shared" si="718"/>
        <v>GOLD</v>
      </c>
      <c r="J1678">
        <f t="shared" si="719"/>
        <v>1688</v>
      </c>
      <c r="K1678">
        <f t="shared" si="720"/>
        <v>1739</v>
      </c>
      <c r="L1678">
        <f t="shared" si="721"/>
        <v>1713.5</v>
      </c>
      <c r="M1678">
        <f t="shared" si="722"/>
        <v>25.5</v>
      </c>
      <c r="N1678">
        <f t="shared" si="727"/>
        <v>51</v>
      </c>
      <c r="O1678">
        <f t="shared" si="723"/>
        <v>1716</v>
      </c>
      <c r="P1678">
        <f t="shared" si="724"/>
        <v>9.8039215686274508E-2</v>
      </c>
      <c r="Q1678" t="str">
        <f t="shared" si="728"/>
        <v>1.63% | 1.34%</v>
      </c>
      <c r="R1678" t="str">
        <f t="shared" si="725"/>
        <v>BULLISH</v>
      </c>
      <c r="S1678">
        <f t="shared" si="729"/>
        <v>1</v>
      </c>
    </row>
    <row r="1679" spans="1:19" hidden="1" x14ac:dyDescent="0.25">
      <c r="A1679" s="5" t="str">
        <f t="shared" si="726"/>
        <v>43965COPPER</v>
      </c>
      <c r="B1679" s="6" t="s">
        <v>26</v>
      </c>
      <c r="C1679" s="6">
        <v>2.2999999999999998</v>
      </c>
      <c r="D1679" s="6">
        <v>2.4</v>
      </c>
      <c r="E1679" s="6">
        <v>2.35</v>
      </c>
      <c r="F1679" t="str">
        <f t="shared" si="715"/>
        <v>THU</v>
      </c>
      <c r="G1679" s="3">
        <f t="shared" si="716"/>
        <v>43965</v>
      </c>
      <c r="H1679" s="2">
        <f t="shared" ca="1" si="717"/>
        <v>288</v>
      </c>
      <c r="I1679" t="str">
        <f t="shared" si="718"/>
        <v>COPPER</v>
      </c>
      <c r="J1679">
        <f t="shared" si="719"/>
        <v>2.2999999999999998</v>
      </c>
      <c r="K1679">
        <f t="shared" si="720"/>
        <v>2.4</v>
      </c>
      <c r="L1679">
        <f t="shared" si="721"/>
        <v>2.3499999999999996</v>
      </c>
      <c r="M1679">
        <f t="shared" si="722"/>
        <v>5.0000000000000044E-2</v>
      </c>
      <c r="N1679">
        <f t="shared" si="727"/>
        <v>0.10000000000000009</v>
      </c>
      <c r="O1679">
        <f t="shared" si="723"/>
        <v>2.35</v>
      </c>
      <c r="P1679">
        <f t="shared" si="724"/>
        <v>8.8817841970012444E-15</v>
      </c>
      <c r="Q1679" t="str">
        <f t="shared" si="728"/>
        <v>2.13% | 2.13%</v>
      </c>
      <c r="R1679" t="str">
        <f t="shared" si="725"/>
        <v>BEARISH</v>
      </c>
      <c r="S1679">
        <f t="shared" si="729"/>
        <v>-1</v>
      </c>
    </row>
    <row r="1680" spans="1:19" hidden="1" x14ac:dyDescent="0.25">
      <c r="A1680" s="5" t="str">
        <f t="shared" si="726"/>
        <v>43965MSFT</v>
      </c>
      <c r="B1680" s="6" t="s">
        <v>27</v>
      </c>
      <c r="C1680" s="6">
        <v>174</v>
      </c>
      <c r="D1680" s="6">
        <v>188</v>
      </c>
      <c r="E1680" s="6">
        <v>179</v>
      </c>
      <c r="F1680" t="str">
        <f t="shared" si="715"/>
        <v>THU</v>
      </c>
      <c r="G1680" s="3">
        <f t="shared" si="716"/>
        <v>43965</v>
      </c>
      <c r="H1680" s="2">
        <f t="shared" ca="1" si="717"/>
        <v>288</v>
      </c>
      <c r="I1680" t="str">
        <f t="shared" si="718"/>
        <v>MSFT</v>
      </c>
      <c r="J1680">
        <f t="shared" si="719"/>
        <v>174</v>
      </c>
      <c r="K1680">
        <f t="shared" si="720"/>
        <v>188</v>
      </c>
      <c r="L1680">
        <f t="shared" si="721"/>
        <v>181</v>
      </c>
      <c r="M1680">
        <f t="shared" si="722"/>
        <v>7</v>
      </c>
      <c r="N1680">
        <f t="shared" si="727"/>
        <v>14</v>
      </c>
      <c r="O1680">
        <f t="shared" si="723"/>
        <v>179</v>
      </c>
      <c r="P1680">
        <f t="shared" si="724"/>
        <v>-0.2857142857142857</v>
      </c>
      <c r="Q1680" t="str">
        <f t="shared" si="728"/>
        <v>2.79% | 5.03%</v>
      </c>
      <c r="R1680" t="str">
        <f t="shared" si="725"/>
        <v>BULLISH</v>
      </c>
      <c r="S1680">
        <f t="shared" si="729"/>
        <v>1</v>
      </c>
    </row>
    <row r="1681" spans="1:19" hidden="1" x14ac:dyDescent="0.25">
      <c r="A1681" s="5" t="str">
        <f t="shared" si="726"/>
        <v>43965AAPL</v>
      </c>
      <c r="B1681" s="6" t="s">
        <v>28</v>
      </c>
      <c r="C1681" s="6">
        <v>288</v>
      </c>
      <c r="D1681" s="6">
        <v>320</v>
      </c>
      <c r="E1681" s="6">
        <v>307</v>
      </c>
      <c r="F1681" t="str">
        <f t="shared" si="715"/>
        <v>THU</v>
      </c>
      <c r="G1681" s="3">
        <f t="shared" si="716"/>
        <v>43965</v>
      </c>
      <c r="H1681" s="2">
        <f t="shared" ca="1" si="717"/>
        <v>288</v>
      </c>
      <c r="I1681" t="str">
        <f t="shared" si="718"/>
        <v>AAPL</v>
      </c>
      <c r="J1681">
        <f t="shared" si="719"/>
        <v>288</v>
      </c>
      <c r="K1681">
        <f t="shared" si="720"/>
        <v>320</v>
      </c>
      <c r="L1681">
        <f t="shared" si="721"/>
        <v>304</v>
      </c>
      <c r="M1681">
        <f t="shared" si="722"/>
        <v>16</v>
      </c>
      <c r="N1681">
        <f t="shared" si="727"/>
        <v>32</v>
      </c>
      <c r="O1681">
        <f t="shared" si="723"/>
        <v>307</v>
      </c>
      <c r="P1681">
        <f t="shared" si="724"/>
        <v>0.1875</v>
      </c>
      <c r="Q1681" t="str">
        <f t="shared" si="728"/>
        <v>6.19% | 4.23%</v>
      </c>
      <c r="R1681" t="str">
        <f t="shared" si="725"/>
        <v>BULLISH</v>
      </c>
      <c r="S1681">
        <f t="shared" si="729"/>
        <v>1</v>
      </c>
    </row>
    <row r="1682" spans="1:19" hidden="1" x14ac:dyDescent="0.25">
      <c r="A1682" s="5" t="str">
        <f t="shared" si="726"/>
        <v>43965AMZN</v>
      </c>
      <c r="B1682" s="6" t="s">
        <v>29</v>
      </c>
      <c r="C1682" s="6">
        <v>2280</v>
      </c>
      <c r="D1682" s="6">
        <v>2422</v>
      </c>
      <c r="E1682" s="6">
        <v>2367</v>
      </c>
      <c r="F1682" t="str">
        <f t="shared" si="715"/>
        <v>THU</v>
      </c>
      <c r="G1682" s="3">
        <f t="shared" si="716"/>
        <v>43965</v>
      </c>
      <c r="H1682" s="2">
        <f t="shared" ca="1" si="717"/>
        <v>288</v>
      </c>
      <c r="I1682" t="str">
        <f t="shared" si="718"/>
        <v>AMZN</v>
      </c>
      <c r="J1682">
        <f t="shared" si="719"/>
        <v>2280</v>
      </c>
      <c r="K1682">
        <f t="shared" si="720"/>
        <v>2422</v>
      </c>
      <c r="L1682">
        <f t="shared" si="721"/>
        <v>2351</v>
      </c>
      <c r="M1682">
        <f t="shared" si="722"/>
        <v>71</v>
      </c>
      <c r="N1682">
        <f t="shared" si="727"/>
        <v>142</v>
      </c>
      <c r="O1682">
        <f t="shared" si="723"/>
        <v>2367</v>
      </c>
      <c r="P1682">
        <f t="shared" si="724"/>
        <v>0.22535211267605634</v>
      </c>
      <c r="Q1682" t="str">
        <f t="shared" si="728"/>
        <v>3.68% | 2.32%</v>
      </c>
      <c r="R1682" t="str">
        <f t="shared" si="725"/>
        <v>BULLISH</v>
      </c>
      <c r="S1682">
        <f t="shared" si="729"/>
        <v>1</v>
      </c>
    </row>
    <row r="1683" spans="1:19" hidden="1" x14ac:dyDescent="0.25">
      <c r="A1683" s="5" t="str">
        <f t="shared" si="726"/>
        <v>43965FB</v>
      </c>
      <c r="B1683" s="6" t="s">
        <v>30</v>
      </c>
      <c r="C1683" s="6">
        <v>195</v>
      </c>
      <c r="D1683" s="6">
        <v>215</v>
      </c>
      <c r="E1683" s="6">
        <v>205</v>
      </c>
      <c r="F1683" t="str">
        <f t="shared" si="715"/>
        <v>THU</v>
      </c>
      <c r="G1683" s="3">
        <f t="shared" si="716"/>
        <v>43965</v>
      </c>
      <c r="H1683" s="2">
        <f t="shared" ca="1" si="717"/>
        <v>288</v>
      </c>
      <c r="I1683" t="str">
        <f t="shared" si="718"/>
        <v>FB</v>
      </c>
      <c r="J1683">
        <f t="shared" si="719"/>
        <v>195</v>
      </c>
      <c r="K1683">
        <f t="shared" si="720"/>
        <v>215</v>
      </c>
      <c r="L1683">
        <f t="shared" si="721"/>
        <v>205</v>
      </c>
      <c r="M1683">
        <f t="shared" si="722"/>
        <v>10</v>
      </c>
      <c r="N1683">
        <f t="shared" si="727"/>
        <v>20</v>
      </c>
      <c r="O1683">
        <f t="shared" si="723"/>
        <v>205</v>
      </c>
      <c r="P1683">
        <f t="shared" si="724"/>
        <v>0</v>
      </c>
      <c r="Q1683" t="str">
        <f t="shared" si="728"/>
        <v>4.88% | 4.88%</v>
      </c>
      <c r="R1683" t="str">
        <f t="shared" si="725"/>
        <v>BULLISH</v>
      </c>
      <c r="S1683">
        <f t="shared" si="729"/>
        <v>1</v>
      </c>
    </row>
    <row r="1684" spans="1:19" hidden="1" x14ac:dyDescent="0.25">
      <c r="A1684" s="5" t="str">
        <f t="shared" si="726"/>
        <v>43965GOOGL</v>
      </c>
      <c r="B1684" s="6" t="s">
        <v>31</v>
      </c>
      <c r="C1684" s="6">
        <v>1301</v>
      </c>
      <c r="D1684" s="6">
        <v>1408</v>
      </c>
      <c r="E1684" s="6">
        <v>1348</v>
      </c>
      <c r="F1684" t="str">
        <f t="shared" si="715"/>
        <v>THU</v>
      </c>
      <c r="G1684" s="3">
        <f t="shared" si="716"/>
        <v>43965</v>
      </c>
      <c r="H1684" s="2">
        <f t="shared" ca="1" si="717"/>
        <v>288</v>
      </c>
      <c r="I1684" t="str">
        <f t="shared" si="718"/>
        <v>GOOGL</v>
      </c>
      <c r="J1684">
        <f t="shared" si="719"/>
        <v>1301</v>
      </c>
      <c r="K1684">
        <f t="shared" si="720"/>
        <v>1408</v>
      </c>
      <c r="L1684">
        <f t="shared" si="721"/>
        <v>1354.5</v>
      </c>
      <c r="M1684">
        <f t="shared" si="722"/>
        <v>53.5</v>
      </c>
      <c r="N1684">
        <f t="shared" si="727"/>
        <v>107</v>
      </c>
      <c r="O1684">
        <f t="shared" si="723"/>
        <v>1348</v>
      </c>
      <c r="P1684">
        <f t="shared" si="724"/>
        <v>-0.12149532710280374</v>
      </c>
      <c r="Q1684" t="str">
        <f t="shared" si="728"/>
        <v>3.49% | 4.45%</v>
      </c>
      <c r="R1684" t="str">
        <f t="shared" si="725"/>
        <v>BULLISH</v>
      </c>
      <c r="S1684">
        <f t="shared" si="729"/>
        <v>1</v>
      </c>
    </row>
    <row r="1685" spans="1:19" hidden="1" x14ac:dyDescent="0.25">
      <c r="A1685" s="5" t="str">
        <f t="shared" si="726"/>
        <v>43965NFLX</v>
      </c>
      <c r="B1685" s="6" t="s">
        <v>32</v>
      </c>
      <c r="C1685" s="6">
        <v>415</v>
      </c>
      <c r="D1685" s="6">
        <v>448</v>
      </c>
      <c r="E1685" s="6">
        <v>438</v>
      </c>
      <c r="F1685" t="str">
        <f t="shared" si="715"/>
        <v>THU</v>
      </c>
      <c r="G1685" s="3">
        <f t="shared" si="716"/>
        <v>43965</v>
      </c>
      <c r="H1685" s="2">
        <f t="shared" ca="1" si="717"/>
        <v>288</v>
      </c>
      <c r="I1685" t="str">
        <f t="shared" si="718"/>
        <v>NFLX</v>
      </c>
      <c r="J1685">
        <f t="shared" si="719"/>
        <v>415</v>
      </c>
      <c r="K1685">
        <f t="shared" si="720"/>
        <v>448</v>
      </c>
      <c r="L1685">
        <f t="shared" si="721"/>
        <v>431.5</v>
      </c>
      <c r="M1685">
        <f t="shared" si="722"/>
        <v>16.5</v>
      </c>
      <c r="N1685">
        <f t="shared" si="727"/>
        <v>33</v>
      </c>
      <c r="O1685">
        <f t="shared" si="723"/>
        <v>438</v>
      </c>
      <c r="P1685">
        <f t="shared" si="724"/>
        <v>0.39393939393939392</v>
      </c>
      <c r="Q1685" t="str">
        <f t="shared" si="728"/>
        <v>5.25% | 2.28%</v>
      </c>
      <c r="R1685" t="str">
        <f t="shared" si="725"/>
        <v>BULLISH</v>
      </c>
      <c r="S1685">
        <f t="shared" si="729"/>
        <v>1</v>
      </c>
    </row>
    <row r="1686" spans="1:19" x14ac:dyDescent="0.25">
      <c r="A1686" s="5" t="str">
        <f t="shared" si="726"/>
        <v>43965TSLA</v>
      </c>
      <c r="B1686" s="6" t="s">
        <v>33</v>
      </c>
      <c r="C1686" s="6">
        <v>711</v>
      </c>
      <c r="D1686" s="6">
        <v>848</v>
      </c>
      <c r="E1686" s="6">
        <v>790</v>
      </c>
      <c r="F1686" t="str">
        <f t="shared" si="715"/>
        <v>THU</v>
      </c>
      <c r="G1686" s="3">
        <f t="shared" si="716"/>
        <v>43965</v>
      </c>
      <c r="H1686" s="2">
        <f t="shared" ca="1" si="717"/>
        <v>288</v>
      </c>
      <c r="I1686" t="str">
        <f t="shared" si="718"/>
        <v>TSLA</v>
      </c>
      <c r="J1686">
        <f t="shared" si="719"/>
        <v>711</v>
      </c>
      <c r="K1686">
        <f t="shared" si="720"/>
        <v>848</v>
      </c>
      <c r="L1686">
        <f t="shared" si="721"/>
        <v>779.5</v>
      </c>
      <c r="M1686">
        <f t="shared" si="722"/>
        <v>68.5</v>
      </c>
      <c r="N1686">
        <f t="shared" si="727"/>
        <v>137</v>
      </c>
      <c r="O1686">
        <f t="shared" si="723"/>
        <v>790</v>
      </c>
      <c r="P1686">
        <f t="shared" si="724"/>
        <v>0.15328467153284672</v>
      </c>
      <c r="Q1686" t="str">
        <f t="shared" si="728"/>
        <v>10% | 7.34%</v>
      </c>
      <c r="R1686" t="str">
        <f t="shared" si="725"/>
        <v>BULLISH</v>
      </c>
      <c r="S1686">
        <f t="shared" si="729"/>
        <v>1</v>
      </c>
    </row>
    <row r="1687" spans="1:19" hidden="1" x14ac:dyDescent="0.25">
      <c r="A1687" s="5" t="str">
        <f t="shared" si="726"/>
        <v>43965NYXBT</v>
      </c>
      <c r="B1687" s="6" t="s">
        <v>34</v>
      </c>
      <c r="C1687" s="6">
        <v>8365</v>
      </c>
      <c r="D1687" s="6">
        <v>9890</v>
      </c>
      <c r="E1687" s="6">
        <v>9089</v>
      </c>
      <c r="F1687" t="str">
        <f t="shared" si="715"/>
        <v>THU</v>
      </c>
      <c r="G1687" s="3">
        <f>DATE(2020,5,14)</f>
        <v>43965</v>
      </c>
      <c r="H1687" s="2">
        <f t="shared" ca="1" si="717"/>
        <v>288</v>
      </c>
      <c r="I1687" t="str">
        <f t="shared" si="718"/>
        <v>NYXBT</v>
      </c>
      <c r="J1687">
        <f t="shared" si="719"/>
        <v>8365</v>
      </c>
      <c r="K1687">
        <f t="shared" si="720"/>
        <v>9890</v>
      </c>
      <c r="L1687">
        <f t="shared" si="721"/>
        <v>9127.5</v>
      </c>
      <c r="M1687">
        <f t="shared" si="722"/>
        <v>762.5</v>
      </c>
      <c r="N1687">
        <f t="shared" si="727"/>
        <v>1525</v>
      </c>
      <c r="O1687">
        <f t="shared" si="723"/>
        <v>9089</v>
      </c>
      <c r="P1687">
        <f t="shared" si="724"/>
        <v>-5.0491803278688525E-2</v>
      </c>
      <c r="Q1687" t="str">
        <f t="shared" si="728"/>
        <v>7.97% | 8.81%</v>
      </c>
      <c r="R1687" t="str">
        <f t="shared" si="725"/>
        <v>BULLISH</v>
      </c>
      <c r="S1687">
        <f t="shared" si="729"/>
        <v>1</v>
      </c>
    </row>
    <row r="1688" spans="1:19" hidden="1" x14ac:dyDescent="0.25">
      <c r="A1688" s="5" t="str">
        <f t="shared" si="726"/>
        <v>43966UST10Y</v>
      </c>
      <c r="B1688" s="6" t="s">
        <v>4</v>
      </c>
      <c r="C1688" s="6">
        <v>0.74</v>
      </c>
      <c r="D1688" s="6">
        <v>0.59</v>
      </c>
      <c r="E1688" s="6">
        <v>0.63</v>
      </c>
      <c r="F1688" t="str">
        <f t="shared" ref="F1688:F1718" si="730">UPPER(TEXT(G1688,"ddd"))</f>
        <v>FRI</v>
      </c>
      <c r="G1688" s="1">
        <f t="shared" ref="G1688:G1717" si="731">DATE(2020,5,15)</f>
        <v>43966</v>
      </c>
      <c r="H1688" s="2">
        <f ca="1">TODAY()-G1688</f>
        <v>287</v>
      </c>
      <c r="I1688" t="str">
        <f>TRIM(LEFT(B1688,FIND(" ",B1688,1)))</f>
        <v>UST10Y</v>
      </c>
      <c r="J1688">
        <f>C1688</f>
        <v>0.74</v>
      </c>
      <c r="K1688">
        <f>D1688</f>
        <v>0.59</v>
      </c>
      <c r="L1688">
        <f>AVERAGE(J1688:K1688)</f>
        <v>0.66500000000000004</v>
      </c>
      <c r="M1688">
        <f>_xlfn.STDEV.P(J1688:K1688)</f>
        <v>7.4999999999999567E-2</v>
      </c>
      <c r="N1688">
        <f t="shared" si="727"/>
        <v>0.15000000000000002</v>
      </c>
      <c r="O1688">
        <f>E1688</f>
        <v>0.63</v>
      </c>
      <c r="P1688">
        <f>(O1688-L1688)/M1688</f>
        <v>-0.46666666666666978</v>
      </c>
      <c r="Q1688" t="str">
        <f t="shared" si="728"/>
        <v>17.46% | 6.35%</v>
      </c>
      <c r="R1688" t="str">
        <f>MID(B1688,FIND("(",B1688,1)+1,FIND(")",B1688,1)-FIND("(",B1688,1)-1)</f>
        <v>BEARISH</v>
      </c>
      <c r="S1688">
        <f t="shared" si="729"/>
        <v>-1</v>
      </c>
    </row>
    <row r="1689" spans="1:19" hidden="1" x14ac:dyDescent="0.25">
      <c r="A1689" s="5" t="str">
        <f t="shared" si="726"/>
        <v>43966UST2Y</v>
      </c>
      <c r="B1689" s="6" t="s">
        <v>5</v>
      </c>
      <c r="C1689" s="6">
        <v>0.2</v>
      </c>
      <c r="D1689" s="6">
        <v>0.12</v>
      </c>
      <c r="E1689" s="6">
        <v>0.16</v>
      </c>
      <c r="F1689" t="str">
        <f t="shared" si="730"/>
        <v>FRI</v>
      </c>
      <c r="G1689" s="1">
        <f t="shared" si="731"/>
        <v>43966</v>
      </c>
      <c r="H1689" s="2">
        <f t="shared" ref="H1689:H1752" ca="1" si="732">TODAY()-G1689</f>
        <v>287</v>
      </c>
      <c r="I1689" t="str">
        <f t="shared" ref="I1689:I1749" si="733">TRIM(LEFT(B1689,FIND(" ",B1689,1)))</f>
        <v>UST2Y</v>
      </c>
      <c r="J1689">
        <f t="shared" ref="J1689:J1749" si="734">C1689</f>
        <v>0.2</v>
      </c>
      <c r="K1689">
        <f t="shared" ref="K1689:K1749" si="735">D1689</f>
        <v>0.12</v>
      </c>
      <c r="L1689">
        <f t="shared" ref="L1689:L1749" si="736">AVERAGE(J1689:K1689)</f>
        <v>0.16</v>
      </c>
      <c r="M1689">
        <f t="shared" ref="M1689:M1749" si="737">_xlfn.STDEV.P(J1689:K1689)</f>
        <v>4.0000000000000008E-2</v>
      </c>
      <c r="N1689">
        <f t="shared" si="727"/>
        <v>8.0000000000000016E-2</v>
      </c>
      <c r="O1689">
        <f t="shared" ref="O1689:O1749" si="738">E1689</f>
        <v>0.16</v>
      </c>
      <c r="P1689">
        <f t="shared" ref="P1689:P1749" si="739">(O1689-L1689)/M1689</f>
        <v>0</v>
      </c>
      <c r="Q1689" t="str">
        <f t="shared" si="728"/>
        <v>25% | 25%</v>
      </c>
      <c r="R1689" t="str">
        <f t="shared" ref="R1689:R1749" si="740">MID(B1689,FIND("(",B1689,1)+1,FIND(")",B1689,1)-FIND("(",B1689,1)-1)</f>
        <v>BEARISH</v>
      </c>
      <c r="S1689">
        <f t="shared" si="729"/>
        <v>-1</v>
      </c>
    </row>
    <row r="1690" spans="1:19" hidden="1" x14ac:dyDescent="0.25">
      <c r="A1690" s="5" t="str">
        <f t="shared" si="726"/>
        <v>43966SPX</v>
      </c>
      <c r="B1690" s="6" t="s">
        <v>6</v>
      </c>
      <c r="C1690" s="6">
        <v>2780</v>
      </c>
      <c r="D1690" s="6">
        <v>2899</v>
      </c>
      <c r="E1690" s="6">
        <v>2852</v>
      </c>
      <c r="F1690" t="str">
        <f t="shared" si="730"/>
        <v>FRI</v>
      </c>
      <c r="G1690" s="1">
        <f t="shared" si="731"/>
        <v>43966</v>
      </c>
      <c r="H1690" s="2">
        <f t="shared" ca="1" si="732"/>
        <v>287</v>
      </c>
      <c r="I1690" t="str">
        <f t="shared" si="733"/>
        <v>SPX</v>
      </c>
      <c r="J1690">
        <f t="shared" si="734"/>
        <v>2780</v>
      </c>
      <c r="K1690">
        <f t="shared" si="735"/>
        <v>2899</v>
      </c>
      <c r="L1690">
        <f t="shared" si="736"/>
        <v>2839.5</v>
      </c>
      <c r="M1690">
        <f t="shared" si="737"/>
        <v>59.5</v>
      </c>
      <c r="N1690">
        <f t="shared" si="727"/>
        <v>119</v>
      </c>
      <c r="O1690">
        <f t="shared" si="738"/>
        <v>2852</v>
      </c>
      <c r="P1690">
        <f t="shared" si="739"/>
        <v>0.21008403361344538</v>
      </c>
      <c r="Q1690" t="str">
        <f t="shared" si="728"/>
        <v>2.52% | 1.65%</v>
      </c>
      <c r="R1690" t="str">
        <f t="shared" si="740"/>
        <v>BEARISH</v>
      </c>
      <c r="S1690">
        <f t="shared" si="729"/>
        <v>-1</v>
      </c>
    </row>
    <row r="1691" spans="1:19" hidden="1" x14ac:dyDescent="0.25">
      <c r="A1691" s="5" t="str">
        <f t="shared" si="726"/>
        <v>43966RUT</v>
      </c>
      <c r="B1691" s="6" t="s">
        <v>7</v>
      </c>
      <c r="C1691" s="6">
        <v>1204</v>
      </c>
      <c r="D1691" s="6">
        <v>1327</v>
      </c>
      <c r="E1691" s="6">
        <v>1237</v>
      </c>
      <c r="F1691" t="str">
        <f t="shared" si="730"/>
        <v>FRI</v>
      </c>
      <c r="G1691" s="1">
        <f t="shared" si="731"/>
        <v>43966</v>
      </c>
      <c r="H1691" s="2">
        <f t="shared" ca="1" si="732"/>
        <v>287</v>
      </c>
      <c r="I1691" t="str">
        <f t="shared" si="733"/>
        <v>RUT</v>
      </c>
      <c r="J1691">
        <f t="shared" si="734"/>
        <v>1204</v>
      </c>
      <c r="K1691">
        <f t="shared" si="735"/>
        <v>1327</v>
      </c>
      <c r="L1691">
        <f t="shared" si="736"/>
        <v>1265.5</v>
      </c>
      <c r="M1691">
        <f t="shared" si="737"/>
        <v>61.5</v>
      </c>
      <c r="N1691">
        <f t="shared" si="727"/>
        <v>123</v>
      </c>
      <c r="O1691">
        <f t="shared" si="738"/>
        <v>1237</v>
      </c>
      <c r="P1691">
        <f t="shared" si="739"/>
        <v>-0.46341463414634149</v>
      </c>
      <c r="Q1691" t="str">
        <f t="shared" si="728"/>
        <v>2.67% | 7.28%</v>
      </c>
      <c r="R1691" t="str">
        <f t="shared" si="740"/>
        <v>BEARISH</v>
      </c>
      <c r="S1691">
        <f t="shared" si="729"/>
        <v>-1</v>
      </c>
    </row>
    <row r="1692" spans="1:19" hidden="1" x14ac:dyDescent="0.25">
      <c r="A1692" s="5" t="str">
        <f t="shared" si="726"/>
        <v>43966COMPQ</v>
      </c>
      <c r="B1692" s="6" t="s">
        <v>8</v>
      </c>
      <c r="C1692" s="6">
        <v>8653</v>
      </c>
      <c r="D1692" s="6">
        <v>9229</v>
      </c>
      <c r="E1692" s="6">
        <v>8943</v>
      </c>
      <c r="F1692" t="str">
        <f t="shared" si="730"/>
        <v>FRI</v>
      </c>
      <c r="G1692" s="1">
        <f t="shared" si="731"/>
        <v>43966</v>
      </c>
      <c r="H1692" s="2">
        <f t="shared" ca="1" si="732"/>
        <v>287</v>
      </c>
      <c r="I1692" t="str">
        <f t="shared" si="733"/>
        <v>COMPQ</v>
      </c>
      <c r="J1692">
        <f t="shared" si="734"/>
        <v>8653</v>
      </c>
      <c r="K1692">
        <f t="shared" si="735"/>
        <v>9229</v>
      </c>
      <c r="L1692">
        <f t="shared" si="736"/>
        <v>8941</v>
      </c>
      <c r="M1692">
        <f t="shared" si="737"/>
        <v>288</v>
      </c>
      <c r="N1692">
        <f t="shared" si="727"/>
        <v>576</v>
      </c>
      <c r="O1692">
        <f t="shared" si="738"/>
        <v>8943</v>
      </c>
      <c r="P1692">
        <f t="shared" si="739"/>
        <v>6.9444444444444441E-3</v>
      </c>
      <c r="Q1692" t="str">
        <f t="shared" si="728"/>
        <v>3.24% | 3.2%</v>
      </c>
      <c r="R1692" t="str">
        <f t="shared" si="740"/>
        <v>BULLISH</v>
      </c>
      <c r="S1692">
        <f t="shared" si="729"/>
        <v>1</v>
      </c>
    </row>
    <row r="1693" spans="1:19" hidden="1" x14ac:dyDescent="0.25">
      <c r="A1693" s="5" t="str">
        <f t="shared" si="726"/>
        <v>43966XLV</v>
      </c>
      <c r="B1693" s="6" t="s">
        <v>9</v>
      </c>
      <c r="C1693" s="6">
        <v>97.12</v>
      </c>
      <c r="D1693" s="6">
        <v>101.3</v>
      </c>
      <c r="E1693" s="6">
        <v>99.58</v>
      </c>
      <c r="F1693" t="str">
        <f t="shared" si="730"/>
        <v>FRI</v>
      </c>
      <c r="G1693" s="1">
        <f t="shared" si="731"/>
        <v>43966</v>
      </c>
      <c r="H1693" s="2">
        <f t="shared" ca="1" si="732"/>
        <v>287</v>
      </c>
      <c r="I1693" t="str">
        <f t="shared" si="733"/>
        <v>XLV</v>
      </c>
      <c r="J1693">
        <f t="shared" si="734"/>
        <v>97.12</v>
      </c>
      <c r="K1693">
        <f t="shared" si="735"/>
        <v>101.3</v>
      </c>
      <c r="L1693">
        <f t="shared" si="736"/>
        <v>99.210000000000008</v>
      </c>
      <c r="M1693">
        <f t="shared" si="737"/>
        <v>2.0899999999999963</v>
      </c>
      <c r="N1693">
        <f t="shared" si="727"/>
        <v>4.1799999999999926</v>
      </c>
      <c r="O1693">
        <f t="shared" si="738"/>
        <v>99.58</v>
      </c>
      <c r="P1693">
        <f t="shared" si="739"/>
        <v>0.17703349282296219</v>
      </c>
      <c r="Q1693" t="str">
        <f t="shared" si="728"/>
        <v>2.47% | 1.73%</v>
      </c>
      <c r="R1693" t="str">
        <f t="shared" si="740"/>
        <v>BULLISH</v>
      </c>
      <c r="S1693">
        <f t="shared" si="729"/>
        <v>1</v>
      </c>
    </row>
    <row r="1694" spans="1:19" hidden="1" x14ac:dyDescent="0.25">
      <c r="A1694" s="5" t="str">
        <f t="shared" si="726"/>
        <v>43966XLK</v>
      </c>
      <c r="B1694" s="6" t="s">
        <v>10</v>
      </c>
      <c r="C1694" s="6">
        <v>88.94</v>
      </c>
      <c r="D1694" s="6">
        <v>96</v>
      </c>
      <c r="E1694" s="6">
        <v>93</v>
      </c>
      <c r="F1694" t="str">
        <f t="shared" si="730"/>
        <v>FRI</v>
      </c>
      <c r="G1694" s="1">
        <f t="shared" si="731"/>
        <v>43966</v>
      </c>
      <c r="H1694" s="2">
        <f t="shared" ca="1" si="732"/>
        <v>287</v>
      </c>
      <c r="I1694" t="str">
        <f t="shared" si="733"/>
        <v>XLK</v>
      </c>
      <c r="J1694">
        <f t="shared" si="734"/>
        <v>88.94</v>
      </c>
      <c r="K1694">
        <f t="shared" si="735"/>
        <v>96</v>
      </c>
      <c r="L1694">
        <f t="shared" si="736"/>
        <v>92.47</v>
      </c>
      <c r="M1694">
        <f t="shared" si="737"/>
        <v>3.5300000000000011</v>
      </c>
      <c r="N1694">
        <f t="shared" si="727"/>
        <v>7.0600000000000023</v>
      </c>
      <c r="O1694">
        <f t="shared" si="738"/>
        <v>93</v>
      </c>
      <c r="P1694">
        <f t="shared" si="739"/>
        <v>0.15014164305949035</v>
      </c>
      <c r="Q1694" t="str">
        <f t="shared" si="728"/>
        <v>4.37% | 3.23%</v>
      </c>
      <c r="R1694" t="str">
        <f t="shared" si="740"/>
        <v>BULLISH</v>
      </c>
      <c r="S1694">
        <f t="shared" si="729"/>
        <v>1</v>
      </c>
    </row>
    <row r="1695" spans="1:19" hidden="1" x14ac:dyDescent="0.25">
      <c r="A1695" s="5" t="str">
        <f t="shared" si="726"/>
        <v>43966XLP</v>
      </c>
      <c r="B1695" s="6" t="s">
        <v>11</v>
      </c>
      <c r="C1695" s="6">
        <v>56.05</v>
      </c>
      <c r="D1695" s="6">
        <v>58.34</v>
      </c>
      <c r="E1695" s="6">
        <v>56.89</v>
      </c>
      <c r="F1695" t="str">
        <f t="shared" si="730"/>
        <v>FRI</v>
      </c>
      <c r="G1695" s="1">
        <f t="shared" si="731"/>
        <v>43966</v>
      </c>
      <c r="H1695" s="2">
        <f t="shared" ca="1" si="732"/>
        <v>287</v>
      </c>
      <c r="I1695" t="str">
        <f t="shared" si="733"/>
        <v>XLP</v>
      </c>
      <c r="J1695">
        <f t="shared" si="734"/>
        <v>56.05</v>
      </c>
      <c r="K1695">
        <f t="shared" si="735"/>
        <v>58.34</v>
      </c>
      <c r="L1695">
        <f t="shared" si="736"/>
        <v>57.195</v>
      </c>
      <c r="M1695">
        <f t="shared" si="737"/>
        <v>1.1450000000000031</v>
      </c>
      <c r="N1695">
        <f t="shared" si="727"/>
        <v>2.2900000000000063</v>
      </c>
      <c r="O1695">
        <f t="shared" si="738"/>
        <v>56.89</v>
      </c>
      <c r="P1695">
        <f t="shared" si="739"/>
        <v>-0.2663755458515274</v>
      </c>
      <c r="Q1695" t="str">
        <f t="shared" si="728"/>
        <v>1.48% | 2.55%</v>
      </c>
      <c r="R1695" t="str">
        <f t="shared" si="740"/>
        <v>BEARISH</v>
      </c>
      <c r="S1695">
        <f t="shared" si="729"/>
        <v>-1</v>
      </c>
    </row>
    <row r="1696" spans="1:19" hidden="1" x14ac:dyDescent="0.25">
      <c r="A1696" s="5" t="str">
        <f t="shared" si="726"/>
        <v>43966XLF</v>
      </c>
      <c r="B1696" s="6" t="s">
        <v>12</v>
      </c>
      <c r="C1696" s="6">
        <v>20.239999999999998</v>
      </c>
      <c r="D1696" s="6">
        <v>22.48</v>
      </c>
      <c r="E1696" s="6">
        <v>21.19</v>
      </c>
      <c r="F1696" t="str">
        <f t="shared" si="730"/>
        <v>FRI</v>
      </c>
      <c r="G1696" s="1">
        <f t="shared" si="731"/>
        <v>43966</v>
      </c>
      <c r="H1696" s="2">
        <f t="shared" ca="1" si="732"/>
        <v>287</v>
      </c>
      <c r="I1696" t="str">
        <f t="shared" si="733"/>
        <v>XLF</v>
      </c>
      <c r="J1696">
        <f t="shared" si="734"/>
        <v>20.239999999999998</v>
      </c>
      <c r="K1696">
        <f t="shared" si="735"/>
        <v>22.48</v>
      </c>
      <c r="L1696">
        <f t="shared" si="736"/>
        <v>21.36</v>
      </c>
      <c r="M1696">
        <f t="shared" si="737"/>
        <v>1.120000000000001</v>
      </c>
      <c r="N1696">
        <f t="shared" si="727"/>
        <v>2.240000000000002</v>
      </c>
      <c r="O1696">
        <f t="shared" si="738"/>
        <v>21.19</v>
      </c>
      <c r="P1696">
        <f t="shared" si="739"/>
        <v>-0.1517857142857125</v>
      </c>
      <c r="Q1696" t="str">
        <f t="shared" si="728"/>
        <v>4.48% | 6.09%</v>
      </c>
      <c r="R1696" t="str">
        <f t="shared" si="740"/>
        <v>BEARISH</v>
      </c>
      <c r="S1696">
        <f t="shared" si="729"/>
        <v>-1</v>
      </c>
    </row>
    <row r="1697" spans="1:19" hidden="1" x14ac:dyDescent="0.25">
      <c r="A1697" s="5" t="str">
        <f t="shared" si="726"/>
        <v>43966XLI</v>
      </c>
      <c r="B1697" s="6" t="s">
        <v>13</v>
      </c>
      <c r="C1697" s="6">
        <v>58.66</v>
      </c>
      <c r="D1697" s="6">
        <v>63.55</v>
      </c>
      <c r="E1697" s="6">
        <v>59.67</v>
      </c>
      <c r="F1697" t="str">
        <f t="shared" si="730"/>
        <v>FRI</v>
      </c>
      <c r="G1697" s="1">
        <f t="shared" si="731"/>
        <v>43966</v>
      </c>
      <c r="H1697" s="2">
        <f t="shared" ca="1" si="732"/>
        <v>287</v>
      </c>
      <c r="I1697" t="str">
        <f t="shared" si="733"/>
        <v>XLI</v>
      </c>
      <c r="J1697">
        <f t="shared" si="734"/>
        <v>58.66</v>
      </c>
      <c r="K1697">
        <f t="shared" si="735"/>
        <v>63.55</v>
      </c>
      <c r="L1697">
        <f t="shared" si="736"/>
        <v>61.104999999999997</v>
      </c>
      <c r="M1697">
        <f t="shared" si="737"/>
        <v>2.4450000000000003</v>
      </c>
      <c r="N1697">
        <f t="shared" si="727"/>
        <v>4.8900000000000006</v>
      </c>
      <c r="O1697">
        <f t="shared" si="738"/>
        <v>59.67</v>
      </c>
      <c r="P1697">
        <f t="shared" si="739"/>
        <v>-0.58691206543967078</v>
      </c>
      <c r="Q1697" t="str">
        <f t="shared" si="728"/>
        <v>1.69% | 6.5%</v>
      </c>
      <c r="R1697" t="str">
        <f t="shared" si="740"/>
        <v>BEARISH</v>
      </c>
      <c r="S1697">
        <f t="shared" si="729"/>
        <v>-1</v>
      </c>
    </row>
    <row r="1698" spans="1:19" hidden="1" x14ac:dyDescent="0.25">
      <c r="A1698" s="5" t="str">
        <f t="shared" si="726"/>
        <v>43966SSEC</v>
      </c>
      <c r="B1698" s="6" t="s">
        <v>14</v>
      </c>
      <c r="C1698" s="6">
        <v>2840</v>
      </c>
      <c r="D1698" s="6">
        <v>2905</v>
      </c>
      <c r="E1698" s="6">
        <v>2868</v>
      </c>
      <c r="F1698" t="str">
        <f t="shared" si="730"/>
        <v>FRI</v>
      </c>
      <c r="G1698" s="1">
        <f t="shared" si="731"/>
        <v>43966</v>
      </c>
      <c r="H1698" s="2">
        <f t="shared" ca="1" si="732"/>
        <v>287</v>
      </c>
      <c r="I1698" t="str">
        <f t="shared" si="733"/>
        <v>SSEC</v>
      </c>
      <c r="J1698">
        <f t="shared" si="734"/>
        <v>2840</v>
      </c>
      <c r="K1698">
        <f t="shared" si="735"/>
        <v>2905</v>
      </c>
      <c r="L1698">
        <f t="shared" si="736"/>
        <v>2872.5</v>
      </c>
      <c r="M1698">
        <f t="shared" si="737"/>
        <v>32.5</v>
      </c>
      <c r="N1698">
        <f t="shared" si="727"/>
        <v>65</v>
      </c>
      <c r="O1698">
        <f t="shared" si="738"/>
        <v>2868</v>
      </c>
      <c r="P1698">
        <f t="shared" si="739"/>
        <v>-0.13846153846153847</v>
      </c>
      <c r="Q1698" t="str">
        <f t="shared" si="728"/>
        <v>0.98% | 1.29%</v>
      </c>
      <c r="R1698" t="str">
        <f t="shared" si="740"/>
        <v>BEARISH</v>
      </c>
      <c r="S1698">
        <f t="shared" si="729"/>
        <v>-1</v>
      </c>
    </row>
    <row r="1699" spans="1:19" hidden="1" x14ac:dyDescent="0.25">
      <c r="A1699" s="5" t="str">
        <f t="shared" si="726"/>
        <v>43966NIKK</v>
      </c>
      <c r="B1699" s="6" t="s">
        <v>15</v>
      </c>
      <c r="C1699" s="6">
        <v>19405</v>
      </c>
      <c r="D1699" s="6">
        <v>20470</v>
      </c>
      <c r="E1699" s="6">
        <v>20037</v>
      </c>
      <c r="F1699" t="str">
        <f t="shared" si="730"/>
        <v>FRI</v>
      </c>
      <c r="G1699" s="1">
        <f t="shared" si="731"/>
        <v>43966</v>
      </c>
      <c r="H1699" s="2">
        <f t="shared" ca="1" si="732"/>
        <v>287</v>
      </c>
      <c r="I1699" t="str">
        <f t="shared" si="733"/>
        <v>NIKK</v>
      </c>
      <c r="J1699">
        <f t="shared" si="734"/>
        <v>19405</v>
      </c>
      <c r="K1699">
        <f t="shared" si="735"/>
        <v>20470</v>
      </c>
      <c r="L1699">
        <f t="shared" si="736"/>
        <v>19937.5</v>
      </c>
      <c r="M1699">
        <f t="shared" si="737"/>
        <v>532.5</v>
      </c>
      <c r="N1699">
        <f t="shared" si="727"/>
        <v>1065</v>
      </c>
      <c r="O1699">
        <f t="shared" si="738"/>
        <v>20037</v>
      </c>
      <c r="P1699">
        <f t="shared" si="739"/>
        <v>0.18685446009389672</v>
      </c>
      <c r="Q1699" t="str">
        <f t="shared" si="728"/>
        <v>3.15% | 2.16%</v>
      </c>
      <c r="R1699" t="str">
        <f t="shared" si="740"/>
        <v>BEARISH</v>
      </c>
      <c r="S1699">
        <f t="shared" si="729"/>
        <v>-1</v>
      </c>
    </row>
    <row r="1700" spans="1:19" hidden="1" x14ac:dyDescent="0.25">
      <c r="A1700" s="5" t="str">
        <f t="shared" si="726"/>
        <v>43966DAX</v>
      </c>
      <c r="B1700" s="6" t="s">
        <v>16</v>
      </c>
      <c r="C1700" s="6">
        <v>10300</v>
      </c>
      <c r="D1700" s="6">
        <v>10884</v>
      </c>
      <c r="E1700" s="6">
        <v>10332</v>
      </c>
      <c r="F1700" t="str">
        <f t="shared" si="730"/>
        <v>FRI</v>
      </c>
      <c r="G1700" s="1">
        <f t="shared" si="731"/>
        <v>43966</v>
      </c>
      <c r="H1700" s="2">
        <f t="shared" ca="1" si="732"/>
        <v>287</v>
      </c>
      <c r="I1700" t="str">
        <f t="shared" si="733"/>
        <v>DAX</v>
      </c>
      <c r="J1700">
        <f t="shared" si="734"/>
        <v>10300</v>
      </c>
      <c r="K1700">
        <f t="shared" si="735"/>
        <v>10884</v>
      </c>
      <c r="L1700">
        <f t="shared" si="736"/>
        <v>10592</v>
      </c>
      <c r="M1700">
        <f t="shared" si="737"/>
        <v>292</v>
      </c>
      <c r="N1700">
        <f t="shared" si="727"/>
        <v>584</v>
      </c>
      <c r="O1700">
        <f t="shared" si="738"/>
        <v>10332</v>
      </c>
      <c r="P1700">
        <f t="shared" si="739"/>
        <v>-0.8904109589041096</v>
      </c>
      <c r="Q1700" t="str">
        <f t="shared" si="728"/>
        <v>0.31% | 5.34%</v>
      </c>
      <c r="R1700" t="str">
        <f t="shared" si="740"/>
        <v>BEARISH</v>
      </c>
      <c r="S1700">
        <f t="shared" si="729"/>
        <v>-1</v>
      </c>
    </row>
    <row r="1701" spans="1:19" hidden="1" x14ac:dyDescent="0.25">
      <c r="A1701" s="5" t="str">
        <f t="shared" si="726"/>
        <v>43966VIX</v>
      </c>
      <c r="B1701" s="6" t="s">
        <v>17</v>
      </c>
      <c r="C1701" s="6">
        <v>26.74</v>
      </c>
      <c r="D1701" s="6">
        <v>38.97</v>
      </c>
      <c r="E1701" s="6">
        <v>32.61</v>
      </c>
      <c r="F1701" t="str">
        <f t="shared" si="730"/>
        <v>FRI</v>
      </c>
      <c r="G1701" s="1">
        <f t="shared" si="731"/>
        <v>43966</v>
      </c>
      <c r="H1701" s="2">
        <f t="shared" ca="1" si="732"/>
        <v>287</v>
      </c>
      <c r="I1701" t="str">
        <f t="shared" si="733"/>
        <v>VIX</v>
      </c>
      <c r="J1701">
        <f t="shared" si="734"/>
        <v>26.74</v>
      </c>
      <c r="K1701">
        <f t="shared" si="735"/>
        <v>38.97</v>
      </c>
      <c r="L1701">
        <f t="shared" si="736"/>
        <v>32.854999999999997</v>
      </c>
      <c r="M1701">
        <f t="shared" si="737"/>
        <v>6.115000000000002</v>
      </c>
      <c r="N1701">
        <f t="shared" si="727"/>
        <v>12.23</v>
      </c>
      <c r="O1701">
        <f t="shared" si="738"/>
        <v>32.61</v>
      </c>
      <c r="P1701">
        <f t="shared" si="739"/>
        <v>-4.006541291905108E-2</v>
      </c>
      <c r="Q1701" t="str">
        <f t="shared" si="728"/>
        <v>18% | 19.5%</v>
      </c>
      <c r="R1701" t="str">
        <f t="shared" si="740"/>
        <v>BULLISH</v>
      </c>
      <c r="S1701">
        <f t="shared" si="729"/>
        <v>1</v>
      </c>
    </row>
    <row r="1702" spans="1:19" hidden="1" x14ac:dyDescent="0.25">
      <c r="A1702" s="5" t="str">
        <f t="shared" si="726"/>
        <v>43966USD</v>
      </c>
      <c r="B1702" s="6" t="s">
        <v>18</v>
      </c>
      <c r="C1702" s="6">
        <v>99.15</v>
      </c>
      <c r="D1702" s="6">
        <v>100.89</v>
      </c>
      <c r="E1702" s="6">
        <v>100.51</v>
      </c>
      <c r="F1702" t="str">
        <f t="shared" si="730"/>
        <v>FRI</v>
      </c>
      <c r="G1702" s="1">
        <f t="shared" si="731"/>
        <v>43966</v>
      </c>
      <c r="H1702" s="2">
        <f t="shared" ca="1" si="732"/>
        <v>287</v>
      </c>
      <c r="I1702" t="str">
        <f t="shared" si="733"/>
        <v>USD</v>
      </c>
      <c r="J1702">
        <f t="shared" si="734"/>
        <v>99.15</v>
      </c>
      <c r="K1702">
        <f t="shared" si="735"/>
        <v>100.89</v>
      </c>
      <c r="L1702">
        <f t="shared" si="736"/>
        <v>100.02000000000001</v>
      </c>
      <c r="M1702">
        <f t="shared" si="737"/>
        <v>0.86999999999999744</v>
      </c>
      <c r="N1702">
        <f t="shared" si="727"/>
        <v>1.7399999999999949</v>
      </c>
      <c r="O1702">
        <f t="shared" si="738"/>
        <v>100.51</v>
      </c>
      <c r="P1702">
        <f t="shared" si="739"/>
        <v>0.56321839080459346</v>
      </c>
      <c r="Q1702" t="str">
        <f t="shared" si="728"/>
        <v>1.35% | 0.38%</v>
      </c>
      <c r="R1702" t="str">
        <f t="shared" si="740"/>
        <v>BULLISH</v>
      </c>
      <c r="S1702">
        <f t="shared" si="729"/>
        <v>1</v>
      </c>
    </row>
    <row r="1703" spans="1:19" hidden="1" x14ac:dyDescent="0.25">
      <c r="A1703" s="5" t="str">
        <f t="shared" si="726"/>
        <v>43966EUR/USD</v>
      </c>
      <c r="B1703" s="6" t="s">
        <v>19</v>
      </c>
      <c r="C1703" s="6">
        <v>1.07</v>
      </c>
      <c r="D1703" s="6">
        <v>1.0900000000000001</v>
      </c>
      <c r="E1703" s="6">
        <v>1.08</v>
      </c>
      <c r="F1703" t="str">
        <f t="shared" si="730"/>
        <v>FRI</v>
      </c>
      <c r="G1703" s="1">
        <f t="shared" si="731"/>
        <v>43966</v>
      </c>
      <c r="H1703" s="2">
        <f t="shared" ca="1" si="732"/>
        <v>287</v>
      </c>
      <c r="I1703" t="str">
        <f t="shared" si="733"/>
        <v>EUR/USD</v>
      </c>
      <c r="J1703">
        <f t="shared" si="734"/>
        <v>1.07</v>
      </c>
      <c r="K1703">
        <f t="shared" si="735"/>
        <v>1.0900000000000001</v>
      </c>
      <c r="L1703">
        <f t="shared" si="736"/>
        <v>1.08</v>
      </c>
      <c r="M1703">
        <f t="shared" si="737"/>
        <v>1.0000000000000009E-2</v>
      </c>
      <c r="N1703">
        <f t="shared" si="727"/>
        <v>2.0000000000000018E-2</v>
      </c>
      <c r="O1703">
        <f t="shared" si="738"/>
        <v>1.08</v>
      </c>
      <c r="P1703">
        <f t="shared" si="739"/>
        <v>0</v>
      </c>
      <c r="Q1703" t="str">
        <f t="shared" si="728"/>
        <v>0.93% | 0.93%</v>
      </c>
      <c r="R1703" t="str">
        <f t="shared" si="740"/>
        <v>BEARISH</v>
      </c>
      <c r="S1703">
        <f t="shared" si="729"/>
        <v>-1</v>
      </c>
    </row>
    <row r="1704" spans="1:19" hidden="1" x14ac:dyDescent="0.25">
      <c r="A1704" s="5" t="str">
        <f t="shared" si="726"/>
        <v>43966USD/JPY</v>
      </c>
      <c r="B1704" s="6" t="s">
        <v>20</v>
      </c>
      <c r="C1704" s="6">
        <v>105.8</v>
      </c>
      <c r="D1704" s="6">
        <v>107.68</v>
      </c>
      <c r="E1704" s="6">
        <v>107.24</v>
      </c>
      <c r="F1704" t="str">
        <f t="shared" si="730"/>
        <v>FRI</v>
      </c>
      <c r="G1704" s="1">
        <f t="shared" si="731"/>
        <v>43966</v>
      </c>
      <c r="H1704" s="2">
        <f t="shared" ca="1" si="732"/>
        <v>287</v>
      </c>
      <c r="I1704" t="str">
        <f t="shared" si="733"/>
        <v>USD/JPY</v>
      </c>
      <c r="J1704">
        <f t="shared" si="734"/>
        <v>105.8</v>
      </c>
      <c r="K1704">
        <f t="shared" si="735"/>
        <v>107.68</v>
      </c>
      <c r="L1704">
        <f t="shared" si="736"/>
        <v>106.74000000000001</v>
      </c>
      <c r="M1704">
        <f t="shared" si="737"/>
        <v>0.94000000000000483</v>
      </c>
      <c r="N1704">
        <f t="shared" si="727"/>
        <v>1.8800000000000097</v>
      </c>
      <c r="O1704">
        <f t="shared" si="738"/>
        <v>107.24</v>
      </c>
      <c r="P1704">
        <f t="shared" si="739"/>
        <v>0.53191489361700339</v>
      </c>
      <c r="Q1704" t="str">
        <f t="shared" si="728"/>
        <v>1.34% | 0.41%</v>
      </c>
      <c r="R1704" t="str">
        <f t="shared" si="740"/>
        <v>BEARISH</v>
      </c>
      <c r="S1704">
        <f t="shared" si="729"/>
        <v>-1</v>
      </c>
    </row>
    <row r="1705" spans="1:19" hidden="1" x14ac:dyDescent="0.25">
      <c r="A1705" s="5" t="str">
        <f t="shared" si="726"/>
        <v>43966GBP/USD</v>
      </c>
      <c r="B1705" s="6" t="s">
        <v>21</v>
      </c>
      <c r="C1705" s="6">
        <v>1.22</v>
      </c>
      <c r="D1705" s="6">
        <v>1.25</v>
      </c>
      <c r="E1705" s="6">
        <v>1.22</v>
      </c>
      <c r="F1705" t="str">
        <f t="shared" si="730"/>
        <v>FRI</v>
      </c>
      <c r="G1705" s="1">
        <f t="shared" si="731"/>
        <v>43966</v>
      </c>
      <c r="H1705" s="2">
        <f t="shared" ca="1" si="732"/>
        <v>287</v>
      </c>
      <c r="I1705" t="str">
        <f t="shared" si="733"/>
        <v>GBP/USD</v>
      </c>
      <c r="J1705">
        <f t="shared" si="734"/>
        <v>1.22</v>
      </c>
      <c r="K1705">
        <f t="shared" si="735"/>
        <v>1.25</v>
      </c>
      <c r="L1705">
        <f t="shared" si="736"/>
        <v>1.2349999999999999</v>
      </c>
      <c r="M1705">
        <f t="shared" si="737"/>
        <v>1.5000000000000013E-2</v>
      </c>
      <c r="N1705">
        <f t="shared" si="727"/>
        <v>3.0000000000000027E-2</v>
      </c>
      <c r="O1705">
        <f t="shared" si="738"/>
        <v>1.22</v>
      </c>
      <c r="P1705">
        <f t="shared" si="739"/>
        <v>-0.99999999999999256</v>
      </c>
      <c r="Q1705" t="str">
        <f t="shared" si="728"/>
        <v>0% | 2.46%</v>
      </c>
      <c r="R1705" t="str">
        <f t="shared" si="740"/>
        <v>BEARISH</v>
      </c>
      <c r="S1705">
        <f t="shared" si="729"/>
        <v>-1</v>
      </c>
    </row>
    <row r="1706" spans="1:19" hidden="1" x14ac:dyDescent="0.25">
      <c r="A1706" s="5" t="str">
        <f t="shared" si="726"/>
        <v>43966USD/CHF</v>
      </c>
      <c r="B1706" s="6" t="s">
        <v>22</v>
      </c>
      <c r="C1706" s="6">
        <v>0.96</v>
      </c>
      <c r="D1706" s="6">
        <v>0.98</v>
      </c>
      <c r="E1706" s="6">
        <v>0.97</v>
      </c>
      <c r="F1706" t="str">
        <f t="shared" si="730"/>
        <v>FRI</v>
      </c>
      <c r="G1706" s="1">
        <f t="shared" si="731"/>
        <v>43966</v>
      </c>
      <c r="H1706" s="2">
        <f t="shared" ca="1" si="732"/>
        <v>287</v>
      </c>
      <c r="I1706" t="str">
        <f t="shared" si="733"/>
        <v>USD/CHF</v>
      </c>
      <c r="J1706">
        <f t="shared" si="734"/>
        <v>0.96</v>
      </c>
      <c r="K1706">
        <f t="shared" si="735"/>
        <v>0.98</v>
      </c>
      <c r="L1706">
        <f t="shared" si="736"/>
        <v>0.97</v>
      </c>
      <c r="M1706">
        <f t="shared" si="737"/>
        <v>1.0000000000000009E-2</v>
      </c>
      <c r="N1706">
        <f t="shared" si="727"/>
        <v>2.0000000000000018E-2</v>
      </c>
      <c r="O1706">
        <f t="shared" si="738"/>
        <v>0.97</v>
      </c>
      <c r="P1706">
        <f t="shared" si="739"/>
        <v>0</v>
      </c>
      <c r="Q1706" t="str">
        <f t="shared" si="728"/>
        <v>1.03% | 1.03%</v>
      </c>
      <c r="R1706" t="str">
        <f t="shared" si="740"/>
        <v>NEUTRAL</v>
      </c>
      <c r="S1706">
        <f t="shared" si="729"/>
        <v>0</v>
      </c>
    </row>
    <row r="1707" spans="1:19" hidden="1" x14ac:dyDescent="0.25">
      <c r="A1707" s="5" t="str">
        <f t="shared" si="726"/>
        <v>43966WTIC</v>
      </c>
      <c r="B1707" s="6" t="s">
        <v>23</v>
      </c>
      <c r="C1707" s="6">
        <v>20.47</v>
      </c>
      <c r="D1707" s="6">
        <v>29.5</v>
      </c>
      <c r="E1707" s="6">
        <v>27.88</v>
      </c>
      <c r="F1707" t="str">
        <f t="shared" si="730"/>
        <v>FRI</v>
      </c>
      <c r="G1707" s="1">
        <f t="shared" si="731"/>
        <v>43966</v>
      </c>
      <c r="H1707" s="2">
        <f t="shared" ca="1" si="732"/>
        <v>287</v>
      </c>
      <c r="I1707" t="str">
        <f t="shared" si="733"/>
        <v>WTIC</v>
      </c>
      <c r="J1707">
        <f t="shared" si="734"/>
        <v>20.47</v>
      </c>
      <c r="K1707">
        <f t="shared" si="735"/>
        <v>29.5</v>
      </c>
      <c r="L1707">
        <f t="shared" si="736"/>
        <v>24.984999999999999</v>
      </c>
      <c r="M1707">
        <f t="shared" si="737"/>
        <v>4.5149999999999988</v>
      </c>
      <c r="N1707">
        <f t="shared" si="727"/>
        <v>9.0300000000000011</v>
      </c>
      <c r="O1707">
        <f t="shared" si="738"/>
        <v>27.88</v>
      </c>
      <c r="P1707">
        <f t="shared" si="739"/>
        <v>0.64119601328903664</v>
      </c>
      <c r="Q1707" t="str">
        <f t="shared" si="728"/>
        <v>26.58% | 5.81%</v>
      </c>
      <c r="R1707" t="str">
        <f t="shared" si="740"/>
        <v>BEARISH</v>
      </c>
      <c r="S1707">
        <f t="shared" si="729"/>
        <v>-1</v>
      </c>
    </row>
    <row r="1708" spans="1:19" hidden="1" x14ac:dyDescent="0.25">
      <c r="A1708" s="5" t="str">
        <f t="shared" si="726"/>
        <v>43966NATGAS</v>
      </c>
      <c r="B1708" s="6" t="s">
        <v>24</v>
      </c>
      <c r="C1708" s="6">
        <v>1.61</v>
      </c>
      <c r="D1708" s="6">
        <v>1.9</v>
      </c>
      <c r="E1708" s="6">
        <v>1.68</v>
      </c>
      <c r="F1708" t="str">
        <f t="shared" si="730"/>
        <v>FRI</v>
      </c>
      <c r="G1708" s="1">
        <f t="shared" si="731"/>
        <v>43966</v>
      </c>
      <c r="H1708" s="2">
        <f t="shared" ca="1" si="732"/>
        <v>287</v>
      </c>
      <c r="I1708" t="str">
        <f t="shared" si="733"/>
        <v>NATGAS</v>
      </c>
      <c r="J1708">
        <f t="shared" si="734"/>
        <v>1.61</v>
      </c>
      <c r="K1708">
        <f t="shared" si="735"/>
        <v>1.9</v>
      </c>
      <c r="L1708">
        <f t="shared" si="736"/>
        <v>1.7549999999999999</v>
      </c>
      <c r="M1708">
        <f t="shared" si="737"/>
        <v>0.14499999999999991</v>
      </c>
      <c r="N1708">
        <f t="shared" si="727"/>
        <v>0.28999999999999981</v>
      </c>
      <c r="O1708">
        <f t="shared" si="738"/>
        <v>1.68</v>
      </c>
      <c r="P1708">
        <f t="shared" si="739"/>
        <v>-0.51724137931034486</v>
      </c>
      <c r="Q1708" t="str">
        <f t="shared" si="728"/>
        <v>4.17% | 13.1%</v>
      </c>
      <c r="R1708" t="str">
        <f t="shared" si="740"/>
        <v>BEARISH</v>
      </c>
      <c r="S1708">
        <f t="shared" si="729"/>
        <v>-1</v>
      </c>
    </row>
    <row r="1709" spans="1:19" hidden="1" x14ac:dyDescent="0.25">
      <c r="A1709" s="5" t="str">
        <f t="shared" si="726"/>
        <v>43966GOLD</v>
      </c>
      <c r="B1709" s="6" t="s">
        <v>25</v>
      </c>
      <c r="C1709" s="6">
        <v>1701</v>
      </c>
      <c r="D1709" s="6">
        <v>1751</v>
      </c>
      <c r="E1709" s="6">
        <v>1740</v>
      </c>
      <c r="F1709" t="str">
        <f t="shared" si="730"/>
        <v>FRI</v>
      </c>
      <c r="G1709" s="1">
        <f t="shared" si="731"/>
        <v>43966</v>
      </c>
      <c r="H1709" s="2">
        <f t="shared" ca="1" si="732"/>
        <v>287</v>
      </c>
      <c r="I1709" t="str">
        <f t="shared" si="733"/>
        <v>GOLD</v>
      </c>
      <c r="J1709">
        <f t="shared" si="734"/>
        <v>1701</v>
      </c>
      <c r="K1709">
        <f t="shared" si="735"/>
        <v>1751</v>
      </c>
      <c r="L1709">
        <f t="shared" si="736"/>
        <v>1726</v>
      </c>
      <c r="M1709">
        <f t="shared" si="737"/>
        <v>25</v>
      </c>
      <c r="N1709">
        <f t="shared" si="727"/>
        <v>50</v>
      </c>
      <c r="O1709">
        <f t="shared" si="738"/>
        <v>1740</v>
      </c>
      <c r="P1709">
        <f t="shared" si="739"/>
        <v>0.56000000000000005</v>
      </c>
      <c r="Q1709" t="str">
        <f t="shared" si="728"/>
        <v>2.24% | 0.63%</v>
      </c>
      <c r="R1709" t="str">
        <f t="shared" si="740"/>
        <v>BULLISH</v>
      </c>
      <c r="S1709">
        <f t="shared" si="729"/>
        <v>1</v>
      </c>
    </row>
    <row r="1710" spans="1:19" hidden="1" x14ac:dyDescent="0.25">
      <c r="A1710" s="5" t="str">
        <f t="shared" si="726"/>
        <v>43966COPPER</v>
      </c>
      <c r="B1710" s="6" t="s">
        <v>26</v>
      </c>
      <c r="C1710" s="6">
        <v>2.2999999999999998</v>
      </c>
      <c r="D1710" s="6">
        <v>2.41</v>
      </c>
      <c r="E1710" s="6">
        <v>2.35</v>
      </c>
      <c r="F1710" t="str">
        <f t="shared" si="730"/>
        <v>FRI</v>
      </c>
      <c r="G1710" s="1">
        <f t="shared" si="731"/>
        <v>43966</v>
      </c>
      <c r="H1710" s="2">
        <f t="shared" ca="1" si="732"/>
        <v>287</v>
      </c>
      <c r="I1710" t="str">
        <f t="shared" si="733"/>
        <v>COPPER</v>
      </c>
      <c r="J1710">
        <f t="shared" si="734"/>
        <v>2.2999999999999998</v>
      </c>
      <c r="K1710">
        <f t="shared" si="735"/>
        <v>2.41</v>
      </c>
      <c r="L1710">
        <f t="shared" si="736"/>
        <v>2.355</v>
      </c>
      <c r="M1710">
        <f t="shared" si="737"/>
        <v>5.500000000000016E-2</v>
      </c>
      <c r="N1710">
        <f t="shared" si="727"/>
        <v>0.11000000000000032</v>
      </c>
      <c r="O1710">
        <f t="shared" si="738"/>
        <v>2.35</v>
      </c>
      <c r="P1710">
        <f t="shared" si="739"/>
        <v>-9.0909090909088705E-2</v>
      </c>
      <c r="Q1710" t="str">
        <f t="shared" si="728"/>
        <v>2.13% | 2.55%</v>
      </c>
      <c r="R1710" t="str">
        <f t="shared" si="740"/>
        <v>BEARISH</v>
      </c>
      <c r="S1710">
        <f t="shared" si="729"/>
        <v>-1</v>
      </c>
    </row>
    <row r="1711" spans="1:19" hidden="1" x14ac:dyDescent="0.25">
      <c r="A1711" s="5" t="str">
        <f t="shared" si="726"/>
        <v>43966MSFT</v>
      </c>
      <c r="B1711" s="6" t="s">
        <v>27</v>
      </c>
      <c r="C1711" s="6">
        <v>176</v>
      </c>
      <c r="D1711" s="6">
        <v>187</v>
      </c>
      <c r="E1711" s="6">
        <v>180</v>
      </c>
      <c r="F1711" t="str">
        <f t="shared" si="730"/>
        <v>FRI</v>
      </c>
      <c r="G1711" s="1">
        <f t="shared" si="731"/>
        <v>43966</v>
      </c>
      <c r="H1711" s="2">
        <f t="shared" ca="1" si="732"/>
        <v>287</v>
      </c>
      <c r="I1711" t="str">
        <f t="shared" si="733"/>
        <v>MSFT</v>
      </c>
      <c r="J1711">
        <f t="shared" si="734"/>
        <v>176</v>
      </c>
      <c r="K1711">
        <f t="shared" si="735"/>
        <v>187</v>
      </c>
      <c r="L1711">
        <f t="shared" si="736"/>
        <v>181.5</v>
      </c>
      <c r="M1711">
        <f t="shared" si="737"/>
        <v>5.5</v>
      </c>
      <c r="N1711">
        <f t="shared" si="727"/>
        <v>11</v>
      </c>
      <c r="O1711">
        <f t="shared" si="738"/>
        <v>180</v>
      </c>
      <c r="P1711">
        <f t="shared" si="739"/>
        <v>-0.27272727272727271</v>
      </c>
      <c r="Q1711" t="str">
        <f t="shared" si="728"/>
        <v>2.22% | 3.89%</v>
      </c>
      <c r="R1711" t="str">
        <f t="shared" si="740"/>
        <v>BULLISH</v>
      </c>
      <c r="S1711">
        <f t="shared" si="729"/>
        <v>1</v>
      </c>
    </row>
    <row r="1712" spans="1:19" hidden="1" x14ac:dyDescent="0.25">
      <c r="A1712" s="5" t="str">
        <f t="shared" si="726"/>
        <v>43966AAPL</v>
      </c>
      <c r="B1712" s="6" t="s">
        <v>28</v>
      </c>
      <c r="C1712" s="6">
        <v>289</v>
      </c>
      <c r="D1712" s="6">
        <v>320</v>
      </c>
      <c r="E1712" s="6">
        <v>309</v>
      </c>
      <c r="F1712" t="str">
        <f t="shared" si="730"/>
        <v>FRI</v>
      </c>
      <c r="G1712" s="1">
        <f t="shared" si="731"/>
        <v>43966</v>
      </c>
      <c r="H1712" s="2">
        <f t="shared" ca="1" si="732"/>
        <v>287</v>
      </c>
      <c r="I1712" t="str">
        <f t="shared" si="733"/>
        <v>AAPL</v>
      </c>
      <c r="J1712">
        <f t="shared" si="734"/>
        <v>289</v>
      </c>
      <c r="K1712">
        <f t="shared" si="735"/>
        <v>320</v>
      </c>
      <c r="L1712">
        <f t="shared" si="736"/>
        <v>304.5</v>
      </c>
      <c r="M1712">
        <f t="shared" si="737"/>
        <v>15.5</v>
      </c>
      <c r="N1712">
        <f t="shared" si="727"/>
        <v>31</v>
      </c>
      <c r="O1712">
        <f t="shared" si="738"/>
        <v>309</v>
      </c>
      <c r="P1712">
        <f t="shared" si="739"/>
        <v>0.29032258064516131</v>
      </c>
      <c r="Q1712" t="str">
        <f t="shared" si="728"/>
        <v>6.47% | 3.56%</v>
      </c>
      <c r="R1712" t="str">
        <f t="shared" si="740"/>
        <v>BULLISH</v>
      </c>
      <c r="S1712">
        <f t="shared" si="729"/>
        <v>1</v>
      </c>
    </row>
    <row r="1713" spans="1:19" hidden="1" x14ac:dyDescent="0.25">
      <c r="A1713" s="5" t="str">
        <f t="shared" si="726"/>
        <v>43966AMZN</v>
      </c>
      <c r="B1713" s="6" t="s">
        <v>29</v>
      </c>
      <c r="C1713" s="6">
        <v>2290</v>
      </c>
      <c r="D1713" s="6">
        <v>2421</v>
      </c>
      <c r="E1713" s="6">
        <v>2388</v>
      </c>
      <c r="F1713" t="str">
        <f t="shared" si="730"/>
        <v>FRI</v>
      </c>
      <c r="G1713" s="1">
        <f t="shared" si="731"/>
        <v>43966</v>
      </c>
      <c r="H1713" s="2">
        <f t="shared" ca="1" si="732"/>
        <v>287</v>
      </c>
      <c r="I1713" t="str">
        <f t="shared" si="733"/>
        <v>AMZN</v>
      </c>
      <c r="J1713">
        <f t="shared" si="734"/>
        <v>2290</v>
      </c>
      <c r="K1713">
        <f t="shared" si="735"/>
        <v>2421</v>
      </c>
      <c r="L1713">
        <f t="shared" si="736"/>
        <v>2355.5</v>
      </c>
      <c r="M1713">
        <f t="shared" si="737"/>
        <v>65.5</v>
      </c>
      <c r="N1713">
        <f t="shared" si="727"/>
        <v>131</v>
      </c>
      <c r="O1713">
        <f t="shared" si="738"/>
        <v>2388</v>
      </c>
      <c r="P1713">
        <f t="shared" si="739"/>
        <v>0.49618320610687022</v>
      </c>
      <c r="Q1713" t="str">
        <f t="shared" si="728"/>
        <v>4.1% | 1.38%</v>
      </c>
      <c r="R1713" t="str">
        <f t="shared" si="740"/>
        <v>BULLISH</v>
      </c>
      <c r="S1713">
        <f t="shared" si="729"/>
        <v>1</v>
      </c>
    </row>
    <row r="1714" spans="1:19" hidden="1" x14ac:dyDescent="0.25">
      <c r="A1714" s="5" t="str">
        <f t="shared" si="726"/>
        <v>43966FB</v>
      </c>
      <c r="B1714" s="6" t="s">
        <v>30</v>
      </c>
      <c r="C1714" s="6">
        <v>199</v>
      </c>
      <c r="D1714" s="6">
        <v>215</v>
      </c>
      <c r="E1714" s="6">
        <v>206</v>
      </c>
      <c r="F1714" t="str">
        <f t="shared" si="730"/>
        <v>FRI</v>
      </c>
      <c r="G1714" s="1">
        <f t="shared" si="731"/>
        <v>43966</v>
      </c>
      <c r="H1714" s="2">
        <f t="shared" ca="1" si="732"/>
        <v>287</v>
      </c>
      <c r="I1714" t="str">
        <f t="shared" si="733"/>
        <v>FB</v>
      </c>
      <c r="J1714">
        <f t="shared" si="734"/>
        <v>199</v>
      </c>
      <c r="K1714">
        <f t="shared" si="735"/>
        <v>215</v>
      </c>
      <c r="L1714">
        <f t="shared" si="736"/>
        <v>207</v>
      </c>
      <c r="M1714">
        <f t="shared" si="737"/>
        <v>8</v>
      </c>
      <c r="N1714">
        <f t="shared" si="727"/>
        <v>16</v>
      </c>
      <c r="O1714">
        <f t="shared" si="738"/>
        <v>206</v>
      </c>
      <c r="P1714">
        <f t="shared" si="739"/>
        <v>-0.125</v>
      </c>
      <c r="Q1714" t="str">
        <f t="shared" si="728"/>
        <v>3.4% | 4.37%</v>
      </c>
      <c r="R1714" t="str">
        <f t="shared" si="740"/>
        <v>BULLISH</v>
      </c>
      <c r="S1714">
        <f t="shared" si="729"/>
        <v>1</v>
      </c>
    </row>
    <row r="1715" spans="1:19" hidden="1" x14ac:dyDescent="0.25">
      <c r="A1715" s="5" t="str">
        <f t="shared" si="726"/>
        <v>43966GOOGL</v>
      </c>
      <c r="B1715" s="6" t="s">
        <v>31</v>
      </c>
      <c r="C1715" s="6">
        <v>1305</v>
      </c>
      <c r="D1715" s="6">
        <v>1408</v>
      </c>
      <c r="E1715" s="6">
        <v>1356</v>
      </c>
      <c r="F1715" t="str">
        <f t="shared" si="730"/>
        <v>FRI</v>
      </c>
      <c r="G1715" s="1">
        <f t="shared" si="731"/>
        <v>43966</v>
      </c>
      <c r="H1715" s="2">
        <f t="shared" ca="1" si="732"/>
        <v>287</v>
      </c>
      <c r="I1715" t="str">
        <f t="shared" si="733"/>
        <v>GOOGL</v>
      </c>
      <c r="J1715">
        <f t="shared" si="734"/>
        <v>1305</v>
      </c>
      <c r="K1715">
        <f t="shared" si="735"/>
        <v>1408</v>
      </c>
      <c r="L1715">
        <f t="shared" si="736"/>
        <v>1356.5</v>
      </c>
      <c r="M1715">
        <f t="shared" si="737"/>
        <v>51.5</v>
      </c>
      <c r="N1715">
        <f t="shared" si="727"/>
        <v>103</v>
      </c>
      <c r="O1715">
        <f t="shared" si="738"/>
        <v>1356</v>
      </c>
      <c r="P1715">
        <f t="shared" si="739"/>
        <v>-9.7087378640776691E-3</v>
      </c>
      <c r="Q1715" t="str">
        <f t="shared" si="728"/>
        <v>3.76% | 3.83%</v>
      </c>
      <c r="R1715" t="str">
        <f t="shared" si="740"/>
        <v>BULLISH</v>
      </c>
      <c r="S1715">
        <f t="shared" si="729"/>
        <v>1</v>
      </c>
    </row>
    <row r="1716" spans="1:19" hidden="1" x14ac:dyDescent="0.25">
      <c r="A1716" s="5" t="str">
        <f t="shared" si="726"/>
        <v>43966NFLX</v>
      </c>
      <c r="B1716" s="6" t="s">
        <v>32</v>
      </c>
      <c r="C1716" s="6">
        <v>420</v>
      </c>
      <c r="D1716" s="6">
        <v>446</v>
      </c>
      <c r="E1716" s="6">
        <v>441</v>
      </c>
      <c r="F1716" t="str">
        <f t="shared" si="730"/>
        <v>FRI</v>
      </c>
      <c r="G1716" s="1">
        <f t="shared" si="731"/>
        <v>43966</v>
      </c>
      <c r="H1716" s="2">
        <f t="shared" ca="1" si="732"/>
        <v>287</v>
      </c>
      <c r="I1716" t="str">
        <f t="shared" si="733"/>
        <v>NFLX</v>
      </c>
      <c r="J1716">
        <f t="shared" si="734"/>
        <v>420</v>
      </c>
      <c r="K1716">
        <f t="shared" si="735"/>
        <v>446</v>
      </c>
      <c r="L1716">
        <f t="shared" si="736"/>
        <v>433</v>
      </c>
      <c r="M1716">
        <f t="shared" si="737"/>
        <v>13</v>
      </c>
      <c r="N1716">
        <f t="shared" si="727"/>
        <v>26</v>
      </c>
      <c r="O1716">
        <f t="shared" si="738"/>
        <v>441</v>
      </c>
      <c r="P1716">
        <f t="shared" si="739"/>
        <v>0.61538461538461542</v>
      </c>
      <c r="Q1716" t="str">
        <f t="shared" si="728"/>
        <v>4.76% | 1.13%</v>
      </c>
      <c r="R1716" t="str">
        <f t="shared" si="740"/>
        <v>BULLISH</v>
      </c>
      <c r="S1716">
        <f t="shared" si="729"/>
        <v>1</v>
      </c>
    </row>
    <row r="1717" spans="1:19" x14ac:dyDescent="0.25">
      <c r="A1717" s="5" t="str">
        <f t="shared" si="726"/>
        <v>43966TSLA</v>
      </c>
      <c r="B1717" s="6" t="s">
        <v>33</v>
      </c>
      <c r="C1717" s="6">
        <v>734</v>
      </c>
      <c r="D1717" s="6">
        <v>833</v>
      </c>
      <c r="E1717" s="6">
        <v>803</v>
      </c>
      <c r="F1717" t="str">
        <f t="shared" si="730"/>
        <v>FRI</v>
      </c>
      <c r="G1717" s="1">
        <f t="shared" si="731"/>
        <v>43966</v>
      </c>
      <c r="H1717" s="2">
        <f t="shared" ca="1" si="732"/>
        <v>287</v>
      </c>
      <c r="I1717" t="str">
        <f t="shared" si="733"/>
        <v>TSLA</v>
      </c>
      <c r="J1717">
        <f t="shared" si="734"/>
        <v>734</v>
      </c>
      <c r="K1717">
        <f t="shared" si="735"/>
        <v>833</v>
      </c>
      <c r="L1717">
        <f t="shared" si="736"/>
        <v>783.5</v>
      </c>
      <c r="M1717">
        <f t="shared" si="737"/>
        <v>49.5</v>
      </c>
      <c r="N1717">
        <f t="shared" si="727"/>
        <v>99</v>
      </c>
      <c r="O1717">
        <f t="shared" si="738"/>
        <v>803</v>
      </c>
      <c r="P1717">
        <f t="shared" si="739"/>
        <v>0.39393939393939392</v>
      </c>
      <c r="Q1717" t="str">
        <f t="shared" si="728"/>
        <v>8.59% | 3.74%</v>
      </c>
      <c r="R1717" t="str">
        <f t="shared" si="740"/>
        <v>BULLISH</v>
      </c>
      <c r="S1717">
        <f t="shared" si="729"/>
        <v>1</v>
      </c>
    </row>
    <row r="1718" spans="1:19" hidden="1" x14ac:dyDescent="0.25">
      <c r="A1718" s="5" t="str">
        <f t="shared" si="726"/>
        <v>43966NYXBT</v>
      </c>
      <c r="B1718" s="6" t="s">
        <v>34</v>
      </c>
      <c r="C1718" s="6">
        <v>8421</v>
      </c>
      <c r="D1718" s="6">
        <v>10038</v>
      </c>
      <c r="E1718" s="6">
        <v>9736</v>
      </c>
      <c r="F1718" t="str">
        <f t="shared" si="730"/>
        <v>FRI</v>
      </c>
      <c r="G1718" s="1">
        <f>DATE(2020,5,15)</f>
        <v>43966</v>
      </c>
      <c r="H1718" s="2">
        <f t="shared" ca="1" si="732"/>
        <v>287</v>
      </c>
      <c r="I1718" t="str">
        <f t="shared" si="733"/>
        <v>NYXBT</v>
      </c>
      <c r="J1718">
        <f t="shared" si="734"/>
        <v>8421</v>
      </c>
      <c r="K1718">
        <f t="shared" si="735"/>
        <v>10038</v>
      </c>
      <c r="L1718">
        <f t="shared" si="736"/>
        <v>9229.5</v>
      </c>
      <c r="M1718">
        <f t="shared" si="737"/>
        <v>808.5</v>
      </c>
      <c r="N1718">
        <f t="shared" si="727"/>
        <v>1617</v>
      </c>
      <c r="O1718">
        <f t="shared" si="738"/>
        <v>9736</v>
      </c>
      <c r="P1718">
        <f t="shared" si="739"/>
        <v>0.62646876932591222</v>
      </c>
      <c r="Q1718" t="str">
        <f t="shared" si="728"/>
        <v>13.51% | 3.1%</v>
      </c>
      <c r="R1718" t="str">
        <f t="shared" si="740"/>
        <v>BULLISH</v>
      </c>
      <c r="S1718">
        <f t="shared" si="729"/>
        <v>1</v>
      </c>
    </row>
    <row r="1719" spans="1:19" hidden="1" x14ac:dyDescent="0.25">
      <c r="A1719" s="5" t="str">
        <f t="shared" si="726"/>
        <v>43969UST10Y</v>
      </c>
      <c r="B1719" s="6" t="s">
        <v>4</v>
      </c>
      <c r="C1719" s="6">
        <v>0.74</v>
      </c>
      <c r="D1719" s="6">
        <v>0.59</v>
      </c>
      <c r="E1719" s="6">
        <v>0.64</v>
      </c>
      <c r="F1719" t="str">
        <f>UPPER(TEXT(G1719,"ddd"))</f>
        <v>MON</v>
      </c>
      <c r="G1719" s="3">
        <f>DATE(2020,5,18)</f>
        <v>43969</v>
      </c>
      <c r="H1719" s="2">
        <f t="shared" ca="1" si="732"/>
        <v>284</v>
      </c>
      <c r="I1719" t="str">
        <f t="shared" si="733"/>
        <v>UST10Y</v>
      </c>
      <c r="J1719">
        <f t="shared" si="734"/>
        <v>0.74</v>
      </c>
      <c r="K1719">
        <f t="shared" si="735"/>
        <v>0.59</v>
      </c>
      <c r="L1719">
        <f t="shared" si="736"/>
        <v>0.66500000000000004</v>
      </c>
      <c r="M1719">
        <f t="shared" si="737"/>
        <v>7.4999999999999567E-2</v>
      </c>
      <c r="N1719">
        <f t="shared" si="727"/>
        <v>0.15000000000000002</v>
      </c>
      <c r="O1719">
        <f t="shared" si="738"/>
        <v>0.64</v>
      </c>
      <c r="P1719">
        <f t="shared" si="739"/>
        <v>-0.33333333333333554</v>
      </c>
      <c r="Q1719" t="str">
        <f t="shared" si="728"/>
        <v>15.63% | 7.81%</v>
      </c>
      <c r="R1719" t="str">
        <f t="shared" si="740"/>
        <v>BEARISH</v>
      </c>
      <c r="S1719">
        <f t="shared" si="729"/>
        <v>-1</v>
      </c>
    </row>
    <row r="1720" spans="1:19" hidden="1" x14ac:dyDescent="0.25">
      <c r="A1720" s="5" t="str">
        <f t="shared" si="726"/>
        <v>43969UST2Y</v>
      </c>
      <c r="B1720" s="6" t="s">
        <v>5</v>
      </c>
      <c r="C1720" s="6">
        <v>0.28999999999999998</v>
      </c>
      <c r="D1720" s="6">
        <v>0.11</v>
      </c>
      <c r="E1720" s="6">
        <v>0.16</v>
      </c>
      <c r="F1720" t="str">
        <f t="shared" ref="F1720:F1780" si="741">UPPER(TEXT(G1720,"ddd"))</f>
        <v>MON</v>
      </c>
      <c r="G1720" s="3">
        <f t="shared" ref="G1720:G1749" si="742">DATE(2020,5,18)</f>
        <v>43969</v>
      </c>
      <c r="H1720" s="2">
        <f t="shared" ca="1" si="732"/>
        <v>284</v>
      </c>
      <c r="I1720" t="str">
        <f t="shared" si="733"/>
        <v>UST2Y</v>
      </c>
      <c r="J1720">
        <f t="shared" si="734"/>
        <v>0.28999999999999998</v>
      </c>
      <c r="K1720">
        <f t="shared" si="735"/>
        <v>0.11</v>
      </c>
      <c r="L1720">
        <f t="shared" si="736"/>
        <v>0.19999999999999998</v>
      </c>
      <c r="M1720">
        <f t="shared" si="737"/>
        <v>9.0000000000000011E-2</v>
      </c>
      <c r="N1720">
        <f t="shared" si="727"/>
        <v>0.18</v>
      </c>
      <c r="O1720">
        <f t="shared" si="738"/>
        <v>0.16</v>
      </c>
      <c r="P1720">
        <f t="shared" si="739"/>
        <v>-0.4444444444444442</v>
      </c>
      <c r="Q1720" t="str">
        <f t="shared" si="728"/>
        <v>81.25% | 31.25%</v>
      </c>
      <c r="R1720" t="str">
        <f t="shared" si="740"/>
        <v>BEARISH</v>
      </c>
      <c r="S1720">
        <f t="shared" si="729"/>
        <v>-1</v>
      </c>
    </row>
    <row r="1721" spans="1:19" hidden="1" x14ac:dyDescent="0.25">
      <c r="A1721" s="5" t="str">
        <f t="shared" si="726"/>
        <v>43969SPX</v>
      </c>
      <c r="B1721" s="6" t="s">
        <v>6</v>
      </c>
      <c r="C1721" s="6">
        <v>2803</v>
      </c>
      <c r="D1721" s="6">
        <v>2932</v>
      </c>
      <c r="E1721" s="6">
        <v>2863</v>
      </c>
      <c r="F1721" t="str">
        <f t="shared" si="741"/>
        <v>MON</v>
      </c>
      <c r="G1721" s="3">
        <f t="shared" si="742"/>
        <v>43969</v>
      </c>
      <c r="H1721" s="2">
        <f t="shared" ca="1" si="732"/>
        <v>284</v>
      </c>
      <c r="I1721" t="str">
        <f t="shared" si="733"/>
        <v>SPX</v>
      </c>
      <c r="J1721">
        <f t="shared" si="734"/>
        <v>2803</v>
      </c>
      <c r="K1721">
        <f t="shared" si="735"/>
        <v>2932</v>
      </c>
      <c r="L1721">
        <f t="shared" si="736"/>
        <v>2867.5</v>
      </c>
      <c r="M1721">
        <f t="shared" si="737"/>
        <v>64.5</v>
      </c>
      <c r="N1721">
        <f t="shared" si="727"/>
        <v>129</v>
      </c>
      <c r="O1721">
        <f t="shared" si="738"/>
        <v>2863</v>
      </c>
      <c r="P1721">
        <f t="shared" si="739"/>
        <v>-6.9767441860465115E-2</v>
      </c>
      <c r="Q1721" t="str">
        <f t="shared" si="728"/>
        <v>2.1% | 2.41%</v>
      </c>
      <c r="R1721" t="str">
        <f t="shared" si="740"/>
        <v>BEARISH</v>
      </c>
      <c r="S1721">
        <f t="shared" si="729"/>
        <v>-1</v>
      </c>
    </row>
    <row r="1722" spans="1:19" hidden="1" x14ac:dyDescent="0.25">
      <c r="A1722" s="5" t="str">
        <f t="shared" si="726"/>
        <v>43969RUT</v>
      </c>
      <c r="B1722" s="6" t="s">
        <v>7</v>
      </c>
      <c r="C1722" s="6">
        <v>1210</v>
      </c>
      <c r="D1722" s="6">
        <v>1327</v>
      </c>
      <c r="E1722" s="6">
        <v>1256</v>
      </c>
      <c r="F1722" t="str">
        <f t="shared" si="741"/>
        <v>MON</v>
      </c>
      <c r="G1722" s="3">
        <f t="shared" si="742"/>
        <v>43969</v>
      </c>
      <c r="H1722" s="2">
        <f t="shared" ca="1" si="732"/>
        <v>284</v>
      </c>
      <c r="I1722" t="str">
        <f t="shared" si="733"/>
        <v>RUT</v>
      </c>
      <c r="J1722">
        <f t="shared" si="734"/>
        <v>1210</v>
      </c>
      <c r="K1722">
        <f t="shared" si="735"/>
        <v>1327</v>
      </c>
      <c r="L1722">
        <f t="shared" si="736"/>
        <v>1268.5</v>
      </c>
      <c r="M1722">
        <f t="shared" si="737"/>
        <v>58.5</v>
      </c>
      <c r="N1722">
        <f t="shared" si="727"/>
        <v>117</v>
      </c>
      <c r="O1722">
        <f t="shared" si="738"/>
        <v>1256</v>
      </c>
      <c r="P1722">
        <f t="shared" si="739"/>
        <v>-0.21367521367521367</v>
      </c>
      <c r="Q1722" t="str">
        <f t="shared" si="728"/>
        <v>3.66% | 5.65%</v>
      </c>
      <c r="R1722" t="str">
        <f t="shared" si="740"/>
        <v>BEARISH</v>
      </c>
      <c r="S1722">
        <f t="shared" si="729"/>
        <v>-1</v>
      </c>
    </row>
    <row r="1723" spans="1:19" hidden="1" x14ac:dyDescent="0.25">
      <c r="A1723" s="5" t="str">
        <f t="shared" si="726"/>
        <v>43969COMPQ</v>
      </c>
      <c r="B1723" s="6" t="s">
        <v>8</v>
      </c>
      <c r="C1723" s="6">
        <v>8679</v>
      </c>
      <c r="D1723" s="6">
        <v>9222</v>
      </c>
      <c r="E1723" s="6">
        <v>9014</v>
      </c>
      <c r="F1723" t="str">
        <f t="shared" si="741"/>
        <v>MON</v>
      </c>
      <c r="G1723" s="3">
        <f t="shared" si="742"/>
        <v>43969</v>
      </c>
      <c r="H1723" s="2">
        <f t="shared" ca="1" si="732"/>
        <v>284</v>
      </c>
      <c r="I1723" t="str">
        <f t="shared" si="733"/>
        <v>COMPQ</v>
      </c>
      <c r="J1723">
        <f t="shared" si="734"/>
        <v>8679</v>
      </c>
      <c r="K1723">
        <f t="shared" si="735"/>
        <v>9222</v>
      </c>
      <c r="L1723">
        <f t="shared" si="736"/>
        <v>8950.5</v>
      </c>
      <c r="M1723">
        <f t="shared" si="737"/>
        <v>271.5</v>
      </c>
      <c r="N1723">
        <f t="shared" si="727"/>
        <v>543</v>
      </c>
      <c r="O1723">
        <f t="shared" si="738"/>
        <v>9014</v>
      </c>
      <c r="P1723">
        <f t="shared" si="739"/>
        <v>0.23388581952117865</v>
      </c>
      <c r="Q1723" t="str">
        <f t="shared" si="728"/>
        <v>3.72% | 2.31%</v>
      </c>
      <c r="R1723" t="str">
        <f t="shared" si="740"/>
        <v>BULLISH</v>
      </c>
      <c r="S1723">
        <f t="shared" si="729"/>
        <v>1</v>
      </c>
    </row>
    <row r="1724" spans="1:19" hidden="1" x14ac:dyDescent="0.25">
      <c r="A1724" s="5" t="str">
        <f t="shared" si="726"/>
        <v>43969XLV</v>
      </c>
      <c r="B1724" s="6" t="s">
        <v>9</v>
      </c>
      <c r="C1724" s="6">
        <v>97.28</v>
      </c>
      <c r="D1724" s="6">
        <v>102.12</v>
      </c>
      <c r="E1724" s="6">
        <v>100.42</v>
      </c>
      <c r="F1724" t="str">
        <f t="shared" si="741"/>
        <v>MON</v>
      </c>
      <c r="G1724" s="3">
        <f t="shared" si="742"/>
        <v>43969</v>
      </c>
      <c r="H1724" s="2">
        <f t="shared" ca="1" si="732"/>
        <v>284</v>
      </c>
      <c r="I1724" t="str">
        <f t="shared" si="733"/>
        <v>XLV</v>
      </c>
      <c r="J1724">
        <f t="shared" si="734"/>
        <v>97.28</v>
      </c>
      <c r="K1724">
        <f t="shared" si="735"/>
        <v>102.12</v>
      </c>
      <c r="L1724">
        <f t="shared" si="736"/>
        <v>99.7</v>
      </c>
      <c r="M1724">
        <f t="shared" si="737"/>
        <v>2.4200000000000017</v>
      </c>
      <c r="N1724">
        <f t="shared" si="727"/>
        <v>4.8400000000000034</v>
      </c>
      <c r="O1724">
        <f t="shared" si="738"/>
        <v>100.42</v>
      </c>
      <c r="P1724">
        <f t="shared" si="739"/>
        <v>0.29752066115702414</v>
      </c>
      <c r="Q1724" t="str">
        <f t="shared" si="728"/>
        <v>3.13% | 1.69%</v>
      </c>
      <c r="R1724" t="str">
        <f t="shared" si="740"/>
        <v>BULLISH</v>
      </c>
      <c r="S1724">
        <f t="shared" si="729"/>
        <v>1</v>
      </c>
    </row>
    <row r="1725" spans="1:19" hidden="1" x14ac:dyDescent="0.25">
      <c r="A1725" s="5" t="str">
        <f t="shared" si="726"/>
        <v>43969XLK</v>
      </c>
      <c r="B1725" s="6" t="s">
        <v>10</v>
      </c>
      <c r="C1725" s="6">
        <v>89.21</v>
      </c>
      <c r="D1725" s="6">
        <v>96.01</v>
      </c>
      <c r="E1725" s="6">
        <v>93.47</v>
      </c>
      <c r="F1725" t="str">
        <f t="shared" si="741"/>
        <v>MON</v>
      </c>
      <c r="G1725" s="3">
        <f t="shared" si="742"/>
        <v>43969</v>
      </c>
      <c r="H1725" s="2">
        <f t="shared" ca="1" si="732"/>
        <v>284</v>
      </c>
      <c r="I1725" t="str">
        <f t="shared" si="733"/>
        <v>XLK</v>
      </c>
      <c r="J1725">
        <f t="shared" si="734"/>
        <v>89.21</v>
      </c>
      <c r="K1725">
        <f t="shared" si="735"/>
        <v>96.01</v>
      </c>
      <c r="L1725">
        <f t="shared" si="736"/>
        <v>92.61</v>
      </c>
      <c r="M1725">
        <f t="shared" si="737"/>
        <v>3.4000000000000057</v>
      </c>
      <c r="N1725">
        <f t="shared" si="727"/>
        <v>6.8000000000000114</v>
      </c>
      <c r="O1725">
        <f t="shared" si="738"/>
        <v>93.47</v>
      </c>
      <c r="P1725">
        <f t="shared" si="739"/>
        <v>0.25294117647058767</v>
      </c>
      <c r="Q1725" t="str">
        <f t="shared" si="728"/>
        <v>4.56% | 2.72%</v>
      </c>
      <c r="R1725" t="str">
        <f t="shared" si="740"/>
        <v>BULLISH</v>
      </c>
      <c r="S1725">
        <f t="shared" si="729"/>
        <v>1</v>
      </c>
    </row>
    <row r="1726" spans="1:19" hidden="1" x14ac:dyDescent="0.25">
      <c r="A1726" s="5" t="str">
        <f t="shared" si="726"/>
        <v>43969XLP</v>
      </c>
      <c r="B1726" s="6" t="s">
        <v>11</v>
      </c>
      <c r="C1726" s="6">
        <v>56.08</v>
      </c>
      <c r="D1726" s="6">
        <v>58.48</v>
      </c>
      <c r="E1726" s="6">
        <v>57.39</v>
      </c>
      <c r="F1726" t="str">
        <f t="shared" si="741"/>
        <v>MON</v>
      </c>
      <c r="G1726" s="3">
        <f t="shared" si="742"/>
        <v>43969</v>
      </c>
      <c r="H1726" s="2">
        <f t="shared" ca="1" si="732"/>
        <v>284</v>
      </c>
      <c r="I1726" t="str">
        <f t="shared" si="733"/>
        <v>XLP</v>
      </c>
      <c r="J1726">
        <f t="shared" si="734"/>
        <v>56.08</v>
      </c>
      <c r="K1726">
        <f t="shared" si="735"/>
        <v>58.48</v>
      </c>
      <c r="L1726">
        <f t="shared" si="736"/>
        <v>57.28</v>
      </c>
      <c r="M1726">
        <f t="shared" si="737"/>
        <v>1.1999999999999993</v>
      </c>
      <c r="N1726">
        <f t="shared" si="727"/>
        <v>2.3999999999999986</v>
      </c>
      <c r="O1726">
        <f t="shared" si="738"/>
        <v>57.39</v>
      </c>
      <c r="P1726">
        <f t="shared" si="739"/>
        <v>9.1666666666666244E-2</v>
      </c>
      <c r="Q1726" t="str">
        <f t="shared" si="728"/>
        <v>2.28% | 1.9%</v>
      </c>
      <c r="R1726" t="str">
        <f t="shared" si="740"/>
        <v>BEARISH</v>
      </c>
      <c r="S1726">
        <f t="shared" si="729"/>
        <v>-1</v>
      </c>
    </row>
    <row r="1727" spans="1:19" hidden="1" x14ac:dyDescent="0.25">
      <c r="A1727" s="5" t="str">
        <f t="shared" si="726"/>
        <v>43969XLF</v>
      </c>
      <c r="B1727" s="6" t="s">
        <v>12</v>
      </c>
      <c r="C1727" s="6">
        <v>20.329999999999998</v>
      </c>
      <c r="D1727" s="6">
        <v>22.43</v>
      </c>
      <c r="E1727" s="6">
        <v>21.05</v>
      </c>
      <c r="F1727" t="str">
        <f t="shared" si="741"/>
        <v>MON</v>
      </c>
      <c r="G1727" s="3">
        <f t="shared" si="742"/>
        <v>43969</v>
      </c>
      <c r="H1727" s="2">
        <f t="shared" ca="1" si="732"/>
        <v>284</v>
      </c>
      <c r="I1727" t="str">
        <f t="shared" si="733"/>
        <v>XLF</v>
      </c>
      <c r="J1727">
        <f t="shared" si="734"/>
        <v>20.329999999999998</v>
      </c>
      <c r="K1727">
        <f t="shared" si="735"/>
        <v>22.43</v>
      </c>
      <c r="L1727">
        <f t="shared" si="736"/>
        <v>21.38</v>
      </c>
      <c r="M1727">
        <f t="shared" si="737"/>
        <v>1.0500000000000007</v>
      </c>
      <c r="N1727">
        <f t="shared" si="727"/>
        <v>2.1000000000000014</v>
      </c>
      <c r="O1727">
        <f t="shared" si="738"/>
        <v>21.05</v>
      </c>
      <c r="P1727">
        <f t="shared" si="739"/>
        <v>-0.31428571428571245</v>
      </c>
      <c r="Q1727" t="str">
        <f t="shared" si="728"/>
        <v>3.42% | 6.56%</v>
      </c>
      <c r="R1727" t="str">
        <f t="shared" si="740"/>
        <v>BEARISH</v>
      </c>
      <c r="S1727">
        <f t="shared" si="729"/>
        <v>-1</v>
      </c>
    </row>
    <row r="1728" spans="1:19" hidden="1" x14ac:dyDescent="0.25">
      <c r="A1728" s="5" t="str">
        <f t="shared" si="726"/>
        <v>43969XLI</v>
      </c>
      <c r="B1728" s="6" t="s">
        <v>13</v>
      </c>
      <c r="C1728" s="6">
        <v>58.13</v>
      </c>
      <c r="D1728" s="6">
        <v>63.53</v>
      </c>
      <c r="E1728" s="6">
        <v>59.46</v>
      </c>
      <c r="F1728" t="str">
        <f t="shared" si="741"/>
        <v>MON</v>
      </c>
      <c r="G1728" s="3">
        <f t="shared" si="742"/>
        <v>43969</v>
      </c>
      <c r="H1728" s="2">
        <f t="shared" ca="1" si="732"/>
        <v>284</v>
      </c>
      <c r="I1728" t="str">
        <f t="shared" si="733"/>
        <v>XLI</v>
      </c>
      <c r="J1728">
        <f t="shared" si="734"/>
        <v>58.13</v>
      </c>
      <c r="K1728">
        <f t="shared" si="735"/>
        <v>63.53</v>
      </c>
      <c r="L1728">
        <f t="shared" si="736"/>
        <v>60.83</v>
      </c>
      <c r="M1728">
        <f t="shared" si="737"/>
        <v>2.6999999999999993</v>
      </c>
      <c r="N1728">
        <f t="shared" si="727"/>
        <v>5.3999999999999986</v>
      </c>
      <c r="O1728">
        <f t="shared" si="738"/>
        <v>59.46</v>
      </c>
      <c r="P1728">
        <f t="shared" si="739"/>
        <v>-0.50740740740740664</v>
      </c>
      <c r="Q1728" t="str">
        <f t="shared" si="728"/>
        <v>2.24% | 6.84%</v>
      </c>
      <c r="R1728" t="str">
        <f t="shared" si="740"/>
        <v>BEARISH</v>
      </c>
      <c r="S1728">
        <f t="shared" si="729"/>
        <v>-1</v>
      </c>
    </row>
    <row r="1729" spans="1:19" hidden="1" x14ac:dyDescent="0.25">
      <c r="A1729" s="5" t="str">
        <f t="shared" si="726"/>
        <v>43969SSEC</v>
      </c>
      <c r="B1729" s="6" t="s">
        <v>14</v>
      </c>
      <c r="C1729" s="6">
        <v>2851</v>
      </c>
      <c r="D1729" s="6">
        <v>2904</v>
      </c>
      <c r="E1729" s="6">
        <v>2875</v>
      </c>
      <c r="F1729" t="str">
        <f t="shared" si="741"/>
        <v>MON</v>
      </c>
      <c r="G1729" s="3">
        <f t="shared" si="742"/>
        <v>43969</v>
      </c>
      <c r="H1729" s="2">
        <f t="shared" ca="1" si="732"/>
        <v>284</v>
      </c>
      <c r="I1729" t="str">
        <f t="shared" si="733"/>
        <v>SSEC</v>
      </c>
      <c r="J1729">
        <f t="shared" si="734"/>
        <v>2851</v>
      </c>
      <c r="K1729">
        <f t="shared" si="735"/>
        <v>2904</v>
      </c>
      <c r="L1729">
        <f t="shared" si="736"/>
        <v>2877.5</v>
      </c>
      <c r="M1729">
        <f t="shared" si="737"/>
        <v>26.5</v>
      </c>
      <c r="N1729">
        <f t="shared" si="727"/>
        <v>53</v>
      </c>
      <c r="O1729">
        <f t="shared" si="738"/>
        <v>2875</v>
      </c>
      <c r="P1729">
        <f t="shared" si="739"/>
        <v>-9.4339622641509441E-2</v>
      </c>
      <c r="Q1729" t="str">
        <f t="shared" si="728"/>
        <v>0.83% | 1.01%</v>
      </c>
      <c r="R1729" t="str">
        <f t="shared" si="740"/>
        <v>BEARISH</v>
      </c>
      <c r="S1729">
        <f t="shared" si="729"/>
        <v>-1</v>
      </c>
    </row>
    <row r="1730" spans="1:19" hidden="1" x14ac:dyDescent="0.25">
      <c r="A1730" s="5" t="str">
        <f t="shared" si="726"/>
        <v>43969NIKK</v>
      </c>
      <c r="B1730" s="6" t="s">
        <v>15</v>
      </c>
      <c r="C1730" s="6">
        <v>19507</v>
      </c>
      <c r="D1730" s="6">
        <v>20468</v>
      </c>
      <c r="E1730" s="6">
        <v>20133</v>
      </c>
      <c r="F1730" t="str">
        <f t="shared" si="741"/>
        <v>MON</v>
      </c>
      <c r="G1730" s="3">
        <f t="shared" si="742"/>
        <v>43969</v>
      </c>
      <c r="H1730" s="2">
        <f t="shared" ca="1" si="732"/>
        <v>284</v>
      </c>
      <c r="I1730" t="str">
        <f t="shared" si="733"/>
        <v>NIKK</v>
      </c>
      <c r="J1730">
        <f t="shared" si="734"/>
        <v>19507</v>
      </c>
      <c r="K1730">
        <f t="shared" si="735"/>
        <v>20468</v>
      </c>
      <c r="L1730">
        <f t="shared" si="736"/>
        <v>19987.5</v>
      </c>
      <c r="M1730">
        <f t="shared" si="737"/>
        <v>480.5</v>
      </c>
      <c r="N1730">
        <f t="shared" si="727"/>
        <v>961</v>
      </c>
      <c r="O1730">
        <f t="shared" si="738"/>
        <v>20133</v>
      </c>
      <c r="P1730">
        <f t="shared" si="739"/>
        <v>0.30280957336108222</v>
      </c>
      <c r="Q1730" t="str">
        <f t="shared" si="728"/>
        <v>3.11% | 1.66%</v>
      </c>
      <c r="R1730" t="str">
        <f t="shared" si="740"/>
        <v>BEARISH</v>
      </c>
      <c r="S1730">
        <f t="shared" si="729"/>
        <v>-1</v>
      </c>
    </row>
    <row r="1731" spans="1:19" hidden="1" x14ac:dyDescent="0.25">
      <c r="A1731" s="5" t="str">
        <f t="shared" ref="A1731:A1794" si="743">G1731&amp;I1731</f>
        <v>43969DAX</v>
      </c>
      <c r="B1731" s="6" t="s">
        <v>16</v>
      </c>
      <c r="C1731" s="6">
        <v>10300</v>
      </c>
      <c r="D1731" s="6">
        <v>11003</v>
      </c>
      <c r="E1731" s="6">
        <v>10458</v>
      </c>
      <c r="F1731" t="str">
        <f t="shared" si="741"/>
        <v>MON</v>
      </c>
      <c r="G1731" s="3">
        <f t="shared" si="742"/>
        <v>43969</v>
      </c>
      <c r="H1731" s="2">
        <f t="shared" ca="1" si="732"/>
        <v>284</v>
      </c>
      <c r="I1731" t="str">
        <f t="shared" si="733"/>
        <v>DAX</v>
      </c>
      <c r="J1731">
        <f t="shared" si="734"/>
        <v>10300</v>
      </c>
      <c r="K1731">
        <f t="shared" si="735"/>
        <v>11003</v>
      </c>
      <c r="L1731">
        <f t="shared" si="736"/>
        <v>10651.5</v>
      </c>
      <c r="M1731">
        <f t="shared" si="737"/>
        <v>351.5</v>
      </c>
      <c r="N1731">
        <f t="shared" ref="N1731:N1794" si="744">ABS(K1731-J1731)</f>
        <v>703</v>
      </c>
      <c r="O1731">
        <f t="shared" si="738"/>
        <v>10458</v>
      </c>
      <c r="P1731">
        <f t="shared" si="739"/>
        <v>-0.55049786628733999</v>
      </c>
      <c r="Q1731" t="str">
        <f t="shared" ref="Q1731:Q1794" si="745">ROUND(ABS(100*(O1731-J1731)/O1731),2)&amp;"% | "&amp;ROUND(ABS(100*(K1731-O1731)/O1731),2)&amp;"%"</f>
        <v>1.51% | 5.21%</v>
      </c>
      <c r="R1731" t="str">
        <f t="shared" si="740"/>
        <v>BEARISH</v>
      </c>
      <c r="S1731">
        <f t="shared" ref="S1731:S1794" si="746">IF(R1731="BEARISH",-1,IF(R1731="NEUTRAL",0,IF(R1731="BULLISH",1,99)))</f>
        <v>-1</v>
      </c>
    </row>
    <row r="1732" spans="1:19" hidden="1" x14ac:dyDescent="0.25">
      <c r="A1732" s="5" t="str">
        <f t="shared" si="743"/>
        <v>43969VIX</v>
      </c>
      <c r="B1732" s="6" t="s">
        <v>17</v>
      </c>
      <c r="C1732" s="6">
        <v>27.09</v>
      </c>
      <c r="D1732" s="6">
        <v>38.89</v>
      </c>
      <c r="E1732" s="6">
        <v>31.89</v>
      </c>
      <c r="F1732" t="str">
        <f t="shared" si="741"/>
        <v>MON</v>
      </c>
      <c r="G1732" s="3">
        <f t="shared" si="742"/>
        <v>43969</v>
      </c>
      <c r="H1732" s="2">
        <f t="shared" ca="1" si="732"/>
        <v>284</v>
      </c>
      <c r="I1732" t="str">
        <f t="shared" si="733"/>
        <v>VIX</v>
      </c>
      <c r="J1732">
        <f t="shared" si="734"/>
        <v>27.09</v>
      </c>
      <c r="K1732">
        <f t="shared" si="735"/>
        <v>38.89</v>
      </c>
      <c r="L1732">
        <f t="shared" si="736"/>
        <v>32.99</v>
      </c>
      <c r="M1732">
        <f t="shared" si="737"/>
        <v>5.899999999999995</v>
      </c>
      <c r="N1732">
        <f t="shared" si="744"/>
        <v>11.8</v>
      </c>
      <c r="O1732">
        <f t="shared" si="738"/>
        <v>31.89</v>
      </c>
      <c r="P1732">
        <f t="shared" si="739"/>
        <v>-0.18644067796610209</v>
      </c>
      <c r="Q1732" t="str">
        <f t="shared" si="745"/>
        <v>15.05% | 21.95%</v>
      </c>
      <c r="R1732" t="str">
        <f t="shared" si="740"/>
        <v>BULLISH</v>
      </c>
      <c r="S1732">
        <f t="shared" si="746"/>
        <v>1</v>
      </c>
    </row>
    <row r="1733" spans="1:19" hidden="1" x14ac:dyDescent="0.25">
      <c r="A1733" s="5" t="str">
        <f t="shared" si="743"/>
        <v>43969USD</v>
      </c>
      <c r="B1733" s="6" t="s">
        <v>18</v>
      </c>
      <c r="C1733" s="6">
        <v>99.4</v>
      </c>
      <c r="D1733" s="6">
        <v>100.94</v>
      </c>
      <c r="E1733" s="6">
        <v>100.43</v>
      </c>
      <c r="F1733" t="str">
        <f t="shared" si="741"/>
        <v>MON</v>
      </c>
      <c r="G1733" s="3">
        <f t="shared" si="742"/>
        <v>43969</v>
      </c>
      <c r="H1733" s="2">
        <f t="shared" ca="1" si="732"/>
        <v>284</v>
      </c>
      <c r="I1733" t="str">
        <f t="shared" si="733"/>
        <v>USD</v>
      </c>
      <c r="J1733">
        <f t="shared" si="734"/>
        <v>99.4</v>
      </c>
      <c r="K1733">
        <f t="shared" si="735"/>
        <v>100.94</v>
      </c>
      <c r="L1733">
        <f t="shared" si="736"/>
        <v>100.17</v>
      </c>
      <c r="M1733">
        <f t="shared" si="737"/>
        <v>0.76999999999999602</v>
      </c>
      <c r="N1733">
        <f t="shared" si="744"/>
        <v>1.539999999999992</v>
      </c>
      <c r="O1733">
        <f t="shared" si="738"/>
        <v>100.43</v>
      </c>
      <c r="P1733">
        <f t="shared" si="739"/>
        <v>0.33766233766234605</v>
      </c>
      <c r="Q1733" t="str">
        <f t="shared" si="745"/>
        <v>1.03% | 0.51%</v>
      </c>
      <c r="R1733" t="str">
        <f t="shared" si="740"/>
        <v>BULLISH</v>
      </c>
      <c r="S1733">
        <f t="shared" si="746"/>
        <v>1</v>
      </c>
    </row>
    <row r="1734" spans="1:19" hidden="1" x14ac:dyDescent="0.25">
      <c r="A1734" s="5" t="str">
        <f t="shared" si="743"/>
        <v>43969EUR/USD</v>
      </c>
      <c r="B1734" s="6" t="s">
        <v>19</v>
      </c>
      <c r="C1734" s="6">
        <v>1.07</v>
      </c>
      <c r="D1734" s="6">
        <v>1.0900000000000001</v>
      </c>
      <c r="E1734" s="6">
        <v>1.08</v>
      </c>
      <c r="F1734" t="str">
        <f t="shared" si="741"/>
        <v>MON</v>
      </c>
      <c r="G1734" s="3">
        <f t="shared" si="742"/>
        <v>43969</v>
      </c>
      <c r="H1734" s="2">
        <f t="shared" ca="1" si="732"/>
        <v>284</v>
      </c>
      <c r="I1734" t="str">
        <f t="shared" si="733"/>
        <v>EUR/USD</v>
      </c>
      <c r="J1734">
        <f t="shared" si="734"/>
        <v>1.07</v>
      </c>
      <c r="K1734">
        <f t="shared" si="735"/>
        <v>1.0900000000000001</v>
      </c>
      <c r="L1734">
        <f t="shared" si="736"/>
        <v>1.08</v>
      </c>
      <c r="M1734">
        <f t="shared" si="737"/>
        <v>1.0000000000000009E-2</v>
      </c>
      <c r="N1734">
        <f t="shared" si="744"/>
        <v>2.0000000000000018E-2</v>
      </c>
      <c r="O1734">
        <f t="shared" si="738"/>
        <v>1.08</v>
      </c>
      <c r="P1734">
        <f t="shared" si="739"/>
        <v>0</v>
      </c>
      <c r="Q1734" t="str">
        <f t="shared" si="745"/>
        <v>0.93% | 0.93%</v>
      </c>
      <c r="R1734" t="str">
        <f t="shared" si="740"/>
        <v>BEARISH</v>
      </c>
      <c r="S1734">
        <f t="shared" si="746"/>
        <v>-1</v>
      </c>
    </row>
    <row r="1735" spans="1:19" hidden="1" x14ac:dyDescent="0.25">
      <c r="A1735" s="5" t="str">
        <f t="shared" si="743"/>
        <v>43969USD/JPY</v>
      </c>
      <c r="B1735" s="6" t="s">
        <v>20</v>
      </c>
      <c r="C1735" s="6">
        <v>105.82</v>
      </c>
      <c r="D1735" s="6">
        <v>107.98</v>
      </c>
      <c r="E1735" s="6">
        <v>107.18</v>
      </c>
      <c r="F1735" t="str">
        <f t="shared" si="741"/>
        <v>MON</v>
      </c>
      <c r="G1735" s="3">
        <f t="shared" si="742"/>
        <v>43969</v>
      </c>
      <c r="H1735" s="2">
        <f t="shared" ca="1" si="732"/>
        <v>284</v>
      </c>
      <c r="I1735" t="str">
        <f t="shared" si="733"/>
        <v>USD/JPY</v>
      </c>
      <c r="J1735">
        <f t="shared" si="734"/>
        <v>105.82</v>
      </c>
      <c r="K1735">
        <f t="shared" si="735"/>
        <v>107.98</v>
      </c>
      <c r="L1735">
        <f t="shared" si="736"/>
        <v>106.9</v>
      </c>
      <c r="M1735">
        <f t="shared" si="737"/>
        <v>1.0800000000000054</v>
      </c>
      <c r="N1735">
        <f t="shared" si="744"/>
        <v>2.1600000000000108</v>
      </c>
      <c r="O1735">
        <f t="shared" si="738"/>
        <v>107.18</v>
      </c>
      <c r="P1735">
        <f t="shared" si="739"/>
        <v>0.25925925925925902</v>
      </c>
      <c r="Q1735" t="str">
        <f t="shared" si="745"/>
        <v>1.27% | 0.75%</v>
      </c>
      <c r="R1735" t="str">
        <f t="shared" si="740"/>
        <v>BEARISH</v>
      </c>
      <c r="S1735">
        <f t="shared" si="746"/>
        <v>-1</v>
      </c>
    </row>
    <row r="1736" spans="1:19" hidden="1" x14ac:dyDescent="0.25">
      <c r="A1736" s="5" t="str">
        <f t="shared" si="743"/>
        <v>43969GBP/USD</v>
      </c>
      <c r="B1736" s="6" t="s">
        <v>21</v>
      </c>
      <c r="C1736" s="6">
        <v>1.21</v>
      </c>
      <c r="D1736" s="6">
        <v>1.23</v>
      </c>
      <c r="E1736" s="6">
        <v>1.21</v>
      </c>
      <c r="F1736" t="str">
        <f t="shared" si="741"/>
        <v>MON</v>
      </c>
      <c r="G1736" s="3">
        <f t="shared" si="742"/>
        <v>43969</v>
      </c>
      <c r="H1736" s="2">
        <f t="shared" ca="1" si="732"/>
        <v>284</v>
      </c>
      <c r="I1736" t="str">
        <f t="shared" si="733"/>
        <v>GBP/USD</v>
      </c>
      <c r="J1736">
        <f t="shared" si="734"/>
        <v>1.21</v>
      </c>
      <c r="K1736">
        <f t="shared" si="735"/>
        <v>1.23</v>
      </c>
      <c r="L1736">
        <f t="shared" si="736"/>
        <v>1.22</v>
      </c>
      <c r="M1736">
        <f t="shared" si="737"/>
        <v>1.0000000000000009E-2</v>
      </c>
      <c r="N1736">
        <f t="shared" si="744"/>
        <v>2.0000000000000018E-2</v>
      </c>
      <c r="O1736">
        <f t="shared" si="738"/>
        <v>1.21</v>
      </c>
      <c r="P1736">
        <f t="shared" si="739"/>
        <v>-1</v>
      </c>
      <c r="Q1736" t="str">
        <f t="shared" si="745"/>
        <v>0% | 1.65%</v>
      </c>
      <c r="R1736" t="str">
        <f t="shared" si="740"/>
        <v>BEARISH</v>
      </c>
      <c r="S1736">
        <f t="shared" si="746"/>
        <v>-1</v>
      </c>
    </row>
    <row r="1737" spans="1:19" hidden="1" x14ac:dyDescent="0.25">
      <c r="A1737" s="5" t="str">
        <f t="shared" si="743"/>
        <v>43969USD/CHF</v>
      </c>
      <c r="B1737" s="6" t="s">
        <v>22</v>
      </c>
      <c r="C1737" s="6">
        <v>0.96</v>
      </c>
      <c r="D1737" s="6">
        <v>0.98</v>
      </c>
      <c r="E1737" s="6">
        <v>0.97</v>
      </c>
      <c r="F1737" t="str">
        <f t="shared" si="741"/>
        <v>MON</v>
      </c>
      <c r="G1737" s="3">
        <f t="shared" si="742"/>
        <v>43969</v>
      </c>
      <c r="H1737" s="2">
        <f t="shared" ca="1" si="732"/>
        <v>284</v>
      </c>
      <c r="I1737" t="str">
        <f t="shared" si="733"/>
        <v>USD/CHF</v>
      </c>
      <c r="J1737">
        <f t="shared" si="734"/>
        <v>0.96</v>
      </c>
      <c r="K1737">
        <f t="shared" si="735"/>
        <v>0.98</v>
      </c>
      <c r="L1737">
        <f t="shared" si="736"/>
        <v>0.97</v>
      </c>
      <c r="M1737">
        <f t="shared" si="737"/>
        <v>1.0000000000000009E-2</v>
      </c>
      <c r="N1737">
        <f t="shared" si="744"/>
        <v>2.0000000000000018E-2</v>
      </c>
      <c r="O1737">
        <f t="shared" si="738"/>
        <v>0.97</v>
      </c>
      <c r="P1737">
        <f t="shared" si="739"/>
        <v>0</v>
      </c>
      <c r="Q1737" t="str">
        <f t="shared" si="745"/>
        <v>1.03% | 1.03%</v>
      </c>
      <c r="R1737" t="str">
        <f t="shared" si="740"/>
        <v>NEUTRAL</v>
      </c>
      <c r="S1737">
        <f t="shared" si="746"/>
        <v>0</v>
      </c>
    </row>
    <row r="1738" spans="1:19" hidden="1" x14ac:dyDescent="0.25">
      <c r="A1738" s="5" t="str">
        <f t="shared" si="743"/>
        <v>43969WTIC</v>
      </c>
      <c r="B1738" s="6" t="s">
        <v>23</v>
      </c>
      <c r="C1738" s="6">
        <v>23.79</v>
      </c>
      <c r="D1738" s="6">
        <v>32.01</v>
      </c>
      <c r="E1738" s="6">
        <v>29.52</v>
      </c>
      <c r="F1738" t="str">
        <f t="shared" si="741"/>
        <v>MON</v>
      </c>
      <c r="G1738" s="3">
        <f t="shared" si="742"/>
        <v>43969</v>
      </c>
      <c r="H1738" s="2">
        <f t="shared" ca="1" si="732"/>
        <v>284</v>
      </c>
      <c r="I1738" t="str">
        <f t="shared" si="733"/>
        <v>WTIC</v>
      </c>
      <c r="J1738">
        <f t="shared" si="734"/>
        <v>23.79</v>
      </c>
      <c r="K1738">
        <f t="shared" si="735"/>
        <v>32.01</v>
      </c>
      <c r="L1738">
        <f t="shared" si="736"/>
        <v>27.9</v>
      </c>
      <c r="M1738">
        <f t="shared" si="737"/>
        <v>4.1099999999999897</v>
      </c>
      <c r="N1738">
        <f t="shared" si="744"/>
        <v>8.2199999999999989</v>
      </c>
      <c r="O1738">
        <f t="shared" si="738"/>
        <v>29.52</v>
      </c>
      <c r="P1738">
        <f t="shared" si="739"/>
        <v>0.39416058394160708</v>
      </c>
      <c r="Q1738" t="str">
        <f t="shared" si="745"/>
        <v>19.41% | 8.43%</v>
      </c>
      <c r="R1738" t="str">
        <f t="shared" si="740"/>
        <v>BEARISH</v>
      </c>
      <c r="S1738">
        <f t="shared" si="746"/>
        <v>-1</v>
      </c>
    </row>
    <row r="1739" spans="1:19" hidden="1" x14ac:dyDescent="0.25">
      <c r="A1739" s="5" t="str">
        <f t="shared" si="743"/>
        <v>43969NATGAS</v>
      </c>
      <c r="B1739" s="6" t="s">
        <v>24</v>
      </c>
      <c r="C1739" s="6">
        <v>1.48</v>
      </c>
      <c r="D1739" s="6">
        <v>1.83</v>
      </c>
      <c r="E1739" s="6">
        <v>1.65</v>
      </c>
      <c r="F1739" t="str">
        <f t="shared" si="741"/>
        <v>MON</v>
      </c>
      <c r="G1739" s="3">
        <f t="shared" si="742"/>
        <v>43969</v>
      </c>
      <c r="H1739" s="2">
        <f t="shared" ca="1" si="732"/>
        <v>284</v>
      </c>
      <c r="I1739" t="str">
        <f t="shared" si="733"/>
        <v>NATGAS</v>
      </c>
      <c r="J1739">
        <f t="shared" si="734"/>
        <v>1.48</v>
      </c>
      <c r="K1739">
        <f t="shared" si="735"/>
        <v>1.83</v>
      </c>
      <c r="L1739">
        <f t="shared" si="736"/>
        <v>1.655</v>
      </c>
      <c r="M1739">
        <f t="shared" si="737"/>
        <v>0.17500000000000035</v>
      </c>
      <c r="N1739">
        <f t="shared" si="744"/>
        <v>0.35000000000000009</v>
      </c>
      <c r="O1739">
        <f t="shared" si="738"/>
        <v>1.65</v>
      </c>
      <c r="P1739">
        <f t="shared" si="739"/>
        <v>-2.8571428571429174E-2</v>
      </c>
      <c r="Q1739" t="str">
        <f t="shared" si="745"/>
        <v>10.3% | 10.91%</v>
      </c>
      <c r="R1739" t="str">
        <f t="shared" si="740"/>
        <v>BEARISH</v>
      </c>
      <c r="S1739">
        <f t="shared" si="746"/>
        <v>-1</v>
      </c>
    </row>
    <row r="1740" spans="1:19" hidden="1" x14ac:dyDescent="0.25">
      <c r="A1740" s="5" t="str">
        <f t="shared" si="743"/>
        <v>43969GOLD</v>
      </c>
      <c r="B1740" s="6" t="s">
        <v>25</v>
      </c>
      <c r="C1740" s="6">
        <v>1707</v>
      </c>
      <c r="D1740" s="6">
        <v>1777</v>
      </c>
      <c r="E1740" s="6">
        <v>1756</v>
      </c>
      <c r="F1740" t="str">
        <f t="shared" si="741"/>
        <v>MON</v>
      </c>
      <c r="G1740" s="3">
        <f t="shared" si="742"/>
        <v>43969</v>
      </c>
      <c r="H1740" s="2">
        <f t="shared" ca="1" si="732"/>
        <v>284</v>
      </c>
      <c r="I1740" t="str">
        <f t="shared" si="733"/>
        <v>GOLD</v>
      </c>
      <c r="J1740">
        <f t="shared" si="734"/>
        <v>1707</v>
      </c>
      <c r="K1740">
        <f t="shared" si="735"/>
        <v>1777</v>
      </c>
      <c r="L1740">
        <f t="shared" si="736"/>
        <v>1742</v>
      </c>
      <c r="M1740">
        <f t="shared" si="737"/>
        <v>35</v>
      </c>
      <c r="N1740">
        <f t="shared" si="744"/>
        <v>70</v>
      </c>
      <c r="O1740">
        <f t="shared" si="738"/>
        <v>1756</v>
      </c>
      <c r="P1740">
        <f t="shared" si="739"/>
        <v>0.4</v>
      </c>
      <c r="Q1740" t="str">
        <f t="shared" si="745"/>
        <v>2.79% | 1.2%</v>
      </c>
      <c r="R1740" t="str">
        <f t="shared" si="740"/>
        <v>BULLISH</v>
      </c>
      <c r="S1740">
        <f t="shared" si="746"/>
        <v>1</v>
      </c>
    </row>
    <row r="1741" spans="1:19" hidden="1" x14ac:dyDescent="0.25">
      <c r="A1741" s="5" t="str">
        <f t="shared" si="743"/>
        <v>43969COPPER</v>
      </c>
      <c r="B1741" s="6" t="s">
        <v>26</v>
      </c>
      <c r="C1741" s="6">
        <v>2.3199999999999998</v>
      </c>
      <c r="D1741" s="6">
        <v>2.42</v>
      </c>
      <c r="E1741" s="6">
        <v>2.33</v>
      </c>
      <c r="F1741" t="str">
        <f t="shared" si="741"/>
        <v>MON</v>
      </c>
      <c r="G1741" s="3">
        <f t="shared" si="742"/>
        <v>43969</v>
      </c>
      <c r="H1741" s="2">
        <f t="shared" ca="1" si="732"/>
        <v>284</v>
      </c>
      <c r="I1741" t="str">
        <f t="shared" si="733"/>
        <v>COPPER</v>
      </c>
      <c r="J1741">
        <f t="shared" si="734"/>
        <v>2.3199999999999998</v>
      </c>
      <c r="K1741">
        <f t="shared" si="735"/>
        <v>2.42</v>
      </c>
      <c r="L1741">
        <f t="shared" si="736"/>
        <v>2.37</v>
      </c>
      <c r="M1741">
        <f t="shared" si="737"/>
        <v>5.0000000000000044E-2</v>
      </c>
      <c r="N1741">
        <f t="shared" si="744"/>
        <v>0.10000000000000009</v>
      </c>
      <c r="O1741">
        <f t="shared" si="738"/>
        <v>2.33</v>
      </c>
      <c r="P1741">
        <f t="shared" si="739"/>
        <v>-0.8</v>
      </c>
      <c r="Q1741" t="str">
        <f t="shared" si="745"/>
        <v>0.43% | 3.86%</v>
      </c>
      <c r="R1741" t="str">
        <f t="shared" si="740"/>
        <v>BEARISH</v>
      </c>
      <c r="S1741">
        <f t="shared" si="746"/>
        <v>-1</v>
      </c>
    </row>
    <row r="1742" spans="1:19" hidden="1" x14ac:dyDescent="0.25">
      <c r="A1742" s="5" t="str">
        <f t="shared" si="743"/>
        <v>43969MSFT</v>
      </c>
      <c r="B1742" s="6" t="s">
        <v>27</v>
      </c>
      <c r="C1742" s="6">
        <v>177</v>
      </c>
      <c r="D1742" s="6">
        <v>187</v>
      </c>
      <c r="E1742" s="6">
        <v>183</v>
      </c>
      <c r="F1742" t="str">
        <f t="shared" si="741"/>
        <v>MON</v>
      </c>
      <c r="G1742" s="3">
        <f t="shared" si="742"/>
        <v>43969</v>
      </c>
      <c r="H1742" s="2">
        <f t="shared" ca="1" si="732"/>
        <v>284</v>
      </c>
      <c r="I1742" t="str">
        <f t="shared" si="733"/>
        <v>MSFT</v>
      </c>
      <c r="J1742">
        <f t="shared" si="734"/>
        <v>177</v>
      </c>
      <c r="K1742">
        <f t="shared" si="735"/>
        <v>187</v>
      </c>
      <c r="L1742">
        <f t="shared" si="736"/>
        <v>182</v>
      </c>
      <c r="M1742">
        <f t="shared" si="737"/>
        <v>5</v>
      </c>
      <c r="N1742">
        <f t="shared" si="744"/>
        <v>10</v>
      </c>
      <c r="O1742">
        <f t="shared" si="738"/>
        <v>183</v>
      </c>
      <c r="P1742">
        <f t="shared" si="739"/>
        <v>0.2</v>
      </c>
      <c r="Q1742" t="str">
        <f t="shared" si="745"/>
        <v>3.28% | 2.19%</v>
      </c>
      <c r="R1742" t="str">
        <f t="shared" si="740"/>
        <v>BULLISH</v>
      </c>
      <c r="S1742">
        <f t="shared" si="746"/>
        <v>1</v>
      </c>
    </row>
    <row r="1743" spans="1:19" hidden="1" x14ac:dyDescent="0.25">
      <c r="A1743" s="5" t="str">
        <f t="shared" si="743"/>
        <v>43969AAPL</v>
      </c>
      <c r="B1743" s="6" t="s">
        <v>28</v>
      </c>
      <c r="C1743" s="6">
        <v>293</v>
      </c>
      <c r="D1743" s="6">
        <v>318</v>
      </c>
      <c r="E1743" s="6">
        <v>307</v>
      </c>
      <c r="F1743" t="str">
        <f t="shared" si="741"/>
        <v>MON</v>
      </c>
      <c r="G1743" s="3">
        <f t="shared" si="742"/>
        <v>43969</v>
      </c>
      <c r="H1743" s="2">
        <f t="shared" ca="1" si="732"/>
        <v>284</v>
      </c>
      <c r="I1743" t="str">
        <f t="shared" si="733"/>
        <v>AAPL</v>
      </c>
      <c r="J1743">
        <f t="shared" si="734"/>
        <v>293</v>
      </c>
      <c r="K1743">
        <f t="shared" si="735"/>
        <v>318</v>
      </c>
      <c r="L1743">
        <f t="shared" si="736"/>
        <v>305.5</v>
      </c>
      <c r="M1743">
        <f t="shared" si="737"/>
        <v>12.5</v>
      </c>
      <c r="N1743">
        <f t="shared" si="744"/>
        <v>25</v>
      </c>
      <c r="O1743">
        <f t="shared" si="738"/>
        <v>307</v>
      </c>
      <c r="P1743">
        <f t="shared" si="739"/>
        <v>0.12</v>
      </c>
      <c r="Q1743" t="str">
        <f t="shared" si="745"/>
        <v>4.56% | 3.58%</v>
      </c>
      <c r="R1743" t="str">
        <f t="shared" si="740"/>
        <v>BULLISH</v>
      </c>
      <c r="S1743">
        <f t="shared" si="746"/>
        <v>1</v>
      </c>
    </row>
    <row r="1744" spans="1:19" hidden="1" x14ac:dyDescent="0.25">
      <c r="A1744" s="5" t="str">
        <f t="shared" si="743"/>
        <v>43969AMZN</v>
      </c>
      <c r="B1744" s="6" t="s">
        <v>29</v>
      </c>
      <c r="C1744" s="6">
        <v>2299</v>
      </c>
      <c r="D1744" s="6">
        <v>2436</v>
      </c>
      <c r="E1744" s="6">
        <v>2409</v>
      </c>
      <c r="F1744" t="str">
        <f t="shared" si="741"/>
        <v>MON</v>
      </c>
      <c r="G1744" s="3">
        <f t="shared" si="742"/>
        <v>43969</v>
      </c>
      <c r="H1744" s="2">
        <f t="shared" ca="1" si="732"/>
        <v>284</v>
      </c>
      <c r="I1744" t="str">
        <f t="shared" si="733"/>
        <v>AMZN</v>
      </c>
      <c r="J1744">
        <f t="shared" si="734"/>
        <v>2299</v>
      </c>
      <c r="K1744">
        <f t="shared" si="735"/>
        <v>2436</v>
      </c>
      <c r="L1744">
        <f t="shared" si="736"/>
        <v>2367.5</v>
      </c>
      <c r="M1744">
        <f t="shared" si="737"/>
        <v>68.5</v>
      </c>
      <c r="N1744">
        <f t="shared" si="744"/>
        <v>137</v>
      </c>
      <c r="O1744">
        <f t="shared" si="738"/>
        <v>2409</v>
      </c>
      <c r="P1744">
        <f t="shared" si="739"/>
        <v>0.6058394160583942</v>
      </c>
      <c r="Q1744" t="str">
        <f t="shared" si="745"/>
        <v>4.57% | 1.12%</v>
      </c>
      <c r="R1744" t="str">
        <f t="shared" si="740"/>
        <v>BULLISH</v>
      </c>
      <c r="S1744">
        <f t="shared" si="746"/>
        <v>1</v>
      </c>
    </row>
    <row r="1745" spans="1:19" hidden="1" x14ac:dyDescent="0.25">
      <c r="A1745" s="5" t="str">
        <f t="shared" si="743"/>
        <v>43969FB</v>
      </c>
      <c r="B1745" s="6" t="s">
        <v>30</v>
      </c>
      <c r="C1745" s="6">
        <v>200</v>
      </c>
      <c r="D1745" s="6">
        <v>217</v>
      </c>
      <c r="E1745" s="6">
        <v>210</v>
      </c>
      <c r="F1745" t="str">
        <f t="shared" si="741"/>
        <v>MON</v>
      </c>
      <c r="G1745" s="3">
        <f t="shared" si="742"/>
        <v>43969</v>
      </c>
      <c r="H1745" s="2">
        <f t="shared" ca="1" si="732"/>
        <v>284</v>
      </c>
      <c r="I1745" t="str">
        <f t="shared" si="733"/>
        <v>FB</v>
      </c>
      <c r="J1745">
        <f t="shared" si="734"/>
        <v>200</v>
      </c>
      <c r="K1745">
        <f t="shared" si="735"/>
        <v>217</v>
      </c>
      <c r="L1745">
        <f t="shared" si="736"/>
        <v>208.5</v>
      </c>
      <c r="M1745">
        <f t="shared" si="737"/>
        <v>8.5</v>
      </c>
      <c r="N1745">
        <f t="shared" si="744"/>
        <v>17</v>
      </c>
      <c r="O1745">
        <f t="shared" si="738"/>
        <v>210</v>
      </c>
      <c r="P1745">
        <f t="shared" si="739"/>
        <v>0.17647058823529413</v>
      </c>
      <c r="Q1745" t="str">
        <f t="shared" si="745"/>
        <v>4.76% | 3.33%</v>
      </c>
      <c r="R1745" t="str">
        <f t="shared" si="740"/>
        <v>BULLISH</v>
      </c>
      <c r="S1745">
        <f t="shared" si="746"/>
        <v>1</v>
      </c>
    </row>
    <row r="1746" spans="1:19" hidden="1" x14ac:dyDescent="0.25">
      <c r="A1746" s="5" t="str">
        <f t="shared" si="743"/>
        <v>43969GOOGL</v>
      </c>
      <c r="B1746" s="6" t="s">
        <v>31</v>
      </c>
      <c r="C1746" s="6">
        <v>1310</v>
      </c>
      <c r="D1746" s="6">
        <v>1406</v>
      </c>
      <c r="E1746" s="6">
        <v>1373</v>
      </c>
      <c r="F1746" t="str">
        <f t="shared" si="741"/>
        <v>MON</v>
      </c>
      <c r="G1746" s="3">
        <f t="shared" si="742"/>
        <v>43969</v>
      </c>
      <c r="H1746" s="2">
        <f t="shared" ca="1" si="732"/>
        <v>284</v>
      </c>
      <c r="I1746" t="str">
        <f t="shared" si="733"/>
        <v>GOOGL</v>
      </c>
      <c r="J1746">
        <f t="shared" si="734"/>
        <v>1310</v>
      </c>
      <c r="K1746">
        <f t="shared" si="735"/>
        <v>1406</v>
      </c>
      <c r="L1746">
        <f t="shared" si="736"/>
        <v>1358</v>
      </c>
      <c r="M1746">
        <f t="shared" si="737"/>
        <v>48</v>
      </c>
      <c r="N1746">
        <f t="shared" si="744"/>
        <v>96</v>
      </c>
      <c r="O1746">
        <f t="shared" si="738"/>
        <v>1373</v>
      </c>
      <c r="P1746">
        <f t="shared" si="739"/>
        <v>0.3125</v>
      </c>
      <c r="Q1746" t="str">
        <f t="shared" si="745"/>
        <v>4.59% | 2.4%</v>
      </c>
      <c r="R1746" t="str">
        <f t="shared" si="740"/>
        <v>BULLISH</v>
      </c>
      <c r="S1746">
        <f t="shared" si="746"/>
        <v>1</v>
      </c>
    </row>
    <row r="1747" spans="1:19" hidden="1" x14ac:dyDescent="0.25">
      <c r="A1747" s="5" t="str">
        <f t="shared" si="743"/>
        <v>43969NFLX</v>
      </c>
      <c r="B1747" s="6" t="s">
        <v>32</v>
      </c>
      <c r="C1747" s="6">
        <v>423</v>
      </c>
      <c r="D1747" s="6">
        <v>462</v>
      </c>
      <c r="E1747" s="6">
        <v>454</v>
      </c>
      <c r="F1747" t="str">
        <f t="shared" si="741"/>
        <v>MON</v>
      </c>
      <c r="G1747" s="3">
        <f t="shared" si="742"/>
        <v>43969</v>
      </c>
      <c r="H1747" s="2">
        <f t="shared" ca="1" si="732"/>
        <v>284</v>
      </c>
      <c r="I1747" t="str">
        <f t="shared" si="733"/>
        <v>NFLX</v>
      </c>
      <c r="J1747">
        <f t="shared" si="734"/>
        <v>423</v>
      </c>
      <c r="K1747">
        <f t="shared" si="735"/>
        <v>462</v>
      </c>
      <c r="L1747">
        <f t="shared" si="736"/>
        <v>442.5</v>
      </c>
      <c r="M1747">
        <f t="shared" si="737"/>
        <v>19.5</v>
      </c>
      <c r="N1747">
        <f t="shared" si="744"/>
        <v>39</v>
      </c>
      <c r="O1747">
        <f t="shared" si="738"/>
        <v>454</v>
      </c>
      <c r="P1747">
        <f t="shared" si="739"/>
        <v>0.58974358974358976</v>
      </c>
      <c r="Q1747" t="str">
        <f t="shared" si="745"/>
        <v>6.83% | 1.76%</v>
      </c>
      <c r="R1747" t="str">
        <f t="shared" si="740"/>
        <v>BULLISH</v>
      </c>
      <c r="S1747">
        <f t="shared" si="746"/>
        <v>1</v>
      </c>
    </row>
    <row r="1748" spans="1:19" x14ac:dyDescent="0.25">
      <c r="A1748" s="5" t="str">
        <f t="shared" si="743"/>
        <v>43969TSLA</v>
      </c>
      <c r="B1748" s="6" t="s">
        <v>33</v>
      </c>
      <c r="C1748" s="6">
        <v>740</v>
      </c>
      <c r="D1748" s="6">
        <v>830</v>
      </c>
      <c r="E1748" s="6">
        <v>799</v>
      </c>
      <c r="F1748" t="str">
        <f t="shared" si="741"/>
        <v>MON</v>
      </c>
      <c r="G1748" s="3">
        <f t="shared" si="742"/>
        <v>43969</v>
      </c>
      <c r="H1748" s="2">
        <f t="shared" ca="1" si="732"/>
        <v>284</v>
      </c>
      <c r="I1748" t="str">
        <f t="shared" si="733"/>
        <v>TSLA</v>
      </c>
      <c r="J1748">
        <f t="shared" si="734"/>
        <v>740</v>
      </c>
      <c r="K1748">
        <f t="shared" si="735"/>
        <v>830</v>
      </c>
      <c r="L1748">
        <f t="shared" si="736"/>
        <v>785</v>
      </c>
      <c r="M1748">
        <f t="shared" si="737"/>
        <v>45</v>
      </c>
      <c r="N1748">
        <f t="shared" si="744"/>
        <v>90</v>
      </c>
      <c r="O1748">
        <f t="shared" si="738"/>
        <v>799</v>
      </c>
      <c r="P1748">
        <f t="shared" si="739"/>
        <v>0.31111111111111112</v>
      </c>
      <c r="Q1748" t="str">
        <f t="shared" si="745"/>
        <v>7.38% | 3.88%</v>
      </c>
      <c r="R1748" t="str">
        <f t="shared" si="740"/>
        <v>BULLISH</v>
      </c>
      <c r="S1748">
        <f t="shared" si="746"/>
        <v>1</v>
      </c>
    </row>
    <row r="1749" spans="1:19" hidden="1" x14ac:dyDescent="0.25">
      <c r="A1749" s="5" t="str">
        <f t="shared" si="743"/>
        <v>43969NYXBT</v>
      </c>
      <c r="B1749" s="6" t="s">
        <v>34</v>
      </c>
      <c r="C1749" s="6">
        <v>8530</v>
      </c>
      <c r="D1749" s="6">
        <v>10092</v>
      </c>
      <c r="E1749" s="6">
        <v>9576</v>
      </c>
      <c r="F1749" t="str">
        <f t="shared" si="741"/>
        <v>MON</v>
      </c>
      <c r="G1749" s="3">
        <f t="shared" si="742"/>
        <v>43969</v>
      </c>
      <c r="H1749" s="2">
        <f t="shared" ca="1" si="732"/>
        <v>284</v>
      </c>
      <c r="I1749" t="str">
        <f t="shared" si="733"/>
        <v>NYXBT</v>
      </c>
      <c r="J1749">
        <f t="shared" si="734"/>
        <v>8530</v>
      </c>
      <c r="K1749">
        <f t="shared" si="735"/>
        <v>10092</v>
      </c>
      <c r="L1749">
        <f t="shared" si="736"/>
        <v>9311</v>
      </c>
      <c r="M1749">
        <f t="shared" si="737"/>
        <v>781</v>
      </c>
      <c r="N1749">
        <f t="shared" si="744"/>
        <v>1562</v>
      </c>
      <c r="O1749">
        <f t="shared" si="738"/>
        <v>9576</v>
      </c>
      <c r="P1749">
        <f t="shared" si="739"/>
        <v>0.33930857874519849</v>
      </c>
      <c r="Q1749" t="str">
        <f t="shared" si="745"/>
        <v>10.92% | 5.39%</v>
      </c>
      <c r="R1749" t="str">
        <f t="shared" si="740"/>
        <v>BULLISH</v>
      </c>
      <c r="S1749">
        <f t="shared" si="746"/>
        <v>1</v>
      </c>
    </row>
    <row r="1750" spans="1:19" hidden="1" x14ac:dyDescent="0.25">
      <c r="A1750" s="5" t="str">
        <f t="shared" si="743"/>
        <v>43970UST10Y</v>
      </c>
      <c r="B1750" s="6" t="s">
        <v>4</v>
      </c>
      <c r="C1750" s="6">
        <v>0.75</v>
      </c>
      <c r="D1750" s="6">
        <v>0.59</v>
      </c>
      <c r="E1750" s="6">
        <v>0.73</v>
      </c>
      <c r="F1750" t="str">
        <f t="shared" si="741"/>
        <v>TUE</v>
      </c>
      <c r="G1750" s="1">
        <f>DATE(2020,5,19)</f>
        <v>43970</v>
      </c>
      <c r="H1750" s="2">
        <f t="shared" ca="1" si="732"/>
        <v>283</v>
      </c>
      <c r="I1750" t="str">
        <f t="shared" ref="I1750:I1781" si="747">TRIM(LEFT(B1750,FIND(" ",B1750,1)))</f>
        <v>UST10Y</v>
      </c>
      <c r="J1750">
        <f t="shared" ref="J1750:J1781" si="748">C1750</f>
        <v>0.75</v>
      </c>
      <c r="K1750">
        <f t="shared" ref="K1750:K1781" si="749">D1750</f>
        <v>0.59</v>
      </c>
      <c r="L1750">
        <f t="shared" ref="L1750:L1781" si="750">AVERAGE(J1750:K1750)</f>
        <v>0.66999999999999993</v>
      </c>
      <c r="M1750">
        <f t="shared" ref="M1750:M1781" si="751">_xlfn.STDEV.P(J1750:K1750)</f>
        <v>8.0000000000000446E-2</v>
      </c>
      <c r="N1750">
        <f t="shared" si="744"/>
        <v>0.16000000000000003</v>
      </c>
      <c r="O1750">
        <f t="shared" ref="O1750:O1781" si="752">E1750</f>
        <v>0.73</v>
      </c>
      <c r="P1750">
        <f t="shared" ref="P1750:P1781" si="753">(O1750-L1750)/M1750</f>
        <v>0.74999999999999645</v>
      </c>
      <c r="Q1750" t="str">
        <f t="shared" si="745"/>
        <v>2.74% | 19.18%</v>
      </c>
      <c r="R1750" t="str">
        <f t="shared" ref="R1750:R1781" si="754">MID(B1750,FIND("(",B1750,1)+1,FIND(")",B1750,1)-FIND("(",B1750,1)-1)</f>
        <v>BEARISH</v>
      </c>
      <c r="S1750">
        <f t="shared" si="746"/>
        <v>-1</v>
      </c>
    </row>
    <row r="1751" spans="1:19" hidden="1" x14ac:dyDescent="0.25">
      <c r="A1751" s="5" t="str">
        <f t="shared" si="743"/>
        <v>43970UST2Y</v>
      </c>
      <c r="B1751" s="6" t="s">
        <v>5</v>
      </c>
      <c r="C1751" s="6">
        <v>0.19</v>
      </c>
      <c r="D1751" s="6">
        <v>0.12</v>
      </c>
      <c r="E1751" s="6">
        <v>0.18</v>
      </c>
      <c r="F1751" t="str">
        <f t="shared" si="741"/>
        <v>TUE</v>
      </c>
      <c r="G1751" s="1">
        <f t="shared" ref="G1751:G1780" si="755">DATE(2020,5,19)</f>
        <v>43970</v>
      </c>
      <c r="H1751" s="2">
        <f t="shared" ca="1" si="732"/>
        <v>283</v>
      </c>
      <c r="I1751" t="str">
        <f t="shared" si="747"/>
        <v>UST2Y</v>
      </c>
      <c r="J1751">
        <f t="shared" si="748"/>
        <v>0.19</v>
      </c>
      <c r="K1751">
        <f t="shared" si="749"/>
        <v>0.12</v>
      </c>
      <c r="L1751">
        <f t="shared" si="750"/>
        <v>0.155</v>
      </c>
      <c r="M1751">
        <f t="shared" si="751"/>
        <v>3.5000000000000003E-2</v>
      </c>
      <c r="N1751">
        <f t="shared" si="744"/>
        <v>7.0000000000000007E-2</v>
      </c>
      <c r="O1751">
        <f t="shared" si="752"/>
        <v>0.18</v>
      </c>
      <c r="P1751">
        <f t="shared" si="753"/>
        <v>0.71428571428571408</v>
      </c>
      <c r="Q1751" t="str">
        <f t="shared" si="745"/>
        <v>5.56% | 33.33%</v>
      </c>
      <c r="R1751" t="str">
        <f t="shared" si="754"/>
        <v>BEARISH</v>
      </c>
      <c r="S1751">
        <f t="shared" si="746"/>
        <v>-1</v>
      </c>
    </row>
    <row r="1752" spans="1:19" hidden="1" x14ac:dyDescent="0.25">
      <c r="A1752" s="5" t="str">
        <f t="shared" si="743"/>
        <v>43970SPX</v>
      </c>
      <c r="B1752" s="6" t="s">
        <v>6</v>
      </c>
      <c r="C1752" s="6">
        <v>2797</v>
      </c>
      <c r="D1752" s="6">
        <v>2981</v>
      </c>
      <c r="E1752" s="6">
        <v>2953</v>
      </c>
      <c r="F1752" t="str">
        <f t="shared" si="741"/>
        <v>TUE</v>
      </c>
      <c r="G1752" s="1">
        <f t="shared" si="755"/>
        <v>43970</v>
      </c>
      <c r="H1752" s="2">
        <f t="shared" ca="1" si="732"/>
        <v>283</v>
      </c>
      <c r="I1752" t="str">
        <f t="shared" si="747"/>
        <v>SPX</v>
      </c>
      <c r="J1752">
        <f t="shared" si="748"/>
        <v>2797</v>
      </c>
      <c r="K1752">
        <f t="shared" si="749"/>
        <v>2981</v>
      </c>
      <c r="L1752">
        <f t="shared" si="750"/>
        <v>2889</v>
      </c>
      <c r="M1752">
        <f t="shared" si="751"/>
        <v>92</v>
      </c>
      <c r="N1752">
        <f t="shared" si="744"/>
        <v>184</v>
      </c>
      <c r="O1752">
        <f t="shared" si="752"/>
        <v>2953</v>
      </c>
      <c r="P1752">
        <f t="shared" si="753"/>
        <v>0.69565217391304346</v>
      </c>
      <c r="Q1752" t="str">
        <f t="shared" si="745"/>
        <v>5.28% | 0.95%</v>
      </c>
      <c r="R1752" t="str">
        <f t="shared" si="754"/>
        <v>BEARISH</v>
      </c>
      <c r="S1752">
        <f t="shared" si="746"/>
        <v>-1</v>
      </c>
    </row>
    <row r="1753" spans="1:19" hidden="1" x14ac:dyDescent="0.25">
      <c r="A1753" s="5" t="str">
        <f t="shared" si="743"/>
        <v>43970RUT</v>
      </c>
      <c r="B1753" s="6" t="s">
        <v>7</v>
      </c>
      <c r="C1753" s="6">
        <v>1211</v>
      </c>
      <c r="D1753" s="6">
        <v>1356</v>
      </c>
      <c r="E1753" s="6">
        <v>1333</v>
      </c>
      <c r="F1753" t="str">
        <f t="shared" si="741"/>
        <v>TUE</v>
      </c>
      <c r="G1753" s="1">
        <f t="shared" si="755"/>
        <v>43970</v>
      </c>
      <c r="H1753" s="2">
        <f t="shared" ref="H1753:H1781" ca="1" si="756">TODAY()-G1753</f>
        <v>283</v>
      </c>
      <c r="I1753" t="str">
        <f t="shared" si="747"/>
        <v>RUT</v>
      </c>
      <c r="J1753">
        <f t="shared" si="748"/>
        <v>1211</v>
      </c>
      <c r="K1753">
        <f t="shared" si="749"/>
        <v>1356</v>
      </c>
      <c r="L1753">
        <f t="shared" si="750"/>
        <v>1283.5</v>
      </c>
      <c r="M1753">
        <f t="shared" si="751"/>
        <v>72.5</v>
      </c>
      <c r="N1753">
        <f t="shared" si="744"/>
        <v>145</v>
      </c>
      <c r="O1753">
        <f t="shared" si="752"/>
        <v>1333</v>
      </c>
      <c r="P1753">
        <f t="shared" si="753"/>
        <v>0.6827586206896552</v>
      </c>
      <c r="Q1753" t="str">
        <f t="shared" si="745"/>
        <v>9.15% | 1.73%</v>
      </c>
      <c r="R1753" t="str">
        <f t="shared" si="754"/>
        <v>BEARISH</v>
      </c>
      <c r="S1753">
        <f t="shared" si="746"/>
        <v>-1</v>
      </c>
    </row>
    <row r="1754" spans="1:19" hidden="1" x14ac:dyDescent="0.25">
      <c r="A1754" s="5" t="str">
        <f t="shared" si="743"/>
        <v>43970COMPQ</v>
      </c>
      <c r="B1754" s="6" t="s">
        <v>8</v>
      </c>
      <c r="C1754" s="6">
        <v>8717</v>
      </c>
      <c r="D1754" s="6">
        <v>9287</v>
      </c>
      <c r="E1754" s="6">
        <v>9234</v>
      </c>
      <c r="F1754" t="str">
        <f t="shared" si="741"/>
        <v>TUE</v>
      </c>
      <c r="G1754" s="1">
        <f t="shared" si="755"/>
        <v>43970</v>
      </c>
      <c r="H1754" s="2">
        <f t="shared" ca="1" si="756"/>
        <v>283</v>
      </c>
      <c r="I1754" t="str">
        <f t="shared" si="747"/>
        <v>COMPQ</v>
      </c>
      <c r="J1754">
        <f t="shared" si="748"/>
        <v>8717</v>
      </c>
      <c r="K1754">
        <f t="shared" si="749"/>
        <v>9287</v>
      </c>
      <c r="L1754">
        <f t="shared" si="750"/>
        <v>9002</v>
      </c>
      <c r="M1754">
        <f t="shared" si="751"/>
        <v>285</v>
      </c>
      <c r="N1754">
        <f t="shared" si="744"/>
        <v>570</v>
      </c>
      <c r="O1754">
        <f t="shared" si="752"/>
        <v>9234</v>
      </c>
      <c r="P1754">
        <f t="shared" si="753"/>
        <v>0.81403508771929822</v>
      </c>
      <c r="Q1754" t="str">
        <f t="shared" si="745"/>
        <v>5.6% | 0.57%</v>
      </c>
      <c r="R1754" t="str">
        <f t="shared" si="754"/>
        <v>BULLISH</v>
      </c>
      <c r="S1754">
        <f t="shared" si="746"/>
        <v>1</v>
      </c>
    </row>
    <row r="1755" spans="1:19" hidden="1" x14ac:dyDescent="0.25">
      <c r="A1755" s="5" t="str">
        <f t="shared" si="743"/>
        <v>43970XLV</v>
      </c>
      <c r="B1755" s="6" t="s">
        <v>9</v>
      </c>
      <c r="C1755" s="6">
        <v>97.98</v>
      </c>
      <c r="D1755" s="6">
        <v>102.02</v>
      </c>
      <c r="E1755" s="6">
        <v>101.25</v>
      </c>
      <c r="F1755" t="str">
        <f t="shared" si="741"/>
        <v>TUE</v>
      </c>
      <c r="G1755" s="1">
        <f t="shared" si="755"/>
        <v>43970</v>
      </c>
      <c r="H1755" s="2">
        <f t="shared" ca="1" si="756"/>
        <v>283</v>
      </c>
      <c r="I1755" t="str">
        <f t="shared" si="747"/>
        <v>XLV</v>
      </c>
      <c r="J1755">
        <f t="shared" si="748"/>
        <v>97.98</v>
      </c>
      <c r="K1755">
        <f t="shared" si="749"/>
        <v>102.02</v>
      </c>
      <c r="L1755">
        <f t="shared" si="750"/>
        <v>100</v>
      </c>
      <c r="M1755">
        <f t="shared" si="751"/>
        <v>2.019999999999996</v>
      </c>
      <c r="N1755">
        <f t="shared" si="744"/>
        <v>4.039999999999992</v>
      </c>
      <c r="O1755">
        <f t="shared" si="752"/>
        <v>101.25</v>
      </c>
      <c r="P1755">
        <f t="shared" si="753"/>
        <v>0.61881188118812003</v>
      </c>
      <c r="Q1755" t="str">
        <f t="shared" si="745"/>
        <v>3.23% | 0.76%</v>
      </c>
      <c r="R1755" t="str">
        <f t="shared" si="754"/>
        <v>BULLISH</v>
      </c>
      <c r="S1755">
        <f t="shared" si="746"/>
        <v>1</v>
      </c>
    </row>
    <row r="1756" spans="1:19" hidden="1" x14ac:dyDescent="0.25">
      <c r="A1756" s="5" t="str">
        <f t="shared" si="743"/>
        <v>43970XLK</v>
      </c>
      <c r="B1756" s="6" t="s">
        <v>10</v>
      </c>
      <c r="C1756" s="6">
        <v>90.43</v>
      </c>
      <c r="D1756" s="6">
        <v>96.39</v>
      </c>
      <c r="E1756" s="6">
        <v>95.76</v>
      </c>
      <c r="F1756" t="str">
        <f t="shared" si="741"/>
        <v>TUE</v>
      </c>
      <c r="G1756" s="1">
        <f t="shared" si="755"/>
        <v>43970</v>
      </c>
      <c r="H1756" s="2">
        <f t="shared" ca="1" si="756"/>
        <v>283</v>
      </c>
      <c r="I1756" t="str">
        <f t="shared" si="747"/>
        <v>XLK</v>
      </c>
      <c r="J1756">
        <f t="shared" si="748"/>
        <v>90.43</v>
      </c>
      <c r="K1756">
        <f t="shared" si="749"/>
        <v>96.39</v>
      </c>
      <c r="L1756">
        <f t="shared" si="750"/>
        <v>93.41</v>
      </c>
      <c r="M1756">
        <f t="shared" si="751"/>
        <v>2.9799999999999969</v>
      </c>
      <c r="N1756">
        <f t="shared" si="744"/>
        <v>5.9599999999999937</v>
      </c>
      <c r="O1756">
        <f t="shared" si="752"/>
        <v>95.76</v>
      </c>
      <c r="P1756">
        <f t="shared" si="753"/>
        <v>0.78859060402684933</v>
      </c>
      <c r="Q1756" t="str">
        <f t="shared" si="745"/>
        <v>5.57% | 0.66%</v>
      </c>
      <c r="R1756" t="str">
        <f t="shared" si="754"/>
        <v>BULLISH</v>
      </c>
      <c r="S1756">
        <f t="shared" si="746"/>
        <v>1</v>
      </c>
    </row>
    <row r="1757" spans="1:19" hidden="1" x14ac:dyDescent="0.25">
      <c r="A1757" s="5" t="str">
        <f t="shared" si="743"/>
        <v>43970XLP</v>
      </c>
      <c r="B1757" s="6" t="s">
        <v>11</v>
      </c>
      <c r="C1757" s="6">
        <v>56.09</v>
      </c>
      <c r="D1757" s="6">
        <v>58.68</v>
      </c>
      <c r="E1757" s="6">
        <v>58.3</v>
      </c>
      <c r="F1757" t="str">
        <f t="shared" si="741"/>
        <v>TUE</v>
      </c>
      <c r="G1757" s="1">
        <f t="shared" si="755"/>
        <v>43970</v>
      </c>
      <c r="H1757" s="2">
        <f t="shared" ca="1" si="756"/>
        <v>283</v>
      </c>
      <c r="I1757" t="str">
        <f t="shared" si="747"/>
        <v>XLP</v>
      </c>
      <c r="J1757">
        <f t="shared" si="748"/>
        <v>56.09</v>
      </c>
      <c r="K1757">
        <f t="shared" si="749"/>
        <v>58.68</v>
      </c>
      <c r="L1757">
        <f t="shared" si="750"/>
        <v>57.385000000000005</v>
      </c>
      <c r="M1757">
        <f t="shared" si="751"/>
        <v>1.2949999999999982</v>
      </c>
      <c r="N1757">
        <f t="shared" si="744"/>
        <v>2.5899999999999963</v>
      </c>
      <c r="O1757">
        <f t="shared" si="752"/>
        <v>58.3</v>
      </c>
      <c r="P1757">
        <f t="shared" si="753"/>
        <v>0.70656370656370138</v>
      </c>
      <c r="Q1757" t="str">
        <f t="shared" si="745"/>
        <v>3.79% | 0.65%</v>
      </c>
      <c r="R1757" t="str">
        <f t="shared" si="754"/>
        <v>BEARISH</v>
      </c>
      <c r="S1757">
        <f t="shared" si="746"/>
        <v>-1</v>
      </c>
    </row>
    <row r="1758" spans="1:19" hidden="1" x14ac:dyDescent="0.25">
      <c r="A1758" s="5" t="str">
        <f t="shared" si="743"/>
        <v>43970XLF</v>
      </c>
      <c r="B1758" s="6" t="s">
        <v>12</v>
      </c>
      <c r="C1758" s="6">
        <v>20.350000000000001</v>
      </c>
      <c r="D1758" s="6">
        <v>22.63</v>
      </c>
      <c r="E1758" s="6">
        <v>22.13</v>
      </c>
      <c r="F1758" t="str">
        <f t="shared" si="741"/>
        <v>TUE</v>
      </c>
      <c r="G1758" s="1">
        <f t="shared" si="755"/>
        <v>43970</v>
      </c>
      <c r="H1758" s="2">
        <f t="shared" ca="1" si="756"/>
        <v>283</v>
      </c>
      <c r="I1758" t="str">
        <f t="shared" si="747"/>
        <v>XLF</v>
      </c>
      <c r="J1758">
        <f t="shared" si="748"/>
        <v>20.350000000000001</v>
      </c>
      <c r="K1758">
        <f t="shared" si="749"/>
        <v>22.63</v>
      </c>
      <c r="L1758">
        <f t="shared" si="750"/>
        <v>21.490000000000002</v>
      </c>
      <c r="M1758">
        <f t="shared" si="751"/>
        <v>1.1399999999999988</v>
      </c>
      <c r="N1758">
        <f t="shared" si="744"/>
        <v>2.2799999999999976</v>
      </c>
      <c r="O1758">
        <f t="shared" si="752"/>
        <v>22.13</v>
      </c>
      <c r="P1758">
        <f t="shared" si="753"/>
        <v>0.56140350877192779</v>
      </c>
      <c r="Q1758" t="str">
        <f t="shared" si="745"/>
        <v>8.04% | 2.26%</v>
      </c>
      <c r="R1758" t="str">
        <f t="shared" si="754"/>
        <v>BEARISH</v>
      </c>
      <c r="S1758">
        <f t="shared" si="746"/>
        <v>-1</v>
      </c>
    </row>
    <row r="1759" spans="1:19" hidden="1" x14ac:dyDescent="0.25">
      <c r="A1759" s="5" t="str">
        <f t="shared" si="743"/>
        <v>43970XLI</v>
      </c>
      <c r="B1759" s="6" t="s">
        <v>13</v>
      </c>
      <c r="C1759" s="6">
        <v>58.1</v>
      </c>
      <c r="D1759" s="6">
        <v>64.209999999999994</v>
      </c>
      <c r="E1759" s="6">
        <v>63.38</v>
      </c>
      <c r="F1759" t="str">
        <f t="shared" si="741"/>
        <v>TUE</v>
      </c>
      <c r="G1759" s="1">
        <f t="shared" si="755"/>
        <v>43970</v>
      </c>
      <c r="H1759" s="2">
        <f t="shared" ca="1" si="756"/>
        <v>283</v>
      </c>
      <c r="I1759" t="str">
        <f t="shared" si="747"/>
        <v>XLI</v>
      </c>
      <c r="J1759">
        <f t="shared" si="748"/>
        <v>58.1</v>
      </c>
      <c r="K1759">
        <f t="shared" si="749"/>
        <v>64.209999999999994</v>
      </c>
      <c r="L1759">
        <f t="shared" si="750"/>
        <v>61.155000000000001</v>
      </c>
      <c r="M1759">
        <f t="shared" si="751"/>
        <v>3.0549999999999962</v>
      </c>
      <c r="N1759">
        <f t="shared" si="744"/>
        <v>6.1099999999999923</v>
      </c>
      <c r="O1759">
        <f t="shared" si="752"/>
        <v>63.38</v>
      </c>
      <c r="P1759">
        <f t="shared" si="753"/>
        <v>0.72831423895253822</v>
      </c>
      <c r="Q1759" t="str">
        <f t="shared" si="745"/>
        <v>8.33% | 1.31%</v>
      </c>
      <c r="R1759" t="str">
        <f t="shared" si="754"/>
        <v>BEARISH</v>
      </c>
      <c r="S1759">
        <f t="shared" si="746"/>
        <v>-1</v>
      </c>
    </row>
    <row r="1760" spans="1:19" hidden="1" x14ac:dyDescent="0.25">
      <c r="A1760" s="5" t="str">
        <f t="shared" si="743"/>
        <v>43970SSEC</v>
      </c>
      <c r="B1760" s="6" t="s">
        <v>14</v>
      </c>
      <c r="C1760" s="6">
        <v>2852</v>
      </c>
      <c r="D1760" s="6">
        <v>2907</v>
      </c>
      <c r="E1760" s="6">
        <v>2898</v>
      </c>
      <c r="F1760" t="str">
        <f t="shared" si="741"/>
        <v>TUE</v>
      </c>
      <c r="G1760" s="1">
        <f t="shared" si="755"/>
        <v>43970</v>
      </c>
      <c r="H1760" s="2">
        <f t="shared" ca="1" si="756"/>
        <v>283</v>
      </c>
      <c r="I1760" t="str">
        <f t="shared" si="747"/>
        <v>SSEC</v>
      </c>
      <c r="J1760">
        <f t="shared" si="748"/>
        <v>2852</v>
      </c>
      <c r="K1760">
        <f t="shared" si="749"/>
        <v>2907</v>
      </c>
      <c r="L1760">
        <f t="shared" si="750"/>
        <v>2879.5</v>
      </c>
      <c r="M1760">
        <f t="shared" si="751"/>
        <v>27.5</v>
      </c>
      <c r="N1760">
        <f t="shared" si="744"/>
        <v>55</v>
      </c>
      <c r="O1760">
        <f t="shared" si="752"/>
        <v>2898</v>
      </c>
      <c r="P1760">
        <f t="shared" si="753"/>
        <v>0.67272727272727273</v>
      </c>
      <c r="Q1760" t="str">
        <f t="shared" si="745"/>
        <v>1.59% | 0.31%</v>
      </c>
      <c r="R1760" t="str">
        <f t="shared" si="754"/>
        <v>BEARISH</v>
      </c>
      <c r="S1760">
        <f t="shared" si="746"/>
        <v>-1</v>
      </c>
    </row>
    <row r="1761" spans="1:19" hidden="1" x14ac:dyDescent="0.25">
      <c r="A1761" s="5" t="str">
        <f t="shared" si="743"/>
        <v>43970NIKK</v>
      </c>
      <c r="B1761" s="6" t="s">
        <v>15</v>
      </c>
      <c r="C1761" s="6">
        <v>19505</v>
      </c>
      <c r="D1761" s="6">
        <v>20595</v>
      </c>
      <c r="E1761" s="6">
        <v>20433</v>
      </c>
      <c r="F1761" t="str">
        <f t="shared" si="741"/>
        <v>TUE</v>
      </c>
      <c r="G1761" s="1">
        <f t="shared" si="755"/>
        <v>43970</v>
      </c>
      <c r="H1761" s="2">
        <f t="shared" ca="1" si="756"/>
        <v>283</v>
      </c>
      <c r="I1761" t="str">
        <f t="shared" si="747"/>
        <v>NIKK</v>
      </c>
      <c r="J1761">
        <f t="shared" si="748"/>
        <v>19505</v>
      </c>
      <c r="K1761">
        <f t="shared" si="749"/>
        <v>20595</v>
      </c>
      <c r="L1761">
        <f t="shared" si="750"/>
        <v>20050</v>
      </c>
      <c r="M1761">
        <f t="shared" si="751"/>
        <v>545</v>
      </c>
      <c r="N1761">
        <f t="shared" si="744"/>
        <v>1090</v>
      </c>
      <c r="O1761">
        <f t="shared" si="752"/>
        <v>20433</v>
      </c>
      <c r="P1761">
        <f t="shared" si="753"/>
        <v>0.70275229357798163</v>
      </c>
      <c r="Q1761" t="str">
        <f t="shared" si="745"/>
        <v>4.54% | 0.79%</v>
      </c>
      <c r="R1761" t="str">
        <f t="shared" si="754"/>
        <v>BEARISH</v>
      </c>
      <c r="S1761">
        <f t="shared" si="746"/>
        <v>-1</v>
      </c>
    </row>
    <row r="1762" spans="1:19" hidden="1" x14ac:dyDescent="0.25">
      <c r="A1762" s="5" t="str">
        <f t="shared" si="743"/>
        <v>43970DAX</v>
      </c>
      <c r="B1762" s="6" t="s">
        <v>16</v>
      </c>
      <c r="C1762" s="6">
        <v>10203</v>
      </c>
      <c r="D1762" s="6">
        <v>11095</v>
      </c>
      <c r="E1762" s="6">
        <v>11051</v>
      </c>
      <c r="F1762" t="str">
        <f t="shared" si="741"/>
        <v>TUE</v>
      </c>
      <c r="G1762" s="1">
        <f t="shared" si="755"/>
        <v>43970</v>
      </c>
      <c r="H1762" s="2">
        <f t="shared" ca="1" si="756"/>
        <v>283</v>
      </c>
      <c r="I1762" t="str">
        <f t="shared" si="747"/>
        <v>DAX</v>
      </c>
      <c r="J1762">
        <f t="shared" si="748"/>
        <v>10203</v>
      </c>
      <c r="K1762">
        <f t="shared" si="749"/>
        <v>11095</v>
      </c>
      <c r="L1762">
        <f t="shared" si="750"/>
        <v>10649</v>
      </c>
      <c r="M1762">
        <f t="shared" si="751"/>
        <v>446</v>
      </c>
      <c r="N1762">
        <f t="shared" si="744"/>
        <v>892</v>
      </c>
      <c r="O1762">
        <f t="shared" si="752"/>
        <v>11051</v>
      </c>
      <c r="P1762">
        <f t="shared" si="753"/>
        <v>0.90134529147982068</v>
      </c>
      <c r="Q1762" t="str">
        <f t="shared" si="745"/>
        <v>7.67% | 0.4%</v>
      </c>
      <c r="R1762" t="str">
        <f t="shared" si="754"/>
        <v>BEARISH</v>
      </c>
      <c r="S1762">
        <f t="shared" si="746"/>
        <v>-1</v>
      </c>
    </row>
    <row r="1763" spans="1:19" hidden="1" x14ac:dyDescent="0.25">
      <c r="A1763" s="5" t="str">
        <f t="shared" si="743"/>
        <v>43970VIX</v>
      </c>
      <c r="B1763" s="6" t="s">
        <v>17</v>
      </c>
      <c r="C1763" s="6">
        <v>26.31</v>
      </c>
      <c r="D1763" s="6">
        <v>37.26</v>
      </c>
      <c r="E1763" s="6">
        <v>29.3</v>
      </c>
      <c r="F1763" t="str">
        <f t="shared" si="741"/>
        <v>TUE</v>
      </c>
      <c r="G1763" s="1">
        <f t="shared" si="755"/>
        <v>43970</v>
      </c>
      <c r="H1763" s="2">
        <f t="shared" ca="1" si="756"/>
        <v>283</v>
      </c>
      <c r="I1763" t="str">
        <f t="shared" si="747"/>
        <v>VIX</v>
      </c>
      <c r="J1763">
        <f t="shared" si="748"/>
        <v>26.31</v>
      </c>
      <c r="K1763">
        <f t="shared" si="749"/>
        <v>37.26</v>
      </c>
      <c r="L1763">
        <f t="shared" si="750"/>
        <v>31.784999999999997</v>
      </c>
      <c r="M1763">
        <f t="shared" si="751"/>
        <v>5.4750000000000032</v>
      </c>
      <c r="N1763">
        <f t="shared" si="744"/>
        <v>10.95</v>
      </c>
      <c r="O1763">
        <v>29.61</v>
      </c>
      <c r="P1763">
        <f t="shared" si="753"/>
        <v>-0.397260273972602</v>
      </c>
      <c r="Q1763" t="str">
        <f t="shared" si="745"/>
        <v>11.14% | 25.84%</v>
      </c>
      <c r="R1763" t="str">
        <f t="shared" si="754"/>
        <v>BULLISH</v>
      </c>
      <c r="S1763">
        <f t="shared" si="746"/>
        <v>1</v>
      </c>
    </row>
    <row r="1764" spans="1:19" hidden="1" x14ac:dyDescent="0.25">
      <c r="A1764" s="5" t="str">
        <f t="shared" si="743"/>
        <v>43970USD</v>
      </c>
      <c r="B1764" s="6" t="s">
        <v>18</v>
      </c>
      <c r="C1764" s="6">
        <v>99.21</v>
      </c>
      <c r="D1764" s="6">
        <v>100.86</v>
      </c>
      <c r="E1764" s="6">
        <v>99.68</v>
      </c>
      <c r="F1764" t="str">
        <f t="shared" si="741"/>
        <v>TUE</v>
      </c>
      <c r="G1764" s="1">
        <f t="shared" si="755"/>
        <v>43970</v>
      </c>
      <c r="H1764" s="2">
        <f t="shared" ca="1" si="756"/>
        <v>283</v>
      </c>
      <c r="I1764" t="str">
        <f t="shared" si="747"/>
        <v>USD</v>
      </c>
      <c r="J1764">
        <f t="shared" si="748"/>
        <v>99.21</v>
      </c>
      <c r="K1764">
        <f t="shared" si="749"/>
        <v>100.86</v>
      </c>
      <c r="L1764">
        <f t="shared" si="750"/>
        <v>100.035</v>
      </c>
      <c r="M1764">
        <f t="shared" si="751"/>
        <v>0.82500000000000284</v>
      </c>
      <c r="N1764">
        <f t="shared" si="744"/>
        <v>1.6500000000000057</v>
      </c>
      <c r="O1764">
        <v>99.41</v>
      </c>
      <c r="P1764">
        <f t="shared" si="753"/>
        <v>-0.75757575757575502</v>
      </c>
      <c r="Q1764" t="str">
        <f t="shared" si="745"/>
        <v>0.2% | 1.46%</v>
      </c>
      <c r="R1764" t="str">
        <f t="shared" si="754"/>
        <v>BULLISH</v>
      </c>
      <c r="S1764">
        <f t="shared" si="746"/>
        <v>1</v>
      </c>
    </row>
    <row r="1765" spans="1:19" hidden="1" x14ac:dyDescent="0.25">
      <c r="A1765" s="5" t="str">
        <f t="shared" si="743"/>
        <v>43970EUR/USD</v>
      </c>
      <c r="B1765" s="6" t="s">
        <v>19</v>
      </c>
      <c r="C1765" s="6">
        <v>1.07</v>
      </c>
      <c r="D1765" s="6">
        <v>1.0900000000000001</v>
      </c>
      <c r="E1765" s="6">
        <v>1.0900000000000001</v>
      </c>
      <c r="F1765" t="str">
        <f t="shared" si="741"/>
        <v>TUE</v>
      </c>
      <c r="G1765" s="1">
        <f t="shared" si="755"/>
        <v>43970</v>
      </c>
      <c r="H1765" s="2">
        <f t="shared" ca="1" si="756"/>
        <v>283</v>
      </c>
      <c r="I1765" t="str">
        <f t="shared" si="747"/>
        <v>EUR/USD</v>
      </c>
      <c r="J1765">
        <f t="shared" si="748"/>
        <v>1.07</v>
      </c>
      <c r="K1765">
        <f t="shared" si="749"/>
        <v>1.0900000000000001</v>
      </c>
      <c r="L1765">
        <f t="shared" si="750"/>
        <v>1.08</v>
      </c>
      <c r="M1765">
        <f t="shared" si="751"/>
        <v>1.0000000000000009E-2</v>
      </c>
      <c r="N1765">
        <f t="shared" si="744"/>
        <v>2.0000000000000018E-2</v>
      </c>
      <c r="O1765">
        <f t="shared" si="752"/>
        <v>1.0900000000000001</v>
      </c>
      <c r="P1765">
        <f t="shared" si="753"/>
        <v>1</v>
      </c>
      <c r="Q1765" t="str">
        <f t="shared" si="745"/>
        <v>1.83% | 0%</v>
      </c>
      <c r="R1765" t="str">
        <f t="shared" si="754"/>
        <v>BEARISH</v>
      </c>
      <c r="S1765">
        <f t="shared" si="746"/>
        <v>-1</v>
      </c>
    </row>
    <row r="1766" spans="1:19" hidden="1" x14ac:dyDescent="0.25">
      <c r="A1766" s="5" t="str">
        <f t="shared" si="743"/>
        <v>43970USD/JPY</v>
      </c>
      <c r="B1766" s="6" t="s">
        <v>20</v>
      </c>
      <c r="C1766" s="6">
        <v>105.85</v>
      </c>
      <c r="D1766" s="6">
        <v>107.99</v>
      </c>
      <c r="E1766" s="6">
        <v>107.32</v>
      </c>
      <c r="F1766" t="str">
        <f t="shared" si="741"/>
        <v>TUE</v>
      </c>
      <c r="G1766" s="1">
        <f t="shared" si="755"/>
        <v>43970</v>
      </c>
      <c r="H1766" s="2">
        <f t="shared" ca="1" si="756"/>
        <v>283</v>
      </c>
      <c r="I1766" t="str">
        <f t="shared" si="747"/>
        <v>USD/JPY</v>
      </c>
      <c r="J1766">
        <f t="shared" si="748"/>
        <v>105.85</v>
      </c>
      <c r="K1766">
        <f t="shared" si="749"/>
        <v>107.99</v>
      </c>
      <c r="L1766">
        <f t="shared" si="750"/>
        <v>106.91999999999999</v>
      </c>
      <c r="M1766">
        <f t="shared" si="751"/>
        <v>1.0700000000000003</v>
      </c>
      <c r="N1766">
        <f t="shared" si="744"/>
        <v>2.1400000000000006</v>
      </c>
      <c r="O1766">
        <f t="shared" si="752"/>
        <v>107.32</v>
      </c>
      <c r="P1766">
        <f t="shared" si="753"/>
        <v>0.37383177570093978</v>
      </c>
      <c r="Q1766" t="str">
        <f t="shared" si="745"/>
        <v>1.37% | 0.62%</v>
      </c>
      <c r="R1766" t="str">
        <f t="shared" si="754"/>
        <v>BEARISH</v>
      </c>
      <c r="S1766">
        <f t="shared" si="746"/>
        <v>-1</v>
      </c>
    </row>
    <row r="1767" spans="1:19" hidden="1" x14ac:dyDescent="0.25">
      <c r="A1767" s="5" t="str">
        <f t="shared" si="743"/>
        <v>43970GBP/USD</v>
      </c>
      <c r="B1767" s="6" t="s">
        <v>21</v>
      </c>
      <c r="C1767" s="6">
        <v>1.21</v>
      </c>
      <c r="D1767" s="6">
        <v>1.23</v>
      </c>
      <c r="E1767" s="6">
        <v>1.22</v>
      </c>
      <c r="F1767" t="str">
        <f t="shared" si="741"/>
        <v>TUE</v>
      </c>
      <c r="G1767" s="1">
        <f t="shared" si="755"/>
        <v>43970</v>
      </c>
      <c r="H1767" s="2">
        <f t="shared" ca="1" si="756"/>
        <v>283</v>
      </c>
      <c r="I1767" t="str">
        <f t="shared" si="747"/>
        <v>GBP/USD</v>
      </c>
      <c r="J1767">
        <f t="shared" si="748"/>
        <v>1.21</v>
      </c>
      <c r="K1767">
        <f t="shared" si="749"/>
        <v>1.23</v>
      </c>
      <c r="L1767">
        <f t="shared" si="750"/>
        <v>1.22</v>
      </c>
      <c r="M1767">
        <f t="shared" si="751"/>
        <v>1.0000000000000009E-2</v>
      </c>
      <c r="N1767">
        <f t="shared" si="744"/>
        <v>2.0000000000000018E-2</v>
      </c>
      <c r="O1767">
        <f t="shared" si="752"/>
        <v>1.22</v>
      </c>
      <c r="P1767">
        <f t="shared" si="753"/>
        <v>0</v>
      </c>
      <c r="Q1767" t="str">
        <f t="shared" si="745"/>
        <v>0.82% | 0.82%</v>
      </c>
      <c r="R1767" t="str">
        <f t="shared" si="754"/>
        <v>BEARISH</v>
      </c>
      <c r="S1767">
        <f t="shared" si="746"/>
        <v>-1</v>
      </c>
    </row>
    <row r="1768" spans="1:19" hidden="1" x14ac:dyDescent="0.25">
      <c r="A1768" s="5" t="str">
        <f t="shared" si="743"/>
        <v>43970USD/CHF</v>
      </c>
      <c r="B1768" s="6" t="s">
        <v>22</v>
      </c>
      <c r="C1768" s="6">
        <v>0.96</v>
      </c>
      <c r="D1768" s="6">
        <v>0.98</v>
      </c>
      <c r="E1768" s="6">
        <v>0.97</v>
      </c>
      <c r="F1768" t="str">
        <f t="shared" si="741"/>
        <v>TUE</v>
      </c>
      <c r="G1768" s="1">
        <f t="shared" si="755"/>
        <v>43970</v>
      </c>
      <c r="H1768" s="2">
        <f t="shared" ca="1" si="756"/>
        <v>283</v>
      </c>
      <c r="I1768" t="str">
        <f t="shared" si="747"/>
        <v>USD/CHF</v>
      </c>
      <c r="J1768">
        <f t="shared" si="748"/>
        <v>0.96</v>
      </c>
      <c r="K1768">
        <f t="shared" si="749"/>
        <v>0.98</v>
      </c>
      <c r="L1768">
        <f t="shared" si="750"/>
        <v>0.97</v>
      </c>
      <c r="M1768">
        <f t="shared" si="751"/>
        <v>1.0000000000000009E-2</v>
      </c>
      <c r="N1768">
        <f t="shared" si="744"/>
        <v>2.0000000000000018E-2</v>
      </c>
      <c r="O1768">
        <f t="shared" si="752"/>
        <v>0.97</v>
      </c>
      <c r="P1768">
        <f t="shared" si="753"/>
        <v>0</v>
      </c>
      <c r="Q1768" t="str">
        <f t="shared" si="745"/>
        <v>1.03% | 1.03%</v>
      </c>
      <c r="R1768" t="str">
        <f t="shared" si="754"/>
        <v>NEUTRAL</v>
      </c>
      <c r="S1768">
        <f t="shared" si="746"/>
        <v>0</v>
      </c>
    </row>
    <row r="1769" spans="1:19" hidden="1" x14ac:dyDescent="0.25">
      <c r="A1769" s="5" t="str">
        <f t="shared" si="743"/>
        <v>43970WTIC</v>
      </c>
      <c r="B1769" s="6" t="s">
        <v>23</v>
      </c>
      <c r="C1769" s="6">
        <v>22.76</v>
      </c>
      <c r="D1769" s="6">
        <v>33.090000000000003</v>
      </c>
      <c r="E1769" s="6">
        <v>31.65</v>
      </c>
      <c r="F1769" t="str">
        <f t="shared" si="741"/>
        <v>TUE</v>
      </c>
      <c r="G1769" s="1">
        <f t="shared" si="755"/>
        <v>43970</v>
      </c>
      <c r="H1769" s="2">
        <f t="shared" ca="1" si="756"/>
        <v>283</v>
      </c>
      <c r="I1769" t="str">
        <f t="shared" si="747"/>
        <v>WTIC</v>
      </c>
      <c r="J1769">
        <f t="shared" si="748"/>
        <v>22.76</v>
      </c>
      <c r="K1769">
        <f t="shared" si="749"/>
        <v>33.090000000000003</v>
      </c>
      <c r="L1769">
        <f t="shared" si="750"/>
        <v>27.925000000000004</v>
      </c>
      <c r="M1769">
        <f t="shared" si="751"/>
        <v>5.1649999999999912</v>
      </c>
      <c r="N1769">
        <f t="shared" si="744"/>
        <v>10.330000000000002</v>
      </c>
      <c r="O1769">
        <v>32.200000000000003</v>
      </c>
      <c r="P1769">
        <f t="shared" si="753"/>
        <v>0.82768635043562555</v>
      </c>
      <c r="Q1769" t="str">
        <f t="shared" si="745"/>
        <v>29.32% | 2.76%</v>
      </c>
      <c r="R1769" t="str">
        <f t="shared" si="754"/>
        <v>BEARISH</v>
      </c>
      <c r="S1769">
        <f t="shared" si="746"/>
        <v>-1</v>
      </c>
    </row>
    <row r="1770" spans="1:19" hidden="1" x14ac:dyDescent="0.25">
      <c r="A1770" s="5" t="str">
        <f t="shared" si="743"/>
        <v>43970NATGAS</v>
      </c>
      <c r="B1770" s="6" t="s">
        <v>24</v>
      </c>
      <c r="C1770" s="6">
        <v>1.47</v>
      </c>
      <c r="D1770" s="6">
        <v>1.84</v>
      </c>
      <c r="E1770" s="6">
        <v>1.78</v>
      </c>
      <c r="F1770" t="str">
        <f t="shared" si="741"/>
        <v>TUE</v>
      </c>
      <c r="G1770" s="1">
        <f t="shared" si="755"/>
        <v>43970</v>
      </c>
      <c r="H1770" s="2">
        <f t="shared" ca="1" si="756"/>
        <v>283</v>
      </c>
      <c r="I1770" t="str">
        <f t="shared" si="747"/>
        <v>NATGAS</v>
      </c>
      <c r="J1770">
        <f t="shared" si="748"/>
        <v>1.47</v>
      </c>
      <c r="K1770">
        <f t="shared" si="749"/>
        <v>1.84</v>
      </c>
      <c r="L1770">
        <f t="shared" si="750"/>
        <v>1.655</v>
      </c>
      <c r="M1770">
        <f t="shared" si="751"/>
        <v>0.18499999999999928</v>
      </c>
      <c r="N1770">
        <f t="shared" si="744"/>
        <v>0.37000000000000011</v>
      </c>
      <c r="O1770">
        <f t="shared" si="752"/>
        <v>1.78</v>
      </c>
      <c r="P1770">
        <f t="shared" si="753"/>
        <v>0.67567567567567832</v>
      </c>
      <c r="Q1770" t="str">
        <f t="shared" si="745"/>
        <v>17.42% | 3.37%</v>
      </c>
      <c r="R1770" t="str">
        <f t="shared" si="754"/>
        <v>BEARISH</v>
      </c>
      <c r="S1770">
        <f t="shared" si="746"/>
        <v>-1</v>
      </c>
    </row>
    <row r="1771" spans="1:19" hidden="1" x14ac:dyDescent="0.25">
      <c r="A1771" s="5" t="str">
        <f t="shared" si="743"/>
        <v>43970GOLD</v>
      </c>
      <c r="B1771" s="6" t="s">
        <v>25</v>
      </c>
      <c r="C1771" s="6">
        <v>1701</v>
      </c>
      <c r="D1771" s="6">
        <v>1762</v>
      </c>
      <c r="E1771" s="6">
        <v>1734</v>
      </c>
      <c r="F1771" t="str">
        <f t="shared" si="741"/>
        <v>TUE</v>
      </c>
      <c r="G1771" s="1">
        <f t="shared" si="755"/>
        <v>43970</v>
      </c>
      <c r="H1771" s="2">
        <f t="shared" ca="1" si="756"/>
        <v>283</v>
      </c>
      <c r="I1771" t="str">
        <f t="shared" si="747"/>
        <v>GOLD</v>
      </c>
      <c r="J1771">
        <f t="shared" si="748"/>
        <v>1701</v>
      </c>
      <c r="K1771">
        <f t="shared" si="749"/>
        <v>1762</v>
      </c>
      <c r="L1771">
        <f t="shared" si="750"/>
        <v>1731.5</v>
      </c>
      <c r="M1771">
        <f t="shared" si="751"/>
        <v>30.5</v>
      </c>
      <c r="N1771">
        <f t="shared" si="744"/>
        <v>61</v>
      </c>
      <c r="O1771">
        <f t="shared" si="752"/>
        <v>1734</v>
      </c>
      <c r="P1771">
        <f t="shared" si="753"/>
        <v>8.1967213114754092E-2</v>
      </c>
      <c r="Q1771" t="str">
        <f t="shared" si="745"/>
        <v>1.9% | 1.61%</v>
      </c>
      <c r="R1771" t="str">
        <f t="shared" si="754"/>
        <v>BULLISH</v>
      </c>
      <c r="S1771">
        <f t="shared" si="746"/>
        <v>1</v>
      </c>
    </row>
    <row r="1772" spans="1:19" hidden="1" x14ac:dyDescent="0.25">
      <c r="A1772" s="5" t="str">
        <f t="shared" si="743"/>
        <v>43970COPPER</v>
      </c>
      <c r="B1772" s="6" t="s">
        <v>26</v>
      </c>
      <c r="C1772" s="6">
        <v>2.31</v>
      </c>
      <c r="D1772" s="6">
        <v>2.42</v>
      </c>
      <c r="E1772" s="6">
        <v>2.4</v>
      </c>
      <c r="F1772" t="str">
        <f t="shared" si="741"/>
        <v>TUE</v>
      </c>
      <c r="G1772" s="1">
        <f t="shared" si="755"/>
        <v>43970</v>
      </c>
      <c r="H1772" s="2">
        <f t="shared" ca="1" si="756"/>
        <v>283</v>
      </c>
      <c r="I1772" t="str">
        <f t="shared" si="747"/>
        <v>COPPER</v>
      </c>
      <c r="J1772">
        <f t="shared" si="748"/>
        <v>2.31</v>
      </c>
      <c r="K1772">
        <f t="shared" si="749"/>
        <v>2.42</v>
      </c>
      <c r="L1772">
        <f t="shared" si="750"/>
        <v>2.3650000000000002</v>
      </c>
      <c r="M1772">
        <f t="shared" si="751"/>
        <v>5.4999999999999938E-2</v>
      </c>
      <c r="N1772">
        <f t="shared" si="744"/>
        <v>0.10999999999999988</v>
      </c>
      <c r="O1772">
        <v>2.4049999999999998</v>
      </c>
      <c r="P1772">
        <f t="shared" si="753"/>
        <v>0.72727272727272063</v>
      </c>
      <c r="Q1772" t="str">
        <f t="shared" si="745"/>
        <v>3.95% | 0.62%</v>
      </c>
      <c r="R1772" t="str">
        <f t="shared" si="754"/>
        <v>BEARISH</v>
      </c>
      <c r="S1772">
        <f t="shared" si="746"/>
        <v>-1</v>
      </c>
    </row>
    <row r="1773" spans="1:19" hidden="1" x14ac:dyDescent="0.25">
      <c r="A1773" s="5" t="str">
        <f t="shared" si="743"/>
        <v>43970MSFT</v>
      </c>
      <c r="B1773" s="6" t="s">
        <v>27</v>
      </c>
      <c r="C1773" s="6">
        <v>176</v>
      </c>
      <c r="D1773" s="6">
        <v>187</v>
      </c>
      <c r="E1773" s="6">
        <v>184</v>
      </c>
      <c r="F1773" t="str">
        <f t="shared" si="741"/>
        <v>TUE</v>
      </c>
      <c r="G1773" s="1">
        <f t="shared" si="755"/>
        <v>43970</v>
      </c>
      <c r="H1773" s="2">
        <f t="shared" ca="1" si="756"/>
        <v>283</v>
      </c>
      <c r="I1773" t="str">
        <f t="shared" si="747"/>
        <v>MSFT</v>
      </c>
      <c r="J1773">
        <f t="shared" si="748"/>
        <v>176</v>
      </c>
      <c r="K1773">
        <f t="shared" si="749"/>
        <v>187</v>
      </c>
      <c r="L1773">
        <f t="shared" si="750"/>
        <v>181.5</v>
      </c>
      <c r="M1773">
        <f t="shared" si="751"/>
        <v>5.5</v>
      </c>
      <c r="N1773">
        <f t="shared" si="744"/>
        <v>11</v>
      </c>
      <c r="O1773">
        <f t="shared" si="752"/>
        <v>184</v>
      </c>
      <c r="P1773">
        <f t="shared" si="753"/>
        <v>0.45454545454545453</v>
      </c>
      <c r="Q1773" t="str">
        <f t="shared" si="745"/>
        <v>4.35% | 1.63%</v>
      </c>
      <c r="R1773" t="str">
        <f t="shared" si="754"/>
        <v>BULLISH</v>
      </c>
      <c r="S1773">
        <f t="shared" si="746"/>
        <v>1</v>
      </c>
    </row>
    <row r="1774" spans="1:19" hidden="1" x14ac:dyDescent="0.25">
      <c r="A1774" s="5" t="str">
        <f t="shared" si="743"/>
        <v>43970AAPL</v>
      </c>
      <c r="B1774" s="6" t="s">
        <v>28</v>
      </c>
      <c r="C1774" s="6">
        <v>298</v>
      </c>
      <c r="D1774" s="6">
        <v>319</v>
      </c>
      <c r="E1774" s="6">
        <v>314</v>
      </c>
      <c r="F1774" t="str">
        <f t="shared" si="741"/>
        <v>TUE</v>
      </c>
      <c r="G1774" s="1">
        <f t="shared" si="755"/>
        <v>43970</v>
      </c>
      <c r="H1774" s="2">
        <f t="shared" ca="1" si="756"/>
        <v>283</v>
      </c>
      <c r="I1774" t="str">
        <f t="shared" si="747"/>
        <v>AAPL</v>
      </c>
      <c r="J1774">
        <f t="shared" si="748"/>
        <v>298</v>
      </c>
      <c r="K1774">
        <f t="shared" si="749"/>
        <v>319</v>
      </c>
      <c r="L1774">
        <f t="shared" si="750"/>
        <v>308.5</v>
      </c>
      <c r="M1774">
        <f t="shared" si="751"/>
        <v>10.5</v>
      </c>
      <c r="N1774">
        <f t="shared" si="744"/>
        <v>21</v>
      </c>
      <c r="O1774">
        <f t="shared" si="752"/>
        <v>314</v>
      </c>
      <c r="P1774">
        <f t="shared" si="753"/>
        <v>0.52380952380952384</v>
      </c>
      <c r="Q1774" t="str">
        <f t="shared" si="745"/>
        <v>5.1% | 1.59%</v>
      </c>
      <c r="R1774" t="str">
        <f t="shared" si="754"/>
        <v>BULLISH</v>
      </c>
      <c r="S1774">
        <f t="shared" si="746"/>
        <v>1</v>
      </c>
    </row>
    <row r="1775" spans="1:19" hidden="1" x14ac:dyDescent="0.25">
      <c r="A1775" s="5" t="str">
        <f t="shared" si="743"/>
        <v>43970AMZN</v>
      </c>
      <c r="B1775" s="6" t="s">
        <v>29</v>
      </c>
      <c r="C1775" s="6">
        <v>2314</v>
      </c>
      <c r="D1775" s="6">
        <v>2435</v>
      </c>
      <c r="E1775" s="6">
        <v>2426</v>
      </c>
      <c r="F1775" t="str">
        <f t="shared" si="741"/>
        <v>TUE</v>
      </c>
      <c r="G1775" s="1">
        <f t="shared" si="755"/>
        <v>43970</v>
      </c>
      <c r="H1775" s="2">
        <f t="shared" ca="1" si="756"/>
        <v>283</v>
      </c>
      <c r="I1775" t="str">
        <f t="shared" si="747"/>
        <v>AMZN</v>
      </c>
      <c r="J1775">
        <f t="shared" si="748"/>
        <v>2314</v>
      </c>
      <c r="K1775">
        <f t="shared" si="749"/>
        <v>2435</v>
      </c>
      <c r="L1775">
        <f t="shared" si="750"/>
        <v>2374.5</v>
      </c>
      <c r="M1775">
        <f t="shared" si="751"/>
        <v>60.5</v>
      </c>
      <c r="N1775">
        <f t="shared" si="744"/>
        <v>121</v>
      </c>
      <c r="O1775">
        <f t="shared" si="752"/>
        <v>2426</v>
      </c>
      <c r="P1775">
        <f t="shared" si="753"/>
        <v>0.85123966942148765</v>
      </c>
      <c r="Q1775" t="str">
        <f t="shared" si="745"/>
        <v>4.62% | 0.37%</v>
      </c>
      <c r="R1775" t="str">
        <f t="shared" si="754"/>
        <v>BULLISH</v>
      </c>
      <c r="S1775">
        <f t="shared" si="746"/>
        <v>1</v>
      </c>
    </row>
    <row r="1776" spans="1:19" hidden="1" x14ac:dyDescent="0.25">
      <c r="A1776" s="5" t="str">
        <f t="shared" si="743"/>
        <v>43970FB</v>
      </c>
      <c r="B1776" s="6" t="s">
        <v>30</v>
      </c>
      <c r="C1776" s="6">
        <v>202</v>
      </c>
      <c r="D1776" s="6">
        <v>216</v>
      </c>
      <c r="E1776" s="6">
        <v>213</v>
      </c>
      <c r="F1776" t="str">
        <f t="shared" si="741"/>
        <v>TUE</v>
      </c>
      <c r="G1776" s="1">
        <f t="shared" si="755"/>
        <v>43970</v>
      </c>
      <c r="H1776" s="2">
        <f t="shared" ca="1" si="756"/>
        <v>283</v>
      </c>
      <c r="I1776" t="str">
        <f t="shared" si="747"/>
        <v>FB</v>
      </c>
      <c r="J1776">
        <f t="shared" si="748"/>
        <v>202</v>
      </c>
      <c r="K1776">
        <f t="shared" si="749"/>
        <v>216</v>
      </c>
      <c r="L1776">
        <f t="shared" si="750"/>
        <v>209</v>
      </c>
      <c r="M1776">
        <f t="shared" si="751"/>
        <v>7</v>
      </c>
      <c r="N1776">
        <f t="shared" si="744"/>
        <v>14</v>
      </c>
      <c r="O1776">
        <f t="shared" si="752"/>
        <v>213</v>
      </c>
      <c r="P1776">
        <f t="shared" si="753"/>
        <v>0.5714285714285714</v>
      </c>
      <c r="Q1776" t="str">
        <f t="shared" si="745"/>
        <v>5.16% | 1.41%</v>
      </c>
      <c r="R1776" t="str">
        <f t="shared" si="754"/>
        <v>BULLISH</v>
      </c>
      <c r="S1776">
        <f t="shared" si="746"/>
        <v>1</v>
      </c>
    </row>
    <row r="1777" spans="1:19" hidden="1" x14ac:dyDescent="0.25">
      <c r="A1777" s="5" t="str">
        <f t="shared" si="743"/>
        <v>43970GOOGL</v>
      </c>
      <c r="B1777" s="6" t="s">
        <v>31</v>
      </c>
      <c r="C1777" s="6">
        <v>1315</v>
      </c>
      <c r="D1777" s="6">
        <v>1406</v>
      </c>
      <c r="E1777" s="6">
        <v>1385</v>
      </c>
      <c r="F1777" t="str">
        <f t="shared" si="741"/>
        <v>TUE</v>
      </c>
      <c r="G1777" s="1">
        <f t="shared" si="755"/>
        <v>43970</v>
      </c>
      <c r="H1777" s="2">
        <f t="shared" ca="1" si="756"/>
        <v>283</v>
      </c>
      <c r="I1777" t="str">
        <f t="shared" si="747"/>
        <v>GOOGL</v>
      </c>
      <c r="J1777">
        <f t="shared" si="748"/>
        <v>1315</v>
      </c>
      <c r="K1777">
        <f t="shared" si="749"/>
        <v>1406</v>
      </c>
      <c r="L1777">
        <f t="shared" si="750"/>
        <v>1360.5</v>
      </c>
      <c r="M1777">
        <f t="shared" si="751"/>
        <v>45.5</v>
      </c>
      <c r="N1777">
        <f t="shared" si="744"/>
        <v>91</v>
      </c>
      <c r="O1777">
        <f t="shared" si="752"/>
        <v>1385</v>
      </c>
      <c r="P1777">
        <f t="shared" si="753"/>
        <v>0.53846153846153844</v>
      </c>
      <c r="Q1777" t="str">
        <f t="shared" si="745"/>
        <v>5.05% | 1.52%</v>
      </c>
      <c r="R1777" t="str">
        <f t="shared" si="754"/>
        <v>BULLISH</v>
      </c>
      <c r="S1777">
        <f t="shared" si="746"/>
        <v>1</v>
      </c>
    </row>
    <row r="1778" spans="1:19" hidden="1" x14ac:dyDescent="0.25">
      <c r="A1778" s="5" t="str">
        <f t="shared" si="743"/>
        <v>43970NFLX</v>
      </c>
      <c r="B1778" s="6" t="s">
        <v>32</v>
      </c>
      <c r="C1778" s="6">
        <v>426</v>
      </c>
      <c r="D1778" s="6">
        <v>458</v>
      </c>
      <c r="E1778" s="6">
        <v>452</v>
      </c>
      <c r="F1778" t="str">
        <f t="shared" si="741"/>
        <v>TUE</v>
      </c>
      <c r="G1778" s="1">
        <f t="shared" si="755"/>
        <v>43970</v>
      </c>
      <c r="H1778" s="2">
        <f t="shared" ca="1" si="756"/>
        <v>283</v>
      </c>
      <c r="I1778" t="str">
        <f t="shared" si="747"/>
        <v>NFLX</v>
      </c>
      <c r="J1778">
        <f t="shared" si="748"/>
        <v>426</v>
      </c>
      <c r="K1778">
        <f t="shared" si="749"/>
        <v>458</v>
      </c>
      <c r="L1778">
        <f t="shared" si="750"/>
        <v>442</v>
      </c>
      <c r="M1778">
        <f t="shared" si="751"/>
        <v>16</v>
      </c>
      <c r="N1778">
        <f t="shared" si="744"/>
        <v>32</v>
      </c>
      <c r="O1778">
        <f t="shared" si="752"/>
        <v>452</v>
      </c>
      <c r="P1778">
        <f t="shared" si="753"/>
        <v>0.625</v>
      </c>
      <c r="Q1778" t="str">
        <f t="shared" si="745"/>
        <v>5.75% | 1.33%</v>
      </c>
      <c r="R1778" t="str">
        <f t="shared" si="754"/>
        <v>BULLISH</v>
      </c>
      <c r="S1778">
        <f t="shared" si="746"/>
        <v>1</v>
      </c>
    </row>
    <row r="1779" spans="1:19" x14ac:dyDescent="0.25">
      <c r="A1779" s="5" t="str">
        <f t="shared" si="743"/>
        <v>43970TSLA</v>
      </c>
      <c r="B1779" s="6" t="s">
        <v>33</v>
      </c>
      <c r="C1779" s="6">
        <v>764</v>
      </c>
      <c r="D1779" s="6">
        <v>829</v>
      </c>
      <c r="E1779" s="6">
        <v>813</v>
      </c>
      <c r="F1779" t="str">
        <f t="shared" si="741"/>
        <v>TUE</v>
      </c>
      <c r="G1779" s="1">
        <f t="shared" si="755"/>
        <v>43970</v>
      </c>
      <c r="H1779" s="2">
        <f t="shared" ca="1" si="756"/>
        <v>283</v>
      </c>
      <c r="I1779" t="str">
        <f t="shared" si="747"/>
        <v>TSLA</v>
      </c>
      <c r="J1779">
        <f t="shared" si="748"/>
        <v>764</v>
      </c>
      <c r="K1779">
        <f t="shared" si="749"/>
        <v>829</v>
      </c>
      <c r="L1779">
        <f t="shared" si="750"/>
        <v>796.5</v>
      </c>
      <c r="M1779">
        <f t="shared" si="751"/>
        <v>32.5</v>
      </c>
      <c r="N1779">
        <f t="shared" si="744"/>
        <v>65</v>
      </c>
      <c r="O1779">
        <f t="shared" si="752"/>
        <v>813</v>
      </c>
      <c r="P1779">
        <f t="shared" si="753"/>
        <v>0.50769230769230766</v>
      </c>
      <c r="Q1779" t="str">
        <f t="shared" si="745"/>
        <v>6.03% | 1.97%</v>
      </c>
      <c r="R1779" t="str">
        <f t="shared" si="754"/>
        <v>BULLISH</v>
      </c>
      <c r="S1779">
        <f t="shared" si="746"/>
        <v>1</v>
      </c>
    </row>
    <row r="1780" spans="1:19" hidden="1" x14ac:dyDescent="0.25">
      <c r="A1780" s="5" t="str">
        <f t="shared" si="743"/>
        <v>43970NYXBT</v>
      </c>
      <c r="B1780" s="6" t="s">
        <v>34</v>
      </c>
      <c r="C1780" s="6">
        <v>8694</v>
      </c>
      <c r="D1780" s="6">
        <v>10155</v>
      </c>
      <c r="E1780" s="6">
        <v>9712</v>
      </c>
      <c r="F1780" t="str">
        <f t="shared" si="741"/>
        <v>TUE</v>
      </c>
      <c r="G1780" s="1">
        <f t="shared" si="755"/>
        <v>43970</v>
      </c>
      <c r="H1780" s="2">
        <f t="shared" ca="1" si="756"/>
        <v>283</v>
      </c>
      <c r="I1780" t="str">
        <f t="shared" si="747"/>
        <v>NYXBT</v>
      </c>
      <c r="J1780">
        <f t="shared" si="748"/>
        <v>8694</v>
      </c>
      <c r="K1780">
        <f t="shared" si="749"/>
        <v>10155</v>
      </c>
      <c r="L1780">
        <f t="shared" si="750"/>
        <v>9424.5</v>
      </c>
      <c r="M1780">
        <f t="shared" si="751"/>
        <v>730.5</v>
      </c>
      <c r="N1780">
        <f t="shared" si="744"/>
        <v>1461</v>
      </c>
      <c r="O1780">
        <f t="shared" si="752"/>
        <v>9712</v>
      </c>
      <c r="P1780">
        <f t="shared" si="753"/>
        <v>0.39356605065023959</v>
      </c>
      <c r="Q1780" t="str">
        <f t="shared" si="745"/>
        <v>10.48% | 4.56%</v>
      </c>
      <c r="R1780" t="str">
        <f t="shared" si="754"/>
        <v>BULLISH</v>
      </c>
      <c r="S1780">
        <f t="shared" si="746"/>
        <v>1</v>
      </c>
    </row>
    <row r="1781" spans="1:19" hidden="1" x14ac:dyDescent="0.25">
      <c r="A1781" s="5" t="str">
        <f t="shared" si="743"/>
        <v>43971UST10Y</v>
      </c>
      <c r="B1781" s="6" t="s">
        <v>4</v>
      </c>
      <c r="C1781" s="6">
        <v>0.75</v>
      </c>
      <c r="D1781" s="6">
        <v>0.6</v>
      </c>
      <c r="E1781" s="6">
        <v>0.7</v>
      </c>
      <c r="F1781" t="str">
        <f>UPPER(TEXT(G1781,"ddd"))</f>
        <v>WED</v>
      </c>
      <c r="G1781" s="3">
        <f>DATE(2020,5,20)</f>
        <v>43971</v>
      </c>
      <c r="H1781" s="2">
        <f t="shared" ca="1" si="756"/>
        <v>282</v>
      </c>
      <c r="I1781" t="str">
        <f t="shared" si="747"/>
        <v>UST10Y</v>
      </c>
      <c r="J1781">
        <f t="shared" si="748"/>
        <v>0.75</v>
      </c>
      <c r="K1781">
        <f t="shared" si="749"/>
        <v>0.6</v>
      </c>
      <c r="L1781">
        <f t="shared" si="750"/>
        <v>0.67500000000000004</v>
      </c>
      <c r="M1781">
        <f t="shared" si="751"/>
        <v>7.4999999999999567E-2</v>
      </c>
      <c r="N1781">
        <f t="shared" si="744"/>
        <v>0.15000000000000002</v>
      </c>
      <c r="O1781">
        <f t="shared" si="752"/>
        <v>0.7</v>
      </c>
      <c r="P1781">
        <f t="shared" si="753"/>
        <v>0.33333333333333409</v>
      </c>
      <c r="Q1781" t="str">
        <f t="shared" si="745"/>
        <v>7.14% | 14.29%</v>
      </c>
      <c r="R1781" t="str">
        <f t="shared" si="754"/>
        <v>BEARISH</v>
      </c>
      <c r="S1781">
        <f t="shared" si="746"/>
        <v>-1</v>
      </c>
    </row>
    <row r="1782" spans="1:19" hidden="1" x14ac:dyDescent="0.25">
      <c r="A1782" s="5" t="str">
        <f t="shared" si="743"/>
        <v>43971UST2Y</v>
      </c>
      <c r="B1782" s="6" t="s">
        <v>5</v>
      </c>
      <c r="C1782" s="6">
        <v>0.2</v>
      </c>
      <c r="D1782" s="6">
        <v>0.12</v>
      </c>
      <c r="E1782" s="6">
        <v>0.17</v>
      </c>
      <c r="F1782" t="str">
        <f t="shared" ref="F1782:F1812" si="757">UPPER(TEXT(G1782,"ddd"))</f>
        <v>WED</v>
      </c>
      <c r="G1782" s="3">
        <f t="shared" ref="G1782:G1811" si="758">DATE(2020,5,20)</f>
        <v>43971</v>
      </c>
      <c r="H1782" s="2">
        <f t="shared" ref="H1782:H1812" ca="1" si="759">TODAY()-G1782</f>
        <v>282</v>
      </c>
      <c r="I1782" t="str">
        <f t="shared" ref="I1782:I1812" si="760">TRIM(LEFT(B1782,FIND(" ",B1782,1)))</f>
        <v>UST2Y</v>
      </c>
      <c r="J1782">
        <f t="shared" ref="J1782:J1812" si="761">C1782</f>
        <v>0.2</v>
      </c>
      <c r="K1782">
        <f t="shared" ref="K1782:K1812" si="762">D1782</f>
        <v>0.12</v>
      </c>
      <c r="L1782">
        <f t="shared" ref="L1782:L1812" si="763">AVERAGE(J1782:K1782)</f>
        <v>0.16</v>
      </c>
      <c r="M1782">
        <f t="shared" ref="M1782:M1812" si="764">_xlfn.STDEV.P(J1782:K1782)</f>
        <v>4.0000000000000008E-2</v>
      </c>
      <c r="N1782">
        <f t="shared" si="744"/>
        <v>8.0000000000000016E-2</v>
      </c>
      <c r="O1782">
        <f t="shared" ref="O1782:O1812" si="765">E1782</f>
        <v>0.17</v>
      </c>
      <c r="P1782">
        <f t="shared" ref="P1782:P1812" si="766">(O1782-L1782)/M1782</f>
        <v>0.25000000000000017</v>
      </c>
      <c r="Q1782" t="str">
        <f t="shared" si="745"/>
        <v>17.65% | 29.41%</v>
      </c>
      <c r="R1782" t="str">
        <f t="shared" ref="R1782:R1812" si="767">MID(B1782,FIND("(",B1782,1)+1,FIND(")",B1782,1)-FIND("(",B1782,1)-1)</f>
        <v>BEARISH</v>
      </c>
      <c r="S1782">
        <f t="shared" si="746"/>
        <v>-1</v>
      </c>
    </row>
    <row r="1783" spans="1:19" hidden="1" x14ac:dyDescent="0.25">
      <c r="A1783" s="5" t="str">
        <f t="shared" si="743"/>
        <v>43971SPX</v>
      </c>
      <c r="B1783" s="6" t="s">
        <v>6</v>
      </c>
      <c r="C1783" s="6">
        <v>2801</v>
      </c>
      <c r="D1783" s="6">
        <v>2976</v>
      </c>
      <c r="E1783" s="6">
        <v>2922</v>
      </c>
      <c r="F1783" t="str">
        <f t="shared" si="757"/>
        <v>WED</v>
      </c>
      <c r="G1783" s="3">
        <f t="shared" si="758"/>
        <v>43971</v>
      </c>
      <c r="H1783" s="2">
        <f t="shared" ca="1" si="759"/>
        <v>282</v>
      </c>
      <c r="I1783" t="str">
        <f t="shared" si="760"/>
        <v>SPX</v>
      </c>
      <c r="J1783">
        <f t="shared" si="761"/>
        <v>2801</v>
      </c>
      <c r="K1783">
        <f t="shared" si="762"/>
        <v>2976</v>
      </c>
      <c r="L1783">
        <f t="shared" si="763"/>
        <v>2888.5</v>
      </c>
      <c r="M1783">
        <f t="shared" si="764"/>
        <v>87.5</v>
      </c>
      <c r="N1783">
        <f t="shared" si="744"/>
        <v>175</v>
      </c>
      <c r="O1783">
        <f t="shared" si="765"/>
        <v>2922</v>
      </c>
      <c r="P1783">
        <f t="shared" si="766"/>
        <v>0.38285714285714284</v>
      </c>
      <c r="Q1783" t="str">
        <f t="shared" si="745"/>
        <v>4.14% | 1.85%</v>
      </c>
      <c r="R1783" t="str">
        <f t="shared" si="767"/>
        <v>BEARISH</v>
      </c>
      <c r="S1783">
        <f t="shared" si="746"/>
        <v>-1</v>
      </c>
    </row>
    <row r="1784" spans="1:19" hidden="1" x14ac:dyDescent="0.25">
      <c r="A1784" s="5" t="str">
        <f t="shared" si="743"/>
        <v>43971RUT</v>
      </c>
      <c r="B1784" s="6" t="s">
        <v>7</v>
      </c>
      <c r="C1784" s="6">
        <v>1217</v>
      </c>
      <c r="D1784" s="6">
        <v>1356</v>
      </c>
      <c r="E1784" s="6">
        <v>1307</v>
      </c>
      <c r="F1784" t="str">
        <f t="shared" si="757"/>
        <v>WED</v>
      </c>
      <c r="G1784" s="3">
        <f t="shared" si="758"/>
        <v>43971</v>
      </c>
      <c r="H1784" s="2">
        <f t="shared" ca="1" si="759"/>
        <v>282</v>
      </c>
      <c r="I1784" t="str">
        <f t="shared" si="760"/>
        <v>RUT</v>
      </c>
      <c r="J1784">
        <f t="shared" si="761"/>
        <v>1217</v>
      </c>
      <c r="K1784">
        <f t="shared" si="762"/>
        <v>1356</v>
      </c>
      <c r="L1784">
        <f t="shared" si="763"/>
        <v>1286.5</v>
      </c>
      <c r="M1784">
        <f t="shared" si="764"/>
        <v>69.5</v>
      </c>
      <c r="N1784">
        <f t="shared" si="744"/>
        <v>139</v>
      </c>
      <c r="O1784">
        <f t="shared" si="765"/>
        <v>1307</v>
      </c>
      <c r="P1784">
        <f t="shared" si="766"/>
        <v>0.29496402877697842</v>
      </c>
      <c r="Q1784" t="str">
        <f t="shared" si="745"/>
        <v>6.89% | 3.75%</v>
      </c>
      <c r="R1784" t="str">
        <f t="shared" si="767"/>
        <v>BEARISH</v>
      </c>
      <c r="S1784">
        <f t="shared" si="746"/>
        <v>-1</v>
      </c>
    </row>
    <row r="1785" spans="1:19" hidden="1" x14ac:dyDescent="0.25">
      <c r="A1785" s="5" t="str">
        <f t="shared" si="743"/>
        <v>43971COMPQ</v>
      </c>
      <c r="B1785" s="6" t="s">
        <v>8</v>
      </c>
      <c r="C1785" s="6">
        <v>8807</v>
      </c>
      <c r="D1785" s="6">
        <v>9303</v>
      </c>
      <c r="E1785" s="6">
        <v>9185</v>
      </c>
      <c r="F1785" t="str">
        <f t="shared" si="757"/>
        <v>WED</v>
      </c>
      <c r="G1785" s="3">
        <f t="shared" si="758"/>
        <v>43971</v>
      </c>
      <c r="H1785" s="2">
        <f t="shared" ca="1" si="759"/>
        <v>282</v>
      </c>
      <c r="I1785" t="str">
        <f t="shared" si="760"/>
        <v>COMPQ</v>
      </c>
      <c r="J1785">
        <f t="shared" si="761"/>
        <v>8807</v>
      </c>
      <c r="K1785">
        <f t="shared" si="762"/>
        <v>9303</v>
      </c>
      <c r="L1785">
        <f t="shared" si="763"/>
        <v>9055</v>
      </c>
      <c r="M1785">
        <f t="shared" si="764"/>
        <v>248</v>
      </c>
      <c r="N1785">
        <f t="shared" si="744"/>
        <v>496</v>
      </c>
      <c r="O1785">
        <f t="shared" si="765"/>
        <v>9185</v>
      </c>
      <c r="P1785">
        <f t="shared" si="766"/>
        <v>0.52419354838709675</v>
      </c>
      <c r="Q1785" t="str">
        <f t="shared" si="745"/>
        <v>4.12% | 1.28%</v>
      </c>
      <c r="R1785" t="str">
        <f t="shared" si="767"/>
        <v>BULLISH</v>
      </c>
      <c r="S1785">
        <f t="shared" si="746"/>
        <v>1</v>
      </c>
    </row>
    <row r="1786" spans="1:19" hidden="1" x14ac:dyDescent="0.25">
      <c r="A1786" s="5" t="str">
        <f t="shared" si="743"/>
        <v>43971XLV</v>
      </c>
      <c r="B1786" s="6" t="s">
        <v>9</v>
      </c>
      <c r="C1786" s="6">
        <v>97.99</v>
      </c>
      <c r="D1786" s="6">
        <v>102.01</v>
      </c>
      <c r="E1786" s="6">
        <v>100.03</v>
      </c>
      <c r="F1786" t="str">
        <f t="shared" si="757"/>
        <v>WED</v>
      </c>
      <c r="G1786" s="3">
        <f t="shared" si="758"/>
        <v>43971</v>
      </c>
      <c r="H1786" s="2">
        <f t="shared" ca="1" si="759"/>
        <v>282</v>
      </c>
      <c r="I1786" t="str">
        <f t="shared" si="760"/>
        <v>XLV</v>
      </c>
      <c r="J1786">
        <f t="shared" si="761"/>
        <v>97.99</v>
      </c>
      <c r="K1786">
        <f t="shared" si="762"/>
        <v>102.01</v>
      </c>
      <c r="L1786">
        <f t="shared" si="763"/>
        <v>100</v>
      </c>
      <c r="M1786">
        <f t="shared" si="764"/>
        <v>2.0100000000000051</v>
      </c>
      <c r="N1786">
        <f t="shared" si="744"/>
        <v>4.0200000000000102</v>
      </c>
      <c r="O1786">
        <f t="shared" si="765"/>
        <v>100.03</v>
      </c>
      <c r="P1786">
        <f t="shared" si="766"/>
        <v>1.4925373134328885E-2</v>
      </c>
      <c r="Q1786" t="str">
        <f t="shared" si="745"/>
        <v>2.04% | 1.98%</v>
      </c>
      <c r="R1786" t="str">
        <f t="shared" si="767"/>
        <v>BULLISH</v>
      </c>
      <c r="S1786">
        <f t="shared" si="746"/>
        <v>1</v>
      </c>
    </row>
    <row r="1787" spans="1:19" hidden="1" x14ac:dyDescent="0.25">
      <c r="A1787" s="5" t="str">
        <f t="shared" si="743"/>
        <v>43971XLK</v>
      </c>
      <c r="B1787" s="6" t="s">
        <v>10</v>
      </c>
      <c r="C1787" s="6">
        <v>90.69</v>
      </c>
      <c r="D1787" s="6">
        <v>96.59</v>
      </c>
      <c r="E1787" s="6">
        <v>95.41</v>
      </c>
      <c r="F1787" t="str">
        <f t="shared" si="757"/>
        <v>WED</v>
      </c>
      <c r="G1787" s="3">
        <f t="shared" si="758"/>
        <v>43971</v>
      </c>
      <c r="H1787" s="2">
        <f t="shared" ca="1" si="759"/>
        <v>282</v>
      </c>
      <c r="I1787" t="str">
        <f t="shared" si="760"/>
        <v>XLK</v>
      </c>
      <c r="J1787">
        <f t="shared" si="761"/>
        <v>90.69</v>
      </c>
      <c r="K1787">
        <f t="shared" si="762"/>
        <v>96.59</v>
      </c>
      <c r="L1787">
        <f t="shared" si="763"/>
        <v>93.64</v>
      </c>
      <c r="M1787">
        <f t="shared" si="764"/>
        <v>2.9500000000000028</v>
      </c>
      <c r="N1787">
        <f t="shared" si="744"/>
        <v>5.9000000000000057</v>
      </c>
      <c r="O1787">
        <f t="shared" si="765"/>
        <v>95.41</v>
      </c>
      <c r="P1787">
        <f t="shared" si="766"/>
        <v>0.59999999999999809</v>
      </c>
      <c r="Q1787" t="str">
        <f t="shared" si="745"/>
        <v>4.95% | 1.24%</v>
      </c>
      <c r="R1787" t="str">
        <f t="shared" si="767"/>
        <v>BULLISH</v>
      </c>
      <c r="S1787">
        <f t="shared" si="746"/>
        <v>1</v>
      </c>
    </row>
    <row r="1788" spans="1:19" hidden="1" x14ac:dyDescent="0.25">
      <c r="A1788" s="5" t="str">
        <f t="shared" si="743"/>
        <v>43971XLP</v>
      </c>
      <c r="B1788" s="6" t="s">
        <v>11</v>
      </c>
      <c r="C1788" s="6">
        <v>56.25</v>
      </c>
      <c r="D1788" s="6">
        <v>58.55</v>
      </c>
      <c r="E1788" s="6">
        <v>57.23</v>
      </c>
      <c r="F1788" t="str">
        <f t="shared" si="757"/>
        <v>WED</v>
      </c>
      <c r="G1788" s="3">
        <f t="shared" si="758"/>
        <v>43971</v>
      </c>
      <c r="H1788" s="2">
        <f t="shared" ca="1" si="759"/>
        <v>282</v>
      </c>
      <c r="I1788" t="str">
        <f t="shared" si="760"/>
        <v>XLP</v>
      </c>
      <c r="J1788">
        <f t="shared" si="761"/>
        <v>56.25</v>
      </c>
      <c r="K1788">
        <f t="shared" si="762"/>
        <v>58.55</v>
      </c>
      <c r="L1788">
        <f t="shared" si="763"/>
        <v>57.4</v>
      </c>
      <c r="M1788">
        <f t="shared" si="764"/>
        <v>1.1499999999999986</v>
      </c>
      <c r="N1788">
        <f t="shared" si="744"/>
        <v>2.2999999999999972</v>
      </c>
      <c r="O1788">
        <f t="shared" si="765"/>
        <v>57.23</v>
      </c>
      <c r="P1788">
        <f t="shared" si="766"/>
        <v>-0.14782608695652341</v>
      </c>
      <c r="Q1788" t="str">
        <f t="shared" si="745"/>
        <v>1.71% | 2.31%</v>
      </c>
      <c r="R1788" t="str">
        <f t="shared" si="767"/>
        <v>BEARISH</v>
      </c>
      <c r="S1788">
        <f t="shared" si="746"/>
        <v>-1</v>
      </c>
    </row>
    <row r="1789" spans="1:19" hidden="1" x14ac:dyDescent="0.25">
      <c r="A1789" s="5" t="str">
        <f t="shared" si="743"/>
        <v>43971XLF</v>
      </c>
      <c r="B1789" s="6" t="s">
        <v>12</v>
      </c>
      <c r="C1789" s="6">
        <v>20.329999999999998</v>
      </c>
      <c r="D1789" s="6">
        <v>22.6</v>
      </c>
      <c r="E1789" s="6">
        <v>21.59</v>
      </c>
      <c r="F1789" t="str">
        <f t="shared" si="757"/>
        <v>WED</v>
      </c>
      <c r="G1789" s="3">
        <f t="shared" si="758"/>
        <v>43971</v>
      </c>
      <c r="H1789" s="2">
        <f t="shared" ca="1" si="759"/>
        <v>282</v>
      </c>
      <c r="I1789" t="str">
        <f t="shared" si="760"/>
        <v>XLF</v>
      </c>
      <c r="J1789">
        <f t="shared" si="761"/>
        <v>20.329999999999998</v>
      </c>
      <c r="K1789">
        <f t="shared" si="762"/>
        <v>22.6</v>
      </c>
      <c r="L1789">
        <f t="shared" si="763"/>
        <v>21.465</v>
      </c>
      <c r="M1789">
        <f t="shared" si="764"/>
        <v>1.1350000000000016</v>
      </c>
      <c r="N1789">
        <f t="shared" si="744"/>
        <v>2.2700000000000031</v>
      </c>
      <c r="O1789">
        <f t="shared" si="765"/>
        <v>21.59</v>
      </c>
      <c r="P1789">
        <f t="shared" si="766"/>
        <v>0.11013215859030821</v>
      </c>
      <c r="Q1789" t="str">
        <f t="shared" si="745"/>
        <v>5.84% | 4.68%</v>
      </c>
      <c r="R1789" t="str">
        <f t="shared" si="767"/>
        <v>BEARISH</v>
      </c>
      <c r="S1789">
        <f t="shared" si="746"/>
        <v>-1</v>
      </c>
    </row>
    <row r="1790" spans="1:19" hidden="1" x14ac:dyDescent="0.25">
      <c r="A1790" s="5" t="str">
        <f t="shared" si="743"/>
        <v>43971XLI</v>
      </c>
      <c r="B1790" s="6" t="s">
        <v>13</v>
      </c>
      <c r="C1790" s="6">
        <v>58.06</v>
      </c>
      <c r="D1790" s="6">
        <v>64.5</v>
      </c>
      <c r="E1790" s="6">
        <v>62.57</v>
      </c>
      <c r="F1790" t="str">
        <f t="shared" si="757"/>
        <v>WED</v>
      </c>
      <c r="G1790" s="3">
        <f t="shared" si="758"/>
        <v>43971</v>
      </c>
      <c r="H1790" s="2">
        <f t="shared" ca="1" si="759"/>
        <v>282</v>
      </c>
      <c r="I1790" t="str">
        <f t="shared" si="760"/>
        <v>XLI</v>
      </c>
      <c r="J1790">
        <f t="shared" si="761"/>
        <v>58.06</v>
      </c>
      <c r="K1790">
        <f t="shared" si="762"/>
        <v>64.5</v>
      </c>
      <c r="L1790">
        <f t="shared" si="763"/>
        <v>61.28</v>
      </c>
      <c r="M1790">
        <f t="shared" si="764"/>
        <v>3.2199999999999989</v>
      </c>
      <c r="N1790">
        <f t="shared" si="744"/>
        <v>6.4399999999999977</v>
      </c>
      <c r="O1790">
        <f t="shared" si="765"/>
        <v>62.57</v>
      </c>
      <c r="P1790">
        <f t="shared" si="766"/>
        <v>0.40062111801242223</v>
      </c>
      <c r="Q1790" t="str">
        <f t="shared" si="745"/>
        <v>7.21% | 3.08%</v>
      </c>
      <c r="R1790" t="str">
        <f t="shared" si="767"/>
        <v>BEARISH</v>
      </c>
      <c r="S1790">
        <f t="shared" si="746"/>
        <v>-1</v>
      </c>
    </row>
    <row r="1791" spans="1:19" hidden="1" x14ac:dyDescent="0.25">
      <c r="A1791" s="5" t="str">
        <f t="shared" si="743"/>
        <v>43971SSEC</v>
      </c>
      <c r="B1791" s="6" t="s">
        <v>14</v>
      </c>
      <c r="C1791" s="6">
        <v>2856</v>
      </c>
      <c r="D1791" s="6">
        <v>2910</v>
      </c>
      <c r="E1791" s="6">
        <v>2883</v>
      </c>
      <c r="F1791" t="str">
        <f t="shared" si="757"/>
        <v>WED</v>
      </c>
      <c r="G1791" s="3">
        <f t="shared" si="758"/>
        <v>43971</v>
      </c>
      <c r="H1791" s="2">
        <f t="shared" ca="1" si="759"/>
        <v>282</v>
      </c>
      <c r="I1791" t="str">
        <f t="shared" si="760"/>
        <v>SSEC</v>
      </c>
      <c r="J1791">
        <f t="shared" si="761"/>
        <v>2856</v>
      </c>
      <c r="K1791">
        <f t="shared" si="762"/>
        <v>2910</v>
      </c>
      <c r="L1791">
        <f t="shared" si="763"/>
        <v>2883</v>
      </c>
      <c r="M1791">
        <f t="shared" si="764"/>
        <v>27</v>
      </c>
      <c r="N1791">
        <f t="shared" si="744"/>
        <v>54</v>
      </c>
      <c r="O1791">
        <f t="shared" si="765"/>
        <v>2883</v>
      </c>
      <c r="P1791">
        <f t="shared" si="766"/>
        <v>0</v>
      </c>
      <c r="Q1791" t="str">
        <f t="shared" si="745"/>
        <v>0.94% | 0.94%</v>
      </c>
      <c r="R1791" t="str">
        <f t="shared" si="767"/>
        <v>BEARISH</v>
      </c>
      <c r="S1791">
        <f t="shared" si="746"/>
        <v>-1</v>
      </c>
    </row>
    <row r="1792" spans="1:19" hidden="1" x14ac:dyDescent="0.25">
      <c r="A1792" s="5" t="str">
        <f t="shared" si="743"/>
        <v>43971NIKK</v>
      </c>
      <c r="B1792" s="6" t="s">
        <v>15</v>
      </c>
      <c r="C1792" s="6">
        <v>19646</v>
      </c>
      <c r="D1792" s="6">
        <v>20633</v>
      </c>
      <c r="E1792" s="6">
        <v>20595</v>
      </c>
      <c r="F1792" t="str">
        <f t="shared" si="757"/>
        <v>WED</v>
      </c>
      <c r="G1792" s="3">
        <f t="shared" si="758"/>
        <v>43971</v>
      </c>
      <c r="H1792" s="2">
        <f t="shared" ca="1" si="759"/>
        <v>282</v>
      </c>
      <c r="I1792" t="str">
        <f t="shared" si="760"/>
        <v>NIKK</v>
      </c>
      <c r="J1792">
        <f t="shared" si="761"/>
        <v>19646</v>
      </c>
      <c r="K1792">
        <f t="shared" si="762"/>
        <v>20633</v>
      </c>
      <c r="L1792">
        <f t="shared" si="763"/>
        <v>20139.5</v>
      </c>
      <c r="M1792">
        <f t="shared" si="764"/>
        <v>493.5</v>
      </c>
      <c r="N1792">
        <f t="shared" si="744"/>
        <v>987</v>
      </c>
      <c r="O1792">
        <v>20750</v>
      </c>
      <c r="P1792">
        <f t="shared" si="766"/>
        <v>1.237082066869301</v>
      </c>
      <c r="Q1792" t="str">
        <f t="shared" si="745"/>
        <v>5.32% | 0.56%</v>
      </c>
      <c r="R1792" t="str">
        <f t="shared" si="767"/>
        <v>BEARISH</v>
      </c>
      <c r="S1792">
        <f t="shared" si="746"/>
        <v>-1</v>
      </c>
    </row>
    <row r="1793" spans="1:19" hidden="1" x14ac:dyDescent="0.25">
      <c r="A1793" s="5" t="str">
        <f t="shared" si="743"/>
        <v>43971DAX</v>
      </c>
      <c r="B1793" s="6" t="s">
        <v>16</v>
      </c>
      <c r="C1793" s="6">
        <v>10243</v>
      </c>
      <c r="D1793" s="6">
        <v>11239</v>
      </c>
      <c r="E1793" s="6">
        <v>11072</v>
      </c>
      <c r="F1793" t="str">
        <f t="shared" si="757"/>
        <v>WED</v>
      </c>
      <c r="G1793" s="3">
        <f t="shared" si="758"/>
        <v>43971</v>
      </c>
      <c r="H1793" s="2">
        <f t="shared" ca="1" si="759"/>
        <v>282</v>
      </c>
      <c r="I1793" t="str">
        <f t="shared" si="760"/>
        <v>DAX</v>
      </c>
      <c r="J1793">
        <f t="shared" si="761"/>
        <v>10243</v>
      </c>
      <c r="K1793">
        <f t="shared" si="762"/>
        <v>11239</v>
      </c>
      <c r="L1793">
        <f t="shared" si="763"/>
        <v>10741</v>
      </c>
      <c r="M1793">
        <f t="shared" si="764"/>
        <v>498</v>
      </c>
      <c r="N1793">
        <f t="shared" si="744"/>
        <v>996</v>
      </c>
      <c r="O1793">
        <v>11134</v>
      </c>
      <c r="P1793">
        <f t="shared" si="766"/>
        <v>0.78915662650602414</v>
      </c>
      <c r="Q1793" t="str">
        <f t="shared" si="745"/>
        <v>8% | 0.94%</v>
      </c>
      <c r="R1793" t="str">
        <f t="shared" si="767"/>
        <v>BEARISH</v>
      </c>
      <c r="S1793">
        <f t="shared" si="746"/>
        <v>-1</v>
      </c>
    </row>
    <row r="1794" spans="1:19" hidden="1" x14ac:dyDescent="0.25">
      <c r="A1794" s="5" t="str">
        <f t="shared" si="743"/>
        <v>43971VIX</v>
      </c>
      <c r="B1794" s="6" t="s">
        <v>17</v>
      </c>
      <c r="C1794" s="6">
        <v>26.46</v>
      </c>
      <c r="D1794" s="6">
        <v>37.85</v>
      </c>
      <c r="E1794" s="6">
        <v>30.53</v>
      </c>
      <c r="F1794" t="str">
        <f t="shared" si="757"/>
        <v>WED</v>
      </c>
      <c r="G1794" s="3">
        <f t="shared" si="758"/>
        <v>43971</v>
      </c>
      <c r="H1794" s="2">
        <f t="shared" ca="1" si="759"/>
        <v>282</v>
      </c>
      <c r="I1794" t="str">
        <f t="shared" si="760"/>
        <v>VIX</v>
      </c>
      <c r="J1794">
        <f t="shared" si="761"/>
        <v>26.46</v>
      </c>
      <c r="K1794">
        <f t="shared" si="762"/>
        <v>37.85</v>
      </c>
      <c r="L1794">
        <f t="shared" si="763"/>
        <v>32.155000000000001</v>
      </c>
      <c r="M1794">
        <f t="shared" si="764"/>
        <v>5.6950000000000038</v>
      </c>
      <c r="N1794">
        <f t="shared" si="744"/>
        <v>11.39</v>
      </c>
      <c r="O1794">
        <v>28.19</v>
      </c>
      <c r="P1794">
        <f t="shared" si="766"/>
        <v>-0.69622475856013999</v>
      </c>
      <c r="Q1794" t="str">
        <f t="shared" si="745"/>
        <v>6.14% | 34.27%</v>
      </c>
      <c r="R1794" t="str">
        <f t="shared" si="767"/>
        <v>BULLISH</v>
      </c>
      <c r="S1794">
        <f t="shared" si="746"/>
        <v>1</v>
      </c>
    </row>
    <row r="1795" spans="1:19" hidden="1" x14ac:dyDescent="0.25">
      <c r="A1795" s="5" t="str">
        <f t="shared" ref="A1795:A1858" si="768">G1795&amp;I1795</f>
        <v>43971USD</v>
      </c>
      <c r="B1795" s="6" t="s">
        <v>18</v>
      </c>
      <c r="C1795" s="6">
        <v>99.01</v>
      </c>
      <c r="D1795" s="6">
        <v>100.84</v>
      </c>
      <c r="E1795" s="6">
        <v>99.37</v>
      </c>
      <c r="F1795" t="str">
        <f t="shared" si="757"/>
        <v>WED</v>
      </c>
      <c r="G1795" s="3">
        <f t="shared" si="758"/>
        <v>43971</v>
      </c>
      <c r="H1795" s="2">
        <f t="shared" ca="1" si="759"/>
        <v>282</v>
      </c>
      <c r="I1795" t="str">
        <f t="shared" si="760"/>
        <v>USD</v>
      </c>
      <c r="J1795">
        <f t="shared" si="761"/>
        <v>99.01</v>
      </c>
      <c r="K1795">
        <f t="shared" si="762"/>
        <v>100.84</v>
      </c>
      <c r="L1795">
        <f t="shared" si="763"/>
        <v>99.925000000000011</v>
      </c>
      <c r="M1795">
        <f t="shared" si="764"/>
        <v>0.91499999999999915</v>
      </c>
      <c r="N1795">
        <f t="shared" ref="N1795:N1858" si="769">ABS(K1795-J1795)</f>
        <v>1.8299999999999983</v>
      </c>
      <c r="O1795">
        <f t="shared" si="765"/>
        <v>99.37</v>
      </c>
      <c r="P1795">
        <f t="shared" si="766"/>
        <v>-0.60655737704918833</v>
      </c>
      <c r="Q1795" t="str">
        <f t="shared" ref="Q1795:Q1858" si="770">ROUND(ABS(100*(O1795-J1795)/O1795),2)&amp;"% | "&amp;ROUND(ABS(100*(K1795-O1795)/O1795),2)&amp;"%"</f>
        <v>0.36% | 1.48%</v>
      </c>
      <c r="R1795" t="str">
        <f t="shared" si="767"/>
        <v>BULLISH</v>
      </c>
      <c r="S1795">
        <f t="shared" ref="S1795:S1858" si="771">IF(R1795="BEARISH",-1,IF(R1795="NEUTRAL",0,IF(R1795="BULLISH",1,99)))</f>
        <v>1</v>
      </c>
    </row>
    <row r="1796" spans="1:19" hidden="1" x14ac:dyDescent="0.25">
      <c r="A1796" s="5" t="str">
        <f t="shared" si="768"/>
        <v>43971EUR/USD</v>
      </c>
      <c r="B1796" s="6" t="s">
        <v>19</v>
      </c>
      <c r="C1796" s="6">
        <v>1.07</v>
      </c>
      <c r="D1796" s="6">
        <v>1.0900000000000001</v>
      </c>
      <c r="E1796" s="6">
        <v>1.0900000000000001</v>
      </c>
      <c r="F1796" t="str">
        <f t="shared" si="757"/>
        <v>WED</v>
      </c>
      <c r="G1796" s="3">
        <f t="shared" si="758"/>
        <v>43971</v>
      </c>
      <c r="H1796" s="2">
        <f t="shared" ca="1" si="759"/>
        <v>282</v>
      </c>
      <c r="I1796" t="str">
        <f t="shared" si="760"/>
        <v>EUR/USD</v>
      </c>
      <c r="J1796">
        <f t="shared" si="761"/>
        <v>1.07</v>
      </c>
      <c r="K1796">
        <f t="shared" si="762"/>
        <v>1.0900000000000001</v>
      </c>
      <c r="L1796">
        <f t="shared" si="763"/>
        <v>1.08</v>
      </c>
      <c r="M1796">
        <f t="shared" si="764"/>
        <v>1.0000000000000009E-2</v>
      </c>
      <c r="N1796">
        <f t="shared" si="769"/>
        <v>2.0000000000000018E-2</v>
      </c>
      <c r="O1796">
        <f t="shared" si="765"/>
        <v>1.0900000000000001</v>
      </c>
      <c r="P1796">
        <f t="shared" si="766"/>
        <v>1</v>
      </c>
      <c r="Q1796" t="str">
        <f t="shared" si="770"/>
        <v>1.83% | 0%</v>
      </c>
      <c r="R1796" t="str">
        <f t="shared" si="767"/>
        <v>BEARISH</v>
      </c>
      <c r="S1796">
        <f t="shared" si="771"/>
        <v>-1</v>
      </c>
    </row>
    <row r="1797" spans="1:19" hidden="1" x14ac:dyDescent="0.25">
      <c r="A1797" s="5" t="str">
        <f t="shared" si="768"/>
        <v>43971USD/JPY</v>
      </c>
      <c r="B1797" s="6" t="s">
        <v>20</v>
      </c>
      <c r="C1797" s="6">
        <v>105.99</v>
      </c>
      <c r="D1797" s="6">
        <v>107.99</v>
      </c>
      <c r="E1797" s="6">
        <v>107.71</v>
      </c>
      <c r="F1797" t="str">
        <f t="shared" si="757"/>
        <v>WED</v>
      </c>
      <c r="G1797" s="3">
        <f t="shared" si="758"/>
        <v>43971</v>
      </c>
      <c r="H1797" s="2">
        <f t="shared" ca="1" si="759"/>
        <v>282</v>
      </c>
      <c r="I1797" t="str">
        <f t="shared" si="760"/>
        <v>USD/JPY</v>
      </c>
      <c r="J1797">
        <f t="shared" si="761"/>
        <v>105.99</v>
      </c>
      <c r="K1797">
        <f t="shared" si="762"/>
        <v>107.99</v>
      </c>
      <c r="L1797">
        <f t="shared" si="763"/>
        <v>106.99</v>
      </c>
      <c r="M1797">
        <f t="shared" si="764"/>
        <v>1</v>
      </c>
      <c r="N1797">
        <f t="shared" si="769"/>
        <v>2</v>
      </c>
      <c r="O1797">
        <f t="shared" si="765"/>
        <v>107.71</v>
      </c>
      <c r="P1797">
        <f t="shared" si="766"/>
        <v>0.71999999999999886</v>
      </c>
      <c r="Q1797" t="str">
        <f t="shared" si="770"/>
        <v>1.6% | 0.26%</v>
      </c>
      <c r="R1797" t="str">
        <f t="shared" si="767"/>
        <v>BEARISH</v>
      </c>
      <c r="S1797">
        <f t="shared" si="771"/>
        <v>-1</v>
      </c>
    </row>
    <row r="1798" spans="1:19" hidden="1" x14ac:dyDescent="0.25">
      <c r="A1798" s="5" t="str">
        <f t="shared" si="768"/>
        <v>43971GBP/USD</v>
      </c>
      <c r="B1798" s="6" t="s">
        <v>21</v>
      </c>
      <c r="C1798" s="6">
        <v>1.21</v>
      </c>
      <c r="D1798" s="6">
        <v>1.23</v>
      </c>
      <c r="E1798" s="6">
        <v>1.22</v>
      </c>
      <c r="F1798" t="str">
        <f t="shared" si="757"/>
        <v>WED</v>
      </c>
      <c r="G1798" s="3">
        <f t="shared" si="758"/>
        <v>43971</v>
      </c>
      <c r="H1798" s="2">
        <f t="shared" ca="1" si="759"/>
        <v>282</v>
      </c>
      <c r="I1798" t="str">
        <f t="shared" si="760"/>
        <v>GBP/USD</v>
      </c>
      <c r="J1798">
        <f t="shared" si="761"/>
        <v>1.21</v>
      </c>
      <c r="K1798">
        <f t="shared" si="762"/>
        <v>1.23</v>
      </c>
      <c r="L1798">
        <f t="shared" si="763"/>
        <v>1.22</v>
      </c>
      <c r="M1798">
        <f t="shared" si="764"/>
        <v>1.0000000000000009E-2</v>
      </c>
      <c r="N1798">
        <f t="shared" si="769"/>
        <v>2.0000000000000018E-2</v>
      </c>
      <c r="O1798">
        <f t="shared" si="765"/>
        <v>1.22</v>
      </c>
      <c r="P1798">
        <f t="shared" si="766"/>
        <v>0</v>
      </c>
      <c r="Q1798" t="str">
        <f t="shared" si="770"/>
        <v>0.82% | 0.82%</v>
      </c>
      <c r="R1798" t="str">
        <f t="shared" si="767"/>
        <v>BEARISH</v>
      </c>
      <c r="S1798">
        <f t="shared" si="771"/>
        <v>-1</v>
      </c>
    </row>
    <row r="1799" spans="1:19" hidden="1" x14ac:dyDescent="0.25">
      <c r="A1799" s="5" t="str">
        <f t="shared" si="768"/>
        <v>43971USD/CHF</v>
      </c>
      <c r="B1799" s="6" t="s">
        <v>22</v>
      </c>
      <c r="C1799" s="6">
        <v>0.96</v>
      </c>
      <c r="D1799" s="6">
        <v>0.98</v>
      </c>
      <c r="E1799" s="6">
        <v>0.97</v>
      </c>
      <c r="F1799" t="str">
        <f t="shared" si="757"/>
        <v>WED</v>
      </c>
      <c r="G1799" s="3">
        <f t="shared" si="758"/>
        <v>43971</v>
      </c>
      <c r="H1799" s="2">
        <f t="shared" ca="1" si="759"/>
        <v>282</v>
      </c>
      <c r="I1799" t="str">
        <f t="shared" si="760"/>
        <v>USD/CHF</v>
      </c>
      <c r="J1799">
        <f t="shared" si="761"/>
        <v>0.96</v>
      </c>
      <c r="K1799">
        <f t="shared" si="762"/>
        <v>0.98</v>
      </c>
      <c r="L1799">
        <f t="shared" si="763"/>
        <v>0.97</v>
      </c>
      <c r="M1799">
        <f t="shared" si="764"/>
        <v>1.0000000000000009E-2</v>
      </c>
      <c r="N1799">
        <f t="shared" si="769"/>
        <v>2.0000000000000018E-2</v>
      </c>
      <c r="O1799">
        <f t="shared" si="765"/>
        <v>0.97</v>
      </c>
      <c r="P1799">
        <f t="shared" si="766"/>
        <v>0</v>
      </c>
      <c r="Q1799" t="str">
        <f t="shared" si="770"/>
        <v>1.03% | 1.03%</v>
      </c>
      <c r="R1799" t="str">
        <f t="shared" si="767"/>
        <v>NEUTRAL</v>
      </c>
      <c r="S1799">
        <f t="shared" si="771"/>
        <v>0</v>
      </c>
    </row>
    <row r="1800" spans="1:19" hidden="1" x14ac:dyDescent="0.25">
      <c r="A1800" s="5" t="str">
        <f t="shared" si="768"/>
        <v>43971WTIC</v>
      </c>
      <c r="B1800" s="6" t="s">
        <v>23</v>
      </c>
      <c r="C1800" s="6">
        <v>22.39</v>
      </c>
      <c r="D1800" s="6">
        <v>32.96</v>
      </c>
      <c r="E1800" s="6">
        <v>31.96</v>
      </c>
      <c r="F1800" t="str">
        <f t="shared" si="757"/>
        <v>WED</v>
      </c>
      <c r="G1800" s="3">
        <f t="shared" si="758"/>
        <v>43971</v>
      </c>
      <c r="H1800" s="2">
        <f t="shared" ca="1" si="759"/>
        <v>282</v>
      </c>
      <c r="I1800" t="str">
        <f t="shared" si="760"/>
        <v>WTIC</v>
      </c>
      <c r="J1800">
        <f t="shared" si="761"/>
        <v>22.39</v>
      </c>
      <c r="K1800">
        <f t="shared" si="762"/>
        <v>32.96</v>
      </c>
      <c r="L1800">
        <f t="shared" si="763"/>
        <v>27.675000000000001</v>
      </c>
      <c r="M1800">
        <f t="shared" si="764"/>
        <v>5.2850000000000037</v>
      </c>
      <c r="N1800">
        <f t="shared" si="769"/>
        <v>10.57</v>
      </c>
      <c r="O1800">
        <f t="shared" si="765"/>
        <v>31.96</v>
      </c>
      <c r="P1800">
        <f t="shared" si="766"/>
        <v>0.8107852412488169</v>
      </c>
      <c r="Q1800" t="str">
        <f t="shared" si="770"/>
        <v>29.94% | 3.13%</v>
      </c>
      <c r="R1800" t="str">
        <f t="shared" si="767"/>
        <v>BEARISH</v>
      </c>
      <c r="S1800">
        <f t="shared" si="771"/>
        <v>-1</v>
      </c>
    </row>
    <row r="1801" spans="1:19" hidden="1" x14ac:dyDescent="0.25">
      <c r="A1801" s="5" t="str">
        <f t="shared" si="768"/>
        <v>43971NATGAS</v>
      </c>
      <c r="B1801" s="6" t="s">
        <v>24</v>
      </c>
      <c r="C1801" s="6">
        <v>1.55</v>
      </c>
      <c r="D1801" s="6">
        <v>1.92</v>
      </c>
      <c r="E1801" s="6">
        <v>1.83</v>
      </c>
      <c r="F1801" t="str">
        <f t="shared" si="757"/>
        <v>WED</v>
      </c>
      <c r="G1801" s="3">
        <f t="shared" si="758"/>
        <v>43971</v>
      </c>
      <c r="H1801" s="2">
        <f t="shared" ca="1" si="759"/>
        <v>282</v>
      </c>
      <c r="I1801" t="str">
        <f t="shared" si="760"/>
        <v>NATGAS</v>
      </c>
      <c r="J1801">
        <f t="shared" si="761"/>
        <v>1.55</v>
      </c>
      <c r="K1801">
        <f t="shared" si="762"/>
        <v>1.92</v>
      </c>
      <c r="L1801">
        <f t="shared" si="763"/>
        <v>1.7349999999999999</v>
      </c>
      <c r="M1801">
        <f t="shared" si="764"/>
        <v>0.18500000000000166</v>
      </c>
      <c r="N1801">
        <f t="shared" si="769"/>
        <v>0.36999999999999988</v>
      </c>
      <c r="O1801">
        <v>1.9450000000000001</v>
      </c>
      <c r="P1801">
        <f t="shared" si="766"/>
        <v>1.135135135135126</v>
      </c>
      <c r="Q1801" t="str">
        <f t="shared" si="770"/>
        <v>20.31% | 1.29%</v>
      </c>
      <c r="R1801" t="str">
        <f t="shared" si="767"/>
        <v>BEARISH</v>
      </c>
      <c r="S1801">
        <f t="shared" si="771"/>
        <v>-1</v>
      </c>
    </row>
    <row r="1802" spans="1:19" hidden="1" x14ac:dyDescent="0.25">
      <c r="A1802" s="5" t="str">
        <f t="shared" si="768"/>
        <v>43971GOLD</v>
      </c>
      <c r="B1802" s="6" t="s">
        <v>25</v>
      </c>
      <c r="C1802" s="6">
        <v>1711</v>
      </c>
      <c r="D1802" s="6">
        <v>1766</v>
      </c>
      <c r="E1802" s="6">
        <v>1745</v>
      </c>
      <c r="F1802" t="str">
        <f t="shared" si="757"/>
        <v>WED</v>
      </c>
      <c r="G1802" s="3">
        <f t="shared" si="758"/>
        <v>43971</v>
      </c>
      <c r="H1802" s="2">
        <f t="shared" ca="1" si="759"/>
        <v>282</v>
      </c>
      <c r="I1802" t="str">
        <f t="shared" si="760"/>
        <v>GOLD</v>
      </c>
      <c r="J1802">
        <f t="shared" si="761"/>
        <v>1711</v>
      </c>
      <c r="K1802">
        <f t="shared" si="762"/>
        <v>1766</v>
      </c>
      <c r="L1802">
        <f t="shared" si="763"/>
        <v>1738.5</v>
      </c>
      <c r="M1802">
        <f t="shared" si="764"/>
        <v>27.5</v>
      </c>
      <c r="N1802">
        <f t="shared" si="769"/>
        <v>55</v>
      </c>
      <c r="O1802">
        <v>1745</v>
      </c>
      <c r="P1802">
        <f t="shared" si="766"/>
        <v>0.23636363636363636</v>
      </c>
      <c r="Q1802" t="str">
        <f t="shared" si="770"/>
        <v>1.95% | 1.2%</v>
      </c>
      <c r="R1802" t="str">
        <f t="shared" si="767"/>
        <v>BULLISH</v>
      </c>
      <c r="S1802">
        <f t="shared" si="771"/>
        <v>1</v>
      </c>
    </row>
    <row r="1803" spans="1:19" hidden="1" x14ac:dyDescent="0.25">
      <c r="A1803" s="5" t="str">
        <f t="shared" si="768"/>
        <v>43971COPPER</v>
      </c>
      <c r="B1803" s="6" t="s">
        <v>26</v>
      </c>
      <c r="C1803" s="6">
        <v>2.31</v>
      </c>
      <c r="D1803" s="6">
        <v>2.4300000000000002</v>
      </c>
      <c r="E1803" s="6">
        <v>2.42</v>
      </c>
      <c r="F1803" t="str">
        <f t="shared" si="757"/>
        <v>WED</v>
      </c>
      <c r="G1803" s="3">
        <f t="shared" si="758"/>
        <v>43971</v>
      </c>
      <c r="H1803" s="2">
        <f t="shared" ca="1" si="759"/>
        <v>282</v>
      </c>
      <c r="I1803" t="str">
        <f t="shared" si="760"/>
        <v>COPPER</v>
      </c>
      <c r="J1803">
        <f t="shared" si="761"/>
        <v>2.31</v>
      </c>
      <c r="K1803">
        <f t="shared" si="762"/>
        <v>2.4300000000000002</v>
      </c>
      <c r="L1803">
        <f t="shared" si="763"/>
        <v>2.37</v>
      </c>
      <c r="M1803">
        <f t="shared" si="764"/>
        <v>6.0000000000000053E-2</v>
      </c>
      <c r="N1803">
        <f t="shared" si="769"/>
        <v>0.12000000000000011</v>
      </c>
      <c r="O1803">
        <f t="shared" si="765"/>
        <v>2.42</v>
      </c>
      <c r="P1803">
        <f t="shared" si="766"/>
        <v>0.8333333333333296</v>
      </c>
      <c r="Q1803" t="str">
        <f t="shared" si="770"/>
        <v>4.55% | 0.41%</v>
      </c>
      <c r="R1803" t="str">
        <f t="shared" si="767"/>
        <v>BEARISH</v>
      </c>
      <c r="S1803">
        <f t="shared" si="771"/>
        <v>-1</v>
      </c>
    </row>
    <row r="1804" spans="1:19" hidden="1" x14ac:dyDescent="0.25">
      <c r="A1804" s="5" t="str">
        <f t="shared" si="768"/>
        <v>43971MSFT</v>
      </c>
      <c r="B1804" s="6" t="s">
        <v>27</v>
      </c>
      <c r="C1804" s="6">
        <v>178</v>
      </c>
      <c r="D1804" s="6">
        <v>187</v>
      </c>
      <c r="E1804" s="6">
        <v>183</v>
      </c>
      <c r="F1804" t="str">
        <f t="shared" si="757"/>
        <v>WED</v>
      </c>
      <c r="G1804" s="3">
        <f t="shared" si="758"/>
        <v>43971</v>
      </c>
      <c r="H1804" s="2">
        <f t="shared" ca="1" si="759"/>
        <v>282</v>
      </c>
      <c r="I1804" t="str">
        <f t="shared" si="760"/>
        <v>MSFT</v>
      </c>
      <c r="J1804">
        <f t="shared" si="761"/>
        <v>178</v>
      </c>
      <c r="K1804">
        <f t="shared" si="762"/>
        <v>187</v>
      </c>
      <c r="L1804">
        <f t="shared" si="763"/>
        <v>182.5</v>
      </c>
      <c r="M1804">
        <f t="shared" si="764"/>
        <v>4.5</v>
      </c>
      <c r="N1804">
        <f t="shared" si="769"/>
        <v>9</v>
      </c>
      <c r="O1804">
        <f t="shared" si="765"/>
        <v>183</v>
      </c>
      <c r="P1804">
        <f t="shared" si="766"/>
        <v>0.1111111111111111</v>
      </c>
      <c r="Q1804" t="str">
        <f t="shared" si="770"/>
        <v>2.73% | 2.19%</v>
      </c>
      <c r="R1804" t="str">
        <f t="shared" si="767"/>
        <v>BULLISH</v>
      </c>
      <c r="S1804">
        <f t="shared" si="771"/>
        <v>1</v>
      </c>
    </row>
    <row r="1805" spans="1:19" hidden="1" x14ac:dyDescent="0.25">
      <c r="A1805" s="5" t="str">
        <f t="shared" si="768"/>
        <v>43971AAPL</v>
      </c>
      <c r="B1805" s="6" t="s">
        <v>28</v>
      </c>
      <c r="C1805" s="6">
        <v>300</v>
      </c>
      <c r="D1805" s="6">
        <v>318</v>
      </c>
      <c r="E1805" s="6">
        <v>313</v>
      </c>
      <c r="F1805" t="str">
        <f t="shared" si="757"/>
        <v>WED</v>
      </c>
      <c r="G1805" s="3">
        <f t="shared" si="758"/>
        <v>43971</v>
      </c>
      <c r="H1805" s="2">
        <f t="shared" ca="1" si="759"/>
        <v>282</v>
      </c>
      <c r="I1805" t="str">
        <f t="shared" si="760"/>
        <v>AAPL</v>
      </c>
      <c r="J1805">
        <f t="shared" si="761"/>
        <v>300</v>
      </c>
      <c r="K1805">
        <f t="shared" si="762"/>
        <v>318</v>
      </c>
      <c r="L1805">
        <f t="shared" si="763"/>
        <v>309</v>
      </c>
      <c r="M1805">
        <f t="shared" si="764"/>
        <v>9</v>
      </c>
      <c r="N1805">
        <f t="shared" si="769"/>
        <v>18</v>
      </c>
      <c r="O1805">
        <f t="shared" si="765"/>
        <v>313</v>
      </c>
      <c r="P1805">
        <f t="shared" si="766"/>
        <v>0.44444444444444442</v>
      </c>
      <c r="Q1805" t="str">
        <f t="shared" si="770"/>
        <v>4.15% | 1.6%</v>
      </c>
      <c r="R1805" t="str">
        <f t="shared" si="767"/>
        <v>BULLISH</v>
      </c>
      <c r="S1805">
        <f t="shared" si="771"/>
        <v>1</v>
      </c>
    </row>
    <row r="1806" spans="1:19" hidden="1" x14ac:dyDescent="0.25">
      <c r="A1806" s="5" t="str">
        <f t="shared" si="768"/>
        <v>43971AMZN</v>
      </c>
      <c r="B1806" s="6" t="s">
        <v>29</v>
      </c>
      <c r="C1806" s="6">
        <v>2335</v>
      </c>
      <c r="D1806" s="6">
        <v>2459</v>
      </c>
      <c r="E1806" s="6">
        <v>2449</v>
      </c>
      <c r="F1806" t="str">
        <f t="shared" si="757"/>
        <v>WED</v>
      </c>
      <c r="G1806" s="3">
        <f t="shared" si="758"/>
        <v>43971</v>
      </c>
      <c r="H1806" s="2">
        <f t="shared" ca="1" si="759"/>
        <v>282</v>
      </c>
      <c r="I1806" t="str">
        <f t="shared" si="760"/>
        <v>AMZN</v>
      </c>
      <c r="J1806">
        <f t="shared" si="761"/>
        <v>2335</v>
      </c>
      <c r="K1806">
        <f t="shared" si="762"/>
        <v>2459</v>
      </c>
      <c r="L1806">
        <f t="shared" si="763"/>
        <v>2397</v>
      </c>
      <c r="M1806">
        <f t="shared" si="764"/>
        <v>62</v>
      </c>
      <c r="N1806">
        <f t="shared" si="769"/>
        <v>124</v>
      </c>
      <c r="O1806">
        <f t="shared" si="765"/>
        <v>2449</v>
      </c>
      <c r="P1806">
        <f t="shared" si="766"/>
        <v>0.83870967741935487</v>
      </c>
      <c r="Q1806" t="str">
        <f t="shared" si="770"/>
        <v>4.65% | 0.41%</v>
      </c>
      <c r="R1806" t="str">
        <f t="shared" si="767"/>
        <v>BULLISH</v>
      </c>
      <c r="S1806">
        <f t="shared" si="771"/>
        <v>1</v>
      </c>
    </row>
    <row r="1807" spans="1:19" hidden="1" x14ac:dyDescent="0.25">
      <c r="A1807" s="5" t="str">
        <f t="shared" si="768"/>
        <v>43971FB</v>
      </c>
      <c r="B1807" s="6" t="s">
        <v>30</v>
      </c>
      <c r="C1807" s="6">
        <v>203</v>
      </c>
      <c r="D1807" s="6">
        <v>219</v>
      </c>
      <c r="E1807" s="6">
        <v>216</v>
      </c>
      <c r="F1807" t="str">
        <f t="shared" si="757"/>
        <v>WED</v>
      </c>
      <c r="G1807" s="3">
        <f t="shared" si="758"/>
        <v>43971</v>
      </c>
      <c r="H1807" s="2">
        <f t="shared" ca="1" si="759"/>
        <v>282</v>
      </c>
      <c r="I1807" t="str">
        <f t="shared" si="760"/>
        <v>FB</v>
      </c>
      <c r="J1807">
        <f t="shared" si="761"/>
        <v>203</v>
      </c>
      <c r="K1807">
        <f t="shared" si="762"/>
        <v>219</v>
      </c>
      <c r="L1807">
        <f t="shared" si="763"/>
        <v>211</v>
      </c>
      <c r="M1807">
        <f t="shared" si="764"/>
        <v>8</v>
      </c>
      <c r="N1807">
        <f t="shared" si="769"/>
        <v>16</v>
      </c>
      <c r="O1807">
        <f t="shared" si="765"/>
        <v>216</v>
      </c>
      <c r="P1807">
        <f t="shared" si="766"/>
        <v>0.625</v>
      </c>
      <c r="Q1807" t="str">
        <f t="shared" si="770"/>
        <v>6.02% | 1.39%</v>
      </c>
      <c r="R1807" t="str">
        <f t="shared" si="767"/>
        <v>BULLISH</v>
      </c>
      <c r="S1807">
        <f t="shared" si="771"/>
        <v>1</v>
      </c>
    </row>
    <row r="1808" spans="1:19" hidden="1" x14ac:dyDescent="0.25">
      <c r="A1808" s="5" t="str">
        <f t="shared" si="768"/>
        <v>43971GOOGL</v>
      </c>
      <c r="B1808" s="6" t="s">
        <v>31</v>
      </c>
      <c r="C1808" s="6">
        <v>1320</v>
      </c>
      <c r="D1808" s="6">
        <v>1405</v>
      </c>
      <c r="E1808" s="6">
        <v>1374</v>
      </c>
      <c r="F1808" t="str">
        <f t="shared" si="757"/>
        <v>WED</v>
      </c>
      <c r="G1808" s="3">
        <f t="shared" si="758"/>
        <v>43971</v>
      </c>
      <c r="H1808" s="2">
        <f t="shared" ca="1" si="759"/>
        <v>282</v>
      </c>
      <c r="I1808" t="str">
        <f t="shared" si="760"/>
        <v>GOOGL</v>
      </c>
      <c r="J1808">
        <f t="shared" si="761"/>
        <v>1320</v>
      </c>
      <c r="K1808">
        <f t="shared" si="762"/>
        <v>1405</v>
      </c>
      <c r="L1808">
        <f t="shared" si="763"/>
        <v>1362.5</v>
      </c>
      <c r="M1808">
        <f t="shared" si="764"/>
        <v>42.5</v>
      </c>
      <c r="N1808">
        <f t="shared" si="769"/>
        <v>85</v>
      </c>
      <c r="O1808">
        <f t="shared" si="765"/>
        <v>1374</v>
      </c>
      <c r="P1808">
        <f t="shared" si="766"/>
        <v>0.27058823529411763</v>
      </c>
      <c r="Q1808" t="str">
        <f t="shared" si="770"/>
        <v>3.93% | 2.26%</v>
      </c>
      <c r="R1808" t="str">
        <f t="shared" si="767"/>
        <v>BULLISH</v>
      </c>
      <c r="S1808">
        <f t="shared" si="771"/>
        <v>1</v>
      </c>
    </row>
    <row r="1809" spans="1:19" hidden="1" x14ac:dyDescent="0.25">
      <c r="A1809" s="5" t="str">
        <f t="shared" si="768"/>
        <v>43971NFLX</v>
      </c>
      <c r="B1809" s="6" t="s">
        <v>32</v>
      </c>
      <c r="C1809" s="6">
        <v>426</v>
      </c>
      <c r="D1809" s="6">
        <v>459</v>
      </c>
      <c r="E1809" s="6">
        <v>451</v>
      </c>
      <c r="F1809" t="str">
        <f t="shared" si="757"/>
        <v>WED</v>
      </c>
      <c r="G1809" s="3">
        <f t="shared" si="758"/>
        <v>43971</v>
      </c>
      <c r="H1809" s="2">
        <f t="shared" ca="1" si="759"/>
        <v>282</v>
      </c>
      <c r="I1809" t="str">
        <f t="shared" si="760"/>
        <v>NFLX</v>
      </c>
      <c r="J1809">
        <f t="shared" si="761"/>
        <v>426</v>
      </c>
      <c r="K1809">
        <f t="shared" si="762"/>
        <v>459</v>
      </c>
      <c r="L1809">
        <f t="shared" si="763"/>
        <v>442.5</v>
      </c>
      <c r="M1809">
        <f t="shared" si="764"/>
        <v>16.5</v>
      </c>
      <c r="N1809">
        <f t="shared" si="769"/>
        <v>33</v>
      </c>
      <c r="O1809">
        <f t="shared" si="765"/>
        <v>451</v>
      </c>
      <c r="P1809">
        <f t="shared" si="766"/>
        <v>0.51515151515151514</v>
      </c>
      <c r="Q1809" t="str">
        <f t="shared" si="770"/>
        <v>5.54% | 1.77%</v>
      </c>
      <c r="R1809" t="str">
        <f t="shared" si="767"/>
        <v>BULLISH</v>
      </c>
      <c r="S1809">
        <f t="shared" si="771"/>
        <v>1</v>
      </c>
    </row>
    <row r="1810" spans="1:19" x14ac:dyDescent="0.25">
      <c r="A1810" s="5" t="str">
        <f t="shared" si="768"/>
        <v>43971TSLA</v>
      </c>
      <c r="B1810" s="6" t="s">
        <v>33</v>
      </c>
      <c r="C1810" s="6">
        <v>771</v>
      </c>
      <c r="D1810" s="6">
        <v>828</v>
      </c>
      <c r="E1810" s="6">
        <v>808</v>
      </c>
      <c r="F1810" t="str">
        <f t="shared" si="757"/>
        <v>WED</v>
      </c>
      <c r="G1810" s="3">
        <f t="shared" si="758"/>
        <v>43971</v>
      </c>
      <c r="H1810" s="2">
        <f t="shared" ca="1" si="759"/>
        <v>282</v>
      </c>
      <c r="I1810" t="str">
        <f t="shared" si="760"/>
        <v>TSLA</v>
      </c>
      <c r="J1810">
        <f t="shared" si="761"/>
        <v>771</v>
      </c>
      <c r="K1810">
        <f t="shared" si="762"/>
        <v>828</v>
      </c>
      <c r="L1810">
        <f t="shared" si="763"/>
        <v>799.5</v>
      </c>
      <c r="M1810">
        <f t="shared" si="764"/>
        <v>28.5</v>
      </c>
      <c r="N1810">
        <f t="shared" si="769"/>
        <v>57</v>
      </c>
      <c r="O1810">
        <f t="shared" si="765"/>
        <v>808</v>
      </c>
      <c r="P1810">
        <f t="shared" si="766"/>
        <v>0.2982456140350877</v>
      </c>
      <c r="Q1810" t="str">
        <f t="shared" si="770"/>
        <v>4.58% | 2.48%</v>
      </c>
      <c r="R1810" t="str">
        <f t="shared" si="767"/>
        <v>BULLISH</v>
      </c>
      <c r="S1810">
        <f t="shared" si="771"/>
        <v>1</v>
      </c>
    </row>
    <row r="1811" spans="1:19" hidden="1" x14ac:dyDescent="0.25">
      <c r="A1811" s="5" t="str">
        <f t="shared" si="768"/>
        <v>43971NYXBT</v>
      </c>
      <c r="B1811" s="6" t="s">
        <v>34</v>
      </c>
      <c r="C1811" s="6">
        <v>8797</v>
      </c>
      <c r="D1811" s="6">
        <v>10213</v>
      </c>
      <c r="E1811" s="6">
        <v>9682</v>
      </c>
      <c r="F1811" t="str">
        <f t="shared" si="757"/>
        <v>WED</v>
      </c>
      <c r="G1811" s="3">
        <f t="shared" si="758"/>
        <v>43971</v>
      </c>
      <c r="H1811" s="2">
        <f t="shared" ca="1" si="759"/>
        <v>282</v>
      </c>
      <c r="I1811" t="str">
        <f t="shared" si="760"/>
        <v>NYXBT</v>
      </c>
      <c r="J1811">
        <f t="shared" si="761"/>
        <v>8797</v>
      </c>
      <c r="K1811">
        <f t="shared" si="762"/>
        <v>10213</v>
      </c>
      <c r="L1811">
        <f t="shared" si="763"/>
        <v>9505</v>
      </c>
      <c r="M1811">
        <f t="shared" si="764"/>
        <v>708</v>
      </c>
      <c r="N1811">
        <f t="shared" si="769"/>
        <v>1416</v>
      </c>
      <c r="O1811">
        <f t="shared" si="765"/>
        <v>9682</v>
      </c>
      <c r="P1811">
        <f t="shared" si="766"/>
        <v>0.25</v>
      </c>
      <c r="Q1811" t="str">
        <f t="shared" si="770"/>
        <v>9.14% | 5.48%</v>
      </c>
      <c r="R1811" t="str">
        <f t="shared" si="767"/>
        <v>BULLISH</v>
      </c>
      <c r="S1811">
        <f t="shared" si="771"/>
        <v>1</v>
      </c>
    </row>
    <row r="1812" spans="1:19" hidden="1" x14ac:dyDescent="0.25">
      <c r="A1812" s="5" t="str">
        <f t="shared" si="768"/>
        <v>43972UST10Y</v>
      </c>
      <c r="B1812" s="6" t="s">
        <v>4</v>
      </c>
      <c r="C1812" s="6">
        <v>0.75</v>
      </c>
      <c r="D1812" s="6">
        <v>0.6</v>
      </c>
      <c r="E1812" s="6">
        <v>0.68</v>
      </c>
      <c r="F1812" t="str">
        <f t="shared" si="757"/>
        <v>THU</v>
      </c>
      <c r="G1812" s="1">
        <f>DATE(2020,5,21)</f>
        <v>43972</v>
      </c>
      <c r="H1812" s="2">
        <f t="shared" ca="1" si="759"/>
        <v>281</v>
      </c>
      <c r="I1812" t="str">
        <f t="shared" si="760"/>
        <v>UST10Y</v>
      </c>
      <c r="J1812">
        <f t="shared" si="761"/>
        <v>0.75</v>
      </c>
      <c r="K1812">
        <f t="shared" si="762"/>
        <v>0.6</v>
      </c>
      <c r="L1812">
        <f t="shared" si="763"/>
        <v>0.67500000000000004</v>
      </c>
      <c r="M1812">
        <f t="shared" si="764"/>
        <v>7.4999999999999567E-2</v>
      </c>
      <c r="N1812">
        <f t="shared" si="769"/>
        <v>0.15000000000000002</v>
      </c>
      <c r="O1812">
        <f t="shared" si="765"/>
        <v>0.68</v>
      </c>
      <c r="P1812">
        <f t="shared" si="766"/>
        <v>6.666666666666711E-2</v>
      </c>
      <c r="Q1812" t="str">
        <f t="shared" si="770"/>
        <v>10.29% | 11.76%</v>
      </c>
      <c r="R1812" t="str">
        <f t="shared" si="767"/>
        <v>BEARISH</v>
      </c>
      <c r="S1812">
        <f t="shared" si="771"/>
        <v>-1</v>
      </c>
    </row>
    <row r="1813" spans="1:19" hidden="1" x14ac:dyDescent="0.25">
      <c r="A1813" s="5" t="str">
        <f t="shared" si="768"/>
        <v>43972UST2Y</v>
      </c>
      <c r="B1813" s="6" t="s">
        <v>5</v>
      </c>
      <c r="C1813" s="6">
        <v>0.18</v>
      </c>
      <c r="D1813" s="6">
        <v>0.13</v>
      </c>
      <c r="E1813" s="6">
        <v>0.16</v>
      </c>
      <c r="F1813" t="str">
        <f t="shared" ref="F1813:F1843" si="772">UPPER(TEXT(G1813,"ddd"))</f>
        <v>THU</v>
      </c>
      <c r="G1813" s="1">
        <f t="shared" ref="G1813:G1842" si="773">DATE(2020,5,21)</f>
        <v>43972</v>
      </c>
      <c r="H1813" s="2">
        <f t="shared" ref="H1813:H1843" ca="1" si="774">TODAY()-G1813</f>
        <v>281</v>
      </c>
      <c r="I1813" t="str">
        <f t="shared" ref="I1813:I1843" si="775">TRIM(LEFT(B1813,FIND(" ",B1813,1)))</f>
        <v>UST2Y</v>
      </c>
      <c r="J1813">
        <f t="shared" ref="J1813:J1843" si="776">C1813</f>
        <v>0.18</v>
      </c>
      <c r="K1813">
        <f t="shared" ref="K1813:K1843" si="777">D1813</f>
        <v>0.13</v>
      </c>
      <c r="L1813">
        <f t="shared" ref="L1813:L1843" si="778">AVERAGE(J1813:K1813)</f>
        <v>0.155</v>
      </c>
      <c r="M1813">
        <f t="shared" ref="M1813:M1843" si="779">_xlfn.STDEV.P(J1813:K1813)</f>
        <v>2.4999999999999942E-2</v>
      </c>
      <c r="N1813">
        <f t="shared" si="769"/>
        <v>4.9999999999999989E-2</v>
      </c>
      <c r="O1813">
        <f t="shared" ref="O1813:O1843" si="780">E1813</f>
        <v>0.16</v>
      </c>
      <c r="P1813">
        <f t="shared" ref="P1813:P1843" si="781">(O1813-L1813)/M1813</f>
        <v>0.20000000000000065</v>
      </c>
      <c r="Q1813" t="str">
        <f t="shared" si="770"/>
        <v>12.5% | 18.75%</v>
      </c>
      <c r="R1813" t="str">
        <f t="shared" ref="R1813:R1843" si="782">MID(B1813,FIND("(",B1813,1)+1,FIND(")",B1813,1)-FIND("(",B1813,1)-1)</f>
        <v>BEARISH</v>
      </c>
      <c r="S1813">
        <f t="shared" si="771"/>
        <v>-1</v>
      </c>
    </row>
    <row r="1814" spans="1:19" hidden="1" x14ac:dyDescent="0.25">
      <c r="A1814" s="5" t="str">
        <f t="shared" si="768"/>
        <v>43972SPX</v>
      </c>
      <c r="B1814" s="6" t="s">
        <v>6</v>
      </c>
      <c r="C1814" s="6">
        <v>2805</v>
      </c>
      <c r="D1814" s="6">
        <v>2999</v>
      </c>
      <c r="E1814" s="6">
        <v>2971</v>
      </c>
      <c r="F1814" t="str">
        <f t="shared" si="772"/>
        <v>THU</v>
      </c>
      <c r="G1814" s="1">
        <f t="shared" si="773"/>
        <v>43972</v>
      </c>
      <c r="H1814" s="2">
        <f t="shared" ca="1" si="774"/>
        <v>281</v>
      </c>
      <c r="I1814" t="str">
        <f t="shared" si="775"/>
        <v>SPX</v>
      </c>
      <c r="J1814">
        <f t="shared" si="776"/>
        <v>2805</v>
      </c>
      <c r="K1814">
        <f t="shared" si="777"/>
        <v>2999</v>
      </c>
      <c r="L1814">
        <f t="shared" si="778"/>
        <v>2902</v>
      </c>
      <c r="M1814">
        <f t="shared" si="779"/>
        <v>97</v>
      </c>
      <c r="N1814">
        <f t="shared" si="769"/>
        <v>194</v>
      </c>
      <c r="O1814">
        <f t="shared" si="780"/>
        <v>2971</v>
      </c>
      <c r="P1814">
        <f t="shared" si="781"/>
        <v>0.71134020618556704</v>
      </c>
      <c r="Q1814" t="str">
        <f t="shared" si="770"/>
        <v>5.59% | 0.94%</v>
      </c>
      <c r="R1814" t="str">
        <f t="shared" si="782"/>
        <v>BEARISH</v>
      </c>
      <c r="S1814">
        <f t="shared" si="771"/>
        <v>-1</v>
      </c>
    </row>
    <row r="1815" spans="1:19" hidden="1" x14ac:dyDescent="0.25">
      <c r="A1815" s="5" t="str">
        <f t="shared" si="768"/>
        <v>43972RUT</v>
      </c>
      <c r="B1815" s="6" t="s">
        <v>7</v>
      </c>
      <c r="C1815" s="6">
        <v>1211</v>
      </c>
      <c r="D1815" s="6">
        <v>1375</v>
      </c>
      <c r="E1815" s="6">
        <v>1346</v>
      </c>
      <c r="F1815" t="str">
        <f t="shared" si="772"/>
        <v>THU</v>
      </c>
      <c r="G1815" s="1">
        <f t="shared" si="773"/>
        <v>43972</v>
      </c>
      <c r="H1815" s="2">
        <f t="shared" ca="1" si="774"/>
        <v>281</v>
      </c>
      <c r="I1815" t="str">
        <f t="shared" si="775"/>
        <v>RUT</v>
      </c>
      <c r="J1815">
        <f t="shared" si="776"/>
        <v>1211</v>
      </c>
      <c r="K1815">
        <f t="shared" si="777"/>
        <v>1375</v>
      </c>
      <c r="L1815">
        <f t="shared" si="778"/>
        <v>1293</v>
      </c>
      <c r="M1815">
        <f t="shared" si="779"/>
        <v>82</v>
      </c>
      <c r="N1815">
        <f t="shared" si="769"/>
        <v>164</v>
      </c>
      <c r="O1815">
        <f t="shared" si="780"/>
        <v>1346</v>
      </c>
      <c r="P1815">
        <f t="shared" si="781"/>
        <v>0.64634146341463417</v>
      </c>
      <c r="Q1815" t="str">
        <f t="shared" si="770"/>
        <v>10.03% | 2.15%</v>
      </c>
      <c r="R1815" t="str">
        <f t="shared" si="782"/>
        <v>BEARISH</v>
      </c>
      <c r="S1815">
        <f t="shared" si="771"/>
        <v>-1</v>
      </c>
    </row>
    <row r="1816" spans="1:19" hidden="1" x14ac:dyDescent="0.25">
      <c r="A1816" s="5" t="str">
        <f t="shared" si="768"/>
        <v>43972COMPQ</v>
      </c>
      <c r="B1816" s="6" t="s">
        <v>8</v>
      </c>
      <c r="C1816" s="6">
        <v>8790</v>
      </c>
      <c r="D1816" s="6">
        <v>9417</v>
      </c>
      <c r="E1816" s="6">
        <v>9375</v>
      </c>
      <c r="F1816" t="str">
        <f t="shared" si="772"/>
        <v>THU</v>
      </c>
      <c r="G1816" s="1">
        <f t="shared" si="773"/>
        <v>43972</v>
      </c>
      <c r="H1816" s="2">
        <f t="shared" ca="1" si="774"/>
        <v>281</v>
      </c>
      <c r="I1816" t="str">
        <f t="shared" si="775"/>
        <v>COMPQ</v>
      </c>
      <c r="J1816">
        <f t="shared" si="776"/>
        <v>8790</v>
      </c>
      <c r="K1816">
        <f t="shared" si="777"/>
        <v>9417</v>
      </c>
      <c r="L1816">
        <f t="shared" si="778"/>
        <v>9103.5</v>
      </c>
      <c r="M1816">
        <f t="shared" si="779"/>
        <v>313.5</v>
      </c>
      <c r="N1816">
        <f t="shared" si="769"/>
        <v>627</v>
      </c>
      <c r="O1816">
        <f t="shared" si="780"/>
        <v>9375</v>
      </c>
      <c r="P1816">
        <f t="shared" si="781"/>
        <v>0.86602870813397126</v>
      </c>
      <c r="Q1816" t="str">
        <f t="shared" si="770"/>
        <v>6.24% | 0.45%</v>
      </c>
      <c r="R1816" t="str">
        <f t="shared" si="782"/>
        <v>BULLISH</v>
      </c>
      <c r="S1816">
        <f t="shared" si="771"/>
        <v>1</v>
      </c>
    </row>
    <row r="1817" spans="1:19" hidden="1" x14ac:dyDescent="0.25">
      <c r="A1817" s="5" t="str">
        <f t="shared" si="768"/>
        <v>43972XLV</v>
      </c>
      <c r="B1817" s="6" t="s">
        <v>9</v>
      </c>
      <c r="C1817" s="6">
        <v>98.28</v>
      </c>
      <c r="D1817" s="6">
        <v>101.93</v>
      </c>
      <c r="E1817" s="6">
        <v>100.15</v>
      </c>
      <c r="F1817" t="str">
        <f t="shared" si="772"/>
        <v>THU</v>
      </c>
      <c r="G1817" s="1">
        <f t="shared" si="773"/>
        <v>43972</v>
      </c>
      <c r="H1817" s="2">
        <f t="shared" ca="1" si="774"/>
        <v>281</v>
      </c>
      <c r="I1817" t="str">
        <f t="shared" si="775"/>
        <v>XLV</v>
      </c>
      <c r="J1817">
        <f t="shared" si="776"/>
        <v>98.28</v>
      </c>
      <c r="K1817">
        <f t="shared" si="777"/>
        <v>101.93</v>
      </c>
      <c r="L1817">
        <f t="shared" si="778"/>
        <v>100.105</v>
      </c>
      <c r="M1817">
        <f t="shared" si="779"/>
        <v>1.8250000000000028</v>
      </c>
      <c r="N1817">
        <f t="shared" si="769"/>
        <v>3.6500000000000057</v>
      </c>
      <c r="O1817">
        <f t="shared" si="780"/>
        <v>100.15</v>
      </c>
      <c r="P1817">
        <f t="shared" si="781"/>
        <v>2.4657534246576237E-2</v>
      </c>
      <c r="Q1817" t="str">
        <f t="shared" si="770"/>
        <v>1.87% | 1.78%</v>
      </c>
      <c r="R1817" t="str">
        <f t="shared" si="782"/>
        <v>BULLISH</v>
      </c>
      <c r="S1817">
        <f t="shared" si="771"/>
        <v>1</v>
      </c>
    </row>
    <row r="1818" spans="1:19" hidden="1" x14ac:dyDescent="0.25">
      <c r="A1818" s="5" t="str">
        <f t="shared" si="768"/>
        <v>43972XLK</v>
      </c>
      <c r="B1818" s="6" t="s">
        <v>10</v>
      </c>
      <c r="C1818" s="6">
        <v>91.26</v>
      </c>
      <c r="D1818" s="6">
        <v>97.97</v>
      </c>
      <c r="E1818" s="6">
        <v>97.5</v>
      </c>
      <c r="F1818" t="str">
        <f t="shared" si="772"/>
        <v>THU</v>
      </c>
      <c r="G1818" s="1">
        <f t="shared" si="773"/>
        <v>43972</v>
      </c>
      <c r="H1818" s="2">
        <f t="shared" ca="1" si="774"/>
        <v>281</v>
      </c>
      <c r="I1818" t="str">
        <f t="shared" si="775"/>
        <v>XLK</v>
      </c>
      <c r="J1818">
        <f t="shared" si="776"/>
        <v>91.26</v>
      </c>
      <c r="K1818">
        <f t="shared" si="777"/>
        <v>97.97</v>
      </c>
      <c r="L1818">
        <f t="shared" si="778"/>
        <v>94.615000000000009</v>
      </c>
      <c r="M1818">
        <f t="shared" si="779"/>
        <v>3.3549999999999969</v>
      </c>
      <c r="N1818">
        <f t="shared" si="769"/>
        <v>6.7099999999999937</v>
      </c>
      <c r="O1818">
        <f t="shared" si="780"/>
        <v>97.5</v>
      </c>
      <c r="P1818">
        <f t="shared" si="781"/>
        <v>0.85991058122205477</v>
      </c>
      <c r="Q1818" t="str">
        <f t="shared" si="770"/>
        <v>6.4% | 0.48%</v>
      </c>
      <c r="R1818" t="str">
        <f t="shared" si="782"/>
        <v>BULLISH</v>
      </c>
      <c r="S1818">
        <f t="shared" si="771"/>
        <v>1</v>
      </c>
    </row>
    <row r="1819" spans="1:19" hidden="1" x14ac:dyDescent="0.25">
      <c r="A1819" s="5" t="str">
        <f t="shared" si="768"/>
        <v>43972XLP</v>
      </c>
      <c r="B1819" s="6" t="s">
        <v>50</v>
      </c>
      <c r="C1819" s="6">
        <v>56.45</v>
      </c>
      <c r="D1819" s="6">
        <v>58.66</v>
      </c>
      <c r="E1819" s="6">
        <v>57.91</v>
      </c>
      <c r="F1819" t="str">
        <f t="shared" si="772"/>
        <v>THU</v>
      </c>
      <c r="G1819" s="1">
        <f t="shared" si="773"/>
        <v>43972</v>
      </c>
      <c r="H1819" s="2">
        <f t="shared" ca="1" si="774"/>
        <v>281</v>
      </c>
      <c r="I1819" t="str">
        <f t="shared" si="775"/>
        <v>XLP</v>
      </c>
      <c r="J1819">
        <f t="shared" si="776"/>
        <v>56.45</v>
      </c>
      <c r="K1819">
        <f t="shared" si="777"/>
        <v>58.66</v>
      </c>
      <c r="L1819">
        <f t="shared" si="778"/>
        <v>57.555</v>
      </c>
      <c r="M1819">
        <f t="shared" si="779"/>
        <v>1.1049999999999969</v>
      </c>
      <c r="N1819">
        <f t="shared" si="769"/>
        <v>2.2099999999999937</v>
      </c>
      <c r="O1819">
        <f t="shared" si="780"/>
        <v>57.91</v>
      </c>
      <c r="P1819">
        <f t="shared" si="781"/>
        <v>0.32126696832578994</v>
      </c>
      <c r="Q1819" t="str">
        <f t="shared" si="770"/>
        <v>2.52% | 1.3%</v>
      </c>
      <c r="R1819" t="str">
        <f t="shared" si="782"/>
        <v>NEUTRAL</v>
      </c>
      <c r="S1819">
        <f t="shared" si="771"/>
        <v>0</v>
      </c>
    </row>
    <row r="1820" spans="1:19" hidden="1" x14ac:dyDescent="0.25">
      <c r="A1820" s="5" t="str">
        <f t="shared" si="768"/>
        <v>43972XLF</v>
      </c>
      <c r="B1820" s="6" t="s">
        <v>12</v>
      </c>
      <c r="C1820" s="6">
        <v>20.32</v>
      </c>
      <c r="D1820" s="6">
        <v>22.64</v>
      </c>
      <c r="E1820" s="6">
        <v>22.07</v>
      </c>
      <c r="F1820" t="str">
        <f t="shared" si="772"/>
        <v>THU</v>
      </c>
      <c r="G1820" s="1">
        <f t="shared" si="773"/>
        <v>43972</v>
      </c>
      <c r="H1820" s="2">
        <f t="shared" ca="1" si="774"/>
        <v>281</v>
      </c>
      <c r="I1820" t="str">
        <f t="shared" si="775"/>
        <v>XLF</v>
      </c>
      <c r="J1820">
        <f t="shared" si="776"/>
        <v>20.32</v>
      </c>
      <c r="K1820">
        <f t="shared" si="777"/>
        <v>22.64</v>
      </c>
      <c r="L1820">
        <f t="shared" si="778"/>
        <v>21.48</v>
      </c>
      <c r="M1820">
        <f t="shared" si="779"/>
        <v>1.1600000000000001</v>
      </c>
      <c r="N1820">
        <f t="shared" si="769"/>
        <v>2.3200000000000003</v>
      </c>
      <c r="O1820">
        <f t="shared" si="780"/>
        <v>22.07</v>
      </c>
      <c r="P1820">
        <f t="shared" si="781"/>
        <v>0.50862068965517226</v>
      </c>
      <c r="Q1820" t="str">
        <f t="shared" si="770"/>
        <v>7.93% | 2.58%</v>
      </c>
      <c r="R1820" t="str">
        <f t="shared" si="782"/>
        <v>BEARISH</v>
      </c>
      <c r="S1820">
        <f t="shared" si="771"/>
        <v>-1</v>
      </c>
    </row>
    <row r="1821" spans="1:19" hidden="1" x14ac:dyDescent="0.25">
      <c r="A1821" s="5" t="str">
        <f t="shared" si="768"/>
        <v>43972XLI</v>
      </c>
      <c r="B1821" s="6" t="s">
        <v>13</v>
      </c>
      <c r="C1821" s="6">
        <v>58.05</v>
      </c>
      <c r="D1821" s="6">
        <v>65.05</v>
      </c>
      <c r="E1821" s="6">
        <v>63.74</v>
      </c>
      <c r="F1821" t="str">
        <f t="shared" si="772"/>
        <v>THU</v>
      </c>
      <c r="G1821" s="1">
        <f t="shared" si="773"/>
        <v>43972</v>
      </c>
      <c r="H1821" s="2">
        <f t="shared" ca="1" si="774"/>
        <v>281</v>
      </c>
      <c r="I1821" t="str">
        <f t="shared" si="775"/>
        <v>XLI</v>
      </c>
      <c r="J1821">
        <f t="shared" si="776"/>
        <v>58.05</v>
      </c>
      <c r="K1821">
        <f t="shared" si="777"/>
        <v>65.05</v>
      </c>
      <c r="L1821">
        <f t="shared" si="778"/>
        <v>61.55</v>
      </c>
      <c r="M1821">
        <f t="shared" si="779"/>
        <v>3.5</v>
      </c>
      <c r="N1821">
        <f t="shared" si="769"/>
        <v>7</v>
      </c>
      <c r="O1821">
        <f t="shared" si="780"/>
        <v>63.74</v>
      </c>
      <c r="P1821">
        <f t="shared" si="781"/>
        <v>0.62571428571428711</v>
      </c>
      <c r="Q1821" t="str">
        <f t="shared" si="770"/>
        <v>8.93% | 2.06%</v>
      </c>
      <c r="R1821" t="str">
        <f t="shared" si="782"/>
        <v>BEARISH</v>
      </c>
      <c r="S1821">
        <f t="shared" si="771"/>
        <v>-1</v>
      </c>
    </row>
    <row r="1822" spans="1:19" hidden="1" x14ac:dyDescent="0.25">
      <c r="A1822" s="5" t="str">
        <f t="shared" si="768"/>
        <v>43972SSEC</v>
      </c>
      <c r="B1822" s="6" t="s">
        <v>14</v>
      </c>
      <c r="C1822" s="6">
        <v>2848</v>
      </c>
      <c r="D1822" s="6">
        <v>2910</v>
      </c>
      <c r="E1822" s="6">
        <v>2867</v>
      </c>
      <c r="F1822" t="str">
        <f t="shared" si="772"/>
        <v>THU</v>
      </c>
      <c r="G1822" s="1">
        <f t="shared" si="773"/>
        <v>43972</v>
      </c>
      <c r="H1822" s="2">
        <f t="shared" ca="1" si="774"/>
        <v>281</v>
      </c>
      <c r="I1822" t="str">
        <f t="shared" si="775"/>
        <v>SSEC</v>
      </c>
      <c r="J1822">
        <f t="shared" si="776"/>
        <v>2848</v>
      </c>
      <c r="K1822">
        <f t="shared" si="777"/>
        <v>2910</v>
      </c>
      <c r="L1822">
        <f t="shared" si="778"/>
        <v>2879</v>
      </c>
      <c r="M1822">
        <f t="shared" si="779"/>
        <v>31</v>
      </c>
      <c r="N1822">
        <f t="shared" si="769"/>
        <v>62</v>
      </c>
      <c r="O1822">
        <f t="shared" si="780"/>
        <v>2867</v>
      </c>
      <c r="P1822">
        <f t="shared" si="781"/>
        <v>-0.38709677419354838</v>
      </c>
      <c r="Q1822" t="str">
        <f t="shared" si="770"/>
        <v>0.66% | 1.5%</v>
      </c>
      <c r="R1822" t="str">
        <f t="shared" si="782"/>
        <v>BEARISH</v>
      </c>
      <c r="S1822">
        <f t="shared" si="771"/>
        <v>-1</v>
      </c>
    </row>
    <row r="1823" spans="1:19" hidden="1" x14ac:dyDescent="0.25">
      <c r="A1823" s="5" t="str">
        <f t="shared" si="768"/>
        <v>43972NIKK</v>
      </c>
      <c r="B1823" s="6" t="s">
        <v>15</v>
      </c>
      <c r="C1823" s="6">
        <v>19860</v>
      </c>
      <c r="D1823" s="6">
        <v>20668</v>
      </c>
      <c r="E1823" s="6">
        <v>20552</v>
      </c>
      <c r="F1823" t="str">
        <f t="shared" si="772"/>
        <v>THU</v>
      </c>
      <c r="G1823" s="1">
        <f t="shared" si="773"/>
        <v>43972</v>
      </c>
      <c r="H1823" s="2">
        <f t="shared" ca="1" si="774"/>
        <v>281</v>
      </c>
      <c r="I1823" t="str">
        <f t="shared" si="775"/>
        <v>NIKK</v>
      </c>
      <c r="J1823">
        <f t="shared" si="776"/>
        <v>19860</v>
      </c>
      <c r="K1823">
        <f t="shared" si="777"/>
        <v>20668</v>
      </c>
      <c r="L1823">
        <f t="shared" si="778"/>
        <v>20264</v>
      </c>
      <c r="M1823">
        <f t="shared" si="779"/>
        <v>404</v>
      </c>
      <c r="N1823">
        <f t="shared" si="769"/>
        <v>808</v>
      </c>
      <c r="O1823">
        <f t="shared" si="780"/>
        <v>20552</v>
      </c>
      <c r="P1823">
        <f t="shared" si="781"/>
        <v>0.71287128712871284</v>
      </c>
      <c r="Q1823" t="str">
        <f t="shared" si="770"/>
        <v>3.37% | 0.56%</v>
      </c>
      <c r="R1823" t="str">
        <f t="shared" si="782"/>
        <v>BEARISH</v>
      </c>
      <c r="S1823">
        <f t="shared" si="771"/>
        <v>-1</v>
      </c>
    </row>
    <row r="1824" spans="1:19" hidden="1" x14ac:dyDescent="0.25">
      <c r="A1824" s="5" t="str">
        <f t="shared" si="768"/>
        <v>43972DAX</v>
      </c>
      <c r="B1824" s="6" t="s">
        <v>16</v>
      </c>
      <c r="C1824" s="6">
        <v>10209</v>
      </c>
      <c r="D1824" s="6">
        <v>11365</v>
      </c>
      <c r="E1824" s="6">
        <v>11229</v>
      </c>
      <c r="F1824" t="str">
        <f t="shared" si="772"/>
        <v>THU</v>
      </c>
      <c r="G1824" s="1">
        <f t="shared" si="773"/>
        <v>43972</v>
      </c>
      <c r="H1824" s="2">
        <f t="shared" ca="1" si="774"/>
        <v>281</v>
      </c>
      <c r="I1824" t="str">
        <f t="shared" si="775"/>
        <v>DAX</v>
      </c>
      <c r="J1824">
        <f t="shared" si="776"/>
        <v>10209</v>
      </c>
      <c r="K1824">
        <f t="shared" si="777"/>
        <v>11365</v>
      </c>
      <c r="L1824">
        <f t="shared" si="778"/>
        <v>10787</v>
      </c>
      <c r="M1824">
        <f t="shared" si="779"/>
        <v>578</v>
      </c>
      <c r="N1824">
        <f t="shared" si="769"/>
        <v>1156</v>
      </c>
      <c r="O1824">
        <f t="shared" si="780"/>
        <v>11229</v>
      </c>
      <c r="P1824">
        <f t="shared" si="781"/>
        <v>0.76470588235294112</v>
      </c>
      <c r="Q1824" t="str">
        <f t="shared" si="770"/>
        <v>9.08% | 1.21%</v>
      </c>
      <c r="R1824" t="str">
        <f t="shared" si="782"/>
        <v>BEARISH</v>
      </c>
      <c r="S1824">
        <f t="shared" si="771"/>
        <v>-1</v>
      </c>
    </row>
    <row r="1825" spans="1:19" hidden="1" x14ac:dyDescent="0.25">
      <c r="A1825" s="5" t="str">
        <f t="shared" si="768"/>
        <v>43972VIX</v>
      </c>
      <c r="B1825" s="6" t="s">
        <v>17</v>
      </c>
      <c r="C1825" s="6">
        <v>26.61</v>
      </c>
      <c r="D1825" s="6">
        <v>36.770000000000003</v>
      </c>
      <c r="E1825" s="6">
        <v>27.99</v>
      </c>
      <c r="F1825" t="str">
        <f t="shared" si="772"/>
        <v>THU</v>
      </c>
      <c r="G1825" s="1">
        <f t="shared" si="773"/>
        <v>43972</v>
      </c>
      <c r="H1825" s="2">
        <f t="shared" ca="1" si="774"/>
        <v>281</v>
      </c>
      <c r="I1825" t="str">
        <f t="shared" si="775"/>
        <v>VIX</v>
      </c>
      <c r="J1825">
        <f t="shared" si="776"/>
        <v>26.61</v>
      </c>
      <c r="K1825">
        <f t="shared" si="777"/>
        <v>36.770000000000003</v>
      </c>
      <c r="L1825">
        <f t="shared" si="778"/>
        <v>31.69</v>
      </c>
      <c r="M1825">
        <f t="shared" si="779"/>
        <v>5.0799999999999939</v>
      </c>
      <c r="N1825">
        <f t="shared" si="769"/>
        <v>10.160000000000004</v>
      </c>
      <c r="O1825">
        <v>27.83</v>
      </c>
      <c r="P1825">
        <f t="shared" si="781"/>
        <v>-0.75984251968504091</v>
      </c>
      <c r="Q1825" t="str">
        <f t="shared" si="770"/>
        <v>4.38% | 32.12%</v>
      </c>
      <c r="R1825" t="str">
        <f t="shared" si="782"/>
        <v>BULLISH</v>
      </c>
      <c r="S1825">
        <f t="shared" si="771"/>
        <v>1</v>
      </c>
    </row>
    <row r="1826" spans="1:19" hidden="1" x14ac:dyDescent="0.25">
      <c r="A1826" s="5" t="str">
        <f t="shared" si="768"/>
        <v>43972USD</v>
      </c>
      <c r="B1826" s="6" t="s">
        <v>18</v>
      </c>
      <c r="C1826" s="6">
        <v>99</v>
      </c>
      <c r="D1826" s="6">
        <v>100.9</v>
      </c>
      <c r="E1826" s="6">
        <v>99.14</v>
      </c>
      <c r="F1826" t="str">
        <f t="shared" si="772"/>
        <v>THU</v>
      </c>
      <c r="G1826" s="1">
        <f t="shared" si="773"/>
        <v>43972</v>
      </c>
      <c r="H1826" s="2">
        <f t="shared" ca="1" si="774"/>
        <v>281</v>
      </c>
      <c r="I1826" t="str">
        <f t="shared" si="775"/>
        <v>USD</v>
      </c>
      <c r="J1826">
        <f t="shared" si="776"/>
        <v>99</v>
      </c>
      <c r="K1826">
        <f t="shared" si="777"/>
        <v>100.9</v>
      </c>
      <c r="L1826">
        <f t="shared" si="778"/>
        <v>99.95</v>
      </c>
      <c r="M1826">
        <f t="shared" si="779"/>
        <v>0.95000000000000284</v>
      </c>
      <c r="N1826">
        <f t="shared" si="769"/>
        <v>1.9000000000000057</v>
      </c>
      <c r="O1826">
        <f t="shared" si="780"/>
        <v>99.14</v>
      </c>
      <c r="P1826">
        <f t="shared" si="781"/>
        <v>-0.8526315789473683</v>
      </c>
      <c r="Q1826" t="str">
        <f t="shared" si="770"/>
        <v>0.14% | 1.78%</v>
      </c>
      <c r="R1826" t="str">
        <f t="shared" si="782"/>
        <v>BULLISH</v>
      </c>
      <c r="S1826">
        <f t="shared" si="771"/>
        <v>1</v>
      </c>
    </row>
    <row r="1827" spans="1:19" hidden="1" x14ac:dyDescent="0.25">
      <c r="A1827" s="5" t="str">
        <f t="shared" si="768"/>
        <v>43972EUR/USD</v>
      </c>
      <c r="B1827" s="6" t="s">
        <v>19</v>
      </c>
      <c r="C1827" s="6">
        <v>1.07</v>
      </c>
      <c r="D1827" s="6">
        <v>1.0900000000000001</v>
      </c>
      <c r="E1827" s="6">
        <v>1.0900000000000001</v>
      </c>
      <c r="F1827" t="str">
        <f t="shared" si="772"/>
        <v>THU</v>
      </c>
      <c r="G1827" s="1">
        <f t="shared" si="773"/>
        <v>43972</v>
      </c>
      <c r="H1827" s="2">
        <f t="shared" ca="1" si="774"/>
        <v>281</v>
      </c>
      <c r="I1827" t="str">
        <f t="shared" si="775"/>
        <v>EUR/USD</v>
      </c>
      <c r="J1827">
        <f t="shared" si="776"/>
        <v>1.07</v>
      </c>
      <c r="K1827">
        <f t="shared" si="777"/>
        <v>1.0900000000000001</v>
      </c>
      <c r="L1827">
        <f t="shared" si="778"/>
        <v>1.08</v>
      </c>
      <c r="M1827">
        <f t="shared" si="779"/>
        <v>1.0000000000000009E-2</v>
      </c>
      <c r="N1827">
        <f t="shared" si="769"/>
        <v>2.0000000000000018E-2</v>
      </c>
      <c r="O1827">
        <f t="shared" si="780"/>
        <v>1.0900000000000001</v>
      </c>
      <c r="P1827">
        <f t="shared" si="781"/>
        <v>1</v>
      </c>
      <c r="Q1827" t="str">
        <f t="shared" si="770"/>
        <v>1.83% | 0%</v>
      </c>
      <c r="R1827" t="str">
        <f t="shared" si="782"/>
        <v>BEARISH</v>
      </c>
      <c r="S1827">
        <f t="shared" si="771"/>
        <v>-1</v>
      </c>
    </row>
    <row r="1828" spans="1:19" hidden="1" x14ac:dyDescent="0.25">
      <c r="A1828" s="5" t="str">
        <f t="shared" si="768"/>
        <v>43972USD/JPY</v>
      </c>
      <c r="B1828" s="6" t="s">
        <v>20</v>
      </c>
      <c r="C1828" s="6">
        <v>106.15</v>
      </c>
      <c r="D1828" s="6">
        <v>107.99</v>
      </c>
      <c r="E1828" s="6">
        <v>107.54</v>
      </c>
      <c r="F1828" t="str">
        <f t="shared" si="772"/>
        <v>THU</v>
      </c>
      <c r="G1828" s="1">
        <f t="shared" si="773"/>
        <v>43972</v>
      </c>
      <c r="H1828" s="2">
        <f t="shared" ca="1" si="774"/>
        <v>281</v>
      </c>
      <c r="I1828" t="str">
        <f t="shared" si="775"/>
        <v>USD/JPY</v>
      </c>
      <c r="J1828">
        <f t="shared" si="776"/>
        <v>106.15</v>
      </c>
      <c r="K1828">
        <f t="shared" si="777"/>
        <v>107.99</v>
      </c>
      <c r="L1828">
        <f t="shared" si="778"/>
        <v>107.07</v>
      </c>
      <c r="M1828">
        <f t="shared" si="779"/>
        <v>0.9199999999999946</v>
      </c>
      <c r="N1828">
        <f t="shared" si="769"/>
        <v>1.8399999999999892</v>
      </c>
      <c r="O1828">
        <f t="shared" si="780"/>
        <v>107.54</v>
      </c>
      <c r="P1828">
        <f t="shared" si="781"/>
        <v>0.51086956521740856</v>
      </c>
      <c r="Q1828" t="str">
        <f t="shared" si="770"/>
        <v>1.29% | 0.42%</v>
      </c>
      <c r="R1828" t="str">
        <f t="shared" si="782"/>
        <v>BEARISH</v>
      </c>
      <c r="S1828">
        <f t="shared" si="771"/>
        <v>-1</v>
      </c>
    </row>
    <row r="1829" spans="1:19" hidden="1" x14ac:dyDescent="0.25">
      <c r="A1829" s="5" t="str">
        <f t="shared" si="768"/>
        <v>43972GBP/USD</v>
      </c>
      <c r="B1829" s="6" t="s">
        <v>21</v>
      </c>
      <c r="C1829" s="6">
        <v>1.21</v>
      </c>
      <c r="D1829" s="6">
        <v>1.23</v>
      </c>
      <c r="E1829" s="6">
        <v>1.22</v>
      </c>
      <c r="F1829" t="str">
        <f t="shared" si="772"/>
        <v>THU</v>
      </c>
      <c r="G1829" s="1">
        <f t="shared" si="773"/>
        <v>43972</v>
      </c>
      <c r="H1829" s="2">
        <f t="shared" ca="1" si="774"/>
        <v>281</v>
      </c>
      <c r="I1829" t="str">
        <f t="shared" si="775"/>
        <v>GBP/USD</v>
      </c>
      <c r="J1829">
        <f t="shared" si="776"/>
        <v>1.21</v>
      </c>
      <c r="K1829">
        <f t="shared" si="777"/>
        <v>1.23</v>
      </c>
      <c r="L1829">
        <f t="shared" si="778"/>
        <v>1.22</v>
      </c>
      <c r="M1829">
        <f t="shared" si="779"/>
        <v>1.0000000000000009E-2</v>
      </c>
      <c r="N1829">
        <f t="shared" si="769"/>
        <v>2.0000000000000018E-2</v>
      </c>
      <c r="O1829">
        <f t="shared" si="780"/>
        <v>1.22</v>
      </c>
      <c r="P1829">
        <f t="shared" si="781"/>
        <v>0</v>
      </c>
      <c r="Q1829" t="str">
        <f t="shared" si="770"/>
        <v>0.82% | 0.82%</v>
      </c>
      <c r="R1829" t="str">
        <f t="shared" si="782"/>
        <v>BEARISH</v>
      </c>
      <c r="S1829">
        <f t="shared" si="771"/>
        <v>-1</v>
      </c>
    </row>
    <row r="1830" spans="1:19" hidden="1" x14ac:dyDescent="0.25">
      <c r="A1830" s="5" t="str">
        <f t="shared" si="768"/>
        <v>43972USD/CHF</v>
      </c>
      <c r="B1830" s="6" t="s">
        <v>22</v>
      </c>
      <c r="C1830" s="6">
        <v>0.96</v>
      </c>
      <c r="D1830" s="6">
        <v>0.98</v>
      </c>
      <c r="E1830" s="6">
        <v>0.96</v>
      </c>
      <c r="F1830" t="str">
        <f t="shared" si="772"/>
        <v>THU</v>
      </c>
      <c r="G1830" s="1">
        <f t="shared" si="773"/>
        <v>43972</v>
      </c>
      <c r="H1830" s="2">
        <f t="shared" ca="1" si="774"/>
        <v>281</v>
      </c>
      <c r="I1830" t="str">
        <f t="shared" si="775"/>
        <v>USD/CHF</v>
      </c>
      <c r="J1830">
        <f t="shared" si="776"/>
        <v>0.96</v>
      </c>
      <c r="K1830">
        <f t="shared" si="777"/>
        <v>0.98</v>
      </c>
      <c r="L1830">
        <f t="shared" si="778"/>
        <v>0.97</v>
      </c>
      <c r="M1830">
        <f t="shared" si="779"/>
        <v>1.0000000000000009E-2</v>
      </c>
      <c r="N1830">
        <f t="shared" si="769"/>
        <v>2.0000000000000018E-2</v>
      </c>
      <c r="O1830">
        <f t="shared" si="780"/>
        <v>0.96</v>
      </c>
      <c r="P1830">
        <f t="shared" si="781"/>
        <v>-1</v>
      </c>
      <c r="Q1830" t="str">
        <f t="shared" si="770"/>
        <v>0% | 2.08%</v>
      </c>
      <c r="R1830" t="str">
        <f t="shared" si="782"/>
        <v>NEUTRAL</v>
      </c>
      <c r="S1830">
        <f t="shared" si="771"/>
        <v>0</v>
      </c>
    </row>
    <row r="1831" spans="1:19" hidden="1" x14ac:dyDescent="0.25">
      <c r="A1831" s="5" t="str">
        <f t="shared" si="768"/>
        <v>43972WTIC</v>
      </c>
      <c r="B1831" s="6" t="s">
        <v>23</v>
      </c>
      <c r="C1831" s="6">
        <v>22.86</v>
      </c>
      <c r="D1831" s="6">
        <v>34.72</v>
      </c>
      <c r="E1831" s="6">
        <v>33.49</v>
      </c>
      <c r="F1831" t="str">
        <f t="shared" si="772"/>
        <v>THU</v>
      </c>
      <c r="G1831" s="1">
        <f t="shared" si="773"/>
        <v>43972</v>
      </c>
      <c r="H1831" s="2">
        <f t="shared" ca="1" si="774"/>
        <v>281</v>
      </c>
      <c r="I1831" t="str">
        <f t="shared" si="775"/>
        <v>WTIC</v>
      </c>
      <c r="J1831">
        <f t="shared" si="776"/>
        <v>22.86</v>
      </c>
      <c r="K1831">
        <f t="shared" si="777"/>
        <v>34.72</v>
      </c>
      <c r="L1831">
        <f t="shared" si="778"/>
        <v>28.79</v>
      </c>
      <c r="M1831">
        <f t="shared" si="779"/>
        <v>5.9299999999999988</v>
      </c>
      <c r="N1831">
        <f t="shared" si="769"/>
        <v>11.86</v>
      </c>
      <c r="O1831">
        <v>32</v>
      </c>
      <c r="P1831">
        <f t="shared" si="781"/>
        <v>0.54131534569983164</v>
      </c>
      <c r="Q1831" t="str">
        <f t="shared" si="770"/>
        <v>28.56% | 8.5%</v>
      </c>
      <c r="R1831" t="str">
        <f t="shared" si="782"/>
        <v>BEARISH</v>
      </c>
      <c r="S1831">
        <f t="shared" si="771"/>
        <v>-1</v>
      </c>
    </row>
    <row r="1832" spans="1:19" hidden="1" x14ac:dyDescent="0.25">
      <c r="A1832" s="5" t="str">
        <f t="shared" si="768"/>
        <v>43972NATGAS</v>
      </c>
      <c r="B1832" s="6" t="s">
        <v>24</v>
      </c>
      <c r="C1832" s="6">
        <v>1.54</v>
      </c>
      <c r="D1832" s="6">
        <v>1.92</v>
      </c>
      <c r="E1832" s="6">
        <v>1.91</v>
      </c>
      <c r="F1832" t="str">
        <f t="shared" si="772"/>
        <v>THU</v>
      </c>
      <c r="G1832" s="1">
        <f t="shared" si="773"/>
        <v>43972</v>
      </c>
      <c r="H1832" s="2">
        <f t="shared" ca="1" si="774"/>
        <v>281</v>
      </c>
      <c r="I1832" t="str">
        <f t="shared" si="775"/>
        <v>NATGAS</v>
      </c>
      <c r="J1832">
        <f t="shared" si="776"/>
        <v>1.54</v>
      </c>
      <c r="K1832">
        <f t="shared" si="777"/>
        <v>1.92</v>
      </c>
      <c r="L1832">
        <f t="shared" si="778"/>
        <v>1.73</v>
      </c>
      <c r="M1832">
        <f t="shared" si="779"/>
        <v>0.18999999999999947</v>
      </c>
      <c r="N1832">
        <f t="shared" si="769"/>
        <v>0.37999999999999989</v>
      </c>
      <c r="O1832">
        <f t="shared" si="780"/>
        <v>1.91</v>
      </c>
      <c r="P1832">
        <f t="shared" si="781"/>
        <v>0.94736842105263386</v>
      </c>
      <c r="Q1832" t="str">
        <f t="shared" si="770"/>
        <v>19.37% | 0.52%</v>
      </c>
      <c r="R1832" t="str">
        <f t="shared" si="782"/>
        <v>BEARISH</v>
      </c>
      <c r="S1832">
        <f t="shared" si="771"/>
        <v>-1</v>
      </c>
    </row>
    <row r="1833" spans="1:19" hidden="1" x14ac:dyDescent="0.25">
      <c r="A1833" s="5" t="str">
        <f t="shared" si="768"/>
        <v>43972GOLD</v>
      </c>
      <c r="B1833" s="6" t="s">
        <v>25</v>
      </c>
      <c r="C1833" s="6">
        <v>1713</v>
      </c>
      <c r="D1833" s="6">
        <v>1771</v>
      </c>
      <c r="E1833" s="6">
        <v>1752</v>
      </c>
      <c r="F1833" t="str">
        <f t="shared" si="772"/>
        <v>THU</v>
      </c>
      <c r="G1833" s="1">
        <f t="shared" si="773"/>
        <v>43972</v>
      </c>
      <c r="H1833" s="2">
        <f t="shared" ca="1" si="774"/>
        <v>281</v>
      </c>
      <c r="I1833" t="str">
        <f t="shared" si="775"/>
        <v>GOLD</v>
      </c>
      <c r="J1833">
        <f t="shared" si="776"/>
        <v>1713</v>
      </c>
      <c r="K1833">
        <f t="shared" si="777"/>
        <v>1771</v>
      </c>
      <c r="L1833">
        <f t="shared" si="778"/>
        <v>1742</v>
      </c>
      <c r="M1833">
        <f t="shared" si="779"/>
        <v>29</v>
      </c>
      <c r="N1833">
        <f t="shared" si="769"/>
        <v>58</v>
      </c>
      <c r="O1833">
        <f t="shared" si="780"/>
        <v>1752</v>
      </c>
      <c r="P1833">
        <f t="shared" si="781"/>
        <v>0.34482758620689657</v>
      </c>
      <c r="Q1833" t="str">
        <f t="shared" si="770"/>
        <v>2.23% | 1.08%</v>
      </c>
      <c r="R1833" t="str">
        <f t="shared" si="782"/>
        <v>BULLISH</v>
      </c>
      <c r="S1833">
        <f t="shared" si="771"/>
        <v>1</v>
      </c>
    </row>
    <row r="1834" spans="1:19" hidden="1" x14ac:dyDescent="0.25">
      <c r="A1834" s="5" t="str">
        <f t="shared" si="768"/>
        <v>43972COPPER</v>
      </c>
      <c r="B1834" s="6" t="s">
        <v>88</v>
      </c>
      <c r="C1834" s="6">
        <v>2.2999999999999998</v>
      </c>
      <c r="D1834" s="6">
        <v>2.46</v>
      </c>
      <c r="E1834" s="6">
        <v>2.46</v>
      </c>
      <c r="F1834" t="str">
        <f t="shared" si="772"/>
        <v>THU</v>
      </c>
      <c r="G1834" s="1">
        <f t="shared" si="773"/>
        <v>43972</v>
      </c>
      <c r="H1834" s="2">
        <f t="shared" ca="1" si="774"/>
        <v>281</v>
      </c>
      <c r="I1834" t="str">
        <f t="shared" si="775"/>
        <v>COPPER</v>
      </c>
      <c r="J1834">
        <f t="shared" si="776"/>
        <v>2.2999999999999998</v>
      </c>
      <c r="K1834">
        <f t="shared" si="777"/>
        <v>2.46</v>
      </c>
      <c r="L1834">
        <f t="shared" si="778"/>
        <v>2.38</v>
      </c>
      <c r="M1834">
        <f t="shared" si="779"/>
        <v>8.0000000000000071E-2</v>
      </c>
      <c r="N1834">
        <f t="shared" si="769"/>
        <v>0.16000000000000014</v>
      </c>
      <c r="O1834">
        <f t="shared" si="780"/>
        <v>2.46</v>
      </c>
      <c r="P1834">
        <f t="shared" si="781"/>
        <v>1</v>
      </c>
      <c r="Q1834" t="str">
        <f t="shared" si="770"/>
        <v>6.5% | 0%</v>
      </c>
      <c r="R1834" t="str">
        <f t="shared" si="782"/>
        <v>NEUTRAL</v>
      </c>
      <c r="S1834">
        <f t="shared" si="771"/>
        <v>0</v>
      </c>
    </row>
    <row r="1835" spans="1:19" hidden="1" x14ac:dyDescent="0.25">
      <c r="A1835" s="5" t="str">
        <f t="shared" si="768"/>
        <v>43972MSFT</v>
      </c>
      <c r="B1835" s="6" t="s">
        <v>27</v>
      </c>
      <c r="C1835" s="6">
        <v>177</v>
      </c>
      <c r="D1835" s="6">
        <v>188</v>
      </c>
      <c r="E1835" s="6">
        <v>185</v>
      </c>
      <c r="F1835" t="str">
        <f t="shared" si="772"/>
        <v>THU</v>
      </c>
      <c r="G1835" s="1">
        <f t="shared" si="773"/>
        <v>43972</v>
      </c>
      <c r="H1835" s="2">
        <f t="shared" ca="1" si="774"/>
        <v>281</v>
      </c>
      <c r="I1835" t="str">
        <f t="shared" si="775"/>
        <v>MSFT</v>
      </c>
      <c r="J1835">
        <f t="shared" si="776"/>
        <v>177</v>
      </c>
      <c r="K1835">
        <f t="shared" si="777"/>
        <v>188</v>
      </c>
      <c r="L1835">
        <f t="shared" si="778"/>
        <v>182.5</v>
      </c>
      <c r="M1835">
        <f t="shared" si="779"/>
        <v>5.5</v>
      </c>
      <c r="N1835">
        <f t="shared" si="769"/>
        <v>11</v>
      </c>
      <c r="O1835">
        <f t="shared" si="780"/>
        <v>185</v>
      </c>
      <c r="P1835">
        <f t="shared" si="781"/>
        <v>0.45454545454545453</v>
      </c>
      <c r="Q1835" t="str">
        <f t="shared" si="770"/>
        <v>4.32% | 1.62%</v>
      </c>
      <c r="R1835" t="str">
        <f t="shared" si="782"/>
        <v>BULLISH</v>
      </c>
      <c r="S1835">
        <f t="shared" si="771"/>
        <v>1</v>
      </c>
    </row>
    <row r="1836" spans="1:19" hidden="1" x14ac:dyDescent="0.25">
      <c r="A1836" s="5" t="str">
        <f t="shared" si="768"/>
        <v>43972AAPL</v>
      </c>
      <c r="B1836" s="6" t="s">
        <v>28</v>
      </c>
      <c r="C1836" s="6">
        <v>303</v>
      </c>
      <c r="D1836" s="6">
        <v>321</v>
      </c>
      <c r="E1836" s="6">
        <v>319</v>
      </c>
      <c r="F1836" t="str">
        <f t="shared" si="772"/>
        <v>THU</v>
      </c>
      <c r="G1836" s="1">
        <f t="shared" si="773"/>
        <v>43972</v>
      </c>
      <c r="H1836" s="2">
        <f t="shared" ca="1" si="774"/>
        <v>281</v>
      </c>
      <c r="I1836" t="str">
        <f t="shared" si="775"/>
        <v>AAPL</v>
      </c>
      <c r="J1836">
        <f t="shared" si="776"/>
        <v>303</v>
      </c>
      <c r="K1836">
        <f t="shared" si="777"/>
        <v>321</v>
      </c>
      <c r="L1836">
        <f t="shared" si="778"/>
        <v>312</v>
      </c>
      <c r="M1836">
        <f t="shared" si="779"/>
        <v>9</v>
      </c>
      <c r="N1836">
        <f t="shared" si="769"/>
        <v>18</v>
      </c>
      <c r="O1836">
        <f t="shared" si="780"/>
        <v>319</v>
      </c>
      <c r="P1836">
        <f t="shared" si="781"/>
        <v>0.77777777777777779</v>
      </c>
      <c r="Q1836" t="str">
        <f t="shared" si="770"/>
        <v>5.02% | 0.63%</v>
      </c>
      <c r="R1836" t="str">
        <f t="shared" si="782"/>
        <v>BULLISH</v>
      </c>
      <c r="S1836">
        <f t="shared" si="771"/>
        <v>1</v>
      </c>
    </row>
    <row r="1837" spans="1:19" hidden="1" x14ac:dyDescent="0.25">
      <c r="A1837" s="5" t="str">
        <f t="shared" si="768"/>
        <v>43972AMZN</v>
      </c>
      <c r="B1837" s="6" t="s">
        <v>29</v>
      </c>
      <c r="C1837" s="6">
        <v>2336</v>
      </c>
      <c r="D1837" s="6">
        <v>2502</v>
      </c>
      <c r="E1837" s="6">
        <v>2497</v>
      </c>
      <c r="F1837" t="str">
        <f t="shared" si="772"/>
        <v>THU</v>
      </c>
      <c r="G1837" s="1">
        <f t="shared" si="773"/>
        <v>43972</v>
      </c>
      <c r="H1837" s="2">
        <f t="shared" ca="1" si="774"/>
        <v>281</v>
      </c>
      <c r="I1837" t="str">
        <f t="shared" si="775"/>
        <v>AMZN</v>
      </c>
      <c r="J1837">
        <f t="shared" si="776"/>
        <v>2336</v>
      </c>
      <c r="K1837">
        <f t="shared" si="777"/>
        <v>2502</v>
      </c>
      <c r="L1837">
        <f t="shared" si="778"/>
        <v>2419</v>
      </c>
      <c r="M1837">
        <f t="shared" si="779"/>
        <v>83</v>
      </c>
      <c r="N1837">
        <f t="shared" si="769"/>
        <v>166</v>
      </c>
      <c r="O1837">
        <f t="shared" si="780"/>
        <v>2497</v>
      </c>
      <c r="P1837">
        <f t="shared" si="781"/>
        <v>0.93975903614457834</v>
      </c>
      <c r="Q1837" t="str">
        <f t="shared" si="770"/>
        <v>6.45% | 0.2%</v>
      </c>
      <c r="R1837" t="str">
        <f t="shared" si="782"/>
        <v>BULLISH</v>
      </c>
      <c r="S1837">
        <f t="shared" si="771"/>
        <v>1</v>
      </c>
    </row>
    <row r="1838" spans="1:19" hidden="1" x14ac:dyDescent="0.25">
      <c r="A1838" s="5" t="str">
        <f t="shared" si="768"/>
        <v>43972FB</v>
      </c>
      <c r="B1838" s="6" t="s">
        <v>30</v>
      </c>
      <c r="C1838" s="6">
        <v>201</v>
      </c>
      <c r="D1838" s="6">
        <v>232</v>
      </c>
      <c r="E1838" s="6">
        <v>229</v>
      </c>
      <c r="F1838" t="str">
        <f t="shared" si="772"/>
        <v>THU</v>
      </c>
      <c r="G1838" s="1">
        <f t="shared" si="773"/>
        <v>43972</v>
      </c>
      <c r="H1838" s="2">
        <f t="shared" ca="1" si="774"/>
        <v>281</v>
      </c>
      <c r="I1838" t="str">
        <f t="shared" si="775"/>
        <v>FB</v>
      </c>
      <c r="J1838">
        <f t="shared" si="776"/>
        <v>201</v>
      </c>
      <c r="K1838">
        <f t="shared" si="777"/>
        <v>232</v>
      </c>
      <c r="L1838">
        <f t="shared" si="778"/>
        <v>216.5</v>
      </c>
      <c r="M1838">
        <f t="shared" si="779"/>
        <v>15.5</v>
      </c>
      <c r="N1838">
        <f t="shared" si="769"/>
        <v>31</v>
      </c>
      <c r="O1838">
        <f t="shared" si="780"/>
        <v>229</v>
      </c>
      <c r="P1838">
        <f t="shared" si="781"/>
        <v>0.80645161290322576</v>
      </c>
      <c r="Q1838" t="str">
        <f t="shared" si="770"/>
        <v>12.23% | 1.31%</v>
      </c>
      <c r="R1838" t="str">
        <f t="shared" si="782"/>
        <v>BULLISH</v>
      </c>
      <c r="S1838">
        <f t="shared" si="771"/>
        <v>1</v>
      </c>
    </row>
    <row r="1839" spans="1:19" hidden="1" x14ac:dyDescent="0.25">
      <c r="A1839" s="5" t="str">
        <f t="shared" si="768"/>
        <v>43972GOOGL</v>
      </c>
      <c r="B1839" s="6" t="s">
        <v>31</v>
      </c>
      <c r="C1839" s="6">
        <v>1340</v>
      </c>
      <c r="D1839" s="6">
        <v>1417</v>
      </c>
      <c r="E1839" s="6">
        <v>1409</v>
      </c>
      <c r="F1839" t="str">
        <f t="shared" si="772"/>
        <v>THU</v>
      </c>
      <c r="G1839" s="1">
        <f t="shared" si="773"/>
        <v>43972</v>
      </c>
      <c r="H1839" s="2">
        <f t="shared" ca="1" si="774"/>
        <v>281</v>
      </c>
      <c r="I1839" t="str">
        <f t="shared" si="775"/>
        <v>GOOGL</v>
      </c>
      <c r="J1839">
        <f t="shared" si="776"/>
        <v>1340</v>
      </c>
      <c r="K1839">
        <f t="shared" si="777"/>
        <v>1417</v>
      </c>
      <c r="L1839">
        <f t="shared" si="778"/>
        <v>1378.5</v>
      </c>
      <c r="M1839">
        <f t="shared" si="779"/>
        <v>38.5</v>
      </c>
      <c r="N1839">
        <f t="shared" si="769"/>
        <v>77</v>
      </c>
      <c r="O1839">
        <f t="shared" si="780"/>
        <v>1409</v>
      </c>
      <c r="P1839">
        <f t="shared" si="781"/>
        <v>0.79220779220779225</v>
      </c>
      <c r="Q1839" t="str">
        <f t="shared" si="770"/>
        <v>4.9% | 0.57%</v>
      </c>
      <c r="R1839" t="str">
        <f t="shared" si="782"/>
        <v>BULLISH</v>
      </c>
      <c r="S1839">
        <f t="shared" si="771"/>
        <v>1</v>
      </c>
    </row>
    <row r="1840" spans="1:19" hidden="1" x14ac:dyDescent="0.25">
      <c r="A1840" s="5" t="str">
        <f t="shared" si="768"/>
        <v>43972NFLX</v>
      </c>
      <c r="B1840" s="6" t="s">
        <v>32</v>
      </c>
      <c r="C1840" s="6">
        <v>426</v>
      </c>
      <c r="D1840" s="6">
        <v>459</v>
      </c>
      <c r="E1840" s="6">
        <v>447</v>
      </c>
      <c r="F1840" t="str">
        <f t="shared" si="772"/>
        <v>THU</v>
      </c>
      <c r="G1840" s="1">
        <f t="shared" si="773"/>
        <v>43972</v>
      </c>
      <c r="H1840" s="2">
        <f t="shared" ca="1" si="774"/>
        <v>281</v>
      </c>
      <c r="I1840" t="str">
        <f t="shared" si="775"/>
        <v>NFLX</v>
      </c>
      <c r="J1840">
        <f t="shared" si="776"/>
        <v>426</v>
      </c>
      <c r="K1840">
        <f t="shared" si="777"/>
        <v>459</v>
      </c>
      <c r="L1840">
        <f t="shared" si="778"/>
        <v>442.5</v>
      </c>
      <c r="M1840">
        <f t="shared" si="779"/>
        <v>16.5</v>
      </c>
      <c r="N1840">
        <f t="shared" si="769"/>
        <v>33</v>
      </c>
      <c r="O1840">
        <f t="shared" si="780"/>
        <v>447</v>
      </c>
      <c r="P1840">
        <f t="shared" si="781"/>
        <v>0.27272727272727271</v>
      </c>
      <c r="Q1840" t="str">
        <f t="shared" si="770"/>
        <v>4.7% | 2.68%</v>
      </c>
      <c r="R1840" t="str">
        <f t="shared" si="782"/>
        <v>BULLISH</v>
      </c>
      <c r="S1840">
        <f t="shared" si="771"/>
        <v>1</v>
      </c>
    </row>
    <row r="1841" spans="1:19" x14ac:dyDescent="0.25">
      <c r="A1841" s="5" t="str">
        <f t="shared" si="768"/>
        <v>43972TSLA</v>
      </c>
      <c r="B1841" s="6" t="s">
        <v>33</v>
      </c>
      <c r="C1841" s="6">
        <v>781</v>
      </c>
      <c r="D1841" s="6">
        <v>826</v>
      </c>
      <c r="E1841" s="6">
        <v>815</v>
      </c>
      <c r="F1841" t="str">
        <f t="shared" si="772"/>
        <v>THU</v>
      </c>
      <c r="G1841" s="1">
        <f t="shared" si="773"/>
        <v>43972</v>
      </c>
      <c r="H1841" s="2">
        <f t="shared" ca="1" si="774"/>
        <v>281</v>
      </c>
      <c r="I1841" t="str">
        <f t="shared" si="775"/>
        <v>TSLA</v>
      </c>
      <c r="J1841">
        <f t="shared" si="776"/>
        <v>781</v>
      </c>
      <c r="K1841">
        <f t="shared" si="777"/>
        <v>826</v>
      </c>
      <c r="L1841">
        <f t="shared" si="778"/>
        <v>803.5</v>
      </c>
      <c r="M1841">
        <f t="shared" si="779"/>
        <v>22.5</v>
      </c>
      <c r="N1841">
        <f t="shared" si="769"/>
        <v>45</v>
      </c>
      <c r="O1841">
        <f t="shared" si="780"/>
        <v>815</v>
      </c>
      <c r="P1841">
        <f t="shared" si="781"/>
        <v>0.51111111111111107</v>
      </c>
      <c r="Q1841" t="str">
        <f t="shared" si="770"/>
        <v>4.17% | 1.35%</v>
      </c>
      <c r="R1841" t="str">
        <f t="shared" si="782"/>
        <v>BULLISH</v>
      </c>
      <c r="S1841">
        <f t="shared" si="771"/>
        <v>1</v>
      </c>
    </row>
    <row r="1842" spans="1:19" hidden="1" x14ac:dyDescent="0.25">
      <c r="A1842" s="5" t="str">
        <f t="shared" si="768"/>
        <v>43972NYXBT</v>
      </c>
      <c r="B1842" s="6" t="s">
        <v>34</v>
      </c>
      <c r="C1842" s="6">
        <v>8697</v>
      </c>
      <c r="D1842" s="6">
        <v>10269</v>
      </c>
      <c r="E1842" s="6">
        <v>9774</v>
      </c>
      <c r="F1842" t="str">
        <f t="shared" si="772"/>
        <v>THU</v>
      </c>
      <c r="G1842" s="1">
        <f t="shared" si="773"/>
        <v>43972</v>
      </c>
      <c r="H1842" s="2">
        <f t="shared" ca="1" si="774"/>
        <v>281</v>
      </c>
      <c r="I1842" t="str">
        <f t="shared" si="775"/>
        <v>NYXBT</v>
      </c>
      <c r="J1842">
        <f t="shared" si="776"/>
        <v>8697</v>
      </c>
      <c r="K1842">
        <f t="shared" si="777"/>
        <v>10269</v>
      </c>
      <c r="L1842">
        <f t="shared" si="778"/>
        <v>9483</v>
      </c>
      <c r="M1842">
        <f t="shared" si="779"/>
        <v>786</v>
      </c>
      <c r="N1842">
        <f t="shared" si="769"/>
        <v>1572</v>
      </c>
      <c r="O1842">
        <f t="shared" si="780"/>
        <v>9774</v>
      </c>
      <c r="P1842">
        <f t="shared" si="781"/>
        <v>0.37022900763358779</v>
      </c>
      <c r="Q1842" t="str">
        <f t="shared" si="770"/>
        <v>11.02% | 5.06%</v>
      </c>
      <c r="R1842" t="str">
        <f t="shared" si="782"/>
        <v>BULLISH</v>
      </c>
      <c r="S1842">
        <f t="shared" si="771"/>
        <v>1</v>
      </c>
    </row>
    <row r="1843" spans="1:19" hidden="1" x14ac:dyDescent="0.25">
      <c r="A1843" s="5" t="str">
        <f t="shared" si="768"/>
        <v>43973UST10Y</v>
      </c>
      <c r="B1843" s="6" t="s">
        <v>4</v>
      </c>
      <c r="C1843" s="6">
        <v>0.75</v>
      </c>
      <c r="D1843" s="6">
        <v>0.6</v>
      </c>
      <c r="E1843" s="6">
        <v>0.68</v>
      </c>
      <c r="F1843" t="str">
        <f t="shared" si="772"/>
        <v>FRI</v>
      </c>
      <c r="G1843" s="3">
        <f>DATE(2020,5,22)</f>
        <v>43973</v>
      </c>
      <c r="H1843" s="2">
        <f t="shared" ca="1" si="774"/>
        <v>280</v>
      </c>
      <c r="I1843" t="str">
        <f t="shared" si="775"/>
        <v>UST10Y</v>
      </c>
      <c r="J1843">
        <f t="shared" si="776"/>
        <v>0.75</v>
      </c>
      <c r="K1843">
        <f t="shared" si="777"/>
        <v>0.6</v>
      </c>
      <c r="L1843">
        <f t="shared" si="778"/>
        <v>0.67500000000000004</v>
      </c>
      <c r="M1843">
        <f t="shared" si="779"/>
        <v>7.4999999999999567E-2</v>
      </c>
      <c r="N1843">
        <f t="shared" si="769"/>
        <v>0.15000000000000002</v>
      </c>
      <c r="O1843">
        <f t="shared" si="780"/>
        <v>0.68</v>
      </c>
      <c r="P1843">
        <f t="shared" si="781"/>
        <v>6.666666666666711E-2</v>
      </c>
      <c r="Q1843" t="str">
        <f t="shared" si="770"/>
        <v>10.29% | 11.76%</v>
      </c>
      <c r="R1843" t="str">
        <f t="shared" si="782"/>
        <v>BEARISH</v>
      </c>
      <c r="S1843">
        <f t="shared" si="771"/>
        <v>-1</v>
      </c>
    </row>
    <row r="1844" spans="1:19" hidden="1" x14ac:dyDescent="0.25">
      <c r="A1844" s="5" t="str">
        <f t="shared" si="768"/>
        <v>43973UST2Y</v>
      </c>
      <c r="B1844" s="6" t="s">
        <v>5</v>
      </c>
      <c r="C1844" s="6">
        <v>0.19</v>
      </c>
      <c r="D1844" s="6">
        <v>0.12</v>
      </c>
      <c r="E1844" s="6">
        <v>0.17</v>
      </c>
      <c r="F1844" t="str">
        <f t="shared" ref="F1844:F1874" si="783">UPPER(TEXT(G1844,"ddd"))</f>
        <v>FRI</v>
      </c>
      <c r="G1844" s="3">
        <f t="shared" ref="G1844:G1873" si="784">DATE(2020,5,22)</f>
        <v>43973</v>
      </c>
      <c r="H1844" s="2">
        <f t="shared" ref="H1844:H1874" ca="1" si="785">TODAY()-G1844</f>
        <v>280</v>
      </c>
      <c r="I1844" t="str">
        <f t="shared" ref="I1844:I1874" si="786">TRIM(LEFT(B1844,FIND(" ",B1844,1)))</f>
        <v>UST2Y</v>
      </c>
      <c r="J1844">
        <f t="shared" ref="J1844:J1874" si="787">C1844</f>
        <v>0.19</v>
      </c>
      <c r="K1844">
        <f t="shared" ref="K1844:K1874" si="788">D1844</f>
        <v>0.12</v>
      </c>
      <c r="L1844">
        <f t="shared" ref="L1844:L1874" si="789">AVERAGE(J1844:K1844)</f>
        <v>0.155</v>
      </c>
      <c r="M1844">
        <f t="shared" ref="M1844:M1874" si="790">_xlfn.STDEV.P(J1844:K1844)</f>
        <v>3.5000000000000003E-2</v>
      </c>
      <c r="N1844">
        <f t="shared" si="769"/>
        <v>7.0000000000000007E-2</v>
      </c>
      <c r="O1844">
        <f t="shared" ref="O1844:O1874" si="791">E1844</f>
        <v>0.17</v>
      </c>
      <c r="P1844">
        <f t="shared" ref="P1844:P1874" si="792">(O1844-L1844)/M1844</f>
        <v>0.42857142857142894</v>
      </c>
      <c r="Q1844" t="str">
        <f t="shared" si="770"/>
        <v>11.76% | 29.41%</v>
      </c>
      <c r="R1844" t="str">
        <f t="shared" ref="R1844:R1874" si="793">MID(B1844,FIND("(",B1844,1)+1,FIND(")",B1844,1)-FIND("(",B1844,1)-1)</f>
        <v>BEARISH</v>
      </c>
      <c r="S1844">
        <f t="shared" si="771"/>
        <v>-1</v>
      </c>
    </row>
    <row r="1845" spans="1:19" hidden="1" x14ac:dyDescent="0.25">
      <c r="A1845" s="5" t="str">
        <f t="shared" si="768"/>
        <v>43973SPX</v>
      </c>
      <c r="B1845" s="6" t="s">
        <v>6</v>
      </c>
      <c r="C1845" s="6">
        <v>2802</v>
      </c>
      <c r="D1845" s="6">
        <v>2997</v>
      </c>
      <c r="E1845" s="6">
        <v>2948</v>
      </c>
      <c r="F1845" t="str">
        <f t="shared" si="783"/>
        <v>FRI</v>
      </c>
      <c r="G1845" s="3">
        <f t="shared" si="784"/>
        <v>43973</v>
      </c>
      <c r="H1845" s="2">
        <f t="shared" ca="1" si="785"/>
        <v>280</v>
      </c>
      <c r="I1845" t="str">
        <f t="shared" si="786"/>
        <v>SPX</v>
      </c>
      <c r="J1845">
        <f t="shared" si="787"/>
        <v>2802</v>
      </c>
      <c r="K1845">
        <f t="shared" si="788"/>
        <v>2997</v>
      </c>
      <c r="L1845">
        <f t="shared" si="789"/>
        <v>2899.5</v>
      </c>
      <c r="M1845">
        <f t="shared" si="790"/>
        <v>97.5</v>
      </c>
      <c r="N1845">
        <f t="shared" si="769"/>
        <v>195</v>
      </c>
      <c r="O1845">
        <f t="shared" si="791"/>
        <v>2948</v>
      </c>
      <c r="P1845">
        <f t="shared" si="792"/>
        <v>0.49743589743589745</v>
      </c>
      <c r="Q1845" t="str">
        <f t="shared" si="770"/>
        <v>4.95% | 1.66%</v>
      </c>
      <c r="R1845" t="str">
        <f t="shared" si="793"/>
        <v>BEARISH</v>
      </c>
      <c r="S1845">
        <f t="shared" si="771"/>
        <v>-1</v>
      </c>
    </row>
    <row r="1846" spans="1:19" hidden="1" x14ac:dyDescent="0.25">
      <c r="A1846" s="5" t="str">
        <f t="shared" si="768"/>
        <v>43973RUT</v>
      </c>
      <c r="B1846" s="6" t="s">
        <v>7</v>
      </c>
      <c r="C1846" s="6">
        <v>1207</v>
      </c>
      <c r="D1846" s="6">
        <v>1377</v>
      </c>
      <c r="E1846" s="6">
        <v>1347</v>
      </c>
      <c r="F1846" t="str">
        <f t="shared" si="783"/>
        <v>FRI</v>
      </c>
      <c r="G1846" s="3">
        <f t="shared" si="784"/>
        <v>43973</v>
      </c>
      <c r="H1846" s="2">
        <f t="shared" ca="1" si="785"/>
        <v>280</v>
      </c>
      <c r="I1846" t="str">
        <f t="shared" si="786"/>
        <v>RUT</v>
      </c>
      <c r="J1846">
        <f t="shared" si="787"/>
        <v>1207</v>
      </c>
      <c r="K1846">
        <f t="shared" si="788"/>
        <v>1377</v>
      </c>
      <c r="L1846">
        <f t="shared" si="789"/>
        <v>1292</v>
      </c>
      <c r="M1846">
        <f t="shared" si="790"/>
        <v>85</v>
      </c>
      <c r="N1846">
        <f t="shared" si="769"/>
        <v>170</v>
      </c>
      <c r="O1846">
        <v>1351.6</v>
      </c>
      <c r="P1846">
        <f t="shared" si="792"/>
        <v>0.70117647058823418</v>
      </c>
      <c r="Q1846" t="str">
        <f t="shared" si="770"/>
        <v>10.7% | 1.88%</v>
      </c>
      <c r="R1846" t="str">
        <f t="shared" si="793"/>
        <v>BEARISH</v>
      </c>
      <c r="S1846">
        <f t="shared" si="771"/>
        <v>-1</v>
      </c>
    </row>
    <row r="1847" spans="1:19" hidden="1" x14ac:dyDescent="0.25">
      <c r="A1847" s="5" t="str">
        <f t="shared" si="768"/>
        <v>43973COMPQ</v>
      </c>
      <c r="B1847" s="6" t="s">
        <v>8</v>
      </c>
      <c r="C1847" s="6">
        <v>8831</v>
      </c>
      <c r="D1847" s="6">
        <v>9445</v>
      </c>
      <c r="E1847" s="6">
        <v>9284</v>
      </c>
      <c r="F1847" t="str">
        <f t="shared" si="783"/>
        <v>FRI</v>
      </c>
      <c r="G1847" s="3">
        <f t="shared" si="784"/>
        <v>43973</v>
      </c>
      <c r="H1847" s="2">
        <f t="shared" ca="1" si="785"/>
        <v>280</v>
      </c>
      <c r="I1847" t="str">
        <f t="shared" si="786"/>
        <v>COMPQ</v>
      </c>
      <c r="J1847">
        <f t="shared" si="787"/>
        <v>8831</v>
      </c>
      <c r="K1847">
        <f t="shared" si="788"/>
        <v>9445</v>
      </c>
      <c r="L1847">
        <f t="shared" si="789"/>
        <v>9138</v>
      </c>
      <c r="M1847">
        <f t="shared" si="790"/>
        <v>307</v>
      </c>
      <c r="N1847">
        <f t="shared" si="769"/>
        <v>614</v>
      </c>
      <c r="O1847">
        <f t="shared" si="791"/>
        <v>9284</v>
      </c>
      <c r="P1847">
        <f t="shared" si="792"/>
        <v>0.47557003257328989</v>
      </c>
      <c r="Q1847" t="str">
        <f t="shared" si="770"/>
        <v>4.88% | 1.73%</v>
      </c>
      <c r="R1847" t="str">
        <f t="shared" si="793"/>
        <v>BULLISH</v>
      </c>
      <c r="S1847">
        <f t="shared" si="771"/>
        <v>1</v>
      </c>
    </row>
    <row r="1848" spans="1:19" hidden="1" x14ac:dyDescent="0.25">
      <c r="A1848" s="5" t="str">
        <f t="shared" si="768"/>
        <v>43973XLV</v>
      </c>
      <c r="B1848" s="6" t="s">
        <v>9</v>
      </c>
      <c r="C1848" s="6">
        <v>98.08</v>
      </c>
      <c r="D1848" s="6">
        <v>101.75</v>
      </c>
      <c r="E1848" s="6">
        <v>99.41</v>
      </c>
      <c r="F1848" t="str">
        <f t="shared" si="783"/>
        <v>FRI</v>
      </c>
      <c r="G1848" s="3">
        <f t="shared" si="784"/>
        <v>43973</v>
      </c>
      <c r="H1848" s="2">
        <f t="shared" ca="1" si="785"/>
        <v>280</v>
      </c>
      <c r="I1848" t="str">
        <f t="shared" si="786"/>
        <v>XLV</v>
      </c>
      <c r="J1848">
        <f t="shared" si="787"/>
        <v>98.08</v>
      </c>
      <c r="K1848">
        <f t="shared" si="788"/>
        <v>101.75</v>
      </c>
      <c r="L1848">
        <f t="shared" si="789"/>
        <v>99.914999999999992</v>
      </c>
      <c r="M1848">
        <f t="shared" si="790"/>
        <v>1.8350000000000009</v>
      </c>
      <c r="N1848">
        <f t="shared" si="769"/>
        <v>3.6700000000000017</v>
      </c>
      <c r="O1848">
        <f t="shared" si="791"/>
        <v>99.41</v>
      </c>
      <c r="P1848">
        <f t="shared" si="792"/>
        <v>-0.27520435967302193</v>
      </c>
      <c r="Q1848" t="str">
        <f t="shared" si="770"/>
        <v>1.34% | 2.35%</v>
      </c>
      <c r="R1848" t="str">
        <f t="shared" si="793"/>
        <v>BULLISH</v>
      </c>
      <c r="S1848">
        <f t="shared" si="771"/>
        <v>1</v>
      </c>
    </row>
    <row r="1849" spans="1:19" hidden="1" x14ac:dyDescent="0.25">
      <c r="A1849" s="5" t="str">
        <f t="shared" si="768"/>
        <v>43973XLK</v>
      </c>
      <c r="B1849" s="6" t="s">
        <v>10</v>
      </c>
      <c r="C1849" s="6">
        <v>91.22</v>
      </c>
      <c r="D1849" s="6">
        <v>98.19</v>
      </c>
      <c r="E1849" s="6">
        <v>96.14</v>
      </c>
      <c r="F1849" t="str">
        <f t="shared" si="783"/>
        <v>FRI</v>
      </c>
      <c r="G1849" s="3">
        <f t="shared" si="784"/>
        <v>43973</v>
      </c>
      <c r="H1849" s="2">
        <f t="shared" ca="1" si="785"/>
        <v>280</v>
      </c>
      <c r="I1849" t="str">
        <f t="shared" si="786"/>
        <v>XLK</v>
      </c>
      <c r="J1849">
        <f t="shared" si="787"/>
        <v>91.22</v>
      </c>
      <c r="K1849">
        <f t="shared" si="788"/>
        <v>98.19</v>
      </c>
      <c r="L1849">
        <f t="shared" si="789"/>
        <v>94.704999999999998</v>
      </c>
      <c r="M1849">
        <f t="shared" si="790"/>
        <v>3.4849999999999994</v>
      </c>
      <c r="N1849">
        <f t="shared" si="769"/>
        <v>6.9699999999999989</v>
      </c>
      <c r="O1849">
        <f t="shared" si="791"/>
        <v>96.14</v>
      </c>
      <c r="P1849">
        <f t="shared" si="792"/>
        <v>0.41176470588235364</v>
      </c>
      <c r="Q1849" t="str">
        <f t="shared" si="770"/>
        <v>5.12% | 2.13%</v>
      </c>
      <c r="R1849" t="str">
        <f t="shared" si="793"/>
        <v>BULLISH</v>
      </c>
      <c r="S1849">
        <f t="shared" si="771"/>
        <v>1</v>
      </c>
    </row>
    <row r="1850" spans="1:19" hidden="1" x14ac:dyDescent="0.25">
      <c r="A1850" s="5" t="str">
        <f t="shared" si="768"/>
        <v>43973XLP</v>
      </c>
      <c r="B1850" s="6" t="s">
        <v>11</v>
      </c>
      <c r="C1850" s="6">
        <v>56.11</v>
      </c>
      <c r="D1850" s="6">
        <v>58.4</v>
      </c>
      <c r="E1850" s="6">
        <v>57.27</v>
      </c>
      <c r="F1850" t="str">
        <f t="shared" si="783"/>
        <v>FRI</v>
      </c>
      <c r="G1850" s="3">
        <f t="shared" si="784"/>
        <v>43973</v>
      </c>
      <c r="H1850" s="2">
        <f t="shared" ca="1" si="785"/>
        <v>280</v>
      </c>
      <c r="I1850" t="str">
        <f t="shared" si="786"/>
        <v>XLP</v>
      </c>
      <c r="J1850">
        <f t="shared" si="787"/>
        <v>56.11</v>
      </c>
      <c r="K1850">
        <f t="shared" si="788"/>
        <v>58.4</v>
      </c>
      <c r="L1850">
        <f t="shared" si="789"/>
        <v>57.254999999999995</v>
      </c>
      <c r="M1850">
        <f t="shared" si="790"/>
        <v>1.1449999999999996</v>
      </c>
      <c r="N1850">
        <f t="shared" si="769"/>
        <v>2.2899999999999991</v>
      </c>
      <c r="O1850">
        <f t="shared" si="791"/>
        <v>57.27</v>
      </c>
      <c r="P1850">
        <f t="shared" si="792"/>
        <v>1.3100436681229415E-2</v>
      </c>
      <c r="Q1850" t="str">
        <f t="shared" si="770"/>
        <v>2.03% | 1.97%</v>
      </c>
      <c r="R1850" t="str">
        <f t="shared" si="793"/>
        <v>BEARISH</v>
      </c>
      <c r="S1850">
        <f t="shared" si="771"/>
        <v>-1</v>
      </c>
    </row>
    <row r="1851" spans="1:19" hidden="1" x14ac:dyDescent="0.25">
      <c r="A1851" s="5" t="str">
        <f t="shared" si="768"/>
        <v>43973XLF</v>
      </c>
      <c r="B1851" s="6" t="s">
        <v>12</v>
      </c>
      <c r="C1851" s="6">
        <v>20.36</v>
      </c>
      <c r="D1851" s="6">
        <v>22.61</v>
      </c>
      <c r="E1851" s="6">
        <v>22</v>
      </c>
      <c r="F1851" t="str">
        <f t="shared" si="783"/>
        <v>FRI</v>
      </c>
      <c r="G1851" s="3">
        <f t="shared" si="784"/>
        <v>43973</v>
      </c>
      <c r="H1851" s="2">
        <f t="shared" ca="1" si="785"/>
        <v>280</v>
      </c>
      <c r="I1851" t="str">
        <f t="shared" si="786"/>
        <v>XLF</v>
      </c>
      <c r="J1851">
        <f t="shared" si="787"/>
        <v>20.36</v>
      </c>
      <c r="K1851">
        <f t="shared" si="788"/>
        <v>22.61</v>
      </c>
      <c r="L1851">
        <f t="shared" si="789"/>
        <v>21.484999999999999</v>
      </c>
      <c r="M1851">
        <f t="shared" si="790"/>
        <v>1.125</v>
      </c>
      <c r="N1851">
        <f t="shared" si="769"/>
        <v>2.25</v>
      </c>
      <c r="O1851">
        <f t="shared" si="791"/>
        <v>22</v>
      </c>
      <c r="P1851">
        <f t="shared" si="792"/>
        <v>0.45777777777777828</v>
      </c>
      <c r="Q1851" t="str">
        <f t="shared" si="770"/>
        <v>7.45% | 2.77%</v>
      </c>
      <c r="R1851" t="str">
        <f t="shared" si="793"/>
        <v>BEARISH</v>
      </c>
      <c r="S1851">
        <f t="shared" si="771"/>
        <v>-1</v>
      </c>
    </row>
    <row r="1852" spans="1:19" hidden="1" x14ac:dyDescent="0.25">
      <c r="A1852" s="5" t="str">
        <f t="shared" si="768"/>
        <v>43973XLI</v>
      </c>
      <c r="B1852" s="6" t="s">
        <v>13</v>
      </c>
      <c r="C1852" s="6">
        <v>57.86</v>
      </c>
      <c r="D1852" s="6">
        <v>65.319999999999993</v>
      </c>
      <c r="E1852" s="6">
        <v>63.89</v>
      </c>
      <c r="F1852" t="str">
        <f t="shared" si="783"/>
        <v>FRI</v>
      </c>
      <c r="G1852" s="3">
        <f t="shared" si="784"/>
        <v>43973</v>
      </c>
      <c r="H1852" s="2">
        <f t="shared" ca="1" si="785"/>
        <v>280</v>
      </c>
      <c r="I1852" t="str">
        <f t="shared" si="786"/>
        <v>XLI</v>
      </c>
      <c r="J1852">
        <f t="shared" si="787"/>
        <v>57.86</v>
      </c>
      <c r="K1852">
        <f t="shared" si="788"/>
        <v>65.319999999999993</v>
      </c>
      <c r="L1852">
        <f t="shared" si="789"/>
        <v>61.589999999999996</v>
      </c>
      <c r="M1852">
        <f t="shared" si="790"/>
        <v>3.7299999999999969</v>
      </c>
      <c r="N1852">
        <f t="shared" si="769"/>
        <v>7.4599999999999937</v>
      </c>
      <c r="O1852">
        <f t="shared" si="791"/>
        <v>63.89</v>
      </c>
      <c r="P1852">
        <f t="shared" si="792"/>
        <v>0.61662198391421075</v>
      </c>
      <c r="Q1852" t="str">
        <f t="shared" si="770"/>
        <v>9.44% | 2.24%</v>
      </c>
      <c r="R1852" t="str">
        <f t="shared" si="793"/>
        <v>BEARISH</v>
      </c>
      <c r="S1852">
        <f t="shared" si="771"/>
        <v>-1</v>
      </c>
    </row>
    <row r="1853" spans="1:19" hidden="1" x14ac:dyDescent="0.25">
      <c r="A1853" s="5" t="str">
        <f t="shared" si="768"/>
        <v>43973SSEC</v>
      </c>
      <c r="B1853" s="6" t="s">
        <v>14</v>
      </c>
      <c r="C1853" s="6">
        <v>2776</v>
      </c>
      <c r="D1853" s="6">
        <v>2905</v>
      </c>
      <c r="E1853" s="6">
        <v>2813</v>
      </c>
      <c r="F1853" t="str">
        <f t="shared" si="783"/>
        <v>FRI</v>
      </c>
      <c r="G1853" s="3">
        <f t="shared" si="784"/>
        <v>43973</v>
      </c>
      <c r="H1853" s="2">
        <f t="shared" ca="1" si="785"/>
        <v>280</v>
      </c>
      <c r="I1853" t="str">
        <f t="shared" si="786"/>
        <v>SSEC</v>
      </c>
      <c r="J1853">
        <f t="shared" si="787"/>
        <v>2776</v>
      </c>
      <c r="K1853">
        <f t="shared" si="788"/>
        <v>2905</v>
      </c>
      <c r="L1853">
        <f t="shared" si="789"/>
        <v>2840.5</v>
      </c>
      <c r="M1853">
        <f t="shared" si="790"/>
        <v>64.5</v>
      </c>
      <c r="N1853">
        <f t="shared" si="769"/>
        <v>129</v>
      </c>
      <c r="O1853">
        <f t="shared" si="791"/>
        <v>2813</v>
      </c>
      <c r="P1853">
        <f t="shared" si="792"/>
        <v>-0.4263565891472868</v>
      </c>
      <c r="Q1853" t="str">
        <f t="shared" si="770"/>
        <v>1.32% | 3.27%</v>
      </c>
      <c r="R1853" t="str">
        <f t="shared" si="793"/>
        <v>BEARISH</v>
      </c>
      <c r="S1853">
        <f t="shared" si="771"/>
        <v>-1</v>
      </c>
    </row>
    <row r="1854" spans="1:19" hidden="1" x14ac:dyDescent="0.25">
      <c r="A1854" s="5" t="str">
        <f t="shared" si="768"/>
        <v>43973NIKK</v>
      </c>
      <c r="B1854" s="6" t="s">
        <v>15</v>
      </c>
      <c r="C1854" s="6">
        <v>19803</v>
      </c>
      <c r="D1854" s="6">
        <v>20730</v>
      </c>
      <c r="E1854" s="6">
        <v>20388</v>
      </c>
      <c r="F1854" t="str">
        <f t="shared" si="783"/>
        <v>FRI</v>
      </c>
      <c r="G1854" s="3">
        <f t="shared" si="784"/>
        <v>43973</v>
      </c>
      <c r="H1854" s="2">
        <f t="shared" ca="1" si="785"/>
        <v>280</v>
      </c>
      <c r="I1854" t="str">
        <f t="shared" si="786"/>
        <v>NIKK</v>
      </c>
      <c r="J1854">
        <f t="shared" si="787"/>
        <v>19803</v>
      </c>
      <c r="K1854">
        <f t="shared" si="788"/>
        <v>20730</v>
      </c>
      <c r="L1854">
        <f t="shared" si="789"/>
        <v>20266.5</v>
      </c>
      <c r="M1854">
        <f t="shared" si="790"/>
        <v>463.5</v>
      </c>
      <c r="N1854">
        <f t="shared" si="769"/>
        <v>927</v>
      </c>
      <c r="O1854">
        <f t="shared" si="791"/>
        <v>20388</v>
      </c>
      <c r="P1854">
        <f t="shared" si="792"/>
        <v>0.26213592233009708</v>
      </c>
      <c r="Q1854" t="str">
        <f t="shared" si="770"/>
        <v>2.87% | 1.68%</v>
      </c>
      <c r="R1854" t="str">
        <f t="shared" si="793"/>
        <v>BEARISH</v>
      </c>
      <c r="S1854">
        <f t="shared" si="771"/>
        <v>-1</v>
      </c>
    </row>
    <row r="1855" spans="1:19" hidden="1" x14ac:dyDescent="0.25">
      <c r="A1855" s="5" t="str">
        <f t="shared" si="768"/>
        <v>43973DAX</v>
      </c>
      <c r="B1855" s="6" t="s">
        <v>16</v>
      </c>
      <c r="C1855" s="6">
        <v>10225</v>
      </c>
      <c r="D1855" s="6">
        <v>11312</v>
      </c>
      <c r="E1855" s="6">
        <v>11058</v>
      </c>
      <c r="F1855" t="str">
        <f t="shared" si="783"/>
        <v>FRI</v>
      </c>
      <c r="G1855" s="3">
        <f t="shared" si="784"/>
        <v>43973</v>
      </c>
      <c r="H1855" s="2">
        <f t="shared" ca="1" si="785"/>
        <v>280</v>
      </c>
      <c r="I1855" t="str">
        <f t="shared" si="786"/>
        <v>DAX</v>
      </c>
      <c r="J1855">
        <f t="shared" si="787"/>
        <v>10225</v>
      </c>
      <c r="K1855">
        <f t="shared" si="788"/>
        <v>11312</v>
      </c>
      <c r="L1855">
        <f t="shared" si="789"/>
        <v>10768.5</v>
      </c>
      <c r="M1855">
        <f t="shared" si="790"/>
        <v>543.5</v>
      </c>
      <c r="N1855">
        <f t="shared" si="769"/>
        <v>1087</v>
      </c>
      <c r="O1855">
        <v>11350</v>
      </c>
      <c r="P1855">
        <f t="shared" si="792"/>
        <v>1.0699172033118676</v>
      </c>
      <c r="Q1855" t="str">
        <f t="shared" si="770"/>
        <v>9.91% | 0.33%</v>
      </c>
      <c r="R1855" t="str">
        <f t="shared" si="793"/>
        <v>BEARISH</v>
      </c>
      <c r="S1855">
        <f t="shared" si="771"/>
        <v>-1</v>
      </c>
    </row>
    <row r="1856" spans="1:19" hidden="1" x14ac:dyDescent="0.25">
      <c r="A1856" s="5" t="str">
        <f t="shared" si="768"/>
        <v>43973VIX</v>
      </c>
      <c r="B1856" s="6" t="s">
        <v>17</v>
      </c>
      <c r="C1856" s="6">
        <v>26.26</v>
      </c>
      <c r="D1856" s="6">
        <v>36.869999999999997</v>
      </c>
      <c r="E1856" s="6">
        <v>29.53</v>
      </c>
      <c r="F1856" t="str">
        <f t="shared" si="783"/>
        <v>FRI</v>
      </c>
      <c r="G1856" s="3">
        <f t="shared" si="784"/>
        <v>43973</v>
      </c>
      <c r="H1856" s="2">
        <f t="shared" ca="1" si="785"/>
        <v>280</v>
      </c>
      <c r="I1856" t="str">
        <f t="shared" si="786"/>
        <v>VIX</v>
      </c>
      <c r="J1856">
        <f t="shared" si="787"/>
        <v>26.26</v>
      </c>
      <c r="K1856">
        <f t="shared" si="788"/>
        <v>36.869999999999997</v>
      </c>
      <c r="L1856">
        <f t="shared" si="789"/>
        <v>31.564999999999998</v>
      </c>
      <c r="M1856">
        <f t="shared" si="790"/>
        <v>5.3049999999999971</v>
      </c>
      <c r="N1856">
        <f t="shared" si="769"/>
        <v>10.609999999999996</v>
      </c>
      <c r="O1856">
        <v>30</v>
      </c>
      <c r="P1856">
        <f t="shared" si="792"/>
        <v>-0.29500471253534377</v>
      </c>
      <c r="Q1856" t="str">
        <f t="shared" si="770"/>
        <v>12.47% | 22.9%</v>
      </c>
      <c r="R1856" t="str">
        <f t="shared" si="793"/>
        <v>BULLISH</v>
      </c>
      <c r="S1856">
        <f t="shared" si="771"/>
        <v>1</v>
      </c>
    </row>
    <row r="1857" spans="1:19" hidden="1" x14ac:dyDescent="0.25">
      <c r="A1857" s="5" t="str">
        <f t="shared" si="768"/>
        <v>43973USD</v>
      </c>
      <c r="B1857" s="6" t="s">
        <v>18</v>
      </c>
      <c r="C1857" s="6">
        <v>99.01</v>
      </c>
      <c r="D1857" s="6">
        <v>100.96</v>
      </c>
      <c r="E1857" s="6">
        <v>99.4</v>
      </c>
      <c r="F1857" t="str">
        <f t="shared" si="783"/>
        <v>FRI</v>
      </c>
      <c r="G1857" s="3">
        <f t="shared" si="784"/>
        <v>43973</v>
      </c>
      <c r="H1857" s="2">
        <f t="shared" ca="1" si="785"/>
        <v>280</v>
      </c>
      <c r="I1857" t="str">
        <f t="shared" si="786"/>
        <v>USD</v>
      </c>
      <c r="J1857">
        <f t="shared" si="787"/>
        <v>99.01</v>
      </c>
      <c r="K1857">
        <f t="shared" si="788"/>
        <v>100.96</v>
      </c>
      <c r="L1857">
        <f t="shared" si="789"/>
        <v>99.984999999999999</v>
      </c>
      <c r="M1857">
        <f t="shared" si="790"/>
        <v>0.97499999999999432</v>
      </c>
      <c r="N1857">
        <f t="shared" si="769"/>
        <v>1.9499999999999886</v>
      </c>
      <c r="O1857">
        <f t="shared" si="791"/>
        <v>99.4</v>
      </c>
      <c r="P1857">
        <f t="shared" si="792"/>
        <v>-0.59999999999999709</v>
      </c>
      <c r="Q1857" t="str">
        <f t="shared" si="770"/>
        <v>0.39% | 1.57%</v>
      </c>
      <c r="R1857" t="str">
        <f t="shared" si="793"/>
        <v>BULLISH</v>
      </c>
      <c r="S1857">
        <f t="shared" si="771"/>
        <v>1</v>
      </c>
    </row>
    <row r="1858" spans="1:19" hidden="1" x14ac:dyDescent="0.25">
      <c r="A1858" s="5" t="str">
        <f t="shared" si="768"/>
        <v>43973EUR/USD</v>
      </c>
      <c r="B1858" s="6" t="s">
        <v>19</v>
      </c>
      <c r="C1858" s="6">
        <v>1.07</v>
      </c>
      <c r="D1858" s="6">
        <v>1.0900000000000001</v>
      </c>
      <c r="E1858" s="6">
        <v>1.0900000000000001</v>
      </c>
      <c r="F1858" t="str">
        <f t="shared" si="783"/>
        <v>FRI</v>
      </c>
      <c r="G1858" s="3">
        <f t="shared" si="784"/>
        <v>43973</v>
      </c>
      <c r="H1858" s="2">
        <f t="shared" ca="1" si="785"/>
        <v>280</v>
      </c>
      <c r="I1858" t="str">
        <f t="shared" si="786"/>
        <v>EUR/USD</v>
      </c>
      <c r="J1858">
        <f t="shared" si="787"/>
        <v>1.07</v>
      </c>
      <c r="K1858">
        <f t="shared" si="788"/>
        <v>1.0900000000000001</v>
      </c>
      <c r="L1858">
        <f t="shared" si="789"/>
        <v>1.08</v>
      </c>
      <c r="M1858">
        <f t="shared" si="790"/>
        <v>1.0000000000000009E-2</v>
      </c>
      <c r="N1858">
        <f t="shared" si="769"/>
        <v>2.0000000000000018E-2</v>
      </c>
      <c r="O1858">
        <f t="shared" si="791"/>
        <v>1.0900000000000001</v>
      </c>
      <c r="P1858">
        <f t="shared" si="792"/>
        <v>1</v>
      </c>
      <c r="Q1858" t="str">
        <f t="shared" si="770"/>
        <v>1.83% | 0%</v>
      </c>
      <c r="R1858" t="str">
        <f t="shared" si="793"/>
        <v>BEARISH</v>
      </c>
      <c r="S1858">
        <f t="shared" si="771"/>
        <v>-1</v>
      </c>
    </row>
    <row r="1859" spans="1:19" hidden="1" x14ac:dyDescent="0.25">
      <c r="A1859" s="5" t="str">
        <f t="shared" ref="A1859:A1922" si="794">G1859&amp;I1859</f>
        <v>43973USD/JPY</v>
      </c>
      <c r="B1859" s="6" t="s">
        <v>20</v>
      </c>
      <c r="C1859" s="6">
        <v>106.21</v>
      </c>
      <c r="D1859" s="6">
        <v>107.98</v>
      </c>
      <c r="E1859" s="6">
        <v>107.6</v>
      </c>
      <c r="F1859" t="str">
        <f t="shared" si="783"/>
        <v>FRI</v>
      </c>
      <c r="G1859" s="3">
        <f t="shared" si="784"/>
        <v>43973</v>
      </c>
      <c r="H1859" s="2">
        <f t="shared" ca="1" si="785"/>
        <v>280</v>
      </c>
      <c r="I1859" t="str">
        <f t="shared" si="786"/>
        <v>USD/JPY</v>
      </c>
      <c r="J1859">
        <f t="shared" si="787"/>
        <v>106.21</v>
      </c>
      <c r="K1859">
        <f t="shared" si="788"/>
        <v>107.98</v>
      </c>
      <c r="L1859">
        <f t="shared" si="789"/>
        <v>107.095</v>
      </c>
      <c r="M1859">
        <f t="shared" si="790"/>
        <v>0.88500000000000512</v>
      </c>
      <c r="N1859">
        <f t="shared" ref="N1859:N1922" si="795">ABS(K1859-J1859)</f>
        <v>1.7700000000000102</v>
      </c>
      <c r="O1859">
        <f t="shared" si="791"/>
        <v>107.6</v>
      </c>
      <c r="P1859">
        <f t="shared" si="792"/>
        <v>0.57062146892654519</v>
      </c>
      <c r="Q1859" t="str">
        <f t="shared" ref="Q1859:Q1922" si="796">ROUND(ABS(100*(O1859-J1859)/O1859),2)&amp;"% | "&amp;ROUND(ABS(100*(K1859-O1859)/O1859),2)&amp;"%"</f>
        <v>1.29% | 0.35%</v>
      </c>
      <c r="R1859" t="str">
        <f t="shared" si="793"/>
        <v>BEARISH</v>
      </c>
      <c r="S1859">
        <f t="shared" ref="S1859:S1922" si="797">IF(R1859="BEARISH",-1,IF(R1859="NEUTRAL",0,IF(R1859="BULLISH",1,99)))</f>
        <v>-1</v>
      </c>
    </row>
    <row r="1860" spans="1:19" hidden="1" x14ac:dyDescent="0.25">
      <c r="A1860" s="5" t="str">
        <f t="shared" si="794"/>
        <v>43973GBP/USD</v>
      </c>
      <c r="B1860" s="6" t="s">
        <v>21</v>
      </c>
      <c r="C1860" s="6">
        <v>1.21</v>
      </c>
      <c r="D1860" s="6">
        <v>1.23</v>
      </c>
      <c r="E1860" s="6">
        <v>1.22</v>
      </c>
      <c r="F1860" t="str">
        <f t="shared" si="783"/>
        <v>FRI</v>
      </c>
      <c r="G1860" s="3">
        <f t="shared" si="784"/>
        <v>43973</v>
      </c>
      <c r="H1860" s="2">
        <f t="shared" ca="1" si="785"/>
        <v>280</v>
      </c>
      <c r="I1860" t="str">
        <f t="shared" si="786"/>
        <v>GBP/USD</v>
      </c>
      <c r="J1860">
        <f t="shared" si="787"/>
        <v>1.21</v>
      </c>
      <c r="K1860">
        <f t="shared" si="788"/>
        <v>1.23</v>
      </c>
      <c r="L1860">
        <f t="shared" si="789"/>
        <v>1.22</v>
      </c>
      <c r="M1860">
        <f t="shared" si="790"/>
        <v>1.0000000000000009E-2</v>
      </c>
      <c r="N1860">
        <f t="shared" si="795"/>
        <v>2.0000000000000018E-2</v>
      </c>
      <c r="O1860">
        <f t="shared" si="791"/>
        <v>1.22</v>
      </c>
      <c r="P1860">
        <f t="shared" si="792"/>
        <v>0</v>
      </c>
      <c r="Q1860" t="str">
        <f t="shared" si="796"/>
        <v>0.82% | 0.82%</v>
      </c>
      <c r="R1860" t="str">
        <f t="shared" si="793"/>
        <v>BEARISH</v>
      </c>
      <c r="S1860">
        <f t="shared" si="797"/>
        <v>-1</v>
      </c>
    </row>
    <row r="1861" spans="1:19" hidden="1" x14ac:dyDescent="0.25">
      <c r="A1861" s="5" t="str">
        <f t="shared" si="794"/>
        <v>43973USD/CHF</v>
      </c>
      <c r="B1861" s="6" t="s">
        <v>22</v>
      </c>
      <c r="C1861" s="6">
        <v>0.96</v>
      </c>
      <c r="D1861" s="6">
        <v>0.98</v>
      </c>
      <c r="E1861" s="6">
        <v>0.97</v>
      </c>
      <c r="F1861" t="str">
        <f t="shared" si="783"/>
        <v>FRI</v>
      </c>
      <c r="G1861" s="3">
        <f t="shared" si="784"/>
        <v>43973</v>
      </c>
      <c r="H1861" s="2">
        <f t="shared" ca="1" si="785"/>
        <v>280</v>
      </c>
      <c r="I1861" t="str">
        <f t="shared" si="786"/>
        <v>USD/CHF</v>
      </c>
      <c r="J1861">
        <f t="shared" si="787"/>
        <v>0.96</v>
      </c>
      <c r="K1861">
        <f t="shared" si="788"/>
        <v>0.98</v>
      </c>
      <c r="L1861">
        <f t="shared" si="789"/>
        <v>0.97</v>
      </c>
      <c r="M1861">
        <f t="shared" si="790"/>
        <v>1.0000000000000009E-2</v>
      </c>
      <c r="N1861">
        <f t="shared" si="795"/>
        <v>2.0000000000000018E-2</v>
      </c>
      <c r="O1861">
        <f t="shared" si="791"/>
        <v>0.97</v>
      </c>
      <c r="P1861">
        <f t="shared" si="792"/>
        <v>0</v>
      </c>
      <c r="Q1861" t="str">
        <f t="shared" si="796"/>
        <v>1.03% | 1.03%</v>
      </c>
      <c r="R1861" t="str">
        <f t="shared" si="793"/>
        <v>NEUTRAL</v>
      </c>
      <c r="S1861">
        <f t="shared" si="797"/>
        <v>0</v>
      </c>
    </row>
    <row r="1862" spans="1:19" hidden="1" x14ac:dyDescent="0.25">
      <c r="A1862" s="5" t="str">
        <f t="shared" si="794"/>
        <v>43973WTIC</v>
      </c>
      <c r="B1862" s="6" t="s">
        <v>23</v>
      </c>
      <c r="C1862" s="6">
        <v>23.17</v>
      </c>
      <c r="D1862" s="6">
        <v>35.9</v>
      </c>
      <c r="E1862" s="6">
        <v>33.92</v>
      </c>
      <c r="F1862" t="str">
        <f t="shared" si="783"/>
        <v>FRI</v>
      </c>
      <c r="G1862" s="3">
        <f t="shared" si="784"/>
        <v>43973</v>
      </c>
      <c r="H1862" s="2">
        <f t="shared" ca="1" si="785"/>
        <v>280</v>
      </c>
      <c r="I1862" t="str">
        <f t="shared" si="786"/>
        <v>WTIC</v>
      </c>
      <c r="J1862">
        <f t="shared" si="787"/>
        <v>23.17</v>
      </c>
      <c r="K1862">
        <f t="shared" si="788"/>
        <v>35.9</v>
      </c>
      <c r="L1862">
        <f t="shared" si="789"/>
        <v>29.535</v>
      </c>
      <c r="M1862">
        <f t="shared" si="790"/>
        <v>6.364999999999994</v>
      </c>
      <c r="N1862">
        <f t="shared" si="795"/>
        <v>12.729999999999997</v>
      </c>
      <c r="O1862">
        <v>32.799999999999997</v>
      </c>
      <c r="P1862">
        <f t="shared" si="792"/>
        <v>0.5129615082482325</v>
      </c>
      <c r="Q1862" t="str">
        <f t="shared" si="796"/>
        <v>29.36% | 9.45%</v>
      </c>
      <c r="R1862" t="str">
        <f t="shared" si="793"/>
        <v>BEARISH</v>
      </c>
      <c r="S1862">
        <f t="shared" si="797"/>
        <v>-1</v>
      </c>
    </row>
    <row r="1863" spans="1:19" hidden="1" x14ac:dyDescent="0.25">
      <c r="A1863" s="5" t="str">
        <f t="shared" si="794"/>
        <v>43973NATGAS</v>
      </c>
      <c r="B1863" s="6" t="s">
        <v>24</v>
      </c>
      <c r="C1863" s="6">
        <v>1.52</v>
      </c>
      <c r="D1863" s="6">
        <v>1.92</v>
      </c>
      <c r="E1863" s="6">
        <v>1.85</v>
      </c>
      <c r="F1863" t="str">
        <f t="shared" si="783"/>
        <v>FRI</v>
      </c>
      <c r="G1863" s="3">
        <f t="shared" si="784"/>
        <v>43973</v>
      </c>
      <c r="H1863" s="2">
        <f t="shared" ca="1" si="785"/>
        <v>280</v>
      </c>
      <c r="I1863" t="str">
        <f t="shared" si="786"/>
        <v>NATGAS</v>
      </c>
      <c r="J1863">
        <f t="shared" si="787"/>
        <v>1.52</v>
      </c>
      <c r="K1863">
        <f t="shared" si="788"/>
        <v>1.92</v>
      </c>
      <c r="L1863">
        <f t="shared" si="789"/>
        <v>1.72</v>
      </c>
      <c r="M1863">
        <f t="shared" si="790"/>
        <v>0.2000000000000012</v>
      </c>
      <c r="N1863">
        <f t="shared" si="795"/>
        <v>0.39999999999999991</v>
      </c>
      <c r="O1863">
        <f t="shared" si="791"/>
        <v>1.85</v>
      </c>
      <c r="P1863">
        <f t="shared" si="792"/>
        <v>0.64999999999999669</v>
      </c>
      <c r="Q1863" t="str">
        <f t="shared" si="796"/>
        <v>17.84% | 3.78%</v>
      </c>
      <c r="R1863" t="str">
        <f t="shared" si="793"/>
        <v>BEARISH</v>
      </c>
      <c r="S1863">
        <f t="shared" si="797"/>
        <v>-1</v>
      </c>
    </row>
    <row r="1864" spans="1:19" hidden="1" x14ac:dyDescent="0.25">
      <c r="A1864" s="5" t="str">
        <f t="shared" si="794"/>
        <v>43973GOLD</v>
      </c>
      <c r="B1864" s="6" t="s">
        <v>25</v>
      </c>
      <c r="C1864" s="6">
        <v>1714</v>
      </c>
      <c r="D1864" s="6">
        <v>1770</v>
      </c>
      <c r="E1864" s="6">
        <v>1721</v>
      </c>
      <c r="F1864" t="str">
        <f t="shared" si="783"/>
        <v>FRI</v>
      </c>
      <c r="G1864" s="3">
        <f t="shared" si="784"/>
        <v>43973</v>
      </c>
      <c r="H1864" s="2">
        <f t="shared" ca="1" si="785"/>
        <v>280</v>
      </c>
      <c r="I1864" t="str">
        <f t="shared" si="786"/>
        <v>GOLD</v>
      </c>
      <c r="J1864">
        <f t="shared" si="787"/>
        <v>1714</v>
      </c>
      <c r="K1864">
        <f t="shared" si="788"/>
        <v>1770</v>
      </c>
      <c r="L1864">
        <f t="shared" si="789"/>
        <v>1742</v>
      </c>
      <c r="M1864">
        <f t="shared" si="790"/>
        <v>28</v>
      </c>
      <c r="N1864">
        <f t="shared" si="795"/>
        <v>56</v>
      </c>
      <c r="O1864">
        <f t="shared" si="791"/>
        <v>1721</v>
      </c>
      <c r="P1864">
        <f t="shared" si="792"/>
        <v>-0.75</v>
      </c>
      <c r="Q1864" t="str">
        <f t="shared" si="796"/>
        <v>0.41% | 2.85%</v>
      </c>
      <c r="R1864" t="str">
        <f t="shared" si="793"/>
        <v>BULLISH</v>
      </c>
      <c r="S1864">
        <f t="shared" si="797"/>
        <v>1</v>
      </c>
    </row>
    <row r="1865" spans="1:19" hidden="1" x14ac:dyDescent="0.25">
      <c r="A1865" s="5" t="str">
        <f t="shared" si="794"/>
        <v>43973COPPER</v>
      </c>
      <c r="B1865" s="6" t="s">
        <v>26</v>
      </c>
      <c r="C1865" s="6">
        <v>2.31</v>
      </c>
      <c r="D1865" s="6">
        <v>2.44</v>
      </c>
      <c r="E1865" s="6">
        <v>2.4300000000000002</v>
      </c>
      <c r="F1865" t="str">
        <f t="shared" si="783"/>
        <v>FRI</v>
      </c>
      <c r="G1865" s="3">
        <f t="shared" si="784"/>
        <v>43973</v>
      </c>
      <c r="H1865" s="2">
        <f t="shared" ca="1" si="785"/>
        <v>280</v>
      </c>
      <c r="I1865" t="str">
        <f t="shared" si="786"/>
        <v>COPPER</v>
      </c>
      <c r="J1865">
        <f t="shared" si="787"/>
        <v>2.31</v>
      </c>
      <c r="K1865">
        <f t="shared" si="788"/>
        <v>2.44</v>
      </c>
      <c r="L1865">
        <f t="shared" si="789"/>
        <v>2.375</v>
      </c>
      <c r="M1865">
        <f t="shared" si="790"/>
        <v>6.4999999999999947E-2</v>
      </c>
      <c r="N1865">
        <f t="shared" si="795"/>
        <v>0.12999999999999989</v>
      </c>
      <c r="O1865">
        <f t="shared" si="791"/>
        <v>2.4300000000000002</v>
      </c>
      <c r="P1865">
        <f t="shared" si="792"/>
        <v>0.84615384615384925</v>
      </c>
      <c r="Q1865" t="str">
        <f t="shared" si="796"/>
        <v>4.94% | 0.41%</v>
      </c>
      <c r="R1865" t="str">
        <f t="shared" si="793"/>
        <v>BEARISH</v>
      </c>
      <c r="S1865">
        <f t="shared" si="797"/>
        <v>-1</v>
      </c>
    </row>
    <row r="1866" spans="1:19" hidden="1" x14ac:dyDescent="0.25">
      <c r="A1866" s="5" t="str">
        <f t="shared" si="794"/>
        <v>43973MSFT</v>
      </c>
      <c r="B1866" s="6" t="s">
        <v>27</v>
      </c>
      <c r="C1866" s="6">
        <v>177</v>
      </c>
      <c r="D1866" s="6">
        <v>187</v>
      </c>
      <c r="E1866" s="6">
        <v>183</v>
      </c>
      <c r="F1866" t="str">
        <f t="shared" si="783"/>
        <v>FRI</v>
      </c>
      <c r="G1866" s="3">
        <f t="shared" si="784"/>
        <v>43973</v>
      </c>
      <c r="H1866" s="2">
        <f t="shared" ca="1" si="785"/>
        <v>280</v>
      </c>
      <c r="I1866" t="str">
        <f t="shared" si="786"/>
        <v>MSFT</v>
      </c>
      <c r="J1866">
        <f t="shared" si="787"/>
        <v>177</v>
      </c>
      <c r="K1866">
        <f t="shared" si="788"/>
        <v>187</v>
      </c>
      <c r="L1866">
        <f t="shared" si="789"/>
        <v>182</v>
      </c>
      <c r="M1866">
        <f t="shared" si="790"/>
        <v>5</v>
      </c>
      <c r="N1866">
        <f t="shared" si="795"/>
        <v>10</v>
      </c>
      <c r="O1866">
        <f t="shared" si="791"/>
        <v>183</v>
      </c>
      <c r="P1866">
        <f t="shared" si="792"/>
        <v>0.2</v>
      </c>
      <c r="Q1866" t="str">
        <f t="shared" si="796"/>
        <v>3.28% | 2.19%</v>
      </c>
      <c r="R1866" t="str">
        <f t="shared" si="793"/>
        <v>BULLISH</v>
      </c>
      <c r="S1866">
        <f t="shared" si="797"/>
        <v>1</v>
      </c>
    </row>
    <row r="1867" spans="1:19" hidden="1" x14ac:dyDescent="0.25">
      <c r="A1867" s="5" t="str">
        <f t="shared" si="794"/>
        <v>43973AAPL</v>
      </c>
      <c r="B1867" s="6" t="s">
        <v>28</v>
      </c>
      <c r="C1867" s="6">
        <v>304</v>
      </c>
      <c r="D1867" s="6">
        <v>320</v>
      </c>
      <c r="E1867" s="6">
        <v>316</v>
      </c>
      <c r="F1867" t="str">
        <f t="shared" si="783"/>
        <v>FRI</v>
      </c>
      <c r="G1867" s="3">
        <f t="shared" si="784"/>
        <v>43973</v>
      </c>
      <c r="H1867" s="2">
        <f t="shared" ca="1" si="785"/>
        <v>280</v>
      </c>
      <c r="I1867" t="str">
        <f t="shared" si="786"/>
        <v>AAPL</v>
      </c>
      <c r="J1867">
        <f t="shared" si="787"/>
        <v>304</v>
      </c>
      <c r="K1867">
        <f t="shared" si="788"/>
        <v>320</v>
      </c>
      <c r="L1867">
        <f t="shared" si="789"/>
        <v>312</v>
      </c>
      <c r="M1867">
        <f t="shared" si="790"/>
        <v>8</v>
      </c>
      <c r="N1867">
        <f t="shared" si="795"/>
        <v>16</v>
      </c>
      <c r="O1867">
        <f t="shared" si="791"/>
        <v>316</v>
      </c>
      <c r="P1867">
        <f t="shared" si="792"/>
        <v>0.5</v>
      </c>
      <c r="Q1867" t="str">
        <f t="shared" si="796"/>
        <v>3.8% | 1.27%</v>
      </c>
      <c r="R1867" t="str">
        <f t="shared" si="793"/>
        <v>BULLISH</v>
      </c>
      <c r="S1867">
        <f t="shared" si="797"/>
        <v>1</v>
      </c>
    </row>
    <row r="1868" spans="1:19" hidden="1" x14ac:dyDescent="0.25">
      <c r="A1868" s="5" t="str">
        <f t="shared" si="794"/>
        <v>43973AMZN</v>
      </c>
      <c r="B1868" s="6" t="s">
        <v>29</v>
      </c>
      <c r="C1868" s="6">
        <v>2324</v>
      </c>
      <c r="D1868" s="6">
        <v>2500</v>
      </c>
      <c r="E1868" s="6">
        <v>2446</v>
      </c>
      <c r="F1868" t="str">
        <f t="shared" si="783"/>
        <v>FRI</v>
      </c>
      <c r="G1868" s="3">
        <f t="shared" si="784"/>
        <v>43973</v>
      </c>
      <c r="H1868" s="2">
        <f t="shared" ca="1" si="785"/>
        <v>280</v>
      </c>
      <c r="I1868" t="str">
        <f t="shared" si="786"/>
        <v>AMZN</v>
      </c>
      <c r="J1868">
        <f t="shared" si="787"/>
        <v>2324</v>
      </c>
      <c r="K1868">
        <f t="shared" si="788"/>
        <v>2500</v>
      </c>
      <c r="L1868">
        <f t="shared" si="789"/>
        <v>2412</v>
      </c>
      <c r="M1868">
        <f t="shared" si="790"/>
        <v>88</v>
      </c>
      <c r="N1868">
        <f t="shared" si="795"/>
        <v>176</v>
      </c>
      <c r="O1868">
        <f t="shared" si="791"/>
        <v>2446</v>
      </c>
      <c r="P1868">
        <f t="shared" si="792"/>
        <v>0.38636363636363635</v>
      </c>
      <c r="Q1868" t="str">
        <f t="shared" si="796"/>
        <v>4.99% | 2.21%</v>
      </c>
      <c r="R1868" t="str">
        <f t="shared" si="793"/>
        <v>BULLISH</v>
      </c>
      <c r="S1868">
        <f t="shared" si="797"/>
        <v>1</v>
      </c>
    </row>
    <row r="1869" spans="1:19" hidden="1" x14ac:dyDescent="0.25">
      <c r="A1869" s="5" t="str">
        <f t="shared" si="794"/>
        <v>43973FB</v>
      </c>
      <c r="B1869" s="6" t="s">
        <v>30</v>
      </c>
      <c r="C1869" s="6">
        <v>202</v>
      </c>
      <c r="D1869" s="6">
        <v>233</v>
      </c>
      <c r="E1869" s="6">
        <v>231</v>
      </c>
      <c r="F1869" t="str">
        <f t="shared" si="783"/>
        <v>FRI</v>
      </c>
      <c r="G1869" s="3">
        <f t="shared" si="784"/>
        <v>43973</v>
      </c>
      <c r="H1869" s="2">
        <f t="shared" ca="1" si="785"/>
        <v>280</v>
      </c>
      <c r="I1869" t="str">
        <f t="shared" si="786"/>
        <v>FB</v>
      </c>
      <c r="J1869">
        <f t="shared" si="787"/>
        <v>202</v>
      </c>
      <c r="K1869">
        <f t="shared" si="788"/>
        <v>233</v>
      </c>
      <c r="L1869">
        <f t="shared" si="789"/>
        <v>217.5</v>
      </c>
      <c r="M1869">
        <f t="shared" si="790"/>
        <v>15.5</v>
      </c>
      <c r="N1869">
        <f t="shared" si="795"/>
        <v>31</v>
      </c>
      <c r="O1869">
        <f t="shared" si="791"/>
        <v>231</v>
      </c>
      <c r="P1869">
        <f t="shared" si="792"/>
        <v>0.87096774193548387</v>
      </c>
      <c r="Q1869" t="str">
        <f t="shared" si="796"/>
        <v>12.55% | 0.87%</v>
      </c>
      <c r="R1869" t="str">
        <f t="shared" si="793"/>
        <v>BULLISH</v>
      </c>
      <c r="S1869">
        <f t="shared" si="797"/>
        <v>1</v>
      </c>
    </row>
    <row r="1870" spans="1:19" hidden="1" x14ac:dyDescent="0.25">
      <c r="A1870" s="5" t="str">
        <f t="shared" si="794"/>
        <v>43973GOOGL</v>
      </c>
      <c r="B1870" s="6" t="s">
        <v>31</v>
      </c>
      <c r="C1870" s="6">
        <v>1341</v>
      </c>
      <c r="D1870" s="6">
        <v>1423</v>
      </c>
      <c r="E1870" s="6">
        <v>1406</v>
      </c>
      <c r="F1870" t="str">
        <f t="shared" si="783"/>
        <v>FRI</v>
      </c>
      <c r="G1870" s="3">
        <f t="shared" si="784"/>
        <v>43973</v>
      </c>
      <c r="H1870" s="2">
        <f t="shared" ca="1" si="785"/>
        <v>280</v>
      </c>
      <c r="I1870" t="str">
        <f t="shared" si="786"/>
        <v>GOOGL</v>
      </c>
      <c r="J1870">
        <f t="shared" si="787"/>
        <v>1341</v>
      </c>
      <c r="K1870">
        <f t="shared" si="788"/>
        <v>1423</v>
      </c>
      <c r="L1870">
        <f t="shared" si="789"/>
        <v>1382</v>
      </c>
      <c r="M1870">
        <f t="shared" si="790"/>
        <v>41</v>
      </c>
      <c r="N1870">
        <f t="shared" si="795"/>
        <v>82</v>
      </c>
      <c r="O1870">
        <f t="shared" si="791"/>
        <v>1406</v>
      </c>
      <c r="P1870">
        <f t="shared" si="792"/>
        <v>0.58536585365853655</v>
      </c>
      <c r="Q1870" t="str">
        <f t="shared" si="796"/>
        <v>4.62% | 1.21%</v>
      </c>
      <c r="R1870" t="str">
        <f t="shared" si="793"/>
        <v>BULLISH</v>
      </c>
      <c r="S1870">
        <f t="shared" si="797"/>
        <v>1</v>
      </c>
    </row>
    <row r="1871" spans="1:19" hidden="1" x14ac:dyDescent="0.25">
      <c r="A1871" s="5" t="str">
        <f t="shared" si="794"/>
        <v>43973NFLX</v>
      </c>
      <c r="B1871" s="6" t="s">
        <v>32</v>
      </c>
      <c r="C1871" s="6">
        <v>425</v>
      </c>
      <c r="D1871" s="6">
        <v>459</v>
      </c>
      <c r="E1871" s="6">
        <v>436</v>
      </c>
      <c r="F1871" t="str">
        <f t="shared" si="783"/>
        <v>FRI</v>
      </c>
      <c r="G1871" s="3">
        <f t="shared" si="784"/>
        <v>43973</v>
      </c>
      <c r="H1871" s="2">
        <f t="shared" ca="1" si="785"/>
        <v>280</v>
      </c>
      <c r="I1871" t="str">
        <f t="shared" si="786"/>
        <v>NFLX</v>
      </c>
      <c r="J1871">
        <f t="shared" si="787"/>
        <v>425</v>
      </c>
      <c r="K1871">
        <f t="shared" si="788"/>
        <v>459</v>
      </c>
      <c r="L1871">
        <f t="shared" si="789"/>
        <v>442</v>
      </c>
      <c r="M1871">
        <f t="shared" si="790"/>
        <v>17</v>
      </c>
      <c r="N1871">
        <f t="shared" si="795"/>
        <v>34</v>
      </c>
      <c r="O1871">
        <f t="shared" si="791"/>
        <v>436</v>
      </c>
      <c r="P1871">
        <f t="shared" si="792"/>
        <v>-0.35294117647058826</v>
      </c>
      <c r="Q1871" t="str">
        <f t="shared" si="796"/>
        <v>2.52% | 5.28%</v>
      </c>
      <c r="R1871" t="str">
        <f t="shared" si="793"/>
        <v>BULLISH</v>
      </c>
      <c r="S1871">
        <f t="shared" si="797"/>
        <v>1</v>
      </c>
    </row>
    <row r="1872" spans="1:19" x14ac:dyDescent="0.25">
      <c r="A1872" s="5" t="str">
        <f t="shared" si="794"/>
        <v>43973TSLA</v>
      </c>
      <c r="B1872" s="6" t="s">
        <v>33</v>
      </c>
      <c r="C1872" s="6">
        <v>784</v>
      </c>
      <c r="D1872" s="6">
        <v>830</v>
      </c>
      <c r="E1872" s="6">
        <v>827</v>
      </c>
      <c r="F1872" t="str">
        <f t="shared" si="783"/>
        <v>FRI</v>
      </c>
      <c r="G1872" s="3">
        <f t="shared" si="784"/>
        <v>43973</v>
      </c>
      <c r="H1872" s="2">
        <f t="shared" ca="1" si="785"/>
        <v>280</v>
      </c>
      <c r="I1872" t="str">
        <f t="shared" si="786"/>
        <v>TSLA</v>
      </c>
      <c r="J1872">
        <f t="shared" si="787"/>
        <v>784</v>
      </c>
      <c r="K1872">
        <f t="shared" si="788"/>
        <v>830</v>
      </c>
      <c r="L1872">
        <f t="shared" si="789"/>
        <v>807</v>
      </c>
      <c r="M1872">
        <f t="shared" si="790"/>
        <v>23</v>
      </c>
      <c r="N1872">
        <f t="shared" si="795"/>
        <v>46</v>
      </c>
      <c r="O1872">
        <f t="shared" si="791"/>
        <v>827</v>
      </c>
      <c r="P1872">
        <f t="shared" si="792"/>
        <v>0.86956521739130432</v>
      </c>
      <c r="Q1872" t="str">
        <f t="shared" si="796"/>
        <v>5.2% | 0.36%</v>
      </c>
      <c r="R1872" t="str">
        <f t="shared" si="793"/>
        <v>BULLISH</v>
      </c>
      <c r="S1872">
        <f t="shared" si="797"/>
        <v>1</v>
      </c>
    </row>
    <row r="1873" spans="1:19" hidden="1" x14ac:dyDescent="0.25">
      <c r="A1873" s="5" t="str">
        <f t="shared" si="794"/>
        <v>43973NYXBT</v>
      </c>
      <c r="B1873" s="6" t="s">
        <v>34</v>
      </c>
      <c r="C1873" s="6">
        <v>8639</v>
      </c>
      <c r="D1873" s="6">
        <v>10118</v>
      </c>
      <c r="E1873" s="6">
        <v>9069</v>
      </c>
      <c r="F1873" t="str">
        <f t="shared" si="783"/>
        <v>FRI</v>
      </c>
      <c r="G1873" s="3">
        <f t="shared" si="784"/>
        <v>43973</v>
      </c>
      <c r="H1873" s="2">
        <f t="shared" ca="1" si="785"/>
        <v>280</v>
      </c>
      <c r="I1873" t="str">
        <f t="shared" si="786"/>
        <v>NYXBT</v>
      </c>
      <c r="J1873">
        <f t="shared" si="787"/>
        <v>8639</v>
      </c>
      <c r="K1873">
        <f t="shared" si="788"/>
        <v>10118</v>
      </c>
      <c r="L1873">
        <f t="shared" si="789"/>
        <v>9378.5</v>
      </c>
      <c r="M1873">
        <f t="shared" si="790"/>
        <v>739.5</v>
      </c>
      <c r="N1873">
        <f t="shared" si="795"/>
        <v>1479</v>
      </c>
      <c r="O1873">
        <f t="shared" si="791"/>
        <v>9069</v>
      </c>
      <c r="P1873">
        <f t="shared" si="792"/>
        <v>-0.41852603110209602</v>
      </c>
      <c r="Q1873" t="str">
        <f t="shared" si="796"/>
        <v>4.74% | 11.57%</v>
      </c>
      <c r="R1873" t="str">
        <f t="shared" si="793"/>
        <v>BULLISH</v>
      </c>
      <c r="S1873">
        <f t="shared" si="797"/>
        <v>1</v>
      </c>
    </row>
    <row r="1874" spans="1:19" hidden="1" x14ac:dyDescent="0.25">
      <c r="A1874" s="5" t="str">
        <f t="shared" si="794"/>
        <v>43977UST10Y</v>
      </c>
      <c r="B1874" s="6" t="s">
        <v>4</v>
      </c>
      <c r="C1874" s="6">
        <v>0.74</v>
      </c>
      <c r="D1874" s="6">
        <v>0.6</v>
      </c>
      <c r="E1874" s="6">
        <v>0.66</v>
      </c>
      <c r="F1874" t="str">
        <f t="shared" si="783"/>
        <v>TUE</v>
      </c>
      <c r="G1874" s="1">
        <f>DATE(2020,5,26)</f>
        <v>43977</v>
      </c>
      <c r="H1874" s="2">
        <f t="shared" ca="1" si="785"/>
        <v>276</v>
      </c>
      <c r="I1874" t="str">
        <f t="shared" si="786"/>
        <v>UST10Y</v>
      </c>
      <c r="J1874">
        <f t="shared" si="787"/>
        <v>0.74</v>
      </c>
      <c r="K1874">
        <f t="shared" si="788"/>
        <v>0.6</v>
      </c>
      <c r="L1874">
        <f t="shared" si="789"/>
        <v>0.66999999999999993</v>
      </c>
      <c r="M1874">
        <f t="shared" si="790"/>
        <v>7.0000000000000506E-2</v>
      </c>
      <c r="N1874">
        <f t="shared" si="795"/>
        <v>0.14000000000000001</v>
      </c>
      <c r="O1874">
        <f t="shared" si="791"/>
        <v>0.66</v>
      </c>
      <c r="P1874">
        <f t="shared" si="792"/>
        <v>-0.14285714285714035</v>
      </c>
      <c r="Q1874" t="str">
        <f t="shared" si="796"/>
        <v>12.12% | 9.09%</v>
      </c>
      <c r="R1874" t="str">
        <f t="shared" si="793"/>
        <v>BEARISH</v>
      </c>
      <c r="S1874">
        <f t="shared" si="797"/>
        <v>-1</v>
      </c>
    </row>
    <row r="1875" spans="1:19" hidden="1" x14ac:dyDescent="0.25">
      <c r="A1875" s="5" t="str">
        <f t="shared" si="794"/>
        <v>43977UST2Y</v>
      </c>
      <c r="B1875" s="6" t="s">
        <v>5</v>
      </c>
      <c r="C1875" s="6">
        <v>0.2</v>
      </c>
      <c r="D1875" s="6">
        <v>0.14000000000000001</v>
      </c>
      <c r="E1875" s="6">
        <v>0.17</v>
      </c>
      <c r="F1875" t="str">
        <f t="shared" ref="F1875:F1905" si="798">UPPER(TEXT(G1875,"ddd"))</f>
        <v>TUE</v>
      </c>
      <c r="G1875" s="1">
        <f t="shared" ref="G1875:G1904" si="799">DATE(2020,5,26)</f>
        <v>43977</v>
      </c>
      <c r="H1875" s="2">
        <f t="shared" ref="H1875:H1905" ca="1" si="800">TODAY()-G1875</f>
        <v>276</v>
      </c>
      <c r="I1875" t="str">
        <f t="shared" ref="I1875:I1905" si="801">TRIM(LEFT(B1875,FIND(" ",B1875,1)))</f>
        <v>UST2Y</v>
      </c>
      <c r="J1875">
        <f t="shared" ref="J1875:J1905" si="802">C1875</f>
        <v>0.2</v>
      </c>
      <c r="K1875">
        <f t="shared" ref="K1875:K1905" si="803">D1875</f>
        <v>0.14000000000000001</v>
      </c>
      <c r="L1875">
        <f t="shared" ref="L1875:L1905" si="804">AVERAGE(J1875:K1875)</f>
        <v>0.17</v>
      </c>
      <c r="M1875">
        <f t="shared" ref="M1875:M1905" si="805">_xlfn.STDEV.P(J1875:K1875)</f>
        <v>3.0000000000000023E-2</v>
      </c>
      <c r="N1875">
        <f t="shared" si="795"/>
        <v>0.06</v>
      </c>
      <c r="O1875">
        <f t="shared" ref="O1875:O1905" si="806">E1875</f>
        <v>0.17</v>
      </c>
      <c r="P1875">
        <f t="shared" ref="P1875:P1905" si="807">(O1875-L1875)/M1875</f>
        <v>0</v>
      </c>
      <c r="Q1875" t="str">
        <f t="shared" si="796"/>
        <v>17.65% | 17.65%</v>
      </c>
      <c r="R1875" t="str">
        <f t="shared" ref="R1875:R1905" si="808">MID(B1875,FIND("(",B1875,1)+1,FIND(")",B1875,1)-FIND("(",B1875,1)-1)</f>
        <v>BEARISH</v>
      </c>
      <c r="S1875">
        <f t="shared" si="797"/>
        <v>-1</v>
      </c>
    </row>
    <row r="1876" spans="1:19" hidden="1" x14ac:dyDescent="0.25">
      <c r="A1876" s="5" t="str">
        <f t="shared" si="794"/>
        <v>43977SPX</v>
      </c>
      <c r="B1876" s="6" t="s">
        <v>6</v>
      </c>
      <c r="C1876" s="6">
        <v>2801</v>
      </c>
      <c r="D1876" s="6">
        <v>3012</v>
      </c>
      <c r="E1876" s="6">
        <v>2955</v>
      </c>
      <c r="F1876" t="str">
        <f t="shared" si="798"/>
        <v>TUE</v>
      </c>
      <c r="G1876" s="1">
        <f t="shared" si="799"/>
        <v>43977</v>
      </c>
      <c r="H1876" s="2">
        <f t="shared" ca="1" si="800"/>
        <v>276</v>
      </c>
      <c r="I1876" t="str">
        <f t="shared" si="801"/>
        <v>SPX</v>
      </c>
      <c r="J1876">
        <f t="shared" si="802"/>
        <v>2801</v>
      </c>
      <c r="K1876">
        <f t="shared" si="803"/>
        <v>3012</v>
      </c>
      <c r="L1876">
        <f t="shared" si="804"/>
        <v>2906.5</v>
      </c>
      <c r="M1876">
        <f t="shared" si="805"/>
        <v>105.5</v>
      </c>
      <c r="N1876">
        <f t="shared" si="795"/>
        <v>211</v>
      </c>
      <c r="O1876">
        <f t="shared" si="806"/>
        <v>2955</v>
      </c>
      <c r="P1876">
        <f t="shared" si="807"/>
        <v>0.45971563981042651</v>
      </c>
      <c r="Q1876" t="str">
        <f t="shared" si="796"/>
        <v>5.21% | 1.93%</v>
      </c>
      <c r="R1876" t="str">
        <f t="shared" si="808"/>
        <v>BEARISH</v>
      </c>
      <c r="S1876">
        <f t="shared" si="797"/>
        <v>-1</v>
      </c>
    </row>
    <row r="1877" spans="1:19" hidden="1" x14ac:dyDescent="0.25">
      <c r="A1877" s="5" t="str">
        <f t="shared" si="794"/>
        <v>43977RUT</v>
      </c>
      <c r="B1877" s="6" t="s">
        <v>7</v>
      </c>
      <c r="C1877" s="6">
        <v>1206</v>
      </c>
      <c r="D1877" s="6">
        <v>1391</v>
      </c>
      <c r="E1877" s="6">
        <v>1355</v>
      </c>
      <c r="F1877" t="str">
        <f t="shared" si="798"/>
        <v>TUE</v>
      </c>
      <c r="G1877" s="1">
        <f t="shared" si="799"/>
        <v>43977</v>
      </c>
      <c r="H1877" s="2">
        <f t="shared" ca="1" si="800"/>
        <v>276</v>
      </c>
      <c r="I1877" t="str">
        <f t="shared" si="801"/>
        <v>RUT</v>
      </c>
      <c r="J1877">
        <f t="shared" si="802"/>
        <v>1206</v>
      </c>
      <c r="K1877">
        <f t="shared" si="803"/>
        <v>1391</v>
      </c>
      <c r="L1877">
        <f t="shared" si="804"/>
        <v>1298.5</v>
      </c>
      <c r="M1877">
        <f t="shared" si="805"/>
        <v>92.5</v>
      </c>
      <c r="N1877">
        <f t="shared" si="795"/>
        <v>185</v>
      </c>
      <c r="O1877">
        <v>1406.5</v>
      </c>
      <c r="P1877">
        <f t="shared" si="807"/>
        <v>1.1675675675675676</v>
      </c>
      <c r="Q1877" t="str">
        <f t="shared" si="796"/>
        <v>14.26% | 1.1%</v>
      </c>
      <c r="R1877" t="str">
        <f t="shared" si="808"/>
        <v>BEARISH</v>
      </c>
      <c r="S1877">
        <f t="shared" si="797"/>
        <v>-1</v>
      </c>
    </row>
    <row r="1878" spans="1:19" hidden="1" x14ac:dyDescent="0.25">
      <c r="A1878" s="5" t="str">
        <f t="shared" si="794"/>
        <v>43977COMPQ</v>
      </c>
      <c r="B1878" s="6" t="s">
        <v>8</v>
      </c>
      <c r="C1878" s="6">
        <v>8867</v>
      </c>
      <c r="D1878" s="6">
        <v>9485</v>
      </c>
      <c r="E1878" s="6">
        <v>9324</v>
      </c>
      <c r="F1878" t="str">
        <f t="shared" si="798"/>
        <v>TUE</v>
      </c>
      <c r="G1878" s="1">
        <f t="shared" si="799"/>
        <v>43977</v>
      </c>
      <c r="H1878" s="2">
        <f t="shared" ca="1" si="800"/>
        <v>276</v>
      </c>
      <c r="I1878" t="str">
        <f t="shared" si="801"/>
        <v>COMPQ</v>
      </c>
      <c r="J1878">
        <f t="shared" si="802"/>
        <v>8867</v>
      </c>
      <c r="K1878">
        <f t="shared" si="803"/>
        <v>9485</v>
      </c>
      <c r="L1878">
        <f t="shared" si="804"/>
        <v>9176</v>
      </c>
      <c r="M1878">
        <f t="shared" si="805"/>
        <v>309</v>
      </c>
      <c r="N1878">
        <f t="shared" si="795"/>
        <v>618</v>
      </c>
      <c r="O1878">
        <f t="shared" si="806"/>
        <v>9324</v>
      </c>
      <c r="P1878">
        <f t="shared" si="807"/>
        <v>0.47896440129449835</v>
      </c>
      <c r="Q1878" t="str">
        <f t="shared" si="796"/>
        <v>4.9% | 1.73%</v>
      </c>
      <c r="R1878" t="str">
        <f t="shared" si="808"/>
        <v>BULLISH</v>
      </c>
      <c r="S1878">
        <f t="shared" si="797"/>
        <v>1</v>
      </c>
    </row>
    <row r="1879" spans="1:19" hidden="1" x14ac:dyDescent="0.25">
      <c r="A1879" s="5" t="str">
        <f t="shared" si="794"/>
        <v>43977XLV</v>
      </c>
      <c r="B1879" s="6" t="s">
        <v>9</v>
      </c>
      <c r="C1879" s="6">
        <v>98.38</v>
      </c>
      <c r="D1879" s="6">
        <v>101.78</v>
      </c>
      <c r="E1879" s="6">
        <v>99.62</v>
      </c>
      <c r="F1879" t="str">
        <f t="shared" si="798"/>
        <v>TUE</v>
      </c>
      <c r="G1879" s="1">
        <f t="shared" si="799"/>
        <v>43977</v>
      </c>
      <c r="H1879" s="2">
        <f t="shared" ca="1" si="800"/>
        <v>276</v>
      </c>
      <c r="I1879" t="str">
        <f t="shared" si="801"/>
        <v>XLV</v>
      </c>
      <c r="J1879">
        <f t="shared" si="802"/>
        <v>98.38</v>
      </c>
      <c r="K1879">
        <f t="shared" si="803"/>
        <v>101.78</v>
      </c>
      <c r="L1879">
        <f t="shared" si="804"/>
        <v>100.08</v>
      </c>
      <c r="M1879">
        <f t="shared" si="805"/>
        <v>1.7000000000000028</v>
      </c>
      <c r="N1879">
        <f t="shared" si="795"/>
        <v>3.4000000000000057</v>
      </c>
      <c r="O1879">
        <f t="shared" si="806"/>
        <v>99.62</v>
      </c>
      <c r="P1879">
        <f t="shared" si="807"/>
        <v>-0.27058823529411352</v>
      </c>
      <c r="Q1879" t="str">
        <f t="shared" si="796"/>
        <v>1.24% | 2.17%</v>
      </c>
      <c r="R1879" t="str">
        <f t="shared" si="808"/>
        <v>BULLISH</v>
      </c>
      <c r="S1879">
        <f t="shared" si="797"/>
        <v>1</v>
      </c>
    </row>
    <row r="1880" spans="1:19" hidden="1" x14ac:dyDescent="0.25">
      <c r="A1880" s="5" t="str">
        <f t="shared" si="794"/>
        <v>43977XLK</v>
      </c>
      <c r="B1880" s="6" t="s">
        <v>10</v>
      </c>
      <c r="C1880" s="6">
        <v>91.88</v>
      </c>
      <c r="D1880" s="6">
        <v>99.26</v>
      </c>
      <c r="E1880" s="6">
        <v>96.49</v>
      </c>
      <c r="F1880" t="str">
        <f t="shared" si="798"/>
        <v>TUE</v>
      </c>
      <c r="G1880" s="1">
        <f t="shared" si="799"/>
        <v>43977</v>
      </c>
      <c r="H1880" s="2">
        <f t="shared" ca="1" si="800"/>
        <v>276</v>
      </c>
      <c r="I1880" t="str">
        <f t="shared" si="801"/>
        <v>XLK</v>
      </c>
      <c r="J1880">
        <f t="shared" si="802"/>
        <v>91.88</v>
      </c>
      <c r="K1880">
        <f t="shared" si="803"/>
        <v>99.26</v>
      </c>
      <c r="L1880">
        <f t="shared" si="804"/>
        <v>95.57</v>
      </c>
      <c r="M1880">
        <f t="shared" si="805"/>
        <v>3.6900000000000048</v>
      </c>
      <c r="N1880">
        <f t="shared" si="795"/>
        <v>7.3800000000000097</v>
      </c>
      <c r="O1880">
        <f t="shared" si="806"/>
        <v>96.49</v>
      </c>
      <c r="P1880">
        <f t="shared" si="807"/>
        <v>0.24932249322493238</v>
      </c>
      <c r="Q1880" t="str">
        <f t="shared" si="796"/>
        <v>4.78% | 2.87%</v>
      </c>
      <c r="R1880" t="str">
        <f t="shared" si="808"/>
        <v>BULLISH</v>
      </c>
      <c r="S1880">
        <f t="shared" si="797"/>
        <v>1</v>
      </c>
    </row>
    <row r="1881" spans="1:19" hidden="1" x14ac:dyDescent="0.25">
      <c r="A1881" s="5" t="str">
        <f t="shared" si="794"/>
        <v>43977XLP</v>
      </c>
      <c r="B1881" s="6" t="s">
        <v>11</v>
      </c>
      <c r="C1881" s="6">
        <v>56.03</v>
      </c>
      <c r="D1881" s="6">
        <v>58.4</v>
      </c>
      <c r="E1881" s="6">
        <v>57.47</v>
      </c>
      <c r="F1881" t="str">
        <f t="shared" si="798"/>
        <v>TUE</v>
      </c>
      <c r="G1881" s="1">
        <f t="shared" si="799"/>
        <v>43977</v>
      </c>
      <c r="H1881" s="2">
        <f t="shared" ca="1" si="800"/>
        <v>276</v>
      </c>
      <c r="I1881" t="str">
        <f t="shared" si="801"/>
        <v>XLP</v>
      </c>
      <c r="J1881">
        <f t="shared" si="802"/>
        <v>56.03</v>
      </c>
      <c r="K1881">
        <f t="shared" si="803"/>
        <v>58.4</v>
      </c>
      <c r="L1881">
        <f t="shared" si="804"/>
        <v>57.215000000000003</v>
      </c>
      <c r="M1881">
        <f t="shared" si="805"/>
        <v>1.1849999999999987</v>
      </c>
      <c r="N1881">
        <f t="shared" si="795"/>
        <v>2.3699999999999974</v>
      </c>
      <c r="O1881">
        <f t="shared" si="806"/>
        <v>57.47</v>
      </c>
      <c r="P1881">
        <f t="shared" si="807"/>
        <v>0.21518987341771792</v>
      </c>
      <c r="Q1881" t="str">
        <f t="shared" si="796"/>
        <v>2.51% | 1.62%</v>
      </c>
      <c r="R1881" t="str">
        <f t="shared" si="808"/>
        <v>BEARISH</v>
      </c>
      <c r="S1881">
        <f t="shared" si="797"/>
        <v>-1</v>
      </c>
    </row>
    <row r="1882" spans="1:19" hidden="1" x14ac:dyDescent="0.25">
      <c r="A1882" s="5" t="str">
        <f t="shared" si="794"/>
        <v>43977XLF</v>
      </c>
      <c r="B1882" s="6" t="s">
        <v>12</v>
      </c>
      <c r="C1882" s="6">
        <v>20.16</v>
      </c>
      <c r="D1882" s="6">
        <v>22.81</v>
      </c>
      <c r="E1882" s="6">
        <v>21.92</v>
      </c>
      <c r="F1882" t="str">
        <f t="shared" si="798"/>
        <v>TUE</v>
      </c>
      <c r="G1882" s="1">
        <f t="shared" si="799"/>
        <v>43977</v>
      </c>
      <c r="H1882" s="2">
        <f t="shared" ca="1" si="800"/>
        <v>276</v>
      </c>
      <c r="I1882" t="str">
        <f t="shared" si="801"/>
        <v>XLF</v>
      </c>
      <c r="J1882">
        <f t="shared" si="802"/>
        <v>20.16</v>
      </c>
      <c r="K1882">
        <f t="shared" si="803"/>
        <v>22.81</v>
      </c>
      <c r="L1882">
        <f t="shared" si="804"/>
        <v>21.484999999999999</v>
      </c>
      <c r="M1882">
        <f t="shared" si="805"/>
        <v>1.3249999999999993</v>
      </c>
      <c r="N1882">
        <f t="shared" si="795"/>
        <v>2.6499999999999986</v>
      </c>
      <c r="O1882">
        <f t="shared" si="806"/>
        <v>21.92</v>
      </c>
      <c r="P1882">
        <f t="shared" si="807"/>
        <v>0.3283018867924547</v>
      </c>
      <c r="Q1882" t="str">
        <f t="shared" si="796"/>
        <v>8.03% | 4.06%</v>
      </c>
      <c r="R1882" t="str">
        <f t="shared" si="808"/>
        <v>BEARISH</v>
      </c>
      <c r="S1882">
        <f t="shared" si="797"/>
        <v>-1</v>
      </c>
    </row>
    <row r="1883" spans="1:19" hidden="1" x14ac:dyDescent="0.25">
      <c r="A1883" s="5" t="str">
        <f t="shared" si="794"/>
        <v>43977XLI</v>
      </c>
      <c r="B1883" s="6" t="s">
        <v>13</v>
      </c>
      <c r="C1883" s="6">
        <v>57.68</v>
      </c>
      <c r="D1883" s="6">
        <v>65.97</v>
      </c>
      <c r="E1883" s="6">
        <v>63.84</v>
      </c>
      <c r="F1883" t="str">
        <f t="shared" si="798"/>
        <v>TUE</v>
      </c>
      <c r="G1883" s="1">
        <f t="shared" si="799"/>
        <v>43977</v>
      </c>
      <c r="H1883" s="2">
        <f t="shared" ca="1" si="800"/>
        <v>276</v>
      </c>
      <c r="I1883" t="str">
        <f t="shared" si="801"/>
        <v>XLI</v>
      </c>
      <c r="J1883">
        <f t="shared" si="802"/>
        <v>57.68</v>
      </c>
      <c r="K1883">
        <f t="shared" si="803"/>
        <v>65.97</v>
      </c>
      <c r="L1883">
        <f t="shared" si="804"/>
        <v>61.825000000000003</v>
      </c>
      <c r="M1883">
        <f t="shared" si="805"/>
        <v>4.1449999999999996</v>
      </c>
      <c r="N1883">
        <f t="shared" si="795"/>
        <v>8.2899999999999991</v>
      </c>
      <c r="O1883">
        <f t="shared" si="806"/>
        <v>63.84</v>
      </c>
      <c r="P1883">
        <f t="shared" si="807"/>
        <v>0.48612786489746701</v>
      </c>
      <c r="Q1883" t="str">
        <f t="shared" si="796"/>
        <v>9.65% | 3.34%</v>
      </c>
      <c r="R1883" t="str">
        <f t="shared" si="808"/>
        <v>BEARISH</v>
      </c>
      <c r="S1883">
        <f t="shared" si="797"/>
        <v>-1</v>
      </c>
    </row>
    <row r="1884" spans="1:19" hidden="1" x14ac:dyDescent="0.25">
      <c r="A1884" s="5" t="str">
        <f t="shared" si="794"/>
        <v>43977SSEC</v>
      </c>
      <c r="B1884" s="6" t="s">
        <v>14</v>
      </c>
      <c r="C1884" s="6">
        <v>2801</v>
      </c>
      <c r="D1884" s="6">
        <v>2893</v>
      </c>
      <c r="E1884" s="6">
        <v>2846</v>
      </c>
      <c r="F1884" t="str">
        <f t="shared" si="798"/>
        <v>TUE</v>
      </c>
      <c r="G1884" s="1">
        <f t="shared" si="799"/>
        <v>43977</v>
      </c>
      <c r="H1884" s="2">
        <f t="shared" ca="1" si="800"/>
        <v>276</v>
      </c>
      <c r="I1884" t="str">
        <f t="shared" si="801"/>
        <v>SSEC</v>
      </c>
      <c r="J1884">
        <f t="shared" si="802"/>
        <v>2801</v>
      </c>
      <c r="K1884">
        <f t="shared" si="803"/>
        <v>2893</v>
      </c>
      <c r="L1884">
        <f t="shared" si="804"/>
        <v>2847</v>
      </c>
      <c r="M1884">
        <f t="shared" si="805"/>
        <v>46</v>
      </c>
      <c r="N1884">
        <f t="shared" si="795"/>
        <v>92</v>
      </c>
      <c r="O1884">
        <f t="shared" si="806"/>
        <v>2846</v>
      </c>
      <c r="P1884">
        <f t="shared" si="807"/>
        <v>-2.1739130434782608E-2</v>
      </c>
      <c r="Q1884" t="str">
        <f t="shared" si="796"/>
        <v>1.58% | 1.65%</v>
      </c>
      <c r="R1884" t="str">
        <f t="shared" si="808"/>
        <v>BEARISH</v>
      </c>
      <c r="S1884">
        <f t="shared" si="797"/>
        <v>-1</v>
      </c>
    </row>
    <row r="1885" spans="1:19" hidden="1" x14ac:dyDescent="0.25">
      <c r="A1885" s="5" t="str">
        <f t="shared" si="794"/>
        <v>43977NIKK</v>
      </c>
      <c r="B1885" s="6" t="s">
        <v>15</v>
      </c>
      <c r="C1885" s="6">
        <v>19922</v>
      </c>
      <c r="D1885" s="6">
        <v>21360</v>
      </c>
      <c r="E1885" s="6">
        <v>21271</v>
      </c>
      <c r="F1885" t="str">
        <f t="shared" si="798"/>
        <v>TUE</v>
      </c>
      <c r="G1885" s="1">
        <f t="shared" si="799"/>
        <v>43977</v>
      </c>
      <c r="H1885" s="2">
        <f t="shared" ca="1" si="800"/>
        <v>276</v>
      </c>
      <c r="I1885" t="str">
        <f t="shared" si="801"/>
        <v>NIKK</v>
      </c>
      <c r="J1885">
        <f t="shared" si="802"/>
        <v>19922</v>
      </c>
      <c r="K1885">
        <f t="shared" si="803"/>
        <v>21360</v>
      </c>
      <c r="L1885">
        <f t="shared" si="804"/>
        <v>20641</v>
      </c>
      <c r="M1885">
        <f t="shared" si="805"/>
        <v>719</v>
      </c>
      <c r="N1885">
        <f t="shared" si="795"/>
        <v>1438</v>
      </c>
      <c r="O1885">
        <f t="shared" si="806"/>
        <v>21271</v>
      </c>
      <c r="P1885">
        <f t="shared" si="807"/>
        <v>0.87621696801112658</v>
      </c>
      <c r="Q1885" t="str">
        <f t="shared" si="796"/>
        <v>6.34% | 0.42%</v>
      </c>
      <c r="R1885" t="str">
        <f t="shared" si="808"/>
        <v>BEARISH</v>
      </c>
      <c r="S1885">
        <f t="shared" si="797"/>
        <v>-1</v>
      </c>
    </row>
    <row r="1886" spans="1:19" hidden="1" x14ac:dyDescent="0.25">
      <c r="A1886" s="5" t="str">
        <f t="shared" si="794"/>
        <v>43977DAX</v>
      </c>
      <c r="B1886" s="6" t="s">
        <v>16</v>
      </c>
      <c r="C1886" s="6">
        <v>10221</v>
      </c>
      <c r="D1886" s="6">
        <v>11610</v>
      </c>
      <c r="E1886" s="6">
        <v>11384</v>
      </c>
      <c r="F1886" t="str">
        <f t="shared" si="798"/>
        <v>TUE</v>
      </c>
      <c r="G1886" s="1">
        <f t="shared" si="799"/>
        <v>43977</v>
      </c>
      <c r="H1886" s="2">
        <f t="shared" ca="1" si="800"/>
        <v>276</v>
      </c>
      <c r="I1886" t="str">
        <f t="shared" si="801"/>
        <v>DAX</v>
      </c>
      <c r="J1886">
        <f t="shared" si="802"/>
        <v>10221</v>
      </c>
      <c r="K1886">
        <f t="shared" si="803"/>
        <v>11610</v>
      </c>
      <c r="L1886">
        <f t="shared" si="804"/>
        <v>10915.5</v>
      </c>
      <c r="M1886">
        <f t="shared" si="805"/>
        <v>694.5</v>
      </c>
      <c r="N1886">
        <f t="shared" si="795"/>
        <v>1389</v>
      </c>
      <c r="O1886">
        <v>11488</v>
      </c>
      <c r="P1886">
        <f t="shared" si="807"/>
        <v>0.82433405327573794</v>
      </c>
      <c r="Q1886" t="str">
        <f t="shared" si="796"/>
        <v>11.03% | 1.06%</v>
      </c>
      <c r="R1886" t="str">
        <f t="shared" si="808"/>
        <v>BEARISH</v>
      </c>
      <c r="S1886">
        <f t="shared" si="797"/>
        <v>-1</v>
      </c>
    </row>
    <row r="1887" spans="1:19" hidden="1" x14ac:dyDescent="0.25">
      <c r="A1887" s="5" t="str">
        <f t="shared" si="794"/>
        <v>43977VIX</v>
      </c>
      <c r="B1887" s="6" t="s">
        <v>17</v>
      </c>
      <c r="C1887" s="6">
        <v>26.09</v>
      </c>
      <c r="D1887" s="6">
        <v>36.549999999999997</v>
      </c>
      <c r="E1887" s="6">
        <v>28.16</v>
      </c>
      <c r="F1887" t="str">
        <f t="shared" si="798"/>
        <v>TUE</v>
      </c>
      <c r="G1887" s="1">
        <f t="shared" si="799"/>
        <v>43977</v>
      </c>
      <c r="H1887" s="2">
        <f t="shared" ca="1" si="800"/>
        <v>276</v>
      </c>
      <c r="I1887" t="str">
        <f t="shared" si="801"/>
        <v>VIX</v>
      </c>
      <c r="J1887">
        <f t="shared" si="802"/>
        <v>26.09</v>
      </c>
      <c r="K1887">
        <f t="shared" si="803"/>
        <v>36.549999999999997</v>
      </c>
      <c r="L1887">
        <f t="shared" si="804"/>
        <v>31.32</v>
      </c>
      <c r="M1887">
        <f t="shared" si="805"/>
        <v>5.2299999999999764</v>
      </c>
      <c r="N1887">
        <f t="shared" si="795"/>
        <v>10.459999999999997</v>
      </c>
      <c r="O1887">
        <v>27.54</v>
      </c>
      <c r="P1887">
        <f t="shared" si="807"/>
        <v>-0.72275334608030939</v>
      </c>
      <c r="Q1887" t="str">
        <f t="shared" si="796"/>
        <v>5.27% | 32.72%</v>
      </c>
      <c r="R1887" t="str">
        <f t="shared" si="808"/>
        <v>BULLISH</v>
      </c>
      <c r="S1887">
        <f t="shared" si="797"/>
        <v>1</v>
      </c>
    </row>
    <row r="1888" spans="1:19" hidden="1" x14ac:dyDescent="0.25">
      <c r="A1888" s="5" t="str">
        <f t="shared" si="794"/>
        <v>43977USD</v>
      </c>
      <c r="B1888" s="6" t="s">
        <v>18</v>
      </c>
      <c r="C1888" s="6">
        <v>98.9</v>
      </c>
      <c r="D1888" s="6">
        <v>100.85</v>
      </c>
      <c r="E1888" s="6">
        <v>99.89</v>
      </c>
      <c r="F1888" t="str">
        <f t="shared" si="798"/>
        <v>TUE</v>
      </c>
      <c r="G1888" s="1">
        <f t="shared" si="799"/>
        <v>43977</v>
      </c>
      <c r="H1888" s="2">
        <f t="shared" ca="1" si="800"/>
        <v>276</v>
      </c>
      <c r="I1888" t="str">
        <f t="shared" si="801"/>
        <v>USD</v>
      </c>
      <c r="J1888">
        <f t="shared" si="802"/>
        <v>98.9</v>
      </c>
      <c r="K1888">
        <f t="shared" si="803"/>
        <v>100.85</v>
      </c>
      <c r="L1888">
        <f t="shared" si="804"/>
        <v>99.875</v>
      </c>
      <c r="M1888">
        <f t="shared" si="805"/>
        <v>0.97499999999999432</v>
      </c>
      <c r="N1888">
        <f t="shared" si="795"/>
        <v>1.9499999999999886</v>
      </c>
      <c r="O1888">
        <f t="shared" si="806"/>
        <v>99.89</v>
      </c>
      <c r="P1888">
        <f t="shared" si="807"/>
        <v>1.5384615384616057E-2</v>
      </c>
      <c r="Q1888" t="str">
        <f t="shared" si="796"/>
        <v>0.99% | 0.96%</v>
      </c>
      <c r="R1888" t="str">
        <f t="shared" si="808"/>
        <v>BULLISH</v>
      </c>
      <c r="S1888">
        <f t="shared" si="797"/>
        <v>1</v>
      </c>
    </row>
    <row r="1889" spans="1:19" hidden="1" x14ac:dyDescent="0.25">
      <c r="A1889" s="5" t="str">
        <f t="shared" si="794"/>
        <v>43977EUR/USD</v>
      </c>
      <c r="B1889" s="6" t="s">
        <v>19</v>
      </c>
      <c r="C1889" s="6">
        <v>1.07</v>
      </c>
      <c r="D1889" s="6">
        <v>1.1000000000000001</v>
      </c>
      <c r="E1889" s="6">
        <v>1.0900000000000001</v>
      </c>
      <c r="F1889" t="str">
        <f t="shared" si="798"/>
        <v>TUE</v>
      </c>
      <c r="G1889" s="1">
        <f t="shared" si="799"/>
        <v>43977</v>
      </c>
      <c r="H1889" s="2">
        <f t="shared" ca="1" si="800"/>
        <v>276</v>
      </c>
      <c r="I1889" t="str">
        <f t="shared" si="801"/>
        <v>EUR/USD</v>
      </c>
      <c r="J1889">
        <f t="shared" si="802"/>
        <v>1.07</v>
      </c>
      <c r="K1889">
        <f t="shared" si="803"/>
        <v>1.1000000000000001</v>
      </c>
      <c r="L1889">
        <f t="shared" si="804"/>
        <v>1.085</v>
      </c>
      <c r="M1889">
        <f t="shared" si="805"/>
        <v>1.5000000000000013E-2</v>
      </c>
      <c r="N1889">
        <f t="shared" si="795"/>
        <v>3.0000000000000027E-2</v>
      </c>
      <c r="O1889">
        <f t="shared" si="806"/>
        <v>1.0900000000000001</v>
      </c>
      <c r="P1889">
        <f t="shared" si="807"/>
        <v>0.33333333333334075</v>
      </c>
      <c r="Q1889" t="str">
        <f t="shared" si="796"/>
        <v>1.83% | 0.92%</v>
      </c>
      <c r="R1889" t="str">
        <f t="shared" si="808"/>
        <v>BEARISH</v>
      </c>
      <c r="S1889">
        <f t="shared" si="797"/>
        <v>-1</v>
      </c>
    </row>
    <row r="1890" spans="1:19" hidden="1" x14ac:dyDescent="0.25">
      <c r="A1890" s="5" t="str">
        <f t="shared" si="794"/>
        <v>43977USD/JPY</v>
      </c>
      <c r="B1890" s="6" t="s">
        <v>20</v>
      </c>
      <c r="C1890" s="6">
        <v>106.62</v>
      </c>
      <c r="D1890" s="6">
        <v>107.99</v>
      </c>
      <c r="E1890" s="6">
        <v>107.61</v>
      </c>
      <c r="F1890" t="str">
        <f t="shared" si="798"/>
        <v>TUE</v>
      </c>
      <c r="G1890" s="1">
        <f t="shared" si="799"/>
        <v>43977</v>
      </c>
      <c r="H1890" s="2">
        <f t="shared" ca="1" si="800"/>
        <v>276</v>
      </c>
      <c r="I1890" t="str">
        <f t="shared" si="801"/>
        <v>USD/JPY</v>
      </c>
      <c r="J1890">
        <f t="shared" si="802"/>
        <v>106.62</v>
      </c>
      <c r="K1890">
        <f t="shared" si="803"/>
        <v>107.99</v>
      </c>
      <c r="L1890">
        <f t="shared" si="804"/>
        <v>107.30500000000001</v>
      </c>
      <c r="M1890">
        <f t="shared" si="805"/>
        <v>0.68499999999999517</v>
      </c>
      <c r="N1890">
        <f t="shared" si="795"/>
        <v>1.3699999999999903</v>
      </c>
      <c r="O1890">
        <f t="shared" si="806"/>
        <v>107.61</v>
      </c>
      <c r="P1890">
        <f t="shared" si="807"/>
        <v>0.4452554744525471</v>
      </c>
      <c r="Q1890" t="str">
        <f t="shared" si="796"/>
        <v>0.92% | 0.35%</v>
      </c>
      <c r="R1890" t="str">
        <f t="shared" si="808"/>
        <v>BEARISH</v>
      </c>
      <c r="S1890">
        <f t="shared" si="797"/>
        <v>-1</v>
      </c>
    </row>
    <row r="1891" spans="1:19" hidden="1" x14ac:dyDescent="0.25">
      <c r="A1891" s="5" t="str">
        <f t="shared" si="794"/>
        <v>43977GBP/USD</v>
      </c>
      <c r="B1891" s="6" t="s">
        <v>21</v>
      </c>
      <c r="C1891" s="6">
        <v>1.21</v>
      </c>
      <c r="D1891" s="6">
        <v>1.23</v>
      </c>
      <c r="E1891" s="6">
        <v>1.22</v>
      </c>
      <c r="F1891" t="str">
        <f t="shared" si="798"/>
        <v>TUE</v>
      </c>
      <c r="G1891" s="1">
        <f t="shared" si="799"/>
        <v>43977</v>
      </c>
      <c r="H1891" s="2">
        <f t="shared" ca="1" si="800"/>
        <v>276</v>
      </c>
      <c r="I1891" t="str">
        <f t="shared" si="801"/>
        <v>GBP/USD</v>
      </c>
      <c r="J1891">
        <f t="shared" si="802"/>
        <v>1.21</v>
      </c>
      <c r="K1891">
        <f t="shared" si="803"/>
        <v>1.23</v>
      </c>
      <c r="L1891">
        <f t="shared" si="804"/>
        <v>1.22</v>
      </c>
      <c r="M1891">
        <f t="shared" si="805"/>
        <v>1.0000000000000009E-2</v>
      </c>
      <c r="N1891">
        <f t="shared" si="795"/>
        <v>2.0000000000000018E-2</v>
      </c>
      <c r="O1891">
        <f t="shared" si="806"/>
        <v>1.22</v>
      </c>
      <c r="P1891">
        <f t="shared" si="807"/>
        <v>0</v>
      </c>
      <c r="Q1891" t="str">
        <f t="shared" si="796"/>
        <v>0.82% | 0.82%</v>
      </c>
      <c r="R1891" t="str">
        <f t="shared" si="808"/>
        <v>BEARISH</v>
      </c>
      <c r="S1891">
        <f t="shared" si="797"/>
        <v>-1</v>
      </c>
    </row>
    <row r="1892" spans="1:19" hidden="1" x14ac:dyDescent="0.25">
      <c r="A1892" s="5" t="str">
        <f t="shared" si="794"/>
        <v>43977USD/CHF</v>
      </c>
      <c r="B1892" s="6" t="s">
        <v>22</v>
      </c>
      <c r="C1892" s="6">
        <v>0.96</v>
      </c>
      <c r="D1892" s="6">
        <v>0.98</v>
      </c>
      <c r="E1892" s="6">
        <v>0.97</v>
      </c>
      <c r="F1892" t="str">
        <f t="shared" si="798"/>
        <v>TUE</v>
      </c>
      <c r="G1892" s="1">
        <f t="shared" si="799"/>
        <v>43977</v>
      </c>
      <c r="H1892" s="2">
        <f t="shared" ca="1" si="800"/>
        <v>276</v>
      </c>
      <c r="I1892" t="str">
        <f t="shared" si="801"/>
        <v>USD/CHF</v>
      </c>
      <c r="J1892">
        <f t="shared" si="802"/>
        <v>0.96</v>
      </c>
      <c r="K1892">
        <f t="shared" si="803"/>
        <v>0.98</v>
      </c>
      <c r="L1892">
        <f t="shared" si="804"/>
        <v>0.97</v>
      </c>
      <c r="M1892">
        <f t="shared" si="805"/>
        <v>1.0000000000000009E-2</v>
      </c>
      <c r="N1892">
        <f t="shared" si="795"/>
        <v>2.0000000000000018E-2</v>
      </c>
      <c r="O1892">
        <f t="shared" si="806"/>
        <v>0.97</v>
      </c>
      <c r="P1892">
        <f t="shared" si="807"/>
        <v>0</v>
      </c>
      <c r="Q1892" t="str">
        <f t="shared" si="796"/>
        <v>1.03% | 1.03%</v>
      </c>
      <c r="R1892" t="str">
        <f t="shared" si="808"/>
        <v>NEUTRAL</v>
      </c>
      <c r="S1892">
        <f t="shared" si="797"/>
        <v>0</v>
      </c>
    </row>
    <row r="1893" spans="1:19" hidden="1" x14ac:dyDescent="0.25">
      <c r="A1893" s="5" t="str">
        <f t="shared" si="794"/>
        <v>43977WTIC</v>
      </c>
      <c r="B1893" s="6" t="s">
        <v>23</v>
      </c>
      <c r="C1893" s="6">
        <v>24.07</v>
      </c>
      <c r="D1893" s="6">
        <v>36.47</v>
      </c>
      <c r="E1893" s="6">
        <v>33.25</v>
      </c>
      <c r="F1893" t="str">
        <f t="shared" si="798"/>
        <v>TUE</v>
      </c>
      <c r="G1893" s="1">
        <f t="shared" si="799"/>
        <v>43977</v>
      </c>
      <c r="H1893" s="2">
        <f t="shared" ca="1" si="800"/>
        <v>276</v>
      </c>
      <c r="I1893" t="str">
        <f t="shared" si="801"/>
        <v>WTIC</v>
      </c>
      <c r="J1893">
        <f t="shared" si="802"/>
        <v>24.07</v>
      </c>
      <c r="K1893">
        <f t="shared" si="803"/>
        <v>36.47</v>
      </c>
      <c r="L1893">
        <f t="shared" si="804"/>
        <v>30.27</v>
      </c>
      <c r="M1893">
        <f t="shared" si="805"/>
        <v>6.2000000000000046</v>
      </c>
      <c r="N1893">
        <f t="shared" si="795"/>
        <v>12.399999999999999</v>
      </c>
      <c r="O1893">
        <v>34.520000000000003</v>
      </c>
      <c r="P1893">
        <f t="shared" si="807"/>
        <v>0.68548387096774199</v>
      </c>
      <c r="Q1893" t="str">
        <f t="shared" si="796"/>
        <v>30.27% | 5.65%</v>
      </c>
      <c r="R1893" t="str">
        <f t="shared" si="808"/>
        <v>BEARISH</v>
      </c>
      <c r="S1893">
        <f t="shared" si="797"/>
        <v>-1</v>
      </c>
    </row>
    <row r="1894" spans="1:19" hidden="1" x14ac:dyDescent="0.25">
      <c r="A1894" s="5" t="str">
        <f t="shared" si="794"/>
        <v>43977NATGAS</v>
      </c>
      <c r="B1894" s="6" t="s">
        <v>24</v>
      </c>
      <c r="C1894" s="6">
        <v>1.52</v>
      </c>
      <c r="D1894" s="6">
        <v>1.92</v>
      </c>
      <c r="E1894" s="6">
        <v>1.88</v>
      </c>
      <c r="F1894" t="str">
        <f t="shared" si="798"/>
        <v>TUE</v>
      </c>
      <c r="G1894" s="1">
        <f t="shared" si="799"/>
        <v>43977</v>
      </c>
      <c r="H1894" s="2">
        <f t="shared" ca="1" si="800"/>
        <v>276</v>
      </c>
      <c r="I1894" t="str">
        <f t="shared" si="801"/>
        <v>NATGAS</v>
      </c>
      <c r="J1894">
        <f t="shared" si="802"/>
        <v>1.52</v>
      </c>
      <c r="K1894">
        <f t="shared" si="803"/>
        <v>1.92</v>
      </c>
      <c r="L1894">
        <f t="shared" si="804"/>
        <v>1.72</v>
      </c>
      <c r="M1894">
        <f t="shared" si="805"/>
        <v>0.2000000000000012</v>
      </c>
      <c r="N1894">
        <f t="shared" si="795"/>
        <v>0.39999999999999991</v>
      </c>
      <c r="O1894">
        <f t="shared" si="806"/>
        <v>1.88</v>
      </c>
      <c r="P1894">
        <f t="shared" si="807"/>
        <v>0.79999999999999483</v>
      </c>
      <c r="Q1894" t="str">
        <f t="shared" si="796"/>
        <v>19.15% | 2.13%</v>
      </c>
      <c r="R1894" t="str">
        <f t="shared" si="808"/>
        <v>BEARISH</v>
      </c>
      <c r="S1894">
        <f t="shared" si="797"/>
        <v>-1</v>
      </c>
    </row>
    <row r="1895" spans="1:19" hidden="1" x14ac:dyDescent="0.25">
      <c r="A1895" s="5" t="str">
        <f t="shared" si="794"/>
        <v>43977GOLD</v>
      </c>
      <c r="B1895" s="6" t="s">
        <v>25</v>
      </c>
      <c r="C1895" s="6">
        <v>1702</v>
      </c>
      <c r="D1895" s="6">
        <v>1767</v>
      </c>
      <c r="E1895" s="6">
        <v>1735</v>
      </c>
      <c r="F1895" t="str">
        <f t="shared" si="798"/>
        <v>TUE</v>
      </c>
      <c r="G1895" s="1">
        <f t="shared" si="799"/>
        <v>43977</v>
      </c>
      <c r="H1895" s="2">
        <f t="shared" ca="1" si="800"/>
        <v>276</v>
      </c>
      <c r="I1895" t="str">
        <f t="shared" si="801"/>
        <v>GOLD</v>
      </c>
      <c r="J1895">
        <f t="shared" si="802"/>
        <v>1702</v>
      </c>
      <c r="K1895">
        <f t="shared" si="803"/>
        <v>1767</v>
      </c>
      <c r="L1895">
        <f t="shared" si="804"/>
        <v>1734.5</v>
      </c>
      <c r="M1895">
        <f t="shared" si="805"/>
        <v>32.5</v>
      </c>
      <c r="N1895">
        <f t="shared" si="795"/>
        <v>65</v>
      </c>
      <c r="O1895">
        <f t="shared" si="806"/>
        <v>1735</v>
      </c>
      <c r="P1895">
        <f t="shared" si="807"/>
        <v>1.5384615384615385E-2</v>
      </c>
      <c r="Q1895" t="str">
        <f t="shared" si="796"/>
        <v>1.9% | 1.84%</v>
      </c>
      <c r="R1895" t="str">
        <f t="shared" si="808"/>
        <v>BULLISH</v>
      </c>
      <c r="S1895">
        <f t="shared" si="797"/>
        <v>1</v>
      </c>
    </row>
    <row r="1896" spans="1:19" hidden="1" x14ac:dyDescent="0.25">
      <c r="A1896" s="5" t="str">
        <f t="shared" si="794"/>
        <v>43977COPPER</v>
      </c>
      <c r="B1896" s="6" t="s">
        <v>26</v>
      </c>
      <c r="C1896" s="6">
        <v>2.2999999999999998</v>
      </c>
      <c r="D1896" s="6">
        <v>2.46</v>
      </c>
      <c r="E1896" s="6">
        <v>2.39</v>
      </c>
      <c r="F1896" t="str">
        <f t="shared" si="798"/>
        <v>TUE</v>
      </c>
      <c r="G1896" s="1">
        <f t="shared" si="799"/>
        <v>43977</v>
      </c>
      <c r="H1896" s="2">
        <f t="shared" ca="1" si="800"/>
        <v>276</v>
      </c>
      <c r="I1896" t="str">
        <f t="shared" si="801"/>
        <v>COPPER</v>
      </c>
      <c r="J1896">
        <f t="shared" si="802"/>
        <v>2.2999999999999998</v>
      </c>
      <c r="K1896">
        <f t="shared" si="803"/>
        <v>2.46</v>
      </c>
      <c r="L1896">
        <f t="shared" si="804"/>
        <v>2.38</v>
      </c>
      <c r="M1896">
        <f t="shared" si="805"/>
        <v>8.0000000000000071E-2</v>
      </c>
      <c r="N1896">
        <f t="shared" si="795"/>
        <v>0.16000000000000014</v>
      </c>
      <c r="O1896">
        <f t="shared" si="806"/>
        <v>2.39</v>
      </c>
      <c r="P1896">
        <f t="shared" si="807"/>
        <v>0.12500000000000278</v>
      </c>
      <c r="Q1896" t="str">
        <f t="shared" si="796"/>
        <v>3.77% | 2.93%</v>
      </c>
      <c r="R1896" t="str">
        <f t="shared" si="808"/>
        <v>BEARISH</v>
      </c>
      <c r="S1896">
        <f t="shared" si="797"/>
        <v>-1</v>
      </c>
    </row>
    <row r="1897" spans="1:19" hidden="1" x14ac:dyDescent="0.25">
      <c r="A1897" s="5" t="str">
        <f t="shared" si="794"/>
        <v>43977MSFT</v>
      </c>
      <c r="B1897" s="6" t="s">
        <v>27</v>
      </c>
      <c r="C1897" s="6">
        <v>179</v>
      </c>
      <c r="D1897" s="6">
        <v>188</v>
      </c>
      <c r="E1897" s="6">
        <v>183</v>
      </c>
      <c r="F1897" t="str">
        <f t="shared" si="798"/>
        <v>TUE</v>
      </c>
      <c r="G1897" s="1">
        <f t="shared" si="799"/>
        <v>43977</v>
      </c>
      <c r="H1897" s="2">
        <f t="shared" ca="1" si="800"/>
        <v>276</v>
      </c>
      <c r="I1897" t="str">
        <f t="shared" si="801"/>
        <v>MSFT</v>
      </c>
      <c r="J1897">
        <f t="shared" si="802"/>
        <v>179</v>
      </c>
      <c r="K1897">
        <f t="shared" si="803"/>
        <v>188</v>
      </c>
      <c r="L1897">
        <f t="shared" si="804"/>
        <v>183.5</v>
      </c>
      <c r="M1897">
        <f t="shared" si="805"/>
        <v>4.5</v>
      </c>
      <c r="N1897">
        <f t="shared" si="795"/>
        <v>9</v>
      </c>
      <c r="O1897">
        <f t="shared" si="806"/>
        <v>183</v>
      </c>
      <c r="P1897">
        <f t="shared" si="807"/>
        <v>-0.1111111111111111</v>
      </c>
      <c r="Q1897" t="str">
        <f t="shared" si="796"/>
        <v>2.19% | 2.73%</v>
      </c>
      <c r="R1897" t="str">
        <f t="shared" si="808"/>
        <v>BULLISH</v>
      </c>
      <c r="S1897">
        <f t="shared" si="797"/>
        <v>1</v>
      </c>
    </row>
    <row r="1898" spans="1:19" hidden="1" x14ac:dyDescent="0.25">
      <c r="A1898" s="5" t="str">
        <f t="shared" si="794"/>
        <v>43977AAPL</v>
      </c>
      <c r="B1898" s="6" t="s">
        <v>28</v>
      </c>
      <c r="C1898" s="6">
        <v>307</v>
      </c>
      <c r="D1898" s="6">
        <v>324</v>
      </c>
      <c r="E1898" s="6">
        <v>318</v>
      </c>
      <c r="F1898" t="str">
        <f t="shared" si="798"/>
        <v>TUE</v>
      </c>
      <c r="G1898" s="1">
        <f t="shared" si="799"/>
        <v>43977</v>
      </c>
      <c r="H1898" s="2">
        <f t="shared" ca="1" si="800"/>
        <v>276</v>
      </c>
      <c r="I1898" t="str">
        <f t="shared" si="801"/>
        <v>AAPL</v>
      </c>
      <c r="J1898">
        <f t="shared" si="802"/>
        <v>307</v>
      </c>
      <c r="K1898">
        <f t="shared" si="803"/>
        <v>324</v>
      </c>
      <c r="L1898">
        <f t="shared" si="804"/>
        <v>315.5</v>
      </c>
      <c r="M1898">
        <f t="shared" si="805"/>
        <v>8.5</v>
      </c>
      <c r="N1898">
        <f t="shared" si="795"/>
        <v>17</v>
      </c>
      <c r="O1898">
        <f t="shared" si="806"/>
        <v>318</v>
      </c>
      <c r="P1898">
        <f t="shared" si="807"/>
        <v>0.29411764705882354</v>
      </c>
      <c r="Q1898" t="str">
        <f t="shared" si="796"/>
        <v>3.46% | 1.89%</v>
      </c>
      <c r="R1898" t="str">
        <f t="shared" si="808"/>
        <v>BULLISH</v>
      </c>
      <c r="S1898">
        <f t="shared" si="797"/>
        <v>1</v>
      </c>
    </row>
    <row r="1899" spans="1:19" hidden="1" x14ac:dyDescent="0.25">
      <c r="A1899" s="5" t="str">
        <f t="shared" si="794"/>
        <v>43977AMZN</v>
      </c>
      <c r="B1899" s="6" t="s">
        <v>29</v>
      </c>
      <c r="C1899" s="6">
        <v>2330</v>
      </c>
      <c r="D1899" s="6">
        <v>2505</v>
      </c>
      <c r="E1899" s="6">
        <v>2436</v>
      </c>
      <c r="F1899" t="str">
        <f t="shared" si="798"/>
        <v>TUE</v>
      </c>
      <c r="G1899" s="1">
        <f t="shared" si="799"/>
        <v>43977</v>
      </c>
      <c r="H1899" s="2">
        <f t="shared" ca="1" si="800"/>
        <v>276</v>
      </c>
      <c r="I1899" t="str">
        <f t="shared" si="801"/>
        <v>AMZN</v>
      </c>
      <c r="J1899">
        <f t="shared" si="802"/>
        <v>2330</v>
      </c>
      <c r="K1899">
        <f t="shared" si="803"/>
        <v>2505</v>
      </c>
      <c r="L1899">
        <f t="shared" si="804"/>
        <v>2417.5</v>
      </c>
      <c r="M1899">
        <f t="shared" si="805"/>
        <v>87.5</v>
      </c>
      <c r="N1899">
        <f t="shared" si="795"/>
        <v>175</v>
      </c>
      <c r="O1899">
        <f t="shared" si="806"/>
        <v>2436</v>
      </c>
      <c r="P1899">
        <f t="shared" si="807"/>
        <v>0.21142857142857144</v>
      </c>
      <c r="Q1899" t="str">
        <f t="shared" si="796"/>
        <v>4.35% | 2.83%</v>
      </c>
      <c r="R1899" t="str">
        <f t="shared" si="808"/>
        <v>BULLISH</v>
      </c>
      <c r="S1899">
        <f t="shared" si="797"/>
        <v>1</v>
      </c>
    </row>
    <row r="1900" spans="1:19" hidden="1" x14ac:dyDescent="0.25">
      <c r="A1900" s="5" t="str">
        <f t="shared" si="794"/>
        <v>43977FB</v>
      </c>
      <c r="B1900" s="6" t="s">
        <v>30</v>
      </c>
      <c r="C1900" s="6">
        <v>205</v>
      </c>
      <c r="D1900" s="6">
        <v>241</v>
      </c>
      <c r="E1900" s="6">
        <v>234</v>
      </c>
      <c r="F1900" t="str">
        <f t="shared" si="798"/>
        <v>TUE</v>
      </c>
      <c r="G1900" s="1">
        <f t="shared" si="799"/>
        <v>43977</v>
      </c>
      <c r="H1900" s="2">
        <f t="shared" ca="1" si="800"/>
        <v>276</v>
      </c>
      <c r="I1900" t="str">
        <f t="shared" si="801"/>
        <v>FB</v>
      </c>
      <c r="J1900">
        <f t="shared" si="802"/>
        <v>205</v>
      </c>
      <c r="K1900">
        <f t="shared" si="803"/>
        <v>241</v>
      </c>
      <c r="L1900">
        <f t="shared" si="804"/>
        <v>223</v>
      </c>
      <c r="M1900">
        <f t="shared" si="805"/>
        <v>18</v>
      </c>
      <c r="N1900">
        <f t="shared" si="795"/>
        <v>36</v>
      </c>
      <c r="O1900">
        <f t="shared" si="806"/>
        <v>234</v>
      </c>
      <c r="P1900">
        <f t="shared" si="807"/>
        <v>0.61111111111111116</v>
      </c>
      <c r="Q1900" t="str">
        <f t="shared" si="796"/>
        <v>12.39% | 2.99%</v>
      </c>
      <c r="R1900" t="str">
        <f t="shared" si="808"/>
        <v>BULLISH</v>
      </c>
      <c r="S1900">
        <f t="shared" si="797"/>
        <v>1</v>
      </c>
    </row>
    <row r="1901" spans="1:19" hidden="1" x14ac:dyDescent="0.25">
      <c r="A1901" s="5" t="str">
        <f t="shared" si="794"/>
        <v>43977GOOGL</v>
      </c>
      <c r="B1901" s="6" t="s">
        <v>31</v>
      </c>
      <c r="C1901" s="6">
        <v>1341</v>
      </c>
      <c r="D1901" s="6">
        <v>1428</v>
      </c>
      <c r="E1901" s="6">
        <v>1413</v>
      </c>
      <c r="F1901" t="str">
        <f t="shared" si="798"/>
        <v>TUE</v>
      </c>
      <c r="G1901" s="1">
        <f t="shared" si="799"/>
        <v>43977</v>
      </c>
      <c r="H1901" s="2">
        <f t="shared" ca="1" si="800"/>
        <v>276</v>
      </c>
      <c r="I1901" t="str">
        <f t="shared" si="801"/>
        <v>GOOGL</v>
      </c>
      <c r="J1901">
        <f t="shared" si="802"/>
        <v>1341</v>
      </c>
      <c r="K1901">
        <f t="shared" si="803"/>
        <v>1428</v>
      </c>
      <c r="L1901">
        <f t="shared" si="804"/>
        <v>1384.5</v>
      </c>
      <c r="M1901">
        <f t="shared" si="805"/>
        <v>43.5</v>
      </c>
      <c r="N1901">
        <f t="shared" si="795"/>
        <v>87</v>
      </c>
      <c r="O1901">
        <f t="shared" si="806"/>
        <v>1413</v>
      </c>
      <c r="P1901">
        <f t="shared" si="807"/>
        <v>0.65517241379310343</v>
      </c>
      <c r="Q1901" t="str">
        <f t="shared" si="796"/>
        <v>5.1% | 1.06%</v>
      </c>
      <c r="R1901" t="str">
        <f t="shared" si="808"/>
        <v>BULLISH</v>
      </c>
      <c r="S1901">
        <f t="shared" si="797"/>
        <v>1</v>
      </c>
    </row>
    <row r="1902" spans="1:19" hidden="1" x14ac:dyDescent="0.25">
      <c r="A1902" s="5" t="str">
        <f t="shared" si="794"/>
        <v>43977NFLX</v>
      </c>
      <c r="B1902" s="6" t="s">
        <v>32</v>
      </c>
      <c r="C1902" s="6">
        <v>422</v>
      </c>
      <c r="D1902" s="6">
        <v>459</v>
      </c>
      <c r="E1902" s="6">
        <v>429</v>
      </c>
      <c r="F1902" t="str">
        <f t="shared" si="798"/>
        <v>TUE</v>
      </c>
      <c r="G1902" s="1">
        <f t="shared" si="799"/>
        <v>43977</v>
      </c>
      <c r="H1902" s="2">
        <f t="shared" ca="1" si="800"/>
        <v>276</v>
      </c>
      <c r="I1902" t="str">
        <f t="shared" si="801"/>
        <v>NFLX</v>
      </c>
      <c r="J1902">
        <f t="shared" si="802"/>
        <v>422</v>
      </c>
      <c r="K1902">
        <f t="shared" si="803"/>
        <v>459</v>
      </c>
      <c r="L1902">
        <f t="shared" si="804"/>
        <v>440.5</v>
      </c>
      <c r="M1902">
        <f t="shared" si="805"/>
        <v>18.5</v>
      </c>
      <c r="N1902">
        <f t="shared" si="795"/>
        <v>37</v>
      </c>
      <c r="O1902">
        <f t="shared" si="806"/>
        <v>429</v>
      </c>
      <c r="P1902">
        <f t="shared" si="807"/>
        <v>-0.6216216216216216</v>
      </c>
      <c r="Q1902" t="str">
        <f t="shared" si="796"/>
        <v>1.63% | 6.99%</v>
      </c>
      <c r="R1902" t="str">
        <f t="shared" si="808"/>
        <v>BULLISH</v>
      </c>
      <c r="S1902">
        <f t="shared" si="797"/>
        <v>1</v>
      </c>
    </row>
    <row r="1903" spans="1:19" x14ac:dyDescent="0.25">
      <c r="A1903" s="5" t="str">
        <f t="shared" si="794"/>
        <v>43977TSLA</v>
      </c>
      <c r="B1903" s="6" t="s">
        <v>33</v>
      </c>
      <c r="C1903" s="6">
        <v>787</v>
      </c>
      <c r="D1903" s="6">
        <v>833</v>
      </c>
      <c r="E1903" s="6">
        <v>816</v>
      </c>
      <c r="F1903" t="str">
        <f t="shared" si="798"/>
        <v>TUE</v>
      </c>
      <c r="G1903" s="1">
        <f t="shared" si="799"/>
        <v>43977</v>
      </c>
      <c r="H1903" s="2">
        <f t="shared" ca="1" si="800"/>
        <v>276</v>
      </c>
      <c r="I1903" t="str">
        <f t="shared" si="801"/>
        <v>TSLA</v>
      </c>
      <c r="J1903">
        <f t="shared" si="802"/>
        <v>787</v>
      </c>
      <c r="K1903">
        <f t="shared" si="803"/>
        <v>833</v>
      </c>
      <c r="L1903">
        <f t="shared" si="804"/>
        <v>810</v>
      </c>
      <c r="M1903">
        <f t="shared" si="805"/>
        <v>23</v>
      </c>
      <c r="N1903">
        <f t="shared" si="795"/>
        <v>46</v>
      </c>
      <c r="O1903">
        <f t="shared" si="806"/>
        <v>816</v>
      </c>
      <c r="P1903">
        <f t="shared" si="807"/>
        <v>0.2608695652173913</v>
      </c>
      <c r="Q1903" t="str">
        <f t="shared" si="796"/>
        <v>3.55% | 2.08%</v>
      </c>
      <c r="R1903" t="str">
        <f t="shared" si="808"/>
        <v>BULLISH</v>
      </c>
      <c r="S1903">
        <f t="shared" si="797"/>
        <v>1</v>
      </c>
    </row>
    <row r="1904" spans="1:19" hidden="1" x14ac:dyDescent="0.25">
      <c r="A1904" s="5" t="str">
        <f t="shared" si="794"/>
        <v>43977NYXBT</v>
      </c>
      <c r="B1904" s="6" t="s">
        <v>34</v>
      </c>
      <c r="C1904" s="6">
        <v>8731</v>
      </c>
      <c r="D1904" s="6">
        <v>10078</v>
      </c>
      <c r="E1904" s="6">
        <v>9149</v>
      </c>
      <c r="F1904" t="str">
        <f t="shared" si="798"/>
        <v>TUE</v>
      </c>
      <c r="G1904" s="1">
        <f t="shared" si="799"/>
        <v>43977</v>
      </c>
      <c r="H1904" s="2">
        <f t="shared" ca="1" si="800"/>
        <v>276</v>
      </c>
      <c r="I1904" t="str">
        <f t="shared" si="801"/>
        <v>NYXBT</v>
      </c>
      <c r="J1904">
        <f t="shared" si="802"/>
        <v>8731</v>
      </c>
      <c r="K1904">
        <f t="shared" si="803"/>
        <v>10078</v>
      </c>
      <c r="L1904">
        <f t="shared" si="804"/>
        <v>9404.5</v>
      </c>
      <c r="M1904">
        <f t="shared" si="805"/>
        <v>673.5</v>
      </c>
      <c r="N1904">
        <f t="shared" si="795"/>
        <v>1347</v>
      </c>
      <c r="O1904">
        <f t="shared" si="806"/>
        <v>9149</v>
      </c>
      <c r="P1904">
        <f t="shared" si="807"/>
        <v>-0.37936154417223461</v>
      </c>
      <c r="Q1904" t="str">
        <f t="shared" si="796"/>
        <v>4.57% | 10.15%</v>
      </c>
      <c r="R1904" t="str">
        <f t="shared" si="808"/>
        <v>BULLISH</v>
      </c>
      <c r="S1904">
        <f t="shared" si="797"/>
        <v>1</v>
      </c>
    </row>
    <row r="1905" spans="1:19" hidden="1" x14ac:dyDescent="0.25">
      <c r="A1905" s="5" t="str">
        <f t="shared" si="794"/>
        <v>43978UST10Y</v>
      </c>
      <c r="B1905" s="6" t="s">
        <v>4</v>
      </c>
      <c r="C1905" s="6">
        <v>0.73</v>
      </c>
      <c r="D1905" s="6">
        <v>0.6</v>
      </c>
      <c r="E1905" s="6">
        <v>0.69</v>
      </c>
      <c r="F1905" t="str">
        <f t="shared" si="798"/>
        <v>WED</v>
      </c>
      <c r="G1905" s="3">
        <f>DATE(2020,5,27)</f>
        <v>43978</v>
      </c>
      <c r="H1905" s="2">
        <f t="shared" ca="1" si="800"/>
        <v>275</v>
      </c>
      <c r="I1905" t="str">
        <f t="shared" si="801"/>
        <v>UST10Y</v>
      </c>
      <c r="J1905">
        <f t="shared" si="802"/>
        <v>0.73</v>
      </c>
      <c r="K1905">
        <f t="shared" si="803"/>
        <v>0.6</v>
      </c>
      <c r="L1905">
        <f t="shared" si="804"/>
        <v>0.66500000000000004</v>
      </c>
      <c r="M1905">
        <f t="shared" si="805"/>
        <v>6.5000000000000002E-2</v>
      </c>
      <c r="N1905">
        <f t="shared" si="795"/>
        <v>0.13</v>
      </c>
      <c r="O1905">
        <f t="shared" si="806"/>
        <v>0.69</v>
      </c>
      <c r="P1905">
        <f t="shared" si="807"/>
        <v>0.38461538461538325</v>
      </c>
      <c r="Q1905" t="str">
        <f t="shared" si="796"/>
        <v>5.8% | 13.04%</v>
      </c>
      <c r="R1905" t="str">
        <f t="shared" si="808"/>
        <v>BEARISH</v>
      </c>
      <c r="S1905">
        <f t="shared" si="797"/>
        <v>-1</v>
      </c>
    </row>
    <row r="1906" spans="1:19" hidden="1" x14ac:dyDescent="0.25">
      <c r="A1906" s="5" t="str">
        <f t="shared" si="794"/>
        <v>43978UST2Y</v>
      </c>
      <c r="B1906" s="6" t="s">
        <v>5</v>
      </c>
      <c r="C1906" s="6">
        <v>0.2</v>
      </c>
      <c r="D1906" s="6">
        <v>0.14000000000000001</v>
      </c>
      <c r="E1906" s="6">
        <v>0.18</v>
      </c>
      <c r="F1906" t="str">
        <f t="shared" ref="F1906:F1936" si="809">UPPER(TEXT(G1906,"ddd"))</f>
        <v>WED</v>
      </c>
      <c r="G1906" s="3">
        <f t="shared" ref="G1906:G1935" si="810">DATE(2020,5,27)</f>
        <v>43978</v>
      </c>
      <c r="H1906" s="2">
        <f t="shared" ref="H1906:H1936" ca="1" si="811">TODAY()-G1906</f>
        <v>275</v>
      </c>
      <c r="I1906" t="str">
        <f t="shared" ref="I1906:I1936" si="812">TRIM(LEFT(B1906,FIND(" ",B1906,1)))</f>
        <v>UST2Y</v>
      </c>
      <c r="J1906">
        <f t="shared" ref="J1906:J1936" si="813">C1906</f>
        <v>0.2</v>
      </c>
      <c r="K1906">
        <f t="shared" ref="K1906:K1936" si="814">D1906</f>
        <v>0.14000000000000001</v>
      </c>
      <c r="L1906">
        <f t="shared" ref="L1906:L1936" si="815">AVERAGE(J1906:K1906)</f>
        <v>0.17</v>
      </c>
      <c r="M1906">
        <f t="shared" ref="M1906:M1936" si="816">_xlfn.STDEV.P(J1906:K1906)</f>
        <v>3.0000000000000023E-2</v>
      </c>
      <c r="N1906">
        <f t="shared" si="795"/>
        <v>0.06</v>
      </c>
      <c r="O1906">
        <f t="shared" ref="O1906:O1936" si="817">E1906</f>
        <v>0.18</v>
      </c>
      <c r="P1906">
        <f t="shared" ref="P1906:P1936" si="818">(O1906-L1906)/M1906</f>
        <v>0.33333333333333243</v>
      </c>
      <c r="Q1906" t="str">
        <f t="shared" si="796"/>
        <v>11.11% | 22.22%</v>
      </c>
      <c r="R1906" t="str">
        <f t="shared" ref="R1906:R1936" si="819">MID(B1906,FIND("(",B1906,1)+1,FIND(")",B1906,1)-FIND("(",B1906,1)-1)</f>
        <v>BEARISH</v>
      </c>
      <c r="S1906">
        <f t="shared" si="797"/>
        <v>-1</v>
      </c>
    </row>
    <row r="1907" spans="1:19" hidden="1" x14ac:dyDescent="0.25">
      <c r="A1907" s="5" t="str">
        <f t="shared" si="794"/>
        <v>43978SPX</v>
      </c>
      <c r="B1907" s="6" t="s">
        <v>6</v>
      </c>
      <c r="C1907" s="6">
        <v>2804</v>
      </c>
      <c r="D1907" s="6">
        <v>3034</v>
      </c>
      <c r="E1907" s="6">
        <v>2991</v>
      </c>
      <c r="F1907" t="str">
        <f t="shared" si="809"/>
        <v>WED</v>
      </c>
      <c r="G1907" s="3">
        <f t="shared" si="810"/>
        <v>43978</v>
      </c>
      <c r="H1907" s="2">
        <f t="shared" ca="1" si="811"/>
        <v>275</v>
      </c>
      <c r="I1907" t="str">
        <f t="shared" si="812"/>
        <v>SPX</v>
      </c>
      <c r="J1907">
        <f t="shared" si="813"/>
        <v>2804</v>
      </c>
      <c r="K1907">
        <f t="shared" si="814"/>
        <v>3034</v>
      </c>
      <c r="L1907">
        <f t="shared" si="815"/>
        <v>2919</v>
      </c>
      <c r="M1907">
        <f t="shared" si="816"/>
        <v>115</v>
      </c>
      <c r="N1907">
        <f t="shared" si="795"/>
        <v>230</v>
      </c>
      <c r="O1907">
        <f t="shared" si="817"/>
        <v>2991</v>
      </c>
      <c r="P1907">
        <f t="shared" si="818"/>
        <v>0.62608695652173918</v>
      </c>
      <c r="Q1907" t="str">
        <f t="shared" si="796"/>
        <v>6.25% | 1.44%</v>
      </c>
      <c r="R1907" t="str">
        <f t="shared" si="819"/>
        <v>BEARISH</v>
      </c>
      <c r="S1907">
        <f t="shared" si="797"/>
        <v>-1</v>
      </c>
    </row>
    <row r="1908" spans="1:19" hidden="1" x14ac:dyDescent="0.25">
      <c r="A1908" s="5" t="str">
        <f t="shared" si="794"/>
        <v>43978RUT</v>
      </c>
      <c r="B1908" s="6" t="s">
        <v>7</v>
      </c>
      <c r="C1908" s="6">
        <v>1204</v>
      </c>
      <c r="D1908" s="6">
        <v>1419</v>
      </c>
      <c r="E1908" s="6">
        <v>1393</v>
      </c>
      <c r="F1908" t="str">
        <f t="shared" si="809"/>
        <v>WED</v>
      </c>
      <c r="G1908" s="3">
        <f t="shared" si="810"/>
        <v>43978</v>
      </c>
      <c r="H1908" s="2">
        <f t="shared" ca="1" si="811"/>
        <v>275</v>
      </c>
      <c r="I1908" t="str">
        <f t="shared" si="812"/>
        <v>RUT</v>
      </c>
      <c r="J1908">
        <f t="shared" si="813"/>
        <v>1204</v>
      </c>
      <c r="K1908">
        <f t="shared" si="814"/>
        <v>1419</v>
      </c>
      <c r="L1908">
        <f t="shared" si="815"/>
        <v>1311.5</v>
      </c>
      <c r="M1908">
        <f t="shared" si="816"/>
        <v>107.5</v>
      </c>
      <c r="N1908">
        <f t="shared" si="795"/>
        <v>215</v>
      </c>
      <c r="O1908">
        <f t="shared" si="817"/>
        <v>1393</v>
      </c>
      <c r="P1908">
        <f t="shared" si="818"/>
        <v>0.75813953488372088</v>
      </c>
      <c r="Q1908" t="str">
        <f t="shared" si="796"/>
        <v>13.57% | 1.87%</v>
      </c>
      <c r="R1908" t="str">
        <f t="shared" si="819"/>
        <v>BEARISH</v>
      </c>
      <c r="S1908">
        <f t="shared" si="797"/>
        <v>-1</v>
      </c>
    </row>
    <row r="1909" spans="1:19" hidden="1" x14ac:dyDescent="0.25">
      <c r="A1909" s="5" t="str">
        <f t="shared" si="794"/>
        <v>43978COMPQ</v>
      </c>
      <c r="B1909" s="6" t="s">
        <v>8</v>
      </c>
      <c r="C1909" s="6">
        <v>8899</v>
      </c>
      <c r="D1909" s="6">
        <v>9530</v>
      </c>
      <c r="E1909" s="6">
        <v>9340</v>
      </c>
      <c r="F1909" t="str">
        <f t="shared" si="809"/>
        <v>WED</v>
      </c>
      <c r="G1909" s="3">
        <f t="shared" si="810"/>
        <v>43978</v>
      </c>
      <c r="H1909" s="2">
        <f t="shared" ca="1" si="811"/>
        <v>275</v>
      </c>
      <c r="I1909" t="str">
        <f t="shared" si="812"/>
        <v>COMPQ</v>
      </c>
      <c r="J1909">
        <f t="shared" si="813"/>
        <v>8899</v>
      </c>
      <c r="K1909">
        <f t="shared" si="814"/>
        <v>9530</v>
      </c>
      <c r="L1909">
        <f t="shared" si="815"/>
        <v>9214.5</v>
      </c>
      <c r="M1909">
        <f t="shared" si="816"/>
        <v>315.5</v>
      </c>
      <c r="N1909">
        <f t="shared" si="795"/>
        <v>631</v>
      </c>
      <c r="O1909">
        <f t="shared" si="817"/>
        <v>9340</v>
      </c>
      <c r="P1909">
        <f t="shared" si="818"/>
        <v>0.3977812995245642</v>
      </c>
      <c r="Q1909" t="str">
        <f t="shared" si="796"/>
        <v>4.72% | 2.03%</v>
      </c>
      <c r="R1909" t="str">
        <f t="shared" si="819"/>
        <v>BULLISH</v>
      </c>
      <c r="S1909">
        <f t="shared" si="797"/>
        <v>1</v>
      </c>
    </row>
    <row r="1910" spans="1:19" hidden="1" x14ac:dyDescent="0.25">
      <c r="A1910" s="5" t="str">
        <f t="shared" si="794"/>
        <v>43978XLV</v>
      </c>
      <c r="B1910" s="6" t="s">
        <v>9</v>
      </c>
      <c r="C1910" s="6">
        <v>98.29</v>
      </c>
      <c r="D1910" s="6">
        <v>101.57</v>
      </c>
      <c r="E1910" s="6">
        <v>99.44</v>
      </c>
      <c r="F1910" t="str">
        <f t="shared" si="809"/>
        <v>WED</v>
      </c>
      <c r="G1910" s="3">
        <f t="shared" si="810"/>
        <v>43978</v>
      </c>
      <c r="H1910" s="2">
        <f t="shared" ca="1" si="811"/>
        <v>275</v>
      </c>
      <c r="I1910" t="str">
        <f t="shared" si="812"/>
        <v>XLV</v>
      </c>
      <c r="J1910">
        <f t="shared" si="813"/>
        <v>98.29</v>
      </c>
      <c r="K1910">
        <f t="shared" si="814"/>
        <v>101.57</v>
      </c>
      <c r="L1910">
        <f t="shared" si="815"/>
        <v>99.93</v>
      </c>
      <c r="M1910">
        <f t="shared" si="816"/>
        <v>1.6399999999999935</v>
      </c>
      <c r="N1910">
        <f t="shared" si="795"/>
        <v>3.2799999999999869</v>
      </c>
      <c r="O1910">
        <f t="shared" si="817"/>
        <v>99.44</v>
      </c>
      <c r="P1910">
        <f t="shared" si="818"/>
        <v>-0.29878048780488481</v>
      </c>
      <c r="Q1910" t="str">
        <f t="shared" si="796"/>
        <v>1.16% | 2.14%</v>
      </c>
      <c r="R1910" t="str">
        <f t="shared" si="819"/>
        <v>BULLISH</v>
      </c>
      <c r="S1910">
        <f t="shared" si="797"/>
        <v>1</v>
      </c>
    </row>
    <row r="1911" spans="1:19" hidden="1" x14ac:dyDescent="0.25">
      <c r="A1911" s="5" t="str">
        <f t="shared" si="794"/>
        <v>43978XLK</v>
      </c>
      <c r="B1911" s="6" t="s">
        <v>10</v>
      </c>
      <c r="C1911" s="6">
        <v>92.11</v>
      </c>
      <c r="D1911" s="6">
        <v>98.98</v>
      </c>
      <c r="E1911" s="6">
        <v>96.39</v>
      </c>
      <c r="F1911" t="str">
        <f t="shared" si="809"/>
        <v>WED</v>
      </c>
      <c r="G1911" s="3">
        <f t="shared" si="810"/>
        <v>43978</v>
      </c>
      <c r="H1911" s="2">
        <f t="shared" ca="1" si="811"/>
        <v>275</v>
      </c>
      <c r="I1911" t="str">
        <f t="shared" si="812"/>
        <v>XLK</v>
      </c>
      <c r="J1911">
        <f t="shared" si="813"/>
        <v>92.11</v>
      </c>
      <c r="K1911">
        <f t="shared" si="814"/>
        <v>98.98</v>
      </c>
      <c r="L1911">
        <f t="shared" si="815"/>
        <v>95.545000000000002</v>
      </c>
      <c r="M1911">
        <f t="shared" si="816"/>
        <v>3.4350000000000023</v>
      </c>
      <c r="N1911">
        <f t="shared" si="795"/>
        <v>6.8700000000000045</v>
      </c>
      <c r="O1911">
        <f t="shared" si="817"/>
        <v>96.39</v>
      </c>
      <c r="P1911">
        <f t="shared" si="818"/>
        <v>0.24599708879184812</v>
      </c>
      <c r="Q1911" t="str">
        <f t="shared" si="796"/>
        <v>4.44% | 2.69%</v>
      </c>
      <c r="R1911" t="str">
        <f t="shared" si="819"/>
        <v>BULLISH</v>
      </c>
      <c r="S1911">
        <f t="shared" si="797"/>
        <v>1</v>
      </c>
    </row>
    <row r="1912" spans="1:19" hidden="1" x14ac:dyDescent="0.25">
      <c r="A1912" s="5" t="str">
        <f t="shared" si="794"/>
        <v>43978XLP</v>
      </c>
      <c r="B1912" s="6" t="s">
        <v>11</v>
      </c>
      <c r="C1912" s="6">
        <v>56.13</v>
      </c>
      <c r="D1912" s="6">
        <v>58.38</v>
      </c>
      <c r="E1912" s="6">
        <v>57.78</v>
      </c>
      <c r="F1912" t="str">
        <f t="shared" si="809"/>
        <v>WED</v>
      </c>
      <c r="G1912" s="3">
        <f t="shared" si="810"/>
        <v>43978</v>
      </c>
      <c r="H1912" s="2">
        <f t="shared" ca="1" si="811"/>
        <v>275</v>
      </c>
      <c r="I1912" t="str">
        <f t="shared" si="812"/>
        <v>XLP</v>
      </c>
      <c r="J1912">
        <f t="shared" si="813"/>
        <v>56.13</v>
      </c>
      <c r="K1912">
        <f t="shared" si="814"/>
        <v>58.38</v>
      </c>
      <c r="L1912">
        <f t="shared" si="815"/>
        <v>57.255000000000003</v>
      </c>
      <c r="M1912">
        <f t="shared" si="816"/>
        <v>1.125</v>
      </c>
      <c r="N1912">
        <f t="shared" si="795"/>
        <v>2.25</v>
      </c>
      <c r="O1912">
        <f t="shared" si="817"/>
        <v>57.78</v>
      </c>
      <c r="P1912">
        <f t="shared" si="818"/>
        <v>0.4666666666666654</v>
      </c>
      <c r="Q1912" t="str">
        <f t="shared" si="796"/>
        <v>2.86% | 1.04%</v>
      </c>
      <c r="R1912" t="str">
        <f t="shared" si="819"/>
        <v>BEARISH</v>
      </c>
      <c r="S1912">
        <f t="shared" si="797"/>
        <v>-1</v>
      </c>
    </row>
    <row r="1913" spans="1:19" hidden="1" x14ac:dyDescent="0.25">
      <c r="A1913" s="5" t="str">
        <f t="shared" si="794"/>
        <v>43978XLF</v>
      </c>
      <c r="B1913" s="6" t="s">
        <v>12</v>
      </c>
      <c r="C1913" s="6">
        <v>20.2</v>
      </c>
      <c r="D1913" s="6">
        <v>23.28</v>
      </c>
      <c r="E1913" s="6">
        <v>23.06</v>
      </c>
      <c r="F1913" t="str">
        <f t="shared" si="809"/>
        <v>WED</v>
      </c>
      <c r="G1913" s="3">
        <f t="shared" si="810"/>
        <v>43978</v>
      </c>
      <c r="H1913" s="2">
        <f t="shared" ca="1" si="811"/>
        <v>275</v>
      </c>
      <c r="I1913" t="str">
        <f t="shared" si="812"/>
        <v>XLF</v>
      </c>
      <c r="J1913">
        <f t="shared" si="813"/>
        <v>20.2</v>
      </c>
      <c r="K1913">
        <f t="shared" si="814"/>
        <v>23.28</v>
      </c>
      <c r="L1913">
        <f t="shared" si="815"/>
        <v>21.740000000000002</v>
      </c>
      <c r="M1913">
        <f t="shared" si="816"/>
        <v>1.5400000000000009</v>
      </c>
      <c r="N1913">
        <f t="shared" si="795"/>
        <v>3.0800000000000018</v>
      </c>
      <c r="O1913">
        <f t="shared" si="817"/>
        <v>23.06</v>
      </c>
      <c r="P1913">
        <f t="shared" si="818"/>
        <v>0.85714285714285454</v>
      </c>
      <c r="Q1913" t="str">
        <f t="shared" si="796"/>
        <v>12.4% | 0.95%</v>
      </c>
      <c r="R1913" t="str">
        <f t="shared" si="819"/>
        <v>BEARISH</v>
      </c>
      <c r="S1913">
        <f t="shared" si="797"/>
        <v>-1</v>
      </c>
    </row>
    <row r="1914" spans="1:19" hidden="1" x14ac:dyDescent="0.25">
      <c r="A1914" s="5" t="str">
        <f t="shared" si="794"/>
        <v>43978XLI</v>
      </c>
      <c r="B1914" s="6" t="s">
        <v>13</v>
      </c>
      <c r="C1914" s="6">
        <v>57.6</v>
      </c>
      <c r="D1914" s="6">
        <v>67.3</v>
      </c>
      <c r="E1914" s="6">
        <v>66.52</v>
      </c>
      <c r="F1914" t="str">
        <f t="shared" si="809"/>
        <v>WED</v>
      </c>
      <c r="G1914" s="3">
        <f t="shared" si="810"/>
        <v>43978</v>
      </c>
      <c r="H1914" s="2">
        <f t="shared" ca="1" si="811"/>
        <v>275</v>
      </c>
      <c r="I1914" t="str">
        <f t="shared" si="812"/>
        <v>XLI</v>
      </c>
      <c r="J1914">
        <f t="shared" si="813"/>
        <v>57.6</v>
      </c>
      <c r="K1914">
        <f t="shared" si="814"/>
        <v>67.3</v>
      </c>
      <c r="L1914">
        <f t="shared" si="815"/>
        <v>62.45</v>
      </c>
      <c r="M1914">
        <f t="shared" si="816"/>
        <v>4.8499999999999979</v>
      </c>
      <c r="N1914">
        <f t="shared" si="795"/>
        <v>9.6999999999999957</v>
      </c>
      <c r="O1914">
        <f t="shared" si="817"/>
        <v>66.52</v>
      </c>
      <c r="P1914">
        <f t="shared" si="818"/>
        <v>0.83917525773195778</v>
      </c>
      <c r="Q1914" t="str">
        <f t="shared" si="796"/>
        <v>13.41% | 1.17%</v>
      </c>
      <c r="R1914" t="str">
        <f t="shared" si="819"/>
        <v>BEARISH</v>
      </c>
      <c r="S1914">
        <f t="shared" si="797"/>
        <v>-1</v>
      </c>
    </row>
    <row r="1915" spans="1:19" hidden="1" x14ac:dyDescent="0.25">
      <c r="A1915" s="5" t="str">
        <f t="shared" si="794"/>
        <v>43978SSEC</v>
      </c>
      <c r="B1915" s="6" t="s">
        <v>14</v>
      </c>
      <c r="C1915" s="6">
        <v>2800</v>
      </c>
      <c r="D1915" s="6">
        <v>2882</v>
      </c>
      <c r="E1915" s="6">
        <v>2836</v>
      </c>
      <c r="F1915" t="str">
        <f t="shared" si="809"/>
        <v>WED</v>
      </c>
      <c r="G1915" s="3">
        <f t="shared" si="810"/>
        <v>43978</v>
      </c>
      <c r="H1915" s="2">
        <f t="shared" ca="1" si="811"/>
        <v>275</v>
      </c>
      <c r="I1915" t="str">
        <f t="shared" si="812"/>
        <v>SSEC</v>
      </c>
      <c r="J1915">
        <f t="shared" si="813"/>
        <v>2800</v>
      </c>
      <c r="K1915">
        <f t="shared" si="814"/>
        <v>2882</v>
      </c>
      <c r="L1915">
        <f t="shared" si="815"/>
        <v>2841</v>
      </c>
      <c r="M1915">
        <f t="shared" si="816"/>
        <v>41</v>
      </c>
      <c r="N1915">
        <f t="shared" si="795"/>
        <v>82</v>
      </c>
      <c r="O1915">
        <f t="shared" si="817"/>
        <v>2836</v>
      </c>
      <c r="P1915">
        <f t="shared" si="818"/>
        <v>-0.12195121951219512</v>
      </c>
      <c r="Q1915" t="str">
        <f t="shared" si="796"/>
        <v>1.27% | 1.62%</v>
      </c>
      <c r="R1915" t="str">
        <f t="shared" si="819"/>
        <v>BEARISH</v>
      </c>
      <c r="S1915">
        <f t="shared" si="797"/>
        <v>-1</v>
      </c>
    </row>
    <row r="1916" spans="1:19" hidden="1" x14ac:dyDescent="0.25">
      <c r="A1916" s="5" t="str">
        <f t="shared" si="794"/>
        <v>43978NIKK</v>
      </c>
      <c r="B1916" s="6" t="s">
        <v>15</v>
      </c>
      <c r="C1916" s="6">
        <v>19696</v>
      </c>
      <c r="D1916" s="6">
        <v>21457</v>
      </c>
      <c r="E1916" s="6">
        <v>21419</v>
      </c>
      <c r="F1916" t="str">
        <f t="shared" si="809"/>
        <v>WED</v>
      </c>
      <c r="G1916" s="3">
        <f t="shared" si="810"/>
        <v>43978</v>
      </c>
      <c r="H1916" s="2">
        <f t="shared" ca="1" si="811"/>
        <v>275</v>
      </c>
      <c r="I1916" t="str">
        <f t="shared" si="812"/>
        <v>NIKK</v>
      </c>
      <c r="J1916">
        <f t="shared" si="813"/>
        <v>19696</v>
      </c>
      <c r="K1916">
        <f t="shared" si="814"/>
        <v>21457</v>
      </c>
      <c r="L1916">
        <f t="shared" si="815"/>
        <v>20576.5</v>
      </c>
      <c r="M1916">
        <f t="shared" si="816"/>
        <v>880.5</v>
      </c>
      <c r="N1916">
        <f t="shared" si="795"/>
        <v>1761</v>
      </c>
      <c r="O1916">
        <f t="shared" si="817"/>
        <v>21419</v>
      </c>
      <c r="P1916">
        <f t="shared" si="818"/>
        <v>0.95684270300965357</v>
      </c>
      <c r="Q1916" t="str">
        <f t="shared" si="796"/>
        <v>8.04% | 0.18%</v>
      </c>
      <c r="R1916" t="str">
        <f t="shared" si="819"/>
        <v>BEARISH</v>
      </c>
      <c r="S1916">
        <f t="shared" si="797"/>
        <v>-1</v>
      </c>
    </row>
    <row r="1917" spans="1:19" hidden="1" x14ac:dyDescent="0.25">
      <c r="A1917" s="5" t="str">
        <f t="shared" si="794"/>
        <v>43978DAX</v>
      </c>
      <c r="B1917" s="6" t="s">
        <v>16</v>
      </c>
      <c r="C1917" s="6">
        <v>10276</v>
      </c>
      <c r="D1917" s="6">
        <v>11750</v>
      </c>
      <c r="E1917" s="6">
        <v>11500</v>
      </c>
      <c r="F1917" t="str">
        <f t="shared" si="809"/>
        <v>WED</v>
      </c>
      <c r="G1917" s="3">
        <f t="shared" si="810"/>
        <v>43978</v>
      </c>
      <c r="H1917" s="2">
        <f t="shared" ca="1" si="811"/>
        <v>275</v>
      </c>
      <c r="I1917" t="str">
        <f t="shared" si="812"/>
        <v>DAX</v>
      </c>
      <c r="J1917">
        <f t="shared" si="813"/>
        <v>10276</v>
      </c>
      <c r="K1917">
        <f t="shared" si="814"/>
        <v>11750</v>
      </c>
      <c r="L1917">
        <f t="shared" si="815"/>
        <v>11013</v>
      </c>
      <c r="M1917">
        <f t="shared" si="816"/>
        <v>737</v>
      </c>
      <c r="N1917">
        <f t="shared" si="795"/>
        <v>1474</v>
      </c>
      <c r="O1917">
        <f t="shared" si="817"/>
        <v>11500</v>
      </c>
      <c r="P1917">
        <f t="shared" si="818"/>
        <v>0.66078697421981003</v>
      </c>
      <c r="Q1917" t="str">
        <f t="shared" si="796"/>
        <v>10.64% | 2.17%</v>
      </c>
      <c r="R1917" t="str">
        <f t="shared" si="819"/>
        <v>BEARISH</v>
      </c>
      <c r="S1917">
        <f t="shared" si="797"/>
        <v>-1</v>
      </c>
    </row>
    <row r="1918" spans="1:19" hidden="1" x14ac:dyDescent="0.25">
      <c r="A1918" s="5" t="str">
        <f t="shared" si="794"/>
        <v>43978VIX</v>
      </c>
      <c r="B1918" s="6" t="s">
        <v>17</v>
      </c>
      <c r="C1918" s="6">
        <v>25.98</v>
      </c>
      <c r="D1918" s="6">
        <v>35.92</v>
      </c>
      <c r="E1918" s="6">
        <v>28.01</v>
      </c>
      <c r="F1918" t="str">
        <f t="shared" si="809"/>
        <v>WED</v>
      </c>
      <c r="G1918" s="3">
        <f t="shared" si="810"/>
        <v>43978</v>
      </c>
      <c r="H1918" s="2">
        <f t="shared" ca="1" si="811"/>
        <v>275</v>
      </c>
      <c r="I1918" t="str">
        <f t="shared" si="812"/>
        <v>VIX</v>
      </c>
      <c r="J1918">
        <f t="shared" si="813"/>
        <v>25.98</v>
      </c>
      <c r="K1918">
        <f t="shared" si="814"/>
        <v>35.92</v>
      </c>
      <c r="L1918">
        <f t="shared" si="815"/>
        <v>30.950000000000003</v>
      </c>
      <c r="M1918">
        <f t="shared" si="816"/>
        <v>4.9700000000000051</v>
      </c>
      <c r="N1918">
        <f t="shared" si="795"/>
        <v>9.9400000000000013</v>
      </c>
      <c r="O1918">
        <f t="shared" si="817"/>
        <v>28.01</v>
      </c>
      <c r="P1918">
        <f t="shared" si="818"/>
        <v>-0.59154929577464754</v>
      </c>
      <c r="Q1918" t="str">
        <f t="shared" si="796"/>
        <v>7.25% | 28.24%</v>
      </c>
      <c r="R1918" t="str">
        <f t="shared" si="819"/>
        <v>BULLISH</v>
      </c>
      <c r="S1918">
        <f t="shared" si="797"/>
        <v>1</v>
      </c>
    </row>
    <row r="1919" spans="1:19" hidden="1" x14ac:dyDescent="0.25">
      <c r="A1919" s="5" t="str">
        <f t="shared" si="794"/>
        <v>43978USD</v>
      </c>
      <c r="B1919" s="6" t="s">
        <v>18</v>
      </c>
      <c r="C1919" s="6">
        <v>98.65</v>
      </c>
      <c r="D1919" s="6">
        <v>100.89</v>
      </c>
      <c r="E1919" s="6">
        <v>98.91</v>
      </c>
      <c r="F1919" t="str">
        <f t="shared" si="809"/>
        <v>WED</v>
      </c>
      <c r="G1919" s="3">
        <f t="shared" si="810"/>
        <v>43978</v>
      </c>
      <c r="H1919" s="2">
        <f t="shared" ca="1" si="811"/>
        <v>275</v>
      </c>
      <c r="I1919" t="str">
        <f t="shared" si="812"/>
        <v>USD</v>
      </c>
      <c r="J1919">
        <f t="shared" si="813"/>
        <v>98.65</v>
      </c>
      <c r="K1919">
        <f t="shared" si="814"/>
        <v>100.89</v>
      </c>
      <c r="L1919">
        <f t="shared" si="815"/>
        <v>99.77000000000001</v>
      </c>
      <c r="M1919">
        <f t="shared" si="816"/>
        <v>1.1199999999999974</v>
      </c>
      <c r="N1919">
        <f t="shared" si="795"/>
        <v>2.2399999999999949</v>
      </c>
      <c r="O1919">
        <f t="shared" si="817"/>
        <v>98.91</v>
      </c>
      <c r="P1919">
        <f t="shared" si="818"/>
        <v>-0.76785714285715678</v>
      </c>
      <c r="Q1919" t="str">
        <f t="shared" si="796"/>
        <v>0.26% | 2%</v>
      </c>
      <c r="R1919" t="str">
        <f t="shared" si="819"/>
        <v>BULLISH</v>
      </c>
      <c r="S1919">
        <f t="shared" si="797"/>
        <v>1</v>
      </c>
    </row>
    <row r="1920" spans="1:19" hidden="1" x14ac:dyDescent="0.25">
      <c r="A1920" s="5" t="str">
        <f t="shared" si="794"/>
        <v>43978EUR/USD</v>
      </c>
      <c r="B1920" s="6" t="s">
        <v>19</v>
      </c>
      <c r="C1920" s="6">
        <v>1.07</v>
      </c>
      <c r="D1920" s="6">
        <v>1.1000000000000001</v>
      </c>
      <c r="E1920" s="6">
        <v>1.0900000000000001</v>
      </c>
      <c r="F1920" t="str">
        <f t="shared" si="809"/>
        <v>WED</v>
      </c>
      <c r="G1920" s="3">
        <f t="shared" si="810"/>
        <v>43978</v>
      </c>
      <c r="H1920" s="2">
        <f t="shared" ca="1" si="811"/>
        <v>275</v>
      </c>
      <c r="I1920" t="str">
        <f t="shared" si="812"/>
        <v>EUR/USD</v>
      </c>
      <c r="J1920">
        <f t="shared" si="813"/>
        <v>1.07</v>
      </c>
      <c r="K1920">
        <f t="shared" si="814"/>
        <v>1.1000000000000001</v>
      </c>
      <c r="L1920">
        <f t="shared" si="815"/>
        <v>1.085</v>
      </c>
      <c r="M1920">
        <f t="shared" si="816"/>
        <v>1.5000000000000013E-2</v>
      </c>
      <c r="N1920">
        <f t="shared" si="795"/>
        <v>3.0000000000000027E-2</v>
      </c>
      <c r="O1920">
        <f t="shared" si="817"/>
        <v>1.0900000000000001</v>
      </c>
      <c r="P1920">
        <f t="shared" si="818"/>
        <v>0.33333333333334075</v>
      </c>
      <c r="Q1920" t="str">
        <f t="shared" si="796"/>
        <v>1.83% | 0.92%</v>
      </c>
      <c r="R1920" t="str">
        <f t="shared" si="819"/>
        <v>BEARISH</v>
      </c>
      <c r="S1920">
        <f t="shared" si="797"/>
        <v>-1</v>
      </c>
    </row>
    <row r="1921" spans="1:19" hidden="1" x14ac:dyDescent="0.25">
      <c r="A1921" s="5" t="str">
        <f t="shared" si="794"/>
        <v>43978USD/JPY</v>
      </c>
      <c r="B1921" s="6" t="s">
        <v>20</v>
      </c>
      <c r="C1921" s="6">
        <v>106.62</v>
      </c>
      <c r="D1921" s="6">
        <v>108.1</v>
      </c>
      <c r="E1921" s="6">
        <v>107.53</v>
      </c>
      <c r="F1921" t="str">
        <f t="shared" si="809"/>
        <v>WED</v>
      </c>
      <c r="G1921" s="3">
        <f t="shared" si="810"/>
        <v>43978</v>
      </c>
      <c r="H1921" s="2">
        <f t="shared" ca="1" si="811"/>
        <v>275</v>
      </c>
      <c r="I1921" t="str">
        <f t="shared" si="812"/>
        <v>USD/JPY</v>
      </c>
      <c r="J1921">
        <f t="shared" si="813"/>
        <v>106.62</v>
      </c>
      <c r="K1921">
        <f t="shared" si="814"/>
        <v>108.1</v>
      </c>
      <c r="L1921">
        <f t="shared" si="815"/>
        <v>107.36</v>
      </c>
      <c r="M1921">
        <f t="shared" si="816"/>
        <v>0.73999999999999488</v>
      </c>
      <c r="N1921">
        <f t="shared" si="795"/>
        <v>1.4799999999999898</v>
      </c>
      <c r="O1921">
        <f t="shared" si="817"/>
        <v>107.53</v>
      </c>
      <c r="P1921">
        <f t="shared" si="818"/>
        <v>0.22972972972973363</v>
      </c>
      <c r="Q1921" t="str">
        <f t="shared" si="796"/>
        <v>0.85% | 0.53%</v>
      </c>
      <c r="R1921" t="str">
        <f t="shared" si="819"/>
        <v>BEARISH</v>
      </c>
      <c r="S1921">
        <f t="shared" si="797"/>
        <v>-1</v>
      </c>
    </row>
    <row r="1922" spans="1:19" hidden="1" x14ac:dyDescent="0.25">
      <c r="A1922" s="5" t="str">
        <f t="shared" si="794"/>
        <v>43978GBP/USD</v>
      </c>
      <c r="B1922" s="6" t="s">
        <v>21</v>
      </c>
      <c r="C1922" s="6">
        <v>1.21</v>
      </c>
      <c r="D1922" s="6">
        <v>1.23</v>
      </c>
      <c r="E1922" s="6">
        <v>1.23</v>
      </c>
      <c r="F1922" t="str">
        <f t="shared" si="809"/>
        <v>WED</v>
      </c>
      <c r="G1922" s="3">
        <f t="shared" si="810"/>
        <v>43978</v>
      </c>
      <c r="H1922" s="2">
        <f t="shared" ca="1" si="811"/>
        <v>275</v>
      </c>
      <c r="I1922" t="str">
        <f t="shared" si="812"/>
        <v>GBP/USD</v>
      </c>
      <c r="J1922">
        <f t="shared" si="813"/>
        <v>1.21</v>
      </c>
      <c r="K1922">
        <f t="shared" si="814"/>
        <v>1.23</v>
      </c>
      <c r="L1922">
        <f t="shared" si="815"/>
        <v>1.22</v>
      </c>
      <c r="M1922">
        <f t="shared" si="816"/>
        <v>1.0000000000000009E-2</v>
      </c>
      <c r="N1922">
        <f t="shared" si="795"/>
        <v>2.0000000000000018E-2</v>
      </c>
      <c r="O1922">
        <f t="shared" si="817"/>
        <v>1.23</v>
      </c>
      <c r="P1922">
        <f t="shared" si="818"/>
        <v>1</v>
      </c>
      <c r="Q1922" t="str">
        <f t="shared" si="796"/>
        <v>1.63% | 0%</v>
      </c>
      <c r="R1922" t="str">
        <f t="shared" si="819"/>
        <v>BEARISH</v>
      </c>
      <c r="S1922">
        <f t="shared" si="797"/>
        <v>-1</v>
      </c>
    </row>
    <row r="1923" spans="1:19" hidden="1" x14ac:dyDescent="0.25">
      <c r="A1923" s="5" t="str">
        <f t="shared" ref="A1923:A1986" si="820">G1923&amp;I1923</f>
        <v>43978USD/CHF</v>
      </c>
      <c r="B1923" s="6" t="s">
        <v>22</v>
      </c>
      <c r="C1923" s="6">
        <v>0.96</v>
      </c>
      <c r="D1923" s="6">
        <v>0.98</v>
      </c>
      <c r="E1923" s="6">
        <v>0.96</v>
      </c>
      <c r="F1923" t="str">
        <f t="shared" si="809"/>
        <v>WED</v>
      </c>
      <c r="G1923" s="3">
        <f t="shared" si="810"/>
        <v>43978</v>
      </c>
      <c r="H1923" s="2">
        <f t="shared" ca="1" si="811"/>
        <v>275</v>
      </c>
      <c r="I1923" t="str">
        <f t="shared" si="812"/>
        <v>USD/CHF</v>
      </c>
      <c r="J1923">
        <f t="shared" si="813"/>
        <v>0.96</v>
      </c>
      <c r="K1923">
        <f t="shared" si="814"/>
        <v>0.98</v>
      </c>
      <c r="L1923">
        <f t="shared" si="815"/>
        <v>0.97</v>
      </c>
      <c r="M1923">
        <f t="shared" si="816"/>
        <v>1.0000000000000009E-2</v>
      </c>
      <c r="N1923">
        <f t="shared" ref="N1923:N1986" si="821">ABS(K1923-J1923)</f>
        <v>2.0000000000000018E-2</v>
      </c>
      <c r="O1923">
        <f t="shared" si="817"/>
        <v>0.96</v>
      </c>
      <c r="P1923">
        <f t="shared" si="818"/>
        <v>-1</v>
      </c>
      <c r="Q1923" t="str">
        <f t="shared" ref="Q1923:Q1986" si="822">ROUND(ABS(100*(O1923-J1923)/O1923),2)&amp;"% | "&amp;ROUND(ABS(100*(K1923-O1923)/O1923),2)&amp;"%"</f>
        <v>0% | 2.08%</v>
      </c>
      <c r="R1923" t="str">
        <f t="shared" si="819"/>
        <v>NEUTRAL</v>
      </c>
      <c r="S1923">
        <f t="shared" ref="S1923:S1986" si="823">IF(R1923="BEARISH",-1,IF(R1923="NEUTRAL",0,IF(R1923="BULLISH",1,99)))</f>
        <v>0</v>
      </c>
    </row>
    <row r="1924" spans="1:19" hidden="1" x14ac:dyDescent="0.25">
      <c r="A1924" s="5" t="str">
        <f t="shared" si="820"/>
        <v>43978WTIC</v>
      </c>
      <c r="B1924" s="6" t="s">
        <v>23</v>
      </c>
      <c r="C1924" s="6">
        <v>25.15</v>
      </c>
      <c r="D1924" s="6">
        <v>36.9</v>
      </c>
      <c r="E1924" s="6">
        <v>34.35</v>
      </c>
      <c r="F1924" t="str">
        <f t="shared" si="809"/>
        <v>WED</v>
      </c>
      <c r="G1924" s="3">
        <f t="shared" si="810"/>
        <v>43978</v>
      </c>
      <c r="H1924" s="2">
        <f t="shared" ca="1" si="811"/>
        <v>275</v>
      </c>
      <c r="I1924" t="str">
        <f t="shared" si="812"/>
        <v>WTIC</v>
      </c>
      <c r="J1924">
        <f t="shared" si="813"/>
        <v>25.15</v>
      </c>
      <c r="K1924">
        <f t="shared" si="814"/>
        <v>36.9</v>
      </c>
      <c r="L1924">
        <f t="shared" si="815"/>
        <v>31.024999999999999</v>
      </c>
      <c r="M1924">
        <f t="shared" si="816"/>
        <v>5.8749999999999902</v>
      </c>
      <c r="N1924">
        <f t="shared" si="821"/>
        <v>11.75</v>
      </c>
      <c r="O1924">
        <v>32.5</v>
      </c>
      <c r="P1924">
        <f t="shared" si="818"/>
        <v>0.25106382978723468</v>
      </c>
      <c r="Q1924" t="str">
        <f t="shared" si="822"/>
        <v>22.62% | 13.54%</v>
      </c>
      <c r="R1924" t="str">
        <f t="shared" si="819"/>
        <v>BEARISH</v>
      </c>
      <c r="S1924">
        <f t="shared" si="823"/>
        <v>-1</v>
      </c>
    </row>
    <row r="1925" spans="1:19" hidden="1" x14ac:dyDescent="0.25">
      <c r="A1925" s="5" t="str">
        <f t="shared" si="820"/>
        <v>43978NATGAS</v>
      </c>
      <c r="B1925" s="6" t="s">
        <v>24</v>
      </c>
      <c r="C1925" s="6">
        <v>1.55</v>
      </c>
      <c r="D1925" s="6">
        <v>2.02</v>
      </c>
      <c r="E1925" s="6">
        <v>1.95</v>
      </c>
      <c r="F1925" t="str">
        <f t="shared" si="809"/>
        <v>WED</v>
      </c>
      <c r="G1925" s="3">
        <f t="shared" si="810"/>
        <v>43978</v>
      </c>
      <c r="H1925" s="2">
        <f t="shared" ca="1" si="811"/>
        <v>275</v>
      </c>
      <c r="I1925" t="str">
        <f t="shared" si="812"/>
        <v>NATGAS</v>
      </c>
      <c r="J1925">
        <f t="shared" si="813"/>
        <v>1.55</v>
      </c>
      <c r="K1925">
        <f t="shared" si="814"/>
        <v>2.02</v>
      </c>
      <c r="L1925">
        <f t="shared" si="815"/>
        <v>1.7850000000000001</v>
      </c>
      <c r="M1925">
        <f t="shared" si="816"/>
        <v>0.23500000000000018</v>
      </c>
      <c r="N1925">
        <f t="shared" si="821"/>
        <v>0.47</v>
      </c>
      <c r="O1925">
        <v>1.9119999999999999</v>
      </c>
      <c r="P1925">
        <f t="shared" si="818"/>
        <v>0.54042553191489229</v>
      </c>
      <c r="Q1925" t="str">
        <f t="shared" si="822"/>
        <v>18.93% | 5.65%</v>
      </c>
      <c r="R1925" t="str">
        <f t="shared" si="819"/>
        <v>BEARISH</v>
      </c>
      <c r="S1925">
        <f t="shared" si="823"/>
        <v>-1</v>
      </c>
    </row>
    <row r="1926" spans="1:19" hidden="1" x14ac:dyDescent="0.25">
      <c r="A1926" s="5" t="str">
        <f t="shared" si="820"/>
        <v>43978GOLD</v>
      </c>
      <c r="B1926" s="6" t="s">
        <v>25</v>
      </c>
      <c r="C1926" s="6">
        <v>1700</v>
      </c>
      <c r="D1926" s="6">
        <v>1768</v>
      </c>
      <c r="E1926" s="6">
        <v>1705</v>
      </c>
      <c r="F1926" t="str">
        <f t="shared" si="809"/>
        <v>WED</v>
      </c>
      <c r="G1926" s="3">
        <f t="shared" si="810"/>
        <v>43978</v>
      </c>
      <c r="H1926" s="2">
        <f t="shared" ca="1" si="811"/>
        <v>275</v>
      </c>
      <c r="I1926" t="str">
        <f t="shared" si="812"/>
        <v>GOLD</v>
      </c>
      <c r="J1926">
        <f t="shared" si="813"/>
        <v>1700</v>
      </c>
      <c r="K1926">
        <f t="shared" si="814"/>
        <v>1768</v>
      </c>
      <c r="L1926">
        <f t="shared" si="815"/>
        <v>1734</v>
      </c>
      <c r="M1926">
        <f t="shared" si="816"/>
        <v>34</v>
      </c>
      <c r="N1926">
        <f t="shared" si="821"/>
        <v>68</v>
      </c>
      <c r="O1926">
        <f t="shared" si="817"/>
        <v>1705</v>
      </c>
      <c r="P1926">
        <f t="shared" si="818"/>
        <v>-0.8529411764705882</v>
      </c>
      <c r="Q1926" t="str">
        <f t="shared" si="822"/>
        <v>0.29% | 3.7%</v>
      </c>
      <c r="R1926" t="str">
        <f t="shared" si="819"/>
        <v>BULLISH</v>
      </c>
      <c r="S1926">
        <f t="shared" si="823"/>
        <v>1</v>
      </c>
    </row>
    <row r="1927" spans="1:19" hidden="1" x14ac:dyDescent="0.25">
      <c r="A1927" s="5" t="str">
        <f t="shared" si="820"/>
        <v>43978COPPER</v>
      </c>
      <c r="B1927" s="6" t="s">
        <v>26</v>
      </c>
      <c r="C1927" s="6">
        <v>2.31</v>
      </c>
      <c r="D1927" s="6">
        <v>2.4500000000000002</v>
      </c>
      <c r="E1927" s="6">
        <v>2.42</v>
      </c>
      <c r="F1927" t="str">
        <f t="shared" si="809"/>
        <v>WED</v>
      </c>
      <c r="G1927" s="3">
        <f t="shared" si="810"/>
        <v>43978</v>
      </c>
      <c r="H1927" s="2">
        <f t="shared" ca="1" si="811"/>
        <v>275</v>
      </c>
      <c r="I1927" t="str">
        <f t="shared" si="812"/>
        <v>COPPER</v>
      </c>
      <c r="J1927">
        <f t="shared" si="813"/>
        <v>2.31</v>
      </c>
      <c r="K1927">
        <f t="shared" si="814"/>
        <v>2.4500000000000002</v>
      </c>
      <c r="L1927">
        <f t="shared" si="815"/>
        <v>2.38</v>
      </c>
      <c r="M1927">
        <f t="shared" si="816"/>
        <v>7.0000000000000062E-2</v>
      </c>
      <c r="N1927">
        <f t="shared" si="821"/>
        <v>0.14000000000000012</v>
      </c>
      <c r="O1927">
        <f t="shared" si="817"/>
        <v>2.42</v>
      </c>
      <c r="P1927">
        <f t="shared" si="818"/>
        <v>0.5714285714285714</v>
      </c>
      <c r="Q1927" t="str">
        <f t="shared" si="822"/>
        <v>4.55% | 1.24%</v>
      </c>
      <c r="R1927" t="str">
        <f t="shared" si="819"/>
        <v>BEARISH</v>
      </c>
      <c r="S1927">
        <f t="shared" si="823"/>
        <v>-1</v>
      </c>
    </row>
    <row r="1928" spans="1:19" hidden="1" x14ac:dyDescent="0.25">
      <c r="A1928" s="5" t="str">
        <f t="shared" si="820"/>
        <v>43978MSFT</v>
      </c>
      <c r="B1928" s="6" t="s">
        <v>27</v>
      </c>
      <c r="C1928" s="6">
        <v>178</v>
      </c>
      <c r="D1928" s="6">
        <v>187</v>
      </c>
      <c r="E1928" s="6">
        <v>181</v>
      </c>
      <c r="F1928" t="str">
        <f t="shared" si="809"/>
        <v>WED</v>
      </c>
      <c r="G1928" s="3">
        <f t="shared" si="810"/>
        <v>43978</v>
      </c>
      <c r="H1928" s="2">
        <f t="shared" ca="1" si="811"/>
        <v>275</v>
      </c>
      <c r="I1928" t="str">
        <f t="shared" si="812"/>
        <v>MSFT</v>
      </c>
      <c r="J1928">
        <f t="shared" si="813"/>
        <v>178</v>
      </c>
      <c r="K1928">
        <f t="shared" si="814"/>
        <v>187</v>
      </c>
      <c r="L1928">
        <f t="shared" si="815"/>
        <v>182.5</v>
      </c>
      <c r="M1928">
        <f t="shared" si="816"/>
        <v>4.5</v>
      </c>
      <c r="N1928">
        <f t="shared" si="821"/>
        <v>9</v>
      </c>
      <c r="O1928">
        <f t="shared" si="817"/>
        <v>181</v>
      </c>
      <c r="P1928">
        <f t="shared" si="818"/>
        <v>-0.33333333333333331</v>
      </c>
      <c r="Q1928" t="str">
        <f t="shared" si="822"/>
        <v>1.66% | 3.31%</v>
      </c>
      <c r="R1928" t="str">
        <f t="shared" si="819"/>
        <v>BULLISH</v>
      </c>
      <c r="S1928">
        <f t="shared" si="823"/>
        <v>1</v>
      </c>
    </row>
    <row r="1929" spans="1:19" hidden="1" x14ac:dyDescent="0.25">
      <c r="A1929" s="5" t="str">
        <f t="shared" si="820"/>
        <v>43978AAPL</v>
      </c>
      <c r="B1929" s="6" t="s">
        <v>28</v>
      </c>
      <c r="C1929" s="6">
        <v>306</v>
      </c>
      <c r="D1929" s="6">
        <v>323</v>
      </c>
      <c r="E1929" s="6">
        <v>316</v>
      </c>
      <c r="F1929" t="str">
        <f t="shared" si="809"/>
        <v>WED</v>
      </c>
      <c r="G1929" s="3">
        <f t="shared" si="810"/>
        <v>43978</v>
      </c>
      <c r="H1929" s="2">
        <f t="shared" ca="1" si="811"/>
        <v>275</v>
      </c>
      <c r="I1929" t="str">
        <f t="shared" si="812"/>
        <v>AAPL</v>
      </c>
      <c r="J1929">
        <f t="shared" si="813"/>
        <v>306</v>
      </c>
      <c r="K1929">
        <f t="shared" si="814"/>
        <v>323</v>
      </c>
      <c r="L1929">
        <f t="shared" si="815"/>
        <v>314.5</v>
      </c>
      <c r="M1929">
        <f t="shared" si="816"/>
        <v>8.5</v>
      </c>
      <c r="N1929">
        <f t="shared" si="821"/>
        <v>17</v>
      </c>
      <c r="O1929">
        <f t="shared" si="817"/>
        <v>316</v>
      </c>
      <c r="P1929">
        <f t="shared" si="818"/>
        <v>0.17647058823529413</v>
      </c>
      <c r="Q1929" t="str">
        <f t="shared" si="822"/>
        <v>3.16% | 2.22%</v>
      </c>
      <c r="R1929" t="str">
        <f t="shared" si="819"/>
        <v>BULLISH</v>
      </c>
      <c r="S1929">
        <f t="shared" si="823"/>
        <v>1</v>
      </c>
    </row>
    <row r="1930" spans="1:19" hidden="1" x14ac:dyDescent="0.25">
      <c r="A1930" s="5" t="str">
        <f t="shared" si="820"/>
        <v>43978AMZN</v>
      </c>
      <c r="B1930" s="6" t="s">
        <v>29</v>
      </c>
      <c r="C1930" s="6">
        <v>2346</v>
      </c>
      <c r="D1930" s="6">
        <v>2501</v>
      </c>
      <c r="E1930" s="6">
        <v>2421</v>
      </c>
      <c r="F1930" t="str">
        <f t="shared" si="809"/>
        <v>WED</v>
      </c>
      <c r="G1930" s="3">
        <f t="shared" si="810"/>
        <v>43978</v>
      </c>
      <c r="H1930" s="2">
        <f t="shared" ca="1" si="811"/>
        <v>275</v>
      </c>
      <c r="I1930" t="str">
        <f t="shared" si="812"/>
        <v>AMZN</v>
      </c>
      <c r="J1930">
        <f t="shared" si="813"/>
        <v>2346</v>
      </c>
      <c r="K1930">
        <f t="shared" si="814"/>
        <v>2501</v>
      </c>
      <c r="L1930">
        <f t="shared" si="815"/>
        <v>2423.5</v>
      </c>
      <c r="M1930">
        <f t="shared" si="816"/>
        <v>77.5</v>
      </c>
      <c r="N1930">
        <f t="shared" si="821"/>
        <v>155</v>
      </c>
      <c r="O1930">
        <f t="shared" si="817"/>
        <v>2421</v>
      </c>
      <c r="P1930">
        <f t="shared" si="818"/>
        <v>-3.2258064516129031E-2</v>
      </c>
      <c r="Q1930" t="str">
        <f t="shared" si="822"/>
        <v>3.1% | 3.3%</v>
      </c>
      <c r="R1930" t="str">
        <f t="shared" si="819"/>
        <v>BULLISH</v>
      </c>
      <c r="S1930">
        <f t="shared" si="823"/>
        <v>1</v>
      </c>
    </row>
    <row r="1931" spans="1:19" hidden="1" x14ac:dyDescent="0.25">
      <c r="A1931" s="5" t="str">
        <f t="shared" si="820"/>
        <v>43978FB</v>
      </c>
      <c r="B1931" s="6" t="s">
        <v>30</v>
      </c>
      <c r="C1931" s="6">
        <v>207</v>
      </c>
      <c r="D1931" s="6">
        <v>243</v>
      </c>
      <c r="E1931" s="6">
        <v>232</v>
      </c>
      <c r="F1931" t="str">
        <f t="shared" si="809"/>
        <v>WED</v>
      </c>
      <c r="G1931" s="3">
        <f t="shared" si="810"/>
        <v>43978</v>
      </c>
      <c r="H1931" s="2">
        <f t="shared" ca="1" si="811"/>
        <v>275</v>
      </c>
      <c r="I1931" t="str">
        <f t="shared" si="812"/>
        <v>FB</v>
      </c>
      <c r="J1931">
        <f t="shared" si="813"/>
        <v>207</v>
      </c>
      <c r="K1931">
        <f t="shared" si="814"/>
        <v>243</v>
      </c>
      <c r="L1931">
        <f t="shared" si="815"/>
        <v>225</v>
      </c>
      <c r="M1931">
        <f t="shared" si="816"/>
        <v>18</v>
      </c>
      <c r="N1931">
        <f t="shared" si="821"/>
        <v>36</v>
      </c>
      <c r="O1931">
        <f t="shared" si="817"/>
        <v>232</v>
      </c>
      <c r="P1931">
        <f t="shared" si="818"/>
        <v>0.3888888888888889</v>
      </c>
      <c r="Q1931" t="str">
        <f t="shared" si="822"/>
        <v>10.78% | 4.74%</v>
      </c>
      <c r="R1931" t="str">
        <f t="shared" si="819"/>
        <v>BULLISH</v>
      </c>
      <c r="S1931">
        <f t="shared" si="823"/>
        <v>1</v>
      </c>
    </row>
    <row r="1932" spans="1:19" hidden="1" x14ac:dyDescent="0.25">
      <c r="A1932" s="5" t="str">
        <f t="shared" si="820"/>
        <v>43978GOOGL</v>
      </c>
      <c r="B1932" s="6" t="s">
        <v>31</v>
      </c>
      <c r="C1932" s="6">
        <v>1344</v>
      </c>
      <c r="D1932" s="6">
        <v>1439</v>
      </c>
      <c r="E1932" s="6">
        <v>1421</v>
      </c>
      <c r="F1932" t="str">
        <f t="shared" si="809"/>
        <v>WED</v>
      </c>
      <c r="G1932" s="3">
        <f t="shared" si="810"/>
        <v>43978</v>
      </c>
      <c r="H1932" s="2">
        <f t="shared" ca="1" si="811"/>
        <v>275</v>
      </c>
      <c r="I1932" t="str">
        <f t="shared" si="812"/>
        <v>GOOGL</v>
      </c>
      <c r="J1932">
        <f t="shared" si="813"/>
        <v>1344</v>
      </c>
      <c r="K1932">
        <f t="shared" si="814"/>
        <v>1439</v>
      </c>
      <c r="L1932">
        <f t="shared" si="815"/>
        <v>1391.5</v>
      </c>
      <c r="M1932">
        <f t="shared" si="816"/>
        <v>47.5</v>
      </c>
      <c r="N1932">
        <f t="shared" si="821"/>
        <v>95</v>
      </c>
      <c r="O1932">
        <f t="shared" si="817"/>
        <v>1421</v>
      </c>
      <c r="P1932">
        <f t="shared" si="818"/>
        <v>0.62105263157894741</v>
      </c>
      <c r="Q1932" t="str">
        <f t="shared" si="822"/>
        <v>5.42% | 1.27%</v>
      </c>
      <c r="R1932" t="str">
        <f t="shared" si="819"/>
        <v>BULLISH</v>
      </c>
      <c r="S1932">
        <f t="shared" si="823"/>
        <v>1</v>
      </c>
    </row>
    <row r="1933" spans="1:19" hidden="1" x14ac:dyDescent="0.25">
      <c r="A1933" s="5" t="str">
        <f t="shared" si="820"/>
        <v>43978NFLX</v>
      </c>
      <c r="B1933" s="6" t="s">
        <v>32</v>
      </c>
      <c r="C1933" s="6">
        <v>406</v>
      </c>
      <c r="D1933" s="6">
        <v>441</v>
      </c>
      <c r="E1933" s="6">
        <v>414</v>
      </c>
      <c r="F1933" t="str">
        <f t="shared" si="809"/>
        <v>WED</v>
      </c>
      <c r="G1933" s="3">
        <f t="shared" si="810"/>
        <v>43978</v>
      </c>
      <c r="H1933" s="2">
        <f t="shared" ca="1" si="811"/>
        <v>275</v>
      </c>
      <c r="I1933" t="str">
        <f t="shared" si="812"/>
        <v>NFLX</v>
      </c>
      <c r="J1933">
        <f t="shared" si="813"/>
        <v>406</v>
      </c>
      <c r="K1933">
        <f t="shared" si="814"/>
        <v>441</v>
      </c>
      <c r="L1933">
        <f t="shared" si="815"/>
        <v>423.5</v>
      </c>
      <c r="M1933">
        <f t="shared" si="816"/>
        <v>17.5</v>
      </c>
      <c r="N1933">
        <f t="shared" si="821"/>
        <v>35</v>
      </c>
      <c r="O1933">
        <f t="shared" si="817"/>
        <v>414</v>
      </c>
      <c r="P1933">
        <f t="shared" si="818"/>
        <v>-0.54285714285714282</v>
      </c>
      <c r="Q1933" t="str">
        <f t="shared" si="822"/>
        <v>1.93% | 6.52%</v>
      </c>
      <c r="R1933" t="str">
        <f t="shared" si="819"/>
        <v>BULLISH</v>
      </c>
      <c r="S1933">
        <f t="shared" si="823"/>
        <v>1</v>
      </c>
    </row>
    <row r="1934" spans="1:19" x14ac:dyDescent="0.25">
      <c r="A1934" s="5" t="str">
        <f t="shared" si="820"/>
        <v>43978TSLA</v>
      </c>
      <c r="B1934" s="6" t="s">
        <v>33</v>
      </c>
      <c r="C1934" s="6">
        <v>785</v>
      </c>
      <c r="D1934" s="6">
        <v>832</v>
      </c>
      <c r="E1934" s="6">
        <v>818</v>
      </c>
      <c r="F1934" t="str">
        <f t="shared" si="809"/>
        <v>WED</v>
      </c>
      <c r="G1934" s="3">
        <f t="shared" si="810"/>
        <v>43978</v>
      </c>
      <c r="H1934" s="2">
        <f t="shared" ca="1" si="811"/>
        <v>275</v>
      </c>
      <c r="I1934" t="str">
        <f t="shared" si="812"/>
        <v>TSLA</v>
      </c>
      <c r="J1934">
        <f t="shared" si="813"/>
        <v>785</v>
      </c>
      <c r="K1934">
        <f t="shared" si="814"/>
        <v>832</v>
      </c>
      <c r="L1934">
        <f t="shared" si="815"/>
        <v>808.5</v>
      </c>
      <c r="M1934">
        <f t="shared" si="816"/>
        <v>23.5</v>
      </c>
      <c r="N1934">
        <f t="shared" si="821"/>
        <v>47</v>
      </c>
      <c r="O1934">
        <f t="shared" si="817"/>
        <v>818</v>
      </c>
      <c r="P1934">
        <f t="shared" si="818"/>
        <v>0.40425531914893614</v>
      </c>
      <c r="Q1934" t="str">
        <f t="shared" si="822"/>
        <v>4.03% | 1.71%</v>
      </c>
      <c r="R1934" t="str">
        <f t="shared" si="819"/>
        <v>BULLISH</v>
      </c>
      <c r="S1934">
        <f t="shared" si="823"/>
        <v>1</v>
      </c>
    </row>
    <row r="1935" spans="1:19" hidden="1" x14ac:dyDescent="0.25">
      <c r="A1935" s="5" t="str">
        <f t="shared" si="820"/>
        <v>43978NYXBT</v>
      </c>
      <c r="B1935" s="6" t="s">
        <v>34</v>
      </c>
      <c r="C1935" s="6">
        <v>8614</v>
      </c>
      <c r="D1935" s="6">
        <v>10098</v>
      </c>
      <c r="E1935" s="6">
        <v>8823</v>
      </c>
      <c r="F1935" t="str">
        <f t="shared" si="809"/>
        <v>WED</v>
      </c>
      <c r="G1935" s="3">
        <f t="shared" si="810"/>
        <v>43978</v>
      </c>
      <c r="H1935" s="2">
        <f t="shared" ca="1" si="811"/>
        <v>275</v>
      </c>
      <c r="I1935" t="str">
        <f t="shared" si="812"/>
        <v>NYXBT</v>
      </c>
      <c r="J1935">
        <f t="shared" si="813"/>
        <v>8614</v>
      </c>
      <c r="K1935">
        <f t="shared" si="814"/>
        <v>10098</v>
      </c>
      <c r="L1935">
        <f t="shared" si="815"/>
        <v>9356</v>
      </c>
      <c r="M1935">
        <f t="shared" si="816"/>
        <v>742</v>
      </c>
      <c r="N1935">
        <f t="shared" si="821"/>
        <v>1484</v>
      </c>
      <c r="O1935">
        <f t="shared" si="817"/>
        <v>8823</v>
      </c>
      <c r="P1935">
        <f t="shared" si="818"/>
        <v>-0.71832884097035044</v>
      </c>
      <c r="Q1935" t="str">
        <f t="shared" si="822"/>
        <v>2.37% | 14.45%</v>
      </c>
      <c r="R1935" t="str">
        <f t="shared" si="819"/>
        <v>BULLISH</v>
      </c>
      <c r="S1935">
        <f t="shared" si="823"/>
        <v>1</v>
      </c>
    </row>
    <row r="1936" spans="1:19" hidden="1" x14ac:dyDescent="0.25">
      <c r="A1936" s="5" t="str">
        <f t="shared" si="820"/>
        <v>43979UST10Y</v>
      </c>
      <c r="B1936" s="6" t="s">
        <v>4</v>
      </c>
      <c r="C1936" s="6">
        <v>0.73</v>
      </c>
      <c r="D1936" s="6">
        <v>0.61</v>
      </c>
      <c r="E1936" s="6">
        <v>0.68</v>
      </c>
      <c r="F1936" t="str">
        <f t="shared" si="809"/>
        <v>THU</v>
      </c>
      <c r="G1936" s="1">
        <f>DATE(2020,5,28)</f>
        <v>43979</v>
      </c>
      <c r="H1936" s="2">
        <f t="shared" ca="1" si="811"/>
        <v>274</v>
      </c>
      <c r="I1936" t="str">
        <f t="shared" si="812"/>
        <v>UST10Y</v>
      </c>
      <c r="J1936">
        <f t="shared" si="813"/>
        <v>0.73</v>
      </c>
      <c r="K1936">
        <f t="shared" si="814"/>
        <v>0.61</v>
      </c>
      <c r="L1936">
        <f t="shared" si="815"/>
        <v>0.66999999999999993</v>
      </c>
      <c r="M1936">
        <f t="shared" si="816"/>
        <v>0.06</v>
      </c>
      <c r="N1936">
        <f t="shared" si="821"/>
        <v>0.12</v>
      </c>
      <c r="O1936">
        <f t="shared" si="817"/>
        <v>0.68</v>
      </c>
      <c r="P1936">
        <f t="shared" si="818"/>
        <v>0.16666666666666868</v>
      </c>
      <c r="Q1936" t="str">
        <f t="shared" si="822"/>
        <v>7.35% | 10.29%</v>
      </c>
      <c r="R1936" t="str">
        <f t="shared" si="819"/>
        <v>BEARISH</v>
      </c>
      <c r="S1936">
        <f t="shared" si="823"/>
        <v>-1</v>
      </c>
    </row>
    <row r="1937" spans="1:19" hidden="1" x14ac:dyDescent="0.25">
      <c r="A1937" s="5" t="str">
        <f t="shared" si="820"/>
        <v>43979UST2Y</v>
      </c>
      <c r="B1937" s="6" t="s">
        <v>5</v>
      </c>
      <c r="C1937" s="6">
        <v>0.21</v>
      </c>
      <c r="D1937" s="6">
        <v>0.14000000000000001</v>
      </c>
      <c r="E1937" s="6">
        <v>0.19</v>
      </c>
      <c r="F1937" t="str">
        <f t="shared" ref="F1937:F1967" si="824">UPPER(TEXT(G1937,"ddd"))</f>
        <v>THU</v>
      </c>
      <c r="G1937" s="1">
        <f t="shared" ref="G1937:G1966" si="825">DATE(2020,5,28)</f>
        <v>43979</v>
      </c>
      <c r="H1937" s="2">
        <f t="shared" ref="H1937:H1967" ca="1" si="826">TODAY()-G1937</f>
        <v>274</v>
      </c>
      <c r="I1937" t="str">
        <f t="shared" ref="I1937:I1967" si="827">TRIM(LEFT(B1937,FIND(" ",B1937,1)))</f>
        <v>UST2Y</v>
      </c>
      <c r="J1937">
        <f t="shared" ref="J1937:J1967" si="828">C1937</f>
        <v>0.21</v>
      </c>
      <c r="K1937">
        <f t="shared" ref="K1937:K1967" si="829">D1937</f>
        <v>0.14000000000000001</v>
      </c>
      <c r="L1937">
        <f t="shared" ref="L1937:L1967" si="830">AVERAGE(J1937:K1937)</f>
        <v>0.17499999999999999</v>
      </c>
      <c r="M1937">
        <f t="shared" ref="M1937:M1967" si="831">_xlfn.STDEV.P(J1937:K1937)</f>
        <v>3.5000000000000003E-2</v>
      </c>
      <c r="N1937">
        <f t="shared" si="821"/>
        <v>6.9999999999999979E-2</v>
      </c>
      <c r="O1937">
        <f t="shared" ref="O1937:O1967" si="832">E1937</f>
        <v>0.19</v>
      </c>
      <c r="P1937">
        <f t="shared" ref="P1937:P1967" si="833">(O1937-L1937)/M1937</f>
        <v>0.42857142857142894</v>
      </c>
      <c r="Q1937" t="str">
        <f t="shared" si="822"/>
        <v>10.53% | 26.32%</v>
      </c>
      <c r="R1937" t="str">
        <f t="shared" ref="R1937:R1967" si="834">MID(B1937,FIND("(",B1937,1)+1,FIND(")",B1937,1)-FIND("(",B1937,1)-1)</f>
        <v>BEARISH</v>
      </c>
      <c r="S1937">
        <f t="shared" si="823"/>
        <v>-1</v>
      </c>
    </row>
    <row r="1938" spans="1:19" hidden="1" x14ac:dyDescent="0.25">
      <c r="A1938" s="5" t="str">
        <f t="shared" si="820"/>
        <v>43979SPX</v>
      </c>
      <c r="B1938" s="6" t="s">
        <v>6</v>
      </c>
      <c r="C1938" s="6">
        <v>2824</v>
      </c>
      <c r="D1938" s="6">
        <v>3055</v>
      </c>
      <c r="E1938" s="6">
        <v>3036</v>
      </c>
      <c r="F1938" t="str">
        <f t="shared" si="824"/>
        <v>THU</v>
      </c>
      <c r="G1938" s="1">
        <f t="shared" si="825"/>
        <v>43979</v>
      </c>
      <c r="H1938" s="2">
        <f t="shared" ca="1" si="826"/>
        <v>274</v>
      </c>
      <c r="I1938" t="str">
        <f t="shared" si="827"/>
        <v>SPX</v>
      </c>
      <c r="J1938">
        <f t="shared" si="828"/>
        <v>2824</v>
      </c>
      <c r="K1938">
        <f t="shared" si="829"/>
        <v>3055</v>
      </c>
      <c r="L1938">
        <f t="shared" si="830"/>
        <v>2939.5</v>
      </c>
      <c r="M1938">
        <f t="shared" si="831"/>
        <v>115.5</v>
      </c>
      <c r="N1938">
        <f t="shared" si="821"/>
        <v>231</v>
      </c>
      <c r="O1938">
        <f t="shared" si="832"/>
        <v>3036</v>
      </c>
      <c r="P1938">
        <f t="shared" si="833"/>
        <v>0.83549783549783552</v>
      </c>
      <c r="Q1938" t="str">
        <f t="shared" si="822"/>
        <v>6.98% | 0.63%</v>
      </c>
      <c r="R1938" t="str">
        <f t="shared" si="834"/>
        <v>BEARISH</v>
      </c>
      <c r="S1938">
        <f t="shared" si="823"/>
        <v>-1</v>
      </c>
    </row>
    <row r="1939" spans="1:19" hidden="1" x14ac:dyDescent="0.25">
      <c r="A1939" s="5" t="str">
        <f t="shared" si="820"/>
        <v>43979RUT</v>
      </c>
      <c r="B1939" s="6" t="s">
        <v>7</v>
      </c>
      <c r="C1939" s="6">
        <v>1215</v>
      </c>
      <c r="D1939" s="6">
        <v>1451</v>
      </c>
      <c r="E1939" s="6">
        <v>1436</v>
      </c>
      <c r="F1939" t="str">
        <f t="shared" si="824"/>
        <v>THU</v>
      </c>
      <c r="G1939" s="1">
        <f t="shared" si="825"/>
        <v>43979</v>
      </c>
      <c r="H1939" s="2">
        <f t="shared" ca="1" si="826"/>
        <v>274</v>
      </c>
      <c r="I1939" t="str">
        <f t="shared" si="827"/>
        <v>RUT</v>
      </c>
      <c r="J1939">
        <f t="shared" si="828"/>
        <v>1215</v>
      </c>
      <c r="K1939">
        <f t="shared" si="829"/>
        <v>1451</v>
      </c>
      <c r="L1939">
        <f t="shared" si="830"/>
        <v>1333</v>
      </c>
      <c r="M1939">
        <f t="shared" si="831"/>
        <v>118</v>
      </c>
      <c r="N1939">
        <f t="shared" si="821"/>
        <v>236</v>
      </c>
      <c r="O1939">
        <f t="shared" si="832"/>
        <v>1436</v>
      </c>
      <c r="P1939">
        <f t="shared" si="833"/>
        <v>0.8728813559322034</v>
      </c>
      <c r="Q1939" t="str">
        <f t="shared" si="822"/>
        <v>15.39% | 1.04%</v>
      </c>
      <c r="R1939" t="str">
        <f t="shared" si="834"/>
        <v>BEARISH</v>
      </c>
      <c r="S1939">
        <f t="shared" si="823"/>
        <v>-1</v>
      </c>
    </row>
    <row r="1940" spans="1:19" hidden="1" x14ac:dyDescent="0.25">
      <c r="A1940" s="5" t="str">
        <f t="shared" si="820"/>
        <v>43979COMPQ</v>
      </c>
      <c r="B1940" s="6" t="s">
        <v>8</v>
      </c>
      <c r="C1940" s="6">
        <v>8926</v>
      </c>
      <c r="D1940" s="6">
        <v>9541</v>
      </c>
      <c r="E1940" s="6">
        <v>9412</v>
      </c>
      <c r="F1940" t="str">
        <f t="shared" si="824"/>
        <v>THU</v>
      </c>
      <c r="G1940" s="1">
        <f t="shared" si="825"/>
        <v>43979</v>
      </c>
      <c r="H1940" s="2">
        <f t="shared" ca="1" si="826"/>
        <v>274</v>
      </c>
      <c r="I1940" t="str">
        <f t="shared" si="827"/>
        <v>COMPQ</v>
      </c>
      <c r="J1940">
        <f t="shared" si="828"/>
        <v>8926</v>
      </c>
      <c r="K1940">
        <f t="shared" si="829"/>
        <v>9541</v>
      </c>
      <c r="L1940">
        <f t="shared" si="830"/>
        <v>9233.5</v>
      </c>
      <c r="M1940">
        <f t="shared" si="831"/>
        <v>307.5</v>
      </c>
      <c r="N1940">
        <f t="shared" si="821"/>
        <v>615</v>
      </c>
      <c r="O1940">
        <f t="shared" si="832"/>
        <v>9412</v>
      </c>
      <c r="P1940">
        <f t="shared" si="833"/>
        <v>0.58048780487804874</v>
      </c>
      <c r="Q1940" t="str">
        <f t="shared" si="822"/>
        <v>5.16% | 1.37%</v>
      </c>
      <c r="R1940" t="str">
        <f t="shared" si="834"/>
        <v>BULLISH</v>
      </c>
      <c r="S1940">
        <f t="shared" si="823"/>
        <v>1</v>
      </c>
    </row>
    <row r="1941" spans="1:19" hidden="1" x14ac:dyDescent="0.25">
      <c r="A1941" s="5" t="str">
        <f t="shared" si="820"/>
        <v>43979XLV</v>
      </c>
      <c r="B1941" s="6" t="s">
        <v>9</v>
      </c>
      <c r="C1941" s="6">
        <v>98.7</v>
      </c>
      <c r="D1941" s="6">
        <v>101.38</v>
      </c>
      <c r="E1941" s="6">
        <v>100.47</v>
      </c>
      <c r="F1941" t="str">
        <f t="shared" si="824"/>
        <v>THU</v>
      </c>
      <c r="G1941" s="1">
        <f t="shared" si="825"/>
        <v>43979</v>
      </c>
      <c r="H1941" s="2">
        <f t="shared" ca="1" si="826"/>
        <v>274</v>
      </c>
      <c r="I1941" t="str">
        <f t="shared" si="827"/>
        <v>XLV</v>
      </c>
      <c r="J1941">
        <f t="shared" si="828"/>
        <v>98.7</v>
      </c>
      <c r="K1941">
        <f t="shared" si="829"/>
        <v>101.38</v>
      </c>
      <c r="L1941">
        <f t="shared" si="830"/>
        <v>100.03999999999999</v>
      </c>
      <c r="M1941">
        <f t="shared" si="831"/>
        <v>1.3399999999999963</v>
      </c>
      <c r="N1941">
        <f t="shared" si="821"/>
        <v>2.6799999999999926</v>
      </c>
      <c r="O1941">
        <f t="shared" si="832"/>
        <v>100.47</v>
      </c>
      <c r="P1941">
        <f t="shared" si="833"/>
        <v>0.32089552238806568</v>
      </c>
      <c r="Q1941" t="str">
        <f t="shared" si="822"/>
        <v>1.76% | 0.91%</v>
      </c>
      <c r="R1941" t="str">
        <f t="shared" si="834"/>
        <v>BULLISH</v>
      </c>
      <c r="S1941">
        <f t="shared" si="823"/>
        <v>1</v>
      </c>
    </row>
    <row r="1942" spans="1:19" hidden="1" x14ac:dyDescent="0.25">
      <c r="A1942" s="5" t="str">
        <f t="shared" si="820"/>
        <v>43979XLK</v>
      </c>
      <c r="B1942" s="6" t="s">
        <v>10</v>
      </c>
      <c r="C1942" s="6">
        <v>92.55</v>
      </c>
      <c r="D1942" s="6">
        <v>98.55</v>
      </c>
      <c r="E1942" s="6">
        <v>96.94</v>
      </c>
      <c r="F1942" t="str">
        <f t="shared" si="824"/>
        <v>THU</v>
      </c>
      <c r="G1942" s="1">
        <f t="shared" si="825"/>
        <v>43979</v>
      </c>
      <c r="H1942" s="2">
        <f t="shared" ca="1" si="826"/>
        <v>274</v>
      </c>
      <c r="I1942" t="str">
        <f t="shared" si="827"/>
        <v>XLK</v>
      </c>
      <c r="J1942">
        <f t="shared" si="828"/>
        <v>92.55</v>
      </c>
      <c r="K1942">
        <f t="shared" si="829"/>
        <v>98.55</v>
      </c>
      <c r="L1942">
        <f t="shared" si="830"/>
        <v>95.55</v>
      </c>
      <c r="M1942">
        <f t="shared" si="831"/>
        <v>3</v>
      </c>
      <c r="N1942">
        <f t="shared" si="821"/>
        <v>6</v>
      </c>
      <c r="O1942">
        <f t="shared" si="832"/>
        <v>96.94</v>
      </c>
      <c r="P1942">
        <f t="shared" si="833"/>
        <v>0.46333333333333354</v>
      </c>
      <c r="Q1942" t="str">
        <f t="shared" si="822"/>
        <v>4.53% | 1.66%</v>
      </c>
      <c r="R1942" t="str">
        <f t="shared" si="834"/>
        <v>BULLISH</v>
      </c>
      <c r="S1942">
        <f t="shared" si="823"/>
        <v>1</v>
      </c>
    </row>
    <row r="1943" spans="1:19" hidden="1" x14ac:dyDescent="0.25">
      <c r="A1943" s="5" t="str">
        <f t="shared" si="820"/>
        <v>43979XLP</v>
      </c>
      <c r="B1943" s="6" t="s">
        <v>50</v>
      </c>
      <c r="C1943" s="6">
        <v>56.5</v>
      </c>
      <c r="D1943" s="6">
        <v>58.91</v>
      </c>
      <c r="E1943" s="6">
        <v>58.65</v>
      </c>
      <c r="F1943" t="str">
        <f t="shared" si="824"/>
        <v>THU</v>
      </c>
      <c r="G1943" s="1">
        <f t="shared" si="825"/>
        <v>43979</v>
      </c>
      <c r="H1943" s="2">
        <f t="shared" ca="1" si="826"/>
        <v>274</v>
      </c>
      <c r="I1943" t="str">
        <f t="shared" si="827"/>
        <v>XLP</v>
      </c>
      <c r="J1943">
        <f t="shared" si="828"/>
        <v>56.5</v>
      </c>
      <c r="K1943">
        <f t="shared" si="829"/>
        <v>58.91</v>
      </c>
      <c r="L1943">
        <f t="shared" si="830"/>
        <v>57.704999999999998</v>
      </c>
      <c r="M1943">
        <f t="shared" si="831"/>
        <v>1.2049999999999983</v>
      </c>
      <c r="N1943">
        <f t="shared" si="821"/>
        <v>2.4099999999999966</v>
      </c>
      <c r="O1943">
        <f t="shared" si="832"/>
        <v>58.65</v>
      </c>
      <c r="P1943">
        <f t="shared" si="833"/>
        <v>0.78423236514522954</v>
      </c>
      <c r="Q1943" t="str">
        <f t="shared" si="822"/>
        <v>3.67% | 0.44%</v>
      </c>
      <c r="R1943" t="str">
        <f t="shared" si="834"/>
        <v>NEUTRAL</v>
      </c>
      <c r="S1943">
        <f t="shared" si="823"/>
        <v>0</v>
      </c>
    </row>
    <row r="1944" spans="1:19" hidden="1" x14ac:dyDescent="0.25">
      <c r="A1944" s="5" t="str">
        <f t="shared" si="820"/>
        <v>43979XLF</v>
      </c>
      <c r="B1944" s="6" t="s">
        <v>12</v>
      </c>
      <c r="C1944" s="6">
        <v>20.260000000000002</v>
      </c>
      <c r="D1944" s="6">
        <v>24.76</v>
      </c>
      <c r="E1944" s="6">
        <v>24.06</v>
      </c>
      <c r="F1944" t="str">
        <f t="shared" si="824"/>
        <v>THU</v>
      </c>
      <c r="G1944" s="1">
        <f t="shared" si="825"/>
        <v>43979</v>
      </c>
      <c r="H1944" s="2">
        <f t="shared" ca="1" si="826"/>
        <v>274</v>
      </c>
      <c r="I1944" t="str">
        <f t="shared" si="827"/>
        <v>XLF</v>
      </c>
      <c r="J1944">
        <f t="shared" si="828"/>
        <v>20.260000000000002</v>
      </c>
      <c r="K1944">
        <f t="shared" si="829"/>
        <v>24.76</v>
      </c>
      <c r="L1944">
        <f t="shared" si="830"/>
        <v>22.51</v>
      </c>
      <c r="M1944">
        <f t="shared" si="831"/>
        <v>2.25</v>
      </c>
      <c r="N1944">
        <f t="shared" si="821"/>
        <v>4.5</v>
      </c>
      <c r="O1944">
        <f t="shared" si="832"/>
        <v>24.06</v>
      </c>
      <c r="P1944">
        <f t="shared" si="833"/>
        <v>0.68888888888888766</v>
      </c>
      <c r="Q1944" t="str">
        <f t="shared" si="822"/>
        <v>15.79% | 2.91%</v>
      </c>
      <c r="R1944" t="str">
        <f t="shared" si="834"/>
        <v>BEARISH</v>
      </c>
      <c r="S1944">
        <f t="shared" si="823"/>
        <v>-1</v>
      </c>
    </row>
    <row r="1945" spans="1:19" hidden="1" x14ac:dyDescent="0.25">
      <c r="A1945" s="5" t="str">
        <f t="shared" si="820"/>
        <v>43979XLI</v>
      </c>
      <c r="B1945" s="6" t="s">
        <v>13</v>
      </c>
      <c r="C1945" s="6">
        <v>57.9</v>
      </c>
      <c r="D1945" s="6">
        <v>69.16</v>
      </c>
      <c r="E1945" s="6">
        <v>68.739999999999995</v>
      </c>
      <c r="F1945" t="str">
        <f t="shared" si="824"/>
        <v>THU</v>
      </c>
      <c r="G1945" s="1">
        <f t="shared" si="825"/>
        <v>43979</v>
      </c>
      <c r="H1945" s="2">
        <f t="shared" ca="1" si="826"/>
        <v>274</v>
      </c>
      <c r="I1945" t="str">
        <f t="shared" si="827"/>
        <v>XLI</v>
      </c>
      <c r="J1945">
        <f t="shared" si="828"/>
        <v>57.9</v>
      </c>
      <c r="K1945">
        <f t="shared" si="829"/>
        <v>69.16</v>
      </c>
      <c r="L1945">
        <f t="shared" si="830"/>
        <v>63.53</v>
      </c>
      <c r="M1945">
        <f t="shared" si="831"/>
        <v>5.629999999999999</v>
      </c>
      <c r="N1945">
        <f t="shared" si="821"/>
        <v>11.259999999999998</v>
      </c>
      <c r="O1945">
        <v>68.8</v>
      </c>
      <c r="P1945">
        <f t="shared" si="833"/>
        <v>0.93605683836589648</v>
      </c>
      <c r="Q1945" t="str">
        <f t="shared" si="822"/>
        <v>15.84% | 0.52%</v>
      </c>
      <c r="R1945" t="str">
        <f t="shared" si="834"/>
        <v>BEARISH</v>
      </c>
      <c r="S1945">
        <f t="shared" si="823"/>
        <v>-1</v>
      </c>
    </row>
    <row r="1946" spans="1:19" hidden="1" x14ac:dyDescent="0.25">
      <c r="A1946" s="5" t="str">
        <f t="shared" si="820"/>
        <v>43979SSEC</v>
      </c>
      <c r="B1946" s="6" t="s">
        <v>14</v>
      </c>
      <c r="C1946" s="6">
        <v>2800</v>
      </c>
      <c r="D1946" s="6">
        <v>2872</v>
      </c>
      <c r="E1946" s="6">
        <v>2846</v>
      </c>
      <c r="F1946" t="str">
        <f t="shared" si="824"/>
        <v>THU</v>
      </c>
      <c r="G1946" s="1">
        <f t="shared" si="825"/>
        <v>43979</v>
      </c>
      <c r="H1946" s="2">
        <f t="shared" ca="1" si="826"/>
        <v>274</v>
      </c>
      <c r="I1946" t="str">
        <f t="shared" si="827"/>
        <v>SSEC</v>
      </c>
      <c r="J1946">
        <f t="shared" si="828"/>
        <v>2800</v>
      </c>
      <c r="K1946">
        <f t="shared" si="829"/>
        <v>2872</v>
      </c>
      <c r="L1946">
        <f t="shared" si="830"/>
        <v>2836</v>
      </c>
      <c r="M1946">
        <f t="shared" si="831"/>
        <v>36</v>
      </c>
      <c r="N1946">
        <f t="shared" si="821"/>
        <v>72</v>
      </c>
      <c r="O1946">
        <f t="shared" si="832"/>
        <v>2846</v>
      </c>
      <c r="P1946">
        <f t="shared" si="833"/>
        <v>0.27777777777777779</v>
      </c>
      <c r="Q1946" t="str">
        <f t="shared" si="822"/>
        <v>1.62% | 0.91%</v>
      </c>
      <c r="R1946" t="str">
        <f t="shared" si="834"/>
        <v>BEARISH</v>
      </c>
      <c r="S1946">
        <f t="shared" si="823"/>
        <v>-1</v>
      </c>
    </row>
    <row r="1947" spans="1:19" hidden="1" x14ac:dyDescent="0.25">
      <c r="A1947" s="5" t="str">
        <f t="shared" si="820"/>
        <v>43979NIKK</v>
      </c>
      <c r="B1947" s="6" t="s">
        <v>90</v>
      </c>
      <c r="C1947" s="6">
        <v>20187</v>
      </c>
      <c r="D1947" s="6">
        <v>21998</v>
      </c>
      <c r="E1947" s="6">
        <v>21916</v>
      </c>
      <c r="F1947" t="str">
        <f t="shared" si="824"/>
        <v>THU</v>
      </c>
      <c r="G1947" s="1">
        <f t="shared" si="825"/>
        <v>43979</v>
      </c>
      <c r="H1947" s="2">
        <f t="shared" ca="1" si="826"/>
        <v>274</v>
      </c>
      <c r="I1947" t="str">
        <f t="shared" si="827"/>
        <v>NIKK</v>
      </c>
      <c r="J1947">
        <f t="shared" si="828"/>
        <v>20187</v>
      </c>
      <c r="K1947">
        <f t="shared" si="829"/>
        <v>21998</v>
      </c>
      <c r="L1947">
        <f t="shared" si="830"/>
        <v>21092.5</v>
      </c>
      <c r="M1947">
        <f t="shared" si="831"/>
        <v>905.5</v>
      </c>
      <c r="N1947">
        <f t="shared" si="821"/>
        <v>1811</v>
      </c>
      <c r="O1947">
        <f t="shared" si="832"/>
        <v>21916</v>
      </c>
      <c r="P1947">
        <f t="shared" si="833"/>
        <v>0.90944229707344004</v>
      </c>
      <c r="Q1947" t="str">
        <f t="shared" si="822"/>
        <v>7.89% | 0.37%</v>
      </c>
      <c r="R1947" t="str">
        <f t="shared" si="834"/>
        <v>NEUTRAL</v>
      </c>
      <c r="S1947">
        <f t="shared" si="823"/>
        <v>0</v>
      </c>
    </row>
    <row r="1948" spans="1:19" hidden="1" x14ac:dyDescent="0.25">
      <c r="A1948" s="5" t="str">
        <f t="shared" si="820"/>
        <v>43979DAX</v>
      </c>
      <c r="B1948" s="6" t="s">
        <v>16</v>
      </c>
      <c r="C1948" s="6">
        <v>10416</v>
      </c>
      <c r="D1948" s="6">
        <v>11821</v>
      </c>
      <c r="E1948" s="6">
        <v>11652</v>
      </c>
      <c r="F1948" t="str">
        <f t="shared" si="824"/>
        <v>THU</v>
      </c>
      <c r="G1948" s="1">
        <f t="shared" si="825"/>
        <v>43979</v>
      </c>
      <c r="H1948" s="2">
        <f t="shared" ca="1" si="826"/>
        <v>274</v>
      </c>
      <c r="I1948" t="str">
        <f t="shared" si="827"/>
        <v>DAX</v>
      </c>
      <c r="J1948">
        <f t="shared" si="828"/>
        <v>10416</v>
      </c>
      <c r="K1948">
        <f t="shared" si="829"/>
        <v>11821</v>
      </c>
      <c r="L1948">
        <f t="shared" si="830"/>
        <v>11118.5</v>
      </c>
      <c r="M1948">
        <f t="shared" si="831"/>
        <v>702.5</v>
      </c>
      <c r="N1948">
        <f t="shared" si="821"/>
        <v>1405</v>
      </c>
      <c r="O1948">
        <v>11745</v>
      </c>
      <c r="P1948">
        <f t="shared" si="833"/>
        <v>0.89181494661921712</v>
      </c>
      <c r="Q1948" t="str">
        <f t="shared" si="822"/>
        <v>11.32% | 0.65%</v>
      </c>
      <c r="R1948" t="str">
        <f t="shared" si="834"/>
        <v>BEARISH</v>
      </c>
      <c r="S1948">
        <f t="shared" si="823"/>
        <v>-1</v>
      </c>
    </row>
    <row r="1949" spans="1:19" hidden="1" x14ac:dyDescent="0.25">
      <c r="A1949" s="5" t="str">
        <f t="shared" si="820"/>
        <v>43979VIX</v>
      </c>
      <c r="B1949" s="6" t="s">
        <v>17</v>
      </c>
      <c r="C1949" s="6">
        <v>26.01</v>
      </c>
      <c r="D1949" s="6">
        <v>35.75</v>
      </c>
      <c r="E1949" s="6">
        <v>27.62</v>
      </c>
      <c r="F1949" t="str">
        <f t="shared" si="824"/>
        <v>THU</v>
      </c>
      <c r="G1949" s="1">
        <f t="shared" si="825"/>
        <v>43979</v>
      </c>
      <c r="H1949" s="2">
        <f t="shared" ca="1" si="826"/>
        <v>274</v>
      </c>
      <c r="I1949" t="str">
        <f t="shared" si="827"/>
        <v>VIX</v>
      </c>
      <c r="J1949">
        <f t="shared" si="828"/>
        <v>26.01</v>
      </c>
      <c r="K1949">
        <f t="shared" si="829"/>
        <v>35.75</v>
      </c>
      <c r="L1949">
        <f t="shared" si="830"/>
        <v>30.880000000000003</v>
      </c>
      <c r="M1949">
        <f t="shared" si="831"/>
        <v>4.8699999999999894</v>
      </c>
      <c r="N1949">
        <f t="shared" si="821"/>
        <v>9.7399999999999984</v>
      </c>
      <c r="O1949">
        <f t="shared" si="832"/>
        <v>27.62</v>
      </c>
      <c r="P1949">
        <f t="shared" si="833"/>
        <v>-0.66940451745380058</v>
      </c>
      <c r="Q1949" t="str">
        <f t="shared" si="822"/>
        <v>5.83% | 29.44%</v>
      </c>
      <c r="R1949" t="str">
        <f t="shared" si="834"/>
        <v>BULLISH</v>
      </c>
      <c r="S1949">
        <f t="shared" si="823"/>
        <v>1</v>
      </c>
    </row>
    <row r="1950" spans="1:19" hidden="1" x14ac:dyDescent="0.25">
      <c r="A1950" s="5" t="str">
        <f t="shared" si="820"/>
        <v>43979USD</v>
      </c>
      <c r="B1950" s="6" t="s">
        <v>18</v>
      </c>
      <c r="C1950" s="6">
        <v>98.5</v>
      </c>
      <c r="D1950" s="6">
        <v>100.8</v>
      </c>
      <c r="E1950" s="6">
        <v>99.06</v>
      </c>
      <c r="F1950" t="str">
        <f t="shared" si="824"/>
        <v>THU</v>
      </c>
      <c r="G1950" s="1">
        <f t="shared" si="825"/>
        <v>43979</v>
      </c>
      <c r="H1950" s="2">
        <f t="shared" ca="1" si="826"/>
        <v>274</v>
      </c>
      <c r="I1950" t="str">
        <f t="shared" si="827"/>
        <v>USD</v>
      </c>
      <c r="J1950">
        <f t="shared" si="828"/>
        <v>98.5</v>
      </c>
      <c r="K1950">
        <f t="shared" si="829"/>
        <v>100.8</v>
      </c>
      <c r="L1950">
        <f t="shared" si="830"/>
        <v>99.65</v>
      </c>
      <c r="M1950">
        <f t="shared" si="831"/>
        <v>1.1499999999999986</v>
      </c>
      <c r="N1950">
        <f t="shared" si="821"/>
        <v>2.2999999999999972</v>
      </c>
      <c r="O1950">
        <f t="shared" si="832"/>
        <v>99.06</v>
      </c>
      <c r="P1950">
        <f t="shared" si="833"/>
        <v>-0.51304347826087315</v>
      </c>
      <c r="Q1950" t="str">
        <f t="shared" si="822"/>
        <v>0.57% | 1.76%</v>
      </c>
      <c r="R1950" t="str">
        <f t="shared" si="834"/>
        <v>BULLISH</v>
      </c>
      <c r="S1950">
        <f t="shared" si="823"/>
        <v>1</v>
      </c>
    </row>
    <row r="1951" spans="1:19" hidden="1" x14ac:dyDescent="0.25">
      <c r="A1951" s="5" t="str">
        <f t="shared" si="820"/>
        <v>43979EUR/USD</v>
      </c>
      <c r="B1951" s="6" t="s">
        <v>19</v>
      </c>
      <c r="C1951" s="6">
        <v>1.07</v>
      </c>
      <c r="D1951" s="6">
        <v>1.1000000000000001</v>
      </c>
      <c r="E1951" s="6">
        <v>1.1000000000000001</v>
      </c>
      <c r="F1951" t="str">
        <f t="shared" si="824"/>
        <v>THU</v>
      </c>
      <c r="G1951" s="1">
        <f t="shared" si="825"/>
        <v>43979</v>
      </c>
      <c r="H1951" s="2">
        <f t="shared" ca="1" si="826"/>
        <v>274</v>
      </c>
      <c r="I1951" t="str">
        <f t="shared" si="827"/>
        <v>EUR/USD</v>
      </c>
      <c r="J1951">
        <f t="shared" si="828"/>
        <v>1.07</v>
      </c>
      <c r="K1951">
        <f t="shared" si="829"/>
        <v>1.1000000000000001</v>
      </c>
      <c r="L1951">
        <f t="shared" si="830"/>
        <v>1.085</v>
      </c>
      <c r="M1951">
        <f t="shared" si="831"/>
        <v>1.5000000000000013E-2</v>
      </c>
      <c r="N1951">
        <f t="shared" si="821"/>
        <v>3.0000000000000027E-2</v>
      </c>
      <c r="O1951">
        <f t="shared" si="832"/>
        <v>1.1000000000000001</v>
      </c>
      <c r="P1951">
        <f t="shared" si="833"/>
        <v>1.0000000000000073</v>
      </c>
      <c r="Q1951" t="str">
        <f t="shared" si="822"/>
        <v>2.73% | 0%</v>
      </c>
      <c r="R1951" t="str">
        <f t="shared" si="834"/>
        <v>BEARISH</v>
      </c>
      <c r="S1951">
        <f t="shared" si="823"/>
        <v>-1</v>
      </c>
    </row>
    <row r="1952" spans="1:19" hidden="1" x14ac:dyDescent="0.25">
      <c r="A1952" s="5" t="str">
        <f t="shared" si="820"/>
        <v>43979USD/JPY</v>
      </c>
      <c r="B1952" s="6" t="s">
        <v>20</v>
      </c>
      <c r="C1952" s="6">
        <v>106.6</v>
      </c>
      <c r="D1952" s="6">
        <v>108.13</v>
      </c>
      <c r="E1952" s="6">
        <v>107.81</v>
      </c>
      <c r="F1952" t="str">
        <f t="shared" si="824"/>
        <v>THU</v>
      </c>
      <c r="G1952" s="1">
        <f t="shared" si="825"/>
        <v>43979</v>
      </c>
      <c r="H1952" s="2">
        <f t="shared" ca="1" si="826"/>
        <v>274</v>
      </c>
      <c r="I1952" t="str">
        <f t="shared" si="827"/>
        <v>USD/JPY</v>
      </c>
      <c r="J1952">
        <f t="shared" si="828"/>
        <v>106.6</v>
      </c>
      <c r="K1952">
        <f t="shared" si="829"/>
        <v>108.13</v>
      </c>
      <c r="L1952">
        <f t="shared" si="830"/>
        <v>107.36499999999999</v>
      </c>
      <c r="M1952">
        <f t="shared" si="831"/>
        <v>0.76500000000000057</v>
      </c>
      <c r="N1952">
        <f t="shared" si="821"/>
        <v>1.5300000000000011</v>
      </c>
      <c r="O1952">
        <f t="shared" si="832"/>
        <v>107.81</v>
      </c>
      <c r="P1952">
        <f t="shared" si="833"/>
        <v>0.58169934640523802</v>
      </c>
      <c r="Q1952" t="str">
        <f t="shared" si="822"/>
        <v>1.12% | 0.3%</v>
      </c>
      <c r="R1952" t="str">
        <f t="shared" si="834"/>
        <v>BEARISH</v>
      </c>
      <c r="S1952">
        <f t="shared" si="823"/>
        <v>-1</v>
      </c>
    </row>
    <row r="1953" spans="1:19" hidden="1" x14ac:dyDescent="0.25">
      <c r="A1953" s="5" t="str">
        <f t="shared" si="820"/>
        <v>43979GBP/USD</v>
      </c>
      <c r="B1953" s="6" t="s">
        <v>21</v>
      </c>
      <c r="C1953" s="6">
        <v>1.21</v>
      </c>
      <c r="D1953" s="6">
        <v>1.23</v>
      </c>
      <c r="E1953" s="6">
        <v>1.23</v>
      </c>
      <c r="F1953" t="str">
        <f t="shared" si="824"/>
        <v>THU</v>
      </c>
      <c r="G1953" s="1">
        <f t="shared" si="825"/>
        <v>43979</v>
      </c>
      <c r="H1953" s="2">
        <f t="shared" ca="1" si="826"/>
        <v>274</v>
      </c>
      <c r="I1953" t="str">
        <f t="shared" si="827"/>
        <v>GBP/USD</v>
      </c>
      <c r="J1953">
        <f t="shared" si="828"/>
        <v>1.21</v>
      </c>
      <c r="K1953">
        <f t="shared" si="829"/>
        <v>1.23</v>
      </c>
      <c r="L1953">
        <f t="shared" si="830"/>
        <v>1.22</v>
      </c>
      <c r="M1953">
        <f t="shared" si="831"/>
        <v>1.0000000000000009E-2</v>
      </c>
      <c r="N1953">
        <f t="shared" si="821"/>
        <v>2.0000000000000018E-2</v>
      </c>
      <c r="O1953">
        <f t="shared" si="832"/>
        <v>1.23</v>
      </c>
      <c r="P1953">
        <f t="shared" si="833"/>
        <v>1</v>
      </c>
      <c r="Q1953" t="str">
        <f t="shared" si="822"/>
        <v>1.63% | 0%</v>
      </c>
      <c r="R1953" t="str">
        <f t="shared" si="834"/>
        <v>BEARISH</v>
      </c>
      <c r="S1953">
        <f t="shared" si="823"/>
        <v>-1</v>
      </c>
    </row>
    <row r="1954" spans="1:19" hidden="1" x14ac:dyDescent="0.25">
      <c r="A1954" s="5" t="str">
        <f t="shared" si="820"/>
        <v>43979USD/CHF</v>
      </c>
      <c r="B1954" s="6" t="s">
        <v>22</v>
      </c>
      <c r="C1954" s="6">
        <v>0.96</v>
      </c>
      <c r="D1954" s="6">
        <v>0.98</v>
      </c>
      <c r="E1954" s="6">
        <v>0.96</v>
      </c>
      <c r="F1954" t="str">
        <f t="shared" si="824"/>
        <v>THU</v>
      </c>
      <c r="G1954" s="1">
        <f t="shared" si="825"/>
        <v>43979</v>
      </c>
      <c r="H1954" s="2">
        <f t="shared" ca="1" si="826"/>
        <v>274</v>
      </c>
      <c r="I1954" t="str">
        <f t="shared" si="827"/>
        <v>USD/CHF</v>
      </c>
      <c r="J1954">
        <f t="shared" si="828"/>
        <v>0.96</v>
      </c>
      <c r="K1954">
        <f t="shared" si="829"/>
        <v>0.98</v>
      </c>
      <c r="L1954">
        <f t="shared" si="830"/>
        <v>0.97</v>
      </c>
      <c r="M1954">
        <f t="shared" si="831"/>
        <v>1.0000000000000009E-2</v>
      </c>
      <c r="N1954">
        <f t="shared" si="821"/>
        <v>2.0000000000000018E-2</v>
      </c>
      <c r="O1954">
        <f t="shared" si="832"/>
        <v>0.96</v>
      </c>
      <c r="P1954">
        <f t="shared" si="833"/>
        <v>-1</v>
      </c>
      <c r="Q1954" t="str">
        <f t="shared" si="822"/>
        <v>0% | 2.08%</v>
      </c>
      <c r="R1954" t="str">
        <f t="shared" si="834"/>
        <v>NEUTRAL</v>
      </c>
      <c r="S1954">
        <f t="shared" si="823"/>
        <v>0</v>
      </c>
    </row>
    <row r="1955" spans="1:19" hidden="1" x14ac:dyDescent="0.25">
      <c r="A1955" s="5" t="str">
        <f t="shared" si="820"/>
        <v>43979WTIC</v>
      </c>
      <c r="B1955" s="6" t="s">
        <v>23</v>
      </c>
      <c r="C1955" s="6">
        <v>27.38</v>
      </c>
      <c r="D1955" s="6">
        <v>36.04</v>
      </c>
      <c r="E1955" s="6">
        <v>32.81</v>
      </c>
      <c r="F1955" t="str">
        <f t="shared" si="824"/>
        <v>THU</v>
      </c>
      <c r="G1955" s="1">
        <f t="shared" si="825"/>
        <v>43979</v>
      </c>
      <c r="H1955" s="2">
        <f t="shared" ca="1" si="826"/>
        <v>274</v>
      </c>
      <c r="I1955" t="str">
        <f t="shared" si="827"/>
        <v>WTIC</v>
      </c>
      <c r="J1955">
        <f t="shared" si="828"/>
        <v>27.38</v>
      </c>
      <c r="K1955">
        <f t="shared" si="829"/>
        <v>36.04</v>
      </c>
      <c r="L1955">
        <f t="shared" si="830"/>
        <v>31.71</v>
      </c>
      <c r="M1955">
        <f t="shared" si="831"/>
        <v>4.3299999999999796</v>
      </c>
      <c r="N1955">
        <f t="shared" si="821"/>
        <v>8.66</v>
      </c>
      <c r="O1955">
        <f t="shared" si="832"/>
        <v>32.81</v>
      </c>
      <c r="P1955">
        <f t="shared" si="833"/>
        <v>0.2540415704388006</v>
      </c>
      <c r="Q1955" t="str">
        <f t="shared" si="822"/>
        <v>16.55% | 9.84%</v>
      </c>
      <c r="R1955" t="str">
        <f t="shared" si="834"/>
        <v>BEARISH</v>
      </c>
      <c r="S1955">
        <f t="shared" si="823"/>
        <v>-1</v>
      </c>
    </row>
    <row r="1956" spans="1:19" hidden="1" x14ac:dyDescent="0.25">
      <c r="A1956" s="5" t="str">
        <f t="shared" si="820"/>
        <v>43979NATGAS</v>
      </c>
      <c r="B1956" s="6" t="s">
        <v>24</v>
      </c>
      <c r="C1956" s="6">
        <v>1.57</v>
      </c>
      <c r="D1956" s="6">
        <v>2.0299999999999998</v>
      </c>
      <c r="E1956" s="6">
        <v>1.89</v>
      </c>
      <c r="F1956" t="str">
        <f t="shared" si="824"/>
        <v>THU</v>
      </c>
      <c r="G1956" s="1">
        <f t="shared" si="825"/>
        <v>43979</v>
      </c>
      <c r="H1956" s="2">
        <f t="shared" ca="1" si="826"/>
        <v>274</v>
      </c>
      <c r="I1956" t="str">
        <f t="shared" si="827"/>
        <v>NATGAS</v>
      </c>
      <c r="J1956">
        <f t="shared" si="828"/>
        <v>1.57</v>
      </c>
      <c r="K1956">
        <f t="shared" si="829"/>
        <v>2.0299999999999998</v>
      </c>
      <c r="L1956">
        <f t="shared" si="830"/>
        <v>1.7999999999999998</v>
      </c>
      <c r="M1956">
        <f t="shared" si="831"/>
        <v>0.23000000000000037</v>
      </c>
      <c r="N1956">
        <f t="shared" si="821"/>
        <v>0.45999999999999974</v>
      </c>
      <c r="O1956">
        <f t="shared" si="832"/>
        <v>1.89</v>
      </c>
      <c r="P1956">
        <f t="shared" si="833"/>
        <v>0.3913043478260867</v>
      </c>
      <c r="Q1956" t="str">
        <f t="shared" si="822"/>
        <v>16.93% | 7.41%</v>
      </c>
      <c r="R1956" t="str">
        <f t="shared" si="834"/>
        <v>BEARISH</v>
      </c>
      <c r="S1956">
        <f t="shared" si="823"/>
        <v>-1</v>
      </c>
    </row>
    <row r="1957" spans="1:19" hidden="1" x14ac:dyDescent="0.25">
      <c r="A1957" s="5" t="str">
        <f t="shared" si="820"/>
        <v>43979GOLD</v>
      </c>
      <c r="B1957" s="6" t="s">
        <v>25</v>
      </c>
      <c r="C1957" s="6">
        <v>1704</v>
      </c>
      <c r="D1957" s="6">
        <v>1770</v>
      </c>
      <c r="E1957" s="6">
        <v>1726</v>
      </c>
      <c r="F1957" t="str">
        <f t="shared" si="824"/>
        <v>THU</v>
      </c>
      <c r="G1957" s="1">
        <f t="shared" si="825"/>
        <v>43979</v>
      </c>
      <c r="H1957" s="2">
        <f t="shared" ca="1" si="826"/>
        <v>274</v>
      </c>
      <c r="I1957" t="str">
        <f t="shared" si="827"/>
        <v>GOLD</v>
      </c>
      <c r="J1957">
        <f t="shared" si="828"/>
        <v>1704</v>
      </c>
      <c r="K1957">
        <f t="shared" si="829"/>
        <v>1770</v>
      </c>
      <c r="L1957">
        <f t="shared" si="830"/>
        <v>1737</v>
      </c>
      <c r="M1957">
        <f t="shared" si="831"/>
        <v>33</v>
      </c>
      <c r="N1957">
        <f t="shared" si="821"/>
        <v>66</v>
      </c>
      <c r="O1957">
        <f t="shared" si="832"/>
        <v>1726</v>
      </c>
      <c r="P1957">
        <f t="shared" si="833"/>
        <v>-0.33333333333333331</v>
      </c>
      <c r="Q1957" t="str">
        <f t="shared" si="822"/>
        <v>1.27% | 2.55%</v>
      </c>
      <c r="R1957" t="str">
        <f t="shared" si="834"/>
        <v>BULLISH</v>
      </c>
      <c r="S1957">
        <f t="shared" si="823"/>
        <v>1</v>
      </c>
    </row>
    <row r="1958" spans="1:19" hidden="1" x14ac:dyDescent="0.25">
      <c r="A1958" s="5" t="str">
        <f t="shared" si="820"/>
        <v>43979COPPER</v>
      </c>
      <c r="B1958" s="6" t="s">
        <v>26</v>
      </c>
      <c r="C1958" s="6">
        <v>2.2999999999999998</v>
      </c>
      <c r="D1958" s="6">
        <v>2.4500000000000002</v>
      </c>
      <c r="E1958" s="6">
        <v>2.38</v>
      </c>
      <c r="F1958" t="str">
        <f t="shared" si="824"/>
        <v>THU</v>
      </c>
      <c r="G1958" s="1">
        <f t="shared" si="825"/>
        <v>43979</v>
      </c>
      <c r="H1958" s="2">
        <f t="shared" ca="1" si="826"/>
        <v>274</v>
      </c>
      <c r="I1958" t="str">
        <f t="shared" si="827"/>
        <v>COPPER</v>
      </c>
      <c r="J1958">
        <f t="shared" si="828"/>
        <v>2.2999999999999998</v>
      </c>
      <c r="K1958">
        <f t="shared" si="829"/>
        <v>2.4500000000000002</v>
      </c>
      <c r="L1958">
        <f t="shared" si="830"/>
        <v>2.375</v>
      </c>
      <c r="M1958">
        <f t="shared" si="831"/>
        <v>7.5000000000000178E-2</v>
      </c>
      <c r="N1958">
        <f t="shared" si="821"/>
        <v>0.15000000000000036</v>
      </c>
      <c r="O1958">
        <f t="shared" si="832"/>
        <v>2.38</v>
      </c>
      <c r="P1958">
        <f t="shared" si="833"/>
        <v>6.6666666666665084E-2</v>
      </c>
      <c r="Q1958" t="str">
        <f t="shared" si="822"/>
        <v>3.36% | 2.94%</v>
      </c>
      <c r="R1958" t="str">
        <f t="shared" si="834"/>
        <v>BEARISH</v>
      </c>
      <c r="S1958">
        <f t="shared" si="823"/>
        <v>-1</v>
      </c>
    </row>
    <row r="1959" spans="1:19" hidden="1" x14ac:dyDescent="0.25">
      <c r="A1959" s="5" t="str">
        <f t="shared" si="820"/>
        <v>43979MSFT</v>
      </c>
      <c r="B1959" s="6" t="s">
        <v>27</v>
      </c>
      <c r="C1959" s="6">
        <v>178</v>
      </c>
      <c r="D1959" s="6">
        <v>186</v>
      </c>
      <c r="E1959" s="6">
        <v>181</v>
      </c>
      <c r="F1959" t="str">
        <f t="shared" si="824"/>
        <v>THU</v>
      </c>
      <c r="G1959" s="1">
        <f t="shared" si="825"/>
        <v>43979</v>
      </c>
      <c r="H1959" s="2">
        <f t="shared" ca="1" si="826"/>
        <v>274</v>
      </c>
      <c r="I1959" t="str">
        <f t="shared" si="827"/>
        <v>MSFT</v>
      </c>
      <c r="J1959">
        <f t="shared" si="828"/>
        <v>178</v>
      </c>
      <c r="K1959">
        <f t="shared" si="829"/>
        <v>186</v>
      </c>
      <c r="L1959">
        <f t="shared" si="830"/>
        <v>182</v>
      </c>
      <c r="M1959">
        <f t="shared" si="831"/>
        <v>4</v>
      </c>
      <c r="N1959">
        <f t="shared" si="821"/>
        <v>8</v>
      </c>
      <c r="O1959">
        <f t="shared" si="832"/>
        <v>181</v>
      </c>
      <c r="P1959">
        <f t="shared" si="833"/>
        <v>-0.25</v>
      </c>
      <c r="Q1959" t="str">
        <f t="shared" si="822"/>
        <v>1.66% | 2.76%</v>
      </c>
      <c r="R1959" t="str">
        <f t="shared" si="834"/>
        <v>BULLISH</v>
      </c>
      <c r="S1959">
        <f t="shared" si="823"/>
        <v>1</v>
      </c>
    </row>
    <row r="1960" spans="1:19" hidden="1" x14ac:dyDescent="0.25">
      <c r="A1960" s="5" t="str">
        <f t="shared" si="820"/>
        <v>43979AAPL</v>
      </c>
      <c r="B1960" s="6" t="s">
        <v>28</v>
      </c>
      <c r="C1960" s="6">
        <v>308</v>
      </c>
      <c r="D1960" s="6">
        <v>323</v>
      </c>
      <c r="E1960" s="6">
        <v>318</v>
      </c>
      <c r="F1960" t="str">
        <f t="shared" si="824"/>
        <v>THU</v>
      </c>
      <c r="G1960" s="1">
        <f t="shared" si="825"/>
        <v>43979</v>
      </c>
      <c r="H1960" s="2">
        <f t="shared" ca="1" si="826"/>
        <v>274</v>
      </c>
      <c r="I1960" t="str">
        <f t="shared" si="827"/>
        <v>AAPL</v>
      </c>
      <c r="J1960">
        <f t="shared" si="828"/>
        <v>308</v>
      </c>
      <c r="K1960">
        <f t="shared" si="829"/>
        <v>323</v>
      </c>
      <c r="L1960">
        <f t="shared" si="830"/>
        <v>315.5</v>
      </c>
      <c r="M1960">
        <f t="shared" si="831"/>
        <v>7.5</v>
      </c>
      <c r="N1960">
        <f t="shared" si="821"/>
        <v>15</v>
      </c>
      <c r="O1960">
        <f t="shared" si="832"/>
        <v>318</v>
      </c>
      <c r="P1960">
        <f t="shared" si="833"/>
        <v>0.33333333333333331</v>
      </c>
      <c r="Q1960" t="str">
        <f t="shared" si="822"/>
        <v>3.14% | 1.57%</v>
      </c>
      <c r="R1960" t="str">
        <f t="shared" si="834"/>
        <v>BULLISH</v>
      </c>
      <c r="S1960">
        <f t="shared" si="823"/>
        <v>1</v>
      </c>
    </row>
    <row r="1961" spans="1:19" hidden="1" x14ac:dyDescent="0.25">
      <c r="A1961" s="5" t="str">
        <f t="shared" si="820"/>
        <v>43979AMZN</v>
      </c>
      <c r="B1961" s="6" t="s">
        <v>29</v>
      </c>
      <c r="C1961" s="6">
        <v>2355</v>
      </c>
      <c r="D1961" s="6">
        <v>2492</v>
      </c>
      <c r="E1961" s="6">
        <v>2410</v>
      </c>
      <c r="F1961" t="str">
        <f t="shared" si="824"/>
        <v>THU</v>
      </c>
      <c r="G1961" s="1">
        <f t="shared" si="825"/>
        <v>43979</v>
      </c>
      <c r="H1961" s="2">
        <f t="shared" ca="1" si="826"/>
        <v>274</v>
      </c>
      <c r="I1961" t="str">
        <f t="shared" si="827"/>
        <v>AMZN</v>
      </c>
      <c r="J1961">
        <f t="shared" si="828"/>
        <v>2355</v>
      </c>
      <c r="K1961">
        <f t="shared" si="829"/>
        <v>2492</v>
      </c>
      <c r="L1961">
        <f t="shared" si="830"/>
        <v>2423.5</v>
      </c>
      <c r="M1961">
        <f t="shared" si="831"/>
        <v>68.5</v>
      </c>
      <c r="N1961">
        <f t="shared" si="821"/>
        <v>137</v>
      </c>
      <c r="O1961">
        <f t="shared" si="832"/>
        <v>2410</v>
      </c>
      <c r="P1961">
        <f t="shared" si="833"/>
        <v>-0.19708029197080293</v>
      </c>
      <c r="Q1961" t="str">
        <f t="shared" si="822"/>
        <v>2.28% | 3.4%</v>
      </c>
      <c r="R1961" t="str">
        <f t="shared" si="834"/>
        <v>BULLISH</v>
      </c>
      <c r="S1961">
        <f t="shared" si="823"/>
        <v>1</v>
      </c>
    </row>
    <row r="1962" spans="1:19" hidden="1" x14ac:dyDescent="0.25">
      <c r="A1962" s="5" t="str">
        <f t="shared" si="820"/>
        <v>43979FB</v>
      </c>
      <c r="B1962" s="6" t="s">
        <v>30</v>
      </c>
      <c r="C1962" s="6">
        <v>204</v>
      </c>
      <c r="D1962" s="6">
        <v>242</v>
      </c>
      <c r="E1962" s="6">
        <v>229</v>
      </c>
      <c r="F1962" t="str">
        <f t="shared" si="824"/>
        <v>THU</v>
      </c>
      <c r="G1962" s="1">
        <f t="shared" si="825"/>
        <v>43979</v>
      </c>
      <c r="H1962" s="2">
        <f t="shared" ca="1" si="826"/>
        <v>274</v>
      </c>
      <c r="I1962" t="str">
        <f t="shared" si="827"/>
        <v>FB</v>
      </c>
      <c r="J1962">
        <f t="shared" si="828"/>
        <v>204</v>
      </c>
      <c r="K1962">
        <f t="shared" si="829"/>
        <v>242</v>
      </c>
      <c r="L1962">
        <f t="shared" si="830"/>
        <v>223</v>
      </c>
      <c r="M1962">
        <f t="shared" si="831"/>
        <v>19</v>
      </c>
      <c r="N1962">
        <f t="shared" si="821"/>
        <v>38</v>
      </c>
      <c r="O1962">
        <f t="shared" si="832"/>
        <v>229</v>
      </c>
      <c r="P1962">
        <f t="shared" si="833"/>
        <v>0.31578947368421051</v>
      </c>
      <c r="Q1962" t="str">
        <f t="shared" si="822"/>
        <v>10.92% | 5.68%</v>
      </c>
      <c r="R1962" t="str">
        <f t="shared" si="834"/>
        <v>BULLISH</v>
      </c>
      <c r="S1962">
        <f t="shared" si="823"/>
        <v>1</v>
      </c>
    </row>
    <row r="1963" spans="1:19" hidden="1" x14ac:dyDescent="0.25">
      <c r="A1963" s="5" t="str">
        <f t="shared" si="820"/>
        <v>43979GOOGL</v>
      </c>
      <c r="B1963" s="6" t="s">
        <v>31</v>
      </c>
      <c r="C1963" s="6">
        <v>1348</v>
      </c>
      <c r="D1963" s="6">
        <v>1439</v>
      </c>
      <c r="E1963" s="6">
        <v>1420</v>
      </c>
      <c r="F1963" t="str">
        <f t="shared" si="824"/>
        <v>THU</v>
      </c>
      <c r="G1963" s="1">
        <f t="shared" si="825"/>
        <v>43979</v>
      </c>
      <c r="H1963" s="2">
        <f t="shared" ca="1" si="826"/>
        <v>274</v>
      </c>
      <c r="I1963" t="str">
        <f t="shared" si="827"/>
        <v>GOOGL</v>
      </c>
      <c r="J1963">
        <f t="shared" si="828"/>
        <v>1348</v>
      </c>
      <c r="K1963">
        <f t="shared" si="829"/>
        <v>1439</v>
      </c>
      <c r="L1963">
        <f t="shared" si="830"/>
        <v>1393.5</v>
      </c>
      <c r="M1963">
        <f t="shared" si="831"/>
        <v>45.5</v>
      </c>
      <c r="N1963">
        <f t="shared" si="821"/>
        <v>91</v>
      </c>
      <c r="O1963">
        <f t="shared" si="832"/>
        <v>1420</v>
      </c>
      <c r="P1963">
        <f t="shared" si="833"/>
        <v>0.58241758241758246</v>
      </c>
      <c r="Q1963" t="str">
        <f t="shared" si="822"/>
        <v>5.07% | 1.34%</v>
      </c>
      <c r="R1963" t="str">
        <f t="shared" si="834"/>
        <v>BULLISH</v>
      </c>
      <c r="S1963">
        <f t="shared" si="823"/>
        <v>1</v>
      </c>
    </row>
    <row r="1964" spans="1:19" hidden="1" x14ac:dyDescent="0.25">
      <c r="A1964" s="5" t="str">
        <f t="shared" si="820"/>
        <v>43979NFLX</v>
      </c>
      <c r="B1964" s="6" t="s">
        <v>32</v>
      </c>
      <c r="C1964" s="6">
        <v>408</v>
      </c>
      <c r="D1964" s="6">
        <v>441</v>
      </c>
      <c r="E1964" s="6">
        <v>419</v>
      </c>
      <c r="F1964" t="str">
        <f t="shared" si="824"/>
        <v>THU</v>
      </c>
      <c r="G1964" s="1">
        <f t="shared" si="825"/>
        <v>43979</v>
      </c>
      <c r="H1964" s="2">
        <f t="shared" ca="1" si="826"/>
        <v>274</v>
      </c>
      <c r="I1964" t="str">
        <f t="shared" si="827"/>
        <v>NFLX</v>
      </c>
      <c r="J1964">
        <f t="shared" si="828"/>
        <v>408</v>
      </c>
      <c r="K1964">
        <f t="shared" si="829"/>
        <v>441</v>
      </c>
      <c r="L1964">
        <f t="shared" si="830"/>
        <v>424.5</v>
      </c>
      <c r="M1964">
        <f t="shared" si="831"/>
        <v>16.5</v>
      </c>
      <c r="N1964">
        <f t="shared" si="821"/>
        <v>33</v>
      </c>
      <c r="O1964">
        <f t="shared" si="832"/>
        <v>419</v>
      </c>
      <c r="P1964">
        <f t="shared" si="833"/>
        <v>-0.33333333333333331</v>
      </c>
      <c r="Q1964" t="str">
        <f t="shared" si="822"/>
        <v>2.63% | 5.25%</v>
      </c>
      <c r="R1964" t="str">
        <f t="shared" si="834"/>
        <v>BULLISH</v>
      </c>
      <c r="S1964">
        <f t="shared" si="823"/>
        <v>1</v>
      </c>
    </row>
    <row r="1965" spans="1:19" x14ac:dyDescent="0.25">
      <c r="A1965" s="5" t="str">
        <f t="shared" si="820"/>
        <v>43979TSLA</v>
      </c>
      <c r="B1965" s="6" t="s">
        <v>33</v>
      </c>
      <c r="C1965" s="6">
        <v>787</v>
      </c>
      <c r="D1965" s="6">
        <v>832</v>
      </c>
      <c r="E1965" s="6">
        <v>820</v>
      </c>
      <c r="F1965" t="str">
        <f t="shared" si="824"/>
        <v>THU</v>
      </c>
      <c r="G1965" s="1">
        <f t="shared" si="825"/>
        <v>43979</v>
      </c>
      <c r="H1965" s="2">
        <f t="shared" ca="1" si="826"/>
        <v>274</v>
      </c>
      <c r="I1965" t="str">
        <f t="shared" si="827"/>
        <v>TSLA</v>
      </c>
      <c r="J1965">
        <f t="shared" si="828"/>
        <v>787</v>
      </c>
      <c r="K1965">
        <f t="shared" si="829"/>
        <v>832</v>
      </c>
      <c r="L1965">
        <f t="shared" si="830"/>
        <v>809.5</v>
      </c>
      <c r="M1965">
        <f t="shared" si="831"/>
        <v>22.5</v>
      </c>
      <c r="N1965">
        <f t="shared" si="821"/>
        <v>45</v>
      </c>
      <c r="O1965">
        <f t="shared" si="832"/>
        <v>820</v>
      </c>
      <c r="P1965">
        <f t="shared" si="833"/>
        <v>0.46666666666666667</v>
      </c>
      <c r="Q1965" t="str">
        <f t="shared" si="822"/>
        <v>4.02% | 1.46%</v>
      </c>
      <c r="R1965" t="str">
        <f t="shared" si="834"/>
        <v>BULLISH</v>
      </c>
      <c r="S1965">
        <f t="shared" si="823"/>
        <v>1</v>
      </c>
    </row>
    <row r="1966" spans="1:19" hidden="1" x14ac:dyDescent="0.25">
      <c r="A1966" s="5" t="str">
        <f t="shared" si="820"/>
        <v>43979NYXBT</v>
      </c>
      <c r="B1966" s="6" t="s">
        <v>34</v>
      </c>
      <c r="C1966" s="6">
        <v>8703</v>
      </c>
      <c r="D1966" s="6">
        <v>10094</v>
      </c>
      <c r="E1966" s="6">
        <v>9154</v>
      </c>
      <c r="F1966" t="str">
        <f t="shared" si="824"/>
        <v>THU</v>
      </c>
      <c r="G1966" s="1">
        <f t="shared" si="825"/>
        <v>43979</v>
      </c>
      <c r="H1966" s="2">
        <f t="shared" ca="1" si="826"/>
        <v>274</v>
      </c>
      <c r="I1966" t="str">
        <f t="shared" si="827"/>
        <v>NYXBT</v>
      </c>
      <c r="J1966">
        <f t="shared" si="828"/>
        <v>8703</v>
      </c>
      <c r="K1966">
        <f t="shared" si="829"/>
        <v>10094</v>
      </c>
      <c r="L1966">
        <f t="shared" si="830"/>
        <v>9398.5</v>
      </c>
      <c r="M1966">
        <f t="shared" si="831"/>
        <v>695.5</v>
      </c>
      <c r="N1966">
        <f t="shared" si="821"/>
        <v>1391</v>
      </c>
      <c r="O1966">
        <f t="shared" si="832"/>
        <v>9154</v>
      </c>
      <c r="P1966">
        <f t="shared" si="833"/>
        <v>-0.35154565061107118</v>
      </c>
      <c r="Q1966" t="str">
        <f t="shared" si="822"/>
        <v>4.93% | 10.27%</v>
      </c>
      <c r="R1966" t="str">
        <f t="shared" si="834"/>
        <v>BULLISH</v>
      </c>
      <c r="S1966">
        <f t="shared" si="823"/>
        <v>1</v>
      </c>
    </row>
    <row r="1967" spans="1:19" hidden="1" x14ac:dyDescent="0.25">
      <c r="A1967" s="5" t="str">
        <f t="shared" si="820"/>
        <v>43980UST10Y</v>
      </c>
      <c r="B1967" s="6" t="s">
        <v>4</v>
      </c>
      <c r="C1967" s="6">
        <v>0.73</v>
      </c>
      <c r="D1967" s="6">
        <v>0.61</v>
      </c>
      <c r="E1967" s="6">
        <v>0.7</v>
      </c>
      <c r="F1967" t="str">
        <f t="shared" si="824"/>
        <v>FRI</v>
      </c>
      <c r="G1967" s="3">
        <f>DATE(2020,5,29)</f>
        <v>43980</v>
      </c>
      <c r="H1967" s="2">
        <f t="shared" ca="1" si="826"/>
        <v>273</v>
      </c>
      <c r="I1967" t="str">
        <f t="shared" si="827"/>
        <v>UST10Y</v>
      </c>
      <c r="J1967">
        <f t="shared" si="828"/>
        <v>0.73</v>
      </c>
      <c r="K1967">
        <f t="shared" si="829"/>
        <v>0.61</v>
      </c>
      <c r="L1967">
        <f t="shared" si="830"/>
        <v>0.66999999999999993</v>
      </c>
      <c r="M1967">
        <f t="shared" si="831"/>
        <v>0.06</v>
      </c>
      <c r="N1967">
        <f t="shared" si="821"/>
        <v>0.12</v>
      </c>
      <c r="O1967">
        <f t="shared" si="832"/>
        <v>0.7</v>
      </c>
      <c r="P1967">
        <f t="shared" si="833"/>
        <v>0.50000000000000044</v>
      </c>
      <c r="Q1967" t="str">
        <f t="shared" si="822"/>
        <v>4.29% | 12.86%</v>
      </c>
      <c r="R1967" t="str">
        <f t="shared" si="834"/>
        <v>BEARISH</v>
      </c>
      <c r="S1967">
        <f t="shared" si="823"/>
        <v>-1</v>
      </c>
    </row>
    <row r="1968" spans="1:19" hidden="1" x14ac:dyDescent="0.25">
      <c r="A1968" s="5" t="str">
        <f t="shared" si="820"/>
        <v>43980UST2Y</v>
      </c>
      <c r="B1968" s="6" t="s">
        <v>5</v>
      </c>
      <c r="C1968" s="6">
        <v>0.2</v>
      </c>
      <c r="D1968" s="6">
        <v>0.14000000000000001</v>
      </c>
      <c r="E1968" s="6">
        <v>0.17</v>
      </c>
      <c r="F1968" t="str">
        <f t="shared" ref="F1968:F1998" si="835">UPPER(TEXT(G1968,"ddd"))</f>
        <v>FRI</v>
      </c>
      <c r="G1968" s="3">
        <f t="shared" ref="G1968:G1997" si="836">DATE(2020,5,29)</f>
        <v>43980</v>
      </c>
      <c r="H1968" s="2">
        <f t="shared" ref="H1968:H1998" ca="1" si="837">TODAY()-G1968</f>
        <v>273</v>
      </c>
      <c r="I1968" t="str">
        <f t="shared" ref="I1968:I1998" si="838">TRIM(LEFT(B1968,FIND(" ",B1968,1)))</f>
        <v>UST2Y</v>
      </c>
      <c r="J1968">
        <f t="shared" ref="J1968:J1998" si="839">C1968</f>
        <v>0.2</v>
      </c>
      <c r="K1968">
        <f t="shared" ref="K1968:K1998" si="840">D1968</f>
        <v>0.14000000000000001</v>
      </c>
      <c r="L1968">
        <f t="shared" ref="L1968:L1998" si="841">AVERAGE(J1968:K1968)</f>
        <v>0.17</v>
      </c>
      <c r="M1968">
        <f t="shared" ref="M1968:M1998" si="842">_xlfn.STDEV.P(J1968:K1968)</f>
        <v>3.0000000000000023E-2</v>
      </c>
      <c r="N1968">
        <f t="shared" si="821"/>
        <v>0.06</v>
      </c>
      <c r="O1968">
        <f t="shared" ref="O1968:O1998" si="843">E1968</f>
        <v>0.17</v>
      </c>
      <c r="P1968">
        <f t="shared" ref="P1968:P1998" si="844">(O1968-L1968)/M1968</f>
        <v>0</v>
      </c>
      <c r="Q1968" t="str">
        <f t="shared" si="822"/>
        <v>17.65% | 17.65%</v>
      </c>
      <c r="R1968" t="str">
        <f t="shared" ref="R1968:R1998" si="845">MID(B1968,FIND("(",B1968,1)+1,FIND(")",B1968,1)-FIND("(",B1968,1)-1)</f>
        <v>BEARISH</v>
      </c>
      <c r="S1968">
        <f t="shared" si="823"/>
        <v>-1</v>
      </c>
    </row>
    <row r="1969" spans="1:19" hidden="1" x14ac:dyDescent="0.25">
      <c r="A1969" s="5" t="str">
        <f t="shared" si="820"/>
        <v>43980SPX</v>
      </c>
      <c r="B1969" s="6" t="s">
        <v>6</v>
      </c>
      <c r="C1969" s="6">
        <v>2856</v>
      </c>
      <c r="D1969" s="6">
        <v>3064</v>
      </c>
      <c r="E1969" s="6">
        <v>3029</v>
      </c>
      <c r="F1969" t="str">
        <f t="shared" si="835"/>
        <v>FRI</v>
      </c>
      <c r="G1969" s="3">
        <f t="shared" si="836"/>
        <v>43980</v>
      </c>
      <c r="H1969" s="2">
        <f t="shared" ca="1" si="837"/>
        <v>273</v>
      </c>
      <c r="I1969" t="str">
        <f t="shared" si="838"/>
        <v>SPX</v>
      </c>
      <c r="J1969">
        <f t="shared" si="839"/>
        <v>2856</v>
      </c>
      <c r="K1969">
        <f t="shared" si="840"/>
        <v>3064</v>
      </c>
      <c r="L1969">
        <f t="shared" si="841"/>
        <v>2960</v>
      </c>
      <c r="M1969">
        <f t="shared" si="842"/>
        <v>104</v>
      </c>
      <c r="N1969">
        <f t="shared" si="821"/>
        <v>208</v>
      </c>
      <c r="O1969">
        <f t="shared" si="843"/>
        <v>3029</v>
      </c>
      <c r="P1969">
        <f t="shared" si="844"/>
        <v>0.66346153846153844</v>
      </c>
      <c r="Q1969" t="str">
        <f t="shared" si="822"/>
        <v>5.71% | 1.16%</v>
      </c>
      <c r="R1969" t="str">
        <f t="shared" si="845"/>
        <v>BEARISH</v>
      </c>
      <c r="S1969">
        <f t="shared" si="823"/>
        <v>-1</v>
      </c>
    </row>
    <row r="1970" spans="1:19" hidden="1" x14ac:dyDescent="0.25">
      <c r="A1970" s="5" t="str">
        <f t="shared" si="820"/>
        <v>43980RUT</v>
      </c>
      <c r="B1970" s="6" t="s">
        <v>7</v>
      </c>
      <c r="C1970" s="6">
        <v>1250</v>
      </c>
      <c r="D1970" s="6">
        <v>1449</v>
      </c>
      <c r="E1970" s="6">
        <v>1400</v>
      </c>
      <c r="F1970" t="str">
        <f t="shared" si="835"/>
        <v>FRI</v>
      </c>
      <c r="G1970" s="3">
        <f t="shared" si="836"/>
        <v>43980</v>
      </c>
      <c r="H1970" s="2">
        <f t="shared" ca="1" si="837"/>
        <v>273</v>
      </c>
      <c r="I1970" t="str">
        <f t="shared" si="838"/>
        <v>RUT</v>
      </c>
      <c r="J1970">
        <f t="shared" si="839"/>
        <v>1250</v>
      </c>
      <c r="K1970">
        <f t="shared" si="840"/>
        <v>1449</v>
      </c>
      <c r="L1970">
        <f t="shared" si="841"/>
        <v>1349.5</v>
      </c>
      <c r="M1970">
        <f t="shared" si="842"/>
        <v>99.5</v>
      </c>
      <c r="N1970">
        <f t="shared" si="821"/>
        <v>199</v>
      </c>
      <c r="O1970">
        <f t="shared" si="843"/>
        <v>1400</v>
      </c>
      <c r="P1970">
        <f t="shared" si="844"/>
        <v>0.50753768844221103</v>
      </c>
      <c r="Q1970" t="str">
        <f t="shared" si="822"/>
        <v>10.71% | 3.5%</v>
      </c>
      <c r="R1970" t="str">
        <f t="shared" si="845"/>
        <v>BEARISH</v>
      </c>
      <c r="S1970">
        <f t="shared" si="823"/>
        <v>-1</v>
      </c>
    </row>
    <row r="1971" spans="1:19" hidden="1" x14ac:dyDescent="0.25">
      <c r="A1971" s="5" t="str">
        <f t="shared" si="820"/>
        <v>43980COMPQ</v>
      </c>
      <c r="B1971" s="6" t="s">
        <v>8</v>
      </c>
      <c r="C1971" s="6">
        <v>9047</v>
      </c>
      <c r="D1971" s="6">
        <v>9515</v>
      </c>
      <c r="E1971" s="6">
        <v>9368</v>
      </c>
      <c r="F1971" t="str">
        <f t="shared" si="835"/>
        <v>FRI</v>
      </c>
      <c r="G1971" s="3">
        <f t="shared" si="836"/>
        <v>43980</v>
      </c>
      <c r="H1971" s="2">
        <f t="shared" ca="1" si="837"/>
        <v>273</v>
      </c>
      <c r="I1971" t="str">
        <f t="shared" si="838"/>
        <v>COMPQ</v>
      </c>
      <c r="J1971">
        <f t="shared" si="839"/>
        <v>9047</v>
      </c>
      <c r="K1971">
        <f t="shared" si="840"/>
        <v>9515</v>
      </c>
      <c r="L1971">
        <f t="shared" si="841"/>
        <v>9281</v>
      </c>
      <c r="M1971">
        <f t="shared" si="842"/>
        <v>234</v>
      </c>
      <c r="N1971">
        <f t="shared" si="821"/>
        <v>468</v>
      </c>
      <c r="O1971">
        <f t="shared" si="843"/>
        <v>9368</v>
      </c>
      <c r="P1971">
        <f t="shared" si="844"/>
        <v>0.37179487179487181</v>
      </c>
      <c r="Q1971" t="str">
        <f t="shared" si="822"/>
        <v>3.43% | 1.57%</v>
      </c>
      <c r="R1971" t="str">
        <f t="shared" si="845"/>
        <v>BULLISH</v>
      </c>
      <c r="S1971">
        <f t="shared" si="823"/>
        <v>1</v>
      </c>
    </row>
    <row r="1972" spans="1:19" hidden="1" x14ac:dyDescent="0.25">
      <c r="A1972" s="5" t="str">
        <f t="shared" si="820"/>
        <v>43980XLV</v>
      </c>
      <c r="B1972" s="6" t="s">
        <v>9</v>
      </c>
      <c r="C1972" s="6">
        <v>98.7</v>
      </c>
      <c r="D1972" s="6">
        <v>102.38</v>
      </c>
      <c r="E1972" s="6">
        <v>101.78</v>
      </c>
      <c r="F1972" t="str">
        <f t="shared" si="835"/>
        <v>FRI</v>
      </c>
      <c r="G1972" s="3">
        <f t="shared" si="836"/>
        <v>43980</v>
      </c>
      <c r="H1972" s="2">
        <f t="shared" ca="1" si="837"/>
        <v>273</v>
      </c>
      <c r="I1972" t="str">
        <f t="shared" si="838"/>
        <v>XLV</v>
      </c>
      <c r="J1972">
        <f t="shared" si="839"/>
        <v>98.7</v>
      </c>
      <c r="K1972">
        <f t="shared" si="840"/>
        <v>102.38</v>
      </c>
      <c r="L1972">
        <f t="shared" si="841"/>
        <v>100.53999999999999</v>
      </c>
      <c r="M1972">
        <f t="shared" si="842"/>
        <v>1.8399999999999963</v>
      </c>
      <c r="N1972">
        <f t="shared" si="821"/>
        <v>3.6799999999999926</v>
      </c>
      <c r="O1972">
        <f t="shared" si="843"/>
        <v>101.78</v>
      </c>
      <c r="P1972">
        <f t="shared" si="844"/>
        <v>0.67391304347826719</v>
      </c>
      <c r="Q1972" t="str">
        <f t="shared" si="822"/>
        <v>3.03% | 0.59%</v>
      </c>
      <c r="R1972" t="str">
        <f t="shared" si="845"/>
        <v>BULLISH</v>
      </c>
      <c r="S1972">
        <f t="shared" si="823"/>
        <v>1</v>
      </c>
    </row>
    <row r="1973" spans="1:19" hidden="1" x14ac:dyDescent="0.25">
      <c r="A1973" s="5" t="str">
        <f t="shared" si="820"/>
        <v>43980XLK</v>
      </c>
      <c r="B1973" s="6" t="s">
        <v>10</v>
      </c>
      <c r="C1973" s="6">
        <v>92.85</v>
      </c>
      <c r="D1973" s="6">
        <v>98.32</v>
      </c>
      <c r="E1973" s="6">
        <v>96.75</v>
      </c>
      <c r="F1973" t="str">
        <f t="shared" si="835"/>
        <v>FRI</v>
      </c>
      <c r="G1973" s="3">
        <f t="shared" si="836"/>
        <v>43980</v>
      </c>
      <c r="H1973" s="2">
        <f t="shared" ca="1" si="837"/>
        <v>273</v>
      </c>
      <c r="I1973" t="str">
        <f t="shared" si="838"/>
        <v>XLK</v>
      </c>
      <c r="J1973">
        <f t="shared" si="839"/>
        <v>92.85</v>
      </c>
      <c r="K1973">
        <f t="shared" si="840"/>
        <v>98.32</v>
      </c>
      <c r="L1973">
        <f t="shared" si="841"/>
        <v>95.584999999999994</v>
      </c>
      <c r="M1973">
        <f t="shared" si="842"/>
        <v>2.7349999999999994</v>
      </c>
      <c r="N1973">
        <f t="shared" si="821"/>
        <v>5.4699999999999989</v>
      </c>
      <c r="O1973">
        <f t="shared" si="843"/>
        <v>96.75</v>
      </c>
      <c r="P1973">
        <f t="shared" si="844"/>
        <v>0.42595978062157458</v>
      </c>
      <c r="Q1973" t="str">
        <f t="shared" si="822"/>
        <v>4.03% | 1.62%</v>
      </c>
      <c r="R1973" t="str">
        <f t="shared" si="845"/>
        <v>BULLISH</v>
      </c>
      <c r="S1973">
        <f t="shared" si="823"/>
        <v>1</v>
      </c>
    </row>
    <row r="1974" spans="1:19" hidden="1" x14ac:dyDescent="0.25">
      <c r="A1974" s="5" t="str">
        <f t="shared" si="820"/>
        <v>43980XLP</v>
      </c>
      <c r="B1974" s="6" t="s">
        <v>54</v>
      </c>
      <c r="C1974" s="6">
        <v>56.54</v>
      </c>
      <c r="D1974" s="6">
        <v>59.38</v>
      </c>
      <c r="E1974" s="6">
        <v>59.17</v>
      </c>
      <c r="F1974" t="str">
        <f t="shared" si="835"/>
        <v>FRI</v>
      </c>
      <c r="G1974" s="3">
        <f t="shared" si="836"/>
        <v>43980</v>
      </c>
      <c r="H1974" s="2">
        <f t="shared" ca="1" si="837"/>
        <v>273</v>
      </c>
      <c r="I1974" t="str">
        <f t="shared" si="838"/>
        <v>XLP</v>
      </c>
      <c r="J1974">
        <f t="shared" si="839"/>
        <v>56.54</v>
      </c>
      <c r="K1974">
        <f t="shared" si="840"/>
        <v>59.38</v>
      </c>
      <c r="L1974">
        <f t="shared" si="841"/>
        <v>57.96</v>
      </c>
      <c r="M1974">
        <f t="shared" si="842"/>
        <v>1.4200000000000017</v>
      </c>
      <c r="N1974">
        <f t="shared" si="821"/>
        <v>2.8400000000000034</v>
      </c>
      <c r="O1974">
        <f t="shared" si="843"/>
        <v>59.17</v>
      </c>
      <c r="P1974">
        <f t="shared" si="844"/>
        <v>0.85211267605633756</v>
      </c>
      <c r="Q1974" t="str">
        <f t="shared" si="822"/>
        <v>4.44% | 0.35%</v>
      </c>
      <c r="R1974" t="str">
        <f t="shared" si="845"/>
        <v>BULLISH</v>
      </c>
      <c r="S1974">
        <f t="shared" si="823"/>
        <v>1</v>
      </c>
    </row>
    <row r="1975" spans="1:19" hidden="1" x14ac:dyDescent="0.25">
      <c r="A1975" s="5" t="str">
        <f t="shared" si="820"/>
        <v>43980XLF</v>
      </c>
      <c r="B1975" s="6" t="s">
        <v>12</v>
      </c>
      <c r="C1975" s="6">
        <v>20.32</v>
      </c>
      <c r="D1975" s="6">
        <v>24.3</v>
      </c>
      <c r="E1975" s="6">
        <v>23.68</v>
      </c>
      <c r="F1975" t="str">
        <f t="shared" si="835"/>
        <v>FRI</v>
      </c>
      <c r="G1975" s="3">
        <f t="shared" si="836"/>
        <v>43980</v>
      </c>
      <c r="H1975" s="2">
        <f t="shared" ca="1" si="837"/>
        <v>273</v>
      </c>
      <c r="I1975" t="str">
        <f t="shared" si="838"/>
        <v>XLF</v>
      </c>
      <c r="J1975">
        <f t="shared" si="839"/>
        <v>20.32</v>
      </c>
      <c r="K1975">
        <f t="shared" si="840"/>
        <v>24.3</v>
      </c>
      <c r="L1975">
        <f t="shared" si="841"/>
        <v>22.310000000000002</v>
      </c>
      <c r="M1975">
        <f t="shared" si="842"/>
        <v>1.9900000000000002</v>
      </c>
      <c r="N1975">
        <f t="shared" si="821"/>
        <v>3.9800000000000004</v>
      </c>
      <c r="O1975">
        <f t="shared" si="843"/>
        <v>23.68</v>
      </c>
      <c r="P1975">
        <f t="shared" si="844"/>
        <v>0.68844221105527503</v>
      </c>
      <c r="Q1975" t="str">
        <f t="shared" si="822"/>
        <v>14.19% | 2.62%</v>
      </c>
      <c r="R1975" t="str">
        <f t="shared" si="845"/>
        <v>BEARISH</v>
      </c>
      <c r="S1975">
        <f t="shared" si="823"/>
        <v>-1</v>
      </c>
    </row>
    <row r="1976" spans="1:19" hidden="1" x14ac:dyDescent="0.25">
      <c r="A1976" s="5" t="str">
        <f t="shared" si="820"/>
        <v>43980XLI</v>
      </c>
      <c r="B1976" s="6" t="s">
        <v>13</v>
      </c>
      <c r="C1976" s="6">
        <v>58.03</v>
      </c>
      <c r="D1976" s="6">
        <v>69.81</v>
      </c>
      <c r="E1976" s="6">
        <v>68.09</v>
      </c>
      <c r="F1976" t="str">
        <f t="shared" si="835"/>
        <v>FRI</v>
      </c>
      <c r="G1976" s="3">
        <f t="shared" si="836"/>
        <v>43980</v>
      </c>
      <c r="H1976" s="2">
        <f t="shared" ca="1" si="837"/>
        <v>273</v>
      </c>
      <c r="I1976" t="str">
        <f t="shared" si="838"/>
        <v>XLI</v>
      </c>
      <c r="J1976">
        <f t="shared" si="839"/>
        <v>58.03</v>
      </c>
      <c r="K1976">
        <f t="shared" si="840"/>
        <v>69.81</v>
      </c>
      <c r="L1976">
        <f t="shared" si="841"/>
        <v>63.92</v>
      </c>
      <c r="M1976">
        <f t="shared" si="842"/>
        <v>5.8900000000000006</v>
      </c>
      <c r="N1976">
        <f t="shared" si="821"/>
        <v>11.780000000000001</v>
      </c>
      <c r="O1976">
        <v>67.14</v>
      </c>
      <c r="P1976">
        <f t="shared" si="844"/>
        <v>0.54668930390492332</v>
      </c>
      <c r="Q1976" t="str">
        <f t="shared" si="822"/>
        <v>13.57% | 3.98%</v>
      </c>
      <c r="R1976" t="str">
        <f t="shared" si="845"/>
        <v>BEARISH</v>
      </c>
      <c r="S1976">
        <f t="shared" si="823"/>
        <v>-1</v>
      </c>
    </row>
    <row r="1977" spans="1:19" hidden="1" x14ac:dyDescent="0.25">
      <c r="A1977" s="5" t="str">
        <f t="shared" si="820"/>
        <v>43980SSEC</v>
      </c>
      <c r="B1977" s="6" t="s">
        <v>14</v>
      </c>
      <c r="C1977" s="6">
        <v>2788</v>
      </c>
      <c r="D1977" s="6">
        <v>2872</v>
      </c>
      <c r="E1977" s="6">
        <v>2852</v>
      </c>
      <c r="F1977" t="str">
        <f t="shared" si="835"/>
        <v>FRI</v>
      </c>
      <c r="G1977" s="3">
        <f t="shared" si="836"/>
        <v>43980</v>
      </c>
      <c r="H1977" s="2">
        <f t="shared" ca="1" si="837"/>
        <v>273</v>
      </c>
      <c r="I1977" t="str">
        <f t="shared" si="838"/>
        <v>SSEC</v>
      </c>
      <c r="J1977">
        <f t="shared" si="839"/>
        <v>2788</v>
      </c>
      <c r="K1977">
        <f t="shared" si="840"/>
        <v>2872</v>
      </c>
      <c r="L1977">
        <f t="shared" si="841"/>
        <v>2830</v>
      </c>
      <c r="M1977">
        <f t="shared" si="842"/>
        <v>42</v>
      </c>
      <c r="N1977">
        <f t="shared" si="821"/>
        <v>84</v>
      </c>
      <c r="O1977">
        <f t="shared" si="843"/>
        <v>2852</v>
      </c>
      <c r="P1977">
        <f t="shared" si="844"/>
        <v>0.52380952380952384</v>
      </c>
      <c r="Q1977" t="str">
        <f t="shared" si="822"/>
        <v>2.24% | 0.7%</v>
      </c>
      <c r="R1977" t="str">
        <f t="shared" si="845"/>
        <v>BEARISH</v>
      </c>
      <c r="S1977">
        <f t="shared" si="823"/>
        <v>-1</v>
      </c>
    </row>
    <row r="1978" spans="1:19" hidden="1" x14ac:dyDescent="0.25">
      <c r="A1978" s="5" t="str">
        <f t="shared" si="820"/>
        <v>43980NIKK</v>
      </c>
      <c r="B1978" s="6" t="s">
        <v>90</v>
      </c>
      <c r="C1978" s="6">
        <v>19832</v>
      </c>
      <c r="D1978" s="6">
        <v>21963</v>
      </c>
      <c r="E1978" s="6">
        <v>21877</v>
      </c>
      <c r="F1978" t="str">
        <f t="shared" si="835"/>
        <v>FRI</v>
      </c>
      <c r="G1978" s="3">
        <f t="shared" si="836"/>
        <v>43980</v>
      </c>
      <c r="H1978" s="2">
        <f t="shared" ca="1" si="837"/>
        <v>273</v>
      </c>
      <c r="I1978" t="str">
        <f t="shared" si="838"/>
        <v>NIKK</v>
      </c>
      <c r="J1978">
        <f t="shared" si="839"/>
        <v>19832</v>
      </c>
      <c r="K1978">
        <f t="shared" si="840"/>
        <v>21963</v>
      </c>
      <c r="L1978">
        <f t="shared" si="841"/>
        <v>20897.5</v>
      </c>
      <c r="M1978">
        <f t="shared" si="842"/>
        <v>1065.5</v>
      </c>
      <c r="N1978">
        <f t="shared" si="821"/>
        <v>2131</v>
      </c>
      <c r="O1978">
        <v>21687</v>
      </c>
      <c r="P1978">
        <f t="shared" si="844"/>
        <v>0.74096668230877527</v>
      </c>
      <c r="Q1978" t="str">
        <f t="shared" si="822"/>
        <v>8.55% | 1.27%</v>
      </c>
      <c r="R1978" t="str">
        <f t="shared" si="845"/>
        <v>NEUTRAL</v>
      </c>
      <c r="S1978">
        <f t="shared" si="823"/>
        <v>0</v>
      </c>
    </row>
    <row r="1979" spans="1:19" hidden="1" x14ac:dyDescent="0.25">
      <c r="A1979" s="5" t="str">
        <f t="shared" si="820"/>
        <v>43980DAX</v>
      </c>
      <c r="B1979" s="6" t="s">
        <v>16</v>
      </c>
      <c r="C1979" s="6">
        <v>10702</v>
      </c>
      <c r="D1979" s="6">
        <v>11809</v>
      </c>
      <c r="E1979" s="6">
        <v>11779</v>
      </c>
      <c r="F1979" t="str">
        <f t="shared" si="835"/>
        <v>FRI</v>
      </c>
      <c r="G1979" s="3">
        <f t="shared" si="836"/>
        <v>43980</v>
      </c>
      <c r="H1979" s="2">
        <f t="shared" ca="1" si="837"/>
        <v>273</v>
      </c>
      <c r="I1979" t="str">
        <f t="shared" si="838"/>
        <v>DAX</v>
      </c>
      <c r="J1979">
        <f t="shared" si="839"/>
        <v>10702</v>
      </c>
      <c r="K1979">
        <f t="shared" si="840"/>
        <v>11809</v>
      </c>
      <c r="L1979">
        <f t="shared" si="841"/>
        <v>11255.5</v>
      </c>
      <c r="M1979">
        <f t="shared" si="842"/>
        <v>553.5</v>
      </c>
      <c r="N1979">
        <f t="shared" si="821"/>
        <v>1107</v>
      </c>
      <c r="O1979">
        <v>11688</v>
      </c>
      <c r="P1979">
        <f t="shared" si="844"/>
        <v>0.78139114724480574</v>
      </c>
      <c r="Q1979" t="str">
        <f t="shared" si="822"/>
        <v>8.44% | 1.04%</v>
      </c>
      <c r="R1979" t="str">
        <f t="shared" si="845"/>
        <v>BEARISH</v>
      </c>
      <c r="S1979">
        <f t="shared" si="823"/>
        <v>-1</v>
      </c>
    </row>
    <row r="1980" spans="1:19" hidden="1" x14ac:dyDescent="0.25">
      <c r="A1980" s="5" t="str">
        <f t="shared" si="820"/>
        <v>43980VIX</v>
      </c>
      <c r="B1980" s="6" t="s">
        <v>17</v>
      </c>
      <c r="C1980" s="6">
        <v>26.22</v>
      </c>
      <c r="D1980" s="6">
        <v>35.6</v>
      </c>
      <c r="E1980" s="6">
        <v>28.59</v>
      </c>
      <c r="F1980" t="str">
        <f t="shared" si="835"/>
        <v>FRI</v>
      </c>
      <c r="G1980" s="3">
        <f t="shared" si="836"/>
        <v>43980</v>
      </c>
      <c r="H1980" s="2">
        <f t="shared" ca="1" si="837"/>
        <v>273</v>
      </c>
      <c r="I1980" t="str">
        <f t="shared" si="838"/>
        <v>VIX</v>
      </c>
      <c r="J1980">
        <f t="shared" si="839"/>
        <v>26.22</v>
      </c>
      <c r="K1980">
        <f t="shared" si="840"/>
        <v>35.6</v>
      </c>
      <c r="L1980">
        <f t="shared" si="841"/>
        <v>30.91</v>
      </c>
      <c r="M1980">
        <f t="shared" si="842"/>
        <v>4.6900000000000075</v>
      </c>
      <c r="N1980">
        <f t="shared" si="821"/>
        <v>9.3800000000000026</v>
      </c>
      <c r="O1980">
        <v>30</v>
      </c>
      <c r="P1980">
        <f t="shared" si="844"/>
        <v>-0.19402985074626838</v>
      </c>
      <c r="Q1980" t="str">
        <f t="shared" si="822"/>
        <v>12.6% | 18.67%</v>
      </c>
      <c r="R1980" t="str">
        <f t="shared" si="845"/>
        <v>BULLISH</v>
      </c>
      <c r="S1980">
        <f t="shared" si="823"/>
        <v>1</v>
      </c>
    </row>
    <row r="1981" spans="1:19" hidden="1" x14ac:dyDescent="0.25">
      <c r="A1981" s="5" t="str">
        <f t="shared" si="820"/>
        <v>43980USD</v>
      </c>
      <c r="B1981" s="6" t="s">
        <v>18</v>
      </c>
      <c r="C1981" s="6">
        <v>98.2</v>
      </c>
      <c r="D1981" s="6">
        <v>100.5</v>
      </c>
      <c r="E1981" s="6">
        <v>98.37</v>
      </c>
      <c r="F1981" t="str">
        <f t="shared" si="835"/>
        <v>FRI</v>
      </c>
      <c r="G1981" s="3">
        <f t="shared" si="836"/>
        <v>43980</v>
      </c>
      <c r="H1981" s="2">
        <f t="shared" ca="1" si="837"/>
        <v>273</v>
      </c>
      <c r="I1981" t="str">
        <f t="shared" si="838"/>
        <v>USD</v>
      </c>
      <c r="J1981">
        <f t="shared" si="839"/>
        <v>98.2</v>
      </c>
      <c r="K1981">
        <f t="shared" si="840"/>
        <v>100.5</v>
      </c>
      <c r="L1981">
        <f t="shared" si="841"/>
        <v>99.35</v>
      </c>
      <c r="M1981">
        <f t="shared" si="842"/>
        <v>1.1499999999999986</v>
      </c>
      <c r="N1981">
        <f t="shared" si="821"/>
        <v>2.2999999999999972</v>
      </c>
      <c r="O1981">
        <f t="shared" si="843"/>
        <v>98.37</v>
      </c>
      <c r="P1981">
        <f t="shared" si="844"/>
        <v>-0.85217391304347045</v>
      </c>
      <c r="Q1981" t="str">
        <f t="shared" si="822"/>
        <v>0.17% | 2.17%</v>
      </c>
      <c r="R1981" t="str">
        <f t="shared" si="845"/>
        <v>BULLISH</v>
      </c>
      <c r="S1981">
        <f t="shared" si="823"/>
        <v>1</v>
      </c>
    </row>
    <row r="1982" spans="1:19" hidden="1" x14ac:dyDescent="0.25">
      <c r="A1982" s="5" t="str">
        <f t="shared" si="820"/>
        <v>43980EUR/USD</v>
      </c>
      <c r="B1982" s="6" t="s">
        <v>19</v>
      </c>
      <c r="C1982" s="6">
        <v>1.08</v>
      </c>
      <c r="D1982" s="6">
        <v>1.1100000000000001</v>
      </c>
      <c r="E1982" s="6">
        <v>1.1000000000000001</v>
      </c>
      <c r="F1982" t="str">
        <f t="shared" si="835"/>
        <v>FRI</v>
      </c>
      <c r="G1982" s="3">
        <f t="shared" si="836"/>
        <v>43980</v>
      </c>
      <c r="H1982" s="2">
        <f t="shared" ca="1" si="837"/>
        <v>273</v>
      </c>
      <c r="I1982" t="str">
        <f t="shared" si="838"/>
        <v>EUR/USD</v>
      </c>
      <c r="J1982">
        <f t="shared" si="839"/>
        <v>1.08</v>
      </c>
      <c r="K1982">
        <f t="shared" si="840"/>
        <v>1.1100000000000001</v>
      </c>
      <c r="L1982">
        <f t="shared" si="841"/>
        <v>1.0950000000000002</v>
      </c>
      <c r="M1982">
        <f t="shared" si="842"/>
        <v>1.5000000000000013E-2</v>
      </c>
      <c r="N1982">
        <f t="shared" si="821"/>
        <v>3.0000000000000027E-2</v>
      </c>
      <c r="O1982">
        <f t="shared" si="843"/>
        <v>1.1000000000000001</v>
      </c>
      <c r="P1982">
        <f t="shared" si="844"/>
        <v>0.33333333333332593</v>
      </c>
      <c r="Q1982" t="str">
        <f t="shared" si="822"/>
        <v>1.82% | 0.91%</v>
      </c>
      <c r="R1982" t="str">
        <f t="shared" si="845"/>
        <v>BEARISH</v>
      </c>
      <c r="S1982">
        <f t="shared" si="823"/>
        <v>-1</v>
      </c>
    </row>
    <row r="1983" spans="1:19" hidden="1" x14ac:dyDescent="0.25">
      <c r="A1983" s="5" t="str">
        <f t="shared" si="820"/>
        <v>43980USD/JPY</v>
      </c>
      <c r="B1983" s="6" t="s">
        <v>20</v>
      </c>
      <c r="C1983" s="6">
        <v>106.9</v>
      </c>
      <c r="D1983" s="6">
        <v>108.03</v>
      </c>
      <c r="E1983" s="6">
        <v>107.61</v>
      </c>
      <c r="F1983" t="str">
        <f t="shared" si="835"/>
        <v>FRI</v>
      </c>
      <c r="G1983" s="3">
        <f t="shared" si="836"/>
        <v>43980</v>
      </c>
      <c r="H1983" s="2">
        <f t="shared" ca="1" si="837"/>
        <v>273</v>
      </c>
      <c r="I1983" t="str">
        <f t="shared" si="838"/>
        <v>USD/JPY</v>
      </c>
      <c r="J1983">
        <f t="shared" si="839"/>
        <v>106.9</v>
      </c>
      <c r="K1983">
        <f t="shared" si="840"/>
        <v>108.03</v>
      </c>
      <c r="L1983">
        <f t="shared" si="841"/>
        <v>107.465</v>
      </c>
      <c r="M1983">
        <f t="shared" si="842"/>
        <v>0.56499999999999773</v>
      </c>
      <c r="N1983">
        <f t="shared" si="821"/>
        <v>1.1299999999999955</v>
      </c>
      <c r="O1983">
        <f t="shared" si="843"/>
        <v>107.61</v>
      </c>
      <c r="P1983">
        <f t="shared" si="844"/>
        <v>0.25663716814158694</v>
      </c>
      <c r="Q1983" t="str">
        <f t="shared" si="822"/>
        <v>0.66% | 0.39%</v>
      </c>
      <c r="R1983" t="str">
        <f t="shared" si="845"/>
        <v>BEARISH</v>
      </c>
      <c r="S1983">
        <f t="shared" si="823"/>
        <v>-1</v>
      </c>
    </row>
    <row r="1984" spans="1:19" hidden="1" x14ac:dyDescent="0.25">
      <c r="A1984" s="5" t="str">
        <f t="shared" si="820"/>
        <v>43980GBP/USD</v>
      </c>
      <c r="B1984" s="6" t="s">
        <v>21</v>
      </c>
      <c r="C1984" s="6">
        <v>1.21</v>
      </c>
      <c r="D1984" s="6">
        <v>1.23</v>
      </c>
      <c r="E1984" s="6">
        <v>1.23</v>
      </c>
      <c r="F1984" t="str">
        <f t="shared" si="835"/>
        <v>FRI</v>
      </c>
      <c r="G1984" s="3">
        <f t="shared" si="836"/>
        <v>43980</v>
      </c>
      <c r="H1984" s="2">
        <f t="shared" ca="1" si="837"/>
        <v>273</v>
      </c>
      <c r="I1984" t="str">
        <f t="shared" si="838"/>
        <v>GBP/USD</v>
      </c>
      <c r="J1984">
        <f t="shared" si="839"/>
        <v>1.21</v>
      </c>
      <c r="K1984">
        <f t="shared" si="840"/>
        <v>1.23</v>
      </c>
      <c r="L1984">
        <f t="shared" si="841"/>
        <v>1.22</v>
      </c>
      <c r="M1984">
        <f t="shared" si="842"/>
        <v>1.0000000000000009E-2</v>
      </c>
      <c r="N1984">
        <f t="shared" si="821"/>
        <v>2.0000000000000018E-2</v>
      </c>
      <c r="O1984">
        <f t="shared" si="843"/>
        <v>1.23</v>
      </c>
      <c r="P1984">
        <f t="shared" si="844"/>
        <v>1</v>
      </c>
      <c r="Q1984" t="str">
        <f t="shared" si="822"/>
        <v>1.63% | 0%</v>
      </c>
      <c r="R1984" t="str">
        <f t="shared" si="845"/>
        <v>BEARISH</v>
      </c>
      <c r="S1984">
        <f t="shared" si="823"/>
        <v>-1</v>
      </c>
    </row>
    <row r="1985" spans="1:19" hidden="1" x14ac:dyDescent="0.25">
      <c r="A1985" s="5" t="str">
        <f t="shared" si="820"/>
        <v>43980USD/CHF</v>
      </c>
      <c r="B1985" s="6" t="s">
        <v>22</v>
      </c>
      <c r="C1985" s="6">
        <v>0.96</v>
      </c>
      <c r="D1985" s="6">
        <v>0.98</v>
      </c>
      <c r="E1985" s="6">
        <v>0.96</v>
      </c>
      <c r="F1985" t="str">
        <f t="shared" si="835"/>
        <v>FRI</v>
      </c>
      <c r="G1985" s="3">
        <f t="shared" si="836"/>
        <v>43980</v>
      </c>
      <c r="H1985" s="2">
        <f t="shared" ca="1" si="837"/>
        <v>273</v>
      </c>
      <c r="I1985" t="str">
        <f t="shared" si="838"/>
        <v>USD/CHF</v>
      </c>
      <c r="J1985">
        <f t="shared" si="839"/>
        <v>0.96</v>
      </c>
      <c r="K1985">
        <f t="shared" si="840"/>
        <v>0.98</v>
      </c>
      <c r="L1985">
        <f t="shared" si="841"/>
        <v>0.97</v>
      </c>
      <c r="M1985">
        <f t="shared" si="842"/>
        <v>1.0000000000000009E-2</v>
      </c>
      <c r="N1985">
        <f t="shared" si="821"/>
        <v>2.0000000000000018E-2</v>
      </c>
      <c r="O1985">
        <f t="shared" si="843"/>
        <v>0.96</v>
      </c>
      <c r="P1985">
        <f t="shared" si="844"/>
        <v>-1</v>
      </c>
      <c r="Q1985" t="str">
        <f t="shared" si="822"/>
        <v>0% | 2.08%</v>
      </c>
      <c r="R1985" t="str">
        <f t="shared" si="845"/>
        <v>NEUTRAL</v>
      </c>
      <c r="S1985">
        <f t="shared" si="823"/>
        <v>0</v>
      </c>
    </row>
    <row r="1986" spans="1:19" hidden="1" x14ac:dyDescent="0.25">
      <c r="A1986" s="5" t="str">
        <f t="shared" si="820"/>
        <v>43980WTIC</v>
      </c>
      <c r="B1986" s="6" t="s">
        <v>23</v>
      </c>
      <c r="C1986" s="6">
        <v>28.02</v>
      </c>
      <c r="D1986" s="6">
        <v>35.659999999999997</v>
      </c>
      <c r="E1986" s="6">
        <v>33.71</v>
      </c>
      <c r="F1986" t="str">
        <f t="shared" si="835"/>
        <v>FRI</v>
      </c>
      <c r="G1986" s="3">
        <f t="shared" si="836"/>
        <v>43980</v>
      </c>
      <c r="H1986" s="2">
        <f t="shared" ca="1" si="837"/>
        <v>273</v>
      </c>
      <c r="I1986" t="str">
        <f t="shared" si="838"/>
        <v>WTIC</v>
      </c>
      <c r="J1986">
        <f t="shared" si="839"/>
        <v>28.02</v>
      </c>
      <c r="K1986">
        <f t="shared" si="840"/>
        <v>35.659999999999997</v>
      </c>
      <c r="L1986">
        <f t="shared" si="841"/>
        <v>31.839999999999996</v>
      </c>
      <c r="M1986">
        <f t="shared" si="842"/>
        <v>3.8200000000000145</v>
      </c>
      <c r="N1986">
        <f t="shared" si="821"/>
        <v>7.639999999999997</v>
      </c>
      <c r="O1986">
        <v>33.11</v>
      </c>
      <c r="P1986">
        <f t="shared" si="844"/>
        <v>0.33246073298429274</v>
      </c>
      <c r="Q1986" t="str">
        <f t="shared" si="822"/>
        <v>15.37% | 7.7%</v>
      </c>
      <c r="R1986" t="str">
        <f t="shared" si="845"/>
        <v>BEARISH</v>
      </c>
      <c r="S1986">
        <f t="shared" si="823"/>
        <v>-1</v>
      </c>
    </row>
    <row r="1987" spans="1:19" hidden="1" x14ac:dyDescent="0.25">
      <c r="A1987" s="5" t="str">
        <f t="shared" ref="A1987:A2050" si="846">G1987&amp;I1987</f>
        <v>43980NATGAS</v>
      </c>
      <c r="B1987" s="6" t="s">
        <v>24</v>
      </c>
      <c r="C1987" s="6">
        <v>1.66</v>
      </c>
      <c r="D1987" s="6">
        <v>2.0099999999999998</v>
      </c>
      <c r="E1987" s="6">
        <v>1.83</v>
      </c>
      <c r="F1987" t="str">
        <f t="shared" si="835"/>
        <v>FRI</v>
      </c>
      <c r="G1987" s="3">
        <f t="shared" si="836"/>
        <v>43980</v>
      </c>
      <c r="H1987" s="2">
        <f t="shared" ca="1" si="837"/>
        <v>273</v>
      </c>
      <c r="I1987" t="str">
        <f t="shared" si="838"/>
        <v>NATGAS</v>
      </c>
      <c r="J1987">
        <f t="shared" si="839"/>
        <v>1.66</v>
      </c>
      <c r="K1987">
        <f t="shared" si="840"/>
        <v>2.0099999999999998</v>
      </c>
      <c r="L1987">
        <f t="shared" si="841"/>
        <v>1.835</v>
      </c>
      <c r="M1987">
        <f t="shared" si="842"/>
        <v>0.17499999999999993</v>
      </c>
      <c r="N1987">
        <f t="shared" ref="N1987:N2050" si="847">ABS(K1987-J1987)</f>
        <v>0.34999999999999987</v>
      </c>
      <c r="O1987">
        <f t="shared" si="843"/>
        <v>1.83</v>
      </c>
      <c r="P1987">
        <f t="shared" si="844"/>
        <v>-2.8571428571427974E-2</v>
      </c>
      <c r="Q1987" t="str">
        <f t="shared" ref="Q1987:Q2050" si="848">ROUND(ABS(100*(O1987-J1987)/O1987),2)&amp;"% | "&amp;ROUND(ABS(100*(K1987-O1987)/O1987),2)&amp;"%"</f>
        <v>9.29% | 9.84%</v>
      </c>
      <c r="R1987" t="str">
        <f t="shared" si="845"/>
        <v>BEARISH</v>
      </c>
      <c r="S1987">
        <f t="shared" ref="S1987:S2050" si="849">IF(R1987="BEARISH",-1,IF(R1987="NEUTRAL",0,IF(R1987="BULLISH",1,99)))</f>
        <v>-1</v>
      </c>
    </row>
    <row r="1988" spans="1:19" hidden="1" x14ac:dyDescent="0.25">
      <c r="A1988" s="5" t="str">
        <f t="shared" si="846"/>
        <v>43980GOLD</v>
      </c>
      <c r="B1988" s="6" t="s">
        <v>25</v>
      </c>
      <c r="C1988" s="6">
        <v>1705</v>
      </c>
      <c r="D1988" s="6">
        <v>1765</v>
      </c>
      <c r="E1988" s="6">
        <v>1728</v>
      </c>
      <c r="F1988" t="str">
        <f t="shared" si="835"/>
        <v>FRI</v>
      </c>
      <c r="G1988" s="3">
        <f t="shared" si="836"/>
        <v>43980</v>
      </c>
      <c r="H1988" s="2">
        <f t="shared" ca="1" si="837"/>
        <v>273</v>
      </c>
      <c r="I1988" t="str">
        <f t="shared" si="838"/>
        <v>GOLD</v>
      </c>
      <c r="J1988">
        <f t="shared" si="839"/>
        <v>1705</v>
      </c>
      <c r="K1988">
        <f t="shared" si="840"/>
        <v>1765</v>
      </c>
      <c r="L1988">
        <f t="shared" si="841"/>
        <v>1735</v>
      </c>
      <c r="M1988">
        <f t="shared" si="842"/>
        <v>30</v>
      </c>
      <c r="N1988">
        <f t="shared" si="847"/>
        <v>60</v>
      </c>
      <c r="O1988">
        <f t="shared" si="843"/>
        <v>1728</v>
      </c>
      <c r="P1988">
        <f t="shared" si="844"/>
        <v>-0.23333333333333334</v>
      </c>
      <c r="Q1988" t="str">
        <f t="shared" si="848"/>
        <v>1.33% | 2.14%</v>
      </c>
      <c r="R1988" t="str">
        <f t="shared" si="845"/>
        <v>BULLISH</v>
      </c>
      <c r="S1988">
        <f t="shared" si="849"/>
        <v>1</v>
      </c>
    </row>
    <row r="1989" spans="1:19" hidden="1" x14ac:dyDescent="0.25">
      <c r="A1989" s="5" t="str">
        <f t="shared" si="846"/>
        <v>43980COPPER</v>
      </c>
      <c r="B1989" s="6" t="s">
        <v>26</v>
      </c>
      <c r="C1989" s="6">
        <v>2.33</v>
      </c>
      <c r="D1989" s="6">
        <v>2.4700000000000002</v>
      </c>
      <c r="E1989" s="6">
        <v>2.41</v>
      </c>
      <c r="F1989" t="str">
        <f t="shared" si="835"/>
        <v>FRI</v>
      </c>
      <c r="G1989" s="3">
        <f t="shared" si="836"/>
        <v>43980</v>
      </c>
      <c r="H1989" s="2">
        <f t="shared" ca="1" si="837"/>
        <v>273</v>
      </c>
      <c r="I1989" t="str">
        <f t="shared" si="838"/>
        <v>COPPER</v>
      </c>
      <c r="J1989">
        <f t="shared" si="839"/>
        <v>2.33</v>
      </c>
      <c r="K1989">
        <f t="shared" si="840"/>
        <v>2.4700000000000002</v>
      </c>
      <c r="L1989">
        <f t="shared" si="841"/>
        <v>2.4000000000000004</v>
      </c>
      <c r="M1989">
        <f t="shared" si="842"/>
        <v>7.0000000000000062E-2</v>
      </c>
      <c r="N1989">
        <f t="shared" si="847"/>
        <v>0.14000000000000012</v>
      </c>
      <c r="O1989">
        <f t="shared" si="843"/>
        <v>2.41</v>
      </c>
      <c r="P1989">
        <f t="shared" si="844"/>
        <v>0.14285714285713969</v>
      </c>
      <c r="Q1989" t="str">
        <f t="shared" si="848"/>
        <v>3.32% | 2.49%</v>
      </c>
      <c r="R1989" t="str">
        <f t="shared" si="845"/>
        <v>BEARISH</v>
      </c>
      <c r="S1989">
        <f t="shared" si="849"/>
        <v>-1</v>
      </c>
    </row>
    <row r="1990" spans="1:19" hidden="1" x14ac:dyDescent="0.25">
      <c r="A1990" s="5" t="str">
        <f t="shared" si="846"/>
        <v>43980MSFT</v>
      </c>
      <c r="B1990" s="6" t="s">
        <v>27</v>
      </c>
      <c r="C1990" s="6">
        <v>179</v>
      </c>
      <c r="D1990" s="6">
        <v>186</v>
      </c>
      <c r="E1990" s="6">
        <v>181</v>
      </c>
      <c r="F1990" t="str">
        <f t="shared" si="835"/>
        <v>FRI</v>
      </c>
      <c r="G1990" s="3">
        <f t="shared" si="836"/>
        <v>43980</v>
      </c>
      <c r="H1990" s="2">
        <f t="shared" ca="1" si="837"/>
        <v>273</v>
      </c>
      <c r="I1990" t="str">
        <f t="shared" si="838"/>
        <v>MSFT</v>
      </c>
      <c r="J1990">
        <f t="shared" si="839"/>
        <v>179</v>
      </c>
      <c r="K1990">
        <f t="shared" si="840"/>
        <v>186</v>
      </c>
      <c r="L1990">
        <f t="shared" si="841"/>
        <v>182.5</v>
      </c>
      <c r="M1990">
        <f t="shared" si="842"/>
        <v>3.5</v>
      </c>
      <c r="N1990">
        <f t="shared" si="847"/>
        <v>7</v>
      </c>
      <c r="O1990">
        <f t="shared" si="843"/>
        <v>181</v>
      </c>
      <c r="P1990">
        <f t="shared" si="844"/>
        <v>-0.42857142857142855</v>
      </c>
      <c r="Q1990" t="str">
        <f t="shared" si="848"/>
        <v>1.1% | 2.76%</v>
      </c>
      <c r="R1990" t="str">
        <f t="shared" si="845"/>
        <v>BULLISH</v>
      </c>
      <c r="S1990">
        <f t="shared" si="849"/>
        <v>1</v>
      </c>
    </row>
    <row r="1991" spans="1:19" hidden="1" x14ac:dyDescent="0.25">
      <c r="A1991" s="5" t="str">
        <f t="shared" si="846"/>
        <v>43980AAPL</v>
      </c>
      <c r="B1991" s="6" t="s">
        <v>28</v>
      </c>
      <c r="C1991" s="6">
        <v>308</v>
      </c>
      <c r="D1991" s="6">
        <v>323</v>
      </c>
      <c r="E1991" s="6">
        <v>318</v>
      </c>
      <c r="F1991" t="str">
        <f t="shared" si="835"/>
        <v>FRI</v>
      </c>
      <c r="G1991" s="3">
        <f t="shared" si="836"/>
        <v>43980</v>
      </c>
      <c r="H1991" s="2">
        <f t="shared" ca="1" si="837"/>
        <v>273</v>
      </c>
      <c r="I1991" t="str">
        <f t="shared" si="838"/>
        <v>AAPL</v>
      </c>
      <c r="J1991">
        <f t="shared" si="839"/>
        <v>308</v>
      </c>
      <c r="K1991">
        <f t="shared" si="840"/>
        <v>323</v>
      </c>
      <c r="L1991">
        <f t="shared" si="841"/>
        <v>315.5</v>
      </c>
      <c r="M1991">
        <f t="shared" si="842"/>
        <v>7.5</v>
      </c>
      <c r="N1991">
        <f t="shared" si="847"/>
        <v>15</v>
      </c>
      <c r="O1991">
        <f t="shared" si="843"/>
        <v>318</v>
      </c>
      <c r="P1991">
        <f t="shared" si="844"/>
        <v>0.33333333333333331</v>
      </c>
      <c r="Q1991" t="str">
        <f t="shared" si="848"/>
        <v>3.14% | 1.57%</v>
      </c>
      <c r="R1991" t="str">
        <f t="shared" si="845"/>
        <v>BULLISH</v>
      </c>
      <c r="S1991">
        <f t="shared" si="849"/>
        <v>1</v>
      </c>
    </row>
    <row r="1992" spans="1:19" hidden="1" x14ac:dyDescent="0.25">
      <c r="A1992" s="5" t="str">
        <f t="shared" si="846"/>
        <v>43980AMZN</v>
      </c>
      <c r="B1992" s="6" t="s">
        <v>29</v>
      </c>
      <c r="C1992" s="6">
        <v>2359</v>
      </c>
      <c r="D1992" s="6">
        <v>2489</v>
      </c>
      <c r="E1992" s="6">
        <v>2401</v>
      </c>
      <c r="F1992" t="str">
        <f t="shared" si="835"/>
        <v>FRI</v>
      </c>
      <c r="G1992" s="3">
        <f t="shared" si="836"/>
        <v>43980</v>
      </c>
      <c r="H1992" s="2">
        <f t="shared" ca="1" si="837"/>
        <v>273</v>
      </c>
      <c r="I1992" t="str">
        <f t="shared" si="838"/>
        <v>AMZN</v>
      </c>
      <c r="J1992">
        <f t="shared" si="839"/>
        <v>2359</v>
      </c>
      <c r="K1992">
        <f t="shared" si="840"/>
        <v>2489</v>
      </c>
      <c r="L1992">
        <f t="shared" si="841"/>
        <v>2424</v>
      </c>
      <c r="M1992">
        <f t="shared" si="842"/>
        <v>65</v>
      </c>
      <c r="N1992">
        <f t="shared" si="847"/>
        <v>130</v>
      </c>
      <c r="O1992">
        <f t="shared" si="843"/>
        <v>2401</v>
      </c>
      <c r="P1992">
        <f t="shared" si="844"/>
        <v>-0.35384615384615387</v>
      </c>
      <c r="Q1992" t="str">
        <f t="shared" si="848"/>
        <v>1.75% | 3.67%</v>
      </c>
      <c r="R1992" t="str">
        <f t="shared" si="845"/>
        <v>BULLISH</v>
      </c>
      <c r="S1992">
        <f t="shared" si="849"/>
        <v>1</v>
      </c>
    </row>
    <row r="1993" spans="1:19" hidden="1" x14ac:dyDescent="0.25">
      <c r="A1993" s="5" t="str">
        <f t="shared" si="846"/>
        <v>43980FB</v>
      </c>
      <c r="B1993" s="6" t="s">
        <v>30</v>
      </c>
      <c r="C1993" s="6">
        <v>207</v>
      </c>
      <c r="D1993" s="6">
        <v>242</v>
      </c>
      <c r="E1993" s="6">
        <v>225</v>
      </c>
      <c r="F1993" t="str">
        <f t="shared" si="835"/>
        <v>FRI</v>
      </c>
      <c r="G1993" s="3">
        <f t="shared" si="836"/>
        <v>43980</v>
      </c>
      <c r="H1993" s="2">
        <f t="shared" ca="1" si="837"/>
        <v>273</v>
      </c>
      <c r="I1993" t="str">
        <f t="shared" si="838"/>
        <v>FB</v>
      </c>
      <c r="J1993">
        <f t="shared" si="839"/>
        <v>207</v>
      </c>
      <c r="K1993">
        <f t="shared" si="840"/>
        <v>242</v>
      </c>
      <c r="L1993">
        <f t="shared" si="841"/>
        <v>224.5</v>
      </c>
      <c r="M1993">
        <f t="shared" si="842"/>
        <v>17.5</v>
      </c>
      <c r="N1993">
        <f t="shared" si="847"/>
        <v>35</v>
      </c>
      <c r="O1993">
        <f t="shared" si="843"/>
        <v>225</v>
      </c>
      <c r="P1993">
        <f t="shared" si="844"/>
        <v>2.8571428571428571E-2</v>
      </c>
      <c r="Q1993" t="str">
        <f t="shared" si="848"/>
        <v>8% | 7.56%</v>
      </c>
      <c r="R1993" t="str">
        <f t="shared" si="845"/>
        <v>BULLISH</v>
      </c>
      <c r="S1993">
        <f t="shared" si="849"/>
        <v>1</v>
      </c>
    </row>
    <row r="1994" spans="1:19" hidden="1" x14ac:dyDescent="0.25">
      <c r="A1994" s="5" t="str">
        <f t="shared" si="846"/>
        <v>43980GOOGL</v>
      </c>
      <c r="B1994" s="6" t="s">
        <v>31</v>
      </c>
      <c r="C1994" s="6">
        <v>1354</v>
      </c>
      <c r="D1994" s="6">
        <v>1440</v>
      </c>
      <c r="E1994" s="6">
        <v>1418</v>
      </c>
      <c r="F1994" t="str">
        <f t="shared" si="835"/>
        <v>FRI</v>
      </c>
      <c r="G1994" s="3">
        <f t="shared" si="836"/>
        <v>43980</v>
      </c>
      <c r="H1994" s="2">
        <f t="shared" ca="1" si="837"/>
        <v>273</v>
      </c>
      <c r="I1994" t="str">
        <f t="shared" si="838"/>
        <v>GOOGL</v>
      </c>
      <c r="J1994">
        <f t="shared" si="839"/>
        <v>1354</v>
      </c>
      <c r="K1994">
        <f t="shared" si="840"/>
        <v>1440</v>
      </c>
      <c r="L1994">
        <f t="shared" si="841"/>
        <v>1397</v>
      </c>
      <c r="M1994">
        <f t="shared" si="842"/>
        <v>43</v>
      </c>
      <c r="N1994">
        <f t="shared" si="847"/>
        <v>86</v>
      </c>
      <c r="O1994">
        <f t="shared" si="843"/>
        <v>1418</v>
      </c>
      <c r="P1994">
        <f t="shared" si="844"/>
        <v>0.48837209302325579</v>
      </c>
      <c r="Q1994" t="str">
        <f t="shared" si="848"/>
        <v>4.51% | 1.55%</v>
      </c>
      <c r="R1994" t="str">
        <f t="shared" si="845"/>
        <v>BULLISH</v>
      </c>
      <c r="S1994">
        <f t="shared" si="849"/>
        <v>1</v>
      </c>
    </row>
    <row r="1995" spans="1:19" hidden="1" x14ac:dyDescent="0.25">
      <c r="A1995" s="5" t="str">
        <f t="shared" si="846"/>
        <v>43980NFLX</v>
      </c>
      <c r="B1995" s="6" t="s">
        <v>70</v>
      </c>
      <c r="C1995" s="6">
        <v>393</v>
      </c>
      <c r="D1995" s="6">
        <v>436</v>
      </c>
      <c r="E1995" s="6">
        <v>413</v>
      </c>
      <c r="F1995" t="str">
        <f t="shared" si="835"/>
        <v>FRI</v>
      </c>
      <c r="G1995" s="3">
        <f t="shared" si="836"/>
        <v>43980</v>
      </c>
      <c r="H1995" s="2">
        <f t="shared" ca="1" si="837"/>
        <v>273</v>
      </c>
      <c r="I1995" t="str">
        <f t="shared" si="838"/>
        <v>NFLX</v>
      </c>
      <c r="J1995">
        <f t="shared" si="839"/>
        <v>393</v>
      </c>
      <c r="K1995">
        <f t="shared" si="840"/>
        <v>436</v>
      </c>
      <c r="L1995">
        <f t="shared" si="841"/>
        <v>414.5</v>
      </c>
      <c r="M1995">
        <f t="shared" si="842"/>
        <v>21.5</v>
      </c>
      <c r="N1995">
        <f t="shared" si="847"/>
        <v>43</v>
      </c>
      <c r="O1995">
        <f t="shared" si="843"/>
        <v>413</v>
      </c>
      <c r="P1995">
        <f t="shared" si="844"/>
        <v>-6.9767441860465115E-2</v>
      </c>
      <c r="Q1995" t="str">
        <f t="shared" si="848"/>
        <v>4.84% | 5.57%</v>
      </c>
      <c r="R1995" t="str">
        <f t="shared" si="845"/>
        <v>NEUTRAL</v>
      </c>
      <c r="S1995">
        <f t="shared" si="849"/>
        <v>0</v>
      </c>
    </row>
    <row r="1996" spans="1:19" x14ac:dyDescent="0.25">
      <c r="A1996" s="5" t="str">
        <f t="shared" si="846"/>
        <v>43980TSLA</v>
      </c>
      <c r="B1996" s="6" t="s">
        <v>33</v>
      </c>
      <c r="C1996" s="6">
        <v>773</v>
      </c>
      <c r="D1996" s="6">
        <v>831</v>
      </c>
      <c r="E1996" s="6">
        <v>805</v>
      </c>
      <c r="F1996" t="str">
        <f t="shared" si="835"/>
        <v>FRI</v>
      </c>
      <c r="G1996" s="3">
        <f t="shared" si="836"/>
        <v>43980</v>
      </c>
      <c r="H1996" s="2">
        <f t="shared" ca="1" si="837"/>
        <v>273</v>
      </c>
      <c r="I1996" t="str">
        <f t="shared" si="838"/>
        <v>TSLA</v>
      </c>
      <c r="J1996">
        <f t="shared" si="839"/>
        <v>773</v>
      </c>
      <c r="K1996">
        <f t="shared" si="840"/>
        <v>831</v>
      </c>
      <c r="L1996">
        <f t="shared" si="841"/>
        <v>802</v>
      </c>
      <c r="M1996">
        <f t="shared" si="842"/>
        <v>29</v>
      </c>
      <c r="N1996">
        <f t="shared" si="847"/>
        <v>58</v>
      </c>
      <c r="O1996">
        <f t="shared" si="843"/>
        <v>805</v>
      </c>
      <c r="P1996">
        <f t="shared" si="844"/>
        <v>0.10344827586206896</v>
      </c>
      <c r="Q1996" t="str">
        <f t="shared" si="848"/>
        <v>3.98% | 3.23%</v>
      </c>
      <c r="R1996" t="str">
        <f t="shared" si="845"/>
        <v>BULLISH</v>
      </c>
      <c r="S1996">
        <f t="shared" si="849"/>
        <v>1</v>
      </c>
    </row>
    <row r="1997" spans="1:19" hidden="1" x14ac:dyDescent="0.25">
      <c r="A1997" s="5" t="str">
        <f t="shared" si="846"/>
        <v>43980NYXBT</v>
      </c>
      <c r="B1997" s="6" t="s">
        <v>34</v>
      </c>
      <c r="C1997" s="6">
        <v>8835</v>
      </c>
      <c r="D1997" s="6">
        <v>10034</v>
      </c>
      <c r="E1997" s="6">
        <v>9457</v>
      </c>
      <c r="F1997" t="str">
        <f t="shared" si="835"/>
        <v>FRI</v>
      </c>
      <c r="G1997" s="3">
        <f t="shared" si="836"/>
        <v>43980</v>
      </c>
      <c r="H1997" s="2">
        <f t="shared" ca="1" si="837"/>
        <v>273</v>
      </c>
      <c r="I1997" t="str">
        <f t="shared" si="838"/>
        <v>NYXBT</v>
      </c>
      <c r="J1997">
        <f t="shared" si="839"/>
        <v>8835</v>
      </c>
      <c r="K1997">
        <f t="shared" si="840"/>
        <v>10034</v>
      </c>
      <c r="L1997">
        <f t="shared" si="841"/>
        <v>9434.5</v>
      </c>
      <c r="M1997">
        <f t="shared" si="842"/>
        <v>599.5</v>
      </c>
      <c r="N1997">
        <f t="shared" si="847"/>
        <v>1199</v>
      </c>
      <c r="O1997">
        <f t="shared" si="843"/>
        <v>9457</v>
      </c>
      <c r="P1997">
        <f t="shared" si="844"/>
        <v>3.7531276063386153E-2</v>
      </c>
      <c r="Q1997" t="str">
        <f t="shared" si="848"/>
        <v>6.58% | 6.1%</v>
      </c>
      <c r="R1997" t="str">
        <f t="shared" si="845"/>
        <v>BULLISH</v>
      </c>
      <c r="S1997">
        <f t="shared" si="849"/>
        <v>1</v>
      </c>
    </row>
    <row r="1998" spans="1:19" hidden="1" x14ac:dyDescent="0.25">
      <c r="A1998" s="5" t="str">
        <f t="shared" si="846"/>
        <v>43983UST10Y</v>
      </c>
      <c r="B1998" s="6" t="s">
        <v>4</v>
      </c>
      <c r="C1998" s="6">
        <v>0.73</v>
      </c>
      <c r="D1998" s="6">
        <v>0.62</v>
      </c>
      <c r="E1998" s="6">
        <v>0.65</v>
      </c>
      <c r="F1998" t="str">
        <f t="shared" si="835"/>
        <v>MON</v>
      </c>
      <c r="G1998" s="1">
        <f>DATE(2020,6,1)</f>
        <v>43983</v>
      </c>
      <c r="H1998" s="2">
        <f t="shared" ca="1" si="837"/>
        <v>270</v>
      </c>
      <c r="I1998" t="str">
        <f t="shared" si="838"/>
        <v>UST10Y</v>
      </c>
      <c r="J1998">
        <f t="shared" si="839"/>
        <v>0.73</v>
      </c>
      <c r="K1998">
        <f t="shared" si="840"/>
        <v>0.62</v>
      </c>
      <c r="L1998">
        <f t="shared" si="841"/>
        <v>0.67500000000000004</v>
      </c>
      <c r="M1998">
        <f t="shared" si="842"/>
        <v>5.4999999999999993E-2</v>
      </c>
      <c r="N1998">
        <f t="shared" si="847"/>
        <v>0.10999999999999999</v>
      </c>
      <c r="O1998">
        <f t="shared" si="843"/>
        <v>0.65</v>
      </c>
      <c r="P1998">
        <f t="shared" si="844"/>
        <v>-0.45454545454545503</v>
      </c>
      <c r="Q1998" t="str">
        <f t="shared" si="848"/>
        <v>12.31% | 4.62%</v>
      </c>
      <c r="R1998" t="str">
        <f t="shared" si="845"/>
        <v>BEARISH</v>
      </c>
      <c r="S1998">
        <f t="shared" si="849"/>
        <v>-1</v>
      </c>
    </row>
    <row r="1999" spans="1:19" hidden="1" x14ac:dyDescent="0.25">
      <c r="A1999" s="5" t="str">
        <f t="shared" si="846"/>
        <v>43983UST2Y</v>
      </c>
      <c r="B1999" s="6" t="s">
        <v>5</v>
      </c>
      <c r="C1999" s="6">
        <v>0.2</v>
      </c>
      <c r="D1999" s="6">
        <v>0.14000000000000001</v>
      </c>
      <c r="E1999" s="6">
        <v>0.16</v>
      </c>
      <c r="F1999" t="str">
        <f t="shared" ref="F1999:F2029" si="850">UPPER(TEXT(G1999,"ddd"))</f>
        <v>MON</v>
      </c>
      <c r="G1999" s="1">
        <f t="shared" ref="G1999:G2028" si="851">DATE(2020,6,1)</f>
        <v>43983</v>
      </c>
      <c r="H1999" s="2">
        <f t="shared" ref="H1999:H2029" ca="1" si="852">TODAY()-G1999</f>
        <v>270</v>
      </c>
      <c r="I1999" t="str">
        <f t="shared" ref="I1999:I2029" si="853">TRIM(LEFT(B1999,FIND(" ",B1999,1)))</f>
        <v>UST2Y</v>
      </c>
      <c r="J1999">
        <f t="shared" ref="J1999:J2029" si="854">C1999</f>
        <v>0.2</v>
      </c>
      <c r="K1999">
        <f t="shared" ref="K1999:K2029" si="855">D1999</f>
        <v>0.14000000000000001</v>
      </c>
      <c r="L1999">
        <f t="shared" ref="L1999:L2029" si="856">AVERAGE(J1999:K1999)</f>
        <v>0.17</v>
      </c>
      <c r="M1999">
        <f t="shared" ref="M1999:M2029" si="857">_xlfn.STDEV.P(J1999:K1999)</f>
        <v>3.0000000000000023E-2</v>
      </c>
      <c r="N1999">
        <f t="shared" si="847"/>
        <v>0.06</v>
      </c>
      <c r="O1999">
        <f t="shared" ref="O1999:O2029" si="858">E1999</f>
        <v>0.16</v>
      </c>
      <c r="P1999">
        <f t="shared" ref="P1999:P2029" si="859">(O1999-L1999)/M1999</f>
        <v>-0.33333333333333337</v>
      </c>
      <c r="Q1999" t="str">
        <f t="shared" si="848"/>
        <v>25% | 12.5%</v>
      </c>
      <c r="R1999" t="str">
        <f t="shared" ref="R1999:R2029" si="860">MID(B1999,FIND("(",B1999,1)+1,FIND(")",B1999,1)-FIND("(",B1999,1)-1)</f>
        <v>BEARISH</v>
      </c>
      <c r="S1999">
        <f t="shared" si="849"/>
        <v>-1</v>
      </c>
    </row>
    <row r="2000" spans="1:19" hidden="1" x14ac:dyDescent="0.25">
      <c r="A2000" s="5" t="str">
        <f t="shared" si="846"/>
        <v>43983SPX</v>
      </c>
      <c r="B2000" s="6" t="s">
        <v>6</v>
      </c>
      <c r="C2000" s="6">
        <v>2871</v>
      </c>
      <c r="D2000" s="6">
        <v>3067</v>
      </c>
      <c r="E2000" s="6">
        <v>3044</v>
      </c>
      <c r="F2000" t="str">
        <f t="shared" si="850"/>
        <v>MON</v>
      </c>
      <c r="G2000" s="1">
        <f t="shared" si="851"/>
        <v>43983</v>
      </c>
      <c r="H2000" s="2">
        <f t="shared" ca="1" si="852"/>
        <v>270</v>
      </c>
      <c r="I2000" t="str">
        <f t="shared" si="853"/>
        <v>SPX</v>
      </c>
      <c r="J2000">
        <f t="shared" si="854"/>
        <v>2871</v>
      </c>
      <c r="K2000">
        <f t="shared" si="855"/>
        <v>3067</v>
      </c>
      <c r="L2000">
        <f t="shared" si="856"/>
        <v>2969</v>
      </c>
      <c r="M2000">
        <f t="shared" si="857"/>
        <v>98</v>
      </c>
      <c r="N2000">
        <f t="shared" si="847"/>
        <v>196</v>
      </c>
      <c r="O2000">
        <f t="shared" si="858"/>
        <v>3044</v>
      </c>
      <c r="P2000">
        <f t="shared" si="859"/>
        <v>0.76530612244897955</v>
      </c>
      <c r="Q2000" t="str">
        <f t="shared" si="848"/>
        <v>5.68% | 0.76%</v>
      </c>
      <c r="R2000" t="str">
        <f t="shared" si="860"/>
        <v>BEARISH</v>
      </c>
      <c r="S2000">
        <f t="shared" si="849"/>
        <v>-1</v>
      </c>
    </row>
    <row r="2001" spans="1:19" hidden="1" x14ac:dyDescent="0.25">
      <c r="A2001" s="5" t="str">
        <f t="shared" si="846"/>
        <v>43983RUT</v>
      </c>
      <c r="B2001" s="6" t="s">
        <v>7</v>
      </c>
      <c r="C2001" s="6">
        <v>1288</v>
      </c>
      <c r="D2001" s="6">
        <v>1444</v>
      </c>
      <c r="E2001" s="6">
        <v>1394</v>
      </c>
      <c r="F2001" t="str">
        <f t="shared" si="850"/>
        <v>MON</v>
      </c>
      <c r="G2001" s="1">
        <f t="shared" si="851"/>
        <v>43983</v>
      </c>
      <c r="H2001" s="2">
        <f t="shared" ca="1" si="852"/>
        <v>270</v>
      </c>
      <c r="I2001" t="str">
        <f t="shared" si="853"/>
        <v>RUT</v>
      </c>
      <c r="J2001">
        <f t="shared" si="854"/>
        <v>1288</v>
      </c>
      <c r="K2001">
        <f t="shared" si="855"/>
        <v>1444</v>
      </c>
      <c r="L2001">
        <f t="shared" si="856"/>
        <v>1366</v>
      </c>
      <c r="M2001">
        <f t="shared" si="857"/>
        <v>78</v>
      </c>
      <c r="N2001">
        <f t="shared" si="847"/>
        <v>156</v>
      </c>
      <c r="O2001">
        <v>1404.5</v>
      </c>
      <c r="P2001">
        <f t="shared" si="859"/>
        <v>0.49358974358974361</v>
      </c>
      <c r="Q2001" t="str">
        <f t="shared" si="848"/>
        <v>8.29% | 2.81%</v>
      </c>
      <c r="R2001" t="str">
        <f t="shared" si="860"/>
        <v>BEARISH</v>
      </c>
      <c r="S2001">
        <f t="shared" si="849"/>
        <v>-1</v>
      </c>
    </row>
    <row r="2002" spans="1:19" hidden="1" x14ac:dyDescent="0.25">
      <c r="A2002" s="5" t="str">
        <f t="shared" si="846"/>
        <v>43983COMPQ</v>
      </c>
      <c r="B2002" s="6" t="s">
        <v>8</v>
      </c>
      <c r="C2002" s="6">
        <v>9005</v>
      </c>
      <c r="D2002" s="6">
        <v>9518</v>
      </c>
      <c r="E2002" s="6">
        <v>9489</v>
      </c>
      <c r="F2002" t="str">
        <f t="shared" si="850"/>
        <v>MON</v>
      </c>
      <c r="G2002" s="1">
        <f t="shared" si="851"/>
        <v>43983</v>
      </c>
      <c r="H2002" s="2">
        <f t="shared" ca="1" si="852"/>
        <v>270</v>
      </c>
      <c r="I2002" t="str">
        <f t="shared" si="853"/>
        <v>COMPQ</v>
      </c>
      <c r="J2002">
        <f t="shared" si="854"/>
        <v>9005</v>
      </c>
      <c r="K2002">
        <f t="shared" si="855"/>
        <v>9518</v>
      </c>
      <c r="L2002">
        <f t="shared" si="856"/>
        <v>9261.5</v>
      </c>
      <c r="M2002">
        <f t="shared" si="857"/>
        <v>256.5</v>
      </c>
      <c r="N2002">
        <f t="shared" si="847"/>
        <v>513</v>
      </c>
      <c r="O2002">
        <f t="shared" si="858"/>
        <v>9489</v>
      </c>
      <c r="P2002">
        <f t="shared" si="859"/>
        <v>0.88693957115009747</v>
      </c>
      <c r="Q2002" t="str">
        <f t="shared" si="848"/>
        <v>5.1% | 0.31%</v>
      </c>
      <c r="R2002" t="str">
        <f t="shared" si="860"/>
        <v>BULLISH</v>
      </c>
      <c r="S2002">
        <f t="shared" si="849"/>
        <v>1</v>
      </c>
    </row>
    <row r="2003" spans="1:19" hidden="1" x14ac:dyDescent="0.25">
      <c r="A2003" s="5" t="str">
        <f t="shared" si="846"/>
        <v>43983XLV</v>
      </c>
      <c r="B2003" s="6" t="s">
        <v>9</v>
      </c>
      <c r="C2003" s="6">
        <v>98.38</v>
      </c>
      <c r="D2003" s="6">
        <v>103.4</v>
      </c>
      <c r="E2003" s="6">
        <v>103.01</v>
      </c>
      <c r="F2003" t="str">
        <f t="shared" si="850"/>
        <v>MON</v>
      </c>
      <c r="G2003" s="1">
        <f t="shared" si="851"/>
        <v>43983</v>
      </c>
      <c r="H2003" s="2">
        <f t="shared" ca="1" si="852"/>
        <v>270</v>
      </c>
      <c r="I2003" t="str">
        <f t="shared" si="853"/>
        <v>XLV</v>
      </c>
      <c r="J2003">
        <f t="shared" si="854"/>
        <v>98.38</v>
      </c>
      <c r="K2003">
        <f t="shared" si="855"/>
        <v>103.4</v>
      </c>
      <c r="L2003">
        <f t="shared" si="856"/>
        <v>100.89</v>
      </c>
      <c r="M2003">
        <f t="shared" si="857"/>
        <v>2.5100000000000051</v>
      </c>
      <c r="N2003">
        <f t="shared" si="847"/>
        <v>5.0200000000000102</v>
      </c>
      <c r="O2003">
        <f t="shared" si="858"/>
        <v>103.01</v>
      </c>
      <c r="P2003">
        <f t="shared" si="859"/>
        <v>0.84462151394422325</v>
      </c>
      <c r="Q2003" t="str">
        <f t="shared" si="848"/>
        <v>4.49% | 0.38%</v>
      </c>
      <c r="R2003" t="str">
        <f t="shared" si="860"/>
        <v>BULLISH</v>
      </c>
      <c r="S2003">
        <f t="shared" si="849"/>
        <v>1</v>
      </c>
    </row>
    <row r="2004" spans="1:19" hidden="1" x14ac:dyDescent="0.25">
      <c r="A2004" s="5" t="str">
        <f t="shared" si="846"/>
        <v>43983XLK</v>
      </c>
      <c r="B2004" s="6" t="s">
        <v>10</v>
      </c>
      <c r="C2004" s="6">
        <v>93.21</v>
      </c>
      <c r="D2004" s="6">
        <v>98.3</v>
      </c>
      <c r="E2004" s="6">
        <v>97.97</v>
      </c>
      <c r="F2004" t="str">
        <f t="shared" si="850"/>
        <v>MON</v>
      </c>
      <c r="G2004" s="1">
        <f t="shared" si="851"/>
        <v>43983</v>
      </c>
      <c r="H2004" s="2">
        <f t="shared" ca="1" si="852"/>
        <v>270</v>
      </c>
      <c r="I2004" t="str">
        <f t="shared" si="853"/>
        <v>XLK</v>
      </c>
      <c r="J2004">
        <f t="shared" si="854"/>
        <v>93.21</v>
      </c>
      <c r="K2004">
        <f t="shared" si="855"/>
        <v>98.3</v>
      </c>
      <c r="L2004">
        <f t="shared" si="856"/>
        <v>95.754999999999995</v>
      </c>
      <c r="M2004">
        <f t="shared" si="857"/>
        <v>2.5450000000000017</v>
      </c>
      <c r="N2004">
        <f t="shared" si="847"/>
        <v>5.0900000000000034</v>
      </c>
      <c r="O2004">
        <f t="shared" si="858"/>
        <v>97.97</v>
      </c>
      <c r="P2004">
        <f t="shared" si="859"/>
        <v>0.87033398821218155</v>
      </c>
      <c r="Q2004" t="str">
        <f t="shared" si="848"/>
        <v>4.86% | 0.34%</v>
      </c>
      <c r="R2004" t="str">
        <f t="shared" si="860"/>
        <v>BULLISH</v>
      </c>
      <c r="S2004">
        <f t="shared" si="849"/>
        <v>1</v>
      </c>
    </row>
    <row r="2005" spans="1:19" hidden="1" x14ac:dyDescent="0.25">
      <c r="A2005" s="5" t="str">
        <f t="shared" si="846"/>
        <v>43983XLP</v>
      </c>
      <c r="B2005" s="6" t="s">
        <v>54</v>
      </c>
      <c r="C2005" s="6">
        <v>56.6</v>
      </c>
      <c r="D2005" s="6">
        <v>59.76</v>
      </c>
      <c r="E2005" s="6">
        <v>59.23</v>
      </c>
      <c r="F2005" t="str">
        <f t="shared" si="850"/>
        <v>MON</v>
      </c>
      <c r="G2005" s="1">
        <f t="shared" si="851"/>
        <v>43983</v>
      </c>
      <c r="H2005" s="2">
        <f t="shared" ca="1" si="852"/>
        <v>270</v>
      </c>
      <c r="I2005" t="str">
        <f t="shared" si="853"/>
        <v>XLP</v>
      </c>
      <c r="J2005">
        <f t="shared" si="854"/>
        <v>56.6</v>
      </c>
      <c r="K2005">
        <f t="shared" si="855"/>
        <v>59.76</v>
      </c>
      <c r="L2005">
        <f t="shared" si="856"/>
        <v>58.18</v>
      </c>
      <c r="M2005">
        <f t="shared" si="857"/>
        <v>1.5799999999999983</v>
      </c>
      <c r="N2005">
        <f t="shared" si="847"/>
        <v>3.1599999999999966</v>
      </c>
      <c r="O2005">
        <f t="shared" si="858"/>
        <v>59.23</v>
      </c>
      <c r="P2005">
        <f t="shared" si="859"/>
        <v>0.66455696202531533</v>
      </c>
      <c r="Q2005" t="str">
        <f t="shared" si="848"/>
        <v>4.44% | 0.89%</v>
      </c>
      <c r="R2005" t="str">
        <f t="shared" si="860"/>
        <v>BULLISH</v>
      </c>
      <c r="S2005">
        <f t="shared" si="849"/>
        <v>1</v>
      </c>
    </row>
    <row r="2006" spans="1:19" hidden="1" x14ac:dyDescent="0.25">
      <c r="A2006" s="5" t="str">
        <f t="shared" si="846"/>
        <v>43983XLF</v>
      </c>
      <c r="B2006" s="6" t="s">
        <v>12</v>
      </c>
      <c r="C2006" s="6">
        <v>20.46</v>
      </c>
      <c r="D2006" s="6">
        <v>24.37</v>
      </c>
      <c r="E2006" s="6">
        <v>23.41</v>
      </c>
      <c r="F2006" t="str">
        <f t="shared" si="850"/>
        <v>MON</v>
      </c>
      <c r="G2006" s="1">
        <f t="shared" si="851"/>
        <v>43983</v>
      </c>
      <c r="H2006" s="2">
        <f t="shared" ca="1" si="852"/>
        <v>270</v>
      </c>
      <c r="I2006" t="str">
        <f t="shared" si="853"/>
        <v>XLF</v>
      </c>
      <c r="J2006">
        <f t="shared" si="854"/>
        <v>20.46</v>
      </c>
      <c r="K2006">
        <f t="shared" si="855"/>
        <v>24.37</v>
      </c>
      <c r="L2006">
        <f t="shared" si="856"/>
        <v>22.414999999999999</v>
      </c>
      <c r="M2006">
        <f t="shared" si="857"/>
        <v>1.9550000000000001</v>
      </c>
      <c r="N2006">
        <f t="shared" si="847"/>
        <v>3.91</v>
      </c>
      <c r="O2006">
        <f t="shared" si="858"/>
        <v>23.41</v>
      </c>
      <c r="P2006">
        <f t="shared" si="859"/>
        <v>0.50895140664961691</v>
      </c>
      <c r="Q2006" t="str">
        <f t="shared" si="848"/>
        <v>12.6% | 4.1%</v>
      </c>
      <c r="R2006" t="str">
        <f t="shared" si="860"/>
        <v>BEARISH</v>
      </c>
      <c r="S2006">
        <f t="shared" si="849"/>
        <v>-1</v>
      </c>
    </row>
    <row r="2007" spans="1:19" hidden="1" x14ac:dyDescent="0.25">
      <c r="A2007" s="5" t="str">
        <f t="shared" si="846"/>
        <v>43983XLI</v>
      </c>
      <c r="B2007" s="6" t="s">
        <v>13</v>
      </c>
      <c r="C2007" s="6">
        <v>60.04</v>
      </c>
      <c r="D2007" s="6">
        <v>69.81</v>
      </c>
      <c r="E2007" s="6">
        <v>67.67</v>
      </c>
      <c r="F2007" t="str">
        <f t="shared" si="850"/>
        <v>MON</v>
      </c>
      <c r="G2007" s="1">
        <f t="shared" si="851"/>
        <v>43983</v>
      </c>
      <c r="H2007" s="2">
        <f t="shared" ca="1" si="852"/>
        <v>270</v>
      </c>
      <c r="I2007" t="str">
        <f t="shared" si="853"/>
        <v>XLI</v>
      </c>
      <c r="J2007">
        <f t="shared" si="854"/>
        <v>60.04</v>
      </c>
      <c r="K2007">
        <f t="shared" si="855"/>
        <v>69.81</v>
      </c>
      <c r="L2007">
        <f t="shared" si="856"/>
        <v>64.924999999999997</v>
      </c>
      <c r="M2007">
        <f t="shared" si="857"/>
        <v>4.8850000000000016</v>
      </c>
      <c r="N2007">
        <f t="shared" si="847"/>
        <v>9.7700000000000031</v>
      </c>
      <c r="O2007">
        <v>68</v>
      </c>
      <c r="P2007">
        <f t="shared" si="859"/>
        <v>0.62947799385875169</v>
      </c>
      <c r="Q2007" t="str">
        <f t="shared" si="848"/>
        <v>11.71% | 2.66%</v>
      </c>
      <c r="R2007" t="str">
        <f t="shared" si="860"/>
        <v>BEARISH</v>
      </c>
      <c r="S2007">
        <f t="shared" si="849"/>
        <v>-1</v>
      </c>
    </row>
    <row r="2008" spans="1:19" hidden="1" x14ac:dyDescent="0.25">
      <c r="A2008" s="5" t="str">
        <f t="shared" si="846"/>
        <v>43983SSEC</v>
      </c>
      <c r="B2008" s="6" t="s">
        <v>14</v>
      </c>
      <c r="C2008" s="6">
        <v>2799</v>
      </c>
      <c r="D2008" s="6">
        <v>2935</v>
      </c>
      <c r="E2008" s="6">
        <v>2915</v>
      </c>
      <c r="F2008" t="str">
        <f t="shared" si="850"/>
        <v>MON</v>
      </c>
      <c r="G2008" s="1">
        <f t="shared" si="851"/>
        <v>43983</v>
      </c>
      <c r="H2008" s="2">
        <f t="shared" ca="1" si="852"/>
        <v>270</v>
      </c>
      <c r="I2008" t="str">
        <f t="shared" si="853"/>
        <v>SSEC</v>
      </c>
      <c r="J2008">
        <f t="shared" si="854"/>
        <v>2799</v>
      </c>
      <c r="K2008">
        <f t="shared" si="855"/>
        <v>2935</v>
      </c>
      <c r="L2008">
        <f t="shared" si="856"/>
        <v>2867</v>
      </c>
      <c r="M2008">
        <f t="shared" si="857"/>
        <v>68</v>
      </c>
      <c r="N2008">
        <f t="shared" si="847"/>
        <v>136</v>
      </c>
      <c r="O2008">
        <f t="shared" si="858"/>
        <v>2915</v>
      </c>
      <c r="P2008">
        <f t="shared" si="859"/>
        <v>0.70588235294117652</v>
      </c>
      <c r="Q2008" t="str">
        <f t="shared" si="848"/>
        <v>3.98% | 0.69%</v>
      </c>
      <c r="R2008" t="str">
        <f t="shared" si="860"/>
        <v>BEARISH</v>
      </c>
      <c r="S2008">
        <f t="shared" si="849"/>
        <v>-1</v>
      </c>
    </row>
    <row r="2009" spans="1:19" hidden="1" x14ac:dyDescent="0.25">
      <c r="A2009" s="5" t="str">
        <f t="shared" si="846"/>
        <v>43983NIKK</v>
      </c>
      <c r="B2009" s="6" t="s">
        <v>90</v>
      </c>
      <c r="C2009" s="6">
        <v>19880</v>
      </c>
      <c r="D2009" s="6">
        <v>22182</v>
      </c>
      <c r="E2009" s="6">
        <v>22062</v>
      </c>
      <c r="F2009" t="str">
        <f t="shared" si="850"/>
        <v>MON</v>
      </c>
      <c r="G2009" s="1">
        <f t="shared" si="851"/>
        <v>43983</v>
      </c>
      <c r="H2009" s="2">
        <f t="shared" ca="1" si="852"/>
        <v>270</v>
      </c>
      <c r="I2009" t="str">
        <f t="shared" si="853"/>
        <v>NIKK</v>
      </c>
      <c r="J2009">
        <f t="shared" si="854"/>
        <v>19880</v>
      </c>
      <c r="K2009">
        <f t="shared" si="855"/>
        <v>22182</v>
      </c>
      <c r="L2009">
        <f t="shared" si="856"/>
        <v>21031</v>
      </c>
      <c r="M2009">
        <f t="shared" si="857"/>
        <v>1151</v>
      </c>
      <c r="N2009">
        <f t="shared" si="847"/>
        <v>2302</v>
      </c>
      <c r="O2009">
        <f t="shared" si="858"/>
        <v>22062</v>
      </c>
      <c r="P2009">
        <f t="shared" si="859"/>
        <v>0.89574283231972196</v>
      </c>
      <c r="Q2009" t="str">
        <f t="shared" si="848"/>
        <v>9.89% | 0.54%</v>
      </c>
      <c r="R2009" t="str">
        <f t="shared" si="860"/>
        <v>NEUTRAL</v>
      </c>
      <c r="S2009">
        <f t="shared" si="849"/>
        <v>0</v>
      </c>
    </row>
    <row r="2010" spans="1:19" hidden="1" x14ac:dyDescent="0.25">
      <c r="A2010" s="5" t="str">
        <f t="shared" si="846"/>
        <v>43983DAX</v>
      </c>
      <c r="B2010" s="6" t="s">
        <v>16</v>
      </c>
      <c r="C2010" s="6">
        <v>10801</v>
      </c>
      <c r="D2010" s="6">
        <v>11898</v>
      </c>
      <c r="E2010" s="6">
        <v>11584</v>
      </c>
      <c r="F2010" t="str">
        <f t="shared" si="850"/>
        <v>MON</v>
      </c>
      <c r="G2010" s="1">
        <f t="shared" si="851"/>
        <v>43983</v>
      </c>
      <c r="H2010" s="2">
        <f t="shared" ca="1" si="852"/>
        <v>270</v>
      </c>
      <c r="I2010" t="str">
        <f t="shared" si="853"/>
        <v>DAX</v>
      </c>
      <c r="J2010">
        <f t="shared" si="854"/>
        <v>10801</v>
      </c>
      <c r="K2010">
        <f t="shared" si="855"/>
        <v>11898</v>
      </c>
      <c r="L2010">
        <f t="shared" si="856"/>
        <v>11349.5</v>
      </c>
      <c r="M2010">
        <f t="shared" si="857"/>
        <v>548.5</v>
      </c>
      <c r="N2010">
        <f t="shared" si="847"/>
        <v>1097</v>
      </c>
      <c r="O2010">
        <v>11587</v>
      </c>
      <c r="P2010">
        <f t="shared" si="859"/>
        <v>0.43299908842297175</v>
      </c>
      <c r="Q2010" t="str">
        <f t="shared" si="848"/>
        <v>6.78% | 2.68%</v>
      </c>
      <c r="R2010" t="str">
        <f t="shared" si="860"/>
        <v>BEARISH</v>
      </c>
      <c r="S2010">
        <f t="shared" si="849"/>
        <v>-1</v>
      </c>
    </row>
    <row r="2011" spans="1:19" hidden="1" x14ac:dyDescent="0.25">
      <c r="A2011" s="5" t="str">
        <f t="shared" si="846"/>
        <v>43983VIX</v>
      </c>
      <c r="B2011" s="6" t="s">
        <v>17</v>
      </c>
      <c r="C2011" s="6">
        <v>26.58</v>
      </c>
      <c r="D2011" s="6">
        <v>35.42</v>
      </c>
      <c r="E2011" s="6">
        <v>27.51</v>
      </c>
      <c r="F2011" t="str">
        <f t="shared" si="850"/>
        <v>MON</v>
      </c>
      <c r="G2011" s="1">
        <f t="shared" si="851"/>
        <v>43983</v>
      </c>
      <c r="H2011" s="2">
        <f t="shared" ca="1" si="852"/>
        <v>270</v>
      </c>
      <c r="I2011" t="str">
        <f t="shared" si="853"/>
        <v>VIX</v>
      </c>
      <c r="J2011">
        <f t="shared" si="854"/>
        <v>26.58</v>
      </c>
      <c r="K2011">
        <f t="shared" si="855"/>
        <v>35.42</v>
      </c>
      <c r="L2011">
        <f t="shared" si="856"/>
        <v>31</v>
      </c>
      <c r="M2011">
        <f t="shared" si="857"/>
        <v>4.4199999999999955</v>
      </c>
      <c r="N2011">
        <f t="shared" si="847"/>
        <v>8.8400000000000034</v>
      </c>
      <c r="O2011">
        <f t="shared" si="858"/>
        <v>27.51</v>
      </c>
      <c r="P2011">
        <f t="shared" si="859"/>
        <v>-0.78959276018099589</v>
      </c>
      <c r="Q2011" t="str">
        <f t="shared" si="848"/>
        <v>3.38% | 28.75%</v>
      </c>
      <c r="R2011" t="str">
        <f t="shared" si="860"/>
        <v>BULLISH</v>
      </c>
      <c r="S2011">
        <f t="shared" si="849"/>
        <v>1</v>
      </c>
    </row>
    <row r="2012" spans="1:19" hidden="1" x14ac:dyDescent="0.25">
      <c r="A2012" s="5" t="str">
        <f t="shared" si="846"/>
        <v>43983USD</v>
      </c>
      <c r="B2012" s="6" t="s">
        <v>18</v>
      </c>
      <c r="C2012" s="6">
        <v>98.03</v>
      </c>
      <c r="D2012" s="6">
        <v>100.35</v>
      </c>
      <c r="E2012" s="6">
        <v>98.34</v>
      </c>
      <c r="F2012" t="str">
        <f t="shared" si="850"/>
        <v>MON</v>
      </c>
      <c r="G2012" s="1">
        <f t="shared" si="851"/>
        <v>43983</v>
      </c>
      <c r="H2012" s="2">
        <f t="shared" ca="1" si="852"/>
        <v>270</v>
      </c>
      <c r="I2012" t="str">
        <f t="shared" si="853"/>
        <v>USD</v>
      </c>
      <c r="J2012">
        <f t="shared" si="854"/>
        <v>98.03</v>
      </c>
      <c r="K2012">
        <f t="shared" si="855"/>
        <v>100.35</v>
      </c>
      <c r="L2012">
        <f t="shared" si="856"/>
        <v>99.19</v>
      </c>
      <c r="M2012">
        <f t="shared" si="857"/>
        <v>1.1599999999999966</v>
      </c>
      <c r="N2012">
        <f t="shared" si="847"/>
        <v>2.3199999999999932</v>
      </c>
      <c r="O2012">
        <f t="shared" si="858"/>
        <v>98.34</v>
      </c>
      <c r="P2012">
        <f t="shared" si="859"/>
        <v>-0.73275862068965247</v>
      </c>
      <c r="Q2012" t="str">
        <f t="shared" si="848"/>
        <v>0.32% | 2.04%</v>
      </c>
      <c r="R2012" t="str">
        <f t="shared" si="860"/>
        <v>BULLISH</v>
      </c>
      <c r="S2012">
        <f t="shared" si="849"/>
        <v>1</v>
      </c>
    </row>
    <row r="2013" spans="1:19" hidden="1" x14ac:dyDescent="0.25">
      <c r="A2013" s="5" t="str">
        <f t="shared" si="846"/>
        <v>43983EUR/USD</v>
      </c>
      <c r="B2013" s="6" t="s">
        <v>19</v>
      </c>
      <c r="C2013" s="6">
        <v>1.08</v>
      </c>
      <c r="D2013" s="6">
        <v>1.1100000000000001</v>
      </c>
      <c r="E2013" s="6">
        <v>1.1100000000000001</v>
      </c>
      <c r="F2013" t="str">
        <f t="shared" si="850"/>
        <v>MON</v>
      </c>
      <c r="G2013" s="1">
        <f t="shared" si="851"/>
        <v>43983</v>
      </c>
      <c r="H2013" s="2">
        <f t="shared" ca="1" si="852"/>
        <v>270</v>
      </c>
      <c r="I2013" t="str">
        <f t="shared" si="853"/>
        <v>EUR/USD</v>
      </c>
      <c r="J2013">
        <f t="shared" si="854"/>
        <v>1.08</v>
      </c>
      <c r="K2013">
        <f t="shared" si="855"/>
        <v>1.1100000000000001</v>
      </c>
      <c r="L2013">
        <f t="shared" si="856"/>
        <v>1.0950000000000002</v>
      </c>
      <c r="M2013">
        <f t="shared" si="857"/>
        <v>1.5000000000000013E-2</v>
      </c>
      <c r="N2013">
        <f t="shared" si="847"/>
        <v>3.0000000000000027E-2</v>
      </c>
      <c r="O2013">
        <f t="shared" si="858"/>
        <v>1.1100000000000001</v>
      </c>
      <c r="P2013">
        <f t="shared" si="859"/>
        <v>0.99999999999999256</v>
      </c>
      <c r="Q2013" t="str">
        <f t="shared" si="848"/>
        <v>2.7% | 0%</v>
      </c>
      <c r="R2013" t="str">
        <f t="shared" si="860"/>
        <v>BEARISH</v>
      </c>
      <c r="S2013">
        <f t="shared" si="849"/>
        <v>-1</v>
      </c>
    </row>
    <row r="2014" spans="1:19" hidden="1" x14ac:dyDescent="0.25">
      <c r="A2014" s="5" t="str">
        <f t="shared" si="846"/>
        <v>43983USD/JPY</v>
      </c>
      <c r="B2014" s="6" t="s">
        <v>20</v>
      </c>
      <c r="C2014" s="6">
        <v>106.99</v>
      </c>
      <c r="D2014" s="6">
        <v>108.14</v>
      </c>
      <c r="E2014" s="6">
        <v>107.89</v>
      </c>
      <c r="F2014" t="str">
        <f t="shared" si="850"/>
        <v>MON</v>
      </c>
      <c r="G2014" s="1">
        <f t="shared" si="851"/>
        <v>43983</v>
      </c>
      <c r="H2014" s="2">
        <f t="shared" ca="1" si="852"/>
        <v>270</v>
      </c>
      <c r="I2014" t="str">
        <f t="shared" si="853"/>
        <v>USD/JPY</v>
      </c>
      <c r="J2014">
        <f t="shared" si="854"/>
        <v>106.99</v>
      </c>
      <c r="K2014">
        <f t="shared" si="855"/>
        <v>108.14</v>
      </c>
      <c r="L2014">
        <f t="shared" si="856"/>
        <v>107.565</v>
      </c>
      <c r="M2014">
        <f t="shared" si="857"/>
        <v>0.57500000000000284</v>
      </c>
      <c r="N2014">
        <f t="shared" si="847"/>
        <v>1.1500000000000057</v>
      </c>
      <c r="O2014">
        <f t="shared" si="858"/>
        <v>107.89</v>
      </c>
      <c r="P2014">
        <f t="shared" si="859"/>
        <v>0.56521739130435</v>
      </c>
      <c r="Q2014" t="str">
        <f t="shared" si="848"/>
        <v>0.83% | 0.23%</v>
      </c>
      <c r="R2014" t="str">
        <f t="shared" si="860"/>
        <v>BEARISH</v>
      </c>
      <c r="S2014">
        <f t="shared" si="849"/>
        <v>-1</v>
      </c>
    </row>
    <row r="2015" spans="1:19" hidden="1" x14ac:dyDescent="0.25">
      <c r="A2015" s="5" t="str">
        <f t="shared" si="846"/>
        <v>43983GBP/USD</v>
      </c>
      <c r="B2015" s="6" t="s">
        <v>21</v>
      </c>
      <c r="C2015" s="6">
        <v>1.21</v>
      </c>
      <c r="D2015" s="6">
        <v>1.24</v>
      </c>
      <c r="E2015" s="6">
        <v>1.24</v>
      </c>
      <c r="F2015" t="str">
        <f t="shared" si="850"/>
        <v>MON</v>
      </c>
      <c r="G2015" s="1">
        <f t="shared" si="851"/>
        <v>43983</v>
      </c>
      <c r="H2015" s="2">
        <f t="shared" ca="1" si="852"/>
        <v>270</v>
      </c>
      <c r="I2015" t="str">
        <f t="shared" si="853"/>
        <v>GBP/USD</v>
      </c>
      <c r="J2015">
        <f t="shared" si="854"/>
        <v>1.21</v>
      </c>
      <c r="K2015">
        <f t="shared" si="855"/>
        <v>1.24</v>
      </c>
      <c r="L2015">
        <f t="shared" si="856"/>
        <v>1.2250000000000001</v>
      </c>
      <c r="M2015">
        <f t="shared" si="857"/>
        <v>1.5000000000000013E-2</v>
      </c>
      <c r="N2015">
        <f t="shared" si="847"/>
        <v>3.0000000000000027E-2</v>
      </c>
      <c r="O2015">
        <f t="shared" si="858"/>
        <v>1.24</v>
      </c>
      <c r="P2015">
        <f t="shared" si="859"/>
        <v>0.99999999999999256</v>
      </c>
      <c r="Q2015" t="str">
        <f t="shared" si="848"/>
        <v>2.42% | 0%</v>
      </c>
      <c r="R2015" t="str">
        <f t="shared" si="860"/>
        <v>BEARISH</v>
      </c>
      <c r="S2015">
        <f t="shared" si="849"/>
        <v>-1</v>
      </c>
    </row>
    <row r="2016" spans="1:19" hidden="1" x14ac:dyDescent="0.25">
      <c r="A2016" s="5" t="str">
        <f t="shared" si="846"/>
        <v>43983USD/CHF</v>
      </c>
      <c r="B2016" s="6" t="s">
        <v>76</v>
      </c>
      <c r="C2016" s="6">
        <v>0.95</v>
      </c>
      <c r="D2016" s="6">
        <v>0.97</v>
      </c>
      <c r="E2016" s="6">
        <v>0.96</v>
      </c>
      <c r="F2016" t="str">
        <f t="shared" si="850"/>
        <v>MON</v>
      </c>
      <c r="G2016" s="1">
        <f t="shared" si="851"/>
        <v>43983</v>
      </c>
      <c r="H2016" s="2">
        <f t="shared" ca="1" si="852"/>
        <v>270</v>
      </c>
      <c r="I2016" t="str">
        <f t="shared" si="853"/>
        <v>USD/CHF</v>
      </c>
      <c r="J2016">
        <f t="shared" si="854"/>
        <v>0.95</v>
      </c>
      <c r="K2016">
        <f t="shared" si="855"/>
        <v>0.97</v>
      </c>
      <c r="L2016">
        <f t="shared" si="856"/>
        <v>0.96</v>
      </c>
      <c r="M2016">
        <f t="shared" si="857"/>
        <v>1.0000000000000009E-2</v>
      </c>
      <c r="N2016">
        <f t="shared" si="847"/>
        <v>2.0000000000000018E-2</v>
      </c>
      <c r="O2016">
        <f t="shared" si="858"/>
        <v>0.96</v>
      </c>
      <c r="P2016">
        <f t="shared" si="859"/>
        <v>0</v>
      </c>
      <c r="Q2016" t="str">
        <f t="shared" si="848"/>
        <v>1.04% | 1.04%</v>
      </c>
      <c r="R2016" t="str">
        <f t="shared" si="860"/>
        <v>BEARISH</v>
      </c>
      <c r="S2016">
        <f t="shared" si="849"/>
        <v>-1</v>
      </c>
    </row>
    <row r="2017" spans="1:19" hidden="1" x14ac:dyDescent="0.25">
      <c r="A2017" s="5" t="str">
        <f t="shared" si="846"/>
        <v>43983WTIC</v>
      </c>
      <c r="B2017" s="6" t="s">
        <v>23</v>
      </c>
      <c r="C2017" s="6">
        <v>28.56</v>
      </c>
      <c r="D2017" s="6">
        <v>35.93</v>
      </c>
      <c r="E2017" s="6">
        <v>35.49</v>
      </c>
      <c r="F2017" t="str">
        <f t="shared" si="850"/>
        <v>MON</v>
      </c>
      <c r="G2017" s="1">
        <f t="shared" si="851"/>
        <v>43983</v>
      </c>
      <c r="H2017" s="2">
        <f t="shared" ca="1" si="852"/>
        <v>270</v>
      </c>
      <c r="I2017" t="str">
        <f t="shared" si="853"/>
        <v>WTIC</v>
      </c>
      <c r="J2017">
        <f t="shared" si="854"/>
        <v>28.56</v>
      </c>
      <c r="K2017">
        <f t="shared" si="855"/>
        <v>35.93</v>
      </c>
      <c r="L2017">
        <f t="shared" si="856"/>
        <v>32.244999999999997</v>
      </c>
      <c r="M2017">
        <f t="shared" si="857"/>
        <v>3.685000000000024</v>
      </c>
      <c r="N2017">
        <f t="shared" si="847"/>
        <v>7.370000000000001</v>
      </c>
      <c r="O2017">
        <f t="shared" si="858"/>
        <v>35.49</v>
      </c>
      <c r="P2017">
        <f t="shared" si="859"/>
        <v>0.88059701492536857</v>
      </c>
      <c r="Q2017" t="str">
        <f t="shared" si="848"/>
        <v>19.53% | 1.24%</v>
      </c>
      <c r="R2017" t="str">
        <f t="shared" si="860"/>
        <v>BEARISH</v>
      </c>
      <c r="S2017">
        <f t="shared" si="849"/>
        <v>-1</v>
      </c>
    </row>
    <row r="2018" spans="1:19" hidden="1" x14ac:dyDescent="0.25">
      <c r="A2018" s="5" t="str">
        <f t="shared" si="846"/>
        <v>43983NATGAS</v>
      </c>
      <c r="B2018" s="6" t="s">
        <v>24</v>
      </c>
      <c r="C2018" s="6">
        <v>1.7</v>
      </c>
      <c r="D2018" s="6">
        <v>1.97</v>
      </c>
      <c r="E2018" s="6">
        <v>1.85</v>
      </c>
      <c r="F2018" t="str">
        <f t="shared" si="850"/>
        <v>MON</v>
      </c>
      <c r="G2018" s="1">
        <f t="shared" si="851"/>
        <v>43983</v>
      </c>
      <c r="H2018" s="2">
        <f t="shared" ca="1" si="852"/>
        <v>270</v>
      </c>
      <c r="I2018" t="str">
        <f t="shared" si="853"/>
        <v>NATGAS</v>
      </c>
      <c r="J2018">
        <f t="shared" si="854"/>
        <v>1.7</v>
      </c>
      <c r="K2018">
        <f t="shared" si="855"/>
        <v>1.97</v>
      </c>
      <c r="L2018">
        <f t="shared" si="856"/>
        <v>1.835</v>
      </c>
      <c r="M2018">
        <f t="shared" si="857"/>
        <v>0.13500000000000001</v>
      </c>
      <c r="N2018">
        <f t="shared" si="847"/>
        <v>0.27</v>
      </c>
      <c r="O2018">
        <f t="shared" si="858"/>
        <v>1.85</v>
      </c>
      <c r="P2018">
        <f t="shared" si="859"/>
        <v>0.11111111111111202</v>
      </c>
      <c r="Q2018" t="str">
        <f t="shared" si="848"/>
        <v>8.11% | 6.49%</v>
      </c>
      <c r="R2018" t="str">
        <f t="shared" si="860"/>
        <v>BEARISH</v>
      </c>
      <c r="S2018">
        <f t="shared" si="849"/>
        <v>-1</v>
      </c>
    </row>
    <row r="2019" spans="1:19" hidden="1" x14ac:dyDescent="0.25">
      <c r="A2019" s="5" t="str">
        <f t="shared" si="846"/>
        <v>43983GOLD</v>
      </c>
      <c r="B2019" s="6" t="s">
        <v>25</v>
      </c>
      <c r="C2019" s="6">
        <v>1704</v>
      </c>
      <c r="D2019" s="6">
        <v>1767</v>
      </c>
      <c r="E2019" s="6">
        <v>1751</v>
      </c>
      <c r="F2019" t="str">
        <f t="shared" si="850"/>
        <v>MON</v>
      </c>
      <c r="G2019" s="1">
        <f t="shared" si="851"/>
        <v>43983</v>
      </c>
      <c r="H2019" s="2">
        <f t="shared" ca="1" si="852"/>
        <v>270</v>
      </c>
      <c r="I2019" t="str">
        <f t="shared" si="853"/>
        <v>GOLD</v>
      </c>
      <c r="J2019">
        <f t="shared" si="854"/>
        <v>1704</v>
      </c>
      <c r="K2019">
        <f t="shared" si="855"/>
        <v>1767</v>
      </c>
      <c r="L2019">
        <f t="shared" si="856"/>
        <v>1735.5</v>
      </c>
      <c r="M2019">
        <f t="shared" si="857"/>
        <v>31.5</v>
      </c>
      <c r="N2019">
        <f t="shared" si="847"/>
        <v>63</v>
      </c>
      <c r="O2019">
        <f t="shared" si="858"/>
        <v>1751</v>
      </c>
      <c r="P2019">
        <f t="shared" si="859"/>
        <v>0.49206349206349204</v>
      </c>
      <c r="Q2019" t="str">
        <f t="shared" si="848"/>
        <v>2.68% | 0.91%</v>
      </c>
      <c r="R2019" t="str">
        <f t="shared" si="860"/>
        <v>BULLISH</v>
      </c>
      <c r="S2019">
        <f t="shared" si="849"/>
        <v>1</v>
      </c>
    </row>
    <row r="2020" spans="1:19" hidden="1" x14ac:dyDescent="0.25">
      <c r="A2020" s="5" t="str">
        <f t="shared" si="846"/>
        <v>43983COPPER</v>
      </c>
      <c r="B2020" s="6" t="s">
        <v>26</v>
      </c>
      <c r="C2020" s="6">
        <v>2.36</v>
      </c>
      <c r="D2020" s="6">
        <v>2.4700000000000002</v>
      </c>
      <c r="E2020" s="6">
        <v>2.4300000000000002</v>
      </c>
      <c r="F2020" t="str">
        <f t="shared" si="850"/>
        <v>MON</v>
      </c>
      <c r="G2020" s="1">
        <f t="shared" si="851"/>
        <v>43983</v>
      </c>
      <c r="H2020" s="2">
        <f t="shared" ca="1" si="852"/>
        <v>270</v>
      </c>
      <c r="I2020" t="str">
        <f t="shared" si="853"/>
        <v>COPPER</v>
      </c>
      <c r="J2020">
        <f t="shared" si="854"/>
        <v>2.36</v>
      </c>
      <c r="K2020">
        <f t="shared" si="855"/>
        <v>2.4700000000000002</v>
      </c>
      <c r="L2020">
        <f t="shared" si="856"/>
        <v>2.415</v>
      </c>
      <c r="M2020">
        <f t="shared" si="857"/>
        <v>5.500000000000016E-2</v>
      </c>
      <c r="N2020">
        <f t="shared" si="847"/>
        <v>0.11000000000000032</v>
      </c>
      <c r="O2020">
        <f t="shared" si="858"/>
        <v>2.4300000000000002</v>
      </c>
      <c r="P2020">
        <f t="shared" si="859"/>
        <v>0.27272727272727421</v>
      </c>
      <c r="Q2020" t="str">
        <f t="shared" si="848"/>
        <v>2.88% | 1.65%</v>
      </c>
      <c r="R2020" t="str">
        <f t="shared" si="860"/>
        <v>BEARISH</v>
      </c>
      <c r="S2020">
        <f t="shared" si="849"/>
        <v>-1</v>
      </c>
    </row>
    <row r="2021" spans="1:19" hidden="1" x14ac:dyDescent="0.25">
      <c r="A2021" s="5" t="str">
        <f t="shared" si="846"/>
        <v>43983MSFT</v>
      </c>
      <c r="B2021" s="6" t="s">
        <v>27</v>
      </c>
      <c r="C2021" s="6">
        <v>179</v>
      </c>
      <c r="D2021" s="6">
        <v>186</v>
      </c>
      <c r="E2021" s="6">
        <v>183</v>
      </c>
      <c r="F2021" t="str">
        <f t="shared" si="850"/>
        <v>MON</v>
      </c>
      <c r="G2021" s="1">
        <f t="shared" si="851"/>
        <v>43983</v>
      </c>
      <c r="H2021" s="2">
        <f t="shared" ca="1" si="852"/>
        <v>270</v>
      </c>
      <c r="I2021" t="str">
        <f t="shared" si="853"/>
        <v>MSFT</v>
      </c>
      <c r="J2021">
        <f t="shared" si="854"/>
        <v>179</v>
      </c>
      <c r="K2021">
        <f t="shared" si="855"/>
        <v>186</v>
      </c>
      <c r="L2021">
        <f t="shared" si="856"/>
        <v>182.5</v>
      </c>
      <c r="M2021">
        <f t="shared" si="857"/>
        <v>3.5</v>
      </c>
      <c r="N2021">
        <f t="shared" si="847"/>
        <v>7</v>
      </c>
      <c r="O2021">
        <f t="shared" si="858"/>
        <v>183</v>
      </c>
      <c r="P2021">
        <f t="shared" si="859"/>
        <v>0.14285714285714285</v>
      </c>
      <c r="Q2021" t="str">
        <f t="shared" si="848"/>
        <v>2.19% | 1.64%</v>
      </c>
      <c r="R2021" t="str">
        <f t="shared" si="860"/>
        <v>BULLISH</v>
      </c>
      <c r="S2021">
        <f t="shared" si="849"/>
        <v>1</v>
      </c>
    </row>
    <row r="2022" spans="1:19" hidden="1" x14ac:dyDescent="0.25">
      <c r="A2022" s="5" t="str">
        <f t="shared" si="846"/>
        <v>43983AAPL</v>
      </c>
      <c r="B2022" s="6" t="s">
        <v>28</v>
      </c>
      <c r="C2022" s="6">
        <v>310</v>
      </c>
      <c r="D2022" s="6">
        <v>322</v>
      </c>
      <c r="E2022" s="6">
        <v>317</v>
      </c>
      <c r="F2022" t="str">
        <f t="shared" si="850"/>
        <v>MON</v>
      </c>
      <c r="G2022" s="1">
        <f t="shared" si="851"/>
        <v>43983</v>
      </c>
      <c r="H2022" s="2">
        <f t="shared" ca="1" si="852"/>
        <v>270</v>
      </c>
      <c r="I2022" t="str">
        <f t="shared" si="853"/>
        <v>AAPL</v>
      </c>
      <c r="J2022">
        <f t="shared" si="854"/>
        <v>310</v>
      </c>
      <c r="K2022">
        <f t="shared" si="855"/>
        <v>322</v>
      </c>
      <c r="L2022">
        <f t="shared" si="856"/>
        <v>316</v>
      </c>
      <c r="M2022">
        <f t="shared" si="857"/>
        <v>6</v>
      </c>
      <c r="N2022">
        <f t="shared" si="847"/>
        <v>12</v>
      </c>
      <c r="O2022">
        <f t="shared" si="858"/>
        <v>317</v>
      </c>
      <c r="P2022">
        <f t="shared" si="859"/>
        <v>0.16666666666666666</v>
      </c>
      <c r="Q2022" t="str">
        <f t="shared" si="848"/>
        <v>2.21% | 1.58%</v>
      </c>
      <c r="R2022" t="str">
        <f t="shared" si="860"/>
        <v>BULLISH</v>
      </c>
      <c r="S2022">
        <f t="shared" si="849"/>
        <v>1</v>
      </c>
    </row>
    <row r="2023" spans="1:19" hidden="1" x14ac:dyDescent="0.25">
      <c r="A2023" s="5" t="str">
        <f t="shared" si="846"/>
        <v>43983AMZN</v>
      </c>
      <c r="B2023" s="6" t="s">
        <v>29</v>
      </c>
      <c r="C2023" s="6">
        <v>2365</v>
      </c>
      <c r="D2023" s="6">
        <v>2492</v>
      </c>
      <c r="E2023" s="6">
        <v>2442</v>
      </c>
      <c r="F2023" t="str">
        <f t="shared" si="850"/>
        <v>MON</v>
      </c>
      <c r="G2023" s="1">
        <f t="shared" si="851"/>
        <v>43983</v>
      </c>
      <c r="H2023" s="2">
        <f t="shared" ca="1" si="852"/>
        <v>270</v>
      </c>
      <c r="I2023" t="str">
        <f t="shared" si="853"/>
        <v>AMZN</v>
      </c>
      <c r="J2023">
        <f t="shared" si="854"/>
        <v>2365</v>
      </c>
      <c r="K2023">
        <f t="shared" si="855"/>
        <v>2492</v>
      </c>
      <c r="L2023">
        <f t="shared" si="856"/>
        <v>2428.5</v>
      </c>
      <c r="M2023">
        <f t="shared" si="857"/>
        <v>63.5</v>
      </c>
      <c r="N2023">
        <f t="shared" si="847"/>
        <v>127</v>
      </c>
      <c r="O2023">
        <f t="shared" si="858"/>
        <v>2442</v>
      </c>
      <c r="P2023">
        <f t="shared" si="859"/>
        <v>0.2125984251968504</v>
      </c>
      <c r="Q2023" t="str">
        <f t="shared" si="848"/>
        <v>3.15% | 2.05%</v>
      </c>
      <c r="R2023" t="str">
        <f t="shared" si="860"/>
        <v>BULLISH</v>
      </c>
      <c r="S2023">
        <f t="shared" si="849"/>
        <v>1</v>
      </c>
    </row>
    <row r="2024" spans="1:19" hidden="1" x14ac:dyDescent="0.25">
      <c r="A2024" s="5" t="str">
        <f t="shared" si="846"/>
        <v>43983FB</v>
      </c>
      <c r="B2024" s="6" t="s">
        <v>30</v>
      </c>
      <c r="C2024" s="6">
        <v>210</v>
      </c>
      <c r="D2024" s="6">
        <v>241</v>
      </c>
      <c r="E2024" s="6">
        <v>225</v>
      </c>
      <c r="F2024" t="str">
        <f t="shared" si="850"/>
        <v>MON</v>
      </c>
      <c r="G2024" s="1">
        <f t="shared" si="851"/>
        <v>43983</v>
      </c>
      <c r="H2024" s="2">
        <f t="shared" ca="1" si="852"/>
        <v>270</v>
      </c>
      <c r="I2024" t="str">
        <f t="shared" si="853"/>
        <v>FB</v>
      </c>
      <c r="J2024">
        <f t="shared" si="854"/>
        <v>210</v>
      </c>
      <c r="K2024">
        <f t="shared" si="855"/>
        <v>241</v>
      </c>
      <c r="L2024">
        <f t="shared" si="856"/>
        <v>225.5</v>
      </c>
      <c r="M2024">
        <f t="shared" si="857"/>
        <v>15.5</v>
      </c>
      <c r="N2024">
        <f t="shared" si="847"/>
        <v>31</v>
      </c>
      <c r="O2024">
        <f t="shared" si="858"/>
        <v>225</v>
      </c>
      <c r="P2024">
        <f t="shared" si="859"/>
        <v>-3.2258064516129031E-2</v>
      </c>
      <c r="Q2024" t="str">
        <f t="shared" si="848"/>
        <v>6.67% | 7.11%</v>
      </c>
      <c r="R2024" t="str">
        <f t="shared" si="860"/>
        <v>BULLISH</v>
      </c>
      <c r="S2024">
        <f t="shared" si="849"/>
        <v>1</v>
      </c>
    </row>
    <row r="2025" spans="1:19" hidden="1" x14ac:dyDescent="0.25">
      <c r="A2025" s="5" t="str">
        <f t="shared" si="846"/>
        <v>43983GOOGL</v>
      </c>
      <c r="B2025" s="6" t="s">
        <v>31</v>
      </c>
      <c r="C2025" s="6">
        <v>1359</v>
      </c>
      <c r="D2025" s="6">
        <v>1446</v>
      </c>
      <c r="E2025" s="6">
        <v>1433</v>
      </c>
      <c r="F2025" t="str">
        <f t="shared" si="850"/>
        <v>MON</v>
      </c>
      <c r="G2025" s="1">
        <f t="shared" si="851"/>
        <v>43983</v>
      </c>
      <c r="H2025" s="2">
        <f t="shared" ca="1" si="852"/>
        <v>270</v>
      </c>
      <c r="I2025" t="str">
        <f t="shared" si="853"/>
        <v>GOOGL</v>
      </c>
      <c r="J2025">
        <f t="shared" si="854"/>
        <v>1359</v>
      </c>
      <c r="K2025">
        <f t="shared" si="855"/>
        <v>1446</v>
      </c>
      <c r="L2025">
        <f t="shared" si="856"/>
        <v>1402.5</v>
      </c>
      <c r="M2025">
        <f t="shared" si="857"/>
        <v>43.5</v>
      </c>
      <c r="N2025">
        <f t="shared" si="847"/>
        <v>87</v>
      </c>
      <c r="O2025">
        <f t="shared" si="858"/>
        <v>1433</v>
      </c>
      <c r="P2025">
        <f t="shared" si="859"/>
        <v>0.70114942528735635</v>
      </c>
      <c r="Q2025" t="str">
        <f t="shared" si="848"/>
        <v>5.16% | 0.91%</v>
      </c>
      <c r="R2025" t="str">
        <f t="shared" si="860"/>
        <v>BULLISH</v>
      </c>
      <c r="S2025">
        <f t="shared" si="849"/>
        <v>1</v>
      </c>
    </row>
    <row r="2026" spans="1:19" hidden="1" x14ac:dyDescent="0.25">
      <c r="A2026" s="5" t="str">
        <f t="shared" si="846"/>
        <v>43983NFLX</v>
      </c>
      <c r="B2026" s="6" t="s">
        <v>32</v>
      </c>
      <c r="C2026" s="6">
        <v>394</v>
      </c>
      <c r="D2026" s="6">
        <v>435</v>
      </c>
      <c r="E2026" s="6">
        <v>419</v>
      </c>
      <c r="F2026" t="str">
        <f t="shared" si="850"/>
        <v>MON</v>
      </c>
      <c r="G2026" s="1">
        <f t="shared" si="851"/>
        <v>43983</v>
      </c>
      <c r="H2026" s="2">
        <f t="shared" ca="1" si="852"/>
        <v>270</v>
      </c>
      <c r="I2026" t="str">
        <f t="shared" si="853"/>
        <v>NFLX</v>
      </c>
      <c r="J2026">
        <f t="shared" si="854"/>
        <v>394</v>
      </c>
      <c r="K2026">
        <f t="shared" si="855"/>
        <v>435</v>
      </c>
      <c r="L2026">
        <f t="shared" si="856"/>
        <v>414.5</v>
      </c>
      <c r="M2026">
        <f t="shared" si="857"/>
        <v>20.5</v>
      </c>
      <c r="N2026">
        <f t="shared" si="847"/>
        <v>41</v>
      </c>
      <c r="O2026">
        <f t="shared" si="858"/>
        <v>419</v>
      </c>
      <c r="P2026">
        <f t="shared" si="859"/>
        <v>0.21951219512195122</v>
      </c>
      <c r="Q2026" t="str">
        <f t="shared" si="848"/>
        <v>5.97% | 3.82%</v>
      </c>
      <c r="R2026" t="str">
        <f t="shared" si="860"/>
        <v>BULLISH</v>
      </c>
      <c r="S2026">
        <f t="shared" si="849"/>
        <v>1</v>
      </c>
    </row>
    <row r="2027" spans="1:19" x14ac:dyDescent="0.25">
      <c r="A2027" s="5" t="str">
        <f t="shared" si="846"/>
        <v>43983TSLA</v>
      </c>
      <c r="B2027" s="6" t="s">
        <v>33</v>
      </c>
      <c r="C2027" s="6">
        <v>790</v>
      </c>
      <c r="D2027" s="6">
        <v>842</v>
      </c>
      <c r="E2027" s="6">
        <v>835</v>
      </c>
      <c r="F2027" t="str">
        <f t="shared" si="850"/>
        <v>MON</v>
      </c>
      <c r="G2027" s="1">
        <f t="shared" si="851"/>
        <v>43983</v>
      </c>
      <c r="H2027" s="2">
        <f t="shared" ca="1" si="852"/>
        <v>270</v>
      </c>
      <c r="I2027" t="str">
        <f t="shared" si="853"/>
        <v>TSLA</v>
      </c>
      <c r="J2027">
        <f t="shared" si="854"/>
        <v>790</v>
      </c>
      <c r="K2027">
        <f t="shared" si="855"/>
        <v>842</v>
      </c>
      <c r="L2027">
        <f t="shared" si="856"/>
        <v>816</v>
      </c>
      <c r="M2027">
        <f t="shared" si="857"/>
        <v>26</v>
      </c>
      <c r="N2027">
        <f t="shared" si="847"/>
        <v>52</v>
      </c>
      <c r="O2027">
        <v>878</v>
      </c>
      <c r="P2027">
        <f t="shared" si="859"/>
        <v>2.3846153846153846</v>
      </c>
      <c r="Q2027" t="str">
        <f t="shared" si="848"/>
        <v>10.02% | 4.1%</v>
      </c>
      <c r="R2027" t="str">
        <f t="shared" si="860"/>
        <v>BULLISH</v>
      </c>
      <c r="S2027">
        <f t="shared" si="849"/>
        <v>1</v>
      </c>
    </row>
    <row r="2028" spans="1:19" hidden="1" x14ac:dyDescent="0.25">
      <c r="A2028" s="5" t="str">
        <f t="shared" si="846"/>
        <v>43983NYXBT</v>
      </c>
      <c r="B2028" s="6" t="s">
        <v>34</v>
      </c>
      <c r="C2028" s="6">
        <v>8878</v>
      </c>
      <c r="D2028" s="6">
        <v>9995</v>
      </c>
      <c r="E2028" s="6">
        <v>9436</v>
      </c>
      <c r="F2028" t="str">
        <f t="shared" si="850"/>
        <v>MON</v>
      </c>
      <c r="G2028" s="1">
        <f t="shared" si="851"/>
        <v>43983</v>
      </c>
      <c r="H2028" s="2">
        <f t="shared" ca="1" si="852"/>
        <v>270</v>
      </c>
      <c r="I2028" t="str">
        <f t="shared" si="853"/>
        <v>NYXBT</v>
      </c>
      <c r="J2028">
        <f t="shared" si="854"/>
        <v>8878</v>
      </c>
      <c r="K2028">
        <f t="shared" si="855"/>
        <v>9995</v>
      </c>
      <c r="L2028">
        <f t="shared" si="856"/>
        <v>9436.5</v>
      </c>
      <c r="M2028">
        <f t="shared" si="857"/>
        <v>558.5</v>
      </c>
      <c r="N2028">
        <f t="shared" si="847"/>
        <v>1117</v>
      </c>
      <c r="O2028">
        <f t="shared" si="858"/>
        <v>9436</v>
      </c>
      <c r="P2028">
        <f t="shared" si="859"/>
        <v>-8.9525514771709937E-4</v>
      </c>
      <c r="Q2028" t="str">
        <f t="shared" si="848"/>
        <v>5.91% | 5.92%</v>
      </c>
      <c r="R2028" t="str">
        <f t="shared" si="860"/>
        <v>BULLISH</v>
      </c>
      <c r="S2028">
        <f t="shared" si="849"/>
        <v>1</v>
      </c>
    </row>
    <row r="2029" spans="1:19" hidden="1" x14ac:dyDescent="0.25">
      <c r="A2029" s="5" t="str">
        <f t="shared" si="846"/>
        <v>43984UST10Y</v>
      </c>
      <c r="B2029" s="6" t="s">
        <v>4</v>
      </c>
      <c r="C2029" s="6">
        <v>0.72</v>
      </c>
      <c r="D2029" s="6">
        <v>0.62</v>
      </c>
      <c r="E2029" s="6">
        <v>0.66</v>
      </c>
      <c r="F2029" t="str">
        <f t="shared" si="850"/>
        <v>TUE</v>
      </c>
      <c r="G2029" s="3">
        <f>DATE(2020,6,2)</f>
        <v>43984</v>
      </c>
      <c r="H2029" s="2">
        <f t="shared" ca="1" si="852"/>
        <v>269</v>
      </c>
      <c r="I2029" t="str">
        <f t="shared" si="853"/>
        <v>UST10Y</v>
      </c>
      <c r="J2029">
        <f t="shared" si="854"/>
        <v>0.72</v>
      </c>
      <c r="K2029">
        <f t="shared" si="855"/>
        <v>0.62</v>
      </c>
      <c r="L2029">
        <f t="shared" si="856"/>
        <v>0.66999999999999993</v>
      </c>
      <c r="M2029">
        <f t="shared" si="857"/>
        <v>4.9999999999999989E-2</v>
      </c>
      <c r="N2029">
        <f t="shared" si="847"/>
        <v>9.9999999999999978E-2</v>
      </c>
      <c r="O2029">
        <f t="shared" si="858"/>
        <v>0.66</v>
      </c>
      <c r="P2029">
        <f t="shared" si="859"/>
        <v>-0.19999999999999801</v>
      </c>
      <c r="Q2029" t="str">
        <f t="shared" si="848"/>
        <v>9.09% | 6.06%</v>
      </c>
      <c r="R2029" t="str">
        <f t="shared" si="860"/>
        <v>BEARISH</v>
      </c>
      <c r="S2029">
        <f t="shared" si="849"/>
        <v>-1</v>
      </c>
    </row>
    <row r="2030" spans="1:19" hidden="1" x14ac:dyDescent="0.25">
      <c r="A2030" s="5" t="str">
        <f t="shared" si="846"/>
        <v>43984UST2Y</v>
      </c>
      <c r="B2030" s="6" t="s">
        <v>5</v>
      </c>
      <c r="C2030" s="6">
        <v>0.19</v>
      </c>
      <c r="D2030" s="6">
        <v>0.14000000000000001</v>
      </c>
      <c r="E2030" s="6">
        <v>0.14000000000000001</v>
      </c>
      <c r="F2030" t="str">
        <f t="shared" ref="F2030:F2060" si="861">UPPER(TEXT(G2030,"ddd"))</f>
        <v>TUE</v>
      </c>
      <c r="G2030" s="3">
        <f t="shared" ref="G2030:G2059" si="862">DATE(2020,6,2)</f>
        <v>43984</v>
      </c>
      <c r="H2030" s="2">
        <f t="shared" ref="H2030:H2060" ca="1" si="863">TODAY()-G2030</f>
        <v>269</v>
      </c>
      <c r="I2030" t="str">
        <f t="shared" ref="I2030:I2060" si="864">TRIM(LEFT(B2030,FIND(" ",B2030,1)))</f>
        <v>UST2Y</v>
      </c>
      <c r="J2030">
        <f t="shared" ref="J2030:J2060" si="865">C2030</f>
        <v>0.19</v>
      </c>
      <c r="K2030">
        <f t="shared" ref="K2030:K2060" si="866">D2030</f>
        <v>0.14000000000000001</v>
      </c>
      <c r="L2030">
        <f t="shared" ref="L2030:L2060" si="867">AVERAGE(J2030:K2030)</f>
        <v>0.16500000000000001</v>
      </c>
      <c r="M2030">
        <f t="shared" ref="M2030:M2060" si="868">_xlfn.STDEV.P(J2030:K2030)</f>
        <v>2.4999999999999942E-2</v>
      </c>
      <c r="N2030">
        <f t="shared" si="847"/>
        <v>4.9999999999999989E-2</v>
      </c>
      <c r="O2030">
        <f t="shared" ref="O2030:O2060" si="869">E2030</f>
        <v>0.14000000000000001</v>
      </c>
      <c r="P2030">
        <f t="shared" ref="P2030:P2060" si="870">(O2030-L2030)/M2030</f>
        <v>-1.000000000000002</v>
      </c>
      <c r="Q2030" t="str">
        <f t="shared" si="848"/>
        <v>35.71% | 0%</v>
      </c>
      <c r="R2030" t="str">
        <f t="shared" ref="R2030:R2060" si="871">MID(B2030,FIND("(",B2030,1)+1,FIND(")",B2030,1)-FIND("(",B2030,1)-1)</f>
        <v>BEARISH</v>
      </c>
      <c r="S2030">
        <f t="shared" si="849"/>
        <v>-1</v>
      </c>
    </row>
    <row r="2031" spans="1:19" hidden="1" x14ac:dyDescent="0.25">
      <c r="A2031" s="5" t="str">
        <f t="shared" si="846"/>
        <v>43984SPX</v>
      </c>
      <c r="B2031" s="6" t="s">
        <v>6</v>
      </c>
      <c r="C2031" s="6">
        <v>2896</v>
      </c>
      <c r="D2031" s="6">
        <v>3085</v>
      </c>
      <c r="E2031" s="6">
        <v>3055</v>
      </c>
      <c r="F2031" t="str">
        <f t="shared" si="861"/>
        <v>TUE</v>
      </c>
      <c r="G2031" s="3">
        <f t="shared" si="862"/>
        <v>43984</v>
      </c>
      <c r="H2031" s="2">
        <f t="shared" ca="1" si="863"/>
        <v>269</v>
      </c>
      <c r="I2031" t="str">
        <f t="shared" si="864"/>
        <v>SPX</v>
      </c>
      <c r="J2031">
        <f t="shared" si="865"/>
        <v>2896</v>
      </c>
      <c r="K2031">
        <f t="shared" si="866"/>
        <v>3085</v>
      </c>
      <c r="L2031">
        <f t="shared" si="867"/>
        <v>2990.5</v>
      </c>
      <c r="M2031">
        <f t="shared" si="868"/>
        <v>94.5</v>
      </c>
      <c r="N2031">
        <f t="shared" si="847"/>
        <v>189</v>
      </c>
      <c r="O2031">
        <f t="shared" si="869"/>
        <v>3055</v>
      </c>
      <c r="P2031">
        <f t="shared" si="870"/>
        <v>0.68253968253968256</v>
      </c>
      <c r="Q2031" t="str">
        <f t="shared" si="848"/>
        <v>5.2% | 0.98%</v>
      </c>
      <c r="R2031" t="str">
        <f t="shared" si="871"/>
        <v>BEARISH</v>
      </c>
      <c r="S2031">
        <f t="shared" si="849"/>
        <v>-1</v>
      </c>
    </row>
    <row r="2032" spans="1:19" hidden="1" x14ac:dyDescent="0.25">
      <c r="A2032" s="5" t="str">
        <f t="shared" si="846"/>
        <v>43984RUT</v>
      </c>
      <c r="B2032" s="6" t="s">
        <v>7</v>
      </c>
      <c r="C2032" s="6">
        <v>1298</v>
      </c>
      <c r="D2032" s="6">
        <v>1450</v>
      </c>
      <c r="E2032" s="6">
        <v>1405</v>
      </c>
      <c r="F2032" t="str">
        <f t="shared" si="861"/>
        <v>TUE</v>
      </c>
      <c r="G2032" s="3">
        <f t="shared" si="862"/>
        <v>43984</v>
      </c>
      <c r="H2032" s="2">
        <f t="shared" ca="1" si="863"/>
        <v>269</v>
      </c>
      <c r="I2032" t="str">
        <f t="shared" si="864"/>
        <v>RUT</v>
      </c>
      <c r="J2032">
        <f t="shared" si="865"/>
        <v>1298</v>
      </c>
      <c r="K2032">
        <f t="shared" si="866"/>
        <v>1450</v>
      </c>
      <c r="L2032">
        <f t="shared" si="867"/>
        <v>1374</v>
      </c>
      <c r="M2032">
        <f t="shared" si="868"/>
        <v>76</v>
      </c>
      <c r="N2032">
        <f t="shared" si="847"/>
        <v>152</v>
      </c>
      <c r="O2032">
        <f t="shared" si="869"/>
        <v>1405</v>
      </c>
      <c r="P2032">
        <f t="shared" si="870"/>
        <v>0.40789473684210525</v>
      </c>
      <c r="Q2032" t="str">
        <f t="shared" si="848"/>
        <v>7.62% | 3.2%</v>
      </c>
      <c r="R2032" t="str">
        <f t="shared" si="871"/>
        <v>BEARISH</v>
      </c>
      <c r="S2032">
        <f t="shared" si="849"/>
        <v>-1</v>
      </c>
    </row>
    <row r="2033" spans="1:19" hidden="1" x14ac:dyDescent="0.25">
      <c r="A2033" s="5" t="str">
        <f t="shared" si="846"/>
        <v>43984COMPQ</v>
      </c>
      <c r="B2033" s="6" t="s">
        <v>8</v>
      </c>
      <c r="C2033" s="6">
        <v>9146</v>
      </c>
      <c r="D2033" s="6">
        <v>9584</v>
      </c>
      <c r="E2033" s="6">
        <v>9552</v>
      </c>
      <c r="F2033" t="str">
        <f t="shared" si="861"/>
        <v>TUE</v>
      </c>
      <c r="G2033" s="3">
        <f t="shared" si="862"/>
        <v>43984</v>
      </c>
      <c r="H2033" s="2">
        <f t="shared" ca="1" si="863"/>
        <v>269</v>
      </c>
      <c r="I2033" t="str">
        <f t="shared" si="864"/>
        <v>COMPQ</v>
      </c>
      <c r="J2033">
        <f t="shared" si="865"/>
        <v>9146</v>
      </c>
      <c r="K2033">
        <f t="shared" si="866"/>
        <v>9584</v>
      </c>
      <c r="L2033">
        <f t="shared" si="867"/>
        <v>9365</v>
      </c>
      <c r="M2033">
        <f t="shared" si="868"/>
        <v>219</v>
      </c>
      <c r="N2033">
        <f t="shared" si="847"/>
        <v>438</v>
      </c>
      <c r="O2033">
        <f t="shared" si="869"/>
        <v>9552</v>
      </c>
      <c r="P2033">
        <f t="shared" si="870"/>
        <v>0.85388127853881279</v>
      </c>
      <c r="Q2033" t="str">
        <f t="shared" si="848"/>
        <v>4.25% | 0.34%</v>
      </c>
      <c r="R2033" t="str">
        <f t="shared" si="871"/>
        <v>BULLISH</v>
      </c>
      <c r="S2033">
        <f t="shared" si="849"/>
        <v>1</v>
      </c>
    </row>
    <row r="2034" spans="1:19" hidden="1" x14ac:dyDescent="0.25">
      <c r="A2034" s="5" t="str">
        <f t="shared" si="846"/>
        <v>43984XLV</v>
      </c>
      <c r="B2034" s="6" t="s">
        <v>9</v>
      </c>
      <c r="C2034" s="6">
        <v>98.32</v>
      </c>
      <c r="D2034" s="6">
        <v>103.1</v>
      </c>
      <c r="E2034" s="6">
        <v>101.99</v>
      </c>
      <c r="F2034" t="str">
        <f t="shared" si="861"/>
        <v>TUE</v>
      </c>
      <c r="G2034" s="3">
        <f t="shared" si="862"/>
        <v>43984</v>
      </c>
      <c r="H2034" s="2">
        <f t="shared" ca="1" si="863"/>
        <v>269</v>
      </c>
      <c r="I2034" t="str">
        <f t="shared" si="864"/>
        <v>XLV</v>
      </c>
      <c r="J2034">
        <f t="shared" si="865"/>
        <v>98.32</v>
      </c>
      <c r="K2034">
        <f t="shared" si="866"/>
        <v>103.1</v>
      </c>
      <c r="L2034">
        <f t="shared" si="867"/>
        <v>100.71</v>
      </c>
      <c r="M2034">
        <f t="shared" si="868"/>
        <v>2.3900000000000006</v>
      </c>
      <c r="N2034">
        <f t="shared" si="847"/>
        <v>4.7800000000000011</v>
      </c>
      <c r="O2034">
        <f t="shared" si="869"/>
        <v>101.99</v>
      </c>
      <c r="P2034">
        <f t="shared" si="870"/>
        <v>0.53556485355648575</v>
      </c>
      <c r="Q2034" t="str">
        <f t="shared" si="848"/>
        <v>3.6% | 1.09%</v>
      </c>
      <c r="R2034" t="str">
        <f t="shared" si="871"/>
        <v>BULLISH</v>
      </c>
      <c r="S2034">
        <f t="shared" si="849"/>
        <v>1</v>
      </c>
    </row>
    <row r="2035" spans="1:19" hidden="1" x14ac:dyDescent="0.25">
      <c r="A2035" s="5" t="str">
        <f t="shared" si="846"/>
        <v>43984XLK</v>
      </c>
      <c r="B2035" s="6" t="s">
        <v>10</v>
      </c>
      <c r="C2035" s="6">
        <v>93.95</v>
      </c>
      <c r="D2035" s="6">
        <v>98.64</v>
      </c>
      <c r="E2035" s="6">
        <v>97.94</v>
      </c>
      <c r="F2035" t="str">
        <f t="shared" si="861"/>
        <v>TUE</v>
      </c>
      <c r="G2035" s="3">
        <f t="shared" si="862"/>
        <v>43984</v>
      </c>
      <c r="H2035" s="2">
        <f t="shared" ca="1" si="863"/>
        <v>269</v>
      </c>
      <c r="I2035" t="str">
        <f t="shared" si="864"/>
        <v>XLK</v>
      </c>
      <c r="J2035">
        <f t="shared" si="865"/>
        <v>93.95</v>
      </c>
      <c r="K2035">
        <f t="shared" si="866"/>
        <v>98.64</v>
      </c>
      <c r="L2035">
        <f t="shared" si="867"/>
        <v>96.295000000000002</v>
      </c>
      <c r="M2035">
        <f t="shared" si="868"/>
        <v>2.3449999999999989</v>
      </c>
      <c r="N2035">
        <f t="shared" si="847"/>
        <v>4.6899999999999977</v>
      </c>
      <c r="O2035">
        <f t="shared" si="869"/>
        <v>97.94</v>
      </c>
      <c r="P2035">
        <f t="shared" si="870"/>
        <v>0.70149253731343153</v>
      </c>
      <c r="Q2035" t="str">
        <f t="shared" si="848"/>
        <v>4.07% | 0.71%</v>
      </c>
      <c r="R2035" t="str">
        <f t="shared" si="871"/>
        <v>BULLISH</v>
      </c>
      <c r="S2035">
        <f t="shared" si="849"/>
        <v>1</v>
      </c>
    </row>
    <row r="2036" spans="1:19" hidden="1" x14ac:dyDescent="0.25">
      <c r="A2036" s="5" t="str">
        <f t="shared" si="846"/>
        <v>43984XLU</v>
      </c>
      <c r="B2036" s="6" t="s">
        <v>52</v>
      </c>
      <c r="C2036" s="6">
        <v>54.4</v>
      </c>
      <c r="D2036" s="6">
        <v>60.94</v>
      </c>
      <c r="E2036" s="6">
        <v>60.4</v>
      </c>
      <c r="F2036" t="str">
        <f t="shared" si="861"/>
        <v>TUE</v>
      </c>
      <c r="G2036" s="3">
        <f t="shared" si="862"/>
        <v>43984</v>
      </c>
      <c r="H2036" s="2">
        <f t="shared" ca="1" si="863"/>
        <v>269</v>
      </c>
      <c r="I2036" t="str">
        <f t="shared" si="864"/>
        <v>XLU</v>
      </c>
      <c r="J2036">
        <f t="shared" si="865"/>
        <v>54.4</v>
      </c>
      <c r="K2036">
        <f t="shared" si="866"/>
        <v>60.94</v>
      </c>
      <c r="L2036">
        <f t="shared" si="867"/>
        <v>57.67</v>
      </c>
      <c r="M2036">
        <f t="shared" si="868"/>
        <v>3.2699999999999996</v>
      </c>
      <c r="N2036">
        <f t="shared" si="847"/>
        <v>6.5399999999999991</v>
      </c>
      <c r="O2036">
        <f t="shared" si="869"/>
        <v>60.4</v>
      </c>
      <c r="P2036">
        <f t="shared" si="870"/>
        <v>0.83486238532110002</v>
      </c>
      <c r="Q2036" t="str">
        <f t="shared" si="848"/>
        <v>9.93% | 0.89%</v>
      </c>
      <c r="R2036" t="str">
        <f t="shared" si="871"/>
        <v>BULLISH</v>
      </c>
      <c r="S2036">
        <f t="shared" si="849"/>
        <v>1</v>
      </c>
    </row>
    <row r="2037" spans="1:19" hidden="1" x14ac:dyDescent="0.25">
      <c r="A2037" s="5" t="str">
        <f t="shared" si="846"/>
        <v>43984XLF</v>
      </c>
      <c r="B2037" s="6" t="s">
        <v>12</v>
      </c>
      <c r="C2037" s="6">
        <v>20.57</v>
      </c>
      <c r="D2037" s="6">
        <v>24.65</v>
      </c>
      <c r="E2037" s="6">
        <v>23.68</v>
      </c>
      <c r="F2037" t="str">
        <f t="shared" si="861"/>
        <v>TUE</v>
      </c>
      <c r="G2037" s="3">
        <f t="shared" si="862"/>
        <v>43984</v>
      </c>
      <c r="H2037" s="2">
        <f t="shared" ca="1" si="863"/>
        <v>269</v>
      </c>
      <c r="I2037" t="str">
        <f t="shared" si="864"/>
        <v>XLF</v>
      </c>
      <c r="J2037">
        <f t="shared" si="865"/>
        <v>20.57</v>
      </c>
      <c r="K2037">
        <f t="shared" si="866"/>
        <v>24.65</v>
      </c>
      <c r="L2037">
        <f t="shared" si="867"/>
        <v>22.61</v>
      </c>
      <c r="M2037">
        <f t="shared" si="868"/>
        <v>2.0399999999999991</v>
      </c>
      <c r="N2037">
        <f t="shared" si="847"/>
        <v>4.0799999999999983</v>
      </c>
      <c r="O2037">
        <f t="shared" si="869"/>
        <v>23.68</v>
      </c>
      <c r="P2037">
        <f t="shared" si="870"/>
        <v>0.52450980392156898</v>
      </c>
      <c r="Q2037" t="str">
        <f t="shared" si="848"/>
        <v>13.13% | 4.1%</v>
      </c>
      <c r="R2037" t="str">
        <f t="shared" si="871"/>
        <v>BEARISH</v>
      </c>
      <c r="S2037">
        <f t="shared" si="849"/>
        <v>-1</v>
      </c>
    </row>
    <row r="2038" spans="1:19" hidden="1" x14ac:dyDescent="0.25">
      <c r="A2038" s="5" t="str">
        <f t="shared" si="846"/>
        <v>43984XLI</v>
      </c>
      <c r="B2038" s="6" t="s">
        <v>13</v>
      </c>
      <c r="C2038" s="6">
        <v>61.45</v>
      </c>
      <c r="D2038" s="6">
        <v>70.5</v>
      </c>
      <c r="E2038" s="6">
        <v>67.819999999999993</v>
      </c>
      <c r="F2038" t="str">
        <f t="shared" si="861"/>
        <v>TUE</v>
      </c>
      <c r="G2038" s="3">
        <f t="shared" si="862"/>
        <v>43984</v>
      </c>
      <c r="H2038" s="2">
        <f t="shared" ca="1" si="863"/>
        <v>269</v>
      </c>
      <c r="I2038" t="str">
        <f t="shared" si="864"/>
        <v>XLI</v>
      </c>
      <c r="J2038">
        <f t="shared" si="865"/>
        <v>61.45</v>
      </c>
      <c r="K2038">
        <f t="shared" si="866"/>
        <v>70.5</v>
      </c>
      <c r="L2038">
        <f t="shared" si="867"/>
        <v>65.974999999999994</v>
      </c>
      <c r="M2038">
        <f t="shared" si="868"/>
        <v>4.5249999999999986</v>
      </c>
      <c r="N2038">
        <f t="shared" si="847"/>
        <v>9.0499999999999972</v>
      </c>
      <c r="O2038">
        <f t="shared" si="869"/>
        <v>67.819999999999993</v>
      </c>
      <c r="P2038">
        <f t="shared" si="870"/>
        <v>0.40773480662983413</v>
      </c>
      <c r="Q2038" t="str">
        <f t="shared" si="848"/>
        <v>9.39% | 3.95%</v>
      </c>
      <c r="R2038" t="str">
        <f t="shared" si="871"/>
        <v>BEARISH</v>
      </c>
      <c r="S2038">
        <f t="shared" si="849"/>
        <v>-1</v>
      </c>
    </row>
    <row r="2039" spans="1:19" hidden="1" x14ac:dyDescent="0.25">
      <c r="A2039" s="5" t="str">
        <f t="shared" si="846"/>
        <v>43984SSEC</v>
      </c>
      <c r="B2039" s="6" t="s">
        <v>14</v>
      </c>
      <c r="C2039" s="6">
        <v>2791</v>
      </c>
      <c r="D2039" s="6">
        <v>2933</v>
      </c>
      <c r="E2039" s="6">
        <v>2921</v>
      </c>
      <c r="F2039" t="str">
        <f t="shared" si="861"/>
        <v>TUE</v>
      </c>
      <c r="G2039" s="3">
        <f t="shared" si="862"/>
        <v>43984</v>
      </c>
      <c r="H2039" s="2">
        <f t="shared" ca="1" si="863"/>
        <v>269</v>
      </c>
      <c r="I2039" t="str">
        <f t="shared" si="864"/>
        <v>SSEC</v>
      </c>
      <c r="J2039">
        <f t="shared" si="865"/>
        <v>2791</v>
      </c>
      <c r="K2039">
        <f t="shared" si="866"/>
        <v>2933</v>
      </c>
      <c r="L2039">
        <f t="shared" si="867"/>
        <v>2862</v>
      </c>
      <c r="M2039">
        <f t="shared" si="868"/>
        <v>71</v>
      </c>
      <c r="N2039">
        <f t="shared" si="847"/>
        <v>142</v>
      </c>
      <c r="O2039">
        <f t="shared" si="869"/>
        <v>2921</v>
      </c>
      <c r="P2039">
        <f t="shared" si="870"/>
        <v>0.83098591549295775</v>
      </c>
      <c r="Q2039" t="str">
        <f t="shared" si="848"/>
        <v>4.45% | 0.41%</v>
      </c>
      <c r="R2039" t="str">
        <f t="shared" si="871"/>
        <v>BEARISH</v>
      </c>
      <c r="S2039">
        <f t="shared" si="849"/>
        <v>-1</v>
      </c>
    </row>
    <row r="2040" spans="1:19" hidden="1" x14ac:dyDescent="0.25">
      <c r="A2040" s="5" t="str">
        <f t="shared" si="846"/>
        <v>43984NIKK</v>
      </c>
      <c r="B2040" s="6" t="s">
        <v>91</v>
      </c>
      <c r="C2040" s="6">
        <v>20514</v>
      </c>
      <c r="D2040" s="6">
        <v>22466</v>
      </c>
      <c r="E2040" s="6">
        <v>22325</v>
      </c>
      <c r="F2040" t="str">
        <f t="shared" si="861"/>
        <v>TUE</v>
      </c>
      <c r="G2040" s="3">
        <f t="shared" si="862"/>
        <v>43984</v>
      </c>
      <c r="H2040" s="2">
        <f t="shared" ca="1" si="863"/>
        <v>269</v>
      </c>
      <c r="I2040" t="str">
        <f t="shared" si="864"/>
        <v>NIKK</v>
      </c>
      <c r="J2040">
        <f t="shared" si="865"/>
        <v>20514</v>
      </c>
      <c r="K2040">
        <f t="shared" si="866"/>
        <v>22466</v>
      </c>
      <c r="L2040">
        <f t="shared" si="867"/>
        <v>21490</v>
      </c>
      <c r="M2040">
        <f t="shared" si="868"/>
        <v>976</v>
      </c>
      <c r="N2040">
        <f t="shared" si="847"/>
        <v>1952</v>
      </c>
      <c r="O2040">
        <f t="shared" si="869"/>
        <v>22325</v>
      </c>
      <c r="P2040">
        <f t="shared" si="870"/>
        <v>0.85553278688524592</v>
      </c>
      <c r="Q2040" t="str">
        <f t="shared" si="848"/>
        <v>8.11% | 0.63%</v>
      </c>
      <c r="R2040" t="str">
        <f t="shared" si="871"/>
        <v>BULLISH</v>
      </c>
      <c r="S2040">
        <f t="shared" si="849"/>
        <v>1</v>
      </c>
    </row>
    <row r="2041" spans="1:19" hidden="1" x14ac:dyDescent="0.25">
      <c r="A2041" s="5" t="str">
        <f t="shared" si="846"/>
        <v>43984DAX</v>
      </c>
      <c r="B2041" s="6" t="s">
        <v>16</v>
      </c>
      <c r="C2041" s="6">
        <v>10831</v>
      </c>
      <c r="D2041" s="6">
        <v>11998</v>
      </c>
      <c r="E2041" s="6">
        <v>11584</v>
      </c>
      <c r="F2041" t="str">
        <f t="shared" si="861"/>
        <v>TUE</v>
      </c>
      <c r="G2041" s="3">
        <f t="shared" si="862"/>
        <v>43984</v>
      </c>
      <c r="H2041" s="2">
        <f t="shared" ca="1" si="863"/>
        <v>269</v>
      </c>
      <c r="I2041" t="str">
        <f t="shared" si="864"/>
        <v>DAX</v>
      </c>
      <c r="J2041">
        <f t="shared" si="865"/>
        <v>10831</v>
      </c>
      <c r="K2041">
        <f t="shared" si="866"/>
        <v>11998</v>
      </c>
      <c r="L2041">
        <f t="shared" si="867"/>
        <v>11414.5</v>
      </c>
      <c r="M2041">
        <f t="shared" si="868"/>
        <v>583.5</v>
      </c>
      <c r="N2041">
        <f t="shared" si="847"/>
        <v>1167</v>
      </c>
      <c r="O2041">
        <f t="shared" si="869"/>
        <v>11584</v>
      </c>
      <c r="P2041">
        <f t="shared" si="870"/>
        <v>0.29048843187660667</v>
      </c>
      <c r="Q2041" t="str">
        <f t="shared" si="848"/>
        <v>6.5% | 3.57%</v>
      </c>
      <c r="R2041" t="str">
        <f t="shared" si="871"/>
        <v>BEARISH</v>
      </c>
      <c r="S2041">
        <f t="shared" si="849"/>
        <v>-1</v>
      </c>
    </row>
    <row r="2042" spans="1:19" hidden="1" x14ac:dyDescent="0.25">
      <c r="A2042" s="5" t="str">
        <f t="shared" si="846"/>
        <v>43984VIX</v>
      </c>
      <c r="B2042" s="6" t="s">
        <v>17</v>
      </c>
      <c r="C2042" s="6">
        <v>26.42</v>
      </c>
      <c r="D2042" s="6">
        <v>35.369999999999997</v>
      </c>
      <c r="E2042" s="6">
        <v>28.23</v>
      </c>
      <c r="F2042" t="str">
        <f t="shared" si="861"/>
        <v>TUE</v>
      </c>
      <c r="G2042" s="3">
        <f t="shared" si="862"/>
        <v>43984</v>
      </c>
      <c r="H2042" s="2">
        <f t="shared" ca="1" si="863"/>
        <v>269</v>
      </c>
      <c r="I2042" t="str">
        <f t="shared" si="864"/>
        <v>VIX</v>
      </c>
      <c r="J2042">
        <f t="shared" si="865"/>
        <v>26.42</v>
      </c>
      <c r="K2042">
        <f t="shared" si="866"/>
        <v>35.369999999999997</v>
      </c>
      <c r="L2042">
        <f t="shared" si="867"/>
        <v>30.895</v>
      </c>
      <c r="M2042">
        <f t="shared" si="868"/>
        <v>4.4749999999999988</v>
      </c>
      <c r="N2042">
        <f t="shared" si="847"/>
        <v>8.9499999999999957</v>
      </c>
      <c r="O2042">
        <f t="shared" si="869"/>
        <v>28.23</v>
      </c>
      <c r="P2042">
        <f t="shared" si="870"/>
        <v>-0.59553072625698322</v>
      </c>
      <c r="Q2042" t="str">
        <f t="shared" si="848"/>
        <v>6.41% | 25.29%</v>
      </c>
      <c r="R2042" t="str">
        <f t="shared" si="871"/>
        <v>BULLISH</v>
      </c>
      <c r="S2042">
        <f t="shared" si="849"/>
        <v>1</v>
      </c>
    </row>
    <row r="2043" spans="1:19" hidden="1" x14ac:dyDescent="0.25">
      <c r="A2043" s="5" t="str">
        <f t="shared" si="846"/>
        <v>43984USD</v>
      </c>
      <c r="B2043" s="6" t="s">
        <v>18</v>
      </c>
      <c r="C2043" s="6">
        <v>97.11</v>
      </c>
      <c r="D2043" s="6">
        <v>100.53</v>
      </c>
      <c r="E2043" s="6">
        <v>97.82</v>
      </c>
      <c r="F2043" t="str">
        <f t="shared" si="861"/>
        <v>TUE</v>
      </c>
      <c r="G2043" s="3">
        <f t="shared" si="862"/>
        <v>43984</v>
      </c>
      <c r="H2043" s="2">
        <f t="shared" ca="1" si="863"/>
        <v>269</v>
      </c>
      <c r="I2043" t="str">
        <f t="shared" si="864"/>
        <v>USD</v>
      </c>
      <c r="J2043">
        <f t="shared" si="865"/>
        <v>97.11</v>
      </c>
      <c r="K2043">
        <f t="shared" si="866"/>
        <v>100.53</v>
      </c>
      <c r="L2043">
        <f t="shared" si="867"/>
        <v>98.82</v>
      </c>
      <c r="M2043">
        <f t="shared" si="868"/>
        <v>1.7100000000000009</v>
      </c>
      <c r="N2043">
        <f t="shared" si="847"/>
        <v>3.4200000000000017</v>
      </c>
      <c r="O2043">
        <f t="shared" si="869"/>
        <v>97.82</v>
      </c>
      <c r="P2043">
        <f t="shared" si="870"/>
        <v>-0.58479532163742665</v>
      </c>
      <c r="Q2043" t="str">
        <f t="shared" si="848"/>
        <v>0.73% | 2.77%</v>
      </c>
      <c r="R2043" t="str">
        <f t="shared" si="871"/>
        <v>BULLISH</v>
      </c>
      <c r="S2043">
        <f t="shared" si="849"/>
        <v>1</v>
      </c>
    </row>
    <row r="2044" spans="1:19" hidden="1" x14ac:dyDescent="0.25">
      <c r="A2044" s="5" t="str">
        <f t="shared" si="846"/>
        <v>43984EUR/USD</v>
      </c>
      <c r="B2044" s="6" t="s">
        <v>19</v>
      </c>
      <c r="C2044" s="6">
        <v>1.08</v>
      </c>
      <c r="D2044" s="6">
        <v>1.1200000000000001</v>
      </c>
      <c r="E2044" s="6">
        <v>1.1100000000000001</v>
      </c>
      <c r="F2044" t="str">
        <f t="shared" si="861"/>
        <v>TUE</v>
      </c>
      <c r="G2044" s="3">
        <f t="shared" si="862"/>
        <v>43984</v>
      </c>
      <c r="H2044" s="2">
        <f t="shared" ca="1" si="863"/>
        <v>269</v>
      </c>
      <c r="I2044" t="str">
        <f t="shared" si="864"/>
        <v>EUR/USD</v>
      </c>
      <c r="J2044">
        <f t="shared" si="865"/>
        <v>1.08</v>
      </c>
      <c r="K2044">
        <f t="shared" si="866"/>
        <v>1.1200000000000001</v>
      </c>
      <c r="L2044">
        <f t="shared" si="867"/>
        <v>1.1000000000000001</v>
      </c>
      <c r="M2044">
        <f t="shared" si="868"/>
        <v>2.0000000000000018E-2</v>
      </c>
      <c r="N2044">
        <f t="shared" si="847"/>
        <v>4.0000000000000036E-2</v>
      </c>
      <c r="O2044">
        <f t="shared" si="869"/>
        <v>1.1100000000000001</v>
      </c>
      <c r="P2044">
        <f t="shared" si="870"/>
        <v>0.5</v>
      </c>
      <c r="Q2044" t="str">
        <f t="shared" si="848"/>
        <v>2.7% | 0.9%</v>
      </c>
      <c r="R2044" t="str">
        <f t="shared" si="871"/>
        <v>BEARISH</v>
      </c>
      <c r="S2044">
        <f t="shared" si="849"/>
        <v>-1</v>
      </c>
    </row>
    <row r="2045" spans="1:19" hidden="1" x14ac:dyDescent="0.25">
      <c r="A2045" s="5" t="str">
        <f t="shared" si="846"/>
        <v>43984USD/JPY</v>
      </c>
      <c r="B2045" s="6" t="s">
        <v>20</v>
      </c>
      <c r="C2045" s="6">
        <v>107.02</v>
      </c>
      <c r="D2045" s="6">
        <v>108.11</v>
      </c>
      <c r="E2045" s="6">
        <v>107.59</v>
      </c>
      <c r="F2045" t="str">
        <f t="shared" si="861"/>
        <v>TUE</v>
      </c>
      <c r="G2045" s="3">
        <f t="shared" si="862"/>
        <v>43984</v>
      </c>
      <c r="H2045" s="2">
        <f t="shared" ca="1" si="863"/>
        <v>269</v>
      </c>
      <c r="I2045" t="str">
        <f t="shared" si="864"/>
        <v>USD/JPY</v>
      </c>
      <c r="J2045">
        <f t="shared" si="865"/>
        <v>107.02</v>
      </c>
      <c r="K2045">
        <f t="shared" si="866"/>
        <v>108.11</v>
      </c>
      <c r="L2045">
        <f t="shared" si="867"/>
        <v>107.565</v>
      </c>
      <c r="M2045">
        <f t="shared" si="868"/>
        <v>0.54500000000000171</v>
      </c>
      <c r="N2045">
        <f t="shared" si="847"/>
        <v>1.0900000000000034</v>
      </c>
      <c r="O2045">
        <f t="shared" si="869"/>
        <v>107.59</v>
      </c>
      <c r="P2045">
        <f t="shared" si="870"/>
        <v>4.5871559633037809E-2</v>
      </c>
      <c r="Q2045" t="str">
        <f t="shared" si="848"/>
        <v>0.53% | 0.48%</v>
      </c>
      <c r="R2045" t="str">
        <f t="shared" si="871"/>
        <v>BEARISH</v>
      </c>
      <c r="S2045">
        <f t="shared" si="849"/>
        <v>-1</v>
      </c>
    </row>
    <row r="2046" spans="1:19" hidden="1" x14ac:dyDescent="0.25">
      <c r="A2046" s="5" t="str">
        <f t="shared" si="846"/>
        <v>43984GBP/USD</v>
      </c>
      <c r="B2046" s="6" t="s">
        <v>21</v>
      </c>
      <c r="C2046" s="6">
        <v>1.21</v>
      </c>
      <c r="D2046" s="6">
        <v>1.25</v>
      </c>
      <c r="E2046" s="6">
        <v>1.25</v>
      </c>
      <c r="F2046" t="str">
        <f t="shared" si="861"/>
        <v>TUE</v>
      </c>
      <c r="G2046" s="3">
        <f t="shared" si="862"/>
        <v>43984</v>
      </c>
      <c r="H2046" s="2">
        <f t="shared" ca="1" si="863"/>
        <v>269</v>
      </c>
      <c r="I2046" t="str">
        <f t="shared" si="864"/>
        <v>GBP/USD</v>
      </c>
      <c r="J2046">
        <f t="shared" si="865"/>
        <v>1.21</v>
      </c>
      <c r="K2046">
        <f t="shared" si="866"/>
        <v>1.25</v>
      </c>
      <c r="L2046">
        <f t="shared" si="867"/>
        <v>1.23</v>
      </c>
      <c r="M2046">
        <f t="shared" si="868"/>
        <v>2.0000000000000018E-2</v>
      </c>
      <c r="N2046">
        <f t="shared" si="847"/>
        <v>4.0000000000000036E-2</v>
      </c>
      <c r="O2046">
        <f t="shared" si="869"/>
        <v>1.25</v>
      </c>
      <c r="P2046">
        <f t="shared" si="870"/>
        <v>1</v>
      </c>
      <c r="Q2046" t="str">
        <f t="shared" si="848"/>
        <v>3.2% | 0%</v>
      </c>
      <c r="R2046" t="str">
        <f t="shared" si="871"/>
        <v>BEARISH</v>
      </c>
      <c r="S2046">
        <f t="shared" si="849"/>
        <v>-1</v>
      </c>
    </row>
    <row r="2047" spans="1:19" hidden="1" x14ac:dyDescent="0.25">
      <c r="A2047" s="5" t="str">
        <f t="shared" si="846"/>
        <v>43984USD/CHF</v>
      </c>
      <c r="B2047" s="6" t="s">
        <v>76</v>
      </c>
      <c r="C2047" s="6">
        <v>0.95</v>
      </c>
      <c r="D2047" s="6">
        <v>0.97</v>
      </c>
      <c r="E2047" s="6">
        <v>0.96</v>
      </c>
      <c r="F2047" t="str">
        <f t="shared" si="861"/>
        <v>TUE</v>
      </c>
      <c r="G2047" s="3">
        <f t="shared" si="862"/>
        <v>43984</v>
      </c>
      <c r="H2047" s="2">
        <f t="shared" ca="1" si="863"/>
        <v>269</v>
      </c>
      <c r="I2047" t="str">
        <f t="shared" si="864"/>
        <v>USD/CHF</v>
      </c>
      <c r="J2047">
        <f t="shared" si="865"/>
        <v>0.95</v>
      </c>
      <c r="K2047">
        <f t="shared" si="866"/>
        <v>0.97</v>
      </c>
      <c r="L2047">
        <f t="shared" si="867"/>
        <v>0.96</v>
      </c>
      <c r="M2047">
        <f t="shared" si="868"/>
        <v>1.0000000000000009E-2</v>
      </c>
      <c r="N2047">
        <f t="shared" si="847"/>
        <v>2.0000000000000018E-2</v>
      </c>
      <c r="O2047">
        <f t="shared" si="869"/>
        <v>0.96</v>
      </c>
      <c r="P2047">
        <f t="shared" si="870"/>
        <v>0</v>
      </c>
      <c r="Q2047" t="str">
        <f t="shared" si="848"/>
        <v>1.04% | 1.04%</v>
      </c>
      <c r="R2047" t="str">
        <f t="shared" si="871"/>
        <v>BEARISH</v>
      </c>
      <c r="S2047">
        <f t="shared" si="849"/>
        <v>-1</v>
      </c>
    </row>
    <row r="2048" spans="1:19" hidden="1" x14ac:dyDescent="0.25">
      <c r="A2048" s="5" t="str">
        <f t="shared" si="846"/>
        <v>43984WTIC</v>
      </c>
      <c r="B2048" s="6" t="s">
        <v>23</v>
      </c>
      <c r="C2048" s="6">
        <v>29.04</v>
      </c>
      <c r="D2048" s="6">
        <v>36.6</v>
      </c>
      <c r="E2048" s="6">
        <v>35.44</v>
      </c>
      <c r="F2048" t="str">
        <f t="shared" si="861"/>
        <v>TUE</v>
      </c>
      <c r="G2048" s="3">
        <f t="shared" si="862"/>
        <v>43984</v>
      </c>
      <c r="H2048" s="2">
        <f t="shared" ca="1" si="863"/>
        <v>269</v>
      </c>
      <c r="I2048" t="str">
        <f t="shared" si="864"/>
        <v>WTIC</v>
      </c>
      <c r="J2048">
        <f t="shared" si="865"/>
        <v>29.04</v>
      </c>
      <c r="K2048">
        <f t="shared" si="866"/>
        <v>36.6</v>
      </c>
      <c r="L2048">
        <f t="shared" si="867"/>
        <v>32.82</v>
      </c>
      <c r="M2048">
        <f t="shared" si="868"/>
        <v>3.7800000000000185</v>
      </c>
      <c r="N2048">
        <f t="shared" si="847"/>
        <v>7.5600000000000023</v>
      </c>
      <c r="O2048">
        <v>36</v>
      </c>
      <c r="P2048">
        <f t="shared" si="870"/>
        <v>0.84126984126983706</v>
      </c>
      <c r="Q2048" t="str">
        <f t="shared" si="848"/>
        <v>19.33% | 1.67%</v>
      </c>
      <c r="R2048" t="str">
        <f t="shared" si="871"/>
        <v>BEARISH</v>
      </c>
      <c r="S2048">
        <f t="shared" si="849"/>
        <v>-1</v>
      </c>
    </row>
    <row r="2049" spans="1:19" hidden="1" x14ac:dyDescent="0.25">
      <c r="A2049" s="5" t="str">
        <f t="shared" si="846"/>
        <v>43984NATGAS</v>
      </c>
      <c r="B2049" s="6" t="s">
        <v>24</v>
      </c>
      <c r="C2049" s="6">
        <v>1.69</v>
      </c>
      <c r="D2049" s="6">
        <v>1.95</v>
      </c>
      <c r="E2049" s="6">
        <v>1.77</v>
      </c>
      <c r="F2049" t="str">
        <f t="shared" si="861"/>
        <v>TUE</v>
      </c>
      <c r="G2049" s="3">
        <f t="shared" si="862"/>
        <v>43984</v>
      </c>
      <c r="H2049" s="2">
        <f t="shared" ca="1" si="863"/>
        <v>269</v>
      </c>
      <c r="I2049" t="str">
        <f t="shared" si="864"/>
        <v>NATGAS</v>
      </c>
      <c r="J2049">
        <f t="shared" si="865"/>
        <v>1.69</v>
      </c>
      <c r="K2049">
        <f t="shared" si="866"/>
        <v>1.95</v>
      </c>
      <c r="L2049">
        <f t="shared" si="867"/>
        <v>1.8199999999999998</v>
      </c>
      <c r="M2049">
        <f t="shared" si="868"/>
        <v>0.13</v>
      </c>
      <c r="N2049">
        <f t="shared" si="847"/>
        <v>0.26</v>
      </c>
      <c r="O2049">
        <f t="shared" si="869"/>
        <v>1.77</v>
      </c>
      <c r="P2049">
        <f t="shared" si="870"/>
        <v>-0.38461538461538325</v>
      </c>
      <c r="Q2049" t="str">
        <f t="shared" si="848"/>
        <v>4.52% | 10.17%</v>
      </c>
      <c r="R2049" t="str">
        <f t="shared" si="871"/>
        <v>BEARISH</v>
      </c>
      <c r="S2049">
        <f t="shared" si="849"/>
        <v>-1</v>
      </c>
    </row>
    <row r="2050" spans="1:19" hidden="1" x14ac:dyDescent="0.25">
      <c r="A2050" s="5" t="str">
        <f t="shared" si="846"/>
        <v>43984GOLD</v>
      </c>
      <c r="B2050" s="6" t="s">
        <v>25</v>
      </c>
      <c r="C2050" s="6">
        <v>1703</v>
      </c>
      <c r="D2050" s="6">
        <v>1766</v>
      </c>
      <c r="E2050" s="6">
        <v>1750</v>
      </c>
      <c r="F2050" t="str">
        <f t="shared" si="861"/>
        <v>TUE</v>
      </c>
      <c r="G2050" s="3">
        <f t="shared" si="862"/>
        <v>43984</v>
      </c>
      <c r="H2050" s="2">
        <f t="shared" ca="1" si="863"/>
        <v>269</v>
      </c>
      <c r="I2050" t="str">
        <f t="shared" si="864"/>
        <v>GOLD</v>
      </c>
      <c r="J2050">
        <f t="shared" si="865"/>
        <v>1703</v>
      </c>
      <c r="K2050">
        <f t="shared" si="866"/>
        <v>1766</v>
      </c>
      <c r="L2050">
        <f t="shared" si="867"/>
        <v>1734.5</v>
      </c>
      <c r="M2050">
        <f t="shared" si="868"/>
        <v>31.5</v>
      </c>
      <c r="N2050">
        <f t="shared" si="847"/>
        <v>63</v>
      </c>
      <c r="O2050">
        <f t="shared" si="869"/>
        <v>1750</v>
      </c>
      <c r="P2050">
        <f t="shared" si="870"/>
        <v>0.49206349206349204</v>
      </c>
      <c r="Q2050" t="str">
        <f t="shared" si="848"/>
        <v>2.69% | 0.91%</v>
      </c>
      <c r="R2050" t="str">
        <f t="shared" si="871"/>
        <v>BULLISH</v>
      </c>
      <c r="S2050">
        <f t="shared" si="849"/>
        <v>1</v>
      </c>
    </row>
    <row r="2051" spans="1:19" hidden="1" x14ac:dyDescent="0.25">
      <c r="A2051" s="5" t="str">
        <f t="shared" ref="A2051:A2114" si="872">G2051&amp;I2051</f>
        <v>43984COPPER</v>
      </c>
      <c r="B2051" s="6" t="s">
        <v>26</v>
      </c>
      <c r="C2051" s="6">
        <v>2.35</v>
      </c>
      <c r="D2051" s="6">
        <v>2.48</v>
      </c>
      <c r="E2051" s="6">
        <v>2.4700000000000002</v>
      </c>
      <c r="F2051" t="str">
        <f t="shared" si="861"/>
        <v>TUE</v>
      </c>
      <c r="G2051" s="3">
        <f t="shared" si="862"/>
        <v>43984</v>
      </c>
      <c r="H2051" s="2">
        <f t="shared" ca="1" si="863"/>
        <v>269</v>
      </c>
      <c r="I2051" t="str">
        <f t="shared" si="864"/>
        <v>COPPER</v>
      </c>
      <c r="J2051">
        <f t="shared" si="865"/>
        <v>2.35</v>
      </c>
      <c r="K2051">
        <f t="shared" si="866"/>
        <v>2.48</v>
      </c>
      <c r="L2051">
        <f t="shared" si="867"/>
        <v>2.415</v>
      </c>
      <c r="M2051">
        <f t="shared" si="868"/>
        <v>6.4999999999999947E-2</v>
      </c>
      <c r="N2051">
        <f t="shared" ref="N2051:N2114" si="873">ABS(K2051-J2051)</f>
        <v>0.12999999999999989</v>
      </c>
      <c r="O2051">
        <f t="shared" si="869"/>
        <v>2.4700000000000002</v>
      </c>
      <c r="P2051">
        <f t="shared" si="870"/>
        <v>0.84615384615384925</v>
      </c>
      <c r="Q2051" t="str">
        <f t="shared" ref="Q2051:Q2114" si="874">ROUND(ABS(100*(O2051-J2051)/O2051),2)&amp;"% | "&amp;ROUND(ABS(100*(K2051-O2051)/O2051),2)&amp;"%"</f>
        <v>4.86% | 0.4%</v>
      </c>
      <c r="R2051" t="str">
        <f t="shared" si="871"/>
        <v>BEARISH</v>
      </c>
      <c r="S2051">
        <f t="shared" ref="S2051:S2114" si="875">IF(R2051="BEARISH",-1,IF(R2051="NEUTRAL",0,IF(R2051="BULLISH",1,99)))</f>
        <v>-1</v>
      </c>
    </row>
    <row r="2052" spans="1:19" hidden="1" x14ac:dyDescent="0.25">
      <c r="A2052" s="5" t="str">
        <f t="shared" si="872"/>
        <v>43984MSFT</v>
      </c>
      <c r="B2052" s="6" t="s">
        <v>27</v>
      </c>
      <c r="C2052" s="6">
        <v>179</v>
      </c>
      <c r="D2052" s="6">
        <v>186</v>
      </c>
      <c r="E2052" s="6">
        <v>182</v>
      </c>
      <c r="F2052" t="str">
        <f t="shared" si="861"/>
        <v>TUE</v>
      </c>
      <c r="G2052" s="3">
        <f t="shared" si="862"/>
        <v>43984</v>
      </c>
      <c r="H2052" s="2">
        <f t="shared" ca="1" si="863"/>
        <v>269</v>
      </c>
      <c r="I2052" t="str">
        <f t="shared" si="864"/>
        <v>MSFT</v>
      </c>
      <c r="J2052">
        <f t="shared" si="865"/>
        <v>179</v>
      </c>
      <c r="K2052">
        <f t="shared" si="866"/>
        <v>186</v>
      </c>
      <c r="L2052">
        <f t="shared" si="867"/>
        <v>182.5</v>
      </c>
      <c r="M2052">
        <f t="shared" si="868"/>
        <v>3.5</v>
      </c>
      <c r="N2052">
        <f t="shared" si="873"/>
        <v>7</v>
      </c>
      <c r="O2052">
        <f t="shared" si="869"/>
        <v>182</v>
      </c>
      <c r="P2052">
        <f t="shared" si="870"/>
        <v>-0.14285714285714285</v>
      </c>
      <c r="Q2052" t="str">
        <f t="shared" si="874"/>
        <v>1.65% | 2.2%</v>
      </c>
      <c r="R2052" t="str">
        <f t="shared" si="871"/>
        <v>BULLISH</v>
      </c>
      <c r="S2052">
        <f t="shared" si="875"/>
        <v>1</v>
      </c>
    </row>
    <row r="2053" spans="1:19" hidden="1" x14ac:dyDescent="0.25">
      <c r="A2053" s="5" t="str">
        <f t="shared" si="872"/>
        <v>43984AAPL</v>
      </c>
      <c r="B2053" s="6" t="s">
        <v>28</v>
      </c>
      <c r="C2053" s="6">
        <v>311</v>
      </c>
      <c r="D2053" s="6">
        <v>323</v>
      </c>
      <c r="E2053" s="6">
        <v>321</v>
      </c>
      <c r="F2053" t="str">
        <f t="shared" si="861"/>
        <v>TUE</v>
      </c>
      <c r="G2053" s="3">
        <f t="shared" si="862"/>
        <v>43984</v>
      </c>
      <c r="H2053" s="2">
        <f t="shared" ca="1" si="863"/>
        <v>269</v>
      </c>
      <c r="I2053" t="str">
        <f t="shared" si="864"/>
        <v>AAPL</v>
      </c>
      <c r="J2053">
        <f t="shared" si="865"/>
        <v>311</v>
      </c>
      <c r="K2053">
        <f t="shared" si="866"/>
        <v>323</v>
      </c>
      <c r="L2053">
        <f t="shared" si="867"/>
        <v>317</v>
      </c>
      <c r="M2053">
        <f t="shared" si="868"/>
        <v>6</v>
      </c>
      <c r="N2053">
        <f t="shared" si="873"/>
        <v>12</v>
      </c>
      <c r="O2053">
        <f t="shared" si="869"/>
        <v>321</v>
      </c>
      <c r="P2053">
        <f t="shared" si="870"/>
        <v>0.66666666666666663</v>
      </c>
      <c r="Q2053" t="str">
        <f t="shared" si="874"/>
        <v>3.12% | 0.62%</v>
      </c>
      <c r="R2053" t="str">
        <f t="shared" si="871"/>
        <v>BULLISH</v>
      </c>
      <c r="S2053">
        <f t="shared" si="875"/>
        <v>1</v>
      </c>
    </row>
    <row r="2054" spans="1:19" hidden="1" x14ac:dyDescent="0.25">
      <c r="A2054" s="5" t="str">
        <f t="shared" si="872"/>
        <v>43984AMZN</v>
      </c>
      <c r="B2054" s="6" t="s">
        <v>29</v>
      </c>
      <c r="C2054" s="6">
        <v>2373</v>
      </c>
      <c r="D2054" s="6">
        <v>2503</v>
      </c>
      <c r="E2054" s="6">
        <v>2471</v>
      </c>
      <c r="F2054" t="str">
        <f t="shared" si="861"/>
        <v>TUE</v>
      </c>
      <c r="G2054" s="3">
        <f t="shared" si="862"/>
        <v>43984</v>
      </c>
      <c r="H2054" s="2">
        <f t="shared" ca="1" si="863"/>
        <v>269</v>
      </c>
      <c r="I2054" t="str">
        <f t="shared" si="864"/>
        <v>AMZN</v>
      </c>
      <c r="J2054">
        <f t="shared" si="865"/>
        <v>2373</v>
      </c>
      <c r="K2054">
        <f t="shared" si="866"/>
        <v>2503</v>
      </c>
      <c r="L2054">
        <f t="shared" si="867"/>
        <v>2438</v>
      </c>
      <c r="M2054">
        <f t="shared" si="868"/>
        <v>65</v>
      </c>
      <c r="N2054">
        <f t="shared" si="873"/>
        <v>130</v>
      </c>
      <c r="O2054">
        <f t="shared" si="869"/>
        <v>2471</v>
      </c>
      <c r="P2054">
        <f t="shared" si="870"/>
        <v>0.50769230769230766</v>
      </c>
      <c r="Q2054" t="str">
        <f t="shared" si="874"/>
        <v>3.97% | 1.3%</v>
      </c>
      <c r="R2054" t="str">
        <f t="shared" si="871"/>
        <v>BULLISH</v>
      </c>
      <c r="S2054">
        <f t="shared" si="875"/>
        <v>1</v>
      </c>
    </row>
    <row r="2055" spans="1:19" hidden="1" x14ac:dyDescent="0.25">
      <c r="A2055" s="5" t="str">
        <f t="shared" si="872"/>
        <v>43984FB</v>
      </c>
      <c r="B2055" s="6" t="s">
        <v>30</v>
      </c>
      <c r="C2055" s="6">
        <v>212</v>
      </c>
      <c r="D2055" s="6">
        <v>241</v>
      </c>
      <c r="E2055" s="6">
        <v>231</v>
      </c>
      <c r="F2055" t="str">
        <f t="shared" si="861"/>
        <v>TUE</v>
      </c>
      <c r="G2055" s="3">
        <f t="shared" si="862"/>
        <v>43984</v>
      </c>
      <c r="H2055" s="2">
        <f t="shared" ca="1" si="863"/>
        <v>269</v>
      </c>
      <c r="I2055" t="str">
        <f t="shared" si="864"/>
        <v>FB</v>
      </c>
      <c r="J2055">
        <f t="shared" si="865"/>
        <v>212</v>
      </c>
      <c r="K2055">
        <f t="shared" si="866"/>
        <v>241</v>
      </c>
      <c r="L2055">
        <f t="shared" si="867"/>
        <v>226.5</v>
      </c>
      <c r="M2055">
        <f t="shared" si="868"/>
        <v>14.5</v>
      </c>
      <c r="N2055">
        <f t="shared" si="873"/>
        <v>29</v>
      </c>
      <c r="O2055">
        <f t="shared" si="869"/>
        <v>231</v>
      </c>
      <c r="P2055">
        <f t="shared" si="870"/>
        <v>0.31034482758620691</v>
      </c>
      <c r="Q2055" t="str">
        <f t="shared" si="874"/>
        <v>8.23% | 4.33%</v>
      </c>
      <c r="R2055" t="str">
        <f t="shared" si="871"/>
        <v>BULLISH</v>
      </c>
      <c r="S2055">
        <f t="shared" si="875"/>
        <v>1</v>
      </c>
    </row>
    <row r="2056" spans="1:19" hidden="1" x14ac:dyDescent="0.25">
      <c r="A2056" s="5" t="str">
        <f t="shared" si="872"/>
        <v>43984GOOGL</v>
      </c>
      <c r="B2056" s="6" t="s">
        <v>31</v>
      </c>
      <c r="C2056" s="6">
        <v>1366</v>
      </c>
      <c r="D2056" s="6">
        <v>1458</v>
      </c>
      <c r="E2056" s="6">
        <v>1434</v>
      </c>
      <c r="F2056" t="str">
        <f t="shared" si="861"/>
        <v>TUE</v>
      </c>
      <c r="G2056" s="3">
        <f t="shared" si="862"/>
        <v>43984</v>
      </c>
      <c r="H2056" s="2">
        <f t="shared" ca="1" si="863"/>
        <v>269</v>
      </c>
      <c r="I2056" t="str">
        <f t="shared" si="864"/>
        <v>GOOGL</v>
      </c>
      <c r="J2056">
        <f t="shared" si="865"/>
        <v>1366</v>
      </c>
      <c r="K2056">
        <f t="shared" si="866"/>
        <v>1458</v>
      </c>
      <c r="L2056">
        <f t="shared" si="867"/>
        <v>1412</v>
      </c>
      <c r="M2056">
        <f t="shared" si="868"/>
        <v>46</v>
      </c>
      <c r="N2056">
        <f t="shared" si="873"/>
        <v>92</v>
      </c>
      <c r="O2056">
        <f t="shared" si="869"/>
        <v>1434</v>
      </c>
      <c r="P2056">
        <f t="shared" si="870"/>
        <v>0.47826086956521741</v>
      </c>
      <c r="Q2056" t="str">
        <f t="shared" si="874"/>
        <v>4.74% | 1.67%</v>
      </c>
      <c r="R2056" t="str">
        <f t="shared" si="871"/>
        <v>BULLISH</v>
      </c>
      <c r="S2056">
        <f t="shared" si="875"/>
        <v>1</v>
      </c>
    </row>
    <row r="2057" spans="1:19" hidden="1" x14ac:dyDescent="0.25">
      <c r="A2057" s="5" t="str">
        <f t="shared" si="872"/>
        <v>43984NFLX</v>
      </c>
      <c r="B2057" s="6" t="s">
        <v>32</v>
      </c>
      <c r="C2057" s="6">
        <v>399</v>
      </c>
      <c r="D2057" s="6">
        <v>455</v>
      </c>
      <c r="E2057" s="6">
        <v>425</v>
      </c>
      <c r="F2057" t="str">
        <f t="shared" si="861"/>
        <v>TUE</v>
      </c>
      <c r="G2057" s="3">
        <f t="shared" si="862"/>
        <v>43984</v>
      </c>
      <c r="H2057" s="2">
        <f t="shared" ca="1" si="863"/>
        <v>269</v>
      </c>
      <c r="I2057" t="str">
        <f t="shared" si="864"/>
        <v>NFLX</v>
      </c>
      <c r="J2057">
        <f t="shared" si="865"/>
        <v>399</v>
      </c>
      <c r="K2057">
        <f t="shared" si="866"/>
        <v>455</v>
      </c>
      <c r="L2057">
        <f t="shared" si="867"/>
        <v>427</v>
      </c>
      <c r="M2057">
        <f t="shared" si="868"/>
        <v>28</v>
      </c>
      <c r="N2057">
        <f t="shared" si="873"/>
        <v>56</v>
      </c>
      <c r="O2057">
        <f t="shared" si="869"/>
        <v>425</v>
      </c>
      <c r="P2057">
        <f t="shared" si="870"/>
        <v>-7.1428571428571425E-2</v>
      </c>
      <c r="Q2057" t="str">
        <f t="shared" si="874"/>
        <v>6.12% | 7.06%</v>
      </c>
      <c r="R2057" t="str">
        <f t="shared" si="871"/>
        <v>BULLISH</v>
      </c>
      <c r="S2057">
        <f t="shared" si="875"/>
        <v>1</v>
      </c>
    </row>
    <row r="2058" spans="1:19" x14ac:dyDescent="0.25">
      <c r="A2058" s="5" t="str">
        <f t="shared" si="872"/>
        <v>43984TSLA</v>
      </c>
      <c r="B2058" s="6" t="s">
        <v>33</v>
      </c>
      <c r="C2058" s="6">
        <v>775</v>
      </c>
      <c r="D2058" s="6">
        <v>911</v>
      </c>
      <c r="E2058" s="6">
        <v>898</v>
      </c>
      <c r="F2058" t="str">
        <f t="shared" si="861"/>
        <v>TUE</v>
      </c>
      <c r="G2058" s="3">
        <f t="shared" si="862"/>
        <v>43984</v>
      </c>
      <c r="H2058" s="2">
        <f t="shared" ca="1" si="863"/>
        <v>269</v>
      </c>
      <c r="I2058" t="str">
        <f t="shared" si="864"/>
        <v>TSLA</v>
      </c>
      <c r="J2058">
        <f t="shared" si="865"/>
        <v>775</v>
      </c>
      <c r="K2058">
        <f t="shared" si="866"/>
        <v>911</v>
      </c>
      <c r="L2058">
        <f t="shared" si="867"/>
        <v>843</v>
      </c>
      <c r="M2058">
        <f t="shared" si="868"/>
        <v>68</v>
      </c>
      <c r="N2058">
        <f t="shared" si="873"/>
        <v>136</v>
      </c>
      <c r="O2058">
        <f t="shared" si="869"/>
        <v>898</v>
      </c>
      <c r="P2058">
        <f t="shared" si="870"/>
        <v>0.80882352941176472</v>
      </c>
      <c r="Q2058" t="str">
        <f t="shared" si="874"/>
        <v>13.7% | 1.45%</v>
      </c>
      <c r="R2058" t="str">
        <f t="shared" si="871"/>
        <v>BULLISH</v>
      </c>
      <c r="S2058">
        <f t="shared" si="875"/>
        <v>1</v>
      </c>
    </row>
    <row r="2059" spans="1:19" hidden="1" x14ac:dyDescent="0.25">
      <c r="A2059" s="5" t="str">
        <f t="shared" si="872"/>
        <v>43984NYXBT</v>
      </c>
      <c r="B2059" s="6" t="s">
        <v>34</v>
      </c>
      <c r="C2059" s="6">
        <v>8878</v>
      </c>
      <c r="D2059" s="6">
        <v>10166</v>
      </c>
      <c r="E2059" s="6">
        <v>9558</v>
      </c>
      <c r="F2059" t="str">
        <f t="shared" si="861"/>
        <v>TUE</v>
      </c>
      <c r="G2059" s="3">
        <f t="shared" si="862"/>
        <v>43984</v>
      </c>
      <c r="H2059" s="2">
        <f t="shared" ca="1" si="863"/>
        <v>269</v>
      </c>
      <c r="I2059" t="str">
        <f t="shared" si="864"/>
        <v>NYXBT</v>
      </c>
      <c r="J2059">
        <f t="shared" si="865"/>
        <v>8878</v>
      </c>
      <c r="K2059">
        <f t="shared" si="866"/>
        <v>10166</v>
      </c>
      <c r="L2059">
        <f t="shared" si="867"/>
        <v>9522</v>
      </c>
      <c r="M2059">
        <f t="shared" si="868"/>
        <v>644</v>
      </c>
      <c r="N2059">
        <f t="shared" si="873"/>
        <v>1288</v>
      </c>
      <c r="O2059">
        <f t="shared" si="869"/>
        <v>9558</v>
      </c>
      <c r="P2059">
        <f t="shared" si="870"/>
        <v>5.5900621118012424E-2</v>
      </c>
      <c r="Q2059" t="str">
        <f t="shared" si="874"/>
        <v>7.11% | 6.36%</v>
      </c>
      <c r="R2059" t="str">
        <f t="shared" si="871"/>
        <v>BULLISH</v>
      </c>
      <c r="S2059">
        <f t="shared" si="875"/>
        <v>1</v>
      </c>
    </row>
    <row r="2060" spans="1:19" hidden="1" x14ac:dyDescent="0.25">
      <c r="A2060" s="5" t="str">
        <f t="shared" si="872"/>
        <v>43985UST10Y</v>
      </c>
      <c r="B2060" s="6" t="s">
        <v>4</v>
      </c>
      <c r="C2060" s="6">
        <v>0.73</v>
      </c>
      <c r="D2060" s="6">
        <v>0.63</v>
      </c>
      <c r="E2060" s="6">
        <v>0.68</v>
      </c>
      <c r="F2060" t="str">
        <f t="shared" si="861"/>
        <v>WED</v>
      </c>
      <c r="G2060" s="1">
        <f>DATE(2020,6,3)</f>
        <v>43985</v>
      </c>
      <c r="H2060" s="2">
        <f t="shared" ca="1" si="863"/>
        <v>268</v>
      </c>
      <c r="I2060" t="str">
        <f t="shared" si="864"/>
        <v>UST10Y</v>
      </c>
      <c r="J2060">
        <f t="shared" si="865"/>
        <v>0.73</v>
      </c>
      <c r="K2060">
        <f t="shared" si="866"/>
        <v>0.63</v>
      </c>
      <c r="L2060">
        <f t="shared" si="867"/>
        <v>0.67999999999999994</v>
      </c>
      <c r="M2060">
        <f t="shared" si="868"/>
        <v>4.9999999999999989E-2</v>
      </c>
      <c r="N2060">
        <f t="shared" si="873"/>
        <v>9.9999999999999978E-2</v>
      </c>
      <c r="O2060">
        <f t="shared" si="869"/>
        <v>0.68</v>
      </c>
      <c r="P2060">
        <f t="shared" si="870"/>
        <v>2.2204460492503135E-15</v>
      </c>
      <c r="Q2060" t="str">
        <f t="shared" si="874"/>
        <v>7.35% | 7.35%</v>
      </c>
      <c r="R2060" t="str">
        <f t="shared" si="871"/>
        <v>BEARISH</v>
      </c>
      <c r="S2060">
        <f t="shared" si="875"/>
        <v>-1</v>
      </c>
    </row>
    <row r="2061" spans="1:19" hidden="1" x14ac:dyDescent="0.25">
      <c r="A2061" s="5" t="str">
        <f t="shared" si="872"/>
        <v>43985UST2Y</v>
      </c>
      <c r="B2061" s="6" t="s">
        <v>5</v>
      </c>
      <c r="C2061" s="6">
        <v>0.2</v>
      </c>
      <c r="D2061" s="6">
        <v>0.15</v>
      </c>
      <c r="E2061" s="6">
        <v>0.17</v>
      </c>
      <c r="F2061" t="str">
        <f t="shared" ref="F2061:F2091" si="876">UPPER(TEXT(G2061,"ddd"))</f>
        <v>WED</v>
      </c>
      <c r="G2061" s="1">
        <f t="shared" ref="G2061:G2090" si="877">DATE(2020,6,3)</f>
        <v>43985</v>
      </c>
      <c r="H2061" s="2">
        <f t="shared" ref="H2061:H2091" ca="1" si="878">TODAY()-G2061</f>
        <v>268</v>
      </c>
      <c r="I2061" t="str">
        <f t="shared" ref="I2061:I2091" si="879">TRIM(LEFT(B2061,FIND(" ",B2061,1)))</f>
        <v>UST2Y</v>
      </c>
      <c r="J2061">
        <f t="shared" ref="J2061:J2091" si="880">C2061</f>
        <v>0.2</v>
      </c>
      <c r="K2061">
        <f t="shared" ref="K2061:K2091" si="881">D2061</f>
        <v>0.15</v>
      </c>
      <c r="L2061">
        <f t="shared" ref="L2061:L2091" si="882">AVERAGE(J2061:K2061)</f>
        <v>0.17499999999999999</v>
      </c>
      <c r="M2061">
        <f t="shared" ref="M2061:M2091" si="883">_xlfn.STDEV.P(J2061:K2061)</f>
        <v>2.5000000000000081E-2</v>
      </c>
      <c r="N2061">
        <f t="shared" si="873"/>
        <v>5.0000000000000017E-2</v>
      </c>
      <c r="O2061">
        <f t="shared" ref="O2061:O2091" si="884">E2061</f>
        <v>0.17</v>
      </c>
      <c r="P2061">
        <f t="shared" ref="P2061:P2091" si="885">(O2061-L2061)/M2061</f>
        <v>-0.19999999999999843</v>
      </c>
      <c r="Q2061" t="str">
        <f t="shared" si="874"/>
        <v>17.65% | 11.76%</v>
      </c>
      <c r="R2061" t="str">
        <f t="shared" ref="R2061:R2091" si="886">MID(B2061,FIND("(",B2061,1)+1,FIND(")",B2061,1)-FIND("(",B2061,1)-1)</f>
        <v>BEARISH</v>
      </c>
      <c r="S2061">
        <f t="shared" si="875"/>
        <v>-1</v>
      </c>
    </row>
    <row r="2062" spans="1:19" hidden="1" x14ac:dyDescent="0.25">
      <c r="A2062" s="5" t="str">
        <f t="shared" si="872"/>
        <v>43985SPX</v>
      </c>
      <c r="B2062" s="6" t="s">
        <v>51</v>
      </c>
      <c r="C2062" s="6">
        <v>2901</v>
      </c>
      <c r="D2062" s="6">
        <v>3103</v>
      </c>
      <c r="E2062" s="6">
        <v>3080</v>
      </c>
      <c r="F2062" t="str">
        <f t="shared" si="876"/>
        <v>WED</v>
      </c>
      <c r="G2062" s="1">
        <f t="shared" si="877"/>
        <v>43985</v>
      </c>
      <c r="H2062" s="2">
        <f t="shared" ca="1" si="878"/>
        <v>268</v>
      </c>
      <c r="I2062" t="str">
        <f t="shared" si="879"/>
        <v>SPX</v>
      </c>
      <c r="J2062">
        <f t="shared" si="880"/>
        <v>2901</v>
      </c>
      <c r="K2062">
        <f t="shared" si="881"/>
        <v>3103</v>
      </c>
      <c r="L2062">
        <f t="shared" si="882"/>
        <v>3002</v>
      </c>
      <c r="M2062">
        <f t="shared" si="883"/>
        <v>101</v>
      </c>
      <c r="N2062">
        <f t="shared" si="873"/>
        <v>202</v>
      </c>
      <c r="O2062">
        <f t="shared" si="884"/>
        <v>3080</v>
      </c>
      <c r="P2062">
        <f t="shared" si="885"/>
        <v>0.7722772277227723</v>
      </c>
      <c r="Q2062" t="str">
        <f t="shared" si="874"/>
        <v>5.81% | 0.75%</v>
      </c>
      <c r="R2062" t="str">
        <f t="shared" si="886"/>
        <v>NEUTRAL</v>
      </c>
      <c r="S2062">
        <f t="shared" si="875"/>
        <v>0</v>
      </c>
    </row>
    <row r="2063" spans="1:19" hidden="1" x14ac:dyDescent="0.25">
      <c r="A2063" s="5" t="str">
        <f t="shared" si="872"/>
        <v>43985RUT</v>
      </c>
      <c r="B2063" s="6" t="s">
        <v>7</v>
      </c>
      <c r="C2063" s="6">
        <v>1318</v>
      </c>
      <c r="D2063" s="6">
        <v>1448</v>
      </c>
      <c r="E2063" s="6">
        <v>1418</v>
      </c>
      <c r="F2063" t="str">
        <f t="shared" si="876"/>
        <v>WED</v>
      </c>
      <c r="G2063" s="1">
        <f t="shared" si="877"/>
        <v>43985</v>
      </c>
      <c r="H2063" s="2">
        <f t="shared" ca="1" si="878"/>
        <v>268</v>
      </c>
      <c r="I2063" t="str">
        <f t="shared" si="879"/>
        <v>RUT</v>
      </c>
      <c r="J2063">
        <f t="shared" si="880"/>
        <v>1318</v>
      </c>
      <c r="K2063">
        <f t="shared" si="881"/>
        <v>1448</v>
      </c>
      <c r="L2063">
        <f t="shared" si="882"/>
        <v>1383</v>
      </c>
      <c r="M2063">
        <f t="shared" si="883"/>
        <v>65</v>
      </c>
      <c r="N2063">
        <f t="shared" si="873"/>
        <v>130</v>
      </c>
      <c r="O2063">
        <f t="shared" si="884"/>
        <v>1418</v>
      </c>
      <c r="P2063">
        <f t="shared" si="885"/>
        <v>0.53846153846153844</v>
      </c>
      <c r="Q2063" t="str">
        <f t="shared" si="874"/>
        <v>7.05% | 2.12%</v>
      </c>
      <c r="R2063" t="str">
        <f t="shared" si="886"/>
        <v>BEARISH</v>
      </c>
      <c r="S2063">
        <f t="shared" si="875"/>
        <v>-1</v>
      </c>
    </row>
    <row r="2064" spans="1:19" hidden="1" x14ac:dyDescent="0.25">
      <c r="A2064" s="5" t="str">
        <f t="shared" si="872"/>
        <v>43985COMPQ</v>
      </c>
      <c r="B2064" s="6" t="s">
        <v>8</v>
      </c>
      <c r="C2064" s="6">
        <v>9201</v>
      </c>
      <c r="D2064" s="6">
        <v>9634</v>
      </c>
      <c r="E2064" s="6">
        <v>9608</v>
      </c>
      <c r="F2064" t="str">
        <f t="shared" si="876"/>
        <v>WED</v>
      </c>
      <c r="G2064" s="1">
        <f t="shared" si="877"/>
        <v>43985</v>
      </c>
      <c r="H2064" s="2">
        <f t="shared" ca="1" si="878"/>
        <v>268</v>
      </c>
      <c r="I2064" t="str">
        <f t="shared" si="879"/>
        <v>COMPQ</v>
      </c>
      <c r="J2064">
        <f t="shared" si="880"/>
        <v>9201</v>
      </c>
      <c r="K2064">
        <f t="shared" si="881"/>
        <v>9634</v>
      </c>
      <c r="L2064">
        <f t="shared" si="882"/>
        <v>9417.5</v>
      </c>
      <c r="M2064">
        <f t="shared" si="883"/>
        <v>216.5</v>
      </c>
      <c r="N2064">
        <f t="shared" si="873"/>
        <v>433</v>
      </c>
      <c r="O2064">
        <f t="shared" si="884"/>
        <v>9608</v>
      </c>
      <c r="P2064">
        <f t="shared" si="885"/>
        <v>0.87990762124711319</v>
      </c>
      <c r="Q2064" t="str">
        <f t="shared" si="874"/>
        <v>4.24% | 0.27%</v>
      </c>
      <c r="R2064" t="str">
        <f t="shared" si="886"/>
        <v>BULLISH</v>
      </c>
      <c r="S2064">
        <f t="shared" si="875"/>
        <v>1</v>
      </c>
    </row>
    <row r="2065" spans="1:19" hidden="1" x14ac:dyDescent="0.25">
      <c r="A2065" s="5" t="str">
        <f t="shared" si="872"/>
        <v>43985XLV</v>
      </c>
      <c r="B2065" s="6" t="s">
        <v>9</v>
      </c>
      <c r="C2065" s="6">
        <v>98.3</v>
      </c>
      <c r="D2065" s="6">
        <v>103.7</v>
      </c>
      <c r="E2065" s="6">
        <v>102.58</v>
      </c>
      <c r="F2065" t="str">
        <f t="shared" si="876"/>
        <v>WED</v>
      </c>
      <c r="G2065" s="1">
        <f t="shared" si="877"/>
        <v>43985</v>
      </c>
      <c r="H2065" s="2">
        <f t="shared" ca="1" si="878"/>
        <v>268</v>
      </c>
      <c r="I2065" t="str">
        <f t="shared" si="879"/>
        <v>XLV</v>
      </c>
      <c r="J2065">
        <f t="shared" si="880"/>
        <v>98.3</v>
      </c>
      <c r="K2065">
        <f t="shared" si="881"/>
        <v>103.7</v>
      </c>
      <c r="L2065">
        <f t="shared" si="882"/>
        <v>101</v>
      </c>
      <c r="M2065">
        <f t="shared" si="883"/>
        <v>2.7000000000000028</v>
      </c>
      <c r="N2065">
        <f t="shared" si="873"/>
        <v>5.4000000000000057</v>
      </c>
      <c r="O2065">
        <f t="shared" si="884"/>
        <v>102.58</v>
      </c>
      <c r="P2065">
        <f t="shared" si="885"/>
        <v>0.58518518518518392</v>
      </c>
      <c r="Q2065" t="str">
        <f t="shared" si="874"/>
        <v>4.17% | 1.09%</v>
      </c>
      <c r="R2065" t="str">
        <f t="shared" si="886"/>
        <v>BULLISH</v>
      </c>
      <c r="S2065">
        <f t="shared" si="875"/>
        <v>1</v>
      </c>
    </row>
    <row r="2066" spans="1:19" hidden="1" x14ac:dyDescent="0.25">
      <c r="A2066" s="5" t="str">
        <f t="shared" si="872"/>
        <v>43985XLK</v>
      </c>
      <c r="B2066" s="6" t="s">
        <v>10</v>
      </c>
      <c r="C2066" s="6">
        <v>94.52</v>
      </c>
      <c r="D2066" s="6">
        <v>98.99</v>
      </c>
      <c r="E2066" s="6">
        <v>98.86</v>
      </c>
      <c r="F2066" t="str">
        <f t="shared" si="876"/>
        <v>WED</v>
      </c>
      <c r="G2066" s="1">
        <f t="shared" si="877"/>
        <v>43985</v>
      </c>
      <c r="H2066" s="2">
        <f t="shared" ca="1" si="878"/>
        <v>268</v>
      </c>
      <c r="I2066" t="str">
        <f t="shared" si="879"/>
        <v>XLK</v>
      </c>
      <c r="J2066">
        <f t="shared" si="880"/>
        <v>94.52</v>
      </c>
      <c r="K2066">
        <f t="shared" si="881"/>
        <v>98.99</v>
      </c>
      <c r="L2066">
        <f t="shared" si="882"/>
        <v>96.754999999999995</v>
      </c>
      <c r="M2066">
        <f t="shared" si="883"/>
        <v>2.2349999999999994</v>
      </c>
      <c r="N2066">
        <f t="shared" si="873"/>
        <v>4.4699999999999989</v>
      </c>
      <c r="O2066">
        <f t="shared" si="884"/>
        <v>98.86</v>
      </c>
      <c r="P2066">
        <f t="shared" si="885"/>
        <v>0.941834451901568</v>
      </c>
      <c r="Q2066" t="str">
        <f t="shared" si="874"/>
        <v>4.39% | 0.13%</v>
      </c>
      <c r="R2066" t="str">
        <f t="shared" si="886"/>
        <v>BULLISH</v>
      </c>
      <c r="S2066">
        <f t="shared" si="875"/>
        <v>1</v>
      </c>
    </row>
    <row r="2067" spans="1:19" hidden="1" x14ac:dyDescent="0.25">
      <c r="A2067" s="5" t="str">
        <f t="shared" si="872"/>
        <v>43985XLU</v>
      </c>
      <c r="B2067" s="6" t="s">
        <v>52</v>
      </c>
      <c r="C2067" s="6">
        <v>54.51</v>
      </c>
      <c r="D2067" s="6">
        <v>61.75</v>
      </c>
      <c r="E2067" s="6">
        <v>60.79</v>
      </c>
      <c r="F2067" t="str">
        <f t="shared" si="876"/>
        <v>WED</v>
      </c>
      <c r="G2067" s="1">
        <f t="shared" si="877"/>
        <v>43985</v>
      </c>
      <c r="H2067" s="2">
        <f t="shared" ca="1" si="878"/>
        <v>268</v>
      </c>
      <c r="I2067" t="str">
        <f t="shared" si="879"/>
        <v>XLU</v>
      </c>
      <c r="J2067">
        <f t="shared" si="880"/>
        <v>54.51</v>
      </c>
      <c r="K2067">
        <f t="shared" si="881"/>
        <v>61.75</v>
      </c>
      <c r="L2067">
        <f t="shared" si="882"/>
        <v>58.129999999999995</v>
      </c>
      <c r="M2067">
        <f t="shared" si="883"/>
        <v>3.6200000000000014</v>
      </c>
      <c r="N2067">
        <f t="shared" si="873"/>
        <v>7.240000000000002</v>
      </c>
      <c r="O2067">
        <f t="shared" si="884"/>
        <v>60.79</v>
      </c>
      <c r="P2067">
        <f t="shared" si="885"/>
        <v>0.73480662983425482</v>
      </c>
      <c r="Q2067" t="str">
        <f t="shared" si="874"/>
        <v>10.33% | 1.58%</v>
      </c>
      <c r="R2067" t="str">
        <f t="shared" si="886"/>
        <v>BULLISH</v>
      </c>
      <c r="S2067">
        <f t="shared" si="875"/>
        <v>1</v>
      </c>
    </row>
    <row r="2068" spans="1:19" hidden="1" x14ac:dyDescent="0.25">
      <c r="A2068" s="5" t="str">
        <f t="shared" si="872"/>
        <v>43985XLF</v>
      </c>
      <c r="B2068" s="6" t="s">
        <v>12</v>
      </c>
      <c r="C2068" s="6">
        <v>21.06</v>
      </c>
      <c r="D2068" s="6">
        <v>24.81</v>
      </c>
      <c r="E2068" s="6">
        <v>23.87</v>
      </c>
      <c r="F2068" t="str">
        <f t="shared" si="876"/>
        <v>WED</v>
      </c>
      <c r="G2068" s="1">
        <f t="shared" si="877"/>
        <v>43985</v>
      </c>
      <c r="H2068" s="2">
        <f t="shared" ca="1" si="878"/>
        <v>268</v>
      </c>
      <c r="I2068" t="str">
        <f t="shared" si="879"/>
        <v>XLF</v>
      </c>
      <c r="J2068">
        <f t="shared" si="880"/>
        <v>21.06</v>
      </c>
      <c r="K2068">
        <f t="shared" si="881"/>
        <v>24.81</v>
      </c>
      <c r="L2068">
        <f t="shared" si="882"/>
        <v>22.934999999999999</v>
      </c>
      <c r="M2068">
        <f t="shared" si="883"/>
        <v>1.875</v>
      </c>
      <c r="N2068">
        <f t="shared" si="873"/>
        <v>3.75</v>
      </c>
      <c r="O2068">
        <f t="shared" si="884"/>
        <v>23.87</v>
      </c>
      <c r="P2068">
        <f t="shared" si="885"/>
        <v>0.49866666666666787</v>
      </c>
      <c r="Q2068" t="str">
        <f t="shared" si="874"/>
        <v>11.77% | 3.94%</v>
      </c>
      <c r="R2068" t="str">
        <f t="shared" si="886"/>
        <v>BEARISH</v>
      </c>
      <c r="S2068">
        <f t="shared" si="875"/>
        <v>-1</v>
      </c>
    </row>
    <row r="2069" spans="1:19" hidden="1" x14ac:dyDescent="0.25">
      <c r="A2069" s="5" t="str">
        <f t="shared" si="872"/>
        <v>43985XLI</v>
      </c>
      <c r="B2069" s="6" t="s">
        <v>13</v>
      </c>
      <c r="C2069" s="6">
        <v>61.5</v>
      </c>
      <c r="D2069" s="6">
        <v>70.709999999999994</v>
      </c>
      <c r="E2069" s="6">
        <v>68.7</v>
      </c>
      <c r="F2069" t="str">
        <f t="shared" si="876"/>
        <v>WED</v>
      </c>
      <c r="G2069" s="1">
        <f t="shared" si="877"/>
        <v>43985</v>
      </c>
      <c r="H2069" s="2">
        <f t="shared" ca="1" si="878"/>
        <v>268</v>
      </c>
      <c r="I2069" t="str">
        <f t="shared" si="879"/>
        <v>XLI</v>
      </c>
      <c r="J2069">
        <f t="shared" si="880"/>
        <v>61.5</v>
      </c>
      <c r="K2069">
        <f t="shared" si="881"/>
        <v>70.709999999999994</v>
      </c>
      <c r="L2069">
        <f t="shared" si="882"/>
        <v>66.10499999999999</v>
      </c>
      <c r="M2069">
        <f t="shared" si="883"/>
        <v>4.6049999999999969</v>
      </c>
      <c r="N2069">
        <f t="shared" si="873"/>
        <v>9.2099999999999937</v>
      </c>
      <c r="O2069">
        <f t="shared" si="884"/>
        <v>68.7</v>
      </c>
      <c r="P2069">
        <f t="shared" si="885"/>
        <v>0.5635179153094495</v>
      </c>
      <c r="Q2069" t="str">
        <f t="shared" si="874"/>
        <v>10.48% | 2.93%</v>
      </c>
      <c r="R2069" t="str">
        <f t="shared" si="886"/>
        <v>BEARISH</v>
      </c>
      <c r="S2069">
        <f t="shared" si="875"/>
        <v>-1</v>
      </c>
    </row>
    <row r="2070" spans="1:19" hidden="1" x14ac:dyDescent="0.25">
      <c r="A2070" s="5" t="str">
        <f t="shared" si="872"/>
        <v>43985SSEC</v>
      </c>
      <c r="B2070" s="6" t="s">
        <v>14</v>
      </c>
      <c r="C2070" s="6">
        <v>2780</v>
      </c>
      <c r="D2070" s="6">
        <v>2931</v>
      </c>
      <c r="E2070" s="6">
        <v>2923</v>
      </c>
      <c r="F2070" t="str">
        <f t="shared" si="876"/>
        <v>WED</v>
      </c>
      <c r="G2070" s="1">
        <f t="shared" si="877"/>
        <v>43985</v>
      </c>
      <c r="H2070" s="2">
        <f t="shared" ca="1" si="878"/>
        <v>268</v>
      </c>
      <c r="I2070" t="str">
        <f t="shared" si="879"/>
        <v>SSEC</v>
      </c>
      <c r="J2070">
        <f t="shared" si="880"/>
        <v>2780</v>
      </c>
      <c r="K2070">
        <f t="shared" si="881"/>
        <v>2931</v>
      </c>
      <c r="L2070">
        <f t="shared" si="882"/>
        <v>2855.5</v>
      </c>
      <c r="M2070">
        <f t="shared" si="883"/>
        <v>75.5</v>
      </c>
      <c r="N2070">
        <f t="shared" si="873"/>
        <v>151</v>
      </c>
      <c r="O2070">
        <f t="shared" si="884"/>
        <v>2923</v>
      </c>
      <c r="P2070">
        <f t="shared" si="885"/>
        <v>0.89403973509933776</v>
      </c>
      <c r="Q2070" t="str">
        <f t="shared" si="874"/>
        <v>4.89% | 0.27%</v>
      </c>
      <c r="R2070" t="str">
        <f t="shared" si="886"/>
        <v>BEARISH</v>
      </c>
      <c r="S2070">
        <f t="shared" si="875"/>
        <v>-1</v>
      </c>
    </row>
    <row r="2071" spans="1:19" hidden="1" x14ac:dyDescent="0.25">
      <c r="A2071" s="5" t="str">
        <f t="shared" si="872"/>
        <v>43985NIKK</v>
      </c>
      <c r="B2071" s="6" t="s">
        <v>91</v>
      </c>
      <c r="C2071" s="6">
        <v>20894</v>
      </c>
      <c r="D2071" s="6">
        <v>22735</v>
      </c>
      <c r="E2071" s="6">
        <v>22613</v>
      </c>
      <c r="F2071" t="str">
        <f t="shared" si="876"/>
        <v>WED</v>
      </c>
      <c r="G2071" s="1">
        <f t="shared" si="877"/>
        <v>43985</v>
      </c>
      <c r="H2071" s="2">
        <f t="shared" ca="1" si="878"/>
        <v>268</v>
      </c>
      <c r="I2071" t="str">
        <f t="shared" si="879"/>
        <v>NIKK</v>
      </c>
      <c r="J2071">
        <f t="shared" si="880"/>
        <v>20894</v>
      </c>
      <c r="K2071">
        <f t="shared" si="881"/>
        <v>22735</v>
      </c>
      <c r="L2071">
        <f t="shared" si="882"/>
        <v>21814.5</v>
      </c>
      <c r="M2071">
        <f t="shared" si="883"/>
        <v>920.5</v>
      </c>
      <c r="N2071">
        <f t="shared" si="873"/>
        <v>1841</v>
      </c>
      <c r="O2071">
        <f t="shared" si="884"/>
        <v>22613</v>
      </c>
      <c r="P2071">
        <f t="shared" si="885"/>
        <v>0.86746333514394347</v>
      </c>
      <c r="Q2071" t="str">
        <f t="shared" si="874"/>
        <v>7.6% | 0.54%</v>
      </c>
      <c r="R2071" t="str">
        <f t="shared" si="886"/>
        <v>BULLISH</v>
      </c>
      <c r="S2071">
        <f t="shared" si="875"/>
        <v>1</v>
      </c>
    </row>
    <row r="2072" spans="1:19" hidden="1" x14ac:dyDescent="0.25">
      <c r="A2072" s="5" t="str">
        <f t="shared" si="872"/>
        <v>43985DAX</v>
      </c>
      <c r="B2072" s="6" t="s">
        <v>92</v>
      </c>
      <c r="C2072" s="6">
        <v>10894</v>
      </c>
      <c r="D2072" s="6">
        <v>12271</v>
      </c>
      <c r="E2072" s="6">
        <v>12016</v>
      </c>
      <c r="F2072" t="str">
        <f t="shared" si="876"/>
        <v>WED</v>
      </c>
      <c r="G2072" s="1">
        <f t="shared" si="877"/>
        <v>43985</v>
      </c>
      <c r="H2072" s="2">
        <f t="shared" ca="1" si="878"/>
        <v>268</v>
      </c>
      <c r="I2072" t="str">
        <f t="shared" si="879"/>
        <v>DAX</v>
      </c>
      <c r="J2072">
        <f t="shared" si="880"/>
        <v>10894</v>
      </c>
      <c r="K2072">
        <f t="shared" si="881"/>
        <v>12271</v>
      </c>
      <c r="L2072">
        <f t="shared" si="882"/>
        <v>11582.5</v>
      </c>
      <c r="M2072">
        <f t="shared" si="883"/>
        <v>688.5</v>
      </c>
      <c r="N2072">
        <f t="shared" si="873"/>
        <v>1377</v>
      </c>
      <c r="O2072">
        <f t="shared" si="884"/>
        <v>12016</v>
      </c>
      <c r="P2072">
        <f t="shared" si="885"/>
        <v>0.62962962962962965</v>
      </c>
      <c r="Q2072" t="str">
        <f t="shared" si="874"/>
        <v>9.34% | 2.12%</v>
      </c>
      <c r="R2072" t="str">
        <f t="shared" si="886"/>
        <v>NEUTRAL</v>
      </c>
      <c r="S2072">
        <f t="shared" si="875"/>
        <v>0</v>
      </c>
    </row>
    <row r="2073" spans="1:19" hidden="1" x14ac:dyDescent="0.25">
      <c r="A2073" s="5" t="str">
        <f t="shared" si="872"/>
        <v>43985VIX</v>
      </c>
      <c r="B2073" s="6" t="s">
        <v>17</v>
      </c>
      <c r="C2073" s="6">
        <v>26.04</v>
      </c>
      <c r="D2073" s="6">
        <v>34.19</v>
      </c>
      <c r="E2073" s="6">
        <v>26.84</v>
      </c>
      <c r="F2073" t="str">
        <f t="shared" si="876"/>
        <v>WED</v>
      </c>
      <c r="G2073" s="1">
        <f t="shared" si="877"/>
        <v>43985</v>
      </c>
      <c r="H2073" s="2">
        <f t="shared" ca="1" si="878"/>
        <v>268</v>
      </c>
      <c r="I2073" t="str">
        <f t="shared" si="879"/>
        <v>VIX</v>
      </c>
      <c r="J2073">
        <f t="shared" si="880"/>
        <v>26.04</v>
      </c>
      <c r="K2073">
        <f t="shared" si="881"/>
        <v>34.19</v>
      </c>
      <c r="L2073">
        <f t="shared" si="882"/>
        <v>30.114999999999998</v>
      </c>
      <c r="M2073">
        <f t="shared" si="883"/>
        <v>4.0750000000000037</v>
      </c>
      <c r="N2073">
        <f t="shared" si="873"/>
        <v>8.1499999999999986</v>
      </c>
      <c r="O2073">
        <f t="shared" si="884"/>
        <v>26.84</v>
      </c>
      <c r="P2073">
        <f t="shared" si="885"/>
        <v>-0.80368098159509094</v>
      </c>
      <c r="Q2073" t="str">
        <f t="shared" si="874"/>
        <v>2.98% | 27.38%</v>
      </c>
      <c r="R2073" t="str">
        <f t="shared" si="886"/>
        <v>BULLISH</v>
      </c>
      <c r="S2073">
        <f t="shared" si="875"/>
        <v>1</v>
      </c>
    </row>
    <row r="2074" spans="1:19" hidden="1" x14ac:dyDescent="0.25">
      <c r="A2074" s="5" t="str">
        <f t="shared" si="872"/>
        <v>43985USD</v>
      </c>
      <c r="B2074" s="6" t="s">
        <v>18</v>
      </c>
      <c r="C2074" s="6">
        <v>97.24</v>
      </c>
      <c r="D2074" s="6">
        <v>100.22</v>
      </c>
      <c r="E2074" s="6">
        <v>97.66</v>
      </c>
      <c r="F2074" t="str">
        <f t="shared" si="876"/>
        <v>WED</v>
      </c>
      <c r="G2074" s="1">
        <f t="shared" si="877"/>
        <v>43985</v>
      </c>
      <c r="H2074" s="2">
        <f t="shared" ca="1" si="878"/>
        <v>268</v>
      </c>
      <c r="I2074" t="str">
        <f t="shared" si="879"/>
        <v>USD</v>
      </c>
      <c r="J2074">
        <f t="shared" si="880"/>
        <v>97.24</v>
      </c>
      <c r="K2074">
        <f t="shared" si="881"/>
        <v>100.22</v>
      </c>
      <c r="L2074">
        <f t="shared" si="882"/>
        <v>98.72999999999999</v>
      </c>
      <c r="M2074">
        <f t="shared" si="883"/>
        <v>1.490000000000002</v>
      </c>
      <c r="N2074">
        <f t="shared" si="873"/>
        <v>2.980000000000004</v>
      </c>
      <c r="O2074">
        <f t="shared" si="884"/>
        <v>97.66</v>
      </c>
      <c r="P2074">
        <f t="shared" si="885"/>
        <v>-0.71812080536912193</v>
      </c>
      <c r="Q2074" t="str">
        <f t="shared" si="874"/>
        <v>0.43% | 2.62%</v>
      </c>
      <c r="R2074" t="str">
        <f t="shared" si="886"/>
        <v>BULLISH</v>
      </c>
      <c r="S2074">
        <f t="shared" si="875"/>
        <v>1</v>
      </c>
    </row>
    <row r="2075" spans="1:19" hidden="1" x14ac:dyDescent="0.25">
      <c r="A2075" s="5" t="str">
        <f t="shared" si="872"/>
        <v>43985EUR/USD</v>
      </c>
      <c r="B2075" s="6" t="s">
        <v>19</v>
      </c>
      <c r="C2075" s="6">
        <v>1.08</v>
      </c>
      <c r="D2075" s="6">
        <v>1.1200000000000001</v>
      </c>
      <c r="E2075" s="6">
        <v>1.1100000000000001</v>
      </c>
      <c r="F2075" t="str">
        <f t="shared" si="876"/>
        <v>WED</v>
      </c>
      <c r="G2075" s="1">
        <f t="shared" si="877"/>
        <v>43985</v>
      </c>
      <c r="H2075" s="2">
        <f t="shared" ca="1" si="878"/>
        <v>268</v>
      </c>
      <c r="I2075" t="str">
        <f t="shared" si="879"/>
        <v>EUR/USD</v>
      </c>
      <c r="J2075">
        <f t="shared" si="880"/>
        <v>1.08</v>
      </c>
      <c r="K2075">
        <f t="shared" si="881"/>
        <v>1.1200000000000001</v>
      </c>
      <c r="L2075">
        <f t="shared" si="882"/>
        <v>1.1000000000000001</v>
      </c>
      <c r="M2075">
        <f t="shared" si="883"/>
        <v>2.0000000000000018E-2</v>
      </c>
      <c r="N2075">
        <f t="shared" si="873"/>
        <v>4.0000000000000036E-2</v>
      </c>
      <c r="O2075">
        <f t="shared" si="884"/>
        <v>1.1100000000000001</v>
      </c>
      <c r="P2075">
        <f t="shared" si="885"/>
        <v>0.5</v>
      </c>
      <c r="Q2075" t="str">
        <f t="shared" si="874"/>
        <v>2.7% | 0.9%</v>
      </c>
      <c r="R2075" t="str">
        <f t="shared" si="886"/>
        <v>BEARISH</v>
      </c>
      <c r="S2075">
        <f t="shared" si="875"/>
        <v>-1</v>
      </c>
    </row>
    <row r="2076" spans="1:19" hidden="1" x14ac:dyDescent="0.25">
      <c r="A2076" s="5" t="str">
        <f t="shared" si="872"/>
        <v>43985USD/JPY</v>
      </c>
      <c r="B2076" s="6" t="s">
        <v>56</v>
      </c>
      <c r="C2076" s="6">
        <v>107.1</v>
      </c>
      <c r="D2076" s="6">
        <v>108.92</v>
      </c>
      <c r="E2076" s="6">
        <v>108.69</v>
      </c>
      <c r="F2076" t="str">
        <f t="shared" si="876"/>
        <v>WED</v>
      </c>
      <c r="G2076" s="1">
        <f t="shared" si="877"/>
        <v>43985</v>
      </c>
      <c r="H2076" s="2">
        <f t="shared" ca="1" si="878"/>
        <v>268</v>
      </c>
      <c r="I2076" t="str">
        <f t="shared" si="879"/>
        <v>USD/JPY</v>
      </c>
      <c r="J2076">
        <f t="shared" si="880"/>
        <v>107.1</v>
      </c>
      <c r="K2076">
        <f t="shared" si="881"/>
        <v>108.92</v>
      </c>
      <c r="L2076">
        <f t="shared" si="882"/>
        <v>108.00999999999999</v>
      </c>
      <c r="M2076">
        <f t="shared" si="883"/>
        <v>0.91000000000000369</v>
      </c>
      <c r="N2076">
        <f t="shared" si="873"/>
        <v>1.8200000000000074</v>
      </c>
      <c r="O2076">
        <f t="shared" si="884"/>
        <v>108.69</v>
      </c>
      <c r="P2076">
        <f t="shared" si="885"/>
        <v>0.7472527472527517</v>
      </c>
      <c r="Q2076" t="str">
        <f t="shared" si="874"/>
        <v>1.46% | 0.21%</v>
      </c>
      <c r="R2076" t="str">
        <f t="shared" si="886"/>
        <v>BULLISH</v>
      </c>
      <c r="S2076">
        <f t="shared" si="875"/>
        <v>1</v>
      </c>
    </row>
    <row r="2077" spans="1:19" hidden="1" x14ac:dyDescent="0.25">
      <c r="A2077" s="5" t="str">
        <f t="shared" si="872"/>
        <v>43985GBP/USD</v>
      </c>
      <c r="B2077" s="6" t="s">
        <v>21</v>
      </c>
      <c r="C2077" s="6">
        <v>1.2</v>
      </c>
      <c r="D2077" s="6">
        <v>1.26</v>
      </c>
      <c r="E2077" s="6">
        <v>1.26</v>
      </c>
      <c r="F2077" t="str">
        <f t="shared" si="876"/>
        <v>WED</v>
      </c>
      <c r="G2077" s="1">
        <f t="shared" si="877"/>
        <v>43985</v>
      </c>
      <c r="H2077" s="2">
        <f t="shared" ca="1" si="878"/>
        <v>268</v>
      </c>
      <c r="I2077" t="str">
        <f t="shared" si="879"/>
        <v>GBP/USD</v>
      </c>
      <c r="J2077">
        <f t="shared" si="880"/>
        <v>1.2</v>
      </c>
      <c r="K2077">
        <f t="shared" si="881"/>
        <v>1.26</v>
      </c>
      <c r="L2077">
        <f t="shared" si="882"/>
        <v>1.23</v>
      </c>
      <c r="M2077">
        <f t="shared" si="883"/>
        <v>3.0000000000000027E-2</v>
      </c>
      <c r="N2077">
        <f t="shared" si="873"/>
        <v>6.0000000000000053E-2</v>
      </c>
      <c r="O2077">
        <f t="shared" si="884"/>
        <v>1.26</v>
      </c>
      <c r="P2077">
        <f t="shared" si="885"/>
        <v>1</v>
      </c>
      <c r="Q2077" t="str">
        <f t="shared" si="874"/>
        <v>4.76% | 0%</v>
      </c>
      <c r="R2077" t="str">
        <f t="shared" si="886"/>
        <v>BEARISH</v>
      </c>
      <c r="S2077">
        <f t="shared" si="875"/>
        <v>-1</v>
      </c>
    </row>
    <row r="2078" spans="1:19" hidden="1" x14ac:dyDescent="0.25">
      <c r="A2078" s="5" t="str">
        <f t="shared" si="872"/>
        <v>43985USD/CHF</v>
      </c>
      <c r="B2078" s="6" t="s">
        <v>76</v>
      </c>
      <c r="C2078" s="6">
        <v>0.95</v>
      </c>
      <c r="D2078" s="6">
        <v>0.97</v>
      </c>
      <c r="E2078" s="6">
        <v>0.96</v>
      </c>
      <c r="F2078" t="str">
        <f t="shared" si="876"/>
        <v>WED</v>
      </c>
      <c r="G2078" s="1">
        <f t="shared" si="877"/>
        <v>43985</v>
      </c>
      <c r="H2078" s="2">
        <f t="shared" ca="1" si="878"/>
        <v>268</v>
      </c>
      <c r="I2078" t="str">
        <f t="shared" si="879"/>
        <v>USD/CHF</v>
      </c>
      <c r="J2078">
        <f t="shared" si="880"/>
        <v>0.95</v>
      </c>
      <c r="K2078">
        <f t="shared" si="881"/>
        <v>0.97</v>
      </c>
      <c r="L2078">
        <f t="shared" si="882"/>
        <v>0.96</v>
      </c>
      <c r="M2078">
        <f t="shared" si="883"/>
        <v>1.0000000000000009E-2</v>
      </c>
      <c r="N2078">
        <f t="shared" si="873"/>
        <v>2.0000000000000018E-2</v>
      </c>
      <c r="O2078">
        <f t="shared" si="884"/>
        <v>0.96</v>
      </c>
      <c r="P2078">
        <f t="shared" si="885"/>
        <v>0</v>
      </c>
      <c r="Q2078" t="str">
        <f t="shared" si="874"/>
        <v>1.04% | 1.04%</v>
      </c>
      <c r="R2078" t="str">
        <f t="shared" si="886"/>
        <v>BEARISH</v>
      </c>
      <c r="S2078">
        <f t="shared" si="875"/>
        <v>-1</v>
      </c>
    </row>
    <row r="2079" spans="1:19" hidden="1" x14ac:dyDescent="0.25">
      <c r="A2079" s="5" t="str">
        <f t="shared" si="872"/>
        <v>43985WTIC</v>
      </c>
      <c r="B2079" s="6" t="s">
        <v>23</v>
      </c>
      <c r="C2079" s="6">
        <v>29.7</v>
      </c>
      <c r="D2079" s="6">
        <v>37.61</v>
      </c>
      <c r="E2079" s="6">
        <v>36.81</v>
      </c>
      <c r="F2079" t="str">
        <f t="shared" si="876"/>
        <v>WED</v>
      </c>
      <c r="G2079" s="1">
        <f t="shared" si="877"/>
        <v>43985</v>
      </c>
      <c r="H2079" s="2">
        <f t="shared" ca="1" si="878"/>
        <v>268</v>
      </c>
      <c r="I2079" t="str">
        <f t="shared" si="879"/>
        <v>WTIC</v>
      </c>
      <c r="J2079">
        <f t="shared" si="880"/>
        <v>29.7</v>
      </c>
      <c r="K2079">
        <f t="shared" si="881"/>
        <v>37.61</v>
      </c>
      <c r="L2079">
        <f t="shared" si="882"/>
        <v>33.655000000000001</v>
      </c>
      <c r="M2079">
        <f t="shared" si="883"/>
        <v>3.9549999999999845</v>
      </c>
      <c r="N2079">
        <f t="shared" si="873"/>
        <v>7.91</v>
      </c>
      <c r="O2079">
        <f t="shared" si="884"/>
        <v>36.81</v>
      </c>
      <c r="P2079">
        <f t="shared" si="885"/>
        <v>0.7977243994943144</v>
      </c>
      <c r="Q2079" t="str">
        <f t="shared" si="874"/>
        <v>19.32% | 2.17%</v>
      </c>
      <c r="R2079" t="str">
        <f t="shared" si="886"/>
        <v>BEARISH</v>
      </c>
      <c r="S2079">
        <f t="shared" si="875"/>
        <v>-1</v>
      </c>
    </row>
    <row r="2080" spans="1:19" hidden="1" x14ac:dyDescent="0.25">
      <c r="A2080" s="5" t="str">
        <f t="shared" si="872"/>
        <v>43985NATGAS</v>
      </c>
      <c r="B2080" s="6" t="s">
        <v>24</v>
      </c>
      <c r="C2080" s="6">
        <v>1.71</v>
      </c>
      <c r="D2080" s="6">
        <v>1.97</v>
      </c>
      <c r="E2080" s="6">
        <v>1.78</v>
      </c>
      <c r="F2080" t="str">
        <f t="shared" si="876"/>
        <v>WED</v>
      </c>
      <c r="G2080" s="1">
        <f t="shared" si="877"/>
        <v>43985</v>
      </c>
      <c r="H2080" s="2">
        <f t="shared" ca="1" si="878"/>
        <v>268</v>
      </c>
      <c r="I2080" t="str">
        <f t="shared" si="879"/>
        <v>NATGAS</v>
      </c>
      <c r="J2080">
        <f t="shared" si="880"/>
        <v>1.71</v>
      </c>
      <c r="K2080">
        <f t="shared" si="881"/>
        <v>1.97</v>
      </c>
      <c r="L2080">
        <f t="shared" si="882"/>
        <v>1.8399999999999999</v>
      </c>
      <c r="M2080">
        <f t="shared" si="883"/>
        <v>0.13</v>
      </c>
      <c r="N2080">
        <f t="shared" si="873"/>
        <v>0.26</v>
      </c>
      <c r="O2080">
        <f t="shared" si="884"/>
        <v>1.78</v>
      </c>
      <c r="P2080">
        <f t="shared" si="885"/>
        <v>-0.46153846153846023</v>
      </c>
      <c r="Q2080" t="str">
        <f t="shared" si="874"/>
        <v>3.93% | 10.67%</v>
      </c>
      <c r="R2080" t="str">
        <f t="shared" si="886"/>
        <v>BEARISH</v>
      </c>
      <c r="S2080">
        <f t="shared" si="875"/>
        <v>-1</v>
      </c>
    </row>
    <row r="2081" spans="1:19" hidden="1" x14ac:dyDescent="0.25">
      <c r="A2081" s="5" t="str">
        <f t="shared" si="872"/>
        <v>43985GOLD</v>
      </c>
      <c r="B2081" s="6" t="s">
        <v>25</v>
      </c>
      <c r="C2081" s="6">
        <v>1702</v>
      </c>
      <c r="D2081" s="6">
        <v>1764</v>
      </c>
      <c r="E2081" s="6">
        <v>1734</v>
      </c>
      <c r="F2081" t="str">
        <f t="shared" si="876"/>
        <v>WED</v>
      </c>
      <c r="G2081" s="1">
        <f t="shared" si="877"/>
        <v>43985</v>
      </c>
      <c r="H2081" s="2">
        <f t="shared" ca="1" si="878"/>
        <v>268</v>
      </c>
      <c r="I2081" t="str">
        <f t="shared" si="879"/>
        <v>GOLD</v>
      </c>
      <c r="J2081">
        <f t="shared" si="880"/>
        <v>1702</v>
      </c>
      <c r="K2081">
        <f t="shared" si="881"/>
        <v>1764</v>
      </c>
      <c r="L2081">
        <f t="shared" si="882"/>
        <v>1733</v>
      </c>
      <c r="M2081">
        <f t="shared" si="883"/>
        <v>31</v>
      </c>
      <c r="N2081">
        <f t="shared" si="873"/>
        <v>62</v>
      </c>
      <c r="O2081">
        <f t="shared" si="884"/>
        <v>1734</v>
      </c>
      <c r="P2081">
        <f t="shared" si="885"/>
        <v>3.2258064516129031E-2</v>
      </c>
      <c r="Q2081" t="str">
        <f t="shared" si="874"/>
        <v>1.85% | 1.73%</v>
      </c>
      <c r="R2081" t="str">
        <f t="shared" si="886"/>
        <v>BULLISH</v>
      </c>
      <c r="S2081">
        <f t="shared" si="875"/>
        <v>1</v>
      </c>
    </row>
    <row r="2082" spans="1:19" hidden="1" x14ac:dyDescent="0.25">
      <c r="A2082" s="5" t="str">
        <f t="shared" si="872"/>
        <v>43985COPPER</v>
      </c>
      <c r="B2082" s="6" t="s">
        <v>26</v>
      </c>
      <c r="C2082" s="6">
        <v>2.36</v>
      </c>
      <c r="D2082" s="6">
        <v>2.5099999999999998</v>
      </c>
      <c r="E2082" s="6">
        <v>2.4900000000000002</v>
      </c>
      <c r="F2082" t="str">
        <f t="shared" si="876"/>
        <v>WED</v>
      </c>
      <c r="G2082" s="1">
        <f t="shared" si="877"/>
        <v>43985</v>
      </c>
      <c r="H2082" s="2">
        <f t="shared" ca="1" si="878"/>
        <v>268</v>
      </c>
      <c r="I2082" t="str">
        <f t="shared" si="879"/>
        <v>COPPER</v>
      </c>
      <c r="J2082">
        <f t="shared" si="880"/>
        <v>2.36</v>
      </c>
      <c r="K2082">
        <f t="shared" si="881"/>
        <v>2.5099999999999998</v>
      </c>
      <c r="L2082">
        <f t="shared" si="882"/>
        <v>2.4349999999999996</v>
      </c>
      <c r="M2082">
        <f t="shared" si="883"/>
        <v>7.4999999999999956E-2</v>
      </c>
      <c r="N2082">
        <f t="shared" si="873"/>
        <v>0.14999999999999991</v>
      </c>
      <c r="O2082">
        <f t="shared" si="884"/>
        <v>2.4900000000000002</v>
      </c>
      <c r="P2082">
        <f t="shared" si="885"/>
        <v>0.73333333333334183</v>
      </c>
      <c r="Q2082" t="str">
        <f t="shared" si="874"/>
        <v>5.22% | 0.8%</v>
      </c>
      <c r="R2082" t="str">
        <f t="shared" si="886"/>
        <v>BEARISH</v>
      </c>
      <c r="S2082">
        <f t="shared" si="875"/>
        <v>-1</v>
      </c>
    </row>
    <row r="2083" spans="1:19" hidden="1" x14ac:dyDescent="0.25">
      <c r="A2083" s="5" t="str">
        <f t="shared" si="872"/>
        <v>43985MSFT</v>
      </c>
      <c r="B2083" s="6" t="s">
        <v>27</v>
      </c>
      <c r="C2083" s="6">
        <v>180</v>
      </c>
      <c r="D2083" s="6">
        <v>186</v>
      </c>
      <c r="E2083" s="6">
        <v>184</v>
      </c>
      <c r="F2083" t="str">
        <f t="shared" si="876"/>
        <v>WED</v>
      </c>
      <c r="G2083" s="1">
        <f t="shared" si="877"/>
        <v>43985</v>
      </c>
      <c r="H2083" s="2">
        <f t="shared" ca="1" si="878"/>
        <v>268</v>
      </c>
      <c r="I2083" t="str">
        <f t="shared" si="879"/>
        <v>MSFT</v>
      </c>
      <c r="J2083">
        <f t="shared" si="880"/>
        <v>180</v>
      </c>
      <c r="K2083">
        <f t="shared" si="881"/>
        <v>186</v>
      </c>
      <c r="L2083">
        <f t="shared" si="882"/>
        <v>183</v>
      </c>
      <c r="M2083">
        <f t="shared" si="883"/>
        <v>3</v>
      </c>
      <c r="N2083">
        <f t="shared" si="873"/>
        <v>6</v>
      </c>
      <c r="O2083">
        <f t="shared" si="884"/>
        <v>184</v>
      </c>
      <c r="P2083">
        <f t="shared" si="885"/>
        <v>0.33333333333333331</v>
      </c>
      <c r="Q2083" t="str">
        <f t="shared" si="874"/>
        <v>2.17% | 1.09%</v>
      </c>
      <c r="R2083" t="str">
        <f t="shared" si="886"/>
        <v>BULLISH</v>
      </c>
      <c r="S2083">
        <f t="shared" si="875"/>
        <v>1</v>
      </c>
    </row>
    <row r="2084" spans="1:19" hidden="1" x14ac:dyDescent="0.25">
      <c r="A2084" s="5" t="str">
        <f t="shared" si="872"/>
        <v>43985AAPL</v>
      </c>
      <c r="B2084" s="6" t="s">
        <v>28</v>
      </c>
      <c r="C2084" s="6">
        <v>313</v>
      </c>
      <c r="D2084" s="6">
        <v>325</v>
      </c>
      <c r="E2084" s="6">
        <v>323</v>
      </c>
      <c r="F2084" t="str">
        <f t="shared" si="876"/>
        <v>WED</v>
      </c>
      <c r="G2084" s="1">
        <f t="shared" si="877"/>
        <v>43985</v>
      </c>
      <c r="H2084" s="2">
        <f t="shared" ca="1" si="878"/>
        <v>268</v>
      </c>
      <c r="I2084" t="str">
        <f t="shared" si="879"/>
        <v>AAPL</v>
      </c>
      <c r="J2084">
        <f t="shared" si="880"/>
        <v>313</v>
      </c>
      <c r="K2084">
        <f t="shared" si="881"/>
        <v>325</v>
      </c>
      <c r="L2084">
        <f t="shared" si="882"/>
        <v>319</v>
      </c>
      <c r="M2084">
        <f t="shared" si="883"/>
        <v>6</v>
      </c>
      <c r="N2084">
        <f t="shared" si="873"/>
        <v>12</v>
      </c>
      <c r="O2084">
        <f t="shared" si="884"/>
        <v>323</v>
      </c>
      <c r="P2084">
        <f t="shared" si="885"/>
        <v>0.66666666666666663</v>
      </c>
      <c r="Q2084" t="str">
        <f t="shared" si="874"/>
        <v>3.1% | 0.62%</v>
      </c>
      <c r="R2084" t="str">
        <f t="shared" si="886"/>
        <v>BULLISH</v>
      </c>
      <c r="S2084">
        <f t="shared" si="875"/>
        <v>1</v>
      </c>
    </row>
    <row r="2085" spans="1:19" hidden="1" x14ac:dyDescent="0.25">
      <c r="A2085" s="5" t="str">
        <f t="shared" si="872"/>
        <v>43985AMZN</v>
      </c>
      <c r="B2085" s="6" t="s">
        <v>29</v>
      </c>
      <c r="C2085" s="6">
        <v>2375</v>
      </c>
      <c r="D2085" s="6">
        <v>2505</v>
      </c>
      <c r="E2085" s="6">
        <v>2472</v>
      </c>
      <c r="F2085" t="str">
        <f t="shared" si="876"/>
        <v>WED</v>
      </c>
      <c r="G2085" s="1">
        <f t="shared" si="877"/>
        <v>43985</v>
      </c>
      <c r="H2085" s="2">
        <f t="shared" ca="1" si="878"/>
        <v>268</v>
      </c>
      <c r="I2085" t="str">
        <f t="shared" si="879"/>
        <v>AMZN</v>
      </c>
      <c r="J2085">
        <f t="shared" si="880"/>
        <v>2375</v>
      </c>
      <c r="K2085">
        <f t="shared" si="881"/>
        <v>2505</v>
      </c>
      <c r="L2085">
        <f t="shared" si="882"/>
        <v>2440</v>
      </c>
      <c r="M2085">
        <f t="shared" si="883"/>
        <v>65</v>
      </c>
      <c r="N2085">
        <f t="shared" si="873"/>
        <v>130</v>
      </c>
      <c r="O2085">
        <f t="shared" si="884"/>
        <v>2472</v>
      </c>
      <c r="P2085">
        <f t="shared" si="885"/>
        <v>0.49230769230769234</v>
      </c>
      <c r="Q2085" t="str">
        <f t="shared" si="874"/>
        <v>3.92% | 1.33%</v>
      </c>
      <c r="R2085" t="str">
        <f t="shared" si="886"/>
        <v>BULLISH</v>
      </c>
      <c r="S2085">
        <f t="shared" si="875"/>
        <v>1</v>
      </c>
    </row>
    <row r="2086" spans="1:19" hidden="1" x14ac:dyDescent="0.25">
      <c r="A2086" s="5" t="str">
        <f t="shared" si="872"/>
        <v>43985FB</v>
      </c>
      <c r="B2086" s="6" t="s">
        <v>30</v>
      </c>
      <c r="C2086" s="6">
        <v>214</v>
      </c>
      <c r="D2086" s="6">
        <v>237</v>
      </c>
      <c r="E2086" s="6">
        <v>232</v>
      </c>
      <c r="F2086" t="str">
        <f t="shared" si="876"/>
        <v>WED</v>
      </c>
      <c r="G2086" s="1">
        <f t="shared" si="877"/>
        <v>43985</v>
      </c>
      <c r="H2086" s="2">
        <f t="shared" ca="1" si="878"/>
        <v>268</v>
      </c>
      <c r="I2086" t="str">
        <f t="shared" si="879"/>
        <v>FB</v>
      </c>
      <c r="J2086">
        <f t="shared" si="880"/>
        <v>214</v>
      </c>
      <c r="K2086">
        <f t="shared" si="881"/>
        <v>237</v>
      </c>
      <c r="L2086">
        <f t="shared" si="882"/>
        <v>225.5</v>
      </c>
      <c r="M2086">
        <f t="shared" si="883"/>
        <v>11.5</v>
      </c>
      <c r="N2086">
        <f t="shared" si="873"/>
        <v>23</v>
      </c>
      <c r="O2086">
        <f t="shared" si="884"/>
        <v>232</v>
      </c>
      <c r="P2086">
        <f t="shared" si="885"/>
        <v>0.56521739130434778</v>
      </c>
      <c r="Q2086" t="str">
        <f t="shared" si="874"/>
        <v>7.76% | 2.16%</v>
      </c>
      <c r="R2086" t="str">
        <f t="shared" si="886"/>
        <v>BULLISH</v>
      </c>
      <c r="S2086">
        <f t="shared" si="875"/>
        <v>1</v>
      </c>
    </row>
    <row r="2087" spans="1:19" hidden="1" x14ac:dyDescent="0.25">
      <c r="A2087" s="5" t="str">
        <f t="shared" si="872"/>
        <v>43985GOOGL</v>
      </c>
      <c r="B2087" s="6" t="s">
        <v>31</v>
      </c>
      <c r="C2087" s="6">
        <v>1371</v>
      </c>
      <c r="D2087" s="6">
        <v>1449</v>
      </c>
      <c r="E2087" s="6">
        <v>1442</v>
      </c>
      <c r="F2087" t="str">
        <f t="shared" si="876"/>
        <v>WED</v>
      </c>
      <c r="G2087" s="1">
        <f t="shared" si="877"/>
        <v>43985</v>
      </c>
      <c r="H2087" s="2">
        <f t="shared" ca="1" si="878"/>
        <v>268</v>
      </c>
      <c r="I2087" t="str">
        <f t="shared" si="879"/>
        <v>GOOGL</v>
      </c>
      <c r="J2087">
        <f t="shared" si="880"/>
        <v>1371</v>
      </c>
      <c r="K2087">
        <f t="shared" si="881"/>
        <v>1449</v>
      </c>
      <c r="L2087">
        <f t="shared" si="882"/>
        <v>1410</v>
      </c>
      <c r="M2087">
        <f t="shared" si="883"/>
        <v>39</v>
      </c>
      <c r="N2087">
        <f t="shared" si="873"/>
        <v>78</v>
      </c>
      <c r="O2087">
        <f t="shared" si="884"/>
        <v>1442</v>
      </c>
      <c r="P2087">
        <f t="shared" si="885"/>
        <v>0.82051282051282048</v>
      </c>
      <c r="Q2087" t="str">
        <f t="shared" si="874"/>
        <v>4.92% | 0.49%</v>
      </c>
      <c r="R2087" t="str">
        <f t="shared" si="886"/>
        <v>BULLISH</v>
      </c>
      <c r="S2087">
        <f t="shared" si="875"/>
        <v>1</v>
      </c>
    </row>
    <row r="2088" spans="1:19" hidden="1" x14ac:dyDescent="0.25">
      <c r="A2088" s="5" t="str">
        <f t="shared" si="872"/>
        <v>43985NFLX</v>
      </c>
      <c r="B2088" s="6" t="s">
        <v>32</v>
      </c>
      <c r="C2088" s="6">
        <v>402</v>
      </c>
      <c r="D2088" s="6">
        <v>448</v>
      </c>
      <c r="E2088" s="6">
        <v>427</v>
      </c>
      <c r="F2088" t="str">
        <f t="shared" si="876"/>
        <v>WED</v>
      </c>
      <c r="G2088" s="1">
        <f t="shared" si="877"/>
        <v>43985</v>
      </c>
      <c r="H2088" s="2">
        <f t="shared" ca="1" si="878"/>
        <v>268</v>
      </c>
      <c r="I2088" t="str">
        <f t="shared" si="879"/>
        <v>NFLX</v>
      </c>
      <c r="J2088">
        <f t="shared" si="880"/>
        <v>402</v>
      </c>
      <c r="K2088">
        <f t="shared" si="881"/>
        <v>448</v>
      </c>
      <c r="L2088">
        <f t="shared" si="882"/>
        <v>425</v>
      </c>
      <c r="M2088">
        <f t="shared" si="883"/>
        <v>23</v>
      </c>
      <c r="N2088">
        <f t="shared" si="873"/>
        <v>46</v>
      </c>
      <c r="O2088">
        <f t="shared" si="884"/>
        <v>427</v>
      </c>
      <c r="P2088">
        <f t="shared" si="885"/>
        <v>8.6956521739130432E-2</v>
      </c>
      <c r="Q2088" t="str">
        <f t="shared" si="874"/>
        <v>5.85% | 4.92%</v>
      </c>
      <c r="R2088" t="str">
        <f t="shared" si="886"/>
        <v>BULLISH</v>
      </c>
      <c r="S2088">
        <f t="shared" si="875"/>
        <v>1</v>
      </c>
    </row>
    <row r="2089" spans="1:19" x14ac:dyDescent="0.25">
      <c r="A2089" s="5" t="str">
        <f t="shared" si="872"/>
        <v>43985TSLA</v>
      </c>
      <c r="B2089" s="6" t="s">
        <v>33</v>
      </c>
      <c r="C2089" s="6">
        <v>775</v>
      </c>
      <c r="D2089" s="6">
        <v>901</v>
      </c>
      <c r="E2089" s="6">
        <v>881</v>
      </c>
      <c r="F2089" t="str">
        <f t="shared" si="876"/>
        <v>WED</v>
      </c>
      <c r="G2089" s="1">
        <f t="shared" si="877"/>
        <v>43985</v>
      </c>
      <c r="H2089" s="2">
        <f t="shared" ca="1" si="878"/>
        <v>268</v>
      </c>
      <c r="I2089" t="str">
        <f t="shared" si="879"/>
        <v>TSLA</v>
      </c>
      <c r="J2089">
        <f t="shared" si="880"/>
        <v>775</v>
      </c>
      <c r="K2089">
        <f t="shared" si="881"/>
        <v>901</v>
      </c>
      <c r="L2089">
        <f t="shared" si="882"/>
        <v>838</v>
      </c>
      <c r="M2089">
        <f t="shared" si="883"/>
        <v>63</v>
      </c>
      <c r="N2089">
        <f t="shared" si="873"/>
        <v>126</v>
      </c>
      <c r="O2089">
        <f t="shared" si="884"/>
        <v>881</v>
      </c>
      <c r="P2089">
        <f t="shared" si="885"/>
        <v>0.68253968253968256</v>
      </c>
      <c r="Q2089" t="str">
        <f t="shared" si="874"/>
        <v>12.03% | 2.27%</v>
      </c>
      <c r="R2089" t="str">
        <f t="shared" si="886"/>
        <v>BULLISH</v>
      </c>
      <c r="S2089">
        <f t="shared" si="875"/>
        <v>1</v>
      </c>
    </row>
    <row r="2090" spans="1:19" hidden="1" x14ac:dyDescent="0.25">
      <c r="A2090" s="5" t="str">
        <f t="shared" si="872"/>
        <v>43985NYXBT</v>
      </c>
      <c r="B2090" s="6" t="s">
        <v>34</v>
      </c>
      <c r="C2090" s="6">
        <v>8999</v>
      </c>
      <c r="D2090" s="6">
        <v>10144</v>
      </c>
      <c r="E2090" s="6">
        <v>9934</v>
      </c>
      <c r="F2090" t="str">
        <f t="shared" si="876"/>
        <v>WED</v>
      </c>
      <c r="G2090" s="1">
        <f t="shared" si="877"/>
        <v>43985</v>
      </c>
      <c r="H2090" s="2">
        <f t="shared" ca="1" si="878"/>
        <v>268</v>
      </c>
      <c r="I2090" t="str">
        <f t="shared" si="879"/>
        <v>NYXBT</v>
      </c>
      <c r="J2090">
        <f t="shared" si="880"/>
        <v>8999</v>
      </c>
      <c r="K2090">
        <f t="shared" si="881"/>
        <v>10144</v>
      </c>
      <c r="L2090">
        <f t="shared" si="882"/>
        <v>9571.5</v>
      </c>
      <c r="M2090">
        <f t="shared" si="883"/>
        <v>572.5</v>
      </c>
      <c r="N2090">
        <f t="shared" si="873"/>
        <v>1145</v>
      </c>
      <c r="O2090">
        <f t="shared" si="884"/>
        <v>9934</v>
      </c>
      <c r="P2090">
        <f t="shared" si="885"/>
        <v>0.63318777292576423</v>
      </c>
      <c r="Q2090" t="str">
        <f t="shared" si="874"/>
        <v>9.41% | 2.11%</v>
      </c>
      <c r="R2090" t="str">
        <f t="shared" si="886"/>
        <v>BULLISH</v>
      </c>
      <c r="S2090">
        <f t="shared" si="875"/>
        <v>1</v>
      </c>
    </row>
    <row r="2091" spans="1:19" hidden="1" x14ac:dyDescent="0.25">
      <c r="A2091" s="5" t="str">
        <f t="shared" si="872"/>
        <v>43986UST10Y</v>
      </c>
      <c r="B2091" s="6" t="s">
        <v>4</v>
      </c>
      <c r="C2091" s="6">
        <v>0.77</v>
      </c>
      <c r="D2091" s="6">
        <v>0.61</v>
      </c>
      <c r="E2091" s="6">
        <v>0.77</v>
      </c>
      <c r="F2091" t="str">
        <f t="shared" si="876"/>
        <v>THU</v>
      </c>
      <c r="G2091" s="3">
        <f>DATE(2020,6,4)</f>
        <v>43986</v>
      </c>
      <c r="H2091" s="2">
        <f t="shared" ca="1" si="878"/>
        <v>267</v>
      </c>
      <c r="I2091" t="str">
        <f t="shared" si="879"/>
        <v>UST10Y</v>
      </c>
      <c r="J2091">
        <f t="shared" si="880"/>
        <v>0.77</v>
      </c>
      <c r="K2091">
        <f t="shared" si="881"/>
        <v>0.61</v>
      </c>
      <c r="L2091">
        <f t="shared" si="882"/>
        <v>0.69</v>
      </c>
      <c r="M2091">
        <f t="shared" si="883"/>
        <v>8.0000000000000446E-2</v>
      </c>
      <c r="N2091">
        <f t="shared" si="873"/>
        <v>0.16000000000000003</v>
      </c>
      <c r="O2091">
        <f t="shared" si="884"/>
        <v>0.77</v>
      </c>
      <c r="P2091">
        <f t="shared" si="885"/>
        <v>0.99999999999999534</v>
      </c>
      <c r="Q2091" t="str">
        <f t="shared" si="874"/>
        <v>0% | 20.78%</v>
      </c>
      <c r="R2091" t="str">
        <f t="shared" si="886"/>
        <v>BEARISH</v>
      </c>
      <c r="S2091">
        <f t="shared" si="875"/>
        <v>-1</v>
      </c>
    </row>
    <row r="2092" spans="1:19" hidden="1" x14ac:dyDescent="0.25">
      <c r="A2092" s="5" t="str">
        <f t="shared" si="872"/>
        <v>43986UST2Y</v>
      </c>
      <c r="B2092" s="6" t="s">
        <v>5</v>
      </c>
      <c r="C2092" s="6">
        <v>0.21</v>
      </c>
      <c r="D2092" s="6">
        <v>0.14000000000000001</v>
      </c>
      <c r="E2092" s="6">
        <v>0.19</v>
      </c>
      <c r="F2092" t="str">
        <f t="shared" ref="F2092:F2122" si="887">UPPER(TEXT(G2092,"ddd"))</f>
        <v>THU</v>
      </c>
      <c r="G2092" s="3">
        <f t="shared" ref="G2092:G2121" si="888">DATE(2020,6,4)</f>
        <v>43986</v>
      </c>
      <c r="H2092" s="2">
        <f t="shared" ref="H2092:H2122" ca="1" si="889">TODAY()-G2092</f>
        <v>267</v>
      </c>
      <c r="I2092" t="str">
        <f t="shared" ref="I2092:I2122" si="890">TRIM(LEFT(B2092,FIND(" ",B2092,1)))</f>
        <v>UST2Y</v>
      </c>
      <c r="J2092">
        <f t="shared" ref="J2092:J2122" si="891">C2092</f>
        <v>0.21</v>
      </c>
      <c r="K2092">
        <f t="shared" ref="K2092:K2122" si="892">D2092</f>
        <v>0.14000000000000001</v>
      </c>
      <c r="L2092">
        <f t="shared" ref="L2092:L2122" si="893">AVERAGE(J2092:K2092)</f>
        <v>0.17499999999999999</v>
      </c>
      <c r="M2092">
        <f t="shared" ref="M2092:M2122" si="894">_xlfn.STDEV.P(J2092:K2092)</f>
        <v>3.5000000000000003E-2</v>
      </c>
      <c r="N2092">
        <f t="shared" si="873"/>
        <v>6.9999999999999979E-2</v>
      </c>
      <c r="O2092">
        <f t="shared" ref="O2092:O2122" si="895">E2092</f>
        <v>0.19</v>
      </c>
      <c r="P2092">
        <f t="shared" ref="P2092:P2122" si="896">(O2092-L2092)/M2092</f>
        <v>0.42857142857142894</v>
      </c>
      <c r="Q2092" t="str">
        <f t="shared" si="874"/>
        <v>10.53% | 26.32%</v>
      </c>
      <c r="R2092" t="str">
        <f t="shared" ref="R2092:R2122" si="897">MID(B2092,FIND("(",B2092,1)+1,FIND(")",B2092,1)-FIND("(",B2092,1)-1)</f>
        <v>BEARISH</v>
      </c>
      <c r="S2092">
        <f t="shared" si="875"/>
        <v>-1</v>
      </c>
    </row>
    <row r="2093" spans="1:19" hidden="1" x14ac:dyDescent="0.25">
      <c r="A2093" s="5" t="str">
        <f t="shared" si="872"/>
        <v>43986SPX</v>
      </c>
      <c r="B2093" s="6" t="s">
        <v>93</v>
      </c>
      <c r="C2093" s="6">
        <v>2916</v>
      </c>
      <c r="D2093" s="6">
        <v>3138</v>
      </c>
      <c r="E2093" s="6">
        <v>3122</v>
      </c>
      <c r="F2093" t="str">
        <f t="shared" si="887"/>
        <v>THU</v>
      </c>
      <c r="G2093" s="3">
        <f t="shared" si="888"/>
        <v>43986</v>
      </c>
      <c r="H2093" s="2">
        <f t="shared" ca="1" si="889"/>
        <v>267</v>
      </c>
      <c r="I2093" t="str">
        <f t="shared" si="890"/>
        <v>SPX</v>
      </c>
      <c r="J2093">
        <f t="shared" si="891"/>
        <v>2916</v>
      </c>
      <c r="K2093">
        <f t="shared" si="892"/>
        <v>3138</v>
      </c>
      <c r="L2093">
        <f t="shared" si="893"/>
        <v>3027</v>
      </c>
      <c r="M2093">
        <f t="shared" si="894"/>
        <v>111</v>
      </c>
      <c r="N2093">
        <f t="shared" si="873"/>
        <v>222</v>
      </c>
      <c r="O2093">
        <f t="shared" si="895"/>
        <v>3122</v>
      </c>
      <c r="P2093">
        <f t="shared" si="896"/>
        <v>0.85585585585585588</v>
      </c>
      <c r="Q2093" t="str">
        <f t="shared" si="874"/>
        <v>6.6% | 0.51%</v>
      </c>
      <c r="R2093" t="str">
        <f t="shared" si="897"/>
        <v>BULLISH</v>
      </c>
      <c r="S2093">
        <f t="shared" si="875"/>
        <v>1</v>
      </c>
    </row>
    <row r="2094" spans="1:19" hidden="1" x14ac:dyDescent="0.25">
      <c r="A2094" s="5" t="str">
        <f t="shared" si="872"/>
        <v>43986RUT</v>
      </c>
      <c r="B2094" s="6" t="s">
        <v>7</v>
      </c>
      <c r="C2094" s="6">
        <v>1337</v>
      </c>
      <c r="D2094" s="6">
        <v>1467</v>
      </c>
      <c r="E2094" s="6">
        <v>1452</v>
      </c>
      <c r="F2094" t="str">
        <f t="shared" si="887"/>
        <v>THU</v>
      </c>
      <c r="G2094" s="3">
        <f t="shared" si="888"/>
        <v>43986</v>
      </c>
      <c r="H2094" s="2">
        <f t="shared" ca="1" si="889"/>
        <v>267</v>
      </c>
      <c r="I2094" t="str">
        <f t="shared" si="890"/>
        <v>RUT</v>
      </c>
      <c r="J2094">
        <f t="shared" si="891"/>
        <v>1337</v>
      </c>
      <c r="K2094">
        <f t="shared" si="892"/>
        <v>1467</v>
      </c>
      <c r="L2094">
        <f t="shared" si="893"/>
        <v>1402</v>
      </c>
      <c r="M2094">
        <f t="shared" si="894"/>
        <v>65</v>
      </c>
      <c r="N2094">
        <f t="shared" si="873"/>
        <v>130</v>
      </c>
      <c r="O2094">
        <f t="shared" si="895"/>
        <v>1452</v>
      </c>
      <c r="P2094">
        <f t="shared" si="896"/>
        <v>0.76923076923076927</v>
      </c>
      <c r="Q2094" t="str">
        <f t="shared" si="874"/>
        <v>7.92% | 1.03%</v>
      </c>
      <c r="R2094" t="str">
        <f t="shared" si="897"/>
        <v>BEARISH</v>
      </c>
      <c r="S2094">
        <f t="shared" si="875"/>
        <v>-1</v>
      </c>
    </row>
    <row r="2095" spans="1:19" hidden="1" x14ac:dyDescent="0.25">
      <c r="A2095" s="5" t="str">
        <f t="shared" si="872"/>
        <v>43986COMPQ</v>
      </c>
      <c r="B2095" s="6" t="s">
        <v>8</v>
      </c>
      <c r="C2095" s="6">
        <v>9179</v>
      </c>
      <c r="D2095" s="6">
        <v>9723</v>
      </c>
      <c r="E2095" s="6">
        <v>9682</v>
      </c>
      <c r="F2095" t="str">
        <f t="shared" si="887"/>
        <v>THU</v>
      </c>
      <c r="G2095" s="3">
        <f t="shared" si="888"/>
        <v>43986</v>
      </c>
      <c r="H2095" s="2">
        <f t="shared" ca="1" si="889"/>
        <v>267</v>
      </c>
      <c r="I2095" t="str">
        <f t="shared" si="890"/>
        <v>COMPQ</v>
      </c>
      <c r="J2095">
        <f t="shared" si="891"/>
        <v>9179</v>
      </c>
      <c r="K2095">
        <f t="shared" si="892"/>
        <v>9723</v>
      </c>
      <c r="L2095">
        <f t="shared" si="893"/>
        <v>9451</v>
      </c>
      <c r="M2095">
        <f t="shared" si="894"/>
        <v>272</v>
      </c>
      <c r="N2095">
        <f t="shared" si="873"/>
        <v>544</v>
      </c>
      <c r="O2095">
        <f t="shared" si="895"/>
        <v>9682</v>
      </c>
      <c r="P2095">
        <f t="shared" si="896"/>
        <v>0.84926470588235292</v>
      </c>
      <c r="Q2095" t="str">
        <f t="shared" si="874"/>
        <v>5.2% | 0.42%</v>
      </c>
      <c r="R2095" t="str">
        <f t="shared" si="897"/>
        <v>BULLISH</v>
      </c>
      <c r="S2095">
        <f t="shared" si="875"/>
        <v>1</v>
      </c>
    </row>
    <row r="2096" spans="1:19" hidden="1" x14ac:dyDescent="0.25">
      <c r="A2096" s="5" t="str">
        <f t="shared" si="872"/>
        <v>43986XLV</v>
      </c>
      <c r="B2096" s="6" t="s">
        <v>9</v>
      </c>
      <c r="C2096" s="6">
        <v>98.35</v>
      </c>
      <c r="D2096" s="6">
        <v>103.95</v>
      </c>
      <c r="E2096" s="6">
        <v>102.38</v>
      </c>
      <c r="F2096" t="str">
        <f t="shared" si="887"/>
        <v>THU</v>
      </c>
      <c r="G2096" s="3">
        <f t="shared" si="888"/>
        <v>43986</v>
      </c>
      <c r="H2096" s="2">
        <f t="shared" ca="1" si="889"/>
        <v>267</v>
      </c>
      <c r="I2096" t="str">
        <f t="shared" si="890"/>
        <v>XLV</v>
      </c>
      <c r="J2096">
        <f t="shared" si="891"/>
        <v>98.35</v>
      </c>
      <c r="K2096">
        <f t="shared" si="892"/>
        <v>103.95</v>
      </c>
      <c r="L2096">
        <f t="shared" si="893"/>
        <v>101.15</v>
      </c>
      <c r="M2096">
        <f t="shared" si="894"/>
        <v>2.8000000000000043</v>
      </c>
      <c r="N2096">
        <f t="shared" si="873"/>
        <v>5.6000000000000085</v>
      </c>
      <c r="O2096">
        <f t="shared" si="895"/>
        <v>102.38</v>
      </c>
      <c r="P2096">
        <f t="shared" si="896"/>
        <v>0.43928571428570995</v>
      </c>
      <c r="Q2096" t="str">
        <f t="shared" si="874"/>
        <v>3.94% | 1.53%</v>
      </c>
      <c r="R2096" t="str">
        <f t="shared" si="897"/>
        <v>BULLISH</v>
      </c>
      <c r="S2096">
        <f t="shared" si="875"/>
        <v>1</v>
      </c>
    </row>
    <row r="2097" spans="1:19" hidden="1" x14ac:dyDescent="0.25">
      <c r="A2097" s="5" t="str">
        <f t="shared" si="872"/>
        <v>43986XLK</v>
      </c>
      <c r="B2097" s="6" t="s">
        <v>10</v>
      </c>
      <c r="C2097" s="6">
        <v>95.07</v>
      </c>
      <c r="D2097" s="6">
        <v>99.94</v>
      </c>
      <c r="E2097" s="6">
        <v>99.63</v>
      </c>
      <c r="F2097" t="str">
        <f t="shared" si="887"/>
        <v>THU</v>
      </c>
      <c r="G2097" s="3">
        <f t="shared" si="888"/>
        <v>43986</v>
      </c>
      <c r="H2097" s="2">
        <f t="shared" ca="1" si="889"/>
        <v>267</v>
      </c>
      <c r="I2097" t="str">
        <f t="shared" si="890"/>
        <v>XLK</v>
      </c>
      <c r="J2097">
        <f t="shared" si="891"/>
        <v>95.07</v>
      </c>
      <c r="K2097">
        <f t="shared" si="892"/>
        <v>99.94</v>
      </c>
      <c r="L2097">
        <f t="shared" si="893"/>
        <v>97.504999999999995</v>
      </c>
      <c r="M2097">
        <f t="shared" si="894"/>
        <v>2.4350000000000023</v>
      </c>
      <c r="N2097">
        <f t="shared" si="873"/>
        <v>4.8700000000000045</v>
      </c>
      <c r="O2097">
        <f t="shared" si="895"/>
        <v>99.63</v>
      </c>
      <c r="P2097">
        <f t="shared" si="896"/>
        <v>0.87268993839835651</v>
      </c>
      <c r="Q2097" t="str">
        <f t="shared" si="874"/>
        <v>4.58% | 0.31%</v>
      </c>
      <c r="R2097" t="str">
        <f t="shared" si="897"/>
        <v>BULLISH</v>
      </c>
      <c r="S2097">
        <f t="shared" si="875"/>
        <v>1</v>
      </c>
    </row>
    <row r="2098" spans="1:19" hidden="1" x14ac:dyDescent="0.25">
      <c r="A2098" s="5" t="str">
        <f t="shared" si="872"/>
        <v>43986XLU</v>
      </c>
      <c r="B2098" s="6" t="s">
        <v>52</v>
      </c>
      <c r="C2098" s="6">
        <v>54.7</v>
      </c>
      <c r="D2098" s="6">
        <v>62.7</v>
      </c>
      <c r="E2098" s="6">
        <v>61.52</v>
      </c>
      <c r="F2098" t="str">
        <f t="shared" si="887"/>
        <v>THU</v>
      </c>
      <c r="G2098" s="3">
        <f t="shared" si="888"/>
        <v>43986</v>
      </c>
      <c r="H2098" s="2">
        <f t="shared" ca="1" si="889"/>
        <v>267</v>
      </c>
      <c r="I2098" t="str">
        <f t="shared" si="890"/>
        <v>XLU</v>
      </c>
      <c r="J2098">
        <f t="shared" si="891"/>
        <v>54.7</v>
      </c>
      <c r="K2098">
        <f t="shared" si="892"/>
        <v>62.7</v>
      </c>
      <c r="L2098">
        <f t="shared" si="893"/>
        <v>58.7</v>
      </c>
      <c r="M2098">
        <f t="shared" si="894"/>
        <v>4</v>
      </c>
      <c r="N2098">
        <f t="shared" si="873"/>
        <v>8</v>
      </c>
      <c r="O2098">
        <f t="shared" si="895"/>
        <v>61.52</v>
      </c>
      <c r="P2098">
        <f t="shared" si="896"/>
        <v>0.70500000000000007</v>
      </c>
      <c r="Q2098" t="str">
        <f t="shared" si="874"/>
        <v>11.09% | 1.92%</v>
      </c>
      <c r="R2098" t="str">
        <f t="shared" si="897"/>
        <v>BULLISH</v>
      </c>
      <c r="S2098">
        <f t="shared" si="875"/>
        <v>1</v>
      </c>
    </row>
    <row r="2099" spans="1:19" hidden="1" x14ac:dyDescent="0.25">
      <c r="A2099" s="5" t="str">
        <f t="shared" si="872"/>
        <v>43986XLF</v>
      </c>
      <c r="B2099" s="6" t="s">
        <v>12</v>
      </c>
      <c r="C2099" s="6">
        <v>21.23</v>
      </c>
      <c r="D2099" s="6">
        <v>25.19</v>
      </c>
      <c r="E2099" s="6">
        <v>24.76</v>
      </c>
      <c r="F2099" t="str">
        <f t="shared" si="887"/>
        <v>THU</v>
      </c>
      <c r="G2099" s="3">
        <f t="shared" si="888"/>
        <v>43986</v>
      </c>
      <c r="H2099" s="2">
        <f t="shared" ca="1" si="889"/>
        <v>267</v>
      </c>
      <c r="I2099" t="str">
        <f t="shared" si="890"/>
        <v>XLF</v>
      </c>
      <c r="J2099">
        <f t="shared" si="891"/>
        <v>21.23</v>
      </c>
      <c r="K2099">
        <f t="shared" si="892"/>
        <v>25.19</v>
      </c>
      <c r="L2099">
        <f t="shared" si="893"/>
        <v>23.21</v>
      </c>
      <c r="M2099">
        <f t="shared" si="894"/>
        <v>1.9800000000000004</v>
      </c>
      <c r="N2099">
        <f t="shared" si="873"/>
        <v>3.9600000000000009</v>
      </c>
      <c r="O2099">
        <f t="shared" si="895"/>
        <v>24.76</v>
      </c>
      <c r="P2099">
        <f t="shared" si="896"/>
        <v>0.78282828282828298</v>
      </c>
      <c r="Q2099" t="str">
        <f t="shared" si="874"/>
        <v>14.26% | 1.74%</v>
      </c>
      <c r="R2099" t="str">
        <f t="shared" si="897"/>
        <v>BEARISH</v>
      </c>
      <c r="S2099">
        <f t="shared" si="875"/>
        <v>-1</v>
      </c>
    </row>
    <row r="2100" spans="1:19" hidden="1" x14ac:dyDescent="0.25">
      <c r="A2100" s="5" t="str">
        <f t="shared" si="872"/>
        <v>43986XLI</v>
      </c>
      <c r="B2100" s="6" t="s">
        <v>13</v>
      </c>
      <c r="C2100" s="6">
        <v>62.09</v>
      </c>
      <c r="D2100" s="6">
        <v>71.98</v>
      </c>
      <c r="E2100" s="6">
        <v>71.38</v>
      </c>
      <c r="F2100" t="str">
        <f t="shared" si="887"/>
        <v>THU</v>
      </c>
      <c r="G2100" s="3">
        <f t="shared" si="888"/>
        <v>43986</v>
      </c>
      <c r="H2100" s="2">
        <f t="shared" ca="1" si="889"/>
        <v>267</v>
      </c>
      <c r="I2100" t="str">
        <f t="shared" si="890"/>
        <v>XLI</v>
      </c>
      <c r="J2100">
        <f t="shared" si="891"/>
        <v>62.09</v>
      </c>
      <c r="K2100">
        <f t="shared" si="892"/>
        <v>71.98</v>
      </c>
      <c r="L2100">
        <f t="shared" si="893"/>
        <v>67.034999999999997</v>
      </c>
      <c r="M2100">
        <f t="shared" si="894"/>
        <v>4.9450000000000003</v>
      </c>
      <c r="N2100">
        <f t="shared" si="873"/>
        <v>9.89</v>
      </c>
      <c r="O2100">
        <f t="shared" si="895"/>
        <v>71.38</v>
      </c>
      <c r="P2100">
        <f t="shared" si="896"/>
        <v>0.87866531850353868</v>
      </c>
      <c r="Q2100" t="str">
        <f t="shared" si="874"/>
        <v>13.01% | 0.84%</v>
      </c>
      <c r="R2100" t="str">
        <f t="shared" si="897"/>
        <v>BEARISH</v>
      </c>
      <c r="S2100">
        <f t="shared" si="875"/>
        <v>-1</v>
      </c>
    </row>
    <row r="2101" spans="1:19" hidden="1" x14ac:dyDescent="0.25">
      <c r="A2101" s="5" t="str">
        <f t="shared" si="872"/>
        <v>43986SSEC</v>
      </c>
      <c r="B2101" s="6" t="s">
        <v>14</v>
      </c>
      <c r="C2101" s="6">
        <v>2779</v>
      </c>
      <c r="D2101" s="6">
        <v>2948</v>
      </c>
      <c r="E2101" s="6">
        <v>2919</v>
      </c>
      <c r="F2101" t="str">
        <f t="shared" si="887"/>
        <v>THU</v>
      </c>
      <c r="G2101" s="3">
        <f t="shared" si="888"/>
        <v>43986</v>
      </c>
      <c r="H2101" s="2">
        <f t="shared" ca="1" si="889"/>
        <v>267</v>
      </c>
      <c r="I2101" t="str">
        <f t="shared" si="890"/>
        <v>SSEC</v>
      </c>
      <c r="J2101">
        <f t="shared" si="891"/>
        <v>2779</v>
      </c>
      <c r="K2101">
        <f t="shared" si="892"/>
        <v>2948</v>
      </c>
      <c r="L2101">
        <f t="shared" si="893"/>
        <v>2863.5</v>
      </c>
      <c r="M2101">
        <f t="shared" si="894"/>
        <v>84.5</v>
      </c>
      <c r="N2101">
        <f t="shared" si="873"/>
        <v>169</v>
      </c>
      <c r="O2101">
        <f t="shared" si="895"/>
        <v>2919</v>
      </c>
      <c r="P2101">
        <f t="shared" si="896"/>
        <v>0.65680473372781067</v>
      </c>
      <c r="Q2101" t="str">
        <f t="shared" si="874"/>
        <v>4.8% | 0.99%</v>
      </c>
      <c r="R2101" t="str">
        <f t="shared" si="897"/>
        <v>BEARISH</v>
      </c>
      <c r="S2101">
        <f t="shared" si="875"/>
        <v>-1</v>
      </c>
    </row>
    <row r="2102" spans="1:19" hidden="1" x14ac:dyDescent="0.25">
      <c r="A2102" s="5" t="str">
        <f t="shared" si="872"/>
        <v>43986NIKK</v>
      </c>
      <c r="B2102" s="6" t="s">
        <v>91</v>
      </c>
      <c r="C2102" s="6">
        <v>20697</v>
      </c>
      <c r="D2102" s="6">
        <v>23014</v>
      </c>
      <c r="E2102" s="6">
        <v>22695</v>
      </c>
      <c r="F2102" t="str">
        <f t="shared" si="887"/>
        <v>THU</v>
      </c>
      <c r="G2102" s="3">
        <f t="shared" si="888"/>
        <v>43986</v>
      </c>
      <c r="H2102" s="2">
        <f t="shared" ca="1" si="889"/>
        <v>267</v>
      </c>
      <c r="I2102" t="str">
        <f t="shared" si="890"/>
        <v>NIKK</v>
      </c>
      <c r="J2102">
        <f t="shared" si="891"/>
        <v>20697</v>
      </c>
      <c r="K2102">
        <f t="shared" si="892"/>
        <v>23014</v>
      </c>
      <c r="L2102">
        <f t="shared" si="893"/>
        <v>21855.5</v>
      </c>
      <c r="M2102">
        <f t="shared" si="894"/>
        <v>1158.5</v>
      </c>
      <c r="N2102">
        <f t="shared" si="873"/>
        <v>2317</v>
      </c>
      <c r="O2102">
        <f t="shared" si="895"/>
        <v>22695</v>
      </c>
      <c r="P2102">
        <f t="shared" si="896"/>
        <v>0.72464393612429867</v>
      </c>
      <c r="Q2102" t="str">
        <f t="shared" si="874"/>
        <v>8.8% | 1.41%</v>
      </c>
      <c r="R2102" t="str">
        <f t="shared" si="897"/>
        <v>BULLISH</v>
      </c>
      <c r="S2102">
        <f t="shared" si="875"/>
        <v>1</v>
      </c>
    </row>
    <row r="2103" spans="1:19" hidden="1" x14ac:dyDescent="0.25">
      <c r="A2103" s="5" t="str">
        <f t="shared" si="872"/>
        <v>43986DAX</v>
      </c>
      <c r="B2103" s="6" t="s">
        <v>92</v>
      </c>
      <c r="C2103" s="6">
        <v>10863</v>
      </c>
      <c r="D2103" s="6">
        <v>12574</v>
      </c>
      <c r="E2103" s="6">
        <v>12480</v>
      </c>
      <c r="F2103" t="str">
        <f t="shared" si="887"/>
        <v>THU</v>
      </c>
      <c r="G2103" s="3">
        <f t="shared" si="888"/>
        <v>43986</v>
      </c>
      <c r="H2103" s="2">
        <f t="shared" ca="1" si="889"/>
        <v>267</v>
      </c>
      <c r="I2103" t="str">
        <f t="shared" si="890"/>
        <v>DAX</v>
      </c>
      <c r="J2103">
        <f t="shared" si="891"/>
        <v>10863</v>
      </c>
      <c r="K2103">
        <f t="shared" si="892"/>
        <v>12574</v>
      </c>
      <c r="L2103">
        <f t="shared" si="893"/>
        <v>11718.5</v>
      </c>
      <c r="M2103">
        <f t="shared" si="894"/>
        <v>855.5</v>
      </c>
      <c r="N2103">
        <f t="shared" si="873"/>
        <v>1711</v>
      </c>
      <c r="O2103">
        <f t="shared" si="895"/>
        <v>12480</v>
      </c>
      <c r="P2103">
        <f t="shared" si="896"/>
        <v>0.89012273524254826</v>
      </c>
      <c r="Q2103" t="str">
        <f t="shared" si="874"/>
        <v>12.96% | 0.75%</v>
      </c>
      <c r="R2103" t="str">
        <f t="shared" si="897"/>
        <v>NEUTRAL</v>
      </c>
      <c r="S2103">
        <f t="shared" si="875"/>
        <v>0</v>
      </c>
    </row>
    <row r="2104" spans="1:19" hidden="1" x14ac:dyDescent="0.25">
      <c r="A2104" s="5" t="str">
        <f t="shared" si="872"/>
        <v>43986VIX</v>
      </c>
      <c r="B2104" s="6" t="s">
        <v>17</v>
      </c>
      <c r="C2104" s="6">
        <v>25.43</v>
      </c>
      <c r="D2104" s="6">
        <v>33.89</v>
      </c>
      <c r="E2104" s="6">
        <v>25.66</v>
      </c>
      <c r="F2104" t="str">
        <f t="shared" si="887"/>
        <v>THU</v>
      </c>
      <c r="G2104" s="3">
        <f t="shared" si="888"/>
        <v>43986</v>
      </c>
      <c r="H2104" s="2">
        <f t="shared" ca="1" si="889"/>
        <v>267</v>
      </c>
      <c r="I2104" t="str">
        <f t="shared" si="890"/>
        <v>VIX</v>
      </c>
      <c r="J2104">
        <f t="shared" si="891"/>
        <v>25.43</v>
      </c>
      <c r="K2104">
        <f t="shared" si="892"/>
        <v>33.89</v>
      </c>
      <c r="L2104">
        <f t="shared" si="893"/>
        <v>29.66</v>
      </c>
      <c r="M2104">
        <f t="shared" si="894"/>
        <v>4.2300000000000066</v>
      </c>
      <c r="N2104">
        <f t="shared" si="873"/>
        <v>8.4600000000000009</v>
      </c>
      <c r="O2104">
        <f t="shared" si="895"/>
        <v>25.66</v>
      </c>
      <c r="P2104">
        <f t="shared" si="896"/>
        <v>-0.94562647754136964</v>
      </c>
      <c r="Q2104" t="str">
        <f t="shared" si="874"/>
        <v>0.9% | 32.07%</v>
      </c>
      <c r="R2104" t="str">
        <f t="shared" si="897"/>
        <v>BULLISH</v>
      </c>
      <c r="S2104">
        <f t="shared" si="875"/>
        <v>1</v>
      </c>
    </row>
    <row r="2105" spans="1:19" hidden="1" x14ac:dyDescent="0.25">
      <c r="A2105" s="5" t="str">
        <f t="shared" si="872"/>
        <v>43986USD</v>
      </c>
      <c r="B2105" s="6" t="s">
        <v>94</v>
      </c>
      <c r="C2105" s="6">
        <v>96.8</v>
      </c>
      <c r="D2105" s="6">
        <v>100.05</v>
      </c>
      <c r="E2105" s="6">
        <v>97.26</v>
      </c>
      <c r="F2105" t="str">
        <f t="shared" si="887"/>
        <v>THU</v>
      </c>
      <c r="G2105" s="3">
        <f t="shared" si="888"/>
        <v>43986</v>
      </c>
      <c r="H2105" s="2">
        <f t="shared" ca="1" si="889"/>
        <v>267</v>
      </c>
      <c r="I2105" t="str">
        <f t="shared" si="890"/>
        <v>USD</v>
      </c>
      <c r="J2105">
        <f t="shared" si="891"/>
        <v>96.8</v>
      </c>
      <c r="K2105">
        <f t="shared" si="892"/>
        <v>100.05</v>
      </c>
      <c r="L2105">
        <f t="shared" si="893"/>
        <v>98.424999999999997</v>
      </c>
      <c r="M2105">
        <f t="shared" si="894"/>
        <v>1.625</v>
      </c>
      <c r="N2105">
        <f t="shared" si="873"/>
        <v>3.25</v>
      </c>
      <c r="O2105">
        <f t="shared" si="895"/>
        <v>97.26</v>
      </c>
      <c r="P2105">
        <f t="shared" si="896"/>
        <v>-0.716923076923072</v>
      </c>
      <c r="Q2105" t="str">
        <f t="shared" si="874"/>
        <v>0.47% | 2.87%</v>
      </c>
      <c r="R2105" t="str">
        <f t="shared" si="897"/>
        <v>BEARISH</v>
      </c>
      <c r="S2105">
        <f t="shared" si="875"/>
        <v>-1</v>
      </c>
    </row>
    <row r="2106" spans="1:19" hidden="1" x14ac:dyDescent="0.25">
      <c r="A2106" s="5" t="str">
        <f t="shared" si="872"/>
        <v>43986EUR/USD</v>
      </c>
      <c r="B2106" s="6" t="s">
        <v>19</v>
      </c>
      <c r="C2106" s="6">
        <v>1.08</v>
      </c>
      <c r="D2106" s="6">
        <v>1.1200000000000001</v>
      </c>
      <c r="E2106" s="6">
        <v>1.1200000000000001</v>
      </c>
      <c r="F2106" t="str">
        <f t="shared" si="887"/>
        <v>THU</v>
      </c>
      <c r="G2106" s="3">
        <f t="shared" si="888"/>
        <v>43986</v>
      </c>
      <c r="H2106" s="2">
        <f t="shared" ca="1" si="889"/>
        <v>267</v>
      </c>
      <c r="I2106" t="str">
        <f t="shared" si="890"/>
        <v>EUR/USD</v>
      </c>
      <c r="J2106">
        <f t="shared" si="891"/>
        <v>1.08</v>
      </c>
      <c r="K2106">
        <f t="shared" si="892"/>
        <v>1.1200000000000001</v>
      </c>
      <c r="L2106">
        <f t="shared" si="893"/>
        <v>1.1000000000000001</v>
      </c>
      <c r="M2106">
        <f t="shared" si="894"/>
        <v>2.0000000000000018E-2</v>
      </c>
      <c r="N2106">
        <f t="shared" si="873"/>
        <v>4.0000000000000036E-2</v>
      </c>
      <c r="O2106">
        <f t="shared" si="895"/>
        <v>1.1200000000000001</v>
      </c>
      <c r="P2106">
        <f t="shared" si="896"/>
        <v>1</v>
      </c>
      <c r="Q2106" t="str">
        <f t="shared" si="874"/>
        <v>3.57% | 0%</v>
      </c>
      <c r="R2106" t="str">
        <f t="shared" si="897"/>
        <v>BEARISH</v>
      </c>
      <c r="S2106">
        <f t="shared" si="875"/>
        <v>-1</v>
      </c>
    </row>
    <row r="2107" spans="1:19" hidden="1" x14ac:dyDescent="0.25">
      <c r="A2107" s="5" t="str">
        <f t="shared" si="872"/>
        <v>43986USD/JPY</v>
      </c>
      <c r="B2107" s="6" t="s">
        <v>56</v>
      </c>
      <c r="C2107" s="6">
        <v>107.15</v>
      </c>
      <c r="D2107" s="6">
        <v>108.99</v>
      </c>
      <c r="E2107" s="6">
        <v>108.93</v>
      </c>
      <c r="F2107" t="str">
        <f t="shared" si="887"/>
        <v>THU</v>
      </c>
      <c r="G2107" s="3">
        <f t="shared" si="888"/>
        <v>43986</v>
      </c>
      <c r="H2107" s="2">
        <f t="shared" ca="1" si="889"/>
        <v>267</v>
      </c>
      <c r="I2107" t="str">
        <f t="shared" si="890"/>
        <v>USD/JPY</v>
      </c>
      <c r="J2107">
        <f t="shared" si="891"/>
        <v>107.15</v>
      </c>
      <c r="K2107">
        <f t="shared" si="892"/>
        <v>108.99</v>
      </c>
      <c r="L2107">
        <f t="shared" si="893"/>
        <v>108.07</v>
      </c>
      <c r="M2107">
        <f t="shared" si="894"/>
        <v>0.9199999999999946</v>
      </c>
      <c r="N2107">
        <f t="shared" si="873"/>
        <v>1.8399999999999892</v>
      </c>
      <c r="O2107">
        <f t="shared" si="895"/>
        <v>108.93</v>
      </c>
      <c r="P2107">
        <f t="shared" si="896"/>
        <v>0.93478260869567253</v>
      </c>
      <c r="Q2107" t="str">
        <f t="shared" si="874"/>
        <v>1.63% | 0.06%</v>
      </c>
      <c r="R2107" t="str">
        <f t="shared" si="897"/>
        <v>BULLISH</v>
      </c>
      <c r="S2107">
        <f t="shared" si="875"/>
        <v>1</v>
      </c>
    </row>
    <row r="2108" spans="1:19" hidden="1" x14ac:dyDescent="0.25">
      <c r="A2108" s="5" t="str">
        <f t="shared" si="872"/>
        <v>43986GBP/USD</v>
      </c>
      <c r="B2108" s="6" t="s">
        <v>21</v>
      </c>
      <c r="C2108" s="6">
        <v>1.2</v>
      </c>
      <c r="D2108" s="6">
        <v>1.26</v>
      </c>
      <c r="E2108" s="6">
        <v>1.26</v>
      </c>
      <c r="F2108" t="str">
        <f t="shared" si="887"/>
        <v>THU</v>
      </c>
      <c r="G2108" s="3">
        <f t="shared" si="888"/>
        <v>43986</v>
      </c>
      <c r="H2108" s="2">
        <f t="shared" ca="1" si="889"/>
        <v>267</v>
      </c>
      <c r="I2108" t="str">
        <f t="shared" si="890"/>
        <v>GBP/USD</v>
      </c>
      <c r="J2108">
        <f t="shared" si="891"/>
        <v>1.2</v>
      </c>
      <c r="K2108">
        <f t="shared" si="892"/>
        <v>1.26</v>
      </c>
      <c r="L2108">
        <f t="shared" si="893"/>
        <v>1.23</v>
      </c>
      <c r="M2108">
        <f t="shared" si="894"/>
        <v>3.0000000000000027E-2</v>
      </c>
      <c r="N2108">
        <f t="shared" si="873"/>
        <v>6.0000000000000053E-2</v>
      </c>
      <c r="O2108">
        <f t="shared" si="895"/>
        <v>1.26</v>
      </c>
      <c r="P2108">
        <f t="shared" si="896"/>
        <v>1</v>
      </c>
      <c r="Q2108" t="str">
        <f t="shared" si="874"/>
        <v>4.76% | 0%</v>
      </c>
      <c r="R2108" t="str">
        <f t="shared" si="897"/>
        <v>BEARISH</v>
      </c>
      <c r="S2108">
        <f t="shared" si="875"/>
        <v>-1</v>
      </c>
    </row>
    <row r="2109" spans="1:19" hidden="1" x14ac:dyDescent="0.25">
      <c r="A2109" s="5" t="str">
        <f t="shared" si="872"/>
        <v>43986USD/CHF</v>
      </c>
      <c r="B2109" s="6" t="s">
        <v>76</v>
      </c>
      <c r="C2109" s="6">
        <v>0.95</v>
      </c>
      <c r="D2109" s="6">
        <v>0.97</v>
      </c>
      <c r="E2109" s="6">
        <v>0.96</v>
      </c>
      <c r="F2109" t="str">
        <f t="shared" si="887"/>
        <v>THU</v>
      </c>
      <c r="G2109" s="3">
        <f t="shared" si="888"/>
        <v>43986</v>
      </c>
      <c r="H2109" s="2">
        <f t="shared" ca="1" si="889"/>
        <v>267</v>
      </c>
      <c r="I2109" t="str">
        <f t="shared" si="890"/>
        <v>USD/CHF</v>
      </c>
      <c r="J2109">
        <f t="shared" si="891"/>
        <v>0.95</v>
      </c>
      <c r="K2109">
        <f t="shared" si="892"/>
        <v>0.97</v>
      </c>
      <c r="L2109">
        <f t="shared" si="893"/>
        <v>0.96</v>
      </c>
      <c r="M2109">
        <f t="shared" si="894"/>
        <v>1.0000000000000009E-2</v>
      </c>
      <c r="N2109">
        <f t="shared" si="873"/>
        <v>2.0000000000000018E-2</v>
      </c>
      <c r="O2109">
        <f t="shared" si="895"/>
        <v>0.96</v>
      </c>
      <c r="P2109">
        <f t="shared" si="896"/>
        <v>0</v>
      </c>
      <c r="Q2109" t="str">
        <f t="shared" si="874"/>
        <v>1.04% | 1.04%</v>
      </c>
      <c r="R2109" t="str">
        <f t="shared" si="897"/>
        <v>BEARISH</v>
      </c>
      <c r="S2109">
        <f t="shared" si="875"/>
        <v>-1</v>
      </c>
    </row>
    <row r="2110" spans="1:19" hidden="1" x14ac:dyDescent="0.25">
      <c r="A2110" s="5" t="str">
        <f t="shared" si="872"/>
        <v>43986WTIC</v>
      </c>
      <c r="B2110" s="6" t="s">
        <v>23</v>
      </c>
      <c r="C2110" s="6">
        <v>31.83</v>
      </c>
      <c r="D2110" s="6">
        <v>37.75</v>
      </c>
      <c r="E2110" s="6">
        <v>37.29</v>
      </c>
      <c r="F2110" t="str">
        <f t="shared" si="887"/>
        <v>THU</v>
      </c>
      <c r="G2110" s="3">
        <f t="shared" si="888"/>
        <v>43986</v>
      </c>
      <c r="H2110" s="2">
        <f t="shared" ca="1" si="889"/>
        <v>267</v>
      </c>
      <c r="I2110" t="str">
        <f t="shared" si="890"/>
        <v>WTIC</v>
      </c>
      <c r="J2110">
        <f t="shared" si="891"/>
        <v>31.83</v>
      </c>
      <c r="K2110">
        <f t="shared" si="892"/>
        <v>37.75</v>
      </c>
      <c r="L2110">
        <f t="shared" si="893"/>
        <v>34.79</v>
      </c>
      <c r="M2110">
        <f t="shared" si="894"/>
        <v>2.9600000000000009</v>
      </c>
      <c r="N2110">
        <f t="shared" si="873"/>
        <v>5.9200000000000017</v>
      </c>
      <c r="O2110">
        <f t="shared" si="895"/>
        <v>37.29</v>
      </c>
      <c r="P2110">
        <f t="shared" si="896"/>
        <v>0.84459459459459441</v>
      </c>
      <c r="Q2110" t="str">
        <f t="shared" si="874"/>
        <v>14.64% | 1.23%</v>
      </c>
      <c r="R2110" t="str">
        <f t="shared" si="897"/>
        <v>BEARISH</v>
      </c>
      <c r="S2110">
        <f t="shared" si="875"/>
        <v>-1</v>
      </c>
    </row>
    <row r="2111" spans="1:19" hidden="1" x14ac:dyDescent="0.25">
      <c r="A2111" s="5" t="str">
        <f t="shared" si="872"/>
        <v>43986NATGAS</v>
      </c>
      <c r="B2111" s="6" t="s">
        <v>24</v>
      </c>
      <c r="C2111" s="6">
        <v>1.72</v>
      </c>
      <c r="D2111" s="6">
        <v>1.97</v>
      </c>
      <c r="E2111" s="6">
        <v>1.82</v>
      </c>
      <c r="F2111" t="str">
        <f t="shared" si="887"/>
        <v>THU</v>
      </c>
      <c r="G2111" s="3">
        <f t="shared" si="888"/>
        <v>43986</v>
      </c>
      <c r="H2111" s="2">
        <f t="shared" ca="1" si="889"/>
        <v>267</v>
      </c>
      <c r="I2111" t="str">
        <f t="shared" si="890"/>
        <v>NATGAS</v>
      </c>
      <c r="J2111">
        <f t="shared" si="891"/>
        <v>1.72</v>
      </c>
      <c r="K2111">
        <f t="shared" si="892"/>
        <v>1.97</v>
      </c>
      <c r="L2111">
        <f t="shared" si="893"/>
        <v>1.845</v>
      </c>
      <c r="M2111">
        <f t="shared" si="894"/>
        <v>0.125</v>
      </c>
      <c r="N2111">
        <f t="shared" si="873"/>
        <v>0.25</v>
      </c>
      <c r="O2111">
        <f t="shared" si="895"/>
        <v>1.82</v>
      </c>
      <c r="P2111">
        <f t="shared" si="896"/>
        <v>-0.19999999999999929</v>
      </c>
      <c r="Q2111" t="str">
        <f t="shared" si="874"/>
        <v>5.49% | 8.24%</v>
      </c>
      <c r="R2111" t="str">
        <f t="shared" si="897"/>
        <v>BEARISH</v>
      </c>
      <c r="S2111">
        <f t="shared" si="875"/>
        <v>-1</v>
      </c>
    </row>
    <row r="2112" spans="1:19" hidden="1" x14ac:dyDescent="0.25">
      <c r="A2112" s="5" t="str">
        <f t="shared" si="872"/>
        <v>43986GOLD</v>
      </c>
      <c r="B2112" s="6" t="s">
        <v>25</v>
      </c>
      <c r="C2112" s="6">
        <v>1695</v>
      </c>
      <c r="D2112" s="6">
        <v>1762</v>
      </c>
      <c r="E2112" s="6">
        <v>1704</v>
      </c>
      <c r="F2112" t="str">
        <f t="shared" si="887"/>
        <v>THU</v>
      </c>
      <c r="G2112" s="3">
        <f t="shared" si="888"/>
        <v>43986</v>
      </c>
      <c r="H2112" s="2">
        <f t="shared" ca="1" si="889"/>
        <v>267</v>
      </c>
      <c r="I2112" t="str">
        <f t="shared" si="890"/>
        <v>GOLD</v>
      </c>
      <c r="J2112">
        <f t="shared" si="891"/>
        <v>1695</v>
      </c>
      <c r="K2112">
        <f t="shared" si="892"/>
        <v>1762</v>
      </c>
      <c r="L2112">
        <f t="shared" si="893"/>
        <v>1728.5</v>
      </c>
      <c r="M2112">
        <f t="shared" si="894"/>
        <v>33.5</v>
      </c>
      <c r="N2112">
        <f t="shared" si="873"/>
        <v>67</v>
      </c>
      <c r="O2112">
        <f t="shared" si="895"/>
        <v>1704</v>
      </c>
      <c r="P2112">
        <f t="shared" si="896"/>
        <v>-0.73134328358208955</v>
      </c>
      <c r="Q2112" t="str">
        <f t="shared" si="874"/>
        <v>0.53% | 3.4%</v>
      </c>
      <c r="R2112" t="str">
        <f t="shared" si="897"/>
        <v>BULLISH</v>
      </c>
      <c r="S2112">
        <f t="shared" si="875"/>
        <v>1</v>
      </c>
    </row>
    <row r="2113" spans="1:19" hidden="1" x14ac:dyDescent="0.25">
      <c r="A2113" s="5" t="str">
        <f t="shared" si="872"/>
        <v>43986COPPER</v>
      </c>
      <c r="B2113" s="6" t="s">
        <v>26</v>
      </c>
      <c r="C2113" s="6">
        <v>2.36</v>
      </c>
      <c r="D2113" s="6">
        <v>2.52</v>
      </c>
      <c r="E2113" s="6">
        <v>2.4900000000000002</v>
      </c>
      <c r="F2113" t="str">
        <f t="shared" si="887"/>
        <v>THU</v>
      </c>
      <c r="G2113" s="3">
        <f t="shared" si="888"/>
        <v>43986</v>
      </c>
      <c r="H2113" s="2">
        <f t="shared" ca="1" si="889"/>
        <v>267</v>
      </c>
      <c r="I2113" t="str">
        <f t="shared" si="890"/>
        <v>COPPER</v>
      </c>
      <c r="J2113">
        <f t="shared" si="891"/>
        <v>2.36</v>
      </c>
      <c r="K2113">
        <f t="shared" si="892"/>
        <v>2.52</v>
      </c>
      <c r="L2113">
        <f t="shared" si="893"/>
        <v>2.44</v>
      </c>
      <c r="M2113">
        <f t="shared" si="894"/>
        <v>8.0000000000000071E-2</v>
      </c>
      <c r="N2113">
        <f t="shared" si="873"/>
        <v>0.16000000000000014</v>
      </c>
      <c r="O2113">
        <f t="shared" si="895"/>
        <v>2.4900000000000002</v>
      </c>
      <c r="P2113">
        <f t="shared" si="896"/>
        <v>0.62500000000000278</v>
      </c>
      <c r="Q2113" t="str">
        <f t="shared" si="874"/>
        <v>5.22% | 1.2%</v>
      </c>
      <c r="R2113" t="str">
        <f t="shared" si="897"/>
        <v>BEARISH</v>
      </c>
      <c r="S2113">
        <f t="shared" si="875"/>
        <v>-1</v>
      </c>
    </row>
    <row r="2114" spans="1:19" hidden="1" x14ac:dyDescent="0.25">
      <c r="A2114" s="5" t="str">
        <f t="shared" si="872"/>
        <v>43986MSFT</v>
      </c>
      <c r="B2114" s="6" t="s">
        <v>27</v>
      </c>
      <c r="C2114" s="6">
        <v>180</v>
      </c>
      <c r="D2114" s="6">
        <v>186</v>
      </c>
      <c r="E2114" s="6">
        <v>185</v>
      </c>
      <c r="F2114" t="str">
        <f t="shared" si="887"/>
        <v>THU</v>
      </c>
      <c r="G2114" s="3">
        <f t="shared" si="888"/>
        <v>43986</v>
      </c>
      <c r="H2114" s="2">
        <f t="shared" ca="1" si="889"/>
        <v>267</v>
      </c>
      <c r="I2114" t="str">
        <f t="shared" si="890"/>
        <v>MSFT</v>
      </c>
      <c r="J2114">
        <f t="shared" si="891"/>
        <v>180</v>
      </c>
      <c r="K2114">
        <f t="shared" si="892"/>
        <v>186</v>
      </c>
      <c r="L2114">
        <f t="shared" si="893"/>
        <v>183</v>
      </c>
      <c r="M2114">
        <f t="shared" si="894"/>
        <v>3</v>
      </c>
      <c r="N2114">
        <f t="shared" si="873"/>
        <v>6</v>
      </c>
      <c r="O2114">
        <f t="shared" si="895"/>
        <v>185</v>
      </c>
      <c r="P2114">
        <f t="shared" si="896"/>
        <v>0.66666666666666663</v>
      </c>
      <c r="Q2114" t="str">
        <f t="shared" si="874"/>
        <v>2.7% | 0.54%</v>
      </c>
      <c r="R2114" t="str">
        <f t="shared" si="897"/>
        <v>BULLISH</v>
      </c>
      <c r="S2114">
        <f t="shared" si="875"/>
        <v>1</v>
      </c>
    </row>
    <row r="2115" spans="1:19" hidden="1" x14ac:dyDescent="0.25">
      <c r="A2115" s="5" t="str">
        <f t="shared" ref="A2115:A2178" si="898">G2115&amp;I2115</f>
        <v>43986AAPL</v>
      </c>
      <c r="B2115" s="6" t="s">
        <v>28</v>
      </c>
      <c r="C2115" s="6">
        <v>313</v>
      </c>
      <c r="D2115" s="6">
        <v>327</v>
      </c>
      <c r="E2115" s="6">
        <v>325</v>
      </c>
      <c r="F2115" t="str">
        <f t="shared" si="887"/>
        <v>THU</v>
      </c>
      <c r="G2115" s="3">
        <f t="shared" si="888"/>
        <v>43986</v>
      </c>
      <c r="H2115" s="2">
        <f t="shared" ca="1" si="889"/>
        <v>267</v>
      </c>
      <c r="I2115" t="str">
        <f t="shared" si="890"/>
        <v>AAPL</v>
      </c>
      <c r="J2115">
        <f t="shared" si="891"/>
        <v>313</v>
      </c>
      <c r="K2115">
        <f t="shared" si="892"/>
        <v>327</v>
      </c>
      <c r="L2115">
        <f t="shared" si="893"/>
        <v>320</v>
      </c>
      <c r="M2115">
        <f t="shared" si="894"/>
        <v>7</v>
      </c>
      <c r="N2115">
        <f t="shared" ref="N2115:N2178" si="899">ABS(K2115-J2115)</f>
        <v>14</v>
      </c>
      <c r="O2115">
        <f t="shared" si="895"/>
        <v>325</v>
      </c>
      <c r="P2115">
        <f t="shared" si="896"/>
        <v>0.7142857142857143</v>
      </c>
      <c r="Q2115" t="str">
        <f t="shared" ref="Q2115:Q2178" si="900">ROUND(ABS(100*(O2115-J2115)/O2115),2)&amp;"% | "&amp;ROUND(ABS(100*(K2115-O2115)/O2115),2)&amp;"%"</f>
        <v>3.69% | 0.62%</v>
      </c>
      <c r="R2115" t="str">
        <f t="shared" si="897"/>
        <v>BULLISH</v>
      </c>
      <c r="S2115">
        <f t="shared" ref="S2115:S2178" si="901">IF(R2115="BEARISH",-1,IF(R2115="NEUTRAL",0,IF(R2115="BULLISH",1,99)))</f>
        <v>1</v>
      </c>
    </row>
    <row r="2116" spans="1:19" hidden="1" x14ac:dyDescent="0.25">
      <c r="A2116" s="5" t="str">
        <f t="shared" si="898"/>
        <v>43986AMZN</v>
      </c>
      <c r="B2116" s="6" t="s">
        <v>29</v>
      </c>
      <c r="C2116" s="6">
        <v>2376</v>
      </c>
      <c r="D2116" s="6">
        <v>2499</v>
      </c>
      <c r="E2116" s="6">
        <v>2478</v>
      </c>
      <c r="F2116" t="str">
        <f t="shared" si="887"/>
        <v>THU</v>
      </c>
      <c r="G2116" s="3">
        <f t="shared" si="888"/>
        <v>43986</v>
      </c>
      <c r="H2116" s="2">
        <f t="shared" ca="1" si="889"/>
        <v>267</v>
      </c>
      <c r="I2116" t="str">
        <f t="shared" si="890"/>
        <v>AMZN</v>
      </c>
      <c r="J2116">
        <f t="shared" si="891"/>
        <v>2376</v>
      </c>
      <c r="K2116">
        <f t="shared" si="892"/>
        <v>2499</v>
      </c>
      <c r="L2116">
        <f t="shared" si="893"/>
        <v>2437.5</v>
      </c>
      <c r="M2116">
        <f t="shared" si="894"/>
        <v>61.5</v>
      </c>
      <c r="N2116">
        <f t="shared" si="899"/>
        <v>123</v>
      </c>
      <c r="O2116">
        <f t="shared" si="895"/>
        <v>2478</v>
      </c>
      <c r="P2116">
        <f t="shared" si="896"/>
        <v>0.65853658536585369</v>
      </c>
      <c r="Q2116" t="str">
        <f t="shared" si="900"/>
        <v>4.12% | 0.85%</v>
      </c>
      <c r="R2116" t="str">
        <f t="shared" si="897"/>
        <v>BULLISH</v>
      </c>
      <c r="S2116">
        <f t="shared" si="901"/>
        <v>1</v>
      </c>
    </row>
    <row r="2117" spans="1:19" hidden="1" x14ac:dyDescent="0.25">
      <c r="A2117" s="5" t="str">
        <f t="shared" si="898"/>
        <v>43986FB</v>
      </c>
      <c r="B2117" s="6" t="s">
        <v>30</v>
      </c>
      <c r="C2117" s="6">
        <v>215</v>
      </c>
      <c r="D2117" s="6">
        <v>237</v>
      </c>
      <c r="E2117" s="6">
        <v>230</v>
      </c>
      <c r="F2117" t="str">
        <f t="shared" si="887"/>
        <v>THU</v>
      </c>
      <c r="G2117" s="3">
        <f t="shared" si="888"/>
        <v>43986</v>
      </c>
      <c r="H2117" s="2">
        <f t="shared" ca="1" si="889"/>
        <v>267</v>
      </c>
      <c r="I2117" t="str">
        <f t="shared" si="890"/>
        <v>FB</v>
      </c>
      <c r="J2117">
        <f t="shared" si="891"/>
        <v>215</v>
      </c>
      <c r="K2117">
        <f t="shared" si="892"/>
        <v>237</v>
      </c>
      <c r="L2117">
        <f t="shared" si="893"/>
        <v>226</v>
      </c>
      <c r="M2117">
        <f t="shared" si="894"/>
        <v>11</v>
      </c>
      <c r="N2117">
        <f t="shared" si="899"/>
        <v>22</v>
      </c>
      <c r="O2117">
        <f t="shared" si="895"/>
        <v>230</v>
      </c>
      <c r="P2117">
        <f t="shared" si="896"/>
        <v>0.36363636363636365</v>
      </c>
      <c r="Q2117" t="str">
        <f t="shared" si="900"/>
        <v>6.52% | 3.04%</v>
      </c>
      <c r="R2117" t="str">
        <f t="shared" si="897"/>
        <v>BULLISH</v>
      </c>
      <c r="S2117">
        <f t="shared" si="901"/>
        <v>1</v>
      </c>
    </row>
    <row r="2118" spans="1:19" hidden="1" x14ac:dyDescent="0.25">
      <c r="A2118" s="5" t="str">
        <f t="shared" si="898"/>
        <v>43986GOOGL</v>
      </c>
      <c r="B2118" s="6" t="s">
        <v>31</v>
      </c>
      <c r="C2118" s="6">
        <v>1391</v>
      </c>
      <c r="D2118" s="6">
        <v>1449</v>
      </c>
      <c r="E2118" s="6">
        <v>1439</v>
      </c>
      <c r="F2118" t="str">
        <f t="shared" si="887"/>
        <v>THU</v>
      </c>
      <c r="G2118" s="3">
        <f t="shared" si="888"/>
        <v>43986</v>
      </c>
      <c r="H2118" s="2">
        <f t="shared" ca="1" si="889"/>
        <v>267</v>
      </c>
      <c r="I2118" t="str">
        <f t="shared" si="890"/>
        <v>GOOGL</v>
      </c>
      <c r="J2118">
        <f t="shared" si="891"/>
        <v>1391</v>
      </c>
      <c r="K2118">
        <f t="shared" si="892"/>
        <v>1449</v>
      </c>
      <c r="L2118">
        <f t="shared" si="893"/>
        <v>1420</v>
      </c>
      <c r="M2118">
        <f t="shared" si="894"/>
        <v>29</v>
      </c>
      <c r="N2118">
        <f t="shared" si="899"/>
        <v>58</v>
      </c>
      <c r="O2118">
        <f t="shared" si="895"/>
        <v>1439</v>
      </c>
      <c r="P2118">
        <f t="shared" si="896"/>
        <v>0.65517241379310343</v>
      </c>
      <c r="Q2118" t="str">
        <f t="shared" si="900"/>
        <v>3.34% | 0.69%</v>
      </c>
      <c r="R2118" t="str">
        <f t="shared" si="897"/>
        <v>BULLISH</v>
      </c>
      <c r="S2118">
        <f t="shared" si="901"/>
        <v>1</v>
      </c>
    </row>
    <row r="2119" spans="1:19" hidden="1" x14ac:dyDescent="0.25">
      <c r="A2119" s="5" t="str">
        <f t="shared" si="898"/>
        <v>43986NFLX</v>
      </c>
      <c r="B2119" s="6" t="s">
        <v>32</v>
      </c>
      <c r="C2119" s="6">
        <v>404</v>
      </c>
      <c r="D2119" s="6">
        <v>438</v>
      </c>
      <c r="E2119" s="6">
        <v>421</v>
      </c>
      <c r="F2119" t="str">
        <f t="shared" si="887"/>
        <v>THU</v>
      </c>
      <c r="G2119" s="3">
        <f t="shared" si="888"/>
        <v>43986</v>
      </c>
      <c r="H2119" s="2">
        <f t="shared" ca="1" si="889"/>
        <v>267</v>
      </c>
      <c r="I2119" t="str">
        <f t="shared" si="890"/>
        <v>NFLX</v>
      </c>
      <c r="J2119">
        <f t="shared" si="891"/>
        <v>404</v>
      </c>
      <c r="K2119">
        <f t="shared" si="892"/>
        <v>438</v>
      </c>
      <c r="L2119">
        <f t="shared" si="893"/>
        <v>421</v>
      </c>
      <c r="M2119">
        <f t="shared" si="894"/>
        <v>17</v>
      </c>
      <c r="N2119">
        <f t="shared" si="899"/>
        <v>34</v>
      </c>
      <c r="O2119">
        <f t="shared" si="895"/>
        <v>421</v>
      </c>
      <c r="P2119">
        <f t="shared" si="896"/>
        <v>0</v>
      </c>
      <c r="Q2119" t="str">
        <f t="shared" si="900"/>
        <v>4.04% | 4.04%</v>
      </c>
      <c r="R2119" t="str">
        <f t="shared" si="897"/>
        <v>BULLISH</v>
      </c>
      <c r="S2119">
        <f t="shared" si="901"/>
        <v>1</v>
      </c>
    </row>
    <row r="2120" spans="1:19" x14ac:dyDescent="0.25">
      <c r="A2120" s="5" t="str">
        <f t="shared" si="898"/>
        <v>43986TSLA</v>
      </c>
      <c r="B2120" s="6" t="s">
        <v>33</v>
      </c>
      <c r="C2120" s="6">
        <v>776</v>
      </c>
      <c r="D2120" s="6">
        <v>909</v>
      </c>
      <c r="E2120" s="6">
        <v>882</v>
      </c>
      <c r="F2120" t="str">
        <f t="shared" si="887"/>
        <v>THU</v>
      </c>
      <c r="G2120" s="3">
        <f t="shared" si="888"/>
        <v>43986</v>
      </c>
      <c r="H2120" s="2">
        <f t="shared" ca="1" si="889"/>
        <v>267</v>
      </c>
      <c r="I2120" t="str">
        <f t="shared" si="890"/>
        <v>TSLA</v>
      </c>
      <c r="J2120">
        <f t="shared" si="891"/>
        <v>776</v>
      </c>
      <c r="K2120">
        <f t="shared" si="892"/>
        <v>909</v>
      </c>
      <c r="L2120">
        <f t="shared" si="893"/>
        <v>842.5</v>
      </c>
      <c r="M2120">
        <f t="shared" si="894"/>
        <v>66.5</v>
      </c>
      <c r="N2120">
        <f t="shared" si="899"/>
        <v>133</v>
      </c>
      <c r="O2120">
        <f t="shared" si="895"/>
        <v>882</v>
      </c>
      <c r="P2120">
        <f t="shared" si="896"/>
        <v>0.59398496240601506</v>
      </c>
      <c r="Q2120" t="str">
        <f t="shared" si="900"/>
        <v>12.02% | 3.06%</v>
      </c>
      <c r="R2120" t="str">
        <f t="shared" si="897"/>
        <v>BULLISH</v>
      </c>
      <c r="S2120">
        <f t="shared" si="901"/>
        <v>1</v>
      </c>
    </row>
    <row r="2121" spans="1:19" hidden="1" x14ac:dyDescent="0.25">
      <c r="A2121" s="5" t="str">
        <f t="shared" si="898"/>
        <v>43986NYXBT</v>
      </c>
      <c r="B2121" s="6" t="s">
        <v>34</v>
      </c>
      <c r="C2121" s="6">
        <v>8732</v>
      </c>
      <c r="D2121" s="6">
        <v>9995</v>
      </c>
      <c r="E2121" s="6">
        <v>9558</v>
      </c>
      <c r="F2121" t="str">
        <f t="shared" si="887"/>
        <v>THU</v>
      </c>
      <c r="G2121" s="3">
        <f t="shared" si="888"/>
        <v>43986</v>
      </c>
      <c r="H2121" s="2">
        <f t="shared" ca="1" si="889"/>
        <v>267</v>
      </c>
      <c r="I2121" t="str">
        <f t="shared" si="890"/>
        <v>NYXBT</v>
      </c>
      <c r="J2121">
        <f t="shared" si="891"/>
        <v>8732</v>
      </c>
      <c r="K2121">
        <f t="shared" si="892"/>
        <v>9995</v>
      </c>
      <c r="L2121">
        <f t="shared" si="893"/>
        <v>9363.5</v>
      </c>
      <c r="M2121">
        <f t="shared" si="894"/>
        <v>631.5</v>
      </c>
      <c r="N2121">
        <f t="shared" si="899"/>
        <v>1263</v>
      </c>
      <c r="O2121">
        <f t="shared" si="895"/>
        <v>9558</v>
      </c>
      <c r="P2121">
        <f t="shared" si="896"/>
        <v>0.3079968329374505</v>
      </c>
      <c r="Q2121" t="str">
        <f t="shared" si="900"/>
        <v>8.64% | 4.57%</v>
      </c>
      <c r="R2121" t="str">
        <f t="shared" si="897"/>
        <v>BULLISH</v>
      </c>
      <c r="S2121">
        <f t="shared" si="901"/>
        <v>1</v>
      </c>
    </row>
    <row r="2122" spans="1:19" hidden="1" x14ac:dyDescent="0.25">
      <c r="A2122" s="5" t="str">
        <f t="shared" si="898"/>
        <v>43987UST10Y</v>
      </c>
      <c r="B2122" s="6" t="s">
        <v>4</v>
      </c>
      <c r="C2122" s="6">
        <v>0.89</v>
      </c>
      <c r="D2122" s="6">
        <v>0.57999999999999996</v>
      </c>
      <c r="E2122" s="6">
        <v>0.82</v>
      </c>
      <c r="F2122" t="str">
        <f t="shared" si="887"/>
        <v>FRI</v>
      </c>
      <c r="G2122" s="1">
        <f>DATE(2020,6,5)</f>
        <v>43987</v>
      </c>
      <c r="H2122" s="2">
        <f t="shared" ca="1" si="889"/>
        <v>266</v>
      </c>
      <c r="I2122" t="str">
        <f t="shared" si="890"/>
        <v>UST10Y</v>
      </c>
      <c r="J2122">
        <f t="shared" si="891"/>
        <v>0.89</v>
      </c>
      <c r="K2122">
        <f t="shared" si="892"/>
        <v>0.57999999999999996</v>
      </c>
      <c r="L2122">
        <f t="shared" si="893"/>
        <v>0.73499999999999999</v>
      </c>
      <c r="M2122">
        <f t="shared" si="894"/>
        <v>0.15500000000000025</v>
      </c>
      <c r="N2122">
        <f t="shared" si="899"/>
        <v>0.31000000000000005</v>
      </c>
      <c r="O2122">
        <f t="shared" si="895"/>
        <v>0.82</v>
      </c>
      <c r="P2122">
        <f t="shared" si="896"/>
        <v>0.5483870967741924</v>
      </c>
      <c r="Q2122" t="str">
        <f t="shared" si="900"/>
        <v>8.54% | 29.27%</v>
      </c>
      <c r="R2122" t="str">
        <f t="shared" si="897"/>
        <v>BEARISH</v>
      </c>
      <c r="S2122">
        <f t="shared" si="901"/>
        <v>-1</v>
      </c>
    </row>
    <row r="2123" spans="1:19" hidden="1" x14ac:dyDescent="0.25">
      <c r="A2123" s="5" t="str">
        <f t="shared" si="898"/>
        <v>43987UST2Y</v>
      </c>
      <c r="B2123" s="6" t="s">
        <v>5</v>
      </c>
      <c r="C2123" s="6">
        <v>0.22</v>
      </c>
      <c r="D2123" s="6">
        <v>0.12</v>
      </c>
      <c r="E2123" s="6">
        <v>0.19</v>
      </c>
      <c r="F2123" t="str">
        <f t="shared" ref="F2123:F2153" si="902">UPPER(TEXT(G2123,"ddd"))</f>
        <v>FRI</v>
      </c>
      <c r="G2123" s="1">
        <f t="shared" ref="G2123:G2152" si="903">DATE(2020,6,5)</f>
        <v>43987</v>
      </c>
      <c r="H2123" s="2">
        <f t="shared" ref="H2123:H2153" ca="1" si="904">TODAY()-G2123</f>
        <v>266</v>
      </c>
      <c r="I2123" t="str">
        <f t="shared" ref="I2123:I2153" si="905">TRIM(LEFT(B2123,FIND(" ",B2123,1)))</f>
        <v>UST2Y</v>
      </c>
      <c r="J2123">
        <f t="shared" ref="J2123:J2153" si="906">C2123</f>
        <v>0.22</v>
      </c>
      <c r="K2123">
        <f t="shared" ref="K2123:K2153" si="907">D2123</f>
        <v>0.12</v>
      </c>
      <c r="L2123">
        <f t="shared" ref="L2123:L2153" si="908">AVERAGE(J2123:K2123)</f>
        <v>0.16999999999999998</v>
      </c>
      <c r="M2123">
        <f t="shared" ref="M2123:M2153" si="909">_xlfn.STDEV.P(J2123:K2123)</f>
        <v>5.0000000000000024E-2</v>
      </c>
      <c r="N2123">
        <f t="shared" si="899"/>
        <v>0.1</v>
      </c>
      <c r="O2123">
        <f t="shared" ref="O2123:O2153" si="910">E2123</f>
        <v>0.19</v>
      </c>
      <c r="P2123">
        <f t="shared" ref="P2123:P2153" si="911">(O2123-L2123)/M2123</f>
        <v>0.40000000000000019</v>
      </c>
      <c r="Q2123" t="str">
        <f t="shared" si="900"/>
        <v>15.79% | 36.84%</v>
      </c>
      <c r="R2123" t="str">
        <f t="shared" ref="R2123:R2153" si="912">MID(B2123,FIND("(",B2123,1)+1,FIND(")",B2123,1)-FIND("(",B2123,1)-1)</f>
        <v>BEARISH</v>
      </c>
      <c r="S2123">
        <f t="shared" si="901"/>
        <v>-1</v>
      </c>
    </row>
    <row r="2124" spans="1:19" hidden="1" x14ac:dyDescent="0.25">
      <c r="A2124" s="5" t="str">
        <f t="shared" si="898"/>
        <v>43987SPX</v>
      </c>
      <c r="B2124" s="6" t="s">
        <v>93</v>
      </c>
      <c r="C2124" s="6">
        <v>2942</v>
      </c>
      <c r="D2124" s="6">
        <v>3150</v>
      </c>
      <c r="E2124" s="6">
        <v>3112</v>
      </c>
      <c r="F2124" t="str">
        <f t="shared" si="902"/>
        <v>FRI</v>
      </c>
      <c r="G2124" s="1">
        <f t="shared" si="903"/>
        <v>43987</v>
      </c>
      <c r="H2124" s="2">
        <f t="shared" ca="1" si="904"/>
        <v>266</v>
      </c>
      <c r="I2124" t="str">
        <f t="shared" si="905"/>
        <v>SPX</v>
      </c>
      <c r="J2124">
        <f t="shared" si="906"/>
        <v>2942</v>
      </c>
      <c r="K2124">
        <f t="shared" si="907"/>
        <v>3150</v>
      </c>
      <c r="L2124">
        <f t="shared" si="908"/>
        <v>3046</v>
      </c>
      <c r="M2124">
        <f t="shared" si="909"/>
        <v>104</v>
      </c>
      <c r="N2124">
        <f t="shared" si="899"/>
        <v>208</v>
      </c>
      <c r="O2124">
        <f t="shared" si="910"/>
        <v>3112</v>
      </c>
      <c r="P2124">
        <f t="shared" si="911"/>
        <v>0.63461538461538458</v>
      </c>
      <c r="Q2124" t="str">
        <f t="shared" si="900"/>
        <v>5.46% | 1.22%</v>
      </c>
      <c r="R2124" t="str">
        <f t="shared" si="912"/>
        <v>BULLISH</v>
      </c>
      <c r="S2124">
        <f t="shared" si="901"/>
        <v>1</v>
      </c>
    </row>
    <row r="2125" spans="1:19" hidden="1" x14ac:dyDescent="0.25">
      <c r="A2125" s="5" t="str">
        <f t="shared" si="898"/>
        <v>43987RUT</v>
      </c>
      <c r="B2125" s="6" t="s">
        <v>7</v>
      </c>
      <c r="C2125" s="6">
        <v>1340</v>
      </c>
      <c r="D2125" s="6">
        <v>1473</v>
      </c>
      <c r="E2125" s="6">
        <v>1452</v>
      </c>
      <c r="F2125" t="str">
        <f t="shared" si="902"/>
        <v>FRI</v>
      </c>
      <c r="G2125" s="1">
        <f t="shared" si="903"/>
        <v>43987</v>
      </c>
      <c r="H2125" s="2">
        <f t="shared" ca="1" si="904"/>
        <v>266</v>
      </c>
      <c r="I2125" t="str">
        <f t="shared" si="905"/>
        <v>RUT</v>
      </c>
      <c r="J2125">
        <f t="shared" si="906"/>
        <v>1340</v>
      </c>
      <c r="K2125">
        <f t="shared" si="907"/>
        <v>1473</v>
      </c>
      <c r="L2125">
        <f t="shared" si="908"/>
        <v>1406.5</v>
      </c>
      <c r="M2125">
        <f t="shared" si="909"/>
        <v>66.5</v>
      </c>
      <c r="N2125">
        <f t="shared" si="899"/>
        <v>133</v>
      </c>
      <c r="O2125">
        <f t="shared" si="910"/>
        <v>1452</v>
      </c>
      <c r="P2125">
        <f t="shared" si="911"/>
        <v>0.68421052631578949</v>
      </c>
      <c r="Q2125" t="str">
        <f t="shared" si="900"/>
        <v>7.71% | 1.45%</v>
      </c>
      <c r="R2125" t="str">
        <f t="shared" si="912"/>
        <v>BEARISH</v>
      </c>
      <c r="S2125">
        <f t="shared" si="901"/>
        <v>-1</v>
      </c>
    </row>
    <row r="2126" spans="1:19" hidden="1" x14ac:dyDescent="0.25">
      <c r="A2126" s="5" t="str">
        <f t="shared" si="898"/>
        <v>43987COMPQ</v>
      </c>
      <c r="B2126" s="6" t="s">
        <v>8</v>
      </c>
      <c r="C2126" s="6">
        <v>9237</v>
      </c>
      <c r="D2126" s="6">
        <v>9745</v>
      </c>
      <c r="E2126" s="6">
        <v>9615</v>
      </c>
      <c r="F2126" t="str">
        <f t="shared" si="902"/>
        <v>FRI</v>
      </c>
      <c r="G2126" s="1">
        <f t="shared" si="903"/>
        <v>43987</v>
      </c>
      <c r="H2126" s="2">
        <f t="shared" ca="1" si="904"/>
        <v>266</v>
      </c>
      <c r="I2126" t="str">
        <f t="shared" si="905"/>
        <v>COMPQ</v>
      </c>
      <c r="J2126">
        <f t="shared" si="906"/>
        <v>9237</v>
      </c>
      <c r="K2126">
        <f t="shared" si="907"/>
        <v>9745</v>
      </c>
      <c r="L2126">
        <f t="shared" si="908"/>
        <v>9491</v>
      </c>
      <c r="M2126">
        <f t="shared" si="909"/>
        <v>254</v>
      </c>
      <c r="N2126">
        <f t="shared" si="899"/>
        <v>508</v>
      </c>
      <c r="O2126">
        <f t="shared" si="910"/>
        <v>9615</v>
      </c>
      <c r="P2126">
        <f t="shared" si="911"/>
        <v>0.48818897637795278</v>
      </c>
      <c r="Q2126" t="str">
        <f t="shared" si="900"/>
        <v>3.93% | 1.35%</v>
      </c>
      <c r="R2126" t="str">
        <f t="shared" si="912"/>
        <v>BULLISH</v>
      </c>
      <c r="S2126">
        <f t="shared" si="901"/>
        <v>1</v>
      </c>
    </row>
    <row r="2127" spans="1:19" hidden="1" x14ac:dyDescent="0.25">
      <c r="A2127" s="5" t="str">
        <f t="shared" si="898"/>
        <v>43987XLV</v>
      </c>
      <c r="B2127" s="6" t="s">
        <v>9</v>
      </c>
      <c r="C2127" s="6">
        <v>98.79</v>
      </c>
      <c r="D2127" s="6">
        <v>103.95</v>
      </c>
      <c r="E2127" s="6">
        <v>101.57</v>
      </c>
      <c r="F2127" t="str">
        <f t="shared" si="902"/>
        <v>FRI</v>
      </c>
      <c r="G2127" s="1">
        <f t="shared" si="903"/>
        <v>43987</v>
      </c>
      <c r="H2127" s="2">
        <f t="shared" ca="1" si="904"/>
        <v>266</v>
      </c>
      <c r="I2127" t="str">
        <f t="shared" si="905"/>
        <v>XLV</v>
      </c>
      <c r="J2127">
        <f t="shared" si="906"/>
        <v>98.79</v>
      </c>
      <c r="K2127">
        <f t="shared" si="907"/>
        <v>103.95</v>
      </c>
      <c r="L2127">
        <f t="shared" si="908"/>
        <v>101.37</v>
      </c>
      <c r="M2127">
        <f t="shared" si="909"/>
        <v>2.5799999999999983</v>
      </c>
      <c r="N2127">
        <f t="shared" si="899"/>
        <v>5.1599999999999966</v>
      </c>
      <c r="O2127">
        <f t="shared" si="910"/>
        <v>101.57</v>
      </c>
      <c r="P2127">
        <f t="shared" si="911"/>
        <v>7.7519379844956882E-2</v>
      </c>
      <c r="Q2127" t="str">
        <f t="shared" si="900"/>
        <v>2.74% | 2.34%</v>
      </c>
      <c r="R2127" t="str">
        <f t="shared" si="912"/>
        <v>BULLISH</v>
      </c>
      <c r="S2127">
        <f t="shared" si="901"/>
        <v>1</v>
      </c>
    </row>
    <row r="2128" spans="1:19" hidden="1" x14ac:dyDescent="0.25">
      <c r="A2128" s="5" t="str">
        <f t="shared" si="898"/>
        <v>43987XLK</v>
      </c>
      <c r="B2128" s="6" t="s">
        <v>10</v>
      </c>
      <c r="C2128" s="6">
        <v>94.76</v>
      </c>
      <c r="D2128" s="6">
        <v>100.09</v>
      </c>
      <c r="E2128" s="6">
        <v>98.81</v>
      </c>
      <c r="F2128" t="str">
        <f t="shared" si="902"/>
        <v>FRI</v>
      </c>
      <c r="G2128" s="1">
        <f t="shared" si="903"/>
        <v>43987</v>
      </c>
      <c r="H2128" s="2">
        <f t="shared" ca="1" si="904"/>
        <v>266</v>
      </c>
      <c r="I2128" t="str">
        <f t="shared" si="905"/>
        <v>XLK</v>
      </c>
      <c r="J2128">
        <f t="shared" si="906"/>
        <v>94.76</v>
      </c>
      <c r="K2128">
        <f t="shared" si="907"/>
        <v>100.09</v>
      </c>
      <c r="L2128">
        <f t="shared" si="908"/>
        <v>97.425000000000011</v>
      </c>
      <c r="M2128">
        <f t="shared" si="909"/>
        <v>2.6649999999999991</v>
      </c>
      <c r="N2128">
        <f t="shared" si="899"/>
        <v>5.3299999999999983</v>
      </c>
      <c r="O2128">
        <f t="shared" si="910"/>
        <v>98.81</v>
      </c>
      <c r="P2128">
        <f t="shared" si="911"/>
        <v>0.51969981238273599</v>
      </c>
      <c r="Q2128" t="str">
        <f t="shared" si="900"/>
        <v>4.1% | 1.3%</v>
      </c>
      <c r="R2128" t="str">
        <f t="shared" si="912"/>
        <v>BULLISH</v>
      </c>
      <c r="S2128">
        <f t="shared" si="901"/>
        <v>1</v>
      </c>
    </row>
    <row r="2129" spans="1:19" hidden="1" x14ac:dyDescent="0.25">
      <c r="A2129" s="5" t="str">
        <f t="shared" si="898"/>
        <v>43987XLU</v>
      </c>
      <c r="B2129" s="6" t="s">
        <v>52</v>
      </c>
      <c r="C2129" s="6">
        <v>55.06</v>
      </c>
      <c r="D2129" s="6">
        <v>62.79</v>
      </c>
      <c r="E2129" s="6">
        <v>60.42</v>
      </c>
      <c r="F2129" t="str">
        <f t="shared" si="902"/>
        <v>FRI</v>
      </c>
      <c r="G2129" s="1">
        <f t="shared" si="903"/>
        <v>43987</v>
      </c>
      <c r="H2129" s="2">
        <f t="shared" ca="1" si="904"/>
        <v>266</v>
      </c>
      <c r="I2129" t="str">
        <f t="shared" si="905"/>
        <v>XLU</v>
      </c>
      <c r="J2129">
        <f t="shared" si="906"/>
        <v>55.06</v>
      </c>
      <c r="K2129">
        <f t="shared" si="907"/>
        <v>62.79</v>
      </c>
      <c r="L2129">
        <f t="shared" si="908"/>
        <v>58.924999999999997</v>
      </c>
      <c r="M2129">
        <f t="shared" si="909"/>
        <v>3.8649999999999984</v>
      </c>
      <c r="N2129">
        <f t="shared" si="899"/>
        <v>7.7299999999999969</v>
      </c>
      <c r="O2129">
        <f t="shared" si="910"/>
        <v>60.42</v>
      </c>
      <c r="P2129">
        <f t="shared" si="911"/>
        <v>0.38680465717982021</v>
      </c>
      <c r="Q2129" t="str">
        <f t="shared" si="900"/>
        <v>8.87% | 3.92%</v>
      </c>
      <c r="R2129" t="str">
        <f t="shared" si="912"/>
        <v>BULLISH</v>
      </c>
      <c r="S2129">
        <f t="shared" si="901"/>
        <v>1</v>
      </c>
    </row>
    <row r="2130" spans="1:19" hidden="1" x14ac:dyDescent="0.25">
      <c r="A2130" s="5" t="str">
        <f t="shared" si="898"/>
        <v>43987XLF</v>
      </c>
      <c r="B2130" s="6" t="s">
        <v>12</v>
      </c>
      <c r="C2130" s="6">
        <v>21.33</v>
      </c>
      <c r="D2130" s="6">
        <v>25.77</v>
      </c>
      <c r="E2130" s="6">
        <v>25.3</v>
      </c>
      <c r="F2130" t="str">
        <f t="shared" si="902"/>
        <v>FRI</v>
      </c>
      <c r="G2130" s="1">
        <f t="shared" si="903"/>
        <v>43987</v>
      </c>
      <c r="H2130" s="2">
        <f t="shared" ca="1" si="904"/>
        <v>266</v>
      </c>
      <c r="I2130" t="str">
        <f t="shared" si="905"/>
        <v>XLF</v>
      </c>
      <c r="J2130">
        <f t="shared" si="906"/>
        <v>21.33</v>
      </c>
      <c r="K2130">
        <f t="shared" si="907"/>
        <v>25.77</v>
      </c>
      <c r="L2130">
        <f t="shared" si="908"/>
        <v>23.549999999999997</v>
      </c>
      <c r="M2130">
        <f t="shared" si="909"/>
        <v>2.2200000000000006</v>
      </c>
      <c r="N2130">
        <f t="shared" si="899"/>
        <v>4.4400000000000013</v>
      </c>
      <c r="O2130">
        <f t="shared" si="910"/>
        <v>25.3</v>
      </c>
      <c r="P2130">
        <f t="shared" si="911"/>
        <v>0.78828828828828967</v>
      </c>
      <c r="Q2130" t="str">
        <f t="shared" si="900"/>
        <v>15.69% | 1.86%</v>
      </c>
      <c r="R2130" t="str">
        <f t="shared" si="912"/>
        <v>BEARISH</v>
      </c>
      <c r="S2130">
        <f t="shared" si="901"/>
        <v>-1</v>
      </c>
    </row>
    <row r="2131" spans="1:19" hidden="1" x14ac:dyDescent="0.25">
      <c r="A2131" s="5" t="str">
        <f t="shared" si="898"/>
        <v>43987XLI</v>
      </c>
      <c r="B2131" s="6" t="s">
        <v>95</v>
      </c>
      <c r="C2131" s="6">
        <v>63.18</v>
      </c>
      <c r="D2131" s="6">
        <v>73</v>
      </c>
      <c r="E2131" s="6">
        <v>72.14</v>
      </c>
      <c r="F2131" t="str">
        <f t="shared" si="902"/>
        <v>FRI</v>
      </c>
      <c r="G2131" s="1">
        <f t="shared" si="903"/>
        <v>43987</v>
      </c>
      <c r="H2131" s="2">
        <f t="shared" ca="1" si="904"/>
        <v>266</v>
      </c>
      <c r="I2131" t="str">
        <f t="shared" si="905"/>
        <v>XLI</v>
      </c>
      <c r="J2131">
        <f t="shared" si="906"/>
        <v>63.18</v>
      </c>
      <c r="K2131">
        <f t="shared" si="907"/>
        <v>73</v>
      </c>
      <c r="L2131">
        <f t="shared" si="908"/>
        <v>68.09</v>
      </c>
      <c r="M2131">
        <f t="shared" si="909"/>
        <v>4.91</v>
      </c>
      <c r="N2131">
        <f t="shared" si="899"/>
        <v>9.82</v>
      </c>
      <c r="O2131">
        <f t="shared" si="910"/>
        <v>72.14</v>
      </c>
      <c r="P2131">
        <f t="shared" si="911"/>
        <v>0.82484725050916441</v>
      </c>
      <c r="Q2131" t="str">
        <f t="shared" si="900"/>
        <v>12.42% | 1.19%</v>
      </c>
      <c r="R2131" t="str">
        <f t="shared" si="912"/>
        <v>NEUTRAL</v>
      </c>
      <c r="S2131">
        <f t="shared" si="901"/>
        <v>0</v>
      </c>
    </row>
    <row r="2132" spans="1:19" hidden="1" x14ac:dyDescent="0.25">
      <c r="A2132" s="5" t="str">
        <f t="shared" si="898"/>
        <v>43987SSEC</v>
      </c>
      <c r="B2132" s="6" t="s">
        <v>14</v>
      </c>
      <c r="C2132" s="6">
        <v>2790</v>
      </c>
      <c r="D2132" s="6">
        <v>2957</v>
      </c>
      <c r="E2132" s="6">
        <v>2930</v>
      </c>
      <c r="F2132" t="str">
        <f t="shared" si="902"/>
        <v>FRI</v>
      </c>
      <c r="G2132" s="1">
        <f t="shared" si="903"/>
        <v>43987</v>
      </c>
      <c r="H2132" s="2">
        <f t="shared" ca="1" si="904"/>
        <v>266</v>
      </c>
      <c r="I2132" t="str">
        <f t="shared" si="905"/>
        <v>SSEC</v>
      </c>
      <c r="J2132">
        <f t="shared" si="906"/>
        <v>2790</v>
      </c>
      <c r="K2132">
        <f t="shared" si="907"/>
        <v>2957</v>
      </c>
      <c r="L2132">
        <f t="shared" si="908"/>
        <v>2873.5</v>
      </c>
      <c r="M2132">
        <f t="shared" si="909"/>
        <v>83.5</v>
      </c>
      <c r="N2132">
        <f t="shared" si="899"/>
        <v>167</v>
      </c>
      <c r="O2132">
        <f t="shared" si="910"/>
        <v>2930</v>
      </c>
      <c r="P2132">
        <f t="shared" si="911"/>
        <v>0.67664670658682635</v>
      </c>
      <c r="Q2132" t="str">
        <f t="shared" si="900"/>
        <v>4.78% | 0.92%</v>
      </c>
      <c r="R2132" t="str">
        <f t="shared" si="912"/>
        <v>BEARISH</v>
      </c>
      <c r="S2132">
        <f t="shared" si="901"/>
        <v>-1</v>
      </c>
    </row>
    <row r="2133" spans="1:19" hidden="1" x14ac:dyDescent="0.25">
      <c r="A2133" s="5" t="str">
        <f t="shared" si="898"/>
        <v>43987NIKK</v>
      </c>
      <c r="B2133" s="6" t="s">
        <v>91</v>
      </c>
      <c r="C2133" s="6">
        <v>20660</v>
      </c>
      <c r="D2133" s="6">
        <v>23095</v>
      </c>
      <c r="E2133" s="6">
        <v>22863</v>
      </c>
      <c r="F2133" t="str">
        <f t="shared" si="902"/>
        <v>FRI</v>
      </c>
      <c r="G2133" s="1">
        <f t="shared" si="903"/>
        <v>43987</v>
      </c>
      <c r="H2133" s="2">
        <f t="shared" ca="1" si="904"/>
        <v>266</v>
      </c>
      <c r="I2133" t="str">
        <f t="shared" si="905"/>
        <v>NIKK</v>
      </c>
      <c r="J2133">
        <f t="shared" si="906"/>
        <v>20660</v>
      </c>
      <c r="K2133">
        <f t="shared" si="907"/>
        <v>23095</v>
      </c>
      <c r="L2133">
        <f t="shared" si="908"/>
        <v>21877.5</v>
      </c>
      <c r="M2133">
        <f t="shared" si="909"/>
        <v>1217.5</v>
      </c>
      <c r="N2133">
        <f t="shared" si="899"/>
        <v>2435</v>
      </c>
      <c r="O2133">
        <f t="shared" si="910"/>
        <v>22863</v>
      </c>
      <c r="P2133">
        <f t="shared" si="911"/>
        <v>0.80944558521560572</v>
      </c>
      <c r="Q2133" t="str">
        <f t="shared" si="900"/>
        <v>9.64% | 1.01%</v>
      </c>
      <c r="R2133" t="str">
        <f t="shared" si="912"/>
        <v>BULLISH</v>
      </c>
      <c r="S2133">
        <f t="shared" si="901"/>
        <v>1</v>
      </c>
    </row>
    <row r="2134" spans="1:19" hidden="1" x14ac:dyDescent="0.25">
      <c r="A2134" s="5" t="str">
        <f t="shared" si="898"/>
        <v>43987DAX</v>
      </c>
      <c r="B2134" s="6" t="s">
        <v>92</v>
      </c>
      <c r="C2134" s="6">
        <v>11024</v>
      </c>
      <c r="D2134" s="6">
        <v>12638</v>
      </c>
      <c r="E2134" s="6">
        <v>12428</v>
      </c>
      <c r="F2134" t="str">
        <f t="shared" si="902"/>
        <v>FRI</v>
      </c>
      <c r="G2134" s="1">
        <f t="shared" si="903"/>
        <v>43987</v>
      </c>
      <c r="H2134" s="2">
        <f t="shared" ca="1" si="904"/>
        <v>266</v>
      </c>
      <c r="I2134" t="str">
        <f t="shared" si="905"/>
        <v>DAX</v>
      </c>
      <c r="J2134">
        <f t="shared" si="906"/>
        <v>11024</v>
      </c>
      <c r="K2134">
        <f t="shared" si="907"/>
        <v>12638</v>
      </c>
      <c r="L2134">
        <f t="shared" si="908"/>
        <v>11831</v>
      </c>
      <c r="M2134">
        <f t="shared" si="909"/>
        <v>807</v>
      </c>
      <c r="N2134">
        <f t="shared" si="899"/>
        <v>1614</v>
      </c>
      <c r="O2134">
        <f t="shared" si="910"/>
        <v>12428</v>
      </c>
      <c r="P2134">
        <f t="shared" si="911"/>
        <v>0.7397769516728625</v>
      </c>
      <c r="Q2134" t="str">
        <f t="shared" si="900"/>
        <v>11.3% | 1.69%</v>
      </c>
      <c r="R2134" t="str">
        <f t="shared" si="912"/>
        <v>NEUTRAL</v>
      </c>
      <c r="S2134">
        <f t="shared" si="901"/>
        <v>0</v>
      </c>
    </row>
    <row r="2135" spans="1:19" hidden="1" x14ac:dyDescent="0.25">
      <c r="A2135" s="5" t="str">
        <f t="shared" si="898"/>
        <v>43987VIX</v>
      </c>
      <c r="B2135" s="6" t="s">
        <v>96</v>
      </c>
      <c r="C2135" s="6">
        <v>25.08</v>
      </c>
      <c r="D2135" s="6">
        <v>33.700000000000003</v>
      </c>
      <c r="E2135" s="6">
        <v>25.81</v>
      </c>
      <c r="F2135" t="str">
        <f t="shared" si="902"/>
        <v>FRI</v>
      </c>
      <c r="G2135" s="1">
        <f t="shared" si="903"/>
        <v>43987</v>
      </c>
      <c r="H2135" s="2">
        <f t="shared" ca="1" si="904"/>
        <v>266</v>
      </c>
      <c r="I2135" t="str">
        <f t="shared" si="905"/>
        <v>VIX</v>
      </c>
      <c r="J2135">
        <f t="shared" si="906"/>
        <v>25.08</v>
      </c>
      <c r="K2135">
        <f t="shared" si="907"/>
        <v>33.700000000000003</v>
      </c>
      <c r="L2135">
        <f t="shared" si="908"/>
        <v>29.39</v>
      </c>
      <c r="M2135">
        <f t="shared" si="909"/>
        <v>4.3100000000000129</v>
      </c>
      <c r="N2135">
        <f t="shared" si="899"/>
        <v>8.6200000000000045</v>
      </c>
      <c r="O2135">
        <f t="shared" si="910"/>
        <v>25.81</v>
      </c>
      <c r="P2135">
        <f t="shared" si="911"/>
        <v>-0.83062645011600722</v>
      </c>
      <c r="Q2135" t="str">
        <f t="shared" si="900"/>
        <v>2.83% | 30.57%</v>
      </c>
      <c r="R2135" t="str">
        <f t="shared" si="912"/>
        <v>BEARISH</v>
      </c>
      <c r="S2135">
        <f t="shared" si="901"/>
        <v>-1</v>
      </c>
    </row>
    <row r="2136" spans="1:19" hidden="1" x14ac:dyDescent="0.25">
      <c r="A2136" s="5" t="str">
        <f t="shared" si="898"/>
        <v>43987USD</v>
      </c>
      <c r="B2136" s="6" t="s">
        <v>94</v>
      </c>
      <c r="C2136" s="6">
        <v>96.8</v>
      </c>
      <c r="D2136" s="6">
        <v>100.05</v>
      </c>
      <c r="E2136" s="6">
        <v>96.66</v>
      </c>
      <c r="F2136" t="str">
        <f t="shared" si="902"/>
        <v>FRI</v>
      </c>
      <c r="G2136" s="1">
        <f t="shared" si="903"/>
        <v>43987</v>
      </c>
      <c r="H2136" s="2">
        <f t="shared" ca="1" si="904"/>
        <v>266</v>
      </c>
      <c r="I2136" t="str">
        <f t="shared" si="905"/>
        <v>USD</v>
      </c>
      <c r="J2136">
        <f t="shared" si="906"/>
        <v>96.8</v>
      </c>
      <c r="K2136">
        <f t="shared" si="907"/>
        <v>100.05</v>
      </c>
      <c r="L2136">
        <f t="shared" si="908"/>
        <v>98.424999999999997</v>
      </c>
      <c r="M2136">
        <f t="shared" si="909"/>
        <v>1.625</v>
      </c>
      <c r="N2136">
        <f t="shared" si="899"/>
        <v>3.25</v>
      </c>
      <c r="O2136">
        <f t="shared" si="910"/>
        <v>96.66</v>
      </c>
      <c r="P2136">
        <f t="shared" si="911"/>
        <v>-1.0861538461538465</v>
      </c>
      <c r="Q2136" t="str">
        <f t="shared" si="900"/>
        <v>0.14% | 3.51%</v>
      </c>
      <c r="R2136" t="str">
        <f t="shared" si="912"/>
        <v>BEARISH</v>
      </c>
      <c r="S2136">
        <f t="shared" si="901"/>
        <v>-1</v>
      </c>
    </row>
    <row r="2137" spans="1:19" hidden="1" x14ac:dyDescent="0.25">
      <c r="A2137" s="5" t="str">
        <f t="shared" si="898"/>
        <v>43987EUR/USD</v>
      </c>
      <c r="B2137" s="6" t="s">
        <v>77</v>
      </c>
      <c r="C2137" s="6">
        <v>1.0900000000000001</v>
      </c>
      <c r="D2137" s="6">
        <v>1.1299999999999999</v>
      </c>
      <c r="E2137" s="6">
        <v>1.1299999999999999</v>
      </c>
      <c r="F2137" t="str">
        <f t="shared" si="902"/>
        <v>FRI</v>
      </c>
      <c r="G2137" s="1">
        <f t="shared" si="903"/>
        <v>43987</v>
      </c>
      <c r="H2137" s="2">
        <f t="shared" ca="1" si="904"/>
        <v>266</v>
      </c>
      <c r="I2137" t="str">
        <f t="shared" si="905"/>
        <v>EUR/USD</v>
      </c>
      <c r="J2137">
        <f t="shared" si="906"/>
        <v>1.0900000000000001</v>
      </c>
      <c r="K2137">
        <f t="shared" si="907"/>
        <v>1.1299999999999999</v>
      </c>
      <c r="L2137">
        <f t="shared" si="908"/>
        <v>1.1099999999999999</v>
      </c>
      <c r="M2137">
        <f t="shared" si="909"/>
        <v>1.9999999999999907E-2</v>
      </c>
      <c r="N2137">
        <f t="shared" si="899"/>
        <v>3.9999999999999813E-2</v>
      </c>
      <c r="O2137">
        <f t="shared" si="910"/>
        <v>1.1299999999999999</v>
      </c>
      <c r="P2137">
        <f t="shared" si="911"/>
        <v>1.0000000000000056</v>
      </c>
      <c r="Q2137" t="str">
        <f t="shared" si="900"/>
        <v>3.54% | 0%</v>
      </c>
      <c r="R2137" t="str">
        <f t="shared" si="912"/>
        <v>NEUTRAL</v>
      </c>
      <c r="S2137">
        <f t="shared" si="901"/>
        <v>0</v>
      </c>
    </row>
    <row r="2138" spans="1:19" hidden="1" x14ac:dyDescent="0.25">
      <c r="A2138" s="5" t="str">
        <f t="shared" si="898"/>
        <v>43987USD/JPY</v>
      </c>
      <c r="B2138" s="6" t="s">
        <v>56</v>
      </c>
      <c r="C2138" s="6">
        <v>107.06</v>
      </c>
      <c r="D2138" s="6">
        <v>109.52</v>
      </c>
      <c r="E2138" s="6">
        <v>109.18</v>
      </c>
      <c r="F2138" t="str">
        <f t="shared" si="902"/>
        <v>FRI</v>
      </c>
      <c r="G2138" s="1">
        <f t="shared" si="903"/>
        <v>43987</v>
      </c>
      <c r="H2138" s="2">
        <f t="shared" ca="1" si="904"/>
        <v>266</v>
      </c>
      <c r="I2138" t="str">
        <f t="shared" si="905"/>
        <v>USD/JPY</v>
      </c>
      <c r="J2138">
        <f t="shared" si="906"/>
        <v>107.06</v>
      </c>
      <c r="K2138">
        <f t="shared" si="907"/>
        <v>109.52</v>
      </c>
      <c r="L2138">
        <f t="shared" si="908"/>
        <v>108.28999999999999</v>
      </c>
      <c r="M2138">
        <f t="shared" si="909"/>
        <v>1.2299999999999969</v>
      </c>
      <c r="N2138">
        <f t="shared" si="899"/>
        <v>2.4599999999999937</v>
      </c>
      <c r="O2138">
        <f t="shared" si="910"/>
        <v>109.18</v>
      </c>
      <c r="P2138">
        <f t="shared" si="911"/>
        <v>0.72357723577237154</v>
      </c>
      <c r="Q2138" t="str">
        <f t="shared" si="900"/>
        <v>1.94% | 0.31%</v>
      </c>
      <c r="R2138" t="str">
        <f t="shared" si="912"/>
        <v>BULLISH</v>
      </c>
      <c r="S2138">
        <f t="shared" si="901"/>
        <v>1</v>
      </c>
    </row>
    <row r="2139" spans="1:19" hidden="1" x14ac:dyDescent="0.25">
      <c r="A2139" s="5" t="str">
        <f t="shared" si="898"/>
        <v>43987GBP/USD</v>
      </c>
      <c r="B2139" s="6" t="s">
        <v>21</v>
      </c>
      <c r="C2139" s="6">
        <v>1.2</v>
      </c>
      <c r="D2139" s="6">
        <v>1.26</v>
      </c>
      <c r="E2139" s="6">
        <v>1.26</v>
      </c>
      <c r="F2139" t="str">
        <f t="shared" si="902"/>
        <v>FRI</v>
      </c>
      <c r="G2139" s="1">
        <f t="shared" si="903"/>
        <v>43987</v>
      </c>
      <c r="H2139" s="2">
        <f t="shared" ca="1" si="904"/>
        <v>266</v>
      </c>
      <c r="I2139" t="str">
        <f t="shared" si="905"/>
        <v>GBP/USD</v>
      </c>
      <c r="J2139">
        <f t="shared" si="906"/>
        <v>1.2</v>
      </c>
      <c r="K2139">
        <f t="shared" si="907"/>
        <v>1.26</v>
      </c>
      <c r="L2139">
        <f t="shared" si="908"/>
        <v>1.23</v>
      </c>
      <c r="M2139">
        <f t="shared" si="909"/>
        <v>3.0000000000000027E-2</v>
      </c>
      <c r="N2139">
        <f t="shared" si="899"/>
        <v>6.0000000000000053E-2</v>
      </c>
      <c r="O2139">
        <f t="shared" si="910"/>
        <v>1.26</v>
      </c>
      <c r="P2139">
        <f t="shared" si="911"/>
        <v>1</v>
      </c>
      <c r="Q2139" t="str">
        <f t="shared" si="900"/>
        <v>4.76% | 0%</v>
      </c>
      <c r="R2139" t="str">
        <f t="shared" si="912"/>
        <v>BEARISH</v>
      </c>
      <c r="S2139">
        <f t="shared" si="901"/>
        <v>-1</v>
      </c>
    </row>
    <row r="2140" spans="1:19" hidden="1" x14ac:dyDescent="0.25">
      <c r="A2140" s="5" t="str">
        <f t="shared" si="898"/>
        <v>43987USD/CHF</v>
      </c>
      <c r="B2140" s="6" t="s">
        <v>76</v>
      </c>
      <c r="C2140" s="6">
        <v>0.95</v>
      </c>
      <c r="D2140" s="6">
        <v>0.97</v>
      </c>
      <c r="E2140" s="6">
        <v>0.95</v>
      </c>
      <c r="F2140" t="str">
        <f t="shared" si="902"/>
        <v>FRI</v>
      </c>
      <c r="G2140" s="1">
        <f t="shared" si="903"/>
        <v>43987</v>
      </c>
      <c r="H2140" s="2">
        <f t="shared" ca="1" si="904"/>
        <v>266</v>
      </c>
      <c r="I2140" t="str">
        <f t="shared" si="905"/>
        <v>USD/CHF</v>
      </c>
      <c r="J2140">
        <f t="shared" si="906"/>
        <v>0.95</v>
      </c>
      <c r="K2140">
        <f t="shared" si="907"/>
        <v>0.97</v>
      </c>
      <c r="L2140">
        <f t="shared" si="908"/>
        <v>0.96</v>
      </c>
      <c r="M2140">
        <f t="shared" si="909"/>
        <v>1.0000000000000009E-2</v>
      </c>
      <c r="N2140">
        <f t="shared" si="899"/>
        <v>2.0000000000000018E-2</v>
      </c>
      <c r="O2140">
        <f t="shared" si="910"/>
        <v>0.95</v>
      </c>
      <c r="P2140">
        <f t="shared" si="911"/>
        <v>-1</v>
      </c>
      <c r="Q2140" t="str">
        <f t="shared" si="900"/>
        <v>0% | 2.11%</v>
      </c>
      <c r="R2140" t="str">
        <f t="shared" si="912"/>
        <v>BEARISH</v>
      </c>
      <c r="S2140">
        <f t="shared" si="901"/>
        <v>-1</v>
      </c>
    </row>
    <row r="2141" spans="1:19" hidden="1" x14ac:dyDescent="0.25">
      <c r="A2141" s="5" t="str">
        <f t="shared" si="898"/>
        <v>43987WTIC</v>
      </c>
      <c r="B2141" s="6" t="s">
        <v>23</v>
      </c>
      <c r="C2141" s="6">
        <v>30.66</v>
      </c>
      <c r="D2141" s="6">
        <v>38.67</v>
      </c>
      <c r="E2141" s="6">
        <v>37.409999999999997</v>
      </c>
      <c r="F2141" t="str">
        <f t="shared" si="902"/>
        <v>FRI</v>
      </c>
      <c r="G2141" s="1">
        <f t="shared" si="903"/>
        <v>43987</v>
      </c>
      <c r="H2141" s="2">
        <f t="shared" ca="1" si="904"/>
        <v>266</v>
      </c>
      <c r="I2141" t="str">
        <f t="shared" si="905"/>
        <v>WTIC</v>
      </c>
      <c r="J2141">
        <f t="shared" si="906"/>
        <v>30.66</v>
      </c>
      <c r="K2141">
        <f t="shared" si="907"/>
        <v>38.67</v>
      </c>
      <c r="L2141">
        <f t="shared" si="908"/>
        <v>34.664999999999999</v>
      </c>
      <c r="M2141">
        <f t="shared" si="909"/>
        <v>4.0050000000000017</v>
      </c>
      <c r="N2141">
        <f t="shared" si="899"/>
        <v>8.0100000000000016</v>
      </c>
      <c r="O2141">
        <f t="shared" si="910"/>
        <v>37.409999999999997</v>
      </c>
      <c r="P2141">
        <f t="shared" si="911"/>
        <v>0.68539325842696541</v>
      </c>
      <c r="Q2141" t="str">
        <f t="shared" si="900"/>
        <v>18.04% | 3.37%</v>
      </c>
      <c r="R2141" t="str">
        <f t="shared" si="912"/>
        <v>BEARISH</v>
      </c>
      <c r="S2141">
        <f t="shared" si="901"/>
        <v>-1</v>
      </c>
    </row>
    <row r="2142" spans="1:19" hidden="1" x14ac:dyDescent="0.25">
      <c r="A2142" s="5" t="str">
        <f t="shared" si="898"/>
        <v>43987NATGAS</v>
      </c>
      <c r="B2142" s="6" t="s">
        <v>24</v>
      </c>
      <c r="C2142" s="6">
        <v>1.72</v>
      </c>
      <c r="D2142" s="6">
        <v>1.95</v>
      </c>
      <c r="E2142" s="6">
        <v>1.82</v>
      </c>
      <c r="F2142" t="str">
        <f t="shared" si="902"/>
        <v>FRI</v>
      </c>
      <c r="G2142" s="1">
        <f t="shared" si="903"/>
        <v>43987</v>
      </c>
      <c r="H2142" s="2">
        <f t="shared" ca="1" si="904"/>
        <v>266</v>
      </c>
      <c r="I2142" t="str">
        <f t="shared" si="905"/>
        <v>NATGAS</v>
      </c>
      <c r="J2142">
        <f t="shared" si="906"/>
        <v>1.72</v>
      </c>
      <c r="K2142">
        <f t="shared" si="907"/>
        <v>1.95</v>
      </c>
      <c r="L2142">
        <f t="shared" si="908"/>
        <v>1.835</v>
      </c>
      <c r="M2142">
        <f t="shared" si="909"/>
        <v>0.11499999999999999</v>
      </c>
      <c r="N2142">
        <f t="shared" si="899"/>
        <v>0.22999999999999998</v>
      </c>
      <c r="O2142">
        <f t="shared" si="910"/>
        <v>1.82</v>
      </c>
      <c r="P2142">
        <f t="shared" si="911"/>
        <v>-0.13043478260869482</v>
      </c>
      <c r="Q2142" t="str">
        <f t="shared" si="900"/>
        <v>5.49% | 7.14%</v>
      </c>
      <c r="R2142" t="str">
        <f t="shared" si="912"/>
        <v>BEARISH</v>
      </c>
      <c r="S2142">
        <f t="shared" si="901"/>
        <v>-1</v>
      </c>
    </row>
    <row r="2143" spans="1:19" hidden="1" x14ac:dyDescent="0.25">
      <c r="A2143" s="5" t="str">
        <f t="shared" si="898"/>
        <v>43987GOLD</v>
      </c>
      <c r="B2143" s="6" t="s">
        <v>25</v>
      </c>
      <c r="C2143" s="6">
        <v>1696</v>
      </c>
      <c r="D2143" s="6">
        <v>1762</v>
      </c>
      <c r="E2143" s="6">
        <v>1727</v>
      </c>
      <c r="F2143" t="str">
        <f t="shared" si="902"/>
        <v>FRI</v>
      </c>
      <c r="G2143" s="1">
        <f t="shared" si="903"/>
        <v>43987</v>
      </c>
      <c r="H2143" s="2">
        <f t="shared" ca="1" si="904"/>
        <v>266</v>
      </c>
      <c r="I2143" t="str">
        <f t="shared" si="905"/>
        <v>GOLD</v>
      </c>
      <c r="J2143">
        <f t="shared" si="906"/>
        <v>1696</v>
      </c>
      <c r="K2143">
        <f t="shared" si="907"/>
        <v>1762</v>
      </c>
      <c r="L2143">
        <f t="shared" si="908"/>
        <v>1729</v>
      </c>
      <c r="M2143">
        <f t="shared" si="909"/>
        <v>33</v>
      </c>
      <c r="N2143">
        <f t="shared" si="899"/>
        <v>66</v>
      </c>
      <c r="O2143">
        <f t="shared" si="910"/>
        <v>1727</v>
      </c>
      <c r="P2143">
        <f t="shared" si="911"/>
        <v>-6.0606060606060608E-2</v>
      </c>
      <c r="Q2143" t="str">
        <f t="shared" si="900"/>
        <v>1.8% | 2.03%</v>
      </c>
      <c r="R2143" t="str">
        <f t="shared" si="912"/>
        <v>BULLISH</v>
      </c>
      <c r="S2143">
        <f t="shared" si="901"/>
        <v>1</v>
      </c>
    </row>
    <row r="2144" spans="1:19" hidden="1" x14ac:dyDescent="0.25">
      <c r="A2144" s="5" t="str">
        <f t="shared" si="898"/>
        <v>43987COPPER</v>
      </c>
      <c r="B2144" s="6" t="s">
        <v>26</v>
      </c>
      <c r="C2144" s="6">
        <v>2.35</v>
      </c>
      <c r="D2144" s="6">
        <v>2.5499999999999998</v>
      </c>
      <c r="E2144" s="6">
        <v>2.4900000000000002</v>
      </c>
      <c r="F2144" t="str">
        <f t="shared" si="902"/>
        <v>FRI</v>
      </c>
      <c r="G2144" s="1">
        <f t="shared" si="903"/>
        <v>43987</v>
      </c>
      <c r="H2144" s="2">
        <f t="shared" ca="1" si="904"/>
        <v>266</v>
      </c>
      <c r="I2144" t="str">
        <f t="shared" si="905"/>
        <v>COPPER</v>
      </c>
      <c r="J2144">
        <f t="shared" si="906"/>
        <v>2.35</v>
      </c>
      <c r="K2144">
        <f t="shared" si="907"/>
        <v>2.5499999999999998</v>
      </c>
      <c r="L2144">
        <f t="shared" si="908"/>
        <v>2.4500000000000002</v>
      </c>
      <c r="M2144">
        <f t="shared" si="909"/>
        <v>9.9999999999999867E-2</v>
      </c>
      <c r="N2144">
        <f t="shared" si="899"/>
        <v>0.19999999999999973</v>
      </c>
      <c r="O2144">
        <f t="shared" si="910"/>
        <v>2.4900000000000002</v>
      </c>
      <c r="P2144">
        <f t="shared" si="911"/>
        <v>0.40000000000000091</v>
      </c>
      <c r="Q2144" t="str">
        <f t="shared" si="900"/>
        <v>5.62% | 2.41%</v>
      </c>
      <c r="R2144" t="str">
        <f t="shared" si="912"/>
        <v>BEARISH</v>
      </c>
      <c r="S2144">
        <f t="shared" si="901"/>
        <v>-1</v>
      </c>
    </row>
    <row r="2145" spans="1:19" hidden="1" x14ac:dyDescent="0.25">
      <c r="A2145" s="5" t="str">
        <f t="shared" si="898"/>
        <v>43987MSFT</v>
      </c>
      <c r="B2145" s="6" t="s">
        <v>27</v>
      </c>
      <c r="C2145" s="6">
        <v>180</v>
      </c>
      <c r="D2145" s="6">
        <v>186</v>
      </c>
      <c r="E2145" s="6">
        <v>182</v>
      </c>
      <c r="F2145" t="str">
        <f t="shared" si="902"/>
        <v>FRI</v>
      </c>
      <c r="G2145" s="1">
        <f t="shared" si="903"/>
        <v>43987</v>
      </c>
      <c r="H2145" s="2">
        <f t="shared" ca="1" si="904"/>
        <v>266</v>
      </c>
      <c r="I2145" t="str">
        <f t="shared" si="905"/>
        <v>MSFT</v>
      </c>
      <c r="J2145">
        <f t="shared" si="906"/>
        <v>180</v>
      </c>
      <c r="K2145">
        <f t="shared" si="907"/>
        <v>186</v>
      </c>
      <c r="L2145">
        <f t="shared" si="908"/>
        <v>183</v>
      </c>
      <c r="M2145">
        <f t="shared" si="909"/>
        <v>3</v>
      </c>
      <c r="N2145">
        <f t="shared" si="899"/>
        <v>6</v>
      </c>
      <c r="O2145">
        <f t="shared" si="910"/>
        <v>182</v>
      </c>
      <c r="P2145">
        <f t="shared" si="911"/>
        <v>-0.33333333333333331</v>
      </c>
      <c r="Q2145" t="str">
        <f t="shared" si="900"/>
        <v>1.1% | 2.2%</v>
      </c>
      <c r="R2145" t="str">
        <f t="shared" si="912"/>
        <v>BULLISH</v>
      </c>
      <c r="S2145">
        <f t="shared" si="901"/>
        <v>1</v>
      </c>
    </row>
    <row r="2146" spans="1:19" hidden="1" x14ac:dyDescent="0.25">
      <c r="A2146" s="5" t="str">
        <f t="shared" si="898"/>
        <v>43987AAPL</v>
      </c>
      <c r="B2146" s="6" t="s">
        <v>28</v>
      </c>
      <c r="C2146" s="6">
        <v>313</v>
      </c>
      <c r="D2146" s="6">
        <v>327</v>
      </c>
      <c r="E2146" s="6">
        <v>322</v>
      </c>
      <c r="F2146" t="str">
        <f t="shared" si="902"/>
        <v>FRI</v>
      </c>
      <c r="G2146" s="1">
        <f t="shared" si="903"/>
        <v>43987</v>
      </c>
      <c r="H2146" s="2">
        <f t="shared" ca="1" si="904"/>
        <v>266</v>
      </c>
      <c r="I2146" t="str">
        <f t="shared" si="905"/>
        <v>AAPL</v>
      </c>
      <c r="J2146">
        <f t="shared" si="906"/>
        <v>313</v>
      </c>
      <c r="K2146">
        <f t="shared" si="907"/>
        <v>327</v>
      </c>
      <c r="L2146">
        <f t="shared" si="908"/>
        <v>320</v>
      </c>
      <c r="M2146">
        <f t="shared" si="909"/>
        <v>7</v>
      </c>
      <c r="N2146">
        <f t="shared" si="899"/>
        <v>14</v>
      </c>
      <c r="O2146">
        <f t="shared" si="910"/>
        <v>322</v>
      </c>
      <c r="P2146">
        <f t="shared" si="911"/>
        <v>0.2857142857142857</v>
      </c>
      <c r="Q2146" t="str">
        <f t="shared" si="900"/>
        <v>2.8% | 1.55%</v>
      </c>
      <c r="R2146" t="str">
        <f t="shared" si="912"/>
        <v>BULLISH</v>
      </c>
      <c r="S2146">
        <f t="shared" si="901"/>
        <v>1</v>
      </c>
    </row>
    <row r="2147" spans="1:19" hidden="1" x14ac:dyDescent="0.25">
      <c r="A2147" s="5" t="str">
        <f t="shared" si="898"/>
        <v>43987AMZN</v>
      </c>
      <c r="B2147" s="6" t="s">
        <v>29</v>
      </c>
      <c r="C2147" s="6">
        <v>2382</v>
      </c>
      <c r="D2147" s="6">
        <v>2499</v>
      </c>
      <c r="E2147" s="6">
        <v>2460</v>
      </c>
      <c r="F2147" t="str">
        <f t="shared" si="902"/>
        <v>FRI</v>
      </c>
      <c r="G2147" s="1">
        <f t="shared" si="903"/>
        <v>43987</v>
      </c>
      <c r="H2147" s="2">
        <f t="shared" ca="1" si="904"/>
        <v>266</v>
      </c>
      <c r="I2147" t="str">
        <f t="shared" si="905"/>
        <v>AMZN</v>
      </c>
      <c r="J2147">
        <f t="shared" si="906"/>
        <v>2382</v>
      </c>
      <c r="K2147">
        <f t="shared" si="907"/>
        <v>2499</v>
      </c>
      <c r="L2147">
        <f t="shared" si="908"/>
        <v>2440.5</v>
      </c>
      <c r="M2147">
        <f t="shared" si="909"/>
        <v>58.5</v>
      </c>
      <c r="N2147">
        <f t="shared" si="899"/>
        <v>117</v>
      </c>
      <c r="O2147">
        <f t="shared" si="910"/>
        <v>2460</v>
      </c>
      <c r="P2147">
        <f t="shared" si="911"/>
        <v>0.33333333333333331</v>
      </c>
      <c r="Q2147" t="str">
        <f t="shared" si="900"/>
        <v>3.17% | 1.59%</v>
      </c>
      <c r="R2147" t="str">
        <f t="shared" si="912"/>
        <v>BULLISH</v>
      </c>
      <c r="S2147">
        <f t="shared" si="901"/>
        <v>1</v>
      </c>
    </row>
    <row r="2148" spans="1:19" hidden="1" x14ac:dyDescent="0.25">
      <c r="A2148" s="5" t="str">
        <f t="shared" si="898"/>
        <v>43987FB</v>
      </c>
      <c r="B2148" s="6" t="s">
        <v>30</v>
      </c>
      <c r="C2148" s="6">
        <v>215</v>
      </c>
      <c r="D2148" s="6">
        <v>236</v>
      </c>
      <c r="E2148" s="6">
        <v>226</v>
      </c>
      <c r="F2148" t="str">
        <f t="shared" si="902"/>
        <v>FRI</v>
      </c>
      <c r="G2148" s="1">
        <f t="shared" si="903"/>
        <v>43987</v>
      </c>
      <c r="H2148" s="2">
        <f t="shared" ca="1" si="904"/>
        <v>266</v>
      </c>
      <c r="I2148" t="str">
        <f t="shared" si="905"/>
        <v>FB</v>
      </c>
      <c r="J2148">
        <f t="shared" si="906"/>
        <v>215</v>
      </c>
      <c r="K2148">
        <f t="shared" si="907"/>
        <v>236</v>
      </c>
      <c r="L2148">
        <f t="shared" si="908"/>
        <v>225.5</v>
      </c>
      <c r="M2148">
        <f t="shared" si="909"/>
        <v>10.5</v>
      </c>
      <c r="N2148">
        <f t="shared" si="899"/>
        <v>21</v>
      </c>
      <c r="O2148">
        <f t="shared" si="910"/>
        <v>226</v>
      </c>
      <c r="P2148">
        <f t="shared" si="911"/>
        <v>4.7619047619047616E-2</v>
      </c>
      <c r="Q2148" t="str">
        <f t="shared" si="900"/>
        <v>4.87% | 4.42%</v>
      </c>
      <c r="R2148" t="str">
        <f t="shared" si="912"/>
        <v>BULLISH</v>
      </c>
      <c r="S2148">
        <f t="shared" si="901"/>
        <v>1</v>
      </c>
    </row>
    <row r="2149" spans="1:19" hidden="1" x14ac:dyDescent="0.25">
      <c r="A2149" s="5" t="str">
        <f t="shared" si="898"/>
        <v>43987GOOGL</v>
      </c>
      <c r="B2149" s="6" t="s">
        <v>31</v>
      </c>
      <c r="C2149" s="6">
        <v>1378</v>
      </c>
      <c r="D2149" s="6">
        <v>1448</v>
      </c>
      <c r="E2149" s="6">
        <v>1414</v>
      </c>
      <c r="F2149" t="str">
        <f t="shared" si="902"/>
        <v>FRI</v>
      </c>
      <c r="G2149" s="1">
        <f t="shared" si="903"/>
        <v>43987</v>
      </c>
      <c r="H2149" s="2">
        <f t="shared" ca="1" si="904"/>
        <v>266</v>
      </c>
      <c r="I2149" t="str">
        <f t="shared" si="905"/>
        <v>GOOGL</v>
      </c>
      <c r="J2149">
        <f t="shared" si="906"/>
        <v>1378</v>
      </c>
      <c r="K2149">
        <f t="shared" si="907"/>
        <v>1448</v>
      </c>
      <c r="L2149">
        <f t="shared" si="908"/>
        <v>1413</v>
      </c>
      <c r="M2149">
        <f t="shared" si="909"/>
        <v>35</v>
      </c>
      <c r="N2149">
        <f t="shared" si="899"/>
        <v>70</v>
      </c>
      <c r="O2149">
        <f t="shared" si="910"/>
        <v>1414</v>
      </c>
      <c r="P2149">
        <f t="shared" si="911"/>
        <v>2.8571428571428571E-2</v>
      </c>
      <c r="Q2149" t="str">
        <f t="shared" si="900"/>
        <v>2.55% | 2.4%</v>
      </c>
      <c r="R2149" t="str">
        <f t="shared" si="912"/>
        <v>BULLISH</v>
      </c>
      <c r="S2149">
        <f t="shared" si="901"/>
        <v>1</v>
      </c>
    </row>
    <row r="2150" spans="1:19" hidden="1" x14ac:dyDescent="0.25">
      <c r="A2150" s="5" t="str">
        <f t="shared" si="898"/>
        <v>43987NFLX</v>
      </c>
      <c r="B2150" s="6" t="s">
        <v>32</v>
      </c>
      <c r="C2150" s="6">
        <v>398</v>
      </c>
      <c r="D2150" s="6">
        <v>433</v>
      </c>
      <c r="E2150" s="6">
        <v>414</v>
      </c>
      <c r="F2150" t="str">
        <f t="shared" si="902"/>
        <v>FRI</v>
      </c>
      <c r="G2150" s="1">
        <f t="shared" si="903"/>
        <v>43987</v>
      </c>
      <c r="H2150" s="2">
        <f t="shared" ca="1" si="904"/>
        <v>266</v>
      </c>
      <c r="I2150" t="str">
        <f t="shared" si="905"/>
        <v>NFLX</v>
      </c>
      <c r="J2150">
        <f t="shared" si="906"/>
        <v>398</v>
      </c>
      <c r="K2150">
        <f t="shared" si="907"/>
        <v>433</v>
      </c>
      <c r="L2150">
        <f t="shared" si="908"/>
        <v>415.5</v>
      </c>
      <c r="M2150">
        <f t="shared" si="909"/>
        <v>17.5</v>
      </c>
      <c r="N2150">
        <f t="shared" si="899"/>
        <v>35</v>
      </c>
      <c r="O2150">
        <f t="shared" si="910"/>
        <v>414</v>
      </c>
      <c r="P2150">
        <f t="shared" si="911"/>
        <v>-8.5714285714285715E-2</v>
      </c>
      <c r="Q2150" t="str">
        <f t="shared" si="900"/>
        <v>3.86% | 4.59%</v>
      </c>
      <c r="R2150" t="str">
        <f t="shared" si="912"/>
        <v>BULLISH</v>
      </c>
      <c r="S2150">
        <f t="shared" si="901"/>
        <v>1</v>
      </c>
    </row>
    <row r="2151" spans="1:19" x14ac:dyDescent="0.25">
      <c r="A2151" s="5" t="str">
        <f t="shared" si="898"/>
        <v>43987TSLA</v>
      </c>
      <c r="B2151" s="6" t="s">
        <v>33</v>
      </c>
      <c r="C2151" s="6">
        <v>779</v>
      </c>
      <c r="D2151" s="6">
        <v>915</v>
      </c>
      <c r="E2151" s="6">
        <v>864</v>
      </c>
      <c r="F2151" t="str">
        <f t="shared" si="902"/>
        <v>FRI</v>
      </c>
      <c r="G2151" s="1">
        <f t="shared" si="903"/>
        <v>43987</v>
      </c>
      <c r="H2151" s="2">
        <f t="shared" ca="1" si="904"/>
        <v>266</v>
      </c>
      <c r="I2151" t="str">
        <f t="shared" si="905"/>
        <v>TSLA</v>
      </c>
      <c r="J2151">
        <f t="shared" si="906"/>
        <v>779</v>
      </c>
      <c r="K2151">
        <f t="shared" si="907"/>
        <v>915</v>
      </c>
      <c r="L2151">
        <f t="shared" si="908"/>
        <v>847</v>
      </c>
      <c r="M2151">
        <f t="shared" si="909"/>
        <v>68</v>
      </c>
      <c r="N2151">
        <f t="shared" si="899"/>
        <v>136</v>
      </c>
      <c r="O2151">
        <f t="shared" si="910"/>
        <v>864</v>
      </c>
      <c r="P2151">
        <f t="shared" si="911"/>
        <v>0.25</v>
      </c>
      <c r="Q2151" t="str">
        <f t="shared" si="900"/>
        <v>9.84% | 5.9%</v>
      </c>
      <c r="R2151" t="str">
        <f t="shared" si="912"/>
        <v>BULLISH</v>
      </c>
      <c r="S2151">
        <f t="shared" si="901"/>
        <v>1</v>
      </c>
    </row>
    <row r="2152" spans="1:19" hidden="1" x14ac:dyDescent="0.25">
      <c r="A2152" s="5" t="str">
        <f t="shared" si="898"/>
        <v>43987NYXBT</v>
      </c>
      <c r="B2152" s="6" t="s">
        <v>34</v>
      </c>
      <c r="C2152" s="6">
        <v>9089</v>
      </c>
      <c r="D2152" s="6">
        <v>10161</v>
      </c>
      <c r="E2152" s="6">
        <v>9748</v>
      </c>
      <c r="F2152" t="str">
        <f t="shared" si="902"/>
        <v>FRI</v>
      </c>
      <c r="G2152" s="1">
        <f t="shared" si="903"/>
        <v>43987</v>
      </c>
      <c r="H2152" s="2">
        <f t="shared" ca="1" si="904"/>
        <v>266</v>
      </c>
      <c r="I2152" t="str">
        <f t="shared" si="905"/>
        <v>NYXBT</v>
      </c>
      <c r="J2152">
        <f t="shared" si="906"/>
        <v>9089</v>
      </c>
      <c r="K2152">
        <f t="shared" si="907"/>
        <v>10161</v>
      </c>
      <c r="L2152">
        <f t="shared" si="908"/>
        <v>9625</v>
      </c>
      <c r="M2152">
        <f t="shared" si="909"/>
        <v>536</v>
      </c>
      <c r="N2152">
        <f t="shared" si="899"/>
        <v>1072</v>
      </c>
      <c r="O2152">
        <f t="shared" si="910"/>
        <v>9748</v>
      </c>
      <c r="P2152">
        <f t="shared" si="911"/>
        <v>0.2294776119402985</v>
      </c>
      <c r="Q2152" t="str">
        <f t="shared" si="900"/>
        <v>6.76% | 4.24%</v>
      </c>
      <c r="R2152" t="str">
        <f t="shared" si="912"/>
        <v>BULLISH</v>
      </c>
      <c r="S2152">
        <f t="shared" si="901"/>
        <v>1</v>
      </c>
    </row>
    <row r="2153" spans="1:19" hidden="1" x14ac:dyDescent="0.25">
      <c r="A2153" s="5" t="str">
        <f t="shared" si="898"/>
        <v>43990UST10Y</v>
      </c>
      <c r="B2153" s="6" t="s">
        <v>4</v>
      </c>
      <c r="C2153" s="6">
        <v>0.93</v>
      </c>
      <c r="D2153" s="6">
        <v>0.55000000000000004</v>
      </c>
      <c r="E2153" s="6">
        <v>0.91</v>
      </c>
      <c r="F2153" t="str">
        <f t="shared" si="902"/>
        <v>MON</v>
      </c>
      <c r="G2153" s="3">
        <f>DATE(2020,6,8)</f>
        <v>43990</v>
      </c>
      <c r="H2153" s="2">
        <f t="shared" ca="1" si="904"/>
        <v>263</v>
      </c>
      <c r="I2153" t="str">
        <f t="shared" si="905"/>
        <v>UST10Y</v>
      </c>
      <c r="J2153">
        <f t="shared" si="906"/>
        <v>0.93</v>
      </c>
      <c r="K2153">
        <f t="shared" si="907"/>
        <v>0.55000000000000004</v>
      </c>
      <c r="L2153">
        <f t="shared" si="908"/>
        <v>0.74</v>
      </c>
      <c r="M2153">
        <f t="shared" si="909"/>
        <v>0.19000000000000034</v>
      </c>
      <c r="N2153">
        <f t="shared" si="899"/>
        <v>0.38</v>
      </c>
      <c r="O2153">
        <f t="shared" si="910"/>
        <v>0.91</v>
      </c>
      <c r="P2153">
        <f t="shared" si="911"/>
        <v>0.89473684210526183</v>
      </c>
      <c r="Q2153" t="str">
        <f t="shared" si="900"/>
        <v>2.2% | 39.56%</v>
      </c>
      <c r="R2153" t="str">
        <f t="shared" si="912"/>
        <v>BEARISH</v>
      </c>
      <c r="S2153">
        <f t="shared" si="901"/>
        <v>-1</v>
      </c>
    </row>
    <row r="2154" spans="1:19" hidden="1" x14ac:dyDescent="0.25">
      <c r="A2154" s="5" t="str">
        <f t="shared" si="898"/>
        <v>43990UST2Y</v>
      </c>
      <c r="B2154" s="6" t="s">
        <v>5</v>
      </c>
      <c r="C2154" s="6">
        <v>0.23</v>
      </c>
      <c r="D2154" s="6">
        <v>0.12</v>
      </c>
      <c r="E2154" s="6">
        <v>0.22</v>
      </c>
      <c r="F2154" t="str">
        <f t="shared" ref="F2154:F2184" si="913">UPPER(TEXT(G2154,"ddd"))</f>
        <v>MON</v>
      </c>
      <c r="G2154" s="3">
        <f t="shared" ref="G2154:G2183" si="914">DATE(2020,6,8)</f>
        <v>43990</v>
      </c>
      <c r="H2154" s="2">
        <f t="shared" ref="H2154:H2184" ca="1" si="915">TODAY()-G2154</f>
        <v>263</v>
      </c>
      <c r="I2154" t="str">
        <f t="shared" ref="I2154:I2184" si="916">TRIM(LEFT(B2154,FIND(" ",B2154,1)))</f>
        <v>UST2Y</v>
      </c>
      <c r="J2154">
        <f t="shared" ref="J2154:J2184" si="917">C2154</f>
        <v>0.23</v>
      </c>
      <c r="K2154">
        <f t="shared" ref="K2154:K2184" si="918">D2154</f>
        <v>0.12</v>
      </c>
      <c r="L2154">
        <f t="shared" ref="L2154:L2184" si="919">AVERAGE(J2154:K2154)</f>
        <v>0.17499999999999999</v>
      </c>
      <c r="M2154">
        <f t="shared" ref="M2154:M2184" si="920">_xlfn.STDEV.P(J2154:K2154)</f>
        <v>5.5000000000000028E-2</v>
      </c>
      <c r="N2154">
        <f t="shared" si="899"/>
        <v>0.11000000000000001</v>
      </c>
      <c r="O2154">
        <f t="shared" ref="O2154:O2184" si="921">E2154</f>
        <v>0.22</v>
      </c>
      <c r="P2154">
        <f t="shared" ref="P2154:P2184" si="922">(O2154-L2154)/M2154</f>
        <v>0.81818181818181801</v>
      </c>
      <c r="Q2154" t="str">
        <f t="shared" si="900"/>
        <v>4.55% | 45.45%</v>
      </c>
      <c r="R2154" t="str">
        <f t="shared" ref="R2154:R2184" si="923">MID(B2154,FIND("(",B2154,1)+1,FIND(")",B2154,1)-FIND("(",B2154,1)-1)</f>
        <v>BEARISH</v>
      </c>
      <c r="S2154">
        <f t="shared" si="901"/>
        <v>-1</v>
      </c>
    </row>
    <row r="2155" spans="1:19" hidden="1" x14ac:dyDescent="0.25">
      <c r="A2155" s="5" t="str">
        <f t="shared" si="898"/>
        <v>43990SPX</v>
      </c>
      <c r="B2155" s="6" t="s">
        <v>93</v>
      </c>
      <c r="C2155" s="6">
        <v>2972</v>
      </c>
      <c r="D2155" s="6">
        <v>3216</v>
      </c>
      <c r="E2155" s="6">
        <v>3193</v>
      </c>
      <c r="F2155" t="str">
        <f t="shared" si="913"/>
        <v>MON</v>
      </c>
      <c r="G2155" s="3">
        <f t="shared" si="914"/>
        <v>43990</v>
      </c>
      <c r="H2155" s="2">
        <f t="shared" ca="1" si="915"/>
        <v>263</v>
      </c>
      <c r="I2155" t="str">
        <f t="shared" si="916"/>
        <v>SPX</v>
      </c>
      <c r="J2155">
        <f t="shared" si="917"/>
        <v>2972</v>
      </c>
      <c r="K2155">
        <f t="shared" si="918"/>
        <v>3216</v>
      </c>
      <c r="L2155">
        <f t="shared" si="919"/>
        <v>3094</v>
      </c>
      <c r="M2155">
        <f t="shared" si="920"/>
        <v>122</v>
      </c>
      <c r="N2155">
        <f t="shared" si="899"/>
        <v>244</v>
      </c>
      <c r="O2155">
        <f t="shared" si="921"/>
        <v>3193</v>
      </c>
      <c r="P2155">
        <f t="shared" si="922"/>
        <v>0.81147540983606559</v>
      </c>
      <c r="Q2155" t="str">
        <f t="shared" si="900"/>
        <v>6.92% | 0.72%</v>
      </c>
      <c r="R2155" t="str">
        <f t="shared" si="923"/>
        <v>BULLISH</v>
      </c>
      <c r="S2155">
        <f t="shared" si="901"/>
        <v>1</v>
      </c>
    </row>
    <row r="2156" spans="1:19" hidden="1" x14ac:dyDescent="0.25">
      <c r="A2156" s="5" t="str">
        <f t="shared" si="898"/>
        <v>43990RUT</v>
      </c>
      <c r="B2156" s="6" t="s">
        <v>7</v>
      </c>
      <c r="C2156" s="6">
        <v>1348</v>
      </c>
      <c r="D2156" s="6">
        <v>1522</v>
      </c>
      <c r="E2156" s="6">
        <v>1507</v>
      </c>
      <c r="F2156" t="str">
        <f t="shared" si="913"/>
        <v>MON</v>
      </c>
      <c r="G2156" s="3">
        <f t="shared" si="914"/>
        <v>43990</v>
      </c>
      <c r="H2156" s="2">
        <f t="shared" ca="1" si="915"/>
        <v>263</v>
      </c>
      <c r="I2156" t="str">
        <f t="shared" si="916"/>
        <v>RUT</v>
      </c>
      <c r="J2156">
        <f t="shared" si="917"/>
        <v>1348</v>
      </c>
      <c r="K2156">
        <f t="shared" si="918"/>
        <v>1522</v>
      </c>
      <c r="L2156">
        <f t="shared" si="919"/>
        <v>1435</v>
      </c>
      <c r="M2156">
        <f t="shared" si="920"/>
        <v>87</v>
      </c>
      <c r="N2156">
        <f t="shared" si="899"/>
        <v>174</v>
      </c>
      <c r="O2156">
        <f t="shared" si="921"/>
        <v>1507</v>
      </c>
      <c r="P2156">
        <f t="shared" si="922"/>
        <v>0.82758620689655171</v>
      </c>
      <c r="Q2156" t="str">
        <f t="shared" si="900"/>
        <v>10.55% | 1%</v>
      </c>
      <c r="R2156" t="str">
        <f t="shared" si="923"/>
        <v>BEARISH</v>
      </c>
      <c r="S2156">
        <f t="shared" si="901"/>
        <v>-1</v>
      </c>
    </row>
    <row r="2157" spans="1:19" hidden="1" x14ac:dyDescent="0.25">
      <c r="A2157" s="5" t="str">
        <f t="shared" si="898"/>
        <v>43990COMPQ</v>
      </c>
      <c r="B2157" s="6" t="s">
        <v>8</v>
      </c>
      <c r="C2157" s="6">
        <v>9539</v>
      </c>
      <c r="D2157" s="6">
        <v>9870</v>
      </c>
      <c r="E2157" s="6">
        <v>9814</v>
      </c>
      <c r="F2157" t="str">
        <f t="shared" si="913"/>
        <v>MON</v>
      </c>
      <c r="G2157" s="3">
        <f t="shared" si="914"/>
        <v>43990</v>
      </c>
      <c r="H2157" s="2">
        <f t="shared" ca="1" si="915"/>
        <v>263</v>
      </c>
      <c r="I2157" t="str">
        <f t="shared" si="916"/>
        <v>COMPQ</v>
      </c>
      <c r="J2157">
        <f t="shared" si="917"/>
        <v>9539</v>
      </c>
      <c r="K2157">
        <f t="shared" si="918"/>
        <v>9870</v>
      </c>
      <c r="L2157">
        <f t="shared" si="919"/>
        <v>9704.5</v>
      </c>
      <c r="M2157">
        <f t="shared" si="920"/>
        <v>165.5</v>
      </c>
      <c r="N2157">
        <f t="shared" si="899"/>
        <v>331</v>
      </c>
      <c r="O2157">
        <f t="shared" si="921"/>
        <v>9814</v>
      </c>
      <c r="P2157">
        <f t="shared" si="922"/>
        <v>0.66163141993957708</v>
      </c>
      <c r="Q2157" t="str">
        <f t="shared" si="900"/>
        <v>2.8% | 0.57%</v>
      </c>
      <c r="R2157" t="str">
        <f t="shared" si="923"/>
        <v>BULLISH</v>
      </c>
      <c r="S2157">
        <f t="shared" si="901"/>
        <v>1</v>
      </c>
    </row>
    <row r="2158" spans="1:19" hidden="1" x14ac:dyDescent="0.25">
      <c r="A2158" s="5" t="str">
        <f t="shared" si="898"/>
        <v>43990XLV</v>
      </c>
      <c r="B2158" s="6" t="s">
        <v>9</v>
      </c>
      <c r="C2158" s="6">
        <v>99.33</v>
      </c>
      <c r="D2158" s="6">
        <v>104.32</v>
      </c>
      <c r="E2158" s="6">
        <v>103.21</v>
      </c>
      <c r="F2158" t="str">
        <f t="shared" si="913"/>
        <v>MON</v>
      </c>
      <c r="G2158" s="3">
        <f t="shared" si="914"/>
        <v>43990</v>
      </c>
      <c r="H2158" s="2">
        <f t="shared" ca="1" si="915"/>
        <v>263</v>
      </c>
      <c r="I2158" t="str">
        <f t="shared" si="916"/>
        <v>XLV</v>
      </c>
      <c r="J2158">
        <f t="shared" si="917"/>
        <v>99.33</v>
      </c>
      <c r="K2158">
        <f t="shared" si="918"/>
        <v>104.32</v>
      </c>
      <c r="L2158">
        <f t="shared" si="919"/>
        <v>101.82499999999999</v>
      </c>
      <c r="M2158">
        <f t="shared" si="920"/>
        <v>2.4949999999999974</v>
      </c>
      <c r="N2158">
        <f t="shared" si="899"/>
        <v>4.9899999999999949</v>
      </c>
      <c r="O2158">
        <f t="shared" si="921"/>
        <v>103.21</v>
      </c>
      <c r="P2158">
        <f t="shared" si="922"/>
        <v>0.55511022044088443</v>
      </c>
      <c r="Q2158" t="str">
        <f t="shared" si="900"/>
        <v>3.76% | 1.08%</v>
      </c>
      <c r="R2158" t="str">
        <f t="shared" si="923"/>
        <v>BULLISH</v>
      </c>
      <c r="S2158">
        <f t="shared" si="901"/>
        <v>1</v>
      </c>
    </row>
    <row r="2159" spans="1:19" hidden="1" x14ac:dyDescent="0.25">
      <c r="A2159" s="5" t="str">
        <f t="shared" si="898"/>
        <v>43990XLK</v>
      </c>
      <c r="B2159" s="6" t="s">
        <v>10</v>
      </c>
      <c r="C2159" s="6">
        <v>95.15</v>
      </c>
      <c r="D2159" s="6">
        <v>102.29</v>
      </c>
      <c r="E2159" s="6">
        <v>101.41</v>
      </c>
      <c r="F2159" t="str">
        <f t="shared" si="913"/>
        <v>MON</v>
      </c>
      <c r="G2159" s="3">
        <f t="shared" si="914"/>
        <v>43990</v>
      </c>
      <c r="H2159" s="2">
        <f t="shared" ca="1" si="915"/>
        <v>263</v>
      </c>
      <c r="I2159" t="str">
        <f t="shared" si="916"/>
        <v>XLK</v>
      </c>
      <c r="J2159">
        <f t="shared" si="917"/>
        <v>95.15</v>
      </c>
      <c r="K2159">
        <f t="shared" si="918"/>
        <v>102.29</v>
      </c>
      <c r="L2159">
        <f t="shared" si="919"/>
        <v>98.72</v>
      </c>
      <c r="M2159">
        <f t="shared" si="920"/>
        <v>3.5700000000000003</v>
      </c>
      <c r="N2159">
        <f t="shared" si="899"/>
        <v>7.1400000000000006</v>
      </c>
      <c r="O2159">
        <f t="shared" si="921"/>
        <v>101.41</v>
      </c>
      <c r="P2159">
        <f t="shared" si="922"/>
        <v>0.75350140056022341</v>
      </c>
      <c r="Q2159" t="str">
        <f t="shared" si="900"/>
        <v>6.17% | 0.87%</v>
      </c>
      <c r="R2159" t="str">
        <f t="shared" si="923"/>
        <v>BULLISH</v>
      </c>
      <c r="S2159">
        <f t="shared" si="901"/>
        <v>1</v>
      </c>
    </row>
    <row r="2160" spans="1:19" hidden="1" x14ac:dyDescent="0.25">
      <c r="A2160" s="5" t="str">
        <f t="shared" si="898"/>
        <v>43990XLU</v>
      </c>
      <c r="B2160" s="6" t="s">
        <v>52</v>
      </c>
      <c r="C2160" s="6">
        <v>56.07</v>
      </c>
      <c r="D2160" s="6">
        <v>62.81</v>
      </c>
      <c r="E2160" s="6">
        <v>61.19</v>
      </c>
      <c r="F2160" t="str">
        <f t="shared" si="913"/>
        <v>MON</v>
      </c>
      <c r="G2160" s="3">
        <f t="shared" si="914"/>
        <v>43990</v>
      </c>
      <c r="H2160" s="2">
        <f t="shared" ca="1" si="915"/>
        <v>263</v>
      </c>
      <c r="I2160" t="str">
        <f t="shared" si="916"/>
        <v>XLU</v>
      </c>
      <c r="J2160">
        <f t="shared" si="917"/>
        <v>56.07</v>
      </c>
      <c r="K2160">
        <f t="shared" si="918"/>
        <v>62.81</v>
      </c>
      <c r="L2160">
        <f t="shared" si="919"/>
        <v>59.44</v>
      </c>
      <c r="M2160">
        <f t="shared" si="920"/>
        <v>3.370000000000001</v>
      </c>
      <c r="N2160">
        <f t="shared" si="899"/>
        <v>6.740000000000002</v>
      </c>
      <c r="O2160">
        <f t="shared" si="921"/>
        <v>61.19</v>
      </c>
      <c r="P2160">
        <f t="shared" si="922"/>
        <v>0.51928783382789301</v>
      </c>
      <c r="Q2160" t="str">
        <f t="shared" si="900"/>
        <v>8.37% | 2.65%</v>
      </c>
      <c r="R2160" t="str">
        <f t="shared" si="923"/>
        <v>BULLISH</v>
      </c>
      <c r="S2160">
        <f t="shared" si="901"/>
        <v>1</v>
      </c>
    </row>
    <row r="2161" spans="1:19" hidden="1" x14ac:dyDescent="0.25">
      <c r="A2161" s="5" t="str">
        <f t="shared" si="898"/>
        <v>43990XLF</v>
      </c>
      <c r="B2161" s="6" t="s">
        <v>12</v>
      </c>
      <c r="C2161" s="6">
        <v>22.2</v>
      </c>
      <c r="D2161" s="6">
        <v>26.75</v>
      </c>
      <c r="E2161" s="6">
        <v>26.24</v>
      </c>
      <c r="F2161" t="str">
        <f t="shared" si="913"/>
        <v>MON</v>
      </c>
      <c r="G2161" s="3">
        <f t="shared" si="914"/>
        <v>43990</v>
      </c>
      <c r="H2161" s="2">
        <f t="shared" ca="1" si="915"/>
        <v>263</v>
      </c>
      <c r="I2161" t="str">
        <f t="shared" si="916"/>
        <v>XLF</v>
      </c>
      <c r="J2161">
        <f t="shared" si="917"/>
        <v>22.2</v>
      </c>
      <c r="K2161">
        <f t="shared" si="918"/>
        <v>26.75</v>
      </c>
      <c r="L2161">
        <f t="shared" si="919"/>
        <v>24.475000000000001</v>
      </c>
      <c r="M2161">
        <f t="shared" si="920"/>
        <v>2.2750000000000004</v>
      </c>
      <c r="N2161">
        <f t="shared" si="899"/>
        <v>4.5500000000000007</v>
      </c>
      <c r="O2161">
        <f t="shared" si="921"/>
        <v>26.24</v>
      </c>
      <c r="P2161">
        <f t="shared" si="922"/>
        <v>0.7758241758241744</v>
      </c>
      <c r="Q2161" t="str">
        <f t="shared" si="900"/>
        <v>15.4% | 1.94%</v>
      </c>
      <c r="R2161" t="str">
        <f t="shared" si="923"/>
        <v>BEARISH</v>
      </c>
      <c r="S2161">
        <f t="shared" si="901"/>
        <v>-1</v>
      </c>
    </row>
    <row r="2162" spans="1:19" hidden="1" x14ac:dyDescent="0.25">
      <c r="A2162" s="5" t="str">
        <f t="shared" si="898"/>
        <v>43990XLRE</v>
      </c>
      <c r="B2162" s="6" t="s">
        <v>97</v>
      </c>
      <c r="C2162" s="6">
        <v>33.19</v>
      </c>
      <c r="D2162" s="6">
        <v>37.840000000000003</v>
      </c>
      <c r="E2162" s="6">
        <v>37.049999999999997</v>
      </c>
      <c r="F2162" t="str">
        <f t="shared" si="913"/>
        <v>MON</v>
      </c>
      <c r="G2162" s="3">
        <f t="shared" si="914"/>
        <v>43990</v>
      </c>
      <c r="H2162" s="2">
        <f t="shared" ca="1" si="915"/>
        <v>263</v>
      </c>
      <c r="I2162" t="str">
        <f t="shared" si="916"/>
        <v>XLRE</v>
      </c>
      <c r="J2162">
        <f t="shared" si="917"/>
        <v>33.19</v>
      </c>
      <c r="K2162">
        <f t="shared" si="918"/>
        <v>37.840000000000003</v>
      </c>
      <c r="L2162">
        <f t="shared" si="919"/>
        <v>35.515000000000001</v>
      </c>
      <c r="M2162">
        <f t="shared" si="920"/>
        <v>2.3250000000000028</v>
      </c>
      <c r="N2162">
        <f t="shared" si="899"/>
        <v>4.6500000000000057</v>
      </c>
      <c r="O2162">
        <f t="shared" si="921"/>
        <v>37.049999999999997</v>
      </c>
      <c r="P2162">
        <f t="shared" si="922"/>
        <v>0.66021505376343859</v>
      </c>
      <c r="Q2162" t="str">
        <f t="shared" si="900"/>
        <v>10.42% | 2.13%</v>
      </c>
      <c r="R2162" t="str">
        <f t="shared" si="923"/>
        <v>BULLISH</v>
      </c>
      <c r="S2162">
        <f t="shared" si="901"/>
        <v>1</v>
      </c>
    </row>
    <row r="2163" spans="1:19" hidden="1" x14ac:dyDescent="0.25">
      <c r="A2163" s="5" t="str">
        <f t="shared" si="898"/>
        <v>43990SSEC</v>
      </c>
      <c r="B2163" s="6" t="s">
        <v>14</v>
      </c>
      <c r="C2163" s="6">
        <v>2801</v>
      </c>
      <c r="D2163" s="6">
        <v>2965</v>
      </c>
      <c r="E2163" s="6">
        <v>2937</v>
      </c>
      <c r="F2163" t="str">
        <f t="shared" si="913"/>
        <v>MON</v>
      </c>
      <c r="G2163" s="3">
        <f t="shared" si="914"/>
        <v>43990</v>
      </c>
      <c r="H2163" s="2">
        <f t="shared" ca="1" si="915"/>
        <v>263</v>
      </c>
      <c r="I2163" t="str">
        <f t="shared" si="916"/>
        <v>SSEC</v>
      </c>
      <c r="J2163">
        <f t="shared" si="917"/>
        <v>2801</v>
      </c>
      <c r="K2163">
        <f t="shared" si="918"/>
        <v>2965</v>
      </c>
      <c r="L2163">
        <f t="shared" si="919"/>
        <v>2883</v>
      </c>
      <c r="M2163">
        <f t="shared" si="920"/>
        <v>82</v>
      </c>
      <c r="N2163">
        <f t="shared" si="899"/>
        <v>164</v>
      </c>
      <c r="O2163">
        <f t="shared" si="921"/>
        <v>2937</v>
      </c>
      <c r="P2163">
        <f t="shared" si="922"/>
        <v>0.65853658536585369</v>
      </c>
      <c r="Q2163" t="str">
        <f t="shared" si="900"/>
        <v>4.63% | 0.95%</v>
      </c>
      <c r="R2163" t="str">
        <f t="shared" si="923"/>
        <v>BEARISH</v>
      </c>
      <c r="S2163">
        <f t="shared" si="901"/>
        <v>-1</v>
      </c>
    </row>
    <row r="2164" spans="1:19" hidden="1" x14ac:dyDescent="0.25">
      <c r="A2164" s="5" t="str">
        <f t="shared" si="898"/>
        <v>43990NIKK</v>
      </c>
      <c r="B2164" s="6" t="s">
        <v>91</v>
      </c>
      <c r="C2164" s="6">
        <v>21080</v>
      </c>
      <c r="D2164" s="6">
        <v>23197</v>
      </c>
      <c r="E2164" s="6">
        <v>23178</v>
      </c>
      <c r="F2164" t="str">
        <f t="shared" si="913"/>
        <v>MON</v>
      </c>
      <c r="G2164" s="3">
        <f t="shared" si="914"/>
        <v>43990</v>
      </c>
      <c r="H2164" s="2">
        <f t="shared" ca="1" si="915"/>
        <v>263</v>
      </c>
      <c r="I2164" t="str">
        <f t="shared" si="916"/>
        <v>NIKK</v>
      </c>
      <c r="J2164">
        <f t="shared" si="917"/>
        <v>21080</v>
      </c>
      <c r="K2164">
        <f t="shared" si="918"/>
        <v>23197</v>
      </c>
      <c r="L2164">
        <f t="shared" si="919"/>
        <v>22138.5</v>
      </c>
      <c r="M2164">
        <f t="shared" si="920"/>
        <v>1058.5</v>
      </c>
      <c r="N2164">
        <f t="shared" si="899"/>
        <v>2117</v>
      </c>
      <c r="O2164">
        <f t="shared" si="921"/>
        <v>23178</v>
      </c>
      <c r="P2164">
        <f t="shared" si="922"/>
        <v>0.98205007085498341</v>
      </c>
      <c r="Q2164" t="str">
        <f t="shared" si="900"/>
        <v>9.05% | 0.08%</v>
      </c>
      <c r="R2164" t="str">
        <f t="shared" si="923"/>
        <v>BULLISH</v>
      </c>
      <c r="S2164">
        <f t="shared" si="901"/>
        <v>1</v>
      </c>
    </row>
    <row r="2165" spans="1:19" hidden="1" x14ac:dyDescent="0.25">
      <c r="A2165" s="5" t="str">
        <f t="shared" si="898"/>
        <v>43990DAX</v>
      </c>
      <c r="B2165" s="6" t="s">
        <v>98</v>
      </c>
      <c r="C2165" s="6">
        <v>11091</v>
      </c>
      <c r="D2165" s="6">
        <v>12865</v>
      </c>
      <c r="E2165" s="6">
        <v>12843</v>
      </c>
      <c r="F2165" t="str">
        <f t="shared" si="913"/>
        <v>MON</v>
      </c>
      <c r="G2165" s="3">
        <f t="shared" si="914"/>
        <v>43990</v>
      </c>
      <c r="H2165" s="2">
        <f t="shared" ca="1" si="915"/>
        <v>263</v>
      </c>
      <c r="I2165" t="str">
        <f t="shared" si="916"/>
        <v>DAX</v>
      </c>
      <c r="J2165">
        <f t="shared" si="917"/>
        <v>11091</v>
      </c>
      <c r="K2165">
        <f t="shared" si="918"/>
        <v>12865</v>
      </c>
      <c r="L2165">
        <f t="shared" si="919"/>
        <v>11978</v>
      </c>
      <c r="M2165">
        <f t="shared" si="920"/>
        <v>887</v>
      </c>
      <c r="N2165">
        <f t="shared" si="899"/>
        <v>1774</v>
      </c>
      <c r="O2165">
        <f t="shared" si="921"/>
        <v>12843</v>
      </c>
      <c r="P2165">
        <f t="shared" si="922"/>
        <v>0.9751972942502819</v>
      </c>
      <c r="Q2165" t="str">
        <f t="shared" si="900"/>
        <v>13.64% | 0.17%</v>
      </c>
      <c r="R2165" t="str">
        <f t="shared" si="923"/>
        <v>BULLISH</v>
      </c>
      <c r="S2165">
        <f t="shared" si="901"/>
        <v>1</v>
      </c>
    </row>
    <row r="2166" spans="1:19" hidden="1" x14ac:dyDescent="0.25">
      <c r="A2166" s="5" t="str">
        <f t="shared" si="898"/>
        <v>43990VIX</v>
      </c>
      <c r="B2166" s="6" t="s">
        <v>96</v>
      </c>
      <c r="C2166" s="6">
        <v>23.18</v>
      </c>
      <c r="D2166" s="6">
        <v>33.56</v>
      </c>
      <c r="E2166" s="6">
        <v>24.52</v>
      </c>
      <c r="F2166" t="str">
        <f t="shared" si="913"/>
        <v>MON</v>
      </c>
      <c r="G2166" s="3">
        <f t="shared" si="914"/>
        <v>43990</v>
      </c>
      <c r="H2166" s="2">
        <f t="shared" ca="1" si="915"/>
        <v>263</v>
      </c>
      <c r="I2166" t="str">
        <f t="shared" si="916"/>
        <v>VIX</v>
      </c>
      <c r="J2166">
        <f t="shared" si="917"/>
        <v>23.18</v>
      </c>
      <c r="K2166">
        <f t="shared" si="918"/>
        <v>33.56</v>
      </c>
      <c r="L2166">
        <f t="shared" si="919"/>
        <v>28.37</v>
      </c>
      <c r="M2166">
        <f t="shared" si="920"/>
        <v>5.1900000000000013</v>
      </c>
      <c r="N2166">
        <f t="shared" si="899"/>
        <v>10.380000000000003</v>
      </c>
      <c r="O2166">
        <f t="shared" si="921"/>
        <v>24.52</v>
      </c>
      <c r="P2166">
        <f t="shared" si="922"/>
        <v>-0.74181117533718699</v>
      </c>
      <c r="Q2166" t="str">
        <f t="shared" si="900"/>
        <v>5.46% | 36.87%</v>
      </c>
      <c r="R2166" t="str">
        <f t="shared" si="923"/>
        <v>BEARISH</v>
      </c>
      <c r="S2166">
        <f t="shared" si="901"/>
        <v>-1</v>
      </c>
    </row>
    <row r="2167" spans="1:19" hidden="1" x14ac:dyDescent="0.25">
      <c r="A2167" s="5" t="str">
        <f t="shared" si="898"/>
        <v>43990USD</v>
      </c>
      <c r="B2167" s="6" t="s">
        <v>94</v>
      </c>
      <c r="C2167" s="6">
        <v>96.19</v>
      </c>
      <c r="D2167" s="6">
        <v>99.6</v>
      </c>
      <c r="E2167" s="6">
        <v>96.92</v>
      </c>
      <c r="F2167" t="str">
        <f t="shared" si="913"/>
        <v>MON</v>
      </c>
      <c r="G2167" s="3">
        <f t="shared" si="914"/>
        <v>43990</v>
      </c>
      <c r="H2167" s="2">
        <f t="shared" ca="1" si="915"/>
        <v>263</v>
      </c>
      <c r="I2167" t="str">
        <f t="shared" si="916"/>
        <v>USD</v>
      </c>
      <c r="J2167">
        <f t="shared" si="917"/>
        <v>96.19</v>
      </c>
      <c r="K2167">
        <f t="shared" si="918"/>
        <v>99.6</v>
      </c>
      <c r="L2167">
        <f t="shared" si="919"/>
        <v>97.894999999999996</v>
      </c>
      <c r="M2167">
        <f t="shared" si="920"/>
        <v>1.7049999999999983</v>
      </c>
      <c r="N2167">
        <f t="shared" si="899"/>
        <v>3.4099999999999966</v>
      </c>
      <c r="O2167">
        <f t="shared" si="921"/>
        <v>96.92</v>
      </c>
      <c r="P2167">
        <f t="shared" si="922"/>
        <v>-0.57184750733137557</v>
      </c>
      <c r="Q2167" t="str">
        <f t="shared" si="900"/>
        <v>0.75% | 2.77%</v>
      </c>
      <c r="R2167" t="str">
        <f t="shared" si="923"/>
        <v>BEARISH</v>
      </c>
      <c r="S2167">
        <f t="shared" si="901"/>
        <v>-1</v>
      </c>
    </row>
    <row r="2168" spans="1:19" hidden="1" x14ac:dyDescent="0.25">
      <c r="A2168" s="5" t="str">
        <f t="shared" si="898"/>
        <v>43990EUR/USD</v>
      </c>
      <c r="B2168" s="6" t="s">
        <v>77</v>
      </c>
      <c r="C2168" s="6">
        <v>1.0900000000000001</v>
      </c>
      <c r="D2168" s="6">
        <v>1.1299999999999999</v>
      </c>
      <c r="E2168" s="6">
        <v>1.1200000000000001</v>
      </c>
      <c r="F2168" t="str">
        <f t="shared" si="913"/>
        <v>MON</v>
      </c>
      <c r="G2168" s="3">
        <f t="shared" si="914"/>
        <v>43990</v>
      </c>
      <c r="H2168" s="2">
        <f t="shared" ca="1" si="915"/>
        <v>263</v>
      </c>
      <c r="I2168" t="str">
        <f t="shared" si="916"/>
        <v>EUR/USD</v>
      </c>
      <c r="J2168">
        <f t="shared" si="917"/>
        <v>1.0900000000000001</v>
      </c>
      <c r="K2168">
        <f t="shared" si="918"/>
        <v>1.1299999999999999</v>
      </c>
      <c r="L2168">
        <f t="shared" si="919"/>
        <v>1.1099999999999999</v>
      </c>
      <c r="M2168">
        <f t="shared" si="920"/>
        <v>1.9999999999999907E-2</v>
      </c>
      <c r="N2168">
        <f t="shared" si="899"/>
        <v>3.9999999999999813E-2</v>
      </c>
      <c r="O2168">
        <f t="shared" si="921"/>
        <v>1.1200000000000001</v>
      </c>
      <c r="P2168">
        <f t="shared" si="922"/>
        <v>0.50000000000001388</v>
      </c>
      <c r="Q2168" t="str">
        <f t="shared" si="900"/>
        <v>2.68% | 0.89%</v>
      </c>
      <c r="R2168" t="str">
        <f t="shared" si="923"/>
        <v>NEUTRAL</v>
      </c>
      <c r="S2168">
        <f t="shared" si="901"/>
        <v>0</v>
      </c>
    </row>
    <row r="2169" spans="1:19" hidden="1" x14ac:dyDescent="0.25">
      <c r="A2169" s="5" t="str">
        <f t="shared" si="898"/>
        <v>43990USD/JPY</v>
      </c>
      <c r="B2169" s="6" t="s">
        <v>56</v>
      </c>
      <c r="C2169" s="6">
        <v>106.92</v>
      </c>
      <c r="D2169" s="6">
        <v>109.91</v>
      </c>
      <c r="E2169" s="6">
        <v>109.61</v>
      </c>
      <c r="F2169" t="str">
        <f t="shared" si="913"/>
        <v>MON</v>
      </c>
      <c r="G2169" s="3">
        <f t="shared" si="914"/>
        <v>43990</v>
      </c>
      <c r="H2169" s="2">
        <f t="shared" ca="1" si="915"/>
        <v>263</v>
      </c>
      <c r="I2169" t="str">
        <f t="shared" si="916"/>
        <v>USD/JPY</v>
      </c>
      <c r="J2169">
        <f t="shared" si="917"/>
        <v>106.92</v>
      </c>
      <c r="K2169">
        <f t="shared" si="918"/>
        <v>109.91</v>
      </c>
      <c r="L2169">
        <f t="shared" si="919"/>
        <v>108.41499999999999</v>
      </c>
      <c r="M2169">
        <f t="shared" si="920"/>
        <v>1.4949999999999974</v>
      </c>
      <c r="N2169">
        <f t="shared" si="899"/>
        <v>2.9899999999999949</v>
      </c>
      <c r="O2169">
        <f t="shared" si="921"/>
        <v>109.61</v>
      </c>
      <c r="P2169">
        <f t="shared" si="922"/>
        <v>0.79933110367893612</v>
      </c>
      <c r="Q2169" t="str">
        <f t="shared" si="900"/>
        <v>2.45% | 0.27%</v>
      </c>
      <c r="R2169" t="str">
        <f t="shared" si="923"/>
        <v>BULLISH</v>
      </c>
      <c r="S2169">
        <f t="shared" si="901"/>
        <v>1</v>
      </c>
    </row>
    <row r="2170" spans="1:19" hidden="1" x14ac:dyDescent="0.25">
      <c r="A2170" s="5" t="str">
        <f t="shared" si="898"/>
        <v>43990GBP/USD</v>
      </c>
      <c r="B2170" s="6" t="s">
        <v>79</v>
      </c>
      <c r="C2170" s="6">
        <v>1.22</v>
      </c>
      <c r="D2170" s="6">
        <v>1.27</v>
      </c>
      <c r="E2170" s="6">
        <v>1.27</v>
      </c>
      <c r="F2170" t="str">
        <f t="shared" si="913"/>
        <v>MON</v>
      </c>
      <c r="G2170" s="3">
        <f t="shared" si="914"/>
        <v>43990</v>
      </c>
      <c r="H2170" s="2">
        <f t="shared" ca="1" si="915"/>
        <v>263</v>
      </c>
      <c r="I2170" t="str">
        <f t="shared" si="916"/>
        <v>GBP/USD</v>
      </c>
      <c r="J2170">
        <f t="shared" si="917"/>
        <v>1.22</v>
      </c>
      <c r="K2170">
        <f t="shared" si="918"/>
        <v>1.27</v>
      </c>
      <c r="L2170">
        <f t="shared" si="919"/>
        <v>1.2450000000000001</v>
      </c>
      <c r="M2170">
        <f t="shared" si="920"/>
        <v>2.5000000000000022E-2</v>
      </c>
      <c r="N2170">
        <f t="shared" si="899"/>
        <v>5.0000000000000044E-2</v>
      </c>
      <c r="O2170">
        <f t="shared" si="921"/>
        <v>1.27</v>
      </c>
      <c r="P2170">
        <f t="shared" si="922"/>
        <v>0.99999999999999556</v>
      </c>
      <c r="Q2170" t="str">
        <f t="shared" si="900"/>
        <v>3.94% | 0%</v>
      </c>
      <c r="R2170" t="str">
        <f t="shared" si="923"/>
        <v>NEUTRAL</v>
      </c>
      <c r="S2170">
        <f t="shared" si="901"/>
        <v>0</v>
      </c>
    </row>
    <row r="2171" spans="1:19" hidden="1" x14ac:dyDescent="0.25">
      <c r="A2171" s="5" t="str">
        <f t="shared" si="898"/>
        <v>43990USD/CHF</v>
      </c>
      <c r="B2171" s="6" t="s">
        <v>76</v>
      </c>
      <c r="C2171" s="6">
        <v>0.95</v>
      </c>
      <c r="D2171" s="6">
        <v>0.97</v>
      </c>
      <c r="E2171" s="6">
        <v>0.96</v>
      </c>
      <c r="F2171" t="str">
        <f t="shared" si="913"/>
        <v>MON</v>
      </c>
      <c r="G2171" s="3">
        <f t="shared" si="914"/>
        <v>43990</v>
      </c>
      <c r="H2171" s="2">
        <f t="shared" ca="1" si="915"/>
        <v>263</v>
      </c>
      <c r="I2171" t="str">
        <f t="shared" si="916"/>
        <v>USD/CHF</v>
      </c>
      <c r="J2171">
        <f t="shared" si="917"/>
        <v>0.95</v>
      </c>
      <c r="K2171">
        <f t="shared" si="918"/>
        <v>0.97</v>
      </c>
      <c r="L2171">
        <f t="shared" si="919"/>
        <v>0.96</v>
      </c>
      <c r="M2171">
        <f t="shared" si="920"/>
        <v>1.0000000000000009E-2</v>
      </c>
      <c r="N2171">
        <f t="shared" si="899"/>
        <v>2.0000000000000018E-2</v>
      </c>
      <c r="O2171">
        <f t="shared" si="921"/>
        <v>0.96</v>
      </c>
      <c r="P2171">
        <f t="shared" si="922"/>
        <v>0</v>
      </c>
      <c r="Q2171" t="str">
        <f t="shared" si="900"/>
        <v>1.04% | 1.04%</v>
      </c>
      <c r="R2171" t="str">
        <f t="shared" si="923"/>
        <v>BEARISH</v>
      </c>
      <c r="S2171">
        <f t="shared" si="901"/>
        <v>-1</v>
      </c>
    </row>
    <row r="2172" spans="1:19" hidden="1" x14ac:dyDescent="0.25">
      <c r="A2172" s="5" t="str">
        <f t="shared" si="898"/>
        <v>43990WTIC</v>
      </c>
      <c r="B2172" s="6" t="s">
        <v>23</v>
      </c>
      <c r="C2172" s="6">
        <v>31.3</v>
      </c>
      <c r="D2172" s="6">
        <v>40.840000000000003</v>
      </c>
      <c r="E2172" s="6">
        <v>39.549999999999997</v>
      </c>
      <c r="F2172" t="str">
        <f t="shared" si="913"/>
        <v>MON</v>
      </c>
      <c r="G2172" s="3">
        <f t="shared" si="914"/>
        <v>43990</v>
      </c>
      <c r="H2172" s="2">
        <f t="shared" ca="1" si="915"/>
        <v>263</v>
      </c>
      <c r="I2172" t="str">
        <f t="shared" si="916"/>
        <v>WTIC</v>
      </c>
      <c r="J2172">
        <f t="shared" si="917"/>
        <v>31.3</v>
      </c>
      <c r="K2172">
        <f t="shared" si="918"/>
        <v>40.840000000000003</v>
      </c>
      <c r="L2172">
        <f t="shared" si="919"/>
        <v>36.07</v>
      </c>
      <c r="M2172">
        <f t="shared" si="920"/>
        <v>4.7700000000000191</v>
      </c>
      <c r="N2172">
        <f t="shared" si="899"/>
        <v>9.5400000000000027</v>
      </c>
      <c r="O2172">
        <f t="shared" si="921"/>
        <v>39.549999999999997</v>
      </c>
      <c r="P2172">
        <f t="shared" si="922"/>
        <v>0.72955974842766935</v>
      </c>
      <c r="Q2172" t="str">
        <f t="shared" si="900"/>
        <v>20.86% | 3.26%</v>
      </c>
      <c r="R2172" t="str">
        <f t="shared" si="923"/>
        <v>BEARISH</v>
      </c>
      <c r="S2172">
        <f t="shared" si="901"/>
        <v>-1</v>
      </c>
    </row>
    <row r="2173" spans="1:19" hidden="1" x14ac:dyDescent="0.25">
      <c r="A2173" s="5" t="str">
        <f t="shared" si="898"/>
        <v>43990NATGAS</v>
      </c>
      <c r="B2173" s="6" t="s">
        <v>24</v>
      </c>
      <c r="C2173" s="6">
        <v>1.7</v>
      </c>
      <c r="D2173" s="6">
        <v>1.94</v>
      </c>
      <c r="E2173" s="6">
        <v>1.78</v>
      </c>
      <c r="F2173" t="str">
        <f t="shared" si="913"/>
        <v>MON</v>
      </c>
      <c r="G2173" s="3">
        <f t="shared" si="914"/>
        <v>43990</v>
      </c>
      <c r="H2173" s="2">
        <f t="shared" ca="1" si="915"/>
        <v>263</v>
      </c>
      <c r="I2173" t="str">
        <f t="shared" si="916"/>
        <v>NATGAS</v>
      </c>
      <c r="J2173">
        <f t="shared" si="917"/>
        <v>1.7</v>
      </c>
      <c r="K2173">
        <f t="shared" si="918"/>
        <v>1.94</v>
      </c>
      <c r="L2173">
        <f t="shared" si="919"/>
        <v>1.8199999999999998</v>
      </c>
      <c r="M2173">
        <f t="shared" si="920"/>
        <v>0.12</v>
      </c>
      <c r="N2173">
        <f t="shared" si="899"/>
        <v>0.24</v>
      </c>
      <c r="O2173">
        <f t="shared" si="921"/>
        <v>1.78</v>
      </c>
      <c r="P2173">
        <f t="shared" si="922"/>
        <v>-0.33333333333333182</v>
      </c>
      <c r="Q2173" t="str">
        <f t="shared" si="900"/>
        <v>4.49% | 8.99%</v>
      </c>
      <c r="R2173" t="str">
        <f t="shared" si="923"/>
        <v>BEARISH</v>
      </c>
      <c r="S2173">
        <f t="shared" si="901"/>
        <v>-1</v>
      </c>
    </row>
    <row r="2174" spans="1:19" hidden="1" x14ac:dyDescent="0.25">
      <c r="A2174" s="5" t="str">
        <f t="shared" si="898"/>
        <v>43990GOLD</v>
      </c>
      <c r="B2174" s="6" t="s">
        <v>25</v>
      </c>
      <c r="C2174" s="6">
        <v>1671</v>
      </c>
      <c r="D2174" s="6">
        <v>1766</v>
      </c>
      <c r="E2174" s="6">
        <v>1683</v>
      </c>
      <c r="F2174" t="str">
        <f t="shared" si="913"/>
        <v>MON</v>
      </c>
      <c r="G2174" s="3">
        <f t="shared" si="914"/>
        <v>43990</v>
      </c>
      <c r="H2174" s="2">
        <f t="shared" ca="1" si="915"/>
        <v>263</v>
      </c>
      <c r="I2174" t="str">
        <f t="shared" si="916"/>
        <v>GOLD</v>
      </c>
      <c r="J2174">
        <f t="shared" si="917"/>
        <v>1671</v>
      </c>
      <c r="K2174">
        <f t="shared" si="918"/>
        <v>1766</v>
      </c>
      <c r="L2174">
        <f t="shared" si="919"/>
        <v>1718.5</v>
      </c>
      <c r="M2174">
        <f t="shared" si="920"/>
        <v>47.5</v>
      </c>
      <c r="N2174">
        <f t="shared" si="899"/>
        <v>95</v>
      </c>
      <c r="O2174">
        <f t="shared" si="921"/>
        <v>1683</v>
      </c>
      <c r="P2174">
        <f t="shared" si="922"/>
        <v>-0.74736842105263157</v>
      </c>
      <c r="Q2174" t="str">
        <f t="shared" si="900"/>
        <v>0.71% | 4.93%</v>
      </c>
      <c r="R2174" t="str">
        <f t="shared" si="923"/>
        <v>BULLISH</v>
      </c>
      <c r="S2174">
        <f t="shared" si="901"/>
        <v>1</v>
      </c>
    </row>
    <row r="2175" spans="1:19" hidden="1" x14ac:dyDescent="0.25">
      <c r="A2175" s="5" t="str">
        <f t="shared" si="898"/>
        <v>43990COPPER</v>
      </c>
      <c r="B2175" s="6" t="s">
        <v>26</v>
      </c>
      <c r="C2175" s="6">
        <v>2.36</v>
      </c>
      <c r="D2175" s="6">
        <v>2.58</v>
      </c>
      <c r="E2175" s="6">
        <v>2.56</v>
      </c>
      <c r="F2175" t="str">
        <f t="shared" si="913"/>
        <v>MON</v>
      </c>
      <c r="G2175" s="3">
        <f t="shared" si="914"/>
        <v>43990</v>
      </c>
      <c r="H2175" s="2">
        <f t="shared" ca="1" si="915"/>
        <v>263</v>
      </c>
      <c r="I2175" t="str">
        <f t="shared" si="916"/>
        <v>COPPER</v>
      </c>
      <c r="J2175">
        <f t="shared" si="917"/>
        <v>2.36</v>
      </c>
      <c r="K2175">
        <f t="shared" si="918"/>
        <v>2.58</v>
      </c>
      <c r="L2175">
        <f t="shared" si="919"/>
        <v>2.4699999999999998</v>
      </c>
      <c r="M2175">
        <f t="shared" si="920"/>
        <v>0.1100000000000001</v>
      </c>
      <c r="N2175">
        <f t="shared" si="899"/>
        <v>0.2200000000000002</v>
      </c>
      <c r="O2175">
        <f t="shared" si="921"/>
        <v>2.56</v>
      </c>
      <c r="P2175">
        <f t="shared" si="922"/>
        <v>0.81818181818182023</v>
      </c>
      <c r="Q2175" t="str">
        <f t="shared" si="900"/>
        <v>7.81% | 0.78%</v>
      </c>
      <c r="R2175" t="str">
        <f t="shared" si="923"/>
        <v>BEARISH</v>
      </c>
      <c r="S2175">
        <f t="shared" si="901"/>
        <v>-1</v>
      </c>
    </row>
    <row r="2176" spans="1:19" hidden="1" x14ac:dyDescent="0.25">
      <c r="A2176" s="5" t="str">
        <f t="shared" si="898"/>
        <v>43990MSFT</v>
      </c>
      <c r="B2176" s="6" t="s">
        <v>27</v>
      </c>
      <c r="C2176" s="6">
        <v>179</v>
      </c>
      <c r="D2176" s="6">
        <v>188</v>
      </c>
      <c r="E2176" s="6">
        <v>187</v>
      </c>
      <c r="F2176" t="str">
        <f t="shared" si="913"/>
        <v>MON</v>
      </c>
      <c r="G2176" s="3">
        <f t="shared" si="914"/>
        <v>43990</v>
      </c>
      <c r="H2176" s="2">
        <f t="shared" ca="1" si="915"/>
        <v>263</v>
      </c>
      <c r="I2176" t="str">
        <f t="shared" si="916"/>
        <v>MSFT</v>
      </c>
      <c r="J2176">
        <f t="shared" si="917"/>
        <v>179</v>
      </c>
      <c r="K2176">
        <f t="shared" si="918"/>
        <v>188</v>
      </c>
      <c r="L2176">
        <f t="shared" si="919"/>
        <v>183.5</v>
      </c>
      <c r="M2176">
        <f t="shared" si="920"/>
        <v>4.5</v>
      </c>
      <c r="N2176">
        <f t="shared" si="899"/>
        <v>9</v>
      </c>
      <c r="O2176">
        <f t="shared" si="921"/>
        <v>187</v>
      </c>
      <c r="P2176">
        <f t="shared" si="922"/>
        <v>0.77777777777777779</v>
      </c>
      <c r="Q2176" t="str">
        <f t="shared" si="900"/>
        <v>4.28% | 0.53%</v>
      </c>
      <c r="R2176" t="str">
        <f t="shared" si="923"/>
        <v>BULLISH</v>
      </c>
      <c r="S2176">
        <f t="shared" si="901"/>
        <v>1</v>
      </c>
    </row>
    <row r="2177" spans="1:19" hidden="1" x14ac:dyDescent="0.25">
      <c r="A2177" s="5" t="str">
        <f t="shared" si="898"/>
        <v>43990AAPL</v>
      </c>
      <c r="B2177" s="6" t="s">
        <v>28</v>
      </c>
      <c r="C2177" s="6">
        <v>313</v>
      </c>
      <c r="D2177" s="6">
        <v>333</v>
      </c>
      <c r="E2177" s="6">
        <v>331</v>
      </c>
      <c r="F2177" t="str">
        <f t="shared" si="913"/>
        <v>MON</v>
      </c>
      <c r="G2177" s="3">
        <f t="shared" si="914"/>
        <v>43990</v>
      </c>
      <c r="H2177" s="2">
        <f t="shared" ca="1" si="915"/>
        <v>263</v>
      </c>
      <c r="I2177" t="str">
        <f t="shared" si="916"/>
        <v>AAPL</v>
      </c>
      <c r="J2177">
        <f t="shared" si="917"/>
        <v>313</v>
      </c>
      <c r="K2177">
        <f t="shared" si="918"/>
        <v>333</v>
      </c>
      <c r="L2177">
        <f t="shared" si="919"/>
        <v>323</v>
      </c>
      <c r="M2177">
        <f t="shared" si="920"/>
        <v>10</v>
      </c>
      <c r="N2177">
        <f t="shared" si="899"/>
        <v>20</v>
      </c>
      <c r="O2177">
        <f t="shared" si="921"/>
        <v>331</v>
      </c>
      <c r="P2177">
        <f t="shared" si="922"/>
        <v>0.8</v>
      </c>
      <c r="Q2177" t="str">
        <f t="shared" si="900"/>
        <v>5.44% | 0.6%</v>
      </c>
      <c r="R2177" t="str">
        <f t="shared" si="923"/>
        <v>BULLISH</v>
      </c>
      <c r="S2177">
        <f t="shared" si="901"/>
        <v>1</v>
      </c>
    </row>
    <row r="2178" spans="1:19" hidden="1" x14ac:dyDescent="0.25">
      <c r="A2178" s="5" t="str">
        <f t="shared" si="898"/>
        <v>43990AMZN</v>
      </c>
      <c r="B2178" s="6" t="s">
        <v>29</v>
      </c>
      <c r="C2178" s="6">
        <v>2391</v>
      </c>
      <c r="D2178" s="6">
        <v>2517</v>
      </c>
      <c r="E2178" s="6">
        <v>2483</v>
      </c>
      <c r="F2178" t="str">
        <f t="shared" si="913"/>
        <v>MON</v>
      </c>
      <c r="G2178" s="3">
        <f t="shared" si="914"/>
        <v>43990</v>
      </c>
      <c r="H2178" s="2">
        <f t="shared" ca="1" si="915"/>
        <v>263</v>
      </c>
      <c r="I2178" t="str">
        <f t="shared" si="916"/>
        <v>AMZN</v>
      </c>
      <c r="J2178">
        <f t="shared" si="917"/>
        <v>2391</v>
      </c>
      <c r="K2178">
        <f t="shared" si="918"/>
        <v>2517</v>
      </c>
      <c r="L2178">
        <f t="shared" si="919"/>
        <v>2454</v>
      </c>
      <c r="M2178">
        <f t="shared" si="920"/>
        <v>63</v>
      </c>
      <c r="N2178">
        <f t="shared" si="899"/>
        <v>126</v>
      </c>
      <c r="O2178">
        <f t="shared" si="921"/>
        <v>2483</v>
      </c>
      <c r="P2178">
        <f t="shared" si="922"/>
        <v>0.46031746031746029</v>
      </c>
      <c r="Q2178" t="str">
        <f t="shared" si="900"/>
        <v>3.71% | 1.37%</v>
      </c>
      <c r="R2178" t="str">
        <f t="shared" si="923"/>
        <v>BULLISH</v>
      </c>
      <c r="S2178">
        <f t="shared" si="901"/>
        <v>1</v>
      </c>
    </row>
    <row r="2179" spans="1:19" hidden="1" x14ac:dyDescent="0.25">
      <c r="A2179" s="5" t="str">
        <f t="shared" ref="A2179:A2242" si="924">G2179&amp;I2179</f>
        <v>43990FB</v>
      </c>
      <c r="B2179" s="6" t="s">
        <v>30</v>
      </c>
      <c r="C2179" s="6">
        <v>220</v>
      </c>
      <c r="D2179" s="6">
        <v>236</v>
      </c>
      <c r="E2179" s="6">
        <v>230</v>
      </c>
      <c r="F2179" t="str">
        <f t="shared" si="913"/>
        <v>MON</v>
      </c>
      <c r="G2179" s="3">
        <f t="shared" si="914"/>
        <v>43990</v>
      </c>
      <c r="H2179" s="2">
        <f t="shared" ca="1" si="915"/>
        <v>263</v>
      </c>
      <c r="I2179" t="str">
        <f t="shared" si="916"/>
        <v>FB</v>
      </c>
      <c r="J2179">
        <f t="shared" si="917"/>
        <v>220</v>
      </c>
      <c r="K2179">
        <f t="shared" si="918"/>
        <v>236</v>
      </c>
      <c r="L2179">
        <f t="shared" si="919"/>
        <v>228</v>
      </c>
      <c r="M2179">
        <f t="shared" si="920"/>
        <v>8</v>
      </c>
      <c r="N2179">
        <f t="shared" ref="N2179:N2242" si="925">ABS(K2179-J2179)</f>
        <v>16</v>
      </c>
      <c r="O2179">
        <f t="shared" si="921"/>
        <v>230</v>
      </c>
      <c r="P2179">
        <f t="shared" si="922"/>
        <v>0.25</v>
      </c>
      <c r="Q2179" t="str">
        <f t="shared" ref="Q2179:Q2242" si="926">ROUND(ABS(100*(O2179-J2179)/O2179),2)&amp;"% | "&amp;ROUND(ABS(100*(K2179-O2179)/O2179),2)&amp;"%"</f>
        <v>4.35% | 2.61%</v>
      </c>
      <c r="R2179" t="str">
        <f t="shared" si="923"/>
        <v>BULLISH</v>
      </c>
      <c r="S2179">
        <f t="shared" ref="S2179:S2242" si="927">IF(R2179="BEARISH",-1,IF(R2179="NEUTRAL",0,IF(R2179="BULLISH",1,99)))</f>
        <v>1</v>
      </c>
    </row>
    <row r="2180" spans="1:19" hidden="1" x14ac:dyDescent="0.25">
      <c r="A2180" s="5" t="str">
        <f t="shared" si="924"/>
        <v>43990GOOGL</v>
      </c>
      <c r="B2180" s="6" t="s">
        <v>31</v>
      </c>
      <c r="C2180" s="6">
        <v>1399</v>
      </c>
      <c r="D2180" s="6">
        <v>1455</v>
      </c>
      <c r="E2180" s="6">
        <v>1440</v>
      </c>
      <c r="F2180" t="str">
        <f t="shared" si="913"/>
        <v>MON</v>
      </c>
      <c r="G2180" s="3">
        <f t="shared" si="914"/>
        <v>43990</v>
      </c>
      <c r="H2180" s="2">
        <f t="shared" ca="1" si="915"/>
        <v>263</v>
      </c>
      <c r="I2180" t="str">
        <f t="shared" si="916"/>
        <v>GOOGL</v>
      </c>
      <c r="J2180">
        <f t="shared" si="917"/>
        <v>1399</v>
      </c>
      <c r="K2180">
        <f t="shared" si="918"/>
        <v>1455</v>
      </c>
      <c r="L2180">
        <f t="shared" si="919"/>
        <v>1427</v>
      </c>
      <c r="M2180">
        <f t="shared" si="920"/>
        <v>28</v>
      </c>
      <c r="N2180">
        <f t="shared" si="925"/>
        <v>56</v>
      </c>
      <c r="O2180">
        <f t="shared" si="921"/>
        <v>1440</v>
      </c>
      <c r="P2180">
        <f t="shared" si="922"/>
        <v>0.4642857142857143</v>
      </c>
      <c r="Q2180" t="str">
        <f t="shared" si="926"/>
        <v>2.85% | 1.04%</v>
      </c>
      <c r="R2180" t="str">
        <f t="shared" si="923"/>
        <v>BULLISH</v>
      </c>
      <c r="S2180">
        <f t="shared" si="927"/>
        <v>1</v>
      </c>
    </row>
    <row r="2181" spans="1:19" hidden="1" x14ac:dyDescent="0.25">
      <c r="A2181" s="5" t="str">
        <f t="shared" si="924"/>
        <v>43990NFLX</v>
      </c>
      <c r="B2181" s="6" t="s">
        <v>32</v>
      </c>
      <c r="C2181" s="6">
        <v>401</v>
      </c>
      <c r="D2181" s="6">
        <v>432</v>
      </c>
      <c r="E2181" s="6">
        <v>419</v>
      </c>
      <c r="F2181" t="str">
        <f t="shared" si="913"/>
        <v>MON</v>
      </c>
      <c r="G2181" s="3">
        <f t="shared" si="914"/>
        <v>43990</v>
      </c>
      <c r="H2181" s="2">
        <f t="shared" ca="1" si="915"/>
        <v>263</v>
      </c>
      <c r="I2181" t="str">
        <f t="shared" si="916"/>
        <v>NFLX</v>
      </c>
      <c r="J2181">
        <f t="shared" si="917"/>
        <v>401</v>
      </c>
      <c r="K2181">
        <f t="shared" si="918"/>
        <v>432</v>
      </c>
      <c r="L2181">
        <f t="shared" si="919"/>
        <v>416.5</v>
      </c>
      <c r="M2181">
        <f t="shared" si="920"/>
        <v>15.5</v>
      </c>
      <c r="N2181">
        <f t="shared" si="925"/>
        <v>31</v>
      </c>
      <c r="O2181">
        <f t="shared" si="921"/>
        <v>419</v>
      </c>
      <c r="P2181">
        <f t="shared" si="922"/>
        <v>0.16129032258064516</v>
      </c>
      <c r="Q2181" t="str">
        <f t="shared" si="926"/>
        <v>4.3% | 3.1%</v>
      </c>
      <c r="R2181" t="str">
        <f t="shared" si="923"/>
        <v>BULLISH</v>
      </c>
      <c r="S2181">
        <f t="shared" si="927"/>
        <v>1</v>
      </c>
    </row>
    <row r="2182" spans="1:19" x14ac:dyDescent="0.25">
      <c r="A2182" s="5" t="str">
        <f t="shared" si="924"/>
        <v>43990TSLA</v>
      </c>
      <c r="B2182" s="6" t="s">
        <v>33</v>
      </c>
      <c r="C2182" s="6">
        <v>781</v>
      </c>
      <c r="D2182" s="6">
        <v>922</v>
      </c>
      <c r="E2182" s="6">
        <v>885</v>
      </c>
      <c r="F2182" t="str">
        <f t="shared" si="913"/>
        <v>MON</v>
      </c>
      <c r="G2182" s="3">
        <f t="shared" si="914"/>
        <v>43990</v>
      </c>
      <c r="H2182" s="2">
        <f t="shared" ca="1" si="915"/>
        <v>263</v>
      </c>
      <c r="I2182" t="str">
        <f t="shared" si="916"/>
        <v>TSLA</v>
      </c>
      <c r="J2182">
        <f t="shared" si="917"/>
        <v>781</v>
      </c>
      <c r="K2182">
        <f t="shared" si="918"/>
        <v>922</v>
      </c>
      <c r="L2182">
        <f t="shared" si="919"/>
        <v>851.5</v>
      </c>
      <c r="M2182">
        <f t="shared" si="920"/>
        <v>70.5</v>
      </c>
      <c r="N2182">
        <f t="shared" si="925"/>
        <v>141</v>
      </c>
      <c r="O2182">
        <f t="shared" si="921"/>
        <v>885</v>
      </c>
      <c r="P2182">
        <f t="shared" si="922"/>
        <v>0.47517730496453903</v>
      </c>
      <c r="Q2182" t="str">
        <f t="shared" si="926"/>
        <v>11.75% | 4.18%</v>
      </c>
      <c r="R2182" t="str">
        <f t="shared" si="923"/>
        <v>BULLISH</v>
      </c>
      <c r="S2182">
        <f t="shared" si="927"/>
        <v>1</v>
      </c>
    </row>
    <row r="2183" spans="1:19" hidden="1" x14ac:dyDescent="0.25">
      <c r="A2183" s="5" t="str">
        <f t="shared" si="924"/>
        <v>43990NYXBT</v>
      </c>
      <c r="B2183" s="6" t="s">
        <v>34</v>
      </c>
      <c r="C2183" s="6">
        <v>8870</v>
      </c>
      <c r="D2183" s="6">
        <v>10120</v>
      </c>
      <c r="E2183" s="6">
        <v>9701</v>
      </c>
      <c r="F2183" t="str">
        <f t="shared" si="913"/>
        <v>MON</v>
      </c>
      <c r="G2183" s="3">
        <f t="shared" si="914"/>
        <v>43990</v>
      </c>
      <c r="H2183" s="2">
        <f t="shared" ca="1" si="915"/>
        <v>263</v>
      </c>
      <c r="I2183" t="str">
        <f t="shared" si="916"/>
        <v>NYXBT</v>
      </c>
      <c r="J2183">
        <f t="shared" si="917"/>
        <v>8870</v>
      </c>
      <c r="K2183">
        <f t="shared" si="918"/>
        <v>10120</v>
      </c>
      <c r="L2183">
        <f t="shared" si="919"/>
        <v>9495</v>
      </c>
      <c r="M2183">
        <f t="shared" si="920"/>
        <v>625</v>
      </c>
      <c r="N2183">
        <f t="shared" si="925"/>
        <v>1250</v>
      </c>
      <c r="O2183">
        <f t="shared" si="921"/>
        <v>9701</v>
      </c>
      <c r="P2183">
        <f t="shared" si="922"/>
        <v>0.3296</v>
      </c>
      <c r="Q2183" t="str">
        <f t="shared" si="926"/>
        <v>8.57% | 4.32%</v>
      </c>
      <c r="R2183" t="str">
        <f t="shared" si="923"/>
        <v>BULLISH</v>
      </c>
      <c r="S2183">
        <f t="shared" si="927"/>
        <v>1</v>
      </c>
    </row>
    <row r="2184" spans="1:19" hidden="1" x14ac:dyDescent="0.25">
      <c r="A2184" s="5" t="str">
        <f t="shared" si="924"/>
        <v>43991UST10Y</v>
      </c>
      <c r="B2184" s="6" t="s">
        <v>4</v>
      </c>
      <c r="C2184" s="6">
        <v>0.92</v>
      </c>
      <c r="D2184" s="6">
        <v>0.55000000000000004</v>
      </c>
      <c r="E2184" s="6">
        <v>0.88</v>
      </c>
      <c r="F2184" t="str">
        <f t="shared" si="913"/>
        <v>TUE</v>
      </c>
      <c r="G2184" s="1">
        <f>DATE(2020,6,9)</f>
        <v>43991</v>
      </c>
      <c r="H2184" s="2">
        <f t="shared" ca="1" si="915"/>
        <v>262</v>
      </c>
      <c r="I2184" t="str">
        <f t="shared" si="916"/>
        <v>UST10Y</v>
      </c>
      <c r="J2184">
        <f t="shared" si="917"/>
        <v>0.92</v>
      </c>
      <c r="K2184">
        <f t="shared" si="918"/>
        <v>0.55000000000000004</v>
      </c>
      <c r="L2184">
        <f t="shared" si="919"/>
        <v>0.7350000000000001</v>
      </c>
      <c r="M2184">
        <f t="shared" si="920"/>
        <v>0.18499999999999955</v>
      </c>
      <c r="N2184">
        <f t="shared" si="925"/>
        <v>0.37</v>
      </c>
      <c r="O2184">
        <f t="shared" si="921"/>
        <v>0.88</v>
      </c>
      <c r="P2184">
        <f t="shared" si="922"/>
        <v>0.78378378378378522</v>
      </c>
      <c r="Q2184" t="str">
        <f t="shared" si="926"/>
        <v>4.55% | 37.5%</v>
      </c>
      <c r="R2184" t="str">
        <f t="shared" si="923"/>
        <v>BEARISH</v>
      </c>
      <c r="S2184">
        <f t="shared" si="927"/>
        <v>-1</v>
      </c>
    </row>
    <row r="2185" spans="1:19" hidden="1" x14ac:dyDescent="0.25">
      <c r="A2185" s="5" t="str">
        <f t="shared" si="924"/>
        <v>43991UST2Y</v>
      </c>
      <c r="B2185" s="6" t="s">
        <v>5</v>
      </c>
      <c r="C2185" s="6">
        <v>0.23</v>
      </c>
      <c r="D2185" s="6">
        <v>0.12</v>
      </c>
      <c r="E2185" s="6">
        <v>0.22</v>
      </c>
      <c r="F2185" t="str">
        <f t="shared" ref="F2185:F2215" si="928">UPPER(TEXT(G2185,"ddd"))</f>
        <v>TUE</v>
      </c>
      <c r="G2185" s="1">
        <f t="shared" ref="G2185:G2214" si="929">DATE(2020,6,9)</f>
        <v>43991</v>
      </c>
      <c r="H2185" s="2">
        <f t="shared" ref="H2185:H2215" ca="1" si="930">TODAY()-G2185</f>
        <v>262</v>
      </c>
      <c r="I2185" t="str">
        <f t="shared" ref="I2185:I2215" si="931">TRIM(LEFT(B2185,FIND(" ",B2185,1)))</f>
        <v>UST2Y</v>
      </c>
      <c r="J2185">
        <f t="shared" ref="J2185:J2215" si="932">C2185</f>
        <v>0.23</v>
      </c>
      <c r="K2185">
        <f t="shared" ref="K2185:K2215" si="933">D2185</f>
        <v>0.12</v>
      </c>
      <c r="L2185">
        <f t="shared" ref="L2185:L2215" si="934">AVERAGE(J2185:K2185)</f>
        <v>0.17499999999999999</v>
      </c>
      <c r="M2185">
        <f t="shared" ref="M2185:M2215" si="935">_xlfn.STDEV.P(J2185:K2185)</f>
        <v>5.5000000000000028E-2</v>
      </c>
      <c r="N2185">
        <f t="shared" si="925"/>
        <v>0.11000000000000001</v>
      </c>
      <c r="O2185">
        <f t="shared" ref="O2185:O2215" si="936">E2185</f>
        <v>0.22</v>
      </c>
      <c r="P2185">
        <f t="shared" ref="P2185:P2215" si="937">(O2185-L2185)/M2185</f>
        <v>0.81818181818181801</v>
      </c>
      <c r="Q2185" t="str">
        <f t="shared" si="926"/>
        <v>4.55% | 45.45%</v>
      </c>
      <c r="R2185" t="str">
        <f t="shared" ref="R2185:R2215" si="938">MID(B2185,FIND("(",B2185,1)+1,FIND(")",B2185,1)-FIND("(",B2185,1)-1)</f>
        <v>BEARISH</v>
      </c>
      <c r="S2185">
        <f t="shared" si="927"/>
        <v>-1</v>
      </c>
    </row>
    <row r="2186" spans="1:19" hidden="1" x14ac:dyDescent="0.25">
      <c r="A2186" s="5" t="str">
        <f t="shared" si="924"/>
        <v>43991SPX</v>
      </c>
      <c r="B2186" s="6" t="s">
        <v>93</v>
      </c>
      <c r="C2186" s="6">
        <v>2964</v>
      </c>
      <c r="D2186" s="6">
        <v>3239</v>
      </c>
      <c r="E2186" s="6">
        <v>3232</v>
      </c>
      <c r="F2186" t="str">
        <f t="shared" si="928"/>
        <v>TUE</v>
      </c>
      <c r="G2186" s="1">
        <f t="shared" si="929"/>
        <v>43991</v>
      </c>
      <c r="H2186" s="2">
        <f t="shared" ca="1" si="930"/>
        <v>262</v>
      </c>
      <c r="I2186" t="str">
        <f t="shared" si="931"/>
        <v>SPX</v>
      </c>
      <c r="J2186">
        <f t="shared" si="932"/>
        <v>2964</v>
      </c>
      <c r="K2186">
        <f t="shared" si="933"/>
        <v>3239</v>
      </c>
      <c r="L2186">
        <f t="shared" si="934"/>
        <v>3101.5</v>
      </c>
      <c r="M2186">
        <f t="shared" si="935"/>
        <v>137.5</v>
      </c>
      <c r="N2186">
        <f t="shared" si="925"/>
        <v>275</v>
      </c>
      <c r="O2186">
        <f t="shared" si="936"/>
        <v>3232</v>
      </c>
      <c r="P2186">
        <f t="shared" si="937"/>
        <v>0.9490909090909091</v>
      </c>
      <c r="Q2186" t="str">
        <f t="shared" si="926"/>
        <v>8.29% | 0.22%</v>
      </c>
      <c r="R2186" t="str">
        <f t="shared" si="938"/>
        <v>BULLISH</v>
      </c>
      <c r="S2186">
        <f t="shared" si="927"/>
        <v>1</v>
      </c>
    </row>
    <row r="2187" spans="1:19" hidden="1" x14ac:dyDescent="0.25">
      <c r="A2187" s="5" t="str">
        <f t="shared" si="924"/>
        <v>43991RUT</v>
      </c>
      <c r="B2187" s="6" t="s">
        <v>7</v>
      </c>
      <c r="C2187" s="6">
        <v>1355</v>
      </c>
      <c r="D2187" s="6">
        <v>1544</v>
      </c>
      <c r="E2187" s="6">
        <v>1536</v>
      </c>
      <c r="F2187" t="str">
        <f t="shared" si="928"/>
        <v>TUE</v>
      </c>
      <c r="G2187" s="1">
        <f t="shared" si="929"/>
        <v>43991</v>
      </c>
      <c r="H2187" s="2">
        <f t="shared" ca="1" si="930"/>
        <v>262</v>
      </c>
      <c r="I2187" t="str">
        <f t="shared" si="931"/>
        <v>RUT</v>
      </c>
      <c r="J2187">
        <f t="shared" si="932"/>
        <v>1355</v>
      </c>
      <c r="K2187">
        <f t="shared" si="933"/>
        <v>1544</v>
      </c>
      <c r="L2187">
        <f t="shared" si="934"/>
        <v>1449.5</v>
      </c>
      <c r="M2187">
        <f t="shared" si="935"/>
        <v>94.5</v>
      </c>
      <c r="N2187">
        <f t="shared" si="925"/>
        <v>189</v>
      </c>
      <c r="O2187">
        <f t="shared" si="936"/>
        <v>1536</v>
      </c>
      <c r="P2187">
        <f t="shared" si="937"/>
        <v>0.91534391534391535</v>
      </c>
      <c r="Q2187" t="str">
        <f t="shared" si="926"/>
        <v>11.78% | 0.52%</v>
      </c>
      <c r="R2187" t="str">
        <f t="shared" si="938"/>
        <v>BEARISH</v>
      </c>
      <c r="S2187">
        <f t="shared" si="927"/>
        <v>-1</v>
      </c>
    </row>
    <row r="2188" spans="1:19" hidden="1" x14ac:dyDescent="0.25">
      <c r="A2188" s="5" t="str">
        <f t="shared" si="924"/>
        <v>43991COMPQ</v>
      </c>
      <c r="B2188" s="6" t="s">
        <v>8</v>
      </c>
      <c r="C2188" s="6">
        <v>9259</v>
      </c>
      <c r="D2188" s="6">
        <v>9958</v>
      </c>
      <c r="E2188" s="6">
        <v>9924</v>
      </c>
      <c r="F2188" t="str">
        <f t="shared" si="928"/>
        <v>TUE</v>
      </c>
      <c r="G2188" s="1">
        <f t="shared" si="929"/>
        <v>43991</v>
      </c>
      <c r="H2188" s="2">
        <f t="shared" ca="1" si="930"/>
        <v>262</v>
      </c>
      <c r="I2188" t="str">
        <f t="shared" si="931"/>
        <v>COMPQ</v>
      </c>
      <c r="J2188">
        <f t="shared" si="932"/>
        <v>9259</v>
      </c>
      <c r="K2188">
        <f t="shared" si="933"/>
        <v>9958</v>
      </c>
      <c r="L2188">
        <f t="shared" si="934"/>
        <v>9608.5</v>
      </c>
      <c r="M2188">
        <f t="shared" si="935"/>
        <v>349.5</v>
      </c>
      <c r="N2188">
        <f t="shared" si="925"/>
        <v>699</v>
      </c>
      <c r="O2188">
        <f t="shared" si="936"/>
        <v>9924</v>
      </c>
      <c r="P2188">
        <f t="shared" si="937"/>
        <v>0.90271816881258937</v>
      </c>
      <c r="Q2188" t="str">
        <f t="shared" si="926"/>
        <v>6.7% | 0.34%</v>
      </c>
      <c r="R2188" t="str">
        <f t="shared" si="938"/>
        <v>BULLISH</v>
      </c>
      <c r="S2188">
        <f t="shared" si="927"/>
        <v>1</v>
      </c>
    </row>
    <row r="2189" spans="1:19" hidden="1" x14ac:dyDescent="0.25">
      <c r="A2189" s="5" t="str">
        <f t="shared" si="924"/>
        <v>43991XLV</v>
      </c>
      <c r="B2189" s="6" t="s">
        <v>9</v>
      </c>
      <c r="C2189" s="6">
        <v>99.6</v>
      </c>
      <c r="D2189" s="6">
        <v>104.33</v>
      </c>
      <c r="E2189" s="6">
        <v>103.92</v>
      </c>
      <c r="F2189" t="str">
        <f t="shared" si="928"/>
        <v>TUE</v>
      </c>
      <c r="G2189" s="1">
        <f t="shared" si="929"/>
        <v>43991</v>
      </c>
      <c r="H2189" s="2">
        <f t="shared" ca="1" si="930"/>
        <v>262</v>
      </c>
      <c r="I2189" t="str">
        <f t="shared" si="931"/>
        <v>XLV</v>
      </c>
      <c r="J2189">
        <f t="shared" si="932"/>
        <v>99.6</v>
      </c>
      <c r="K2189">
        <f t="shared" si="933"/>
        <v>104.33</v>
      </c>
      <c r="L2189">
        <f t="shared" si="934"/>
        <v>101.965</v>
      </c>
      <c r="M2189">
        <f t="shared" si="935"/>
        <v>2.365000000000002</v>
      </c>
      <c r="N2189">
        <f t="shared" si="925"/>
        <v>4.730000000000004</v>
      </c>
      <c r="O2189">
        <f t="shared" si="936"/>
        <v>103.92</v>
      </c>
      <c r="P2189">
        <f t="shared" si="937"/>
        <v>0.82663847780126709</v>
      </c>
      <c r="Q2189" t="str">
        <f t="shared" si="926"/>
        <v>4.16% | 0.39%</v>
      </c>
      <c r="R2189" t="str">
        <f t="shared" si="938"/>
        <v>BULLISH</v>
      </c>
      <c r="S2189">
        <f t="shared" si="927"/>
        <v>1</v>
      </c>
    </row>
    <row r="2190" spans="1:19" hidden="1" x14ac:dyDescent="0.25">
      <c r="A2190" s="5" t="str">
        <f t="shared" si="924"/>
        <v>43991XLK</v>
      </c>
      <c r="B2190" s="6" t="s">
        <v>10</v>
      </c>
      <c r="C2190" s="6">
        <v>95.62</v>
      </c>
      <c r="D2190" s="6">
        <v>102.33</v>
      </c>
      <c r="E2190" s="6">
        <v>101.92</v>
      </c>
      <c r="F2190" t="str">
        <f t="shared" si="928"/>
        <v>TUE</v>
      </c>
      <c r="G2190" s="1">
        <f t="shared" si="929"/>
        <v>43991</v>
      </c>
      <c r="H2190" s="2">
        <f t="shared" ca="1" si="930"/>
        <v>262</v>
      </c>
      <c r="I2190" t="str">
        <f t="shared" si="931"/>
        <v>XLK</v>
      </c>
      <c r="J2190">
        <f t="shared" si="932"/>
        <v>95.62</v>
      </c>
      <c r="K2190">
        <f t="shared" si="933"/>
        <v>102.33</v>
      </c>
      <c r="L2190">
        <f t="shared" si="934"/>
        <v>98.974999999999994</v>
      </c>
      <c r="M2190">
        <f t="shared" si="935"/>
        <v>3.3549999999999969</v>
      </c>
      <c r="N2190">
        <f t="shared" si="925"/>
        <v>6.7099999999999937</v>
      </c>
      <c r="O2190">
        <f t="shared" si="936"/>
        <v>101.92</v>
      </c>
      <c r="P2190">
        <f t="shared" si="937"/>
        <v>0.87779433681073327</v>
      </c>
      <c r="Q2190" t="str">
        <f t="shared" si="926"/>
        <v>6.18% | 0.4%</v>
      </c>
      <c r="R2190" t="str">
        <f t="shared" si="938"/>
        <v>BULLISH</v>
      </c>
      <c r="S2190">
        <f t="shared" si="927"/>
        <v>1</v>
      </c>
    </row>
    <row r="2191" spans="1:19" hidden="1" x14ac:dyDescent="0.25">
      <c r="A2191" s="5" t="str">
        <f t="shared" si="924"/>
        <v>43991XLU</v>
      </c>
      <c r="B2191" s="6" t="s">
        <v>52</v>
      </c>
      <c r="C2191" s="6">
        <v>57.07</v>
      </c>
      <c r="D2191" s="6">
        <v>63.32</v>
      </c>
      <c r="E2191" s="6">
        <v>62.83</v>
      </c>
      <c r="F2191" t="str">
        <f t="shared" si="928"/>
        <v>TUE</v>
      </c>
      <c r="G2191" s="1">
        <f t="shared" si="929"/>
        <v>43991</v>
      </c>
      <c r="H2191" s="2">
        <f t="shared" ca="1" si="930"/>
        <v>262</v>
      </c>
      <c r="I2191" t="str">
        <f t="shared" si="931"/>
        <v>XLU</v>
      </c>
      <c r="J2191">
        <f t="shared" si="932"/>
        <v>57.07</v>
      </c>
      <c r="K2191">
        <f t="shared" si="933"/>
        <v>63.32</v>
      </c>
      <c r="L2191">
        <f t="shared" si="934"/>
        <v>60.195</v>
      </c>
      <c r="M2191">
        <f t="shared" si="935"/>
        <v>3.125</v>
      </c>
      <c r="N2191">
        <f t="shared" si="925"/>
        <v>6.25</v>
      </c>
      <c r="O2191">
        <f t="shared" si="936"/>
        <v>62.83</v>
      </c>
      <c r="P2191">
        <f t="shared" si="937"/>
        <v>0.84319999999999939</v>
      </c>
      <c r="Q2191" t="str">
        <f t="shared" si="926"/>
        <v>9.17% | 0.78%</v>
      </c>
      <c r="R2191" t="str">
        <f t="shared" si="938"/>
        <v>BULLISH</v>
      </c>
      <c r="S2191">
        <f t="shared" si="927"/>
        <v>1</v>
      </c>
    </row>
    <row r="2192" spans="1:19" hidden="1" x14ac:dyDescent="0.25">
      <c r="A2192" s="5" t="str">
        <f t="shared" si="924"/>
        <v>43991XLF</v>
      </c>
      <c r="B2192" s="6" t="s">
        <v>12</v>
      </c>
      <c r="C2192" s="6">
        <v>22.31</v>
      </c>
      <c r="D2192" s="6">
        <v>26.93</v>
      </c>
      <c r="E2192" s="6">
        <v>26.74</v>
      </c>
      <c r="F2192" t="str">
        <f t="shared" si="928"/>
        <v>TUE</v>
      </c>
      <c r="G2192" s="1">
        <f t="shared" si="929"/>
        <v>43991</v>
      </c>
      <c r="H2192" s="2">
        <f t="shared" ca="1" si="930"/>
        <v>262</v>
      </c>
      <c r="I2192" t="str">
        <f t="shared" si="931"/>
        <v>XLF</v>
      </c>
      <c r="J2192">
        <f t="shared" si="932"/>
        <v>22.31</v>
      </c>
      <c r="K2192">
        <f t="shared" si="933"/>
        <v>26.93</v>
      </c>
      <c r="L2192">
        <f t="shared" si="934"/>
        <v>24.619999999999997</v>
      </c>
      <c r="M2192">
        <f t="shared" si="935"/>
        <v>2.3100000000000005</v>
      </c>
      <c r="N2192">
        <f t="shared" si="925"/>
        <v>4.620000000000001</v>
      </c>
      <c r="O2192">
        <f t="shared" si="936"/>
        <v>26.74</v>
      </c>
      <c r="P2192">
        <f t="shared" si="937"/>
        <v>0.91774891774891798</v>
      </c>
      <c r="Q2192" t="str">
        <f t="shared" si="926"/>
        <v>16.57% | 0.71%</v>
      </c>
      <c r="R2192" t="str">
        <f t="shared" si="938"/>
        <v>BEARISH</v>
      </c>
      <c r="S2192">
        <f t="shared" si="927"/>
        <v>-1</v>
      </c>
    </row>
    <row r="2193" spans="1:19" hidden="1" x14ac:dyDescent="0.25">
      <c r="A2193" s="5" t="str">
        <f t="shared" si="924"/>
        <v>43991XLRE</v>
      </c>
      <c r="B2193" s="6" t="s">
        <v>97</v>
      </c>
      <c r="C2193" s="6">
        <v>33.5</v>
      </c>
      <c r="D2193" s="6">
        <v>37.979999999999997</v>
      </c>
      <c r="E2193" s="6">
        <v>37.86</v>
      </c>
      <c r="F2193" t="str">
        <f t="shared" si="928"/>
        <v>TUE</v>
      </c>
      <c r="G2193" s="1">
        <f t="shared" si="929"/>
        <v>43991</v>
      </c>
      <c r="H2193" s="2">
        <f t="shared" ca="1" si="930"/>
        <v>262</v>
      </c>
      <c r="I2193" t="str">
        <f t="shared" si="931"/>
        <v>XLRE</v>
      </c>
      <c r="J2193">
        <f t="shared" si="932"/>
        <v>33.5</v>
      </c>
      <c r="K2193">
        <f t="shared" si="933"/>
        <v>37.979999999999997</v>
      </c>
      <c r="L2193">
        <f t="shared" si="934"/>
        <v>35.739999999999995</v>
      </c>
      <c r="M2193">
        <f t="shared" si="935"/>
        <v>2.2399999999999984</v>
      </c>
      <c r="N2193">
        <f t="shared" si="925"/>
        <v>4.4799999999999969</v>
      </c>
      <c r="O2193">
        <f t="shared" si="936"/>
        <v>37.86</v>
      </c>
      <c r="P2193">
        <f t="shared" si="937"/>
        <v>0.94642857142857417</v>
      </c>
      <c r="Q2193" t="str">
        <f t="shared" si="926"/>
        <v>11.52% | 0.32%</v>
      </c>
      <c r="R2193" t="str">
        <f t="shared" si="938"/>
        <v>BULLISH</v>
      </c>
      <c r="S2193">
        <f t="shared" si="927"/>
        <v>1</v>
      </c>
    </row>
    <row r="2194" spans="1:19" hidden="1" x14ac:dyDescent="0.25">
      <c r="A2194" s="5" t="str">
        <f t="shared" si="924"/>
        <v>43991SSEC</v>
      </c>
      <c r="B2194" s="6" t="s">
        <v>14</v>
      </c>
      <c r="C2194" s="6">
        <v>2819</v>
      </c>
      <c r="D2194" s="6">
        <v>2975</v>
      </c>
      <c r="E2194" s="6">
        <v>2956</v>
      </c>
      <c r="F2194" t="str">
        <f t="shared" si="928"/>
        <v>TUE</v>
      </c>
      <c r="G2194" s="1">
        <f t="shared" si="929"/>
        <v>43991</v>
      </c>
      <c r="H2194" s="2">
        <f t="shared" ca="1" si="930"/>
        <v>262</v>
      </c>
      <c r="I2194" t="str">
        <f t="shared" si="931"/>
        <v>SSEC</v>
      </c>
      <c r="J2194">
        <f t="shared" si="932"/>
        <v>2819</v>
      </c>
      <c r="K2194">
        <f t="shared" si="933"/>
        <v>2975</v>
      </c>
      <c r="L2194">
        <f t="shared" si="934"/>
        <v>2897</v>
      </c>
      <c r="M2194">
        <f t="shared" si="935"/>
        <v>78</v>
      </c>
      <c r="N2194">
        <f t="shared" si="925"/>
        <v>156</v>
      </c>
      <c r="O2194">
        <f t="shared" si="936"/>
        <v>2956</v>
      </c>
      <c r="P2194">
        <f t="shared" si="937"/>
        <v>0.75641025641025639</v>
      </c>
      <c r="Q2194" t="str">
        <f t="shared" si="926"/>
        <v>4.63% | 0.64%</v>
      </c>
      <c r="R2194" t="str">
        <f t="shared" si="938"/>
        <v>BEARISH</v>
      </c>
      <c r="S2194">
        <f t="shared" si="927"/>
        <v>-1</v>
      </c>
    </row>
    <row r="2195" spans="1:19" hidden="1" x14ac:dyDescent="0.25">
      <c r="A2195" s="5" t="str">
        <f t="shared" si="924"/>
        <v>43991NIKK</v>
      </c>
      <c r="B2195" s="6" t="s">
        <v>91</v>
      </c>
      <c r="C2195" s="6">
        <v>21229</v>
      </c>
      <c r="D2195" s="6">
        <v>23380</v>
      </c>
      <c r="E2195" s="6">
        <v>23091</v>
      </c>
      <c r="F2195" t="str">
        <f t="shared" si="928"/>
        <v>TUE</v>
      </c>
      <c r="G2195" s="1">
        <f t="shared" si="929"/>
        <v>43991</v>
      </c>
      <c r="H2195" s="2">
        <f t="shared" ca="1" si="930"/>
        <v>262</v>
      </c>
      <c r="I2195" t="str">
        <f t="shared" si="931"/>
        <v>NIKK</v>
      </c>
      <c r="J2195">
        <f t="shared" si="932"/>
        <v>21229</v>
      </c>
      <c r="K2195">
        <f t="shared" si="933"/>
        <v>23380</v>
      </c>
      <c r="L2195">
        <f t="shared" si="934"/>
        <v>22304.5</v>
      </c>
      <c r="M2195">
        <f t="shared" si="935"/>
        <v>1075.5</v>
      </c>
      <c r="N2195">
        <f t="shared" si="925"/>
        <v>2151</v>
      </c>
      <c r="O2195">
        <f t="shared" si="936"/>
        <v>23091</v>
      </c>
      <c r="P2195">
        <f t="shared" si="937"/>
        <v>0.73128777312877735</v>
      </c>
      <c r="Q2195" t="str">
        <f t="shared" si="926"/>
        <v>8.06% | 1.25%</v>
      </c>
      <c r="R2195" t="str">
        <f t="shared" si="938"/>
        <v>BULLISH</v>
      </c>
      <c r="S2195">
        <f t="shared" si="927"/>
        <v>1</v>
      </c>
    </row>
    <row r="2196" spans="1:19" hidden="1" x14ac:dyDescent="0.25">
      <c r="A2196" s="5" t="str">
        <f t="shared" si="924"/>
        <v>43991DAX</v>
      </c>
      <c r="B2196" s="6" t="s">
        <v>98</v>
      </c>
      <c r="C2196" s="6">
        <v>11220</v>
      </c>
      <c r="D2196" s="6">
        <v>13043</v>
      </c>
      <c r="E2196" s="6">
        <v>12818</v>
      </c>
      <c r="F2196" t="str">
        <f t="shared" si="928"/>
        <v>TUE</v>
      </c>
      <c r="G2196" s="1">
        <f t="shared" si="929"/>
        <v>43991</v>
      </c>
      <c r="H2196" s="2">
        <f t="shared" ca="1" si="930"/>
        <v>262</v>
      </c>
      <c r="I2196" t="str">
        <f t="shared" si="931"/>
        <v>DAX</v>
      </c>
      <c r="J2196">
        <f t="shared" si="932"/>
        <v>11220</v>
      </c>
      <c r="K2196">
        <f t="shared" si="933"/>
        <v>13043</v>
      </c>
      <c r="L2196">
        <f t="shared" si="934"/>
        <v>12131.5</v>
      </c>
      <c r="M2196">
        <f t="shared" si="935"/>
        <v>911.5</v>
      </c>
      <c r="N2196">
        <f t="shared" si="925"/>
        <v>1823</v>
      </c>
      <c r="O2196">
        <f t="shared" si="936"/>
        <v>12818</v>
      </c>
      <c r="P2196">
        <f t="shared" si="937"/>
        <v>0.75315414152495885</v>
      </c>
      <c r="Q2196" t="str">
        <f t="shared" si="926"/>
        <v>12.47% | 1.76%</v>
      </c>
      <c r="R2196" t="str">
        <f t="shared" si="938"/>
        <v>BULLISH</v>
      </c>
      <c r="S2196">
        <f t="shared" si="927"/>
        <v>1</v>
      </c>
    </row>
    <row r="2197" spans="1:19" hidden="1" x14ac:dyDescent="0.25">
      <c r="A2197" s="5" t="str">
        <f t="shared" si="924"/>
        <v>43991VIX</v>
      </c>
      <c r="B2197" s="6" t="s">
        <v>96</v>
      </c>
      <c r="C2197" s="6">
        <v>24.06</v>
      </c>
      <c r="D2197" s="6">
        <v>33.380000000000003</v>
      </c>
      <c r="E2197" s="6">
        <v>25.81</v>
      </c>
      <c r="F2197" t="str">
        <f t="shared" si="928"/>
        <v>TUE</v>
      </c>
      <c r="G2197" s="1">
        <f t="shared" si="929"/>
        <v>43991</v>
      </c>
      <c r="H2197" s="2">
        <f t="shared" ca="1" si="930"/>
        <v>262</v>
      </c>
      <c r="I2197" t="str">
        <f t="shared" si="931"/>
        <v>VIX</v>
      </c>
      <c r="J2197">
        <f t="shared" si="932"/>
        <v>24.06</v>
      </c>
      <c r="K2197">
        <f t="shared" si="933"/>
        <v>33.380000000000003</v>
      </c>
      <c r="L2197">
        <f t="shared" si="934"/>
        <v>28.72</v>
      </c>
      <c r="M2197">
        <f t="shared" si="935"/>
        <v>4.6599999999999993</v>
      </c>
      <c r="N2197">
        <f t="shared" si="925"/>
        <v>9.3200000000000038</v>
      </c>
      <c r="O2197">
        <f t="shared" si="936"/>
        <v>25.81</v>
      </c>
      <c r="P2197">
        <f t="shared" si="937"/>
        <v>-0.6244635193133049</v>
      </c>
      <c r="Q2197" t="str">
        <f t="shared" si="926"/>
        <v>6.78% | 29.33%</v>
      </c>
      <c r="R2197" t="str">
        <f t="shared" si="938"/>
        <v>BEARISH</v>
      </c>
      <c r="S2197">
        <f t="shared" si="927"/>
        <v>-1</v>
      </c>
    </row>
    <row r="2198" spans="1:19" hidden="1" x14ac:dyDescent="0.25">
      <c r="A2198" s="5" t="str">
        <f t="shared" si="924"/>
        <v>43991USD</v>
      </c>
      <c r="B2198" s="6" t="s">
        <v>94</v>
      </c>
      <c r="C2198" s="6">
        <v>96.06</v>
      </c>
      <c r="D2198" s="6">
        <v>99.2</v>
      </c>
      <c r="E2198" s="6">
        <v>96.69</v>
      </c>
      <c r="F2198" t="str">
        <f t="shared" si="928"/>
        <v>TUE</v>
      </c>
      <c r="G2198" s="1">
        <f t="shared" si="929"/>
        <v>43991</v>
      </c>
      <c r="H2198" s="2">
        <f t="shared" ca="1" si="930"/>
        <v>262</v>
      </c>
      <c r="I2198" t="str">
        <f t="shared" si="931"/>
        <v>USD</v>
      </c>
      <c r="J2198">
        <f t="shared" si="932"/>
        <v>96.06</v>
      </c>
      <c r="K2198">
        <f t="shared" si="933"/>
        <v>99.2</v>
      </c>
      <c r="L2198">
        <f t="shared" si="934"/>
        <v>97.63</v>
      </c>
      <c r="M2198">
        <f t="shared" si="935"/>
        <v>1.5700000000000003</v>
      </c>
      <c r="N2198">
        <f t="shared" si="925"/>
        <v>3.1400000000000006</v>
      </c>
      <c r="O2198">
        <f t="shared" si="936"/>
        <v>96.69</v>
      </c>
      <c r="P2198">
        <f t="shared" si="937"/>
        <v>-0.59872611464967995</v>
      </c>
      <c r="Q2198" t="str">
        <f t="shared" si="926"/>
        <v>0.65% | 2.6%</v>
      </c>
      <c r="R2198" t="str">
        <f t="shared" si="938"/>
        <v>BEARISH</v>
      </c>
      <c r="S2198">
        <f t="shared" si="927"/>
        <v>-1</v>
      </c>
    </row>
    <row r="2199" spans="1:19" hidden="1" x14ac:dyDescent="0.25">
      <c r="A2199" s="5" t="str">
        <f t="shared" si="924"/>
        <v>43991EUR/USD</v>
      </c>
      <c r="B2199" s="6" t="s">
        <v>77</v>
      </c>
      <c r="C2199" s="6">
        <v>1.0900000000000001</v>
      </c>
      <c r="D2199" s="6">
        <v>1.1299999999999999</v>
      </c>
      <c r="E2199" s="6">
        <v>1.1200000000000001</v>
      </c>
      <c r="F2199" t="str">
        <f t="shared" si="928"/>
        <v>TUE</v>
      </c>
      <c r="G2199" s="1">
        <f t="shared" si="929"/>
        <v>43991</v>
      </c>
      <c r="H2199" s="2">
        <f t="shared" ca="1" si="930"/>
        <v>262</v>
      </c>
      <c r="I2199" t="str">
        <f t="shared" si="931"/>
        <v>EUR/USD</v>
      </c>
      <c r="J2199">
        <f t="shared" si="932"/>
        <v>1.0900000000000001</v>
      </c>
      <c r="K2199">
        <f t="shared" si="933"/>
        <v>1.1299999999999999</v>
      </c>
      <c r="L2199">
        <f t="shared" si="934"/>
        <v>1.1099999999999999</v>
      </c>
      <c r="M2199">
        <f t="shared" si="935"/>
        <v>1.9999999999999907E-2</v>
      </c>
      <c r="N2199">
        <f t="shared" si="925"/>
        <v>3.9999999999999813E-2</v>
      </c>
      <c r="O2199">
        <f t="shared" si="936"/>
        <v>1.1200000000000001</v>
      </c>
      <c r="P2199">
        <f t="shared" si="937"/>
        <v>0.50000000000001388</v>
      </c>
      <c r="Q2199" t="str">
        <f t="shared" si="926"/>
        <v>2.68% | 0.89%</v>
      </c>
      <c r="R2199" t="str">
        <f t="shared" si="938"/>
        <v>NEUTRAL</v>
      </c>
      <c r="S2199">
        <f t="shared" si="927"/>
        <v>0</v>
      </c>
    </row>
    <row r="2200" spans="1:19" hidden="1" x14ac:dyDescent="0.25">
      <c r="A2200" s="5" t="str">
        <f t="shared" si="924"/>
        <v>43991USD/JPY</v>
      </c>
      <c r="B2200" s="6" t="s">
        <v>56</v>
      </c>
      <c r="C2200" s="6">
        <v>106.9</v>
      </c>
      <c r="D2200" s="6">
        <v>109.95</v>
      </c>
      <c r="E2200" s="6">
        <v>108.4</v>
      </c>
      <c r="F2200" t="str">
        <f t="shared" si="928"/>
        <v>TUE</v>
      </c>
      <c r="G2200" s="1">
        <f t="shared" si="929"/>
        <v>43991</v>
      </c>
      <c r="H2200" s="2">
        <f t="shared" ca="1" si="930"/>
        <v>262</v>
      </c>
      <c r="I2200" t="str">
        <f t="shared" si="931"/>
        <v>USD/JPY</v>
      </c>
      <c r="J2200">
        <f t="shared" si="932"/>
        <v>106.9</v>
      </c>
      <c r="K2200">
        <f t="shared" si="933"/>
        <v>109.95</v>
      </c>
      <c r="L2200">
        <f t="shared" si="934"/>
        <v>108.42500000000001</v>
      </c>
      <c r="M2200">
        <f t="shared" si="935"/>
        <v>1.5249999999999986</v>
      </c>
      <c r="N2200">
        <f t="shared" si="925"/>
        <v>3.0499999999999972</v>
      </c>
      <c r="O2200">
        <f t="shared" si="936"/>
        <v>108.4</v>
      </c>
      <c r="P2200">
        <f t="shared" si="937"/>
        <v>-1.6393442622954564E-2</v>
      </c>
      <c r="Q2200" t="str">
        <f t="shared" si="926"/>
        <v>1.38% | 1.43%</v>
      </c>
      <c r="R2200" t="str">
        <f t="shared" si="938"/>
        <v>BULLISH</v>
      </c>
      <c r="S2200">
        <f t="shared" si="927"/>
        <v>1</v>
      </c>
    </row>
    <row r="2201" spans="1:19" hidden="1" x14ac:dyDescent="0.25">
      <c r="A2201" s="5" t="str">
        <f t="shared" si="924"/>
        <v>43991GBP/USD</v>
      </c>
      <c r="B2201" s="6" t="s">
        <v>79</v>
      </c>
      <c r="C2201" s="6">
        <v>1.22</v>
      </c>
      <c r="D2201" s="6">
        <v>1.27</v>
      </c>
      <c r="E2201" s="6">
        <v>1.27</v>
      </c>
      <c r="F2201" t="str">
        <f t="shared" si="928"/>
        <v>TUE</v>
      </c>
      <c r="G2201" s="1">
        <f t="shared" si="929"/>
        <v>43991</v>
      </c>
      <c r="H2201" s="2">
        <f t="shared" ca="1" si="930"/>
        <v>262</v>
      </c>
      <c r="I2201" t="str">
        <f t="shared" si="931"/>
        <v>GBP/USD</v>
      </c>
      <c r="J2201">
        <f t="shared" si="932"/>
        <v>1.22</v>
      </c>
      <c r="K2201">
        <f t="shared" si="933"/>
        <v>1.27</v>
      </c>
      <c r="L2201">
        <f t="shared" si="934"/>
        <v>1.2450000000000001</v>
      </c>
      <c r="M2201">
        <f t="shared" si="935"/>
        <v>2.5000000000000022E-2</v>
      </c>
      <c r="N2201">
        <f t="shared" si="925"/>
        <v>5.0000000000000044E-2</v>
      </c>
      <c r="O2201">
        <f t="shared" si="936"/>
        <v>1.27</v>
      </c>
      <c r="P2201">
        <f t="shared" si="937"/>
        <v>0.99999999999999556</v>
      </c>
      <c r="Q2201" t="str">
        <f t="shared" si="926"/>
        <v>3.94% | 0%</v>
      </c>
      <c r="R2201" t="str">
        <f t="shared" si="938"/>
        <v>NEUTRAL</v>
      </c>
      <c r="S2201">
        <f t="shared" si="927"/>
        <v>0</v>
      </c>
    </row>
    <row r="2202" spans="1:19" hidden="1" x14ac:dyDescent="0.25">
      <c r="A2202" s="5" t="str">
        <f t="shared" si="924"/>
        <v>43991USD/CHF</v>
      </c>
      <c r="B2202" s="6" t="s">
        <v>76</v>
      </c>
      <c r="C2202" s="6">
        <v>0.95</v>
      </c>
      <c r="D2202" s="6">
        <v>0.97</v>
      </c>
      <c r="E2202" s="6">
        <v>0.95</v>
      </c>
      <c r="F2202" t="str">
        <f t="shared" si="928"/>
        <v>TUE</v>
      </c>
      <c r="G2202" s="1">
        <f t="shared" si="929"/>
        <v>43991</v>
      </c>
      <c r="H2202" s="2">
        <f t="shared" ca="1" si="930"/>
        <v>262</v>
      </c>
      <c r="I2202" t="str">
        <f t="shared" si="931"/>
        <v>USD/CHF</v>
      </c>
      <c r="J2202">
        <f t="shared" si="932"/>
        <v>0.95</v>
      </c>
      <c r="K2202">
        <f t="shared" si="933"/>
        <v>0.97</v>
      </c>
      <c r="L2202">
        <f t="shared" si="934"/>
        <v>0.96</v>
      </c>
      <c r="M2202">
        <f t="shared" si="935"/>
        <v>1.0000000000000009E-2</v>
      </c>
      <c r="N2202">
        <f t="shared" si="925"/>
        <v>2.0000000000000018E-2</v>
      </c>
      <c r="O2202">
        <f t="shared" si="936"/>
        <v>0.95</v>
      </c>
      <c r="P2202">
        <f t="shared" si="937"/>
        <v>-1</v>
      </c>
      <c r="Q2202" t="str">
        <f t="shared" si="926"/>
        <v>0% | 2.11%</v>
      </c>
      <c r="R2202" t="str">
        <f t="shared" si="938"/>
        <v>BEARISH</v>
      </c>
      <c r="S2202">
        <f t="shared" si="927"/>
        <v>-1</v>
      </c>
    </row>
    <row r="2203" spans="1:19" hidden="1" x14ac:dyDescent="0.25">
      <c r="A2203" s="5" t="str">
        <f t="shared" si="924"/>
        <v>43991WTIC</v>
      </c>
      <c r="B2203" s="6" t="s">
        <v>23</v>
      </c>
      <c r="C2203" s="6">
        <v>31.59</v>
      </c>
      <c r="D2203" s="6">
        <v>40.4</v>
      </c>
      <c r="E2203" s="6">
        <v>38.19</v>
      </c>
      <c r="F2203" t="str">
        <f t="shared" si="928"/>
        <v>TUE</v>
      </c>
      <c r="G2203" s="1">
        <f t="shared" si="929"/>
        <v>43991</v>
      </c>
      <c r="H2203" s="2">
        <f t="shared" ca="1" si="930"/>
        <v>262</v>
      </c>
      <c r="I2203" t="str">
        <f t="shared" si="931"/>
        <v>WTIC</v>
      </c>
      <c r="J2203">
        <f t="shared" si="932"/>
        <v>31.59</v>
      </c>
      <c r="K2203">
        <f t="shared" si="933"/>
        <v>40.4</v>
      </c>
      <c r="L2203">
        <f t="shared" si="934"/>
        <v>35.994999999999997</v>
      </c>
      <c r="M2203">
        <f t="shared" si="935"/>
        <v>4.4050000000000056</v>
      </c>
      <c r="N2203">
        <f t="shared" si="925"/>
        <v>8.8099999999999987</v>
      </c>
      <c r="O2203">
        <f t="shared" si="936"/>
        <v>38.19</v>
      </c>
      <c r="P2203">
        <f t="shared" si="937"/>
        <v>0.49829738933030593</v>
      </c>
      <c r="Q2203" t="str">
        <f t="shared" si="926"/>
        <v>17.28% | 5.79%</v>
      </c>
      <c r="R2203" t="str">
        <f t="shared" si="938"/>
        <v>BEARISH</v>
      </c>
      <c r="S2203">
        <f t="shared" si="927"/>
        <v>-1</v>
      </c>
    </row>
    <row r="2204" spans="1:19" hidden="1" x14ac:dyDescent="0.25">
      <c r="A2204" s="5" t="str">
        <f t="shared" si="924"/>
        <v>43991NATGAS</v>
      </c>
      <c r="B2204" s="6" t="s">
        <v>24</v>
      </c>
      <c r="C2204" s="6">
        <v>1.71</v>
      </c>
      <c r="D2204" s="6">
        <v>1.95</v>
      </c>
      <c r="E2204" s="6">
        <v>1.79</v>
      </c>
      <c r="F2204" t="str">
        <f t="shared" si="928"/>
        <v>TUE</v>
      </c>
      <c r="G2204" s="1">
        <f t="shared" si="929"/>
        <v>43991</v>
      </c>
      <c r="H2204" s="2">
        <f t="shared" ca="1" si="930"/>
        <v>262</v>
      </c>
      <c r="I2204" t="str">
        <f t="shared" si="931"/>
        <v>NATGAS</v>
      </c>
      <c r="J2204">
        <f t="shared" si="932"/>
        <v>1.71</v>
      </c>
      <c r="K2204">
        <f t="shared" si="933"/>
        <v>1.95</v>
      </c>
      <c r="L2204">
        <f t="shared" si="934"/>
        <v>1.83</v>
      </c>
      <c r="M2204">
        <f t="shared" si="935"/>
        <v>0.12</v>
      </c>
      <c r="N2204">
        <f t="shared" si="925"/>
        <v>0.24</v>
      </c>
      <c r="O2204">
        <f t="shared" si="936"/>
        <v>1.79</v>
      </c>
      <c r="P2204">
        <f t="shared" si="937"/>
        <v>-0.33333333333333365</v>
      </c>
      <c r="Q2204" t="str">
        <f t="shared" si="926"/>
        <v>4.47% | 8.94%</v>
      </c>
      <c r="R2204" t="str">
        <f t="shared" si="938"/>
        <v>BEARISH</v>
      </c>
      <c r="S2204">
        <f t="shared" si="927"/>
        <v>-1</v>
      </c>
    </row>
    <row r="2205" spans="1:19" hidden="1" x14ac:dyDescent="0.25">
      <c r="A2205" s="5" t="str">
        <f t="shared" si="924"/>
        <v>43991GOLD</v>
      </c>
      <c r="B2205" s="6" t="s">
        <v>25</v>
      </c>
      <c r="C2205" s="6">
        <v>1679</v>
      </c>
      <c r="D2205" s="6">
        <v>1768</v>
      </c>
      <c r="E2205" s="6">
        <v>1705</v>
      </c>
      <c r="F2205" t="str">
        <f t="shared" si="928"/>
        <v>TUE</v>
      </c>
      <c r="G2205" s="1">
        <f t="shared" si="929"/>
        <v>43991</v>
      </c>
      <c r="H2205" s="2">
        <f t="shared" ca="1" si="930"/>
        <v>262</v>
      </c>
      <c r="I2205" t="str">
        <f t="shared" si="931"/>
        <v>GOLD</v>
      </c>
      <c r="J2205">
        <f t="shared" si="932"/>
        <v>1679</v>
      </c>
      <c r="K2205">
        <f t="shared" si="933"/>
        <v>1768</v>
      </c>
      <c r="L2205">
        <f t="shared" si="934"/>
        <v>1723.5</v>
      </c>
      <c r="M2205">
        <f t="shared" si="935"/>
        <v>44.5</v>
      </c>
      <c r="N2205">
        <f t="shared" si="925"/>
        <v>89</v>
      </c>
      <c r="O2205">
        <f t="shared" si="936"/>
        <v>1705</v>
      </c>
      <c r="P2205">
        <f t="shared" si="937"/>
        <v>-0.4157303370786517</v>
      </c>
      <c r="Q2205" t="str">
        <f t="shared" si="926"/>
        <v>1.52% | 3.7%</v>
      </c>
      <c r="R2205" t="str">
        <f t="shared" si="938"/>
        <v>BULLISH</v>
      </c>
      <c r="S2205">
        <f t="shared" si="927"/>
        <v>1</v>
      </c>
    </row>
    <row r="2206" spans="1:19" hidden="1" x14ac:dyDescent="0.25">
      <c r="A2206" s="5" t="str">
        <f t="shared" si="924"/>
        <v>43991COPPER</v>
      </c>
      <c r="B2206" s="6" t="s">
        <v>26</v>
      </c>
      <c r="C2206" s="6">
        <v>2.37</v>
      </c>
      <c r="D2206" s="6">
        <v>2.58</v>
      </c>
      <c r="E2206" s="6">
        <v>2.57</v>
      </c>
      <c r="F2206" t="str">
        <f t="shared" si="928"/>
        <v>TUE</v>
      </c>
      <c r="G2206" s="1">
        <f t="shared" si="929"/>
        <v>43991</v>
      </c>
      <c r="H2206" s="2">
        <f t="shared" ca="1" si="930"/>
        <v>262</v>
      </c>
      <c r="I2206" t="str">
        <f t="shared" si="931"/>
        <v>COPPER</v>
      </c>
      <c r="J2206">
        <f t="shared" si="932"/>
        <v>2.37</v>
      </c>
      <c r="K2206">
        <f t="shared" si="933"/>
        <v>2.58</v>
      </c>
      <c r="L2206">
        <f t="shared" si="934"/>
        <v>2.4750000000000001</v>
      </c>
      <c r="M2206">
        <f t="shared" si="935"/>
        <v>0.10499999999999998</v>
      </c>
      <c r="N2206">
        <f t="shared" si="925"/>
        <v>0.20999999999999996</v>
      </c>
      <c r="O2206">
        <f t="shared" si="936"/>
        <v>2.57</v>
      </c>
      <c r="P2206">
        <f t="shared" si="937"/>
        <v>0.90476190476190255</v>
      </c>
      <c r="Q2206" t="str">
        <f t="shared" si="926"/>
        <v>7.78% | 0.39%</v>
      </c>
      <c r="R2206" t="str">
        <f t="shared" si="938"/>
        <v>BEARISH</v>
      </c>
      <c r="S2206">
        <f t="shared" si="927"/>
        <v>-1</v>
      </c>
    </row>
    <row r="2207" spans="1:19" hidden="1" x14ac:dyDescent="0.25">
      <c r="A2207" s="5" t="str">
        <f t="shared" si="924"/>
        <v>43991MSFT</v>
      </c>
      <c r="B2207" s="6" t="s">
        <v>27</v>
      </c>
      <c r="C2207" s="6">
        <v>179</v>
      </c>
      <c r="D2207" s="6">
        <v>189</v>
      </c>
      <c r="E2207" s="6">
        <v>188</v>
      </c>
      <c r="F2207" t="str">
        <f t="shared" si="928"/>
        <v>TUE</v>
      </c>
      <c r="G2207" s="1">
        <f t="shared" si="929"/>
        <v>43991</v>
      </c>
      <c r="H2207" s="2">
        <f t="shared" ca="1" si="930"/>
        <v>262</v>
      </c>
      <c r="I2207" t="str">
        <f t="shared" si="931"/>
        <v>MSFT</v>
      </c>
      <c r="J2207">
        <f t="shared" si="932"/>
        <v>179</v>
      </c>
      <c r="K2207">
        <f t="shared" si="933"/>
        <v>189</v>
      </c>
      <c r="L2207">
        <f t="shared" si="934"/>
        <v>184</v>
      </c>
      <c r="M2207">
        <f t="shared" si="935"/>
        <v>5</v>
      </c>
      <c r="N2207">
        <f t="shared" si="925"/>
        <v>10</v>
      </c>
      <c r="O2207">
        <f t="shared" si="936"/>
        <v>188</v>
      </c>
      <c r="P2207">
        <f t="shared" si="937"/>
        <v>0.8</v>
      </c>
      <c r="Q2207" t="str">
        <f t="shared" si="926"/>
        <v>4.79% | 0.53%</v>
      </c>
      <c r="R2207" t="str">
        <f t="shared" si="938"/>
        <v>BULLISH</v>
      </c>
      <c r="S2207">
        <f t="shared" si="927"/>
        <v>1</v>
      </c>
    </row>
    <row r="2208" spans="1:19" hidden="1" x14ac:dyDescent="0.25">
      <c r="A2208" s="5" t="str">
        <f t="shared" si="924"/>
        <v>43991AAPL</v>
      </c>
      <c r="B2208" s="6" t="s">
        <v>28</v>
      </c>
      <c r="C2208" s="6">
        <v>313</v>
      </c>
      <c r="D2208" s="6">
        <v>334</v>
      </c>
      <c r="E2208" s="6">
        <v>333</v>
      </c>
      <c r="F2208" t="str">
        <f t="shared" si="928"/>
        <v>TUE</v>
      </c>
      <c r="G2208" s="1">
        <f t="shared" si="929"/>
        <v>43991</v>
      </c>
      <c r="H2208" s="2">
        <f t="shared" ca="1" si="930"/>
        <v>262</v>
      </c>
      <c r="I2208" t="str">
        <f t="shared" si="931"/>
        <v>AAPL</v>
      </c>
      <c r="J2208">
        <f t="shared" si="932"/>
        <v>313</v>
      </c>
      <c r="K2208">
        <f t="shared" si="933"/>
        <v>334</v>
      </c>
      <c r="L2208">
        <f t="shared" si="934"/>
        <v>323.5</v>
      </c>
      <c r="M2208">
        <f t="shared" si="935"/>
        <v>10.5</v>
      </c>
      <c r="N2208">
        <f t="shared" si="925"/>
        <v>21</v>
      </c>
      <c r="O2208">
        <f t="shared" si="936"/>
        <v>333</v>
      </c>
      <c r="P2208">
        <f t="shared" si="937"/>
        <v>0.90476190476190477</v>
      </c>
      <c r="Q2208" t="str">
        <f t="shared" si="926"/>
        <v>6.01% | 0.3%</v>
      </c>
      <c r="R2208" t="str">
        <f t="shared" si="938"/>
        <v>BULLISH</v>
      </c>
      <c r="S2208">
        <f t="shared" si="927"/>
        <v>1</v>
      </c>
    </row>
    <row r="2209" spans="1:19" hidden="1" x14ac:dyDescent="0.25">
      <c r="A2209" s="5" t="str">
        <f t="shared" si="924"/>
        <v>43991AMZN</v>
      </c>
      <c r="B2209" s="6" t="s">
        <v>29</v>
      </c>
      <c r="C2209" s="6">
        <v>2407</v>
      </c>
      <c r="D2209" s="6">
        <v>2535</v>
      </c>
      <c r="E2209" s="6">
        <v>2524</v>
      </c>
      <c r="F2209" t="str">
        <f t="shared" si="928"/>
        <v>TUE</v>
      </c>
      <c r="G2209" s="1">
        <f t="shared" si="929"/>
        <v>43991</v>
      </c>
      <c r="H2209" s="2">
        <f t="shared" ca="1" si="930"/>
        <v>262</v>
      </c>
      <c r="I2209" t="str">
        <f t="shared" si="931"/>
        <v>AMZN</v>
      </c>
      <c r="J2209">
        <f t="shared" si="932"/>
        <v>2407</v>
      </c>
      <c r="K2209">
        <f t="shared" si="933"/>
        <v>2535</v>
      </c>
      <c r="L2209">
        <f t="shared" si="934"/>
        <v>2471</v>
      </c>
      <c r="M2209">
        <f t="shared" si="935"/>
        <v>64</v>
      </c>
      <c r="N2209">
        <f t="shared" si="925"/>
        <v>128</v>
      </c>
      <c r="O2209">
        <f t="shared" si="936"/>
        <v>2524</v>
      </c>
      <c r="P2209">
        <f t="shared" si="937"/>
        <v>0.828125</v>
      </c>
      <c r="Q2209" t="str">
        <f t="shared" si="926"/>
        <v>4.64% | 0.44%</v>
      </c>
      <c r="R2209" t="str">
        <f t="shared" si="938"/>
        <v>BULLISH</v>
      </c>
      <c r="S2209">
        <f t="shared" si="927"/>
        <v>1</v>
      </c>
    </row>
    <row r="2210" spans="1:19" hidden="1" x14ac:dyDescent="0.25">
      <c r="A2210" s="5" t="str">
        <f t="shared" si="924"/>
        <v>43991FB</v>
      </c>
      <c r="B2210" s="6" t="s">
        <v>30</v>
      </c>
      <c r="C2210" s="6">
        <v>221</v>
      </c>
      <c r="D2210" s="6">
        <v>235</v>
      </c>
      <c r="E2210" s="6">
        <v>231</v>
      </c>
      <c r="F2210" t="str">
        <f t="shared" si="928"/>
        <v>TUE</v>
      </c>
      <c r="G2210" s="1">
        <f t="shared" si="929"/>
        <v>43991</v>
      </c>
      <c r="H2210" s="2">
        <f t="shared" ca="1" si="930"/>
        <v>262</v>
      </c>
      <c r="I2210" t="str">
        <f t="shared" si="931"/>
        <v>FB</v>
      </c>
      <c r="J2210">
        <f t="shared" si="932"/>
        <v>221</v>
      </c>
      <c r="K2210">
        <f t="shared" si="933"/>
        <v>235</v>
      </c>
      <c r="L2210">
        <f t="shared" si="934"/>
        <v>228</v>
      </c>
      <c r="M2210">
        <f t="shared" si="935"/>
        <v>7</v>
      </c>
      <c r="N2210">
        <f t="shared" si="925"/>
        <v>14</v>
      </c>
      <c r="O2210">
        <f t="shared" si="936"/>
        <v>231</v>
      </c>
      <c r="P2210">
        <f t="shared" si="937"/>
        <v>0.42857142857142855</v>
      </c>
      <c r="Q2210" t="str">
        <f t="shared" si="926"/>
        <v>4.33% | 1.73%</v>
      </c>
      <c r="R2210" t="str">
        <f t="shared" si="938"/>
        <v>BULLISH</v>
      </c>
      <c r="S2210">
        <f t="shared" si="927"/>
        <v>1</v>
      </c>
    </row>
    <row r="2211" spans="1:19" hidden="1" x14ac:dyDescent="0.25">
      <c r="A2211" s="5" t="str">
        <f t="shared" si="924"/>
        <v>43991GOOGL</v>
      </c>
      <c r="B2211" s="6" t="s">
        <v>31</v>
      </c>
      <c r="C2211" s="6">
        <v>1401</v>
      </c>
      <c r="D2211" s="6">
        <v>1455</v>
      </c>
      <c r="E2211" s="6">
        <v>1448</v>
      </c>
      <c r="F2211" t="str">
        <f t="shared" si="928"/>
        <v>TUE</v>
      </c>
      <c r="G2211" s="1">
        <f t="shared" si="929"/>
        <v>43991</v>
      </c>
      <c r="H2211" s="2">
        <f t="shared" ca="1" si="930"/>
        <v>262</v>
      </c>
      <c r="I2211" t="str">
        <f t="shared" si="931"/>
        <v>GOOGL</v>
      </c>
      <c r="J2211">
        <f t="shared" si="932"/>
        <v>1401</v>
      </c>
      <c r="K2211">
        <f t="shared" si="933"/>
        <v>1455</v>
      </c>
      <c r="L2211">
        <f t="shared" si="934"/>
        <v>1428</v>
      </c>
      <c r="M2211">
        <f t="shared" si="935"/>
        <v>27</v>
      </c>
      <c r="N2211">
        <f t="shared" si="925"/>
        <v>54</v>
      </c>
      <c r="O2211">
        <f t="shared" si="936"/>
        <v>1448</v>
      </c>
      <c r="P2211">
        <f t="shared" si="937"/>
        <v>0.7407407407407407</v>
      </c>
      <c r="Q2211" t="str">
        <f t="shared" si="926"/>
        <v>3.25% | 0.48%</v>
      </c>
      <c r="R2211" t="str">
        <f t="shared" si="938"/>
        <v>BULLISH</v>
      </c>
      <c r="S2211">
        <f t="shared" si="927"/>
        <v>1</v>
      </c>
    </row>
    <row r="2212" spans="1:19" hidden="1" x14ac:dyDescent="0.25">
      <c r="A2212" s="5" t="str">
        <f t="shared" si="924"/>
        <v>43991NFLX</v>
      </c>
      <c r="B2212" s="6" t="s">
        <v>32</v>
      </c>
      <c r="C2212" s="6">
        <v>402</v>
      </c>
      <c r="D2212" s="6">
        <v>430</v>
      </c>
      <c r="E2212" s="6">
        <v>419</v>
      </c>
      <c r="F2212" t="str">
        <f t="shared" si="928"/>
        <v>TUE</v>
      </c>
      <c r="G2212" s="1">
        <f t="shared" si="929"/>
        <v>43991</v>
      </c>
      <c r="H2212" s="2">
        <f t="shared" ca="1" si="930"/>
        <v>262</v>
      </c>
      <c r="I2212" t="str">
        <f t="shared" si="931"/>
        <v>NFLX</v>
      </c>
      <c r="J2212">
        <f t="shared" si="932"/>
        <v>402</v>
      </c>
      <c r="K2212">
        <f t="shared" si="933"/>
        <v>430</v>
      </c>
      <c r="L2212">
        <f t="shared" si="934"/>
        <v>416</v>
      </c>
      <c r="M2212">
        <f t="shared" si="935"/>
        <v>14</v>
      </c>
      <c r="N2212">
        <f t="shared" si="925"/>
        <v>28</v>
      </c>
      <c r="O2212">
        <f t="shared" si="936"/>
        <v>419</v>
      </c>
      <c r="P2212">
        <f t="shared" si="937"/>
        <v>0.21428571428571427</v>
      </c>
      <c r="Q2212" t="str">
        <f t="shared" si="926"/>
        <v>4.06% | 2.63%</v>
      </c>
      <c r="R2212" t="str">
        <f t="shared" si="938"/>
        <v>BULLISH</v>
      </c>
      <c r="S2212">
        <f t="shared" si="927"/>
        <v>1</v>
      </c>
    </row>
    <row r="2213" spans="1:19" x14ac:dyDescent="0.25">
      <c r="A2213" s="5" t="str">
        <f t="shared" si="924"/>
        <v>43991TSLA</v>
      </c>
      <c r="B2213" s="6" t="s">
        <v>33</v>
      </c>
      <c r="C2213" s="6">
        <v>787</v>
      </c>
      <c r="D2213" s="6">
        <v>955</v>
      </c>
      <c r="E2213" s="6">
        <v>949</v>
      </c>
      <c r="F2213" t="str">
        <f t="shared" si="928"/>
        <v>TUE</v>
      </c>
      <c r="G2213" s="1">
        <f t="shared" si="929"/>
        <v>43991</v>
      </c>
      <c r="H2213" s="2">
        <f t="shared" ca="1" si="930"/>
        <v>262</v>
      </c>
      <c r="I2213" t="str">
        <f t="shared" si="931"/>
        <v>TSLA</v>
      </c>
      <c r="J2213">
        <f t="shared" si="932"/>
        <v>787</v>
      </c>
      <c r="K2213">
        <f t="shared" si="933"/>
        <v>955</v>
      </c>
      <c r="L2213">
        <f t="shared" si="934"/>
        <v>871</v>
      </c>
      <c r="M2213">
        <f t="shared" si="935"/>
        <v>84</v>
      </c>
      <c r="N2213">
        <f t="shared" si="925"/>
        <v>168</v>
      </c>
      <c r="O2213">
        <f t="shared" si="936"/>
        <v>949</v>
      </c>
      <c r="P2213">
        <f t="shared" si="937"/>
        <v>0.9285714285714286</v>
      </c>
      <c r="Q2213" t="str">
        <f t="shared" si="926"/>
        <v>17.07% | 0.63%</v>
      </c>
      <c r="R2213" t="str">
        <f t="shared" si="938"/>
        <v>BULLISH</v>
      </c>
      <c r="S2213">
        <f t="shared" si="927"/>
        <v>1</v>
      </c>
    </row>
    <row r="2214" spans="1:19" hidden="1" x14ac:dyDescent="0.25">
      <c r="A2214" s="5" t="str">
        <f t="shared" si="924"/>
        <v>43991NYXBT</v>
      </c>
      <c r="B2214" s="6" t="s">
        <v>34</v>
      </c>
      <c r="C2214" s="6">
        <v>9060</v>
      </c>
      <c r="D2214" s="6">
        <v>10101</v>
      </c>
      <c r="E2214" s="6">
        <v>9684</v>
      </c>
      <c r="F2214" t="str">
        <f t="shared" si="928"/>
        <v>TUE</v>
      </c>
      <c r="G2214" s="1">
        <f t="shared" si="929"/>
        <v>43991</v>
      </c>
      <c r="H2214" s="2">
        <f t="shared" ca="1" si="930"/>
        <v>262</v>
      </c>
      <c r="I2214" t="str">
        <f t="shared" si="931"/>
        <v>NYXBT</v>
      </c>
      <c r="J2214">
        <f t="shared" si="932"/>
        <v>9060</v>
      </c>
      <c r="K2214">
        <f t="shared" si="933"/>
        <v>10101</v>
      </c>
      <c r="L2214">
        <f t="shared" si="934"/>
        <v>9580.5</v>
      </c>
      <c r="M2214">
        <f t="shared" si="935"/>
        <v>520.5</v>
      </c>
      <c r="N2214">
        <f t="shared" si="925"/>
        <v>1041</v>
      </c>
      <c r="O2214">
        <f t="shared" si="936"/>
        <v>9684</v>
      </c>
      <c r="P2214">
        <f t="shared" si="937"/>
        <v>0.19884726224783861</v>
      </c>
      <c r="Q2214" t="str">
        <f t="shared" si="926"/>
        <v>6.44% | 4.31%</v>
      </c>
      <c r="R2214" t="str">
        <f t="shared" si="938"/>
        <v>BULLISH</v>
      </c>
      <c r="S2214">
        <f t="shared" si="927"/>
        <v>1</v>
      </c>
    </row>
    <row r="2215" spans="1:19" hidden="1" x14ac:dyDescent="0.25">
      <c r="A2215" s="5" t="str">
        <f t="shared" si="924"/>
        <v>43992UST10Y</v>
      </c>
      <c r="B2215" s="6" t="s">
        <v>4</v>
      </c>
      <c r="C2215" s="6">
        <v>0.93</v>
      </c>
      <c r="D2215" s="6">
        <v>0.56999999999999995</v>
      </c>
      <c r="E2215" s="6">
        <v>0.84</v>
      </c>
      <c r="F2215" t="str">
        <f t="shared" si="928"/>
        <v>WED</v>
      </c>
      <c r="G2215" s="3">
        <f>DATE(2020,6,10)</f>
        <v>43992</v>
      </c>
      <c r="H2215" s="2">
        <f t="shared" ca="1" si="930"/>
        <v>261</v>
      </c>
      <c r="I2215" t="str">
        <f t="shared" si="931"/>
        <v>UST10Y</v>
      </c>
      <c r="J2215">
        <f t="shared" si="932"/>
        <v>0.93</v>
      </c>
      <c r="K2215">
        <f t="shared" si="933"/>
        <v>0.56999999999999995</v>
      </c>
      <c r="L2215">
        <f t="shared" si="934"/>
        <v>0.75</v>
      </c>
      <c r="M2215">
        <f t="shared" si="935"/>
        <v>0.17999999999999997</v>
      </c>
      <c r="N2215">
        <f t="shared" si="925"/>
        <v>0.3600000000000001</v>
      </c>
      <c r="O2215">
        <f t="shared" si="936"/>
        <v>0.84</v>
      </c>
      <c r="P2215">
        <f t="shared" si="937"/>
        <v>0.49999999999999994</v>
      </c>
      <c r="Q2215" t="str">
        <f t="shared" si="926"/>
        <v>10.71% | 32.14%</v>
      </c>
      <c r="R2215" t="str">
        <f t="shared" si="938"/>
        <v>BEARISH</v>
      </c>
      <c r="S2215">
        <f t="shared" si="927"/>
        <v>-1</v>
      </c>
    </row>
    <row r="2216" spans="1:19" hidden="1" x14ac:dyDescent="0.25">
      <c r="A2216" s="5" t="str">
        <f t="shared" si="924"/>
        <v>43992UST2Y</v>
      </c>
      <c r="B2216" s="6" t="s">
        <v>5</v>
      </c>
      <c r="C2216" s="6">
        <v>0.23</v>
      </c>
      <c r="D2216" s="6">
        <v>0.12</v>
      </c>
      <c r="E2216" s="6">
        <v>0.2</v>
      </c>
      <c r="F2216" t="str">
        <f t="shared" ref="F2216:F2246" si="939">UPPER(TEXT(G2216,"ddd"))</f>
        <v>WED</v>
      </c>
      <c r="G2216" s="3">
        <f t="shared" ref="G2216:G2245" si="940">DATE(2020,6,10)</f>
        <v>43992</v>
      </c>
      <c r="H2216" s="2">
        <f t="shared" ref="H2216:H2246" ca="1" si="941">TODAY()-G2216</f>
        <v>261</v>
      </c>
      <c r="I2216" t="str">
        <f t="shared" ref="I2216:I2246" si="942">TRIM(LEFT(B2216,FIND(" ",B2216,1)))</f>
        <v>UST2Y</v>
      </c>
      <c r="J2216">
        <f t="shared" ref="J2216:J2246" si="943">C2216</f>
        <v>0.23</v>
      </c>
      <c r="K2216">
        <f t="shared" ref="K2216:K2246" si="944">D2216</f>
        <v>0.12</v>
      </c>
      <c r="L2216">
        <f t="shared" ref="L2216:L2246" si="945">AVERAGE(J2216:K2216)</f>
        <v>0.17499999999999999</v>
      </c>
      <c r="M2216">
        <f t="shared" ref="M2216:M2246" si="946">_xlfn.STDEV.P(J2216:K2216)</f>
        <v>5.5000000000000028E-2</v>
      </c>
      <c r="N2216">
        <f t="shared" si="925"/>
        <v>0.11000000000000001</v>
      </c>
      <c r="O2216">
        <f t="shared" ref="O2216:O2246" si="947">E2216</f>
        <v>0.2</v>
      </c>
      <c r="P2216">
        <f t="shared" ref="P2216:P2246" si="948">(O2216-L2216)/M2216</f>
        <v>0.4545454545454547</v>
      </c>
      <c r="Q2216" t="str">
        <f t="shared" si="926"/>
        <v>15% | 40%</v>
      </c>
      <c r="R2216" t="str">
        <f t="shared" ref="R2216:R2246" si="949">MID(B2216,FIND("(",B2216,1)+1,FIND(")",B2216,1)-FIND("(",B2216,1)-1)</f>
        <v>BEARISH</v>
      </c>
      <c r="S2216">
        <f t="shared" si="927"/>
        <v>-1</v>
      </c>
    </row>
    <row r="2217" spans="1:19" hidden="1" x14ac:dyDescent="0.25">
      <c r="A2217" s="5" t="str">
        <f t="shared" si="924"/>
        <v>43992SPX</v>
      </c>
      <c r="B2217" s="6" t="s">
        <v>93</v>
      </c>
      <c r="C2217" s="6">
        <v>2977</v>
      </c>
      <c r="D2217" s="6">
        <v>3263</v>
      </c>
      <c r="E2217" s="6">
        <v>3207</v>
      </c>
      <c r="F2217" t="str">
        <f t="shared" si="939"/>
        <v>WED</v>
      </c>
      <c r="G2217" s="3">
        <f t="shared" si="940"/>
        <v>43992</v>
      </c>
      <c r="H2217" s="2">
        <f t="shared" ca="1" si="941"/>
        <v>261</v>
      </c>
      <c r="I2217" t="str">
        <f t="shared" si="942"/>
        <v>SPX</v>
      </c>
      <c r="J2217">
        <f t="shared" si="943"/>
        <v>2977</v>
      </c>
      <c r="K2217">
        <f t="shared" si="944"/>
        <v>3263</v>
      </c>
      <c r="L2217">
        <f t="shared" si="945"/>
        <v>3120</v>
      </c>
      <c r="M2217">
        <f t="shared" si="946"/>
        <v>143</v>
      </c>
      <c r="N2217">
        <f t="shared" si="925"/>
        <v>286</v>
      </c>
      <c r="O2217">
        <f t="shared" si="947"/>
        <v>3207</v>
      </c>
      <c r="P2217">
        <f t="shared" si="948"/>
        <v>0.60839160839160844</v>
      </c>
      <c r="Q2217" t="str">
        <f t="shared" si="926"/>
        <v>7.17% | 1.75%</v>
      </c>
      <c r="R2217" t="str">
        <f t="shared" si="949"/>
        <v>BULLISH</v>
      </c>
      <c r="S2217">
        <f t="shared" si="927"/>
        <v>1</v>
      </c>
    </row>
    <row r="2218" spans="1:19" hidden="1" x14ac:dyDescent="0.25">
      <c r="A2218" s="5" t="str">
        <f t="shared" si="924"/>
        <v>43992RUT</v>
      </c>
      <c r="B2218" s="6" t="s">
        <v>7</v>
      </c>
      <c r="C2218" s="6">
        <v>1355</v>
      </c>
      <c r="D2218" s="6">
        <v>1544</v>
      </c>
      <c r="E2218" s="6">
        <v>1507</v>
      </c>
      <c r="F2218" t="str">
        <f t="shared" si="939"/>
        <v>WED</v>
      </c>
      <c r="G2218" s="3">
        <f t="shared" si="940"/>
        <v>43992</v>
      </c>
      <c r="H2218" s="2">
        <f t="shared" ca="1" si="941"/>
        <v>261</v>
      </c>
      <c r="I2218" t="str">
        <f t="shared" si="942"/>
        <v>RUT</v>
      </c>
      <c r="J2218">
        <f t="shared" si="943"/>
        <v>1355</v>
      </c>
      <c r="K2218">
        <f t="shared" si="944"/>
        <v>1544</v>
      </c>
      <c r="L2218">
        <f t="shared" si="945"/>
        <v>1449.5</v>
      </c>
      <c r="M2218">
        <f t="shared" si="946"/>
        <v>94.5</v>
      </c>
      <c r="N2218">
        <f t="shared" si="925"/>
        <v>189</v>
      </c>
      <c r="O2218">
        <f t="shared" si="947"/>
        <v>1507</v>
      </c>
      <c r="P2218">
        <f t="shared" si="948"/>
        <v>0.60846560846560849</v>
      </c>
      <c r="Q2218" t="str">
        <f t="shared" si="926"/>
        <v>10.09% | 2.46%</v>
      </c>
      <c r="R2218" t="str">
        <f t="shared" si="949"/>
        <v>BEARISH</v>
      </c>
      <c r="S2218">
        <f t="shared" si="927"/>
        <v>-1</v>
      </c>
    </row>
    <row r="2219" spans="1:19" hidden="1" x14ac:dyDescent="0.25">
      <c r="A2219" s="5" t="str">
        <f t="shared" si="924"/>
        <v>43992COMPQ</v>
      </c>
      <c r="B2219" s="6" t="s">
        <v>8</v>
      </c>
      <c r="C2219" s="6">
        <v>9300</v>
      </c>
      <c r="D2219" s="6">
        <v>10040</v>
      </c>
      <c r="E2219" s="6">
        <v>9953</v>
      </c>
      <c r="F2219" t="str">
        <f t="shared" si="939"/>
        <v>WED</v>
      </c>
      <c r="G2219" s="3">
        <f t="shared" si="940"/>
        <v>43992</v>
      </c>
      <c r="H2219" s="2">
        <f t="shared" ca="1" si="941"/>
        <v>261</v>
      </c>
      <c r="I2219" t="str">
        <f t="shared" si="942"/>
        <v>COMPQ</v>
      </c>
      <c r="J2219">
        <f t="shared" si="943"/>
        <v>9300</v>
      </c>
      <c r="K2219">
        <f t="shared" si="944"/>
        <v>10040</v>
      </c>
      <c r="L2219">
        <f t="shared" si="945"/>
        <v>9670</v>
      </c>
      <c r="M2219">
        <f t="shared" si="946"/>
        <v>370</v>
      </c>
      <c r="N2219">
        <f t="shared" si="925"/>
        <v>740</v>
      </c>
      <c r="O2219">
        <f t="shared" si="947"/>
        <v>9953</v>
      </c>
      <c r="P2219">
        <f t="shared" si="948"/>
        <v>0.76486486486486482</v>
      </c>
      <c r="Q2219" t="str">
        <f t="shared" si="926"/>
        <v>6.56% | 0.87%</v>
      </c>
      <c r="R2219" t="str">
        <f t="shared" si="949"/>
        <v>BULLISH</v>
      </c>
      <c r="S2219">
        <f t="shared" si="927"/>
        <v>1</v>
      </c>
    </row>
    <row r="2220" spans="1:19" hidden="1" x14ac:dyDescent="0.25">
      <c r="A2220" s="5" t="str">
        <f t="shared" si="924"/>
        <v>43992XLV</v>
      </c>
      <c r="B2220" s="6" t="s">
        <v>9</v>
      </c>
      <c r="C2220" s="6">
        <v>99.92</v>
      </c>
      <c r="D2220" s="6">
        <v>104.13</v>
      </c>
      <c r="E2220" s="6">
        <v>102.84</v>
      </c>
      <c r="F2220" t="str">
        <f t="shared" si="939"/>
        <v>WED</v>
      </c>
      <c r="G2220" s="3">
        <f t="shared" si="940"/>
        <v>43992</v>
      </c>
      <c r="H2220" s="2">
        <f t="shared" ca="1" si="941"/>
        <v>261</v>
      </c>
      <c r="I2220" t="str">
        <f t="shared" si="942"/>
        <v>XLV</v>
      </c>
      <c r="J2220">
        <f t="shared" si="943"/>
        <v>99.92</v>
      </c>
      <c r="K2220">
        <f t="shared" si="944"/>
        <v>104.13</v>
      </c>
      <c r="L2220">
        <f t="shared" si="945"/>
        <v>102.02500000000001</v>
      </c>
      <c r="M2220">
        <f t="shared" si="946"/>
        <v>2.1049999999999969</v>
      </c>
      <c r="N2220">
        <f t="shared" si="925"/>
        <v>4.2099999999999937</v>
      </c>
      <c r="O2220">
        <f t="shared" si="947"/>
        <v>102.84</v>
      </c>
      <c r="P2220">
        <f t="shared" si="948"/>
        <v>0.38717339667458384</v>
      </c>
      <c r="Q2220" t="str">
        <f t="shared" si="926"/>
        <v>2.84% | 1.25%</v>
      </c>
      <c r="R2220" t="str">
        <f t="shared" si="949"/>
        <v>BULLISH</v>
      </c>
      <c r="S2220">
        <f t="shared" si="927"/>
        <v>1</v>
      </c>
    </row>
    <row r="2221" spans="1:19" hidden="1" x14ac:dyDescent="0.25">
      <c r="A2221" s="5" t="str">
        <f t="shared" si="924"/>
        <v>43992XLK</v>
      </c>
      <c r="B2221" s="6" t="s">
        <v>10</v>
      </c>
      <c r="C2221" s="6">
        <v>95.79</v>
      </c>
      <c r="D2221" s="6">
        <v>103.44</v>
      </c>
      <c r="E2221" s="6">
        <v>102.4</v>
      </c>
      <c r="F2221" t="str">
        <f t="shared" si="939"/>
        <v>WED</v>
      </c>
      <c r="G2221" s="3">
        <f t="shared" si="940"/>
        <v>43992</v>
      </c>
      <c r="H2221" s="2">
        <f t="shared" ca="1" si="941"/>
        <v>261</v>
      </c>
      <c r="I2221" t="str">
        <f t="shared" si="942"/>
        <v>XLK</v>
      </c>
      <c r="J2221">
        <f t="shared" si="943"/>
        <v>95.79</v>
      </c>
      <c r="K2221">
        <f t="shared" si="944"/>
        <v>103.44</v>
      </c>
      <c r="L2221">
        <f t="shared" si="945"/>
        <v>99.615000000000009</v>
      </c>
      <c r="M2221">
        <f t="shared" si="946"/>
        <v>3.8249999999999957</v>
      </c>
      <c r="N2221">
        <f t="shared" si="925"/>
        <v>7.6499999999999915</v>
      </c>
      <c r="O2221">
        <f t="shared" si="947"/>
        <v>102.4</v>
      </c>
      <c r="P2221">
        <f t="shared" si="948"/>
        <v>0.72810457516339866</v>
      </c>
      <c r="Q2221" t="str">
        <f t="shared" si="926"/>
        <v>6.46% | 1.02%</v>
      </c>
      <c r="R2221" t="str">
        <f t="shared" si="949"/>
        <v>BULLISH</v>
      </c>
      <c r="S2221">
        <f t="shared" si="927"/>
        <v>1</v>
      </c>
    </row>
    <row r="2222" spans="1:19" hidden="1" x14ac:dyDescent="0.25">
      <c r="A2222" s="5" t="str">
        <f t="shared" si="924"/>
        <v>43992XLU</v>
      </c>
      <c r="B2222" s="6" t="s">
        <v>52</v>
      </c>
      <c r="C2222" s="6">
        <v>58.06</v>
      </c>
      <c r="D2222" s="6">
        <v>63</v>
      </c>
      <c r="E2222" s="6">
        <v>61.57</v>
      </c>
      <c r="F2222" t="str">
        <f t="shared" si="939"/>
        <v>WED</v>
      </c>
      <c r="G2222" s="3">
        <f t="shared" si="940"/>
        <v>43992</v>
      </c>
      <c r="H2222" s="2">
        <f t="shared" ca="1" si="941"/>
        <v>261</v>
      </c>
      <c r="I2222" t="str">
        <f t="shared" si="942"/>
        <v>XLU</v>
      </c>
      <c r="J2222">
        <f t="shared" si="943"/>
        <v>58.06</v>
      </c>
      <c r="K2222">
        <f t="shared" si="944"/>
        <v>63</v>
      </c>
      <c r="L2222">
        <f t="shared" si="945"/>
        <v>60.53</v>
      </c>
      <c r="M2222">
        <f t="shared" si="946"/>
        <v>2.4699999999999989</v>
      </c>
      <c r="N2222">
        <f t="shared" si="925"/>
        <v>4.9399999999999977</v>
      </c>
      <c r="O2222">
        <f t="shared" si="947"/>
        <v>61.57</v>
      </c>
      <c r="P2222">
        <f t="shared" si="948"/>
        <v>0.42105263157894723</v>
      </c>
      <c r="Q2222" t="str">
        <f t="shared" si="926"/>
        <v>5.7% | 2.32%</v>
      </c>
      <c r="R2222" t="str">
        <f t="shared" si="949"/>
        <v>BULLISH</v>
      </c>
      <c r="S2222">
        <f t="shared" si="927"/>
        <v>1</v>
      </c>
    </row>
    <row r="2223" spans="1:19" hidden="1" x14ac:dyDescent="0.25">
      <c r="A2223" s="5" t="str">
        <f t="shared" si="924"/>
        <v>43992XLRE</v>
      </c>
      <c r="B2223" s="6" t="s">
        <v>97</v>
      </c>
      <c r="C2223" s="6">
        <v>33.85</v>
      </c>
      <c r="D2223" s="6">
        <v>38.299999999999997</v>
      </c>
      <c r="E2223" s="6">
        <v>37.42</v>
      </c>
      <c r="F2223" t="str">
        <f t="shared" si="939"/>
        <v>WED</v>
      </c>
      <c r="G2223" s="3">
        <f t="shared" si="940"/>
        <v>43992</v>
      </c>
      <c r="H2223" s="2">
        <f t="shared" ca="1" si="941"/>
        <v>261</v>
      </c>
      <c r="I2223" t="str">
        <f t="shared" si="942"/>
        <v>XLRE</v>
      </c>
      <c r="J2223">
        <f t="shared" si="943"/>
        <v>33.85</v>
      </c>
      <c r="K2223">
        <f t="shared" si="944"/>
        <v>38.299999999999997</v>
      </c>
      <c r="L2223">
        <f t="shared" si="945"/>
        <v>36.075000000000003</v>
      </c>
      <c r="M2223">
        <f t="shared" si="946"/>
        <v>2.2249999999999979</v>
      </c>
      <c r="N2223">
        <f t="shared" si="925"/>
        <v>4.4499999999999957</v>
      </c>
      <c r="O2223">
        <f t="shared" si="947"/>
        <v>37.42</v>
      </c>
      <c r="P2223">
        <f t="shared" si="948"/>
        <v>0.60449438202247197</v>
      </c>
      <c r="Q2223" t="str">
        <f t="shared" si="926"/>
        <v>9.54% | 2.35%</v>
      </c>
      <c r="R2223" t="str">
        <f t="shared" si="949"/>
        <v>BULLISH</v>
      </c>
      <c r="S2223">
        <f t="shared" si="927"/>
        <v>1</v>
      </c>
    </row>
    <row r="2224" spans="1:19" hidden="1" x14ac:dyDescent="0.25">
      <c r="A2224" s="5" t="str">
        <f t="shared" si="924"/>
        <v>43992XLF</v>
      </c>
      <c r="B2224" s="6" t="s">
        <v>12</v>
      </c>
      <c r="C2224" s="6">
        <v>22.35</v>
      </c>
      <c r="D2224" s="6">
        <v>27.13</v>
      </c>
      <c r="E2224" s="6">
        <v>26.17</v>
      </c>
      <c r="F2224" t="str">
        <f t="shared" si="939"/>
        <v>WED</v>
      </c>
      <c r="G2224" s="3">
        <f t="shared" si="940"/>
        <v>43992</v>
      </c>
      <c r="H2224" s="2">
        <f t="shared" ca="1" si="941"/>
        <v>261</v>
      </c>
      <c r="I2224" t="str">
        <f t="shared" si="942"/>
        <v>XLF</v>
      </c>
      <c r="J2224">
        <f t="shared" si="943"/>
        <v>22.35</v>
      </c>
      <c r="K2224">
        <f t="shared" si="944"/>
        <v>27.13</v>
      </c>
      <c r="L2224">
        <f t="shared" si="945"/>
        <v>24.740000000000002</v>
      </c>
      <c r="M2224">
        <f t="shared" si="946"/>
        <v>2.3899999999999988</v>
      </c>
      <c r="N2224">
        <f t="shared" si="925"/>
        <v>4.7799999999999976</v>
      </c>
      <c r="O2224">
        <f t="shared" si="947"/>
        <v>26.17</v>
      </c>
      <c r="P2224">
        <f t="shared" si="948"/>
        <v>0.59832635983263616</v>
      </c>
      <c r="Q2224" t="str">
        <f t="shared" si="926"/>
        <v>14.6% | 3.67%</v>
      </c>
      <c r="R2224" t="str">
        <f t="shared" si="949"/>
        <v>BEARISH</v>
      </c>
      <c r="S2224">
        <f t="shared" si="927"/>
        <v>-1</v>
      </c>
    </row>
    <row r="2225" spans="1:19" hidden="1" x14ac:dyDescent="0.25">
      <c r="A2225" s="5" t="str">
        <f t="shared" si="924"/>
        <v>43992SSEC</v>
      </c>
      <c r="B2225" s="6" t="s">
        <v>14</v>
      </c>
      <c r="C2225" s="6">
        <v>2821</v>
      </c>
      <c r="D2225" s="6">
        <v>2982</v>
      </c>
      <c r="E2225" s="6">
        <v>2943</v>
      </c>
      <c r="F2225" t="str">
        <f t="shared" si="939"/>
        <v>WED</v>
      </c>
      <c r="G2225" s="3">
        <f t="shared" si="940"/>
        <v>43992</v>
      </c>
      <c r="H2225" s="2">
        <f t="shared" ca="1" si="941"/>
        <v>261</v>
      </c>
      <c r="I2225" t="str">
        <f t="shared" si="942"/>
        <v>SSEC</v>
      </c>
      <c r="J2225">
        <f t="shared" si="943"/>
        <v>2821</v>
      </c>
      <c r="K2225">
        <f t="shared" si="944"/>
        <v>2982</v>
      </c>
      <c r="L2225">
        <f t="shared" si="945"/>
        <v>2901.5</v>
      </c>
      <c r="M2225">
        <f t="shared" si="946"/>
        <v>80.5</v>
      </c>
      <c r="N2225">
        <f t="shared" si="925"/>
        <v>161</v>
      </c>
      <c r="O2225">
        <f t="shared" si="947"/>
        <v>2943</v>
      </c>
      <c r="P2225">
        <f t="shared" si="948"/>
        <v>0.51552795031055898</v>
      </c>
      <c r="Q2225" t="str">
        <f t="shared" si="926"/>
        <v>4.15% | 1.33%</v>
      </c>
      <c r="R2225" t="str">
        <f t="shared" si="949"/>
        <v>BEARISH</v>
      </c>
      <c r="S2225">
        <f t="shared" si="927"/>
        <v>-1</v>
      </c>
    </row>
    <row r="2226" spans="1:19" hidden="1" x14ac:dyDescent="0.25">
      <c r="A2226" s="5" t="str">
        <f t="shared" si="924"/>
        <v>43992NIKK</v>
      </c>
      <c r="B2226" s="6" t="s">
        <v>91</v>
      </c>
      <c r="C2226" s="6">
        <v>21361</v>
      </c>
      <c r="D2226" s="6">
        <v>23445</v>
      </c>
      <c r="E2226" s="6">
        <v>23124</v>
      </c>
      <c r="F2226" t="str">
        <f t="shared" si="939"/>
        <v>WED</v>
      </c>
      <c r="G2226" s="3">
        <f t="shared" si="940"/>
        <v>43992</v>
      </c>
      <c r="H2226" s="2">
        <f t="shared" ca="1" si="941"/>
        <v>261</v>
      </c>
      <c r="I2226" t="str">
        <f t="shared" si="942"/>
        <v>NIKK</v>
      </c>
      <c r="J2226">
        <f t="shared" si="943"/>
        <v>21361</v>
      </c>
      <c r="K2226">
        <f t="shared" si="944"/>
        <v>23445</v>
      </c>
      <c r="L2226">
        <f t="shared" si="945"/>
        <v>22403</v>
      </c>
      <c r="M2226">
        <f t="shared" si="946"/>
        <v>1042</v>
      </c>
      <c r="N2226">
        <f t="shared" si="925"/>
        <v>2084</v>
      </c>
      <c r="O2226">
        <f t="shared" si="947"/>
        <v>23124</v>
      </c>
      <c r="P2226">
        <f t="shared" si="948"/>
        <v>0.69193857965451055</v>
      </c>
      <c r="Q2226" t="str">
        <f t="shared" si="926"/>
        <v>7.62% | 1.39%</v>
      </c>
      <c r="R2226" t="str">
        <f t="shared" si="949"/>
        <v>BULLISH</v>
      </c>
      <c r="S2226">
        <f t="shared" si="927"/>
        <v>1</v>
      </c>
    </row>
    <row r="2227" spans="1:19" hidden="1" x14ac:dyDescent="0.25">
      <c r="A2227" s="5" t="str">
        <f t="shared" si="924"/>
        <v>43992DAX</v>
      </c>
      <c r="B2227" s="6" t="s">
        <v>98</v>
      </c>
      <c r="C2227" s="6">
        <v>11365</v>
      </c>
      <c r="D2227" s="6">
        <v>13095</v>
      </c>
      <c r="E2227" s="6">
        <v>12621</v>
      </c>
      <c r="F2227" t="str">
        <f t="shared" si="939"/>
        <v>WED</v>
      </c>
      <c r="G2227" s="3">
        <f t="shared" si="940"/>
        <v>43992</v>
      </c>
      <c r="H2227" s="2">
        <f t="shared" ca="1" si="941"/>
        <v>261</v>
      </c>
      <c r="I2227" t="str">
        <f t="shared" si="942"/>
        <v>DAX</v>
      </c>
      <c r="J2227">
        <f t="shared" si="943"/>
        <v>11365</v>
      </c>
      <c r="K2227">
        <f t="shared" si="944"/>
        <v>13095</v>
      </c>
      <c r="L2227">
        <f t="shared" si="945"/>
        <v>12230</v>
      </c>
      <c r="M2227">
        <f t="shared" si="946"/>
        <v>865</v>
      </c>
      <c r="N2227">
        <f t="shared" si="925"/>
        <v>1730</v>
      </c>
      <c r="O2227">
        <f t="shared" si="947"/>
        <v>12621</v>
      </c>
      <c r="P2227">
        <f t="shared" si="948"/>
        <v>0.45202312138728323</v>
      </c>
      <c r="Q2227" t="str">
        <f t="shared" si="926"/>
        <v>9.95% | 3.76%</v>
      </c>
      <c r="R2227" t="str">
        <f t="shared" si="949"/>
        <v>BULLISH</v>
      </c>
      <c r="S2227">
        <f t="shared" si="927"/>
        <v>1</v>
      </c>
    </row>
    <row r="2228" spans="1:19" hidden="1" x14ac:dyDescent="0.25">
      <c r="A2228" s="5" t="str">
        <f t="shared" si="924"/>
        <v>43992VIX</v>
      </c>
      <c r="B2228" s="6" t="s">
        <v>17</v>
      </c>
      <c r="C2228" s="6">
        <v>24.07</v>
      </c>
      <c r="D2228" s="6">
        <v>33.14</v>
      </c>
      <c r="E2228" s="6">
        <v>27.57</v>
      </c>
      <c r="F2228" t="str">
        <f t="shared" si="939"/>
        <v>WED</v>
      </c>
      <c r="G2228" s="3">
        <f t="shared" si="940"/>
        <v>43992</v>
      </c>
      <c r="H2228" s="2">
        <f t="shared" ca="1" si="941"/>
        <v>261</v>
      </c>
      <c r="I2228" t="str">
        <f t="shared" si="942"/>
        <v>VIX</v>
      </c>
      <c r="J2228">
        <f t="shared" si="943"/>
        <v>24.07</v>
      </c>
      <c r="K2228">
        <f t="shared" si="944"/>
        <v>33.14</v>
      </c>
      <c r="L2228">
        <f t="shared" si="945"/>
        <v>28.605</v>
      </c>
      <c r="M2228">
        <f t="shared" si="946"/>
        <v>4.5350000000000037</v>
      </c>
      <c r="N2228">
        <f t="shared" si="925"/>
        <v>9.07</v>
      </c>
      <c r="O2228">
        <f t="shared" si="947"/>
        <v>27.57</v>
      </c>
      <c r="P2228">
        <f t="shared" si="948"/>
        <v>-0.22822491730981243</v>
      </c>
      <c r="Q2228" t="str">
        <f t="shared" si="926"/>
        <v>12.69% | 20.2%</v>
      </c>
      <c r="R2228" t="str">
        <f t="shared" si="949"/>
        <v>BULLISH</v>
      </c>
      <c r="S2228">
        <f t="shared" si="927"/>
        <v>1</v>
      </c>
    </row>
    <row r="2229" spans="1:19" hidden="1" x14ac:dyDescent="0.25">
      <c r="A2229" s="5" t="str">
        <f t="shared" si="924"/>
        <v>43992USD</v>
      </c>
      <c r="B2229" s="6" t="s">
        <v>94</v>
      </c>
      <c r="C2229" s="6">
        <v>95.87</v>
      </c>
      <c r="D2229" s="6">
        <v>98.9</v>
      </c>
      <c r="E2229" s="6">
        <v>96.32</v>
      </c>
      <c r="F2229" t="str">
        <f t="shared" si="939"/>
        <v>WED</v>
      </c>
      <c r="G2229" s="3">
        <f t="shared" si="940"/>
        <v>43992</v>
      </c>
      <c r="H2229" s="2">
        <f t="shared" ca="1" si="941"/>
        <v>261</v>
      </c>
      <c r="I2229" t="str">
        <f t="shared" si="942"/>
        <v>USD</v>
      </c>
      <c r="J2229">
        <f t="shared" si="943"/>
        <v>95.87</v>
      </c>
      <c r="K2229">
        <f t="shared" si="944"/>
        <v>98.9</v>
      </c>
      <c r="L2229">
        <f t="shared" si="945"/>
        <v>97.385000000000005</v>
      </c>
      <c r="M2229">
        <f t="shared" si="946"/>
        <v>1.5150000000000006</v>
      </c>
      <c r="N2229">
        <f t="shared" si="925"/>
        <v>3.0300000000000011</v>
      </c>
      <c r="O2229">
        <f t="shared" si="947"/>
        <v>96.32</v>
      </c>
      <c r="P2229">
        <f t="shared" si="948"/>
        <v>-0.70297029702971059</v>
      </c>
      <c r="Q2229" t="str">
        <f t="shared" si="926"/>
        <v>0.47% | 2.68%</v>
      </c>
      <c r="R2229" t="str">
        <f t="shared" si="949"/>
        <v>BEARISH</v>
      </c>
      <c r="S2229">
        <f t="shared" si="927"/>
        <v>-1</v>
      </c>
    </row>
    <row r="2230" spans="1:19" hidden="1" x14ac:dyDescent="0.25">
      <c r="A2230" s="5" t="str">
        <f t="shared" si="924"/>
        <v>43992EUR/USD</v>
      </c>
      <c r="B2230" s="6" t="s">
        <v>99</v>
      </c>
      <c r="C2230" s="6">
        <v>1.1000000000000001</v>
      </c>
      <c r="D2230" s="6">
        <v>1.1399999999999999</v>
      </c>
      <c r="E2230" s="6">
        <v>1.1299999999999999</v>
      </c>
      <c r="F2230" t="str">
        <f t="shared" si="939"/>
        <v>WED</v>
      </c>
      <c r="G2230" s="3">
        <f t="shared" si="940"/>
        <v>43992</v>
      </c>
      <c r="H2230" s="2">
        <f t="shared" ca="1" si="941"/>
        <v>261</v>
      </c>
      <c r="I2230" t="str">
        <f t="shared" si="942"/>
        <v>EUR/USD</v>
      </c>
      <c r="J2230">
        <f t="shared" si="943"/>
        <v>1.1000000000000001</v>
      </c>
      <c r="K2230">
        <f t="shared" si="944"/>
        <v>1.1399999999999999</v>
      </c>
      <c r="L2230">
        <f t="shared" si="945"/>
        <v>1.1200000000000001</v>
      </c>
      <c r="M2230">
        <f t="shared" si="946"/>
        <v>1.9999999999999907E-2</v>
      </c>
      <c r="N2230">
        <f t="shared" si="925"/>
        <v>3.9999999999999813E-2</v>
      </c>
      <c r="O2230">
        <f t="shared" si="947"/>
        <v>1.1299999999999999</v>
      </c>
      <c r="P2230">
        <f t="shared" si="948"/>
        <v>0.49999999999999167</v>
      </c>
      <c r="Q2230" t="str">
        <f t="shared" si="926"/>
        <v>2.65% | 0.88%</v>
      </c>
      <c r="R2230" t="str">
        <f t="shared" si="949"/>
        <v>BULLISH</v>
      </c>
      <c r="S2230">
        <f t="shared" si="927"/>
        <v>1</v>
      </c>
    </row>
    <row r="2231" spans="1:19" hidden="1" x14ac:dyDescent="0.25">
      <c r="A2231" s="5" t="str">
        <f t="shared" si="924"/>
        <v>43992USD/JPY</v>
      </c>
      <c r="B2231" s="6" t="s">
        <v>86</v>
      </c>
      <c r="C2231" s="6">
        <v>106.91</v>
      </c>
      <c r="D2231" s="6">
        <v>109.94</v>
      </c>
      <c r="E2231" s="6">
        <v>107.75</v>
      </c>
      <c r="F2231" t="str">
        <f t="shared" si="939"/>
        <v>WED</v>
      </c>
      <c r="G2231" s="3">
        <f t="shared" si="940"/>
        <v>43992</v>
      </c>
      <c r="H2231" s="2">
        <f t="shared" ca="1" si="941"/>
        <v>261</v>
      </c>
      <c r="I2231" t="str">
        <f t="shared" si="942"/>
        <v>USD/JPY</v>
      </c>
      <c r="J2231">
        <f t="shared" si="943"/>
        <v>106.91</v>
      </c>
      <c r="K2231">
        <f t="shared" si="944"/>
        <v>109.94</v>
      </c>
      <c r="L2231">
        <f t="shared" si="945"/>
        <v>108.425</v>
      </c>
      <c r="M2231">
        <f t="shared" si="946"/>
        <v>1.5150000000000006</v>
      </c>
      <c r="N2231">
        <f t="shared" si="925"/>
        <v>3.0300000000000011</v>
      </c>
      <c r="O2231">
        <f t="shared" si="947"/>
        <v>107.75</v>
      </c>
      <c r="P2231">
        <f t="shared" si="948"/>
        <v>-0.4455445544554435</v>
      </c>
      <c r="Q2231" t="str">
        <f t="shared" si="926"/>
        <v>0.78% | 2.03%</v>
      </c>
      <c r="R2231" t="str">
        <f t="shared" si="949"/>
        <v>NEUTRAL</v>
      </c>
      <c r="S2231">
        <f t="shared" si="927"/>
        <v>0</v>
      </c>
    </row>
    <row r="2232" spans="1:19" hidden="1" x14ac:dyDescent="0.25">
      <c r="A2232" s="5" t="str">
        <f t="shared" si="924"/>
        <v>43992GBP/USD</v>
      </c>
      <c r="B2232" s="6" t="s">
        <v>79</v>
      </c>
      <c r="C2232" s="6">
        <v>1.22</v>
      </c>
      <c r="D2232" s="6">
        <v>1.28</v>
      </c>
      <c r="E2232" s="6">
        <v>1.27</v>
      </c>
      <c r="F2232" t="str">
        <f t="shared" si="939"/>
        <v>WED</v>
      </c>
      <c r="G2232" s="3">
        <f t="shared" si="940"/>
        <v>43992</v>
      </c>
      <c r="H2232" s="2">
        <f t="shared" ca="1" si="941"/>
        <v>261</v>
      </c>
      <c r="I2232" t="str">
        <f t="shared" si="942"/>
        <v>GBP/USD</v>
      </c>
      <c r="J2232">
        <f t="shared" si="943"/>
        <v>1.22</v>
      </c>
      <c r="K2232">
        <f t="shared" si="944"/>
        <v>1.28</v>
      </c>
      <c r="L2232">
        <f t="shared" si="945"/>
        <v>1.25</v>
      </c>
      <c r="M2232">
        <f t="shared" si="946"/>
        <v>3.0000000000000027E-2</v>
      </c>
      <c r="N2232">
        <f t="shared" si="925"/>
        <v>6.0000000000000053E-2</v>
      </c>
      <c r="O2232">
        <f t="shared" si="947"/>
        <v>1.27</v>
      </c>
      <c r="P2232">
        <f t="shared" si="948"/>
        <v>0.66666666666666663</v>
      </c>
      <c r="Q2232" t="str">
        <f t="shared" si="926"/>
        <v>3.94% | 0.79%</v>
      </c>
      <c r="R2232" t="str">
        <f t="shared" si="949"/>
        <v>NEUTRAL</v>
      </c>
      <c r="S2232">
        <f t="shared" si="927"/>
        <v>0</v>
      </c>
    </row>
    <row r="2233" spans="1:19" hidden="1" x14ac:dyDescent="0.25">
      <c r="A2233" s="5" t="str">
        <f t="shared" si="924"/>
        <v>43992USD/CHF</v>
      </c>
      <c r="B2233" s="6" t="s">
        <v>76</v>
      </c>
      <c r="C2233" s="6">
        <v>0.94</v>
      </c>
      <c r="D2233" s="6">
        <v>0.96</v>
      </c>
      <c r="E2233" s="6">
        <v>0.95</v>
      </c>
      <c r="F2233" t="str">
        <f t="shared" si="939"/>
        <v>WED</v>
      </c>
      <c r="G2233" s="3">
        <f t="shared" si="940"/>
        <v>43992</v>
      </c>
      <c r="H2233" s="2">
        <f t="shared" ca="1" si="941"/>
        <v>261</v>
      </c>
      <c r="I2233" t="str">
        <f t="shared" si="942"/>
        <v>USD/CHF</v>
      </c>
      <c r="J2233">
        <f t="shared" si="943"/>
        <v>0.94</v>
      </c>
      <c r="K2233">
        <f t="shared" si="944"/>
        <v>0.96</v>
      </c>
      <c r="L2233">
        <f t="shared" si="945"/>
        <v>0.95</v>
      </c>
      <c r="M2233">
        <f t="shared" si="946"/>
        <v>1.0000000000000009E-2</v>
      </c>
      <c r="N2233">
        <f t="shared" si="925"/>
        <v>2.0000000000000018E-2</v>
      </c>
      <c r="O2233">
        <f t="shared" si="947"/>
        <v>0.95</v>
      </c>
      <c r="P2233">
        <f t="shared" si="948"/>
        <v>0</v>
      </c>
      <c r="Q2233" t="str">
        <f t="shared" si="926"/>
        <v>1.05% | 1.05%</v>
      </c>
      <c r="R2233" t="str">
        <f t="shared" si="949"/>
        <v>BEARISH</v>
      </c>
      <c r="S2233">
        <f t="shared" si="927"/>
        <v>-1</v>
      </c>
    </row>
    <row r="2234" spans="1:19" hidden="1" x14ac:dyDescent="0.25">
      <c r="A2234" s="5" t="str">
        <f t="shared" si="924"/>
        <v>43992WTIC</v>
      </c>
      <c r="B2234" s="6" t="s">
        <v>23</v>
      </c>
      <c r="C2234" s="6">
        <v>32.299999999999997</v>
      </c>
      <c r="D2234" s="6">
        <v>40.49</v>
      </c>
      <c r="E2234" s="6">
        <v>38.94</v>
      </c>
      <c r="F2234" t="str">
        <f t="shared" si="939"/>
        <v>WED</v>
      </c>
      <c r="G2234" s="3">
        <f t="shared" si="940"/>
        <v>43992</v>
      </c>
      <c r="H2234" s="2">
        <f t="shared" ca="1" si="941"/>
        <v>261</v>
      </c>
      <c r="I2234" t="str">
        <f t="shared" si="942"/>
        <v>WTIC</v>
      </c>
      <c r="J2234">
        <f t="shared" si="943"/>
        <v>32.299999999999997</v>
      </c>
      <c r="K2234">
        <f t="shared" si="944"/>
        <v>40.49</v>
      </c>
      <c r="L2234">
        <f t="shared" si="945"/>
        <v>36.394999999999996</v>
      </c>
      <c r="M2234">
        <f t="shared" si="946"/>
        <v>4.0950000000000344</v>
      </c>
      <c r="N2234">
        <f t="shared" si="925"/>
        <v>8.1900000000000048</v>
      </c>
      <c r="O2234">
        <f t="shared" si="947"/>
        <v>38.94</v>
      </c>
      <c r="P2234">
        <f t="shared" si="948"/>
        <v>0.62148962148961673</v>
      </c>
      <c r="Q2234" t="str">
        <f t="shared" si="926"/>
        <v>17.05% | 3.98%</v>
      </c>
      <c r="R2234" t="str">
        <f t="shared" si="949"/>
        <v>BEARISH</v>
      </c>
      <c r="S2234">
        <f t="shared" si="927"/>
        <v>-1</v>
      </c>
    </row>
    <row r="2235" spans="1:19" hidden="1" x14ac:dyDescent="0.25">
      <c r="A2235" s="5" t="str">
        <f t="shared" si="924"/>
        <v>43992NATGAS</v>
      </c>
      <c r="B2235" s="6" t="s">
        <v>24</v>
      </c>
      <c r="C2235" s="6">
        <v>1.71</v>
      </c>
      <c r="D2235" s="6">
        <v>1.9</v>
      </c>
      <c r="E2235" s="6">
        <v>1.77</v>
      </c>
      <c r="F2235" t="str">
        <f t="shared" si="939"/>
        <v>WED</v>
      </c>
      <c r="G2235" s="3">
        <f t="shared" si="940"/>
        <v>43992</v>
      </c>
      <c r="H2235" s="2">
        <f t="shared" ca="1" si="941"/>
        <v>261</v>
      </c>
      <c r="I2235" t="str">
        <f t="shared" si="942"/>
        <v>NATGAS</v>
      </c>
      <c r="J2235">
        <f t="shared" si="943"/>
        <v>1.71</v>
      </c>
      <c r="K2235">
        <f t="shared" si="944"/>
        <v>1.9</v>
      </c>
      <c r="L2235">
        <f t="shared" si="945"/>
        <v>1.8049999999999999</v>
      </c>
      <c r="M2235">
        <f t="shared" si="946"/>
        <v>9.4999999999999973E-2</v>
      </c>
      <c r="N2235">
        <f t="shared" si="925"/>
        <v>0.18999999999999995</v>
      </c>
      <c r="O2235">
        <f t="shared" si="947"/>
        <v>1.77</v>
      </c>
      <c r="P2235">
        <f t="shared" si="948"/>
        <v>-0.36842105263157821</v>
      </c>
      <c r="Q2235" t="str">
        <f t="shared" si="926"/>
        <v>3.39% | 7.34%</v>
      </c>
      <c r="R2235" t="str">
        <f t="shared" si="949"/>
        <v>BEARISH</v>
      </c>
      <c r="S2235">
        <f t="shared" si="927"/>
        <v>-1</v>
      </c>
    </row>
    <row r="2236" spans="1:19" hidden="1" x14ac:dyDescent="0.25">
      <c r="A2236" s="5" t="str">
        <f t="shared" si="924"/>
        <v>43992GOLD</v>
      </c>
      <c r="B2236" s="6" t="s">
        <v>25</v>
      </c>
      <c r="C2236" s="6">
        <v>1681</v>
      </c>
      <c r="D2236" s="6">
        <v>1769</v>
      </c>
      <c r="E2236" s="6">
        <v>1721</v>
      </c>
      <c r="F2236" t="str">
        <f t="shared" si="939"/>
        <v>WED</v>
      </c>
      <c r="G2236" s="3">
        <f t="shared" si="940"/>
        <v>43992</v>
      </c>
      <c r="H2236" s="2">
        <f t="shared" ca="1" si="941"/>
        <v>261</v>
      </c>
      <c r="I2236" t="str">
        <f t="shared" si="942"/>
        <v>GOLD</v>
      </c>
      <c r="J2236">
        <f t="shared" si="943"/>
        <v>1681</v>
      </c>
      <c r="K2236">
        <f t="shared" si="944"/>
        <v>1769</v>
      </c>
      <c r="L2236">
        <f t="shared" si="945"/>
        <v>1725</v>
      </c>
      <c r="M2236">
        <f t="shared" si="946"/>
        <v>44</v>
      </c>
      <c r="N2236">
        <f t="shared" si="925"/>
        <v>88</v>
      </c>
      <c r="O2236">
        <f t="shared" si="947"/>
        <v>1721</v>
      </c>
      <c r="P2236">
        <f t="shared" si="948"/>
        <v>-9.0909090909090912E-2</v>
      </c>
      <c r="Q2236" t="str">
        <f t="shared" si="926"/>
        <v>2.32% | 2.79%</v>
      </c>
      <c r="R2236" t="str">
        <f t="shared" si="949"/>
        <v>BULLISH</v>
      </c>
      <c r="S2236">
        <f t="shared" si="927"/>
        <v>1</v>
      </c>
    </row>
    <row r="2237" spans="1:19" hidden="1" x14ac:dyDescent="0.25">
      <c r="A2237" s="5" t="str">
        <f t="shared" si="924"/>
        <v>43992COPPER</v>
      </c>
      <c r="B2237" s="6" t="s">
        <v>88</v>
      </c>
      <c r="C2237" s="6">
        <v>2.39</v>
      </c>
      <c r="D2237" s="6">
        <v>2.62</v>
      </c>
      <c r="E2237" s="6">
        <v>2.6</v>
      </c>
      <c r="F2237" t="str">
        <f t="shared" si="939"/>
        <v>WED</v>
      </c>
      <c r="G2237" s="3">
        <f t="shared" si="940"/>
        <v>43992</v>
      </c>
      <c r="H2237" s="2">
        <f t="shared" ca="1" si="941"/>
        <v>261</v>
      </c>
      <c r="I2237" t="str">
        <f t="shared" si="942"/>
        <v>COPPER</v>
      </c>
      <c r="J2237">
        <f t="shared" si="943"/>
        <v>2.39</v>
      </c>
      <c r="K2237">
        <f t="shared" si="944"/>
        <v>2.62</v>
      </c>
      <c r="L2237">
        <f t="shared" si="945"/>
        <v>2.5049999999999999</v>
      </c>
      <c r="M2237">
        <f t="shared" si="946"/>
        <v>0.11499999999999999</v>
      </c>
      <c r="N2237">
        <f t="shared" si="925"/>
        <v>0.22999999999999998</v>
      </c>
      <c r="O2237">
        <f t="shared" si="947"/>
        <v>2.6</v>
      </c>
      <c r="P2237">
        <f t="shared" si="948"/>
        <v>0.82608695652174091</v>
      </c>
      <c r="Q2237" t="str">
        <f t="shared" si="926"/>
        <v>8.08% | 0.77%</v>
      </c>
      <c r="R2237" t="str">
        <f t="shared" si="949"/>
        <v>NEUTRAL</v>
      </c>
      <c r="S2237">
        <f t="shared" si="927"/>
        <v>0</v>
      </c>
    </row>
    <row r="2238" spans="1:19" hidden="1" x14ac:dyDescent="0.25">
      <c r="A2238" s="5" t="str">
        <f t="shared" si="924"/>
        <v>43992MSFT</v>
      </c>
      <c r="B2238" s="6" t="s">
        <v>27</v>
      </c>
      <c r="C2238" s="6">
        <v>180</v>
      </c>
      <c r="D2238" s="6">
        <v>191</v>
      </c>
      <c r="E2238" s="6">
        <v>189</v>
      </c>
      <c r="F2238" t="str">
        <f t="shared" si="939"/>
        <v>WED</v>
      </c>
      <c r="G2238" s="3">
        <f t="shared" si="940"/>
        <v>43992</v>
      </c>
      <c r="H2238" s="2">
        <f t="shared" ca="1" si="941"/>
        <v>261</v>
      </c>
      <c r="I2238" t="str">
        <f t="shared" si="942"/>
        <v>MSFT</v>
      </c>
      <c r="J2238">
        <f t="shared" si="943"/>
        <v>180</v>
      </c>
      <c r="K2238">
        <f t="shared" si="944"/>
        <v>191</v>
      </c>
      <c r="L2238">
        <f t="shared" si="945"/>
        <v>185.5</v>
      </c>
      <c r="M2238">
        <f t="shared" si="946"/>
        <v>5.5</v>
      </c>
      <c r="N2238">
        <f t="shared" si="925"/>
        <v>11</v>
      </c>
      <c r="O2238">
        <f t="shared" si="947"/>
        <v>189</v>
      </c>
      <c r="P2238">
        <f t="shared" si="948"/>
        <v>0.63636363636363635</v>
      </c>
      <c r="Q2238" t="str">
        <f t="shared" si="926"/>
        <v>4.76% | 1.06%</v>
      </c>
      <c r="R2238" t="str">
        <f t="shared" si="949"/>
        <v>BULLISH</v>
      </c>
      <c r="S2238">
        <f t="shared" si="927"/>
        <v>1</v>
      </c>
    </row>
    <row r="2239" spans="1:19" hidden="1" x14ac:dyDescent="0.25">
      <c r="A2239" s="5" t="str">
        <f t="shared" si="924"/>
        <v>43992AAPL</v>
      </c>
      <c r="B2239" s="6" t="s">
        <v>28</v>
      </c>
      <c r="C2239" s="6">
        <v>315</v>
      </c>
      <c r="D2239" s="6">
        <v>348</v>
      </c>
      <c r="E2239" s="6">
        <v>343</v>
      </c>
      <c r="F2239" t="str">
        <f t="shared" si="939"/>
        <v>WED</v>
      </c>
      <c r="G2239" s="3">
        <f t="shared" si="940"/>
        <v>43992</v>
      </c>
      <c r="H2239" s="2">
        <f t="shared" ca="1" si="941"/>
        <v>261</v>
      </c>
      <c r="I2239" t="str">
        <f t="shared" si="942"/>
        <v>AAPL</v>
      </c>
      <c r="J2239">
        <f t="shared" si="943"/>
        <v>315</v>
      </c>
      <c r="K2239">
        <f t="shared" si="944"/>
        <v>348</v>
      </c>
      <c r="L2239">
        <f t="shared" si="945"/>
        <v>331.5</v>
      </c>
      <c r="M2239">
        <f t="shared" si="946"/>
        <v>16.5</v>
      </c>
      <c r="N2239">
        <f t="shared" si="925"/>
        <v>33</v>
      </c>
      <c r="O2239">
        <f t="shared" si="947"/>
        <v>343</v>
      </c>
      <c r="P2239">
        <f t="shared" si="948"/>
        <v>0.69696969696969702</v>
      </c>
      <c r="Q2239" t="str">
        <f t="shared" si="926"/>
        <v>8.16% | 1.46%</v>
      </c>
      <c r="R2239" t="str">
        <f t="shared" si="949"/>
        <v>BULLISH</v>
      </c>
      <c r="S2239">
        <f t="shared" si="927"/>
        <v>1</v>
      </c>
    </row>
    <row r="2240" spans="1:19" hidden="1" x14ac:dyDescent="0.25">
      <c r="A2240" s="5" t="str">
        <f t="shared" si="924"/>
        <v>43992AMZN</v>
      </c>
      <c r="B2240" s="6" t="s">
        <v>29</v>
      </c>
      <c r="C2240" s="6">
        <v>2421</v>
      </c>
      <c r="D2240" s="6">
        <v>2611</v>
      </c>
      <c r="E2240" s="6">
        <v>2600</v>
      </c>
      <c r="F2240" t="str">
        <f t="shared" si="939"/>
        <v>WED</v>
      </c>
      <c r="G2240" s="3">
        <f t="shared" si="940"/>
        <v>43992</v>
      </c>
      <c r="H2240" s="2">
        <f t="shared" ca="1" si="941"/>
        <v>261</v>
      </c>
      <c r="I2240" t="str">
        <f t="shared" si="942"/>
        <v>AMZN</v>
      </c>
      <c r="J2240">
        <f t="shared" si="943"/>
        <v>2421</v>
      </c>
      <c r="K2240">
        <f t="shared" si="944"/>
        <v>2611</v>
      </c>
      <c r="L2240">
        <f t="shared" si="945"/>
        <v>2516</v>
      </c>
      <c r="M2240">
        <f t="shared" si="946"/>
        <v>95</v>
      </c>
      <c r="N2240">
        <f t="shared" si="925"/>
        <v>190</v>
      </c>
      <c r="O2240">
        <f t="shared" si="947"/>
        <v>2600</v>
      </c>
      <c r="P2240">
        <f t="shared" si="948"/>
        <v>0.88421052631578945</v>
      </c>
      <c r="Q2240" t="str">
        <f t="shared" si="926"/>
        <v>6.88% | 0.42%</v>
      </c>
      <c r="R2240" t="str">
        <f t="shared" si="949"/>
        <v>BULLISH</v>
      </c>
      <c r="S2240">
        <f t="shared" si="927"/>
        <v>1</v>
      </c>
    </row>
    <row r="2241" spans="1:19" hidden="1" x14ac:dyDescent="0.25">
      <c r="A2241" s="5" t="str">
        <f t="shared" si="924"/>
        <v>43992FB</v>
      </c>
      <c r="B2241" s="6" t="s">
        <v>30</v>
      </c>
      <c r="C2241" s="6">
        <v>220</v>
      </c>
      <c r="D2241" s="6">
        <v>240</v>
      </c>
      <c r="E2241" s="6">
        <v>238</v>
      </c>
      <c r="F2241" t="str">
        <f t="shared" si="939"/>
        <v>WED</v>
      </c>
      <c r="G2241" s="3">
        <f t="shared" si="940"/>
        <v>43992</v>
      </c>
      <c r="H2241" s="2">
        <f t="shared" ca="1" si="941"/>
        <v>261</v>
      </c>
      <c r="I2241" t="str">
        <f t="shared" si="942"/>
        <v>FB</v>
      </c>
      <c r="J2241">
        <f t="shared" si="943"/>
        <v>220</v>
      </c>
      <c r="K2241">
        <f t="shared" si="944"/>
        <v>240</v>
      </c>
      <c r="L2241">
        <f t="shared" si="945"/>
        <v>230</v>
      </c>
      <c r="M2241">
        <f t="shared" si="946"/>
        <v>10</v>
      </c>
      <c r="N2241">
        <f t="shared" si="925"/>
        <v>20</v>
      </c>
      <c r="O2241">
        <f t="shared" si="947"/>
        <v>238</v>
      </c>
      <c r="P2241">
        <f t="shared" si="948"/>
        <v>0.8</v>
      </c>
      <c r="Q2241" t="str">
        <f t="shared" si="926"/>
        <v>7.56% | 0.84%</v>
      </c>
      <c r="R2241" t="str">
        <f t="shared" si="949"/>
        <v>BULLISH</v>
      </c>
      <c r="S2241">
        <f t="shared" si="927"/>
        <v>1</v>
      </c>
    </row>
    <row r="2242" spans="1:19" hidden="1" x14ac:dyDescent="0.25">
      <c r="A2242" s="5" t="str">
        <f t="shared" si="924"/>
        <v>43992GOOGL</v>
      </c>
      <c r="B2242" s="6" t="s">
        <v>31</v>
      </c>
      <c r="C2242" s="6">
        <v>1391</v>
      </c>
      <c r="D2242" s="6">
        <v>1461</v>
      </c>
      <c r="E2242" s="6">
        <v>1452</v>
      </c>
      <c r="F2242" t="str">
        <f t="shared" si="939"/>
        <v>WED</v>
      </c>
      <c r="G2242" s="3">
        <f t="shared" si="940"/>
        <v>43992</v>
      </c>
      <c r="H2242" s="2">
        <f t="shared" ca="1" si="941"/>
        <v>261</v>
      </c>
      <c r="I2242" t="str">
        <f t="shared" si="942"/>
        <v>GOOGL</v>
      </c>
      <c r="J2242">
        <f t="shared" si="943"/>
        <v>1391</v>
      </c>
      <c r="K2242">
        <f t="shared" si="944"/>
        <v>1461</v>
      </c>
      <c r="L2242">
        <f t="shared" si="945"/>
        <v>1426</v>
      </c>
      <c r="M2242">
        <f t="shared" si="946"/>
        <v>35</v>
      </c>
      <c r="N2242">
        <f t="shared" si="925"/>
        <v>70</v>
      </c>
      <c r="O2242">
        <f t="shared" si="947"/>
        <v>1452</v>
      </c>
      <c r="P2242">
        <f t="shared" si="948"/>
        <v>0.74285714285714288</v>
      </c>
      <c r="Q2242" t="str">
        <f t="shared" si="926"/>
        <v>4.2% | 0.62%</v>
      </c>
      <c r="R2242" t="str">
        <f t="shared" si="949"/>
        <v>BULLISH</v>
      </c>
      <c r="S2242">
        <f t="shared" si="927"/>
        <v>1</v>
      </c>
    </row>
    <row r="2243" spans="1:19" hidden="1" x14ac:dyDescent="0.25">
      <c r="A2243" s="5" t="str">
        <f t="shared" ref="A2243:A2306" si="950">G2243&amp;I2243</f>
        <v>43992NFLX</v>
      </c>
      <c r="B2243" s="6" t="s">
        <v>32</v>
      </c>
      <c r="C2243" s="6">
        <v>405</v>
      </c>
      <c r="D2243" s="6">
        <v>439</v>
      </c>
      <c r="E2243" s="6">
        <v>434</v>
      </c>
      <c r="F2243" t="str">
        <f t="shared" si="939"/>
        <v>WED</v>
      </c>
      <c r="G2243" s="3">
        <f t="shared" si="940"/>
        <v>43992</v>
      </c>
      <c r="H2243" s="2">
        <f t="shared" ca="1" si="941"/>
        <v>261</v>
      </c>
      <c r="I2243" t="str">
        <f t="shared" si="942"/>
        <v>NFLX</v>
      </c>
      <c r="J2243">
        <f t="shared" si="943"/>
        <v>405</v>
      </c>
      <c r="K2243">
        <f t="shared" si="944"/>
        <v>439</v>
      </c>
      <c r="L2243">
        <f t="shared" si="945"/>
        <v>422</v>
      </c>
      <c r="M2243">
        <f t="shared" si="946"/>
        <v>17</v>
      </c>
      <c r="N2243">
        <f t="shared" ref="N2243:N2306" si="951">ABS(K2243-J2243)</f>
        <v>34</v>
      </c>
      <c r="O2243">
        <f t="shared" si="947"/>
        <v>434</v>
      </c>
      <c r="P2243">
        <f t="shared" si="948"/>
        <v>0.70588235294117652</v>
      </c>
      <c r="Q2243" t="str">
        <f t="shared" ref="Q2243:Q2306" si="952">ROUND(ABS(100*(O2243-J2243)/O2243),2)&amp;"% | "&amp;ROUND(ABS(100*(K2243-O2243)/O2243),2)&amp;"%"</f>
        <v>6.68% | 1.15%</v>
      </c>
      <c r="R2243" t="str">
        <f t="shared" si="949"/>
        <v>BULLISH</v>
      </c>
      <c r="S2243">
        <f t="shared" ref="S2243:S2306" si="953">IF(R2243="BEARISH",-1,IF(R2243="NEUTRAL",0,IF(R2243="BULLISH",1,99)))</f>
        <v>1</v>
      </c>
    </row>
    <row r="2244" spans="1:19" x14ac:dyDescent="0.25">
      <c r="A2244" s="5" t="str">
        <f t="shared" si="950"/>
        <v>43992TSLA</v>
      </c>
      <c r="B2244" s="6" t="s">
        <v>33</v>
      </c>
      <c r="C2244" s="6">
        <v>818</v>
      </c>
      <c r="D2244" s="6">
        <v>970</v>
      </c>
      <c r="E2244" s="6">
        <v>940</v>
      </c>
      <c r="F2244" t="str">
        <f t="shared" si="939"/>
        <v>WED</v>
      </c>
      <c r="G2244" s="3">
        <f t="shared" si="940"/>
        <v>43992</v>
      </c>
      <c r="H2244" s="2">
        <f t="shared" ca="1" si="941"/>
        <v>261</v>
      </c>
      <c r="I2244" t="str">
        <f t="shared" si="942"/>
        <v>TSLA</v>
      </c>
      <c r="J2244">
        <f t="shared" si="943"/>
        <v>818</v>
      </c>
      <c r="K2244">
        <f t="shared" si="944"/>
        <v>970</v>
      </c>
      <c r="L2244">
        <f t="shared" si="945"/>
        <v>894</v>
      </c>
      <c r="M2244">
        <f t="shared" si="946"/>
        <v>76</v>
      </c>
      <c r="N2244">
        <f t="shared" si="951"/>
        <v>152</v>
      </c>
      <c r="O2244">
        <f t="shared" si="947"/>
        <v>940</v>
      </c>
      <c r="P2244">
        <f t="shared" si="948"/>
        <v>0.60526315789473684</v>
      </c>
      <c r="Q2244" t="str">
        <f t="shared" si="952"/>
        <v>12.98% | 3.19%</v>
      </c>
      <c r="R2244" t="str">
        <f t="shared" si="949"/>
        <v>BULLISH</v>
      </c>
      <c r="S2244">
        <f t="shared" si="953"/>
        <v>1</v>
      </c>
    </row>
    <row r="2245" spans="1:19" hidden="1" x14ac:dyDescent="0.25">
      <c r="A2245" s="5" t="str">
        <f t="shared" si="950"/>
        <v>43992NYXBT</v>
      </c>
      <c r="B2245" s="6" t="s">
        <v>34</v>
      </c>
      <c r="C2245" s="6">
        <v>9210</v>
      </c>
      <c r="D2245" s="6">
        <v>10001</v>
      </c>
      <c r="E2245" s="6">
        <v>9721</v>
      </c>
      <c r="F2245" t="str">
        <f t="shared" si="939"/>
        <v>WED</v>
      </c>
      <c r="G2245" s="3">
        <f t="shared" si="940"/>
        <v>43992</v>
      </c>
      <c r="H2245" s="2">
        <f t="shared" ca="1" si="941"/>
        <v>261</v>
      </c>
      <c r="I2245" t="str">
        <f t="shared" si="942"/>
        <v>NYXBT</v>
      </c>
      <c r="J2245">
        <f t="shared" si="943"/>
        <v>9210</v>
      </c>
      <c r="K2245">
        <f t="shared" si="944"/>
        <v>10001</v>
      </c>
      <c r="L2245">
        <f t="shared" si="945"/>
        <v>9605.5</v>
      </c>
      <c r="M2245">
        <f t="shared" si="946"/>
        <v>395.5</v>
      </c>
      <c r="N2245">
        <f t="shared" si="951"/>
        <v>791</v>
      </c>
      <c r="O2245">
        <f t="shared" si="947"/>
        <v>9721</v>
      </c>
      <c r="P2245">
        <f t="shared" si="948"/>
        <v>0.29203539823008851</v>
      </c>
      <c r="Q2245" t="str">
        <f t="shared" si="952"/>
        <v>5.26% | 2.88%</v>
      </c>
      <c r="R2245" t="str">
        <f t="shared" si="949"/>
        <v>BULLISH</v>
      </c>
      <c r="S2245">
        <f t="shared" si="953"/>
        <v>1</v>
      </c>
    </row>
    <row r="2246" spans="1:19" hidden="1" x14ac:dyDescent="0.25">
      <c r="A2246" s="5" t="str">
        <f t="shared" si="950"/>
        <v>43993UST10Y</v>
      </c>
      <c r="B2246" s="6" t="s">
        <v>4</v>
      </c>
      <c r="C2246" s="6">
        <v>0.92</v>
      </c>
      <c r="D2246" s="6">
        <v>0.57999999999999996</v>
      </c>
      <c r="E2246" s="6">
        <v>0.75</v>
      </c>
      <c r="F2246" t="str">
        <f t="shared" si="939"/>
        <v>THU</v>
      </c>
      <c r="G2246" s="1">
        <f>DATE(2020,6,11)</f>
        <v>43993</v>
      </c>
      <c r="H2246" s="2">
        <f t="shared" ca="1" si="941"/>
        <v>260</v>
      </c>
      <c r="I2246" t="str">
        <f t="shared" si="942"/>
        <v>UST10Y</v>
      </c>
      <c r="J2246">
        <f t="shared" si="943"/>
        <v>0.92</v>
      </c>
      <c r="K2246">
        <f t="shared" si="944"/>
        <v>0.57999999999999996</v>
      </c>
      <c r="L2246">
        <f t="shared" si="945"/>
        <v>0.75</v>
      </c>
      <c r="M2246">
        <f t="shared" si="946"/>
        <v>0.1700000000000001</v>
      </c>
      <c r="N2246">
        <f t="shared" si="951"/>
        <v>0.34000000000000008</v>
      </c>
      <c r="O2246">
        <f t="shared" si="947"/>
        <v>0.75</v>
      </c>
      <c r="P2246">
        <f t="shared" si="948"/>
        <v>0</v>
      </c>
      <c r="Q2246" t="str">
        <f t="shared" si="952"/>
        <v>22.67% | 22.67%</v>
      </c>
      <c r="R2246" t="str">
        <f t="shared" si="949"/>
        <v>BEARISH</v>
      </c>
      <c r="S2246">
        <f t="shared" si="953"/>
        <v>-1</v>
      </c>
    </row>
    <row r="2247" spans="1:19" hidden="1" x14ac:dyDescent="0.25">
      <c r="A2247" s="5" t="str">
        <f t="shared" si="950"/>
        <v>43993UST2Y</v>
      </c>
      <c r="B2247" s="6" t="s">
        <v>5</v>
      </c>
      <c r="C2247" s="6">
        <v>0.22</v>
      </c>
      <c r="D2247" s="6">
        <v>0.12</v>
      </c>
      <c r="E2247" s="6">
        <v>0.17</v>
      </c>
      <c r="F2247" t="str">
        <f t="shared" ref="F2247:F2277" si="954">UPPER(TEXT(G2247,"ddd"))</f>
        <v>THU</v>
      </c>
      <c r="G2247" s="1">
        <f t="shared" ref="G2247:G2276" si="955">DATE(2020,6,11)</f>
        <v>43993</v>
      </c>
      <c r="H2247" s="2">
        <f t="shared" ref="H2247:H2277" ca="1" si="956">TODAY()-G2247</f>
        <v>260</v>
      </c>
      <c r="I2247" t="str">
        <f t="shared" ref="I2247:I2277" si="957">TRIM(LEFT(B2247,FIND(" ",B2247,1)))</f>
        <v>UST2Y</v>
      </c>
      <c r="J2247">
        <f t="shared" ref="J2247:J2277" si="958">C2247</f>
        <v>0.22</v>
      </c>
      <c r="K2247">
        <f t="shared" ref="K2247:K2277" si="959">D2247</f>
        <v>0.12</v>
      </c>
      <c r="L2247">
        <f t="shared" ref="L2247:L2277" si="960">AVERAGE(J2247:K2247)</f>
        <v>0.16999999999999998</v>
      </c>
      <c r="M2247">
        <f t="shared" ref="M2247:M2277" si="961">_xlfn.STDEV.P(J2247:K2247)</f>
        <v>5.0000000000000024E-2</v>
      </c>
      <c r="N2247">
        <f t="shared" si="951"/>
        <v>0.1</v>
      </c>
      <c r="O2247">
        <f t="shared" ref="O2247:O2277" si="962">E2247</f>
        <v>0.17</v>
      </c>
      <c r="P2247">
        <f t="shared" ref="P2247:P2277" si="963">(O2247-L2247)/M2247</f>
        <v>5.5511151231257797E-16</v>
      </c>
      <c r="Q2247" t="str">
        <f t="shared" si="952"/>
        <v>29.41% | 29.41%</v>
      </c>
      <c r="R2247" t="str">
        <f t="shared" ref="R2247:R2277" si="964">MID(B2247,FIND("(",B2247,1)+1,FIND(")",B2247,1)-FIND("(",B2247,1)-1)</f>
        <v>BEARISH</v>
      </c>
      <c r="S2247">
        <f t="shared" si="953"/>
        <v>-1</v>
      </c>
    </row>
    <row r="2248" spans="1:19" hidden="1" x14ac:dyDescent="0.25">
      <c r="A2248" s="5" t="str">
        <f t="shared" si="950"/>
        <v>43993SPX</v>
      </c>
      <c r="B2248" s="6" t="s">
        <v>51</v>
      </c>
      <c r="C2248" s="6">
        <v>2995</v>
      </c>
      <c r="D2248" s="6">
        <v>3270</v>
      </c>
      <c r="E2248" s="6">
        <v>3190</v>
      </c>
      <c r="F2248" t="str">
        <f t="shared" si="954"/>
        <v>THU</v>
      </c>
      <c r="G2248" s="1">
        <f t="shared" si="955"/>
        <v>43993</v>
      </c>
      <c r="H2248" s="2">
        <f t="shared" ca="1" si="956"/>
        <v>260</v>
      </c>
      <c r="I2248" t="str">
        <f t="shared" si="957"/>
        <v>SPX</v>
      </c>
      <c r="J2248">
        <f t="shared" si="958"/>
        <v>2995</v>
      </c>
      <c r="K2248">
        <f t="shared" si="959"/>
        <v>3270</v>
      </c>
      <c r="L2248">
        <f t="shared" si="960"/>
        <v>3132.5</v>
      </c>
      <c r="M2248">
        <f t="shared" si="961"/>
        <v>137.5</v>
      </c>
      <c r="N2248">
        <f t="shared" si="951"/>
        <v>275</v>
      </c>
      <c r="O2248">
        <f t="shared" si="962"/>
        <v>3190</v>
      </c>
      <c r="P2248">
        <f t="shared" si="963"/>
        <v>0.41818181818181815</v>
      </c>
      <c r="Q2248" t="str">
        <f t="shared" si="952"/>
        <v>6.11% | 2.51%</v>
      </c>
      <c r="R2248" t="str">
        <f t="shared" si="964"/>
        <v>NEUTRAL</v>
      </c>
      <c r="S2248">
        <f t="shared" si="953"/>
        <v>0</v>
      </c>
    </row>
    <row r="2249" spans="1:19" hidden="1" x14ac:dyDescent="0.25">
      <c r="A2249" s="5" t="str">
        <f t="shared" si="950"/>
        <v>43993RUT</v>
      </c>
      <c r="B2249" s="6" t="s">
        <v>7</v>
      </c>
      <c r="C2249" s="6">
        <v>1355</v>
      </c>
      <c r="D2249" s="6">
        <v>1552</v>
      </c>
      <c r="E2249" s="6">
        <v>1467</v>
      </c>
      <c r="F2249" t="str">
        <f t="shared" si="954"/>
        <v>THU</v>
      </c>
      <c r="G2249" s="1">
        <f t="shared" si="955"/>
        <v>43993</v>
      </c>
      <c r="H2249" s="2">
        <f t="shared" ca="1" si="956"/>
        <v>260</v>
      </c>
      <c r="I2249" t="str">
        <f t="shared" si="957"/>
        <v>RUT</v>
      </c>
      <c r="J2249">
        <f t="shared" si="958"/>
        <v>1355</v>
      </c>
      <c r="K2249">
        <f t="shared" si="959"/>
        <v>1552</v>
      </c>
      <c r="L2249">
        <f t="shared" si="960"/>
        <v>1453.5</v>
      </c>
      <c r="M2249">
        <f t="shared" si="961"/>
        <v>98.5</v>
      </c>
      <c r="N2249">
        <f t="shared" si="951"/>
        <v>197</v>
      </c>
      <c r="O2249">
        <f t="shared" si="962"/>
        <v>1467</v>
      </c>
      <c r="P2249">
        <f t="shared" si="963"/>
        <v>0.13705583756345177</v>
      </c>
      <c r="Q2249" t="str">
        <f t="shared" si="952"/>
        <v>7.63% | 5.79%</v>
      </c>
      <c r="R2249" t="str">
        <f t="shared" si="964"/>
        <v>BEARISH</v>
      </c>
      <c r="S2249">
        <f t="shared" si="953"/>
        <v>-1</v>
      </c>
    </row>
    <row r="2250" spans="1:19" hidden="1" x14ac:dyDescent="0.25">
      <c r="A2250" s="5" t="str">
        <f t="shared" si="950"/>
        <v>43993COMPQ</v>
      </c>
      <c r="B2250" s="6" t="s">
        <v>8</v>
      </c>
      <c r="C2250" s="6">
        <v>9349</v>
      </c>
      <c r="D2250" s="6">
        <v>10105</v>
      </c>
      <c r="E2250" s="6">
        <v>10020</v>
      </c>
      <c r="F2250" t="str">
        <f t="shared" si="954"/>
        <v>THU</v>
      </c>
      <c r="G2250" s="1">
        <f t="shared" si="955"/>
        <v>43993</v>
      </c>
      <c r="H2250" s="2">
        <f t="shared" ca="1" si="956"/>
        <v>260</v>
      </c>
      <c r="I2250" t="str">
        <f t="shared" si="957"/>
        <v>COMPQ</v>
      </c>
      <c r="J2250">
        <f t="shared" si="958"/>
        <v>9349</v>
      </c>
      <c r="K2250">
        <f t="shared" si="959"/>
        <v>10105</v>
      </c>
      <c r="L2250">
        <f t="shared" si="960"/>
        <v>9727</v>
      </c>
      <c r="M2250">
        <f t="shared" si="961"/>
        <v>378</v>
      </c>
      <c r="N2250">
        <f t="shared" si="951"/>
        <v>756</v>
      </c>
      <c r="O2250">
        <f t="shared" si="962"/>
        <v>10020</v>
      </c>
      <c r="P2250">
        <f t="shared" si="963"/>
        <v>0.77513227513227512</v>
      </c>
      <c r="Q2250" t="str">
        <f t="shared" si="952"/>
        <v>6.7% | 0.85%</v>
      </c>
      <c r="R2250" t="str">
        <f t="shared" si="964"/>
        <v>BULLISH</v>
      </c>
      <c r="S2250">
        <f t="shared" si="953"/>
        <v>1</v>
      </c>
    </row>
    <row r="2251" spans="1:19" hidden="1" x14ac:dyDescent="0.25">
      <c r="A2251" s="5" t="str">
        <f t="shared" si="950"/>
        <v>43993XLV</v>
      </c>
      <c r="B2251" s="6" t="s">
        <v>9</v>
      </c>
      <c r="C2251" s="6">
        <v>99.99</v>
      </c>
      <c r="D2251" s="6">
        <v>103.99</v>
      </c>
      <c r="E2251" s="6">
        <v>102.68</v>
      </c>
      <c r="F2251" t="str">
        <f t="shared" si="954"/>
        <v>THU</v>
      </c>
      <c r="G2251" s="1">
        <f t="shared" si="955"/>
        <v>43993</v>
      </c>
      <c r="H2251" s="2">
        <f t="shared" ca="1" si="956"/>
        <v>260</v>
      </c>
      <c r="I2251" t="str">
        <f t="shared" si="957"/>
        <v>XLV</v>
      </c>
      <c r="J2251">
        <f t="shared" si="958"/>
        <v>99.99</v>
      </c>
      <c r="K2251">
        <f t="shared" si="959"/>
        <v>103.99</v>
      </c>
      <c r="L2251">
        <f t="shared" si="960"/>
        <v>101.99</v>
      </c>
      <c r="M2251">
        <f t="shared" si="961"/>
        <v>2</v>
      </c>
      <c r="N2251">
        <f t="shared" si="951"/>
        <v>4</v>
      </c>
      <c r="O2251">
        <f t="shared" si="962"/>
        <v>102.68</v>
      </c>
      <c r="P2251">
        <f t="shared" si="963"/>
        <v>0.34500000000000597</v>
      </c>
      <c r="Q2251" t="str">
        <f t="shared" si="952"/>
        <v>2.62% | 1.28%</v>
      </c>
      <c r="R2251" t="str">
        <f t="shared" si="964"/>
        <v>BULLISH</v>
      </c>
      <c r="S2251">
        <f t="shared" si="953"/>
        <v>1</v>
      </c>
    </row>
    <row r="2252" spans="1:19" hidden="1" x14ac:dyDescent="0.25">
      <c r="A2252" s="5" t="str">
        <f t="shared" si="950"/>
        <v>43993XLK</v>
      </c>
      <c r="B2252" s="6" t="s">
        <v>10</v>
      </c>
      <c r="C2252" s="6">
        <v>96.67</v>
      </c>
      <c r="D2252" s="6">
        <v>104.68</v>
      </c>
      <c r="E2252" s="6">
        <v>104.11</v>
      </c>
      <c r="F2252" t="str">
        <f t="shared" si="954"/>
        <v>THU</v>
      </c>
      <c r="G2252" s="1">
        <f t="shared" si="955"/>
        <v>43993</v>
      </c>
      <c r="H2252" s="2">
        <f t="shared" ca="1" si="956"/>
        <v>260</v>
      </c>
      <c r="I2252" t="str">
        <f t="shared" si="957"/>
        <v>XLK</v>
      </c>
      <c r="J2252">
        <f t="shared" si="958"/>
        <v>96.67</v>
      </c>
      <c r="K2252">
        <f t="shared" si="959"/>
        <v>104.68</v>
      </c>
      <c r="L2252">
        <f t="shared" si="960"/>
        <v>100.67500000000001</v>
      </c>
      <c r="M2252">
        <f t="shared" si="961"/>
        <v>4.0050000000000026</v>
      </c>
      <c r="N2252">
        <f t="shared" si="951"/>
        <v>8.0100000000000051</v>
      </c>
      <c r="O2252">
        <f t="shared" si="962"/>
        <v>104.11</v>
      </c>
      <c r="P2252">
        <f t="shared" si="963"/>
        <v>0.85767790262171928</v>
      </c>
      <c r="Q2252" t="str">
        <f t="shared" si="952"/>
        <v>7.15% | 0.55%</v>
      </c>
      <c r="R2252" t="str">
        <f t="shared" si="964"/>
        <v>BULLISH</v>
      </c>
      <c r="S2252">
        <f t="shared" si="953"/>
        <v>1</v>
      </c>
    </row>
    <row r="2253" spans="1:19" hidden="1" x14ac:dyDescent="0.25">
      <c r="A2253" s="5" t="str">
        <f t="shared" si="950"/>
        <v>43993XLU</v>
      </c>
      <c r="B2253" s="6" t="s">
        <v>52</v>
      </c>
      <c r="C2253" s="6">
        <v>58.14</v>
      </c>
      <c r="D2253" s="6">
        <v>62.86</v>
      </c>
      <c r="E2253" s="6">
        <v>61.21</v>
      </c>
      <c r="F2253" t="str">
        <f t="shared" si="954"/>
        <v>THU</v>
      </c>
      <c r="G2253" s="1">
        <f t="shared" si="955"/>
        <v>43993</v>
      </c>
      <c r="H2253" s="2">
        <f t="shared" ca="1" si="956"/>
        <v>260</v>
      </c>
      <c r="I2253" t="str">
        <f t="shared" si="957"/>
        <v>XLU</v>
      </c>
      <c r="J2253">
        <f t="shared" si="958"/>
        <v>58.14</v>
      </c>
      <c r="K2253">
        <f t="shared" si="959"/>
        <v>62.86</v>
      </c>
      <c r="L2253">
        <f t="shared" si="960"/>
        <v>60.5</v>
      </c>
      <c r="M2253">
        <f t="shared" si="961"/>
        <v>2.3599999999999994</v>
      </c>
      <c r="N2253">
        <f t="shared" si="951"/>
        <v>4.7199999999999989</v>
      </c>
      <c r="O2253">
        <f t="shared" si="962"/>
        <v>61.21</v>
      </c>
      <c r="P2253">
        <f t="shared" si="963"/>
        <v>0.30084745762711906</v>
      </c>
      <c r="Q2253" t="str">
        <f t="shared" si="952"/>
        <v>5.02% | 2.7%</v>
      </c>
      <c r="R2253" t="str">
        <f t="shared" si="964"/>
        <v>BULLISH</v>
      </c>
      <c r="S2253">
        <f t="shared" si="953"/>
        <v>1</v>
      </c>
    </row>
    <row r="2254" spans="1:19" hidden="1" x14ac:dyDescent="0.25">
      <c r="A2254" s="5" t="str">
        <f t="shared" si="950"/>
        <v>43993XLRE</v>
      </c>
      <c r="B2254" s="6" t="s">
        <v>97</v>
      </c>
      <c r="C2254" s="6">
        <v>33.9</v>
      </c>
      <c r="D2254" s="6">
        <v>38.31</v>
      </c>
      <c r="E2254" s="6">
        <v>36.72</v>
      </c>
      <c r="F2254" t="str">
        <f t="shared" si="954"/>
        <v>THU</v>
      </c>
      <c r="G2254" s="1">
        <f t="shared" si="955"/>
        <v>43993</v>
      </c>
      <c r="H2254" s="2">
        <f t="shared" ca="1" si="956"/>
        <v>260</v>
      </c>
      <c r="I2254" t="str">
        <f t="shared" si="957"/>
        <v>XLRE</v>
      </c>
      <c r="J2254">
        <f t="shared" si="958"/>
        <v>33.9</v>
      </c>
      <c r="K2254">
        <f t="shared" si="959"/>
        <v>38.31</v>
      </c>
      <c r="L2254">
        <f t="shared" si="960"/>
        <v>36.105000000000004</v>
      </c>
      <c r="M2254">
        <f t="shared" si="961"/>
        <v>2.2050000000000018</v>
      </c>
      <c r="N2254">
        <f t="shared" si="951"/>
        <v>4.4100000000000037</v>
      </c>
      <c r="O2254">
        <f t="shared" si="962"/>
        <v>36.72</v>
      </c>
      <c r="P2254">
        <f t="shared" si="963"/>
        <v>0.27891156462584776</v>
      </c>
      <c r="Q2254" t="str">
        <f t="shared" si="952"/>
        <v>7.68% | 4.33%</v>
      </c>
      <c r="R2254" t="str">
        <f t="shared" si="964"/>
        <v>BULLISH</v>
      </c>
      <c r="S2254">
        <f t="shared" si="953"/>
        <v>1</v>
      </c>
    </row>
    <row r="2255" spans="1:19" hidden="1" x14ac:dyDescent="0.25">
      <c r="A2255" s="5" t="str">
        <f t="shared" si="950"/>
        <v>43993XLF</v>
      </c>
      <c r="B2255" s="6" t="s">
        <v>12</v>
      </c>
      <c r="C2255" s="6">
        <v>22.36</v>
      </c>
      <c r="D2255" s="6">
        <v>27.12</v>
      </c>
      <c r="E2255" s="6">
        <v>25.19</v>
      </c>
      <c r="F2255" t="str">
        <f t="shared" si="954"/>
        <v>THU</v>
      </c>
      <c r="G2255" s="1">
        <f t="shared" si="955"/>
        <v>43993</v>
      </c>
      <c r="H2255" s="2">
        <f t="shared" ca="1" si="956"/>
        <v>260</v>
      </c>
      <c r="I2255" t="str">
        <f t="shared" si="957"/>
        <v>XLF</v>
      </c>
      <c r="J2255">
        <f t="shared" si="958"/>
        <v>22.36</v>
      </c>
      <c r="K2255">
        <f t="shared" si="959"/>
        <v>27.12</v>
      </c>
      <c r="L2255">
        <f t="shared" si="960"/>
        <v>24.740000000000002</v>
      </c>
      <c r="M2255">
        <f t="shared" si="961"/>
        <v>2.3800000000000008</v>
      </c>
      <c r="N2255">
        <f t="shared" si="951"/>
        <v>4.7600000000000016</v>
      </c>
      <c r="O2255">
        <f t="shared" si="962"/>
        <v>25.19</v>
      </c>
      <c r="P2255">
        <f t="shared" si="963"/>
        <v>0.18907563025210047</v>
      </c>
      <c r="Q2255" t="str">
        <f t="shared" si="952"/>
        <v>11.23% | 7.66%</v>
      </c>
      <c r="R2255" t="str">
        <f t="shared" si="964"/>
        <v>BEARISH</v>
      </c>
      <c r="S2255">
        <f t="shared" si="953"/>
        <v>-1</v>
      </c>
    </row>
    <row r="2256" spans="1:19" hidden="1" x14ac:dyDescent="0.25">
      <c r="A2256" s="5" t="str">
        <f t="shared" si="950"/>
        <v>43993SSEC</v>
      </c>
      <c r="B2256" s="6" t="s">
        <v>14</v>
      </c>
      <c r="C2256" s="6">
        <v>2827</v>
      </c>
      <c r="D2256" s="6">
        <v>2980</v>
      </c>
      <c r="E2256" s="6">
        <v>2920</v>
      </c>
      <c r="F2256" t="str">
        <f t="shared" si="954"/>
        <v>THU</v>
      </c>
      <c r="G2256" s="1">
        <f t="shared" si="955"/>
        <v>43993</v>
      </c>
      <c r="H2256" s="2">
        <f t="shared" ca="1" si="956"/>
        <v>260</v>
      </c>
      <c r="I2256" t="str">
        <f t="shared" si="957"/>
        <v>SSEC</v>
      </c>
      <c r="J2256">
        <f t="shared" si="958"/>
        <v>2827</v>
      </c>
      <c r="K2256">
        <f t="shared" si="959"/>
        <v>2980</v>
      </c>
      <c r="L2256">
        <f t="shared" si="960"/>
        <v>2903.5</v>
      </c>
      <c r="M2256">
        <f t="shared" si="961"/>
        <v>76.5</v>
      </c>
      <c r="N2256">
        <f t="shared" si="951"/>
        <v>153</v>
      </c>
      <c r="O2256">
        <f t="shared" si="962"/>
        <v>2920</v>
      </c>
      <c r="P2256">
        <f t="shared" si="963"/>
        <v>0.21568627450980393</v>
      </c>
      <c r="Q2256" t="str">
        <f t="shared" si="952"/>
        <v>3.18% | 2.05%</v>
      </c>
      <c r="R2256" t="str">
        <f t="shared" si="964"/>
        <v>BEARISH</v>
      </c>
      <c r="S2256">
        <f t="shared" si="953"/>
        <v>-1</v>
      </c>
    </row>
    <row r="2257" spans="1:19" hidden="1" x14ac:dyDescent="0.25">
      <c r="A2257" s="5" t="str">
        <f t="shared" si="950"/>
        <v>43993NIKK</v>
      </c>
      <c r="B2257" s="6" t="s">
        <v>91</v>
      </c>
      <c r="C2257" s="6">
        <v>21387</v>
      </c>
      <c r="D2257" s="6">
        <v>23540</v>
      </c>
      <c r="E2257" s="6">
        <v>22472</v>
      </c>
      <c r="F2257" t="str">
        <f t="shared" si="954"/>
        <v>THU</v>
      </c>
      <c r="G2257" s="1">
        <f t="shared" si="955"/>
        <v>43993</v>
      </c>
      <c r="H2257" s="2">
        <f t="shared" ca="1" si="956"/>
        <v>260</v>
      </c>
      <c r="I2257" t="str">
        <f t="shared" si="957"/>
        <v>NIKK</v>
      </c>
      <c r="J2257">
        <f t="shared" si="958"/>
        <v>21387</v>
      </c>
      <c r="K2257">
        <f t="shared" si="959"/>
        <v>23540</v>
      </c>
      <c r="L2257">
        <f t="shared" si="960"/>
        <v>22463.5</v>
      </c>
      <c r="M2257">
        <f t="shared" si="961"/>
        <v>1076.5</v>
      </c>
      <c r="N2257">
        <f t="shared" si="951"/>
        <v>2153</v>
      </c>
      <c r="O2257">
        <f t="shared" si="962"/>
        <v>22472</v>
      </c>
      <c r="P2257">
        <f t="shared" si="963"/>
        <v>7.8959591267998147E-3</v>
      </c>
      <c r="Q2257" t="str">
        <f t="shared" si="952"/>
        <v>4.83% | 4.75%</v>
      </c>
      <c r="R2257" t="str">
        <f t="shared" si="964"/>
        <v>BULLISH</v>
      </c>
      <c r="S2257">
        <f t="shared" si="953"/>
        <v>1</v>
      </c>
    </row>
    <row r="2258" spans="1:19" hidden="1" x14ac:dyDescent="0.25">
      <c r="A2258" s="5" t="str">
        <f t="shared" si="950"/>
        <v>43993DAX</v>
      </c>
      <c r="B2258" s="6" t="s">
        <v>92</v>
      </c>
      <c r="C2258" s="6">
        <v>11393</v>
      </c>
      <c r="D2258" s="6">
        <v>13090</v>
      </c>
      <c r="E2258" s="6">
        <v>12535</v>
      </c>
      <c r="F2258" t="str">
        <f t="shared" si="954"/>
        <v>THU</v>
      </c>
      <c r="G2258" s="1">
        <f t="shared" si="955"/>
        <v>43993</v>
      </c>
      <c r="H2258" s="2">
        <f t="shared" ca="1" si="956"/>
        <v>260</v>
      </c>
      <c r="I2258" t="str">
        <f t="shared" si="957"/>
        <v>DAX</v>
      </c>
      <c r="J2258">
        <f t="shared" si="958"/>
        <v>11393</v>
      </c>
      <c r="K2258">
        <f t="shared" si="959"/>
        <v>13090</v>
      </c>
      <c r="L2258">
        <f t="shared" si="960"/>
        <v>12241.5</v>
      </c>
      <c r="M2258">
        <f t="shared" si="961"/>
        <v>848.5</v>
      </c>
      <c r="N2258">
        <f t="shared" si="951"/>
        <v>1697</v>
      </c>
      <c r="O2258">
        <f t="shared" si="962"/>
        <v>12535</v>
      </c>
      <c r="P2258">
        <f t="shared" si="963"/>
        <v>0.34590453741897464</v>
      </c>
      <c r="Q2258" t="str">
        <f t="shared" si="952"/>
        <v>9.11% | 4.43%</v>
      </c>
      <c r="R2258" t="str">
        <f t="shared" si="964"/>
        <v>NEUTRAL</v>
      </c>
      <c r="S2258">
        <f t="shared" si="953"/>
        <v>0</v>
      </c>
    </row>
    <row r="2259" spans="1:19" hidden="1" x14ac:dyDescent="0.25">
      <c r="A2259" s="5" t="str">
        <f t="shared" si="950"/>
        <v>43993VIX</v>
      </c>
      <c r="B2259" s="6" t="s">
        <v>17</v>
      </c>
      <c r="C2259" s="6">
        <v>24.22</v>
      </c>
      <c r="D2259" s="6">
        <v>34.01</v>
      </c>
      <c r="E2259" s="6">
        <v>27.57</v>
      </c>
      <c r="F2259" t="str">
        <f t="shared" si="954"/>
        <v>THU</v>
      </c>
      <c r="G2259" s="1">
        <f t="shared" si="955"/>
        <v>43993</v>
      </c>
      <c r="H2259" s="2">
        <f t="shared" ca="1" si="956"/>
        <v>260</v>
      </c>
      <c r="I2259" t="str">
        <f t="shared" si="957"/>
        <v>VIX</v>
      </c>
      <c r="J2259">
        <f t="shared" si="958"/>
        <v>24.22</v>
      </c>
      <c r="K2259">
        <f t="shared" si="959"/>
        <v>34.01</v>
      </c>
      <c r="L2259">
        <f t="shared" si="960"/>
        <v>29.114999999999998</v>
      </c>
      <c r="M2259">
        <f t="shared" si="961"/>
        <v>4.8949999999999951</v>
      </c>
      <c r="N2259">
        <f t="shared" si="951"/>
        <v>9.7899999999999991</v>
      </c>
      <c r="O2259">
        <f t="shared" si="962"/>
        <v>27.57</v>
      </c>
      <c r="P2259">
        <f t="shared" si="963"/>
        <v>-0.31562819203268633</v>
      </c>
      <c r="Q2259" t="str">
        <f t="shared" si="952"/>
        <v>12.15% | 23.36%</v>
      </c>
      <c r="R2259" t="str">
        <f t="shared" si="964"/>
        <v>BULLISH</v>
      </c>
      <c r="S2259">
        <f t="shared" si="953"/>
        <v>1</v>
      </c>
    </row>
    <row r="2260" spans="1:19" hidden="1" x14ac:dyDescent="0.25">
      <c r="A2260" s="5" t="str">
        <f t="shared" si="950"/>
        <v>43993USD</v>
      </c>
      <c r="B2260" s="6" t="s">
        <v>94</v>
      </c>
      <c r="C2260" s="6">
        <v>95.42</v>
      </c>
      <c r="D2260" s="6">
        <v>98.32</v>
      </c>
      <c r="E2260" s="6">
        <v>95.95</v>
      </c>
      <c r="F2260" t="str">
        <f t="shared" si="954"/>
        <v>THU</v>
      </c>
      <c r="G2260" s="1">
        <f t="shared" si="955"/>
        <v>43993</v>
      </c>
      <c r="H2260" s="2">
        <f t="shared" ca="1" si="956"/>
        <v>260</v>
      </c>
      <c r="I2260" t="str">
        <f t="shared" si="957"/>
        <v>USD</v>
      </c>
      <c r="J2260">
        <f t="shared" si="958"/>
        <v>95.42</v>
      </c>
      <c r="K2260">
        <f t="shared" si="959"/>
        <v>98.32</v>
      </c>
      <c r="L2260">
        <f t="shared" si="960"/>
        <v>96.87</v>
      </c>
      <c r="M2260">
        <f t="shared" si="961"/>
        <v>1.4499999999999957</v>
      </c>
      <c r="N2260">
        <f t="shared" si="951"/>
        <v>2.8999999999999915</v>
      </c>
      <c r="O2260">
        <f t="shared" si="962"/>
        <v>95.95</v>
      </c>
      <c r="P2260">
        <f t="shared" si="963"/>
        <v>-0.6344827586206927</v>
      </c>
      <c r="Q2260" t="str">
        <f t="shared" si="952"/>
        <v>0.55% | 2.47%</v>
      </c>
      <c r="R2260" t="str">
        <f t="shared" si="964"/>
        <v>BEARISH</v>
      </c>
      <c r="S2260">
        <f t="shared" si="953"/>
        <v>-1</v>
      </c>
    </row>
    <row r="2261" spans="1:19" hidden="1" x14ac:dyDescent="0.25">
      <c r="A2261" s="5" t="str">
        <f t="shared" si="950"/>
        <v>43993EUR/USD</v>
      </c>
      <c r="B2261" s="6" t="s">
        <v>99</v>
      </c>
      <c r="C2261" s="6">
        <v>1.1000000000000001</v>
      </c>
      <c r="D2261" s="6">
        <v>1.1399999999999999</v>
      </c>
      <c r="E2261" s="6">
        <v>1.1299999999999999</v>
      </c>
      <c r="F2261" t="str">
        <f t="shared" si="954"/>
        <v>THU</v>
      </c>
      <c r="G2261" s="1">
        <f t="shared" si="955"/>
        <v>43993</v>
      </c>
      <c r="H2261" s="2">
        <f t="shared" ca="1" si="956"/>
        <v>260</v>
      </c>
      <c r="I2261" t="str">
        <f t="shared" si="957"/>
        <v>EUR/USD</v>
      </c>
      <c r="J2261">
        <f t="shared" si="958"/>
        <v>1.1000000000000001</v>
      </c>
      <c r="K2261">
        <f t="shared" si="959"/>
        <v>1.1399999999999999</v>
      </c>
      <c r="L2261">
        <f t="shared" si="960"/>
        <v>1.1200000000000001</v>
      </c>
      <c r="M2261">
        <f t="shared" si="961"/>
        <v>1.9999999999999907E-2</v>
      </c>
      <c r="N2261">
        <f t="shared" si="951"/>
        <v>3.9999999999999813E-2</v>
      </c>
      <c r="O2261">
        <f t="shared" si="962"/>
        <v>1.1299999999999999</v>
      </c>
      <c r="P2261">
        <f t="shared" si="963"/>
        <v>0.49999999999999167</v>
      </c>
      <c r="Q2261" t="str">
        <f t="shared" si="952"/>
        <v>2.65% | 0.88%</v>
      </c>
      <c r="R2261" t="str">
        <f t="shared" si="964"/>
        <v>BULLISH</v>
      </c>
      <c r="S2261">
        <f t="shared" si="953"/>
        <v>1</v>
      </c>
    </row>
    <row r="2262" spans="1:19" hidden="1" x14ac:dyDescent="0.25">
      <c r="A2262" s="5" t="str">
        <f t="shared" si="950"/>
        <v>43993USD/JPY</v>
      </c>
      <c r="B2262" s="6" t="s">
        <v>86</v>
      </c>
      <c r="C2262" s="6">
        <v>106.43</v>
      </c>
      <c r="D2262" s="6">
        <v>109.9</v>
      </c>
      <c r="E2262" s="6">
        <v>107.18</v>
      </c>
      <c r="F2262" t="str">
        <f t="shared" si="954"/>
        <v>THU</v>
      </c>
      <c r="G2262" s="1">
        <f t="shared" si="955"/>
        <v>43993</v>
      </c>
      <c r="H2262" s="2">
        <f t="shared" ca="1" si="956"/>
        <v>260</v>
      </c>
      <c r="I2262" t="str">
        <f t="shared" si="957"/>
        <v>USD/JPY</v>
      </c>
      <c r="J2262">
        <f t="shared" si="958"/>
        <v>106.43</v>
      </c>
      <c r="K2262">
        <f t="shared" si="959"/>
        <v>109.9</v>
      </c>
      <c r="L2262">
        <f t="shared" si="960"/>
        <v>108.16500000000001</v>
      </c>
      <c r="M2262">
        <f t="shared" si="961"/>
        <v>1.7349999999999994</v>
      </c>
      <c r="N2262">
        <f t="shared" si="951"/>
        <v>3.4699999999999989</v>
      </c>
      <c r="O2262">
        <f t="shared" si="962"/>
        <v>107.18</v>
      </c>
      <c r="P2262">
        <f t="shared" si="963"/>
        <v>-0.56772334293948112</v>
      </c>
      <c r="Q2262" t="str">
        <f t="shared" si="952"/>
        <v>0.7% | 2.54%</v>
      </c>
      <c r="R2262" t="str">
        <f t="shared" si="964"/>
        <v>NEUTRAL</v>
      </c>
      <c r="S2262">
        <f t="shared" si="953"/>
        <v>0</v>
      </c>
    </row>
    <row r="2263" spans="1:19" hidden="1" x14ac:dyDescent="0.25">
      <c r="A2263" s="5" t="str">
        <f t="shared" si="950"/>
        <v>43993GBP/USD</v>
      </c>
      <c r="B2263" s="6" t="s">
        <v>79</v>
      </c>
      <c r="C2263" s="6">
        <v>1.23</v>
      </c>
      <c r="D2263" s="6">
        <v>1.28</v>
      </c>
      <c r="E2263" s="6">
        <v>1.27</v>
      </c>
      <c r="F2263" t="str">
        <f t="shared" si="954"/>
        <v>THU</v>
      </c>
      <c r="G2263" s="1">
        <f t="shared" si="955"/>
        <v>43993</v>
      </c>
      <c r="H2263" s="2">
        <f t="shared" ca="1" si="956"/>
        <v>260</v>
      </c>
      <c r="I2263" t="str">
        <f t="shared" si="957"/>
        <v>GBP/USD</v>
      </c>
      <c r="J2263">
        <f t="shared" si="958"/>
        <v>1.23</v>
      </c>
      <c r="K2263">
        <f t="shared" si="959"/>
        <v>1.28</v>
      </c>
      <c r="L2263">
        <f t="shared" si="960"/>
        <v>1.2549999999999999</v>
      </c>
      <c r="M2263">
        <f t="shared" si="961"/>
        <v>2.5000000000000022E-2</v>
      </c>
      <c r="N2263">
        <f t="shared" si="951"/>
        <v>5.0000000000000044E-2</v>
      </c>
      <c r="O2263">
        <f t="shared" si="962"/>
        <v>1.27</v>
      </c>
      <c r="P2263">
        <f t="shared" si="963"/>
        <v>0.60000000000000442</v>
      </c>
      <c r="Q2263" t="str">
        <f t="shared" si="952"/>
        <v>3.15% | 0.79%</v>
      </c>
      <c r="R2263" t="str">
        <f t="shared" si="964"/>
        <v>NEUTRAL</v>
      </c>
      <c r="S2263">
        <f t="shared" si="953"/>
        <v>0</v>
      </c>
    </row>
    <row r="2264" spans="1:19" hidden="1" x14ac:dyDescent="0.25">
      <c r="A2264" s="5" t="str">
        <f t="shared" si="950"/>
        <v>43993USD/CHF</v>
      </c>
      <c r="B2264" s="6" t="s">
        <v>76</v>
      </c>
      <c r="C2264" s="6">
        <v>0.94</v>
      </c>
      <c r="D2264" s="6">
        <v>0.96</v>
      </c>
      <c r="E2264" s="6">
        <v>0.94</v>
      </c>
      <c r="F2264" t="str">
        <f t="shared" si="954"/>
        <v>THU</v>
      </c>
      <c r="G2264" s="1">
        <f t="shared" si="955"/>
        <v>43993</v>
      </c>
      <c r="H2264" s="2">
        <f t="shared" ca="1" si="956"/>
        <v>260</v>
      </c>
      <c r="I2264" t="str">
        <f t="shared" si="957"/>
        <v>USD/CHF</v>
      </c>
      <c r="J2264">
        <f t="shared" si="958"/>
        <v>0.94</v>
      </c>
      <c r="K2264">
        <f t="shared" si="959"/>
        <v>0.96</v>
      </c>
      <c r="L2264">
        <f t="shared" si="960"/>
        <v>0.95</v>
      </c>
      <c r="M2264">
        <f t="shared" si="961"/>
        <v>1.0000000000000009E-2</v>
      </c>
      <c r="N2264">
        <f t="shared" si="951"/>
        <v>2.0000000000000018E-2</v>
      </c>
      <c r="O2264">
        <f t="shared" si="962"/>
        <v>0.94</v>
      </c>
      <c r="P2264">
        <f t="shared" si="963"/>
        <v>-1</v>
      </c>
      <c r="Q2264" t="str">
        <f t="shared" si="952"/>
        <v>0% | 2.13%</v>
      </c>
      <c r="R2264" t="str">
        <f t="shared" si="964"/>
        <v>BEARISH</v>
      </c>
      <c r="S2264">
        <f t="shared" si="953"/>
        <v>-1</v>
      </c>
    </row>
    <row r="2265" spans="1:19" hidden="1" x14ac:dyDescent="0.25">
      <c r="A2265" s="5" t="str">
        <f t="shared" si="950"/>
        <v>43993WTIC</v>
      </c>
      <c r="B2265" s="6" t="s">
        <v>23</v>
      </c>
      <c r="C2265" s="6">
        <v>32.82</v>
      </c>
      <c r="D2265" s="6">
        <v>40.4</v>
      </c>
      <c r="E2265" s="6">
        <v>39.6</v>
      </c>
      <c r="F2265" t="str">
        <f t="shared" si="954"/>
        <v>THU</v>
      </c>
      <c r="G2265" s="1">
        <f t="shared" si="955"/>
        <v>43993</v>
      </c>
      <c r="H2265" s="2">
        <f t="shared" ca="1" si="956"/>
        <v>260</v>
      </c>
      <c r="I2265" t="str">
        <f t="shared" si="957"/>
        <v>WTIC</v>
      </c>
      <c r="J2265">
        <f t="shared" si="958"/>
        <v>32.82</v>
      </c>
      <c r="K2265">
        <f t="shared" si="959"/>
        <v>40.4</v>
      </c>
      <c r="L2265">
        <f t="shared" si="960"/>
        <v>36.61</v>
      </c>
      <c r="M2265">
        <f t="shared" si="961"/>
        <v>3.7900000000000009</v>
      </c>
      <c r="N2265">
        <f t="shared" si="951"/>
        <v>7.5799999999999983</v>
      </c>
      <c r="O2265">
        <f t="shared" si="962"/>
        <v>39.6</v>
      </c>
      <c r="P2265">
        <f t="shared" si="963"/>
        <v>0.78891820580474969</v>
      </c>
      <c r="Q2265" t="str">
        <f t="shared" si="952"/>
        <v>17.12% | 2.02%</v>
      </c>
      <c r="R2265" t="str">
        <f t="shared" si="964"/>
        <v>BEARISH</v>
      </c>
      <c r="S2265">
        <f t="shared" si="953"/>
        <v>-1</v>
      </c>
    </row>
    <row r="2266" spans="1:19" hidden="1" x14ac:dyDescent="0.25">
      <c r="A2266" s="5" t="str">
        <f t="shared" si="950"/>
        <v>43993NATGAS</v>
      </c>
      <c r="B2266" s="6" t="s">
        <v>24</v>
      </c>
      <c r="C2266" s="6">
        <v>1.71</v>
      </c>
      <c r="D2266" s="6">
        <v>1.87</v>
      </c>
      <c r="E2266" s="6">
        <v>1.78</v>
      </c>
      <c r="F2266" t="str">
        <f t="shared" si="954"/>
        <v>THU</v>
      </c>
      <c r="G2266" s="1">
        <f t="shared" si="955"/>
        <v>43993</v>
      </c>
      <c r="H2266" s="2">
        <f t="shared" ca="1" si="956"/>
        <v>260</v>
      </c>
      <c r="I2266" t="str">
        <f t="shared" si="957"/>
        <v>NATGAS</v>
      </c>
      <c r="J2266">
        <f t="shared" si="958"/>
        <v>1.71</v>
      </c>
      <c r="K2266">
        <f t="shared" si="959"/>
        <v>1.87</v>
      </c>
      <c r="L2266">
        <f t="shared" si="960"/>
        <v>1.79</v>
      </c>
      <c r="M2266">
        <f t="shared" si="961"/>
        <v>8.0000000000000071E-2</v>
      </c>
      <c r="N2266">
        <f t="shared" si="951"/>
        <v>0.16000000000000014</v>
      </c>
      <c r="O2266">
        <f t="shared" si="962"/>
        <v>1.78</v>
      </c>
      <c r="P2266">
        <f t="shared" si="963"/>
        <v>-0.125</v>
      </c>
      <c r="Q2266" t="str">
        <f t="shared" si="952"/>
        <v>3.93% | 5.06%</v>
      </c>
      <c r="R2266" t="str">
        <f t="shared" si="964"/>
        <v>BEARISH</v>
      </c>
      <c r="S2266">
        <f t="shared" si="953"/>
        <v>-1</v>
      </c>
    </row>
    <row r="2267" spans="1:19" hidden="1" x14ac:dyDescent="0.25">
      <c r="A2267" s="5" t="str">
        <f t="shared" si="950"/>
        <v>43993GOLD</v>
      </c>
      <c r="B2267" s="6" t="s">
        <v>25</v>
      </c>
      <c r="C2267" s="6">
        <v>1681</v>
      </c>
      <c r="D2267" s="6">
        <v>1767</v>
      </c>
      <c r="E2267" s="6">
        <v>1720</v>
      </c>
      <c r="F2267" t="str">
        <f t="shared" si="954"/>
        <v>THU</v>
      </c>
      <c r="G2267" s="1">
        <f t="shared" si="955"/>
        <v>43993</v>
      </c>
      <c r="H2267" s="2">
        <f t="shared" ca="1" si="956"/>
        <v>260</v>
      </c>
      <c r="I2267" t="str">
        <f t="shared" si="957"/>
        <v>GOLD</v>
      </c>
      <c r="J2267">
        <f t="shared" si="958"/>
        <v>1681</v>
      </c>
      <c r="K2267">
        <f t="shared" si="959"/>
        <v>1767</v>
      </c>
      <c r="L2267">
        <f t="shared" si="960"/>
        <v>1724</v>
      </c>
      <c r="M2267">
        <f t="shared" si="961"/>
        <v>43</v>
      </c>
      <c r="N2267">
        <f t="shared" si="951"/>
        <v>86</v>
      </c>
      <c r="O2267">
        <f t="shared" si="962"/>
        <v>1720</v>
      </c>
      <c r="P2267">
        <f t="shared" si="963"/>
        <v>-9.3023255813953487E-2</v>
      </c>
      <c r="Q2267" t="str">
        <f t="shared" si="952"/>
        <v>2.27% | 2.73%</v>
      </c>
      <c r="R2267" t="str">
        <f t="shared" si="964"/>
        <v>BULLISH</v>
      </c>
      <c r="S2267">
        <f t="shared" si="953"/>
        <v>1</v>
      </c>
    </row>
    <row r="2268" spans="1:19" hidden="1" x14ac:dyDescent="0.25">
      <c r="A2268" s="5" t="str">
        <f t="shared" si="950"/>
        <v>43993COPPER</v>
      </c>
      <c r="B2268" s="6" t="s">
        <v>88</v>
      </c>
      <c r="C2268" s="6">
        <v>2.4</v>
      </c>
      <c r="D2268" s="6">
        <v>2.67</v>
      </c>
      <c r="E2268" s="6">
        <v>2.66</v>
      </c>
      <c r="F2268" t="str">
        <f t="shared" si="954"/>
        <v>THU</v>
      </c>
      <c r="G2268" s="1">
        <f t="shared" si="955"/>
        <v>43993</v>
      </c>
      <c r="H2268" s="2">
        <f t="shared" ca="1" si="956"/>
        <v>260</v>
      </c>
      <c r="I2268" t="str">
        <f t="shared" si="957"/>
        <v>COPPER</v>
      </c>
      <c r="J2268">
        <f t="shared" si="958"/>
        <v>2.4</v>
      </c>
      <c r="K2268">
        <f t="shared" si="959"/>
        <v>2.67</v>
      </c>
      <c r="L2268">
        <f t="shared" si="960"/>
        <v>2.5350000000000001</v>
      </c>
      <c r="M2268">
        <f t="shared" si="961"/>
        <v>0.13500000000000001</v>
      </c>
      <c r="N2268">
        <f t="shared" si="951"/>
        <v>0.27</v>
      </c>
      <c r="O2268">
        <f t="shared" si="962"/>
        <v>2.66</v>
      </c>
      <c r="P2268">
        <f t="shared" si="963"/>
        <v>0.92592592592592582</v>
      </c>
      <c r="Q2268" t="str">
        <f t="shared" si="952"/>
        <v>9.77% | 0.38%</v>
      </c>
      <c r="R2268" t="str">
        <f t="shared" si="964"/>
        <v>NEUTRAL</v>
      </c>
      <c r="S2268">
        <f t="shared" si="953"/>
        <v>0</v>
      </c>
    </row>
    <row r="2269" spans="1:19" hidden="1" x14ac:dyDescent="0.25">
      <c r="A2269" s="5" t="str">
        <f t="shared" si="950"/>
        <v>43993MSFT</v>
      </c>
      <c r="B2269" s="6" t="s">
        <v>27</v>
      </c>
      <c r="C2269" s="6">
        <v>179</v>
      </c>
      <c r="D2269" s="6">
        <v>198</v>
      </c>
      <c r="E2269" s="6">
        <v>196</v>
      </c>
      <c r="F2269" t="str">
        <f t="shared" si="954"/>
        <v>THU</v>
      </c>
      <c r="G2269" s="1">
        <f t="shared" si="955"/>
        <v>43993</v>
      </c>
      <c r="H2269" s="2">
        <f t="shared" ca="1" si="956"/>
        <v>260</v>
      </c>
      <c r="I2269" t="str">
        <f t="shared" si="957"/>
        <v>MSFT</v>
      </c>
      <c r="J2269">
        <f t="shared" si="958"/>
        <v>179</v>
      </c>
      <c r="K2269">
        <f t="shared" si="959"/>
        <v>198</v>
      </c>
      <c r="L2269">
        <f t="shared" si="960"/>
        <v>188.5</v>
      </c>
      <c r="M2269">
        <f t="shared" si="961"/>
        <v>9.5</v>
      </c>
      <c r="N2269">
        <f t="shared" si="951"/>
        <v>19</v>
      </c>
      <c r="O2269">
        <f t="shared" si="962"/>
        <v>196</v>
      </c>
      <c r="P2269">
        <f t="shared" si="963"/>
        <v>0.78947368421052633</v>
      </c>
      <c r="Q2269" t="str">
        <f t="shared" si="952"/>
        <v>8.67% | 1.02%</v>
      </c>
      <c r="R2269" t="str">
        <f t="shared" si="964"/>
        <v>BULLISH</v>
      </c>
      <c r="S2269">
        <f t="shared" si="953"/>
        <v>1</v>
      </c>
    </row>
    <row r="2270" spans="1:19" hidden="1" x14ac:dyDescent="0.25">
      <c r="A2270" s="5" t="str">
        <f t="shared" si="950"/>
        <v>43993AAPL</v>
      </c>
      <c r="B2270" s="6" t="s">
        <v>28</v>
      </c>
      <c r="C2270" s="6">
        <v>318</v>
      </c>
      <c r="D2270" s="6">
        <v>355</v>
      </c>
      <c r="E2270" s="6">
        <v>352</v>
      </c>
      <c r="F2270" t="str">
        <f t="shared" si="954"/>
        <v>THU</v>
      </c>
      <c r="G2270" s="1">
        <f t="shared" si="955"/>
        <v>43993</v>
      </c>
      <c r="H2270" s="2">
        <f t="shared" ca="1" si="956"/>
        <v>260</v>
      </c>
      <c r="I2270" t="str">
        <f t="shared" si="957"/>
        <v>AAPL</v>
      </c>
      <c r="J2270">
        <f t="shared" si="958"/>
        <v>318</v>
      </c>
      <c r="K2270">
        <f t="shared" si="959"/>
        <v>355</v>
      </c>
      <c r="L2270">
        <f t="shared" si="960"/>
        <v>336.5</v>
      </c>
      <c r="M2270">
        <f t="shared" si="961"/>
        <v>18.5</v>
      </c>
      <c r="N2270">
        <f t="shared" si="951"/>
        <v>37</v>
      </c>
      <c r="O2270">
        <f t="shared" si="962"/>
        <v>352</v>
      </c>
      <c r="P2270">
        <f t="shared" si="963"/>
        <v>0.83783783783783783</v>
      </c>
      <c r="Q2270" t="str">
        <f t="shared" si="952"/>
        <v>9.66% | 0.85%</v>
      </c>
      <c r="R2270" t="str">
        <f t="shared" si="964"/>
        <v>BULLISH</v>
      </c>
      <c r="S2270">
        <f t="shared" si="953"/>
        <v>1</v>
      </c>
    </row>
    <row r="2271" spans="1:19" hidden="1" x14ac:dyDescent="0.25">
      <c r="A2271" s="5" t="str">
        <f t="shared" si="950"/>
        <v>43993AMZN</v>
      </c>
      <c r="B2271" s="6" t="s">
        <v>29</v>
      </c>
      <c r="C2271" s="6">
        <v>2437</v>
      </c>
      <c r="D2271" s="6">
        <v>2654</v>
      </c>
      <c r="E2271" s="6">
        <v>2647</v>
      </c>
      <c r="F2271" t="str">
        <f t="shared" si="954"/>
        <v>THU</v>
      </c>
      <c r="G2271" s="1">
        <f t="shared" si="955"/>
        <v>43993</v>
      </c>
      <c r="H2271" s="2">
        <f t="shared" ca="1" si="956"/>
        <v>260</v>
      </c>
      <c r="I2271" t="str">
        <f t="shared" si="957"/>
        <v>AMZN</v>
      </c>
      <c r="J2271">
        <f t="shared" si="958"/>
        <v>2437</v>
      </c>
      <c r="K2271">
        <f t="shared" si="959"/>
        <v>2654</v>
      </c>
      <c r="L2271">
        <f t="shared" si="960"/>
        <v>2545.5</v>
      </c>
      <c r="M2271">
        <f t="shared" si="961"/>
        <v>108.5</v>
      </c>
      <c r="N2271">
        <f t="shared" si="951"/>
        <v>217</v>
      </c>
      <c r="O2271">
        <f t="shared" si="962"/>
        <v>2647</v>
      </c>
      <c r="P2271">
        <f t="shared" si="963"/>
        <v>0.93548387096774188</v>
      </c>
      <c r="Q2271" t="str">
        <f t="shared" si="952"/>
        <v>7.93% | 0.26%</v>
      </c>
      <c r="R2271" t="str">
        <f t="shared" si="964"/>
        <v>BULLISH</v>
      </c>
      <c r="S2271">
        <f t="shared" si="953"/>
        <v>1</v>
      </c>
    </row>
    <row r="2272" spans="1:19" hidden="1" x14ac:dyDescent="0.25">
      <c r="A2272" s="5" t="str">
        <f t="shared" si="950"/>
        <v>43993FB</v>
      </c>
      <c r="B2272" s="6" t="s">
        <v>30</v>
      </c>
      <c r="C2272" s="6">
        <v>220</v>
      </c>
      <c r="D2272" s="6">
        <v>240</v>
      </c>
      <c r="E2272" s="6">
        <v>236</v>
      </c>
      <c r="F2272" t="str">
        <f t="shared" si="954"/>
        <v>THU</v>
      </c>
      <c r="G2272" s="1">
        <f t="shared" si="955"/>
        <v>43993</v>
      </c>
      <c r="H2272" s="2">
        <f t="shared" ca="1" si="956"/>
        <v>260</v>
      </c>
      <c r="I2272" t="str">
        <f t="shared" si="957"/>
        <v>FB</v>
      </c>
      <c r="J2272">
        <f t="shared" si="958"/>
        <v>220</v>
      </c>
      <c r="K2272">
        <f t="shared" si="959"/>
        <v>240</v>
      </c>
      <c r="L2272">
        <f t="shared" si="960"/>
        <v>230</v>
      </c>
      <c r="M2272">
        <f t="shared" si="961"/>
        <v>10</v>
      </c>
      <c r="N2272">
        <f t="shared" si="951"/>
        <v>20</v>
      </c>
      <c r="O2272">
        <f t="shared" si="962"/>
        <v>236</v>
      </c>
      <c r="P2272">
        <f t="shared" si="963"/>
        <v>0.6</v>
      </c>
      <c r="Q2272" t="str">
        <f t="shared" si="952"/>
        <v>6.78% | 1.69%</v>
      </c>
      <c r="R2272" t="str">
        <f t="shared" si="964"/>
        <v>BULLISH</v>
      </c>
      <c r="S2272">
        <f t="shared" si="953"/>
        <v>1</v>
      </c>
    </row>
    <row r="2273" spans="1:19" hidden="1" x14ac:dyDescent="0.25">
      <c r="A2273" s="5" t="str">
        <f t="shared" si="950"/>
        <v>43993GOOGL</v>
      </c>
      <c r="B2273" s="6" t="s">
        <v>31</v>
      </c>
      <c r="C2273" s="6">
        <v>1404</v>
      </c>
      <c r="D2273" s="6">
        <v>1468</v>
      </c>
      <c r="E2273" s="6">
        <v>1464</v>
      </c>
      <c r="F2273" t="str">
        <f t="shared" si="954"/>
        <v>THU</v>
      </c>
      <c r="G2273" s="1">
        <f t="shared" si="955"/>
        <v>43993</v>
      </c>
      <c r="H2273" s="2">
        <f t="shared" ca="1" si="956"/>
        <v>260</v>
      </c>
      <c r="I2273" t="str">
        <f t="shared" si="957"/>
        <v>GOOGL</v>
      </c>
      <c r="J2273">
        <f t="shared" si="958"/>
        <v>1404</v>
      </c>
      <c r="K2273">
        <f t="shared" si="959"/>
        <v>1468</v>
      </c>
      <c r="L2273">
        <f t="shared" si="960"/>
        <v>1436</v>
      </c>
      <c r="M2273">
        <f t="shared" si="961"/>
        <v>32</v>
      </c>
      <c r="N2273">
        <f t="shared" si="951"/>
        <v>64</v>
      </c>
      <c r="O2273">
        <f t="shared" si="962"/>
        <v>1464</v>
      </c>
      <c r="P2273">
        <f t="shared" si="963"/>
        <v>0.875</v>
      </c>
      <c r="Q2273" t="str">
        <f t="shared" si="952"/>
        <v>4.1% | 0.27%</v>
      </c>
      <c r="R2273" t="str">
        <f t="shared" si="964"/>
        <v>BULLISH</v>
      </c>
      <c r="S2273">
        <f t="shared" si="953"/>
        <v>1</v>
      </c>
    </row>
    <row r="2274" spans="1:19" hidden="1" x14ac:dyDescent="0.25">
      <c r="A2274" s="5" t="str">
        <f t="shared" si="950"/>
        <v>43993NFLX</v>
      </c>
      <c r="B2274" s="6" t="s">
        <v>32</v>
      </c>
      <c r="C2274" s="6">
        <v>407</v>
      </c>
      <c r="D2274" s="6">
        <v>439</v>
      </c>
      <c r="E2274" s="6">
        <v>434</v>
      </c>
      <c r="F2274" t="str">
        <f t="shared" si="954"/>
        <v>THU</v>
      </c>
      <c r="G2274" s="1">
        <f t="shared" si="955"/>
        <v>43993</v>
      </c>
      <c r="H2274" s="2">
        <f t="shared" ca="1" si="956"/>
        <v>260</v>
      </c>
      <c r="I2274" t="str">
        <f t="shared" si="957"/>
        <v>NFLX</v>
      </c>
      <c r="J2274">
        <f t="shared" si="958"/>
        <v>407</v>
      </c>
      <c r="K2274">
        <f t="shared" si="959"/>
        <v>439</v>
      </c>
      <c r="L2274">
        <f t="shared" si="960"/>
        <v>423</v>
      </c>
      <c r="M2274">
        <f t="shared" si="961"/>
        <v>16</v>
      </c>
      <c r="N2274">
        <f t="shared" si="951"/>
        <v>32</v>
      </c>
      <c r="O2274">
        <f t="shared" si="962"/>
        <v>434</v>
      </c>
      <c r="P2274">
        <f t="shared" si="963"/>
        <v>0.6875</v>
      </c>
      <c r="Q2274" t="str">
        <f t="shared" si="952"/>
        <v>6.22% | 1.15%</v>
      </c>
      <c r="R2274" t="str">
        <f t="shared" si="964"/>
        <v>BULLISH</v>
      </c>
      <c r="S2274">
        <f t="shared" si="953"/>
        <v>1</v>
      </c>
    </row>
    <row r="2275" spans="1:19" x14ac:dyDescent="0.25">
      <c r="A2275" s="5" t="str">
        <f t="shared" si="950"/>
        <v>43993TSLA</v>
      </c>
      <c r="B2275" s="6" t="s">
        <v>33</v>
      </c>
      <c r="C2275" s="6">
        <v>842</v>
      </c>
      <c r="D2275" s="6">
        <v>1033</v>
      </c>
      <c r="E2275" s="6">
        <v>1025</v>
      </c>
      <c r="F2275" t="str">
        <f t="shared" si="954"/>
        <v>THU</v>
      </c>
      <c r="G2275" s="1">
        <f t="shared" si="955"/>
        <v>43993</v>
      </c>
      <c r="H2275" s="2">
        <f t="shared" ca="1" si="956"/>
        <v>260</v>
      </c>
      <c r="I2275" t="str">
        <f t="shared" si="957"/>
        <v>TSLA</v>
      </c>
      <c r="J2275">
        <f t="shared" si="958"/>
        <v>842</v>
      </c>
      <c r="K2275">
        <f t="shared" si="959"/>
        <v>1033</v>
      </c>
      <c r="L2275">
        <f t="shared" si="960"/>
        <v>937.5</v>
      </c>
      <c r="M2275">
        <f t="shared" si="961"/>
        <v>95.5</v>
      </c>
      <c r="N2275">
        <f t="shared" si="951"/>
        <v>191</v>
      </c>
      <c r="O2275">
        <f t="shared" si="962"/>
        <v>1025</v>
      </c>
      <c r="P2275">
        <f t="shared" si="963"/>
        <v>0.91623036649214662</v>
      </c>
      <c r="Q2275" t="str">
        <f t="shared" si="952"/>
        <v>17.85% | 0.78%</v>
      </c>
      <c r="R2275" t="str">
        <f t="shared" si="964"/>
        <v>BULLISH</v>
      </c>
      <c r="S2275">
        <f t="shared" si="953"/>
        <v>1</v>
      </c>
    </row>
    <row r="2276" spans="1:19" hidden="1" x14ac:dyDescent="0.25">
      <c r="A2276" s="5" t="str">
        <f t="shared" si="950"/>
        <v>43993NYXBT</v>
      </c>
      <c r="B2276" s="6" t="s">
        <v>34</v>
      </c>
      <c r="C2276" s="6">
        <v>9460</v>
      </c>
      <c r="D2276" s="6">
        <v>11025</v>
      </c>
      <c r="E2276" s="6">
        <v>9749</v>
      </c>
      <c r="F2276" t="str">
        <f t="shared" si="954"/>
        <v>THU</v>
      </c>
      <c r="G2276" s="1">
        <f t="shared" si="955"/>
        <v>43993</v>
      </c>
      <c r="H2276" s="2">
        <f t="shared" ca="1" si="956"/>
        <v>260</v>
      </c>
      <c r="I2276" t="str">
        <f t="shared" si="957"/>
        <v>NYXBT</v>
      </c>
      <c r="J2276">
        <f t="shared" si="958"/>
        <v>9460</v>
      </c>
      <c r="K2276">
        <f t="shared" si="959"/>
        <v>11025</v>
      </c>
      <c r="L2276">
        <f t="shared" si="960"/>
        <v>10242.5</v>
      </c>
      <c r="M2276">
        <f t="shared" si="961"/>
        <v>782.5</v>
      </c>
      <c r="N2276">
        <f t="shared" si="951"/>
        <v>1565</v>
      </c>
      <c r="O2276">
        <f t="shared" si="962"/>
        <v>9749</v>
      </c>
      <c r="P2276">
        <f t="shared" si="963"/>
        <v>-0.63067092651757184</v>
      </c>
      <c r="Q2276" t="str">
        <f t="shared" si="952"/>
        <v>2.96% | 13.09%</v>
      </c>
      <c r="R2276" t="str">
        <f t="shared" si="964"/>
        <v>BULLISH</v>
      </c>
      <c r="S2276">
        <f t="shared" si="953"/>
        <v>1</v>
      </c>
    </row>
    <row r="2277" spans="1:19" hidden="1" x14ac:dyDescent="0.25">
      <c r="A2277" s="5" t="str">
        <f t="shared" si="950"/>
        <v>43994UST10Y</v>
      </c>
      <c r="B2277" s="6" t="s">
        <v>4</v>
      </c>
      <c r="C2277" s="6">
        <v>0.88</v>
      </c>
      <c r="D2277" s="6">
        <v>0.57999999999999996</v>
      </c>
      <c r="E2277" s="6">
        <v>0.66</v>
      </c>
      <c r="F2277" t="str">
        <f t="shared" si="954"/>
        <v>FRI</v>
      </c>
      <c r="G2277" s="3">
        <f>DATE(2020,6,12)</f>
        <v>43994</v>
      </c>
      <c r="H2277" s="2">
        <f t="shared" ca="1" si="956"/>
        <v>259</v>
      </c>
      <c r="I2277" t="str">
        <f t="shared" si="957"/>
        <v>UST10Y</v>
      </c>
      <c r="J2277">
        <f t="shared" si="958"/>
        <v>0.88</v>
      </c>
      <c r="K2277">
        <f t="shared" si="959"/>
        <v>0.57999999999999996</v>
      </c>
      <c r="L2277">
        <f t="shared" si="960"/>
        <v>0.73</v>
      </c>
      <c r="M2277">
        <f t="shared" si="961"/>
        <v>0.15000000000000024</v>
      </c>
      <c r="N2277">
        <f t="shared" si="951"/>
        <v>0.30000000000000004</v>
      </c>
      <c r="O2277">
        <f t="shared" si="962"/>
        <v>0.66</v>
      </c>
      <c r="P2277">
        <f t="shared" si="963"/>
        <v>-0.46666666666666556</v>
      </c>
      <c r="Q2277" t="str">
        <f t="shared" si="952"/>
        <v>33.33% | 12.12%</v>
      </c>
      <c r="R2277" t="str">
        <f t="shared" si="964"/>
        <v>BEARISH</v>
      </c>
      <c r="S2277">
        <f t="shared" si="953"/>
        <v>-1</v>
      </c>
    </row>
    <row r="2278" spans="1:19" hidden="1" x14ac:dyDescent="0.25">
      <c r="A2278" s="5" t="str">
        <f t="shared" si="950"/>
        <v>43994UST2Y</v>
      </c>
      <c r="B2278" s="6" t="s">
        <v>5</v>
      </c>
      <c r="C2278" s="6">
        <v>0.23</v>
      </c>
      <c r="D2278" s="6">
        <v>0.13</v>
      </c>
      <c r="E2278" s="6">
        <v>0.19</v>
      </c>
      <c r="F2278" t="str">
        <f t="shared" ref="F2278:F2308" si="965">UPPER(TEXT(G2278,"ddd"))</f>
        <v>FRI</v>
      </c>
      <c r="G2278" s="3">
        <f t="shared" ref="G2278:G2307" si="966">DATE(2020,6,12)</f>
        <v>43994</v>
      </c>
      <c r="H2278" s="2">
        <f t="shared" ref="H2278:H2308" ca="1" si="967">TODAY()-G2278</f>
        <v>259</v>
      </c>
      <c r="I2278" t="str">
        <f t="shared" ref="I2278:I2308" si="968">TRIM(LEFT(B2278,FIND(" ",B2278,1)))</f>
        <v>UST2Y</v>
      </c>
      <c r="J2278">
        <f t="shared" ref="J2278:J2308" si="969">C2278</f>
        <v>0.23</v>
      </c>
      <c r="K2278">
        <f t="shared" ref="K2278:K2308" si="970">D2278</f>
        <v>0.13</v>
      </c>
      <c r="L2278">
        <f t="shared" ref="L2278:L2308" si="971">AVERAGE(J2278:K2278)</f>
        <v>0.18</v>
      </c>
      <c r="M2278">
        <f t="shared" ref="M2278:M2308" si="972">_xlfn.STDEV.P(J2278:K2278)</f>
        <v>5.0000000000000024E-2</v>
      </c>
      <c r="N2278">
        <f t="shared" si="951"/>
        <v>0.1</v>
      </c>
      <c r="O2278">
        <f t="shared" ref="O2278:O2308" si="973">E2278</f>
        <v>0.19</v>
      </c>
      <c r="P2278">
        <f t="shared" ref="P2278:P2308" si="974">(O2278-L2278)/M2278</f>
        <v>0.20000000000000009</v>
      </c>
      <c r="Q2278" t="str">
        <f t="shared" si="952"/>
        <v>21.05% | 31.58%</v>
      </c>
      <c r="R2278" t="str">
        <f t="shared" ref="R2278:R2308" si="975">MID(B2278,FIND("(",B2278,1)+1,FIND(")",B2278,1)-FIND("(",B2278,1)-1)</f>
        <v>BEARISH</v>
      </c>
      <c r="S2278">
        <f t="shared" si="953"/>
        <v>-1</v>
      </c>
    </row>
    <row r="2279" spans="1:19" hidden="1" x14ac:dyDescent="0.25">
      <c r="A2279" s="5" t="str">
        <f t="shared" si="950"/>
        <v>43994SPX</v>
      </c>
      <c r="B2279" s="6" t="s">
        <v>6</v>
      </c>
      <c r="C2279" s="6">
        <v>2949</v>
      </c>
      <c r="D2279" s="6">
        <v>3144</v>
      </c>
      <c r="E2279" s="6">
        <v>3002</v>
      </c>
      <c r="F2279" t="str">
        <f t="shared" si="965"/>
        <v>FRI</v>
      </c>
      <c r="G2279" s="3">
        <f t="shared" si="966"/>
        <v>43994</v>
      </c>
      <c r="H2279" s="2">
        <f t="shared" ca="1" si="967"/>
        <v>259</v>
      </c>
      <c r="I2279" t="str">
        <f t="shared" si="968"/>
        <v>SPX</v>
      </c>
      <c r="J2279">
        <f t="shared" si="969"/>
        <v>2949</v>
      </c>
      <c r="K2279">
        <f t="shared" si="970"/>
        <v>3144</v>
      </c>
      <c r="L2279">
        <f t="shared" si="971"/>
        <v>3046.5</v>
      </c>
      <c r="M2279">
        <f t="shared" si="972"/>
        <v>97.5</v>
      </c>
      <c r="N2279">
        <f t="shared" si="951"/>
        <v>195</v>
      </c>
      <c r="O2279">
        <f t="shared" si="973"/>
        <v>3002</v>
      </c>
      <c r="P2279">
        <f t="shared" si="974"/>
        <v>-0.4564102564102564</v>
      </c>
      <c r="Q2279" t="str">
        <f t="shared" si="952"/>
        <v>1.77% | 4.73%</v>
      </c>
      <c r="R2279" t="str">
        <f t="shared" si="975"/>
        <v>BEARISH</v>
      </c>
      <c r="S2279">
        <f t="shared" si="953"/>
        <v>-1</v>
      </c>
    </row>
    <row r="2280" spans="1:19" hidden="1" x14ac:dyDescent="0.25">
      <c r="A2280" s="5" t="str">
        <f t="shared" si="950"/>
        <v>43994RUT</v>
      </c>
      <c r="B2280" s="6" t="s">
        <v>7</v>
      </c>
      <c r="C2280" s="6">
        <v>1346</v>
      </c>
      <c r="D2280" s="6">
        <v>1456</v>
      </c>
      <c r="E2280" s="6">
        <v>1356</v>
      </c>
      <c r="F2280" t="str">
        <f t="shared" si="965"/>
        <v>FRI</v>
      </c>
      <c r="G2280" s="3">
        <f t="shared" si="966"/>
        <v>43994</v>
      </c>
      <c r="H2280" s="2">
        <f t="shared" ca="1" si="967"/>
        <v>259</v>
      </c>
      <c r="I2280" t="str">
        <f t="shared" si="968"/>
        <v>RUT</v>
      </c>
      <c r="J2280">
        <f t="shared" si="969"/>
        <v>1346</v>
      </c>
      <c r="K2280">
        <f t="shared" si="970"/>
        <v>1456</v>
      </c>
      <c r="L2280">
        <f t="shared" si="971"/>
        <v>1401</v>
      </c>
      <c r="M2280">
        <f t="shared" si="972"/>
        <v>55</v>
      </c>
      <c r="N2280">
        <f t="shared" si="951"/>
        <v>110</v>
      </c>
      <c r="O2280">
        <f t="shared" si="973"/>
        <v>1356</v>
      </c>
      <c r="P2280">
        <f t="shared" si="974"/>
        <v>-0.81818181818181823</v>
      </c>
      <c r="Q2280" t="str">
        <f t="shared" si="952"/>
        <v>0.74% | 7.37%</v>
      </c>
      <c r="R2280" t="str">
        <f t="shared" si="975"/>
        <v>BEARISH</v>
      </c>
      <c r="S2280">
        <f t="shared" si="953"/>
        <v>-1</v>
      </c>
    </row>
    <row r="2281" spans="1:19" hidden="1" x14ac:dyDescent="0.25">
      <c r="A2281" s="5" t="str">
        <f t="shared" si="950"/>
        <v>43994COMPQ</v>
      </c>
      <c r="B2281" s="6" t="s">
        <v>8</v>
      </c>
      <c r="C2281" s="6">
        <v>9369</v>
      </c>
      <c r="D2281" s="6">
        <v>10102</v>
      </c>
      <c r="E2281" s="6">
        <v>9492</v>
      </c>
      <c r="F2281" t="str">
        <f t="shared" si="965"/>
        <v>FRI</v>
      </c>
      <c r="G2281" s="3">
        <f t="shared" si="966"/>
        <v>43994</v>
      </c>
      <c r="H2281" s="2">
        <f t="shared" ca="1" si="967"/>
        <v>259</v>
      </c>
      <c r="I2281" t="str">
        <f t="shared" si="968"/>
        <v>COMPQ</v>
      </c>
      <c r="J2281">
        <f t="shared" si="969"/>
        <v>9369</v>
      </c>
      <c r="K2281">
        <f t="shared" si="970"/>
        <v>10102</v>
      </c>
      <c r="L2281">
        <f t="shared" si="971"/>
        <v>9735.5</v>
      </c>
      <c r="M2281">
        <f t="shared" si="972"/>
        <v>366.5</v>
      </c>
      <c r="N2281">
        <f t="shared" si="951"/>
        <v>733</v>
      </c>
      <c r="O2281">
        <f t="shared" si="973"/>
        <v>9492</v>
      </c>
      <c r="P2281">
        <f t="shared" si="974"/>
        <v>-0.66439290586630284</v>
      </c>
      <c r="Q2281" t="str">
        <f t="shared" si="952"/>
        <v>1.3% | 6.43%</v>
      </c>
      <c r="R2281" t="str">
        <f t="shared" si="975"/>
        <v>BULLISH</v>
      </c>
      <c r="S2281">
        <f t="shared" si="953"/>
        <v>1</v>
      </c>
    </row>
    <row r="2282" spans="1:19" hidden="1" x14ac:dyDescent="0.25">
      <c r="A2282" s="5" t="str">
        <f t="shared" si="950"/>
        <v>43994XLV</v>
      </c>
      <c r="B2282" s="6" t="s">
        <v>9</v>
      </c>
      <c r="C2282" s="6">
        <v>96.67</v>
      </c>
      <c r="D2282" s="6">
        <v>102.12</v>
      </c>
      <c r="E2282" s="6">
        <v>96.97</v>
      </c>
      <c r="F2282" t="str">
        <f t="shared" si="965"/>
        <v>FRI</v>
      </c>
      <c r="G2282" s="3">
        <f t="shared" si="966"/>
        <v>43994</v>
      </c>
      <c r="H2282" s="2">
        <f t="shared" ca="1" si="967"/>
        <v>259</v>
      </c>
      <c r="I2282" t="str">
        <f t="shared" si="968"/>
        <v>XLV</v>
      </c>
      <c r="J2282">
        <f t="shared" si="969"/>
        <v>96.67</v>
      </c>
      <c r="K2282">
        <f t="shared" si="970"/>
        <v>102.12</v>
      </c>
      <c r="L2282">
        <f t="shared" si="971"/>
        <v>99.39500000000001</v>
      </c>
      <c r="M2282">
        <f t="shared" si="972"/>
        <v>2.7250000000000014</v>
      </c>
      <c r="N2282">
        <f t="shared" si="951"/>
        <v>5.4500000000000028</v>
      </c>
      <c r="O2282">
        <f t="shared" si="973"/>
        <v>96.97</v>
      </c>
      <c r="P2282">
        <f t="shared" si="974"/>
        <v>-0.8899082568807376</v>
      </c>
      <c r="Q2282" t="str">
        <f t="shared" si="952"/>
        <v>0.31% | 5.31%</v>
      </c>
      <c r="R2282" t="str">
        <f t="shared" si="975"/>
        <v>BULLISH</v>
      </c>
      <c r="S2282">
        <f t="shared" si="953"/>
        <v>1</v>
      </c>
    </row>
    <row r="2283" spans="1:19" hidden="1" x14ac:dyDescent="0.25">
      <c r="A2283" s="5" t="str">
        <f t="shared" si="950"/>
        <v>43994XLK</v>
      </c>
      <c r="B2283" s="6" t="s">
        <v>10</v>
      </c>
      <c r="C2283" s="6">
        <v>96.16</v>
      </c>
      <c r="D2283" s="6">
        <v>104.47</v>
      </c>
      <c r="E2283" s="6">
        <v>98.14</v>
      </c>
      <c r="F2283" t="str">
        <f t="shared" si="965"/>
        <v>FRI</v>
      </c>
      <c r="G2283" s="3">
        <f t="shared" si="966"/>
        <v>43994</v>
      </c>
      <c r="H2283" s="2">
        <f t="shared" ca="1" si="967"/>
        <v>259</v>
      </c>
      <c r="I2283" t="str">
        <f t="shared" si="968"/>
        <v>XLK</v>
      </c>
      <c r="J2283">
        <f t="shared" si="969"/>
        <v>96.16</v>
      </c>
      <c r="K2283">
        <f t="shared" si="970"/>
        <v>104.47</v>
      </c>
      <c r="L2283">
        <f t="shared" si="971"/>
        <v>100.315</v>
      </c>
      <c r="M2283">
        <f t="shared" si="972"/>
        <v>4.1550000000000011</v>
      </c>
      <c r="N2283">
        <f t="shared" si="951"/>
        <v>8.3100000000000023</v>
      </c>
      <c r="O2283">
        <f t="shared" si="973"/>
        <v>98.14</v>
      </c>
      <c r="P2283">
        <f t="shared" si="974"/>
        <v>-0.52346570397111836</v>
      </c>
      <c r="Q2283" t="str">
        <f t="shared" si="952"/>
        <v>2.02% | 6.45%</v>
      </c>
      <c r="R2283" t="str">
        <f t="shared" si="975"/>
        <v>BULLISH</v>
      </c>
      <c r="S2283">
        <f t="shared" si="953"/>
        <v>1</v>
      </c>
    </row>
    <row r="2284" spans="1:19" hidden="1" x14ac:dyDescent="0.25">
      <c r="A2284" s="5" t="str">
        <f t="shared" si="950"/>
        <v>43994XLU</v>
      </c>
      <c r="B2284" s="6" t="s">
        <v>52</v>
      </c>
      <c r="C2284" s="6">
        <v>58.22</v>
      </c>
      <c r="D2284" s="6">
        <v>63.03</v>
      </c>
      <c r="E2284" s="6">
        <v>58.82</v>
      </c>
      <c r="F2284" t="str">
        <f t="shared" si="965"/>
        <v>FRI</v>
      </c>
      <c r="G2284" s="3">
        <f t="shared" si="966"/>
        <v>43994</v>
      </c>
      <c r="H2284" s="2">
        <f t="shared" ca="1" si="967"/>
        <v>259</v>
      </c>
      <c r="I2284" t="str">
        <f t="shared" si="968"/>
        <v>XLU</v>
      </c>
      <c r="J2284">
        <f t="shared" si="969"/>
        <v>58.22</v>
      </c>
      <c r="K2284">
        <f t="shared" si="970"/>
        <v>63.03</v>
      </c>
      <c r="L2284">
        <f t="shared" si="971"/>
        <v>60.625</v>
      </c>
      <c r="M2284">
        <f t="shared" si="972"/>
        <v>2.4050000000000011</v>
      </c>
      <c r="N2284">
        <f t="shared" si="951"/>
        <v>4.8100000000000023</v>
      </c>
      <c r="O2284">
        <f t="shared" si="973"/>
        <v>58.82</v>
      </c>
      <c r="P2284">
        <f t="shared" si="974"/>
        <v>-0.75051975051975006</v>
      </c>
      <c r="Q2284" t="str">
        <f t="shared" si="952"/>
        <v>1.02% | 7.16%</v>
      </c>
      <c r="R2284" t="str">
        <f t="shared" si="975"/>
        <v>BULLISH</v>
      </c>
      <c r="S2284">
        <f t="shared" si="953"/>
        <v>1</v>
      </c>
    </row>
    <row r="2285" spans="1:19" hidden="1" x14ac:dyDescent="0.25">
      <c r="A2285" s="5" t="str">
        <f t="shared" si="950"/>
        <v>43994XLRE</v>
      </c>
      <c r="B2285" s="6" t="s">
        <v>97</v>
      </c>
      <c r="C2285" s="6">
        <v>33.92</v>
      </c>
      <c r="D2285" s="6">
        <v>38.36</v>
      </c>
      <c r="E2285" s="6">
        <v>34.450000000000003</v>
      </c>
      <c r="F2285" t="str">
        <f t="shared" si="965"/>
        <v>FRI</v>
      </c>
      <c r="G2285" s="3">
        <f t="shared" si="966"/>
        <v>43994</v>
      </c>
      <c r="H2285" s="2">
        <f t="shared" ca="1" si="967"/>
        <v>259</v>
      </c>
      <c r="I2285" t="str">
        <f t="shared" si="968"/>
        <v>XLRE</v>
      </c>
      <c r="J2285">
        <f t="shared" si="969"/>
        <v>33.92</v>
      </c>
      <c r="K2285">
        <f t="shared" si="970"/>
        <v>38.36</v>
      </c>
      <c r="L2285">
        <f t="shared" si="971"/>
        <v>36.14</v>
      </c>
      <c r="M2285">
        <f t="shared" si="972"/>
        <v>2.2199999999999989</v>
      </c>
      <c r="N2285">
        <f t="shared" si="951"/>
        <v>4.4399999999999977</v>
      </c>
      <c r="O2285">
        <f t="shared" si="973"/>
        <v>34.450000000000003</v>
      </c>
      <c r="P2285">
        <f t="shared" si="974"/>
        <v>-0.76126126126126059</v>
      </c>
      <c r="Q2285" t="str">
        <f t="shared" si="952"/>
        <v>1.54% | 11.35%</v>
      </c>
      <c r="R2285" t="str">
        <f t="shared" si="975"/>
        <v>BULLISH</v>
      </c>
      <c r="S2285">
        <f t="shared" si="953"/>
        <v>1</v>
      </c>
    </row>
    <row r="2286" spans="1:19" hidden="1" x14ac:dyDescent="0.25">
      <c r="A2286" s="5" t="str">
        <f t="shared" si="950"/>
        <v>43994XLF</v>
      </c>
      <c r="B2286" s="6" t="s">
        <v>12</v>
      </c>
      <c r="C2286" s="6">
        <v>22.34</v>
      </c>
      <c r="D2286" s="6">
        <v>25.11</v>
      </c>
      <c r="E2286" s="6">
        <v>23.13</v>
      </c>
      <c r="F2286" t="str">
        <f t="shared" si="965"/>
        <v>FRI</v>
      </c>
      <c r="G2286" s="3">
        <f t="shared" si="966"/>
        <v>43994</v>
      </c>
      <c r="H2286" s="2">
        <f t="shared" ca="1" si="967"/>
        <v>259</v>
      </c>
      <c r="I2286" t="str">
        <f t="shared" si="968"/>
        <v>XLF</v>
      </c>
      <c r="J2286">
        <f t="shared" si="969"/>
        <v>22.34</v>
      </c>
      <c r="K2286">
        <f t="shared" si="970"/>
        <v>25.11</v>
      </c>
      <c r="L2286">
        <f t="shared" si="971"/>
        <v>23.725000000000001</v>
      </c>
      <c r="M2286">
        <f t="shared" si="972"/>
        <v>1.3849999999999998</v>
      </c>
      <c r="N2286">
        <f t="shared" si="951"/>
        <v>2.7699999999999996</v>
      </c>
      <c r="O2286">
        <f t="shared" si="973"/>
        <v>23.13</v>
      </c>
      <c r="P2286">
        <f t="shared" si="974"/>
        <v>-0.42960288808664443</v>
      </c>
      <c r="Q2286" t="str">
        <f t="shared" si="952"/>
        <v>3.42% | 8.56%</v>
      </c>
      <c r="R2286" t="str">
        <f t="shared" si="975"/>
        <v>BEARISH</v>
      </c>
      <c r="S2286">
        <f t="shared" si="953"/>
        <v>-1</v>
      </c>
    </row>
    <row r="2287" spans="1:19" hidden="1" x14ac:dyDescent="0.25">
      <c r="A2287" s="5" t="str">
        <f t="shared" si="950"/>
        <v>43994SSEC</v>
      </c>
      <c r="B2287" s="6" t="s">
        <v>14</v>
      </c>
      <c r="C2287" s="6">
        <v>2882</v>
      </c>
      <c r="D2287" s="6">
        <v>2957</v>
      </c>
      <c r="E2287" s="6">
        <v>2920</v>
      </c>
      <c r="F2287" t="str">
        <f t="shared" si="965"/>
        <v>FRI</v>
      </c>
      <c r="G2287" s="3">
        <f t="shared" si="966"/>
        <v>43994</v>
      </c>
      <c r="H2287" s="2">
        <f t="shared" ca="1" si="967"/>
        <v>259</v>
      </c>
      <c r="I2287" t="str">
        <f t="shared" si="968"/>
        <v>SSEC</v>
      </c>
      <c r="J2287">
        <f t="shared" si="969"/>
        <v>2882</v>
      </c>
      <c r="K2287">
        <f t="shared" si="970"/>
        <v>2957</v>
      </c>
      <c r="L2287">
        <f t="shared" si="971"/>
        <v>2919.5</v>
      </c>
      <c r="M2287">
        <f t="shared" si="972"/>
        <v>37.5</v>
      </c>
      <c r="N2287">
        <f t="shared" si="951"/>
        <v>75</v>
      </c>
      <c r="O2287">
        <f t="shared" si="973"/>
        <v>2920</v>
      </c>
      <c r="P2287">
        <f t="shared" si="974"/>
        <v>1.3333333333333334E-2</v>
      </c>
      <c r="Q2287" t="str">
        <f t="shared" si="952"/>
        <v>1.3% | 1.27%</v>
      </c>
      <c r="R2287" t="str">
        <f t="shared" si="975"/>
        <v>BEARISH</v>
      </c>
      <c r="S2287">
        <f t="shared" si="953"/>
        <v>-1</v>
      </c>
    </row>
    <row r="2288" spans="1:19" hidden="1" x14ac:dyDescent="0.25">
      <c r="A2288" s="5" t="str">
        <f t="shared" si="950"/>
        <v>43994NIKK</v>
      </c>
      <c r="B2288" s="6" t="s">
        <v>91</v>
      </c>
      <c r="C2288" s="6">
        <v>21886</v>
      </c>
      <c r="D2288" s="6">
        <v>23440</v>
      </c>
      <c r="E2288" s="6">
        <v>22472</v>
      </c>
      <c r="F2288" t="str">
        <f t="shared" si="965"/>
        <v>FRI</v>
      </c>
      <c r="G2288" s="3">
        <f t="shared" si="966"/>
        <v>43994</v>
      </c>
      <c r="H2288" s="2">
        <f t="shared" ca="1" si="967"/>
        <v>259</v>
      </c>
      <c r="I2288" t="str">
        <f t="shared" si="968"/>
        <v>NIKK</v>
      </c>
      <c r="J2288">
        <f t="shared" si="969"/>
        <v>21886</v>
      </c>
      <c r="K2288">
        <f t="shared" si="970"/>
        <v>23440</v>
      </c>
      <c r="L2288">
        <f t="shared" si="971"/>
        <v>22663</v>
      </c>
      <c r="M2288">
        <f t="shared" si="972"/>
        <v>777</v>
      </c>
      <c r="N2288">
        <f t="shared" si="951"/>
        <v>1554</v>
      </c>
      <c r="O2288">
        <f t="shared" si="973"/>
        <v>22472</v>
      </c>
      <c r="P2288">
        <f t="shared" si="974"/>
        <v>-0.24581724581724582</v>
      </c>
      <c r="Q2288" t="str">
        <f t="shared" si="952"/>
        <v>2.61% | 4.31%</v>
      </c>
      <c r="R2288" t="str">
        <f t="shared" si="975"/>
        <v>BULLISH</v>
      </c>
      <c r="S2288">
        <f t="shared" si="953"/>
        <v>1</v>
      </c>
    </row>
    <row r="2289" spans="1:19" hidden="1" x14ac:dyDescent="0.25">
      <c r="A2289" s="5" t="str">
        <f t="shared" si="950"/>
        <v>43994DAX</v>
      </c>
      <c r="B2289" s="6" t="s">
        <v>16</v>
      </c>
      <c r="C2289" s="6">
        <v>11662</v>
      </c>
      <c r="D2289" s="6">
        <v>12750</v>
      </c>
      <c r="E2289" s="6">
        <v>11979</v>
      </c>
      <c r="F2289" t="str">
        <f t="shared" si="965"/>
        <v>FRI</v>
      </c>
      <c r="G2289" s="3">
        <f t="shared" si="966"/>
        <v>43994</v>
      </c>
      <c r="H2289" s="2">
        <f t="shared" ca="1" si="967"/>
        <v>259</v>
      </c>
      <c r="I2289" t="str">
        <f t="shared" si="968"/>
        <v>DAX</v>
      </c>
      <c r="J2289">
        <f t="shared" si="969"/>
        <v>11662</v>
      </c>
      <c r="K2289">
        <f t="shared" si="970"/>
        <v>12750</v>
      </c>
      <c r="L2289">
        <f t="shared" si="971"/>
        <v>12206</v>
      </c>
      <c r="M2289">
        <f t="shared" si="972"/>
        <v>544</v>
      </c>
      <c r="N2289">
        <f t="shared" si="951"/>
        <v>1088</v>
      </c>
      <c r="O2289">
        <f t="shared" si="973"/>
        <v>11979</v>
      </c>
      <c r="P2289">
        <f t="shared" si="974"/>
        <v>-0.4172794117647059</v>
      </c>
      <c r="Q2289" t="str">
        <f t="shared" si="952"/>
        <v>2.65% | 6.44%</v>
      </c>
      <c r="R2289" t="str">
        <f t="shared" si="975"/>
        <v>BEARISH</v>
      </c>
      <c r="S2289">
        <f t="shared" si="953"/>
        <v>-1</v>
      </c>
    </row>
    <row r="2290" spans="1:19" hidden="1" x14ac:dyDescent="0.25">
      <c r="A2290" s="5" t="str">
        <f t="shared" si="950"/>
        <v>43994VIX</v>
      </c>
      <c r="B2290" s="6" t="s">
        <v>17</v>
      </c>
      <c r="C2290" s="6">
        <v>28.03</v>
      </c>
      <c r="D2290" s="6">
        <v>44.44</v>
      </c>
      <c r="E2290" s="6">
        <v>40.79</v>
      </c>
      <c r="F2290" t="str">
        <f t="shared" si="965"/>
        <v>FRI</v>
      </c>
      <c r="G2290" s="3">
        <f t="shared" si="966"/>
        <v>43994</v>
      </c>
      <c r="H2290" s="2">
        <f t="shared" ca="1" si="967"/>
        <v>259</v>
      </c>
      <c r="I2290" t="str">
        <f t="shared" si="968"/>
        <v>VIX</v>
      </c>
      <c r="J2290">
        <f t="shared" si="969"/>
        <v>28.03</v>
      </c>
      <c r="K2290">
        <f t="shared" si="970"/>
        <v>44.44</v>
      </c>
      <c r="L2290">
        <f t="shared" si="971"/>
        <v>36.234999999999999</v>
      </c>
      <c r="M2290">
        <f t="shared" si="972"/>
        <v>8.2050000000000107</v>
      </c>
      <c r="N2290">
        <f t="shared" si="951"/>
        <v>16.409999999999997</v>
      </c>
      <c r="O2290">
        <f t="shared" si="973"/>
        <v>40.79</v>
      </c>
      <c r="P2290">
        <f t="shared" si="974"/>
        <v>0.55514929920779932</v>
      </c>
      <c r="Q2290" t="str">
        <f t="shared" si="952"/>
        <v>31.28% | 8.95%</v>
      </c>
      <c r="R2290" t="str">
        <f t="shared" si="975"/>
        <v>BULLISH</v>
      </c>
      <c r="S2290">
        <f t="shared" si="953"/>
        <v>1</v>
      </c>
    </row>
    <row r="2291" spans="1:19" hidden="1" x14ac:dyDescent="0.25">
      <c r="A2291" s="5" t="str">
        <f t="shared" si="950"/>
        <v>43994USD</v>
      </c>
      <c r="B2291" s="6" t="s">
        <v>94</v>
      </c>
      <c r="C2291" s="6">
        <v>95.7</v>
      </c>
      <c r="D2291" s="6">
        <v>98.13</v>
      </c>
      <c r="E2291" s="6">
        <v>96.72</v>
      </c>
      <c r="F2291" t="str">
        <f t="shared" si="965"/>
        <v>FRI</v>
      </c>
      <c r="G2291" s="3">
        <f t="shared" si="966"/>
        <v>43994</v>
      </c>
      <c r="H2291" s="2">
        <f t="shared" ca="1" si="967"/>
        <v>259</v>
      </c>
      <c r="I2291" t="str">
        <f t="shared" si="968"/>
        <v>USD</v>
      </c>
      <c r="J2291">
        <f t="shared" si="969"/>
        <v>95.7</v>
      </c>
      <c r="K2291">
        <f t="shared" si="970"/>
        <v>98.13</v>
      </c>
      <c r="L2291">
        <f t="shared" si="971"/>
        <v>96.914999999999992</v>
      </c>
      <c r="M2291">
        <f t="shared" si="972"/>
        <v>1.2149999999999963</v>
      </c>
      <c r="N2291">
        <f t="shared" si="951"/>
        <v>2.4299999999999926</v>
      </c>
      <c r="O2291">
        <f t="shared" si="973"/>
        <v>96.72</v>
      </c>
      <c r="P2291">
        <f t="shared" si="974"/>
        <v>-0.16049382716048871</v>
      </c>
      <c r="Q2291" t="str">
        <f t="shared" si="952"/>
        <v>1.05% | 1.46%</v>
      </c>
      <c r="R2291" t="str">
        <f t="shared" si="975"/>
        <v>BEARISH</v>
      </c>
      <c r="S2291">
        <f t="shared" si="953"/>
        <v>-1</v>
      </c>
    </row>
    <row r="2292" spans="1:19" hidden="1" x14ac:dyDescent="0.25">
      <c r="A2292" s="5" t="str">
        <f t="shared" si="950"/>
        <v>43994EUR/USD</v>
      </c>
      <c r="B2292" s="6" t="s">
        <v>99</v>
      </c>
      <c r="C2292" s="6">
        <v>1.1100000000000001</v>
      </c>
      <c r="D2292" s="6">
        <v>1.1399999999999999</v>
      </c>
      <c r="E2292" s="6">
        <v>1.1299999999999999</v>
      </c>
      <c r="F2292" t="str">
        <f t="shared" si="965"/>
        <v>FRI</v>
      </c>
      <c r="G2292" s="3">
        <f t="shared" si="966"/>
        <v>43994</v>
      </c>
      <c r="H2292" s="2">
        <f t="shared" ca="1" si="967"/>
        <v>259</v>
      </c>
      <c r="I2292" t="str">
        <f t="shared" si="968"/>
        <v>EUR/USD</v>
      </c>
      <c r="J2292">
        <f t="shared" si="969"/>
        <v>1.1100000000000001</v>
      </c>
      <c r="K2292">
        <f t="shared" si="970"/>
        <v>1.1399999999999999</v>
      </c>
      <c r="L2292">
        <f t="shared" si="971"/>
        <v>1.125</v>
      </c>
      <c r="M2292">
        <f t="shared" si="972"/>
        <v>1.4999999999999902E-2</v>
      </c>
      <c r="N2292">
        <f t="shared" si="951"/>
        <v>2.9999999999999805E-2</v>
      </c>
      <c r="O2292">
        <f t="shared" si="973"/>
        <v>1.1299999999999999</v>
      </c>
      <c r="P2292">
        <f t="shared" si="974"/>
        <v>0.33333333333332837</v>
      </c>
      <c r="Q2292" t="str">
        <f t="shared" si="952"/>
        <v>1.77% | 0.88%</v>
      </c>
      <c r="R2292" t="str">
        <f t="shared" si="975"/>
        <v>BULLISH</v>
      </c>
      <c r="S2292">
        <f t="shared" si="953"/>
        <v>1</v>
      </c>
    </row>
    <row r="2293" spans="1:19" hidden="1" x14ac:dyDescent="0.25">
      <c r="A2293" s="5" t="str">
        <f t="shared" si="950"/>
        <v>43994USD/JPY</v>
      </c>
      <c r="B2293" s="6" t="s">
        <v>86</v>
      </c>
      <c r="C2293" s="6">
        <v>106.47</v>
      </c>
      <c r="D2293" s="6">
        <v>109.99</v>
      </c>
      <c r="E2293" s="6">
        <v>106.92</v>
      </c>
      <c r="F2293" t="str">
        <f t="shared" si="965"/>
        <v>FRI</v>
      </c>
      <c r="G2293" s="3">
        <f t="shared" si="966"/>
        <v>43994</v>
      </c>
      <c r="H2293" s="2">
        <f t="shared" ca="1" si="967"/>
        <v>259</v>
      </c>
      <c r="I2293" t="str">
        <f t="shared" si="968"/>
        <v>USD/JPY</v>
      </c>
      <c r="J2293">
        <f t="shared" si="969"/>
        <v>106.47</v>
      </c>
      <c r="K2293">
        <f t="shared" si="970"/>
        <v>109.99</v>
      </c>
      <c r="L2293">
        <f t="shared" si="971"/>
        <v>108.22999999999999</v>
      </c>
      <c r="M2293">
        <f t="shared" si="972"/>
        <v>1.759999999999998</v>
      </c>
      <c r="N2293">
        <f t="shared" si="951"/>
        <v>3.519999999999996</v>
      </c>
      <c r="O2293">
        <f t="shared" si="973"/>
        <v>106.92</v>
      </c>
      <c r="P2293">
        <f t="shared" si="974"/>
        <v>-0.74431818181817588</v>
      </c>
      <c r="Q2293" t="str">
        <f t="shared" si="952"/>
        <v>0.42% | 2.87%</v>
      </c>
      <c r="R2293" t="str">
        <f t="shared" si="975"/>
        <v>NEUTRAL</v>
      </c>
      <c r="S2293">
        <f t="shared" si="953"/>
        <v>0</v>
      </c>
    </row>
    <row r="2294" spans="1:19" hidden="1" x14ac:dyDescent="0.25">
      <c r="A2294" s="5" t="str">
        <f t="shared" si="950"/>
        <v>43994GBP/USD</v>
      </c>
      <c r="B2294" s="6" t="s">
        <v>79</v>
      </c>
      <c r="C2294" s="6">
        <v>1.23</v>
      </c>
      <c r="D2294" s="6">
        <v>1.28</v>
      </c>
      <c r="E2294" s="6">
        <v>1.26</v>
      </c>
      <c r="F2294" t="str">
        <f t="shared" si="965"/>
        <v>FRI</v>
      </c>
      <c r="G2294" s="3">
        <f t="shared" si="966"/>
        <v>43994</v>
      </c>
      <c r="H2294" s="2">
        <f t="shared" ca="1" si="967"/>
        <v>259</v>
      </c>
      <c r="I2294" t="str">
        <f t="shared" si="968"/>
        <v>GBP/USD</v>
      </c>
      <c r="J2294">
        <f t="shared" si="969"/>
        <v>1.23</v>
      </c>
      <c r="K2294">
        <f t="shared" si="970"/>
        <v>1.28</v>
      </c>
      <c r="L2294">
        <f t="shared" si="971"/>
        <v>1.2549999999999999</v>
      </c>
      <c r="M2294">
        <f t="shared" si="972"/>
        <v>2.5000000000000022E-2</v>
      </c>
      <c r="N2294">
        <f t="shared" si="951"/>
        <v>5.0000000000000044E-2</v>
      </c>
      <c r="O2294">
        <f t="shared" si="973"/>
        <v>1.26</v>
      </c>
      <c r="P2294">
        <f t="shared" si="974"/>
        <v>0.20000000000000445</v>
      </c>
      <c r="Q2294" t="str">
        <f t="shared" si="952"/>
        <v>2.38% | 1.59%</v>
      </c>
      <c r="R2294" t="str">
        <f t="shared" si="975"/>
        <v>NEUTRAL</v>
      </c>
      <c r="S2294">
        <f t="shared" si="953"/>
        <v>0</v>
      </c>
    </row>
    <row r="2295" spans="1:19" hidden="1" x14ac:dyDescent="0.25">
      <c r="A2295" s="5" t="str">
        <f t="shared" si="950"/>
        <v>43994USD/CHF</v>
      </c>
      <c r="B2295" s="6" t="s">
        <v>76</v>
      </c>
      <c r="C2295" s="6">
        <v>0.94</v>
      </c>
      <c r="D2295" s="6">
        <v>0.96</v>
      </c>
      <c r="E2295" s="6">
        <v>0.94</v>
      </c>
      <c r="F2295" t="str">
        <f t="shared" si="965"/>
        <v>FRI</v>
      </c>
      <c r="G2295" s="3">
        <f t="shared" si="966"/>
        <v>43994</v>
      </c>
      <c r="H2295" s="2">
        <f t="shared" ca="1" si="967"/>
        <v>259</v>
      </c>
      <c r="I2295" t="str">
        <f t="shared" si="968"/>
        <v>USD/CHF</v>
      </c>
      <c r="J2295">
        <f t="shared" si="969"/>
        <v>0.94</v>
      </c>
      <c r="K2295">
        <f t="shared" si="970"/>
        <v>0.96</v>
      </c>
      <c r="L2295">
        <f t="shared" si="971"/>
        <v>0.95</v>
      </c>
      <c r="M2295">
        <f t="shared" si="972"/>
        <v>1.0000000000000009E-2</v>
      </c>
      <c r="N2295">
        <f t="shared" si="951"/>
        <v>2.0000000000000018E-2</v>
      </c>
      <c r="O2295">
        <f t="shared" si="973"/>
        <v>0.94</v>
      </c>
      <c r="P2295">
        <f t="shared" si="974"/>
        <v>-1</v>
      </c>
      <c r="Q2295" t="str">
        <f t="shared" si="952"/>
        <v>0% | 2.13%</v>
      </c>
      <c r="R2295" t="str">
        <f t="shared" si="975"/>
        <v>BEARISH</v>
      </c>
      <c r="S2295">
        <f t="shared" si="953"/>
        <v>-1</v>
      </c>
    </row>
    <row r="2296" spans="1:19" hidden="1" x14ac:dyDescent="0.25">
      <c r="A2296" s="5" t="str">
        <f t="shared" si="950"/>
        <v>43994WTIC</v>
      </c>
      <c r="B2296" s="6" t="s">
        <v>23</v>
      </c>
      <c r="C2296" s="6">
        <v>33.07</v>
      </c>
      <c r="D2296" s="6">
        <v>40.56</v>
      </c>
      <c r="E2296" s="6">
        <v>36.340000000000003</v>
      </c>
      <c r="F2296" t="str">
        <f t="shared" si="965"/>
        <v>FRI</v>
      </c>
      <c r="G2296" s="3">
        <f t="shared" si="966"/>
        <v>43994</v>
      </c>
      <c r="H2296" s="2">
        <f t="shared" ca="1" si="967"/>
        <v>259</v>
      </c>
      <c r="I2296" t="str">
        <f t="shared" si="968"/>
        <v>WTIC</v>
      </c>
      <c r="J2296">
        <f t="shared" si="969"/>
        <v>33.07</v>
      </c>
      <c r="K2296">
        <f t="shared" si="970"/>
        <v>40.56</v>
      </c>
      <c r="L2296">
        <f t="shared" si="971"/>
        <v>36.814999999999998</v>
      </c>
      <c r="M2296">
        <f t="shared" si="972"/>
        <v>3.7450000000000494</v>
      </c>
      <c r="N2296">
        <f t="shared" si="951"/>
        <v>7.490000000000002</v>
      </c>
      <c r="O2296">
        <f t="shared" si="973"/>
        <v>36.340000000000003</v>
      </c>
      <c r="P2296">
        <f t="shared" si="974"/>
        <v>-0.12683578104138532</v>
      </c>
      <c r="Q2296" t="str">
        <f t="shared" si="952"/>
        <v>9% | 11.61%</v>
      </c>
      <c r="R2296" t="str">
        <f t="shared" si="975"/>
        <v>BEARISH</v>
      </c>
      <c r="S2296">
        <f t="shared" si="953"/>
        <v>-1</v>
      </c>
    </row>
    <row r="2297" spans="1:19" hidden="1" x14ac:dyDescent="0.25">
      <c r="A2297" s="5" t="str">
        <f t="shared" si="950"/>
        <v>43994NATGAS</v>
      </c>
      <c r="B2297" s="6" t="s">
        <v>24</v>
      </c>
      <c r="C2297" s="6">
        <v>1.7</v>
      </c>
      <c r="D2297" s="6">
        <v>1.87</v>
      </c>
      <c r="E2297" s="6">
        <v>1.81</v>
      </c>
      <c r="F2297" t="str">
        <f t="shared" si="965"/>
        <v>FRI</v>
      </c>
      <c r="G2297" s="3">
        <f t="shared" si="966"/>
        <v>43994</v>
      </c>
      <c r="H2297" s="2">
        <f t="shared" ca="1" si="967"/>
        <v>259</v>
      </c>
      <c r="I2297" t="str">
        <f t="shared" si="968"/>
        <v>NATGAS</v>
      </c>
      <c r="J2297">
        <f t="shared" si="969"/>
        <v>1.7</v>
      </c>
      <c r="K2297">
        <f t="shared" si="970"/>
        <v>1.87</v>
      </c>
      <c r="L2297">
        <f t="shared" si="971"/>
        <v>1.7850000000000001</v>
      </c>
      <c r="M2297">
        <f t="shared" si="972"/>
        <v>8.5000000000000075E-2</v>
      </c>
      <c r="N2297">
        <f t="shared" si="951"/>
        <v>0.17000000000000015</v>
      </c>
      <c r="O2297">
        <f t="shared" si="973"/>
        <v>1.81</v>
      </c>
      <c r="P2297">
        <f t="shared" si="974"/>
        <v>0.29411764705882221</v>
      </c>
      <c r="Q2297" t="str">
        <f t="shared" si="952"/>
        <v>6.08% | 3.31%</v>
      </c>
      <c r="R2297" t="str">
        <f t="shared" si="975"/>
        <v>BEARISH</v>
      </c>
      <c r="S2297">
        <f t="shared" si="953"/>
        <v>-1</v>
      </c>
    </row>
    <row r="2298" spans="1:19" hidden="1" x14ac:dyDescent="0.25">
      <c r="A2298" s="5" t="str">
        <f t="shared" si="950"/>
        <v>43994GOLD</v>
      </c>
      <c r="B2298" s="6" t="s">
        <v>25</v>
      </c>
      <c r="C2298" s="6">
        <v>1683</v>
      </c>
      <c r="D2298" s="6">
        <v>1762</v>
      </c>
      <c r="E2298" s="6">
        <v>1739</v>
      </c>
      <c r="F2298" t="str">
        <f t="shared" si="965"/>
        <v>FRI</v>
      </c>
      <c r="G2298" s="3">
        <f t="shared" si="966"/>
        <v>43994</v>
      </c>
      <c r="H2298" s="2">
        <f t="shared" ca="1" si="967"/>
        <v>259</v>
      </c>
      <c r="I2298" t="str">
        <f t="shared" si="968"/>
        <v>GOLD</v>
      </c>
      <c r="J2298">
        <f t="shared" si="969"/>
        <v>1683</v>
      </c>
      <c r="K2298">
        <f t="shared" si="970"/>
        <v>1762</v>
      </c>
      <c r="L2298">
        <f t="shared" si="971"/>
        <v>1722.5</v>
      </c>
      <c r="M2298">
        <f t="shared" si="972"/>
        <v>39.5</v>
      </c>
      <c r="N2298">
        <f t="shared" si="951"/>
        <v>79</v>
      </c>
      <c r="O2298">
        <f t="shared" si="973"/>
        <v>1739</v>
      </c>
      <c r="P2298">
        <f t="shared" si="974"/>
        <v>0.41772151898734178</v>
      </c>
      <c r="Q2298" t="str">
        <f t="shared" si="952"/>
        <v>3.22% | 1.32%</v>
      </c>
      <c r="R2298" t="str">
        <f t="shared" si="975"/>
        <v>BULLISH</v>
      </c>
      <c r="S2298">
        <f t="shared" si="953"/>
        <v>1</v>
      </c>
    </row>
    <row r="2299" spans="1:19" hidden="1" x14ac:dyDescent="0.25">
      <c r="A2299" s="5" t="str">
        <f t="shared" si="950"/>
        <v>43994COPPER</v>
      </c>
      <c r="B2299" s="6" t="s">
        <v>100</v>
      </c>
      <c r="C2299" s="6">
        <v>2.42</v>
      </c>
      <c r="D2299" s="6">
        <v>2.67</v>
      </c>
      <c r="E2299" s="6">
        <v>2.59</v>
      </c>
      <c r="F2299" t="str">
        <f t="shared" si="965"/>
        <v>FRI</v>
      </c>
      <c r="G2299" s="3">
        <f t="shared" si="966"/>
        <v>43994</v>
      </c>
      <c r="H2299" s="2">
        <f t="shared" ca="1" si="967"/>
        <v>259</v>
      </c>
      <c r="I2299" t="str">
        <f t="shared" si="968"/>
        <v>COPPER</v>
      </c>
      <c r="J2299">
        <f t="shared" si="969"/>
        <v>2.42</v>
      </c>
      <c r="K2299">
        <f t="shared" si="970"/>
        <v>2.67</v>
      </c>
      <c r="L2299">
        <f t="shared" si="971"/>
        <v>2.5449999999999999</v>
      </c>
      <c r="M2299">
        <f t="shared" si="972"/>
        <v>0.125</v>
      </c>
      <c r="N2299">
        <f t="shared" si="951"/>
        <v>0.25</v>
      </c>
      <c r="O2299">
        <f t="shared" si="973"/>
        <v>2.59</v>
      </c>
      <c r="P2299">
        <f t="shared" si="974"/>
        <v>0.35999999999999943</v>
      </c>
      <c r="Q2299" t="str">
        <f t="shared" si="952"/>
        <v>6.56% | 3.09%</v>
      </c>
      <c r="R2299" t="str">
        <f t="shared" si="975"/>
        <v>BULLISH</v>
      </c>
      <c r="S2299">
        <f t="shared" si="953"/>
        <v>1</v>
      </c>
    </row>
    <row r="2300" spans="1:19" hidden="1" x14ac:dyDescent="0.25">
      <c r="A2300" s="5" t="str">
        <f t="shared" si="950"/>
        <v>43994MSFT</v>
      </c>
      <c r="B2300" s="6" t="s">
        <v>27</v>
      </c>
      <c r="C2300" s="6">
        <v>179</v>
      </c>
      <c r="D2300" s="6">
        <v>196</v>
      </c>
      <c r="E2300" s="6">
        <v>186</v>
      </c>
      <c r="F2300" t="str">
        <f t="shared" si="965"/>
        <v>FRI</v>
      </c>
      <c r="G2300" s="3">
        <f t="shared" si="966"/>
        <v>43994</v>
      </c>
      <c r="H2300" s="2">
        <f t="shared" ca="1" si="967"/>
        <v>259</v>
      </c>
      <c r="I2300" t="str">
        <f t="shared" si="968"/>
        <v>MSFT</v>
      </c>
      <c r="J2300">
        <f t="shared" si="969"/>
        <v>179</v>
      </c>
      <c r="K2300">
        <f t="shared" si="970"/>
        <v>196</v>
      </c>
      <c r="L2300">
        <f t="shared" si="971"/>
        <v>187.5</v>
      </c>
      <c r="M2300">
        <f t="shared" si="972"/>
        <v>8.5</v>
      </c>
      <c r="N2300">
        <f t="shared" si="951"/>
        <v>17</v>
      </c>
      <c r="O2300">
        <f t="shared" si="973"/>
        <v>186</v>
      </c>
      <c r="P2300">
        <f t="shared" si="974"/>
        <v>-0.17647058823529413</v>
      </c>
      <c r="Q2300" t="str">
        <f t="shared" si="952"/>
        <v>3.76% | 5.38%</v>
      </c>
      <c r="R2300" t="str">
        <f t="shared" si="975"/>
        <v>BULLISH</v>
      </c>
      <c r="S2300">
        <f t="shared" si="953"/>
        <v>1</v>
      </c>
    </row>
    <row r="2301" spans="1:19" hidden="1" x14ac:dyDescent="0.25">
      <c r="A2301" s="5" t="str">
        <f t="shared" si="950"/>
        <v>43994AAPL</v>
      </c>
      <c r="B2301" s="6" t="s">
        <v>28</v>
      </c>
      <c r="C2301" s="6">
        <v>311</v>
      </c>
      <c r="D2301" s="6">
        <v>353</v>
      </c>
      <c r="E2301" s="6">
        <v>335</v>
      </c>
      <c r="F2301" t="str">
        <f t="shared" si="965"/>
        <v>FRI</v>
      </c>
      <c r="G2301" s="3">
        <f t="shared" si="966"/>
        <v>43994</v>
      </c>
      <c r="H2301" s="2">
        <f t="shared" ca="1" si="967"/>
        <v>259</v>
      </c>
      <c r="I2301" t="str">
        <f t="shared" si="968"/>
        <v>AAPL</v>
      </c>
      <c r="J2301">
        <f t="shared" si="969"/>
        <v>311</v>
      </c>
      <c r="K2301">
        <f t="shared" si="970"/>
        <v>353</v>
      </c>
      <c r="L2301">
        <f t="shared" si="971"/>
        <v>332</v>
      </c>
      <c r="M2301">
        <f t="shared" si="972"/>
        <v>21</v>
      </c>
      <c r="N2301">
        <f t="shared" si="951"/>
        <v>42</v>
      </c>
      <c r="O2301">
        <f t="shared" si="973"/>
        <v>335</v>
      </c>
      <c r="P2301">
        <f t="shared" si="974"/>
        <v>0.14285714285714285</v>
      </c>
      <c r="Q2301" t="str">
        <f t="shared" si="952"/>
        <v>7.16% | 5.37%</v>
      </c>
      <c r="R2301" t="str">
        <f t="shared" si="975"/>
        <v>BULLISH</v>
      </c>
      <c r="S2301">
        <f t="shared" si="953"/>
        <v>1</v>
      </c>
    </row>
    <row r="2302" spans="1:19" hidden="1" x14ac:dyDescent="0.25">
      <c r="A2302" s="5" t="str">
        <f t="shared" si="950"/>
        <v>43994AMZN</v>
      </c>
      <c r="B2302" s="6" t="s">
        <v>29</v>
      </c>
      <c r="C2302" s="6">
        <v>2395</v>
      </c>
      <c r="D2302" s="6">
        <v>2650</v>
      </c>
      <c r="E2302" s="6">
        <v>2557</v>
      </c>
      <c r="F2302" t="str">
        <f t="shared" si="965"/>
        <v>FRI</v>
      </c>
      <c r="G2302" s="3">
        <f t="shared" si="966"/>
        <v>43994</v>
      </c>
      <c r="H2302" s="2">
        <f t="shared" ca="1" si="967"/>
        <v>259</v>
      </c>
      <c r="I2302" t="str">
        <f t="shared" si="968"/>
        <v>AMZN</v>
      </c>
      <c r="J2302">
        <f t="shared" si="969"/>
        <v>2395</v>
      </c>
      <c r="K2302">
        <f t="shared" si="970"/>
        <v>2650</v>
      </c>
      <c r="L2302">
        <f t="shared" si="971"/>
        <v>2522.5</v>
      </c>
      <c r="M2302">
        <f t="shared" si="972"/>
        <v>127.5</v>
      </c>
      <c r="N2302">
        <f t="shared" si="951"/>
        <v>255</v>
      </c>
      <c r="O2302">
        <f t="shared" si="973"/>
        <v>2557</v>
      </c>
      <c r="P2302">
        <f t="shared" si="974"/>
        <v>0.27058823529411763</v>
      </c>
      <c r="Q2302" t="str">
        <f t="shared" si="952"/>
        <v>6.34% | 3.64%</v>
      </c>
      <c r="R2302" t="str">
        <f t="shared" si="975"/>
        <v>BULLISH</v>
      </c>
      <c r="S2302">
        <f t="shared" si="953"/>
        <v>1</v>
      </c>
    </row>
    <row r="2303" spans="1:19" hidden="1" x14ac:dyDescent="0.25">
      <c r="A2303" s="5" t="str">
        <f t="shared" si="950"/>
        <v>43994FB</v>
      </c>
      <c r="B2303" s="6" t="s">
        <v>30</v>
      </c>
      <c r="C2303" s="6">
        <v>220</v>
      </c>
      <c r="D2303" s="6">
        <v>239</v>
      </c>
      <c r="E2303" s="6">
        <v>224</v>
      </c>
      <c r="F2303" t="str">
        <f t="shared" si="965"/>
        <v>FRI</v>
      </c>
      <c r="G2303" s="3">
        <f t="shared" si="966"/>
        <v>43994</v>
      </c>
      <c r="H2303" s="2">
        <f t="shared" ca="1" si="967"/>
        <v>259</v>
      </c>
      <c r="I2303" t="str">
        <f t="shared" si="968"/>
        <v>FB</v>
      </c>
      <c r="J2303">
        <f t="shared" si="969"/>
        <v>220</v>
      </c>
      <c r="K2303">
        <f t="shared" si="970"/>
        <v>239</v>
      </c>
      <c r="L2303">
        <f t="shared" si="971"/>
        <v>229.5</v>
      </c>
      <c r="M2303">
        <f t="shared" si="972"/>
        <v>9.5</v>
      </c>
      <c r="N2303">
        <f t="shared" si="951"/>
        <v>19</v>
      </c>
      <c r="O2303">
        <f t="shared" si="973"/>
        <v>224</v>
      </c>
      <c r="P2303">
        <f t="shared" si="974"/>
        <v>-0.57894736842105265</v>
      </c>
      <c r="Q2303" t="str">
        <f t="shared" si="952"/>
        <v>1.79% | 6.7%</v>
      </c>
      <c r="R2303" t="str">
        <f t="shared" si="975"/>
        <v>BULLISH</v>
      </c>
      <c r="S2303">
        <f t="shared" si="953"/>
        <v>1</v>
      </c>
    </row>
    <row r="2304" spans="1:19" hidden="1" x14ac:dyDescent="0.25">
      <c r="A2304" s="5" t="str">
        <f t="shared" si="950"/>
        <v>43994GOOGL</v>
      </c>
      <c r="B2304" s="6" t="s">
        <v>31</v>
      </c>
      <c r="C2304" s="6">
        <v>1387</v>
      </c>
      <c r="D2304" s="6">
        <v>1474</v>
      </c>
      <c r="E2304" s="6">
        <v>1401</v>
      </c>
      <c r="F2304" t="str">
        <f t="shared" si="965"/>
        <v>FRI</v>
      </c>
      <c r="G2304" s="3">
        <f t="shared" si="966"/>
        <v>43994</v>
      </c>
      <c r="H2304" s="2">
        <f t="shared" ca="1" si="967"/>
        <v>259</v>
      </c>
      <c r="I2304" t="str">
        <f t="shared" si="968"/>
        <v>GOOGL</v>
      </c>
      <c r="J2304">
        <f t="shared" si="969"/>
        <v>1387</v>
      </c>
      <c r="K2304">
        <f t="shared" si="970"/>
        <v>1474</v>
      </c>
      <c r="L2304">
        <f t="shared" si="971"/>
        <v>1430.5</v>
      </c>
      <c r="M2304">
        <f t="shared" si="972"/>
        <v>43.5</v>
      </c>
      <c r="N2304">
        <f t="shared" si="951"/>
        <v>87</v>
      </c>
      <c r="O2304">
        <f t="shared" si="973"/>
        <v>1401</v>
      </c>
      <c r="P2304">
        <f t="shared" si="974"/>
        <v>-0.67816091954022983</v>
      </c>
      <c r="Q2304" t="str">
        <f t="shared" si="952"/>
        <v>1% | 5.21%</v>
      </c>
      <c r="R2304" t="str">
        <f t="shared" si="975"/>
        <v>BULLISH</v>
      </c>
      <c r="S2304">
        <f t="shared" si="953"/>
        <v>1</v>
      </c>
    </row>
    <row r="2305" spans="1:19" hidden="1" x14ac:dyDescent="0.25">
      <c r="A2305" s="5" t="str">
        <f t="shared" si="950"/>
        <v>43994NFLX</v>
      </c>
      <c r="B2305" s="6" t="s">
        <v>32</v>
      </c>
      <c r="C2305" s="6">
        <v>410</v>
      </c>
      <c r="D2305" s="6">
        <v>437</v>
      </c>
      <c r="E2305" s="6">
        <v>425</v>
      </c>
      <c r="F2305" t="str">
        <f t="shared" si="965"/>
        <v>FRI</v>
      </c>
      <c r="G2305" s="3">
        <f t="shared" si="966"/>
        <v>43994</v>
      </c>
      <c r="H2305" s="2">
        <f t="shared" ca="1" si="967"/>
        <v>259</v>
      </c>
      <c r="I2305" t="str">
        <f t="shared" si="968"/>
        <v>NFLX</v>
      </c>
      <c r="J2305">
        <f t="shared" si="969"/>
        <v>410</v>
      </c>
      <c r="K2305">
        <f t="shared" si="970"/>
        <v>437</v>
      </c>
      <c r="L2305">
        <f t="shared" si="971"/>
        <v>423.5</v>
      </c>
      <c r="M2305">
        <f t="shared" si="972"/>
        <v>13.5</v>
      </c>
      <c r="N2305">
        <f t="shared" si="951"/>
        <v>27</v>
      </c>
      <c r="O2305">
        <f t="shared" si="973"/>
        <v>425</v>
      </c>
      <c r="P2305">
        <f t="shared" si="974"/>
        <v>0.1111111111111111</v>
      </c>
      <c r="Q2305" t="str">
        <f t="shared" si="952"/>
        <v>3.53% | 2.82%</v>
      </c>
      <c r="R2305" t="str">
        <f t="shared" si="975"/>
        <v>BULLISH</v>
      </c>
      <c r="S2305">
        <f t="shared" si="953"/>
        <v>1</v>
      </c>
    </row>
    <row r="2306" spans="1:19" x14ac:dyDescent="0.25">
      <c r="A2306" s="5" t="str">
        <f t="shared" si="950"/>
        <v>43994TSLA</v>
      </c>
      <c r="B2306" s="6" t="s">
        <v>33</v>
      </c>
      <c r="C2306" s="6">
        <v>820</v>
      </c>
      <c r="D2306" s="6">
        <v>1025</v>
      </c>
      <c r="E2306" s="6">
        <v>972</v>
      </c>
      <c r="F2306" t="str">
        <f t="shared" si="965"/>
        <v>FRI</v>
      </c>
      <c r="G2306" s="3">
        <f t="shared" si="966"/>
        <v>43994</v>
      </c>
      <c r="H2306" s="2">
        <f t="shared" ca="1" si="967"/>
        <v>259</v>
      </c>
      <c r="I2306" t="str">
        <f t="shared" si="968"/>
        <v>TSLA</v>
      </c>
      <c r="J2306">
        <f t="shared" si="969"/>
        <v>820</v>
      </c>
      <c r="K2306">
        <f t="shared" si="970"/>
        <v>1025</v>
      </c>
      <c r="L2306">
        <f t="shared" si="971"/>
        <v>922.5</v>
      </c>
      <c r="M2306">
        <f t="shared" si="972"/>
        <v>102.5</v>
      </c>
      <c r="N2306">
        <f t="shared" si="951"/>
        <v>205</v>
      </c>
      <c r="O2306">
        <f t="shared" si="973"/>
        <v>972</v>
      </c>
      <c r="P2306">
        <f t="shared" si="974"/>
        <v>0.48292682926829267</v>
      </c>
      <c r="Q2306" t="str">
        <f t="shared" si="952"/>
        <v>15.64% | 5.45%</v>
      </c>
      <c r="R2306" t="str">
        <f t="shared" si="975"/>
        <v>BULLISH</v>
      </c>
      <c r="S2306">
        <f t="shared" si="953"/>
        <v>1</v>
      </c>
    </row>
    <row r="2307" spans="1:19" hidden="1" x14ac:dyDescent="0.25">
      <c r="A2307" s="5" t="str">
        <f t="shared" ref="A2307:A2370" si="976">G2307&amp;I2307</f>
        <v>43994NYXBT</v>
      </c>
      <c r="B2307" s="6" t="s">
        <v>34</v>
      </c>
      <c r="C2307" s="6">
        <v>9276</v>
      </c>
      <c r="D2307" s="6">
        <v>9936</v>
      </c>
      <c r="E2307" s="6">
        <v>9608</v>
      </c>
      <c r="F2307" t="str">
        <f t="shared" si="965"/>
        <v>FRI</v>
      </c>
      <c r="G2307" s="3">
        <f t="shared" si="966"/>
        <v>43994</v>
      </c>
      <c r="H2307" s="2">
        <f t="shared" ca="1" si="967"/>
        <v>259</v>
      </c>
      <c r="I2307" t="str">
        <f t="shared" si="968"/>
        <v>NYXBT</v>
      </c>
      <c r="J2307">
        <f t="shared" si="969"/>
        <v>9276</v>
      </c>
      <c r="K2307">
        <f t="shared" si="970"/>
        <v>9936</v>
      </c>
      <c r="L2307">
        <f t="shared" si="971"/>
        <v>9606</v>
      </c>
      <c r="M2307">
        <f t="shared" si="972"/>
        <v>330</v>
      </c>
      <c r="N2307">
        <f t="shared" ref="N2307:N2370" si="977">ABS(K2307-J2307)</f>
        <v>660</v>
      </c>
      <c r="O2307">
        <f t="shared" si="973"/>
        <v>9608</v>
      </c>
      <c r="P2307">
        <f t="shared" si="974"/>
        <v>6.0606060606060606E-3</v>
      </c>
      <c r="Q2307" t="str">
        <f t="shared" ref="Q2307:Q2370" si="978">ROUND(ABS(100*(O2307-J2307)/O2307),2)&amp;"% | "&amp;ROUND(ABS(100*(K2307-O2307)/O2307),2)&amp;"%"</f>
        <v>3.46% | 3.41%</v>
      </c>
      <c r="R2307" t="str">
        <f t="shared" si="975"/>
        <v>BULLISH</v>
      </c>
      <c r="S2307">
        <f t="shared" ref="S2307:S2370" si="979">IF(R2307="BEARISH",-1,IF(R2307="NEUTRAL",0,IF(R2307="BULLISH",1,99)))</f>
        <v>1</v>
      </c>
    </row>
    <row r="2308" spans="1:19" hidden="1" x14ac:dyDescent="0.25">
      <c r="A2308" s="5" t="str">
        <f t="shared" si="976"/>
        <v>43997UST10Y</v>
      </c>
      <c r="B2308" s="6" t="s">
        <v>4</v>
      </c>
      <c r="C2308" s="6">
        <v>0.87</v>
      </c>
      <c r="D2308" s="6">
        <v>0.6</v>
      </c>
      <c r="E2308" s="6">
        <v>0.71</v>
      </c>
      <c r="F2308" t="str">
        <f t="shared" si="965"/>
        <v>MON</v>
      </c>
      <c r="G2308" s="1">
        <f>DATE(2020,6,15)</f>
        <v>43997</v>
      </c>
      <c r="H2308" s="2">
        <f t="shared" ca="1" si="967"/>
        <v>256</v>
      </c>
      <c r="I2308" t="str">
        <f t="shared" si="968"/>
        <v>UST10Y</v>
      </c>
      <c r="J2308">
        <f t="shared" si="969"/>
        <v>0.87</v>
      </c>
      <c r="K2308">
        <f t="shared" si="970"/>
        <v>0.6</v>
      </c>
      <c r="L2308">
        <f t="shared" si="971"/>
        <v>0.73499999999999999</v>
      </c>
      <c r="M2308">
        <f t="shared" si="972"/>
        <v>0.13500000000000018</v>
      </c>
      <c r="N2308">
        <f t="shared" si="977"/>
        <v>0.27</v>
      </c>
      <c r="O2308">
        <f t="shared" si="973"/>
        <v>0.71</v>
      </c>
      <c r="P2308">
        <f t="shared" si="974"/>
        <v>-0.18518518518518512</v>
      </c>
      <c r="Q2308" t="str">
        <f t="shared" si="978"/>
        <v>22.54% | 15.49%</v>
      </c>
      <c r="R2308" t="str">
        <f t="shared" si="975"/>
        <v>BEARISH</v>
      </c>
      <c r="S2308">
        <f t="shared" si="979"/>
        <v>-1</v>
      </c>
    </row>
    <row r="2309" spans="1:19" hidden="1" x14ac:dyDescent="0.25">
      <c r="A2309" s="5" t="str">
        <f t="shared" si="976"/>
        <v>43997UST2Y</v>
      </c>
      <c r="B2309" s="6" t="s">
        <v>5</v>
      </c>
      <c r="C2309" s="6">
        <v>0.22</v>
      </c>
      <c r="D2309" s="6">
        <v>0.14000000000000001</v>
      </c>
      <c r="E2309" s="6">
        <v>0.19</v>
      </c>
      <c r="F2309" t="str">
        <f t="shared" ref="F2309:F2339" si="980">UPPER(TEXT(G2309,"ddd"))</f>
        <v>MON</v>
      </c>
      <c r="G2309" s="1">
        <f t="shared" ref="G2309:G2338" si="981">DATE(2020,6,15)</f>
        <v>43997</v>
      </c>
      <c r="H2309" s="2">
        <f t="shared" ref="H2309:H2339" ca="1" si="982">TODAY()-G2309</f>
        <v>256</v>
      </c>
      <c r="I2309" t="str">
        <f t="shared" ref="I2309:I2339" si="983">TRIM(LEFT(B2309,FIND(" ",B2309,1)))</f>
        <v>UST2Y</v>
      </c>
      <c r="J2309">
        <f t="shared" ref="J2309:J2339" si="984">C2309</f>
        <v>0.22</v>
      </c>
      <c r="K2309">
        <f t="shared" ref="K2309:K2339" si="985">D2309</f>
        <v>0.14000000000000001</v>
      </c>
      <c r="L2309">
        <f t="shared" ref="L2309:L2339" si="986">AVERAGE(J2309:K2309)</f>
        <v>0.18</v>
      </c>
      <c r="M2309">
        <f t="shared" ref="M2309:M2339" si="987">_xlfn.STDEV.P(J2309:K2309)</f>
        <v>4.0000000000000049E-2</v>
      </c>
      <c r="N2309">
        <f t="shared" si="977"/>
        <v>7.9999999999999988E-2</v>
      </c>
      <c r="O2309">
        <f t="shared" ref="O2309:O2339" si="988">E2309</f>
        <v>0.19</v>
      </c>
      <c r="P2309">
        <f t="shared" ref="P2309:P2339" si="989">(O2309-L2309)/M2309</f>
        <v>0.24999999999999992</v>
      </c>
      <c r="Q2309" t="str">
        <f t="shared" si="978"/>
        <v>15.79% | 26.32%</v>
      </c>
      <c r="R2309" t="str">
        <f t="shared" ref="R2309:R2339" si="990">MID(B2309,FIND("(",B2309,1)+1,FIND(")",B2309,1)-FIND("(",B2309,1)-1)</f>
        <v>BEARISH</v>
      </c>
      <c r="S2309">
        <f t="shared" si="979"/>
        <v>-1</v>
      </c>
    </row>
    <row r="2310" spans="1:19" hidden="1" x14ac:dyDescent="0.25">
      <c r="A2310" s="5" t="str">
        <f t="shared" si="976"/>
        <v>43997SPX</v>
      </c>
      <c r="B2310" s="6" t="s">
        <v>6</v>
      </c>
      <c r="C2310" s="6">
        <v>2940</v>
      </c>
      <c r="D2310" s="6">
        <v>3133</v>
      </c>
      <c r="E2310" s="6">
        <v>3041</v>
      </c>
      <c r="F2310" t="str">
        <f t="shared" si="980"/>
        <v>MON</v>
      </c>
      <c r="G2310" s="1">
        <f t="shared" si="981"/>
        <v>43997</v>
      </c>
      <c r="H2310" s="2">
        <f t="shared" ca="1" si="982"/>
        <v>256</v>
      </c>
      <c r="I2310" t="str">
        <f t="shared" si="983"/>
        <v>SPX</v>
      </c>
      <c r="J2310">
        <f t="shared" si="984"/>
        <v>2940</v>
      </c>
      <c r="K2310">
        <f t="shared" si="985"/>
        <v>3133</v>
      </c>
      <c r="L2310">
        <f t="shared" si="986"/>
        <v>3036.5</v>
      </c>
      <c r="M2310">
        <f t="shared" si="987"/>
        <v>96.5</v>
      </c>
      <c r="N2310">
        <f t="shared" si="977"/>
        <v>193</v>
      </c>
      <c r="O2310">
        <f t="shared" si="988"/>
        <v>3041</v>
      </c>
      <c r="P2310">
        <f t="shared" si="989"/>
        <v>4.6632124352331605E-2</v>
      </c>
      <c r="Q2310" t="str">
        <f t="shared" si="978"/>
        <v>3.32% | 3.03%</v>
      </c>
      <c r="R2310" t="str">
        <f t="shared" si="990"/>
        <v>BEARISH</v>
      </c>
      <c r="S2310">
        <f t="shared" si="979"/>
        <v>-1</v>
      </c>
    </row>
    <row r="2311" spans="1:19" hidden="1" x14ac:dyDescent="0.25">
      <c r="A2311" s="5" t="str">
        <f t="shared" si="976"/>
        <v>43997RUT</v>
      </c>
      <c r="B2311" s="6" t="s">
        <v>7</v>
      </c>
      <c r="C2311" s="6">
        <v>1341</v>
      </c>
      <c r="D2311" s="6">
        <v>1453</v>
      </c>
      <c r="E2311" s="6">
        <v>1387</v>
      </c>
      <c r="F2311" t="str">
        <f t="shared" si="980"/>
        <v>MON</v>
      </c>
      <c r="G2311" s="1">
        <f t="shared" si="981"/>
        <v>43997</v>
      </c>
      <c r="H2311" s="2">
        <f t="shared" ca="1" si="982"/>
        <v>256</v>
      </c>
      <c r="I2311" t="str">
        <f t="shared" si="983"/>
        <v>RUT</v>
      </c>
      <c r="J2311">
        <f t="shared" si="984"/>
        <v>1341</v>
      </c>
      <c r="K2311">
        <f t="shared" si="985"/>
        <v>1453</v>
      </c>
      <c r="L2311">
        <f t="shared" si="986"/>
        <v>1397</v>
      </c>
      <c r="M2311">
        <f t="shared" si="987"/>
        <v>56</v>
      </c>
      <c r="N2311">
        <f t="shared" si="977"/>
        <v>112</v>
      </c>
      <c r="O2311">
        <f t="shared" si="988"/>
        <v>1387</v>
      </c>
      <c r="P2311">
        <f t="shared" si="989"/>
        <v>-0.17857142857142858</v>
      </c>
      <c r="Q2311" t="str">
        <f t="shared" si="978"/>
        <v>3.32% | 4.76%</v>
      </c>
      <c r="R2311" t="str">
        <f t="shared" si="990"/>
        <v>BEARISH</v>
      </c>
      <c r="S2311">
        <f t="shared" si="979"/>
        <v>-1</v>
      </c>
    </row>
    <row r="2312" spans="1:19" hidden="1" x14ac:dyDescent="0.25">
      <c r="A2312" s="5" t="str">
        <f t="shared" si="976"/>
        <v>43997COMPQ</v>
      </c>
      <c r="B2312" s="6" t="s">
        <v>8</v>
      </c>
      <c r="C2312" s="6">
        <v>9375</v>
      </c>
      <c r="D2312" s="6">
        <v>10100</v>
      </c>
      <c r="E2312" s="6">
        <v>9588</v>
      </c>
      <c r="F2312" t="str">
        <f t="shared" si="980"/>
        <v>MON</v>
      </c>
      <c r="G2312" s="1">
        <f t="shared" si="981"/>
        <v>43997</v>
      </c>
      <c r="H2312" s="2">
        <f t="shared" ca="1" si="982"/>
        <v>256</v>
      </c>
      <c r="I2312" t="str">
        <f t="shared" si="983"/>
        <v>COMPQ</v>
      </c>
      <c r="J2312">
        <f t="shared" si="984"/>
        <v>9375</v>
      </c>
      <c r="K2312">
        <f t="shared" si="985"/>
        <v>10100</v>
      </c>
      <c r="L2312">
        <f t="shared" si="986"/>
        <v>9737.5</v>
      </c>
      <c r="M2312">
        <f t="shared" si="987"/>
        <v>362.5</v>
      </c>
      <c r="N2312">
        <f t="shared" si="977"/>
        <v>725</v>
      </c>
      <c r="O2312">
        <f t="shared" si="988"/>
        <v>9588</v>
      </c>
      <c r="P2312">
        <f t="shared" si="989"/>
        <v>-0.41241379310344828</v>
      </c>
      <c r="Q2312" t="str">
        <f t="shared" si="978"/>
        <v>2.22% | 5.34%</v>
      </c>
      <c r="R2312" t="str">
        <f t="shared" si="990"/>
        <v>BULLISH</v>
      </c>
      <c r="S2312">
        <f t="shared" si="979"/>
        <v>1</v>
      </c>
    </row>
    <row r="2313" spans="1:19" hidden="1" x14ac:dyDescent="0.25">
      <c r="A2313" s="5" t="str">
        <f t="shared" si="976"/>
        <v>43997XLK</v>
      </c>
      <c r="B2313" s="6" t="s">
        <v>10</v>
      </c>
      <c r="C2313" s="6">
        <v>95.72</v>
      </c>
      <c r="D2313" s="6">
        <v>104.3</v>
      </c>
      <c r="E2313" s="6">
        <v>99.41</v>
      </c>
      <c r="F2313" t="str">
        <f t="shared" si="980"/>
        <v>MON</v>
      </c>
      <c r="G2313" s="1">
        <f t="shared" si="981"/>
        <v>43997</v>
      </c>
      <c r="H2313" s="2">
        <f t="shared" ca="1" si="982"/>
        <v>256</v>
      </c>
      <c r="I2313" t="str">
        <f t="shared" si="983"/>
        <v>XLK</v>
      </c>
      <c r="J2313">
        <f t="shared" si="984"/>
        <v>95.72</v>
      </c>
      <c r="K2313">
        <f t="shared" si="985"/>
        <v>104.3</v>
      </c>
      <c r="L2313">
        <f t="shared" si="986"/>
        <v>100.00999999999999</v>
      </c>
      <c r="M2313">
        <f t="shared" si="987"/>
        <v>4.2899999999999991</v>
      </c>
      <c r="N2313">
        <f t="shared" si="977"/>
        <v>8.5799999999999983</v>
      </c>
      <c r="O2313">
        <f t="shared" si="988"/>
        <v>99.41</v>
      </c>
      <c r="P2313">
        <f t="shared" si="989"/>
        <v>-0.13986013986013857</v>
      </c>
      <c r="Q2313" t="str">
        <f t="shared" si="978"/>
        <v>3.71% | 4.92%</v>
      </c>
      <c r="R2313" t="str">
        <f t="shared" si="990"/>
        <v>BULLISH</v>
      </c>
      <c r="S2313">
        <f t="shared" si="979"/>
        <v>1</v>
      </c>
    </row>
    <row r="2314" spans="1:19" hidden="1" x14ac:dyDescent="0.25">
      <c r="A2314" s="5" t="str">
        <f t="shared" si="976"/>
        <v>43997XLU</v>
      </c>
      <c r="B2314" s="6" t="s">
        <v>52</v>
      </c>
      <c r="C2314" s="6">
        <v>57.27</v>
      </c>
      <c r="D2314" s="6">
        <v>63.2</v>
      </c>
      <c r="E2314" s="6">
        <v>58.67</v>
      </c>
      <c r="F2314" t="str">
        <f t="shared" si="980"/>
        <v>MON</v>
      </c>
      <c r="G2314" s="1">
        <f t="shared" si="981"/>
        <v>43997</v>
      </c>
      <c r="H2314" s="2">
        <f t="shared" ca="1" si="982"/>
        <v>256</v>
      </c>
      <c r="I2314" t="str">
        <f t="shared" si="983"/>
        <v>XLU</v>
      </c>
      <c r="J2314">
        <f t="shared" si="984"/>
        <v>57.27</v>
      </c>
      <c r="K2314">
        <f t="shared" si="985"/>
        <v>63.2</v>
      </c>
      <c r="L2314">
        <f t="shared" si="986"/>
        <v>60.234999999999999</v>
      </c>
      <c r="M2314">
        <f t="shared" si="987"/>
        <v>2.9649999999999999</v>
      </c>
      <c r="N2314">
        <f t="shared" si="977"/>
        <v>5.93</v>
      </c>
      <c r="O2314">
        <f t="shared" si="988"/>
        <v>58.67</v>
      </c>
      <c r="P2314">
        <f t="shared" si="989"/>
        <v>-0.52782462057335511</v>
      </c>
      <c r="Q2314" t="str">
        <f t="shared" si="978"/>
        <v>2.39% | 7.72%</v>
      </c>
      <c r="R2314" t="str">
        <f t="shared" si="990"/>
        <v>BULLISH</v>
      </c>
      <c r="S2314">
        <f t="shared" si="979"/>
        <v>1</v>
      </c>
    </row>
    <row r="2315" spans="1:19" hidden="1" x14ac:dyDescent="0.25">
      <c r="A2315" s="5" t="str">
        <f t="shared" si="976"/>
        <v>43997XLRE</v>
      </c>
      <c r="B2315" s="6" t="s">
        <v>97</v>
      </c>
      <c r="C2315" s="6">
        <v>33.28</v>
      </c>
      <c r="D2315" s="6">
        <v>38.33</v>
      </c>
      <c r="E2315" s="6">
        <v>35.54</v>
      </c>
      <c r="F2315" t="str">
        <f t="shared" si="980"/>
        <v>MON</v>
      </c>
      <c r="G2315" s="1">
        <f t="shared" si="981"/>
        <v>43997</v>
      </c>
      <c r="H2315" s="2">
        <f t="shared" ca="1" si="982"/>
        <v>256</v>
      </c>
      <c r="I2315" t="str">
        <f t="shared" si="983"/>
        <v>XLRE</v>
      </c>
      <c r="J2315">
        <f t="shared" si="984"/>
        <v>33.28</v>
      </c>
      <c r="K2315">
        <f t="shared" si="985"/>
        <v>38.33</v>
      </c>
      <c r="L2315">
        <f t="shared" si="986"/>
        <v>35.805</v>
      </c>
      <c r="M2315">
        <f t="shared" si="987"/>
        <v>2.5249999999999986</v>
      </c>
      <c r="N2315">
        <f t="shared" si="977"/>
        <v>5.0499999999999972</v>
      </c>
      <c r="O2315">
        <f t="shared" si="988"/>
        <v>35.54</v>
      </c>
      <c r="P2315">
        <f t="shared" si="989"/>
        <v>-0.10495049504950524</v>
      </c>
      <c r="Q2315" t="str">
        <f t="shared" si="978"/>
        <v>6.36% | 7.85%</v>
      </c>
      <c r="R2315" t="str">
        <f t="shared" si="990"/>
        <v>BULLISH</v>
      </c>
      <c r="S2315">
        <f t="shared" si="979"/>
        <v>1</v>
      </c>
    </row>
    <row r="2316" spans="1:19" hidden="1" x14ac:dyDescent="0.25">
      <c r="A2316" s="5" t="str">
        <f t="shared" si="976"/>
        <v>43997XLF</v>
      </c>
      <c r="B2316" s="6" t="s">
        <v>12</v>
      </c>
      <c r="C2316" s="6">
        <v>21.6</v>
      </c>
      <c r="D2316" s="6">
        <v>25.04</v>
      </c>
      <c r="E2316" s="6">
        <v>23.83</v>
      </c>
      <c r="F2316" t="str">
        <f t="shared" si="980"/>
        <v>MON</v>
      </c>
      <c r="G2316" s="1">
        <f t="shared" si="981"/>
        <v>43997</v>
      </c>
      <c r="H2316" s="2">
        <f t="shared" ca="1" si="982"/>
        <v>256</v>
      </c>
      <c r="I2316" t="str">
        <f t="shared" si="983"/>
        <v>XLF</v>
      </c>
      <c r="J2316">
        <f t="shared" si="984"/>
        <v>21.6</v>
      </c>
      <c r="K2316">
        <f t="shared" si="985"/>
        <v>25.04</v>
      </c>
      <c r="L2316">
        <f t="shared" si="986"/>
        <v>23.32</v>
      </c>
      <c r="M2316">
        <f t="shared" si="987"/>
        <v>1.7199999999999989</v>
      </c>
      <c r="N2316">
        <f t="shared" si="977"/>
        <v>3.4399999999999977</v>
      </c>
      <c r="O2316">
        <f t="shared" si="988"/>
        <v>23.83</v>
      </c>
      <c r="P2316">
        <f t="shared" si="989"/>
        <v>0.29651162790697577</v>
      </c>
      <c r="Q2316" t="str">
        <f t="shared" si="978"/>
        <v>9.36% | 5.08%</v>
      </c>
      <c r="R2316" t="str">
        <f t="shared" si="990"/>
        <v>BEARISH</v>
      </c>
      <c r="S2316">
        <f t="shared" si="979"/>
        <v>-1</v>
      </c>
    </row>
    <row r="2317" spans="1:19" hidden="1" x14ac:dyDescent="0.25">
      <c r="A2317" s="5" t="str">
        <f t="shared" si="976"/>
        <v>43997XLV</v>
      </c>
      <c r="B2317" s="6" t="s">
        <v>101</v>
      </c>
      <c r="C2317" s="6">
        <v>95.83</v>
      </c>
      <c r="D2317" s="6">
        <v>101.53</v>
      </c>
      <c r="E2317" s="6">
        <v>97.6</v>
      </c>
      <c r="F2317" t="str">
        <f t="shared" si="980"/>
        <v>MON</v>
      </c>
      <c r="G2317" s="1">
        <f t="shared" si="981"/>
        <v>43997</v>
      </c>
      <c r="H2317" s="2">
        <f t="shared" ca="1" si="982"/>
        <v>256</v>
      </c>
      <c r="I2317" t="str">
        <f t="shared" si="983"/>
        <v>XLV</v>
      </c>
      <c r="J2317">
        <f t="shared" si="984"/>
        <v>95.83</v>
      </c>
      <c r="K2317">
        <f t="shared" si="985"/>
        <v>101.53</v>
      </c>
      <c r="L2317">
        <f t="shared" si="986"/>
        <v>98.68</v>
      </c>
      <c r="M2317">
        <f t="shared" si="987"/>
        <v>2.8500000000000014</v>
      </c>
      <c r="N2317">
        <f t="shared" si="977"/>
        <v>5.7000000000000028</v>
      </c>
      <c r="O2317">
        <f t="shared" si="988"/>
        <v>97.6</v>
      </c>
      <c r="P2317">
        <f t="shared" si="989"/>
        <v>-0.37894736842105681</v>
      </c>
      <c r="Q2317" t="str">
        <f t="shared" si="978"/>
        <v>1.81% | 4.03%</v>
      </c>
      <c r="R2317" t="str">
        <f t="shared" si="990"/>
        <v>BEARISH</v>
      </c>
      <c r="S2317">
        <f t="shared" si="979"/>
        <v>-1</v>
      </c>
    </row>
    <row r="2318" spans="1:19" hidden="1" x14ac:dyDescent="0.25">
      <c r="A2318" s="5" t="str">
        <f t="shared" si="976"/>
        <v>43997SSEC</v>
      </c>
      <c r="B2318" s="6" t="s">
        <v>14</v>
      </c>
      <c r="C2318" s="6">
        <v>2863</v>
      </c>
      <c r="D2318" s="6">
        <v>2955</v>
      </c>
      <c r="E2318" s="6">
        <v>2890</v>
      </c>
      <c r="F2318" t="str">
        <f t="shared" si="980"/>
        <v>MON</v>
      </c>
      <c r="G2318" s="1">
        <f t="shared" si="981"/>
        <v>43997</v>
      </c>
      <c r="H2318" s="2">
        <f t="shared" ca="1" si="982"/>
        <v>256</v>
      </c>
      <c r="I2318" t="str">
        <f t="shared" si="983"/>
        <v>SSEC</v>
      </c>
      <c r="J2318">
        <f t="shared" si="984"/>
        <v>2863</v>
      </c>
      <c r="K2318">
        <f t="shared" si="985"/>
        <v>2955</v>
      </c>
      <c r="L2318">
        <f t="shared" si="986"/>
        <v>2909</v>
      </c>
      <c r="M2318">
        <f t="shared" si="987"/>
        <v>46</v>
      </c>
      <c r="N2318">
        <f t="shared" si="977"/>
        <v>92</v>
      </c>
      <c r="O2318">
        <f t="shared" si="988"/>
        <v>2890</v>
      </c>
      <c r="P2318">
        <f t="shared" si="989"/>
        <v>-0.41304347826086957</v>
      </c>
      <c r="Q2318" t="str">
        <f t="shared" si="978"/>
        <v>0.93% | 2.25%</v>
      </c>
      <c r="R2318" t="str">
        <f t="shared" si="990"/>
        <v>BEARISH</v>
      </c>
      <c r="S2318">
        <f t="shared" si="979"/>
        <v>-1</v>
      </c>
    </row>
    <row r="2319" spans="1:19" hidden="1" x14ac:dyDescent="0.25">
      <c r="A2319" s="5" t="str">
        <f t="shared" si="976"/>
        <v>43997NIKK</v>
      </c>
      <c r="B2319" s="6" t="s">
        <v>15</v>
      </c>
      <c r="C2319" s="6">
        <v>21035</v>
      </c>
      <c r="D2319" s="6">
        <v>22751</v>
      </c>
      <c r="E2319" s="6">
        <v>21530</v>
      </c>
      <c r="F2319" t="str">
        <f t="shared" si="980"/>
        <v>MON</v>
      </c>
      <c r="G2319" s="1">
        <f t="shared" si="981"/>
        <v>43997</v>
      </c>
      <c r="H2319" s="2">
        <f t="shared" ca="1" si="982"/>
        <v>256</v>
      </c>
      <c r="I2319" t="str">
        <f t="shared" si="983"/>
        <v>NIKK</v>
      </c>
      <c r="J2319">
        <f t="shared" si="984"/>
        <v>21035</v>
      </c>
      <c r="K2319">
        <f t="shared" si="985"/>
        <v>22751</v>
      </c>
      <c r="L2319">
        <f t="shared" si="986"/>
        <v>21893</v>
      </c>
      <c r="M2319">
        <f t="shared" si="987"/>
        <v>858</v>
      </c>
      <c r="N2319">
        <f t="shared" si="977"/>
        <v>1716</v>
      </c>
      <c r="O2319">
        <f t="shared" si="988"/>
        <v>21530</v>
      </c>
      <c r="P2319">
        <f t="shared" si="989"/>
        <v>-0.42307692307692307</v>
      </c>
      <c r="Q2319" t="str">
        <f t="shared" si="978"/>
        <v>2.3% | 5.67%</v>
      </c>
      <c r="R2319" t="str">
        <f t="shared" si="990"/>
        <v>BEARISH</v>
      </c>
      <c r="S2319">
        <f t="shared" si="979"/>
        <v>-1</v>
      </c>
    </row>
    <row r="2320" spans="1:19" hidden="1" x14ac:dyDescent="0.25">
      <c r="A2320" s="5" t="str">
        <f t="shared" si="976"/>
        <v>43997DAX</v>
      </c>
      <c r="B2320" s="6" t="s">
        <v>16</v>
      </c>
      <c r="C2320" s="6">
        <v>11422</v>
      </c>
      <c r="D2320" s="6">
        <v>12509</v>
      </c>
      <c r="E2320" s="6">
        <v>11959</v>
      </c>
      <c r="F2320" t="str">
        <f t="shared" si="980"/>
        <v>MON</v>
      </c>
      <c r="G2320" s="1">
        <f t="shared" si="981"/>
        <v>43997</v>
      </c>
      <c r="H2320" s="2">
        <f t="shared" ca="1" si="982"/>
        <v>256</v>
      </c>
      <c r="I2320" t="str">
        <f t="shared" si="983"/>
        <v>DAX</v>
      </c>
      <c r="J2320">
        <f t="shared" si="984"/>
        <v>11422</v>
      </c>
      <c r="K2320">
        <f t="shared" si="985"/>
        <v>12509</v>
      </c>
      <c r="L2320">
        <f t="shared" si="986"/>
        <v>11965.5</v>
      </c>
      <c r="M2320">
        <f t="shared" si="987"/>
        <v>543.5</v>
      </c>
      <c r="N2320">
        <f t="shared" si="977"/>
        <v>1087</v>
      </c>
      <c r="O2320">
        <f t="shared" si="988"/>
        <v>11959</v>
      </c>
      <c r="P2320">
        <f t="shared" si="989"/>
        <v>-1.1959521619135235E-2</v>
      </c>
      <c r="Q2320" t="str">
        <f t="shared" si="978"/>
        <v>4.49% | 4.6%</v>
      </c>
      <c r="R2320" t="str">
        <f t="shared" si="990"/>
        <v>BEARISH</v>
      </c>
      <c r="S2320">
        <f t="shared" si="979"/>
        <v>-1</v>
      </c>
    </row>
    <row r="2321" spans="1:19" hidden="1" x14ac:dyDescent="0.25">
      <c r="A2321" s="5" t="str">
        <f t="shared" si="976"/>
        <v>43997VIX</v>
      </c>
      <c r="B2321" s="6" t="s">
        <v>17</v>
      </c>
      <c r="C2321" s="6">
        <v>28.06</v>
      </c>
      <c r="D2321" s="6">
        <v>45.66</v>
      </c>
      <c r="E2321" s="6">
        <v>36.090000000000003</v>
      </c>
      <c r="F2321" t="str">
        <f t="shared" si="980"/>
        <v>MON</v>
      </c>
      <c r="G2321" s="1">
        <f t="shared" si="981"/>
        <v>43997</v>
      </c>
      <c r="H2321" s="2">
        <f t="shared" ca="1" si="982"/>
        <v>256</v>
      </c>
      <c r="I2321" t="str">
        <f t="shared" si="983"/>
        <v>VIX</v>
      </c>
      <c r="J2321">
        <f t="shared" si="984"/>
        <v>28.06</v>
      </c>
      <c r="K2321">
        <f t="shared" si="985"/>
        <v>45.66</v>
      </c>
      <c r="L2321">
        <f t="shared" si="986"/>
        <v>36.86</v>
      </c>
      <c r="M2321">
        <f t="shared" si="987"/>
        <v>8.8000000000000025</v>
      </c>
      <c r="N2321">
        <f t="shared" si="977"/>
        <v>17.599999999999998</v>
      </c>
      <c r="O2321">
        <f t="shared" si="988"/>
        <v>36.090000000000003</v>
      </c>
      <c r="P2321">
        <f t="shared" si="989"/>
        <v>-8.7499999999999523E-2</v>
      </c>
      <c r="Q2321" t="str">
        <f t="shared" si="978"/>
        <v>22.25% | 26.52%</v>
      </c>
      <c r="R2321" t="str">
        <f t="shared" si="990"/>
        <v>BULLISH</v>
      </c>
      <c r="S2321">
        <f t="shared" si="979"/>
        <v>1</v>
      </c>
    </row>
    <row r="2322" spans="1:19" hidden="1" x14ac:dyDescent="0.25">
      <c r="A2322" s="5" t="str">
        <f t="shared" si="976"/>
        <v>43997USD</v>
      </c>
      <c r="B2322" s="6" t="s">
        <v>94</v>
      </c>
      <c r="C2322" s="6">
        <v>95.8</v>
      </c>
      <c r="D2322" s="6">
        <v>98.13</v>
      </c>
      <c r="E2322" s="6">
        <v>97.33</v>
      </c>
      <c r="F2322" t="str">
        <f t="shared" si="980"/>
        <v>MON</v>
      </c>
      <c r="G2322" s="1">
        <f t="shared" si="981"/>
        <v>43997</v>
      </c>
      <c r="H2322" s="2">
        <f t="shared" ca="1" si="982"/>
        <v>256</v>
      </c>
      <c r="I2322" t="str">
        <f t="shared" si="983"/>
        <v>USD</v>
      </c>
      <c r="J2322">
        <f t="shared" si="984"/>
        <v>95.8</v>
      </c>
      <c r="K2322">
        <f t="shared" si="985"/>
        <v>98.13</v>
      </c>
      <c r="L2322">
        <f t="shared" si="986"/>
        <v>96.965000000000003</v>
      </c>
      <c r="M2322">
        <f t="shared" si="987"/>
        <v>1.1649999999999991</v>
      </c>
      <c r="N2322">
        <f t="shared" si="977"/>
        <v>2.3299999999999983</v>
      </c>
      <c r="O2322">
        <f t="shared" si="988"/>
        <v>97.33</v>
      </c>
      <c r="P2322">
        <f t="shared" si="989"/>
        <v>0.31330472103003876</v>
      </c>
      <c r="Q2322" t="str">
        <f t="shared" si="978"/>
        <v>1.57% | 0.82%</v>
      </c>
      <c r="R2322" t="str">
        <f t="shared" si="990"/>
        <v>BEARISH</v>
      </c>
      <c r="S2322">
        <f t="shared" si="979"/>
        <v>-1</v>
      </c>
    </row>
    <row r="2323" spans="1:19" hidden="1" x14ac:dyDescent="0.25">
      <c r="A2323" s="5" t="str">
        <f t="shared" si="976"/>
        <v>43997EUR/USD</v>
      </c>
      <c r="B2323" s="6" t="s">
        <v>77</v>
      </c>
      <c r="C2323" s="6">
        <v>1.1100000000000001</v>
      </c>
      <c r="D2323" s="6">
        <v>1.1399999999999999</v>
      </c>
      <c r="E2323" s="6">
        <v>1.1200000000000001</v>
      </c>
      <c r="F2323" t="str">
        <f t="shared" si="980"/>
        <v>MON</v>
      </c>
      <c r="G2323" s="1">
        <f t="shared" si="981"/>
        <v>43997</v>
      </c>
      <c r="H2323" s="2">
        <f t="shared" ca="1" si="982"/>
        <v>256</v>
      </c>
      <c r="I2323" t="str">
        <f t="shared" si="983"/>
        <v>EUR/USD</v>
      </c>
      <c r="J2323">
        <f t="shared" si="984"/>
        <v>1.1100000000000001</v>
      </c>
      <c r="K2323">
        <f t="shared" si="985"/>
        <v>1.1399999999999999</v>
      </c>
      <c r="L2323">
        <f t="shared" si="986"/>
        <v>1.125</v>
      </c>
      <c r="M2323">
        <f t="shared" si="987"/>
        <v>1.4999999999999902E-2</v>
      </c>
      <c r="N2323">
        <f t="shared" si="977"/>
        <v>2.9999999999999805E-2</v>
      </c>
      <c r="O2323">
        <f t="shared" si="988"/>
        <v>1.1200000000000001</v>
      </c>
      <c r="P2323">
        <f t="shared" si="989"/>
        <v>-0.33333333333332837</v>
      </c>
      <c r="Q2323" t="str">
        <f t="shared" si="978"/>
        <v>0.89% | 1.79%</v>
      </c>
      <c r="R2323" t="str">
        <f t="shared" si="990"/>
        <v>NEUTRAL</v>
      </c>
      <c r="S2323">
        <f t="shared" si="979"/>
        <v>0</v>
      </c>
    </row>
    <row r="2324" spans="1:19" hidden="1" x14ac:dyDescent="0.25">
      <c r="A2324" s="5" t="str">
        <f t="shared" si="976"/>
        <v>43997USD/JPY</v>
      </c>
      <c r="B2324" s="6" t="s">
        <v>86</v>
      </c>
      <c r="C2324" s="6">
        <v>106.33</v>
      </c>
      <c r="D2324" s="6">
        <v>110.01</v>
      </c>
      <c r="E2324" s="6">
        <v>107.39</v>
      </c>
      <c r="F2324" t="str">
        <f t="shared" si="980"/>
        <v>MON</v>
      </c>
      <c r="G2324" s="1">
        <f t="shared" si="981"/>
        <v>43997</v>
      </c>
      <c r="H2324" s="2">
        <f t="shared" ca="1" si="982"/>
        <v>256</v>
      </c>
      <c r="I2324" t="str">
        <f t="shared" si="983"/>
        <v>USD/JPY</v>
      </c>
      <c r="J2324">
        <f t="shared" si="984"/>
        <v>106.33</v>
      </c>
      <c r="K2324">
        <f t="shared" si="985"/>
        <v>110.01</v>
      </c>
      <c r="L2324">
        <f t="shared" si="986"/>
        <v>108.17</v>
      </c>
      <c r="M2324">
        <f t="shared" si="987"/>
        <v>1.8400000000000034</v>
      </c>
      <c r="N2324">
        <f t="shared" si="977"/>
        <v>3.6800000000000068</v>
      </c>
      <c r="O2324">
        <f t="shared" si="988"/>
        <v>107.39</v>
      </c>
      <c r="P2324">
        <f t="shared" si="989"/>
        <v>-0.4239130434782607</v>
      </c>
      <c r="Q2324" t="str">
        <f t="shared" si="978"/>
        <v>0.99% | 2.44%</v>
      </c>
      <c r="R2324" t="str">
        <f t="shared" si="990"/>
        <v>NEUTRAL</v>
      </c>
      <c r="S2324">
        <f t="shared" si="979"/>
        <v>0</v>
      </c>
    </row>
    <row r="2325" spans="1:19" hidden="1" x14ac:dyDescent="0.25">
      <c r="A2325" s="5" t="str">
        <f t="shared" si="976"/>
        <v>43997GBP/USD</v>
      </c>
      <c r="B2325" s="6" t="s">
        <v>79</v>
      </c>
      <c r="C2325" s="6">
        <v>1.23</v>
      </c>
      <c r="D2325" s="6">
        <v>1.27</v>
      </c>
      <c r="E2325" s="6">
        <v>1.25</v>
      </c>
      <c r="F2325" t="str">
        <f t="shared" si="980"/>
        <v>MON</v>
      </c>
      <c r="G2325" s="1">
        <f t="shared" si="981"/>
        <v>43997</v>
      </c>
      <c r="H2325" s="2">
        <f t="shared" ca="1" si="982"/>
        <v>256</v>
      </c>
      <c r="I2325" t="str">
        <f t="shared" si="983"/>
        <v>GBP/USD</v>
      </c>
      <c r="J2325">
        <f t="shared" si="984"/>
        <v>1.23</v>
      </c>
      <c r="K2325">
        <f t="shared" si="985"/>
        <v>1.27</v>
      </c>
      <c r="L2325">
        <f t="shared" si="986"/>
        <v>1.25</v>
      </c>
      <c r="M2325">
        <f t="shared" si="987"/>
        <v>2.0000000000000018E-2</v>
      </c>
      <c r="N2325">
        <f t="shared" si="977"/>
        <v>4.0000000000000036E-2</v>
      </c>
      <c r="O2325">
        <f t="shared" si="988"/>
        <v>1.25</v>
      </c>
      <c r="P2325">
        <f t="shared" si="989"/>
        <v>0</v>
      </c>
      <c r="Q2325" t="str">
        <f t="shared" si="978"/>
        <v>1.6% | 1.6%</v>
      </c>
      <c r="R2325" t="str">
        <f t="shared" si="990"/>
        <v>NEUTRAL</v>
      </c>
      <c r="S2325">
        <f t="shared" si="979"/>
        <v>0</v>
      </c>
    </row>
    <row r="2326" spans="1:19" hidden="1" x14ac:dyDescent="0.25">
      <c r="A2326" s="5" t="str">
        <f t="shared" si="976"/>
        <v>43997USD/CHF</v>
      </c>
      <c r="B2326" s="6" t="s">
        <v>76</v>
      </c>
      <c r="C2326" s="6">
        <v>0.94</v>
      </c>
      <c r="D2326" s="6">
        <v>0.96</v>
      </c>
      <c r="E2326" s="6">
        <v>0.95</v>
      </c>
      <c r="F2326" t="str">
        <f t="shared" si="980"/>
        <v>MON</v>
      </c>
      <c r="G2326" s="1">
        <f t="shared" si="981"/>
        <v>43997</v>
      </c>
      <c r="H2326" s="2">
        <f t="shared" ca="1" si="982"/>
        <v>256</v>
      </c>
      <c r="I2326" t="str">
        <f t="shared" si="983"/>
        <v>USD/CHF</v>
      </c>
      <c r="J2326">
        <f t="shared" si="984"/>
        <v>0.94</v>
      </c>
      <c r="K2326">
        <f t="shared" si="985"/>
        <v>0.96</v>
      </c>
      <c r="L2326">
        <f t="shared" si="986"/>
        <v>0.95</v>
      </c>
      <c r="M2326">
        <f t="shared" si="987"/>
        <v>1.0000000000000009E-2</v>
      </c>
      <c r="N2326">
        <f t="shared" si="977"/>
        <v>2.0000000000000018E-2</v>
      </c>
      <c r="O2326">
        <f t="shared" si="988"/>
        <v>0.95</v>
      </c>
      <c r="P2326">
        <f t="shared" si="989"/>
        <v>0</v>
      </c>
      <c r="Q2326" t="str">
        <f t="shared" si="978"/>
        <v>1.05% | 1.05%</v>
      </c>
      <c r="R2326" t="str">
        <f t="shared" si="990"/>
        <v>BEARISH</v>
      </c>
      <c r="S2326">
        <f t="shared" si="979"/>
        <v>-1</v>
      </c>
    </row>
    <row r="2327" spans="1:19" hidden="1" x14ac:dyDescent="0.25">
      <c r="A2327" s="5" t="str">
        <f t="shared" si="976"/>
        <v>43997WTIC</v>
      </c>
      <c r="B2327" s="6" t="s">
        <v>23</v>
      </c>
      <c r="C2327" s="6">
        <v>33.51</v>
      </c>
      <c r="D2327" s="6">
        <v>40.29</v>
      </c>
      <c r="E2327" s="6">
        <v>36.26</v>
      </c>
      <c r="F2327" t="str">
        <f t="shared" si="980"/>
        <v>MON</v>
      </c>
      <c r="G2327" s="1">
        <f t="shared" si="981"/>
        <v>43997</v>
      </c>
      <c r="H2327" s="2">
        <f t="shared" ca="1" si="982"/>
        <v>256</v>
      </c>
      <c r="I2327" t="str">
        <f t="shared" si="983"/>
        <v>WTIC</v>
      </c>
      <c r="J2327">
        <f t="shared" si="984"/>
        <v>33.51</v>
      </c>
      <c r="K2327">
        <f t="shared" si="985"/>
        <v>40.29</v>
      </c>
      <c r="L2327">
        <f t="shared" si="986"/>
        <v>36.9</v>
      </c>
      <c r="M2327">
        <f t="shared" si="987"/>
        <v>3.3900000000000006</v>
      </c>
      <c r="N2327">
        <f t="shared" si="977"/>
        <v>6.7800000000000011</v>
      </c>
      <c r="O2327">
        <f t="shared" si="988"/>
        <v>36.26</v>
      </c>
      <c r="P2327">
        <f t="shared" si="989"/>
        <v>-0.18879056047197654</v>
      </c>
      <c r="Q2327" t="str">
        <f t="shared" si="978"/>
        <v>7.58% | 11.11%</v>
      </c>
      <c r="R2327" t="str">
        <f t="shared" si="990"/>
        <v>BEARISH</v>
      </c>
      <c r="S2327">
        <f t="shared" si="979"/>
        <v>-1</v>
      </c>
    </row>
    <row r="2328" spans="1:19" hidden="1" x14ac:dyDescent="0.25">
      <c r="A2328" s="5" t="str">
        <f t="shared" si="976"/>
        <v>43997NATGAS</v>
      </c>
      <c r="B2328" s="6" t="s">
        <v>24</v>
      </c>
      <c r="C2328" s="6">
        <v>1.7</v>
      </c>
      <c r="D2328" s="6">
        <v>1.86</v>
      </c>
      <c r="E2328" s="6">
        <v>1.73</v>
      </c>
      <c r="F2328" t="str">
        <f t="shared" si="980"/>
        <v>MON</v>
      </c>
      <c r="G2328" s="1">
        <f t="shared" si="981"/>
        <v>43997</v>
      </c>
      <c r="H2328" s="2">
        <f t="shared" ca="1" si="982"/>
        <v>256</v>
      </c>
      <c r="I2328" t="str">
        <f t="shared" si="983"/>
        <v>NATGAS</v>
      </c>
      <c r="J2328">
        <f t="shared" si="984"/>
        <v>1.7</v>
      </c>
      <c r="K2328">
        <f t="shared" si="985"/>
        <v>1.86</v>
      </c>
      <c r="L2328">
        <f t="shared" si="986"/>
        <v>1.78</v>
      </c>
      <c r="M2328">
        <f t="shared" si="987"/>
        <v>8.0000000000000071E-2</v>
      </c>
      <c r="N2328">
        <f t="shared" si="977"/>
        <v>0.16000000000000014</v>
      </c>
      <c r="O2328">
        <f t="shared" si="988"/>
        <v>1.73</v>
      </c>
      <c r="P2328">
        <f t="shared" si="989"/>
        <v>-0.625</v>
      </c>
      <c r="Q2328" t="str">
        <f t="shared" si="978"/>
        <v>1.73% | 7.51%</v>
      </c>
      <c r="R2328" t="str">
        <f t="shared" si="990"/>
        <v>BEARISH</v>
      </c>
      <c r="S2328">
        <f t="shared" si="979"/>
        <v>-1</v>
      </c>
    </row>
    <row r="2329" spans="1:19" hidden="1" x14ac:dyDescent="0.25">
      <c r="A2329" s="5" t="str">
        <f t="shared" si="976"/>
        <v>43997GOLD</v>
      </c>
      <c r="B2329" s="6" t="s">
        <v>25</v>
      </c>
      <c r="C2329" s="6">
        <v>1683</v>
      </c>
      <c r="D2329" s="6">
        <v>1759</v>
      </c>
      <c r="E2329" s="6">
        <v>1737</v>
      </c>
      <c r="F2329" t="str">
        <f t="shared" si="980"/>
        <v>MON</v>
      </c>
      <c r="G2329" s="1">
        <f t="shared" si="981"/>
        <v>43997</v>
      </c>
      <c r="H2329" s="2">
        <f t="shared" ca="1" si="982"/>
        <v>256</v>
      </c>
      <c r="I2329" t="str">
        <f t="shared" si="983"/>
        <v>GOLD</v>
      </c>
      <c r="J2329">
        <f t="shared" si="984"/>
        <v>1683</v>
      </c>
      <c r="K2329">
        <f t="shared" si="985"/>
        <v>1759</v>
      </c>
      <c r="L2329">
        <f t="shared" si="986"/>
        <v>1721</v>
      </c>
      <c r="M2329">
        <f t="shared" si="987"/>
        <v>38</v>
      </c>
      <c r="N2329">
        <f t="shared" si="977"/>
        <v>76</v>
      </c>
      <c r="O2329">
        <f t="shared" si="988"/>
        <v>1737</v>
      </c>
      <c r="P2329">
        <f t="shared" si="989"/>
        <v>0.42105263157894735</v>
      </c>
      <c r="Q2329" t="str">
        <f t="shared" si="978"/>
        <v>3.11% | 1.27%</v>
      </c>
      <c r="R2329" t="str">
        <f t="shared" si="990"/>
        <v>BULLISH</v>
      </c>
      <c r="S2329">
        <f t="shared" si="979"/>
        <v>1</v>
      </c>
    </row>
    <row r="2330" spans="1:19" hidden="1" x14ac:dyDescent="0.25">
      <c r="A2330" s="5" t="str">
        <f t="shared" si="976"/>
        <v>43997COPPER</v>
      </c>
      <c r="B2330" s="6" t="s">
        <v>100</v>
      </c>
      <c r="C2330" s="6">
        <v>2.4500000000000002</v>
      </c>
      <c r="D2330" s="6">
        <v>2.68</v>
      </c>
      <c r="E2330" s="6">
        <v>2.6</v>
      </c>
      <c r="F2330" t="str">
        <f t="shared" si="980"/>
        <v>MON</v>
      </c>
      <c r="G2330" s="1">
        <f t="shared" si="981"/>
        <v>43997</v>
      </c>
      <c r="H2330" s="2">
        <f t="shared" ca="1" si="982"/>
        <v>256</v>
      </c>
      <c r="I2330" t="str">
        <f t="shared" si="983"/>
        <v>COPPER</v>
      </c>
      <c r="J2330">
        <f t="shared" si="984"/>
        <v>2.4500000000000002</v>
      </c>
      <c r="K2330">
        <f t="shared" si="985"/>
        <v>2.68</v>
      </c>
      <c r="L2330">
        <f t="shared" si="986"/>
        <v>2.5650000000000004</v>
      </c>
      <c r="M2330">
        <f t="shared" si="987"/>
        <v>0.11499999999999999</v>
      </c>
      <c r="N2330">
        <f t="shared" si="977"/>
        <v>0.22999999999999998</v>
      </c>
      <c r="O2330">
        <f t="shared" si="988"/>
        <v>2.6</v>
      </c>
      <c r="P2330">
        <f t="shared" si="989"/>
        <v>0.30434782608695393</v>
      </c>
      <c r="Q2330" t="str">
        <f t="shared" si="978"/>
        <v>5.77% | 3.08%</v>
      </c>
      <c r="R2330" t="str">
        <f t="shared" si="990"/>
        <v>BULLISH</v>
      </c>
      <c r="S2330">
        <f t="shared" si="979"/>
        <v>1</v>
      </c>
    </row>
    <row r="2331" spans="1:19" hidden="1" x14ac:dyDescent="0.25">
      <c r="A2331" s="5" t="str">
        <f t="shared" si="976"/>
        <v>43997MSFT</v>
      </c>
      <c r="B2331" s="6" t="s">
        <v>27</v>
      </c>
      <c r="C2331" s="6">
        <v>179</v>
      </c>
      <c r="D2331" s="6">
        <v>195</v>
      </c>
      <c r="E2331" s="6">
        <v>187</v>
      </c>
      <c r="F2331" t="str">
        <f t="shared" si="980"/>
        <v>MON</v>
      </c>
      <c r="G2331" s="1">
        <f t="shared" si="981"/>
        <v>43997</v>
      </c>
      <c r="H2331" s="2">
        <f t="shared" ca="1" si="982"/>
        <v>256</v>
      </c>
      <c r="I2331" t="str">
        <f t="shared" si="983"/>
        <v>MSFT</v>
      </c>
      <c r="J2331">
        <f t="shared" si="984"/>
        <v>179</v>
      </c>
      <c r="K2331">
        <f t="shared" si="985"/>
        <v>195</v>
      </c>
      <c r="L2331">
        <f t="shared" si="986"/>
        <v>187</v>
      </c>
      <c r="M2331">
        <f t="shared" si="987"/>
        <v>8</v>
      </c>
      <c r="N2331">
        <f t="shared" si="977"/>
        <v>16</v>
      </c>
      <c r="O2331">
        <f t="shared" si="988"/>
        <v>187</v>
      </c>
      <c r="P2331">
        <f t="shared" si="989"/>
        <v>0</v>
      </c>
      <c r="Q2331" t="str">
        <f t="shared" si="978"/>
        <v>4.28% | 4.28%</v>
      </c>
      <c r="R2331" t="str">
        <f t="shared" si="990"/>
        <v>BULLISH</v>
      </c>
      <c r="S2331">
        <f t="shared" si="979"/>
        <v>1</v>
      </c>
    </row>
    <row r="2332" spans="1:19" hidden="1" x14ac:dyDescent="0.25">
      <c r="A2332" s="5" t="str">
        <f t="shared" si="976"/>
        <v>43997AAPL</v>
      </c>
      <c r="B2332" s="6" t="s">
        <v>28</v>
      </c>
      <c r="C2332" s="6">
        <v>313</v>
      </c>
      <c r="D2332" s="6">
        <v>353</v>
      </c>
      <c r="E2332" s="6">
        <v>338</v>
      </c>
      <c r="F2332" t="str">
        <f t="shared" si="980"/>
        <v>MON</v>
      </c>
      <c r="G2332" s="1">
        <f t="shared" si="981"/>
        <v>43997</v>
      </c>
      <c r="H2332" s="2">
        <f t="shared" ca="1" si="982"/>
        <v>256</v>
      </c>
      <c r="I2332" t="str">
        <f t="shared" si="983"/>
        <v>AAPL</v>
      </c>
      <c r="J2332">
        <f t="shared" si="984"/>
        <v>313</v>
      </c>
      <c r="K2332">
        <f t="shared" si="985"/>
        <v>353</v>
      </c>
      <c r="L2332">
        <f t="shared" si="986"/>
        <v>333</v>
      </c>
      <c r="M2332">
        <f t="shared" si="987"/>
        <v>20</v>
      </c>
      <c r="N2332">
        <f t="shared" si="977"/>
        <v>40</v>
      </c>
      <c r="O2332">
        <f t="shared" si="988"/>
        <v>338</v>
      </c>
      <c r="P2332">
        <f t="shared" si="989"/>
        <v>0.25</v>
      </c>
      <c r="Q2332" t="str">
        <f t="shared" si="978"/>
        <v>7.4% | 4.44%</v>
      </c>
      <c r="R2332" t="str">
        <f t="shared" si="990"/>
        <v>BULLISH</v>
      </c>
      <c r="S2332">
        <f t="shared" si="979"/>
        <v>1</v>
      </c>
    </row>
    <row r="2333" spans="1:19" hidden="1" x14ac:dyDescent="0.25">
      <c r="A2333" s="5" t="str">
        <f t="shared" si="976"/>
        <v>43997AMZN</v>
      </c>
      <c r="B2333" s="6" t="s">
        <v>29</v>
      </c>
      <c r="C2333" s="6">
        <v>2401</v>
      </c>
      <c r="D2333" s="6">
        <v>2650</v>
      </c>
      <c r="E2333" s="6">
        <v>2545</v>
      </c>
      <c r="F2333" t="str">
        <f t="shared" si="980"/>
        <v>MON</v>
      </c>
      <c r="G2333" s="1">
        <f t="shared" si="981"/>
        <v>43997</v>
      </c>
      <c r="H2333" s="2">
        <f t="shared" ca="1" si="982"/>
        <v>256</v>
      </c>
      <c r="I2333" t="str">
        <f t="shared" si="983"/>
        <v>AMZN</v>
      </c>
      <c r="J2333">
        <f t="shared" si="984"/>
        <v>2401</v>
      </c>
      <c r="K2333">
        <f t="shared" si="985"/>
        <v>2650</v>
      </c>
      <c r="L2333">
        <f t="shared" si="986"/>
        <v>2525.5</v>
      </c>
      <c r="M2333">
        <f t="shared" si="987"/>
        <v>124.5</v>
      </c>
      <c r="N2333">
        <f t="shared" si="977"/>
        <v>249</v>
      </c>
      <c r="O2333">
        <f t="shared" si="988"/>
        <v>2545</v>
      </c>
      <c r="P2333">
        <f t="shared" si="989"/>
        <v>0.15662650602409639</v>
      </c>
      <c r="Q2333" t="str">
        <f t="shared" si="978"/>
        <v>5.66% | 4.13%</v>
      </c>
      <c r="R2333" t="str">
        <f t="shared" si="990"/>
        <v>BULLISH</v>
      </c>
      <c r="S2333">
        <f t="shared" si="979"/>
        <v>1</v>
      </c>
    </row>
    <row r="2334" spans="1:19" hidden="1" x14ac:dyDescent="0.25">
      <c r="A2334" s="5" t="str">
        <f t="shared" si="976"/>
        <v>43997FB</v>
      </c>
      <c r="B2334" s="6" t="s">
        <v>30</v>
      </c>
      <c r="C2334" s="6">
        <v>219</v>
      </c>
      <c r="D2334" s="6">
        <v>239</v>
      </c>
      <c r="E2334" s="6">
        <v>228</v>
      </c>
      <c r="F2334" t="str">
        <f t="shared" si="980"/>
        <v>MON</v>
      </c>
      <c r="G2334" s="1">
        <f t="shared" si="981"/>
        <v>43997</v>
      </c>
      <c r="H2334" s="2">
        <f t="shared" ca="1" si="982"/>
        <v>256</v>
      </c>
      <c r="I2334" t="str">
        <f t="shared" si="983"/>
        <v>FB</v>
      </c>
      <c r="J2334">
        <f t="shared" si="984"/>
        <v>219</v>
      </c>
      <c r="K2334">
        <f t="shared" si="985"/>
        <v>239</v>
      </c>
      <c r="L2334">
        <f t="shared" si="986"/>
        <v>229</v>
      </c>
      <c r="M2334">
        <f t="shared" si="987"/>
        <v>10</v>
      </c>
      <c r="N2334">
        <f t="shared" si="977"/>
        <v>20</v>
      </c>
      <c r="O2334">
        <f t="shared" si="988"/>
        <v>228</v>
      </c>
      <c r="P2334">
        <f t="shared" si="989"/>
        <v>-0.1</v>
      </c>
      <c r="Q2334" t="str">
        <f t="shared" si="978"/>
        <v>3.95% | 4.82%</v>
      </c>
      <c r="R2334" t="str">
        <f t="shared" si="990"/>
        <v>BULLISH</v>
      </c>
      <c r="S2334">
        <f t="shared" si="979"/>
        <v>1</v>
      </c>
    </row>
    <row r="2335" spans="1:19" hidden="1" x14ac:dyDescent="0.25">
      <c r="A2335" s="5" t="str">
        <f t="shared" si="976"/>
        <v>43997GOOGL</v>
      </c>
      <c r="B2335" s="6" t="s">
        <v>31</v>
      </c>
      <c r="C2335" s="6">
        <v>1343</v>
      </c>
      <c r="D2335" s="6">
        <v>1473</v>
      </c>
      <c r="E2335" s="6">
        <v>1412</v>
      </c>
      <c r="F2335" t="str">
        <f t="shared" si="980"/>
        <v>MON</v>
      </c>
      <c r="G2335" s="1">
        <f t="shared" si="981"/>
        <v>43997</v>
      </c>
      <c r="H2335" s="2">
        <f t="shared" ca="1" si="982"/>
        <v>256</v>
      </c>
      <c r="I2335" t="str">
        <f t="shared" si="983"/>
        <v>GOOGL</v>
      </c>
      <c r="J2335">
        <f t="shared" si="984"/>
        <v>1343</v>
      </c>
      <c r="K2335">
        <f t="shared" si="985"/>
        <v>1473</v>
      </c>
      <c r="L2335">
        <f t="shared" si="986"/>
        <v>1408</v>
      </c>
      <c r="M2335">
        <f t="shared" si="987"/>
        <v>65</v>
      </c>
      <c r="N2335">
        <f t="shared" si="977"/>
        <v>130</v>
      </c>
      <c r="O2335">
        <f t="shared" si="988"/>
        <v>1412</v>
      </c>
      <c r="P2335">
        <f t="shared" si="989"/>
        <v>6.1538461538461542E-2</v>
      </c>
      <c r="Q2335" t="str">
        <f t="shared" si="978"/>
        <v>4.89% | 4.32%</v>
      </c>
      <c r="R2335" t="str">
        <f t="shared" si="990"/>
        <v>BULLISH</v>
      </c>
      <c r="S2335">
        <f t="shared" si="979"/>
        <v>1</v>
      </c>
    </row>
    <row r="2336" spans="1:19" hidden="1" x14ac:dyDescent="0.25">
      <c r="A2336" s="5" t="str">
        <f t="shared" si="976"/>
        <v>43997NFLX</v>
      </c>
      <c r="B2336" s="6" t="s">
        <v>32</v>
      </c>
      <c r="C2336" s="6">
        <v>401</v>
      </c>
      <c r="D2336" s="6">
        <v>436</v>
      </c>
      <c r="E2336" s="6">
        <v>418</v>
      </c>
      <c r="F2336" t="str">
        <f t="shared" si="980"/>
        <v>MON</v>
      </c>
      <c r="G2336" s="1">
        <f t="shared" si="981"/>
        <v>43997</v>
      </c>
      <c r="H2336" s="2">
        <f t="shared" ca="1" si="982"/>
        <v>256</v>
      </c>
      <c r="I2336" t="str">
        <f t="shared" si="983"/>
        <v>NFLX</v>
      </c>
      <c r="J2336">
        <f t="shared" si="984"/>
        <v>401</v>
      </c>
      <c r="K2336">
        <f t="shared" si="985"/>
        <v>436</v>
      </c>
      <c r="L2336">
        <f t="shared" si="986"/>
        <v>418.5</v>
      </c>
      <c r="M2336">
        <f t="shared" si="987"/>
        <v>17.5</v>
      </c>
      <c r="N2336">
        <f t="shared" si="977"/>
        <v>35</v>
      </c>
      <c r="O2336">
        <f t="shared" si="988"/>
        <v>418</v>
      </c>
      <c r="P2336">
        <f t="shared" si="989"/>
        <v>-2.8571428571428571E-2</v>
      </c>
      <c r="Q2336" t="str">
        <f t="shared" si="978"/>
        <v>4.07% | 4.31%</v>
      </c>
      <c r="R2336" t="str">
        <f t="shared" si="990"/>
        <v>BULLISH</v>
      </c>
      <c r="S2336">
        <f t="shared" si="979"/>
        <v>1</v>
      </c>
    </row>
    <row r="2337" spans="1:19" x14ac:dyDescent="0.25">
      <c r="A2337" s="5" t="str">
        <f t="shared" si="976"/>
        <v>43997TSLA</v>
      </c>
      <c r="B2337" s="6" t="s">
        <v>33</v>
      </c>
      <c r="C2337" s="6">
        <v>823</v>
      </c>
      <c r="D2337" s="6">
        <v>1025</v>
      </c>
      <c r="E2337" s="6">
        <v>935</v>
      </c>
      <c r="F2337" t="str">
        <f t="shared" si="980"/>
        <v>MON</v>
      </c>
      <c r="G2337" s="1">
        <f t="shared" si="981"/>
        <v>43997</v>
      </c>
      <c r="H2337" s="2">
        <f t="shared" ca="1" si="982"/>
        <v>256</v>
      </c>
      <c r="I2337" t="str">
        <f t="shared" si="983"/>
        <v>TSLA</v>
      </c>
      <c r="J2337">
        <f t="shared" si="984"/>
        <v>823</v>
      </c>
      <c r="K2337">
        <f t="shared" si="985"/>
        <v>1025</v>
      </c>
      <c r="L2337">
        <f t="shared" si="986"/>
        <v>924</v>
      </c>
      <c r="M2337">
        <f t="shared" si="987"/>
        <v>101</v>
      </c>
      <c r="N2337">
        <f t="shared" si="977"/>
        <v>202</v>
      </c>
      <c r="O2337">
        <f t="shared" si="988"/>
        <v>935</v>
      </c>
      <c r="P2337">
        <f t="shared" si="989"/>
        <v>0.10891089108910891</v>
      </c>
      <c r="Q2337" t="str">
        <f t="shared" si="978"/>
        <v>11.98% | 9.63%</v>
      </c>
      <c r="R2337" t="str">
        <f t="shared" si="990"/>
        <v>BULLISH</v>
      </c>
      <c r="S2337">
        <f t="shared" si="979"/>
        <v>1</v>
      </c>
    </row>
    <row r="2338" spans="1:19" hidden="1" x14ac:dyDescent="0.25">
      <c r="A2338" s="5" t="str">
        <f t="shared" si="976"/>
        <v>43997NYXBT</v>
      </c>
      <c r="B2338" s="6" t="s">
        <v>34</v>
      </c>
      <c r="C2338" s="6">
        <v>8937</v>
      </c>
      <c r="D2338" s="6">
        <v>9930</v>
      </c>
      <c r="E2338" s="6">
        <v>9456</v>
      </c>
      <c r="F2338" t="str">
        <f t="shared" si="980"/>
        <v>MON</v>
      </c>
      <c r="G2338" s="1">
        <f t="shared" si="981"/>
        <v>43997</v>
      </c>
      <c r="H2338" s="2">
        <f t="shared" ca="1" si="982"/>
        <v>256</v>
      </c>
      <c r="I2338" t="str">
        <f t="shared" si="983"/>
        <v>NYXBT</v>
      </c>
      <c r="J2338">
        <f t="shared" si="984"/>
        <v>8937</v>
      </c>
      <c r="K2338">
        <f t="shared" si="985"/>
        <v>9930</v>
      </c>
      <c r="L2338">
        <f t="shared" si="986"/>
        <v>9433.5</v>
      </c>
      <c r="M2338">
        <f t="shared" si="987"/>
        <v>496.5</v>
      </c>
      <c r="N2338">
        <f t="shared" si="977"/>
        <v>993</v>
      </c>
      <c r="O2338">
        <f t="shared" si="988"/>
        <v>9456</v>
      </c>
      <c r="P2338">
        <f t="shared" si="989"/>
        <v>4.5317220543806644E-2</v>
      </c>
      <c r="Q2338" t="str">
        <f t="shared" si="978"/>
        <v>5.49% | 5.01%</v>
      </c>
      <c r="R2338" t="str">
        <f t="shared" si="990"/>
        <v>BULLISH</v>
      </c>
      <c r="S2338">
        <f t="shared" si="979"/>
        <v>1</v>
      </c>
    </row>
    <row r="2339" spans="1:19" hidden="1" x14ac:dyDescent="0.25">
      <c r="A2339" s="5" t="str">
        <f t="shared" si="976"/>
        <v>43998UST10Y</v>
      </c>
      <c r="B2339" s="6" t="s">
        <v>4</v>
      </c>
      <c r="C2339" s="6">
        <v>0.87</v>
      </c>
      <c r="D2339" s="6">
        <v>0.61</v>
      </c>
      <c r="E2339" s="6">
        <v>0.71</v>
      </c>
      <c r="F2339" t="str">
        <f t="shared" si="980"/>
        <v>TUE</v>
      </c>
      <c r="G2339" s="3">
        <f>DATE(2020,6,16)</f>
        <v>43998</v>
      </c>
      <c r="H2339" s="2">
        <f t="shared" ca="1" si="982"/>
        <v>255</v>
      </c>
      <c r="I2339" t="str">
        <f t="shared" si="983"/>
        <v>UST10Y</v>
      </c>
      <c r="J2339">
        <f t="shared" si="984"/>
        <v>0.87</v>
      </c>
      <c r="K2339">
        <f t="shared" si="985"/>
        <v>0.61</v>
      </c>
      <c r="L2339">
        <f t="shared" si="986"/>
        <v>0.74</v>
      </c>
      <c r="M2339">
        <f t="shared" si="987"/>
        <v>0.13000000000000009</v>
      </c>
      <c r="N2339">
        <f t="shared" si="977"/>
        <v>0.26</v>
      </c>
      <c r="O2339">
        <f t="shared" si="988"/>
        <v>0.71</v>
      </c>
      <c r="P2339">
        <f t="shared" si="989"/>
        <v>-0.23076923076923081</v>
      </c>
      <c r="Q2339" t="str">
        <f t="shared" si="978"/>
        <v>22.54% | 14.08%</v>
      </c>
      <c r="R2339" t="str">
        <f t="shared" si="990"/>
        <v>BEARISH</v>
      </c>
      <c r="S2339">
        <f t="shared" si="979"/>
        <v>-1</v>
      </c>
    </row>
    <row r="2340" spans="1:19" hidden="1" x14ac:dyDescent="0.25">
      <c r="A2340" s="5" t="str">
        <f t="shared" si="976"/>
        <v>43998UST2Y</v>
      </c>
      <c r="B2340" s="6" t="s">
        <v>5</v>
      </c>
      <c r="C2340" s="6">
        <v>0.22</v>
      </c>
      <c r="D2340" s="6">
        <v>0.14000000000000001</v>
      </c>
      <c r="E2340" s="6">
        <v>0.19</v>
      </c>
      <c r="F2340" t="str">
        <f t="shared" ref="F2340:F2369" si="991">UPPER(TEXT(G2340,"ddd"))</f>
        <v>TUE</v>
      </c>
      <c r="G2340" s="3">
        <f t="shared" ref="G2340:G2368" si="992">DATE(2020,6,16)</f>
        <v>43998</v>
      </c>
      <c r="H2340" s="2">
        <f t="shared" ref="H2340:H2369" ca="1" si="993">TODAY()-G2340</f>
        <v>255</v>
      </c>
      <c r="I2340" t="str">
        <f t="shared" ref="I2340:I2369" si="994">TRIM(LEFT(B2340,FIND(" ",B2340,1)))</f>
        <v>UST2Y</v>
      </c>
      <c r="J2340">
        <f t="shared" ref="J2340:J2369" si="995">C2340</f>
        <v>0.22</v>
      </c>
      <c r="K2340">
        <f t="shared" ref="K2340:K2369" si="996">D2340</f>
        <v>0.14000000000000001</v>
      </c>
      <c r="L2340">
        <f t="shared" ref="L2340:L2369" si="997">AVERAGE(J2340:K2340)</f>
        <v>0.18</v>
      </c>
      <c r="M2340">
        <f t="shared" ref="M2340:M2369" si="998">_xlfn.STDEV.P(J2340:K2340)</f>
        <v>4.0000000000000049E-2</v>
      </c>
      <c r="N2340">
        <f t="shared" si="977"/>
        <v>7.9999999999999988E-2</v>
      </c>
      <c r="O2340">
        <f t="shared" ref="O2340:O2369" si="999">E2340</f>
        <v>0.19</v>
      </c>
      <c r="P2340">
        <f t="shared" ref="P2340:P2369" si="1000">(O2340-L2340)/M2340</f>
        <v>0.24999999999999992</v>
      </c>
      <c r="Q2340" t="str">
        <f t="shared" si="978"/>
        <v>15.79% | 26.32%</v>
      </c>
      <c r="R2340" t="str">
        <f t="shared" ref="R2340:R2369" si="1001">MID(B2340,FIND("(",B2340,1)+1,FIND(")",B2340,1)-FIND("(",B2340,1)-1)</f>
        <v>BEARISH</v>
      </c>
      <c r="S2340">
        <f t="shared" si="979"/>
        <v>-1</v>
      </c>
    </row>
    <row r="2341" spans="1:19" hidden="1" x14ac:dyDescent="0.25">
      <c r="A2341" s="5" t="str">
        <f t="shared" si="976"/>
        <v>43998SPX</v>
      </c>
      <c r="B2341" s="6" t="s">
        <v>6</v>
      </c>
      <c r="C2341" s="6">
        <v>2943</v>
      </c>
      <c r="D2341" s="6">
        <v>3130</v>
      </c>
      <c r="E2341" s="6">
        <v>3066</v>
      </c>
      <c r="F2341" t="str">
        <f t="shared" si="991"/>
        <v>TUE</v>
      </c>
      <c r="G2341" s="3">
        <f t="shared" si="992"/>
        <v>43998</v>
      </c>
      <c r="H2341" s="2">
        <f t="shared" ca="1" si="993"/>
        <v>255</v>
      </c>
      <c r="I2341" t="str">
        <f t="shared" si="994"/>
        <v>SPX</v>
      </c>
      <c r="J2341">
        <f t="shared" si="995"/>
        <v>2943</v>
      </c>
      <c r="K2341">
        <f t="shared" si="996"/>
        <v>3130</v>
      </c>
      <c r="L2341">
        <f t="shared" si="997"/>
        <v>3036.5</v>
      </c>
      <c r="M2341">
        <f t="shared" si="998"/>
        <v>93.5</v>
      </c>
      <c r="N2341">
        <f t="shared" si="977"/>
        <v>187</v>
      </c>
      <c r="O2341">
        <f t="shared" si="999"/>
        <v>3066</v>
      </c>
      <c r="P2341">
        <f t="shared" si="1000"/>
        <v>0.31550802139037432</v>
      </c>
      <c r="Q2341" t="str">
        <f t="shared" si="978"/>
        <v>4.01% | 2.09%</v>
      </c>
      <c r="R2341" t="str">
        <f t="shared" si="1001"/>
        <v>BEARISH</v>
      </c>
      <c r="S2341">
        <f t="shared" si="979"/>
        <v>-1</v>
      </c>
    </row>
    <row r="2342" spans="1:19" hidden="1" x14ac:dyDescent="0.25">
      <c r="A2342" s="5" t="str">
        <f t="shared" si="976"/>
        <v>43998RUT</v>
      </c>
      <c r="B2342" s="6" t="s">
        <v>7</v>
      </c>
      <c r="C2342" s="6">
        <v>1338</v>
      </c>
      <c r="D2342" s="6">
        <v>1454</v>
      </c>
      <c r="E2342" s="6">
        <v>1419</v>
      </c>
      <c r="F2342" t="str">
        <f t="shared" si="991"/>
        <v>TUE</v>
      </c>
      <c r="G2342" s="3">
        <f t="shared" si="992"/>
        <v>43998</v>
      </c>
      <c r="H2342" s="2">
        <f t="shared" ca="1" si="993"/>
        <v>255</v>
      </c>
      <c r="I2342" t="str">
        <f t="shared" si="994"/>
        <v>RUT</v>
      </c>
      <c r="J2342">
        <f t="shared" si="995"/>
        <v>1338</v>
      </c>
      <c r="K2342">
        <f t="shared" si="996"/>
        <v>1454</v>
      </c>
      <c r="L2342">
        <f t="shared" si="997"/>
        <v>1396</v>
      </c>
      <c r="M2342">
        <f t="shared" si="998"/>
        <v>58</v>
      </c>
      <c r="N2342">
        <f t="shared" si="977"/>
        <v>116</v>
      </c>
      <c r="O2342">
        <f t="shared" si="999"/>
        <v>1419</v>
      </c>
      <c r="P2342">
        <f t="shared" si="1000"/>
        <v>0.39655172413793105</v>
      </c>
      <c r="Q2342" t="str">
        <f t="shared" si="978"/>
        <v>5.71% | 2.47%</v>
      </c>
      <c r="R2342" t="str">
        <f t="shared" si="1001"/>
        <v>BEARISH</v>
      </c>
      <c r="S2342">
        <f t="shared" si="979"/>
        <v>-1</v>
      </c>
    </row>
    <row r="2343" spans="1:19" hidden="1" x14ac:dyDescent="0.25">
      <c r="A2343" s="5" t="str">
        <f t="shared" si="976"/>
        <v>43998COMPQ</v>
      </c>
      <c r="B2343" s="6" t="s">
        <v>8</v>
      </c>
      <c r="C2343" s="6">
        <v>9401</v>
      </c>
      <c r="D2343" s="6">
        <v>10101</v>
      </c>
      <c r="E2343" s="6">
        <v>9726</v>
      </c>
      <c r="F2343" t="str">
        <f t="shared" si="991"/>
        <v>TUE</v>
      </c>
      <c r="G2343" s="3">
        <f t="shared" si="992"/>
        <v>43998</v>
      </c>
      <c r="H2343" s="2">
        <f t="shared" ca="1" si="993"/>
        <v>255</v>
      </c>
      <c r="I2343" t="str">
        <f t="shared" si="994"/>
        <v>COMPQ</v>
      </c>
      <c r="J2343">
        <f t="shared" si="995"/>
        <v>9401</v>
      </c>
      <c r="K2343">
        <f t="shared" si="996"/>
        <v>10101</v>
      </c>
      <c r="L2343">
        <f t="shared" si="997"/>
        <v>9751</v>
      </c>
      <c r="M2343">
        <f t="shared" si="998"/>
        <v>350</v>
      </c>
      <c r="N2343">
        <f t="shared" si="977"/>
        <v>700</v>
      </c>
      <c r="O2343">
        <f t="shared" si="999"/>
        <v>9726</v>
      </c>
      <c r="P2343">
        <f t="shared" si="1000"/>
        <v>-7.1428571428571425E-2</v>
      </c>
      <c r="Q2343" t="str">
        <f t="shared" si="978"/>
        <v>3.34% | 3.86%</v>
      </c>
      <c r="R2343" t="str">
        <f t="shared" si="1001"/>
        <v>BULLISH</v>
      </c>
      <c r="S2343">
        <f t="shared" si="979"/>
        <v>1</v>
      </c>
    </row>
    <row r="2344" spans="1:19" hidden="1" x14ac:dyDescent="0.25">
      <c r="A2344" s="5" t="str">
        <f t="shared" si="976"/>
        <v>43998XLK</v>
      </c>
      <c r="B2344" s="6" t="s">
        <v>10</v>
      </c>
      <c r="C2344" s="6">
        <v>96.56</v>
      </c>
      <c r="D2344" s="6">
        <v>104.51</v>
      </c>
      <c r="E2344" s="6">
        <v>100.37</v>
      </c>
      <c r="F2344" t="str">
        <f t="shared" si="991"/>
        <v>TUE</v>
      </c>
      <c r="G2344" s="3">
        <f t="shared" si="992"/>
        <v>43998</v>
      </c>
      <c r="H2344" s="2">
        <f t="shared" ca="1" si="993"/>
        <v>255</v>
      </c>
      <c r="I2344" t="str">
        <f t="shared" si="994"/>
        <v>XLK</v>
      </c>
      <c r="J2344">
        <f t="shared" si="995"/>
        <v>96.56</v>
      </c>
      <c r="K2344">
        <f t="shared" si="996"/>
        <v>104.51</v>
      </c>
      <c r="L2344">
        <f t="shared" si="997"/>
        <v>100.535</v>
      </c>
      <c r="M2344">
        <f t="shared" si="998"/>
        <v>3.9750000000000014</v>
      </c>
      <c r="N2344">
        <f t="shared" si="977"/>
        <v>7.9500000000000028</v>
      </c>
      <c r="O2344">
        <f t="shared" si="999"/>
        <v>100.37</v>
      </c>
      <c r="P2344">
        <f t="shared" si="1000"/>
        <v>-4.1509433962262136E-2</v>
      </c>
      <c r="Q2344" t="str">
        <f t="shared" si="978"/>
        <v>3.8% | 4.12%</v>
      </c>
      <c r="R2344" t="str">
        <f t="shared" si="1001"/>
        <v>BULLISH</v>
      </c>
      <c r="S2344">
        <f t="shared" si="979"/>
        <v>1</v>
      </c>
    </row>
    <row r="2345" spans="1:19" hidden="1" x14ac:dyDescent="0.25">
      <c r="A2345" s="5" t="str">
        <f t="shared" si="976"/>
        <v>43998XLU</v>
      </c>
      <c r="B2345" s="6" t="s">
        <v>52</v>
      </c>
      <c r="C2345" s="6">
        <v>57.46</v>
      </c>
      <c r="D2345" s="6">
        <v>63.34</v>
      </c>
      <c r="E2345" s="6">
        <v>59.07</v>
      </c>
      <c r="F2345" t="str">
        <f t="shared" si="991"/>
        <v>TUE</v>
      </c>
      <c r="G2345" s="3">
        <f t="shared" si="992"/>
        <v>43998</v>
      </c>
      <c r="H2345" s="2">
        <f t="shared" ca="1" si="993"/>
        <v>255</v>
      </c>
      <c r="I2345" t="str">
        <f t="shared" si="994"/>
        <v>XLU</v>
      </c>
      <c r="J2345">
        <f t="shared" si="995"/>
        <v>57.46</v>
      </c>
      <c r="K2345">
        <f t="shared" si="996"/>
        <v>63.34</v>
      </c>
      <c r="L2345">
        <f t="shared" si="997"/>
        <v>60.400000000000006</v>
      </c>
      <c r="M2345">
        <f t="shared" si="998"/>
        <v>2.9400000000000013</v>
      </c>
      <c r="N2345">
        <f t="shared" si="977"/>
        <v>5.8800000000000026</v>
      </c>
      <c r="O2345">
        <f t="shared" si="999"/>
        <v>59.07</v>
      </c>
      <c r="P2345">
        <f t="shared" si="1000"/>
        <v>-0.45238095238095399</v>
      </c>
      <c r="Q2345" t="str">
        <f t="shared" si="978"/>
        <v>2.73% | 7.23%</v>
      </c>
      <c r="R2345" t="str">
        <f t="shared" si="1001"/>
        <v>BULLISH</v>
      </c>
      <c r="S2345">
        <f t="shared" si="979"/>
        <v>1</v>
      </c>
    </row>
    <row r="2346" spans="1:19" hidden="1" x14ac:dyDescent="0.25">
      <c r="A2346" s="5" t="str">
        <f t="shared" si="976"/>
        <v>43998XLRE</v>
      </c>
      <c r="B2346" s="6" t="s">
        <v>97</v>
      </c>
      <c r="C2346" s="6">
        <v>34.380000000000003</v>
      </c>
      <c r="D2346" s="6">
        <v>38.43</v>
      </c>
      <c r="E2346" s="6">
        <v>35.99</v>
      </c>
      <c r="F2346" t="str">
        <f t="shared" si="991"/>
        <v>TUE</v>
      </c>
      <c r="G2346" s="3">
        <f t="shared" si="992"/>
        <v>43998</v>
      </c>
      <c r="H2346" s="2">
        <f t="shared" ca="1" si="993"/>
        <v>255</v>
      </c>
      <c r="I2346" t="str">
        <f t="shared" si="994"/>
        <v>XLRE</v>
      </c>
      <c r="J2346">
        <f t="shared" si="995"/>
        <v>34.380000000000003</v>
      </c>
      <c r="K2346">
        <f t="shared" si="996"/>
        <v>38.43</v>
      </c>
      <c r="L2346">
        <f t="shared" si="997"/>
        <v>36.405000000000001</v>
      </c>
      <c r="M2346">
        <f t="shared" si="998"/>
        <v>2.0249999999999986</v>
      </c>
      <c r="N2346">
        <f t="shared" si="977"/>
        <v>4.0499999999999972</v>
      </c>
      <c r="O2346">
        <f t="shared" si="999"/>
        <v>35.99</v>
      </c>
      <c r="P2346">
        <f t="shared" si="1000"/>
        <v>-0.20493827160493799</v>
      </c>
      <c r="Q2346" t="str">
        <f t="shared" si="978"/>
        <v>4.47% | 6.78%</v>
      </c>
      <c r="R2346" t="str">
        <f t="shared" si="1001"/>
        <v>BULLISH</v>
      </c>
      <c r="S2346">
        <f t="shared" si="979"/>
        <v>1</v>
      </c>
    </row>
    <row r="2347" spans="1:19" hidden="1" x14ac:dyDescent="0.25">
      <c r="A2347" s="5" t="str">
        <f t="shared" si="976"/>
        <v>43998XLF</v>
      </c>
      <c r="B2347" s="6" t="s">
        <v>12</v>
      </c>
      <c r="C2347" s="6">
        <v>21.98</v>
      </c>
      <c r="D2347" s="6">
        <v>25.16</v>
      </c>
      <c r="E2347" s="6">
        <v>24.16</v>
      </c>
      <c r="F2347" t="str">
        <f t="shared" si="991"/>
        <v>TUE</v>
      </c>
      <c r="G2347" s="3">
        <f t="shared" si="992"/>
        <v>43998</v>
      </c>
      <c r="H2347" s="2">
        <f t="shared" ca="1" si="993"/>
        <v>255</v>
      </c>
      <c r="I2347" t="str">
        <f t="shared" si="994"/>
        <v>XLF</v>
      </c>
      <c r="J2347">
        <f t="shared" si="995"/>
        <v>21.98</v>
      </c>
      <c r="K2347">
        <f t="shared" si="996"/>
        <v>25.16</v>
      </c>
      <c r="L2347">
        <f t="shared" si="997"/>
        <v>23.57</v>
      </c>
      <c r="M2347">
        <f t="shared" si="998"/>
        <v>1.5899999999999999</v>
      </c>
      <c r="N2347">
        <f t="shared" si="977"/>
        <v>3.1799999999999997</v>
      </c>
      <c r="O2347">
        <f t="shared" si="999"/>
        <v>24.16</v>
      </c>
      <c r="P2347">
        <f t="shared" si="1000"/>
        <v>0.37106918238993702</v>
      </c>
      <c r="Q2347" t="str">
        <f t="shared" si="978"/>
        <v>9.02% | 4.14%</v>
      </c>
      <c r="R2347" t="str">
        <f t="shared" si="1001"/>
        <v>BEARISH</v>
      </c>
      <c r="S2347">
        <f t="shared" si="979"/>
        <v>-1</v>
      </c>
    </row>
    <row r="2348" spans="1:19" hidden="1" x14ac:dyDescent="0.25">
      <c r="A2348" s="5" t="str">
        <f t="shared" si="976"/>
        <v>43998SSEC</v>
      </c>
      <c r="B2348" s="6" t="s">
        <v>14</v>
      </c>
      <c r="C2348" s="6">
        <v>2883</v>
      </c>
      <c r="D2348" s="6">
        <v>2964</v>
      </c>
      <c r="E2348" s="6">
        <v>2931</v>
      </c>
      <c r="F2348" t="str">
        <f t="shared" si="991"/>
        <v>TUE</v>
      </c>
      <c r="G2348" s="3">
        <f t="shared" si="992"/>
        <v>43998</v>
      </c>
      <c r="H2348" s="2">
        <f t="shared" ca="1" si="993"/>
        <v>255</v>
      </c>
      <c r="I2348" t="str">
        <f t="shared" si="994"/>
        <v>SSEC</v>
      </c>
      <c r="J2348">
        <f t="shared" si="995"/>
        <v>2883</v>
      </c>
      <c r="K2348">
        <f t="shared" si="996"/>
        <v>2964</v>
      </c>
      <c r="L2348">
        <f t="shared" si="997"/>
        <v>2923.5</v>
      </c>
      <c r="M2348">
        <f t="shared" si="998"/>
        <v>40.5</v>
      </c>
      <c r="N2348">
        <f t="shared" si="977"/>
        <v>81</v>
      </c>
      <c r="O2348">
        <f t="shared" si="999"/>
        <v>2931</v>
      </c>
      <c r="P2348">
        <f t="shared" si="1000"/>
        <v>0.18518518518518517</v>
      </c>
      <c r="Q2348" t="str">
        <f t="shared" si="978"/>
        <v>1.64% | 1.13%</v>
      </c>
      <c r="R2348" t="str">
        <f t="shared" si="1001"/>
        <v>BEARISH</v>
      </c>
      <c r="S2348">
        <f t="shared" si="979"/>
        <v>-1</v>
      </c>
    </row>
    <row r="2349" spans="1:19" hidden="1" x14ac:dyDescent="0.25">
      <c r="A2349" s="5" t="str">
        <f t="shared" si="976"/>
        <v>43998NIKK</v>
      </c>
      <c r="B2349" s="6" t="s">
        <v>90</v>
      </c>
      <c r="C2349" s="6">
        <v>21605</v>
      </c>
      <c r="D2349" s="6">
        <v>22752</v>
      </c>
      <c r="E2349" s="6">
        <v>22582</v>
      </c>
      <c r="F2349" t="str">
        <f t="shared" si="991"/>
        <v>TUE</v>
      </c>
      <c r="G2349" s="3">
        <f t="shared" si="992"/>
        <v>43998</v>
      </c>
      <c r="H2349" s="2">
        <f t="shared" ca="1" si="993"/>
        <v>255</v>
      </c>
      <c r="I2349" t="str">
        <f t="shared" si="994"/>
        <v>NIKK</v>
      </c>
      <c r="J2349">
        <f t="shared" si="995"/>
        <v>21605</v>
      </c>
      <c r="K2349">
        <f t="shared" si="996"/>
        <v>22752</v>
      </c>
      <c r="L2349">
        <f t="shared" si="997"/>
        <v>22178.5</v>
      </c>
      <c r="M2349">
        <f t="shared" si="998"/>
        <v>573.5</v>
      </c>
      <c r="N2349">
        <f t="shared" si="977"/>
        <v>1147</v>
      </c>
      <c r="O2349">
        <f t="shared" si="999"/>
        <v>22582</v>
      </c>
      <c r="P2349">
        <f t="shared" si="1000"/>
        <v>0.70357454228421967</v>
      </c>
      <c r="Q2349" t="str">
        <f t="shared" si="978"/>
        <v>4.33% | 0.75%</v>
      </c>
      <c r="R2349" t="str">
        <f t="shared" si="1001"/>
        <v>NEUTRAL</v>
      </c>
      <c r="S2349">
        <f t="shared" si="979"/>
        <v>0</v>
      </c>
    </row>
    <row r="2350" spans="1:19" hidden="1" x14ac:dyDescent="0.25">
      <c r="A2350" s="5" t="str">
        <f t="shared" si="976"/>
        <v>43998DAX</v>
      </c>
      <c r="B2350" s="6" t="s">
        <v>16</v>
      </c>
      <c r="C2350" s="6">
        <v>11609</v>
      </c>
      <c r="D2350" s="6">
        <v>12496</v>
      </c>
      <c r="E2350" s="6">
        <v>11902</v>
      </c>
      <c r="F2350" t="str">
        <f t="shared" si="991"/>
        <v>TUE</v>
      </c>
      <c r="G2350" s="3">
        <f t="shared" si="992"/>
        <v>43998</v>
      </c>
      <c r="H2350" s="2">
        <f t="shared" ca="1" si="993"/>
        <v>255</v>
      </c>
      <c r="I2350" t="str">
        <f t="shared" si="994"/>
        <v>DAX</v>
      </c>
      <c r="J2350">
        <f t="shared" si="995"/>
        <v>11609</v>
      </c>
      <c r="K2350">
        <f t="shared" si="996"/>
        <v>12496</v>
      </c>
      <c r="L2350">
        <f t="shared" si="997"/>
        <v>12052.5</v>
      </c>
      <c r="M2350">
        <f t="shared" si="998"/>
        <v>443.5</v>
      </c>
      <c r="N2350">
        <f t="shared" si="977"/>
        <v>887</v>
      </c>
      <c r="O2350">
        <f t="shared" si="999"/>
        <v>11902</v>
      </c>
      <c r="P2350">
        <f t="shared" si="1000"/>
        <v>-0.33934611048478014</v>
      </c>
      <c r="Q2350" t="str">
        <f t="shared" si="978"/>
        <v>2.46% | 4.99%</v>
      </c>
      <c r="R2350" t="str">
        <f t="shared" si="1001"/>
        <v>BEARISH</v>
      </c>
      <c r="S2350">
        <f t="shared" si="979"/>
        <v>-1</v>
      </c>
    </row>
    <row r="2351" spans="1:19" hidden="1" x14ac:dyDescent="0.25">
      <c r="A2351" s="5" t="str">
        <f t="shared" si="976"/>
        <v>43998VIX</v>
      </c>
      <c r="B2351" s="6" t="s">
        <v>17</v>
      </c>
      <c r="C2351" s="6">
        <v>29.18</v>
      </c>
      <c r="D2351" s="6">
        <v>41.72</v>
      </c>
      <c r="E2351" s="6">
        <v>34.4</v>
      </c>
      <c r="F2351" t="str">
        <f t="shared" si="991"/>
        <v>TUE</v>
      </c>
      <c r="G2351" s="3">
        <f t="shared" si="992"/>
        <v>43998</v>
      </c>
      <c r="H2351" s="2">
        <f t="shared" ca="1" si="993"/>
        <v>255</v>
      </c>
      <c r="I2351" t="str">
        <f t="shared" si="994"/>
        <v>VIX</v>
      </c>
      <c r="J2351">
        <f t="shared" si="995"/>
        <v>29.18</v>
      </c>
      <c r="K2351">
        <f t="shared" si="996"/>
        <v>41.72</v>
      </c>
      <c r="L2351">
        <f t="shared" si="997"/>
        <v>35.450000000000003</v>
      </c>
      <c r="M2351">
        <f t="shared" si="998"/>
        <v>6.2699999999999916</v>
      </c>
      <c r="N2351">
        <f t="shared" si="977"/>
        <v>12.54</v>
      </c>
      <c r="O2351">
        <f t="shared" si="999"/>
        <v>34.4</v>
      </c>
      <c r="P2351">
        <f t="shared" si="1000"/>
        <v>-0.16746411483253679</v>
      </c>
      <c r="Q2351" t="str">
        <f t="shared" si="978"/>
        <v>15.17% | 21.28%</v>
      </c>
      <c r="R2351" t="str">
        <f t="shared" si="1001"/>
        <v>BULLISH</v>
      </c>
      <c r="S2351">
        <f t="shared" si="979"/>
        <v>1</v>
      </c>
    </row>
    <row r="2352" spans="1:19" hidden="1" x14ac:dyDescent="0.25">
      <c r="A2352" s="5" t="str">
        <f t="shared" si="976"/>
        <v>43998USD</v>
      </c>
      <c r="B2352" s="6" t="s">
        <v>94</v>
      </c>
      <c r="C2352" s="6">
        <v>95.82</v>
      </c>
      <c r="D2352" s="6">
        <v>98.02</v>
      </c>
      <c r="E2352" s="6">
        <v>96.65</v>
      </c>
      <c r="F2352" t="str">
        <f t="shared" si="991"/>
        <v>TUE</v>
      </c>
      <c r="G2352" s="3">
        <f t="shared" si="992"/>
        <v>43998</v>
      </c>
      <c r="H2352" s="2">
        <f t="shared" ca="1" si="993"/>
        <v>255</v>
      </c>
      <c r="I2352" t="str">
        <f t="shared" si="994"/>
        <v>USD</v>
      </c>
      <c r="J2352">
        <f t="shared" si="995"/>
        <v>95.82</v>
      </c>
      <c r="K2352">
        <f t="shared" si="996"/>
        <v>98.02</v>
      </c>
      <c r="L2352">
        <f t="shared" si="997"/>
        <v>96.919999999999987</v>
      </c>
      <c r="M2352">
        <f t="shared" si="998"/>
        <v>1.1000000000000014</v>
      </c>
      <c r="N2352">
        <f t="shared" si="977"/>
        <v>2.2000000000000028</v>
      </c>
      <c r="O2352">
        <f t="shared" si="999"/>
        <v>96.65</v>
      </c>
      <c r="P2352">
        <f t="shared" si="1000"/>
        <v>-0.24545454545452861</v>
      </c>
      <c r="Q2352" t="str">
        <f t="shared" si="978"/>
        <v>0.86% | 1.42%</v>
      </c>
      <c r="R2352" t="str">
        <f t="shared" si="1001"/>
        <v>BEARISH</v>
      </c>
      <c r="S2352">
        <f t="shared" si="979"/>
        <v>-1</v>
      </c>
    </row>
    <row r="2353" spans="1:19" hidden="1" x14ac:dyDescent="0.25">
      <c r="A2353" s="5" t="str">
        <f t="shared" si="976"/>
        <v>43998EUR/USD</v>
      </c>
      <c r="B2353" s="6" t="s">
        <v>77</v>
      </c>
      <c r="C2353" s="6">
        <v>1.1100000000000001</v>
      </c>
      <c r="D2353" s="6">
        <v>1.1399999999999999</v>
      </c>
      <c r="E2353" s="6">
        <v>1.1299999999999999</v>
      </c>
      <c r="F2353" t="str">
        <f t="shared" si="991"/>
        <v>TUE</v>
      </c>
      <c r="G2353" s="3">
        <f t="shared" si="992"/>
        <v>43998</v>
      </c>
      <c r="H2353" s="2">
        <f t="shared" ca="1" si="993"/>
        <v>255</v>
      </c>
      <c r="I2353" t="str">
        <f t="shared" si="994"/>
        <v>EUR/USD</v>
      </c>
      <c r="J2353">
        <f t="shared" si="995"/>
        <v>1.1100000000000001</v>
      </c>
      <c r="K2353">
        <f t="shared" si="996"/>
        <v>1.1399999999999999</v>
      </c>
      <c r="L2353">
        <f t="shared" si="997"/>
        <v>1.125</v>
      </c>
      <c r="M2353">
        <f t="shared" si="998"/>
        <v>1.4999999999999902E-2</v>
      </c>
      <c r="N2353">
        <f t="shared" si="977"/>
        <v>2.9999999999999805E-2</v>
      </c>
      <c r="O2353">
        <f t="shared" si="999"/>
        <v>1.1299999999999999</v>
      </c>
      <c r="P2353">
        <f t="shared" si="1000"/>
        <v>0.33333333333332837</v>
      </c>
      <c r="Q2353" t="str">
        <f t="shared" si="978"/>
        <v>1.77% | 0.88%</v>
      </c>
      <c r="R2353" t="str">
        <f t="shared" si="1001"/>
        <v>NEUTRAL</v>
      </c>
      <c r="S2353">
        <f t="shared" si="979"/>
        <v>0</v>
      </c>
    </row>
    <row r="2354" spans="1:19" hidden="1" x14ac:dyDescent="0.25">
      <c r="A2354" s="5" t="str">
        <f t="shared" si="976"/>
        <v>43998USD/JPY</v>
      </c>
      <c r="B2354" s="6" t="s">
        <v>86</v>
      </c>
      <c r="C2354" s="6">
        <v>106.27</v>
      </c>
      <c r="D2354" s="6">
        <v>110.05</v>
      </c>
      <c r="E2354" s="6">
        <v>107.37</v>
      </c>
      <c r="F2354" t="str">
        <f t="shared" si="991"/>
        <v>TUE</v>
      </c>
      <c r="G2354" s="3">
        <f t="shared" si="992"/>
        <v>43998</v>
      </c>
      <c r="H2354" s="2">
        <f t="shared" ca="1" si="993"/>
        <v>255</v>
      </c>
      <c r="I2354" t="str">
        <f t="shared" si="994"/>
        <v>USD/JPY</v>
      </c>
      <c r="J2354">
        <f t="shared" si="995"/>
        <v>106.27</v>
      </c>
      <c r="K2354">
        <f t="shared" si="996"/>
        <v>110.05</v>
      </c>
      <c r="L2354">
        <f t="shared" si="997"/>
        <v>108.16</v>
      </c>
      <c r="M2354">
        <f t="shared" si="998"/>
        <v>1.8900000000000006</v>
      </c>
      <c r="N2354">
        <f t="shared" si="977"/>
        <v>3.7800000000000011</v>
      </c>
      <c r="O2354">
        <f t="shared" si="999"/>
        <v>107.37</v>
      </c>
      <c r="P2354">
        <f t="shared" si="1000"/>
        <v>-0.41798941798941364</v>
      </c>
      <c r="Q2354" t="str">
        <f t="shared" si="978"/>
        <v>1.02% | 2.5%</v>
      </c>
      <c r="R2354" t="str">
        <f t="shared" si="1001"/>
        <v>NEUTRAL</v>
      </c>
      <c r="S2354">
        <f t="shared" si="979"/>
        <v>0</v>
      </c>
    </row>
    <row r="2355" spans="1:19" hidden="1" x14ac:dyDescent="0.25">
      <c r="A2355" s="5" t="str">
        <f t="shared" si="976"/>
        <v>43998GBP/USD</v>
      </c>
      <c r="B2355" s="6" t="s">
        <v>102</v>
      </c>
      <c r="C2355" s="6">
        <v>1.23</v>
      </c>
      <c r="D2355" s="6">
        <v>1.27</v>
      </c>
      <c r="E2355" s="6">
        <v>1.26</v>
      </c>
      <c r="F2355" t="str">
        <f t="shared" si="991"/>
        <v>TUE</v>
      </c>
      <c r="G2355" s="3">
        <f t="shared" si="992"/>
        <v>43998</v>
      </c>
      <c r="H2355" s="2">
        <f t="shared" ca="1" si="993"/>
        <v>255</v>
      </c>
      <c r="I2355" t="str">
        <f t="shared" si="994"/>
        <v>GBP/USD</v>
      </c>
      <c r="J2355">
        <f t="shared" si="995"/>
        <v>1.23</v>
      </c>
      <c r="K2355">
        <f t="shared" si="996"/>
        <v>1.27</v>
      </c>
      <c r="L2355">
        <f t="shared" si="997"/>
        <v>1.25</v>
      </c>
      <c r="M2355">
        <f t="shared" si="998"/>
        <v>2.0000000000000018E-2</v>
      </c>
      <c r="N2355">
        <f t="shared" si="977"/>
        <v>4.0000000000000036E-2</v>
      </c>
      <c r="O2355">
        <f t="shared" si="999"/>
        <v>1.26</v>
      </c>
      <c r="P2355">
        <f t="shared" si="1000"/>
        <v>0.5</v>
      </c>
      <c r="Q2355" t="str">
        <f t="shared" si="978"/>
        <v>2.38% | 0.79%</v>
      </c>
      <c r="R2355" t="str">
        <f t="shared" si="1001"/>
        <v>BULLISH</v>
      </c>
      <c r="S2355">
        <f t="shared" si="979"/>
        <v>1</v>
      </c>
    </row>
    <row r="2356" spans="1:19" hidden="1" x14ac:dyDescent="0.25">
      <c r="A2356" s="5" t="str">
        <f t="shared" si="976"/>
        <v>43998USD/CHF</v>
      </c>
      <c r="B2356" s="6" t="s">
        <v>76</v>
      </c>
      <c r="C2356" s="6">
        <v>0.94</v>
      </c>
      <c r="D2356" s="6">
        <v>0.96</v>
      </c>
      <c r="E2356" s="6">
        <v>0.94</v>
      </c>
      <c r="F2356" t="str">
        <f t="shared" si="991"/>
        <v>TUE</v>
      </c>
      <c r="G2356" s="3">
        <f t="shared" si="992"/>
        <v>43998</v>
      </c>
      <c r="H2356" s="2">
        <f t="shared" ca="1" si="993"/>
        <v>255</v>
      </c>
      <c r="I2356" t="str">
        <f t="shared" si="994"/>
        <v>USD/CHF</v>
      </c>
      <c r="J2356">
        <f t="shared" si="995"/>
        <v>0.94</v>
      </c>
      <c r="K2356">
        <f t="shared" si="996"/>
        <v>0.96</v>
      </c>
      <c r="L2356">
        <f t="shared" si="997"/>
        <v>0.95</v>
      </c>
      <c r="M2356">
        <f t="shared" si="998"/>
        <v>1.0000000000000009E-2</v>
      </c>
      <c r="N2356">
        <f t="shared" si="977"/>
        <v>2.0000000000000018E-2</v>
      </c>
      <c r="O2356">
        <f t="shared" si="999"/>
        <v>0.94</v>
      </c>
      <c r="P2356">
        <f t="shared" si="1000"/>
        <v>-1</v>
      </c>
      <c r="Q2356" t="str">
        <f t="shared" si="978"/>
        <v>0% | 2.13%</v>
      </c>
      <c r="R2356" t="str">
        <f t="shared" si="1001"/>
        <v>BEARISH</v>
      </c>
      <c r="S2356">
        <f t="shared" si="979"/>
        <v>-1</v>
      </c>
    </row>
    <row r="2357" spans="1:19" hidden="1" x14ac:dyDescent="0.25">
      <c r="A2357" s="5" t="str">
        <f t="shared" si="976"/>
        <v>43998WTIC</v>
      </c>
      <c r="B2357" s="6" t="s">
        <v>23</v>
      </c>
      <c r="C2357" s="6">
        <v>33.6</v>
      </c>
      <c r="D2357" s="6">
        <v>40.369999999999997</v>
      </c>
      <c r="E2357" s="6">
        <v>37.119999999999997</v>
      </c>
      <c r="F2357" t="str">
        <f t="shared" si="991"/>
        <v>TUE</v>
      </c>
      <c r="G2357" s="3">
        <f t="shared" si="992"/>
        <v>43998</v>
      </c>
      <c r="H2357" s="2">
        <f t="shared" ca="1" si="993"/>
        <v>255</v>
      </c>
      <c r="I2357" t="str">
        <f t="shared" si="994"/>
        <v>WTIC</v>
      </c>
      <c r="J2357">
        <f t="shared" si="995"/>
        <v>33.6</v>
      </c>
      <c r="K2357">
        <f t="shared" si="996"/>
        <v>40.369999999999997</v>
      </c>
      <c r="L2357">
        <f t="shared" si="997"/>
        <v>36.984999999999999</v>
      </c>
      <c r="M2357">
        <f t="shared" si="998"/>
        <v>3.384999999999998</v>
      </c>
      <c r="N2357">
        <f t="shared" si="977"/>
        <v>6.769999999999996</v>
      </c>
      <c r="O2357">
        <f t="shared" si="999"/>
        <v>37.119999999999997</v>
      </c>
      <c r="P2357">
        <f t="shared" si="1000"/>
        <v>3.9881831610043751E-2</v>
      </c>
      <c r="Q2357" t="str">
        <f t="shared" si="978"/>
        <v>9.48% | 8.76%</v>
      </c>
      <c r="R2357" t="str">
        <f t="shared" si="1001"/>
        <v>BEARISH</v>
      </c>
      <c r="S2357">
        <f t="shared" si="979"/>
        <v>-1</v>
      </c>
    </row>
    <row r="2358" spans="1:19" hidden="1" x14ac:dyDescent="0.25">
      <c r="A2358" s="5" t="str">
        <f t="shared" si="976"/>
        <v>43998NATGAS</v>
      </c>
      <c r="B2358" s="6" t="s">
        <v>24</v>
      </c>
      <c r="C2358" s="6">
        <v>1.65</v>
      </c>
      <c r="D2358" s="6">
        <v>1.84</v>
      </c>
      <c r="E2358" s="6">
        <v>1.67</v>
      </c>
      <c r="F2358" t="str">
        <f t="shared" si="991"/>
        <v>TUE</v>
      </c>
      <c r="G2358" s="3">
        <f t="shared" si="992"/>
        <v>43998</v>
      </c>
      <c r="H2358" s="2">
        <f t="shared" ca="1" si="993"/>
        <v>255</v>
      </c>
      <c r="I2358" t="str">
        <f t="shared" si="994"/>
        <v>NATGAS</v>
      </c>
      <c r="J2358">
        <f t="shared" si="995"/>
        <v>1.65</v>
      </c>
      <c r="K2358">
        <f t="shared" si="996"/>
        <v>1.84</v>
      </c>
      <c r="L2358">
        <f t="shared" si="997"/>
        <v>1.7450000000000001</v>
      </c>
      <c r="M2358">
        <f t="shared" si="998"/>
        <v>9.5000000000000084E-2</v>
      </c>
      <c r="N2358">
        <f t="shared" si="977"/>
        <v>0.19000000000000017</v>
      </c>
      <c r="O2358">
        <f t="shared" si="999"/>
        <v>1.67</v>
      </c>
      <c r="P2358">
        <f t="shared" si="1000"/>
        <v>-0.78947368421052744</v>
      </c>
      <c r="Q2358" t="str">
        <f t="shared" si="978"/>
        <v>1.2% | 10.18%</v>
      </c>
      <c r="R2358" t="str">
        <f t="shared" si="1001"/>
        <v>BEARISH</v>
      </c>
      <c r="S2358">
        <f t="shared" si="979"/>
        <v>-1</v>
      </c>
    </row>
    <row r="2359" spans="1:19" hidden="1" x14ac:dyDescent="0.25">
      <c r="A2359" s="5" t="str">
        <f t="shared" si="976"/>
        <v>43998GOLD</v>
      </c>
      <c r="B2359" s="6" t="s">
        <v>25</v>
      </c>
      <c r="C2359" s="6">
        <v>1685</v>
      </c>
      <c r="D2359" s="6">
        <v>1754</v>
      </c>
      <c r="E2359" s="6">
        <v>1727</v>
      </c>
      <c r="F2359" t="str">
        <f t="shared" si="991"/>
        <v>TUE</v>
      </c>
      <c r="G2359" s="3">
        <f t="shared" si="992"/>
        <v>43998</v>
      </c>
      <c r="H2359" s="2">
        <f t="shared" ca="1" si="993"/>
        <v>255</v>
      </c>
      <c r="I2359" t="str">
        <f t="shared" si="994"/>
        <v>GOLD</v>
      </c>
      <c r="J2359">
        <f t="shared" si="995"/>
        <v>1685</v>
      </c>
      <c r="K2359">
        <f t="shared" si="996"/>
        <v>1754</v>
      </c>
      <c r="L2359">
        <f t="shared" si="997"/>
        <v>1719.5</v>
      </c>
      <c r="M2359">
        <f t="shared" si="998"/>
        <v>34.5</v>
      </c>
      <c r="N2359">
        <f t="shared" si="977"/>
        <v>69</v>
      </c>
      <c r="O2359">
        <f t="shared" si="999"/>
        <v>1727</v>
      </c>
      <c r="P2359">
        <f t="shared" si="1000"/>
        <v>0.21739130434782608</v>
      </c>
      <c r="Q2359" t="str">
        <f t="shared" si="978"/>
        <v>2.43% | 1.56%</v>
      </c>
      <c r="R2359" t="str">
        <f t="shared" si="1001"/>
        <v>BULLISH</v>
      </c>
      <c r="S2359">
        <f t="shared" si="979"/>
        <v>1</v>
      </c>
    </row>
    <row r="2360" spans="1:19" hidden="1" x14ac:dyDescent="0.25">
      <c r="A2360" s="5" t="str">
        <f t="shared" si="976"/>
        <v>43998COPPER</v>
      </c>
      <c r="B2360" s="6" t="s">
        <v>100</v>
      </c>
      <c r="C2360" s="6">
        <v>2.4700000000000002</v>
      </c>
      <c r="D2360" s="6">
        <v>2.67</v>
      </c>
      <c r="E2360" s="6">
        <v>2.57</v>
      </c>
      <c r="F2360" t="str">
        <f t="shared" si="991"/>
        <v>TUE</v>
      </c>
      <c r="G2360" s="3">
        <f t="shared" si="992"/>
        <v>43998</v>
      </c>
      <c r="H2360" s="2">
        <f t="shared" ca="1" si="993"/>
        <v>255</v>
      </c>
      <c r="I2360" t="str">
        <f t="shared" si="994"/>
        <v>COPPER</v>
      </c>
      <c r="J2360">
        <f t="shared" si="995"/>
        <v>2.4700000000000002</v>
      </c>
      <c r="K2360">
        <f t="shared" si="996"/>
        <v>2.67</v>
      </c>
      <c r="L2360">
        <f t="shared" si="997"/>
        <v>2.5700000000000003</v>
      </c>
      <c r="M2360">
        <f t="shared" si="998"/>
        <v>9.9999999999999867E-2</v>
      </c>
      <c r="N2360">
        <f t="shared" si="977"/>
        <v>0.19999999999999973</v>
      </c>
      <c r="O2360">
        <f t="shared" si="999"/>
        <v>2.57</v>
      </c>
      <c r="P2360">
        <f t="shared" si="1000"/>
        <v>-4.4408920985006325E-15</v>
      </c>
      <c r="Q2360" t="str">
        <f t="shared" si="978"/>
        <v>3.89% | 3.89%</v>
      </c>
      <c r="R2360" t="str">
        <f t="shared" si="1001"/>
        <v>BULLISH</v>
      </c>
      <c r="S2360">
        <f t="shared" si="979"/>
        <v>1</v>
      </c>
    </row>
    <row r="2361" spans="1:19" hidden="1" x14ac:dyDescent="0.25">
      <c r="A2361" s="5" t="str">
        <f t="shared" si="976"/>
        <v>43998MSFT</v>
      </c>
      <c r="B2361" s="6" t="s">
        <v>27</v>
      </c>
      <c r="C2361" s="6">
        <v>180</v>
      </c>
      <c r="D2361" s="6">
        <v>195</v>
      </c>
      <c r="E2361" s="6">
        <v>188</v>
      </c>
      <c r="F2361" t="str">
        <f t="shared" si="991"/>
        <v>TUE</v>
      </c>
      <c r="G2361" s="3">
        <f t="shared" si="992"/>
        <v>43998</v>
      </c>
      <c r="H2361" s="2">
        <f t="shared" ca="1" si="993"/>
        <v>255</v>
      </c>
      <c r="I2361" t="str">
        <f t="shared" si="994"/>
        <v>MSFT</v>
      </c>
      <c r="J2361">
        <f t="shared" si="995"/>
        <v>180</v>
      </c>
      <c r="K2361">
        <f t="shared" si="996"/>
        <v>195</v>
      </c>
      <c r="L2361">
        <f t="shared" si="997"/>
        <v>187.5</v>
      </c>
      <c r="M2361">
        <f t="shared" si="998"/>
        <v>7.5</v>
      </c>
      <c r="N2361">
        <f t="shared" si="977"/>
        <v>15</v>
      </c>
      <c r="O2361">
        <f t="shared" si="999"/>
        <v>188</v>
      </c>
      <c r="P2361">
        <f t="shared" si="1000"/>
        <v>6.6666666666666666E-2</v>
      </c>
      <c r="Q2361" t="str">
        <f t="shared" si="978"/>
        <v>4.26% | 3.72%</v>
      </c>
      <c r="R2361" t="str">
        <f t="shared" si="1001"/>
        <v>BULLISH</v>
      </c>
      <c r="S2361">
        <f t="shared" si="979"/>
        <v>1</v>
      </c>
    </row>
    <row r="2362" spans="1:19" hidden="1" x14ac:dyDescent="0.25">
      <c r="A2362" s="5" t="str">
        <f t="shared" si="976"/>
        <v>43998AAPL</v>
      </c>
      <c r="B2362" s="6" t="s">
        <v>28</v>
      </c>
      <c r="C2362" s="6">
        <v>321</v>
      </c>
      <c r="D2362" s="6">
        <v>357</v>
      </c>
      <c r="E2362" s="6">
        <v>342</v>
      </c>
      <c r="F2362" t="str">
        <f t="shared" si="991"/>
        <v>TUE</v>
      </c>
      <c r="G2362" s="3">
        <f t="shared" si="992"/>
        <v>43998</v>
      </c>
      <c r="H2362" s="2">
        <f t="shared" ca="1" si="993"/>
        <v>255</v>
      </c>
      <c r="I2362" t="str">
        <f t="shared" si="994"/>
        <v>AAPL</v>
      </c>
      <c r="J2362">
        <f t="shared" si="995"/>
        <v>321</v>
      </c>
      <c r="K2362">
        <f t="shared" si="996"/>
        <v>357</v>
      </c>
      <c r="L2362">
        <f t="shared" si="997"/>
        <v>339</v>
      </c>
      <c r="M2362">
        <f t="shared" si="998"/>
        <v>18</v>
      </c>
      <c r="N2362">
        <f t="shared" si="977"/>
        <v>36</v>
      </c>
      <c r="O2362">
        <f t="shared" si="999"/>
        <v>342</v>
      </c>
      <c r="P2362">
        <f t="shared" si="1000"/>
        <v>0.16666666666666666</v>
      </c>
      <c r="Q2362" t="str">
        <f t="shared" si="978"/>
        <v>6.14% | 4.39%</v>
      </c>
      <c r="R2362" t="str">
        <f t="shared" si="1001"/>
        <v>BULLISH</v>
      </c>
      <c r="S2362">
        <f t="shared" si="979"/>
        <v>1</v>
      </c>
    </row>
    <row r="2363" spans="1:19" hidden="1" x14ac:dyDescent="0.25">
      <c r="A2363" s="5" t="str">
        <f t="shared" si="976"/>
        <v>43998AMZN</v>
      </c>
      <c r="B2363" s="6" t="s">
        <v>29</v>
      </c>
      <c r="C2363" s="6">
        <v>2415</v>
      </c>
      <c r="D2363" s="6">
        <v>2660</v>
      </c>
      <c r="E2363" s="6">
        <v>2572</v>
      </c>
      <c r="F2363" t="str">
        <f t="shared" si="991"/>
        <v>TUE</v>
      </c>
      <c r="G2363" s="3">
        <f t="shared" si="992"/>
        <v>43998</v>
      </c>
      <c r="H2363" s="2">
        <f t="shared" ca="1" si="993"/>
        <v>255</v>
      </c>
      <c r="I2363" t="str">
        <f t="shared" si="994"/>
        <v>AMZN</v>
      </c>
      <c r="J2363">
        <f t="shared" si="995"/>
        <v>2415</v>
      </c>
      <c r="K2363">
        <f t="shared" si="996"/>
        <v>2660</v>
      </c>
      <c r="L2363">
        <f t="shared" si="997"/>
        <v>2537.5</v>
      </c>
      <c r="M2363">
        <f t="shared" si="998"/>
        <v>122.5</v>
      </c>
      <c r="N2363">
        <f t="shared" si="977"/>
        <v>245</v>
      </c>
      <c r="O2363">
        <f t="shared" si="999"/>
        <v>2572</v>
      </c>
      <c r="P2363">
        <f t="shared" si="1000"/>
        <v>0.28163265306122448</v>
      </c>
      <c r="Q2363" t="str">
        <f t="shared" si="978"/>
        <v>6.1% | 3.42%</v>
      </c>
      <c r="R2363" t="str">
        <f t="shared" si="1001"/>
        <v>BULLISH</v>
      </c>
      <c r="S2363">
        <f t="shared" si="979"/>
        <v>1</v>
      </c>
    </row>
    <row r="2364" spans="1:19" hidden="1" x14ac:dyDescent="0.25">
      <c r="A2364" s="5" t="str">
        <f t="shared" si="976"/>
        <v>43998FB</v>
      </c>
      <c r="B2364" s="6" t="s">
        <v>30</v>
      </c>
      <c r="C2364" s="6">
        <v>221</v>
      </c>
      <c r="D2364" s="6">
        <v>241</v>
      </c>
      <c r="E2364" s="6">
        <v>232</v>
      </c>
      <c r="F2364" t="str">
        <f t="shared" si="991"/>
        <v>TUE</v>
      </c>
      <c r="G2364" s="3">
        <f t="shared" si="992"/>
        <v>43998</v>
      </c>
      <c r="H2364" s="2">
        <f t="shared" ca="1" si="993"/>
        <v>255</v>
      </c>
      <c r="I2364" t="str">
        <f t="shared" si="994"/>
        <v>FB</v>
      </c>
      <c r="J2364">
        <f t="shared" si="995"/>
        <v>221</v>
      </c>
      <c r="K2364">
        <f t="shared" si="996"/>
        <v>241</v>
      </c>
      <c r="L2364">
        <f t="shared" si="997"/>
        <v>231</v>
      </c>
      <c r="M2364">
        <f t="shared" si="998"/>
        <v>10</v>
      </c>
      <c r="N2364">
        <f t="shared" si="977"/>
        <v>20</v>
      </c>
      <c r="O2364">
        <f t="shared" si="999"/>
        <v>232</v>
      </c>
      <c r="P2364">
        <f t="shared" si="1000"/>
        <v>0.1</v>
      </c>
      <c r="Q2364" t="str">
        <f t="shared" si="978"/>
        <v>4.74% | 3.88%</v>
      </c>
      <c r="R2364" t="str">
        <f t="shared" si="1001"/>
        <v>BULLISH</v>
      </c>
      <c r="S2364">
        <f t="shared" si="979"/>
        <v>1</v>
      </c>
    </row>
    <row r="2365" spans="1:19" hidden="1" x14ac:dyDescent="0.25">
      <c r="A2365" s="5" t="str">
        <f t="shared" si="976"/>
        <v>43998GOOGL</v>
      </c>
      <c r="B2365" s="6" t="s">
        <v>31</v>
      </c>
      <c r="C2365" s="6">
        <v>1382</v>
      </c>
      <c r="D2365" s="6">
        <v>1474</v>
      </c>
      <c r="E2365" s="6">
        <v>1420</v>
      </c>
      <c r="F2365" t="str">
        <f t="shared" si="991"/>
        <v>TUE</v>
      </c>
      <c r="G2365" s="3">
        <f t="shared" si="992"/>
        <v>43998</v>
      </c>
      <c r="H2365" s="2">
        <f t="shared" ca="1" si="993"/>
        <v>255</v>
      </c>
      <c r="I2365" t="str">
        <f t="shared" si="994"/>
        <v>GOOGL</v>
      </c>
      <c r="J2365">
        <f t="shared" si="995"/>
        <v>1382</v>
      </c>
      <c r="K2365">
        <f t="shared" si="996"/>
        <v>1474</v>
      </c>
      <c r="L2365">
        <f t="shared" si="997"/>
        <v>1428</v>
      </c>
      <c r="M2365">
        <f t="shared" si="998"/>
        <v>46</v>
      </c>
      <c r="N2365">
        <f t="shared" si="977"/>
        <v>92</v>
      </c>
      <c r="O2365">
        <f t="shared" si="999"/>
        <v>1420</v>
      </c>
      <c r="P2365">
        <f t="shared" si="1000"/>
        <v>-0.17391304347826086</v>
      </c>
      <c r="Q2365" t="str">
        <f t="shared" si="978"/>
        <v>2.68% | 3.8%</v>
      </c>
      <c r="R2365" t="str">
        <f t="shared" si="1001"/>
        <v>BULLISH</v>
      </c>
      <c r="S2365">
        <f t="shared" si="979"/>
        <v>1</v>
      </c>
    </row>
    <row r="2366" spans="1:19" hidden="1" x14ac:dyDescent="0.25">
      <c r="A2366" s="5" t="str">
        <f t="shared" si="976"/>
        <v>43998NFLX</v>
      </c>
      <c r="B2366" s="6" t="s">
        <v>32</v>
      </c>
      <c r="C2366" s="6">
        <v>407</v>
      </c>
      <c r="D2366" s="6">
        <v>438</v>
      </c>
      <c r="E2366" s="6">
        <v>425</v>
      </c>
      <c r="F2366" t="str">
        <f t="shared" si="991"/>
        <v>TUE</v>
      </c>
      <c r="G2366" s="3">
        <f t="shared" si="992"/>
        <v>43998</v>
      </c>
      <c r="H2366" s="2">
        <f t="shared" ca="1" si="993"/>
        <v>255</v>
      </c>
      <c r="I2366" t="str">
        <f t="shared" si="994"/>
        <v>NFLX</v>
      </c>
      <c r="J2366">
        <f t="shared" si="995"/>
        <v>407</v>
      </c>
      <c r="K2366">
        <f t="shared" si="996"/>
        <v>438</v>
      </c>
      <c r="L2366">
        <f t="shared" si="997"/>
        <v>422.5</v>
      </c>
      <c r="M2366">
        <f t="shared" si="998"/>
        <v>15.5</v>
      </c>
      <c r="N2366">
        <f t="shared" si="977"/>
        <v>31</v>
      </c>
      <c r="O2366">
        <f t="shared" si="999"/>
        <v>425</v>
      </c>
      <c r="P2366">
        <f t="shared" si="1000"/>
        <v>0.16129032258064516</v>
      </c>
      <c r="Q2366" t="str">
        <f t="shared" si="978"/>
        <v>4.24% | 3.06%</v>
      </c>
      <c r="R2366" t="str">
        <f t="shared" si="1001"/>
        <v>BULLISH</v>
      </c>
      <c r="S2366">
        <f t="shared" si="979"/>
        <v>1</v>
      </c>
    </row>
    <row r="2367" spans="1:19" x14ac:dyDescent="0.25">
      <c r="A2367" s="5" t="str">
        <f t="shared" si="976"/>
        <v>43998TSLA</v>
      </c>
      <c r="B2367" s="6" t="s">
        <v>33</v>
      </c>
      <c r="C2367" s="6">
        <v>827</v>
      </c>
      <c r="D2367" s="6">
        <v>1045</v>
      </c>
      <c r="E2367" s="6">
        <v>990</v>
      </c>
      <c r="F2367" t="str">
        <f t="shared" si="991"/>
        <v>TUE</v>
      </c>
      <c r="G2367" s="3">
        <f t="shared" si="992"/>
        <v>43998</v>
      </c>
      <c r="H2367" s="2">
        <f t="shared" ca="1" si="993"/>
        <v>255</v>
      </c>
      <c r="I2367" t="str">
        <f t="shared" si="994"/>
        <v>TSLA</v>
      </c>
      <c r="J2367">
        <f t="shared" si="995"/>
        <v>827</v>
      </c>
      <c r="K2367">
        <f t="shared" si="996"/>
        <v>1045</v>
      </c>
      <c r="L2367">
        <f t="shared" si="997"/>
        <v>936</v>
      </c>
      <c r="M2367">
        <f t="shared" si="998"/>
        <v>109</v>
      </c>
      <c r="N2367">
        <f t="shared" si="977"/>
        <v>218</v>
      </c>
      <c r="O2367">
        <f t="shared" si="999"/>
        <v>990</v>
      </c>
      <c r="P2367">
        <f t="shared" si="1000"/>
        <v>0.49541284403669728</v>
      </c>
      <c r="Q2367" t="str">
        <f t="shared" si="978"/>
        <v>16.46% | 5.56%</v>
      </c>
      <c r="R2367" t="str">
        <f t="shared" si="1001"/>
        <v>BULLISH</v>
      </c>
      <c r="S2367">
        <f t="shared" si="979"/>
        <v>1</v>
      </c>
    </row>
    <row r="2368" spans="1:19" hidden="1" x14ac:dyDescent="0.25">
      <c r="A2368" s="5" t="str">
        <f t="shared" si="976"/>
        <v>43998NYXBT</v>
      </c>
      <c r="B2368" s="6" t="s">
        <v>34</v>
      </c>
      <c r="C2368" s="6">
        <v>9103</v>
      </c>
      <c r="D2368" s="6">
        <v>9962</v>
      </c>
      <c r="E2368" s="6">
        <v>9199</v>
      </c>
      <c r="F2368" t="str">
        <f t="shared" si="991"/>
        <v>TUE</v>
      </c>
      <c r="G2368" s="3">
        <f t="shared" si="992"/>
        <v>43998</v>
      </c>
      <c r="H2368" s="2">
        <f t="shared" ca="1" si="993"/>
        <v>255</v>
      </c>
      <c r="I2368" t="str">
        <f t="shared" si="994"/>
        <v>NYXBT</v>
      </c>
      <c r="J2368">
        <f t="shared" si="995"/>
        <v>9103</v>
      </c>
      <c r="K2368">
        <f t="shared" si="996"/>
        <v>9962</v>
      </c>
      <c r="L2368">
        <f t="shared" si="997"/>
        <v>9532.5</v>
      </c>
      <c r="M2368">
        <f t="shared" si="998"/>
        <v>429.5</v>
      </c>
      <c r="N2368">
        <f t="shared" si="977"/>
        <v>859</v>
      </c>
      <c r="O2368">
        <f t="shared" si="999"/>
        <v>9199</v>
      </c>
      <c r="P2368">
        <f t="shared" si="1000"/>
        <v>-0.77648428405122238</v>
      </c>
      <c r="Q2368" t="str">
        <f t="shared" si="978"/>
        <v>1.04% | 8.29%</v>
      </c>
      <c r="R2368" t="str">
        <f t="shared" si="1001"/>
        <v>BULLISH</v>
      </c>
      <c r="S2368">
        <f t="shared" si="979"/>
        <v>1</v>
      </c>
    </row>
    <row r="2369" spans="1:19" hidden="1" x14ac:dyDescent="0.25">
      <c r="A2369" s="5" t="str">
        <f t="shared" si="976"/>
        <v>43999UST10Y</v>
      </c>
      <c r="B2369" s="6" t="s">
        <v>4</v>
      </c>
      <c r="C2369" s="6">
        <v>0.87</v>
      </c>
      <c r="D2369" s="6">
        <v>0.62</v>
      </c>
      <c r="E2369" s="6">
        <v>0.75</v>
      </c>
      <c r="F2369" t="str">
        <f t="shared" si="991"/>
        <v>WED</v>
      </c>
      <c r="G2369" s="1">
        <f>DATE(2020,6,17)</f>
        <v>43999</v>
      </c>
      <c r="H2369" s="2">
        <f t="shared" ca="1" si="993"/>
        <v>254</v>
      </c>
      <c r="I2369" t="str">
        <f t="shared" si="994"/>
        <v>UST10Y</v>
      </c>
      <c r="J2369">
        <f t="shared" si="995"/>
        <v>0.87</v>
      </c>
      <c r="K2369">
        <f t="shared" si="996"/>
        <v>0.62</v>
      </c>
      <c r="L2369">
        <f t="shared" si="997"/>
        <v>0.745</v>
      </c>
      <c r="M2369">
        <f t="shared" si="998"/>
        <v>0.125</v>
      </c>
      <c r="N2369">
        <f t="shared" si="977"/>
        <v>0.25</v>
      </c>
      <c r="O2369">
        <f t="shared" si="999"/>
        <v>0.75</v>
      </c>
      <c r="P2369">
        <f t="shared" si="1000"/>
        <v>4.0000000000000036E-2</v>
      </c>
      <c r="Q2369" t="str">
        <f t="shared" si="978"/>
        <v>16% | 17.33%</v>
      </c>
      <c r="R2369" t="str">
        <f t="shared" si="1001"/>
        <v>BEARISH</v>
      </c>
      <c r="S2369">
        <f t="shared" si="979"/>
        <v>-1</v>
      </c>
    </row>
    <row r="2370" spans="1:19" hidden="1" x14ac:dyDescent="0.25">
      <c r="A2370" s="5" t="str">
        <f t="shared" si="976"/>
        <v>43999UST2Y</v>
      </c>
      <c r="B2370" s="6" t="s">
        <v>5</v>
      </c>
      <c r="C2370" s="6">
        <v>0.23</v>
      </c>
      <c r="D2370" s="6">
        <v>0.15</v>
      </c>
      <c r="E2370" s="6">
        <v>0.21</v>
      </c>
      <c r="F2370" t="str">
        <f t="shared" ref="F2370:F2399" si="1002">UPPER(TEXT(G2370,"ddd"))</f>
        <v>WED</v>
      </c>
      <c r="G2370" s="1">
        <f t="shared" ref="G2370:G2398" si="1003">DATE(2020,6,17)</f>
        <v>43999</v>
      </c>
      <c r="H2370" s="2">
        <f t="shared" ref="H2370:H2399" ca="1" si="1004">TODAY()-G2370</f>
        <v>254</v>
      </c>
      <c r="I2370" t="str">
        <f t="shared" ref="I2370:I2399" si="1005">TRIM(LEFT(B2370,FIND(" ",B2370,1)))</f>
        <v>UST2Y</v>
      </c>
      <c r="J2370">
        <f t="shared" ref="J2370:J2399" si="1006">C2370</f>
        <v>0.23</v>
      </c>
      <c r="K2370">
        <f t="shared" ref="K2370:K2399" si="1007">D2370</f>
        <v>0.15</v>
      </c>
      <c r="L2370">
        <f t="shared" ref="L2370:L2399" si="1008">AVERAGE(J2370:K2370)</f>
        <v>0.19</v>
      </c>
      <c r="M2370">
        <f t="shared" ref="M2370:M2399" si="1009">_xlfn.STDEV.P(J2370:K2370)</f>
        <v>3.9999999999999966E-2</v>
      </c>
      <c r="N2370">
        <f t="shared" si="977"/>
        <v>8.0000000000000016E-2</v>
      </c>
      <c r="O2370">
        <f t="shared" ref="O2370:O2399" si="1010">E2370</f>
        <v>0.21</v>
      </c>
      <c r="P2370">
        <f t="shared" ref="P2370:P2399" si="1011">(O2370-L2370)/M2370</f>
        <v>0.50000000000000022</v>
      </c>
      <c r="Q2370" t="str">
        <f t="shared" si="978"/>
        <v>9.52% | 28.57%</v>
      </c>
      <c r="R2370" t="str">
        <f t="shared" ref="R2370:R2399" si="1012">MID(B2370,FIND("(",B2370,1)+1,FIND(")",B2370,1)-FIND("(",B2370,1)-1)</f>
        <v>BEARISH</v>
      </c>
      <c r="S2370">
        <f t="shared" si="979"/>
        <v>-1</v>
      </c>
    </row>
    <row r="2371" spans="1:19" hidden="1" x14ac:dyDescent="0.25">
      <c r="A2371" s="5" t="str">
        <f t="shared" ref="A2371:A2434" si="1013">G2371&amp;I2371</f>
        <v>43999SPX</v>
      </c>
      <c r="B2371" s="6" t="s">
        <v>6</v>
      </c>
      <c r="C2371" s="6">
        <v>2957</v>
      </c>
      <c r="D2371" s="6">
        <v>3149</v>
      </c>
      <c r="E2371" s="6">
        <v>3124</v>
      </c>
      <c r="F2371" t="str">
        <f t="shared" si="1002"/>
        <v>WED</v>
      </c>
      <c r="G2371" s="1">
        <f t="shared" si="1003"/>
        <v>43999</v>
      </c>
      <c r="H2371" s="2">
        <f t="shared" ca="1" si="1004"/>
        <v>254</v>
      </c>
      <c r="I2371" t="str">
        <f t="shared" si="1005"/>
        <v>SPX</v>
      </c>
      <c r="J2371">
        <f t="shared" si="1006"/>
        <v>2957</v>
      </c>
      <c r="K2371">
        <f t="shared" si="1007"/>
        <v>3149</v>
      </c>
      <c r="L2371">
        <f t="shared" si="1008"/>
        <v>3053</v>
      </c>
      <c r="M2371">
        <f t="shared" si="1009"/>
        <v>96</v>
      </c>
      <c r="N2371">
        <f t="shared" ref="N2371:N2434" si="1014">ABS(K2371-J2371)</f>
        <v>192</v>
      </c>
      <c r="O2371">
        <f t="shared" si="1010"/>
        <v>3124</v>
      </c>
      <c r="P2371">
        <f t="shared" si="1011"/>
        <v>0.73958333333333337</v>
      </c>
      <c r="Q2371" t="str">
        <f t="shared" ref="Q2371:Q2434" si="1015">ROUND(ABS(100*(O2371-J2371)/O2371),2)&amp;"% | "&amp;ROUND(ABS(100*(K2371-O2371)/O2371),2)&amp;"%"</f>
        <v>5.35% | 0.8%</v>
      </c>
      <c r="R2371" t="str">
        <f t="shared" si="1012"/>
        <v>BEARISH</v>
      </c>
      <c r="S2371">
        <f t="shared" ref="S2371:S2434" si="1016">IF(R2371="BEARISH",-1,IF(R2371="NEUTRAL",0,IF(R2371="BULLISH",1,99)))</f>
        <v>-1</v>
      </c>
    </row>
    <row r="2372" spans="1:19" hidden="1" x14ac:dyDescent="0.25">
      <c r="A2372" s="5" t="str">
        <f t="shared" si="1013"/>
        <v>43999RUT</v>
      </c>
      <c r="B2372" s="6" t="s">
        <v>7</v>
      </c>
      <c r="C2372" s="6">
        <v>1341</v>
      </c>
      <c r="D2372" s="6">
        <v>1474</v>
      </c>
      <c r="E2372" s="6">
        <v>1452</v>
      </c>
      <c r="F2372" t="str">
        <f t="shared" si="1002"/>
        <v>WED</v>
      </c>
      <c r="G2372" s="1">
        <f t="shared" si="1003"/>
        <v>43999</v>
      </c>
      <c r="H2372" s="2">
        <f t="shared" ca="1" si="1004"/>
        <v>254</v>
      </c>
      <c r="I2372" t="str">
        <f t="shared" si="1005"/>
        <v>RUT</v>
      </c>
      <c r="J2372">
        <f t="shared" si="1006"/>
        <v>1341</v>
      </c>
      <c r="K2372">
        <f t="shared" si="1007"/>
        <v>1474</v>
      </c>
      <c r="L2372">
        <f t="shared" si="1008"/>
        <v>1407.5</v>
      </c>
      <c r="M2372">
        <f t="shared" si="1009"/>
        <v>66.5</v>
      </c>
      <c r="N2372">
        <f t="shared" si="1014"/>
        <v>133</v>
      </c>
      <c r="O2372">
        <f t="shared" si="1010"/>
        <v>1452</v>
      </c>
      <c r="P2372">
        <f t="shared" si="1011"/>
        <v>0.66917293233082709</v>
      </c>
      <c r="Q2372" t="str">
        <f t="shared" si="1015"/>
        <v>7.64% | 1.52%</v>
      </c>
      <c r="R2372" t="str">
        <f t="shared" si="1012"/>
        <v>BEARISH</v>
      </c>
      <c r="S2372">
        <f t="shared" si="1016"/>
        <v>-1</v>
      </c>
    </row>
    <row r="2373" spans="1:19" hidden="1" x14ac:dyDescent="0.25">
      <c r="A2373" s="5" t="str">
        <f t="shared" si="1013"/>
        <v>43999COMPQ</v>
      </c>
      <c r="B2373" s="6" t="s">
        <v>8</v>
      </c>
      <c r="C2373" s="6">
        <v>9444</v>
      </c>
      <c r="D2373" s="6">
        <v>9998</v>
      </c>
      <c r="E2373" s="6">
        <v>9895</v>
      </c>
      <c r="F2373" t="str">
        <f t="shared" si="1002"/>
        <v>WED</v>
      </c>
      <c r="G2373" s="1">
        <f t="shared" si="1003"/>
        <v>43999</v>
      </c>
      <c r="H2373" s="2">
        <f t="shared" ca="1" si="1004"/>
        <v>254</v>
      </c>
      <c r="I2373" t="str">
        <f t="shared" si="1005"/>
        <v>COMPQ</v>
      </c>
      <c r="J2373">
        <f t="shared" si="1006"/>
        <v>9444</v>
      </c>
      <c r="K2373">
        <f t="shared" si="1007"/>
        <v>9998</v>
      </c>
      <c r="L2373">
        <f t="shared" si="1008"/>
        <v>9721</v>
      </c>
      <c r="M2373">
        <f t="shared" si="1009"/>
        <v>277</v>
      </c>
      <c r="N2373">
        <f t="shared" si="1014"/>
        <v>554</v>
      </c>
      <c r="O2373">
        <f t="shared" si="1010"/>
        <v>9895</v>
      </c>
      <c r="P2373">
        <f t="shared" si="1011"/>
        <v>0.62815884476534301</v>
      </c>
      <c r="Q2373" t="str">
        <f t="shared" si="1015"/>
        <v>4.56% | 1.04%</v>
      </c>
      <c r="R2373" t="str">
        <f t="shared" si="1012"/>
        <v>BULLISH</v>
      </c>
      <c r="S2373">
        <f t="shared" si="1016"/>
        <v>1</v>
      </c>
    </row>
    <row r="2374" spans="1:19" hidden="1" x14ac:dyDescent="0.25">
      <c r="A2374" s="5" t="str">
        <f t="shared" si="1013"/>
        <v>43999XLK</v>
      </c>
      <c r="B2374" s="6" t="s">
        <v>10</v>
      </c>
      <c r="C2374" s="6">
        <v>97.01</v>
      </c>
      <c r="D2374" s="6">
        <v>104.91</v>
      </c>
      <c r="E2374" s="6">
        <v>102.51</v>
      </c>
      <c r="F2374" t="str">
        <f t="shared" si="1002"/>
        <v>WED</v>
      </c>
      <c r="G2374" s="1">
        <f t="shared" si="1003"/>
        <v>43999</v>
      </c>
      <c r="H2374" s="2">
        <f t="shared" ca="1" si="1004"/>
        <v>254</v>
      </c>
      <c r="I2374" t="str">
        <f t="shared" si="1005"/>
        <v>XLK</v>
      </c>
      <c r="J2374">
        <f t="shared" si="1006"/>
        <v>97.01</v>
      </c>
      <c r="K2374">
        <f t="shared" si="1007"/>
        <v>104.91</v>
      </c>
      <c r="L2374">
        <f t="shared" si="1008"/>
        <v>100.96000000000001</v>
      </c>
      <c r="M2374">
        <f t="shared" si="1009"/>
        <v>3.9499999999999957</v>
      </c>
      <c r="N2374">
        <f t="shared" si="1014"/>
        <v>7.8999999999999915</v>
      </c>
      <c r="O2374">
        <f t="shared" si="1010"/>
        <v>102.51</v>
      </c>
      <c r="P2374">
        <f t="shared" si="1011"/>
        <v>0.39240506329113894</v>
      </c>
      <c r="Q2374" t="str">
        <f t="shared" si="1015"/>
        <v>5.37% | 2.34%</v>
      </c>
      <c r="R2374" t="str">
        <f t="shared" si="1012"/>
        <v>BULLISH</v>
      </c>
      <c r="S2374">
        <f t="shared" si="1016"/>
        <v>1</v>
      </c>
    </row>
    <row r="2375" spans="1:19" hidden="1" x14ac:dyDescent="0.25">
      <c r="A2375" s="5" t="str">
        <f t="shared" si="1013"/>
        <v>43999XLU</v>
      </c>
      <c r="B2375" s="6" t="s">
        <v>52</v>
      </c>
      <c r="C2375" s="6">
        <v>57.41</v>
      </c>
      <c r="D2375" s="6">
        <v>63.19</v>
      </c>
      <c r="E2375" s="6">
        <v>59.34</v>
      </c>
      <c r="F2375" t="str">
        <f t="shared" si="1002"/>
        <v>WED</v>
      </c>
      <c r="G2375" s="1">
        <f t="shared" si="1003"/>
        <v>43999</v>
      </c>
      <c r="H2375" s="2">
        <f t="shared" ca="1" si="1004"/>
        <v>254</v>
      </c>
      <c r="I2375" t="str">
        <f t="shared" si="1005"/>
        <v>XLU</v>
      </c>
      <c r="J2375">
        <f t="shared" si="1006"/>
        <v>57.41</v>
      </c>
      <c r="K2375">
        <f t="shared" si="1007"/>
        <v>63.19</v>
      </c>
      <c r="L2375">
        <f t="shared" si="1008"/>
        <v>60.3</v>
      </c>
      <c r="M2375">
        <f t="shared" si="1009"/>
        <v>2.8900000000000006</v>
      </c>
      <c r="N2375">
        <f t="shared" si="1014"/>
        <v>5.7800000000000011</v>
      </c>
      <c r="O2375">
        <f t="shared" si="1010"/>
        <v>59.34</v>
      </c>
      <c r="P2375">
        <f t="shared" si="1011"/>
        <v>-0.33217993079584551</v>
      </c>
      <c r="Q2375" t="str">
        <f t="shared" si="1015"/>
        <v>3.25% | 6.49%</v>
      </c>
      <c r="R2375" t="str">
        <f t="shared" si="1012"/>
        <v>BULLISH</v>
      </c>
      <c r="S2375">
        <f t="shared" si="1016"/>
        <v>1</v>
      </c>
    </row>
    <row r="2376" spans="1:19" hidden="1" x14ac:dyDescent="0.25">
      <c r="A2376" s="5" t="str">
        <f t="shared" si="1013"/>
        <v>43999XLRE</v>
      </c>
      <c r="B2376" s="6" t="s">
        <v>97</v>
      </c>
      <c r="C2376" s="6">
        <v>34.380000000000003</v>
      </c>
      <c r="D2376" s="6">
        <v>38.46</v>
      </c>
      <c r="E2376" s="6">
        <v>36.590000000000003</v>
      </c>
      <c r="F2376" t="str">
        <f t="shared" si="1002"/>
        <v>WED</v>
      </c>
      <c r="G2376" s="1">
        <f t="shared" si="1003"/>
        <v>43999</v>
      </c>
      <c r="H2376" s="2">
        <f t="shared" ca="1" si="1004"/>
        <v>254</v>
      </c>
      <c r="I2376" t="str">
        <f t="shared" si="1005"/>
        <v>XLRE</v>
      </c>
      <c r="J2376">
        <f t="shared" si="1006"/>
        <v>34.380000000000003</v>
      </c>
      <c r="K2376">
        <f t="shared" si="1007"/>
        <v>38.46</v>
      </c>
      <c r="L2376">
        <f t="shared" si="1008"/>
        <v>36.42</v>
      </c>
      <c r="M2376">
        <f t="shared" si="1009"/>
        <v>2.0399999999999991</v>
      </c>
      <c r="N2376">
        <f t="shared" si="1014"/>
        <v>4.0799999999999983</v>
      </c>
      <c r="O2376">
        <f t="shared" si="1010"/>
        <v>36.590000000000003</v>
      </c>
      <c r="P2376">
        <f t="shared" si="1011"/>
        <v>8.3333333333334203E-2</v>
      </c>
      <c r="Q2376" t="str">
        <f t="shared" si="1015"/>
        <v>6.04% | 5.11%</v>
      </c>
      <c r="R2376" t="str">
        <f t="shared" si="1012"/>
        <v>BULLISH</v>
      </c>
      <c r="S2376">
        <f t="shared" si="1016"/>
        <v>1</v>
      </c>
    </row>
    <row r="2377" spans="1:19" hidden="1" x14ac:dyDescent="0.25">
      <c r="A2377" s="5" t="str">
        <f t="shared" si="1013"/>
        <v>43999XLF</v>
      </c>
      <c r="B2377" s="6" t="s">
        <v>12</v>
      </c>
      <c r="C2377" s="6">
        <v>22.14</v>
      </c>
      <c r="D2377" s="6">
        <v>25.15</v>
      </c>
      <c r="E2377" s="6">
        <v>24.54</v>
      </c>
      <c r="F2377" t="str">
        <f t="shared" si="1002"/>
        <v>WED</v>
      </c>
      <c r="G2377" s="1">
        <f t="shared" si="1003"/>
        <v>43999</v>
      </c>
      <c r="H2377" s="2">
        <f t="shared" ca="1" si="1004"/>
        <v>254</v>
      </c>
      <c r="I2377" t="str">
        <f t="shared" si="1005"/>
        <v>XLF</v>
      </c>
      <c r="J2377">
        <f t="shared" si="1006"/>
        <v>22.14</v>
      </c>
      <c r="K2377">
        <f t="shared" si="1007"/>
        <v>25.15</v>
      </c>
      <c r="L2377">
        <f t="shared" si="1008"/>
        <v>23.645</v>
      </c>
      <c r="M2377">
        <f t="shared" si="1009"/>
        <v>1.504999999999999</v>
      </c>
      <c r="N2377">
        <f t="shared" si="1014"/>
        <v>3.009999999999998</v>
      </c>
      <c r="O2377">
        <f t="shared" si="1010"/>
        <v>24.54</v>
      </c>
      <c r="P2377">
        <f t="shared" si="1011"/>
        <v>0.59468438538205992</v>
      </c>
      <c r="Q2377" t="str">
        <f t="shared" si="1015"/>
        <v>9.78% | 2.49%</v>
      </c>
      <c r="R2377" t="str">
        <f t="shared" si="1012"/>
        <v>BEARISH</v>
      </c>
      <c r="S2377">
        <f t="shared" si="1016"/>
        <v>-1</v>
      </c>
    </row>
    <row r="2378" spans="1:19" hidden="1" x14ac:dyDescent="0.25">
      <c r="A2378" s="5" t="str">
        <f t="shared" si="1013"/>
        <v>43999SSEC</v>
      </c>
      <c r="B2378" s="6" t="s">
        <v>14</v>
      </c>
      <c r="C2378" s="6">
        <v>2884</v>
      </c>
      <c r="D2378" s="6">
        <v>2969</v>
      </c>
      <c r="E2378" s="6">
        <v>2935</v>
      </c>
      <c r="F2378" t="str">
        <f t="shared" si="1002"/>
        <v>WED</v>
      </c>
      <c r="G2378" s="1">
        <f t="shared" si="1003"/>
        <v>43999</v>
      </c>
      <c r="H2378" s="2">
        <f t="shared" ca="1" si="1004"/>
        <v>254</v>
      </c>
      <c r="I2378" t="str">
        <f t="shared" si="1005"/>
        <v>SSEC</v>
      </c>
      <c r="J2378">
        <f t="shared" si="1006"/>
        <v>2884</v>
      </c>
      <c r="K2378">
        <f t="shared" si="1007"/>
        <v>2969</v>
      </c>
      <c r="L2378">
        <f t="shared" si="1008"/>
        <v>2926.5</v>
      </c>
      <c r="M2378">
        <f t="shared" si="1009"/>
        <v>42.5</v>
      </c>
      <c r="N2378">
        <f t="shared" si="1014"/>
        <v>85</v>
      </c>
      <c r="O2378">
        <f t="shared" si="1010"/>
        <v>2935</v>
      </c>
      <c r="P2378">
        <f t="shared" si="1011"/>
        <v>0.2</v>
      </c>
      <c r="Q2378" t="str">
        <f t="shared" si="1015"/>
        <v>1.74% | 1.16%</v>
      </c>
      <c r="R2378" t="str">
        <f t="shared" si="1012"/>
        <v>BEARISH</v>
      </c>
      <c r="S2378">
        <f t="shared" si="1016"/>
        <v>-1</v>
      </c>
    </row>
    <row r="2379" spans="1:19" hidden="1" x14ac:dyDescent="0.25">
      <c r="A2379" s="5" t="str">
        <f t="shared" si="1013"/>
        <v>43999NIKK</v>
      </c>
      <c r="B2379" s="6" t="s">
        <v>15</v>
      </c>
      <c r="C2379" s="6">
        <v>21575</v>
      </c>
      <c r="D2379" s="6">
        <v>22749</v>
      </c>
      <c r="E2379" s="6">
        <v>22455</v>
      </c>
      <c r="F2379" t="str">
        <f t="shared" si="1002"/>
        <v>WED</v>
      </c>
      <c r="G2379" s="1">
        <f t="shared" si="1003"/>
        <v>43999</v>
      </c>
      <c r="H2379" s="2">
        <f t="shared" ca="1" si="1004"/>
        <v>254</v>
      </c>
      <c r="I2379" t="str">
        <f t="shared" si="1005"/>
        <v>NIKK</v>
      </c>
      <c r="J2379">
        <f t="shared" si="1006"/>
        <v>21575</v>
      </c>
      <c r="K2379">
        <f t="shared" si="1007"/>
        <v>22749</v>
      </c>
      <c r="L2379">
        <f t="shared" si="1008"/>
        <v>22162</v>
      </c>
      <c r="M2379">
        <f t="shared" si="1009"/>
        <v>587</v>
      </c>
      <c r="N2379">
        <f t="shared" si="1014"/>
        <v>1174</v>
      </c>
      <c r="O2379">
        <f t="shared" si="1010"/>
        <v>22455</v>
      </c>
      <c r="P2379">
        <f t="shared" si="1011"/>
        <v>0.49914821124361158</v>
      </c>
      <c r="Q2379" t="str">
        <f t="shared" si="1015"/>
        <v>3.92% | 1.31%</v>
      </c>
      <c r="R2379" t="str">
        <f t="shared" si="1012"/>
        <v>BEARISH</v>
      </c>
      <c r="S2379">
        <f t="shared" si="1016"/>
        <v>-1</v>
      </c>
    </row>
    <row r="2380" spans="1:19" hidden="1" x14ac:dyDescent="0.25">
      <c r="A2380" s="5" t="str">
        <f t="shared" si="1013"/>
        <v>43999DAX</v>
      </c>
      <c r="B2380" s="6" t="s">
        <v>16</v>
      </c>
      <c r="C2380" s="6">
        <v>11601</v>
      </c>
      <c r="D2380" s="6">
        <v>12599</v>
      </c>
      <c r="E2380" s="6">
        <v>12315</v>
      </c>
      <c r="F2380" t="str">
        <f t="shared" si="1002"/>
        <v>WED</v>
      </c>
      <c r="G2380" s="1">
        <f t="shared" si="1003"/>
        <v>43999</v>
      </c>
      <c r="H2380" s="2">
        <f t="shared" ca="1" si="1004"/>
        <v>254</v>
      </c>
      <c r="I2380" t="str">
        <f t="shared" si="1005"/>
        <v>DAX</v>
      </c>
      <c r="J2380">
        <f t="shared" si="1006"/>
        <v>11601</v>
      </c>
      <c r="K2380">
        <f t="shared" si="1007"/>
        <v>12599</v>
      </c>
      <c r="L2380">
        <f t="shared" si="1008"/>
        <v>12100</v>
      </c>
      <c r="M2380">
        <f t="shared" si="1009"/>
        <v>499</v>
      </c>
      <c r="N2380">
        <f t="shared" si="1014"/>
        <v>998</v>
      </c>
      <c r="O2380">
        <f t="shared" si="1010"/>
        <v>12315</v>
      </c>
      <c r="P2380">
        <f t="shared" si="1011"/>
        <v>0.43086172344689377</v>
      </c>
      <c r="Q2380" t="str">
        <f t="shared" si="1015"/>
        <v>5.8% | 2.31%</v>
      </c>
      <c r="R2380" t="str">
        <f t="shared" si="1012"/>
        <v>BEARISH</v>
      </c>
      <c r="S2380">
        <f t="shared" si="1016"/>
        <v>-1</v>
      </c>
    </row>
    <row r="2381" spans="1:19" hidden="1" x14ac:dyDescent="0.25">
      <c r="A2381" s="5" t="str">
        <f t="shared" si="1013"/>
        <v>43999VIX</v>
      </c>
      <c r="B2381" s="6" t="s">
        <v>17</v>
      </c>
      <c r="C2381" s="6">
        <v>29.51</v>
      </c>
      <c r="D2381" s="6">
        <v>41.62</v>
      </c>
      <c r="E2381" s="6">
        <v>33.67</v>
      </c>
      <c r="F2381" t="str">
        <f t="shared" si="1002"/>
        <v>WED</v>
      </c>
      <c r="G2381" s="1">
        <f t="shared" si="1003"/>
        <v>43999</v>
      </c>
      <c r="H2381" s="2">
        <f t="shared" ca="1" si="1004"/>
        <v>254</v>
      </c>
      <c r="I2381" t="str">
        <f t="shared" si="1005"/>
        <v>VIX</v>
      </c>
      <c r="J2381">
        <f t="shared" si="1006"/>
        <v>29.51</v>
      </c>
      <c r="K2381">
        <f t="shared" si="1007"/>
        <v>41.62</v>
      </c>
      <c r="L2381">
        <f t="shared" si="1008"/>
        <v>35.564999999999998</v>
      </c>
      <c r="M2381">
        <f t="shared" si="1009"/>
        <v>6.055000000000005</v>
      </c>
      <c r="N2381">
        <f t="shared" si="1014"/>
        <v>12.109999999999996</v>
      </c>
      <c r="O2381">
        <f t="shared" si="1010"/>
        <v>33.67</v>
      </c>
      <c r="P2381">
        <f t="shared" si="1011"/>
        <v>-0.31296449215524269</v>
      </c>
      <c r="Q2381" t="str">
        <f t="shared" si="1015"/>
        <v>12.36% | 23.61%</v>
      </c>
      <c r="R2381" t="str">
        <f t="shared" si="1012"/>
        <v>BULLISH</v>
      </c>
      <c r="S2381">
        <f t="shared" si="1016"/>
        <v>1</v>
      </c>
    </row>
    <row r="2382" spans="1:19" hidden="1" x14ac:dyDescent="0.25">
      <c r="A2382" s="5" t="str">
        <f t="shared" si="1013"/>
        <v>43999USD</v>
      </c>
      <c r="B2382" s="6" t="s">
        <v>94</v>
      </c>
      <c r="C2382" s="6">
        <v>95.9</v>
      </c>
      <c r="D2382" s="6">
        <v>97.96</v>
      </c>
      <c r="E2382" s="6">
        <v>96.93</v>
      </c>
      <c r="F2382" t="str">
        <f t="shared" si="1002"/>
        <v>WED</v>
      </c>
      <c r="G2382" s="1">
        <f t="shared" si="1003"/>
        <v>43999</v>
      </c>
      <c r="H2382" s="2">
        <f t="shared" ca="1" si="1004"/>
        <v>254</v>
      </c>
      <c r="I2382" t="str">
        <f t="shared" si="1005"/>
        <v>USD</v>
      </c>
      <c r="J2382">
        <f t="shared" si="1006"/>
        <v>95.9</v>
      </c>
      <c r="K2382">
        <f t="shared" si="1007"/>
        <v>97.96</v>
      </c>
      <c r="L2382">
        <f t="shared" si="1008"/>
        <v>96.93</v>
      </c>
      <c r="M2382">
        <f t="shared" si="1009"/>
        <v>1.029999999999994</v>
      </c>
      <c r="N2382">
        <f t="shared" si="1014"/>
        <v>2.0599999999999881</v>
      </c>
      <c r="O2382">
        <f t="shared" si="1010"/>
        <v>96.93</v>
      </c>
      <c r="P2382">
        <f t="shared" si="1011"/>
        <v>0</v>
      </c>
      <c r="Q2382" t="str">
        <f t="shared" si="1015"/>
        <v>1.06% | 1.06%</v>
      </c>
      <c r="R2382" t="str">
        <f t="shared" si="1012"/>
        <v>BEARISH</v>
      </c>
      <c r="S2382">
        <f t="shared" si="1016"/>
        <v>-1</v>
      </c>
    </row>
    <row r="2383" spans="1:19" hidden="1" x14ac:dyDescent="0.25">
      <c r="A2383" s="5" t="str">
        <f t="shared" si="1013"/>
        <v>43999EUR/USD</v>
      </c>
      <c r="B2383" s="6" t="s">
        <v>77</v>
      </c>
      <c r="C2383" s="6">
        <v>1.1200000000000001</v>
      </c>
      <c r="D2383" s="6">
        <v>1.1399999999999999</v>
      </c>
      <c r="E2383" s="6">
        <v>1.1200000000000001</v>
      </c>
      <c r="F2383" t="str">
        <f t="shared" si="1002"/>
        <v>WED</v>
      </c>
      <c r="G2383" s="1">
        <f t="shared" si="1003"/>
        <v>43999</v>
      </c>
      <c r="H2383" s="2">
        <f t="shared" ca="1" si="1004"/>
        <v>254</v>
      </c>
      <c r="I2383" t="str">
        <f t="shared" si="1005"/>
        <v>EUR/USD</v>
      </c>
      <c r="J2383">
        <f t="shared" si="1006"/>
        <v>1.1200000000000001</v>
      </c>
      <c r="K2383">
        <f t="shared" si="1007"/>
        <v>1.1399999999999999</v>
      </c>
      <c r="L2383">
        <f t="shared" si="1008"/>
        <v>1.1299999999999999</v>
      </c>
      <c r="M2383">
        <f t="shared" si="1009"/>
        <v>9.9999999999998979E-3</v>
      </c>
      <c r="N2383">
        <f t="shared" si="1014"/>
        <v>1.9999999999999796E-2</v>
      </c>
      <c r="O2383">
        <f t="shared" si="1010"/>
        <v>1.1200000000000001</v>
      </c>
      <c r="P2383">
        <f t="shared" si="1011"/>
        <v>-0.9999999999999889</v>
      </c>
      <c r="Q2383" t="str">
        <f t="shared" si="1015"/>
        <v>0% | 1.79%</v>
      </c>
      <c r="R2383" t="str">
        <f t="shared" si="1012"/>
        <v>NEUTRAL</v>
      </c>
      <c r="S2383">
        <f t="shared" si="1016"/>
        <v>0</v>
      </c>
    </row>
    <row r="2384" spans="1:19" hidden="1" x14ac:dyDescent="0.25">
      <c r="A2384" s="5" t="str">
        <f t="shared" si="1013"/>
        <v>43999USD/JPY</v>
      </c>
      <c r="B2384" s="6" t="s">
        <v>86</v>
      </c>
      <c r="C2384" s="6">
        <v>106.01</v>
      </c>
      <c r="D2384" s="6">
        <v>110</v>
      </c>
      <c r="E2384" s="6">
        <v>107.32</v>
      </c>
      <c r="F2384" t="str">
        <f t="shared" si="1002"/>
        <v>WED</v>
      </c>
      <c r="G2384" s="1">
        <f t="shared" si="1003"/>
        <v>43999</v>
      </c>
      <c r="H2384" s="2">
        <f t="shared" ca="1" si="1004"/>
        <v>254</v>
      </c>
      <c r="I2384" t="str">
        <f t="shared" si="1005"/>
        <v>USD/JPY</v>
      </c>
      <c r="J2384">
        <f t="shared" si="1006"/>
        <v>106.01</v>
      </c>
      <c r="K2384">
        <f t="shared" si="1007"/>
        <v>110</v>
      </c>
      <c r="L2384">
        <f t="shared" si="1008"/>
        <v>108.005</v>
      </c>
      <c r="M2384">
        <f t="shared" si="1009"/>
        <v>1.9949999999999974</v>
      </c>
      <c r="N2384">
        <f t="shared" si="1014"/>
        <v>3.9899999999999949</v>
      </c>
      <c r="O2384">
        <f t="shared" si="1010"/>
        <v>107.32</v>
      </c>
      <c r="P2384">
        <f t="shared" si="1011"/>
        <v>-0.34335839598997653</v>
      </c>
      <c r="Q2384" t="str">
        <f t="shared" si="1015"/>
        <v>1.22% | 2.5%</v>
      </c>
      <c r="R2384" t="str">
        <f t="shared" si="1012"/>
        <v>NEUTRAL</v>
      </c>
      <c r="S2384">
        <f t="shared" si="1016"/>
        <v>0</v>
      </c>
    </row>
    <row r="2385" spans="1:19" hidden="1" x14ac:dyDescent="0.25">
      <c r="A2385" s="5" t="str">
        <f t="shared" si="1013"/>
        <v>43999GBP/USD</v>
      </c>
      <c r="B2385" s="6" t="s">
        <v>102</v>
      </c>
      <c r="C2385" s="6">
        <v>1.24</v>
      </c>
      <c r="D2385" s="6">
        <v>1.28</v>
      </c>
      <c r="E2385" s="6">
        <v>1.26</v>
      </c>
      <c r="F2385" t="str">
        <f t="shared" si="1002"/>
        <v>WED</v>
      </c>
      <c r="G2385" s="1">
        <f t="shared" si="1003"/>
        <v>43999</v>
      </c>
      <c r="H2385" s="2">
        <f t="shared" ca="1" si="1004"/>
        <v>254</v>
      </c>
      <c r="I2385" t="str">
        <f t="shared" si="1005"/>
        <v>GBP/USD</v>
      </c>
      <c r="J2385">
        <f t="shared" si="1006"/>
        <v>1.24</v>
      </c>
      <c r="K2385">
        <f t="shared" si="1007"/>
        <v>1.28</v>
      </c>
      <c r="L2385">
        <f t="shared" si="1008"/>
        <v>1.26</v>
      </c>
      <c r="M2385">
        <f t="shared" si="1009"/>
        <v>2.0000000000000018E-2</v>
      </c>
      <c r="N2385">
        <f t="shared" si="1014"/>
        <v>4.0000000000000036E-2</v>
      </c>
      <c r="O2385">
        <f t="shared" si="1010"/>
        <v>1.26</v>
      </c>
      <c r="P2385">
        <f t="shared" si="1011"/>
        <v>0</v>
      </c>
      <c r="Q2385" t="str">
        <f t="shared" si="1015"/>
        <v>1.59% | 1.59%</v>
      </c>
      <c r="R2385" t="str">
        <f t="shared" si="1012"/>
        <v>BULLISH</v>
      </c>
      <c r="S2385">
        <f t="shared" si="1016"/>
        <v>1</v>
      </c>
    </row>
    <row r="2386" spans="1:19" hidden="1" x14ac:dyDescent="0.25">
      <c r="A2386" s="5" t="str">
        <f t="shared" si="1013"/>
        <v>43999USD/CHF</v>
      </c>
      <c r="B2386" s="6" t="s">
        <v>76</v>
      </c>
      <c r="C2386" s="6">
        <v>0.94</v>
      </c>
      <c r="D2386" s="6">
        <v>0.96</v>
      </c>
      <c r="E2386" s="6">
        <v>0.95</v>
      </c>
      <c r="F2386" t="str">
        <f t="shared" si="1002"/>
        <v>WED</v>
      </c>
      <c r="G2386" s="1">
        <f t="shared" si="1003"/>
        <v>43999</v>
      </c>
      <c r="H2386" s="2">
        <f t="shared" ca="1" si="1004"/>
        <v>254</v>
      </c>
      <c r="I2386" t="str">
        <f t="shared" si="1005"/>
        <v>USD/CHF</v>
      </c>
      <c r="J2386">
        <f t="shared" si="1006"/>
        <v>0.94</v>
      </c>
      <c r="K2386">
        <f t="shared" si="1007"/>
        <v>0.96</v>
      </c>
      <c r="L2386">
        <f t="shared" si="1008"/>
        <v>0.95</v>
      </c>
      <c r="M2386">
        <f t="shared" si="1009"/>
        <v>1.0000000000000009E-2</v>
      </c>
      <c r="N2386">
        <f t="shared" si="1014"/>
        <v>2.0000000000000018E-2</v>
      </c>
      <c r="O2386">
        <f t="shared" si="1010"/>
        <v>0.95</v>
      </c>
      <c r="P2386">
        <f t="shared" si="1011"/>
        <v>0</v>
      </c>
      <c r="Q2386" t="str">
        <f t="shared" si="1015"/>
        <v>1.05% | 1.05%</v>
      </c>
      <c r="R2386" t="str">
        <f t="shared" si="1012"/>
        <v>BEARISH</v>
      </c>
      <c r="S2386">
        <f t="shared" si="1016"/>
        <v>-1</v>
      </c>
    </row>
    <row r="2387" spans="1:19" hidden="1" x14ac:dyDescent="0.25">
      <c r="A2387" s="5" t="str">
        <f t="shared" si="1013"/>
        <v>43999WTIC</v>
      </c>
      <c r="B2387" s="6" t="s">
        <v>23</v>
      </c>
      <c r="C2387" s="6">
        <v>33.92</v>
      </c>
      <c r="D2387" s="6">
        <v>40.47</v>
      </c>
      <c r="E2387" s="6">
        <v>38.380000000000003</v>
      </c>
      <c r="F2387" t="str">
        <f t="shared" si="1002"/>
        <v>WED</v>
      </c>
      <c r="G2387" s="1">
        <f t="shared" si="1003"/>
        <v>43999</v>
      </c>
      <c r="H2387" s="2">
        <f t="shared" ca="1" si="1004"/>
        <v>254</v>
      </c>
      <c r="I2387" t="str">
        <f t="shared" si="1005"/>
        <v>WTIC</v>
      </c>
      <c r="J2387">
        <f t="shared" si="1006"/>
        <v>33.92</v>
      </c>
      <c r="K2387">
        <f t="shared" si="1007"/>
        <v>40.47</v>
      </c>
      <c r="L2387">
        <f t="shared" si="1008"/>
        <v>37.195</v>
      </c>
      <c r="M2387">
        <f t="shared" si="1009"/>
        <v>3.2749999999999986</v>
      </c>
      <c r="N2387">
        <f t="shared" si="1014"/>
        <v>6.5499999999999972</v>
      </c>
      <c r="O2387">
        <f t="shared" si="1010"/>
        <v>38.380000000000003</v>
      </c>
      <c r="P2387">
        <f t="shared" si="1011"/>
        <v>0.36183206106870314</v>
      </c>
      <c r="Q2387" t="str">
        <f t="shared" si="1015"/>
        <v>11.62% | 5.45%</v>
      </c>
      <c r="R2387" t="str">
        <f t="shared" si="1012"/>
        <v>BEARISH</v>
      </c>
      <c r="S2387">
        <f t="shared" si="1016"/>
        <v>-1</v>
      </c>
    </row>
    <row r="2388" spans="1:19" hidden="1" x14ac:dyDescent="0.25">
      <c r="A2388" s="5" t="str">
        <f t="shared" si="1013"/>
        <v>43999NATGAS</v>
      </c>
      <c r="B2388" s="6" t="s">
        <v>24</v>
      </c>
      <c r="C2388" s="6">
        <v>1.6</v>
      </c>
      <c r="D2388" s="6">
        <v>1.8</v>
      </c>
      <c r="E2388" s="6">
        <v>1.61</v>
      </c>
      <c r="F2388" t="str">
        <f t="shared" si="1002"/>
        <v>WED</v>
      </c>
      <c r="G2388" s="1">
        <f t="shared" si="1003"/>
        <v>43999</v>
      </c>
      <c r="H2388" s="2">
        <f t="shared" ca="1" si="1004"/>
        <v>254</v>
      </c>
      <c r="I2388" t="str">
        <f t="shared" si="1005"/>
        <v>NATGAS</v>
      </c>
      <c r="J2388">
        <f t="shared" si="1006"/>
        <v>1.6</v>
      </c>
      <c r="K2388">
        <f t="shared" si="1007"/>
        <v>1.8</v>
      </c>
      <c r="L2388">
        <f t="shared" si="1008"/>
        <v>1.7000000000000002</v>
      </c>
      <c r="M2388">
        <f t="shared" si="1009"/>
        <v>9.9999999999999978E-2</v>
      </c>
      <c r="N2388">
        <f t="shared" si="1014"/>
        <v>0.19999999999999996</v>
      </c>
      <c r="O2388">
        <f t="shared" si="1010"/>
        <v>1.61</v>
      </c>
      <c r="P2388">
        <f t="shared" si="1011"/>
        <v>-0.90000000000000102</v>
      </c>
      <c r="Q2388" t="str">
        <f t="shared" si="1015"/>
        <v>0.62% | 11.8%</v>
      </c>
      <c r="R2388" t="str">
        <f t="shared" si="1012"/>
        <v>BEARISH</v>
      </c>
      <c r="S2388">
        <f t="shared" si="1016"/>
        <v>-1</v>
      </c>
    </row>
    <row r="2389" spans="1:19" hidden="1" x14ac:dyDescent="0.25">
      <c r="A2389" s="5" t="str">
        <f t="shared" si="1013"/>
        <v>43999GOLD</v>
      </c>
      <c r="B2389" s="6" t="s">
        <v>25</v>
      </c>
      <c r="C2389" s="6">
        <v>1685</v>
      </c>
      <c r="D2389" s="6">
        <v>1758</v>
      </c>
      <c r="E2389" s="6">
        <v>1736</v>
      </c>
      <c r="F2389" t="str">
        <f t="shared" si="1002"/>
        <v>WED</v>
      </c>
      <c r="G2389" s="1">
        <f t="shared" si="1003"/>
        <v>43999</v>
      </c>
      <c r="H2389" s="2">
        <f t="shared" ca="1" si="1004"/>
        <v>254</v>
      </c>
      <c r="I2389" t="str">
        <f t="shared" si="1005"/>
        <v>GOLD</v>
      </c>
      <c r="J2389">
        <f t="shared" si="1006"/>
        <v>1685</v>
      </c>
      <c r="K2389">
        <f t="shared" si="1007"/>
        <v>1758</v>
      </c>
      <c r="L2389">
        <f t="shared" si="1008"/>
        <v>1721.5</v>
      </c>
      <c r="M2389">
        <f t="shared" si="1009"/>
        <v>36.5</v>
      </c>
      <c r="N2389">
        <f t="shared" si="1014"/>
        <v>73</v>
      </c>
      <c r="O2389">
        <f t="shared" si="1010"/>
        <v>1736</v>
      </c>
      <c r="P2389">
        <f t="shared" si="1011"/>
        <v>0.39726027397260272</v>
      </c>
      <c r="Q2389" t="str">
        <f t="shared" si="1015"/>
        <v>2.94% | 1.27%</v>
      </c>
      <c r="R2389" t="str">
        <f t="shared" si="1012"/>
        <v>BULLISH</v>
      </c>
      <c r="S2389">
        <f t="shared" si="1016"/>
        <v>1</v>
      </c>
    </row>
    <row r="2390" spans="1:19" hidden="1" x14ac:dyDescent="0.25">
      <c r="A2390" s="5" t="str">
        <f t="shared" si="1013"/>
        <v>43999COPPER</v>
      </c>
      <c r="B2390" s="6" t="s">
        <v>100</v>
      </c>
      <c r="C2390" s="6">
        <v>2.48</v>
      </c>
      <c r="D2390" s="6">
        <v>2.67</v>
      </c>
      <c r="E2390" s="6">
        <v>2.56</v>
      </c>
      <c r="F2390" t="str">
        <f t="shared" si="1002"/>
        <v>WED</v>
      </c>
      <c r="G2390" s="1">
        <f t="shared" si="1003"/>
        <v>43999</v>
      </c>
      <c r="H2390" s="2">
        <f t="shared" ca="1" si="1004"/>
        <v>254</v>
      </c>
      <c r="I2390" t="str">
        <f t="shared" si="1005"/>
        <v>COPPER</v>
      </c>
      <c r="J2390">
        <f t="shared" si="1006"/>
        <v>2.48</v>
      </c>
      <c r="K2390">
        <f t="shared" si="1007"/>
        <v>2.67</v>
      </c>
      <c r="L2390">
        <f t="shared" si="1008"/>
        <v>2.5750000000000002</v>
      </c>
      <c r="M2390">
        <f t="shared" si="1009"/>
        <v>9.4999999999999973E-2</v>
      </c>
      <c r="N2390">
        <f t="shared" si="1014"/>
        <v>0.18999999999999995</v>
      </c>
      <c r="O2390">
        <f t="shared" si="1010"/>
        <v>2.56</v>
      </c>
      <c r="P2390">
        <f t="shared" si="1011"/>
        <v>-0.15789473684210661</v>
      </c>
      <c r="Q2390" t="str">
        <f t="shared" si="1015"/>
        <v>3.13% | 4.3%</v>
      </c>
      <c r="R2390" t="str">
        <f t="shared" si="1012"/>
        <v>BULLISH</v>
      </c>
      <c r="S2390">
        <f t="shared" si="1016"/>
        <v>1</v>
      </c>
    </row>
    <row r="2391" spans="1:19" hidden="1" x14ac:dyDescent="0.25">
      <c r="A2391" s="5" t="str">
        <f t="shared" si="1013"/>
        <v>43999MSFT</v>
      </c>
      <c r="B2391" s="6" t="s">
        <v>27</v>
      </c>
      <c r="C2391" s="6">
        <v>181</v>
      </c>
      <c r="D2391" s="6">
        <v>197</v>
      </c>
      <c r="E2391" s="6">
        <v>193</v>
      </c>
      <c r="F2391" t="str">
        <f t="shared" si="1002"/>
        <v>WED</v>
      </c>
      <c r="G2391" s="1">
        <f t="shared" si="1003"/>
        <v>43999</v>
      </c>
      <c r="H2391" s="2">
        <f t="shared" ca="1" si="1004"/>
        <v>254</v>
      </c>
      <c r="I2391" t="str">
        <f t="shared" si="1005"/>
        <v>MSFT</v>
      </c>
      <c r="J2391">
        <f t="shared" si="1006"/>
        <v>181</v>
      </c>
      <c r="K2391">
        <f t="shared" si="1007"/>
        <v>197</v>
      </c>
      <c r="L2391">
        <f t="shared" si="1008"/>
        <v>189</v>
      </c>
      <c r="M2391">
        <f t="shared" si="1009"/>
        <v>8</v>
      </c>
      <c r="N2391">
        <f t="shared" si="1014"/>
        <v>16</v>
      </c>
      <c r="O2391">
        <f t="shared" si="1010"/>
        <v>193</v>
      </c>
      <c r="P2391">
        <f t="shared" si="1011"/>
        <v>0.5</v>
      </c>
      <c r="Q2391" t="str">
        <f t="shared" si="1015"/>
        <v>6.22% | 2.07%</v>
      </c>
      <c r="R2391" t="str">
        <f t="shared" si="1012"/>
        <v>BULLISH</v>
      </c>
      <c r="S2391">
        <f t="shared" si="1016"/>
        <v>1</v>
      </c>
    </row>
    <row r="2392" spans="1:19" hidden="1" x14ac:dyDescent="0.25">
      <c r="A2392" s="5" t="str">
        <f t="shared" si="1013"/>
        <v>43999AAPL</v>
      </c>
      <c r="B2392" s="6" t="s">
        <v>28</v>
      </c>
      <c r="C2392" s="6">
        <v>324</v>
      </c>
      <c r="D2392" s="6">
        <v>359</v>
      </c>
      <c r="E2392" s="6">
        <v>352</v>
      </c>
      <c r="F2392" t="str">
        <f t="shared" si="1002"/>
        <v>WED</v>
      </c>
      <c r="G2392" s="1">
        <f t="shared" si="1003"/>
        <v>43999</v>
      </c>
      <c r="H2392" s="2">
        <f t="shared" ca="1" si="1004"/>
        <v>254</v>
      </c>
      <c r="I2392" t="str">
        <f t="shared" si="1005"/>
        <v>AAPL</v>
      </c>
      <c r="J2392">
        <f t="shared" si="1006"/>
        <v>324</v>
      </c>
      <c r="K2392">
        <f t="shared" si="1007"/>
        <v>359</v>
      </c>
      <c r="L2392">
        <f t="shared" si="1008"/>
        <v>341.5</v>
      </c>
      <c r="M2392">
        <f t="shared" si="1009"/>
        <v>17.5</v>
      </c>
      <c r="N2392">
        <f t="shared" si="1014"/>
        <v>35</v>
      </c>
      <c r="O2392">
        <f t="shared" si="1010"/>
        <v>352</v>
      </c>
      <c r="P2392">
        <f t="shared" si="1011"/>
        <v>0.6</v>
      </c>
      <c r="Q2392" t="str">
        <f t="shared" si="1015"/>
        <v>7.95% | 1.99%</v>
      </c>
      <c r="R2392" t="str">
        <f t="shared" si="1012"/>
        <v>BULLISH</v>
      </c>
      <c r="S2392">
        <f t="shared" si="1016"/>
        <v>1</v>
      </c>
    </row>
    <row r="2393" spans="1:19" hidden="1" x14ac:dyDescent="0.25">
      <c r="A2393" s="5" t="str">
        <f t="shared" si="1013"/>
        <v>43999AMZN</v>
      </c>
      <c r="B2393" s="6" t="s">
        <v>29</v>
      </c>
      <c r="C2393" s="6">
        <v>2410</v>
      </c>
      <c r="D2393" s="6">
        <v>2672</v>
      </c>
      <c r="E2393" s="6">
        <v>2615</v>
      </c>
      <c r="F2393" t="str">
        <f t="shared" si="1002"/>
        <v>WED</v>
      </c>
      <c r="G2393" s="1">
        <f t="shared" si="1003"/>
        <v>43999</v>
      </c>
      <c r="H2393" s="2">
        <f t="shared" ca="1" si="1004"/>
        <v>254</v>
      </c>
      <c r="I2393" t="str">
        <f t="shared" si="1005"/>
        <v>AMZN</v>
      </c>
      <c r="J2393">
        <f t="shared" si="1006"/>
        <v>2410</v>
      </c>
      <c r="K2393">
        <f t="shared" si="1007"/>
        <v>2672</v>
      </c>
      <c r="L2393">
        <f t="shared" si="1008"/>
        <v>2541</v>
      </c>
      <c r="M2393">
        <f t="shared" si="1009"/>
        <v>131</v>
      </c>
      <c r="N2393">
        <f t="shared" si="1014"/>
        <v>262</v>
      </c>
      <c r="O2393">
        <f t="shared" si="1010"/>
        <v>2615</v>
      </c>
      <c r="P2393">
        <f t="shared" si="1011"/>
        <v>0.56488549618320616</v>
      </c>
      <c r="Q2393" t="str">
        <f t="shared" si="1015"/>
        <v>7.84% | 2.18%</v>
      </c>
      <c r="R2393" t="str">
        <f t="shared" si="1012"/>
        <v>BULLISH</v>
      </c>
      <c r="S2393">
        <f t="shared" si="1016"/>
        <v>1</v>
      </c>
    </row>
    <row r="2394" spans="1:19" hidden="1" x14ac:dyDescent="0.25">
      <c r="A2394" s="5" t="str">
        <f t="shared" si="1013"/>
        <v>43999FB</v>
      </c>
      <c r="B2394" s="6" t="s">
        <v>30</v>
      </c>
      <c r="C2394" s="6">
        <v>222</v>
      </c>
      <c r="D2394" s="6">
        <v>241</v>
      </c>
      <c r="E2394" s="6">
        <v>235</v>
      </c>
      <c r="F2394" t="str">
        <f t="shared" si="1002"/>
        <v>WED</v>
      </c>
      <c r="G2394" s="1">
        <f t="shared" si="1003"/>
        <v>43999</v>
      </c>
      <c r="H2394" s="2">
        <f t="shared" ca="1" si="1004"/>
        <v>254</v>
      </c>
      <c r="I2394" t="str">
        <f t="shared" si="1005"/>
        <v>FB</v>
      </c>
      <c r="J2394">
        <f t="shared" si="1006"/>
        <v>222</v>
      </c>
      <c r="K2394">
        <f t="shared" si="1007"/>
        <v>241</v>
      </c>
      <c r="L2394">
        <f t="shared" si="1008"/>
        <v>231.5</v>
      </c>
      <c r="M2394">
        <f t="shared" si="1009"/>
        <v>9.5</v>
      </c>
      <c r="N2394">
        <f t="shared" si="1014"/>
        <v>19</v>
      </c>
      <c r="O2394">
        <f t="shared" si="1010"/>
        <v>235</v>
      </c>
      <c r="P2394">
        <f t="shared" si="1011"/>
        <v>0.36842105263157893</v>
      </c>
      <c r="Q2394" t="str">
        <f t="shared" si="1015"/>
        <v>5.53% | 2.55%</v>
      </c>
      <c r="R2394" t="str">
        <f t="shared" si="1012"/>
        <v>BULLISH</v>
      </c>
      <c r="S2394">
        <f t="shared" si="1016"/>
        <v>1</v>
      </c>
    </row>
    <row r="2395" spans="1:19" hidden="1" x14ac:dyDescent="0.25">
      <c r="A2395" s="5" t="str">
        <f t="shared" si="1013"/>
        <v>43999GOOGL</v>
      </c>
      <c r="B2395" s="6" t="s">
        <v>31</v>
      </c>
      <c r="C2395" s="6">
        <v>1389</v>
      </c>
      <c r="D2395" s="6">
        <v>1475</v>
      </c>
      <c r="E2395" s="6">
        <v>1446</v>
      </c>
      <c r="F2395" t="str">
        <f t="shared" si="1002"/>
        <v>WED</v>
      </c>
      <c r="G2395" s="1">
        <f t="shared" si="1003"/>
        <v>43999</v>
      </c>
      <c r="H2395" s="2">
        <f t="shared" ca="1" si="1004"/>
        <v>254</v>
      </c>
      <c r="I2395" t="str">
        <f t="shared" si="1005"/>
        <v>GOOGL</v>
      </c>
      <c r="J2395">
        <f t="shared" si="1006"/>
        <v>1389</v>
      </c>
      <c r="K2395">
        <f t="shared" si="1007"/>
        <v>1475</v>
      </c>
      <c r="L2395">
        <f t="shared" si="1008"/>
        <v>1432</v>
      </c>
      <c r="M2395">
        <f t="shared" si="1009"/>
        <v>43</v>
      </c>
      <c r="N2395">
        <f t="shared" si="1014"/>
        <v>86</v>
      </c>
      <c r="O2395">
        <f t="shared" si="1010"/>
        <v>1446</v>
      </c>
      <c r="P2395">
        <f t="shared" si="1011"/>
        <v>0.32558139534883723</v>
      </c>
      <c r="Q2395" t="str">
        <f t="shared" si="1015"/>
        <v>3.94% | 2.01%</v>
      </c>
      <c r="R2395" t="str">
        <f t="shared" si="1012"/>
        <v>BULLISH</v>
      </c>
      <c r="S2395">
        <f t="shared" si="1016"/>
        <v>1</v>
      </c>
    </row>
    <row r="2396" spans="1:19" hidden="1" x14ac:dyDescent="0.25">
      <c r="A2396" s="5" t="str">
        <f t="shared" si="1013"/>
        <v>43999NFLX</v>
      </c>
      <c r="B2396" s="6" t="s">
        <v>32</v>
      </c>
      <c r="C2396" s="6">
        <v>408</v>
      </c>
      <c r="D2396" s="6">
        <v>441</v>
      </c>
      <c r="E2396" s="6">
        <v>436</v>
      </c>
      <c r="F2396" t="str">
        <f t="shared" si="1002"/>
        <v>WED</v>
      </c>
      <c r="G2396" s="1">
        <f t="shared" si="1003"/>
        <v>43999</v>
      </c>
      <c r="H2396" s="2">
        <f t="shared" ca="1" si="1004"/>
        <v>254</v>
      </c>
      <c r="I2396" t="str">
        <f t="shared" si="1005"/>
        <v>NFLX</v>
      </c>
      <c r="J2396">
        <f t="shared" si="1006"/>
        <v>408</v>
      </c>
      <c r="K2396">
        <f t="shared" si="1007"/>
        <v>441</v>
      </c>
      <c r="L2396">
        <f t="shared" si="1008"/>
        <v>424.5</v>
      </c>
      <c r="M2396">
        <f t="shared" si="1009"/>
        <v>16.5</v>
      </c>
      <c r="N2396">
        <f t="shared" si="1014"/>
        <v>33</v>
      </c>
      <c r="O2396">
        <f t="shared" si="1010"/>
        <v>436</v>
      </c>
      <c r="P2396">
        <f t="shared" si="1011"/>
        <v>0.69696969696969702</v>
      </c>
      <c r="Q2396" t="str">
        <f t="shared" si="1015"/>
        <v>6.42% | 1.15%</v>
      </c>
      <c r="R2396" t="str">
        <f t="shared" si="1012"/>
        <v>BULLISH</v>
      </c>
      <c r="S2396">
        <f t="shared" si="1016"/>
        <v>1</v>
      </c>
    </row>
    <row r="2397" spans="1:19" x14ac:dyDescent="0.25">
      <c r="A2397" s="5" t="str">
        <f t="shared" si="1013"/>
        <v>43999TSLA</v>
      </c>
      <c r="B2397" s="6" t="s">
        <v>33</v>
      </c>
      <c r="C2397" s="6">
        <v>850</v>
      </c>
      <c r="D2397" s="6">
        <v>1046</v>
      </c>
      <c r="E2397" s="6">
        <v>982</v>
      </c>
      <c r="F2397" t="str">
        <f t="shared" si="1002"/>
        <v>WED</v>
      </c>
      <c r="G2397" s="1">
        <f t="shared" si="1003"/>
        <v>43999</v>
      </c>
      <c r="H2397" s="2">
        <f t="shared" ca="1" si="1004"/>
        <v>254</v>
      </c>
      <c r="I2397" t="str">
        <f t="shared" si="1005"/>
        <v>TSLA</v>
      </c>
      <c r="J2397">
        <f t="shared" si="1006"/>
        <v>850</v>
      </c>
      <c r="K2397">
        <f t="shared" si="1007"/>
        <v>1046</v>
      </c>
      <c r="L2397">
        <f t="shared" si="1008"/>
        <v>948</v>
      </c>
      <c r="M2397">
        <f t="shared" si="1009"/>
        <v>98</v>
      </c>
      <c r="N2397">
        <f t="shared" si="1014"/>
        <v>196</v>
      </c>
      <c r="O2397">
        <f t="shared" si="1010"/>
        <v>982</v>
      </c>
      <c r="P2397">
        <f t="shared" si="1011"/>
        <v>0.34693877551020408</v>
      </c>
      <c r="Q2397" t="str">
        <f t="shared" si="1015"/>
        <v>13.44% | 6.52%</v>
      </c>
      <c r="R2397" t="str">
        <f t="shared" si="1012"/>
        <v>BULLISH</v>
      </c>
      <c r="S2397">
        <f t="shared" si="1016"/>
        <v>1</v>
      </c>
    </row>
    <row r="2398" spans="1:19" hidden="1" x14ac:dyDescent="0.25">
      <c r="A2398" s="5" t="str">
        <f t="shared" si="1013"/>
        <v>43999NYXBT</v>
      </c>
      <c r="B2398" s="6" t="s">
        <v>34</v>
      </c>
      <c r="C2398" s="6">
        <v>9211</v>
      </c>
      <c r="D2398" s="6">
        <v>9963</v>
      </c>
      <c r="E2398" s="6">
        <v>9461</v>
      </c>
      <c r="F2398" t="str">
        <f t="shared" si="1002"/>
        <v>WED</v>
      </c>
      <c r="G2398" s="1">
        <f t="shared" si="1003"/>
        <v>43999</v>
      </c>
      <c r="H2398" s="2">
        <f t="shared" ca="1" si="1004"/>
        <v>254</v>
      </c>
      <c r="I2398" t="str">
        <f t="shared" si="1005"/>
        <v>NYXBT</v>
      </c>
      <c r="J2398">
        <f t="shared" si="1006"/>
        <v>9211</v>
      </c>
      <c r="K2398">
        <f t="shared" si="1007"/>
        <v>9963</v>
      </c>
      <c r="L2398">
        <f t="shared" si="1008"/>
        <v>9587</v>
      </c>
      <c r="M2398">
        <f t="shared" si="1009"/>
        <v>376</v>
      </c>
      <c r="N2398">
        <f t="shared" si="1014"/>
        <v>752</v>
      </c>
      <c r="O2398">
        <f t="shared" si="1010"/>
        <v>9461</v>
      </c>
      <c r="P2398">
        <f t="shared" si="1011"/>
        <v>-0.33510638297872342</v>
      </c>
      <c r="Q2398" t="str">
        <f t="shared" si="1015"/>
        <v>2.64% | 5.31%</v>
      </c>
      <c r="R2398" t="str">
        <f t="shared" si="1012"/>
        <v>BULLISH</v>
      </c>
      <c r="S2398">
        <f t="shared" si="1016"/>
        <v>1</v>
      </c>
    </row>
    <row r="2399" spans="1:19" hidden="1" x14ac:dyDescent="0.25">
      <c r="A2399" s="5" t="str">
        <f t="shared" si="1013"/>
        <v>44000UST10Y</v>
      </c>
      <c r="B2399" s="6" t="s">
        <v>4</v>
      </c>
      <c r="C2399" s="6">
        <v>0.86</v>
      </c>
      <c r="D2399" s="6">
        <v>0.6</v>
      </c>
      <c r="E2399" s="6">
        <v>0.74</v>
      </c>
      <c r="F2399" t="str">
        <f t="shared" si="1002"/>
        <v>THU</v>
      </c>
      <c r="G2399" s="3">
        <f>DATE(2020,6,18)</f>
        <v>44000</v>
      </c>
      <c r="H2399" s="2">
        <f t="shared" ca="1" si="1004"/>
        <v>253</v>
      </c>
      <c r="I2399" t="str">
        <f t="shared" si="1005"/>
        <v>UST10Y</v>
      </c>
      <c r="J2399">
        <f t="shared" si="1006"/>
        <v>0.86</v>
      </c>
      <c r="K2399">
        <f t="shared" si="1007"/>
        <v>0.6</v>
      </c>
      <c r="L2399">
        <f t="shared" si="1008"/>
        <v>0.73</v>
      </c>
      <c r="M2399">
        <f t="shared" si="1009"/>
        <v>0.13000000000000009</v>
      </c>
      <c r="N2399">
        <f t="shared" si="1014"/>
        <v>0.26</v>
      </c>
      <c r="O2399">
        <f t="shared" si="1010"/>
        <v>0.74</v>
      </c>
      <c r="P2399">
        <f t="shared" si="1011"/>
        <v>7.6923076923076941E-2</v>
      </c>
      <c r="Q2399" t="str">
        <f t="shared" si="1015"/>
        <v>16.22% | 18.92%</v>
      </c>
      <c r="R2399" t="str">
        <f t="shared" si="1012"/>
        <v>BEARISH</v>
      </c>
      <c r="S2399">
        <f t="shared" si="1016"/>
        <v>-1</v>
      </c>
    </row>
    <row r="2400" spans="1:19" hidden="1" x14ac:dyDescent="0.25">
      <c r="A2400" s="5" t="str">
        <f t="shared" si="1013"/>
        <v>44000UST2Y</v>
      </c>
      <c r="B2400" s="6" t="s">
        <v>5</v>
      </c>
      <c r="C2400" s="6">
        <v>0.22</v>
      </c>
      <c r="D2400" s="6">
        <v>0.15</v>
      </c>
      <c r="E2400" s="6">
        <v>0.19</v>
      </c>
      <c r="F2400" t="str">
        <f t="shared" ref="F2400:F2429" si="1017">UPPER(TEXT(G2400,"ddd"))</f>
        <v>THU</v>
      </c>
      <c r="G2400" s="3">
        <f t="shared" ref="G2400:G2428" si="1018">DATE(2020,6,18)</f>
        <v>44000</v>
      </c>
      <c r="H2400" s="2">
        <f t="shared" ref="H2400:H2429" ca="1" si="1019">TODAY()-G2400</f>
        <v>253</v>
      </c>
      <c r="I2400" t="str">
        <f t="shared" ref="I2400:I2429" si="1020">TRIM(LEFT(B2400,FIND(" ",B2400,1)))</f>
        <v>UST2Y</v>
      </c>
      <c r="J2400">
        <f t="shared" ref="J2400:J2429" si="1021">C2400</f>
        <v>0.22</v>
      </c>
      <c r="K2400">
        <f t="shared" ref="K2400:K2429" si="1022">D2400</f>
        <v>0.15</v>
      </c>
      <c r="L2400">
        <f t="shared" ref="L2400:L2429" si="1023">AVERAGE(J2400:K2400)</f>
        <v>0.185</v>
      </c>
      <c r="M2400">
        <f t="shared" ref="M2400:M2429" si="1024">_xlfn.STDEV.P(J2400:K2400)</f>
        <v>3.4999999999999955E-2</v>
      </c>
      <c r="N2400">
        <f t="shared" si="1014"/>
        <v>7.0000000000000007E-2</v>
      </c>
      <c r="O2400">
        <f t="shared" ref="O2400:O2429" si="1025">E2400</f>
        <v>0.19</v>
      </c>
      <c r="P2400">
        <f t="shared" ref="P2400:P2429" si="1026">(O2400-L2400)/M2400</f>
        <v>0.14285714285714318</v>
      </c>
      <c r="Q2400" t="str">
        <f t="shared" si="1015"/>
        <v>15.79% | 21.05%</v>
      </c>
      <c r="R2400" t="str">
        <f t="shared" ref="R2400:R2429" si="1027">MID(B2400,FIND("(",B2400,1)+1,FIND(")",B2400,1)-FIND("(",B2400,1)-1)</f>
        <v>BEARISH</v>
      </c>
      <c r="S2400">
        <f t="shared" si="1016"/>
        <v>-1</v>
      </c>
    </row>
    <row r="2401" spans="1:19" hidden="1" x14ac:dyDescent="0.25">
      <c r="A2401" s="5" t="str">
        <f t="shared" si="1013"/>
        <v>44000SPX</v>
      </c>
      <c r="B2401" s="6" t="s">
        <v>6</v>
      </c>
      <c r="C2401" s="6">
        <v>2962</v>
      </c>
      <c r="D2401" s="6">
        <v>3152</v>
      </c>
      <c r="E2401" s="6">
        <v>3113</v>
      </c>
      <c r="F2401" t="str">
        <f t="shared" si="1017"/>
        <v>THU</v>
      </c>
      <c r="G2401" s="3">
        <f t="shared" si="1018"/>
        <v>44000</v>
      </c>
      <c r="H2401" s="2">
        <f t="shared" ca="1" si="1019"/>
        <v>253</v>
      </c>
      <c r="I2401" t="str">
        <f t="shared" si="1020"/>
        <v>SPX</v>
      </c>
      <c r="J2401">
        <f t="shared" si="1021"/>
        <v>2962</v>
      </c>
      <c r="K2401">
        <f t="shared" si="1022"/>
        <v>3152</v>
      </c>
      <c r="L2401">
        <f t="shared" si="1023"/>
        <v>3057</v>
      </c>
      <c r="M2401">
        <f t="shared" si="1024"/>
        <v>95</v>
      </c>
      <c r="N2401">
        <f t="shared" si="1014"/>
        <v>190</v>
      </c>
      <c r="O2401">
        <f t="shared" si="1025"/>
        <v>3113</v>
      </c>
      <c r="P2401">
        <f t="shared" si="1026"/>
        <v>0.58947368421052626</v>
      </c>
      <c r="Q2401" t="str">
        <f t="shared" si="1015"/>
        <v>4.85% | 1.25%</v>
      </c>
      <c r="R2401" t="str">
        <f t="shared" si="1027"/>
        <v>BEARISH</v>
      </c>
      <c r="S2401">
        <f t="shared" si="1016"/>
        <v>-1</v>
      </c>
    </row>
    <row r="2402" spans="1:19" hidden="1" x14ac:dyDescent="0.25">
      <c r="A2402" s="5" t="str">
        <f t="shared" si="1013"/>
        <v>44000RUT</v>
      </c>
      <c r="B2402" s="6" t="s">
        <v>7</v>
      </c>
      <c r="C2402" s="6">
        <v>1336</v>
      </c>
      <c r="D2402" s="6">
        <v>1451</v>
      </c>
      <c r="E2402" s="6">
        <v>1426</v>
      </c>
      <c r="F2402" t="str">
        <f t="shared" si="1017"/>
        <v>THU</v>
      </c>
      <c r="G2402" s="3">
        <f t="shared" si="1018"/>
        <v>44000</v>
      </c>
      <c r="H2402" s="2">
        <f t="shared" ca="1" si="1019"/>
        <v>253</v>
      </c>
      <c r="I2402" t="str">
        <f t="shared" si="1020"/>
        <v>RUT</v>
      </c>
      <c r="J2402">
        <f t="shared" si="1021"/>
        <v>1336</v>
      </c>
      <c r="K2402">
        <f t="shared" si="1022"/>
        <v>1451</v>
      </c>
      <c r="L2402">
        <f t="shared" si="1023"/>
        <v>1393.5</v>
      </c>
      <c r="M2402">
        <f t="shared" si="1024"/>
        <v>57.5</v>
      </c>
      <c r="N2402">
        <f t="shared" si="1014"/>
        <v>115</v>
      </c>
      <c r="O2402">
        <f t="shared" si="1025"/>
        <v>1426</v>
      </c>
      <c r="P2402">
        <f t="shared" si="1026"/>
        <v>0.56521739130434778</v>
      </c>
      <c r="Q2402" t="str">
        <f t="shared" si="1015"/>
        <v>6.31% | 1.75%</v>
      </c>
      <c r="R2402" t="str">
        <f t="shared" si="1027"/>
        <v>BEARISH</v>
      </c>
      <c r="S2402">
        <f t="shared" si="1016"/>
        <v>-1</v>
      </c>
    </row>
    <row r="2403" spans="1:19" hidden="1" x14ac:dyDescent="0.25">
      <c r="A2403" s="5" t="str">
        <f t="shared" si="1013"/>
        <v>44000COMPQ</v>
      </c>
      <c r="B2403" s="6" t="s">
        <v>8</v>
      </c>
      <c r="C2403" s="6">
        <v>9476</v>
      </c>
      <c r="D2403" s="6">
        <v>10012</v>
      </c>
      <c r="E2403" s="6">
        <v>9910</v>
      </c>
      <c r="F2403" t="str">
        <f t="shared" si="1017"/>
        <v>THU</v>
      </c>
      <c r="G2403" s="3">
        <f t="shared" si="1018"/>
        <v>44000</v>
      </c>
      <c r="H2403" s="2">
        <f t="shared" ca="1" si="1019"/>
        <v>253</v>
      </c>
      <c r="I2403" t="str">
        <f t="shared" si="1020"/>
        <v>COMPQ</v>
      </c>
      <c r="J2403">
        <f t="shared" si="1021"/>
        <v>9476</v>
      </c>
      <c r="K2403">
        <f t="shared" si="1022"/>
        <v>10012</v>
      </c>
      <c r="L2403">
        <f t="shared" si="1023"/>
        <v>9744</v>
      </c>
      <c r="M2403">
        <f t="shared" si="1024"/>
        <v>268</v>
      </c>
      <c r="N2403">
        <f t="shared" si="1014"/>
        <v>536</v>
      </c>
      <c r="O2403">
        <f t="shared" si="1025"/>
        <v>9910</v>
      </c>
      <c r="P2403">
        <f t="shared" si="1026"/>
        <v>0.61940298507462688</v>
      </c>
      <c r="Q2403" t="str">
        <f t="shared" si="1015"/>
        <v>4.38% | 1.03%</v>
      </c>
      <c r="R2403" t="str">
        <f t="shared" si="1027"/>
        <v>BULLISH</v>
      </c>
      <c r="S2403">
        <f t="shared" si="1016"/>
        <v>1</v>
      </c>
    </row>
    <row r="2404" spans="1:19" hidden="1" x14ac:dyDescent="0.25">
      <c r="A2404" s="5" t="str">
        <f t="shared" si="1013"/>
        <v>44000XLK</v>
      </c>
      <c r="B2404" s="6" t="s">
        <v>10</v>
      </c>
      <c r="C2404" s="6">
        <v>97.34</v>
      </c>
      <c r="D2404" s="6">
        <v>104.9</v>
      </c>
      <c r="E2404" s="6">
        <v>102.49</v>
      </c>
      <c r="F2404" t="str">
        <f t="shared" si="1017"/>
        <v>THU</v>
      </c>
      <c r="G2404" s="3">
        <f t="shared" si="1018"/>
        <v>44000</v>
      </c>
      <c r="H2404" s="2">
        <f t="shared" ca="1" si="1019"/>
        <v>253</v>
      </c>
      <c r="I2404" t="str">
        <f t="shared" si="1020"/>
        <v>XLK</v>
      </c>
      <c r="J2404">
        <f t="shared" si="1021"/>
        <v>97.34</v>
      </c>
      <c r="K2404">
        <f t="shared" si="1022"/>
        <v>104.9</v>
      </c>
      <c r="L2404">
        <f t="shared" si="1023"/>
        <v>101.12</v>
      </c>
      <c r="M2404">
        <f t="shared" si="1024"/>
        <v>3.7800000000000011</v>
      </c>
      <c r="N2404">
        <f t="shared" si="1014"/>
        <v>7.5600000000000023</v>
      </c>
      <c r="O2404">
        <f t="shared" si="1025"/>
        <v>102.49</v>
      </c>
      <c r="P2404">
        <f t="shared" si="1026"/>
        <v>0.36243386243385978</v>
      </c>
      <c r="Q2404" t="str">
        <f t="shared" si="1015"/>
        <v>5.02% | 2.35%</v>
      </c>
      <c r="R2404" t="str">
        <f t="shared" si="1027"/>
        <v>BULLISH</v>
      </c>
      <c r="S2404">
        <f t="shared" si="1016"/>
        <v>1</v>
      </c>
    </row>
    <row r="2405" spans="1:19" hidden="1" x14ac:dyDescent="0.25">
      <c r="A2405" s="5" t="str">
        <f t="shared" si="1013"/>
        <v>44000XLU</v>
      </c>
      <c r="B2405" s="6" t="s">
        <v>52</v>
      </c>
      <c r="C2405" s="6">
        <v>57.27</v>
      </c>
      <c r="D2405" s="6">
        <v>63.15</v>
      </c>
      <c r="E2405" s="6">
        <v>59.16</v>
      </c>
      <c r="F2405" t="str">
        <f t="shared" si="1017"/>
        <v>THU</v>
      </c>
      <c r="G2405" s="3">
        <f t="shared" si="1018"/>
        <v>44000</v>
      </c>
      <c r="H2405" s="2">
        <f t="shared" ca="1" si="1019"/>
        <v>253</v>
      </c>
      <c r="I2405" t="str">
        <f t="shared" si="1020"/>
        <v>XLU</v>
      </c>
      <c r="J2405">
        <f t="shared" si="1021"/>
        <v>57.27</v>
      </c>
      <c r="K2405">
        <f t="shared" si="1022"/>
        <v>63.15</v>
      </c>
      <c r="L2405">
        <f t="shared" si="1023"/>
        <v>60.21</v>
      </c>
      <c r="M2405">
        <f t="shared" si="1024"/>
        <v>2.9399999999999977</v>
      </c>
      <c r="N2405">
        <f t="shared" si="1014"/>
        <v>5.8799999999999955</v>
      </c>
      <c r="O2405">
        <f t="shared" si="1025"/>
        <v>59.16</v>
      </c>
      <c r="P2405">
        <f t="shared" si="1026"/>
        <v>-0.35714285714285887</v>
      </c>
      <c r="Q2405" t="str">
        <f t="shared" si="1015"/>
        <v>3.19% | 6.74%</v>
      </c>
      <c r="R2405" t="str">
        <f t="shared" si="1027"/>
        <v>BULLISH</v>
      </c>
      <c r="S2405">
        <f t="shared" si="1016"/>
        <v>1</v>
      </c>
    </row>
    <row r="2406" spans="1:19" hidden="1" x14ac:dyDescent="0.25">
      <c r="A2406" s="5" t="str">
        <f t="shared" si="1013"/>
        <v>44000XLRE</v>
      </c>
      <c r="B2406" s="6" t="s">
        <v>97</v>
      </c>
      <c r="C2406" s="6">
        <v>34.39</v>
      </c>
      <c r="D2406" s="6">
        <v>38.4</v>
      </c>
      <c r="E2406" s="6">
        <v>36.159999999999997</v>
      </c>
      <c r="F2406" t="str">
        <f t="shared" si="1017"/>
        <v>THU</v>
      </c>
      <c r="G2406" s="3">
        <f t="shared" si="1018"/>
        <v>44000</v>
      </c>
      <c r="H2406" s="2">
        <f t="shared" ca="1" si="1019"/>
        <v>253</v>
      </c>
      <c r="I2406" t="str">
        <f t="shared" si="1020"/>
        <v>XLRE</v>
      </c>
      <c r="J2406">
        <f t="shared" si="1021"/>
        <v>34.39</v>
      </c>
      <c r="K2406">
        <f t="shared" si="1022"/>
        <v>38.4</v>
      </c>
      <c r="L2406">
        <f t="shared" si="1023"/>
        <v>36.394999999999996</v>
      </c>
      <c r="M2406">
        <f t="shared" si="1024"/>
        <v>2.004999999999999</v>
      </c>
      <c r="N2406">
        <f t="shared" si="1014"/>
        <v>4.009999999999998</v>
      </c>
      <c r="O2406">
        <f t="shared" si="1025"/>
        <v>36.159999999999997</v>
      </c>
      <c r="P2406">
        <f t="shared" si="1026"/>
        <v>-0.11720698254364068</v>
      </c>
      <c r="Q2406" t="str">
        <f t="shared" si="1015"/>
        <v>4.89% | 6.19%</v>
      </c>
      <c r="R2406" t="str">
        <f t="shared" si="1027"/>
        <v>BULLISH</v>
      </c>
      <c r="S2406">
        <f t="shared" si="1016"/>
        <v>1</v>
      </c>
    </row>
    <row r="2407" spans="1:19" hidden="1" x14ac:dyDescent="0.25">
      <c r="A2407" s="5" t="str">
        <f t="shared" si="1013"/>
        <v>44000XLF</v>
      </c>
      <c r="B2407" s="6" t="s">
        <v>12</v>
      </c>
      <c r="C2407" s="6">
        <v>22.26</v>
      </c>
      <c r="D2407" s="6">
        <v>25.01</v>
      </c>
      <c r="E2407" s="6">
        <v>24.17</v>
      </c>
      <c r="F2407" t="str">
        <f t="shared" si="1017"/>
        <v>THU</v>
      </c>
      <c r="G2407" s="3">
        <f t="shared" si="1018"/>
        <v>44000</v>
      </c>
      <c r="H2407" s="2">
        <f t="shared" ca="1" si="1019"/>
        <v>253</v>
      </c>
      <c r="I2407" t="str">
        <f t="shared" si="1020"/>
        <v>XLF</v>
      </c>
      <c r="J2407">
        <f t="shared" si="1021"/>
        <v>22.26</v>
      </c>
      <c r="K2407">
        <f t="shared" si="1022"/>
        <v>25.01</v>
      </c>
      <c r="L2407">
        <f t="shared" si="1023"/>
        <v>23.635000000000002</v>
      </c>
      <c r="M2407">
        <f t="shared" si="1024"/>
        <v>1.375</v>
      </c>
      <c r="N2407">
        <f t="shared" si="1014"/>
        <v>2.75</v>
      </c>
      <c r="O2407">
        <f t="shared" si="1025"/>
        <v>24.17</v>
      </c>
      <c r="P2407">
        <f t="shared" si="1026"/>
        <v>0.38909090909090921</v>
      </c>
      <c r="Q2407" t="str">
        <f t="shared" si="1015"/>
        <v>7.9% | 3.48%</v>
      </c>
      <c r="R2407" t="str">
        <f t="shared" si="1027"/>
        <v>BEARISH</v>
      </c>
      <c r="S2407">
        <f t="shared" si="1016"/>
        <v>-1</v>
      </c>
    </row>
    <row r="2408" spans="1:19" hidden="1" x14ac:dyDescent="0.25">
      <c r="A2408" s="5" t="str">
        <f t="shared" si="1013"/>
        <v>44000SSEC</v>
      </c>
      <c r="B2408" s="6" t="s">
        <v>14</v>
      </c>
      <c r="C2408" s="6">
        <v>2880</v>
      </c>
      <c r="D2408" s="6">
        <v>2965</v>
      </c>
      <c r="E2408" s="6">
        <v>2939</v>
      </c>
      <c r="F2408" t="str">
        <f t="shared" si="1017"/>
        <v>THU</v>
      </c>
      <c r="G2408" s="3">
        <f t="shared" si="1018"/>
        <v>44000</v>
      </c>
      <c r="H2408" s="2">
        <f t="shared" ca="1" si="1019"/>
        <v>253</v>
      </c>
      <c r="I2408" t="str">
        <f t="shared" si="1020"/>
        <v>SSEC</v>
      </c>
      <c r="J2408">
        <f t="shared" si="1021"/>
        <v>2880</v>
      </c>
      <c r="K2408">
        <f t="shared" si="1022"/>
        <v>2965</v>
      </c>
      <c r="L2408">
        <f t="shared" si="1023"/>
        <v>2922.5</v>
      </c>
      <c r="M2408">
        <f t="shared" si="1024"/>
        <v>42.5</v>
      </c>
      <c r="N2408">
        <f t="shared" si="1014"/>
        <v>85</v>
      </c>
      <c r="O2408">
        <f t="shared" si="1025"/>
        <v>2939</v>
      </c>
      <c r="P2408">
        <f t="shared" si="1026"/>
        <v>0.38823529411764707</v>
      </c>
      <c r="Q2408" t="str">
        <f t="shared" si="1015"/>
        <v>2.01% | 0.88%</v>
      </c>
      <c r="R2408" t="str">
        <f t="shared" si="1027"/>
        <v>BEARISH</v>
      </c>
      <c r="S2408">
        <f t="shared" si="1016"/>
        <v>-1</v>
      </c>
    </row>
    <row r="2409" spans="1:19" hidden="1" x14ac:dyDescent="0.25">
      <c r="A2409" s="5" t="str">
        <f t="shared" si="1013"/>
        <v>44000NIKK</v>
      </c>
      <c r="B2409" s="6" t="s">
        <v>15</v>
      </c>
      <c r="C2409" s="6">
        <v>21607</v>
      </c>
      <c r="D2409" s="6">
        <v>22672</v>
      </c>
      <c r="E2409" s="6">
        <v>22355</v>
      </c>
      <c r="F2409" t="str">
        <f t="shared" si="1017"/>
        <v>THU</v>
      </c>
      <c r="G2409" s="3">
        <f t="shared" si="1018"/>
        <v>44000</v>
      </c>
      <c r="H2409" s="2">
        <f t="shared" ca="1" si="1019"/>
        <v>253</v>
      </c>
      <c r="I2409" t="str">
        <f t="shared" si="1020"/>
        <v>NIKK</v>
      </c>
      <c r="J2409">
        <f t="shared" si="1021"/>
        <v>21607</v>
      </c>
      <c r="K2409">
        <f t="shared" si="1022"/>
        <v>22672</v>
      </c>
      <c r="L2409">
        <f t="shared" si="1023"/>
        <v>22139.5</v>
      </c>
      <c r="M2409">
        <f t="shared" si="1024"/>
        <v>532.5</v>
      </c>
      <c r="N2409">
        <f t="shared" si="1014"/>
        <v>1065</v>
      </c>
      <c r="O2409">
        <f t="shared" si="1025"/>
        <v>22355</v>
      </c>
      <c r="P2409">
        <f t="shared" si="1026"/>
        <v>0.40469483568075115</v>
      </c>
      <c r="Q2409" t="str">
        <f t="shared" si="1015"/>
        <v>3.35% | 1.42%</v>
      </c>
      <c r="R2409" t="str">
        <f t="shared" si="1027"/>
        <v>BEARISH</v>
      </c>
      <c r="S2409">
        <f t="shared" si="1016"/>
        <v>-1</v>
      </c>
    </row>
    <row r="2410" spans="1:19" hidden="1" x14ac:dyDescent="0.25">
      <c r="A2410" s="5" t="str">
        <f t="shared" si="1013"/>
        <v>44000DAX</v>
      </c>
      <c r="B2410" s="6" t="s">
        <v>16</v>
      </c>
      <c r="C2410" s="6">
        <v>11616</v>
      </c>
      <c r="D2410" s="6">
        <v>12672</v>
      </c>
      <c r="E2410" s="6">
        <v>12376</v>
      </c>
      <c r="F2410" t="str">
        <f t="shared" si="1017"/>
        <v>THU</v>
      </c>
      <c r="G2410" s="3">
        <f t="shared" si="1018"/>
        <v>44000</v>
      </c>
      <c r="H2410" s="2">
        <f t="shared" ca="1" si="1019"/>
        <v>253</v>
      </c>
      <c r="I2410" t="str">
        <f t="shared" si="1020"/>
        <v>DAX</v>
      </c>
      <c r="J2410">
        <f t="shared" si="1021"/>
        <v>11616</v>
      </c>
      <c r="K2410">
        <f t="shared" si="1022"/>
        <v>12672</v>
      </c>
      <c r="L2410">
        <f t="shared" si="1023"/>
        <v>12144</v>
      </c>
      <c r="M2410">
        <f t="shared" si="1024"/>
        <v>528</v>
      </c>
      <c r="N2410">
        <f t="shared" si="1014"/>
        <v>1056</v>
      </c>
      <c r="O2410">
        <f t="shared" si="1025"/>
        <v>12376</v>
      </c>
      <c r="P2410">
        <f t="shared" si="1026"/>
        <v>0.43939393939393939</v>
      </c>
      <c r="Q2410" t="str">
        <f t="shared" si="1015"/>
        <v>6.14% | 2.39%</v>
      </c>
      <c r="R2410" t="str">
        <f t="shared" si="1027"/>
        <v>BEARISH</v>
      </c>
      <c r="S2410">
        <f t="shared" si="1016"/>
        <v>-1</v>
      </c>
    </row>
    <row r="2411" spans="1:19" hidden="1" x14ac:dyDescent="0.25">
      <c r="A2411" s="5" t="str">
        <f t="shared" si="1013"/>
        <v>44000VIX</v>
      </c>
      <c r="B2411" s="6" t="s">
        <v>17</v>
      </c>
      <c r="C2411" s="6">
        <v>29.54</v>
      </c>
      <c r="D2411" s="6">
        <v>41.89</v>
      </c>
      <c r="E2411" s="6">
        <v>33.47</v>
      </c>
      <c r="F2411" t="str">
        <f t="shared" si="1017"/>
        <v>THU</v>
      </c>
      <c r="G2411" s="3">
        <f t="shared" si="1018"/>
        <v>44000</v>
      </c>
      <c r="H2411" s="2">
        <f t="shared" ca="1" si="1019"/>
        <v>253</v>
      </c>
      <c r="I2411" t="str">
        <f t="shared" si="1020"/>
        <v>VIX</v>
      </c>
      <c r="J2411">
        <f t="shared" si="1021"/>
        <v>29.54</v>
      </c>
      <c r="K2411">
        <f t="shared" si="1022"/>
        <v>41.89</v>
      </c>
      <c r="L2411">
        <f t="shared" si="1023"/>
        <v>35.715000000000003</v>
      </c>
      <c r="M2411">
        <f t="shared" si="1024"/>
        <v>6.1750000000000007</v>
      </c>
      <c r="N2411">
        <f t="shared" si="1014"/>
        <v>12.350000000000001</v>
      </c>
      <c r="O2411">
        <f t="shared" si="1025"/>
        <v>33.47</v>
      </c>
      <c r="P2411">
        <f t="shared" si="1026"/>
        <v>-0.36356275303643792</v>
      </c>
      <c r="Q2411" t="str">
        <f t="shared" si="1015"/>
        <v>11.74% | 25.16%</v>
      </c>
      <c r="R2411" t="str">
        <f t="shared" si="1027"/>
        <v>BULLISH</v>
      </c>
      <c r="S2411">
        <f t="shared" si="1016"/>
        <v>1</v>
      </c>
    </row>
    <row r="2412" spans="1:19" hidden="1" x14ac:dyDescent="0.25">
      <c r="A2412" s="5" t="str">
        <f t="shared" si="1013"/>
        <v>44000USD</v>
      </c>
      <c r="B2412" s="6" t="s">
        <v>94</v>
      </c>
      <c r="C2412" s="6">
        <v>95.85</v>
      </c>
      <c r="D2412" s="6">
        <v>97.89</v>
      </c>
      <c r="E2412" s="6">
        <v>97.14</v>
      </c>
      <c r="F2412" t="str">
        <f t="shared" si="1017"/>
        <v>THU</v>
      </c>
      <c r="G2412" s="3">
        <f t="shared" si="1018"/>
        <v>44000</v>
      </c>
      <c r="H2412" s="2">
        <f t="shared" ca="1" si="1019"/>
        <v>253</v>
      </c>
      <c r="I2412" t="str">
        <f t="shared" si="1020"/>
        <v>USD</v>
      </c>
      <c r="J2412">
        <f t="shared" si="1021"/>
        <v>95.85</v>
      </c>
      <c r="K2412">
        <f t="shared" si="1022"/>
        <v>97.89</v>
      </c>
      <c r="L2412">
        <f t="shared" si="1023"/>
        <v>96.87</v>
      </c>
      <c r="M2412">
        <f t="shared" si="1024"/>
        <v>1.0200000000000031</v>
      </c>
      <c r="N2412">
        <f t="shared" si="1014"/>
        <v>2.0400000000000063</v>
      </c>
      <c r="O2412">
        <f t="shared" si="1025"/>
        <v>97.14</v>
      </c>
      <c r="P2412">
        <f t="shared" si="1026"/>
        <v>0.26470588235293646</v>
      </c>
      <c r="Q2412" t="str">
        <f t="shared" si="1015"/>
        <v>1.33% | 0.77%</v>
      </c>
      <c r="R2412" t="str">
        <f t="shared" si="1027"/>
        <v>BEARISH</v>
      </c>
      <c r="S2412">
        <f t="shared" si="1016"/>
        <v>-1</v>
      </c>
    </row>
    <row r="2413" spans="1:19" hidden="1" x14ac:dyDescent="0.25">
      <c r="A2413" s="5" t="str">
        <f t="shared" si="1013"/>
        <v>44000EUR/USD</v>
      </c>
      <c r="B2413" s="6" t="s">
        <v>77</v>
      </c>
      <c r="C2413" s="6">
        <v>1.1200000000000001</v>
      </c>
      <c r="D2413" s="6">
        <v>1.1399999999999999</v>
      </c>
      <c r="E2413" s="6">
        <v>1.1200000000000001</v>
      </c>
      <c r="F2413" t="str">
        <f t="shared" si="1017"/>
        <v>THU</v>
      </c>
      <c r="G2413" s="3">
        <f t="shared" si="1018"/>
        <v>44000</v>
      </c>
      <c r="H2413" s="2">
        <f t="shared" ca="1" si="1019"/>
        <v>253</v>
      </c>
      <c r="I2413" t="str">
        <f t="shared" si="1020"/>
        <v>EUR/USD</v>
      </c>
      <c r="J2413">
        <f t="shared" si="1021"/>
        <v>1.1200000000000001</v>
      </c>
      <c r="K2413">
        <f t="shared" si="1022"/>
        <v>1.1399999999999999</v>
      </c>
      <c r="L2413">
        <f t="shared" si="1023"/>
        <v>1.1299999999999999</v>
      </c>
      <c r="M2413">
        <f t="shared" si="1024"/>
        <v>9.9999999999998979E-3</v>
      </c>
      <c r="N2413">
        <f t="shared" si="1014"/>
        <v>1.9999999999999796E-2</v>
      </c>
      <c r="O2413">
        <f t="shared" si="1025"/>
        <v>1.1200000000000001</v>
      </c>
      <c r="P2413">
        <f t="shared" si="1026"/>
        <v>-0.9999999999999889</v>
      </c>
      <c r="Q2413" t="str">
        <f t="shared" si="1015"/>
        <v>0% | 1.79%</v>
      </c>
      <c r="R2413" t="str">
        <f t="shared" si="1027"/>
        <v>NEUTRAL</v>
      </c>
      <c r="S2413">
        <f t="shared" si="1016"/>
        <v>0</v>
      </c>
    </row>
    <row r="2414" spans="1:19" hidden="1" x14ac:dyDescent="0.25">
      <c r="A2414" s="5" t="str">
        <f t="shared" si="1013"/>
        <v>44000USD/JPY</v>
      </c>
      <c r="B2414" s="6" t="s">
        <v>86</v>
      </c>
      <c r="C2414" s="6">
        <v>106.03</v>
      </c>
      <c r="D2414" s="6">
        <v>110.01</v>
      </c>
      <c r="E2414" s="6">
        <v>106.97</v>
      </c>
      <c r="F2414" t="str">
        <f t="shared" si="1017"/>
        <v>THU</v>
      </c>
      <c r="G2414" s="3">
        <f t="shared" si="1018"/>
        <v>44000</v>
      </c>
      <c r="H2414" s="2">
        <f t="shared" ca="1" si="1019"/>
        <v>253</v>
      </c>
      <c r="I2414" t="str">
        <f t="shared" si="1020"/>
        <v>USD/JPY</v>
      </c>
      <c r="J2414">
        <f t="shared" si="1021"/>
        <v>106.03</v>
      </c>
      <c r="K2414">
        <f t="shared" si="1022"/>
        <v>110.01</v>
      </c>
      <c r="L2414">
        <f t="shared" si="1023"/>
        <v>108.02000000000001</v>
      </c>
      <c r="M2414">
        <f t="shared" si="1024"/>
        <v>1.990000000000002</v>
      </c>
      <c r="N2414">
        <f t="shared" si="1014"/>
        <v>3.980000000000004</v>
      </c>
      <c r="O2414">
        <f t="shared" si="1025"/>
        <v>106.97</v>
      </c>
      <c r="P2414">
        <f t="shared" si="1026"/>
        <v>-0.52763819095477904</v>
      </c>
      <c r="Q2414" t="str">
        <f t="shared" si="1015"/>
        <v>0.88% | 2.84%</v>
      </c>
      <c r="R2414" t="str">
        <f t="shared" si="1027"/>
        <v>NEUTRAL</v>
      </c>
      <c r="S2414">
        <f t="shared" si="1016"/>
        <v>0</v>
      </c>
    </row>
    <row r="2415" spans="1:19" hidden="1" x14ac:dyDescent="0.25">
      <c r="A2415" s="5" t="str">
        <f t="shared" si="1013"/>
        <v>44000GBP/USD</v>
      </c>
      <c r="B2415" s="6" t="s">
        <v>102</v>
      </c>
      <c r="C2415" s="6">
        <v>1.24</v>
      </c>
      <c r="D2415" s="6">
        <v>1.28</v>
      </c>
      <c r="E2415" s="6">
        <v>1.26</v>
      </c>
      <c r="F2415" t="str">
        <f t="shared" si="1017"/>
        <v>THU</v>
      </c>
      <c r="G2415" s="3">
        <f t="shared" si="1018"/>
        <v>44000</v>
      </c>
      <c r="H2415" s="2">
        <f t="shared" ca="1" si="1019"/>
        <v>253</v>
      </c>
      <c r="I2415" t="str">
        <f t="shared" si="1020"/>
        <v>GBP/USD</v>
      </c>
      <c r="J2415">
        <f t="shared" si="1021"/>
        <v>1.24</v>
      </c>
      <c r="K2415">
        <f t="shared" si="1022"/>
        <v>1.28</v>
      </c>
      <c r="L2415">
        <f t="shared" si="1023"/>
        <v>1.26</v>
      </c>
      <c r="M2415">
        <f t="shared" si="1024"/>
        <v>2.0000000000000018E-2</v>
      </c>
      <c r="N2415">
        <f t="shared" si="1014"/>
        <v>4.0000000000000036E-2</v>
      </c>
      <c r="O2415">
        <f t="shared" si="1025"/>
        <v>1.26</v>
      </c>
      <c r="P2415">
        <f t="shared" si="1026"/>
        <v>0</v>
      </c>
      <c r="Q2415" t="str">
        <f t="shared" si="1015"/>
        <v>1.59% | 1.59%</v>
      </c>
      <c r="R2415" t="str">
        <f t="shared" si="1027"/>
        <v>BULLISH</v>
      </c>
      <c r="S2415">
        <f t="shared" si="1016"/>
        <v>1</v>
      </c>
    </row>
    <row r="2416" spans="1:19" hidden="1" x14ac:dyDescent="0.25">
      <c r="A2416" s="5" t="str">
        <f t="shared" si="1013"/>
        <v>44000USD/CHF</v>
      </c>
      <c r="B2416" s="6" t="s">
        <v>76</v>
      </c>
      <c r="C2416" s="6">
        <v>0.94</v>
      </c>
      <c r="D2416" s="6">
        <v>0.96</v>
      </c>
      <c r="E2416" s="6">
        <v>0.94</v>
      </c>
      <c r="F2416" t="str">
        <f t="shared" si="1017"/>
        <v>THU</v>
      </c>
      <c r="G2416" s="3">
        <f t="shared" si="1018"/>
        <v>44000</v>
      </c>
      <c r="H2416" s="2">
        <f t="shared" ca="1" si="1019"/>
        <v>253</v>
      </c>
      <c r="I2416" t="str">
        <f t="shared" si="1020"/>
        <v>USD/CHF</v>
      </c>
      <c r="J2416">
        <f t="shared" si="1021"/>
        <v>0.94</v>
      </c>
      <c r="K2416">
        <f t="shared" si="1022"/>
        <v>0.96</v>
      </c>
      <c r="L2416">
        <f t="shared" si="1023"/>
        <v>0.95</v>
      </c>
      <c r="M2416">
        <f t="shared" si="1024"/>
        <v>1.0000000000000009E-2</v>
      </c>
      <c r="N2416">
        <f t="shared" si="1014"/>
        <v>2.0000000000000018E-2</v>
      </c>
      <c r="O2416">
        <f t="shared" si="1025"/>
        <v>0.94</v>
      </c>
      <c r="P2416">
        <f t="shared" si="1026"/>
        <v>-1</v>
      </c>
      <c r="Q2416" t="str">
        <f t="shared" si="1015"/>
        <v>0% | 2.13%</v>
      </c>
      <c r="R2416" t="str">
        <f t="shared" si="1027"/>
        <v>BEARISH</v>
      </c>
      <c r="S2416">
        <f t="shared" si="1016"/>
        <v>-1</v>
      </c>
    </row>
    <row r="2417" spans="1:19" hidden="1" x14ac:dyDescent="0.25">
      <c r="A2417" s="5" t="str">
        <f t="shared" si="1013"/>
        <v>44000WTIC</v>
      </c>
      <c r="B2417" s="6" t="s">
        <v>23</v>
      </c>
      <c r="C2417" s="6">
        <v>34.119999999999997</v>
      </c>
      <c r="D2417" s="6">
        <v>40.53</v>
      </c>
      <c r="E2417" s="6">
        <v>38.21</v>
      </c>
      <c r="F2417" t="str">
        <f t="shared" si="1017"/>
        <v>THU</v>
      </c>
      <c r="G2417" s="3">
        <f t="shared" si="1018"/>
        <v>44000</v>
      </c>
      <c r="H2417" s="2">
        <f t="shared" ca="1" si="1019"/>
        <v>253</v>
      </c>
      <c r="I2417" t="str">
        <f t="shared" si="1020"/>
        <v>WTIC</v>
      </c>
      <c r="J2417">
        <f t="shared" si="1021"/>
        <v>34.119999999999997</v>
      </c>
      <c r="K2417">
        <f t="shared" si="1022"/>
        <v>40.53</v>
      </c>
      <c r="L2417">
        <f t="shared" si="1023"/>
        <v>37.325000000000003</v>
      </c>
      <c r="M2417">
        <f t="shared" si="1024"/>
        <v>3.2050000000000018</v>
      </c>
      <c r="N2417">
        <f t="shared" si="1014"/>
        <v>6.4100000000000037</v>
      </c>
      <c r="O2417">
        <f t="shared" si="1025"/>
        <v>38.21</v>
      </c>
      <c r="P2417">
        <f t="shared" si="1026"/>
        <v>0.27613104524180887</v>
      </c>
      <c r="Q2417" t="str">
        <f t="shared" si="1015"/>
        <v>10.7% | 6.07%</v>
      </c>
      <c r="R2417" t="str">
        <f t="shared" si="1027"/>
        <v>BEARISH</v>
      </c>
      <c r="S2417">
        <f t="shared" si="1016"/>
        <v>-1</v>
      </c>
    </row>
    <row r="2418" spans="1:19" hidden="1" x14ac:dyDescent="0.25">
      <c r="A2418" s="5" t="str">
        <f t="shared" si="1013"/>
        <v>44000NATGAS</v>
      </c>
      <c r="B2418" s="6" t="s">
        <v>24</v>
      </c>
      <c r="C2418" s="6">
        <v>1.58</v>
      </c>
      <c r="D2418" s="6">
        <v>1.78</v>
      </c>
      <c r="E2418" s="6">
        <v>1.64</v>
      </c>
      <c r="F2418" t="str">
        <f t="shared" si="1017"/>
        <v>THU</v>
      </c>
      <c r="G2418" s="3">
        <f t="shared" si="1018"/>
        <v>44000</v>
      </c>
      <c r="H2418" s="2">
        <f t="shared" ca="1" si="1019"/>
        <v>253</v>
      </c>
      <c r="I2418" t="str">
        <f t="shared" si="1020"/>
        <v>NATGAS</v>
      </c>
      <c r="J2418">
        <f t="shared" si="1021"/>
        <v>1.58</v>
      </c>
      <c r="K2418">
        <f t="shared" si="1022"/>
        <v>1.78</v>
      </c>
      <c r="L2418">
        <f t="shared" si="1023"/>
        <v>1.6800000000000002</v>
      </c>
      <c r="M2418">
        <f t="shared" si="1024"/>
        <v>9.9999999999999978E-2</v>
      </c>
      <c r="N2418">
        <f t="shared" si="1014"/>
        <v>0.19999999999999996</v>
      </c>
      <c r="O2418">
        <f t="shared" si="1025"/>
        <v>1.64</v>
      </c>
      <c r="P2418">
        <f t="shared" si="1026"/>
        <v>-0.40000000000000269</v>
      </c>
      <c r="Q2418" t="str">
        <f t="shared" si="1015"/>
        <v>3.66% | 8.54%</v>
      </c>
      <c r="R2418" t="str">
        <f t="shared" si="1027"/>
        <v>BEARISH</v>
      </c>
      <c r="S2418">
        <f t="shared" si="1016"/>
        <v>-1</v>
      </c>
    </row>
    <row r="2419" spans="1:19" hidden="1" x14ac:dyDescent="0.25">
      <c r="A2419" s="5" t="str">
        <f t="shared" si="1013"/>
        <v>44000GOLD</v>
      </c>
      <c r="B2419" s="6" t="s">
        <v>25</v>
      </c>
      <c r="C2419" s="6">
        <v>1688</v>
      </c>
      <c r="D2419" s="6">
        <v>1761</v>
      </c>
      <c r="E2419" s="6">
        <v>1735</v>
      </c>
      <c r="F2419" t="str">
        <f t="shared" si="1017"/>
        <v>THU</v>
      </c>
      <c r="G2419" s="3">
        <f t="shared" si="1018"/>
        <v>44000</v>
      </c>
      <c r="H2419" s="2">
        <f t="shared" ca="1" si="1019"/>
        <v>253</v>
      </c>
      <c r="I2419" t="str">
        <f t="shared" si="1020"/>
        <v>GOLD</v>
      </c>
      <c r="J2419">
        <f t="shared" si="1021"/>
        <v>1688</v>
      </c>
      <c r="K2419">
        <f t="shared" si="1022"/>
        <v>1761</v>
      </c>
      <c r="L2419">
        <f t="shared" si="1023"/>
        <v>1724.5</v>
      </c>
      <c r="M2419">
        <f t="shared" si="1024"/>
        <v>36.5</v>
      </c>
      <c r="N2419">
        <f t="shared" si="1014"/>
        <v>73</v>
      </c>
      <c r="O2419">
        <f t="shared" si="1025"/>
        <v>1735</v>
      </c>
      <c r="P2419">
        <f t="shared" si="1026"/>
        <v>0.28767123287671231</v>
      </c>
      <c r="Q2419" t="str">
        <f t="shared" si="1015"/>
        <v>2.71% | 1.5%</v>
      </c>
      <c r="R2419" t="str">
        <f t="shared" si="1027"/>
        <v>BULLISH</v>
      </c>
      <c r="S2419">
        <f t="shared" si="1016"/>
        <v>1</v>
      </c>
    </row>
    <row r="2420" spans="1:19" hidden="1" x14ac:dyDescent="0.25">
      <c r="A2420" s="5" t="str">
        <f t="shared" si="1013"/>
        <v>44000COPPER</v>
      </c>
      <c r="B2420" s="6" t="s">
        <v>100</v>
      </c>
      <c r="C2420" s="6">
        <v>2.4900000000000002</v>
      </c>
      <c r="D2420" s="6">
        <v>2.67</v>
      </c>
      <c r="E2420" s="6">
        <v>2.59</v>
      </c>
      <c r="F2420" t="str">
        <f t="shared" si="1017"/>
        <v>THU</v>
      </c>
      <c r="G2420" s="3">
        <f t="shared" si="1018"/>
        <v>44000</v>
      </c>
      <c r="H2420" s="2">
        <f t="shared" ca="1" si="1019"/>
        <v>253</v>
      </c>
      <c r="I2420" t="str">
        <f t="shared" si="1020"/>
        <v>COPPER</v>
      </c>
      <c r="J2420">
        <f t="shared" si="1021"/>
        <v>2.4900000000000002</v>
      </c>
      <c r="K2420">
        <f t="shared" si="1022"/>
        <v>2.67</v>
      </c>
      <c r="L2420">
        <f t="shared" si="1023"/>
        <v>2.58</v>
      </c>
      <c r="M2420">
        <f t="shared" si="1024"/>
        <v>8.9999999999999858E-2</v>
      </c>
      <c r="N2420">
        <f t="shared" si="1014"/>
        <v>0.17999999999999972</v>
      </c>
      <c r="O2420">
        <f t="shared" si="1025"/>
        <v>2.59</v>
      </c>
      <c r="P2420">
        <f t="shared" si="1026"/>
        <v>0.11111111111110891</v>
      </c>
      <c r="Q2420" t="str">
        <f t="shared" si="1015"/>
        <v>3.86% | 3.09%</v>
      </c>
      <c r="R2420" t="str">
        <f t="shared" si="1027"/>
        <v>BULLISH</v>
      </c>
      <c r="S2420">
        <f t="shared" si="1016"/>
        <v>1</v>
      </c>
    </row>
    <row r="2421" spans="1:19" hidden="1" x14ac:dyDescent="0.25">
      <c r="A2421" s="5" t="str">
        <f t="shared" si="1013"/>
        <v>44000MSFT</v>
      </c>
      <c r="B2421" s="6" t="s">
        <v>27</v>
      </c>
      <c r="C2421" s="6">
        <v>182</v>
      </c>
      <c r="D2421" s="6">
        <v>198</v>
      </c>
      <c r="E2421" s="6">
        <v>194</v>
      </c>
      <c r="F2421" t="str">
        <f t="shared" si="1017"/>
        <v>THU</v>
      </c>
      <c r="G2421" s="3">
        <f t="shared" si="1018"/>
        <v>44000</v>
      </c>
      <c r="H2421" s="2">
        <f t="shared" ca="1" si="1019"/>
        <v>253</v>
      </c>
      <c r="I2421" t="str">
        <f t="shared" si="1020"/>
        <v>MSFT</v>
      </c>
      <c r="J2421">
        <f t="shared" si="1021"/>
        <v>182</v>
      </c>
      <c r="K2421">
        <f t="shared" si="1022"/>
        <v>198</v>
      </c>
      <c r="L2421">
        <f t="shared" si="1023"/>
        <v>190</v>
      </c>
      <c r="M2421">
        <f t="shared" si="1024"/>
        <v>8</v>
      </c>
      <c r="N2421">
        <f t="shared" si="1014"/>
        <v>16</v>
      </c>
      <c r="O2421">
        <f t="shared" si="1025"/>
        <v>194</v>
      </c>
      <c r="P2421">
        <f t="shared" si="1026"/>
        <v>0.5</v>
      </c>
      <c r="Q2421" t="str">
        <f t="shared" si="1015"/>
        <v>6.19% | 2.06%</v>
      </c>
      <c r="R2421" t="str">
        <f t="shared" si="1027"/>
        <v>BULLISH</v>
      </c>
      <c r="S2421">
        <f t="shared" si="1016"/>
        <v>1</v>
      </c>
    </row>
    <row r="2422" spans="1:19" hidden="1" x14ac:dyDescent="0.25">
      <c r="A2422" s="5" t="str">
        <f t="shared" si="1013"/>
        <v>44000AAPL</v>
      </c>
      <c r="B2422" s="6" t="s">
        <v>28</v>
      </c>
      <c r="C2422" s="6">
        <v>328</v>
      </c>
      <c r="D2422" s="6">
        <v>359</v>
      </c>
      <c r="E2422" s="6">
        <v>351</v>
      </c>
      <c r="F2422" t="str">
        <f t="shared" si="1017"/>
        <v>THU</v>
      </c>
      <c r="G2422" s="3">
        <f t="shared" si="1018"/>
        <v>44000</v>
      </c>
      <c r="H2422" s="2">
        <f t="shared" ca="1" si="1019"/>
        <v>253</v>
      </c>
      <c r="I2422" t="str">
        <f t="shared" si="1020"/>
        <v>AAPL</v>
      </c>
      <c r="J2422">
        <f t="shared" si="1021"/>
        <v>328</v>
      </c>
      <c r="K2422">
        <f t="shared" si="1022"/>
        <v>359</v>
      </c>
      <c r="L2422">
        <f t="shared" si="1023"/>
        <v>343.5</v>
      </c>
      <c r="M2422">
        <f t="shared" si="1024"/>
        <v>15.5</v>
      </c>
      <c r="N2422">
        <f t="shared" si="1014"/>
        <v>31</v>
      </c>
      <c r="O2422">
        <f t="shared" si="1025"/>
        <v>351</v>
      </c>
      <c r="P2422">
        <f t="shared" si="1026"/>
        <v>0.4838709677419355</v>
      </c>
      <c r="Q2422" t="str">
        <f t="shared" si="1015"/>
        <v>6.55% | 2.28%</v>
      </c>
      <c r="R2422" t="str">
        <f t="shared" si="1027"/>
        <v>BULLISH</v>
      </c>
      <c r="S2422">
        <f t="shared" si="1016"/>
        <v>1</v>
      </c>
    </row>
    <row r="2423" spans="1:19" hidden="1" x14ac:dyDescent="0.25">
      <c r="A2423" s="5" t="str">
        <f t="shared" si="1013"/>
        <v>44000AMZN</v>
      </c>
      <c r="B2423" s="6" t="s">
        <v>29</v>
      </c>
      <c r="C2423" s="6">
        <v>2462</v>
      </c>
      <c r="D2423" s="6">
        <v>2682</v>
      </c>
      <c r="E2423" s="6">
        <v>2640</v>
      </c>
      <c r="F2423" t="str">
        <f t="shared" si="1017"/>
        <v>THU</v>
      </c>
      <c r="G2423" s="3">
        <f t="shared" si="1018"/>
        <v>44000</v>
      </c>
      <c r="H2423" s="2">
        <f t="shared" ca="1" si="1019"/>
        <v>253</v>
      </c>
      <c r="I2423" t="str">
        <f t="shared" si="1020"/>
        <v>AMZN</v>
      </c>
      <c r="J2423">
        <f t="shared" si="1021"/>
        <v>2462</v>
      </c>
      <c r="K2423">
        <f t="shared" si="1022"/>
        <v>2682</v>
      </c>
      <c r="L2423">
        <f t="shared" si="1023"/>
        <v>2572</v>
      </c>
      <c r="M2423">
        <f t="shared" si="1024"/>
        <v>110</v>
      </c>
      <c r="N2423">
        <f t="shared" si="1014"/>
        <v>220</v>
      </c>
      <c r="O2423">
        <f t="shared" si="1025"/>
        <v>2640</v>
      </c>
      <c r="P2423">
        <f t="shared" si="1026"/>
        <v>0.61818181818181817</v>
      </c>
      <c r="Q2423" t="str">
        <f t="shared" si="1015"/>
        <v>6.74% | 1.59%</v>
      </c>
      <c r="R2423" t="str">
        <f t="shared" si="1027"/>
        <v>BULLISH</v>
      </c>
      <c r="S2423">
        <f t="shared" si="1016"/>
        <v>1</v>
      </c>
    </row>
    <row r="2424" spans="1:19" hidden="1" x14ac:dyDescent="0.25">
      <c r="A2424" s="5" t="str">
        <f t="shared" si="1013"/>
        <v>44000FB</v>
      </c>
      <c r="B2424" s="6" t="s">
        <v>30</v>
      </c>
      <c r="C2424" s="6">
        <v>223</v>
      </c>
      <c r="D2424" s="6">
        <v>242</v>
      </c>
      <c r="E2424" s="6">
        <v>235</v>
      </c>
      <c r="F2424" t="str">
        <f t="shared" si="1017"/>
        <v>THU</v>
      </c>
      <c r="G2424" s="3">
        <f t="shared" si="1018"/>
        <v>44000</v>
      </c>
      <c r="H2424" s="2">
        <f t="shared" ca="1" si="1019"/>
        <v>253</v>
      </c>
      <c r="I2424" t="str">
        <f t="shared" si="1020"/>
        <v>FB</v>
      </c>
      <c r="J2424">
        <f t="shared" si="1021"/>
        <v>223</v>
      </c>
      <c r="K2424">
        <f t="shared" si="1022"/>
        <v>242</v>
      </c>
      <c r="L2424">
        <f t="shared" si="1023"/>
        <v>232.5</v>
      </c>
      <c r="M2424">
        <f t="shared" si="1024"/>
        <v>9.5</v>
      </c>
      <c r="N2424">
        <f t="shared" si="1014"/>
        <v>19</v>
      </c>
      <c r="O2424">
        <f t="shared" si="1025"/>
        <v>235</v>
      </c>
      <c r="P2424">
        <f t="shared" si="1026"/>
        <v>0.26315789473684209</v>
      </c>
      <c r="Q2424" t="str">
        <f t="shared" si="1015"/>
        <v>5.11% | 2.98%</v>
      </c>
      <c r="R2424" t="str">
        <f t="shared" si="1027"/>
        <v>BULLISH</v>
      </c>
      <c r="S2424">
        <f t="shared" si="1016"/>
        <v>1</v>
      </c>
    </row>
    <row r="2425" spans="1:19" hidden="1" x14ac:dyDescent="0.25">
      <c r="A2425" s="5" t="str">
        <f t="shared" si="1013"/>
        <v>44000GOOGL</v>
      </c>
      <c r="B2425" s="6" t="s">
        <v>31</v>
      </c>
      <c r="C2425" s="6">
        <v>1391</v>
      </c>
      <c r="D2425" s="6">
        <v>1478</v>
      </c>
      <c r="E2425" s="6">
        <v>1452</v>
      </c>
      <c r="F2425" t="str">
        <f t="shared" si="1017"/>
        <v>THU</v>
      </c>
      <c r="G2425" s="3">
        <f t="shared" si="1018"/>
        <v>44000</v>
      </c>
      <c r="H2425" s="2">
        <f t="shared" ca="1" si="1019"/>
        <v>253</v>
      </c>
      <c r="I2425" t="str">
        <f t="shared" si="1020"/>
        <v>GOOGL</v>
      </c>
      <c r="J2425">
        <f t="shared" si="1021"/>
        <v>1391</v>
      </c>
      <c r="K2425">
        <f t="shared" si="1022"/>
        <v>1478</v>
      </c>
      <c r="L2425">
        <f t="shared" si="1023"/>
        <v>1434.5</v>
      </c>
      <c r="M2425">
        <f t="shared" si="1024"/>
        <v>43.5</v>
      </c>
      <c r="N2425">
        <f t="shared" si="1014"/>
        <v>87</v>
      </c>
      <c r="O2425">
        <f t="shared" si="1025"/>
        <v>1452</v>
      </c>
      <c r="P2425">
        <f t="shared" si="1026"/>
        <v>0.40229885057471265</v>
      </c>
      <c r="Q2425" t="str">
        <f t="shared" si="1015"/>
        <v>4.2% | 1.79%</v>
      </c>
      <c r="R2425" t="str">
        <f t="shared" si="1027"/>
        <v>BULLISH</v>
      </c>
      <c r="S2425">
        <f t="shared" si="1016"/>
        <v>1</v>
      </c>
    </row>
    <row r="2426" spans="1:19" hidden="1" x14ac:dyDescent="0.25">
      <c r="A2426" s="5" t="str">
        <f t="shared" si="1013"/>
        <v>44000NFLX</v>
      </c>
      <c r="B2426" s="6" t="s">
        <v>32</v>
      </c>
      <c r="C2426" s="6">
        <v>410</v>
      </c>
      <c r="D2426" s="6">
        <v>451</v>
      </c>
      <c r="E2426" s="6">
        <v>447</v>
      </c>
      <c r="F2426" t="str">
        <f t="shared" si="1017"/>
        <v>THU</v>
      </c>
      <c r="G2426" s="3">
        <f t="shared" si="1018"/>
        <v>44000</v>
      </c>
      <c r="H2426" s="2">
        <f t="shared" ca="1" si="1019"/>
        <v>253</v>
      </c>
      <c r="I2426" t="str">
        <f t="shared" si="1020"/>
        <v>NFLX</v>
      </c>
      <c r="J2426">
        <f t="shared" si="1021"/>
        <v>410</v>
      </c>
      <c r="K2426">
        <f t="shared" si="1022"/>
        <v>451</v>
      </c>
      <c r="L2426">
        <f t="shared" si="1023"/>
        <v>430.5</v>
      </c>
      <c r="M2426">
        <f t="shared" si="1024"/>
        <v>20.5</v>
      </c>
      <c r="N2426">
        <f t="shared" si="1014"/>
        <v>41</v>
      </c>
      <c r="O2426">
        <f t="shared" si="1025"/>
        <v>447</v>
      </c>
      <c r="P2426">
        <f t="shared" si="1026"/>
        <v>0.80487804878048785</v>
      </c>
      <c r="Q2426" t="str">
        <f t="shared" si="1015"/>
        <v>8.28% | 0.89%</v>
      </c>
      <c r="R2426" t="str">
        <f t="shared" si="1027"/>
        <v>BULLISH</v>
      </c>
      <c r="S2426">
        <f t="shared" si="1016"/>
        <v>1</v>
      </c>
    </row>
    <row r="2427" spans="1:19" x14ac:dyDescent="0.25">
      <c r="A2427" s="5" t="str">
        <f t="shared" si="1013"/>
        <v>44000TSLA</v>
      </c>
      <c r="B2427" s="6" t="s">
        <v>33</v>
      </c>
      <c r="C2427" s="6">
        <v>885</v>
      </c>
      <c r="D2427" s="6">
        <v>1041</v>
      </c>
      <c r="E2427" s="6">
        <v>991</v>
      </c>
      <c r="F2427" t="str">
        <f t="shared" si="1017"/>
        <v>THU</v>
      </c>
      <c r="G2427" s="3">
        <f t="shared" si="1018"/>
        <v>44000</v>
      </c>
      <c r="H2427" s="2">
        <f t="shared" ca="1" si="1019"/>
        <v>253</v>
      </c>
      <c r="I2427" t="str">
        <f t="shared" si="1020"/>
        <v>TSLA</v>
      </c>
      <c r="J2427">
        <f t="shared" si="1021"/>
        <v>885</v>
      </c>
      <c r="K2427">
        <f t="shared" si="1022"/>
        <v>1041</v>
      </c>
      <c r="L2427">
        <f t="shared" si="1023"/>
        <v>963</v>
      </c>
      <c r="M2427">
        <f t="shared" si="1024"/>
        <v>78</v>
      </c>
      <c r="N2427">
        <f t="shared" si="1014"/>
        <v>156</v>
      </c>
      <c r="O2427">
        <f t="shared" si="1025"/>
        <v>991</v>
      </c>
      <c r="P2427">
        <f t="shared" si="1026"/>
        <v>0.35897435897435898</v>
      </c>
      <c r="Q2427" t="str">
        <f t="shared" si="1015"/>
        <v>10.7% | 5.05%</v>
      </c>
      <c r="R2427" t="str">
        <f t="shared" si="1027"/>
        <v>BULLISH</v>
      </c>
      <c r="S2427">
        <f t="shared" si="1016"/>
        <v>1</v>
      </c>
    </row>
    <row r="2428" spans="1:19" hidden="1" x14ac:dyDescent="0.25">
      <c r="A2428" s="5" t="str">
        <f t="shared" si="1013"/>
        <v>44000NYXBT</v>
      </c>
      <c r="B2428" s="6" t="s">
        <v>34</v>
      </c>
      <c r="C2428" s="6">
        <v>9200</v>
      </c>
      <c r="D2428" s="6">
        <v>9941</v>
      </c>
      <c r="E2428" s="6">
        <v>9394</v>
      </c>
      <c r="F2428" t="str">
        <f t="shared" si="1017"/>
        <v>THU</v>
      </c>
      <c r="G2428" s="3">
        <f t="shared" si="1018"/>
        <v>44000</v>
      </c>
      <c r="H2428" s="2">
        <f t="shared" ca="1" si="1019"/>
        <v>253</v>
      </c>
      <c r="I2428" t="str">
        <f t="shared" si="1020"/>
        <v>NYXBT</v>
      </c>
      <c r="J2428">
        <f t="shared" si="1021"/>
        <v>9200</v>
      </c>
      <c r="K2428">
        <f t="shared" si="1022"/>
        <v>9941</v>
      </c>
      <c r="L2428">
        <f t="shared" si="1023"/>
        <v>9570.5</v>
      </c>
      <c r="M2428">
        <f t="shared" si="1024"/>
        <v>370.5</v>
      </c>
      <c r="N2428">
        <f t="shared" si="1014"/>
        <v>741</v>
      </c>
      <c r="O2428">
        <f t="shared" si="1025"/>
        <v>9394</v>
      </c>
      <c r="P2428">
        <f t="shared" si="1026"/>
        <v>-0.47638326585695007</v>
      </c>
      <c r="Q2428" t="str">
        <f t="shared" si="1015"/>
        <v>2.07% | 5.82%</v>
      </c>
      <c r="R2428" t="str">
        <f t="shared" si="1027"/>
        <v>BULLISH</v>
      </c>
      <c r="S2428">
        <f t="shared" si="1016"/>
        <v>1</v>
      </c>
    </row>
    <row r="2429" spans="1:19" hidden="1" x14ac:dyDescent="0.25">
      <c r="A2429" s="5" t="str">
        <f t="shared" si="1013"/>
        <v>44001UST10Y</v>
      </c>
      <c r="B2429" s="6" t="s">
        <v>4</v>
      </c>
      <c r="C2429" s="6">
        <v>0.86</v>
      </c>
      <c r="D2429" s="6">
        <v>0.61</v>
      </c>
      <c r="E2429" s="6">
        <v>0.71</v>
      </c>
      <c r="F2429" t="str">
        <f t="shared" si="1017"/>
        <v>FRI</v>
      </c>
      <c r="G2429" s="1">
        <f>DATE(2020,6,19)</f>
        <v>44001</v>
      </c>
      <c r="H2429" s="2">
        <f t="shared" ca="1" si="1019"/>
        <v>252</v>
      </c>
      <c r="I2429" t="str">
        <f t="shared" si="1020"/>
        <v>UST10Y</v>
      </c>
      <c r="J2429">
        <f t="shared" si="1021"/>
        <v>0.86</v>
      </c>
      <c r="K2429">
        <f t="shared" si="1022"/>
        <v>0.61</v>
      </c>
      <c r="L2429">
        <f t="shared" si="1023"/>
        <v>0.73499999999999999</v>
      </c>
      <c r="M2429">
        <f t="shared" si="1024"/>
        <v>0.125</v>
      </c>
      <c r="N2429">
        <f t="shared" si="1014"/>
        <v>0.25</v>
      </c>
      <c r="O2429">
        <f t="shared" si="1025"/>
        <v>0.71</v>
      </c>
      <c r="P2429">
        <f t="shared" si="1026"/>
        <v>-0.20000000000000018</v>
      </c>
      <c r="Q2429" t="str">
        <f t="shared" si="1015"/>
        <v>21.13% | 14.08%</v>
      </c>
      <c r="R2429" t="str">
        <f t="shared" si="1027"/>
        <v>BEARISH</v>
      </c>
      <c r="S2429">
        <f t="shared" si="1016"/>
        <v>-1</v>
      </c>
    </row>
    <row r="2430" spans="1:19" hidden="1" x14ac:dyDescent="0.25">
      <c r="A2430" s="5" t="str">
        <f t="shared" si="1013"/>
        <v>44001UST2Y</v>
      </c>
      <c r="B2430" s="6" t="s">
        <v>5</v>
      </c>
      <c r="C2430" s="6">
        <v>0.22</v>
      </c>
      <c r="D2430" s="6">
        <v>0.15</v>
      </c>
      <c r="E2430" s="6">
        <v>0.19</v>
      </c>
      <c r="F2430" t="str">
        <f t="shared" ref="F2430:F2459" si="1028">UPPER(TEXT(G2430,"ddd"))</f>
        <v>FRI</v>
      </c>
      <c r="G2430" s="1">
        <f t="shared" ref="G2430:G2458" si="1029">DATE(2020,6,19)</f>
        <v>44001</v>
      </c>
      <c r="H2430" s="2">
        <f t="shared" ref="H2430:H2459" ca="1" si="1030">TODAY()-G2430</f>
        <v>252</v>
      </c>
      <c r="I2430" t="str">
        <f t="shared" ref="I2430:I2459" si="1031">TRIM(LEFT(B2430,FIND(" ",B2430,1)))</f>
        <v>UST2Y</v>
      </c>
      <c r="J2430">
        <f t="shared" ref="J2430:J2459" si="1032">C2430</f>
        <v>0.22</v>
      </c>
      <c r="K2430">
        <f t="shared" ref="K2430:K2459" si="1033">D2430</f>
        <v>0.15</v>
      </c>
      <c r="L2430">
        <f t="shared" ref="L2430:L2459" si="1034">AVERAGE(J2430:K2430)</f>
        <v>0.185</v>
      </c>
      <c r="M2430">
        <f t="shared" ref="M2430:M2459" si="1035">_xlfn.STDEV.P(J2430:K2430)</f>
        <v>3.4999999999999955E-2</v>
      </c>
      <c r="N2430">
        <f t="shared" si="1014"/>
        <v>7.0000000000000007E-2</v>
      </c>
      <c r="O2430">
        <f t="shared" ref="O2430:O2459" si="1036">E2430</f>
        <v>0.19</v>
      </c>
      <c r="P2430">
        <f t="shared" ref="P2430:P2459" si="1037">(O2430-L2430)/M2430</f>
        <v>0.14285714285714318</v>
      </c>
      <c r="Q2430" t="str">
        <f t="shared" si="1015"/>
        <v>15.79% | 21.05%</v>
      </c>
      <c r="R2430" t="str">
        <f t="shared" ref="R2430:R2459" si="1038">MID(B2430,FIND("(",B2430,1)+1,FIND(")",B2430,1)-FIND("(",B2430,1)-1)</f>
        <v>BEARISH</v>
      </c>
      <c r="S2430">
        <f t="shared" si="1016"/>
        <v>-1</v>
      </c>
    </row>
    <row r="2431" spans="1:19" hidden="1" x14ac:dyDescent="0.25">
      <c r="A2431" s="5" t="str">
        <f t="shared" si="1013"/>
        <v>44001SPX</v>
      </c>
      <c r="B2431" s="6" t="s">
        <v>6</v>
      </c>
      <c r="C2431" s="6">
        <v>2966</v>
      </c>
      <c r="D2431" s="6">
        <v>3147</v>
      </c>
      <c r="E2431" s="6">
        <v>3115</v>
      </c>
      <c r="F2431" t="str">
        <f t="shared" si="1028"/>
        <v>FRI</v>
      </c>
      <c r="G2431" s="1">
        <f t="shared" si="1029"/>
        <v>44001</v>
      </c>
      <c r="H2431" s="2">
        <f t="shared" ca="1" si="1030"/>
        <v>252</v>
      </c>
      <c r="I2431" t="str">
        <f t="shared" si="1031"/>
        <v>SPX</v>
      </c>
      <c r="J2431">
        <f t="shared" si="1032"/>
        <v>2966</v>
      </c>
      <c r="K2431">
        <f t="shared" si="1033"/>
        <v>3147</v>
      </c>
      <c r="L2431">
        <f t="shared" si="1034"/>
        <v>3056.5</v>
      </c>
      <c r="M2431">
        <f t="shared" si="1035"/>
        <v>90.5</v>
      </c>
      <c r="N2431">
        <f t="shared" si="1014"/>
        <v>181</v>
      </c>
      <c r="O2431">
        <f t="shared" si="1036"/>
        <v>3115</v>
      </c>
      <c r="P2431">
        <f t="shared" si="1037"/>
        <v>0.64640883977900554</v>
      </c>
      <c r="Q2431" t="str">
        <f t="shared" si="1015"/>
        <v>4.78% | 1.03%</v>
      </c>
      <c r="R2431" t="str">
        <f t="shared" si="1038"/>
        <v>BEARISH</v>
      </c>
      <c r="S2431">
        <f t="shared" si="1016"/>
        <v>-1</v>
      </c>
    </row>
    <row r="2432" spans="1:19" hidden="1" x14ac:dyDescent="0.25">
      <c r="A2432" s="5" t="str">
        <f t="shared" si="1013"/>
        <v>44001RUT</v>
      </c>
      <c r="B2432" s="6" t="s">
        <v>7</v>
      </c>
      <c r="C2432" s="6">
        <v>1337</v>
      </c>
      <c r="D2432" s="6">
        <v>1447</v>
      </c>
      <c r="E2432" s="6">
        <v>1427</v>
      </c>
      <c r="F2432" t="str">
        <f t="shared" si="1028"/>
        <v>FRI</v>
      </c>
      <c r="G2432" s="1">
        <f t="shared" si="1029"/>
        <v>44001</v>
      </c>
      <c r="H2432" s="2">
        <f t="shared" ca="1" si="1030"/>
        <v>252</v>
      </c>
      <c r="I2432" t="str">
        <f t="shared" si="1031"/>
        <v>RUT</v>
      </c>
      <c r="J2432">
        <f t="shared" si="1032"/>
        <v>1337</v>
      </c>
      <c r="K2432">
        <f t="shared" si="1033"/>
        <v>1447</v>
      </c>
      <c r="L2432">
        <f t="shared" si="1034"/>
        <v>1392</v>
      </c>
      <c r="M2432">
        <f t="shared" si="1035"/>
        <v>55</v>
      </c>
      <c r="N2432">
        <f t="shared" si="1014"/>
        <v>110</v>
      </c>
      <c r="O2432">
        <f t="shared" si="1036"/>
        <v>1427</v>
      </c>
      <c r="P2432">
        <f t="shared" si="1037"/>
        <v>0.63636363636363635</v>
      </c>
      <c r="Q2432" t="str">
        <f t="shared" si="1015"/>
        <v>6.31% | 1.4%</v>
      </c>
      <c r="R2432" t="str">
        <f t="shared" si="1038"/>
        <v>BEARISH</v>
      </c>
      <c r="S2432">
        <f t="shared" si="1016"/>
        <v>-1</v>
      </c>
    </row>
    <row r="2433" spans="1:19" hidden="1" x14ac:dyDescent="0.25">
      <c r="A2433" s="5" t="str">
        <f t="shared" si="1013"/>
        <v>44001COMPQ</v>
      </c>
      <c r="B2433" s="6" t="s">
        <v>8</v>
      </c>
      <c r="C2433" s="6">
        <v>9474</v>
      </c>
      <c r="D2433" s="6">
        <v>10180</v>
      </c>
      <c r="E2433" s="6">
        <v>9943</v>
      </c>
      <c r="F2433" t="str">
        <f t="shared" si="1028"/>
        <v>FRI</v>
      </c>
      <c r="G2433" s="1">
        <f t="shared" si="1029"/>
        <v>44001</v>
      </c>
      <c r="H2433" s="2">
        <f t="shared" ca="1" si="1030"/>
        <v>252</v>
      </c>
      <c r="I2433" t="str">
        <f t="shared" si="1031"/>
        <v>COMPQ</v>
      </c>
      <c r="J2433">
        <f t="shared" si="1032"/>
        <v>9474</v>
      </c>
      <c r="K2433">
        <f t="shared" si="1033"/>
        <v>10180</v>
      </c>
      <c r="L2433">
        <f t="shared" si="1034"/>
        <v>9827</v>
      </c>
      <c r="M2433">
        <f t="shared" si="1035"/>
        <v>353</v>
      </c>
      <c r="N2433">
        <f t="shared" si="1014"/>
        <v>706</v>
      </c>
      <c r="O2433">
        <f t="shared" si="1036"/>
        <v>9943</v>
      </c>
      <c r="P2433">
        <f t="shared" si="1037"/>
        <v>0.32861189801699719</v>
      </c>
      <c r="Q2433" t="str">
        <f t="shared" si="1015"/>
        <v>4.72% | 2.38%</v>
      </c>
      <c r="R2433" t="str">
        <f t="shared" si="1038"/>
        <v>BULLISH</v>
      </c>
      <c r="S2433">
        <f t="shared" si="1016"/>
        <v>1</v>
      </c>
    </row>
    <row r="2434" spans="1:19" hidden="1" x14ac:dyDescent="0.25">
      <c r="A2434" s="5" t="str">
        <f t="shared" si="1013"/>
        <v>44001XLK</v>
      </c>
      <c r="B2434" s="6" t="s">
        <v>10</v>
      </c>
      <c r="C2434" s="6">
        <v>97.91</v>
      </c>
      <c r="D2434" s="6">
        <v>105.36</v>
      </c>
      <c r="E2434" s="6">
        <v>102.95</v>
      </c>
      <c r="F2434" t="str">
        <f t="shared" si="1028"/>
        <v>FRI</v>
      </c>
      <c r="G2434" s="1">
        <f t="shared" si="1029"/>
        <v>44001</v>
      </c>
      <c r="H2434" s="2">
        <f t="shared" ca="1" si="1030"/>
        <v>252</v>
      </c>
      <c r="I2434" t="str">
        <f t="shared" si="1031"/>
        <v>XLK</v>
      </c>
      <c r="J2434">
        <f t="shared" si="1032"/>
        <v>97.91</v>
      </c>
      <c r="K2434">
        <f t="shared" si="1033"/>
        <v>105.36</v>
      </c>
      <c r="L2434">
        <f t="shared" si="1034"/>
        <v>101.63499999999999</v>
      </c>
      <c r="M2434">
        <f t="shared" si="1035"/>
        <v>3.7250000000000014</v>
      </c>
      <c r="N2434">
        <f t="shared" si="1014"/>
        <v>7.4500000000000028</v>
      </c>
      <c r="O2434">
        <f t="shared" si="1036"/>
        <v>102.95</v>
      </c>
      <c r="P2434">
        <f t="shared" si="1037"/>
        <v>0.35302013422819101</v>
      </c>
      <c r="Q2434" t="str">
        <f t="shared" si="1015"/>
        <v>4.9% | 2.34%</v>
      </c>
      <c r="R2434" t="str">
        <f t="shared" si="1038"/>
        <v>BULLISH</v>
      </c>
      <c r="S2434">
        <f t="shared" si="1016"/>
        <v>1</v>
      </c>
    </row>
    <row r="2435" spans="1:19" hidden="1" x14ac:dyDescent="0.25">
      <c r="A2435" s="5" t="str">
        <f t="shared" ref="A2435:A2498" si="1039">G2435&amp;I2435</f>
        <v>44001XLU</v>
      </c>
      <c r="B2435" s="6" t="s">
        <v>52</v>
      </c>
      <c r="C2435" s="6">
        <v>57.07</v>
      </c>
      <c r="D2435" s="6">
        <v>62.8</v>
      </c>
      <c r="E2435" s="6">
        <v>59.15</v>
      </c>
      <c r="F2435" t="str">
        <f t="shared" si="1028"/>
        <v>FRI</v>
      </c>
      <c r="G2435" s="1">
        <f t="shared" si="1029"/>
        <v>44001</v>
      </c>
      <c r="H2435" s="2">
        <f t="shared" ca="1" si="1030"/>
        <v>252</v>
      </c>
      <c r="I2435" t="str">
        <f t="shared" si="1031"/>
        <v>XLU</v>
      </c>
      <c r="J2435">
        <f t="shared" si="1032"/>
        <v>57.07</v>
      </c>
      <c r="K2435">
        <f t="shared" si="1033"/>
        <v>62.8</v>
      </c>
      <c r="L2435">
        <f t="shared" si="1034"/>
        <v>59.935000000000002</v>
      </c>
      <c r="M2435">
        <f t="shared" si="1035"/>
        <v>2.8649999999999984</v>
      </c>
      <c r="N2435">
        <f t="shared" ref="N2435:N2498" si="1040">ABS(K2435-J2435)</f>
        <v>5.7299999999999969</v>
      </c>
      <c r="O2435">
        <f t="shared" si="1036"/>
        <v>59.15</v>
      </c>
      <c r="P2435">
        <f t="shared" si="1037"/>
        <v>-0.27399650959860528</v>
      </c>
      <c r="Q2435" t="str">
        <f t="shared" ref="Q2435:Q2498" si="1041">ROUND(ABS(100*(O2435-J2435)/O2435),2)&amp;"% | "&amp;ROUND(ABS(100*(K2435-O2435)/O2435),2)&amp;"%"</f>
        <v>3.52% | 6.17%</v>
      </c>
      <c r="R2435" t="str">
        <f t="shared" si="1038"/>
        <v>BULLISH</v>
      </c>
      <c r="S2435">
        <f t="shared" ref="S2435:S2498" si="1042">IF(R2435="BEARISH",-1,IF(R2435="NEUTRAL",0,IF(R2435="BULLISH",1,99)))</f>
        <v>1</v>
      </c>
    </row>
    <row r="2436" spans="1:19" hidden="1" x14ac:dyDescent="0.25">
      <c r="A2436" s="5" t="str">
        <f t="shared" si="1039"/>
        <v>44001XLRE</v>
      </c>
      <c r="B2436" s="6" t="s">
        <v>97</v>
      </c>
      <c r="C2436" s="6">
        <v>34.299999999999997</v>
      </c>
      <c r="D2436" s="6">
        <v>38.21</v>
      </c>
      <c r="E2436" s="6">
        <v>35.71</v>
      </c>
      <c r="F2436" t="str">
        <f t="shared" si="1028"/>
        <v>FRI</v>
      </c>
      <c r="G2436" s="1">
        <f t="shared" si="1029"/>
        <v>44001</v>
      </c>
      <c r="H2436" s="2">
        <f t="shared" ca="1" si="1030"/>
        <v>252</v>
      </c>
      <c r="I2436" t="str">
        <f t="shared" si="1031"/>
        <v>XLRE</v>
      </c>
      <c r="J2436">
        <f t="shared" si="1032"/>
        <v>34.299999999999997</v>
      </c>
      <c r="K2436">
        <f t="shared" si="1033"/>
        <v>38.21</v>
      </c>
      <c r="L2436">
        <f t="shared" si="1034"/>
        <v>36.254999999999995</v>
      </c>
      <c r="M2436">
        <f t="shared" si="1035"/>
        <v>1.9550000000000018</v>
      </c>
      <c r="N2436">
        <f t="shared" si="1040"/>
        <v>3.9100000000000037</v>
      </c>
      <c r="O2436">
        <f t="shared" si="1036"/>
        <v>35.71</v>
      </c>
      <c r="P2436">
        <f t="shared" si="1037"/>
        <v>-0.27877237851662101</v>
      </c>
      <c r="Q2436" t="str">
        <f t="shared" si="1041"/>
        <v>3.95% | 7%</v>
      </c>
      <c r="R2436" t="str">
        <f t="shared" si="1038"/>
        <v>BULLISH</v>
      </c>
      <c r="S2436">
        <f t="shared" si="1042"/>
        <v>1</v>
      </c>
    </row>
    <row r="2437" spans="1:19" hidden="1" x14ac:dyDescent="0.25">
      <c r="A2437" s="5" t="str">
        <f t="shared" si="1039"/>
        <v>44001XLF</v>
      </c>
      <c r="B2437" s="6" t="s">
        <v>12</v>
      </c>
      <c r="C2437" s="6">
        <v>22.2</v>
      </c>
      <c r="D2437" s="6">
        <v>25</v>
      </c>
      <c r="E2437" s="6">
        <v>24.14</v>
      </c>
      <c r="F2437" t="str">
        <f t="shared" si="1028"/>
        <v>FRI</v>
      </c>
      <c r="G2437" s="1">
        <f t="shared" si="1029"/>
        <v>44001</v>
      </c>
      <c r="H2437" s="2">
        <f t="shared" ca="1" si="1030"/>
        <v>252</v>
      </c>
      <c r="I2437" t="str">
        <f t="shared" si="1031"/>
        <v>XLF</v>
      </c>
      <c r="J2437">
        <f t="shared" si="1032"/>
        <v>22.2</v>
      </c>
      <c r="K2437">
        <f t="shared" si="1033"/>
        <v>25</v>
      </c>
      <c r="L2437">
        <f t="shared" si="1034"/>
        <v>23.6</v>
      </c>
      <c r="M2437">
        <f t="shared" si="1035"/>
        <v>1.4000000000000004</v>
      </c>
      <c r="N2437">
        <f t="shared" si="1040"/>
        <v>2.8000000000000007</v>
      </c>
      <c r="O2437">
        <f t="shared" si="1036"/>
        <v>24.14</v>
      </c>
      <c r="P2437">
        <f t="shared" si="1037"/>
        <v>0.38571428571428501</v>
      </c>
      <c r="Q2437" t="str">
        <f t="shared" si="1041"/>
        <v>8.04% | 3.56%</v>
      </c>
      <c r="R2437" t="str">
        <f t="shared" si="1038"/>
        <v>BEARISH</v>
      </c>
      <c r="S2437">
        <f t="shared" si="1042"/>
        <v>-1</v>
      </c>
    </row>
    <row r="2438" spans="1:19" hidden="1" x14ac:dyDescent="0.25">
      <c r="A2438" s="5" t="str">
        <f t="shared" si="1039"/>
        <v>44001SSEC</v>
      </c>
      <c r="B2438" s="6" t="s">
        <v>55</v>
      </c>
      <c r="C2438" s="6">
        <v>2887</v>
      </c>
      <c r="D2438" s="6">
        <v>2980</v>
      </c>
      <c r="E2438" s="6">
        <v>2967</v>
      </c>
      <c r="F2438" t="str">
        <f t="shared" si="1028"/>
        <v>FRI</v>
      </c>
      <c r="G2438" s="1">
        <f t="shared" si="1029"/>
        <v>44001</v>
      </c>
      <c r="H2438" s="2">
        <f t="shared" ca="1" si="1030"/>
        <v>252</v>
      </c>
      <c r="I2438" t="str">
        <f t="shared" si="1031"/>
        <v>SSEC</v>
      </c>
      <c r="J2438">
        <f t="shared" si="1032"/>
        <v>2887</v>
      </c>
      <c r="K2438">
        <f t="shared" si="1033"/>
        <v>2980</v>
      </c>
      <c r="L2438">
        <f t="shared" si="1034"/>
        <v>2933.5</v>
      </c>
      <c r="M2438">
        <f t="shared" si="1035"/>
        <v>46.5</v>
      </c>
      <c r="N2438">
        <f t="shared" si="1040"/>
        <v>93</v>
      </c>
      <c r="O2438">
        <f t="shared" si="1036"/>
        <v>2967</v>
      </c>
      <c r="P2438">
        <f t="shared" si="1037"/>
        <v>0.72043010752688175</v>
      </c>
      <c r="Q2438" t="str">
        <f t="shared" si="1041"/>
        <v>2.7% | 0.44%</v>
      </c>
      <c r="R2438" t="str">
        <f t="shared" si="1038"/>
        <v>NEUTRAL</v>
      </c>
      <c r="S2438">
        <f t="shared" si="1042"/>
        <v>0</v>
      </c>
    </row>
    <row r="2439" spans="1:19" hidden="1" x14ac:dyDescent="0.25">
      <c r="A2439" s="5" t="str">
        <f t="shared" si="1039"/>
        <v>44001NIKK</v>
      </c>
      <c r="B2439" s="6" t="s">
        <v>15</v>
      </c>
      <c r="C2439" s="6">
        <v>21564</v>
      </c>
      <c r="D2439" s="6">
        <v>22666</v>
      </c>
      <c r="E2439" s="6">
        <v>22478</v>
      </c>
      <c r="F2439" t="str">
        <f t="shared" si="1028"/>
        <v>FRI</v>
      </c>
      <c r="G2439" s="1">
        <f t="shared" si="1029"/>
        <v>44001</v>
      </c>
      <c r="H2439" s="2">
        <f t="shared" ca="1" si="1030"/>
        <v>252</v>
      </c>
      <c r="I2439" t="str">
        <f t="shared" si="1031"/>
        <v>NIKK</v>
      </c>
      <c r="J2439">
        <f t="shared" si="1032"/>
        <v>21564</v>
      </c>
      <c r="K2439">
        <f t="shared" si="1033"/>
        <v>22666</v>
      </c>
      <c r="L2439">
        <f t="shared" si="1034"/>
        <v>22115</v>
      </c>
      <c r="M2439">
        <f t="shared" si="1035"/>
        <v>551</v>
      </c>
      <c r="N2439">
        <f t="shared" si="1040"/>
        <v>1102</v>
      </c>
      <c r="O2439">
        <f t="shared" si="1036"/>
        <v>22478</v>
      </c>
      <c r="P2439">
        <f t="shared" si="1037"/>
        <v>0.6588021778584392</v>
      </c>
      <c r="Q2439" t="str">
        <f t="shared" si="1041"/>
        <v>4.07% | 0.84%</v>
      </c>
      <c r="R2439" t="str">
        <f t="shared" si="1038"/>
        <v>BEARISH</v>
      </c>
      <c r="S2439">
        <f t="shared" si="1042"/>
        <v>-1</v>
      </c>
    </row>
    <row r="2440" spans="1:19" hidden="1" x14ac:dyDescent="0.25">
      <c r="A2440" s="5" t="str">
        <f t="shared" si="1039"/>
        <v>44001DAX</v>
      </c>
      <c r="B2440" s="6" t="s">
        <v>16</v>
      </c>
      <c r="C2440" s="6">
        <v>11700</v>
      </c>
      <c r="D2440" s="6">
        <v>12509</v>
      </c>
      <c r="E2440" s="6">
        <v>12279</v>
      </c>
      <c r="F2440" t="str">
        <f t="shared" si="1028"/>
        <v>FRI</v>
      </c>
      <c r="G2440" s="1">
        <f t="shared" si="1029"/>
        <v>44001</v>
      </c>
      <c r="H2440" s="2">
        <f t="shared" ca="1" si="1030"/>
        <v>252</v>
      </c>
      <c r="I2440" t="str">
        <f t="shared" si="1031"/>
        <v>DAX</v>
      </c>
      <c r="J2440">
        <f t="shared" si="1032"/>
        <v>11700</v>
      </c>
      <c r="K2440">
        <f t="shared" si="1033"/>
        <v>12509</v>
      </c>
      <c r="L2440">
        <f t="shared" si="1034"/>
        <v>12104.5</v>
      </c>
      <c r="M2440">
        <f t="shared" si="1035"/>
        <v>404.5</v>
      </c>
      <c r="N2440">
        <f t="shared" si="1040"/>
        <v>809</v>
      </c>
      <c r="O2440">
        <f t="shared" si="1036"/>
        <v>12279</v>
      </c>
      <c r="P2440">
        <f t="shared" si="1037"/>
        <v>0.43139678615574784</v>
      </c>
      <c r="Q2440" t="str">
        <f t="shared" si="1041"/>
        <v>4.72% | 1.87%</v>
      </c>
      <c r="R2440" t="str">
        <f t="shared" si="1038"/>
        <v>BEARISH</v>
      </c>
      <c r="S2440">
        <f t="shared" si="1042"/>
        <v>-1</v>
      </c>
    </row>
    <row r="2441" spans="1:19" hidden="1" x14ac:dyDescent="0.25">
      <c r="A2441" s="5" t="str">
        <f t="shared" si="1039"/>
        <v>44001VIX</v>
      </c>
      <c r="B2441" s="6" t="s">
        <v>17</v>
      </c>
      <c r="C2441" s="6">
        <v>29.74</v>
      </c>
      <c r="D2441" s="6">
        <v>41.55</v>
      </c>
      <c r="E2441" s="6">
        <v>32.94</v>
      </c>
      <c r="F2441" t="str">
        <f t="shared" si="1028"/>
        <v>FRI</v>
      </c>
      <c r="G2441" s="1">
        <f t="shared" si="1029"/>
        <v>44001</v>
      </c>
      <c r="H2441" s="2">
        <f t="shared" ca="1" si="1030"/>
        <v>252</v>
      </c>
      <c r="I2441" t="str">
        <f t="shared" si="1031"/>
        <v>VIX</v>
      </c>
      <c r="J2441">
        <f t="shared" si="1032"/>
        <v>29.74</v>
      </c>
      <c r="K2441">
        <f t="shared" si="1033"/>
        <v>41.55</v>
      </c>
      <c r="L2441">
        <f t="shared" si="1034"/>
        <v>35.644999999999996</v>
      </c>
      <c r="M2441">
        <f t="shared" si="1035"/>
        <v>5.9050000000000162</v>
      </c>
      <c r="N2441">
        <f t="shared" si="1040"/>
        <v>11.809999999999999</v>
      </c>
      <c r="O2441">
        <f t="shared" si="1036"/>
        <v>32.94</v>
      </c>
      <c r="P2441">
        <f t="shared" si="1037"/>
        <v>-0.4580863674851805</v>
      </c>
      <c r="Q2441" t="str">
        <f t="shared" si="1041"/>
        <v>9.71% | 26.14%</v>
      </c>
      <c r="R2441" t="str">
        <f t="shared" si="1038"/>
        <v>BULLISH</v>
      </c>
      <c r="S2441">
        <f t="shared" si="1042"/>
        <v>1</v>
      </c>
    </row>
    <row r="2442" spans="1:19" hidden="1" x14ac:dyDescent="0.25">
      <c r="A2442" s="5" t="str">
        <f t="shared" si="1039"/>
        <v>44001USD</v>
      </c>
      <c r="B2442" s="6" t="s">
        <v>94</v>
      </c>
      <c r="C2442" s="6">
        <v>95.81</v>
      </c>
      <c r="D2442" s="6">
        <v>97.95</v>
      </c>
      <c r="E2442" s="6">
        <v>97.4</v>
      </c>
      <c r="F2442" t="str">
        <f t="shared" si="1028"/>
        <v>FRI</v>
      </c>
      <c r="G2442" s="1">
        <f t="shared" si="1029"/>
        <v>44001</v>
      </c>
      <c r="H2442" s="2">
        <f t="shared" ca="1" si="1030"/>
        <v>252</v>
      </c>
      <c r="I2442" t="str">
        <f t="shared" si="1031"/>
        <v>USD</v>
      </c>
      <c r="J2442">
        <f t="shared" si="1032"/>
        <v>95.81</v>
      </c>
      <c r="K2442">
        <f t="shared" si="1033"/>
        <v>97.95</v>
      </c>
      <c r="L2442">
        <f t="shared" si="1034"/>
        <v>96.88</v>
      </c>
      <c r="M2442">
        <f t="shared" si="1035"/>
        <v>1.0700000000000003</v>
      </c>
      <c r="N2442">
        <f t="shared" si="1040"/>
        <v>2.1400000000000006</v>
      </c>
      <c r="O2442">
        <f t="shared" si="1036"/>
        <v>97.4</v>
      </c>
      <c r="P2442">
        <f t="shared" si="1037"/>
        <v>0.48598130841122439</v>
      </c>
      <c r="Q2442" t="str">
        <f t="shared" si="1041"/>
        <v>1.63% | 0.56%</v>
      </c>
      <c r="R2442" t="str">
        <f t="shared" si="1038"/>
        <v>BEARISH</v>
      </c>
      <c r="S2442">
        <f t="shared" si="1042"/>
        <v>-1</v>
      </c>
    </row>
    <row r="2443" spans="1:19" hidden="1" x14ac:dyDescent="0.25">
      <c r="A2443" s="5" t="str">
        <f t="shared" si="1039"/>
        <v>44001EUR/USD</v>
      </c>
      <c r="B2443" s="6" t="s">
        <v>77</v>
      </c>
      <c r="C2443" s="6">
        <v>1.1200000000000001</v>
      </c>
      <c r="D2443" s="6">
        <v>1.1399999999999999</v>
      </c>
      <c r="E2443" s="6">
        <v>1.1200000000000001</v>
      </c>
      <c r="F2443" t="str">
        <f t="shared" si="1028"/>
        <v>FRI</v>
      </c>
      <c r="G2443" s="1">
        <f t="shared" si="1029"/>
        <v>44001</v>
      </c>
      <c r="H2443" s="2">
        <f t="shared" ca="1" si="1030"/>
        <v>252</v>
      </c>
      <c r="I2443" t="str">
        <f t="shared" si="1031"/>
        <v>EUR/USD</v>
      </c>
      <c r="J2443">
        <f t="shared" si="1032"/>
        <v>1.1200000000000001</v>
      </c>
      <c r="K2443">
        <f t="shared" si="1033"/>
        <v>1.1399999999999999</v>
      </c>
      <c r="L2443">
        <f t="shared" si="1034"/>
        <v>1.1299999999999999</v>
      </c>
      <c r="M2443">
        <f t="shared" si="1035"/>
        <v>9.9999999999998979E-3</v>
      </c>
      <c r="N2443">
        <f t="shared" si="1040"/>
        <v>1.9999999999999796E-2</v>
      </c>
      <c r="O2443">
        <f t="shared" si="1036"/>
        <v>1.1200000000000001</v>
      </c>
      <c r="P2443">
        <f t="shared" si="1037"/>
        <v>-0.9999999999999889</v>
      </c>
      <c r="Q2443" t="str">
        <f t="shared" si="1041"/>
        <v>0% | 1.79%</v>
      </c>
      <c r="R2443" t="str">
        <f t="shared" si="1038"/>
        <v>NEUTRAL</v>
      </c>
      <c r="S2443">
        <f t="shared" si="1042"/>
        <v>0</v>
      </c>
    </row>
    <row r="2444" spans="1:19" hidden="1" x14ac:dyDescent="0.25">
      <c r="A2444" s="5" t="str">
        <f t="shared" si="1039"/>
        <v>44001USD/JPY</v>
      </c>
      <c r="B2444" s="6" t="s">
        <v>20</v>
      </c>
      <c r="C2444" s="6">
        <v>106.18</v>
      </c>
      <c r="D2444" s="6">
        <v>109.55</v>
      </c>
      <c r="E2444" s="6">
        <v>106.97</v>
      </c>
      <c r="F2444" t="str">
        <f t="shared" si="1028"/>
        <v>FRI</v>
      </c>
      <c r="G2444" s="1">
        <f t="shared" si="1029"/>
        <v>44001</v>
      </c>
      <c r="H2444" s="2">
        <f t="shared" ca="1" si="1030"/>
        <v>252</v>
      </c>
      <c r="I2444" t="str">
        <f t="shared" si="1031"/>
        <v>USD/JPY</v>
      </c>
      <c r="J2444">
        <f t="shared" si="1032"/>
        <v>106.18</v>
      </c>
      <c r="K2444">
        <f t="shared" si="1033"/>
        <v>109.55</v>
      </c>
      <c r="L2444">
        <f t="shared" si="1034"/>
        <v>107.86500000000001</v>
      </c>
      <c r="M2444">
        <f t="shared" si="1035"/>
        <v>1.6849999999999952</v>
      </c>
      <c r="N2444">
        <f t="shared" si="1040"/>
        <v>3.3699999999999903</v>
      </c>
      <c r="O2444">
        <f t="shared" si="1036"/>
        <v>106.97</v>
      </c>
      <c r="P2444">
        <f t="shared" si="1037"/>
        <v>-0.53115727002968116</v>
      </c>
      <c r="Q2444" t="str">
        <f t="shared" si="1041"/>
        <v>0.74% | 2.41%</v>
      </c>
      <c r="R2444" t="str">
        <f t="shared" si="1038"/>
        <v>BEARISH</v>
      </c>
      <c r="S2444">
        <f t="shared" si="1042"/>
        <v>-1</v>
      </c>
    </row>
    <row r="2445" spans="1:19" hidden="1" x14ac:dyDescent="0.25">
      <c r="A2445" s="5" t="str">
        <f t="shared" si="1039"/>
        <v>44001GBP/USD</v>
      </c>
      <c r="B2445" s="6" t="s">
        <v>102</v>
      </c>
      <c r="C2445" s="6">
        <v>1.24</v>
      </c>
      <c r="D2445" s="6">
        <v>1.28</v>
      </c>
      <c r="E2445" s="6">
        <v>1.24</v>
      </c>
      <c r="F2445" t="str">
        <f t="shared" si="1028"/>
        <v>FRI</v>
      </c>
      <c r="G2445" s="1">
        <f t="shared" si="1029"/>
        <v>44001</v>
      </c>
      <c r="H2445" s="2">
        <f t="shared" ca="1" si="1030"/>
        <v>252</v>
      </c>
      <c r="I2445" t="str">
        <f t="shared" si="1031"/>
        <v>GBP/USD</v>
      </c>
      <c r="J2445">
        <f t="shared" si="1032"/>
        <v>1.24</v>
      </c>
      <c r="K2445">
        <f t="shared" si="1033"/>
        <v>1.28</v>
      </c>
      <c r="L2445">
        <f t="shared" si="1034"/>
        <v>1.26</v>
      </c>
      <c r="M2445">
        <f t="shared" si="1035"/>
        <v>2.0000000000000018E-2</v>
      </c>
      <c r="N2445">
        <f t="shared" si="1040"/>
        <v>4.0000000000000036E-2</v>
      </c>
      <c r="O2445">
        <f t="shared" si="1036"/>
        <v>1.24</v>
      </c>
      <c r="P2445">
        <f t="shared" si="1037"/>
        <v>-1</v>
      </c>
      <c r="Q2445" t="str">
        <f t="shared" si="1041"/>
        <v>0% | 3.23%</v>
      </c>
      <c r="R2445" t="str">
        <f t="shared" si="1038"/>
        <v>BULLISH</v>
      </c>
      <c r="S2445">
        <f t="shared" si="1042"/>
        <v>1</v>
      </c>
    </row>
    <row r="2446" spans="1:19" hidden="1" x14ac:dyDescent="0.25">
      <c r="A2446" s="5" t="str">
        <f t="shared" si="1039"/>
        <v>44001USD/CHF</v>
      </c>
      <c r="B2446" s="6" t="s">
        <v>76</v>
      </c>
      <c r="C2446" s="6">
        <v>0.94</v>
      </c>
      <c r="D2446" s="6">
        <v>0.96</v>
      </c>
      <c r="E2446" s="6">
        <v>0.95</v>
      </c>
      <c r="F2446" t="str">
        <f t="shared" si="1028"/>
        <v>FRI</v>
      </c>
      <c r="G2446" s="1">
        <f t="shared" si="1029"/>
        <v>44001</v>
      </c>
      <c r="H2446" s="2">
        <f t="shared" ca="1" si="1030"/>
        <v>252</v>
      </c>
      <c r="I2446" t="str">
        <f t="shared" si="1031"/>
        <v>USD/CHF</v>
      </c>
      <c r="J2446">
        <f t="shared" si="1032"/>
        <v>0.94</v>
      </c>
      <c r="K2446">
        <f t="shared" si="1033"/>
        <v>0.96</v>
      </c>
      <c r="L2446">
        <f t="shared" si="1034"/>
        <v>0.95</v>
      </c>
      <c r="M2446">
        <f t="shared" si="1035"/>
        <v>1.0000000000000009E-2</v>
      </c>
      <c r="N2446">
        <f t="shared" si="1040"/>
        <v>2.0000000000000018E-2</v>
      </c>
      <c r="O2446">
        <f t="shared" si="1036"/>
        <v>0.95</v>
      </c>
      <c r="P2446">
        <f t="shared" si="1037"/>
        <v>0</v>
      </c>
      <c r="Q2446" t="str">
        <f t="shared" si="1041"/>
        <v>1.05% | 1.05%</v>
      </c>
      <c r="R2446" t="str">
        <f t="shared" si="1038"/>
        <v>BEARISH</v>
      </c>
      <c r="S2446">
        <f t="shared" si="1042"/>
        <v>-1</v>
      </c>
    </row>
    <row r="2447" spans="1:19" hidden="1" x14ac:dyDescent="0.25">
      <c r="A2447" s="5" t="str">
        <f t="shared" si="1039"/>
        <v>44001WTIC</v>
      </c>
      <c r="B2447" s="6" t="s">
        <v>103</v>
      </c>
      <c r="C2447" s="6">
        <v>35.67</v>
      </c>
      <c r="D2447" s="6">
        <v>41.25</v>
      </c>
      <c r="E2447" s="6">
        <v>39.049999999999997</v>
      </c>
      <c r="F2447" t="str">
        <f t="shared" si="1028"/>
        <v>FRI</v>
      </c>
      <c r="G2447" s="1">
        <f t="shared" si="1029"/>
        <v>44001</v>
      </c>
      <c r="H2447" s="2">
        <f t="shared" ca="1" si="1030"/>
        <v>252</v>
      </c>
      <c r="I2447" t="str">
        <f t="shared" si="1031"/>
        <v>WTIC</v>
      </c>
      <c r="J2447">
        <f t="shared" si="1032"/>
        <v>35.67</v>
      </c>
      <c r="K2447">
        <f t="shared" si="1033"/>
        <v>41.25</v>
      </c>
      <c r="L2447">
        <f t="shared" si="1034"/>
        <v>38.46</v>
      </c>
      <c r="M2447">
        <f t="shared" si="1035"/>
        <v>2.7899999999999991</v>
      </c>
      <c r="N2447">
        <f t="shared" si="1040"/>
        <v>5.5799999999999983</v>
      </c>
      <c r="O2447">
        <f t="shared" si="1036"/>
        <v>39.049999999999997</v>
      </c>
      <c r="P2447">
        <f t="shared" si="1037"/>
        <v>0.21146953405017796</v>
      </c>
      <c r="Q2447" t="str">
        <f t="shared" si="1041"/>
        <v>8.66% | 5.63%</v>
      </c>
      <c r="R2447" t="str">
        <f t="shared" si="1038"/>
        <v>NEUTRAL</v>
      </c>
      <c r="S2447">
        <f t="shared" si="1042"/>
        <v>0</v>
      </c>
    </row>
    <row r="2448" spans="1:19" hidden="1" x14ac:dyDescent="0.25">
      <c r="A2448" s="5" t="str">
        <f t="shared" si="1039"/>
        <v>44001NATGAS</v>
      </c>
      <c r="B2448" s="6" t="s">
        <v>24</v>
      </c>
      <c r="C2448" s="6">
        <v>1.59</v>
      </c>
      <c r="D2448" s="6">
        <v>1.78</v>
      </c>
      <c r="E2448" s="6">
        <v>1.64</v>
      </c>
      <c r="F2448" t="str">
        <f t="shared" si="1028"/>
        <v>FRI</v>
      </c>
      <c r="G2448" s="1">
        <f t="shared" si="1029"/>
        <v>44001</v>
      </c>
      <c r="H2448" s="2">
        <f t="shared" ca="1" si="1030"/>
        <v>252</v>
      </c>
      <c r="I2448" t="str">
        <f t="shared" si="1031"/>
        <v>NATGAS</v>
      </c>
      <c r="J2448">
        <f t="shared" si="1032"/>
        <v>1.59</v>
      </c>
      <c r="K2448">
        <f t="shared" si="1033"/>
        <v>1.78</v>
      </c>
      <c r="L2448">
        <f t="shared" si="1034"/>
        <v>1.6850000000000001</v>
      </c>
      <c r="M2448">
        <f t="shared" si="1035"/>
        <v>9.4999999999999973E-2</v>
      </c>
      <c r="N2448">
        <f t="shared" si="1040"/>
        <v>0.18999999999999995</v>
      </c>
      <c r="O2448">
        <f t="shared" si="1036"/>
        <v>1.64</v>
      </c>
      <c r="P2448">
        <f t="shared" si="1037"/>
        <v>-0.47368421052631748</v>
      </c>
      <c r="Q2448" t="str">
        <f t="shared" si="1041"/>
        <v>3.05% | 8.54%</v>
      </c>
      <c r="R2448" t="str">
        <f t="shared" si="1038"/>
        <v>BEARISH</v>
      </c>
      <c r="S2448">
        <f t="shared" si="1042"/>
        <v>-1</v>
      </c>
    </row>
    <row r="2449" spans="1:19" hidden="1" x14ac:dyDescent="0.25">
      <c r="A2449" s="5" t="str">
        <f t="shared" si="1039"/>
        <v>44001GOLD</v>
      </c>
      <c r="B2449" s="6" t="s">
        <v>25</v>
      </c>
      <c r="C2449" s="6">
        <v>1697</v>
      </c>
      <c r="D2449" s="6">
        <v>1759</v>
      </c>
      <c r="E2449" s="6">
        <v>1731</v>
      </c>
      <c r="F2449" t="str">
        <f t="shared" si="1028"/>
        <v>FRI</v>
      </c>
      <c r="G2449" s="1">
        <f t="shared" si="1029"/>
        <v>44001</v>
      </c>
      <c r="H2449" s="2">
        <f t="shared" ca="1" si="1030"/>
        <v>252</v>
      </c>
      <c r="I2449" t="str">
        <f t="shared" si="1031"/>
        <v>GOLD</v>
      </c>
      <c r="J2449">
        <f t="shared" si="1032"/>
        <v>1697</v>
      </c>
      <c r="K2449">
        <f t="shared" si="1033"/>
        <v>1759</v>
      </c>
      <c r="L2449">
        <f t="shared" si="1034"/>
        <v>1728</v>
      </c>
      <c r="M2449">
        <f t="shared" si="1035"/>
        <v>31</v>
      </c>
      <c r="N2449">
        <f t="shared" si="1040"/>
        <v>62</v>
      </c>
      <c r="O2449">
        <f t="shared" si="1036"/>
        <v>1731</v>
      </c>
      <c r="P2449">
        <f t="shared" si="1037"/>
        <v>9.6774193548387094E-2</v>
      </c>
      <c r="Q2449" t="str">
        <f t="shared" si="1041"/>
        <v>1.96% | 1.62%</v>
      </c>
      <c r="R2449" t="str">
        <f t="shared" si="1038"/>
        <v>BULLISH</v>
      </c>
      <c r="S2449">
        <f t="shared" si="1042"/>
        <v>1</v>
      </c>
    </row>
    <row r="2450" spans="1:19" hidden="1" x14ac:dyDescent="0.25">
      <c r="A2450" s="5" t="str">
        <f t="shared" si="1039"/>
        <v>44001COPPER</v>
      </c>
      <c r="B2450" s="6" t="s">
        <v>100</v>
      </c>
      <c r="C2450" s="6">
        <v>2.52</v>
      </c>
      <c r="D2450" s="6">
        <v>2.67</v>
      </c>
      <c r="E2450" s="6">
        <v>2.59</v>
      </c>
      <c r="F2450" t="str">
        <f t="shared" si="1028"/>
        <v>FRI</v>
      </c>
      <c r="G2450" s="1">
        <f t="shared" si="1029"/>
        <v>44001</v>
      </c>
      <c r="H2450" s="2">
        <f t="shared" ca="1" si="1030"/>
        <v>252</v>
      </c>
      <c r="I2450" t="str">
        <f t="shared" si="1031"/>
        <v>COPPER</v>
      </c>
      <c r="J2450">
        <f t="shared" si="1032"/>
        <v>2.52</v>
      </c>
      <c r="K2450">
        <f t="shared" si="1033"/>
        <v>2.67</v>
      </c>
      <c r="L2450">
        <f t="shared" si="1034"/>
        <v>2.5949999999999998</v>
      </c>
      <c r="M2450">
        <f t="shared" si="1035"/>
        <v>7.4999999999999956E-2</v>
      </c>
      <c r="N2450">
        <f t="shared" si="1040"/>
        <v>0.14999999999999991</v>
      </c>
      <c r="O2450">
        <f t="shared" si="1036"/>
        <v>2.59</v>
      </c>
      <c r="P2450">
        <f t="shared" si="1037"/>
        <v>-6.6666666666665292E-2</v>
      </c>
      <c r="Q2450" t="str">
        <f t="shared" si="1041"/>
        <v>2.7% | 3.09%</v>
      </c>
      <c r="R2450" t="str">
        <f t="shared" si="1038"/>
        <v>BULLISH</v>
      </c>
      <c r="S2450">
        <f t="shared" si="1042"/>
        <v>1</v>
      </c>
    </row>
    <row r="2451" spans="1:19" hidden="1" x14ac:dyDescent="0.25">
      <c r="A2451" s="5" t="str">
        <f t="shared" si="1039"/>
        <v>44001MSFT</v>
      </c>
      <c r="B2451" s="6" t="s">
        <v>27</v>
      </c>
      <c r="C2451" s="6">
        <v>184</v>
      </c>
      <c r="D2451" s="6">
        <v>200</v>
      </c>
      <c r="E2451" s="6">
        <v>196</v>
      </c>
      <c r="F2451" t="str">
        <f t="shared" si="1028"/>
        <v>FRI</v>
      </c>
      <c r="G2451" s="1">
        <f t="shared" si="1029"/>
        <v>44001</v>
      </c>
      <c r="H2451" s="2">
        <f t="shared" ca="1" si="1030"/>
        <v>252</v>
      </c>
      <c r="I2451" t="str">
        <f t="shared" si="1031"/>
        <v>MSFT</v>
      </c>
      <c r="J2451">
        <f t="shared" si="1032"/>
        <v>184</v>
      </c>
      <c r="K2451">
        <f t="shared" si="1033"/>
        <v>200</v>
      </c>
      <c r="L2451">
        <f t="shared" si="1034"/>
        <v>192</v>
      </c>
      <c r="M2451">
        <f t="shared" si="1035"/>
        <v>8</v>
      </c>
      <c r="N2451">
        <f t="shared" si="1040"/>
        <v>16</v>
      </c>
      <c r="O2451">
        <f t="shared" si="1036"/>
        <v>196</v>
      </c>
      <c r="P2451">
        <f t="shared" si="1037"/>
        <v>0.5</v>
      </c>
      <c r="Q2451" t="str">
        <f t="shared" si="1041"/>
        <v>6.12% | 2.04%</v>
      </c>
      <c r="R2451" t="str">
        <f t="shared" si="1038"/>
        <v>BULLISH</v>
      </c>
      <c r="S2451">
        <f t="shared" si="1042"/>
        <v>1</v>
      </c>
    </row>
    <row r="2452" spans="1:19" hidden="1" x14ac:dyDescent="0.25">
      <c r="A2452" s="5" t="str">
        <f t="shared" si="1039"/>
        <v>44001AAPL</v>
      </c>
      <c r="B2452" s="6" t="s">
        <v>28</v>
      </c>
      <c r="C2452" s="6">
        <v>329</v>
      </c>
      <c r="D2452" s="6">
        <v>360</v>
      </c>
      <c r="E2452" s="6">
        <v>351</v>
      </c>
      <c r="F2452" t="str">
        <f t="shared" si="1028"/>
        <v>FRI</v>
      </c>
      <c r="G2452" s="1">
        <f t="shared" si="1029"/>
        <v>44001</v>
      </c>
      <c r="H2452" s="2">
        <f t="shared" ca="1" si="1030"/>
        <v>252</v>
      </c>
      <c r="I2452" t="str">
        <f t="shared" si="1031"/>
        <v>AAPL</v>
      </c>
      <c r="J2452">
        <f t="shared" si="1032"/>
        <v>329</v>
      </c>
      <c r="K2452">
        <f t="shared" si="1033"/>
        <v>360</v>
      </c>
      <c r="L2452">
        <f t="shared" si="1034"/>
        <v>344.5</v>
      </c>
      <c r="M2452">
        <f t="shared" si="1035"/>
        <v>15.5</v>
      </c>
      <c r="N2452">
        <f t="shared" si="1040"/>
        <v>31</v>
      </c>
      <c r="O2452">
        <f t="shared" si="1036"/>
        <v>351</v>
      </c>
      <c r="P2452">
        <f t="shared" si="1037"/>
        <v>0.41935483870967744</v>
      </c>
      <c r="Q2452" t="str">
        <f t="shared" si="1041"/>
        <v>6.27% | 2.56%</v>
      </c>
      <c r="R2452" t="str">
        <f t="shared" si="1038"/>
        <v>BULLISH</v>
      </c>
      <c r="S2452">
        <f t="shared" si="1042"/>
        <v>1</v>
      </c>
    </row>
    <row r="2453" spans="1:19" hidden="1" x14ac:dyDescent="0.25">
      <c r="A2453" s="5" t="str">
        <f t="shared" si="1039"/>
        <v>44001AMZN</v>
      </c>
      <c r="B2453" s="6" t="s">
        <v>29</v>
      </c>
      <c r="C2453" s="6">
        <v>2504</v>
      </c>
      <c r="D2453" s="6">
        <v>2687</v>
      </c>
      <c r="E2453" s="6">
        <v>2653</v>
      </c>
      <c r="F2453" t="str">
        <f t="shared" si="1028"/>
        <v>FRI</v>
      </c>
      <c r="G2453" s="1">
        <f t="shared" si="1029"/>
        <v>44001</v>
      </c>
      <c r="H2453" s="2">
        <f t="shared" ca="1" si="1030"/>
        <v>252</v>
      </c>
      <c r="I2453" t="str">
        <f t="shared" si="1031"/>
        <v>AMZN</v>
      </c>
      <c r="J2453">
        <f t="shared" si="1032"/>
        <v>2504</v>
      </c>
      <c r="K2453">
        <f t="shared" si="1033"/>
        <v>2687</v>
      </c>
      <c r="L2453">
        <f t="shared" si="1034"/>
        <v>2595.5</v>
      </c>
      <c r="M2453">
        <f t="shared" si="1035"/>
        <v>91.5</v>
      </c>
      <c r="N2453">
        <f t="shared" si="1040"/>
        <v>183</v>
      </c>
      <c r="O2453">
        <f t="shared" si="1036"/>
        <v>2653</v>
      </c>
      <c r="P2453">
        <f t="shared" si="1037"/>
        <v>0.62841530054644812</v>
      </c>
      <c r="Q2453" t="str">
        <f t="shared" si="1041"/>
        <v>5.62% | 1.28%</v>
      </c>
      <c r="R2453" t="str">
        <f t="shared" si="1038"/>
        <v>BULLISH</v>
      </c>
      <c r="S2453">
        <f t="shared" si="1042"/>
        <v>1</v>
      </c>
    </row>
    <row r="2454" spans="1:19" hidden="1" x14ac:dyDescent="0.25">
      <c r="A2454" s="5" t="str">
        <f t="shared" si="1039"/>
        <v>44001FB</v>
      </c>
      <c r="B2454" s="6" t="s">
        <v>30</v>
      </c>
      <c r="C2454" s="6">
        <v>223</v>
      </c>
      <c r="D2454" s="6">
        <v>243</v>
      </c>
      <c r="E2454" s="6">
        <v>235</v>
      </c>
      <c r="F2454" t="str">
        <f t="shared" si="1028"/>
        <v>FRI</v>
      </c>
      <c r="G2454" s="1">
        <f t="shared" si="1029"/>
        <v>44001</v>
      </c>
      <c r="H2454" s="2">
        <f t="shared" ca="1" si="1030"/>
        <v>252</v>
      </c>
      <c r="I2454" t="str">
        <f t="shared" si="1031"/>
        <v>FB</v>
      </c>
      <c r="J2454">
        <f t="shared" si="1032"/>
        <v>223</v>
      </c>
      <c r="K2454">
        <f t="shared" si="1033"/>
        <v>243</v>
      </c>
      <c r="L2454">
        <f t="shared" si="1034"/>
        <v>233</v>
      </c>
      <c r="M2454">
        <f t="shared" si="1035"/>
        <v>10</v>
      </c>
      <c r="N2454">
        <f t="shared" si="1040"/>
        <v>20</v>
      </c>
      <c r="O2454">
        <f t="shared" si="1036"/>
        <v>235</v>
      </c>
      <c r="P2454">
        <f t="shared" si="1037"/>
        <v>0.2</v>
      </c>
      <c r="Q2454" t="str">
        <f t="shared" si="1041"/>
        <v>5.11% | 3.4%</v>
      </c>
      <c r="R2454" t="str">
        <f t="shared" si="1038"/>
        <v>BULLISH</v>
      </c>
      <c r="S2454">
        <f t="shared" si="1042"/>
        <v>1</v>
      </c>
    </row>
    <row r="2455" spans="1:19" hidden="1" x14ac:dyDescent="0.25">
      <c r="A2455" s="5" t="str">
        <f t="shared" si="1039"/>
        <v>44001GOOGL</v>
      </c>
      <c r="B2455" s="6" t="s">
        <v>31</v>
      </c>
      <c r="C2455" s="6">
        <v>1394</v>
      </c>
      <c r="D2455" s="6">
        <v>1479</v>
      </c>
      <c r="E2455" s="6">
        <v>1434</v>
      </c>
      <c r="F2455" t="str">
        <f t="shared" si="1028"/>
        <v>FRI</v>
      </c>
      <c r="G2455" s="1">
        <f t="shared" si="1029"/>
        <v>44001</v>
      </c>
      <c r="H2455" s="2">
        <f t="shared" ca="1" si="1030"/>
        <v>252</v>
      </c>
      <c r="I2455" t="str">
        <f t="shared" si="1031"/>
        <v>GOOGL</v>
      </c>
      <c r="J2455">
        <f t="shared" si="1032"/>
        <v>1394</v>
      </c>
      <c r="K2455">
        <f t="shared" si="1033"/>
        <v>1479</v>
      </c>
      <c r="L2455">
        <f t="shared" si="1034"/>
        <v>1436.5</v>
      </c>
      <c r="M2455">
        <f t="shared" si="1035"/>
        <v>42.5</v>
      </c>
      <c r="N2455">
        <f t="shared" si="1040"/>
        <v>85</v>
      </c>
      <c r="O2455">
        <f t="shared" si="1036"/>
        <v>1434</v>
      </c>
      <c r="P2455">
        <f t="shared" si="1037"/>
        <v>-5.8823529411764705E-2</v>
      </c>
      <c r="Q2455" t="str">
        <f t="shared" si="1041"/>
        <v>2.79% | 3.14%</v>
      </c>
      <c r="R2455" t="str">
        <f t="shared" si="1038"/>
        <v>BULLISH</v>
      </c>
      <c r="S2455">
        <f t="shared" si="1042"/>
        <v>1</v>
      </c>
    </row>
    <row r="2456" spans="1:19" hidden="1" x14ac:dyDescent="0.25">
      <c r="A2456" s="5" t="str">
        <f t="shared" si="1039"/>
        <v>44001NFLX</v>
      </c>
      <c r="B2456" s="6" t="s">
        <v>32</v>
      </c>
      <c r="C2456" s="6">
        <v>410</v>
      </c>
      <c r="D2456" s="6">
        <v>455</v>
      </c>
      <c r="E2456" s="6">
        <v>449</v>
      </c>
      <c r="F2456" t="str">
        <f t="shared" si="1028"/>
        <v>FRI</v>
      </c>
      <c r="G2456" s="1">
        <f t="shared" si="1029"/>
        <v>44001</v>
      </c>
      <c r="H2456" s="2">
        <f t="shared" ca="1" si="1030"/>
        <v>252</v>
      </c>
      <c r="I2456" t="str">
        <f t="shared" si="1031"/>
        <v>NFLX</v>
      </c>
      <c r="J2456">
        <f t="shared" si="1032"/>
        <v>410</v>
      </c>
      <c r="K2456">
        <f t="shared" si="1033"/>
        <v>455</v>
      </c>
      <c r="L2456">
        <f t="shared" si="1034"/>
        <v>432.5</v>
      </c>
      <c r="M2456">
        <f t="shared" si="1035"/>
        <v>22.5</v>
      </c>
      <c r="N2456">
        <f t="shared" si="1040"/>
        <v>45</v>
      </c>
      <c r="O2456">
        <f t="shared" si="1036"/>
        <v>449</v>
      </c>
      <c r="P2456">
        <f t="shared" si="1037"/>
        <v>0.73333333333333328</v>
      </c>
      <c r="Q2456" t="str">
        <f t="shared" si="1041"/>
        <v>8.69% | 1.34%</v>
      </c>
      <c r="R2456" t="str">
        <f t="shared" si="1038"/>
        <v>BULLISH</v>
      </c>
      <c r="S2456">
        <f t="shared" si="1042"/>
        <v>1</v>
      </c>
    </row>
    <row r="2457" spans="1:19" x14ac:dyDescent="0.25">
      <c r="A2457" s="5" t="str">
        <f t="shared" si="1039"/>
        <v>44001TSLA</v>
      </c>
      <c r="B2457" s="6" t="s">
        <v>33</v>
      </c>
      <c r="C2457" s="6">
        <v>912</v>
      </c>
      <c r="D2457" s="6">
        <v>1039</v>
      </c>
      <c r="E2457" s="6">
        <v>1003</v>
      </c>
      <c r="F2457" t="str">
        <f t="shared" si="1028"/>
        <v>FRI</v>
      </c>
      <c r="G2457" s="1">
        <f t="shared" si="1029"/>
        <v>44001</v>
      </c>
      <c r="H2457" s="2">
        <f t="shared" ca="1" si="1030"/>
        <v>252</v>
      </c>
      <c r="I2457" t="str">
        <f t="shared" si="1031"/>
        <v>TSLA</v>
      </c>
      <c r="J2457">
        <f t="shared" si="1032"/>
        <v>912</v>
      </c>
      <c r="K2457">
        <f t="shared" si="1033"/>
        <v>1039</v>
      </c>
      <c r="L2457">
        <f t="shared" si="1034"/>
        <v>975.5</v>
      </c>
      <c r="M2457">
        <f t="shared" si="1035"/>
        <v>63.5</v>
      </c>
      <c r="N2457">
        <f t="shared" si="1040"/>
        <v>127</v>
      </c>
      <c r="O2457">
        <f t="shared" si="1036"/>
        <v>1003</v>
      </c>
      <c r="P2457">
        <f t="shared" si="1037"/>
        <v>0.43307086614173229</v>
      </c>
      <c r="Q2457" t="str">
        <f t="shared" si="1041"/>
        <v>9.07% | 3.59%</v>
      </c>
      <c r="R2457" t="str">
        <f t="shared" si="1038"/>
        <v>BULLISH</v>
      </c>
      <c r="S2457">
        <f t="shared" si="1042"/>
        <v>1</v>
      </c>
    </row>
    <row r="2458" spans="1:19" hidden="1" x14ac:dyDescent="0.25">
      <c r="A2458" s="5" t="str">
        <f t="shared" si="1039"/>
        <v>44001NYXBT</v>
      </c>
      <c r="B2458" s="6" t="s">
        <v>34</v>
      </c>
      <c r="C2458" s="6">
        <v>9157</v>
      </c>
      <c r="D2458" s="6">
        <v>9894</v>
      </c>
      <c r="E2458" s="6">
        <v>9413</v>
      </c>
      <c r="F2458" t="str">
        <f t="shared" si="1028"/>
        <v>FRI</v>
      </c>
      <c r="G2458" s="1">
        <f t="shared" si="1029"/>
        <v>44001</v>
      </c>
      <c r="H2458" s="2">
        <f t="shared" ca="1" si="1030"/>
        <v>252</v>
      </c>
      <c r="I2458" t="str">
        <f t="shared" si="1031"/>
        <v>NYXBT</v>
      </c>
      <c r="J2458">
        <f t="shared" si="1032"/>
        <v>9157</v>
      </c>
      <c r="K2458">
        <f t="shared" si="1033"/>
        <v>9894</v>
      </c>
      <c r="L2458">
        <f t="shared" si="1034"/>
        <v>9525.5</v>
      </c>
      <c r="M2458">
        <f t="shared" si="1035"/>
        <v>368.5</v>
      </c>
      <c r="N2458">
        <f t="shared" si="1040"/>
        <v>737</v>
      </c>
      <c r="O2458">
        <f t="shared" si="1036"/>
        <v>9413</v>
      </c>
      <c r="P2458">
        <f t="shared" si="1037"/>
        <v>-0.30529172320217096</v>
      </c>
      <c r="Q2458" t="str">
        <f t="shared" si="1041"/>
        <v>2.72% | 5.11%</v>
      </c>
      <c r="R2458" t="str">
        <f t="shared" si="1038"/>
        <v>BULLISH</v>
      </c>
      <c r="S2458">
        <f t="shared" si="1042"/>
        <v>1</v>
      </c>
    </row>
    <row r="2459" spans="1:19" hidden="1" x14ac:dyDescent="0.25">
      <c r="A2459" s="5" t="str">
        <f t="shared" si="1039"/>
        <v>44004UST10Y</v>
      </c>
      <c r="B2459" s="6" t="s">
        <v>4</v>
      </c>
      <c r="C2459" s="6">
        <v>0.82</v>
      </c>
      <c r="D2459" s="6">
        <v>0.62</v>
      </c>
      <c r="E2459" s="6">
        <v>0.7</v>
      </c>
      <c r="F2459" t="str">
        <f t="shared" si="1028"/>
        <v>MON</v>
      </c>
      <c r="G2459" s="3">
        <f>DATE(2020,6,22)</f>
        <v>44004</v>
      </c>
      <c r="H2459" s="2">
        <f t="shared" ca="1" si="1030"/>
        <v>249</v>
      </c>
      <c r="I2459" t="str">
        <f t="shared" si="1031"/>
        <v>UST10Y</v>
      </c>
      <c r="J2459">
        <f t="shared" si="1032"/>
        <v>0.82</v>
      </c>
      <c r="K2459">
        <f t="shared" si="1033"/>
        <v>0.62</v>
      </c>
      <c r="L2459">
        <f t="shared" si="1034"/>
        <v>0.72</v>
      </c>
      <c r="M2459">
        <f t="shared" si="1035"/>
        <v>0.10000000000000005</v>
      </c>
      <c r="N2459">
        <f t="shared" si="1040"/>
        <v>0.19999999999999996</v>
      </c>
      <c r="O2459">
        <f t="shared" si="1036"/>
        <v>0.7</v>
      </c>
      <c r="P2459">
        <f t="shared" si="1037"/>
        <v>-0.20000000000000009</v>
      </c>
      <c r="Q2459" t="str">
        <f t="shared" si="1041"/>
        <v>17.14% | 11.43%</v>
      </c>
      <c r="R2459" t="str">
        <f t="shared" si="1038"/>
        <v>BEARISH</v>
      </c>
      <c r="S2459">
        <f t="shared" si="1042"/>
        <v>-1</v>
      </c>
    </row>
    <row r="2460" spans="1:19" hidden="1" x14ac:dyDescent="0.25">
      <c r="A2460" s="5" t="str">
        <f t="shared" si="1039"/>
        <v>44004UST2Y</v>
      </c>
      <c r="B2460" s="6" t="s">
        <v>5</v>
      </c>
      <c r="C2460" s="6">
        <v>0.21</v>
      </c>
      <c r="D2460" s="6">
        <v>0.16</v>
      </c>
      <c r="E2460" s="6">
        <v>0.19</v>
      </c>
      <c r="F2460" t="str">
        <f t="shared" ref="F2460:F2489" si="1043">UPPER(TEXT(G2460,"ddd"))</f>
        <v>MON</v>
      </c>
      <c r="G2460" s="3">
        <f t="shared" ref="G2460:G2488" si="1044">DATE(2020,6,22)</f>
        <v>44004</v>
      </c>
      <c r="H2460" s="2">
        <f t="shared" ref="H2460:H2489" ca="1" si="1045">TODAY()-G2460</f>
        <v>249</v>
      </c>
      <c r="I2460" t="str">
        <f t="shared" ref="I2460:I2489" si="1046">TRIM(LEFT(B2460,FIND(" ",B2460,1)))</f>
        <v>UST2Y</v>
      </c>
      <c r="J2460">
        <f t="shared" ref="J2460:J2489" si="1047">C2460</f>
        <v>0.21</v>
      </c>
      <c r="K2460">
        <f t="shared" ref="K2460:K2489" si="1048">D2460</f>
        <v>0.16</v>
      </c>
      <c r="L2460">
        <f t="shared" ref="L2460:L2489" si="1049">AVERAGE(J2460:K2460)</f>
        <v>0.185</v>
      </c>
      <c r="M2460">
        <f t="shared" ref="M2460:M2489" si="1050">_xlfn.STDEV.P(J2460:K2460)</f>
        <v>2.5000000000000012E-2</v>
      </c>
      <c r="N2460">
        <f t="shared" si="1040"/>
        <v>4.9999999999999989E-2</v>
      </c>
      <c r="O2460">
        <f t="shared" ref="O2460:O2489" si="1051">E2460</f>
        <v>0.19</v>
      </c>
      <c r="P2460">
        <f t="shared" ref="P2460:P2489" si="1052">(O2460-L2460)/M2460</f>
        <v>0.20000000000000009</v>
      </c>
      <c r="Q2460" t="str">
        <f t="shared" si="1041"/>
        <v>10.53% | 15.79%</v>
      </c>
      <c r="R2460" t="str">
        <f t="shared" ref="R2460:R2489" si="1053">MID(B2460,FIND("(",B2460,1)+1,FIND(")",B2460,1)-FIND("(",B2460,1)-1)</f>
        <v>BEARISH</v>
      </c>
      <c r="S2460">
        <f t="shared" si="1042"/>
        <v>-1</v>
      </c>
    </row>
    <row r="2461" spans="1:19" hidden="1" x14ac:dyDescent="0.25">
      <c r="A2461" s="5" t="str">
        <f t="shared" si="1039"/>
        <v>44004SPX</v>
      </c>
      <c r="B2461" s="6" t="s">
        <v>6</v>
      </c>
      <c r="C2461" s="6">
        <v>2968</v>
      </c>
      <c r="D2461" s="6">
        <v>3134</v>
      </c>
      <c r="E2461" s="6">
        <v>3097</v>
      </c>
      <c r="F2461" t="str">
        <f t="shared" si="1043"/>
        <v>MON</v>
      </c>
      <c r="G2461" s="3">
        <f t="shared" si="1044"/>
        <v>44004</v>
      </c>
      <c r="H2461" s="2">
        <f t="shared" ca="1" si="1045"/>
        <v>249</v>
      </c>
      <c r="I2461" t="str">
        <f t="shared" si="1046"/>
        <v>SPX</v>
      </c>
      <c r="J2461">
        <f t="shared" si="1047"/>
        <v>2968</v>
      </c>
      <c r="K2461">
        <f t="shared" si="1048"/>
        <v>3134</v>
      </c>
      <c r="L2461">
        <f t="shared" si="1049"/>
        <v>3051</v>
      </c>
      <c r="M2461">
        <f t="shared" si="1050"/>
        <v>83</v>
      </c>
      <c r="N2461">
        <f t="shared" si="1040"/>
        <v>166</v>
      </c>
      <c r="O2461">
        <f t="shared" si="1051"/>
        <v>3097</v>
      </c>
      <c r="P2461">
        <f t="shared" si="1052"/>
        <v>0.55421686746987953</v>
      </c>
      <c r="Q2461" t="str">
        <f t="shared" si="1041"/>
        <v>4.17% | 1.19%</v>
      </c>
      <c r="R2461" t="str">
        <f t="shared" si="1053"/>
        <v>BEARISH</v>
      </c>
      <c r="S2461">
        <f t="shared" si="1042"/>
        <v>-1</v>
      </c>
    </row>
    <row r="2462" spans="1:19" hidden="1" x14ac:dyDescent="0.25">
      <c r="A2462" s="5" t="str">
        <f t="shared" si="1039"/>
        <v>44004RUT</v>
      </c>
      <c r="B2462" s="6" t="s">
        <v>7</v>
      </c>
      <c r="C2462" s="6">
        <v>1344</v>
      </c>
      <c r="D2462" s="6">
        <v>1507</v>
      </c>
      <c r="E2462" s="6">
        <v>1418</v>
      </c>
      <c r="F2462" t="str">
        <f t="shared" si="1043"/>
        <v>MON</v>
      </c>
      <c r="G2462" s="3">
        <f t="shared" si="1044"/>
        <v>44004</v>
      </c>
      <c r="H2462" s="2">
        <f t="shared" ca="1" si="1045"/>
        <v>249</v>
      </c>
      <c r="I2462" t="str">
        <f t="shared" si="1046"/>
        <v>RUT</v>
      </c>
      <c r="J2462">
        <f t="shared" si="1047"/>
        <v>1344</v>
      </c>
      <c r="K2462">
        <f t="shared" si="1048"/>
        <v>1507</v>
      </c>
      <c r="L2462">
        <f t="shared" si="1049"/>
        <v>1425.5</v>
      </c>
      <c r="M2462">
        <f t="shared" si="1050"/>
        <v>81.5</v>
      </c>
      <c r="N2462">
        <f t="shared" si="1040"/>
        <v>163</v>
      </c>
      <c r="O2462">
        <f t="shared" si="1051"/>
        <v>1418</v>
      </c>
      <c r="P2462">
        <f t="shared" si="1052"/>
        <v>-9.202453987730061E-2</v>
      </c>
      <c r="Q2462" t="str">
        <f t="shared" si="1041"/>
        <v>5.22% | 6.28%</v>
      </c>
      <c r="R2462" t="str">
        <f t="shared" si="1053"/>
        <v>BEARISH</v>
      </c>
      <c r="S2462">
        <f t="shared" si="1042"/>
        <v>-1</v>
      </c>
    </row>
    <row r="2463" spans="1:19" hidden="1" x14ac:dyDescent="0.25">
      <c r="A2463" s="5" t="str">
        <f t="shared" si="1039"/>
        <v>44004COMPQ</v>
      </c>
      <c r="B2463" s="6" t="s">
        <v>8</v>
      </c>
      <c r="C2463" s="6">
        <v>9480</v>
      </c>
      <c r="D2463" s="6">
        <v>10180</v>
      </c>
      <c r="E2463" s="6">
        <v>9946</v>
      </c>
      <c r="F2463" t="str">
        <f t="shared" si="1043"/>
        <v>MON</v>
      </c>
      <c r="G2463" s="3">
        <f t="shared" si="1044"/>
        <v>44004</v>
      </c>
      <c r="H2463" s="2">
        <f t="shared" ca="1" si="1045"/>
        <v>249</v>
      </c>
      <c r="I2463" t="str">
        <f t="shared" si="1046"/>
        <v>COMPQ</v>
      </c>
      <c r="J2463">
        <f t="shared" si="1047"/>
        <v>9480</v>
      </c>
      <c r="K2463">
        <f t="shared" si="1048"/>
        <v>10180</v>
      </c>
      <c r="L2463">
        <f t="shared" si="1049"/>
        <v>9830</v>
      </c>
      <c r="M2463">
        <f t="shared" si="1050"/>
        <v>350</v>
      </c>
      <c r="N2463">
        <f t="shared" si="1040"/>
        <v>700</v>
      </c>
      <c r="O2463">
        <f t="shared" si="1051"/>
        <v>9946</v>
      </c>
      <c r="P2463">
        <f t="shared" si="1052"/>
        <v>0.33142857142857141</v>
      </c>
      <c r="Q2463" t="str">
        <f t="shared" si="1041"/>
        <v>4.69% | 2.35%</v>
      </c>
      <c r="R2463" t="str">
        <f t="shared" si="1053"/>
        <v>BULLISH</v>
      </c>
      <c r="S2463">
        <f t="shared" si="1042"/>
        <v>1</v>
      </c>
    </row>
    <row r="2464" spans="1:19" hidden="1" x14ac:dyDescent="0.25">
      <c r="A2464" s="5" t="str">
        <f t="shared" si="1039"/>
        <v>44004XLK</v>
      </c>
      <c r="B2464" s="6" t="s">
        <v>10</v>
      </c>
      <c r="C2464" s="6">
        <v>97.94</v>
      </c>
      <c r="D2464" s="6">
        <v>105.26</v>
      </c>
      <c r="E2464" s="6">
        <v>102.24</v>
      </c>
      <c r="F2464" t="str">
        <f t="shared" si="1043"/>
        <v>MON</v>
      </c>
      <c r="G2464" s="3">
        <f t="shared" si="1044"/>
        <v>44004</v>
      </c>
      <c r="H2464" s="2">
        <f t="shared" ca="1" si="1045"/>
        <v>249</v>
      </c>
      <c r="I2464" t="str">
        <f t="shared" si="1046"/>
        <v>XLK</v>
      </c>
      <c r="J2464">
        <f t="shared" si="1047"/>
        <v>97.94</v>
      </c>
      <c r="K2464">
        <f t="shared" si="1048"/>
        <v>105.26</v>
      </c>
      <c r="L2464">
        <f t="shared" si="1049"/>
        <v>101.6</v>
      </c>
      <c r="M2464">
        <f t="shared" si="1050"/>
        <v>3.6600000000000037</v>
      </c>
      <c r="N2464">
        <f t="shared" si="1040"/>
        <v>7.3200000000000074</v>
      </c>
      <c r="O2464">
        <f t="shared" si="1051"/>
        <v>102.24</v>
      </c>
      <c r="P2464">
        <f t="shared" si="1052"/>
        <v>0.17486338797814205</v>
      </c>
      <c r="Q2464" t="str">
        <f t="shared" si="1041"/>
        <v>4.21% | 2.95%</v>
      </c>
      <c r="R2464" t="str">
        <f t="shared" si="1053"/>
        <v>BULLISH</v>
      </c>
      <c r="S2464">
        <f t="shared" si="1042"/>
        <v>1</v>
      </c>
    </row>
    <row r="2465" spans="1:19" hidden="1" x14ac:dyDescent="0.25">
      <c r="A2465" s="5" t="str">
        <f t="shared" si="1039"/>
        <v>44004XLRE</v>
      </c>
      <c r="B2465" s="6" t="s">
        <v>97</v>
      </c>
      <c r="C2465" s="6">
        <v>34.26</v>
      </c>
      <c r="D2465" s="6">
        <v>38.01</v>
      </c>
      <c r="E2465" s="6">
        <v>35.35</v>
      </c>
      <c r="F2465" t="str">
        <f t="shared" si="1043"/>
        <v>MON</v>
      </c>
      <c r="G2465" s="3">
        <f t="shared" si="1044"/>
        <v>44004</v>
      </c>
      <c r="H2465" s="2">
        <f t="shared" ca="1" si="1045"/>
        <v>249</v>
      </c>
      <c r="I2465" t="str">
        <f t="shared" si="1046"/>
        <v>XLRE</v>
      </c>
      <c r="J2465">
        <f t="shared" si="1047"/>
        <v>34.26</v>
      </c>
      <c r="K2465">
        <f t="shared" si="1048"/>
        <v>38.01</v>
      </c>
      <c r="L2465">
        <f t="shared" si="1049"/>
        <v>36.134999999999998</v>
      </c>
      <c r="M2465">
        <f t="shared" si="1050"/>
        <v>1.875</v>
      </c>
      <c r="N2465">
        <f t="shared" si="1040"/>
        <v>3.75</v>
      </c>
      <c r="O2465">
        <f t="shared" si="1051"/>
        <v>35.35</v>
      </c>
      <c r="P2465">
        <f t="shared" si="1052"/>
        <v>-0.41866666666666486</v>
      </c>
      <c r="Q2465" t="str">
        <f t="shared" si="1041"/>
        <v>3.08% | 7.52%</v>
      </c>
      <c r="R2465" t="str">
        <f t="shared" si="1053"/>
        <v>BULLISH</v>
      </c>
      <c r="S2465">
        <f t="shared" si="1042"/>
        <v>1</v>
      </c>
    </row>
    <row r="2466" spans="1:19" hidden="1" x14ac:dyDescent="0.25">
      <c r="A2466" s="5" t="str">
        <f t="shared" si="1039"/>
        <v>44004XLU</v>
      </c>
      <c r="B2466" s="6" t="s">
        <v>52</v>
      </c>
      <c r="C2466" s="6">
        <v>57</v>
      </c>
      <c r="D2466" s="6">
        <v>61.8</v>
      </c>
      <c r="E2466" s="6">
        <v>57.49</v>
      </c>
      <c r="F2466" t="str">
        <f t="shared" si="1043"/>
        <v>MON</v>
      </c>
      <c r="G2466" s="3">
        <f t="shared" si="1044"/>
        <v>44004</v>
      </c>
      <c r="H2466" s="2">
        <f t="shared" ca="1" si="1045"/>
        <v>249</v>
      </c>
      <c r="I2466" t="str">
        <f t="shared" si="1046"/>
        <v>XLU</v>
      </c>
      <c r="J2466">
        <f t="shared" si="1047"/>
        <v>57</v>
      </c>
      <c r="K2466">
        <f t="shared" si="1048"/>
        <v>61.8</v>
      </c>
      <c r="L2466">
        <f t="shared" si="1049"/>
        <v>59.4</v>
      </c>
      <c r="M2466">
        <f t="shared" si="1050"/>
        <v>2.3999999999999986</v>
      </c>
      <c r="N2466">
        <f t="shared" si="1040"/>
        <v>4.7999999999999972</v>
      </c>
      <c r="O2466">
        <f t="shared" si="1051"/>
        <v>57.49</v>
      </c>
      <c r="P2466">
        <f t="shared" si="1052"/>
        <v>-0.79583333333333239</v>
      </c>
      <c r="Q2466" t="str">
        <f t="shared" si="1041"/>
        <v>0.85% | 7.5%</v>
      </c>
      <c r="R2466" t="str">
        <f t="shared" si="1053"/>
        <v>BULLISH</v>
      </c>
      <c r="S2466">
        <f t="shared" si="1042"/>
        <v>1</v>
      </c>
    </row>
    <row r="2467" spans="1:19" hidden="1" x14ac:dyDescent="0.25">
      <c r="A2467" s="5" t="str">
        <f t="shared" si="1039"/>
        <v>44004XLF</v>
      </c>
      <c r="B2467" s="6" t="s">
        <v>12</v>
      </c>
      <c r="C2467" s="6">
        <v>22.23</v>
      </c>
      <c r="D2467" s="6">
        <v>25.1</v>
      </c>
      <c r="E2467" s="6">
        <v>23.98</v>
      </c>
      <c r="F2467" t="str">
        <f t="shared" si="1043"/>
        <v>MON</v>
      </c>
      <c r="G2467" s="3">
        <f t="shared" si="1044"/>
        <v>44004</v>
      </c>
      <c r="H2467" s="2">
        <f t="shared" ca="1" si="1045"/>
        <v>249</v>
      </c>
      <c r="I2467" t="str">
        <f t="shared" si="1046"/>
        <v>XLF</v>
      </c>
      <c r="J2467">
        <f t="shared" si="1047"/>
        <v>22.23</v>
      </c>
      <c r="K2467">
        <f t="shared" si="1048"/>
        <v>25.1</v>
      </c>
      <c r="L2467">
        <f t="shared" si="1049"/>
        <v>23.664999999999999</v>
      </c>
      <c r="M2467">
        <f t="shared" si="1050"/>
        <v>1.4350000000000005</v>
      </c>
      <c r="N2467">
        <f t="shared" si="1040"/>
        <v>2.870000000000001</v>
      </c>
      <c r="O2467">
        <f t="shared" si="1051"/>
        <v>23.98</v>
      </c>
      <c r="P2467">
        <f t="shared" si="1052"/>
        <v>0.21951219512195203</v>
      </c>
      <c r="Q2467" t="str">
        <f t="shared" si="1041"/>
        <v>7.3% | 4.67%</v>
      </c>
      <c r="R2467" t="str">
        <f t="shared" si="1053"/>
        <v>BEARISH</v>
      </c>
      <c r="S2467">
        <f t="shared" si="1042"/>
        <v>-1</v>
      </c>
    </row>
    <row r="2468" spans="1:19" hidden="1" x14ac:dyDescent="0.25">
      <c r="A2468" s="5" t="str">
        <f t="shared" si="1039"/>
        <v>44004SSEC</v>
      </c>
      <c r="B2468" s="6" t="s">
        <v>55</v>
      </c>
      <c r="C2468" s="6">
        <v>2889</v>
      </c>
      <c r="D2468" s="6">
        <v>2977</v>
      </c>
      <c r="E2468" s="6">
        <v>2965</v>
      </c>
      <c r="F2468" t="str">
        <f t="shared" si="1043"/>
        <v>MON</v>
      </c>
      <c r="G2468" s="3">
        <f t="shared" si="1044"/>
        <v>44004</v>
      </c>
      <c r="H2468" s="2">
        <f t="shared" ca="1" si="1045"/>
        <v>249</v>
      </c>
      <c r="I2468" t="str">
        <f t="shared" si="1046"/>
        <v>SSEC</v>
      </c>
      <c r="J2468">
        <f t="shared" si="1047"/>
        <v>2889</v>
      </c>
      <c r="K2468">
        <f t="shared" si="1048"/>
        <v>2977</v>
      </c>
      <c r="L2468">
        <f t="shared" si="1049"/>
        <v>2933</v>
      </c>
      <c r="M2468">
        <f t="shared" si="1050"/>
        <v>44</v>
      </c>
      <c r="N2468">
        <f t="shared" si="1040"/>
        <v>88</v>
      </c>
      <c r="O2468">
        <f t="shared" si="1051"/>
        <v>2965</v>
      </c>
      <c r="P2468">
        <f t="shared" si="1052"/>
        <v>0.72727272727272729</v>
      </c>
      <c r="Q2468" t="str">
        <f t="shared" si="1041"/>
        <v>2.56% | 0.4%</v>
      </c>
      <c r="R2468" t="str">
        <f t="shared" si="1053"/>
        <v>NEUTRAL</v>
      </c>
      <c r="S2468">
        <f t="shared" si="1042"/>
        <v>0</v>
      </c>
    </row>
    <row r="2469" spans="1:19" hidden="1" x14ac:dyDescent="0.25">
      <c r="A2469" s="5" t="str">
        <f t="shared" si="1039"/>
        <v>44004NIKK</v>
      </c>
      <c r="B2469" s="6" t="s">
        <v>15</v>
      </c>
      <c r="C2469" s="6">
        <v>21601</v>
      </c>
      <c r="D2469" s="6">
        <v>22688</v>
      </c>
      <c r="E2469" s="6">
        <v>22437</v>
      </c>
      <c r="F2469" t="str">
        <f t="shared" si="1043"/>
        <v>MON</v>
      </c>
      <c r="G2469" s="3">
        <f t="shared" si="1044"/>
        <v>44004</v>
      </c>
      <c r="H2469" s="2">
        <f t="shared" ca="1" si="1045"/>
        <v>249</v>
      </c>
      <c r="I2469" t="str">
        <f t="shared" si="1046"/>
        <v>NIKK</v>
      </c>
      <c r="J2469">
        <f t="shared" si="1047"/>
        <v>21601</v>
      </c>
      <c r="K2469">
        <f t="shared" si="1048"/>
        <v>22688</v>
      </c>
      <c r="L2469">
        <f t="shared" si="1049"/>
        <v>22144.5</v>
      </c>
      <c r="M2469">
        <f t="shared" si="1050"/>
        <v>543.5</v>
      </c>
      <c r="N2469">
        <f t="shared" si="1040"/>
        <v>1087</v>
      </c>
      <c r="O2469">
        <f t="shared" si="1051"/>
        <v>22437</v>
      </c>
      <c r="P2469">
        <f t="shared" si="1052"/>
        <v>0.53817847286108556</v>
      </c>
      <c r="Q2469" t="str">
        <f t="shared" si="1041"/>
        <v>3.73% | 1.12%</v>
      </c>
      <c r="R2469" t="str">
        <f t="shared" si="1053"/>
        <v>BEARISH</v>
      </c>
      <c r="S2469">
        <f t="shared" si="1042"/>
        <v>-1</v>
      </c>
    </row>
    <row r="2470" spans="1:19" hidden="1" x14ac:dyDescent="0.25">
      <c r="A2470" s="5" t="str">
        <f t="shared" si="1039"/>
        <v>44004DAX</v>
      </c>
      <c r="B2470" s="6" t="s">
        <v>92</v>
      </c>
      <c r="C2470" s="6">
        <v>11526</v>
      </c>
      <c r="D2470" s="6">
        <v>12735</v>
      </c>
      <c r="E2470" s="6">
        <v>12312</v>
      </c>
      <c r="F2470" t="str">
        <f t="shared" si="1043"/>
        <v>MON</v>
      </c>
      <c r="G2470" s="3">
        <f t="shared" si="1044"/>
        <v>44004</v>
      </c>
      <c r="H2470" s="2">
        <f t="shared" ca="1" si="1045"/>
        <v>249</v>
      </c>
      <c r="I2470" t="str">
        <f t="shared" si="1046"/>
        <v>DAX</v>
      </c>
      <c r="J2470">
        <f t="shared" si="1047"/>
        <v>11526</v>
      </c>
      <c r="K2470">
        <f t="shared" si="1048"/>
        <v>12735</v>
      </c>
      <c r="L2470">
        <f t="shared" si="1049"/>
        <v>12130.5</v>
      </c>
      <c r="M2470">
        <f t="shared" si="1050"/>
        <v>604.5</v>
      </c>
      <c r="N2470">
        <f t="shared" si="1040"/>
        <v>1209</v>
      </c>
      <c r="O2470">
        <f t="shared" si="1051"/>
        <v>12312</v>
      </c>
      <c r="P2470">
        <f t="shared" si="1052"/>
        <v>0.30024813895781638</v>
      </c>
      <c r="Q2470" t="str">
        <f t="shared" si="1041"/>
        <v>6.38% | 3.44%</v>
      </c>
      <c r="R2470" t="str">
        <f t="shared" si="1053"/>
        <v>NEUTRAL</v>
      </c>
      <c r="S2470">
        <f t="shared" si="1042"/>
        <v>0</v>
      </c>
    </row>
    <row r="2471" spans="1:19" hidden="1" x14ac:dyDescent="0.25">
      <c r="A2471" s="5" t="str">
        <f t="shared" si="1039"/>
        <v>44004VIX</v>
      </c>
      <c r="B2471" s="6" t="s">
        <v>17</v>
      </c>
      <c r="C2471" s="6">
        <v>29.98</v>
      </c>
      <c r="D2471" s="6">
        <v>41.33</v>
      </c>
      <c r="E2471" s="6">
        <v>35.119999999999997</v>
      </c>
      <c r="F2471" t="str">
        <f t="shared" si="1043"/>
        <v>MON</v>
      </c>
      <c r="G2471" s="3">
        <f t="shared" si="1044"/>
        <v>44004</v>
      </c>
      <c r="H2471" s="2">
        <f t="shared" ca="1" si="1045"/>
        <v>249</v>
      </c>
      <c r="I2471" t="str">
        <f t="shared" si="1046"/>
        <v>VIX</v>
      </c>
      <c r="J2471">
        <f t="shared" si="1047"/>
        <v>29.98</v>
      </c>
      <c r="K2471">
        <f t="shared" si="1048"/>
        <v>41.33</v>
      </c>
      <c r="L2471">
        <f t="shared" si="1049"/>
        <v>35.655000000000001</v>
      </c>
      <c r="M2471">
        <f t="shared" si="1050"/>
        <v>5.6749999999999847</v>
      </c>
      <c r="N2471">
        <f t="shared" si="1040"/>
        <v>11.349999999999998</v>
      </c>
      <c r="O2471">
        <f t="shared" si="1051"/>
        <v>35.119999999999997</v>
      </c>
      <c r="P2471">
        <f t="shared" si="1052"/>
        <v>-9.4273127753304875E-2</v>
      </c>
      <c r="Q2471" t="str">
        <f t="shared" si="1041"/>
        <v>14.64% | 17.68%</v>
      </c>
      <c r="R2471" t="str">
        <f t="shared" si="1053"/>
        <v>BULLISH</v>
      </c>
      <c r="S2471">
        <f t="shared" si="1042"/>
        <v>1</v>
      </c>
    </row>
    <row r="2472" spans="1:19" hidden="1" x14ac:dyDescent="0.25">
      <c r="A2472" s="5" t="str">
        <f t="shared" si="1039"/>
        <v>44004USD</v>
      </c>
      <c r="B2472" s="6" t="s">
        <v>94</v>
      </c>
      <c r="C2472" s="6">
        <v>95.86</v>
      </c>
      <c r="D2472" s="6">
        <v>97.97</v>
      </c>
      <c r="E2472" s="6">
        <v>97.58</v>
      </c>
      <c r="F2472" t="str">
        <f t="shared" si="1043"/>
        <v>MON</v>
      </c>
      <c r="G2472" s="3">
        <f t="shared" si="1044"/>
        <v>44004</v>
      </c>
      <c r="H2472" s="2">
        <f t="shared" ca="1" si="1045"/>
        <v>249</v>
      </c>
      <c r="I2472" t="str">
        <f t="shared" si="1046"/>
        <v>USD</v>
      </c>
      <c r="J2472">
        <f t="shared" si="1047"/>
        <v>95.86</v>
      </c>
      <c r="K2472">
        <f t="shared" si="1048"/>
        <v>97.97</v>
      </c>
      <c r="L2472">
        <f t="shared" si="1049"/>
        <v>96.914999999999992</v>
      </c>
      <c r="M2472">
        <f t="shared" si="1050"/>
        <v>1.0549999999999997</v>
      </c>
      <c r="N2472">
        <f t="shared" si="1040"/>
        <v>2.1099999999999994</v>
      </c>
      <c r="O2472">
        <f t="shared" si="1051"/>
        <v>97.58</v>
      </c>
      <c r="P2472">
        <f t="shared" si="1052"/>
        <v>0.63033175355450843</v>
      </c>
      <c r="Q2472" t="str">
        <f t="shared" si="1041"/>
        <v>1.76% | 0.4%</v>
      </c>
      <c r="R2472" t="str">
        <f t="shared" si="1053"/>
        <v>BEARISH</v>
      </c>
      <c r="S2472">
        <f t="shared" si="1042"/>
        <v>-1</v>
      </c>
    </row>
    <row r="2473" spans="1:19" hidden="1" x14ac:dyDescent="0.25">
      <c r="A2473" s="5" t="str">
        <f t="shared" si="1039"/>
        <v>44004EUR/USD</v>
      </c>
      <c r="B2473" s="6" t="s">
        <v>77</v>
      </c>
      <c r="C2473" s="6">
        <v>1.1100000000000001</v>
      </c>
      <c r="D2473" s="6">
        <v>1.1399999999999999</v>
      </c>
      <c r="E2473" s="6">
        <v>1.1100000000000001</v>
      </c>
      <c r="F2473" t="str">
        <f t="shared" si="1043"/>
        <v>MON</v>
      </c>
      <c r="G2473" s="3">
        <f t="shared" si="1044"/>
        <v>44004</v>
      </c>
      <c r="H2473" s="2">
        <f t="shared" ca="1" si="1045"/>
        <v>249</v>
      </c>
      <c r="I2473" t="str">
        <f t="shared" si="1046"/>
        <v>EUR/USD</v>
      </c>
      <c r="J2473">
        <f t="shared" si="1047"/>
        <v>1.1100000000000001</v>
      </c>
      <c r="K2473">
        <f t="shared" si="1048"/>
        <v>1.1399999999999999</v>
      </c>
      <c r="L2473">
        <f t="shared" si="1049"/>
        <v>1.125</v>
      </c>
      <c r="M2473">
        <f t="shared" si="1050"/>
        <v>1.4999999999999902E-2</v>
      </c>
      <c r="N2473">
        <f t="shared" si="1040"/>
        <v>2.9999999999999805E-2</v>
      </c>
      <c r="O2473">
        <f t="shared" si="1051"/>
        <v>1.1100000000000001</v>
      </c>
      <c r="P2473">
        <f t="shared" si="1052"/>
        <v>-1</v>
      </c>
      <c r="Q2473" t="str">
        <f t="shared" si="1041"/>
        <v>0% | 2.7%</v>
      </c>
      <c r="R2473" t="str">
        <f t="shared" si="1053"/>
        <v>NEUTRAL</v>
      </c>
      <c r="S2473">
        <f t="shared" si="1042"/>
        <v>0</v>
      </c>
    </row>
    <row r="2474" spans="1:19" hidden="1" x14ac:dyDescent="0.25">
      <c r="A2474" s="5" t="str">
        <f t="shared" si="1039"/>
        <v>44004USD/JPY</v>
      </c>
      <c r="B2474" s="6" t="s">
        <v>20</v>
      </c>
      <c r="C2474" s="6">
        <v>106.23</v>
      </c>
      <c r="D2474" s="6">
        <v>109.05</v>
      </c>
      <c r="E2474" s="6">
        <v>106.83</v>
      </c>
      <c r="F2474" t="str">
        <f t="shared" si="1043"/>
        <v>MON</v>
      </c>
      <c r="G2474" s="3">
        <f t="shared" si="1044"/>
        <v>44004</v>
      </c>
      <c r="H2474" s="2">
        <f t="shared" ca="1" si="1045"/>
        <v>249</v>
      </c>
      <c r="I2474" t="str">
        <f t="shared" si="1046"/>
        <v>USD/JPY</v>
      </c>
      <c r="J2474">
        <f t="shared" si="1047"/>
        <v>106.23</v>
      </c>
      <c r="K2474">
        <f t="shared" si="1048"/>
        <v>109.05</v>
      </c>
      <c r="L2474">
        <f t="shared" si="1049"/>
        <v>107.64</v>
      </c>
      <c r="M2474">
        <f t="shared" si="1050"/>
        <v>1.4099999999999966</v>
      </c>
      <c r="N2474">
        <f t="shared" si="1040"/>
        <v>2.8199999999999932</v>
      </c>
      <c r="O2474">
        <f t="shared" si="1051"/>
        <v>106.83</v>
      </c>
      <c r="P2474">
        <f t="shared" si="1052"/>
        <v>-0.57446808510638603</v>
      </c>
      <c r="Q2474" t="str">
        <f t="shared" si="1041"/>
        <v>0.56% | 2.08%</v>
      </c>
      <c r="R2474" t="str">
        <f t="shared" si="1053"/>
        <v>BEARISH</v>
      </c>
      <c r="S2474">
        <f t="shared" si="1042"/>
        <v>-1</v>
      </c>
    </row>
    <row r="2475" spans="1:19" hidden="1" x14ac:dyDescent="0.25">
      <c r="A2475" s="5" t="str">
        <f t="shared" si="1039"/>
        <v>44004GBP/USD</v>
      </c>
      <c r="B2475" s="6" t="s">
        <v>102</v>
      </c>
      <c r="C2475" s="6">
        <v>1.24</v>
      </c>
      <c r="D2475" s="6">
        <v>1.28</v>
      </c>
      <c r="E2475" s="6">
        <v>1.23</v>
      </c>
      <c r="F2475" t="str">
        <f t="shared" si="1043"/>
        <v>MON</v>
      </c>
      <c r="G2475" s="3">
        <f t="shared" si="1044"/>
        <v>44004</v>
      </c>
      <c r="H2475" s="2">
        <f t="shared" ca="1" si="1045"/>
        <v>249</v>
      </c>
      <c r="I2475" t="str">
        <f t="shared" si="1046"/>
        <v>GBP/USD</v>
      </c>
      <c r="J2475">
        <f t="shared" si="1047"/>
        <v>1.24</v>
      </c>
      <c r="K2475">
        <f t="shared" si="1048"/>
        <v>1.28</v>
      </c>
      <c r="L2475">
        <f t="shared" si="1049"/>
        <v>1.26</v>
      </c>
      <c r="M2475">
        <f t="shared" si="1050"/>
        <v>2.0000000000000018E-2</v>
      </c>
      <c r="N2475">
        <f t="shared" si="1040"/>
        <v>4.0000000000000036E-2</v>
      </c>
      <c r="O2475">
        <f t="shared" si="1051"/>
        <v>1.23</v>
      </c>
      <c r="P2475">
        <f t="shared" si="1052"/>
        <v>-1.5</v>
      </c>
      <c r="Q2475" t="str">
        <f t="shared" si="1041"/>
        <v>0.81% | 4.07%</v>
      </c>
      <c r="R2475" t="str">
        <f t="shared" si="1053"/>
        <v>BULLISH</v>
      </c>
      <c r="S2475">
        <f t="shared" si="1042"/>
        <v>1</v>
      </c>
    </row>
    <row r="2476" spans="1:19" hidden="1" x14ac:dyDescent="0.25">
      <c r="A2476" s="5" t="str">
        <f t="shared" si="1039"/>
        <v>44004USD/CHF</v>
      </c>
      <c r="B2476" s="6" t="s">
        <v>76</v>
      </c>
      <c r="C2476" s="6">
        <v>0.94</v>
      </c>
      <c r="D2476" s="6">
        <v>0.96</v>
      </c>
      <c r="E2476" s="6">
        <v>0.95</v>
      </c>
      <c r="F2476" t="str">
        <f t="shared" si="1043"/>
        <v>MON</v>
      </c>
      <c r="G2476" s="3">
        <f t="shared" si="1044"/>
        <v>44004</v>
      </c>
      <c r="H2476" s="2">
        <f t="shared" ca="1" si="1045"/>
        <v>249</v>
      </c>
      <c r="I2476" t="str">
        <f t="shared" si="1046"/>
        <v>USD/CHF</v>
      </c>
      <c r="J2476">
        <f t="shared" si="1047"/>
        <v>0.94</v>
      </c>
      <c r="K2476">
        <f t="shared" si="1048"/>
        <v>0.96</v>
      </c>
      <c r="L2476">
        <f t="shared" si="1049"/>
        <v>0.95</v>
      </c>
      <c r="M2476">
        <f t="shared" si="1050"/>
        <v>1.0000000000000009E-2</v>
      </c>
      <c r="N2476">
        <f t="shared" si="1040"/>
        <v>2.0000000000000018E-2</v>
      </c>
      <c r="O2476">
        <f t="shared" si="1051"/>
        <v>0.95</v>
      </c>
      <c r="P2476">
        <f t="shared" si="1052"/>
        <v>0</v>
      </c>
      <c r="Q2476" t="str">
        <f t="shared" si="1041"/>
        <v>1.05% | 1.05%</v>
      </c>
      <c r="R2476" t="str">
        <f t="shared" si="1053"/>
        <v>BEARISH</v>
      </c>
      <c r="S2476">
        <f t="shared" si="1042"/>
        <v>-1</v>
      </c>
    </row>
    <row r="2477" spans="1:19" hidden="1" x14ac:dyDescent="0.25">
      <c r="A2477" s="5" t="str">
        <f t="shared" si="1039"/>
        <v>44004WTIC</v>
      </c>
      <c r="B2477" s="6" t="s">
        <v>103</v>
      </c>
      <c r="C2477" s="6">
        <v>34.96</v>
      </c>
      <c r="D2477" s="6">
        <v>40.81</v>
      </c>
      <c r="E2477" s="6">
        <v>39.83</v>
      </c>
      <c r="F2477" t="str">
        <f t="shared" si="1043"/>
        <v>MON</v>
      </c>
      <c r="G2477" s="3">
        <f t="shared" si="1044"/>
        <v>44004</v>
      </c>
      <c r="H2477" s="2">
        <f t="shared" ca="1" si="1045"/>
        <v>249</v>
      </c>
      <c r="I2477" t="str">
        <f t="shared" si="1046"/>
        <v>WTIC</v>
      </c>
      <c r="J2477">
        <f t="shared" si="1047"/>
        <v>34.96</v>
      </c>
      <c r="K2477">
        <f t="shared" si="1048"/>
        <v>40.81</v>
      </c>
      <c r="L2477">
        <f t="shared" si="1049"/>
        <v>37.885000000000005</v>
      </c>
      <c r="M2477">
        <f t="shared" si="1050"/>
        <v>2.9250000000000007</v>
      </c>
      <c r="N2477">
        <f t="shared" si="1040"/>
        <v>5.8500000000000014</v>
      </c>
      <c r="O2477">
        <f t="shared" si="1051"/>
        <v>39.83</v>
      </c>
      <c r="P2477">
        <f t="shared" si="1052"/>
        <v>0.66495726495726248</v>
      </c>
      <c r="Q2477" t="str">
        <f t="shared" si="1041"/>
        <v>12.23% | 2.46%</v>
      </c>
      <c r="R2477" t="str">
        <f t="shared" si="1053"/>
        <v>NEUTRAL</v>
      </c>
      <c r="S2477">
        <f t="shared" si="1042"/>
        <v>0</v>
      </c>
    </row>
    <row r="2478" spans="1:19" hidden="1" x14ac:dyDescent="0.25">
      <c r="A2478" s="5" t="str">
        <f t="shared" si="1039"/>
        <v>44004NATGAS</v>
      </c>
      <c r="B2478" s="6" t="s">
        <v>24</v>
      </c>
      <c r="C2478" s="6">
        <v>1.6</v>
      </c>
      <c r="D2478" s="6">
        <v>1.79</v>
      </c>
      <c r="E2478" s="6">
        <v>1.67</v>
      </c>
      <c r="F2478" t="str">
        <f t="shared" si="1043"/>
        <v>MON</v>
      </c>
      <c r="G2478" s="3">
        <f t="shared" si="1044"/>
        <v>44004</v>
      </c>
      <c r="H2478" s="2">
        <f t="shared" ca="1" si="1045"/>
        <v>249</v>
      </c>
      <c r="I2478" t="str">
        <f t="shared" si="1046"/>
        <v>NATGAS</v>
      </c>
      <c r="J2478">
        <f t="shared" si="1047"/>
        <v>1.6</v>
      </c>
      <c r="K2478">
        <f t="shared" si="1048"/>
        <v>1.79</v>
      </c>
      <c r="L2478">
        <f t="shared" si="1049"/>
        <v>1.6950000000000001</v>
      </c>
      <c r="M2478">
        <f t="shared" si="1050"/>
        <v>9.4999999999999973E-2</v>
      </c>
      <c r="N2478">
        <f t="shared" si="1040"/>
        <v>0.18999999999999995</v>
      </c>
      <c r="O2478">
        <f t="shared" si="1051"/>
        <v>1.67</v>
      </c>
      <c r="P2478">
        <f t="shared" si="1052"/>
        <v>-0.26315789473684359</v>
      </c>
      <c r="Q2478" t="str">
        <f t="shared" si="1041"/>
        <v>4.19% | 7.19%</v>
      </c>
      <c r="R2478" t="str">
        <f t="shared" si="1053"/>
        <v>BEARISH</v>
      </c>
      <c r="S2478">
        <f t="shared" si="1042"/>
        <v>-1</v>
      </c>
    </row>
    <row r="2479" spans="1:19" hidden="1" x14ac:dyDescent="0.25">
      <c r="A2479" s="5" t="str">
        <f t="shared" si="1039"/>
        <v>44004GOLD</v>
      </c>
      <c r="B2479" s="6" t="s">
        <v>25</v>
      </c>
      <c r="C2479" s="6">
        <v>1704</v>
      </c>
      <c r="D2479" s="6">
        <v>1766</v>
      </c>
      <c r="E2479" s="6">
        <v>1753</v>
      </c>
      <c r="F2479" t="str">
        <f t="shared" si="1043"/>
        <v>MON</v>
      </c>
      <c r="G2479" s="3">
        <f t="shared" si="1044"/>
        <v>44004</v>
      </c>
      <c r="H2479" s="2">
        <f t="shared" ca="1" si="1045"/>
        <v>249</v>
      </c>
      <c r="I2479" t="str">
        <f t="shared" si="1046"/>
        <v>GOLD</v>
      </c>
      <c r="J2479">
        <f t="shared" si="1047"/>
        <v>1704</v>
      </c>
      <c r="K2479">
        <f t="shared" si="1048"/>
        <v>1766</v>
      </c>
      <c r="L2479">
        <f t="shared" si="1049"/>
        <v>1735</v>
      </c>
      <c r="M2479">
        <f t="shared" si="1050"/>
        <v>31</v>
      </c>
      <c r="N2479">
        <f t="shared" si="1040"/>
        <v>62</v>
      </c>
      <c r="O2479">
        <f t="shared" si="1051"/>
        <v>1753</v>
      </c>
      <c r="P2479">
        <f t="shared" si="1052"/>
        <v>0.58064516129032262</v>
      </c>
      <c r="Q2479" t="str">
        <f t="shared" si="1041"/>
        <v>2.8% | 0.74%</v>
      </c>
      <c r="R2479" t="str">
        <f t="shared" si="1053"/>
        <v>BULLISH</v>
      </c>
      <c r="S2479">
        <f t="shared" si="1042"/>
        <v>1</v>
      </c>
    </row>
    <row r="2480" spans="1:19" hidden="1" x14ac:dyDescent="0.25">
      <c r="A2480" s="5" t="str">
        <f t="shared" si="1039"/>
        <v>44004COPPER</v>
      </c>
      <c r="B2480" s="6" t="s">
        <v>100</v>
      </c>
      <c r="C2480" s="6">
        <v>2.5099999999999998</v>
      </c>
      <c r="D2480" s="6">
        <v>2.67</v>
      </c>
      <c r="E2480" s="6">
        <v>2.61</v>
      </c>
      <c r="F2480" t="str">
        <f t="shared" si="1043"/>
        <v>MON</v>
      </c>
      <c r="G2480" s="3">
        <f t="shared" si="1044"/>
        <v>44004</v>
      </c>
      <c r="H2480" s="2">
        <f t="shared" ca="1" si="1045"/>
        <v>249</v>
      </c>
      <c r="I2480" t="str">
        <f t="shared" si="1046"/>
        <v>COPPER</v>
      </c>
      <c r="J2480">
        <f t="shared" si="1047"/>
        <v>2.5099999999999998</v>
      </c>
      <c r="K2480">
        <f t="shared" si="1048"/>
        <v>2.67</v>
      </c>
      <c r="L2480">
        <f t="shared" si="1049"/>
        <v>2.59</v>
      </c>
      <c r="M2480">
        <f t="shared" si="1050"/>
        <v>8.0000000000000071E-2</v>
      </c>
      <c r="N2480">
        <f t="shared" si="1040"/>
        <v>0.16000000000000014</v>
      </c>
      <c r="O2480">
        <f t="shared" si="1051"/>
        <v>2.61</v>
      </c>
      <c r="P2480">
        <f t="shared" si="1052"/>
        <v>0.25</v>
      </c>
      <c r="Q2480" t="str">
        <f t="shared" si="1041"/>
        <v>3.83% | 2.3%</v>
      </c>
      <c r="R2480" t="str">
        <f t="shared" si="1053"/>
        <v>BULLISH</v>
      </c>
      <c r="S2480">
        <f t="shared" si="1042"/>
        <v>1</v>
      </c>
    </row>
    <row r="2481" spans="1:19" hidden="1" x14ac:dyDescent="0.25">
      <c r="A2481" s="5" t="str">
        <f t="shared" si="1039"/>
        <v>44004MSFT</v>
      </c>
      <c r="B2481" s="6" t="s">
        <v>27</v>
      </c>
      <c r="C2481" s="6">
        <v>185</v>
      </c>
      <c r="D2481" s="6">
        <v>200</v>
      </c>
      <c r="E2481" s="6">
        <v>195</v>
      </c>
      <c r="F2481" t="str">
        <f t="shared" si="1043"/>
        <v>MON</v>
      </c>
      <c r="G2481" s="3">
        <f t="shared" si="1044"/>
        <v>44004</v>
      </c>
      <c r="H2481" s="2">
        <f t="shared" ca="1" si="1045"/>
        <v>249</v>
      </c>
      <c r="I2481" t="str">
        <f t="shared" si="1046"/>
        <v>MSFT</v>
      </c>
      <c r="J2481">
        <f t="shared" si="1047"/>
        <v>185</v>
      </c>
      <c r="K2481">
        <f t="shared" si="1048"/>
        <v>200</v>
      </c>
      <c r="L2481">
        <f t="shared" si="1049"/>
        <v>192.5</v>
      </c>
      <c r="M2481">
        <f t="shared" si="1050"/>
        <v>7.5</v>
      </c>
      <c r="N2481">
        <f t="shared" si="1040"/>
        <v>15</v>
      </c>
      <c r="O2481">
        <f t="shared" si="1051"/>
        <v>195</v>
      </c>
      <c r="P2481">
        <f t="shared" si="1052"/>
        <v>0.33333333333333331</v>
      </c>
      <c r="Q2481" t="str">
        <f t="shared" si="1041"/>
        <v>5.13% | 2.56%</v>
      </c>
      <c r="R2481" t="str">
        <f t="shared" si="1053"/>
        <v>BULLISH</v>
      </c>
      <c r="S2481">
        <f t="shared" si="1042"/>
        <v>1</v>
      </c>
    </row>
    <row r="2482" spans="1:19" hidden="1" x14ac:dyDescent="0.25">
      <c r="A2482" s="5" t="str">
        <f t="shared" si="1039"/>
        <v>44004AAPL</v>
      </c>
      <c r="B2482" s="6" t="s">
        <v>28</v>
      </c>
      <c r="C2482" s="6">
        <v>329</v>
      </c>
      <c r="D2482" s="6">
        <v>360</v>
      </c>
      <c r="E2482" s="6">
        <v>349</v>
      </c>
      <c r="F2482" t="str">
        <f t="shared" si="1043"/>
        <v>MON</v>
      </c>
      <c r="G2482" s="3">
        <f t="shared" si="1044"/>
        <v>44004</v>
      </c>
      <c r="H2482" s="2">
        <f t="shared" ca="1" si="1045"/>
        <v>249</v>
      </c>
      <c r="I2482" t="str">
        <f t="shared" si="1046"/>
        <v>AAPL</v>
      </c>
      <c r="J2482">
        <f t="shared" si="1047"/>
        <v>329</v>
      </c>
      <c r="K2482">
        <f t="shared" si="1048"/>
        <v>360</v>
      </c>
      <c r="L2482">
        <f t="shared" si="1049"/>
        <v>344.5</v>
      </c>
      <c r="M2482">
        <f t="shared" si="1050"/>
        <v>15.5</v>
      </c>
      <c r="N2482">
        <f t="shared" si="1040"/>
        <v>31</v>
      </c>
      <c r="O2482">
        <f t="shared" si="1051"/>
        <v>349</v>
      </c>
      <c r="P2482">
        <f t="shared" si="1052"/>
        <v>0.29032258064516131</v>
      </c>
      <c r="Q2482" t="str">
        <f t="shared" si="1041"/>
        <v>5.73% | 3.15%</v>
      </c>
      <c r="R2482" t="str">
        <f t="shared" si="1053"/>
        <v>BULLISH</v>
      </c>
      <c r="S2482">
        <f t="shared" si="1042"/>
        <v>1</v>
      </c>
    </row>
    <row r="2483" spans="1:19" hidden="1" x14ac:dyDescent="0.25">
      <c r="A2483" s="5" t="str">
        <f t="shared" si="1039"/>
        <v>44004AMZN</v>
      </c>
      <c r="B2483" s="6" t="s">
        <v>29</v>
      </c>
      <c r="C2483" s="6">
        <v>2510</v>
      </c>
      <c r="D2483" s="6">
        <v>2701</v>
      </c>
      <c r="E2483" s="6">
        <v>2675</v>
      </c>
      <c r="F2483" t="str">
        <f t="shared" si="1043"/>
        <v>MON</v>
      </c>
      <c r="G2483" s="3">
        <f t="shared" si="1044"/>
        <v>44004</v>
      </c>
      <c r="H2483" s="2">
        <f t="shared" ca="1" si="1045"/>
        <v>249</v>
      </c>
      <c r="I2483" t="str">
        <f t="shared" si="1046"/>
        <v>AMZN</v>
      </c>
      <c r="J2483">
        <f t="shared" si="1047"/>
        <v>2510</v>
      </c>
      <c r="K2483">
        <f t="shared" si="1048"/>
        <v>2701</v>
      </c>
      <c r="L2483">
        <f t="shared" si="1049"/>
        <v>2605.5</v>
      </c>
      <c r="M2483">
        <f t="shared" si="1050"/>
        <v>95.5</v>
      </c>
      <c r="N2483">
        <f t="shared" si="1040"/>
        <v>191</v>
      </c>
      <c r="O2483">
        <f t="shared" si="1051"/>
        <v>2675</v>
      </c>
      <c r="P2483">
        <f t="shared" si="1052"/>
        <v>0.72774869109947649</v>
      </c>
      <c r="Q2483" t="str">
        <f t="shared" si="1041"/>
        <v>6.17% | 0.97%</v>
      </c>
      <c r="R2483" t="str">
        <f t="shared" si="1053"/>
        <v>BULLISH</v>
      </c>
      <c r="S2483">
        <f t="shared" si="1042"/>
        <v>1</v>
      </c>
    </row>
    <row r="2484" spans="1:19" hidden="1" x14ac:dyDescent="0.25">
      <c r="A2484" s="5" t="str">
        <f t="shared" si="1039"/>
        <v>44004FB</v>
      </c>
      <c r="B2484" s="6" t="s">
        <v>30</v>
      </c>
      <c r="C2484" s="6">
        <v>225</v>
      </c>
      <c r="D2484" s="6">
        <v>245</v>
      </c>
      <c r="E2484" s="6">
        <v>238</v>
      </c>
      <c r="F2484" t="str">
        <f t="shared" si="1043"/>
        <v>MON</v>
      </c>
      <c r="G2484" s="3">
        <f t="shared" si="1044"/>
        <v>44004</v>
      </c>
      <c r="H2484" s="2">
        <f t="shared" ca="1" si="1045"/>
        <v>249</v>
      </c>
      <c r="I2484" t="str">
        <f t="shared" si="1046"/>
        <v>FB</v>
      </c>
      <c r="J2484">
        <f t="shared" si="1047"/>
        <v>225</v>
      </c>
      <c r="K2484">
        <f t="shared" si="1048"/>
        <v>245</v>
      </c>
      <c r="L2484">
        <f t="shared" si="1049"/>
        <v>235</v>
      </c>
      <c r="M2484">
        <f t="shared" si="1050"/>
        <v>10</v>
      </c>
      <c r="N2484">
        <f t="shared" si="1040"/>
        <v>20</v>
      </c>
      <c r="O2484">
        <f t="shared" si="1051"/>
        <v>238</v>
      </c>
      <c r="P2484">
        <f t="shared" si="1052"/>
        <v>0.3</v>
      </c>
      <c r="Q2484" t="str">
        <f t="shared" si="1041"/>
        <v>5.46% | 2.94%</v>
      </c>
      <c r="R2484" t="str">
        <f t="shared" si="1053"/>
        <v>BULLISH</v>
      </c>
      <c r="S2484">
        <f t="shared" si="1042"/>
        <v>1</v>
      </c>
    </row>
    <row r="2485" spans="1:19" hidden="1" x14ac:dyDescent="0.25">
      <c r="A2485" s="5" t="str">
        <f t="shared" si="1039"/>
        <v>44004GOOGL</v>
      </c>
      <c r="B2485" s="6" t="s">
        <v>31</v>
      </c>
      <c r="C2485" s="6">
        <v>1396</v>
      </c>
      <c r="D2485" s="6">
        <v>1477</v>
      </c>
      <c r="E2485" s="6">
        <v>1424</v>
      </c>
      <c r="F2485" t="str">
        <f t="shared" si="1043"/>
        <v>MON</v>
      </c>
      <c r="G2485" s="3">
        <f t="shared" si="1044"/>
        <v>44004</v>
      </c>
      <c r="H2485" s="2">
        <f t="shared" ca="1" si="1045"/>
        <v>249</v>
      </c>
      <c r="I2485" t="str">
        <f t="shared" si="1046"/>
        <v>GOOGL</v>
      </c>
      <c r="J2485">
        <f t="shared" si="1047"/>
        <v>1396</v>
      </c>
      <c r="K2485">
        <f t="shared" si="1048"/>
        <v>1477</v>
      </c>
      <c r="L2485">
        <f t="shared" si="1049"/>
        <v>1436.5</v>
      </c>
      <c r="M2485">
        <f t="shared" si="1050"/>
        <v>40.5</v>
      </c>
      <c r="N2485">
        <f t="shared" si="1040"/>
        <v>81</v>
      </c>
      <c r="O2485">
        <f t="shared" si="1051"/>
        <v>1424</v>
      </c>
      <c r="P2485">
        <f t="shared" si="1052"/>
        <v>-0.30864197530864196</v>
      </c>
      <c r="Q2485" t="str">
        <f t="shared" si="1041"/>
        <v>1.97% | 3.72%</v>
      </c>
      <c r="R2485" t="str">
        <f t="shared" si="1053"/>
        <v>BULLISH</v>
      </c>
      <c r="S2485">
        <f t="shared" si="1042"/>
        <v>1</v>
      </c>
    </row>
    <row r="2486" spans="1:19" hidden="1" x14ac:dyDescent="0.25">
      <c r="A2486" s="5" t="str">
        <f t="shared" si="1039"/>
        <v>44004NFLX</v>
      </c>
      <c r="B2486" s="6" t="s">
        <v>32</v>
      </c>
      <c r="C2486" s="6">
        <v>414</v>
      </c>
      <c r="D2486" s="6">
        <v>461</v>
      </c>
      <c r="E2486" s="6">
        <v>453</v>
      </c>
      <c r="F2486" t="str">
        <f t="shared" si="1043"/>
        <v>MON</v>
      </c>
      <c r="G2486" s="3">
        <f t="shared" si="1044"/>
        <v>44004</v>
      </c>
      <c r="H2486" s="2">
        <f t="shared" ca="1" si="1045"/>
        <v>249</v>
      </c>
      <c r="I2486" t="str">
        <f t="shared" si="1046"/>
        <v>NFLX</v>
      </c>
      <c r="J2486">
        <f t="shared" si="1047"/>
        <v>414</v>
      </c>
      <c r="K2486">
        <f t="shared" si="1048"/>
        <v>461</v>
      </c>
      <c r="L2486">
        <f t="shared" si="1049"/>
        <v>437.5</v>
      </c>
      <c r="M2486">
        <f t="shared" si="1050"/>
        <v>23.5</v>
      </c>
      <c r="N2486">
        <f t="shared" si="1040"/>
        <v>47</v>
      </c>
      <c r="O2486">
        <f t="shared" si="1051"/>
        <v>453</v>
      </c>
      <c r="P2486">
        <f t="shared" si="1052"/>
        <v>0.65957446808510634</v>
      </c>
      <c r="Q2486" t="str">
        <f t="shared" si="1041"/>
        <v>8.61% | 1.77%</v>
      </c>
      <c r="R2486" t="str">
        <f t="shared" si="1053"/>
        <v>BULLISH</v>
      </c>
      <c r="S2486">
        <f t="shared" si="1042"/>
        <v>1</v>
      </c>
    </row>
    <row r="2487" spans="1:19" x14ac:dyDescent="0.25">
      <c r="A2487" s="5" t="str">
        <f t="shared" si="1039"/>
        <v>44004TSLA</v>
      </c>
      <c r="B2487" s="6" t="s">
        <v>33</v>
      </c>
      <c r="C2487" s="6">
        <v>925</v>
      </c>
      <c r="D2487" s="6">
        <v>1039</v>
      </c>
      <c r="E2487" s="6">
        <v>1000</v>
      </c>
      <c r="F2487" t="str">
        <f t="shared" si="1043"/>
        <v>MON</v>
      </c>
      <c r="G2487" s="3">
        <f t="shared" si="1044"/>
        <v>44004</v>
      </c>
      <c r="H2487" s="2">
        <f t="shared" ca="1" si="1045"/>
        <v>249</v>
      </c>
      <c r="I2487" t="str">
        <f t="shared" si="1046"/>
        <v>TSLA</v>
      </c>
      <c r="J2487">
        <f t="shared" si="1047"/>
        <v>925</v>
      </c>
      <c r="K2487">
        <f t="shared" si="1048"/>
        <v>1039</v>
      </c>
      <c r="L2487">
        <f t="shared" si="1049"/>
        <v>982</v>
      </c>
      <c r="M2487">
        <f t="shared" si="1050"/>
        <v>57</v>
      </c>
      <c r="N2487">
        <f t="shared" si="1040"/>
        <v>114</v>
      </c>
      <c r="O2487">
        <f t="shared" si="1051"/>
        <v>1000</v>
      </c>
      <c r="P2487">
        <f t="shared" si="1052"/>
        <v>0.31578947368421051</v>
      </c>
      <c r="Q2487" t="str">
        <f t="shared" si="1041"/>
        <v>7.5% | 3.9%</v>
      </c>
      <c r="R2487" t="str">
        <f t="shared" si="1053"/>
        <v>BULLISH</v>
      </c>
      <c r="S2487">
        <f t="shared" si="1042"/>
        <v>1</v>
      </c>
    </row>
    <row r="2488" spans="1:19" hidden="1" x14ac:dyDescent="0.25">
      <c r="A2488" s="5" t="str">
        <f t="shared" si="1039"/>
        <v>44004NYXBT</v>
      </c>
      <c r="B2488" s="6" t="s">
        <v>34</v>
      </c>
      <c r="C2488" s="6">
        <v>9160</v>
      </c>
      <c r="D2488" s="6">
        <v>9845</v>
      </c>
      <c r="E2488" s="6">
        <v>9365</v>
      </c>
      <c r="F2488" t="str">
        <f t="shared" si="1043"/>
        <v>MON</v>
      </c>
      <c r="G2488" s="3">
        <f t="shared" si="1044"/>
        <v>44004</v>
      </c>
      <c r="H2488" s="2">
        <f t="shared" ca="1" si="1045"/>
        <v>249</v>
      </c>
      <c r="I2488" t="str">
        <f t="shared" si="1046"/>
        <v>NYXBT</v>
      </c>
      <c r="J2488">
        <f t="shared" si="1047"/>
        <v>9160</v>
      </c>
      <c r="K2488">
        <f t="shared" si="1048"/>
        <v>9845</v>
      </c>
      <c r="L2488">
        <f t="shared" si="1049"/>
        <v>9502.5</v>
      </c>
      <c r="M2488">
        <f t="shared" si="1050"/>
        <v>342.5</v>
      </c>
      <c r="N2488">
        <f t="shared" si="1040"/>
        <v>685</v>
      </c>
      <c r="O2488">
        <f t="shared" si="1051"/>
        <v>9365</v>
      </c>
      <c r="P2488">
        <f t="shared" si="1052"/>
        <v>-0.40145985401459855</v>
      </c>
      <c r="Q2488" t="str">
        <f t="shared" si="1041"/>
        <v>2.19% | 5.13%</v>
      </c>
      <c r="R2488" t="str">
        <f t="shared" si="1053"/>
        <v>BULLISH</v>
      </c>
      <c r="S2488">
        <f t="shared" si="1042"/>
        <v>1</v>
      </c>
    </row>
    <row r="2489" spans="1:19" hidden="1" x14ac:dyDescent="0.25">
      <c r="A2489" s="5" t="str">
        <f t="shared" si="1039"/>
        <v>44005UST10Y</v>
      </c>
      <c r="B2489" s="6" t="s">
        <v>4</v>
      </c>
      <c r="C2489" s="6">
        <v>0.79</v>
      </c>
      <c r="D2489" s="6">
        <v>0.64</v>
      </c>
      <c r="E2489" s="6">
        <v>0.71</v>
      </c>
      <c r="F2489" t="str">
        <f t="shared" si="1043"/>
        <v>TUE</v>
      </c>
      <c r="G2489" s="1">
        <f>DATE(2020,6,23)</f>
        <v>44005</v>
      </c>
      <c r="H2489" s="2">
        <f t="shared" ca="1" si="1045"/>
        <v>248</v>
      </c>
      <c r="I2489" t="str">
        <f t="shared" si="1046"/>
        <v>UST10Y</v>
      </c>
      <c r="J2489">
        <f t="shared" si="1047"/>
        <v>0.79</v>
      </c>
      <c r="K2489">
        <f t="shared" si="1048"/>
        <v>0.64</v>
      </c>
      <c r="L2489">
        <f t="shared" si="1049"/>
        <v>0.71500000000000008</v>
      </c>
      <c r="M2489">
        <f t="shared" si="1050"/>
        <v>7.4999999999999206E-2</v>
      </c>
      <c r="N2489">
        <f t="shared" si="1040"/>
        <v>0.15000000000000002</v>
      </c>
      <c r="O2489">
        <f t="shared" si="1051"/>
        <v>0.71</v>
      </c>
      <c r="P2489">
        <f t="shared" si="1052"/>
        <v>-6.6666666666668914E-2</v>
      </c>
      <c r="Q2489" t="str">
        <f t="shared" si="1041"/>
        <v>11.27% | 9.86%</v>
      </c>
      <c r="R2489" t="str">
        <f t="shared" si="1053"/>
        <v>BEARISH</v>
      </c>
      <c r="S2489">
        <f t="shared" si="1042"/>
        <v>-1</v>
      </c>
    </row>
    <row r="2490" spans="1:19" hidden="1" x14ac:dyDescent="0.25">
      <c r="A2490" s="5" t="str">
        <f t="shared" si="1039"/>
        <v>44005UST2Y</v>
      </c>
      <c r="B2490" s="6" t="s">
        <v>5</v>
      </c>
      <c r="C2490" s="6">
        <v>0.21</v>
      </c>
      <c r="D2490" s="6">
        <v>0.16</v>
      </c>
      <c r="E2490" s="6">
        <v>0.19</v>
      </c>
      <c r="F2490" t="str">
        <f t="shared" ref="F2490:F2519" si="1054">UPPER(TEXT(G2490,"ddd"))</f>
        <v>TUE</v>
      </c>
      <c r="G2490" s="1">
        <f t="shared" ref="G2490:G2518" si="1055">DATE(2020,6,23)</f>
        <v>44005</v>
      </c>
      <c r="H2490" s="2">
        <f t="shared" ref="H2490:H2519" ca="1" si="1056">TODAY()-G2490</f>
        <v>248</v>
      </c>
      <c r="I2490" t="str">
        <f t="shared" ref="I2490:I2519" si="1057">TRIM(LEFT(B2490,FIND(" ",B2490,1)))</f>
        <v>UST2Y</v>
      </c>
      <c r="J2490">
        <f t="shared" ref="J2490:J2519" si="1058">C2490</f>
        <v>0.21</v>
      </c>
      <c r="K2490">
        <f t="shared" ref="K2490:K2519" si="1059">D2490</f>
        <v>0.16</v>
      </c>
      <c r="L2490">
        <f t="shared" ref="L2490:L2519" si="1060">AVERAGE(J2490:K2490)</f>
        <v>0.185</v>
      </c>
      <c r="M2490">
        <f t="shared" ref="M2490:M2519" si="1061">_xlfn.STDEV.P(J2490:K2490)</f>
        <v>2.5000000000000012E-2</v>
      </c>
      <c r="N2490">
        <f t="shared" si="1040"/>
        <v>4.9999999999999989E-2</v>
      </c>
      <c r="O2490">
        <f t="shared" ref="O2490:O2519" si="1062">E2490</f>
        <v>0.19</v>
      </c>
      <c r="P2490">
        <f t="shared" ref="P2490:P2519" si="1063">(O2490-L2490)/M2490</f>
        <v>0.20000000000000009</v>
      </c>
      <c r="Q2490" t="str">
        <f t="shared" si="1041"/>
        <v>10.53% | 15.79%</v>
      </c>
      <c r="R2490" t="str">
        <f t="shared" ref="R2490:R2519" si="1064">MID(B2490,FIND("(",B2490,1)+1,FIND(")",B2490,1)-FIND("(",B2490,1)-1)</f>
        <v>BEARISH</v>
      </c>
      <c r="S2490">
        <f t="shared" si="1042"/>
        <v>-1</v>
      </c>
    </row>
    <row r="2491" spans="1:19" hidden="1" x14ac:dyDescent="0.25">
      <c r="A2491" s="5" t="str">
        <f t="shared" si="1039"/>
        <v>44005SPX</v>
      </c>
      <c r="B2491" s="6" t="s">
        <v>6</v>
      </c>
      <c r="C2491" s="6">
        <v>2973</v>
      </c>
      <c r="D2491" s="6">
        <v>3148</v>
      </c>
      <c r="E2491" s="6">
        <v>3117</v>
      </c>
      <c r="F2491" t="str">
        <f t="shared" si="1054"/>
        <v>TUE</v>
      </c>
      <c r="G2491" s="1">
        <f t="shared" si="1055"/>
        <v>44005</v>
      </c>
      <c r="H2491" s="2">
        <f t="shared" ca="1" si="1056"/>
        <v>248</v>
      </c>
      <c r="I2491" t="str">
        <f t="shared" si="1057"/>
        <v>SPX</v>
      </c>
      <c r="J2491">
        <f t="shared" si="1058"/>
        <v>2973</v>
      </c>
      <c r="K2491">
        <f t="shared" si="1059"/>
        <v>3148</v>
      </c>
      <c r="L2491">
        <f t="shared" si="1060"/>
        <v>3060.5</v>
      </c>
      <c r="M2491">
        <f t="shared" si="1061"/>
        <v>87.5</v>
      </c>
      <c r="N2491">
        <f t="shared" si="1040"/>
        <v>175</v>
      </c>
      <c r="O2491">
        <f t="shared" si="1062"/>
        <v>3117</v>
      </c>
      <c r="P2491">
        <f t="shared" si="1063"/>
        <v>0.64571428571428569</v>
      </c>
      <c r="Q2491" t="str">
        <f t="shared" si="1041"/>
        <v>4.62% | 0.99%</v>
      </c>
      <c r="R2491" t="str">
        <f t="shared" si="1064"/>
        <v>BEARISH</v>
      </c>
      <c r="S2491">
        <f t="shared" si="1042"/>
        <v>-1</v>
      </c>
    </row>
    <row r="2492" spans="1:19" hidden="1" x14ac:dyDescent="0.25">
      <c r="A2492" s="5" t="str">
        <f t="shared" si="1039"/>
        <v>44005RUT</v>
      </c>
      <c r="B2492" s="6" t="s">
        <v>7</v>
      </c>
      <c r="C2492" s="6">
        <v>1357</v>
      </c>
      <c r="D2492" s="6">
        <v>1483</v>
      </c>
      <c r="E2492" s="6">
        <v>1433</v>
      </c>
      <c r="F2492" t="str">
        <f t="shared" si="1054"/>
        <v>TUE</v>
      </c>
      <c r="G2492" s="1">
        <f t="shared" si="1055"/>
        <v>44005</v>
      </c>
      <c r="H2492" s="2">
        <f t="shared" ca="1" si="1056"/>
        <v>248</v>
      </c>
      <c r="I2492" t="str">
        <f t="shared" si="1057"/>
        <v>RUT</v>
      </c>
      <c r="J2492">
        <f t="shared" si="1058"/>
        <v>1357</v>
      </c>
      <c r="K2492">
        <f t="shared" si="1059"/>
        <v>1483</v>
      </c>
      <c r="L2492">
        <f t="shared" si="1060"/>
        <v>1420</v>
      </c>
      <c r="M2492">
        <f t="shared" si="1061"/>
        <v>63</v>
      </c>
      <c r="N2492">
        <f t="shared" si="1040"/>
        <v>126</v>
      </c>
      <c r="O2492">
        <f t="shared" si="1062"/>
        <v>1433</v>
      </c>
      <c r="P2492">
        <f t="shared" si="1063"/>
        <v>0.20634920634920634</v>
      </c>
      <c r="Q2492" t="str">
        <f t="shared" si="1041"/>
        <v>5.3% | 3.49%</v>
      </c>
      <c r="R2492" t="str">
        <f t="shared" si="1064"/>
        <v>BEARISH</v>
      </c>
      <c r="S2492">
        <f t="shared" si="1042"/>
        <v>-1</v>
      </c>
    </row>
    <row r="2493" spans="1:19" hidden="1" x14ac:dyDescent="0.25">
      <c r="A2493" s="5" t="str">
        <f t="shared" si="1039"/>
        <v>44005COMPQ</v>
      </c>
      <c r="B2493" s="6" t="s">
        <v>8</v>
      </c>
      <c r="C2493" s="6">
        <v>9470</v>
      </c>
      <c r="D2493" s="6">
        <v>10212</v>
      </c>
      <c r="E2493" s="6">
        <v>10056</v>
      </c>
      <c r="F2493" t="str">
        <f t="shared" si="1054"/>
        <v>TUE</v>
      </c>
      <c r="G2493" s="1">
        <f t="shared" si="1055"/>
        <v>44005</v>
      </c>
      <c r="H2493" s="2">
        <f t="shared" ca="1" si="1056"/>
        <v>248</v>
      </c>
      <c r="I2493" t="str">
        <f t="shared" si="1057"/>
        <v>COMPQ</v>
      </c>
      <c r="J2493">
        <f t="shared" si="1058"/>
        <v>9470</v>
      </c>
      <c r="K2493">
        <f t="shared" si="1059"/>
        <v>10212</v>
      </c>
      <c r="L2493">
        <f t="shared" si="1060"/>
        <v>9841</v>
      </c>
      <c r="M2493">
        <f t="shared" si="1061"/>
        <v>371</v>
      </c>
      <c r="N2493">
        <f t="shared" si="1040"/>
        <v>742</v>
      </c>
      <c r="O2493">
        <f t="shared" si="1062"/>
        <v>10056</v>
      </c>
      <c r="P2493">
        <f t="shared" si="1063"/>
        <v>0.57951482479784366</v>
      </c>
      <c r="Q2493" t="str">
        <f t="shared" si="1041"/>
        <v>5.83% | 1.55%</v>
      </c>
      <c r="R2493" t="str">
        <f t="shared" si="1064"/>
        <v>BULLISH</v>
      </c>
      <c r="S2493">
        <f t="shared" si="1042"/>
        <v>1</v>
      </c>
    </row>
    <row r="2494" spans="1:19" hidden="1" x14ac:dyDescent="0.25">
      <c r="A2494" s="5" t="str">
        <f t="shared" si="1039"/>
        <v>44005XLK</v>
      </c>
      <c r="B2494" s="6" t="s">
        <v>10</v>
      </c>
      <c r="C2494" s="6">
        <v>97.63</v>
      </c>
      <c r="D2494" s="6">
        <v>105.75</v>
      </c>
      <c r="E2494" s="6">
        <v>103.88</v>
      </c>
      <c r="F2494" t="str">
        <f t="shared" si="1054"/>
        <v>TUE</v>
      </c>
      <c r="G2494" s="1">
        <f t="shared" si="1055"/>
        <v>44005</v>
      </c>
      <c r="H2494" s="2">
        <f t="shared" ca="1" si="1056"/>
        <v>248</v>
      </c>
      <c r="I2494" t="str">
        <f t="shared" si="1057"/>
        <v>XLK</v>
      </c>
      <c r="J2494">
        <f t="shared" si="1058"/>
        <v>97.63</v>
      </c>
      <c r="K2494">
        <f t="shared" si="1059"/>
        <v>105.75</v>
      </c>
      <c r="L2494">
        <f t="shared" si="1060"/>
        <v>101.69</v>
      </c>
      <c r="M2494">
        <f t="shared" si="1061"/>
        <v>4.0600000000000023</v>
      </c>
      <c r="N2494">
        <f t="shared" si="1040"/>
        <v>8.1200000000000045</v>
      </c>
      <c r="O2494">
        <f t="shared" si="1062"/>
        <v>103.88</v>
      </c>
      <c r="P2494">
        <f t="shared" si="1063"/>
        <v>0.53940886699507307</v>
      </c>
      <c r="Q2494" t="str">
        <f t="shared" si="1041"/>
        <v>6.02% | 1.8%</v>
      </c>
      <c r="R2494" t="str">
        <f t="shared" si="1064"/>
        <v>BULLISH</v>
      </c>
      <c r="S2494">
        <f t="shared" si="1042"/>
        <v>1</v>
      </c>
    </row>
    <row r="2495" spans="1:19" hidden="1" x14ac:dyDescent="0.25">
      <c r="A2495" s="5" t="str">
        <f t="shared" si="1039"/>
        <v>44005XLRE</v>
      </c>
      <c r="B2495" s="6" t="s">
        <v>97</v>
      </c>
      <c r="C2495" s="6">
        <v>34.159999999999997</v>
      </c>
      <c r="D2495" s="6">
        <v>37.1</v>
      </c>
      <c r="E2495" s="6">
        <v>34.979999999999997</v>
      </c>
      <c r="F2495" t="str">
        <f t="shared" si="1054"/>
        <v>TUE</v>
      </c>
      <c r="G2495" s="1">
        <f t="shared" si="1055"/>
        <v>44005</v>
      </c>
      <c r="H2495" s="2">
        <f t="shared" ca="1" si="1056"/>
        <v>248</v>
      </c>
      <c r="I2495" t="str">
        <f t="shared" si="1057"/>
        <v>XLRE</v>
      </c>
      <c r="J2495">
        <f t="shared" si="1058"/>
        <v>34.159999999999997</v>
      </c>
      <c r="K2495">
        <f t="shared" si="1059"/>
        <v>37.1</v>
      </c>
      <c r="L2495">
        <f t="shared" si="1060"/>
        <v>35.629999999999995</v>
      </c>
      <c r="M2495">
        <f t="shared" si="1061"/>
        <v>1.4700000000000024</v>
      </c>
      <c r="N2495">
        <f t="shared" si="1040"/>
        <v>2.9400000000000048</v>
      </c>
      <c r="O2495">
        <f t="shared" si="1062"/>
        <v>34.979999999999997</v>
      </c>
      <c r="P2495">
        <f t="shared" si="1063"/>
        <v>-0.44217687074829765</v>
      </c>
      <c r="Q2495" t="str">
        <f t="shared" si="1041"/>
        <v>2.34% | 6.06%</v>
      </c>
      <c r="R2495" t="str">
        <f t="shared" si="1064"/>
        <v>BULLISH</v>
      </c>
      <c r="S2495">
        <f t="shared" si="1042"/>
        <v>1</v>
      </c>
    </row>
    <row r="2496" spans="1:19" hidden="1" x14ac:dyDescent="0.25">
      <c r="A2496" s="5" t="str">
        <f t="shared" si="1039"/>
        <v>44005XLU</v>
      </c>
      <c r="B2496" s="6" t="s">
        <v>52</v>
      </c>
      <c r="C2496" s="6">
        <v>56.5</v>
      </c>
      <c r="D2496" s="6">
        <v>60.92</v>
      </c>
      <c r="E2496" s="6">
        <v>57.57</v>
      </c>
      <c r="F2496" t="str">
        <f t="shared" si="1054"/>
        <v>TUE</v>
      </c>
      <c r="G2496" s="1">
        <f t="shared" si="1055"/>
        <v>44005</v>
      </c>
      <c r="H2496" s="2">
        <f t="shared" ca="1" si="1056"/>
        <v>248</v>
      </c>
      <c r="I2496" t="str">
        <f t="shared" si="1057"/>
        <v>XLU</v>
      </c>
      <c r="J2496">
        <f t="shared" si="1058"/>
        <v>56.5</v>
      </c>
      <c r="K2496">
        <f t="shared" si="1059"/>
        <v>60.92</v>
      </c>
      <c r="L2496">
        <f t="shared" si="1060"/>
        <v>58.71</v>
      </c>
      <c r="M2496">
        <f t="shared" si="1061"/>
        <v>2.2100000000000009</v>
      </c>
      <c r="N2496">
        <f t="shared" si="1040"/>
        <v>4.4200000000000017</v>
      </c>
      <c r="O2496">
        <f t="shared" si="1062"/>
        <v>57.57</v>
      </c>
      <c r="P2496">
        <f t="shared" si="1063"/>
        <v>-0.51583710407239824</v>
      </c>
      <c r="Q2496" t="str">
        <f t="shared" si="1041"/>
        <v>1.86% | 5.82%</v>
      </c>
      <c r="R2496" t="str">
        <f t="shared" si="1064"/>
        <v>BULLISH</v>
      </c>
      <c r="S2496">
        <f t="shared" si="1042"/>
        <v>1</v>
      </c>
    </row>
    <row r="2497" spans="1:19" hidden="1" x14ac:dyDescent="0.25">
      <c r="A2497" s="5" t="str">
        <f t="shared" si="1039"/>
        <v>44005XLF</v>
      </c>
      <c r="B2497" s="6" t="s">
        <v>12</v>
      </c>
      <c r="C2497" s="6">
        <v>22.32</v>
      </c>
      <c r="D2497" s="6">
        <v>25.06</v>
      </c>
      <c r="E2497" s="6">
        <v>23.71</v>
      </c>
      <c r="F2497" t="str">
        <f t="shared" si="1054"/>
        <v>TUE</v>
      </c>
      <c r="G2497" s="1">
        <f t="shared" si="1055"/>
        <v>44005</v>
      </c>
      <c r="H2497" s="2">
        <f t="shared" ca="1" si="1056"/>
        <v>248</v>
      </c>
      <c r="I2497" t="str">
        <f t="shared" si="1057"/>
        <v>XLF</v>
      </c>
      <c r="J2497">
        <f t="shared" si="1058"/>
        <v>22.32</v>
      </c>
      <c r="K2497">
        <f t="shared" si="1059"/>
        <v>25.06</v>
      </c>
      <c r="L2497">
        <f t="shared" si="1060"/>
        <v>23.689999999999998</v>
      </c>
      <c r="M2497">
        <f t="shared" si="1061"/>
        <v>1.3699999999999992</v>
      </c>
      <c r="N2497">
        <f t="shared" si="1040"/>
        <v>2.7399999999999984</v>
      </c>
      <c r="O2497">
        <f t="shared" si="1062"/>
        <v>23.71</v>
      </c>
      <c r="P2497">
        <f t="shared" si="1063"/>
        <v>1.4598540145987693E-2</v>
      </c>
      <c r="Q2497" t="str">
        <f t="shared" si="1041"/>
        <v>5.86% | 5.69%</v>
      </c>
      <c r="R2497" t="str">
        <f t="shared" si="1064"/>
        <v>BEARISH</v>
      </c>
      <c r="S2497">
        <f t="shared" si="1042"/>
        <v>-1</v>
      </c>
    </row>
    <row r="2498" spans="1:19" hidden="1" x14ac:dyDescent="0.25">
      <c r="A2498" s="5" t="str">
        <f t="shared" si="1039"/>
        <v>44005SSEC</v>
      </c>
      <c r="B2498" s="6" t="s">
        <v>104</v>
      </c>
      <c r="C2498" s="6">
        <v>2890</v>
      </c>
      <c r="D2498" s="6">
        <v>2990</v>
      </c>
      <c r="E2498" s="6">
        <v>2970</v>
      </c>
      <c r="F2498" t="str">
        <f t="shared" si="1054"/>
        <v>TUE</v>
      </c>
      <c r="G2498" s="1">
        <f t="shared" si="1055"/>
        <v>44005</v>
      </c>
      <c r="H2498" s="2">
        <f t="shared" ca="1" si="1056"/>
        <v>248</v>
      </c>
      <c r="I2498" t="str">
        <f t="shared" si="1057"/>
        <v>SSEC</v>
      </c>
      <c r="J2498">
        <f t="shared" si="1058"/>
        <v>2890</v>
      </c>
      <c r="K2498">
        <f t="shared" si="1059"/>
        <v>2990</v>
      </c>
      <c r="L2498">
        <f t="shared" si="1060"/>
        <v>2940</v>
      </c>
      <c r="M2498">
        <f t="shared" si="1061"/>
        <v>50</v>
      </c>
      <c r="N2498">
        <f t="shared" si="1040"/>
        <v>100</v>
      </c>
      <c r="O2498">
        <f t="shared" si="1062"/>
        <v>2970</v>
      </c>
      <c r="P2498">
        <f t="shared" si="1063"/>
        <v>0.6</v>
      </c>
      <c r="Q2498" t="str">
        <f t="shared" si="1041"/>
        <v>2.69% | 0.67%</v>
      </c>
      <c r="R2498" t="str">
        <f t="shared" si="1064"/>
        <v>BULLISH</v>
      </c>
      <c r="S2498">
        <f t="shared" si="1042"/>
        <v>1</v>
      </c>
    </row>
    <row r="2499" spans="1:19" hidden="1" x14ac:dyDescent="0.25">
      <c r="A2499" s="5" t="str">
        <f t="shared" ref="A2499:A2562" si="1065">G2499&amp;I2499</f>
        <v>44005NIKK</v>
      </c>
      <c r="B2499" s="6" t="s">
        <v>90</v>
      </c>
      <c r="C2499" s="6">
        <v>21603</v>
      </c>
      <c r="D2499" s="6">
        <v>23106</v>
      </c>
      <c r="E2499" s="6">
        <v>22549</v>
      </c>
      <c r="F2499" t="str">
        <f t="shared" si="1054"/>
        <v>TUE</v>
      </c>
      <c r="G2499" s="1">
        <f t="shared" si="1055"/>
        <v>44005</v>
      </c>
      <c r="H2499" s="2">
        <f t="shared" ca="1" si="1056"/>
        <v>248</v>
      </c>
      <c r="I2499" t="str">
        <f t="shared" si="1057"/>
        <v>NIKK</v>
      </c>
      <c r="J2499">
        <f t="shared" si="1058"/>
        <v>21603</v>
      </c>
      <c r="K2499">
        <f t="shared" si="1059"/>
        <v>23106</v>
      </c>
      <c r="L2499">
        <f t="shared" si="1060"/>
        <v>22354.5</v>
      </c>
      <c r="M2499">
        <f t="shared" si="1061"/>
        <v>751.5</v>
      </c>
      <c r="N2499">
        <f t="shared" ref="N2499:N2562" si="1066">ABS(K2499-J2499)</f>
        <v>1503</v>
      </c>
      <c r="O2499">
        <f t="shared" si="1062"/>
        <v>22549</v>
      </c>
      <c r="P2499">
        <f t="shared" si="1063"/>
        <v>0.2588157019294744</v>
      </c>
      <c r="Q2499" t="str">
        <f t="shared" ref="Q2499:Q2562" si="1067">ROUND(ABS(100*(O2499-J2499)/O2499),2)&amp;"% | "&amp;ROUND(ABS(100*(K2499-O2499)/O2499),2)&amp;"%"</f>
        <v>4.2% | 2.47%</v>
      </c>
      <c r="R2499" t="str">
        <f t="shared" si="1064"/>
        <v>NEUTRAL</v>
      </c>
      <c r="S2499">
        <f t="shared" ref="S2499:S2562" si="1068">IF(R2499="BEARISH",-1,IF(R2499="NEUTRAL",0,IF(R2499="BULLISH",1,99)))</f>
        <v>0</v>
      </c>
    </row>
    <row r="2500" spans="1:19" hidden="1" x14ac:dyDescent="0.25">
      <c r="A2500" s="5" t="str">
        <f t="shared" si="1065"/>
        <v>44005DAX</v>
      </c>
      <c r="B2500" s="6" t="s">
        <v>92</v>
      </c>
      <c r="C2500" s="6">
        <v>11801</v>
      </c>
      <c r="D2500" s="6">
        <v>12628</v>
      </c>
      <c r="E2500" s="6">
        <v>12242</v>
      </c>
      <c r="F2500" t="str">
        <f t="shared" si="1054"/>
        <v>TUE</v>
      </c>
      <c r="G2500" s="1">
        <f t="shared" si="1055"/>
        <v>44005</v>
      </c>
      <c r="H2500" s="2">
        <f t="shared" ca="1" si="1056"/>
        <v>248</v>
      </c>
      <c r="I2500" t="str">
        <f t="shared" si="1057"/>
        <v>DAX</v>
      </c>
      <c r="J2500">
        <f t="shared" si="1058"/>
        <v>11801</v>
      </c>
      <c r="K2500">
        <f t="shared" si="1059"/>
        <v>12628</v>
      </c>
      <c r="L2500">
        <f t="shared" si="1060"/>
        <v>12214.5</v>
      </c>
      <c r="M2500">
        <f t="shared" si="1061"/>
        <v>413.5</v>
      </c>
      <c r="N2500">
        <f t="shared" si="1066"/>
        <v>827</v>
      </c>
      <c r="O2500">
        <f t="shared" si="1062"/>
        <v>12242</v>
      </c>
      <c r="P2500">
        <f t="shared" si="1063"/>
        <v>6.6505441354292621E-2</v>
      </c>
      <c r="Q2500" t="str">
        <f t="shared" si="1067"/>
        <v>3.6% | 3.15%</v>
      </c>
      <c r="R2500" t="str">
        <f t="shared" si="1064"/>
        <v>NEUTRAL</v>
      </c>
      <c r="S2500">
        <f t="shared" si="1068"/>
        <v>0</v>
      </c>
    </row>
    <row r="2501" spans="1:19" hidden="1" x14ac:dyDescent="0.25">
      <c r="A2501" s="5" t="str">
        <f t="shared" si="1065"/>
        <v>44005VIX</v>
      </c>
      <c r="B2501" s="6" t="s">
        <v>17</v>
      </c>
      <c r="C2501" s="6">
        <v>28.32</v>
      </c>
      <c r="D2501" s="6">
        <v>41.64</v>
      </c>
      <c r="E2501" s="6">
        <v>31.77</v>
      </c>
      <c r="F2501" t="str">
        <f t="shared" si="1054"/>
        <v>TUE</v>
      </c>
      <c r="G2501" s="1">
        <f t="shared" si="1055"/>
        <v>44005</v>
      </c>
      <c r="H2501" s="2">
        <f t="shared" ca="1" si="1056"/>
        <v>248</v>
      </c>
      <c r="I2501" t="str">
        <f t="shared" si="1057"/>
        <v>VIX</v>
      </c>
      <c r="J2501">
        <f t="shared" si="1058"/>
        <v>28.32</v>
      </c>
      <c r="K2501">
        <f t="shared" si="1059"/>
        <v>41.64</v>
      </c>
      <c r="L2501">
        <f t="shared" si="1060"/>
        <v>34.980000000000004</v>
      </c>
      <c r="M2501">
        <f t="shared" si="1061"/>
        <v>6.6599999999999904</v>
      </c>
      <c r="N2501">
        <f t="shared" si="1066"/>
        <v>13.32</v>
      </c>
      <c r="O2501">
        <f t="shared" si="1062"/>
        <v>31.77</v>
      </c>
      <c r="P2501">
        <f t="shared" si="1063"/>
        <v>-0.48198198198198333</v>
      </c>
      <c r="Q2501" t="str">
        <f t="shared" si="1067"/>
        <v>10.86% | 31.07%</v>
      </c>
      <c r="R2501" t="str">
        <f t="shared" si="1064"/>
        <v>BULLISH</v>
      </c>
      <c r="S2501">
        <f t="shared" si="1068"/>
        <v>1</v>
      </c>
    </row>
    <row r="2502" spans="1:19" hidden="1" x14ac:dyDescent="0.25">
      <c r="A2502" s="5" t="str">
        <f t="shared" si="1065"/>
        <v>44005USD</v>
      </c>
      <c r="B2502" s="6" t="s">
        <v>94</v>
      </c>
      <c r="C2502" s="6">
        <v>95.9</v>
      </c>
      <c r="D2502" s="6">
        <v>97.99</v>
      </c>
      <c r="E2502" s="6">
        <v>96.99</v>
      </c>
      <c r="F2502" t="str">
        <f t="shared" si="1054"/>
        <v>TUE</v>
      </c>
      <c r="G2502" s="1">
        <f t="shared" si="1055"/>
        <v>44005</v>
      </c>
      <c r="H2502" s="2">
        <f t="shared" ca="1" si="1056"/>
        <v>248</v>
      </c>
      <c r="I2502" t="str">
        <f t="shared" si="1057"/>
        <v>USD</v>
      </c>
      <c r="J2502">
        <f t="shared" si="1058"/>
        <v>95.9</v>
      </c>
      <c r="K2502">
        <f t="shared" si="1059"/>
        <v>97.99</v>
      </c>
      <c r="L2502">
        <f t="shared" si="1060"/>
        <v>96.944999999999993</v>
      </c>
      <c r="M2502">
        <f t="shared" si="1061"/>
        <v>1.0449999999999946</v>
      </c>
      <c r="N2502">
        <f t="shared" si="1066"/>
        <v>2.0899999999999892</v>
      </c>
      <c r="O2502">
        <f t="shared" si="1062"/>
        <v>96.99</v>
      </c>
      <c r="P2502">
        <f t="shared" si="1063"/>
        <v>4.3062200956939654E-2</v>
      </c>
      <c r="Q2502" t="str">
        <f t="shared" si="1067"/>
        <v>1.12% | 1.03%</v>
      </c>
      <c r="R2502" t="str">
        <f t="shared" si="1064"/>
        <v>BEARISH</v>
      </c>
      <c r="S2502">
        <f t="shared" si="1068"/>
        <v>-1</v>
      </c>
    </row>
    <row r="2503" spans="1:19" hidden="1" x14ac:dyDescent="0.25">
      <c r="A2503" s="5" t="str">
        <f t="shared" si="1065"/>
        <v>44005EUR/USD</v>
      </c>
      <c r="B2503" s="6" t="s">
        <v>99</v>
      </c>
      <c r="C2503" s="6">
        <v>1.1100000000000001</v>
      </c>
      <c r="D2503" s="6">
        <v>1.1399999999999999</v>
      </c>
      <c r="E2503" s="6">
        <v>1.1200000000000001</v>
      </c>
      <c r="F2503" t="str">
        <f t="shared" si="1054"/>
        <v>TUE</v>
      </c>
      <c r="G2503" s="1">
        <f t="shared" si="1055"/>
        <v>44005</v>
      </c>
      <c r="H2503" s="2">
        <f t="shared" ca="1" si="1056"/>
        <v>248</v>
      </c>
      <c r="I2503" t="str">
        <f t="shared" si="1057"/>
        <v>EUR/USD</v>
      </c>
      <c r="J2503">
        <f t="shared" si="1058"/>
        <v>1.1100000000000001</v>
      </c>
      <c r="K2503">
        <f t="shared" si="1059"/>
        <v>1.1399999999999999</v>
      </c>
      <c r="L2503">
        <f t="shared" si="1060"/>
        <v>1.125</v>
      </c>
      <c r="M2503">
        <f t="shared" si="1061"/>
        <v>1.4999999999999902E-2</v>
      </c>
      <c r="N2503">
        <f t="shared" si="1066"/>
        <v>2.9999999999999805E-2</v>
      </c>
      <c r="O2503">
        <f t="shared" si="1062"/>
        <v>1.1200000000000001</v>
      </c>
      <c r="P2503">
        <f t="shared" si="1063"/>
        <v>-0.33333333333332837</v>
      </c>
      <c r="Q2503" t="str">
        <f t="shared" si="1067"/>
        <v>0.89% | 1.79%</v>
      </c>
      <c r="R2503" t="str">
        <f t="shared" si="1064"/>
        <v>BULLISH</v>
      </c>
      <c r="S2503">
        <f t="shared" si="1068"/>
        <v>1</v>
      </c>
    </row>
    <row r="2504" spans="1:19" hidden="1" x14ac:dyDescent="0.25">
      <c r="A2504" s="5" t="str">
        <f t="shared" si="1065"/>
        <v>44005USD/JPY</v>
      </c>
      <c r="B2504" s="6" t="s">
        <v>20</v>
      </c>
      <c r="C2504" s="6">
        <v>106.24</v>
      </c>
      <c r="D2504" s="6">
        <v>109</v>
      </c>
      <c r="E2504" s="6">
        <v>106.92</v>
      </c>
      <c r="F2504" t="str">
        <f t="shared" si="1054"/>
        <v>TUE</v>
      </c>
      <c r="G2504" s="1">
        <f t="shared" si="1055"/>
        <v>44005</v>
      </c>
      <c r="H2504" s="2">
        <f t="shared" ca="1" si="1056"/>
        <v>248</v>
      </c>
      <c r="I2504" t="str">
        <f t="shared" si="1057"/>
        <v>USD/JPY</v>
      </c>
      <c r="J2504">
        <f t="shared" si="1058"/>
        <v>106.24</v>
      </c>
      <c r="K2504">
        <f t="shared" si="1059"/>
        <v>109</v>
      </c>
      <c r="L2504">
        <f t="shared" si="1060"/>
        <v>107.62</v>
      </c>
      <c r="M2504">
        <f t="shared" si="1061"/>
        <v>1.3800000000000026</v>
      </c>
      <c r="N2504">
        <f t="shared" si="1066"/>
        <v>2.7600000000000051</v>
      </c>
      <c r="O2504">
        <f t="shared" si="1062"/>
        <v>106.92</v>
      </c>
      <c r="P2504">
        <f t="shared" si="1063"/>
        <v>-0.50724637681159535</v>
      </c>
      <c r="Q2504" t="str">
        <f t="shared" si="1067"/>
        <v>0.64% | 1.95%</v>
      </c>
      <c r="R2504" t="str">
        <f t="shared" si="1064"/>
        <v>BEARISH</v>
      </c>
      <c r="S2504">
        <f t="shared" si="1068"/>
        <v>-1</v>
      </c>
    </row>
    <row r="2505" spans="1:19" hidden="1" x14ac:dyDescent="0.25">
      <c r="A2505" s="5" t="str">
        <f t="shared" si="1065"/>
        <v>44005GBP/USD</v>
      </c>
      <c r="B2505" s="6" t="s">
        <v>79</v>
      </c>
      <c r="C2505" s="6">
        <v>1.23</v>
      </c>
      <c r="D2505" s="6">
        <v>1.27</v>
      </c>
      <c r="E2505" s="6">
        <v>1.24</v>
      </c>
      <c r="F2505" t="str">
        <f t="shared" si="1054"/>
        <v>TUE</v>
      </c>
      <c r="G2505" s="1">
        <f t="shared" si="1055"/>
        <v>44005</v>
      </c>
      <c r="H2505" s="2">
        <f t="shared" ca="1" si="1056"/>
        <v>248</v>
      </c>
      <c r="I2505" t="str">
        <f t="shared" si="1057"/>
        <v>GBP/USD</v>
      </c>
      <c r="J2505">
        <f t="shared" si="1058"/>
        <v>1.23</v>
      </c>
      <c r="K2505">
        <f t="shared" si="1059"/>
        <v>1.27</v>
      </c>
      <c r="L2505">
        <f t="shared" si="1060"/>
        <v>1.25</v>
      </c>
      <c r="M2505">
        <f t="shared" si="1061"/>
        <v>2.0000000000000018E-2</v>
      </c>
      <c r="N2505">
        <f t="shared" si="1066"/>
        <v>4.0000000000000036E-2</v>
      </c>
      <c r="O2505">
        <f t="shared" si="1062"/>
        <v>1.24</v>
      </c>
      <c r="P2505">
        <f t="shared" si="1063"/>
        <v>-0.5</v>
      </c>
      <c r="Q2505" t="str">
        <f t="shared" si="1067"/>
        <v>0.81% | 2.42%</v>
      </c>
      <c r="R2505" t="str">
        <f t="shared" si="1064"/>
        <v>NEUTRAL</v>
      </c>
      <c r="S2505">
        <f t="shared" si="1068"/>
        <v>0</v>
      </c>
    </row>
    <row r="2506" spans="1:19" hidden="1" x14ac:dyDescent="0.25">
      <c r="A2506" s="5" t="str">
        <f t="shared" si="1065"/>
        <v>44005USD/CHF</v>
      </c>
      <c r="B2506" s="6" t="s">
        <v>76</v>
      </c>
      <c r="C2506" s="6">
        <v>0.94</v>
      </c>
      <c r="D2506" s="6">
        <v>0.96</v>
      </c>
      <c r="E2506" s="6">
        <v>0.94</v>
      </c>
      <c r="F2506" t="str">
        <f t="shared" si="1054"/>
        <v>TUE</v>
      </c>
      <c r="G2506" s="1">
        <f t="shared" si="1055"/>
        <v>44005</v>
      </c>
      <c r="H2506" s="2">
        <f t="shared" ca="1" si="1056"/>
        <v>248</v>
      </c>
      <c r="I2506" t="str">
        <f t="shared" si="1057"/>
        <v>USD/CHF</v>
      </c>
      <c r="J2506">
        <f t="shared" si="1058"/>
        <v>0.94</v>
      </c>
      <c r="K2506">
        <f t="shared" si="1059"/>
        <v>0.96</v>
      </c>
      <c r="L2506">
        <f t="shared" si="1060"/>
        <v>0.95</v>
      </c>
      <c r="M2506">
        <f t="shared" si="1061"/>
        <v>1.0000000000000009E-2</v>
      </c>
      <c r="N2506">
        <f t="shared" si="1066"/>
        <v>2.0000000000000018E-2</v>
      </c>
      <c r="O2506">
        <f t="shared" si="1062"/>
        <v>0.94</v>
      </c>
      <c r="P2506">
        <f t="shared" si="1063"/>
        <v>-1</v>
      </c>
      <c r="Q2506" t="str">
        <f t="shared" si="1067"/>
        <v>0% | 2.13%</v>
      </c>
      <c r="R2506" t="str">
        <f t="shared" si="1064"/>
        <v>BEARISH</v>
      </c>
      <c r="S2506">
        <f t="shared" si="1068"/>
        <v>-1</v>
      </c>
    </row>
    <row r="2507" spans="1:19" hidden="1" x14ac:dyDescent="0.25">
      <c r="A2507" s="5" t="str">
        <f t="shared" si="1065"/>
        <v>44005WTIC</v>
      </c>
      <c r="B2507" s="6" t="s">
        <v>103</v>
      </c>
      <c r="C2507" s="6">
        <v>35.46</v>
      </c>
      <c r="D2507" s="6">
        <v>41.66</v>
      </c>
      <c r="E2507" s="6">
        <v>40.729999999999997</v>
      </c>
      <c r="F2507" t="str">
        <f t="shared" si="1054"/>
        <v>TUE</v>
      </c>
      <c r="G2507" s="1">
        <f t="shared" si="1055"/>
        <v>44005</v>
      </c>
      <c r="H2507" s="2">
        <f t="shared" ca="1" si="1056"/>
        <v>248</v>
      </c>
      <c r="I2507" t="str">
        <f t="shared" si="1057"/>
        <v>WTIC</v>
      </c>
      <c r="J2507">
        <f t="shared" si="1058"/>
        <v>35.46</v>
      </c>
      <c r="K2507">
        <f t="shared" si="1059"/>
        <v>41.66</v>
      </c>
      <c r="L2507">
        <f t="shared" si="1060"/>
        <v>38.56</v>
      </c>
      <c r="M2507">
        <f t="shared" si="1061"/>
        <v>3.0999999999999974</v>
      </c>
      <c r="N2507">
        <f t="shared" si="1066"/>
        <v>6.1999999999999957</v>
      </c>
      <c r="O2507">
        <f t="shared" si="1062"/>
        <v>40.729999999999997</v>
      </c>
      <c r="P2507">
        <f t="shared" si="1063"/>
        <v>0.69999999999999885</v>
      </c>
      <c r="Q2507" t="str">
        <f t="shared" si="1067"/>
        <v>12.94% | 2.28%</v>
      </c>
      <c r="R2507" t="str">
        <f t="shared" si="1064"/>
        <v>NEUTRAL</v>
      </c>
      <c r="S2507">
        <f t="shared" si="1068"/>
        <v>0</v>
      </c>
    </row>
    <row r="2508" spans="1:19" hidden="1" x14ac:dyDescent="0.25">
      <c r="A2508" s="5" t="str">
        <f t="shared" si="1065"/>
        <v>44005NATGAS</v>
      </c>
      <c r="B2508" s="6" t="s">
        <v>24</v>
      </c>
      <c r="C2508" s="6">
        <v>1.58</v>
      </c>
      <c r="D2508" s="6">
        <v>1.79</v>
      </c>
      <c r="E2508" s="6">
        <v>1.74</v>
      </c>
      <c r="F2508" t="str">
        <f t="shared" si="1054"/>
        <v>TUE</v>
      </c>
      <c r="G2508" s="1">
        <f t="shared" si="1055"/>
        <v>44005</v>
      </c>
      <c r="H2508" s="2">
        <f t="shared" ca="1" si="1056"/>
        <v>248</v>
      </c>
      <c r="I2508" t="str">
        <f t="shared" si="1057"/>
        <v>NATGAS</v>
      </c>
      <c r="J2508">
        <f t="shared" si="1058"/>
        <v>1.58</v>
      </c>
      <c r="K2508">
        <f t="shared" si="1059"/>
        <v>1.79</v>
      </c>
      <c r="L2508">
        <f t="shared" si="1060"/>
        <v>1.6850000000000001</v>
      </c>
      <c r="M2508">
        <f t="shared" si="1061"/>
        <v>0.10499999999999998</v>
      </c>
      <c r="N2508">
        <f t="shared" si="1066"/>
        <v>0.20999999999999996</v>
      </c>
      <c r="O2508">
        <f t="shared" si="1062"/>
        <v>1.74</v>
      </c>
      <c r="P2508">
        <f t="shared" si="1063"/>
        <v>0.52380952380952328</v>
      </c>
      <c r="Q2508" t="str">
        <f t="shared" si="1067"/>
        <v>9.2% | 2.87%</v>
      </c>
      <c r="R2508" t="str">
        <f t="shared" si="1064"/>
        <v>BEARISH</v>
      </c>
      <c r="S2508">
        <f t="shared" si="1068"/>
        <v>-1</v>
      </c>
    </row>
    <row r="2509" spans="1:19" hidden="1" x14ac:dyDescent="0.25">
      <c r="A2509" s="5" t="str">
        <f t="shared" si="1065"/>
        <v>44005GOLD</v>
      </c>
      <c r="B2509" s="6" t="s">
        <v>25</v>
      </c>
      <c r="C2509" s="6">
        <v>1718</v>
      </c>
      <c r="D2509" s="6">
        <v>1776</v>
      </c>
      <c r="E2509" s="6">
        <v>1766</v>
      </c>
      <c r="F2509" t="str">
        <f t="shared" si="1054"/>
        <v>TUE</v>
      </c>
      <c r="G2509" s="1">
        <f t="shared" si="1055"/>
        <v>44005</v>
      </c>
      <c r="H2509" s="2">
        <f t="shared" ca="1" si="1056"/>
        <v>248</v>
      </c>
      <c r="I2509" t="str">
        <f t="shared" si="1057"/>
        <v>GOLD</v>
      </c>
      <c r="J2509">
        <f t="shared" si="1058"/>
        <v>1718</v>
      </c>
      <c r="K2509">
        <f t="shared" si="1059"/>
        <v>1776</v>
      </c>
      <c r="L2509">
        <f t="shared" si="1060"/>
        <v>1747</v>
      </c>
      <c r="M2509">
        <f t="shared" si="1061"/>
        <v>29</v>
      </c>
      <c r="N2509">
        <f t="shared" si="1066"/>
        <v>58</v>
      </c>
      <c r="O2509">
        <f t="shared" si="1062"/>
        <v>1766</v>
      </c>
      <c r="P2509">
        <f t="shared" si="1063"/>
        <v>0.65517241379310343</v>
      </c>
      <c r="Q2509" t="str">
        <f t="shared" si="1067"/>
        <v>2.72% | 0.57%</v>
      </c>
      <c r="R2509" t="str">
        <f t="shared" si="1064"/>
        <v>BULLISH</v>
      </c>
      <c r="S2509">
        <f t="shared" si="1068"/>
        <v>1</v>
      </c>
    </row>
    <row r="2510" spans="1:19" hidden="1" x14ac:dyDescent="0.25">
      <c r="A2510" s="5" t="str">
        <f t="shared" si="1065"/>
        <v>44005COPPER</v>
      </c>
      <c r="B2510" s="6" t="s">
        <v>100</v>
      </c>
      <c r="C2510" s="6">
        <v>2.54</v>
      </c>
      <c r="D2510" s="6">
        <v>2.68</v>
      </c>
      <c r="E2510" s="6">
        <v>2.65</v>
      </c>
      <c r="F2510" t="str">
        <f t="shared" si="1054"/>
        <v>TUE</v>
      </c>
      <c r="G2510" s="1">
        <f t="shared" si="1055"/>
        <v>44005</v>
      </c>
      <c r="H2510" s="2">
        <f t="shared" ca="1" si="1056"/>
        <v>248</v>
      </c>
      <c r="I2510" t="str">
        <f t="shared" si="1057"/>
        <v>COPPER</v>
      </c>
      <c r="J2510">
        <f t="shared" si="1058"/>
        <v>2.54</v>
      </c>
      <c r="K2510">
        <f t="shared" si="1059"/>
        <v>2.68</v>
      </c>
      <c r="L2510">
        <f t="shared" si="1060"/>
        <v>2.6100000000000003</v>
      </c>
      <c r="M2510">
        <f t="shared" si="1061"/>
        <v>7.0000000000000062E-2</v>
      </c>
      <c r="N2510">
        <f t="shared" si="1066"/>
        <v>0.14000000000000012</v>
      </c>
      <c r="O2510">
        <f t="shared" si="1062"/>
        <v>2.65</v>
      </c>
      <c r="P2510">
        <f t="shared" si="1063"/>
        <v>0.57142857142856507</v>
      </c>
      <c r="Q2510" t="str">
        <f t="shared" si="1067"/>
        <v>4.15% | 1.13%</v>
      </c>
      <c r="R2510" t="str">
        <f t="shared" si="1064"/>
        <v>BULLISH</v>
      </c>
      <c r="S2510">
        <f t="shared" si="1068"/>
        <v>1</v>
      </c>
    </row>
    <row r="2511" spans="1:19" hidden="1" x14ac:dyDescent="0.25">
      <c r="A2511" s="5" t="str">
        <f t="shared" si="1065"/>
        <v>44005MSFT</v>
      </c>
      <c r="B2511" s="6" t="s">
        <v>27</v>
      </c>
      <c r="C2511" s="6">
        <v>188</v>
      </c>
      <c r="D2511" s="6">
        <v>204</v>
      </c>
      <c r="E2511" s="6">
        <v>200</v>
      </c>
      <c r="F2511" t="str">
        <f t="shared" si="1054"/>
        <v>TUE</v>
      </c>
      <c r="G2511" s="1">
        <f t="shared" si="1055"/>
        <v>44005</v>
      </c>
      <c r="H2511" s="2">
        <f t="shared" ca="1" si="1056"/>
        <v>248</v>
      </c>
      <c r="I2511" t="str">
        <f t="shared" si="1057"/>
        <v>MSFT</v>
      </c>
      <c r="J2511">
        <f t="shared" si="1058"/>
        <v>188</v>
      </c>
      <c r="K2511">
        <f t="shared" si="1059"/>
        <v>204</v>
      </c>
      <c r="L2511">
        <f t="shared" si="1060"/>
        <v>196</v>
      </c>
      <c r="M2511">
        <f t="shared" si="1061"/>
        <v>8</v>
      </c>
      <c r="N2511">
        <f t="shared" si="1066"/>
        <v>16</v>
      </c>
      <c r="O2511">
        <f t="shared" si="1062"/>
        <v>200</v>
      </c>
      <c r="P2511">
        <f t="shared" si="1063"/>
        <v>0.5</v>
      </c>
      <c r="Q2511" t="str">
        <f t="shared" si="1067"/>
        <v>6% | 2%</v>
      </c>
      <c r="R2511" t="str">
        <f t="shared" si="1064"/>
        <v>BULLISH</v>
      </c>
      <c r="S2511">
        <f t="shared" si="1068"/>
        <v>1</v>
      </c>
    </row>
    <row r="2512" spans="1:19" hidden="1" x14ac:dyDescent="0.25">
      <c r="A2512" s="5" t="str">
        <f t="shared" si="1065"/>
        <v>44005AAPL</v>
      </c>
      <c r="B2512" s="6" t="s">
        <v>28</v>
      </c>
      <c r="C2512" s="6">
        <v>334</v>
      </c>
      <c r="D2512" s="6">
        <v>365</v>
      </c>
      <c r="E2512" s="6">
        <v>358</v>
      </c>
      <c r="F2512" t="str">
        <f t="shared" si="1054"/>
        <v>TUE</v>
      </c>
      <c r="G2512" s="1">
        <f t="shared" si="1055"/>
        <v>44005</v>
      </c>
      <c r="H2512" s="2">
        <f t="shared" ca="1" si="1056"/>
        <v>248</v>
      </c>
      <c r="I2512" t="str">
        <f t="shared" si="1057"/>
        <v>AAPL</v>
      </c>
      <c r="J2512">
        <f t="shared" si="1058"/>
        <v>334</v>
      </c>
      <c r="K2512">
        <f t="shared" si="1059"/>
        <v>365</v>
      </c>
      <c r="L2512">
        <f t="shared" si="1060"/>
        <v>349.5</v>
      </c>
      <c r="M2512">
        <f t="shared" si="1061"/>
        <v>15.5</v>
      </c>
      <c r="N2512">
        <f t="shared" si="1066"/>
        <v>31</v>
      </c>
      <c r="O2512">
        <f t="shared" si="1062"/>
        <v>358</v>
      </c>
      <c r="P2512">
        <f t="shared" si="1063"/>
        <v>0.54838709677419351</v>
      </c>
      <c r="Q2512" t="str">
        <f t="shared" si="1067"/>
        <v>6.7% | 1.96%</v>
      </c>
      <c r="R2512" t="str">
        <f t="shared" si="1064"/>
        <v>BULLISH</v>
      </c>
      <c r="S2512">
        <f t="shared" si="1068"/>
        <v>1</v>
      </c>
    </row>
    <row r="2513" spans="1:19" hidden="1" x14ac:dyDescent="0.25">
      <c r="A2513" s="5" t="str">
        <f t="shared" si="1065"/>
        <v>44005AMZN</v>
      </c>
      <c r="B2513" s="6" t="s">
        <v>29</v>
      </c>
      <c r="C2513" s="6">
        <v>2525</v>
      </c>
      <c r="D2513" s="6">
        <v>2740</v>
      </c>
      <c r="E2513" s="6">
        <v>2713</v>
      </c>
      <c r="F2513" t="str">
        <f t="shared" si="1054"/>
        <v>TUE</v>
      </c>
      <c r="G2513" s="1">
        <f t="shared" si="1055"/>
        <v>44005</v>
      </c>
      <c r="H2513" s="2">
        <f t="shared" ca="1" si="1056"/>
        <v>248</v>
      </c>
      <c r="I2513" t="str">
        <f t="shared" si="1057"/>
        <v>AMZN</v>
      </c>
      <c r="J2513">
        <f t="shared" si="1058"/>
        <v>2525</v>
      </c>
      <c r="K2513">
        <f t="shared" si="1059"/>
        <v>2740</v>
      </c>
      <c r="L2513">
        <f t="shared" si="1060"/>
        <v>2632.5</v>
      </c>
      <c r="M2513">
        <f t="shared" si="1061"/>
        <v>107.5</v>
      </c>
      <c r="N2513">
        <f t="shared" si="1066"/>
        <v>215</v>
      </c>
      <c r="O2513">
        <f t="shared" si="1062"/>
        <v>2713</v>
      </c>
      <c r="P2513">
        <f t="shared" si="1063"/>
        <v>0.74883720930232556</v>
      </c>
      <c r="Q2513" t="str">
        <f t="shared" si="1067"/>
        <v>6.93% | 1%</v>
      </c>
      <c r="R2513" t="str">
        <f t="shared" si="1064"/>
        <v>BULLISH</v>
      </c>
      <c r="S2513">
        <f t="shared" si="1068"/>
        <v>1</v>
      </c>
    </row>
    <row r="2514" spans="1:19" hidden="1" x14ac:dyDescent="0.25">
      <c r="A2514" s="5" t="str">
        <f t="shared" si="1065"/>
        <v>44005FB</v>
      </c>
      <c r="B2514" s="6" t="s">
        <v>30</v>
      </c>
      <c r="C2514" s="6">
        <v>225</v>
      </c>
      <c r="D2514" s="6">
        <v>245</v>
      </c>
      <c r="E2514" s="6">
        <v>239</v>
      </c>
      <c r="F2514" t="str">
        <f t="shared" si="1054"/>
        <v>TUE</v>
      </c>
      <c r="G2514" s="1">
        <f t="shared" si="1055"/>
        <v>44005</v>
      </c>
      <c r="H2514" s="2">
        <f t="shared" ca="1" si="1056"/>
        <v>248</v>
      </c>
      <c r="I2514" t="str">
        <f t="shared" si="1057"/>
        <v>FB</v>
      </c>
      <c r="J2514">
        <f t="shared" si="1058"/>
        <v>225</v>
      </c>
      <c r="K2514">
        <f t="shared" si="1059"/>
        <v>245</v>
      </c>
      <c r="L2514">
        <f t="shared" si="1060"/>
        <v>235</v>
      </c>
      <c r="M2514">
        <f t="shared" si="1061"/>
        <v>10</v>
      </c>
      <c r="N2514">
        <f t="shared" si="1066"/>
        <v>20</v>
      </c>
      <c r="O2514">
        <f t="shared" si="1062"/>
        <v>239</v>
      </c>
      <c r="P2514">
        <f t="shared" si="1063"/>
        <v>0.4</v>
      </c>
      <c r="Q2514" t="str">
        <f t="shared" si="1067"/>
        <v>5.86% | 2.51%</v>
      </c>
      <c r="R2514" t="str">
        <f t="shared" si="1064"/>
        <v>BULLISH</v>
      </c>
      <c r="S2514">
        <f t="shared" si="1068"/>
        <v>1</v>
      </c>
    </row>
    <row r="2515" spans="1:19" hidden="1" x14ac:dyDescent="0.25">
      <c r="A2515" s="5" t="str">
        <f t="shared" si="1065"/>
        <v>44005GOOGL</v>
      </c>
      <c r="B2515" s="6" t="s">
        <v>31</v>
      </c>
      <c r="C2515" s="6">
        <v>1397</v>
      </c>
      <c r="D2515" s="6">
        <v>1475</v>
      </c>
      <c r="E2515" s="6">
        <v>1450</v>
      </c>
      <c r="F2515" t="str">
        <f t="shared" si="1054"/>
        <v>TUE</v>
      </c>
      <c r="G2515" s="1">
        <f t="shared" si="1055"/>
        <v>44005</v>
      </c>
      <c r="H2515" s="2">
        <f t="shared" ca="1" si="1056"/>
        <v>248</v>
      </c>
      <c r="I2515" t="str">
        <f t="shared" si="1057"/>
        <v>GOOGL</v>
      </c>
      <c r="J2515">
        <f t="shared" si="1058"/>
        <v>1397</v>
      </c>
      <c r="K2515">
        <f t="shared" si="1059"/>
        <v>1475</v>
      </c>
      <c r="L2515">
        <f t="shared" si="1060"/>
        <v>1436</v>
      </c>
      <c r="M2515">
        <f t="shared" si="1061"/>
        <v>39</v>
      </c>
      <c r="N2515">
        <f t="shared" si="1066"/>
        <v>78</v>
      </c>
      <c r="O2515">
        <f t="shared" si="1062"/>
        <v>1450</v>
      </c>
      <c r="P2515">
        <f t="shared" si="1063"/>
        <v>0.35897435897435898</v>
      </c>
      <c r="Q2515" t="str">
        <f t="shared" si="1067"/>
        <v>3.66% | 1.72%</v>
      </c>
      <c r="R2515" t="str">
        <f t="shared" si="1064"/>
        <v>BULLISH</v>
      </c>
      <c r="S2515">
        <f t="shared" si="1068"/>
        <v>1</v>
      </c>
    </row>
    <row r="2516" spans="1:19" hidden="1" x14ac:dyDescent="0.25">
      <c r="A2516" s="5" t="str">
        <f t="shared" si="1065"/>
        <v>44005NFLX</v>
      </c>
      <c r="B2516" s="6" t="s">
        <v>32</v>
      </c>
      <c r="C2516" s="6">
        <v>414</v>
      </c>
      <c r="D2516" s="6">
        <v>471</v>
      </c>
      <c r="E2516" s="6">
        <v>468</v>
      </c>
      <c r="F2516" t="str">
        <f t="shared" si="1054"/>
        <v>TUE</v>
      </c>
      <c r="G2516" s="1">
        <f t="shared" si="1055"/>
        <v>44005</v>
      </c>
      <c r="H2516" s="2">
        <f t="shared" ca="1" si="1056"/>
        <v>248</v>
      </c>
      <c r="I2516" t="str">
        <f t="shared" si="1057"/>
        <v>NFLX</v>
      </c>
      <c r="J2516">
        <f t="shared" si="1058"/>
        <v>414</v>
      </c>
      <c r="K2516">
        <f t="shared" si="1059"/>
        <v>471</v>
      </c>
      <c r="L2516">
        <f t="shared" si="1060"/>
        <v>442.5</v>
      </c>
      <c r="M2516">
        <f t="shared" si="1061"/>
        <v>28.5</v>
      </c>
      <c r="N2516">
        <f t="shared" si="1066"/>
        <v>57</v>
      </c>
      <c r="O2516">
        <f t="shared" si="1062"/>
        <v>468</v>
      </c>
      <c r="P2516">
        <f t="shared" si="1063"/>
        <v>0.89473684210526316</v>
      </c>
      <c r="Q2516" t="str">
        <f t="shared" si="1067"/>
        <v>11.54% | 0.64%</v>
      </c>
      <c r="R2516" t="str">
        <f t="shared" si="1064"/>
        <v>BULLISH</v>
      </c>
      <c r="S2516">
        <f t="shared" si="1068"/>
        <v>1</v>
      </c>
    </row>
    <row r="2517" spans="1:19" x14ac:dyDescent="0.25">
      <c r="A2517" s="5" t="str">
        <f t="shared" si="1065"/>
        <v>44005TSLA</v>
      </c>
      <c r="B2517" s="6" t="s">
        <v>33</v>
      </c>
      <c r="C2517" s="6">
        <v>939</v>
      </c>
      <c r="D2517" s="6">
        <v>1038</v>
      </c>
      <c r="E2517" s="6">
        <v>994</v>
      </c>
      <c r="F2517" t="str">
        <f t="shared" si="1054"/>
        <v>TUE</v>
      </c>
      <c r="G2517" s="1">
        <f t="shared" si="1055"/>
        <v>44005</v>
      </c>
      <c r="H2517" s="2">
        <f t="shared" ca="1" si="1056"/>
        <v>248</v>
      </c>
      <c r="I2517" t="str">
        <f t="shared" si="1057"/>
        <v>TSLA</v>
      </c>
      <c r="J2517">
        <f t="shared" si="1058"/>
        <v>939</v>
      </c>
      <c r="K2517">
        <f t="shared" si="1059"/>
        <v>1038</v>
      </c>
      <c r="L2517">
        <f t="shared" si="1060"/>
        <v>988.5</v>
      </c>
      <c r="M2517">
        <f t="shared" si="1061"/>
        <v>49.5</v>
      </c>
      <c r="N2517">
        <f t="shared" si="1066"/>
        <v>99</v>
      </c>
      <c r="O2517">
        <f t="shared" si="1062"/>
        <v>994</v>
      </c>
      <c r="P2517">
        <f t="shared" si="1063"/>
        <v>0.1111111111111111</v>
      </c>
      <c r="Q2517" t="str">
        <f t="shared" si="1067"/>
        <v>5.53% | 4.43%</v>
      </c>
      <c r="R2517" t="str">
        <f t="shared" si="1064"/>
        <v>BULLISH</v>
      </c>
      <c r="S2517">
        <f t="shared" si="1068"/>
        <v>1</v>
      </c>
    </row>
    <row r="2518" spans="1:19" hidden="1" x14ac:dyDescent="0.25">
      <c r="A2518" s="5" t="str">
        <f t="shared" si="1065"/>
        <v>44005NYXBT</v>
      </c>
      <c r="B2518" s="6" t="s">
        <v>34</v>
      </c>
      <c r="C2518" s="6">
        <v>9176</v>
      </c>
      <c r="D2518" s="6">
        <v>9797</v>
      </c>
      <c r="E2518" s="6">
        <v>9463</v>
      </c>
      <c r="F2518" t="str">
        <f t="shared" si="1054"/>
        <v>TUE</v>
      </c>
      <c r="G2518" s="1">
        <f t="shared" si="1055"/>
        <v>44005</v>
      </c>
      <c r="H2518" s="2">
        <f t="shared" ca="1" si="1056"/>
        <v>248</v>
      </c>
      <c r="I2518" t="str">
        <f t="shared" si="1057"/>
        <v>NYXBT</v>
      </c>
      <c r="J2518">
        <f t="shared" si="1058"/>
        <v>9176</v>
      </c>
      <c r="K2518">
        <f t="shared" si="1059"/>
        <v>9797</v>
      </c>
      <c r="L2518">
        <f t="shared" si="1060"/>
        <v>9486.5</v>
      </c>
      <c r="M2518">
        <f t="shared" si="1061"/>
        <v>310.5</v>
      </c>
      <c r="N2518">
        <f t="shared" si="1066"/>
        <v>621</v>
      </c>
      <c r="O2518">
        <f t="shared" si="1062"/>
        <v>9463</v>
      </c>
      <c r="P2518">
        <f t="shared" si="1063"/>
        <v>-7.5684380032206122E-2</v>
      </c>
      <c r="Q2518" t="str">
        <f t="shared" si="1067"/>
        <v>3.03% | 3.53%</v>
      </c>
      <c r="R2518" t="str">
        <f t="shared" si="1064"/>
        <v>BULLISH</v>
      </c>
      <c r="S2518">
        <f t="shared" si="1068"/>
        <v>1</v>
      </c>
    </row>
    <row r="2519" spans="1:19" hidden="1" x14ac:dyDescent="0.25">
      <c r="A2519" s="5" t="str">
        <f t="shared" si="1065"/>
        <v>44006UST10Y</v>
      </c>
      <c r="B2519" s="6" t="s">
        <v>4</v>
      </c>
      <c r="C2519" s="6">
        <v>0.75</v>
      </c>
      <c r="D2519" s="6">
        <v>0.64</v>
      </c>
      <c r="E2519" s="6">
        <v>0.72</v>
      </c>
      <c r="F2519" t="str">
        <f t="shared" si="1054"/>
        <v>WED</v>
      </c>
      <c r="G2519" s="3">
        <f>DATE(2020,6,24)</f>
        <v>44006</v>
      </c>
      <c r="H2519" s="2">
        <f t="shared" ca="1" si="1056"/>
        <v>247</v>
      </c>
      <c r="I2519" t="str">
        <f t="shared" si="1057"/>
        <v>UST10Y</v>
      </c>
      <c r="J2519">
        <f t="shared" si="1058"/>
        <v>0.75</v>
      </c>
      <c r="K2519">
        <f t="shared" si="1059"/>
        <v>0.64</v>
      </c>
      <c r="L2519">
        <f t="shared" si="1060"/>
        <v>0.69500000000000006</v>
      </c>
      <c r="M2519">
        <f t="shared" si="1061"/>
        <v>5.4999999999999993E-2</v>
      </c>
      <c r="N2519">
        <f t="shared" si="1066"/>
        <v>0.10999999999999999</v>
      </c>
      <c r="O2519">
        <f t="shared" si="1062"/>
        <v>0.72</v>
      </c>
      <c r="P2519">
        <f t="shared" si="1063"/>
        <v>0.45454545454545298</v>
      </c>
      <c r="Q2519" t="str">
        <f t="shared" si="1067"/>
        <v>4.17% | 11.11%</v>
      </c>
      <c r="R2519" t="str">
        <f t="shared" si="1064"/>
        <v>BEARISH</v>
      </c>
      <c r="S2519">
        <f t="shared" si="1068"/>
        <v>-1</v>
      </c>
    </row>
    <row r="2520" spans="1:19" hidden="1" x14ac:dyDescent="0.25">
      <c r="A2520" s="5" t="str">
        <f t="shared" si="1065"/>
        <v>44006UST2Y</v>
      </c>
      <c r="B2520" s="6" t="s">
        <v>5</v>
      </c>
      <c r="C2520" s="6">
        <v>0.21</v>
      </c>
      <c r="D2520" s="6">
        <v>0.15</v>
      </c>
      <c r="E2520" s="6">
        <v>0.18</v>
      </c>
      <c r="F2520" t="str">
        <f t="shared" ref="F2520:F2549" si="1069">UPPER(TEXT(G2520,"ddd"))</f>
        <v>WED</v>
      </c>
      <c r="G2520" s="3">
        <f t="shared" ref="G2520:G2548" si="1070">DATE(2020,6,24)</f>
        <v>44006</v>
      </c>
      <c r="H2520" s="2">
        <f t="shared" ref="H2520:H2549" ca="1" si="1071">TODAY()-G2520</f>
        <v>247</v>
      </c>
      <c r="I2520" t="str">
        <f t="shared" ref="I2520:I2549" si="1072">TRIM(LEFT(B2520,FIND(" ",B2520,1)))</f>
        <v>UST2Y</v>
      </c>
      <c r="J2520">
        <f t="shared" ref="J2520:J2549" si="1073">C2520</f>
        <v>0.21</v>
      </c>
      <c r="K2520">
        <f t="shared" ref="K2520:K2549" si="1074">D2520</f>
        <v>0.15</v>
      </c>
      <c r="L2520">
        <f t="shared" ref="L2520:L2549" si="1075">AVERAGE(J2520:K2520)</f>
        <v>0.18</v>
      </c>
      <c r="M2520">
        <f t="shared" ref="M2520:M2549" si="1076">_xlfn.STDEV.P(J2520:K2520)</f>
        <v>2.9999999999999968E-2</v>
      </c>
      <c r="N2520">
        <f t="shared" si="1066"/>
        <v>0.06</v>
      </c>
      <c r="O2520">
        <f t="shared" ref="O2520:O2549" si="1077">E2520</f>
        <v>0.18</v>
      </c>
      <c r="P2520">
        <f t="shared" ref="P2520:P2549" si="1078">(O2520-L2520)/M2520</f>
        <v>0</v>
      </c>
      <c r="Q2520" t="str">
        <f t="shared" si="1067"/>
        <v>16.67% | 16.67%</v>
      </c>
      <c r="R2520" t="str">
        <f t="shared" ref="R2520:R2549" si="1079">MID(B2520,FIND("(",B2520,1)+1,FIND(")",B2520,1)-FIND("(",B2520,1)-1)</f>
        <v>BEARISH</v>
      </c>
      <c r="S2520">
        <f t="shared" si="1068"/>
        <v>-1</v>
      </c>
    </row>
    <row r="2521" spans="1:19" hidden="1" x14ac:dyDescent="0.25">
      <c r="A2521" s="5" t="str">
        <f t="shared" si="1065"/>
        <v>44006SPX</v>
      </c>
      <c r="B2521" s="6" t="s">
        <v>6</v>
      </c>
      <c r="C2521" s="6">
        <v>2976</v>
      </c>
      <c r="D2521" s="6">
        <v>3143</v>
      </c>
      <c r="E2521" s="6">
        <v>3131</v>
      </c>
      <c r="F2521" t="str">
        <f t="shared" si="1069"/>
        <v>WED</v>
      </c>
      <c r="G2521" s="3">
        <f t="shared" si="1070"/>
        <v>44006</v>
      </c>
      <c r="H2521" s="2">
        <f t="shared" ca="1" si="1071"/>
        <v>247</v>
      </c>
      <c r="I2521" t="str">
        <f t="shared" si="1072"/>
        <v>SPX</v>
      </c>
      <c r="J2521">
        <f t="shared" si="1073"/>
        <v>2976</v>
      </c>
      <c r="K2521">
        <f t="shared" si="1074"/>
        <v>3143</v>
      </c>
      <c r="L2521">
        <f t="shared" si="1075"/>
        <v>3059.5</v>
      </c>
      <c r="M2521">
        <f t="shared" si="1076"/>
        <v>83.5</v>
      </c>
      <c r="N2521">
        <f t="shared" si="1066"/>
        <v>167</v>
      </c>
      <c r="O2521">
        <f t="shared" si="1077"/>
        <v>3131</v>
      </c>
      <c r="P2521">
        <f t="shared" si="1078"/>
        <v>0.85628742514970058</v>
      </c>
      <c r="Q2521" t="str">
        <f t="shared" si="1067"/>
        <v>4.95% | 0.38%</v>
      </c>
      <c r="R2521" t="str">
        <f t="shared" si="1079"/>
        <v>BEARISH</v>
      </c>
      <c r="S2521">
        <f t="shared" si="1068"/>
        <v>-1</v>
      </c>
    </row>
    <row r="2522" spans="1:19" hidden="1" x14ac:dyDescent="0.25">
      <c r="A2522" s="5" t="str">
        <f t="shared" si="1065"/>
        <v>44006RUT</v>
      </c>
      <c r="B2522" s="6" t="s">
        <v>7</v>
      </c>
      <c r="C2522" s="6">
        <v>1368</v>
      </c>
      <c r="D2522" s="6">
        <v>1474</v>
      </c>
      <c r="E2522" s="6">
        <v>1439</v>
      </c>
      <c r="F2522" t="str">
        <f t="shared" si="1069"/>
        <v>WED</v>
      </c>
      <c r="G2522" s="3">
        <f t="shared" si="1070"/>
        <v>44006</v>
      </c>
      <c r="H2522" s="2">
        <f t="shared" ca="1" si="1071"/>
        <v>247</v>
      </c>
      <c r="I2522" t="str">
        <f t="shared" si="1072"/>
        <v>RUT</v>
      </c>
      <c r="J2522">
        <f t="shared" si="1073"/>
        <v>1368</v>
      </c>
      <c r="K2522">
        <f t="shared" si="1074"/>
        <v>1474</v>
      </c>
      <c r="L2522">
        <f t="shared" si="1075"/>
        <v>1421</v>
      </c>
      <c r="M2522">
        <f t="shared" si="1076"/>
        <v>53</v>
      </c>
      <c r="N2522">
        <f t="shared" si="1066"/>
        <v>106</v>
      </c>
      <c r="O2522">
        <f t="shared" si="1077"/>
        <v>1439</v>
      </c>
      <c r="P2522">
        <f t="shared" si="1078"/>
        <v>0.33962264150943394</v>
      </c>
      <c r="Q2522" t="str">
        <f t="shared" si="1067"/>
        <v>4.93% | 2.43%</v>
      </c>
      <c r="R2522" t="str">
        <f t="shared" si="1079"/>
        <v>BEARISH</v>
      </c>
      <c r="S2522">
        <f t="shared" si="1068"/>
        <v>-1</v>
      </c>
    </row>
    <row r="2523" spans="1:19" hidden="1" x14ac:dyDescent="0.25">
      <c r="A2523" s="5" t="str">
        <f t="shared" si="1065"/>
        <v>44006COMPQ</v>
      </c>
      <c r="B2523" s="6" t="s">
        <v>8</v>
      </c>
      <c r="C2523" s="6">
        <v>9608</v>
      </c>
      <c r="D2523" s="6">
        <v>10262</v>
      </c>
      <c r="E2523" s="6">
        <v>10131</v>
      </c>
      <c r="F2523" t="str">
        <f t="shared" si="1069"/>
        <v>WED</v>
      </c>
      <c r="G2523" s="3">
        <f t="shared" si="1070"/>
        <v>44006</v>
      </c>
      <c r="H2523" s="2">
        <f t="shared" ca="1" si="1071"/>
        <v>247</v>
      </c>
      <c r="I2523" t="str">
        <f t="shared" si="1072"/>
        <v>COMPQ</v>
      </c>
      <c r="J2523">
        <f t="shared" si="1073"/>
        <v>9608</v>
      </c>
      <c r="K2523">
        <f t="shared" si="1074"/>
        <v>10262</v>
      </c>
      <c r="L2523">
        <f t="shared" si="1075"/>
        <v>9935</v>
      </c>
      <c r="M2523">
        <f t="shared" si="1076"/>
        <v>327</v>
      </c>
      <c r="N2523">
        <f t="shared" si="1066"/>
        <v>654</v>
      </c>
      <c r="O2523">
        <f t="shared" si="1077"/>
        <v>10131</v>
      </c>
      <c r="P2523">
        <f t="shared" si="1078"/>
        <v>0.59938837920489296</v>
      </c>
      <c r="Q2523" t="str">
        <f t="shared" si="1067"/>
        <v>5.16% | 1.29%</v>
      </c>
      <c r="R2523" t="str">
        <f t="shared" si="1079"/>
        <v>BULLISH</v>
      </c>
      <c r="S2523">
        <f t="shared" si="1068"/>
        <v>1</v>
      </c>
    </row>
    <row r="2524" spans="1:19" hidden="1" x14ac:dyDescent="0.25">
      <c r="A2524" s="5" t="str">
        <f t="shared" si="1065"/>
        <v>44006XLK</v>
      </c>
      <c r="B2524" s="6" t="s">
        <v>10</v>
      </c>
      <c r="C2524" s="6">
        <v>98.13</v>
      </c>
      <c r="D2524" s="6">
        <v>105.98</v>
      </c>
      <c r="E2524" s="6">
        <v>104.63</v>
      </c>
      <c r="F2524" t="str">
        <f t="shared" si="1069"/>
        <v>WED</v>
      </c>
      <c r="G2524" s="3">
        <f t="shared" si="1070"/>
        <v>44006</v>
      </c>
      <c r="H2524" s="2">
        <f t="shared" ca="1" si="1071"/>
        <v>247</v>
      </c>
      <c r="I2524" t="str">
        <f t="shared" si="1072"/>
        <v>XLK</v>
      </c>
      <c r="J2524">
        <f t="shared" si="1073"/>
        <v>98.13</v>
      </c>
      <c r="K2524">
        <f t="shared" si="1074"/>
        <v>105.98</v>
      </c>
      <c r="L2524">
        <f t="shared" si="1075"/>
        <v>102.05500000000001</v>
      </c>
      <c r="M2524">
        <f t="shared" si="1076"/>
        <v>3.9250000000000043</v>
      </c>
      <c r="N2524">
        <f t="shared" si="1066"/>
        <v>7.8500000000000085</v>
      </c>
      <c r="O2524">
        <f t="shared" si="1077"/>
        <v>104.63</v>
      </c>
      <c r="P2524">
        <f t="shared" si="1078"/>
        <v>0.65605095541400915</v>
      </c>
      <c r="Q2524" t="str">
        <f t="shared" si="1067"/>
        <v>6.21% | 1.29%</v>
      </c>
      <c r="R2524" t="str">
        <f t="shared" si="1079"/>
        <v>BULLISH</v>
      </c>
      <c r="S2524">
        <f t="shared" si="1068"/>
        <v>1</v>
      </c>
    </row>
    <row r="2525" spans="1:19" hidden="1" x14ac:dyDescent="0.25">
      <c r="A2525" s="5" t="str">
        <f t="shared" si="1065"/>
        <v>44006XLRE</v>
      </c>
      <c r="B2525" s="6" t="s">
        <v>97</v>
      </c>
      <c r="C2525" s="6">
        <v>34.020000000000003</v>
      </c>
      <c r="D2525" s="6">
        <v>36.58</v>
      </c>
      <c r="E2525" s="6">
        <v>34.85</v>
      </c>
      <c r="F2525" t="str">
        <f t="shared" si="1069"/>
        <v>WED</v>
      </c>
      <c r="G2525" s="3">
        <f t="shared" si="1070"/>
        <v>44006</v>
      </c>
      <c r="H2525" s="2">
        <f t="shared" ca="1" si="1071"/>
        <v>247</v>
      </c>
      <c r="I2525" t="str">
        <f t="shared" si="1072"/>
        <v>XLRE</v>
      </c>
      <c r="J2525">
        <f t="shared" si="1073"/>
        <v>34.020000000000003</v>
      </c>
      <c r="K2525">
        <f t="shared" si="1074"/>
        <v>36.58</v>
      </c>
      <c r="L2525">
        <f t="shared" si="1075"/>
        <v>35.299999999999997</v>
      </c>
      <c r="M2525">
        <f t="shared" si="1076"/>
        <v>1.2799999999999976</v>
      </c>
      <c r="N2525">
        <f t="shared" si="1066"/>
        <v>2.5599999999999952</v>
      </c>
      <c r="O2525">
        <f t="shared" si="1077"/>
        <v>34.85</v>
      </c>
      <c r="P2525">
        <f t="shared" si="1078"/>
        <v>-0.35156249999999734</v>
      </c>
      <c r="Q2525" t="str">
        <f t="shared" si="1067"/>
        <v>2.38% | 4.96%</v>
      </c>
      <c r="R2525" t="str">
        <f t="shared" si="1079"/>
        <v>BULLISH</v>
      </c>
      <c r="S2525">
        <f t="shared" si="1068"/>
        <v>1</v>
      </c>
    </row>
    <row r="2526" spans="1:19" hidden="1" x14ac:dyDescent="0.25">
      <c r="A2526" s="5" t="str">
        <f t="shared" si="1065"/>
        <v>44006XLU</v>
      </c>
      <c r="B2526" s="6" t="s">
        <v>52</v>
      </c>
      <c r="C2526" s="6">
        <v>56.53</v>
      </c>
      <c r="D2526" s="6">
        <v>59.96</v>
      </c>
      <c r="E2526" s="6">
        <v>56.99</v>
      </c>
      <c r="F2526" t="str">
        <f t="shared" si="1069"/>
        <v>WED</v>
      </c>
      <c r="G2526" s="3">
        <f t="shared" si="1070"/>
        <v>44006</v>
      </c>
      <c r="H2526" s="2">
        <f t="shared" ca="1" si="1071"/>
        <v>247</v>
      </c>
      <c r="I2526" t="str">
        <f t="shared" si="1072"/>
        <v>XLU</v>
      </c>
      <c r="J2526">
        <f t="shared" si="1073"/>
        <v>56.53</v>
      </c>
      <c r="K2526">
        <f t="shared" si="1074"/>
        <v>59.96</v>
      </c>
      <c r="L2526">
        <f t="shared" si="1075"/>
        <v>58.245000000000005</v>
      </c>
      <c r="M2526">
        <f t="shared" si="1076"/>
        <v>1.7149999999999999</v>
      </c>
      <c r="N2526">
        <f t="shared" si="1066"/>
        <v>3.4299999999999997</v>
      </c>
      <c r="O2526">
        <f t="shared" si="1077"/>
        <v>56.99</v>
      </c>
      <c r="P2526">
        <f t="shared" si="1078"/>
        <v>-0.73177842565597828</v>
      </c>
      <c r="Q2526" t="str">
        <f t="shared" si="1067"/>
        <v>0.81% | 5.21%</v>
      </c>
      <c r="R2526" t="str">
        <f t="shared" si="1079"/>
        <v>BULLISH</v>
      </c>
      <c r="S2526">
        <f t="shared" si="1068"/>
        <v>1</v>
      </c>
    </row>
    <row r="2527" spans="1:19" hidden="1" x14ac:dyDescent="0.25">
      <c r="A2527" s="5" t="str">
        <f t="shared" si="1065"/>
        <v>44006XLF</v>
      </c>
      <c r="B2527" s="6" t="s">
        <v>12</v>
      </c>
      <c r="C2527" s="6">
        <v>22.4</v>
      </c>
      <c r="D2527" s="6">
        <v>24.75</v>
      </c>
      <c r="E2527" s="6">
        <v>23.82</v>
      </c>
      <c r="F2527" t="str">
        <f t="shared" si="1069"/>
        <v>WED</v>
      </c>
      <c r="G2527" s="3">
        <f t="shared" si="1070"/>
        <v>44006</v>
      </c>
      <c r="H2527" s="2">
        <f t="shared" ca="1" si="1071"/>
        <v>247</v>
      </c>
      <c r="I2527" t="str">
        <f t="shared" si="1072"/>
        <v>XLF</v>
      </c>
      <c r="J2527">
        <f t="shared" si="1073"/>
        <v>22.4</v>
      </c>
      <c r="K2527">
        <f t="shared" si="1074"/>
        <v>24.75</v>
      </c>
      <c r="L2527">
        <f t="shared" si="1075"/>
        <v>23.574999999999999</v>
      </c>
      <c r="M2527">
        <f t="shared" si="1076"/>
        <v>1.1750000000000007</v>
      </c>
      <c r="N2527">
        <f t="shared" si="1066"/>
        <v>2.3500000000000014</v>
      </c>
      <c r="O2527">
        <f t="shared" si="1077"/>
        <v>23.82</v>
      </c>
      <c r="P2527">
        <f t="shared" si="1078"/>
        <v>0.20851063829787306</v>
      </c>
      <c r="Q2527" t="str">
        <f t="shared" si="1067"/>
        <v>5.96% | 3.9%</v>
      </c>
      <c r="R2527" t="str">
        <f t="shared" si="1079"/>
        <v>BEARISH</v>
      </c>
      <c r="S2527">
        <f t="shared" si="1068"/>
        <v>-1</v>
      </c>
    </row>
    <row r="2528" spans="1:19" hidden="1" x14ac:dyDescent="0.25">
      <c r="A2528" s="5" t="str">
        <f t="shared" si="1065"/>
        <v>44006SSEC</v>
      </c>
      <c r="B2528" s="6" t="s">
        <v>104</v>
      </c>
      <c r="C2528" s="6">
        <v>2904</v>
      </c>
      <c r="D2528" s="6">
        <v>2999</v>
      </c>
      <c r="E2528" s="6">
        <v>2979</v>
      </c>
      <c r="F2528" t="str">
        <f t="shared" si="1069"/>
        <v>WED</v>
      </c>
      <c r="G2528" s="3">
        <f t="shared" si="1070"/>
        <v>44006</v>
      </c>
      <c r="H2528" s="2">
        <f t="shared" ca="1" si="1071"/>
        <v>247</v>
      </c>
      <c r="I2528" t="str">
        <f t="shared" si="1072"/>
        <v>SSEC</v>
      </c>
      <c r="J2528">
        <f t="shared" si="1073"/>
        <v>2904</v>
      </c>
      <c r="K2528">
        <f t="shared" si="1074"/>
        <v>2999</v>
      </c>
      <c r="L2528">
        <f t="shared" si="1075"/>
        <v>2951.5</v>
      </c>
      <c r="M2528">
        <f t="shared" si="1076"/>
        <v>47.5</v>
      </c>
      <c r="N2528">
        <f t="shared" si="1066"/>
        <v>95</v>
      </c>
      <c r="O2528">
        <f t="shared" si="1077"/>
        <v>2979</v>
      </c>
      <c r="P2528">
        <f t="shared" si="1078"/>
        <v>0.57894736842105265</v>
      </c>
      <c r="Q2528" t="str">
        <f t="shared" si="1067"/>
        <v>2.52% | 0.67%</v>
      </c>
      <c r="R2528" t="str">
        <f t="shared" si="1079"/>
        <v>BULLISH</v>
      </c>
      <c r="S2528">
        <f t="shared" si="1068"/>
        <v>1</v>
      </c>
    </row>
    <row r="2529" spans="1:19" hidden="1" x14ac:dyDescent="0.25">
      <c r="A2529" s="5" t="str">
        <f t="shared" si="1065"/>
        <v>44006NIKK</v>
      </c>
      <c r="B2529" s="6" t="s">
        <v>90</v>
      </c>
      <c r="C2529" s="6">
        <v>21708</v>
      </c>
      <c r="D2529" s="6">
        <v>22903</v>
      </c>
      <c r="E2529" s="6">
        <v>22534</v>
      </c>
      <c r="F2529" t="str">
        <f t="shared" si="1069"/>
        <v>WED</v>
      </c>
      <c r="G2529" s="3">
        <f t="shared" si="1070"/>
        <v>44006</v>
      </c>
      <c r="H2529" s="2">
        <f t="shared" ca="1" si="1071"/>
        <v>247</v>
      </c>
      <c r="I2529" t="str">
        <f t="shared" si="1072"/>
        <v>NIKK</v>
      </c>
      <c r="J2529">
        <f t="shared" si="1073"/>
        <v>21708</v>
      </c>
      <c r="K2529">
        <f t="shared" si="1074"/>
        <v>22903</v>
      </c>
      <c r="L2529">
        <f t="shared" si="1075"/>
        <v>22305.5</v>
      </c>
      <c r="M2529">
        <f t="shared" si="1076"/>
        <v>597.5</v>
      </c>
      <c r="N2529">
        <f t="shared" si="1066"/>
        <v>1195</v>
      </c>
      <c r="O2529">
        <f t="shared" si="1077"/>
        <v>22534</v>
      </c>
      <c r="P2529">
        <f t="shared" si="1078"/>
        <v>0.38242677824267785</v>
      </c>
      <c r="Q2529" t="str">
        <f t="shared" si="1067"/>
        <v>3.67% | 1.64%</v>
      </c>
      <c r="R2529" t="str">
        <f t="shared" si="1079"/>
        <v>NEUTRAL</v>
      </c>
      <c r="S2529">
        <f t="shared" si="1068"/>
        <v>0</v>
      </c>
    </row>
    <row r="2530" spans="1:19" hidden="1" x14ac:dyDescent="0.25">
      <c r="A2530" s="5" t="str">
        <f t="shared" si="1065"/>
        <v>44006DAX</v>
      </c>
      <c r="B2530" s="6" t="s">
        <v>16</v>
      </c>
      <c r="C2530" s="6">
        <v>11801</v>
      </c>
      <c r="D2530" s="6">
        <v>12615</v>
      </c>
      <c r="E2530" s="6">
        <v>12508</v>
      </c>
      <c r="F2530" t="str">
        <f t="shared" si="1069"/>
        <v>WED</v>
      </c>
      <c r="G2530" s="3">
        <f t="shared" si="1070"/>
        <v>44006</v>
      </c>
      <c r="H2530" s="2">
        <f t="shared" ca="1" si="1071"/>
        <v>247</v>
      </c>
      <c r="I2530" t="str">
        <f t="shared" si="1072"/>
        <v>DAX</v>
      </c>
      <c r="J2530">
        <f t="shared" si="1073"/>
        <v>11801</v>
      </c>
      <c r="K2530">
        <f t="shared" si="1074"/>
        <v>12615</v>
      </c>
      <c r="L2530">
        <f t="shared" si="1075"/>
        <v>12208</v>
      </c>
      <c r="M2530">
        <f t="shared" si="1076"/>
        <v>407</v>
      </c>
      <c r="N2530">
        <f t="shared" si="1066"/>
        <v>814</v>
      </c>
      <c r="O2530">
        <f t="shared" si="1077"/>
        <v>12508</v>
      </c>
      <c r="P2530">
        <f t="shared" si="1078"/>
        <v>0.73710073710073709</v>
      </c>
      <c r="Q2530" t="str">
        <f t="shared" si="1067"/>
        <v>5.65% | 0.86%</v>
      </c>
      <c r="R2530" t="str">
        <f t="shared" si="1079"/>
        <v>BEARISH</v>
      </c>
      <c r="S2530">
        <f t="shared" si="1068"/>
        <v>-1</v>
      </c>
    </row>
    <row r="2531" spans="1:19" hidden="1" x14ac:dyDescent="0.25">
      <c r="A2531" s="5" t="str">
        <f t="shared" si="1065"/>
        <v>44006VIX</v>
      </c>
      <c r="B2531" s="6" t="s">
        <v>17</v>
      </c>
      <c r="C2531" s="6">
        <v>29.01</v>
      </c>
      <c r="D2531" s="6">
        <v>40.729999999999997</v>
      </c>
      <c r="E2531" s="6">
        <v>31.37</v>
      </c>
      <c r="F2531" t="str">
        <f t="shared" si="1069"/>
        <v>WED</v>
      </c>
      <c r="G2531" s="3">
        <f t="shared" si="1070"/>
        <v>44006</v>
      </c>
      <c r="H2531" s="2">
        <f t="shared" ca="1" si="1071"/>
        <v>247</v>
      </c>
      <c r="I2531" t="str">
        <f t="shared" si="1072"/>
        <v>VIX</v>
      </c>
      <c r="J2531">
        <f t="shared" si="1073"/>
        <v>29.01</v>
      </c>
      <c r="K2531">
        <f t="shared" si="1074"/>
        <v>40.729999999999997</v>
      </c>
      <c r="L2531">
        <f t="shared" si="1075"/>
        <v>34.869999999999997</v>
      </c>
      <c r="M2531">
        <f t="shared" si="1076"/>
        <v>5.8600000000000207</v>
      </c>
      <c r="N2531">
        <f t="shared" si="1066"/>
        <v>11.719999999999995</v>
      </c>
      <c r="O2531">
        <f t="shared" si="1077"/>
        <v>31.37</v>
      </c>
      <c r="P2531">
        <f t="shared" si="1078"/>
        <v>-0.59726962457337607</v>
      </c>
      <c r="Q2531" t="str">
        <f t="shared" si="1067"/>
        <v>7.52% | 29.84%</v>
      </c>
      <c r="R2531" t="str">
        <f t="shared" si="1079"/>
        <v>BULLISH</v>
      </c>
      <c r="S2531">
        <f t="shared" si="1068"/>
        <v>1</v>
      </c>
    </row>
    <row r="2532" spans="1:19" hidden="1" x14ac:dyDescent="0.25">
      <c r="A2532" s="5" t="str">
        <f t="shared" si="1065"/>
        <v>44006USD</v>
      </c>
      <c r="B2532" s="6" t="s">
        <v>94</v>
      </c>
      <c r="C2532" s="6">
        <v>96.08</v>
      </c>
      <c r="D2532" s="6">
        <v>97.79</v>
      </c>
      <c r="E2532" s="6">
        <v>96.61</v>
      </c>
      <c r="F2532" t="str">
        <f t="shared" si="1069"/>
        <v>WED</v>
      </c>
      <c r="G2532" s="3">
        <f t="shared" si="1070"/>
        <v>44006</v>
      </c>
      <c r="H2532" s="2">
        <f t="shared" ca="1" si="1071"/>
        <v>247</v>
      </c>
      <c r="I2532" t="str">
        <f t="shared" si="1072"/>
        <v>USD</v>
      </c>
      <c r="J2532">
        <f t="shared" si="1073"/>
        <v>96.08</v>
      </c>
      <c r="K2532">
        <f t="shared" si="1074"/>
        <v>97.79</v>
      </c>
      <c r="L2532">
        <f t="shared" si="1075"/>
        <v>96.935000000000002</v>
      </c>
      <c r="M2532">
        <f t="shared" si="1076"/>
        <v>0.85500000000000398</v>
      </c>
      <c r="N2532">
        <f t="shared" si="1066"/>
        <v>1.710000000000008</v>
      </c>
      <c r="O2532">
        <f t="shared" si="1077"/>
        <v>96.61</v>
      </c>
      <c r="P2532">
        <f t="shared" si="1078"/>
        <v>-0.38011695906432902</v>
      </c>
      <c r="Q2532" t="str">
        <f t="shared" si="1067"/>
        <v>0.55% | 1.22%</v>
      </c>
      <c r="R2532" t="str">
        <f t="shared" si="1079"/>
        <v>BEARISH</v>
      </c>
      <c r="S2532">
        <f t="shared" si="1068"/>
        <v>-1</v>
      </c>
    </row>
    <row r="2533" spans="1:19" hidden="1" x14ac:dyDescent="0.25">
      <c r="A2533" s="5" t="str">
        <f t="shared" si="1065"/>
        <v>44006EUR/USD</v>
      </c>
      <c r="B2533" s="6" t="s">
        <v>77</v>
      </c>
      <c r="C2533" s="6">
        <v>1.1100000000000001</v>
      </c>
      <c r="D2533" s="6">
        <v>1.1299999999999999</v>
      </c>
      <c r="E2533" s="6">
        <v>1.1299999999999999</v>
      </c>
      <c r="F2533" t="str">
        <f t="shared" si="1069"/>
        <v>WED</v>
      </c>
      <c r="G2533" s="3">
        <f t="shared" si="1070"/>
        <v>44006</v>
      </c>
      <c r="H2533" s="2">
        <f t="shared" ca="1" si="1071"/>
        <v>247</v>
      </c>
      <c r="I2533" t="str">
        <f t="shared" si="1072"/>
        <v>EUR/USD</v>
      </c>
      <c r="J2533">
        <f t="shared" si="1073"/>
        <v>1.1100000000000001</v>
      </c>
      <c r="K2533">
        <f t="shared" si="1074"/>
        <v>1.1299999999999999</v>
      </c>
      <c r="L2533">
        <f t="shared" si="1075"/>
        <v>1.1200000000000001</v>
      </c>
      <c r="M2533">
        <f t="shared" si="1076"/>
        <v>9.9999999999998979E-3</v>
      </c>
      <c r="N2533">
        <f t="shared" si="1066"/>
        <v>1.9999999999999796E-2</v>
      </c>
      <c r="O2533">
        <f t="shared" si="1077"/>
        <v>1.1299999999999999</v>
      </c>
      <c r="P2533">
        <f t="shared" si="1078"/>
        <v>0.9999999999999889</v>
      </c>
      <c r="Q2533" t="str">
        <f t="shared" si="1067"/>
        <v>1.77% | 0%</v>
      </c>
      <c r="R2533" t="str">
        <f t="shared" si="1079"/>
        <v>NEUTRAL</v>
      </c>
      <c r="S2533">
        <f t="shared" si="1068"/>
        <v>0</v>
      </c>
    </row>
    <row r="2534" spans="1:19" hidden="1" x14ac:dyDescent="0.25">
      <c r="A2534" s="5" t="str">
        <f t="shared" si="1065"/>
        <v>44006USD/JPY</v>
      </c>
      <c r="B2534" s="6" t="s">
        <v>20</v>
      </c>
      <c r="C2534" s="6">
        <v>106.24</v>
      </c>
      <c r="D2534" s="6">
        <v>109</v>
      </c>
      <c r="E2534" s="6">
        <v>106.54</v>
      </c>
      <c r="F2534" t="str">
        <f t="shared" si="1069"/>
        <v>WED</v>
      </c>
      <c r="G2534" s="3">
        <f t="shared" si="1070"/>
        <v>44006</v>
      </c>
      <c r="H2534" s="2">
        <f t="shared" ca="1" si="1071"/>
        <v>247</v>
      </c>
      <c r="I2534" t="str">
        <f t="shared" si="1072"/>
        <v>USD/JPY</v>
      </c>
      <c r="J2534">
        <f t="shared" si="1073"/>
        <v>106.24</v>
      </c>
      <c r="K2534">
        <f t="shared" si="1074"/>
        <v>109</v>
      </c>
      <c r="L2534">
        <f t="shared" si="1075"/>
        <v>107.62</v>
      </c>
      <c r="M2534">
        <f t="shared" si="1076"/>
        <v>1.3800000000000026</v>
      </c>
      <c r="N2534">
        <f t="shared" si="1066"/>
        <v>2.7600000000000051</v>
      </c>
      <c r="O2534">
        <f t="shared" si="1077"/>
        <v>106.54</v>
      </c>
      <c r="P2534">
        <f t="shared" si="1078"/>
        <v>-0.78260869565217117</v>
      </c>
      <c r="Q2534" t="str">
        <f t="shared" si="1067"/>
        <v>0.28% | 2.31%</v>
      </c>
      <c r="R2534" t="str">
        <f t="shared" si="1079"/>
        <v>BEARISH</v>
      </c>
      <c r="S2534">
        <f t="shared" si="1068"/>
        <v>-1</v>
      </c>
    </row>
    <row r="2535" spans="1:19" hidden="1" x14ac:dyDescent="0.25">
      <c r="A2535" s="5" t="str">
        <f t="shared" si="1065"/>
        <v>44006GBP/USD</v>
      </c>
      <c r="B2535" s="6" t="s">
        <v>79</v>
      </c>
      <c r="C2535" s="6">
        <v>1.23</v>
      </c>
      <c r="D2535" s="6">
        <v>1.27</v>
      </c>
      <c r="E2535" s="6">
        <v>1.25</v>
      </c>
      <c r="F2535" t="str">
        <f t="shared" si="1069"/>
        <v>WED</v>
      </c>
      <c r="G2535" s="3">
        <f t="shared" si="1070"/>
        <v>44006</v>
      </c>
      <c r="H2535" s="2">
        <f t="shared" ca="1" si="1071"/>
        <v>247</v>
      </c>
      <c r="I2535" t="str">
        <f t="shared" si="1072"/>
        <v>GBP/USD</v>
      </c>
      <c r="J2535">
        <f t="shared" si="1073"/>
        <v>1.23</v>
      </c>
      <c r="K2535">
        <f t="shared" si="1074"/>
        <v>1.27</v>
      </c>
      <c r="L2535">
        <f t="shared" si="1075"/>
        <v>1.25</v>
      </c>
      <c r="M2535">
        <f t="shared" si="1076"/>
        <v>2.0000000000000018E-2</v>
      </c>
      <c r="N2535">
        <f t="shared" si="1066"/>
        <v>4.0000000000000036E-2</v>
      </c>
      <c r="O2535">
        <f t="shared" si="1077"/>
        <v>1.25</v>
      </c>
      <c r="P2535">
        <f t="shared" si="1078"/>
        <v>0</v>
      </c>
      <c r="Q2535" t="str">
        <f t="shared" si="1067"/>
        <v>1.6% | 1.6%</v>
      </c>
      <c r="R2535" t="str">
        <f t="shared" si="1079"/>
        <v>NEUTRAL</v>
      </c>
      <c r="S2535">
        <f t="shared" si="1068"/>
        <v>0</v>
      </c>
    </row>
    <row r="2536" spans="1:19" hidden="1" x14ac:dyDescent="0.25">
      <c r="A2536" s="5" t="str">
        <f t="shared" si="1065"/>
        <v>44006USD/CHF</v>
      </c>
      <c r="B2536" s="6" t="s">
        <v>76</v>
      </c>
      <c r="C2536" s="6">
        <v>0.94</v>
      </c>
      <c r="D2536" s="6">
        <v>0.96</v>
      </c>
      <c r="E2536" s="6">
        <v>0.94</v>
      </c>
      <c r="F2536" t="str">
        <f t="shared" si="1069"/>
        <v>WED</v>
      </c>
      <c r="G2536" s="3">
        <f t="shared" si="1070"/>
        <v>44006</v>
      </c>
      <c r="H2536" s="2">
        <f t="shared" ca="1" si="1071"/>
        <v>247</v>
      </c>
      <c r="I2536" t="str">
        <f t="shared" si="1072"/>
        <v>USD/CHF</v>
      </c>
      <c r="J2536">
        <f t="shared" si="1073"/>
        <v>0.94</v>
      </c>
      <c r="K2536">
        <f t="shared" si="1074"/>
        <v>0.96</v>
      </c>
      <c r="L2536">
        <f t="shared" si="1075"/>
        <v>0.95</v>
      </c>
      <c r="M2536">
        <f t="shared" si="1076"/>
        <v>1.0000000000000009E-2</v>
      </c>
      <c r="N2536">
        <f t="shared" si="1066"/>
        <v>2.0000000000000018E-2</v>
      </c>
      <c r="O2536">
        <f t="shared" si="1077"/>
        <v>0.94</v>
      </c>
      <c r="P2536">
        <f t="shared" si="1078"/>
        <v>-1</v>
      </c>
      <c r="Q2536" t="str">
        <f t="shared" si="1067"/>
        <v>0% | 2.13%</v>
      </c>
      <c r="R2536" t="str">
        <f t="shared" si="1079"/>
        <v>BEARISH</v>
      </c>
      <c r="S2536">
        <f t="shared" si="1068"/>
        <v>-1</v>
      </c>
    </row>
    <row r="2537" spans="1:19" hidden="1" x14ac:dyDescent="0.25">
      <c r="A2537" s="5" t="str">
        <f t="shared" si="1065"/>
        <v>44006WTIC</v>
      </c>
      <c r="B2537" s="6" t="s">
        <v>103</v>
      </c>
      <c r="C2537" s="6">
        <v>35.72</v>
      </c>
      <c r="D2537" s="6">
        <v>41.72</v>
      </c>
      <c r="E2537" s="6">
        <v>40.369999999999997</v>
      </c>
      <c r="F2537" t="str">
        <f t="shared" si="1069"/>
        <v>WED</v>
      </c>
      <c r="G2537" s="3">
        <f t="shared" si="1070"/>
        <v>44006</v>
      </c>
      <c r="H2537" s="2">
        <f t="shared" ca="1" si="1071"/>
        <v>247</v>
      </c>
      <c r="I2537" t="str">
        <f t="shared" si="1072"/>
        <v>WTIC</v>
      </c>
      <c r="J2537">
        <f t="shared" si="1073"/>
        <v>35.72</v>
      </c>
      <c r="K2537">
        <f t="shared" si="1074"/>
        <v>41.72</v>
      </c>
      <c r="L2537">
        <f t="shared" si="1075"/>
        <v>38.72</v>
      </c>
      <c r="M2537">
        <f t="shared" si="1076"/>
        <v>3</v>
      </c>
      <c r="N2537">
        <f t="shared" si="1066"/>
        <v>6</v>
      </c>
      <c r="O2537">
        <f t="shared" si="1077"/>
        <v>40.369999999999997</v>
      </c>
      <c r="P2537">
        <f t="shared" si="1078"/>
        <v>0.54999999999999949</v>
      </c>
      <c r="Q2537" t="str">
        <f t="shared" si="1067"/>
        <v>11.52% | 3.34%</v>
      </c>
      <c r="R2537" t="str">
        <f t="shared" si="1079"/>
        <v>NEUTRAL</v>
      </c>
      <c r="S2537">
        <f t="shared" si="1068"/>
        <v>0</v>
      </c>
    </row>
    <row r="2538" spans="1:19" hidden="1" x14ac:dyDescent="0.25">
      <c r="A2538" s="5" t="str">
        <f t="shared" si="1065"/>
        <v>44006NATGAS</v>
      </c>
      <c r="B2538" s="6" t="s">
        <v>24</v>
      </c>
      <c r="C2538" s="6">
        <v>1.56</v>
      </c>
      <c r="D2538" s="6">
        <v>1.8</v>
      </c>
      <c r="E2538" s="6">
        <v>1.69</v>
      </c>
      <c r="F2538" t="str">
        <f t="shared" si="1069"/>
        <v>WED</v>
      </c>
      <c r="G2538" s="3">
        <f t="shared" si="1070"/>
        <v>44006</v>
      </c>
      <c r="H2538" s="2">
        <f t="shared" ca="1" si="1071"/>
        <v>247</v>
      </c>
      <c r="I2538" t="str">
        <f t="shared" si="1072"/>
        <v>NATGAS</v>
      </c>
      <c r="J2538">
        <f t="shared" si="1073"/>
        <v>1.56</v>
      </c>
      <c r="K2538">
        <f t="shared" si="1074"/>
        <v>1.8</v>
      </c>
      <c r="L2538">
        <f t="shared" si="1075"/>
        <v>1.6800000000000002</v>
      </c>
      <c r="M2538">
        <f t="shared" si="1076"/>
        <v>0.12</v>
      </c>
      <c r="N2538">
        <f t="shared" si="1066"/>
        <v>0.24</v>
      </c>
      <c r="O2538">
        <f t="shared" si="1077"/>
        <v>1.69</v>
      </c>
      <c r="P2538">
        <f t="shared" si="1078"/>
        <v>8.3333333333331566E-2</v>
      </c>
      <c r="Q2538" t="str">
        <f t="shared" si="1067"/>
        <v>7.69% | 6.51%</v>
      </c>
      <c r="R2538" t="str">
        <f t="shared" si="1079"/>
        <v>BEARISH</v>
      </c>
      <c r="S2538">
        <f t="shared" si="1068"/>
        <v>-1</v>
      </c>
    </row>
    <row r="2539" spans="1:19" hidden="1" x14ac:dyDescent="0.25">
      <c r="A2539" s="5" t="str">
        <f t="shared" si="1065"/>
        <v>44006GOLD</v>
      </c>
      <c r="B2539" s="6" t="s">
        <v>25</v>
      </c>
      <c r="C2539" s="6">
        <v>1732</v>
      </c>
      <c r="D2539" s="6">
        <v>1799</v>
      </c>
      <c r="E2539" s="6">
        <v>1782</v>
      </c>
      <c r="F2539" t="str">
        <f t="shared" si="1069"/>
        <v>WED</v>
      </c>
      <c r="G2539" s="3">
        <f t="shared" si="1070"/>
        <v>44006</v>
      </c>
      <c r="H2539" s="2">
        <f t="shared" ca="1" si="1071"/>
        <v>247</v>
      </c>
      <c r="I2539" t="str">
        <f t="shared" si="1072"/>
        <v>GOLD</v>
      </c>
      <c r="J2539">
        <f t="shared" si="1073"/>
        <v>1732</v>
      </c>
      <c r="K2539">
        <f t="shared" si="1074"/>
        <v>1799</v>
      </c>
      <c r="L2539">
        <f t="shared" si="1075"/>
        <v>1765.5</v>
      </c>
      <c r="M2539">
        <f t="shared" si="1076"/>
        <v>33.5</v>
      </c>
      <c r="N2539">
        <f t="shared" si="1066"/>
        <v>67</v>
      </c>
      <c r="O2539">
        <f t="shared" si="1077"/>
        <v>1782</v>
      </c>
      <c r="P2539">
        <f t="shared" si="1078"/>
        <v>0.4925373134328358</v>
      </c>
      <c r="Q2539" t="str">
        <f t="shared" si="1067"/>
        <v>2.81% | 0.95%</v>
      </c>
      <c r="R2539" t="str">
        <f t="shared" si="1079"/>
        <v>BULLISH</v>
      </c>
      <c r="S2539">
        <f t="shared" si="1068"/>
        <v>1</v>
      </c>
    </row>
    <row r="2540" spans="1:19" hidden="1" x14ac:dyDescent="0.25">
      <c r="A2540" s="5" t="str">
        <f t="shared" si="1065"/>
        <v>44006COPPER</v>
      </c>
      <c r="B2540" s="6" t="s">
        <v>100</v>
      </c>
      <c r="C2540" s="6">
        <v>2.54</v>
      </c>
      <c r="D2540" s="6">
        <v>2.67</v>
      </c>
      <c r="E2540" s="6">
        <v>2.66</v>
      </c>
      <c r="F2540" t="str">
        <f t="shared" si="1069"/>
        <v>WED</v>
      </c>
      <c r="G2540" s="3">
        <f t="shared" si="1070"/>
        <v>44006</v>
      </c>
      <c r="H2540" s="2">
        <f t="shared" ca="1" si="1071"/>
        <v>247</v>
      </c>
      <c r="I2540" t="str">
        <f t="shared" si="1072"/>
        <v>COPPER</v>
      </c>
      <c r="J2540">
        <f t="shared" si="1073"/>
        <v>2.54</v>
      </c>
      <c r="K2540">
        <f t="shared" si="1074"/>
        <v>2.67</v>
      </c>
      <c r="L2540">
        <f t="shared" si="1075"/>
        <v>2.605</v>
      </c>
      <c r="M2540">
        <f t="shared" si="1076"/>
        <v>6.4999999999999947E-2</v>
      </c>
      <c r="N2540">
        <f t="shared" si="1066"/>
        <v>0.12999999999999989</v>
      </c>
      <c r="O2540">
        <f t="shared" si="1077"/>
        <v>2.66</v>
      </c>
      <c r="P2540">
        <f t="shared" si="1078"/>
        <v>0.84615384615384925</v>
      </c>
      <c r="Q2540" t="str">
        <f t="shared" si="1067"/>
        <v>4.51% | 0.38%</v>
      </c>
      <c r="R2540" t="str">
        <f t="shared" si="1079"/>
        <v>BULLISH</v>
      </c>
      <c r="S2540">
        <f t="shared" si="1068"/>
        <v>1</v>
      </c>
    </row>
    <row r="2541" spans="1:19" hidden="1" x14ac:dyDescent="0.25">
      <c r="A2541" s="5" t="str">
        <f t="shared" si="1065"/>
        <v>44006MSFT</v>
      </c>
      <c r="B2541" s="6" t="s">
        <v>27</v>
      </c>
      <c r="C2541" s="6">
        <v>188</v>
      </c>
      <c r="D2541" s="6">
        <v>204</v>
      </c>
      <c r="E2541" s="6">
        <v>201</v>
      </c>
      <c r="F2541" t="str">
        <f t="shared" si="1069"/>
        <v>WED</v>
      </c>
      <c r="G2541" s="3">
        <f t="shared" si="1070"/>
        <v>44006</v>
      </c>
      <c r="H2541" s="2">
        <f t="shared" ca="1" si="1071"/>
        <v>247</v>
      </c>
      <c r="I2541" t="str">
        <f t="shared" si="1072"/>
        <v>MSFT</v>
      </c>
      <c r="J2541">
        <f t="shared" si="1073"/>
        <v>188</v>
      </c>
      <c r="K2541">
        <f t="shared" si="1074"/>
        <v>204</v>
      </c>
      <c r="L2541">
        <f t="shared" si="1075"/>
        <v>196</v>
      </c>
      <c r="M2541">
        <f t="shared" si="1076"/>
        <v>8</v>
      </c>
      <c r="N2541">
        <f t="shared" si="1066"/>
        <v>16</v>
      </c>
      <c r="O2541">
        <f t="shared" si="1077"/>
        <v>201</v>
      </c>
      <c r="P2541">
        <f t="shared" si="1078"/>
        <v>0.625</v>
      </c>
      <c r="Q2541" t="str">
        <f t="shared" si="1067"/>
        <v>6.47% | 1.49%</v>
      </c>
      <c r="R2541" t="str">
        <f t="shared" si="1079"/>
        <v>BULLISH</v>
      </c>
      <c r="S2541">
        <f t="shared" si="1068"/>
        <v>1</v>
      </c>
    </row>
    <row r="2542" spans="1:19" hidden="1" x14ac:dyDescent="0.25">
      <c r="A2542" s="5" t="str">
        <f t="shared" si="1065"/>
        <v>44006AAPL</v>
      </c>
      <c r="B2542" s="6" t="s">
        <v>28</v>
      </c>
      <c r="C2542" s="6">
        <v>333</v>
      </c>
      <c r="D2542" s="6">
        <v>369</v>
      </c>
      <c r="E2542" s="6">
        <v>366</v>
      </c>
      <c r="F2542" t="str">
        <f t="shared" si="1069"/>
        <v>WED</v>
      </c>
      <c r="G2542" s="3">
        <f t="shared" si="1070"/>
        <v>44006</v>
      </c>
      <c r="H2542" s="2">
        <f t="shared" ca="1" si="1071"/>
        <v>247</v>
      </c>
      <c r="I2542" t="str">
        <f t="shared" si="1072"/>
        <v>AAPL</v>
      </c>
      <c r="J2542">
        <f t="shared" si="1073"/>
        <v>333</v>
      </c>
      <c r="K2542">
        <f t="shared" si="1074"/>
        <v>369</v>
      </c>
      <c r="L2542">
        <f t="shared" si="1075"/>
        <v>351</v>
      </c>
      <c r="M2542">
        <f t="shared" si="1076"/>
        <v>18</v>
      </c>
      <c r="N2542">
        <f t="shared" si="1066"/>
        <v>36</v>
      </c>
      <c r="O2542">
        <f t="shared" si="1077"/>
        <v>366</v>
      </c>
      <c r="P2542">
        <f t="shared" si="1078"/>
        <v>0.83333333333333337</v>
      </c>
      <c r="Q2542" t="str">
        <f t="shared" si="1067"/>
        <v>9.02% | 0.82%</v>
      </c>
      <c r="R2542" t="str">
        <f t="shared" si="1079"/>
        <v>BULLISH</v>
      </c>
      <c r="S2542">
        <f t="shared" si="1068"/>
        <v>1</v>
      </c>
    </row>
    <row r="2543" spans="1:19" hidden="1" x14ac:dyDescent="0.25">
      <c r="A2543" s="5" t="str">
        <f t="shared" si="1065"/>
        <v>44006AMZN</v>
      </c>
      <c r="B2543" s="6" t="s">
        <v>29</v>
      </c>
      <c r="C2543" s="6">
        <v>2540</v>
      </c>
      <c r="D2543" s="6">
        <v>2779</v>
      </c>
      <c r="E2543" s="6">
        <v>2764</v>
      </c>
      <c r="F2543" t="str">
        <f t="shared" si="1069"/>
        <v>WED</v>
      </c>
      <c r="G2543" s="3">
        <f t="shared" si="1070"/>
        <v>44006</v>
      </c>
      <c r="H2543" s="2">
        <f t="shared" ca="1" si="1071"/>
        <v>247</v>
      </c>
      <c r="I2543" t="str">
        <f t="shared" si="1072"/>
        <v>AMZN</v>
      </c>
      <c r="J2543">
        <f t="shared" si="1073"/>
        <v>2540</v>
      </c>
      <c r="K2543">
        <f t="shared" si="1074"/>
        <v>2779</v>
      </c>
      <c r="L2543">
        <f t="shared" si="1075"/>
        <v>2659.5</v>
      </c>
      <c r="M2543">
        <f t="shared" si="1076"/>
        <v>119.5</v>
      </c>
      <c r="N2543">
        <f t="shared" si="1066"/>
        <v>239</v>
      </c>
      <c r="O2543">
        <f t="shared" si="1077"/>
        <v>2764</v>
      </c>
      <c r="P2543">
        <f t="shared" si="1078"/>
        <v>0.87447698744769875</v>
      </c>
      <c r="Q2543" t="str">
        <f t="shared" si="1067"/>
        <v>8.1% | 0.54%</v>
      </c>
      <c r="R2543" t="str">
        <f t="shared" si="1079"/>
        <v>BULLISH</v>
      </c>
      <c r="S2543">
        <f t="shared" si="1068"/>
        <v>1</v>
      </c>
    </row>
    <row r="2544" spans="1:19" hidden="1" x14ac:dyDescent="0.25">
      <c r="A2544" s="5" t="str">
        <f t="shared" si="1065"/>
        <v>44006FB</v>
      </c>
      <c r="B2544" s="6" t="s">
        <v>30</v>
      </c>
      <c r="C2544" s="6">
        <v>226</v>
      </c>
      <c r="D2544" s="6">
        <v>246</v>
      </c>
      <c r="E2544" s="6">
        <v>242</v>
      </c>
      <c r="F2544" t="str">
        <f t="shared" si="1069"/>
        <v>WED</v>
      </c>
      <c r="G2544" s="3">
        <f t="shared" si="1070"/>
        <v>44006</v>
      </c>
      <c r="H2544" s="2">
        <f t="shared" ca="1" si="1071"/>
        <v>247</v>
      </c>
      <c r="I2544" t="str">
        <f t="shared" si="1072"/>
        <v>FB</v>
      </c>
      <c r="J2544">
        <f t="shared" si="1073"/>
        <v>226</v>
      </c>
      <c r="K2544">
        <f t="shared" si="1074"/>
        <v>246</v>
      </c>
      <c r="L2544">
        <f t="shared" si="1075"/>
        <v>236</v>
      </c>
      <c r="M2544">
        <f t="shared" si="1076"/>
        <v>10</v>
      </c>
      <c r="N2544">
        <f t="shared" si="1066"/>
        <v>20</v>
      </c>
      <c r="O2544">
        <f t="shared" si="1077"/>
        <v>242</v>
      </c>
      <c r="P2544">
        <f t="shared" si="1078"/>
        <v>0.6</v>
      </c>
      <c r="Q2544" t="str">
        <f t="shared" si="1067"/>
        <v>6.61% | 1.65%</v>
      </c>
      <c r="R2544" t="str">
        <f t="shared" si="1079"/>
        <v>BULLISH</v>
      </c>
      <c r="S2544">
        <f t="shared" si="1068"/>
        <v>1</v>
      </c>
    </row>
    <row r="2545" spans="1:19" hidden="1" x14ac:dyDescent="0.25">
      <c r="A2545" s="5" t="str">
        <f t="shared" si="1065"/>
        <v>44006GOOGL</v>
      </c>
      <c r="B2545" s="6" t="s">
        <v>31</v>
      </c>
      <c r="C2545" s="6">
        <v>1396</v>
      </c>
      <c r="D2545" s="6">
        <v>1474</v>
      </c>
      <c r="E2545" s="6">
        <v>1463</v>
      </c>
      <c r="F2545" t="str">
        <f t="shared" si="1069"/>
        <v>WED</v>
      </c>
      <c r="G2545" s="3">
        <f t="shared" si="1070"/>
        <v>44006</v>
      </c>
      <c r="H2545" s="2">
        <f t="shared" ca="1" si="1071"/>
        <v>247</v>
      </c>
      <c r="I2545" t="str">
        <f t="shared" si="1072"/>
        <v>GOOGL</v>
      </c>
      <c r="J2545">
        <f t="shared" si="1073"/>
        <v>1396</v>
      </c>
      <c r="K2545">
        <f t="shared" si="1074"/>
        <v>1474</v>
      </c>
      <c r="L2545">
        <f t="shared" si="1075"/>
        <v>1435</v>
      </c>
      <c r="M2545">
        <f t="shared" si="1076"/>
        <v>39</v>
      </c>
      <c r="N2545">
        <f t="shared" si="1066"/>
        <v>78</v>
      </c>
      <c r="O2545">
        <f t="shared" si="1077"/>
        <v>1463</v>
      </c>
      <c r="P2545">
        <f t="shared" si="1078"/>
        <v>0.71794871794871795</v>
      </c>
      <c r="Q2545" t="str">
        <f t="shared" si="1067"/>
        <v>4.58% | 0.75%</v>
      </c>
      <c r="R2545" t="str">
        <f t="shared" si="1079"/>
        <v>BULLISH</v>
      </c>
      <c r="S2545">
        <f t="shared" si="1068"/>
        <v>1</v>
      </c>
    </row>
    <row r="2546" spans="1:19" hidden="1" x14ac:dyDescent="0.25">
      <c r="A2546" s="5" t="str">
        <f t="shared" si="1065"/>
        <v>44006NFLX</v>
      </c>
      <c r="B2546" s="6" t="s">
        <v>32</v>
      </c>
      <c r="C2546" s="6">
        <v>411</v>
      </c>
      <c r="D2546" s="6">
        <v>481</v>
      </c>
      <c r="E2546" s="6">
        <v>466</v>
      </c>
      <c r="F2546" t="str">
        <f t="shared" si="1069"/>
        <v>WED</v>
      </c>
      <c r="G2546" s="3">
        <f t="shared" si="1070"/>
        <v>44006</v>
      </c>
      <c r="H2546" s="2">
        <f t="shared" ca="1" si="1071"/>
        <v>247</v>
      </c>
      <c r="I2546" t="str">
        <f t="shared" si="1072"/>
        <v>NFLX</v>
      </c>
      <c r="J2546">
        <f t="shared" si="1073"/>
        <v>411</v>
      </c>
      <c r="K2546">
        <f t="shared" si="1074"/>
        <v>481</v>
      </c>
      <c r="L2546">
        <f t="shared" si="1075"/>
        <v>446</v>
      </c>
      <c r="M2546">
        <f t="shared" si="1076"/>
        <v>35</v>
      </c>
      <c r="N2546">
        <f t="shared" si="1066"/>
        <v>70</v>
      </c>
      <c r="O2546">
        <f t="shared" si="1077"/>
        <v>466</v>
      </c>
      <c r="P2546">
        <f t="shared" si="1078"/>
        <v>0.5714285714285714</v>
      </c>
      <c r="Q2546" t="str">
        <f t="shared" si="1067"/>
        <v>11.8% | 3.22%</v>
      </c>
      <c r="R2546" t="str">
        <f t="shared" si="1079"/>
        <v>BULLISH</v>
      </c>
      <c r="S2546">
        <f t="shared" si="1068"/>
        <v>1</v>
      </c>
    </row>
    <row r="2547" spans="1:19" x14ac:dyDescent="0.25">
      <c r="A2547" s="5" t="str">
        <f t="shared" si="1065"/>
        <v>44006TSLA</v>
      </c>
      <c r="B2547" s="6" t="s">
        <v>33</v>
      </c>
      <c r="C2547" s="6">
        <v>941</v>
      </c>
      <c r="D2547" s="6">
        <v>1027</v>
      </c>
      <c r="E2547" s="6">
        <v>1001</v>
      </c>
      <c r="F2547" t="str">
        <f t="shared" si="1069"/>
        <v>WED</v>
      </c>
      <c r="G2547" s="3">
        <f t="shared" si="1070"/>
        <v>44006</v>
      </c>
      <c r="H2547" s="2">
        <f t="shared" ca="1" si="1071"/>
        <v>247</v>
      </c>
      <c r="I2547" t="str">
        <f t="shared" si="1072"/>
        <v>TSLA</v>
      </c>
      <c r="J2547">
        <f t="shared" si="1073"/>
        <v>941</v>
      </c>
      <c r="K2547">
        <f t="shared" si="1074"/>
        <v>1027</v>
      </c>
      <c r="L2547">
        <f t="shared" si="1075"/>
        <v>984</v>
      </c>
      <c r="M2547">
        <f t="shared" si="1076"/>
        <v>43</v>
      </c>
      <c r="N2547">
        <f t="shared" si="1066"/>
        <v>86</v>
      </c>
      <c r="O2547">
        <f t="shared" si="1077"/>
        <v>1001</v>
      </c>
      <c r="P2547">
        <f t="shared" si="1078"/>
        <v>0.39534883720930231</v>
      </c>
      <c r="Q2547" t="str">
        <f t="shared" si="1067"/>
        <v>5.99% | 2.6%</v>
      </c>
      <c r="R2547" t="str">
        <f t="shared" si="1079"/>
        <v>BULLISH</v>
      </c>
      <c r="S2547">
        <f t="shared" si="1068"/>
        <v>1</v>
      </c>
    </row>
    <row r="2548" spans="1:19" hidden="1" x14ac:dyDescent="0.25">
      <c r="A2548" s="5" t="str">
        <f t="shared" si="1065"/>
        <v>44006NYXBT</v>
      </c>
      <c r="B2548" s="6" t="s">
        <v>34</v>
      </c>
      <c r="C2548" s="6">
        <v>9199</v>
      </c>
      <c r="D2548" s="6">
        <v>9705</v>
      </c>
      <c r="E2548" s="6">
        <v>9649</v>
      </c>
      <c r="F2548" t="str">
        <f t="shared" si="1069"/>
        <v>WED</v>
      </c>
      <c r="G2548" s="3">
        <f t="shared" si="1070"/>
        <v>44006</v>
      </c>
      <c r="H2548" s="2">
        <f t="shared" ca="1" si="1071"/>
        <v>247</v>
      </c>
      <c r="I2548" t="str">
        <f t="shared" si="1072"/>
        <v>NYXBT</v>
      </c>
      <c r="J2548">
        <f t="shared" si="1073"/>
        <v>9199</v>
      </c>
      <c r="K2548">
        <f t="shared" si="1074"/>
        <v>9705</v>
      </c>
      <c r="L2548">
        <f t="shared" si="1075"/>
        <v>9452</v>
      </c>
      <c r="M2548">
        <f t="shared" si="1076"/>
        <v>253</v>
      </c>
      <c r="N2548">
        <f t="shared" si="1066"/>
        <v>506</v>
      </c>
      <c r="O2548">
        <f t="shared" si="1077"/>
        <v>9649</v>
      </c>
      <c r="P2548">
        <f t="shared" si="1078"/>
        <v>0.77865612648221338</v>
      </c>
      <c r="Q2548" t="str">
        <f t="shared" si="1067"/>
        <v>4.66% | 0.58%</v>
      </c>
      <c r="R2548" t="str">
        <f t="shared" si="1079"/>
        <v>BULLISH</v>
      </c>
      <c r="S2548">
        <f t="shared" si="1068"/>
        <v>1</v>
      </c>
    </row>
    <row r="2549" spans="1:19" hidden="1" x14ac:dyDescent="0.25">
      <c r="A2549" s="5" t="str">
        <f t="shared" si="1065"/>
        <v>44007UST10Y</v>
      </c>
      <c r="B2549" s="6" t="s">
        <v>4</v>
      </c>
      <c r="C2549" s="6">
        <v>0.75</v>
      </c>
      <c r="D2549" s="6">
        <v>0.64</v>
      </c>
      <c r="E2549" s="6">
        <v>0.69</v>
      </c>
      <c r="F2549" t="str">
        <f t="shared" si="1069"/>
        <v>THU</v>
      </c>
      <c r="G2549" s="1">
        <f>DATE(2020,6,25)</f>
        <v>44007</v>
      </c>
      <c r="H2549" s="2">
        <f t="shared" ca="1" si="1071"/>
        <v>246</v>
      </c>
      <c r="I2549" t="str">
        <f t="shared" si="1072"/>
        <v>UST10Y</v>
      </c>
      <c r="J2549">
        <f t="shared" si="1073"/>
        <v>0.75</v>
      </c>
      <c r="K2549">
        <f t="shared" si="1074"/>
        <v>0.64</v>
      </c>
      <c r="L2549">
        <f t="shared" si="1075"/>
        <v>0.69500000000000006</v>
      </c>
      <c r="M2549">
        <f t="shared" si="1076"/>
        <v>5.4999999999999993E-2</v>
      </c>
      <c r="N2549">
        <f t="shared" si="1066"/>
        <v>0.10999999999999999</v>
      </c>
      <c r="O2549">
        <f t="shared" si="1077"/>
        <v>0.69</v>
      </c>
      <c r="P2549">
        <f t="shared" si="1078"/>
        <v>-9.0909090909093021E-2</v>
      </c>
      <c r="Q2549" t="str">
        <f t="shared" si="1067"/>
        <v>8.7% | 7.25%</v>
      </c>
      <c r="R2549" t="str">
        <f t="shared" si="1079"/>
        <v>BEARISH</v>
      </c>
      <c r="S2549">
        <f t="shared" si="1068"/>
        <v>-1</v>
      </c>
    </row>
    <row r="2550" spans="1:19" hidden="1" x14ac:dyDescent="0.25">
      <c r="A2550" s="5" t="str">
        <f t="shared" si="1065"/>
        <v>44007UST2Y</v>
      </c>
      <c r="B2550" s="6" t="s">
        <v>5</v>
      </c>
      <c r="C2550" s="6">
        <v>0.2</v>
      </c>
      <c r="D2550" s="6">
        <v>0.15</v>
      </c>
      <c r="E2550" s="6">
        <v>0.19</v>
      </c>
      <c r="F2550" t="str">
        <f t="shared" ref="F2550:F2579" si="1080">UPPER(TEXT(G2550,"ddd"))</f>
        <v>THU</v>
      </c>
      <c r="G2550" s="1">
        <f t="shared" ref="G2550:G2578" si="1081">DATE(2020,6,25)</f>
        <v>44007</v>
      </c>
      <c r="H2550" s="2">
        <f t="shared" ref="H2550:H2579" ca="1" si="1082">TODAY()-G2550</f>
        <v>246</v>
      </c>
      <c r="I2550" t="str">
        <f t="shared" ref="I2550:I2579" si="1083">TRIM(LEFT(B2550,FIND(" ",B2550,1)))</f>
        <v>UST2Y</v>
      </c>
      <c r="J2550">
        <f t="shared" ref="J2550:J2579" si="1084">C2550</f>
        <v>0.2</v>
      </c>
      <c r="K2550">
        <f t="shared" ref="K2550:K2579" si="1085">D2550</f>
        <v>0.15</v>
      </c>
      <c r="L2550">
        <f t="shared" ref="L2550:L2579" si="1086">AVERAGE(J2550:K2550)</f>
        <v>0.17499999999999999</v>
      </c>
      <c r="M2550">
        <f t="shared" ref="M2550:M2579" si="1087">_xlfn.STDEV.P(J2550:K2550)</f>
        <v>2.5000000000000081E-2</v>
      </c>
      <c r="N2550">
        <f t="shared" si="1066"/>
        <v>5.0000000000000017E-2</v>
      </c>
      <c r="O2550">
        <f t="shared" ref="O2550:O2579" si="1088">E2550</f>
        <v>0.19</v>
      </c>
      <c r="P2550">
        <f t="shared" ref="P2550:P2579" si="1089">(O2550-L2550)/M2550</f>
        <v>0.59999999999999853</v>
      </c>
      <c r="Q2550" t="str">
        <f t="shared" si="1067"/>
        <v>5.26% | 21.05%</v>
      </c>
      <c r="R2550" t="str">
        <f t="shared" ref="R2550:R2579" si="1090">MID(B2550,FIND("(",B2550,1)+1,FIND(")",B2550,1)-FIND("(",B2550,1)-1)</f>
        <v>BEARISH</v>
      </c>
      <c r="S2550">
        <f t="shared" si="1068"/>
        <v>-1</v>
      </c>
    </row>
    <row r="2551" spans="1:19" hidden="1" x14ac:dyDescent="0.25">
      <c r="A2551" s="5" t="str">
        <f t="shared" si="1065"/>
        <v>44007SPX</v>
      </c>
      <c r="B2551" s="6" t="s">
        <v>6</v>
      </c>
      <c r="C2551" s="6">
        <v>2977</v>
      </c>
      <c r="D2551" s="6">
        <v>3099</v>
      </c>
      <c r="E2551" s="6">
        <v>3050</v>
      </c>
      <c r="F2551" t="str">
        <f t="shared" si="1080"/>
        <v>THU</v>
      </c>
      <c r="G2551" s="1">
        <f t="shared" si="1081"/>
        <v>44007</v>
      </c>
      <c r="H2551" s="2">
        <f t="shared" ca="1" si="1082"/>
        <v>246</v>
      </c>
      <c r="I2551" t="str">
        <f t="shared" si="1083"/>
        <v>SPX</v>
      </c>
      <c r="J2551">
        <f t="shared" si="1084"/>
        <v>2977</v>
      </c>
      <c r="K2551">
        <f t="shared" si="1085"/>
        <v>3099</v>
      </c>
      <c r="L2551">
        <f t="shared" si="1086"/>
        <v>3038</v>
      </c>
      <c r="M2551">
        <f t="shared" si="1087"/>
        <v>61</v>
      </c>
      <c r="N2551">
        <f t="shared" si="1066"/>
        <v>122</v>
      </c>
      <c r="O2551">
        <f t="shared" si="1088"/>
        <v>3050</v>
      </c>
      <c r="P2551">
        <f t="shared" si="1089"/>
        <v>0.19672131147540983</v>
      </c>
      <c r="Q2551" t="str">
        <f t="shared" si="1067"/>
        <v>2.39% | 1.61%</v>
      </c>
      <c r="R2551" t="str">
        <f t="shared" si="1090"/>
        <v>BEARISH</v>
      </c>
      <c r="S2551">
        <f t="shared" si="1068"/>
        <v>-1</v>
      </c>
    </row>
    <row r="2552" spans="1:19" hidden="1" x14ac:dyDescent="0.25">
      <c r="A2552" s="5" t="str">
        <f t="shared" si="1065"/>
        <v>44007RUT</v>
      </c>
      <c r="B2552" s="6" t="s">
        <v>7</v>
      </c>
      <c r="C2552" s="6">
        <v>1329</v>
      </c>
      <c r="D2552" s="6">
        <v>1460</v>
      </c>
      <c r="E2552" s="6">
        <v>1389</v>
      </c>
      <c r="F2552" t="str">
        <f t="shared" si="1080"/>
        <v>THU</v>
      </c>
      <c r="G2552" s="1">
        <f t="shared" si="1081"/>
        <v>44007</v>
      </c>
      <c r="H2552" s="2">
        <f t="shared" ca="1" si="1082"/>
        <v>246</v>
      </c>
      <c r="I2552" t="str">
        <f t="shared" si="1083"/>
        <v>RUT</v>
      </c>
      <c r="J2552">
        <f t="shared" si="1084"/>
        <v>1329</v>
      </c>
      <c r="K2552">
        <f t="shared" si="1085"/>
        <v>1460</v>
      </c>
      <c r="L2552">
        <f t="shared" si="1086"/>
        <v>1394.5</v>
      </c>
      <c r="M2552">
        <f t="shared" si="1087"/>
        <v>65.5</v>
      </c>
      <c r="N2552">
        <f t="shared" si="1066"/>
        <v>131</v>
      </c>
      <c r="O2552">
        <f t="shared" si="1088"/>
        <v>1389</v>
      </c>
      <c r="P2552">
        <f t="shared" si="1089"/>
        <v>-8.3969465648854963E-2</v>
      </c>
      <c r="Q2552" t="str">
        <f t="shared" si="1067"/>
        <v>4.32% | 5.11%</v>
      </c>
      <c r="R2552" t="str">
        <f t="shared" si="1090"/>
        <v>BEARISH</v>
      </c>
      <c r="S2552">
        <f t="shared" si="1068"/>
        <v>-1</v>
      </c>
    </row>
    <row r="2553" spans="1:19" hidden="1" x14ac:dyDescent="0.25">
      <c r="A2553" s="5" t="str">
        <f t="shared" si="1065"/>
        <v>44007COMPQ</v>
      </c>
      <c r="B2553" s="6" t="s">
        <v>8</v>
      </c>
      <c r="C2553" s="6">
        <v>9590</v>
      </c>
      <c r="D2553" s="6">
        <v>10215</v>
      </c>
      <c r="E2553" s="6">
        <v>9909</v>
      </c>
      <c r="F2553" t="str">
        <f t="shared" si="1080"/>
        <v>THU</v>
      </c>
      <c r="G2553" s="1">
        <f t="shared" si="1081"/>
        <v>44007</v>
      </c>
      <c r="H2553" s="2">
        <f t="shared" ca="1" si="1082"/>
        <v>246</v>
      </c>
      <c r="I2553" t="str">
        <f t="shared" si="1083"/>
        <v>COMPQ</v>
      </c>
      <c r="J2553">
        <f t="shared" si="1084"/>
        <v>9590</v>
      </c>
      <c r="K2553">
        <f t="shared" si="1085"/>
        <v>10215</v>
      </c>
      <c r="L2553">
        <f t="shared" si="1086"/>
        <v>9902.5</v>
      </c>
      <c r="M2553">
        <f t="shared" si="1087"/>
        <v>312.5</v>
      </c>
      <c r="N2553">
        <f t="shared" si="1066"/>
        <v>625</v>
      </c>
      <c r="O2553">
        <f t="shared" si="1088"/>
        <v>9909</v>
      </c>
      <c r="P2553">
        <f t="shared" si="1089"/>
        <v>2.0799999999999999E-2</v>
      </c>
      <c r="Q2553" t="str">
        <f t="shared" si="1067"/>
        <v>3.22% | 3.09%</v>
      </c>
      <c r="R2553" t="str">
        <f t="shared" si="1090"/>
        <v>BULLISH</v>
      </c>
      <c r="S2553">
        <f t="shared" si="1068"/>
        <v>1</v>
      </c>
    </row>
    <row r="2554" spans="1:19" hidden="1" x14ac:dyDescent="0.25">
      <c r="A2554" s="5" t="str">
        <f t="shared" si="1065"/>
        <v>44007XLK</v>
      </c>
      <c r="B2554" s="6" t="s">
        <v>10</v>
      </c>
      <c r="C2554" s="6">
        <v>98.4</v>
      </c>
      <c r="D2554" s="6">
        <v>105.4</v>
      </c>
      <c r="E2554" s="6">
        <v>102.27</v>
      </c>
      <c r="F2554" t="str">
        <f t="shared" si="1080"/>
        <v>THU</v>
      </c>
      <c r="G2554" s="1">
        <f t="shared" si="1081"/>
        <v>44007</v>
      </c>
      <c r="H2554" s="2">
        <f t="shared" ca="1" si="1082"/>
        <v>246</v>
      </c>
      <c r="I2554" t="str">
        <f t="shared" si="1083"/>
        <v>XLK</v>
      </c>
      <c r="J2554">
        <f t="shared" si="1084"/>
        <v>98.4</v>
      </c>
      <c r="K2554">
        <f t="shared" si="1085"/>
        <v>105.4</v>
      </c>
      <c r="L2554">
        <f t="shared" si="1086"/>
        <v>101.9</v>
      </c>
      <c r="M2554">
        <f t="shared" si="1087"/>
        <v>3.5</v>
      </c>
      <c r="N2554">
        <f t="shared" si="1066"/>
        <v>7</v>
      </c>
      <c r="O2554">
        <f t="shared" si="1088"/>
        <v>102.27</v>
      </c>
      <c r="P2554">
        <f t="shared" si="1089"/>
        <v>0.10571428571428296</v>
      </c>
      <c r="Q2554" t="str">
        <f t="shared" si="1067"/>
        <v>3.78% | 3.06%</v>
      </c>
      <c r="R2554" t="str">
        <f t="shared" si="1090"/>
        <v>BULLISH</v>
      </c>
      <c r="S2554">
        <f t="shared" si="1068"/>
        <v>1</v>
      </c>
    </row>
    <row r="2555" spans="1:19" hidden="1" x14ac:dyDescent="0.25">
      <c r="A2555" s="5" t="str">
        <f t="shared" si="1065"/>
        <v>44007XLRE</v>
      </c>
      <c r="B2555" s="6" t="s">
        <v>97</v>
      </c>
      <c r="C2555" s="6">
        <v>33.549999999999997</v>
      </c>
      <c r="D2555" s="6">
        <v>36.57</v>
      </c>
      <c r="E2555" s="6">
        <v>33.96</v>
      </c>
      <c r="F2555" t="str">
        <f t="shared" si="1080"/>
        <v>THU</v>
      </c>
      <c r="G2555" s="1">
        <f t="shared" si="1081"/>
        <v>44007</v>
      </c>
      <c r="H2555" s="2">
        <f t="shared" ca="1" si="1082"/>
        <v>246</v>
      </c>
      <c r="I2555" t="str">
        <f t="shared" si="1083"/>
        <v>XLRE</v>
      </c>
      <c r="J2555">
        <f t="shared" si="1084"/>
        <v>33.549999999999997</v>
      </c>
      <c r="K2555">
        <f t="shared" si="1085"/>
        <v>36.57</v>
      </c>
      <c r="L2555">
        <f t="shared" si="1086"/>
        <v>35.06</v>
      </c>
      <c r="M2555">
        <f t="shared" si="1087"/>
        <v>1.5100000000000016</v>
      </c>
      <c r="N2555">
        <f t="shared" si="1066"/>
        <v>3.0200000000000031</v>
      </c>
      <c r="O2555">
        <f t="shared" si="1088"/>
        <v>33.96</v>
      </c>
      <c r="P2555">
        <f t="shared" si="1089"/>
        <v>-0.72847682119205315</v>
      </c>
      <c r="Q2555" t="str">
        <f t="shared" si="1067"/>
        <v>1.21% | 7.69%</v>
      </c>
      <c r="R2555" t="str">
        <f t="shared" si="1090"/>
        <v>BULLISH</v>
      </c>
      <c r="S2555">
        <f t="shared" si="1068"/>
        <v>1</v>
      </c>
    </row>
    <row r="2556" spans="1:19" hidden="1" x14ac:dyDescent="0.25">
      <c r="A2556" s="5" t="str">
        <f t="shared" si="1065"/>
        <v>44007XLU</v>
      </c>
      <c r="B2556" s="6" t="s">
        <v>52</v>
      </c>
      <c r="C2556" s="6">
        <v>56.02</v>
      </c>
      <c r="D2556" s="6">
        <v>59.67</v>
      </c>
      <c r="E2556" s="6">
        <v>56.47</v>
      </c>
      <c r="F2556" t="str">
        <f t="shared" si="1080"/>
        <v>THU</v>
      </c>
      <c r="G2556" s="1">
        <f t="shared" si="1081"/>
        <v>44007</v>
      </c>
      <c r="H2556" s="2">
        <f t="shared" ca="1" si="1082"/>
        <v>246</v>
      </c>
      <c r="I2556" t="str">
        <f t="shared" si="1083"/>
        <v>XLU</v>
      </c>
      <c r="J2556">
        <f t="shared" si="1084"/>
        <v>56.02</v>
      </c>
      <c r="K2556">
        <f t="shared" si="1085"/>
        <v>59.67</v>
      </c>
      <c r="L2556">
        <f t="shared" si="1086"/>
        <v>57.844999999999999</v>
      </c>
      <c r="M2556">
        <f t="shared" si="1087"/>
        <v>1.8249999999999993</v>
      </c>
      <c r="N2556">
        <f t="shared" si="1066"/>
        <v>3.6499999999999986</v>
      </c>
      <c r="O2556">
        <f t="shared" si="1088"/>
        <v>56.47</v>
      </c>
      <c r="P2556">
        <f t="shared" si="1089"/>
        <v>-0.75342465753424692</v>
      </c>
      <c r="Q2556" t="str">
        <f t="shared" si="1067"/>
        <v>0.8% | 5.67%</v>
      </c>
      <c r="R2556" t="str">
        <f t="shared" si="1090"/>
        <v>BULLISH</v>
      </c>
      <c r="S2556">
        <f t="shared" si="1068"/>
        <v>1</v>
      </c>
    </row>
    <row r="2557" spans="1:19" hidden="1" x14ac:dyDescent="0.25">
      <c r="A2557" s="5" t="str">
        <f t="shared" si="1065"/>
        <v>44007XLF</v>
      </c>
      <c r="B2557" s="6" t="s">
        <v>12</v>
      </c>
      <c r="C2557" s="6">
        <v>22.36</v>
      </c>
      <c r="D2557" s="6">
        <v>24.53</v>
      </c>
      <c r="E2557" s="6">
        <v>22.98</v>
      </c>
      <c r="F2557" t="str">
        <f t="shared" si="1080"/>
        <v>THU</v>
      </c>
      <c r="G2557" s="1">
        <f t="shared" si="1081"/>
        <v>44007</v>
      </c>
      <c r="H2557" s="2">
        <f t="shared" ca="1" si="1082"/>
        <v>246</v>
      </c>
      <c r="I2557" t="str">
        <f t="shared" si="1083"/>
        <v>XLF</v>
      </c>
      <c r="J2557">
        <f t="shared" si="1084"/>
        <v>22.36</v>
      </c>
      <c r="K2557">
        <f t="shared" si="1085"/>
        <v>24.53</v>
      </c>
      <c r="L2557">
        <f t="shared" si="1086"/>
        <v>23.445</v>
      </c>
      <c r="M2557">
        <f t="shared" si="1087"/>
        <v>1.0850000000000009</v>
      </c>
      <c r="N2557">
        <f t="shared" si="1066"/>
        <v>2.1700000000000017</v>
      </c>
      <c r="O2557">
        <f t="shared" si="1088"/>
        <v>22.98</v>
      </c>
      <c r="P2557">
        <f t="shared" si="1089"/>
        <v>-0.4285714285714281</v>
      </c>
      <c r="Q2557" t="str">
        <f t="shared" si="1067"/>
        <v>2.7% | 6.74%</v>
      </c>
      <c r="R2557" t="str">
        <f t="shared" si="1090"/>
        <v>BEARISH</v>
      </c>
      <c r="S2557">
        <f t="shared" si="1068"/>
        <v>-1</v>
      </c>
    </row>
    <row r="2558" spans="1:19" hidden="1" x14ac:dyDescent="0.25">
      <c r="A2558" s="5" t="str">
        <f t="shared" si="1065"/>
        <v>44007SSEC</v>
      </c>
      <c r="B2558" s="6" t="s">
        <v>104</v>
      </c>
      <c r="C2558" s="6">
        <v>2904</v>
      </c>
      <c r="D2558" s="6">
        <v>2999</v>
      </c>
      <c r="E2558" s="6">
        <v>2979</v>
      </c>
      <c r="F2558" t="str">
        <f t="shared" si="1080"/>
        <v>THU</v>
      </c>
      <c r="G2558" s="1">
        <f t="shared" si="1081"/>
        <v>44007</v>
      </c>
      <c r="H2558" s="2">
        <f t="shared" ca="1" si="1082"/>
        <v>246</v>
      </c>
      <c r="I2558" t="str">
        <f t="shared" si="1083"/>
        <v>SSEC</v>
      </c>
      <c r="J2558">
        <f t="shared" si="1084"/>
        <v>2904</v>
      </c>
      <c r="K2558">
        <f t="shared" si="1085"/>
        <v>2999</v>
      </c>
      <c r="L2558">
        <f t="shared" si="1086"/>
        <v>2951.5</v>
      </c>
      <c r="M2558">
        <f t="shared" si="1087"/>
        <v>47.5</v>
      </c>
      <c r="N2558">
        <f t="shared" si="1066"/>
        <v>95</v>
      </c>
      <c r="O2558">
        <f t="shared" si="1088"/>
        <v>2979</v>
      </c>
      <c r="P2558">
        <f t="shared" si="1089"/>
        <v>0.57894736842105265</v>
      </c>
      <c r="Q2558" t="str">
        <f t="shared" si="1067"/>
        <v>2.52% | 0.67%</v>
      </c>
      <c r="R2558" t="str">
        <f t="shared" si="1090"/>
        <v>BULLISH</v>
      </c>
      <c r="S2558">
        <f t="shared" si="1068"/>
        <v>1</v>
      </c>
    </row>
    <row r="2559" spans="1:19" hidden="1" x14ac:dyDescent="0.25">
      <c r="A2559" s="5" t="str">
        <f t="shared" si="1065"/>
        <v>44007NIKK</v>
      </c>
      <c r="B2559" s="6" t="s">
        <v>15</v>
      </c>
      <c r="C2559" s="6">
        <v>21708</v>
      </c>
      <c r="D2559" s="6">
        <v>22906</v>
      </c>
      <c r="E2559" s="6">
        <v>22259</v>
      </c>
      <c r="F2559" t="str">
        <f t="shared" si="1080"/>
        <v>THU</v>
      </c>
      <c r="G2559" s="1">
        <f t="shared" si="1081"/>
        <v>44007</v>
      </c>
      <c r="H2559" s="2">
        <f t="shared" ca="1" si="1082"/>
        <v>246</v>
      </c>
      <c r="I2559" t="str">
        <f t="shared" si="1083"/>
        <v>NIKK</v>
      </c>
      <c r="J2559">
        <f t="shared" si="1084"/>
        <v>21708</v>
      </c>
      <c r="K2559">
        <f t="shared" si="1085"/>
        <v>22906</v>
      </c>
      <c r="L2559">
        <f t="shared" si="1086"/>
        <v>22307</v>
      </c>
      <c r="M2559">
        <f t="shared" si="1087"/>
        <v>599</v>
      </c>
      <c r="N2559">
        <f t="shared" si="1066"/>
        <v>1198</v>
      </c>
      <c r="O2559">
        <f t="shared" si="1088"/>
        <v>22259</v>
      </c>
      <c r="P2559">
        <f t="shared" si="1089"/>
        <v>-8.0133555926544239E-2</v>
      </c>
      <c r="Q2559" t="str">
        <f t="shared" si="1067"/>
        <v>2.48% | 2.91%</v>
      </c>
      <c r="R2559" t="str">
        <f t="shared" si="1090"/>
        <v>BEARISH</v>
      </c>
      <c r="S2559">
        <f t="shared" si="1068"/>
        <v>-1</v>
      </c>
    </row>
    <row r="2560" spans="1:19" hidden="1" x14ac:dyDescent="0.25">
      <c r="A2560" s="5" t="str">
        <f t="shared" si="1065"/>
        <v>44007DAX</v>
      </c>
      <c r="B2560" s="6" t="s">
        <v>16</v>
      </c>
      <c r="C2560" s="6">
        <v>11802</v>
      </c>
      <c r="D2560" s="6">
        <v>12596</v>
      </c>
      <c r="E2560" s="6">
        <v>12073</v>
      </c>
      <c r="F2560" t="str">
        <f t="shared" si="1080"/>
        <v>THU</v>
      </c>
      <c r="G2560" s="1">
        <f t="shared" si="1081"/>
        <v>44007</v>
      </c>
      <c r="H2560" s="2">
        <f t="shared" ca="1" si="1082"/>
        <v>246</v>
      </c>
      <c r="I2560" t="str">
        <f t="shared" si="1083"/>
        <v>DAX</v>
      </c>
      <c r="J2560">
        <f t="shared" si="1084"/>
        <v>11802</v>
      </c>
      <c r="K2560">
        <f t="shared" si="1085"/>
        <v>12596</v>
      </c>
      <c r="L2560">
        <f t="shared" si="1086"/>
        <v>12199</v>
      </c>
      <c r="M2560">
        <f t="shared" si="1087"/>
        <v>397</v>
      </c>
      <c r="N2560">
        <f t="shared" si="1066"/>
        <v>794</v>
      </c>
      <c r="O2560">
        <f t="shared" si="1088"/>
        <v>12073</v>
      </c>
      <c r="P2560">
        <f t="shared" si="1089"/>
        <v>-0.31738035264483627</v>
      </c>
      <c r="Q2560" t="str">
        <f t="shared" si="1067"/>
        <v>2.24% | 4.33%</v>
      </c>
      <c r="R2560" t="str">
        <f t="shared" si="1090"/>
        <v>BEARISH</v>
      </c>
      <c r="S2560">
        <f t="shared" si="1068"/>
        <v>-1</v>
      </c>
    </row>
    <row r="2561" spans="1:19" hidden="1" x14ac:dyDescent="0.25">
      <c r="A2561" s="5" t="str">
        <f t="shared" si="1065"/>
        <v>44007VIX</v>
      </c>
      <c r="B2561" s="6" t="s">
        <v>17</v>
      </c>
      <c r="C2561" s="6">
        <v>30.08</v>
      </c>
      <c r="D2561" s="6">
        <v>40.46</v>
      </c>
      <c r="E2561" s="6">
        <v>33.840000000000003</v>
      </c>
      <c r="F2561" t="str">
        <f t="shared" si="1080"/>
        <v>THU</v>
      </c>
      <c r="G2561" s="1">
        <f t="shared" si="1081"/>
        <v>44007</v>
      </c>
      <c r="H2561" s="2">
        <f t="shared" ca="1" si="1082"/>
        <v>246</v>
      </c>
      <c r="I2561" t="str">
        <f t="shared" si="1083"/>
        <v>VIX</v>
      </c>
      <c r="J2561">
        <f t="shared" si="1084"/>
        <v>30.08</v>
      </c>
      <c r="K2561">
        <f t="shared" si="1085"/>
        <v>40.46</v>
      </c>
      <c r="L2561">
        <f t="shared" si="1086"/>
        <v>35.269999999999996</v>
      </c>
      <c r="M2561">
        <f t="shared" si="1087"/>
        <v>5.1900000000000341</v>
      </c>
      <c r="N2561">
        <f t="shared" si="1066"/>
        <v>10.380000000000003</v>
      </c>
      <c r="O2561">
        <f t="shared" si="1088"/>
        <v>33.840000000000003</v>
      </c>
      <c r="P2561">
        <f t="shared" si="1089"/>
        <v>-0.27552986512523764</v>
      </c>
      <c r="Q2561" t="str">
        <f t="shared" si="1067"/>
        <v>11.11% | 19.56%</v>
      </c>
      <c r="R2561" t="str">
        <f t="shared" si="1090"/>
        <v>BULLISH</v>
      </c>
      <c r="S2561">
        <f t="shared" si="1068"/>
        <v>1</v>
      </c>
    </row>
    <row r="2562" spans="1:19" hidden="1" x14ac:dyDescent="0.25">
      <c r="A2562" s="5" t="str">
        <f t="shared" si="1065"/>
        <v>44007USD</v>
      </c>
      <c r="B2562" s="6" t="s">
        <v>94</v>
      </c>
      <c r="C2562" s="6">
        <v>96.17</v>
      </c>
      <c r="D2562" s="6">
        <v>97.9</v>
      </c>
      <c r="E2562" s="6">
        <v>97.13</v>
      </c>
      <c r="F2562" t="str">
        <f t="shared" si="1080"/>
        <v>THU</v>
      </c>
      <c r="G2562" s="1">
        <f t="shared" si="1081"/>
        <v>44007</v>
      </c>
      <c r="H2562" s="2">
        <f t="shared" ca="1" si="1082"/>
        <v>246</v>
      </c>
      <c r="I2562" t="str">
        <f t="shared" si="1083"/>
        <v>USD</v>
      </c>
      <c r="J2562">
        <f t="shared" si="1084"/>
        <v>96.17</v>
      </c>
      <c r="K2562">
        <f t="shared" si="1085"/>
        <v>97.9</v>
      </c>
      <c r="L2562">
        <f t="shared" si="1086"/>
        <v>97.034999999999997</v>
      </c>
      <c r="M2562">
        <f t="shared" si="1087"/>
        <v>0.86500000000000199</v>
      </c>
      <c r="N2562">
        <f t="shared" si="1066"/>
        <v>1.730000000000004</v>
      </c>
      <c r="O2562">
        <f t="shared" si="1088"/>
        <v>97.13</v>
      </c>
      <c r="P2562">
        <f t="shared" si="1089"/>
        <v>0.10982658959537415</v>
      </c>
      <c r="Q2562" t="str">
        <f t="shared" si="1067"/>
        <v>0.99% | 0.79%</v>
      </c>
      <c r="R2562" t="str">
        <f t="shared" si="1090"/>
        <v>BEARISH</v>
      </c>
      <c r="S2562">
        <f t="shared" si="1068"/>
        <v>-1</v>
      </c>
    </row>
    <row r="2563" spans="1:19" hidden="1" x14ac:dyDescent="0.25">
      <c r="A2563" s="5" t="str">
        <f t="shared" ref="A2563:A2626" si="1091">G2563&amp;I2563</f>
        <v>44007EUR/USD</v>
      </c>
      <c r="B2563" s="6" t="s">
        <v>77</v>
      </c>
      <c r="C2563" s="6">
        <v>1.1100000000000001</v>
      </c>
      <c r="D2563" s="6">
        <v>1.1299999999999999</v>
      </c>
      <c r="E2563" s="6">
        <v>1.1200000000000001</v>
      </c>
      <c r="F2563" t="str">
        <f t="shared" si="1080"/>
        <v>THU</v>
      </c>
      <c r="G2563" s="1">
        <f t="shared" si="1081"/>
        <v>44007</v>
      </c>
      <c r="H2563" s="2">
        <f t="shared" ca="1" si="1082"/>
        <v>246</v>
      </c>
      <c r="I2563" t="str">
        <f t="shared" si="1083"/>
        <v>EUR/USD</v>
      </c>
      <c r="J2563">
        <f t="shared" si="1084"/>
        <v>1.1100000000000001</v>
      </c>
      <c r="K2563">
        <f t="shared" si="1085"/>
        <v>1.1299999999999999</v>
      </c>
      <c r="L2563">
        <f t="shared" si="1086"/>
        <v>1.1200000000000001</v>
      </c>
      <c r="M2563">
        <f t="shared" si="1087"/>
        <v>9.9999999999998979E-3</v>
      </c>
      <c r="N2563">
        <f t="shared" ref="N2563:N2626" si="1092">ABS(K2563-J2563)</f>
        <v>1.9999999999999796E-2</v>
      </c>
      <c r="O2563">
        <f t="shared" si="1088"/>
        <v>1.1200000000000001</v>
      </c>
      <c r="P2563">
        <f t="shared" si="1089"/>
        <v>0</v>
      </c>
      <c r="Q2563" t="str">
        <f t="shared" ref="Q2563:Q2626" si="1093">ROUND(ABS(100*(O2563-J2563)/O2563),2)&amp;"% | "&amp;ROUND(ABS(100*(K2563-O2563)/O2563),2)&amp;"%"</f>
        <v>0.89% | 0.89%</v>
      </c>
      <c r="R2563" t="str">
        <f t="shared" si="1090"/>
        <v>NEUTRAL</v>
      </c>
      <c r="S2563">
        <f t="shared" ref="S2563:S2626" si="1094">IF(R2563="BEARISH",-1,IF(R2563="NEUTRAL",0,IF(R2563="BULLISH",1,99)))</f>
        <v>0</v>
      </c>
    </row>
    <row r="2564" spans="1:19" hidden="1" x14ac:dyDescent="0.25">
      <c r="A2564" s="5" t="str">
        <f t="shared" si="1091"/>
        <v>44007USD/JPY</v>
      </c>
      <c r="B2564" s="6" t="s">
        <v>20</v>
      </c>
      <c r="C2564" s="6">
        <v>106.21</v>
      </c>
      <c r="D2564" s="6">
        <v>108.08</v>
      </c>
      <c r="E2564" s="6">
        <v>107.06</v>
      </c>
      <c r="F2564" t="str">
        <f t="shared" si="1080"/>
        <v>THU</v>
      </c>
      <c r="G2564" s="1">
        <f t="shared" si="1081"/>
        <v>44007</v>
      </c>
      <c r="H2564" s="2">
        <f t="shared" ca="1" si="1082"/>
        <v>246</v>
      </c>
      <c r="I2564" t="str">
        <f t="shared" si="1083"/>
        <v>USD/JPY</v>
      </c>
      <c r="J2564">
        <f t="shared" si="1084"/>
        <v>106.21</v>
      </c>
      <c r="K2564">
        <f t="shared" si="1085"/>
        <v>108.08</v>
      </c>
      <c r="L2564">
        <f t="shared" si="1086"/>
        <v>107.145</v>
      </c>
      <c r="M2564">
        <f t="shared" si="1087"/>
        <v>0.93500000000000227</v>
      </c>
      <c r="N2564">
        <f t="shared" si="1092"/>
        <v>1.8700000000000045</v>
      </c>
      <c r="O2564">
        <f t="shared" si="1088"/>
        <v>107.06</v>
      </c>
      <c r="P2564">
        <f t="shared" si="1089"/>
        <v>-9.0909090909084E-2</v>
      </c>
      <c r="Q2564" t="str">
        <f t="shared" si="1093"/>
        <v>0.79% | 0.95%</v>
      </c>
      <c r="R2564" t="str">
        <f t="shared" si="1090"/>
        <v>BEARISH</v>
      </c>
      <c r="S2564">
        <f t="shared" si="1094"/>
        <v>-1</v>
      </c>
    </row>
    <row r="2565" spans="1:19" hidden="1" x14ac:dyDescent="0.25">
      <c r="A2565" s="5" t="str">
        <f t="shared" si="1091"/>
        <v>44007GBP/USD</v>
      </c>
      <c r="B2565" s="6" t="s">
        <v>79</v>
      </c>
      <c r="C2565" s="6">
        <v>1.23</v>
      </c>
      <c r="D2565" s="6">
        <v>1.26</v>
      </c>
      <c r="E2565" s="6">
        <v>1.24</v>
      </c>
      <c r="F2565" t="str">
        <f t="shared" si="1080"/>
        <v>THU</v>
      </c>
      <c r="G2565" s="1">
        <f t="shared" si="1081"/>
        <v>44007</v>
      </c>
      <c r="H2565" s="2">
        <f t="shared" ca="1" si="1082"/>
        <v>246</v>
      </c>
      <c r="I2565" t="str">
        <f t="shared" si="1083"/>
        <v>GBP/USD</v>
      </c>
      <c r="J2565">
        <f t="shared" si="1084"/>
        <v>1.23</v>
      </c>
      <c r="K2565">
        <f t="shared" si="1085"/>
        <v>1.26</v>
      </c>
      <c r="L2565">
        <f t="shared" si="1086"/>
        <v>1.2450000000000001</v>
      </c>
      <c r="M2565">
        <f t="shared" si="1087"/>
        <v>1.5000000000000013E-2</v>
      </c>
      <c r="N2565">
        <f t="shared" si="1092"/>
        <v>3.0000000000000027E-2</v>
      </c>
      <c r="O2565">
        <f t="shared" si="1088"/>
        <v>1.24</v>
      </c>
      <c r="P2565">
        <f t="shared" si="1089"/>
        <v>-0.33333333333334075</v>
      </c>
      <c r="Q2565" t="str">
        <f t="shared" si="1093"/>
        <v>0.81% | 1.61%</v>
      </c>
      <c r="R2565" t="str">
        <f t="shared" si="1090"/>
        <v>NEUTRAL</v>
      </c>
      <c r="S2565">
        <f t="shared" si="1094"/>
        <v>0</v>
      </c>
    </row>
    <row r="2566" spans="1:19" hidden="1" x14ac:dyDescent="0.25">
      <c r="A2566" s="5" t="str">
        <f t="shared" si="1091"/>
        <v>44007USD/CHF</v>
      </c>
      <c r="B2566" s="6" t="s">
        <v>76</v>
      </c>
      <c r="C2566" s="6">
        <v>0.94</v>
      </c>
      <c r="D2566" s="6">
        <v>0.96</v>
      </c>
      <c r="E2566" s="6">
        <v>0.94</v>
      </c>
      <c r="F2566" t="str">
        <f t="shared" si="1080"/>
        <v>THU</v>
      </c>
      <c r="G2566" s="1">
        <f t="shared" si="1081"/>
        <v>44007</v>
      </c>
      <c r="H2566" s="2">
        <f t="shared" ca="1" si="1082"/>
        <v>246</v>
      </c>
      <c r="I2566" t="str">
        <f t="shared" si="1083"/>
        <v>USD/CHF</v>
      </c>
      <c r="J2566">
        <f t="shared" si="1084"/>
        <v>0.94</v>
      </c>
      <c r="K2566">
        <f t="shared" si="1085"/>
        <v>0.96</v>
      </c>
      <c r="L2566">
        <f t="shared" si="1086"/>
        <v>0.95</v>
      </c>
      <c r="M2566">
        <f t="shared" si="1087"/>
        <v>1.0000000000000009E-2</v>
      </c>
      <c r="N2566">
        <f t="shared" si="1092"/>
        <v>2.0000000000000018E-2</v>
      </c>
      <c r="O2566">
        <f t="shared" si="1088"/>
        <v>0.94</v>
      </c>
      <c r="P2566">
        <f t="shared" si="1089"/>
        <v>-1</v>
      </c>
      <c r="Q2566" t="str">
        <f t="shared" si="1093"/>
        <v>0% | 2.13%</v>
      </c>
      <c r="R2566" t="str">
        <f t="shared" si="1090"/>
        <v>BEARISH</v>
      </c>
      <c r="S2566">
        <f t="shared" si="1094"/>
        <v>-1</v>
      </c>
    </row>
    <row r="2567" spans="1:19" hidden="1" x14ac:dyDescent="0.25">
      <c r="A2567" s="5" t="str">
        <f t="shared" si="1091"/>
        <v>44007WTIC</v>
      </c>
      <c r="B2567" s="6" t="s">
        <v>103</v>
      </c>
      <c r="C2567" s="6">
        <v>35.68</v>
      </c>
      <c r="D2567" s="6">
        <v>41.56</v>
      </c>
      <c r="E2567" s="6">
        <v>38.01</v>
      </c>
      <c r="F2567" t="str">
        <f t="shared" si="1080"/>
        <v>THU</v>
      </c>
      <c r="G2567" s="1">
        <f t="shared" si="1081"/>
        <v>44007</v>
      </c>
      <c r="H2567" s="2">
        <f t="shared" ca="1" si="1082"/>
        <v>246</v>
      </c>
      <c r="I2567" t="str">
        <f t="shared" si="1083"/>
        <v>WTIC</v>
      </c>
      <c r="J2567">
        <f t="shared" si="1084"/>
        <v>35.68</v>
      </c>
      <c r="K2567">
        <f t="shared" si="1085"/>
        <v>41.56</v>
      </c>
      <c r="L2567">
        <f t="shared" si="1086"/>
        <v>38.620000000000005</v>
      </c>
      <c r="M2567">
        <f t="shared" si="1087"/>
        <v>2.9400000000000013</v>
      </c>
      <c r="N2567">
        <f t="shared" si="1092"/>
        <v>5.8800000000000026</v>
      </c>
      <c r="O2567">
        <f t="shared" si="1088"/>
        <v>38.01</v>
      </c>
      <c r="P2567">
        <f t="shared" si="1089"/>
        <v>-0.20748299319728106</v>
      </c>
      <c r="Q2567" t="str">
        <f t="shared" si="1093"/>
        <v>6.13% | 9.34%</v>
      </c>
      <c r="R2567" t="str">
        <f t="shared" si="1090"/>
        <v>NEUTRAL</v>
      </c>
      <c r="S2567">
        <f t="shared" si="1094"/>
        <v>0</v>
      </c>
    </row>
    <row r="2568" spans="1:19" hidden="1" x14ac:dyDescent="0.25">
      <c r="A2568" s="5" t="str">
        <f t="shared" si="1091"/>
        <v>44007NATGAS</v>
      </c>
      <c r="B2568" s="6" t="s">
        <v>24</v>
      </c>
      <c r="C2568" s="6">
        <v>1.54</v>
      </c>
      <c r="D2568" s="6">
        <v>1.77</v>
      </c>
      <c r="E2568" s="6">
        <v>1.66</v>
      </c>
      <c r="F2568" t="str">
        <f t="shared" si="1080"/>
        <v>THU</v>
      </c>
      <c r="G2568" s="1">
        <f t="shared" si="1081"/>
        <v>44007</v>
      </c>
      <c r="H2568" s="2">
        <f t="shared" ca="1" si="1082"/>
        <v>246</v>
      </c>
      <c r="I2568" t="str">
        <f t="shared" si="1083"/>
        <v>NATGAS</v>
      </c>
      <c r="J2568">
        <f t="shared" si="1084"/>
        <v>1.54</v>
      </c>
      <c r="K2568">
        <f t="shared" si="1085"/>
        <v>1.77</v>
      </c>
      <c r="L2568">
        <f t="shared" si="1086"/>
        <v>1.655</v>
      </c>
      <c r="M2568">
        <f t="shared" si="1087"/>
        <v>0.11499999999999999</v>
      </c>
      <c r="N2568">
        <f t="shared" si="1092"/>
        <v>0.22999999999999998</v>
      </c>
      <c r="O2568">
        <f t="shared" si="1088"/>
        <v>1.66</v>
      </c>
      <c r="P2568">
        <f t="shared" si="1089"/>
        <v>4.3478260869564293E-2</v>
      </c>
      <c r="Q2568" t="str">
        <f t="shared" si="1093"/>
        <v>7.23% | 6.63%</v>
      </c>
      <c r="R2568" t="str">
        <f t="shared" si="1090"/>
        <v>BEARISH</v>
      </c>
      <c r="S2568">
        <f t="shared" si="1094"/>
        <v>-1</v>
      </c>
    </row>
    <row r="2569" spans="1:19" hidden="1" x14ac:dyDescent="0.25">
      <c r="A2569" s="5" t="str">
        <f t="shared" si="1091"/>
        <v>44007GOLD</v>
      </c>
      <c r="B2569" s="6" t="s">
        <v>25</v>
      </c>
      <c r="C2569" s="6">
        <v>1735</v>
      </c>
      <c r="D2569" s="6">
        <v>1797</v>
      </c>
      <c r="E2569" s="6">
        <v>1775</v>
      </c>
      <c r="F2569" t="str">
        <f t="shared" si="1080"/>
        <v>THU</v>
      </c>
      <c r="G2569" s="1">
        <f t="shared" si="1081"/>
        <v>44007</v>
      </c>
      <c r="H2569" s="2">
        <f t="shared" ca="1" si="1082"/>
        <v>246</v>
      </c>
      <c r="I2569" t="str">
        <f t="shared" si="1083"/>
        <v>GOLD</v>
      </c>
      <c r="J2569">
        <f t="shared" si="1084"/>
        <v>1735</v>
      </c>
      <c r="K2569">
        <f t="shared" si="1085"/>
        <v>1797</v>
      </c>
      <c r="L2569">
        <f t="shared" si="1086"/>
        <v>1766</v>
      </c>
      <c r="M2569">
        <f t="shared" si="1087"/>
        <v>31</v>
      </c>
      <c r="N2569">
        <f t="shared" si="1092"/>
        <v>62</v>
      </c>
      <c r="O2569">
        <f t="shared" si="1088"/>
        <v>1775</v>
      </c>
      <c r="P2569">
        <f t="shared" si="1089"/>
        <v>0.29032258064516131</v>
      </c>
      <c r="Q2569" t="str">
        <f t="shared" si="1093"/>
        <v>2.25% | 1.24%</v>
      </c>
      <c r="R2569" t="str">
        <f t="shared" si="1090"/>
        <v>BULLISH</v>
      </c>
      <c r="S2569">
        <f t="shared" si="1094"/>
        <v>1</v>
      </c>
    </row>
    <row r="2570" spans="1:19" hidden="1" x14ac:dyDescent="0.25">
      <c r="A2570" s="5" t="str">
        <f t="shared" si="1091"/>
        <v>44007COPPER</v>
      </c>
      <c r="B2570" s="6" t="s">
        <v>100</v>
      </c>
      <c r="C2570" s="6">
        <v>2.5499999999999998</v>
      </c>
      <c r="D2570" s="6">
        <v>2.68</v>
      </c>
      <c r="E2570" s="6">
        <v>2.65</v>
      </c>
      <c r="F2570" t="str">
        <f t="shared" si="1080"/>
        <v>THU</v>
      </c>
      <c r="G2570" s="1">
        <f t="shared" si="1081"/>
        <v>44007</v>
      </c>
      <c r="H2570" s="2">
        <f t="shared" ca="1" si="1082"/>
        <v>246</v>
      </c>
      <c r="I2570" t="str">
        <f t="shared" si="1083"/>
        <v>COPPER</v>
      </c>
      <c r="J2570">
        <f t="shared" si="1084"/>
        <v>2.5499999999999998</v>
      </c>
      <c r="K2570">
        <f t="shared" si="1085"/>
        <v>2.68</v>
      </c>
      <c r="L2570">
        <f t="shared" si="1086"/>
        <v>2.6150000000000002</v>
      </c>
      <c r="M2570">
        <f t="shared" si="1087"/>
        <v>6.5000000000000169E-2</v>
      </c>
      <c r="N2570">
        <f t="shared" si="1092"/>
        <v>0.13000000000000034</v>
      </c>
      <c r="O2570">
        <f t="shared" si="1088"/>
        <v>2.65</v>
      </c>
      <c r="P2570">
        <f t="shared" si="1089"/>
        <v>0.53846153846153244</v>
      </c>
      <c r="Q2570" t="str">
        <f t="shared" si="1093"/>
        <v>3.77% | 1.13%</v>
      </c>
      <c r="R2570" t="str">
        <f t="shared" si="1090"/>
        <v>BULLISH</v>
      </c>
      <c r="S2570">
        <f t="shared" si="1094"/>
        <v>1</v>
      </c>
    </row>
    <row r="2571" spans="1:19" hidden="1" x14ac:dyDescent="0.25">
      <c r="A2571" s="5" t="str">
        <f t="shared" si="1091"/>
        <v>44007MSFT</v>
      </c>
      <c r="B2571" s="6" t="s">
        <v>27</v>
      </c>
      <c r="C2571" s="6">
        <v>186</v>
      </c>
      <c r="D2571" s="6">
        <v>204</v>
      </c>
      <c r="E2571" s="6">
        <v>197</v>
      </c>
      <c r="F2571" t="str">
        <f t="shared" si="1080"/>
        <v>THU</v>
      </c>
      <c r="G2571" s="1">
        <f t="shared" si="1081"/>
        <v>44007</v>
      </c>
      <c r="H2571" s="2">
        <f t="shared" ca="1" si="1082"/>
        <v>246</v>
      </c>
      <c r="I2571" t="str">
        <f t="shared" si="1083"/>
        <v>MSFT</v>
      </c>
      <c r="J2571">
        <f t="shared" si="1084"/>
        <v>186</v>
      </c>
      <c r="K2571">
        <f t="shared" si="1085"/>
        <v>204</v>
      </c>
      <c r="L2571">
        <f t="shared" si="1086"/>
        <v>195</v>
      </c>
      <c r="M2571">
        <f t="shared" si="1087"/>
        <v>9</v>
      </c>
      <c r="N2571">
        <f t="shared" si="1092"/>
        <v>18</v>
      </c>
      <c r="O2571">
        <f t="shared" si="1088"/>
        <v>197</v>
      </c>
      <c r="P2571">
        <f t="shared" si="1089"/>
        <v>0.22222222222222221</v>
      </c>
      <c r="Q2571" t="str">
        <f t="shared" si="1093"/>
        <v>5.58% | 3.55%</v>
      </c>
      <c r="R2571" t="str">
        <f t="shared" si="1090"/>
        <v>BULLISH</v>
      </c>
      <c r="S2571">
        <f t="shared" si="1094"/>
        <v>1</v>
      </c>
    </row>
    <row r="2572" spans="1:19" hidden="1" x14ac:dyDescent="0.25">
      <c r="A2572" s="5" t="str">
        <f t="shared" si="1091"/>
        <v>44007AAPL</v>
      </c>
      <c r="B2572" s="6" t="s">
        <v>28</v>
      </c>
      <c r="C2572" s="6">
        <v>335</v>
      </c>
      <c r="D2572" s="6">
        <v>369</v>
      </c>
      <c r="E2572" s="6">
        <v>360</v>
      </c>
      <c r="F2572" t="str">
        <f t="shared" si="1080"/>
        <v>THU</v>
      </c>
      <c r="G2572" s="1">
        <f t="shared" si="1081"/>
        <v>44007</v>
      </c>
      <c r="H2572" s="2">
        <f t="shared" ca="1" si="1082"/>
        <v>246</v>
      </c>
      <c r="I2572" t="str">
        <f t="shared" si="1083"/>
        <v>AAPL</v>
      </c>
      <c r="J2572">
        <f t="shared" si="1084"/>
        <v>335</v>
      </c>
      <c r="K2572">
        <f t="shared" si="1085"/>
        <v>369</v>
      </c>
      <c r="L2572">
        <f t="shared" si="1086"/>
        <v>352</v>
      </c>
      <c r="M2572">
        <f t="shared" si="1087"/>
        <v>17</v>
      </c>
      <c r="N2572">
        <f t="shared" si="1092"/>
        <v>34</v>
      </c>
      <c r="O2572">
        <f t="shared" si="1088"/>
        <v>360</v>
      </c>
      <c r="P2572">
        <f t="shared" si="1089"/>
        <v>0.47058823529411764</v>
      </c>
      <c r="Q2572" t="str">
        <f t="shared" si="1093"/>
        <v>6.94% | 2.5%</v>
      </c>
      <c r="R2572" t="str">
        <f t="shared" si="1090"/>
        <v>BULLISH</v>
      </c>
      <c r="S2572">
        <f t="shared" si="1094"/>
        <v>1</v>
      </c>
    </row>
    <row r="2573" spans="1:19" hidden="1" x14ac:dyDescent="0.25">
      <c r="A2573" s="5" t="str">
        <f t="shared" si="1091"/>
        <v>44007AMZN</v>
      </c>
      <c r="B2573" s="6" t="s">
        <v>29</v>
      </c>
      <c r="C2573" s="6">
        <v>2520</v>
      </c>
      <c r="D2573" s="6">
        <v>2796</v>
      </c>
      <c r="E2573" s="6">
        <v>2734</v>
      </c>
      <c r="F2573" t="str">
        <f t="shared" si="1080"/>
        <v>THU</v>
      </c>
      <c r="G2573" s="1">
        <f t="shared" si="1081"/>
        <v>44007</v>
      </c>
      <c r="H2573" s="2">
        <f t="shared" ca="1" si="1082"/>
        <v>246</v>
      </c>
      <c r="I2573" t="str">
        <f t="shared" si="1083"/>
        <v>AMZN</v>
      </c>
      <c r="J2573">
        <f t="shared" si="1084"/>
        <v>2520</v>
      </c>
      <c r="K2573">
        <f t="shared" si="1085"/>
        <v>2796</v>
      </c>
      <c r="L2573">
        <f t="shared" si="1086"/>
        <v>2658</v>
      </c>
      <c r="M2573">
        <f t="shared" si="1087"/>
        <v>138</v>
      </c>
      <c r="N2573">
        <f t="shared" si="1092"/>
        <v>276</v>
      </c>
      <c r="O2573">
        <f t="shared" si="1088"/>
        <v>2734</v>
      </c>
      <c r="P2573">
        <f t="shared" si="1089"/>
        <v>0.55072463768115942</v>
      </c>
      <c r="Q2573" t="str">
        <f t="shared" si="1093"/>
        <v>7.83% | 2.27%</v>
      </c>
      <c r="R2573" t="str">
        <f t="shared" si="1090"/>
        <v>BULLISH</v>
      </c>
      <c r="S2573">
        <f t="shared" si="1094"/>
        <v>1</v>
      </c>
    </row>
    <row r="2574" spans="1:19" hidden="1" x14ac:dyDescent="0.25">
      <c r="A2574" s="5" t="str">
        <f t="shared" si="1091"/>
        <v>44007FB</v>
      </c>
      <c r="B2574" s="6" t="s">
        <v>30</v>
      </c>
      <c r="C2574" s="6">
        <v>226</v>
      </c>
      <c r="D2574" s="6">
        <v>244</v>
      </c>
      <c r="E2574" s="6">
        <v>234</v>
      </c>
      <c r="F2574" t="str">
        <f t="shared" si="1080"/>
        <v>THU</v>
      </c>
      <c r="G2574" s="1">
        <f t="shared" si="1081"/>
        <v>44007</v>
      </c>
      <c r="H2574" s="2">
        <f t="shared" ca="1" si="1082"/>
        <v>246</v>
      </c>
      <c r="I2574" t="str">
        <f t="shared" si="1083"/>
        <v>FB</v>
      </c>
      <c r="J2574">
        <f t="shared" si="1084"/>
        <v>226</v>
      </c>
      <c r="K2574">
        <f t="shared" si="1085"/>
        <v>244</v>
      </c>
      <c r="L2574">
        <f t="shared" si="1086"/>
        <v>235</v>
      </c>
      <c r="M2574">
        <f t="shared" si="1087"/>
        <v>9</v>
      </c>
      <c r="N2574">
        <f t="shared" si="1092"/>
        <v>18</v>
      </c>
      <c r="O2574">
        <f t="shared" si="1088"/>
        <v>234</v>
      </c>
      <c r="P2574">
        <f t="shared" si="1089"/>
        <v>-0.1111111111111111</v>
      </c>
      <c r="Q2574" t="str">
        <f t="shared" si="1093"/>
        <v>3.42% | 4.27%</v>
      </c>
      <c r="R2574" t="str">
        <f t="shared" si="1090"/>
        <v>BULLISH</v>
      </c>
      <c r="S2574">
        <f t="shared" si="1094"/>
        <v>1</v>
      </c>
    </row>
    <row r="2575" spans="1:19" hidden="1" x14ac:dyDescent="0.25">
      <c r="A2575" s="5" t="str">
        <f t="shared" si="1091"/>
        <v>44007GOOGL</v>
      </c>
      <c r="B2575" s="6" t="s">
        <v>31</v>
      </c>
      <c r="C2575" s="6">
        <v>1399</v>
      </c>
      <c r="D2575" s="6">
        <v>1470</v>
      </c>
      <c r="E2575" s="6">
        <v>1432</v>
      </c>
      <c r="F2575" t="str">
        <f t="shared" si="1080"/>
        <v>THU</v>
      </c>
      <c r="G2575" s="1">
        <f t="shared" si="1081"/>
        <v>44007</v>
      </c>
      <c r="H2575" s="2">
        <f t="shared" ca="1" si="1082"/>
        <v>246</v>
      </c>
      <c r="I2575" t="str">
        <f t="shared" si="1083"/>
        <v>GOOGL</v>
      </c>
      <c r="J2575">
        <f t="shared" si="1084"/>
        <v>1399</v>
      </c>
      <c r="K2575">
        <f t="shared" si="1085"/>
        <v>1470</v>
      </c>
      <c r="L2575">
        <f t="shared" si="1086"/>
        <v>1434.5</v>
      </c>
      <c r="M2575">
        <f t="shared" si="1087"/>
        <v>35.5</v>
      </c>
      <c r="N2575">
        <f t="shared" si="1092"/>
        <v>71</v>
      </c>
      <c r="O2575">
        <f t="shared" si="1088"/>
        <v>1432</v>
      </c>
      <c r="P2575">
        <f t="shared" si="1089"/>
        <v>-7.0422535211267609E-2</v>
      </c>
      <c r="Q2575" t="str">
        <f t="shared" si="1093"/>
        <v>2.3% | 2.65%</v>
      </c>
      <c r="R2575" t="str">
        <f t="shared" si="1090"/>
        <v>BULLISH</v>
      </c>
      <c r="S2575">
        <f t="shared" si="1094"/>
        <v>1</v>
      </c>
    </row>
    <row r="2576" spans="1:19" hidden="1" x14ac:dyDescent="0.25">
      <c r="A2576" s="5" t="str">
        <f t="shared" si="1091"/>
        <v>44007NFLX</v>
      </c>
      <c r="B2576" s="6" t="s">
        <v>32</v>
      </c>
      <c r="C2576" s="6">
        <v>413</v>
      </c>
      <c r="D2576" s="6">
        <v>480</v>
      </c>
      <c r="E2576" s="6">
        <v>457</v>
      </c>
      <c r="F2576" t="str">
        <f t="shared" si="1080"/>
        <v>THU</v>
      </c>
      <c r="G2576" s="1">
        <f t="shared" si="1081"/>
        <v>44007</v>
      </c>
      <c r="H2576" s="2">
        <f t="shared" ca="1" si="1082"/>
        <v>246</v>
      </c>
      <c r="I2576" t="str">
        <f t="shared" si="1083"/>
        <v>NFLX</v>
      </c>
      <c r="J2576">
        <f t="shared" si="1084"/>
        <v>413</v>
      </c>
      <c r="K2576">
        <f t="shared" si="1085"/>
        <v>480</v>
      </c>
      <c r="L2576">
        <f t="shared" si="1086"/>
        <v>446.5</v>
      </c>
      <c r="M2576">
        <f t="shared" si="1087"/>
        <v>33.5</v>
      </c>
      <c r="N2576">
        <f t="shared" si="1092"/>
        <v>67</v>
      </c>
      <c r="O2576">
        <f t="shared" si="1088"/>
        <v>457</v>
      </c>
      <c r="P2576">
        <f t="shared" si="1089"/>
        <v>0.31343283582089554</v>
      </c>
      <c r="Q2576" t="str">
        <f t="shared" si="1093"/>
        <v>9.63% | 5.03%</v>
      </c>
      <c r="R2576" t="str">
        <f t="shared" si="1090"/>
        <v>BULLISH</v>
      </c>
      <c r="S2576">
        <f t="shared" si="1094"/>
        <v>1</v>
      </c>
    </row>
    <row r="2577" spans="1:19" x14ac:dyDescent="0.25">
      <c r="A2577" s="5" t="str">
        <f t="shared" si="1091"/>
        <v>44007TSLA</v>
      </c>
      <c r="B2577" s="6" t="s">
        <v>33</v>
      </c>
      <c r="C2577" s="6">
        <v>917</v>
      </c>
      <c r="D2577" s="6">
        <v>1027</v>
      </c>
      <c r="E2577" s="6">
        <v>960</v>
      </c>
      <c r="F2577" t="str">
        <f t="shared" si="1080"/>
        <v>THU</v>
      </c>
      <c r="G2577" s="1">
        <f t="shared" si="1081"/>
        <v>44007</v>
      </c>
      <c r="H2577" s="2">
        <f t="shared" ca="1" si="1082"/>
        <v>246</v>
      </c>
      <c r="I2577" t="str">
        <f t="shared" si="1083"/>
        <v>TSLA</v>
      </c>
      <c r="J2577">
        <f t="shared" si="1084"/>
        <v>917</v>
      </c>
      <c r="K2577">
        <f t="shared" si="1085"/>
        <v>1027</v>
      </c>
      <c r="L2577">
        <f t="shared" si="1086"/>
        <v>972</v>
      </c>
      <c r="M2577">
        <f t="shared" si="1087"/>
        <v>55</v>
      </c>
      <c r="N2577">
        <f t="shared" si="1092"/>
        <v>110</v>
      </c>
      <c r="O2577">
        <f t="shared" si="1088"/>
        <v>960</v>
      </c>
      <c r="P2577">
        <f t="shared" si="1089"/>
        <v>-0.21818181818181817</v>
      </c>
      <c r="Q2577" t="str">
        <f t="shared" si="1093"/>
        <v>4.48% | 6.98%</v>
      </c>
      <c r="R2577" t="str">
        <f t="shared" si="1090"/>
        <v>BULLISH</v>
      </c>
      <c r="S2577">
        <f t="shared" si="1094"/>
        <v>1</v>
      </c>
    </row>
    <row r="2578" spans="1:19" hidden="1" x14ac:dyDescent="0.25">
      <c r="A2578" s="5" t="str">
        <f t="shared" si="1091"/>
        <v>44007NYXBT</v>
      </c>
      <c r="B2578" s="6" t="s">
        <v>34</v>
      </c>
      <c r="C2578" s="6">
        <v>9161</v>
      </c>
      <c r="D2578" s="6">
        <v>9650</v>
      </c>
      <c r="E2578" s="6">
        <v>9313</v>
      </c>
      <c r="F2578" t="str">
        <f t="shared" si="1080"/>
        <v>THU</v>
      </c>
      <c r="G2578" s="1">
        <f t="shared" si="1081"/>
        <v>44007</v>
      </c>
      <c r="H2578" s="2">
        <f t="shared" ca="1" si="1082"/>
        <v>246</v>
      </c>
      <c r="I2578" t="str">
        <f t="shared" si="1083"/>
        <v>NYXBT</v>
      </c>
      <c r="J2578">
        <f t="shared" si="1084"/>
        <v>9161</v>
      </c>
      <c r="K2578">
        <f t="shared" si="1085"/>
        <v>9650</v>
      </c>
      <c r="L2578">
        <f t="shared" si="1086"/>
        <v>9405.5</v>
      </c>
      <c r="M2578">
        <f t="shared" si="1087"/>
        <v>244.5</v>
      </c>
      <c r="N2578">
        <f t="shared" si="1092"/>
        <v>489</v>
      </c>
      <c r="O2578">
        <f t="shared" si="1088"/>
        <v>9313</v>
      </c>
      <c r="P2578">
        <f t="shared" si="1089"/>
        <v>-0.3783231083844581</v>
      </c>
      <c r="Q2578" t="str">
        <f t="shared" si="1093"/>
        <v>1.63% | 3.62%</v>
      </c>
      <c r="R2578" t="str">
        <f t="shared" si="1090"/>
        <v>BULLISH</v>
      </c>
      <c r="S2578">
        <f t="shared" si="1094"/>
        <v>1</v>
      </c>
    </row>
    <row r="2579" spans="1:19" hidden="1" x14ac:dyDescent="0.25">
      <c r="A2579" s="5" t="str">
        <f t="shared" si="1091"/>
        <v>44008UST10Y</v>
      </c>
      <c r="B2579" s="6" t="s">
        <v>4</v>
      </c>
      <c r="C2579" s="6">
        <v>0.75</v>
      </c>
      <c r="D2579" s="6">
        <v>0.64</v>
      </c>
      <c r="E2579" s="6">
        <v>0.68</v>
      </c>
      <c r="F2579" t="str">
        <f t="shared" si="1080"/>
        <v>FRI</v>
      </c>
      <c r="G2579" s="3">
        <f>DATE(2020,6,26)</f>
        <v>44008</v>
      </c>
      <c r="H2579" s="2">
        <f t="shared" ca="1" si="1082"/>
        <v>245</v>
      </c>
      <c r="I2579" t="str">
        <f t="shared" si="1083"/>
        <v>UST10Y</v>
      </c>
      <c r="J2579">
        <f t="shared" si="1084"/>
        <v>0.75</v>
      </c>
      <c r="K2579">
        <f t="shared" si="1085"/>
        <v>0.64</v>
      </c>
      <c r="L2579">
        <f t="shared" si="1086"/>
        <v>0.69500000000000006</v>
      </c>
      <c r="M2579">
        <f t="shared" si="1087"/>
        <v>5.4999999999999993E-2</v>
      </c>
      <c r="N2579">
        <f t="shared" si="1092"/>
        <v>0.10999999999999999</v>
      </c>
      <c r="O2579">
        <f t="shared" si="1088"/>
        <v>0.68</v>
      </c>
      <c r="P2579">
        <f t="shared" si="1089"/>
        <v>-0.27272727272727298</v>
      </c>
      <c r="Q2579" t="str">
        <f t="shared" si="1093"/>
        <v>10.29% | 5.88%</v>
      </c>
      <c r="R2579" t="str">
        <f t="shared" si="1090"/>
        <v>BEARISH</v>
      </c>
      <c r="S2579">
        <f t="shared" si="1094"/>
        <v>-1</v>
      </c>
    </row>
    <row r="2580" spans="1:19" hidden="1" x14ac:dyDescent="0.25">
      <c r="A2580" s="5" t="str">
        <f t="shared" si="1091"/>
        <v>44008UST2Y</v>
      </c>
      <c r="B2580" s="6" t="s">
        <v>5</v>
      </c>
      <c r="C2580" s="6">
        <v>0.2</v>
      </c>
      <c r="D2580" s="6">
        <v>0.15</v>
      </c>
      <c r="E2580" s="6">
        <v>0.17</v>
      </c>
      <c r="F2580" t="str">
        <f t="shared" ref="F2580:F2609" si="1095">UPPER(TEXT(G2580,"ddd"))</f>
        <v>FRI</v>
      </c>
      <c r="G2580" s="3">
        <f t="shared" ref="G2580:G2608" si="1096">DATE(2020,6,26)</f>
        <v>44008</v>
      </c>
      <c r="H2580" s="2">
        <f t="shared" ref="H2580:H2609" ca="1" si="1097">TODAY()-G2580</f>
        <v>245</v>
      </c>
      <c r="I2580" t="str">
        <f t="shared" ref="I2580:I2609" si="1098">TRIM(LEFT(B2580,FIND(" ",B2580,1)))</f>
        <v>UST2Y</v>
      </c>
      <c r="J2580">
        <f t="shared" ref="J2580:J2609" si="1099">C2580</f>
        <v>0.2</v>
      </c>
      <c r="K2580">
        <f t="shared" ref="K2580:K2609" si="1100">D2580</f>
        <v>0.15</v>
      </c>
      <c r="L2580">
        <f t="shared" ref="L2580:L2609" si="1101">AVERAGE(J2580:K2580)</f>
        <v>0.17499999999999999</v>
      </c>
      <c r="M2580">
        <f t="shared" ref="M2580:M2609" si="1102">_xlfn.STDEV.P(J2580:K2580)</f>
        <v>2.5000000000000081E-2</v>
      </c>
      <c r="N2580">
        <f t="shared" si="1092"/>
        <v>5.0000000000000017E-2</v>
      </c>
      <c r="O2580">
        <f t="shared" ref="O2580:O2609" si="1103">E2580</f>
        <v>0.17</v>
      </c>
      <c r="P2580">
        <f t="shared" ref="P2580:P2609" si="1104">(O2580-L2580)/M2580</f>
        <v>-0.19999999999999843</v>
      </c>
      <c r="Q2580" t="str">
        <f t="shared" si="1093"/>
        <v>17.65% | 11.76%</v>
      </c>
      <c r="R2580" t="str">
        <f t="shared" ref="R2580:R2609" si="1105">MID(B2580,FIND("(",B2580,1)+1,FIND(")",B2580,1)-FIND("(",B2580,1)-1)</f>
        <v>BEARISH</v>
      </c>
      <c r="S2580">
        <f t="shared" si="1094"/>
        <v>-1</v>
      </c>
    </row>
    <row r="2581" spans="1:19" hidden="1" x14ac:dyDescent="0.25">
      <c r="A2581" s="5" t="str">
        <f t="shared" si="1091"/>
        <v>44008SPX</v>
      </c>
      <c r="B2581" s="6" t="s">
        <v>6</v>
      </c>
      <c r="C2581" s="6">
        <v>2980</v>
      </c>
      <c r="D2581" s="6">
        <v>3111</v>
      </c>
      <c r="E2581" s="6">
        <v>3083</v>
      </c>
      <c r="F2581" t="str">
        <f t="shared" si="1095"/>
        <v>FRI</v>
      </c>
      <c r="G2581" s="3">
        <f t="shared" si="1096"/>
        <v>44008</v>
      </c>
      <c r="H2581" s="2">
        <f t="shared" ca="1" si="1097"/>
        <v>245</v>
      </c>
      <c r="I2581" t="str">
        <f t="shared" si="1098"/>
        <v>SPX</v>
      </c>
      <c r="J2581">
        <f t="shared" si="1099"/>
        <v>2980</v>
      </c>
      <c r="K2581">
        <f t="shared" si="1100"/>
        <v>3111</v>
      </c>
      <c r="L2581">
        <f t="shared" si="1101"/>
        <v>3045.5</v>
      </c>
      <c r="M2581">
        <f t="shared" si="1102"/>
        <v>65.5</v>
      </c>
      <c r="N2581">
        <f t="shared" si="1092"/>
        <v>131</v>
      </c>
      <c r="O2581">
        <f t="shared" si="1103"/>
        <v>3083</v>
      </c>
      <c r="P2581">
        <f t="shared" si="1104"/>
        <v>0.5725190839694656</v>
      </c>
      <c r="Q2581" t="str">
        <f t="shared" si="1093"/>
        <v>3.34% | 0.91%</v>
      </c>
      <c r="R2581" t="str">
        <f t="shared" si="1105"/>
        <v>BEARISH</v>
      </c>
      <c r="S2581">
        <f t="shared" si="1094"/>
        <v>-1</v>
      </c>
    </row>
    <row r="2582" spans="1:19" hidden="1" x14ac:dyDescent="0.25">
      <c r="A2582" s="5" t="str">
        <f t="shared" si="1091"/>
        <v>44008RUT</v>
      </c>
      <c r="B2582" s="6" t="s">
        <v>7</v>
      </c>
      <c r="C2582" s="6">
        <v>1373</v>
      </c>
      <c r="D2582" s="6">
        <v>1459</v>
      </c>
      <c r="E2582" s="6">
        <v>1413</v>
      </c>
      <c r="F2582" t="str">
        <f t="shared" si="1095"/>
        <v>FRI</v>
      </c>
      <c r="G2582" s="3">
        <f t="shared" si="1096"/>
        <v>44008</v>
      </c>
      <c r="H2582" s="2">
        <f t="shared" ca="1" si="1097"/>
        <v>245</v>
      </c>
      <c r="I2582" t="str">
        <f t="shared" si="1098"/>
        <v>RUT</v>
      </c>
      <c r="J2582">
        <f t="shared" si="1099"/>
        <v>1373</v>
      </c>
      <c r="K2582">
        <f t="shared" si="1100"/>
        <v>1459</v>
      </c>
      <c r="L2582">
        <f t="shared" si="1101"/>
        <v>1416</v>
      </c>
      <c r="M2582">
        <f t="shared" si="1102"/>
        <v>43</v>
      </c>
      <c r="N2582">
        <f t="shared" si="1092"/>
        <v>86</v>
      </c>
      <c r="O2582">
        <f t="shared" si="1103"/>
        <v>1413</v>
      </c>
      <c r="P2582">
        <f t="shared" si="1104"/>
        <v>-6.9767441860465115E-2</v>
      </c>
      <c r="Q2582" t="str">
        <f t="shared" si="1093"/>
        <v>2.83% | 3.26%</v>
      </c>
      <c r="R2582" t="str">
        <f t="shared" si="1105"/>
        <v>BEARISH</v>
      </c>
      <c r="S2582">
        <f t="shared" si="1094"/>
        <v>-1</v>
      </c>
    </row>
    <row r="2583" spans="1:19" hidden="1" x14ac:dyDescent="0.25">
      <c r="A2583" s="5" t="str">
        <f t="shared" si="1091"/>
        <v>44008COMPQ</v>
      </c>
      <c r="B2583" s="6" t="s">
        <v>8</v>
      </c>
      <c r="C2583" s="6">
        <v>9666</v>
      </c>
      <c r="D2583" s="6">
        <v>10174</v>
      </c>
      <c r="E2583" s="6">
        <v>10017</v>
      </c>
      <c r="F2583" t="str">
        <f t="shared" si="1095"/>
        <v>FRI</v>
      </c>
      <c r="G2583" s="3">
        <f t="shared" si="1096"/>
        <v>44008</v>
      </c>
      <c r="H2583" s="2">
        <f t="shared" ca="1" si="1097"/>
        <v>245</v>
      </c>
      <c r="I2583" t="str">
        <f t="shared" si="1098"/>
        <v>COMPQ</v>
      </c>
      <c r="J2583">
        <f t="shared" si="1099"/>
        <v>9666</v>
      </c>
      <c r="K2583">
        <f t="shared" si="1100"/>
        <v>10174</v>
      </c>
      <c r="L2583">
        <f t="shared" si="1101"/>
        <v>9920</v>
      </c>
      <c r="M2583">
        <f t="shared" si="1102"/>
        <v>254</v>
      </c>
      <c r="N2583">
        <f t="shared" si="1092"/>
        <v>508</v>
      </c>
      <c r="O2583">
        <f t="shared" si="1103"/>
        <v>10017</v>
      </c>
      <c r="P2583">
        <f t="shared" si="1104"/>
        <v>0.38188976377952755</v>
      </c>
      <c r="Q2583" t="str">
        <f t="shared" si="1093"/>
        <v>3.5% | 1.57%</v>
      </c>
      <c r="R2583" t="str">
        <f t="shared" si="1105"/>
        <v>BULLISH</v>
      </c>
      <c r="S2583">
        <f t="shared" si="1094"/>
        <v>1</v>
      </c>
    </row>
    <row r="2584" spans="1:19" hidden="1" x14ac:dyDescent="0.25">
      <c r="A2584" s="5" t="str">
        <f t="shared" si="1091"/>
        <v>44008XLK</v>
      </c>
      <c r="B2584" s="6" t="s">
        <v>10</v>
      </c>
      <c r="C2584" s="6">
        <v>98.96</v>
      </c>
      <c r="D2584" s="6">
        <v>105.19</v>
      </c>
      <c r="E2584" s="6">
        <v>103.58</v>
      </c>
      <c r="F2584" t="str">
        <f t="shared" si="1095"/>
        <v>FRI</v>
      </c>
      <c r="G2584" s="3">
        <f t="shared" si="1096"/>
        <v>44008</v>
      </c>
      <c r="H2584" s="2">
        <f t="shared" ca="1" si="1097"/>
        <v>245</v>
      </c>
      <c r="I2584" t="str">
        <f t="shared" si="1098"/>
        <v>XLK</v>
      </c>
      <c r="J2584">
        <f t="shared" si="1099"/>
        <v>98.96</v>
      </c>
      <c r="K2584">
        <f t="shared" si="1100"/>
        <v>105.19</v>
      </c>
      <c r="L2584">
        <f t="shared" si="1101"/>
        <v>102.07499999999999</v>
      </c>
      <c r="M2584">
        <f t="shared" si="1102"/>
        <v>3.115000000000002</v>
      </c>
      <c r="N2584">
        <f t="shared" si="1092"/>
        <v>6.230000000000004</v>
      </c>
      <c r="O2584">
        <f t="shared" si="1103"/>
        <v>103.58</v>
      </c>
      <c r="P2584">
        <f t="shared" si="1104"/>
        <v>0.48314606741573313</v>
      </c>
      <c r="Q2584" t="str">
        <f t="shared" si="1093"/>
        <v>4.46% | 1.55%</v>
      </c>
      <c r="R2584" t="str">
        <f t="shared" si="1105"/>
        <v>BULLISH</v>
      </c>
      <c r="S2584">
        <f t="shared" si="1094"/>
        <v>1</v>
      </c>
    </row>
    <row r="2585" spans="1:19" hidden="1" x14ac:dyDescent="0.25">
      <c r="A2585" s="5" t="str">
        <f t="shared" si="1091"/>
        <v>44008XLRE</v>
      </c>
      <c r="B2585" s="6" t="s">
        <v>97</v>
      </c>
      <c r="C2585" s="6">
        <v>33.549999999999997</v>
      </c>
      <c r="D2585" s="6">
        <v>36.6</v>
      </c>
      <c r="E2585" s="6">
        <v>34.32</v>
      </c>
      <c r="F2585" t="str">
        <f t="shared" si="1095"/>
        <v>FRI</v>
      </c>
      <c r="G2585" s="3">
        <f t="shared" si="1096"/>
        <v>44008</v>
      </c>
      <c r="H2585" s="2">
        <f t="shared" ca="1" si="1097"/>
        <v>245</v>
      </c>
      <c r="I2585" t="str">
        <f t="shared" si="1098"/>
        <v>XLRE</v>
      </c>
      <c r="J2585">
        <f t="shared" si="1099"/>
        <v>33.549999999999997</v>
      </c>
      <c r="K2585">
        <f t="shared" si="1100"/>
        <v>36.6</v>
      </c>
      <c r="L2585">
        <f t="shared" si="1101"/>
        <v>35.075000000000003</v>
      </c>
      <c r="M2585">
        <f t="shared" si="1102"/>
        <v>1.5250000000000021</v>
      </c>
      <c r="N2585">
        <f t="shared" si="1092"/>
        <v>3.0500000000000043</v>
      </c>
      <c r="O2585">
        <f t="shared" si="1103"/>
        <v>34.32</v>
      </c>
      <c r="P2585">
        <f t="shared" si="1104"/>
        <v>-0.49508196721311576</v>
      </c>
      <c r="Q2585" t="str">
        <f t="shared" si="1093"/>
        <v>2.24% | 6.64%</v>
      </c>
      <c r="R2585" t="str">
        <f t="shared" si="1105"/>
        <v>BULLISH</v>
      </c>
      <c r="S2585">
        <f t="shared" si="1094"/>
        <v>1</v>
      </c>
    </row>
    <row r="2586" spans="1:19" hidden="1" x14ac:dyDescent="0.25">
      <c r="A2586" s="5" t="str">
        <f t="shared" si="1091"/>
        <v>44008XLU</v>
      </c>
      <c r="B2586" s="6" t="s">
        <v>52</v>
      </c>
      <c r="C2586" s="6">
        <v>55.4</v>
      </c>
      <c r="D2586" s="6">
        <v>59.75</v>
      </c>
      <c r="E2586" s="6">
        <v>55.77</v>
      </c>
      <c r="F2586" t="str">
        <f t="shared" si="1095"/>
        <v>FRI</v>
      </c>
      <c r="G2586" s="3">
        <f t="shared" si="1096"/>
        <v>44008</v>
      </c>
      <c r="H2586" s="2">
        <f t="shared" ca="1" si="1097"/>
        <v>245</v>
      </c>
      <c r="I2586" t="str">
        <f t="shared" si="1098"/>
        <v>XLU</v>
      </c>
      <c r="J2586">
        <f t="shared" si="1099"/>
        <v>55.4</v>
      </c>
      <c r="K2586">
        <f t="shared" si="1100"/>
        <v>59.75</v>
      </c>
      <c r="L2586">
        <f t="shared" si="1101"/>
        <v>57.575000000000003</v>
      </c>
      <c r="M2586">
        <f t="shared" si="1102"/>
        <v>2.1750000000000007</v>
      </c>
      <c r="N2586">
        <f t="shared" si="1092"/>
        <v>4.3500000000000014</v>
      </c>
      <c r="O2586">
        <f t="shared" si="1103"/>
        <v>55.77</v>
      </c>
      <c r="P2586">
        <f t="shared" si="1104"/>
        <v>-0.82988505747126395</v>
      </c>
      <c r="Q2586" t="str">
        <f t="shared" si="1093"/>
        <v>0.66% | 7.14%</v>
      </c>
      <c r="R2586" t="str">
        <f t="shared" si="1105"/>
        <v>BULLISH</v>
      </c>
      <c r="S2586">
        <f t="shared" si="1094"/>
        <v>1</v>
      </c>
    </row>
    <row r="2587" spans="1:19" hidden="1" x14ac:dyDescent="0.25">
      <c r="A2587" s="5" t="str">
        <f t="shared" si="1091"/>
        <v>44008XLF</v>
      </c>
      <c r="B2587" s="6" t="s">
        <v>12</v>
      </c>
      <c r="C2587" s="6">
        <v>22.3</v>
      </c>
      <c r="D2587" s="6">
        <v>24.5</v>
      </c>
      <c r="E2587" s="6">
        <v>23.59</v>
      </c>
      <c r="F2587" t="str">
        <f t="shared" si="1095"/>
        <v>FRI</v>
      </c>
      <c r="G2587" s="3">
        <f t="shared" si="1096"/>
        <v>44008</v>
      </c>
      <c r="H2587" s="2">
        <f t="shared" ca="1" si="1097"/>
        <v>245</v>
      </c>
      <c r="I2587" t="str">
        <f t="shared" si="1098"/>
        <v>XLF</v>
      </c>
      <c r="J2587">
        <f t="shared" si="1099"/>
        <v>22.3</v>
      </c>
      <c r="K2587">
        <f t="shared" si="1100"/>
        <v>24.5</v>
      </c>
      <c r="L2587">
        <f t="shared" si="1101"/>
        <v>23.4</v>
      </c>
      <c r="M2587">
        <f t="shared" si="1102"/>
        <v>1.0999999999999996</v>
      </c>
      <c r="N2587">
        <f t="shared" si="1092"/>
        <v>2.1999999999999993</v>
      </c>
      <c r="O2587">
        <f t="shared" si="1103"/>
        <v>23.59</v>
      </c>
      <c r="P2587">
        <f t="shared" si="1104"/>
        <v>0.17272727272727395</v>
      </c>
      <c r="Q2587" t="str">
        <f t="shared" si="1093"/>
        <v>5.47% | 3.86%</v>
      </c>
      <c r="R2587" t="str">
        <f t="shared" si="1105"/>
        <v>BEARISH</v>
      </c>
      <c r="S2587">
        <f t="shared" si="1094"/>
        <v>-1</v>
      </c>
    </row>
    <row r="2588" spans="1:19" hidden="1" x14ac:dyDescent="0.25">
      <c r="A2588" s="5" t="str">
        <f t="shared" si="1091"/>
        <v>44008SSEC</v>
      </c>
      <c r="B2588" s="6" t="s">
        <v>104</v>
      </c>
      <c r="C2588" s="6">
        <v>2904</v>
      </c>
      <c r="D2588" s="6">
        <v>2999</v>
      </c>
      <c r="E2588" s="6">
        <v>2979</v>
      </c>
      <c r="F2588" t="str">
        <f t="shared" si="1095"/>
        <v>FRI</v>
      </c>
      <c r="G2588" s="3">
        <f t="shared" si="1096"/>
        <v>44008</v>
      </c>
      <c r="H2588" s="2">
        <f t="shared" ca="1" si="1097"/>
        <v>245</v>
      </c>
      <c r="I2588" t="str">
        <f t="shared" si="1098"/>
        <v>SSEC</v>
      </c>
      <c r="J2588">
        <f t="shared" si="1099"/>
        <v>2904</v>
      </c>
      <c r="K2588">
        <f t="shared" si="1100"/>
        <v>2999</v>
      </c>
      <c r="L2588">
        <f t="shared" si="1101"/>
        <v>2951.5</v>
      </c>
      <c r="M2588">
        <f t="shared" si="1102"/>
        <v>47.5</v>
      </c>
      <c r="N2588">
        <f t="shared" si="1092"/>
        <v>95</v>
      </c>
      <c r="O2588">
        <f t="shared" si="1103"/>
        <v>2979</v>
      </c>
      <c r="P2588">
        <f t="shared" si="1104"/>
        <v>0.57894736842105265</v>
      </c>
      <c r="Q2588" t="str">
        <f t="shared" si="1093"/>
        <v>2.52% | 0.67%</v>
      </c>
      <c r="R2588" t="str">
        <f t="shared" si="1105"/>
        <v>BULLISH</v>
      </c>
      <c r="S2588">
        <f t="shared" si="1094"/>
        <v>1</v>
      </c>
    </row>
    <row r="2589" spans="1:19" hidden="1" x14ac:dyDescent="0.25">
      <c r="A2589" s="5" t="str">
        <f t="shared" si="1091"/>
        <v>44008NIKK</v>
      </c>
      <c r="B2589" s="6" t="s">
        <v>15</v>
      </c>
      <c r="C2589" s="6">
        <v>21740</v>
      </c>
      <c r="D2589" s="6">
        <v>22903</v>
      </c>
      <c r="E2589" s="6">
        <v>22512</v>
      </c>
      <c r="F2589" t="str">
        <f t="shared" si="1095"/>
        <v>FRI</v>
      </c>
      <c r="G2589" s="3">
        <f t="shared" si="1096"/>
        <v>44008</v>
      </c>
      <c r="H2589" s="2">
        <f t="shared" ca="1" si="1097"/>
        <v>245</v>
      </c>
      <c r="I2589" t="str">
        <f t="shared" si="1098"/>
        <v>NIKK</v>
      </c>
      <c r="J2589">
        <f t="shared" si="1099"/>
        <v>21740</v>
      </c>
      <c r="K2589">
        <f t="shared" si="1100"/>
        <v>22903</v>
      </c>
      <c r="L2589">
        <f t="shared" si="1101"/>
        <v>22321.5</v>
      </c>
      <c r="M2589">
        <f t="shared" si="1102"/>
        <v>581.5</v>
      </c>
      <c r="N2589">
        <f t="shared" si="1092"/>
        <v>1163</v>
      </c>
      <c r="O2589">
        <f t="shared" si="1103"/>
        <v>22512</v>
      </c>
      <c r="P2589">
        <f t="shared" si="1104"/>
        <v>0.32760103181427341</v>
      </c>
      <c r="Q2589" t="str">
        <f t="shared" si="1093"/>
        <v>3.43% | 1.74%</v>
      </c>
      <c r="R2589" t="str">
        <f t="shared" si="1105"/>
        <v>BEARISH</v>
      </c>
      <c r="S2589">
        <f t="shared" si="1094"/>
        <v>-1</v>
      </c>
    </row>
    <row r="2590" spans="1:19" hidden="1" x14ac:dyDescent="0.25">
      <c r="A2590" s="5" t="str">
        <f t="shared" si="1091"/>
        <v>44008DAX</v>
      </c>
      <c r="B2590" s="6" t="s">
        <v>16</v>
      </c>
      <c r="C2590" s="6">
        <v>11899</v>
      </c>
      <c r="D2590" s="6">
        <v>12595</v>
      </c>
      <c r="E2590" s="6">
        <v>12172</v>
      </c>
      <c r="F2590" t="str">
        <f t="shared" si="1095"/>
        <v>FRI</v>
      </c>
      <c r="G2590" s="3">
        <f t="shared" si="1096"/>
        <v>44008</v>
      </c>
      <c r="H2590" s="2">
        <f t="shared" ca="1" si="1097"/>
        <v>245</v>
      </c>
      <c r="I2590" t="str">
        <f t="shared" si="1098"/>
        <v>DAX</v>
      </c>
      <c r="J2590">
        <f t="shared" si="1099"/>
        <v>11899</v>
      </c>
      <c r="K2590">
        <f t="shared" si="1100"/>
        <v>12595</v>
      </c>
      <c r="L2590">
        <f t="shared" si="1101"/>
        <v>12247</v>
      </c>
      <c r="M2590">
        <f t="shared" si="1102"/>
        <v>348</v>
      </c>
      <c r="N2590">
        <f t="shared" si="1092"/>
        <v>696</v>
      </c>
      <c r="O2590">
        <f t="shared" si="1103"/>
        <v>12172</v>
      </c>
      <c r="P2590">
        <f t="shared" si="1104"/>
        <v>-0.21551724137931033</v>
      </c>
      <c r="Q2590" t="str">
        <f t="shared" si="1093"/>
        <v>2.24% | 3.48%</v>
      </c>
      <c r="R2590" t="str">
        <f t="shared" si="1105"/>
        <v>BEARISH</v>
      </c>
      <c r="S2590">
        <f t="shared" si="1094"/>
        <v>-1</v>
      </c>
    </row>
    <row r="2591" spans="1:19" hidden="1" x14ac:dyDescent="0.25">
      <c r="A2591" s="5" t="str">
        <f t="shared" si="1091"/>
        <v>44008VIX</v>
      </c>
      <c r="B2591" s="6" t="s">
        <v>17</v>
      </c>
      <c r="C2591" s="6">
        <v>30.07</v>
      </c>
      <c r="D2591" s="6">
        <v>38.43</v>
      </c>
      <c r="E2591" s="6">
        <v>32.22</v>
      </c>
      <c r="F2591" t="str">
        <f t="shared" si="1095"/>
        <v>FRI</v>
      </c>
      <c r="G2591" s="3">
        <f t="shared" si="1096"/>
        <v>44008</v>
      </c>
      <c r="H2591" s="2">
        <f t="shared" ca="1" si="1097"/>
        <v>245</v>
      </c>
      <c r="I2591" t="str">
        <f t="shared" si="1098"/>
        <v>VIX</v>
      </c>
      <c r="J2591">
        <f t="shared" si="1099"/>
        <v>30.07</v>
      </c>
      <c r="K2591">
        <f t="shared" si="1100"/>
        <v>38.43</v>
      </c>
      <c r="L2591">
        <f t="shared" si="1101"/>
        <v>34.25</v>
      </c>
      <c r="M2591">
        <f t="shared" si="1102"/>
        <v>4.180000000000013</v>
      </c>
      <c r="N2591">
        <f t="shared" si="1092"/>
        <v>8.36</v>
      </c>
      <c r="O2591">
        <f t="shared" si="1103"/>
        <v>32.22</v>
      </c>
      <c r="P2591">
        <f t="shared" si="1104"/>
        <v>-0.48564593301435283</v>
      </c>
      <c r="Q2591" t="str">
        <f t="shared" si="1093"/>
        <v>6.67% | 19.27%</v>
      </c>
      <c r="R2591" t="str">
        <f t="shared" si="1105"/>
        <v>BULLISH</v>
      </c>
      <c r="S2591">
        <f t="shared" si="1094"/>
        <v>1</v>
      </c>
    </row>
    <row r="2592" spans="1:19" hidden="1" x14ac:dyDescent="0.25">
      <c r="A2592" s="5" t="str">
        <f t="shared" si="1091"/>
        <v>44008USD</v>
      </c>
      <c r="B2592" s="6" t="s">
        <v>94</v>
      </c>
      <c r="C2592" s="6">
        <v>96.26</v>
      </c>
      <c r="D2592" s="6">
        <v>97.82</v>
      </c>
      <c r="E2592" s="6">
        <v>97.39</v>
      </c>
      <c r="F2592" t="str">
        <f t="shared" si="1095"/>
        <v>FRI</v>
      </c>
      <c r="G2592" s="3">
        <f t="shared" si="1096"/>
        <v>44008</v>
      </c>
      <c r="H2592" s="2">
        <f t="shared" ca="1" si="1097"/>
        <v>245</v>
      </c>
      <c r="I2592" t="str">
        <f t="shared" si="1098"/>
        <v>USD</v>
      </c>
      <c r="J2592">
        <f t="shared" si="1099"/>
        <v>96.26</v>
      </c>
      <c r="K2592">
        <f t="shared" si="1100"/>
        <v>97.82</v>
      </c>
      <c r="L2592">
        <f t="shared" si="1101"/>
        <v>97.039999999999992</v>
      </c>
      <c r="M2592">
        <f t="shared" si="1102"/>
        <v>0.77999999999999403</v>
      </c>
      <c r="N2592">
        <f t="shared" si="1092"/>
        <v>1.5599999999999881</v>
      </c>
      <c r="O2592">
        <f t="shared" si="1103"/>
        <v>97.39</v>
      </c>
      <c r="P2592">
        <f t="shared" si="1104"/>
        <v>0.44871794871796306</v>
      </c>
      <c r="Q2592" t="str">
        <f t="shared" si="1093"/>
        <v>1.16% | 0.44%</v>
      </c>
      <c r="R2592" t="str">
        <f t="shared" si="1105"/>
        <v>BEARISH</v>
      </c>
      <c r="S2592">
        <f t="shared" si="1094"/>
        <v>-1</v>
      </c>
    </row>
    <row r="2593" spans="1:19" hidden="1" x14ac:dyDescent="0.25">
      <c r="A2593" s="5" t="str">
        <f t="shared" si="1091"/>
        <v>44008EUR/USD</v>
      </c>
      <c r="B2593" s="6" t="s">
        <v>77</v>
      </c>
      <c r="C2593" s="6">
        <v>1.1100000000000001</v>
      </c>
      <c r="D2593" s="6">
        <v>1.1299999999999999</v>
      </c>
      <c r="E2593" s="6">
        <v>1.1200000000000001</v>
      </c>
      <c r="F2593" t="str">
        <f t="shared" si="1095"/>
        <v>FRI</v>
      </c>
      <c r="G2593" s="3">
        <f t="shared" si="1096"/>
        <v>44008</v>
      </c>
      <c r="H2593" s="2">
        <f t="shared" ca="1" si="1097"/>
        <v>245</v>
      </c>
      <c r="I2593" t="str">
        <f t="shared" si="1098"/>
        <v>EUR/USD</v>
      </c>
      <c r="J2593">
        <f t="shared" si="1099"/>
        <v>1.1100000000000001</v>
      </c>
      <c r="K2593">
        <f t="shared" si="1100"/>
        <v>1.1299999999999999</v>
      </c>
      <c r="L2593">
        <f t="shared" si="1101"/>
        <v>1.1200000000000001</v>
      </c>
      <c r="M2593">
        <f t="shared" si="1102"/>
        <v>9.9999999999998979E-3</v>
      </c>
      <c r="N2593">
        <f t="shared" si="1092"/>
        <v>1.9999999999999796E-2</v>
      </c>
      <c r="O2593">
        <f t="shared" si="1103"/>
        <v>1.1200000000000001</v>
      </c>
      <c r="P2593">
        <f t="shared" si="1104"/>
        <v>0</v>
      </c>
      <c r="Q2593" t="str">
        <f t="shared" si="1093"/>
        <v>0.89% | 0.89%</v>
      </c>
      <c r="R2593" t="str">
        <f t="shared" si="1105"/>
        <v>NEUTRAL</v>
      </c>
      <c r="S2593">
        <f t="shared" si="1094"/>
        <v>0</v>
      </c>
    </row>
    <row r="2594" spans="1:19" hidden="1" x14ac:dyDescent="0.25">
      <c r="A2594" s="5" t="str">
        <f t="shared" si="1091"/>
        <v>44008USD/JPY</v>
      </c>
      <c r="B2594" s="6" t="s">
        <v>20</v>
      </c>
      <c r="C2594" s="6">
        <v>106.24</v>
      </c>
      <c r="D2594" s="6">
        <v>107.97</v>
      </c>
      <c r="E2594" s="6">
        <v>107.16</v>
      </c>
      <c r="F2594" t="str">
        <f t="shared" si="1095"/>
        <v>FRI</v>
      </c>
      <c r="G2594" s="3">
        <f t="shared" si="1096"/>
        <v>44008</v>
      </c>
      <c r="H2594" s="2">
        <f t="shared" ca="1" si="1097"/>
        <v>245</v>
      </c>
      <c r="I2594" t="str">
        <f t="shared" si="1098"/>
        <v>USD/JPY</v>
      </c>
      <c r="J2594">
        <f t="shared" si="1099"/>
        <v>106.24</v>
      </c>
      <c r="K2594">
        <f t="shared" si="1100"/>
        <v>107.97</v>
      </c>
      <c r="L2594">
        <f t="shared" si="1101"/>
        <v>107.10499999999999</v>
      </c>
      <c r="M2594">
        <f t="shared" si="1102"/>
        <v>0.86500000000000199</v>
      </c>
      <c r="N2594">
        <f t="shared" si="1092"/>
        <v>1.730000000000004</v>
      </c>
      <c r="O2594">
        <f t="shared" si="1103"/>
        <v>107.16</v>
      </c>
      <c r="P2594">
        <f t="shared" si="1104"/>
        <v>6.3583815028909474E-2</v>
      </c>
      <c r="Q2594" t="str">
        <f t="shared" si="1093"/>
        <v>0.86% | 0.76%</v>
      </c>
      <c r="R2594" t="str">
        <f t="shared" si="1105"/>
        <v>BEARISH</v>
      </c>
      <c r="S2594">
        <f t="shared" si="1094"/>
        <v>-1</v>
      </c>
    </row>
    <row r="2595" spans="1:19" hidden="1" x14ac:dyDescent="0.25">
      <c r="A2595" s="5" t="str">
        <f t="shared" si="1091"/>
        <v>44008GBP/USD</v>
      </c>
      <c r="B2595" s="6" t="s">
        <v>79</v>
      </c>
      <c r="C2595" s="6">
        <v>1.23</v>
      </c>
      <c r="D2595" s="6">
        <v>1.26</v>
      </c>
      <c r="E2595" s="6">
        <v>1.24</v>
      </c>
      <c r="F2595" t="str">
        <f t="shared" si="1095"/>
        <v>FRI</v>
      </c>
      <c r="G2595" s="3">
        <f t="shared" si="1096"/>
        <v>44008</v>
      </c>
      <c r="H2595" s="2">
        <f t="shared" ca="1" si="1097"/>
        <v>245</v>
      </c>
      <c r="I2595" t="str">
        <f t="shared" si="1098"/>
        <v>GBP/USD</v>
      </c>
      <c r="J2595">
        <f t="shared" si="1099"/>
        <v>1.23</v>
      </c>
      <c r="K2595">
        <f t="shared" si="1100"/>
        <v>1.26</v>
      </c>
      <c r="L2595">
        <f t="shared" si="1101"/>
        <v>1.2450000000000001</v>
      </c>
      <c r="M2595">
        <f t="shared" si="1102"/>
        <v>1.5000000000000013E-2</v>
      </c>
      <c r="N2595">
        <f t="shared" si="1092"/>
        <v>3.0000000000000027E-2</v>
      </c>
      <c r="O2595">
        <f t="shared" si="1103"/>
        <v>1.24</v>
      </c>
      <c r="P2595">
        <f t="shared" si="1104"/>
        <v>-0.33333333333334075</v>
      </c>
      <c r="Q2595" t="str">
        <f t="shared" si="1093"/>
        <v>0.81% | 1.61%</v>
      </c>
      <c r="R2595" t="str">
        <f t="shared" si="1105"/>
        <v>NEUTRAL</v>
      </c>
      <c r="S2595">
        <f t="shared" si="1094"/>
        <v>0</v>
      </c>
    </row>
    <row r="2596" spans="1:19" hidden="1" x14ac:dyDescent="0.25">
      <c r="A2596" s="5" t="str">
        <f t="shared" si="1091"/>
        <v>44008USD/CHF</v>
      </c>
      <c r="B2596" s="6" t="s">
        <v>76</v>
      </c>
      <c r="C2596" s="6">
        <v>0.94</v>
      </c>
      <c r="D2596" s="6">
        <v>0.96</v>
      </c>
      <c r="E2596" s="6">
        <v>0.94</v>
      </c>
      <c r="F2596" t="str">
        <f t="shared" si="1095"/>
        <v>FRI</v>
      </c>
      <c r="G2596" s="3">
        <f t="shared" si="1096"/>
        <v>44008</v>
      </c>
      <c r="H2596" s="2">
        <f t="shared" ca="1" si="1097"/>
        <v>245</v>
      </c>
      <c r="I2596" t="str">
        <f t="shared" si="1098"/>
        <v>USD/CHF</v>
      </c>
      <c r="J2596">
        <f t="shared" si="1099"/>
        <v>0.94</v>
      </c>
      <c r="K2596">
        <f t="shared" si="1100"/>
        <v>0.96</v>
      </c>
      <c r="L2596">
        <f t="shared" si="1101"/>
        <v>0.95</v>
      </c>
      <c r="M2596">
        <f t="shared" si="1102"/>
        <v>1.0000000000000009E-2</v>
      </c>
      <c r="N2596">
        <f t="shared" si="1092"/>
        <v>2.0000000000000018E-2</v>
      </c>
      <c r="O2596">
        <f t="shared" si="1103"/>
        <v>0.94</v>
      </c>
      <c r="P2596">
        <f t="shared" si="1104"/>
        <v>-1</v>
      </c>
      <c r="Q2596" t="str">
        <f t="shared" si="1093"/>
        <v>0% | 2.13%</v>
      </c>
      <c r="R2596" t="str">
        <f t="shared" si="1105"/>
        <v>BEARISH</v>
      </c>
      <c r="S2596">
        <f t="shared" si="1094"/>
        <v>-1</v>
      </c>
    </row>
    <row r="2597" spans="1:19" hidden="1" x14ac:dyDescent="0.25">
      <c r="A2597" s="5" t="str">
        <f t="shared" si="1091"/>
        <v>44008WTIC</v>
      </c>
      <c r="B2597" s="6" t="s">
        <v>103</v>
      </c>
      <c r="C2597" s="6">
        <v>36.08</v>
      </c>
      <c r="D2597" s="6">
        <v>41.36</v>
      </c>
      <c r="E2597" s="6">
        <v>38.72</v>
      </c>
      <c r="F2597" t="str">
        <f t="shared" si="1095"/>
        <v>FRI</v>
      </c>
      <c r="G2597" s="3">
        <f t="shared" si="1096"/>
        <v>44008</v>
      </c>
      <c r="H2597" s="2">
        <f t="shared" ca="1" si="1097"/>
        <v>245</v>
      </c>
      <c r="I2597" t="str">
        <f t="shared" si="1098"/>
        <v>WTIC</v>
      </c>
      <c r="J2597">
        <f t="shared" si="1099"/>
        <v>36.08</v>
      </c>
      <c r="K2597">
        <f t="shared" si="1100"/>
        <v>41.36</v>
      </c>
      <c r="L2597">
        <f t="shared" si="1101"/>
        <v>38.72</v>
      </c>
      <c r="M2597">
        <f t="shared" si="1102"/>
        <v>2.6400000000000006</v>
      </c>
      <c r="N2597">
        <f t="shared" si="1092"/>
        <v>5.2800000000000011</v>
      </c>
      <c r="O2597">
        <f t="shared" si="1103"/>
        <v>38.72</v>
      </c>
      <c r="P2597">
        <f t="shared" si="1104"/>
        <v>0</v>
      </c>
      <c r="Q2597" t="str">
        <f t="shared" si="1093"/>
        <v>6.82% | 6.82%</v>
      </c>
      <c r="R2597" t="str">
        <f t="shared" si="1105"/>
        <v>NEUTRAL</v>
      </c>
      <c r="S2597">
        <f t="shared" si="1094"/>
        <v>0</v>
      </c>
    </row>
    <row r="2598" spans="1:19" hidden="1" x14ac:dyDescent="0.25">
      <c r="A2598" s="5" t="str">
        <f t="shared" si="1091"/>
        <v>44008NATGAS</v>
      </c>
      <c r="B2598" s="6" t="s">
        <v>24</v>
      </c>
      <c r="C2598" s="6">
        <v>1.4</v>
      </c>
      <c r="D2598" s="6">
        <v>1.73</v>
      </c>
      <c r="E2598" s="6">
        <v>1.55</v>
      </c>
      <c r="F2598" t="str">
        <f t="shared" si="1095"/>
        <v>FRI</v>
      </c>
      <c r="G2598" s="3">
        <f t="shared" si="1096"/>
        <v>44008</v>
      </c>
      <c r="H2598" s="2">
        <f t="shared" ca="1" si="1097"/>
        <v>245</v>
      </c>
      <c r="I2598" t="str">
        <f t="shared" si="1098"/>
        <v>NATGAS</v>
      </c>
      <c r="J2598">
        <f t="shared" si="1099"/>
        <v>1.4</v>
      </c>
      <c r="K2598">
        <f t="shared" si="1100"/>
        <v>1.73</v>
      </c>
      <c r="L2598">
        <f t="shared" si="1101"/>
        <v>1.5649999999999999</v>
      </c>
      <c r="M2598">
        <f t="shared" si="1102"/>
        <v>0.16500000000000017</v>
      </c>
      <c r="N2598">
        <f t="shared" si="1092"/>
        <v>0.33000000000000007</v>
      </c>
      <c r="O2598">
        <f t="shared" si="1103"/>
        <v>1.55</v>
      </c>
      <c r="P2598">
        <f t="shared" si="1104"/>
        <v>-9.0909090909090218E-2</v>
      </c>
      <c r="Q2598" t="str">
        <f t="shared" si="1093"/>
        <v>9.68% | 11.61%</v>
      </c>
      <c r="R2598" t="str">
        <f t="shared" si="1105"/>
        <v>BEARISH</v>
      </c>
      <c r="S2598">
        <f t="shared" si="1094"/>
        <v>-1</v>
      </c>
    </row>
    <row r="2599" spans="1:19" hidden="1" x14ac:dyDescent="0.25">
      <c r="A2599" s="5" t="str">
        <f t="shared" si="1091"/>
        <v>44008GOLD</v>
      </c>
      <c r="B2599" s="6" t="s">
        <v>25</v>
      </c>
      <c r="C2599" s="6">
        <v>1728</v>
      </c>
      <c r="D2599" s="6">
        <v>1794</v>
      </c>
      <c r="E2599" s="6">
        <v>1770</v>
      </c>
      <c r="F2599" t="str">
        <f t="shared" si="1095"/>
        <v>FRI</v>
      </c>
      <c r="G2599" s="3">
        <f t="shared" si="1096"/>
        <v>44008</v>
      </c>
      <c r="H2599" s="2">
        <f t="shared" ca="1" si="1097"/>
        <v>245</v>
      </c>
      <c r="I2599" t="str">
        <f t="shared" si="1098"/>
        <v>GOLD</v>
      </c>
      <c r="J2599">
        <f t="shared" si="1099"/>
        <v>1728</v>
      </c>
      <c r="K2599">
        <f t="shared" si="1100"/>
        <v>1794</v>
      </c>
      <c r="L2599">
        <f t="shared" si="1101"/>
        <v>1761</v>
      </c>
      <c r="M2599">
        <f t="shared" si="1102"/>
        <v>33</v>
      </c>
      <c r="N2599">
        <f t="shared" si="1092"/>
        <v>66</v>
      </c>
      <c r="O2599">
        <f t="shared" si="1103"/>
        <v>1770</v>
      </c>
      <c r="P2599">
        <f t="shared" si="1104"/>
        <v>0.27272727272727271</v>
      </c>
      <c r="Q2599" t="str">
        <f t="shared" si="1093"/>
        <v>2.37% | 1.36%</v>
      </c>
      <c r="R2599" t="str">
        <f t="shared" si="1105"/>
        <v>BULLISH</v>
      </c>
      <c r="S2599">
        <f t="shared" si="1094"/>
        <v>1</v>
      </c>
    </row>
    <row r="2600" spans="1:19" hidden="1" x14ac:dyDescent="0.25">
      <c r="A2600" s="5" t="str">
        <f t="shared" si="1091"/>
        <v>44008COPPER</v>
      </c>
      <c r="B2600" s="6" t="s">
        <v>100</v>
      </c>
      <c r="C2600" s="6">
        <v>2.56</v>
      </c>
      <c r="D2600" s="6">
        <v>2.7</v>
      </c>
      <c r="E2600" s="6">
        <v>2.66</v>
      </c>
      <c r="F2600" t="str">
        <f t="shared" si="1095"/>
        <v>FRI</v>
      </c>
      <c r="G2600" s="3">
        <f t="shared" si="1096"/>
        <v>44008</v>
      </c>
      <c r="H2600" s="2">
        <f t="shared" ca="1" si="1097"/>
        <v>245</v>
      </c>
      <c r="I2600" t="str">
        <f t="shared" si="1098"/>
        <v>COPPER</v>
      </c>
      <c r="J2600">
        <f t="shared" si="1099"/>
        <v>2.56</v>
      </c>
      <c r="K2600">
        <f t="shared" si="1100"/>
        <v>2.7</v>
      </c>
      <c r="L2600">
        <f t="shared" si="1101"/>
        <v>2.63</v>
      </c>
      <c r="M2600">
        <f t="shared" si="1102"/>
        <v>7.0000000000000062E-2</v>
      </c>
      <c r="N2600">
        <f t="shared" si="1092"/>
        <v>0.14000000000000012</v>
      </c>
      <c r="O2600">
        <f t="shared" si="1103"/>
        <v>2.66</v>
      </c>
      <c r="P2600">
        <f t="shared" si="1104"/>
        <v>0.42857142857143177</v>
      </c>
      <c r="Q2600" t="str">
        <f t="shared" si="1093"/>
        <v>3.76% | 1.5%</v>
      </c>
      <c r="R2600" t="str">
        <f t="shared" si="1105"/>
        <v>BULLISH</v>
      </c>
      <c r="S2600">
        <f t="shared" si="1094"/>
        <v>1</v>
      </c>
    </row>
    <row r="2601" spans="1:19" hidden="1" x14ac:dyDescent="0.25">
      <c r="A2601" s="5" t="str">
        <f t="shared" si="1091"/>
        <v>44008MSFT</v>
      </c>
      <c r="B2601" s="6" t="s">
        <v>27</v>
      </c>
      <c r="C2601" s="6">
        <v>189</v>
      </c>
      <c r="D2601" s="6">
        <v>204</v>
      </c>
      <c r="E2601" s="6">
        <v>200</v>
      </c>
      <c r="F2601" t="str">
        <f t="shared" si="1095"/>
        <v>FRI</v>
      </c>
      <c r="G2601" s="3">
        <f t="shared" si="1096"/>
        <v>44008</v>
      </c>
      <c r="H2601" s="2">
        <f t="shared" ca="1" si="1097"/>
        <v>245</v>
      </c>
      <c r="I2601" t="str">
        <f t="shared" si="1098"/>
        <v>MSFT</v>
      </c>
      <c r="J2601">
        <f t="shared" si="1099"/>
        <v>189</v>
      </c>
      <c r="K2601">
        <f t="shared" si="1100"/>
        <v>204</v>
      </c>
      <c r="L2601">
        <f t="shared" si="1101"/>
        <v>196.5</v>
      </c>
      <c r="M2601">
        <f t="shared" si="1102"/>
        <v>7.5</v>
      </c>
      <c r="N2601">
        <f t="shared" si="1092"/>
        <v>15</v>
      </c>
      <c r="O2601">
        <f t="shared" si="1103"/>
        <v>200</v>
      </c>
      <c r="P2601">
        <f t="shared" si="1104"/>
        <v>0.46666666666666667</v>
      </c>
      <c r="Q2601" t="str">
        <f t="shared" si="1093"/>
        <v>5.5% | 2%</v>
      </c>
      <c r="R2601" t="str">
        <f t="shared" si="1105"/>
        <v>BULLISH</v>
      </c>
      <c r="S2601">
        <f t="shared" si="1094"/>
        <v>1</v>
      </c>
    </row>
    <row r="2602" spans="1:19" hidden="1" x14ac:dyDescent="0.25">
      <c r="A2602" s="5" t="str">
        <f t="shared" si="1091"/>
        <v>44008AAPL</v>
      </c>
      <c r="B2602" s="6" t="s">
        <v>28</v>
      </c>
      <c r="C2602" s="6">
        <v>339</v>
      </c>
      <c r="D2602" s="6">
        <v>370</v>
      </c>
      <c r="E2602" s="6">
        <v>364</v>
      </c>
      <c r="F2602" t="str">
        <f t="shared" si="1095"/>
        <v>FRI</v>
      </c>
      <c r="G2602" s="3">
        <f t="shared" si="1096"/>
        <v>44008</v>
      </c>
      <c r="H2602" s="2">
        <f t="shared" ca="1" si="1097"/>
        <v>245</v>
      </c>
      <c r="I2602" t="str">
        <f t="shared" si="1098"/>
        <v>AAPL</v>
      </c>
      <c r="J2602">
        <f t="shared" si="1099"/>
        <v>339</v>
      </c>
      <c r="K2602">
        <f t="shared" si="1100"/>
        <v>370</v>
      </c>
      <c r="L2602">
        <f t="shared" si="1101"/>
        <v>354.5</v>
      </c>
      <c r="M2602">
        <f t="shared" si="1102"/>
        <v>15.5</v>
      </c>
      <c r="N2602">
        <f t="shared" si="1092"/>
        <v>31</v>
      </c>
      <c r="O2602">
        <f t="shared" si="1103"/>
        <v>364</v>
      </c>
      <c r="P2602">
        <f t="shared" si="1104"/>
        <v>0.61290322580645162</v>
      </c>
      <c r="Q2602" t="str">
        <f t="shared" si="1093"/>
        <v>6.87% | 1.65%</v>
      </c>
      <c r="R2602" t="str">
        <f t="shared" si="1105"/>
        <v>BULLISH</v>
      </c>
      <c r="S2602">
        <f t="shared" si="1094"/>
        <v>1</v>
      </c>
    </row>
    <row r="2603" spans="1:19" hidden="1" x14ac:dyDescent="0.25">
      <c r="A2603" s="5" t="str">
        <f t="shared" si="1091"/>
        <v>44008AMZN</v>
      </c>
      <c r="B2603" s="6" t="s">
        <v>29</v>
      </c>
      <c r="C2603" s="6">
        <v>2570</v>
      </c>
      <c r="D2603" s="6">
        <v>2806</v>
      </c>
      <c r="E2603" s="6">
        <v>2754</v>
      </c>
      <c r="F2603" t="str">
        <f t="shared" si="1095"/>
        <v>FRI</v>
      </c>
      <c r="G2603" s="3">
        <f t="shared" si="1096"/>
        <v>44008</v>
      </c>
      <c r="H2603" s="2">
        <f t="shared" ca="1" si="1097"/>
        <v>245</v>
      </c>
      <c r="I2603" t="str">
        <f t="shared" si="1098"/>
        <v>AMZN</v>
      </c>
      <c r="J2603">
        <f t="shared" si="1099"/>
        <v>2570</v>
      </c>
      <c r="K2603">
        <f t="shared" si="1100"/>
        <v>2806</v>
      </c>
      <c r="L2603">
        <f t="shared" si="1101"/>
        <v>2688</v>
      </c>
      <c r="M2603">
        <f t="shared" si="1102"/>
        <v>118</v>
      </c>
      <c r="N2603">
        <f t="shared" si="1092"/>
        <v>236</v>
      </c>
      <c r="O2603">
        <f t="shared" si="1103"/>
        <v>2754</v>
      </c>
      <c r="P2603">
        <f t="shared" si="1104"/>
        <v>0.55932203389830504</v>
      </c>
      <c r="Q2603" t="str">
        <f t="shared" si="1093"/>
        <v>6.68% | 1.89%</v>
      </c>
      <c r="R2603" t="str">
        <f t="shared" si="1105"/>
        <v>BULLISH</v>
      </c>
      <c r="S2603">
        <f t="shared" si="1094"/>
        <v>1</v>
      </c>
    </row>
    <row r="2604" spans="1:19" hidden="1" x14ac:dyDescent="0.25">
      <c r="A2604" s="5" t="str">
        <f t="shared" si="1091"/>
        <v>44008FB</v>
      </c>
      <c r="B2604" s="6" t="s">
        <v>30</v>
      </c>
      <c r="C2604" s="6">
        <v>227</v>
      </c>
      <c r="D2604" s="6">
        <v>243</v>
      </c>
      <c r="E2604" s="6">
        <v>235</v>
      </c>
      <c r="F2604" t="str">
        <f t="shared" si="1095"/>
        <v>FRI</v>
      </c>
      <c r="G2604" s="3">
        <f t="shared" si="1096"/>
        <v>44008</v>
      </c>
      <c r="H2604" s="2">
        <f t="shared" ca="1" si="1097"/>
        <v>245</v>
      </c>
      <c r="I2604" t="str">
        <f t="shared" si="1098"/>
        <v>FB</v>
      </c>
      <c r="J2604">
        <f t="shared" si="1099"/>
        <v>227</v>
      </c>
      <c r="K2604">
        <f t="shared" si="1100"/>
        <v>243</v>
      </c>
      <c r="L2604">
        <f t="shared" si="1101"/>
        <v>235</v>
      </c>
      <c r="M2604">
        <f t="shared" si="1102"/>
        <v>8</v>
      </c>
      <c r="N2604">
        <f t="shared" si="1092"/>
        <v>16</v>
      </c>
      <c r="O2604">
        <f t="shared" si="1103"/>
        <v>235</v>
      </c>
      <c r="P2604">
        <f t="shared" si="1104"/>
        <v>0</v>
      </c>
      <c r="Q2604" t="str">
        <f t="shared" si="1093"/>
        <v>3.4% | 3.4%</v>
      </c>
      <c r="R2604" t="str">
        <f t="shared" si="1105"/>
        <v>BULLISH</v>
      </c>
      <c r="S2604">
        <f t="shared" si="1094"/>
        <v>1</v>
      </c>
    </row>
    <row r="2605" spans="1:19" hidden="1" x14ac:dyDescent="0.25">
      <c r="A2605" s="5" t="str">
        <f t="shared" si="1091"/>
        <v>44008GOOGL</v>
      </c>
      <c r="B2605" s="6" t="s">
        <v>31</v>
      </c>
      <c r="C2605" s="6">
        <v>1404</v>
      </c>
      <c r="D2605" s="6">
        <v>1468</v>
      </c>
      <c r="E2605" s="6">
        <v>1441</v>
      </c>
      <c r="F2605" t="str">
        <f t="shared" si="1095"/>
        <v>FRI</v>
      </c>
      <c r="G2605" s="3">
        <f t="shared" si="1096"/>
        <v>44008</v>
      </c>
      <c r="H2605" s="2">
        <f t="shared" ca="1" si="1097"/>
        <v>245</v>
      </c>
      <c r="I2605" t="str">
        <f t="shared" si="1098"/>
        <v>GOOGL</v>
      </c>
      <c r="J2605">
        <f t="shared" si="1099"/>
        <v>1404</v>
      </c>
      <c r="K2605">
        <f t="shared" si="1100"/>
        <v>1468</v>
      </c>
      <c r="L2605">
        <f t="shared" si="1101"/>
        <v>1436</v>
      </c>
      <c r="M2605">
        <f t="shared" si="1102"/>
        <v>32</v>
      </c>
      <c r="N2605">
        <f t="shared" si="1092"/>
        <v>64</v>
      </c>
      <c r="O2605">
        <f t="shared" si="1103"/>
        <v>1441</v>
      </c>
      <c r="P2605">
        <f t="shared" si="1104"/>
        <v>0.15625</v>
      </c>
      <c r="Q2605" t="str">
        <f t="shared" si="1093"/>
        <v>2.57% | 1.87%</v>
      </c>
      <c r="R2605" t="str">
        <f t="shared" si="1105"/>
        <v>BULLISH</v>
      </c>
      <c r="S2605">
        <f t="shared" si="1094"/>
        <v>1</v>
      </c>
    </row>
    <row r="2606" spans="1:19" hidden="1" x14ac:dyDescent="0.25">
      <c r="A2606" s="5" t="str">
        <f t="shared" si="1091"/>
        <v>44008NFLX</v>
      </c>
      <c r="B2606" s="6" t="s">
        <v>32</v>
      </c>
      <c r="C2606" s="6">
        <v>424</v>
      </c>
      <c r="D2606" s="6">
        <v>480</v>
      </c>
      <c r="E2606" s="6">
        <v>465</v>
      </c>
      <c r="F2606" t="str">
        <f t="shared" si="1095"/>
        <v>FRI</v>
      </c>
      <c r="G2606" s="3">
        <f t="shared" si="1096"/>
        <v>44008</v>
      </c>
      <c r="H2606" s="2">
        <f t="shared" ca="1" si="1097"/>
        <v>245</v>
      </c>
      <c r="I2606" t="str">
        <f t="shared" si="1098"/>
        <v>NFLX</v>
      </c>
      <c r="J2606">
        <f t="shared" si="1099"/>
        <v>424</v>
      </c>
      <c r="K2606">
        <f t="shared" si="1100"/>
        <v>480</v>
      </c>
      <c r="L2606">
        <f t="shared" si="1101"/>
        <v>452</v>
      </c>
      <c r="M2606">
        <f t="shared" si="1102"/>
        <v>28</v>
      </c>
      <c r="N2606">
        <f t="shared" si="1092"/>
        <v>56</v>
      </c>
      <c r="O2606">
        <f t="shared" si="1103"/>
        <v>465</v>
      </c>
      <c r="P2606">
        <f t="shared" si="1104"/>
        <v>0.4642857142857143</v>
      </c>
      <c r="Q2606" t="str">
        <f t="shared" si="1093"/>
        <v>8.82% | 3.23%</v>
      </c>
      <c r="R2606" t="str">
        <f t="shared" si="1105"/>
        <v>BULLISH</v>
      </c>
      <c r="S2606">
        <f t="shared" si="1094"/>
        <v>1</v>
      </c>
    </row>
    <row r="2607" spans="1:19" x14ac:dyDescent="0.25">
      <c r="A2607" s="5" t="str">
        <f t="shared" si="1091"/>
        <v>44008TSLA</v>
      </c>
      <c r="B2607" s="6" t="s">
        <v>33</v>
      </c>
      <c r="C2607" s="6">
        <v>922</v>
      </c>
      <c r="D2607" s="6">
        <v>1019</v>
      </c>
      <c r="E2607" s="6">
        <v>985</v>
      </c>
      <c r="F2607" t="str">
        <f t="shared" si="1095"/>
        <v>FRI</v>
      </c>
      <c r="G2607" s="3">
        <f t="shared" si="1096"/>
        <v>44008</v>
      </c>
      <c r="H2607" s="2">
        <f t="shared" ca="1" si="1097"/>
        <v>245</v>
      </c>
      <c r="I2607" t="str">
        <f t="shared" si="1098"/>
        <v>TSLA</v>
      </c>
      <c r="J2607">
        <f t="shared" si="1099"/>
        <v>922</v>
      </c>
      <c r="K2607">
        <f t="shared" si="1100"/>
        <v>1019</v>
      </c>
      <c r="L2607">
        <f t="shared" si="1101"/>
        <v>970.5</v>
      </c>
      <c r="M2607">
        <f t="shared" si="1102"/>
        <v>48.5</v>
      </c>
      <c r="N2607">
        <f t="shared" si="1092"/>
        <v>97</v>
      </c>
      <c r="O2607">
        <f t="shared" si="1103"/>
        <v>985</v>
      </c>
      <c r="P2607">
        <f t="shared" si="1104"/>
        <v>0.29896907216494845</v>
      </c>
      <c r="Q2607" t="str">
        <f t="shared" si="1093"/>
        <v>6.4% | 3.45%</v>
      </c>
      <c r="R2607" t="str">
        <f t="shared" si="1105"/>
        <v>BULLISH</v>
      </c>
      <c r="S2607">
        <f t="shared" si="1094"/>
        <v>1</v>
      </c>
    </row>
    <row r="2608" spans="1:19" hidden="1" x14ac:dyDescent="0.25">
      <c r="A2608" s="5" t="str">
        <f t="shared" si="1091"/>
        <v>44008NYXBT</v>
      </c>
      <c r="B2608" s="6" t="s">
        <v>34</v>
      </c>
      <c r="C2608" s="6">
        <v>9108</v>
      </c>
      <c r="D2608" s="6">
        <v>9650</v>
      </c>
      <c r="E2608" s="6">
        <v>9247</v>
      </c>
      <c r="F2608" t="str">
        <f t="shared" si="1095"/>
        <v>FRI</v>
      </c>
      <c r="G2608" s="3">
        <f t="shared" si="1096"/>
        <v>44008</v>
      </c>
      <c r="H2608" s="2">
        <f t="shared" ca="1" si="1097"/>
        <v>245</v>
      </c>
      <c r="I2608" t="str">
        <f t="shared" si="1098"/>
        <v>NYXBT</v>
      </c>
      <c r="J2608">
        <f t="shared" si="1099"/>
        <v>9108</v>
      </c>
      <c r="K2608">
        <f t="shared" si="1100"/>
        <v>9650</v>
      </c>
      <c r="L2608">
        <f t="shared" si="1101"/>
        <v>9379</v>
      </c>
      <c r="M2608">
        <f t="shared" si="1102"/>
        <v>271</v>
      </c>
      <c r="N2608">
        <f t="shared" si="1092"/>
        <v>542</v>
      </c>
      <c r="O2608">
        <f t="shared" si="1103"/>
        <v>9247</v>
      </c>
      <c r="P2608">
        <f t="shared" si="1104"/>
        <v>-0.4870848708487085</v>
      </c>
      <c r="Q2608" t="str">
        <f t="shared" si="1093"/>
        <v>1.5% | 4.36%</v>
      </c>
      <c r="R2608" t="str">
        <f t="shared" si="1105"/>
        <v>BULLISH</v>
      </c>
      <c r="S2608">
        <f t="shared" si="1094"/>
        <v>1</v>
      </c>
    </row>
    <row r="2609" spans="1:19" hidden="1" x14ac:dyDescent="0.25">
      <c r="A2609" s="5" t="str">
        <f t="shared" si="1091"/>
        <v>44011UST10Y</v>
      </c>
      <c r="B2609" s="6" t="s">
        <v>4</v>
      </c>
      <c r="C2609" s="6">
        <v>0.71</v>
      </c>
      <c r="D2609" s="6">
        <v>0.62</v>
      </c>
      <c r="E2609" s="6">
        <v>0.64</v>
      </c>
      <c r="F2609" t="str">
        <f t="shared" si="1095"/>
        <v>MON</v>
      </c>
      <c r="G2609" s="1">
        <f>DATE(2020,6,29)</f>
        <v>44011</v>
      </c>
      <c r="H2609" s="2">
        <f t="shared" ca="1" si="1097"/>
        <v>242</v>
      </c>
      <c r="I2609" t="str">
        <f t="shared" si="1098"/>
        <v>UST10Y</v>
      </c>
      <c r="J2609">
        <f t="shared" si="1099"/>
        <v>0.71</v>
      </c>
      <c r="K2609">
        <f t="shared" si="1100"/>
        <v>0.62</v>
      </c>
      <c r="L2609">
        <f t="shared" si="1101"/>
        <v>0.66500000000000004</v>
      </c>
      <c r="M2609">
        <f t="shared" si="1102"/>
        <v>4.4999999999999991E-2</v>
      </c>
      <c r="N2609">
        <f t="shared" si="1092"/>
        <v>8.9999999999999969E-2</v>
      </c>
      <c r="O2609">
        <f t="shared" si="1103"/>
        <v>0.64</v>
      </c>
      <c r="P2609">
        <f t="shared" si="1104"/>
        <v>-0.55555555555555614</v>
      </c>
      <c r="Q2609" t="str">
        <f t="shared" si="1093"/>
        <v>10.94% | 3.13%</v>
      </c>
      <c r="R2609" t="str">
        <f t="shared" si="1105"/>
        <v>BEARISH</v>
      </c>
      <c r="S2609">
        <f t="shared" si="1094"/>
        <v>-1</v>
      </c>
    </row>
    <row r="2610" spans="1:19" hidden="1" x14ac:dyDescent="0.25">
      <c r="A2610" s="5" t="str">
        <f t="shared" si="1091"/>
        <v>44011UST2Y</v>
      </c>
      <c r="B2610" s="6" t="s">
        <v>5</v>
      </c>
      <c r="C2610" s="6">
        <v>0.2</v>
      </c>
      <c r="D2610" s="6">
        <v>0.14000000000000001</v>
      </c>
      <c r="E2610" s="6">
        <v>0.17</v>
      </c>
      <c r="F2610" t="str">
        <f t="shared" ref="F2610:F2639" si="1106">UPPER(TEXT(G2610,"ddd"))</f>
        <v>MON</v>
      </c>
      <c r="G2610" s="1">
        <f t="shared" ref="G2610:G2638" si="1107">DATE(2020,6,29)</f>
        <v>44011</v>
      </c>
      <c r="H2610" s="2">
        <f t="shared" ref="H2610:H2639" ca="1" si="1108">TODAY()-G2610</f>
        <v>242</v>
      </c>
      <c r="I2610" t="str">
        <f t="shared" ref="I2610:I2639" si="1109">TRIM(LEFT(B2610,FIND(" ",B2610,1)))</f>
        <v>UST2Y</v>
      </c>
      <c r="J2610">
        <f t="shared" ref="J2610:J2639" si="1110">C2610</f>
        <v>0.2</v>
      </c>
      <c r="K2610">
        <f t="shared" ref="K2610:K2639" si="1111">D2610</f>
        <v>0.14000000000000001</v>
      </c>
      <c r="L2610">
        <f t="shared" ref="L2610:L2639" si="1112">AVERAGE(J2610:K2610)</f>
        <v>0.17</v>
      </c>
      <c r="M2610">
        <f t="shared" ref="M2610:M2639" si="1113">_xlfn.STDEV.P(J2610:K2610)</f>
        <v>3.0000000000000023E-2</v>
      </c>
      <c r="N2610">
        <f t="shared" si="1092"/>
        <v>0.06</v>
      </c>
      <c r="O2610">
        <f t="shared" ref="O2610:O2639" si="1114">E2610</f>
        <v>0.17</v>
      </c>
      <c r="P2610">
        <f t="shared" ref="P2610:P2639" si="1115">(O2610-L2610)/M2610</f>
        <v>0</v>
      </c>
      <c r="Q2610" t="str">
        <f t="shared" si="1093"/>
        <v>17.65% | 17.65%</v>
      </c>
      <c r="R2610" t="str">
        <f t="shared" ref="R2610:R2639" si="1116">MID(B2610,FIND("(",B2610,1)+1,FIND(")",B2610,1)-FIND("(",B2610,1)-1)</f>
        <v>BEARISH</v>
      </c>
      <c r="S2610">
        <f t="shared" si="1094"/>
        <v>-1</v>
      </c>
    </row>
    <row r="2611" spans="1:19" hidden="1" x14ac:dyDescent="0.25">
      <c r="A2611" s="5" t="str">
        <f t="shared" si="1091"/>
        <v>44011SPX</v>
      </c>
      <c r="B2611" s="6" t="s">
        <v>6</v>
      </c>
      <c r="C2611" s="6">
        <v>2971</v>
      </c>
      <c r="D2611" s="6">
        <v>3095</v>
      </c>
      <c r="E2611" s="6">
        <v>3009</v>
      </c>
      <c r="F2611" t="str">
        <f t="shared" si="1106"/>
        <v>MON</v>
      </c>
      <c r="G2611" s="1">
        <f t="shared" si="1107"/>
        <v>44011</v>
      </c>
      <c r="H2611" s="2">
        <f t="shared" ca="1" si="1108"/>
        <v>242</v>
      </c>
      <c r="I2611" t="str">
        <f t="shared" si="1109"/>
        <v>SPX</v>
      </c>
      <c r="J2611">
        <f t="shared" si="1110"/>
        <v>2971</v>
      </c>
      <c r="K2611">
        <f t="shared" si="1111"/>
        <v>3095</v>
      </c>
      <c r="L2611">
        <f t="shared" si="1112"/>
        <v>3033</v>
      </c>
      <c r="M2611">
        <f t="shared" si="1113"/>
        <v>62</v>
      </c>
      <c r="N2611">
        <f t="shared" si="1092"/>
        <v>124</v>
      </c>
      <c r="O2611">
        <f t="shared" si="1114"/>
        <v>3009</v>
      </c>
      <c r="P2611">
        <f t="shared" si="1115"/>
        <v>-0.38709677419354838</v>
      </c>
      <c r="Q2611" t="str">
        <f t="shared" si="1093"/>
        <v>1.26% | 2.86%</v>
      </c>
      <c r="R2611" t="str">
        <f t="shared" si="1116"/>
        <v>BEARISH</v>
      </c>
      <c r="S2611">
        <f t="shared" si="1094"/>
        <v>-1</v>
      </c>
    </row>
    <row r="2612" spans="1:19" hidden="1" x14ac:dyDescent="0.25">
      <c r="A2612" s="5" t="str">
        <f t="shared" si="1091"/>
        <v>44011RUT</v>
      </c>
      <c r="B2612" s="6" t="s">
        <v>7</v>
      </c>
      <c r="C2612" s="6">
        <v>1361</v>
      </c>
      <c r="D2612" s="6">
        <v>1423</v>
      </c>
      <c r="E2612" s="6">
        <v>1378</v>
      </c>
      <c r="F2612" t="str">
        <f t="shared" si="1106"/>
        <v>MON</v>
      </c>
      <c r="G2612" s="1">
        <f t="shared" si="1107"/>
        <v>44011</v>
      </c>
      <c r="H2612" s="2">
        <f t="shared" ca="1" si="1108"/>
        <v>242</v>
      </c>
      <c r="I2612" t="str">
        <f t="shared" si="1109"/>
        <v>RUT</v>
      </c>
      <c r="J2612">
        <f t="shared" si="1110"/>
        <v>1361</v>
      </c>
      <c r="K2612">
        <f t="shared" si="1111"/>
        <v>1423</v>
      </c>
      <c r="L2612">
        <f t="shared" si="1112"/>
        <v>1392</v>
      </c>
      <c r="M2612">
        <f t="shared" si="1113"/>
        <v>31</v>
      </c>
      <c r="N2612">
        <f t="shared" si="1092"/>
        <v>62</v>
      </c>
      <c r="O2612">
        <f t="shared" si="1114"/>
        <v>1378</v>
      </c>
      <c r="P2612">
        <f t="shared" si="1115"/>
        <v>-0.45161290322580644</v>
      </c>
      <c r="Q2612" t="str">
        <f t="shared" si="1093"/>
        <v>1.23% | 3.27%</v>
      </c>
      <c r="R2612" t="str">
        <f t="shared" si="1116"/>
        <v>BEARISH</v>
      </c>
      <c r="S2612">
        <f t="shared" si="1094"/>
        <v>-1</v>
      </c>
    </row>
    <row r="2613" spans="1:19" hidden="1" x14ac:dyDescent="0.25">
      <c r="A2613" s="5" t="str">
        <f t="shared" si="1091"/>
        <v>44011COMPQ</v>
      </c>
      <c r="B2613" s="6" t="s">
        <v>8</v>
      </c>
      <c r="C2613" s="6">
        <v>9662</v>
      </c>
      <c r="D2613" s="6">
        <v>10144</v>
      </c>
      <c r="E2613" s="6">
        <v>9757</v>
      </c>
      <c r="F2613" t="str">
        <f t="shared" si="1106"/>
        <v>MON</v>
      </c>
      <c r="G2613" s="1">
        <f t="shared" si="1107"/>
        <v>44011</v>
      </c>
      <c r="H2613" s="2">
        <f t="shared" ca="1" si="1108"/>
        <v>242</v>
      </c>
      <c r="I2613" t="str">
        <f t="shared" si="1109"/>
        <v>COMPQ</v>
      </c>
      <c r="J2613">
        <f t="shared" si="1110"/>
        <v>9662</v>
      </c>
      <c r="K2613">
        <f t="shared" si="1111"/>
        <v>10144</v>
      </c>
      <c r="L2613">
        <f t="shared" si="1112"/>
        <v>9903</v>
      </c>
      <c r="M2613">
        <f t="shared" si="1113"/>
        <v>241</v>
      </c>
      <c r="N2613">
        <f t="shared" si="1092"/>
        <v>482</v>
      </c>
      <c r="O2613">
        <f t="shared" si="1114"/>
        <v>9757</v>
      </c>
      <c r="P2613">
        <f t="shared" si="1115"/>
        <v>-0.60580912863070535</v>
      </c>
      <c r="Q2613" t="str">
        <f t="shared" si="1093"/>
        <v>0.97% | 3.97%</v>
      </c>
      <c r="R2613" t="str">
        <f t="shared" si="1116"/>
        <v>BULLISH</v>
      </c>
      <c r="S2613">
        <f t="shared" si="1094"/>
        <v>1</v>
      </c>
    </row>
    <row r="2614" spans="1:19" hidden="1" x14ac:dyDescent="0.25">
      <c r="A2614" s="5" t="str">
        <f t="shared" si="1091"/>
        <v>44011XLK</v>
      </c>
      <c r="B2614" s="6" t="s">
        <v>10</v>
      </c>
      <c r="C2614" s="6">
        <v>99.69</v>
      </c>
      <c r="D2614" s="6">
        <v>104.9</v>
      </c>
      <c r="E2614" s="6">
        <v>101.54</v>
      </c>
      <c r="F2614" t="str">
        <f t="shared" si="1106"/>
        <v>MON</v>
      </c>
      <c r="G2614" s="1">
        <f t="shared" si="1107"/>
        <v>44011</v>
      </c>
      <c r="H2614" s="2">
        <f t="shared" ca="1" si="1108"/>
        <v>242</v>
      </c>
      <c r="I2614" t="str">
        <f t="shared" si="1109"/>
        <v>XLK</v>
      </c>
      <c r="J2614">
        <f t="shared" si="1110"/>
        <v>99.69</v>
      </c>
      <c r="K2614">
        <f t="shared" si="1111"/>
        <v>104.9</v>
      </c>
      <c r="L2614">
        <f t="shared" si="1112"/>
        <v>102.295</v>
      </c>
      <c r="M2614">
        <f t="shared" si="1113"/>
        <v>2.605000000000004</v>
      </c>
      <c r="N2614">
        <f t="shared" si="1092"/>
        <v>5.210000000000008</v>
      </c>
      <c r="O2614">
        <f t="shared" si="1114"/>
        <v>101.54</v>
      </c>
      <c r="P2614">
        <f t="shared" si="1115"/>
        <v>-0.28982725527830877</v>
      </c>
      <c r="Q2614" t="str">
        <f t="shared" si="1093"/>
        <v>1.82% | 3.31%</v>
      </c>
      <c r="R2614" t="str">
        <f t="shared" si="1116"/>
        <v>BULLISH</v>
      </c>
      <c r="S2614">
        <f t="shared" si="1094"/>
        <v>1</v>
      </c>
    </row>
    <row r="2615" spans="1:19" hidden="1" x14ac:dyDescent="0.25">
      <c r="A2615" s="5" t="str">
        <f t="shared" si="1091"/>
        <v>44011XLRE</v>
      </c>
      <c r="B2615" s="6" t="s">
        <v>156</v>
      </c>
      <c r="C2615" s="6">
        <v>33.04</v>
      </c>
      <c r="D2615" s="6">
        <v>36.5</v>
      </c>
      <c r="E2615" s="6">
        <v>33.729999999999997</v>
      </c>
      <c r="F2615" t="str">
        <f t="shared" si="1106"/>
        <v>MON</v>
      </c>
      <c r="G2615" s="1">
        <f t="shared" si="1107"/>
        <v>44011</v>
      </c>
      <c r="H2615" s="2">
        <f t="shared" ca="1" si="1108"/>
        <v>242</v>
      </c>
      <c r="I2615" t="str">
        <f t="shared" si="1109"/>
        <v>XLRE</v>
      </c>
      <c r="J2615">
        <f t="shared" si="1110"/>
        <v>33.04</v>
      </c>
      <c r="K2615">
        <f t="shared" si="1111"/>
        <v>36.5</v>
      </c>
      <c r="L2615">
        <f t="shared" si="1112"/>
        <v>34.769999999999996</v>
      </c>
      <c r="M2615">
        <f t="shared" si="1113"/>
        <v>1.7300000000000004</v>
      </c>
      <c r="N2615">
        <f t="shared" si="1092"/>
        <v>3.4600000000000009</v>
      </c>
      <c r="O2615">
        <f t="shared" si="1114"/>
        <v>33.729999999999997</v>
      </c>
      <c r="P2615">
        <f t="shared" si="1115"/>
        <v>-0.60115606936416122</v>
      </c>
      <c r="Q2615" t="str">
        <f t="shared" si="1093"/>
        <v>2.05% | 8.21%</v>
      </c>
      <c r="R2615" t="str">
        <f t="shared" si="1116"/>
        <v>NEUTRAL</v>
      </c>
      <c r="S2615">
        <f t="shared" si="1094"/>
        <v>0</v>
      </c>
    </row>
    <row r="2616" spans="1:19" hidden="1" x14ac:dyDescent="0.25">
      <c r="A2616" s="5" t="str">
        <f t="shared" si="1091"/>
        <v>44011XLU</v>
      </c>
      <c r="B2616" s="6" t="s">
        <v>80</v>
      </c>
      <c r="C2616" s="6">
        <v>54.66</v>
      </c>
      <c r="D2616" s="6">
        <v>58.32</v>
      </c>
      <c r="E2616" s="6">
        <v>55.18</v>
      </c>
      <c r="F2616" t="str">
        <f t="shared" si="1106"/>
        <v>MON</v>
      </c>
      <c r="G2616" s="1">
        <f t="shared" si="1107"/>
        <v>44011</v>
      </c>
      <c r="H2616" s="2">
        <f t="shared" ca="1" si="1108"/>
        <v>242</v>
      </c>
      <c r="I2616" t="str">
        <f t="shared" si="1109"/>
        <v>XLU</v>
      </c>
      <c r="J2616">
        <f t="shared" si="1110"/>
        <v>54.66</v>
      </c>
      <c r="K2616">
        <f t="shared" si="1111"/>
        <v>58.32</v>
      </c>
      <c r="L2616">
        <f t="shared" si="1112"/>
        <v>56.489999999999995</v>
      </c>
      <c r="M2616">
        <f t="shared" si="1113"/>
        <v>1.8300000000000018</v>
      </c>
      <c r="N2616">
        <f t="shared" si="1092"/>
        <v>3.6600000000000037</v>
      </c>
      <c r="O2616">
        <f t="shared" si="1114"/>
        <v>55.18</v>
      </c>
      <c r="P2616">
        <f t="shared" si="1115"/>
        <v>-0.71584699453551581</v>
      </c>
      <c r="Q2616" t="str">
        <f t="shared" si="1093"/>
        <v>0.94% | 5.69%</v>
      </c>
      <c r="R2616" t="str">
        <f t="shared" si="1116"/>
        <v>NEUTRAL</v>
      </c>
      <c r="S2616">
        <f t="shared" si="1094"/>
        <v>0</v>
      </c>
    </row>
    <row r="2617" spans="1:19" hidden="1" x14ac:dyDescent="0.25">
      <c r="A2617" s="5" t="str">
        <f t="shared" si="1091"/>
        <v>44011XLF</v>
      </c>
      <c r="B2617" s="6" t="s">
        <v>12</v>
      </c>
      <c r="C2617" s="6">
        <v>22.01</v>
      </c>
      <c r="D2617" s="6">
        <v>24.17</v>
      </c>
      <c r="E2617" s="6">
        <v>22.58</v>
      </c>
      <c r="F2617" t="str">
        <f t="shared" si="1106"/>
        <v>MON</v>
      </c>
      <c r="G2617" s="1">
        <f t="shared" si="1107"/>
        <v>44011</v>
      </c>
      <c r="H2617" s="2">
        <f t="shared" ca="1" si="1108"/>
        <v>242</v>
      </c>
      <c r="I2617" t="str">
        <f t="shared" si="1109"/>
        <v>XLF</v>
      </c>
      <c r="J2617">
        <f t="shared" si="1110"/>
        <v>22.01</v>
      </c>
      <c r="K2617">
        <f t="shared" si="1111"/>
        <v>24.17</v>
      </c>
      <c r="L2617">
        <f t="shared" si="1112"/>
        <v>23.090000000000003</v>
      </c>
      <c r="M2617">
        <f t="shared" si="1113"/>
        <v>1.08</v>
      </c>
      <c r="N2617">
        <f t="shared" si="1092"/>
        <v>2.16</v>
      </c>
      <c r="O2617">
        <f t="shared" si="1114"/>
        <v>22.58</v>
      </c>
      <c r="P2617">
        <f t="shared" si="1115"/>
        <v>-0.47222222222222693</v>
      </c>
      <c r="Q2617" t="str">
        <f t="shared" si="1093"/>
        <v>2.52% | 7.04%</v>
      </c>
      <c r="R2617" t="str">
        <f t="shared" si="1116"/>
        <v>BEARISH</v>
      </c>
      <c r="S2617">
        <f t="shared" si="1094"/>
        <v>-1</v>
      </c>
    </row>
    <row r="2618" spans="1:19" hidden="1" x14ac:dyDescent="0.25">
      <c r="A2618" s="5" t="str">
        <f t="shared" si="1091"/>
        <v>44011SSEC</v>
      </c>
      <c r="B2618" s="6" t="s">
        <v>104</v>
      </c>
      <c r="C2618" s="6">
        <v>2890</v>
      </c>
      <c r="D2618" s="6">
        <v>3000</v>
      </c>
      <c r="E2618" s="6">
        <v>2961</v>
      </c>
      <c r="F2618" t="str">
        <f t="shared" si="1106"/>
        <v>MON</v>
      </c>
      <c r="G2618" s="1">
        <f t="shared" si="1107"/>
        <v>44011</v>
      </c>
      <c r="H2618" s="2">
        <f t="shared" ca="1" si="1108"/>
        <v>242</v>
      </c>
      <c r="I2618" t="str">
        <f t="shared" si="1109"/>
        <v>SSEC</v>
      </c>
      <c r="J2618">
        <f t="shared" si="1110"/>
        <v>2890</v>
      </c>
      <c r="K2618">
        <f t="shared" si="1111"/>
        <v>3000</v>
      </c>
      <c r="L2618">
        <f t="shared" si="1112"/>
        <v>2945</v>
      </c>
      <c r="M2618">
        <f t="shared" si="1113"/>
        <v>55</v>
      </c>
      <c r="N2618">
        <f t="shared" si="1092"/>
        <v>110</v>
      </c>
      <c r="O2618">
        <f t="shared" si="1114"/>
        <v>2961</v>
      </c>
      <c r="P2618">
        <f t="shared" si="1115"/>
        <v>0.29090909090909089</v>
      </c>
      <c r="Q2618" t="str">
        <f t="shared" si="1093"/>
        <v>2.4% | 1.32%</v>
      </c>
      <c r="R2618" t="str">
        <f t="shared" si="1116"/>
        <v>BULLISH</v>
      </c>
      <c r="S2618">
        <f t="shared" si="1094"/>
        <v>1</v>
      </c>
    </row>
    <row r="2619" spans="1:19" hidden="1" x14ac:dyDescent="0.25">
      <c r="A2619" s="5" t="str">
        <f t="shared" si="1091"/>
        <v>44011NIKK</v>
      </c>
      <c r="B2619" s="6" t="s">
        <v>15</v>
      </c>
      <c r="C2619" s="6">
        <v>21937</v>
      </c>
      <c r="D2619" s="6">
        <v>22655</v>
      </c>
      <c r="E2619" s="6">
        <v>21995</v>
      </c>
      <c r="F2619" t="str">
        <f t="shared" si="1106"/>
        <v>MON</v>
      </c>
      <c r="G2619" s="1">
        <f t="shared" si="1107"/>
        <v>44011</v>
      </c>
      <c r="H2619" s="2">
        <f t="shared" ca="1" si="1108"/>
        <v>242</v>
      </c>
      <c r="I2619" t="str">
        <f t="shared" si="1109"/>
        <v>NIKK</v>
      </c>
      <c r="J2619">
        <f t="shared" si="1110"/>
        <v>21937</v>
      </c>
      <c r="K2619">
        <f t="shared" si="1111"/>
        <v>22655</v>
      </c>
      <c r="L2619">
        <f t="shared" si="1112"/>
        <v>22296</v>
      </c>
      <c r="M2619">
        <f t="shared" si="1113"/>
        <v>359</v>
      </c>
      <c r="N2619">
        <f t="shared" si="1092"/>
        <v>718</v>
      </c>
      <c r="O2619">
        <f t="shared" si="1114"/>
        <v>21995</v>
      </c>
      <c r="P2619">
        <f t="shared" si="1115"/>
        <v>-0.83844011142061281</v>
      </c>
      <c r="Q2619" t="str">
        <f t="shared" si="1093"/>
        <v>0.26% | 3%</v>
      </c>
      <c r="R2619" t="str">
        <f t="shared" si="1116"/>
        <v>BEARISH</v>
      </c>
      <c r="S2619">
        <f t="shared" si="1094"/>
        <v>-1</v>
      </c>
    </row>
    <row r="2620" spans="1:19" hidden="1" x14ac:dyDescent="0.25">
      <c r="A2620" s="5" t="str">
        <f t="shared" si="1091"/>
        <v>44011DAX</v>
      </c>
      <c r="B2620" s="6" t="s">
        <v>16</v>
      </c>
      <c r="C2620" s="6">
        <v>11860</v>
      </c>
      <c r="D2620" s="6">
        <v>12582</v>
      </c>
      <c r="E2620" s="6">
        <v>12072</v>
      </c>
      <c r="F2620" t="str">
        <f t="shared" si="1106"/>
        <v>MON</v>
      </c>
      <c r="G2620" s="1">
        <f t="shared" si="1107"/>
        <v>44011</v>
      </c>
      <c r="H2620" s="2">
        <f t="shared" ca="1" si="1108"/>
        <v>242</v>
      </c>
      <c r="I2620" t="str">
        <f t="shared" si="1109"/>
        <v>DAX</v>
      </c>
      <c r="J2620">
        <f t="shared" si="1110"/>
        <v>11860</v>
      </c>
      <c r="K2620">
        <f t="shared" si="1111"/>
        <v>12582</v>
      </c>
      <c r="L2620">
        <f t="shared" si="1112"/>
        <v>12221</v>
      </c>
      <c r="M2620">
        <f t="shared" si="1113"/>
        <v>361</v>
      </c>
      <c r="N2620">
        <f t="shared" si="1092"/>
        <v>722</v>
      </c>
      <c r="O2620">
        <f t="shared" si="1114"/>
        <v>12072</v>
      </c>
      <c r="P2620">
        <f t="shared" si="1115"/>
        <v>-0.41274238227146814</v>
      </c>
      <c r="Q2620" t="str">
        <f t="shared" si="1093"/>
        <v>1.76% | 4.22%</v>
      </c>
      <c r="R2620" t="str">
        <f t="shared" si="1116"/>
        <v>BEARISH</v>
      </c>
      <c r="S2620">
        <f t="shared" si="1094"/>
        <v>-1</v>
      </c>
    </row>
    <row r="2621" spans="1:19" hidden="1" x14ac:dyDescent="0.25">
      <c r="A2621" s="5" t="str">
        <f t="shared" si="1091"/>
        <v>44011VIX</v>
      </c>
      <c r="B2621" s="6" t="s">
        <v>17</v>
      </c>
      <c r="C2621" s="6">
        <v>30.22</v>
      </c>
      <c r="D2621" s="6">
        <v>39.65</v>
      </c>
      <c r="E2621" s="6">
        <v>34.729999999999997</v>
      </c>
      <c r="F2621" t="str">
        <f t="shared" si="1106"/>
        <v>MON</v>
      </c>
      <c r="G2621" s="1">
        <f t="shared" si="1107"/>
        <v>44011</v>
      </c>
      <c r="H2621" s="2">
        <f t="shared" ca="1" si="1108"/>
        <v>242</v>
      </c>
      <c r="I2621" t="str">
        <f t="shared" si="1109"/>
        <v>VIX</v>
      </c>
      <c r="J2621">
        <f t="shared" si="1110"/>
        <v>30.22</v>
      </c>
      <c r="K2621">
        <f t="shared" si="1111"/>
        <v>39.65</v>
      </c>
      <c r="L2621">
        <f t="shared" si="1112"/>
        <v>34.935000000000002</v>
      </c>
      <c r="M2621">
        <f t="shared" si="1113"/>
        <v>4.714999999999975</v>
      </c>
      <c r="N2621">
        <f t="shared" si="1092"/>
        <v>9.43</v>
      </c>
      <c r="O2621">
        <f t="shared" si="1114"/>
        <v>34.729999999999997</v>
      </c>
      <c r="P2621">
        <f t="shared" si="1115"/>
        <v>-4.347826086956659E-2</v>
      </c>
      <c r="Q2621" t="str">
        <f t="shared" si="1093"/>
        <v>12.99% | 14.17%</v>
      </c>
      <c r="R2621" t="str">
        <f t="shared" si="1116"/>
        <v>BULLISH</v>
      </c>
      <c r="S2621">
        <f t="shared" si="1094"/>
        <v>1</v>
      </c>
    </row>
    <row r="2622" spans="1:19" hidden="1" x14ac:dyDescent="0.25">
      <c r="A2622" s="5" t="str">
        <f t="shared" si="1091"/>
        <v>44011USD</v>
      </c>
      <c r="B2622" s="6" t="s">
        <v>94</v>
      </c>
      <c r="C2622" s="6">
        <v>96.4</v>
      </c>
      <c r="D2622" s="6">
        <v>97.84</v>
      </c>
      <c r="E2622" s="6">
        <v>97.4</v>
      </c>
      <c r="F2622" t="str">
        <f t="shared" si="1106"/>
        <v>MON</v>
      </c>
      <c r="G2622" s="1">
        <f t="shared" si="1107"/>
        <v>44011</v>
      </c>
      <c r="H2622" s="2">
        <f t="shared" ca="1" si="1108"/>
        <v>242</v>
      </c>
      <c r="I2622" t="str">
        <f t="shared" si="1109"/>
        <v>USD</v>
      </c>
      <c r="J2622">
        <f t="shared" si="1110"/>
        <v>96.4</v>
      </c>
      <c r="K2622">
        <f t="shared" si="1111"/>
        <v>97.84</v>
      </c>
      <c r="L2622">
        <f t="shared" si="1112"/>
        <v>97.12</v>
      </c>
      <c r="M2622">
        <f t="shared" si="1113"/>
        <v>0.71999999999999886</v>
      </c>
      <c r="N2622">
        <f t="shared" si="1092"/>
        <v>1.4399999999999977</v>
      </c>
      <c r="O2622">
        <f t="shared" si="1114"/>
        <v>97.4</v>
      </c>
      <c r="P2622">
        <f t="shared" si="1115"/>
        <v>0.38888888888889106</v>
      </c>
      <c r="Q2622" t="str">
        <f t="shared" si="1093"/>
        <v>1.03% | 0.45%</v>
      </c>
      <c r="R2622" t="str">
        <f t="shared" si="1116"/>
        <v>BEARISH</v>
      </c>
      <c r="S2622">
        <f t="shared" si="1094"/>
        <v>-1</v>
      </c>
    </row>
    <row r="2623" spans="1:19" hidden="1" x14ac:dyDescent="0.25">
      <c r="A2623" s="5" t="str">
        <f t="shared" si="1091"/>
        <v>44011EUR/USD</v>
      </c>
      <c r="B2623" s="6" t="s">
        <v>77</v>
      </c>
      <c r="C2623" s="6">
        <v>1.1100000000000001</v>
      </c>
      <c r="D2623" s="6">
        <v>1.1299999999999999</v>
      </c>
      <c r="E2623" s="6">
        <v>1.1200000000000001</v>
      </c>
      <c r="F2623" t="str">
        <f t="shared" si="1106"/>
        <v>MON</v>
      </c>
      <c r="G2623" s="1">
        <f t="shared" si="1107"/>
        <v>44011</v>
      </c>
      <c r="H2623" s="2">
        <f t="shared" ca="1" si="1108"/>
        <v>242</v>
      </c>
      <c r="I2623" t="str">
        <f t="shared" si="1109"/>
        <v>EUR/USD</v>
      </c>
      <c r="J2623">
        <f t="shared" si="1110"/>
        <v>1.1100000000000001</v>
      </c>
      <c r="K2623">
        <f t="shared" si="1111"/>
        <v>1.1299999999999999</v>
      </c>
      <c r="L2623">
        <f t="shared" si="1112"/>
        <v>1.1200000000000001</v>
      </c>
      <c r="M2623">
        <f t="shared" si="1113"/>
        <v>9.9999999999998979E-3</v>
      </c>
      <c r="N2623">
        <f t="shared" si="1092"/>
        <v>1.9999999999999796E-2</v>
      </c>
      <c r="O2623">
        <f t="shared" si="1114"/>
        <v>1.1200000000000001</v>
      </c>
      <c r="P2623">
        <f t="shared" si="1115"/>
        <v>0</v>
      </c>
      <c r="Q2623" t="str">
        <f t="shared" si="1093"/>
        <v>0.89% | 0.89%</v>
      </c>
      <c r="R2623" t="str">
        <f t="shared" si="1116"/>
        <v>NEUTRAL</v>
      </c>
      <c r="S2623">
        <f t="shared" si="1094"/>
        <v>0</v>
      </c>
    </row>
    <row r="2624" spans="1:19" hidden="1" x14ac:dyDescent="0.25">
      <c r="A2624" s="5" t="str">
        <f t="shared" si="1091"/>
        <v>44011USD/JPY</v>
      </c>
      <c r="B2624" s="6" t="s">
        <v>20</v>
      </c>
      <c r="C2624" s="6">
        <v>106.36</v>
      </c>
      <c r="D2624" s="6">
        <v>107.63</v>
      </c>
      <c r="E2624" s="6">
        <v>107.2</v>
      </c>
      <c r="F2624" t="str">
        <f t="shared" si="1106"/>
        <v>MON</v>
      </c>
      <c r="G2624" s="1">
        <f t="shared" si="1107"/>
        <v>44011</v>
      </c>
      <c r="H2624" s="2">
        <f t="shared" ca="1" si="1108"/>
        <v>242</v>
      </c>
      <c r="I2624" t="str">
        <f t="shared" si="1109"/>
        <v>USD/JPY</v>
      </c>
      <c r="J2624">
        <f t="shared" si="1110"/>
        <v>106.36</v>
      </c>
      <c r="K2624">
        <f t="shared" si="1111"/>
        <v>107.63</v>
      </c>
      <c r="L2624">
        <f t="shared" si="1112"/>
        <v>106.995</v>
      </c>
      <c r="M2624">
        <f t="shared" si="1113"/>
        <v>0.63499999999999801</v>
      </c>
      <c r="N2624">
        <f t="shared" si="1092"/>
        <v>1.269999999999996</v>
      </c>
      <c r="O2624">
        <f t="shared" si="1114"/>
        <v>107.2</v>
      </c>
      <c r="P2624">
        <f t="shared" si="1115"/>
        <v>0.32283464566928965</v>
      </c>
      <c r="Q2624" t="str">
        <f t="shared" si="1093"/>
        <v>0.78% | 0.4%</v>
      </c>
      <c r="R2624" t="str">
        <f t="shared" si="1116"/>
        <v>BEARISH</v>
      </c>
      <c r="S2624">
        <f t="shared" si="1094"/>
        <v>-1</v>
      </c>
    </row>
    <row r="2625" spans="1:19" hidden="1" x14ac:dyDescent="0.25">
      <c r="A2625" s="5" t="str">
        <f t="shared" si="1091"/>
        <v>44011GBP/USD</v>
      </c>
      <c r="B2625" s="6" t="s">
        <v>21</v>
      </c>
      <c r="C2625" s="6">
        <v>1.22</v>
      </c>
      <c r="D2625" s="6">
        <v>1.25</v>
      </c>
      <c r="E2625" s="6">
        <v>1.23</v>
      </c>
      <c r="F2625" t="str">
        <f t="shared" si="1106"/>
        <v>MON</v>
      </c>
      <c r="G2625" s="1">
        <f t="shared" si="1107"/>
        <v>44011</v>
      </c>
      <c r="H2625" s="2">
        <f t="shared" ca="1" si="1108"/>
        <v>242</v>
      </c>
      <c r="I2625" t="str">
        <f t="shared" si="1109"/>
        <v>GBP/USD</v>
      </c>
      <c r="J2625">
        <f t="shared" si="1110"/>
        <v>1.22</v>
      </c>
      <c r="K2625">
        <f t="shared" si="1111"/>
        <v>1.25</v>
      </c>
      <c r="L2625">
        <f t="shared" si="1112"/>
        <v>1.2349999999999999</v>
      </c>
      <c r="M2625">
        <f t="shared" si="1113"/>
        <v>1.5000000000000013E-2</v>
      </c>
      <c r="N2625">
        <f t="shared" si="1092"/>
        <v>3.0000000000000027E-2</v>
      </c>
      <c r="O2625">
        <f t="shared" si="1114"/>
        <v>1.23</v>
      </c>
      <c r="P2625">
        <f t="shared" si="1115"/>
        <v>-0.33333333333332593</v>
      </c>
      <c r="Q2625" t="str">
        <f t="shared" si="1093"/>
        <v>0.81% | 1.63%</v>
      </c>
      <c r="R2625" t="str">
        <f t="shared" si="1116"/>
        <v>BEARISH</v>
      </c>
      <c r="S2625">
        <f t="shared" si="1094"/>
        <v>-1</v>
      </c>
    </row>
    <row r="2626" spans="1:19" hidden="1" x14ac:dyDescent="0.25">
      <c r="A2626" s="5" t="str">
        <f t="shared" si="1091"/>
        <v>44011USD/CHF</v>
      </c>
      <c r="B2626" s="6" t="s">
        <v>76</v>
      </c>
      <c r="C2626" s="6">
        <v>0.94</v>
      </c>
      <c r="D2626" s="6">
        <v>0.96</v>
      </c>
      <c r="E2626" s="6">
        <v>0.94</v>
      </c>
      <c r="F2626" t="str">
        <f t="shared" si="1106"/>
        <v>MON</v>
      </c>
      <c r="G2626" s="1">
        <f t="shared" si="1107"/>
        <v>44011</v>
      </c>
      <c r="H2626" s="2">
        <f t="shared" ca="1" si="1108"/>
        <v>242</v>
      </c>
      <c r="I2626" t="str">
        <f t="shared" si="1109"/>
        <v>USD/CHF</v>
      </c>
      <c r="J2626">
        <f t="shared" si="1110"/>
        <v>0.94</v>
      </c>
      <c r="K2626">
        <f t="shared" si="1111"/>
        <v>0.96</v>
      </c>
      <c r="L2626">
        <f t="shared" si="1112"/>
        <v>0.95</v>
      </c>
      <c r="M2626">
        <f t="shared" si="1113"/>
        <v>1.0000000000000009E-2</v>
      </c>
      <c r="N2626">
        <f t="shared" si="1092"/>
        <v>2.0000000000000018E-2</v>
      </c>
      <c r="O2626">
        <f t="shared" si="1114"/>
        <v>0.94</v>
      </c>
      <c r="P2626">
        <f t="shared" si="1115"/>
        <v>-1</v>
      </c>
      <c r="Q2626" t="str">
        <f t="shared" si="1093"/>
        <v>0% | 2.13%</v>
      </c>
      <c r="R2626" t="str">
        <f t="shared" si="1116"/>
        <v>BEARISH</v>
      </c>
      <c r="S2626">
        <f t="shared" si="1094"/>
        <v>-1</v>
      </c>
    </row>
    <row r="2627" spans="1:19" hidden="1" x14ac:dyDescent="0.25">
      <c r="A2627" s="5" t="str">
        <f t="shared" ref="A2627:A2690" si="1117">G2627&amp;I2627</f>
        <v>44011WTIC</v>
      </c>
      <c r="B2627" s="6" t="s">
        <v>103</v>
      </c>
      <c r="C2627" s="6">
        <v>36.15</v>
      </c>
      <c r="D2627" s="6">
        <v>40.99</v>
      </c>
      <c r="E2627" s="6">
        <v>38.49</v>
      </c>
      <c r="F2627" t="str">
        <f t="shared" si="1106"/>
        <v>MON</v>
      </c>
      <c r="G2627" s="1">
        <f t="shared" si="1107"/>
        <v>44011</v>
      </c>
      <c r="H2627" s="2">
        <f t="shared" ca="1" si="1108"/>
        <v>242</v>
      </c>
      <c r="I2627" t="str">
        <f t="shared" si="1109"/>
        <v>WTIC</v>
      </c>
      <c r="J2627">
        <f t="shared" si="1110"/>
        <v>36.15</v>
      </c>
      <c r="K2627">
        <f t="shared" si="1111"/>
        <v>40.99</v>
      </c>
      <c r="L2627">
        <f t="shared" si="1112"/>
        <v>38.57</v>
      </c>
      <c r="M2627">
        <f t="shared" si="1113"/>
        <v>2.4200000000000017</v>
      </c>
      <c r="N2627">
        <f t="shared" ref="N2627:N2690" si="1118">ABS(K2627-J2627)</f>
        <v>4.8400000000000034</v>
      </c>
      <c r="O2627">
        <f t="shared" si="1114"/>
        <v>38.49</v>
      </c>
      <c r="P2627">
        <f t="shared" si="1115"/>
        <v>-3.3057851239668694E-2</v>
      </c>
      <c r="Q2627" t="str">
        <f t="shared" ref="Q2627:Q2690" si="1119">ROUND(ABS(100*(O2627-J2627)/O2627),2)&amp;"% | "&amp;ROUND(ABS(100*(K2627-O2627)/O2627),2)&amp;"%"</f>
        <v>6.08% | 6.5%</v>
      </c>
      <c r="R2627" t="str">
        <f t="shared" si="1116"/>
        <v>NEUTRAL</v>
      </c>
      <c r="S2627">
        <f t="shared" ref="S2627:S2690" si="1120">IF(R2627="BEARISH",-1,IF(R2627="NEUTRAL",0,IF(R2627="BULLISH",1,99)))</f>
        <v>0</v>
      </c>
    </row>
    <row r="2628" spans="1:19" hidden="1" x14ac:dyDescent="0.25">
      <c r="A2628" s="5" t="str">
        <f t="shared" si="1117"/>
        <v>44011NATGAS</v>
      </c>
      <c r="B2628" s="6" t="s">
        <v>24</v>
      </c>
      <c r="C2628" s="6">
        <v>1.42</v>
      </c>
      <c r="D2628" s="6">
        <v>1.72</v>
      </c>
      <c r="E2628" s="6">
        <v>1.54</v>
      </c>
      <c r="F2628" t="str">
        <f t="shared" si="1106"/>
        <v>MON</v>
      </c>
      <c r="G2628" s="1">
        <f t="shared" si="1107"/>
        <v>44011</v>
      </c>
      <c r="H2628" s="2">
        <f t="shared" ca="1" si="1108"/>
        <v>242</v>
      </c>
      <c r="I2628" t="str">
        <f t="shared" si="1109"/>
        <v>NATGAS</v>
      </c>
      <c r="J2628">
        <f t="shared" si="1110"/>
        <v>1.42</v>
      </c>
      <c r="K2628">
        <f t="shared" si="1111"/>
        <v>1.72</v>
      </c>
      <c r="L2628">
        <f t="shared" si="1112"/>
        <v>1.5699999999999998</v>
      </c>
      <c r="M2628">
        <f t="shared" si="1113"/>
        <v>0.15000000000000002</v>
      </c>
      <c r="N2628">
        <f t="shared" si="1118"/>
        <v>0.30000000000000004</v>
      </c>
      <c r="O2628">
        <f t="shared" si="1114"/>
        <v>1.54</v>
      </c>
      <c r="P2628">
        <f t="shared" si="1115"/>
        <v>-0.19999999999999868</v>
      </c>
      <c r="Q2628" t="str">
        <f t="shared" si="1119"/>
        <v>7.79% | 11.69%</v>
      </c>
      <c r="R2628" t="str">
        <f t="shared" si="1116"/>
        <v>BEARISH</v>
      </c>
      <c r="S2628">
        <f t="shared" si="1120"/>
        <v>-1</v>
      </c>
    </row>
    <row r="2629" spans="1:19" hidden="1" x14ac:dyDescent="0.25">
      <c r="A2629" s="5" t="str">
        <f t="shared" si="1117"/>
        <v>44011GOLD</v>
      </c>
      <c r="B2629" s="6" t="s">
        <v>25</v>
      </c>
      <c r="C2629" s="6">
        <v>1740</v>
      </c>
      <c r="D2629" s="6">
        <v>1799</v>
      </c>
      <c r="E2629" s="6">
        <v>1780</v>
      </c>
      <c r="F2629" t="str">
        <f t="shared" si="1106"/>
        <v>MON</v>
      </c>
      <c r="G2629" s="1">
        <f t="shared" si="1107"/>
        <v>44011</v>
      </c>
      <c r="H2629" s="2">
        <f t="shared" ca="1" si="1108"/>
        <v>242</v>
      </c>
      <c r="I2629" t="str">
        <f t="shared" si="1109"/>
        <v>GOLD</v>
      </c>
      <c r="J2629">
        <f t="shared" si="1110"/>
        <v>1740</v>
      </c>
      <c r="K2629">
        <f t="shared" si="1111"/>
        <v>1799</v>
      </c>
      <c r="L2629">
        <f t="shared" si="1112"/>
        <v>1769.5</v>
      </c>
      <c r="M2629">
        <f t="shared" si="1113"/>
        <v>29.5</v>
      </c>
      <c r="N2629">
        <f t="shared" si="1118"/>
        <v>59</v>
      </c>
      <c r="O2629">
        <f t="shared" si="1114"/>
        <v>1780</v>
      </c>
      <c r="P2629">
        <f t="shared" si="1115"/>
        <v>0.3559322033898305</v>
      </c>
      <c r="Q2629" t="str">
        <f t="shared" si="1119"/>
        <v>2.25% | 1.07%</v>
      </c>
      <c r="R2629" t="str">
        <f t="shared" si="1116"/>
        <v>BULLISH</v>
      </c>
      <c r="S2629">
        <f t="shared" si="1120"/>
        <v>1</v>
      </c>
    </row>
    <row r="2630" spans="1:19" hidden="1" x14ac:dyDescent="0.25">
      <c r="A2630" s="5" t="str">
        <f t="shared" si="1117"/>
        <v>44011COPPER</v>
      </c>
      <c r="B2630" s="6" t="s">
        <v>100</v>
      </c>
      <c r="C2630" s="6">
        <v>2.56</v>
      </c>
      <c r="D2630" s="6">
        <v>2.71</v>
      </c>
      <c r="E2630" s="6">
        <v>2.68</v>
      </c>
      <c r="F2630" t="str">
        <f t="shared" si="1106"/>
        <v>MON</v>
      </c>
      <c r="G2630" s="1">
        <f t="shared" si="1107"/>
        <v>44011</v>
      </c>
      <c r="H2630" s="2">
        <f t="shared" ca="1" si="1108"/>
        <v>242</v>
      </c>
      <c r="I2630" t="str">
        <f t="shared" si="1109"/>
        <v>COPPER</v>
      </c>
      <c r="J2630">
        <f t="shared" si="1110"/>
        <v>2.56</v>
      </c>
      <c r="K2630">
        <f t="shared" si="1111"/>
        <v>2.71</v>
      </c>
      <c r="L2630">
        <f t="shared" si="1112"/>
        <v>2.6349999999999998</v>
      </c>
      <c r="M2630">
        <f t="shared" si="1113"/>
        <v>7.4999999999999956E-2</v>
      </c>
      <c r="N2630">
        <f t="shared" si="1118"/>
        <v>0.14999999999999991</v>
      </c>
      <c r="O2630">
        <f t="shared" si="1114"/>
        <v>2.68</v>
      </c>
      <c r="P2630">
        <f t="shared" si="1115"/>
        <v>0.60000000000000531</v>
      </c>
      <c r="Q2630" t="str">
        <f t="shared" si="1119"/>
        <v>4.48% | 1.12%</v>
      </c>
      <c r="R2630" t="str">
        <f t="shared" si="1116"/>
        <v>BULLISH</v>
      </c>
      <c r="S2630">
        <f t="shared" si="1120"/>
        <v>1</v>
      </c>
    </row>
    <row r="2631" spans="1:19" hidden="1" x14ac:dyDescent="0.25">
      <c r="A2631" s="5" t="str">
        <f t="shared" si="1117"/>
        <v>44011MSFT</v>
      </c>
      <c r="B2631" s="6" t="s">
        <v>27</v>
      </c>
      <c r="C2631" s="6">
        <v>190</v>
      </c>
      <c r="D2631" s="6">
        <v>203</v>
      </c>
      <c r="E2631" s="6">
        <v>196</v>
      </c>
      <c r="F2631" t="str">
        <f t="shared" si="1106"/>
        <v>MON</v>
      </c>
      <c r="G2631" s="1">
        <f t="shared" si="1107"/>
        <v>44011</v>
      </c>
      <c r="H2631" s="2">
        <f t="shared" ca="1" si="1108"/>
        <v>242</v>
      </c>
      <c r="I2631" t="str">
        <f t="shared" si="1109"/>
        <v>MSFT</v>
      </c>
      <c r="J2631">
        <f t="shared" si="1110"/>
        <v>190</v>
      </c>
      <c r="K2631">
        <f t="shared" si="1111"/>
        <v>203</v>
      </c>
      <c r="L2631">
        <f t="shared" si="1112"/>
        <v>196.5</v>
      </c>
      <c r="M2631">
        <f t="shared" si="1113"/>
        <v>6.5</v>
      </c>
      <c r="N2631">
        <f t="shared" si="1118"/>
        <v>13</v>
      </c>
      <c r="O2631">
        <f t="shared" si="1114"/>
        <v>196</v>
      </c>
      <c r="P2631">
        <f t="shared" si="1115"/>
        <v>-7.6923076923076927E-2</v>
      </c>
      <c r="Q2631" t="str">
        <f t="shared" si="1119"/>
        <v>3.06% | 3.57%</v>
      </c>
      <c r="R2631" t="str">
        <f t="shared" si="1116"/>
        <v>BULLISH</v>
      </c>
      <c r="S2631">
        <f t="shared" si="1120"/>
        <v>1</v>
      </c>
    </row>
    <row r="2632" spans="1:19" hidden="1" x14ac:dyDescent="0.25">
      <c r="A2632" s="5" t="str">
        <f t="shared" si="1117"/>
        <v>44011AAPL</v>
      </c>
      <c r="B2632" s="6" t="s">
        <v>28</v>
      </c>
      <c r="C2632" s="6">
        <v>339</v>
      </c>
      <c r="D2632" s="6">
        <v>369</v>
      </c>
      <c r="E2632" s="6">
        <v>353</v>
      </c>
      <c r="F2632" t="str">
        <f t="shared" si="1106"/>
        <v>MON</v>
      </c>
      <c r="G2632" s="1">
        <f t="shared" si="1107"/>
        <v>44011</v>
      </c>
      <c r="H2632" s="2">
        <f t="shared" ca="1" si="1108"/>
        <v>242</v>
      </c>
      <c r="I2632" t="str">
        <f t="shared" si="1109"/>
        <v>AAPL</v>
      </c>
      <c r="J2632">
        <f t="shared" si="1110"/>
        <v>339</v>
      </c>
      <c r="K2632">
        <f t="shared" si="1111"/>
        <v>369</v>
      </c>
      <c r="L2632">
        <f t="shared" si="1112"/>
        <v>354</v>
      </c>
      <c r="M2632">
        <f t="shared" si="1113"/>
        <v>15</v>
      </c>
      <c r="N2632">
        <f t="shared" si="1118"/>
        <v>30</v>
      </c>
      <c r="O2632">
        <f t="shared" si="1114"/>
        <v>353</v>
      </c>
      <c r="P2632">
        <f t="shared" si="1115"/>
        <v>-6.6666666666666666E-2</v>
      </c>
      <c r="Q2632" t="str">
        <f t="shared" si="1119"/>
        <v>3.97% | 4.53%</v>
      </c>
      <c r="R2632" t="str">
        <f t="shared" si="1116"/>
        <v>BULLISH</v>
      </c>
      <c r="S2632">
        <f t="shared" si="1120"/>
        <v>1</v>
      </c>
    </row>
    <row r="2633" spans="1:19" hidden="1" x14ac:dyDescent="0.25">
      <c r="A2633" s="5" t="str">
        <f t="shared" si="1117"/>
        <v>44011AMZN</v>
      </c>
      <c r="B2633" s="6" t="s">
        <v>29</v>
      </c>
      <c r="C2633" s="6">
        <v>2590</v>
      </c>
      <c r="D2633" s="6">
        <v>2792</v>
      </c>
      <c r="E2633" s="6">
        <v>2692</v>
      </c>
      <c r="F2633" t="str">
        <f t="shared" si="1106"/>
        <v>MON</v>
      </c>
      <c r="G2633" s="1">
        <f t="shared" si="1107"/>
        <v>44011</v>
      </c>
      <c r="H2633" s="2">
        <f t="shared" ca="1" si="1108"/>
        <v>242</v>
      </c>
      <c r="I2633" t="str">
        <f t="shared" si="1109"/>
        <v>AMZN</v>
      </c>
      <c r="J2633">
        <f t="shared" si="1110"/>
        <v>2590</v>
      </c>
      <c r="K2633">
        <f t="shared" si="1111"/>
        <v>2792</v>
      </c>
      <c r="L2633">
        <f t="shared" si="1112"/>
        <v>2691</v>
      </c>
      <c r="M2633">
        <f t="shared" si="1113"/>
        <v>101</v>
      </c>
      <c r="N2633">
        <f t="shared" si="1118"/>
        <v>202</v>
      </c>
      <c r="O2633">
        <f t="shared" si="1114"/>
        <v>2692</v>
      </c>
      <c r="P2633">
        <f t="shared" si="1115"/>
        <v>9.9009900990099011E-3</v>
      </c>
      <c r="Q2633" t="str">
        <f t="shared" si="1119"/>
        <v>3.79% | 3.71%</v>
      </c>
      <c r="R2633" t="str">
        <f t="shared" si="1116"/>
        <v>BULLISH</v>
      </c>
      <c r="S2633">
        <f t="shared" si="1120"/>
        <v>1</v>
      </c>
    </row>
    <row r="2634" spans="1:19" hidden="1" x14ac:dyDescent="0.25">
      <c r="A2634" s="5" t="str">
        <f t="shared" si="1117"/>
        <v>44011FB</v>
      </c>
      <c r="B2634" s="6" t="s">
        <v>157</v>
      </c>
      <c r="C2634" s="6">
        <v>211</v>
      </c>
      <c r="D2634" s="6">
        <v>225</v>
      </c>
      <c r="E2634" s="6">
        <v>216</v>
      </c>
      <c r="F2634" t="str">
        <f t="shared" si="1106"/>
        <v>MON</v>
      </c>
      <c r="G2634" s="1">
        <f t="shared" si="1107"/>
        <v>44011</v>
      </c>
      <c r="H2634" s="2">
        <f t="shared" ca="1" si="1108"/>
        <v>242</v>
      </c>
      <c r="I2634" t="str">
        <f t="shared" si="1109"/>
        <v>FB</v>
      </c>
      <c r="J2634">
        <f t="shared" si="1110"/>
        <v>211</v>
      </c>
      <c r="K2634">
        <f t="shared" si="1111"/>
        <v>225</v>
      </c>
      <c r="L2634">
        <f t="shared" si="1112"/>
        <v>218</v>
      </c>
      <c r="M2634">
        <f t="shared" si="1113"/>
        <v>7</v>
      </c>
      <c r="N2634">
        <f t="shared" si="1118"/>
        <v>14</v>
      </c>
      <c r="O2634">
        <f t="shared" si="1114"/>
        <v>216</v>
      </c>
      <c r="P2634">
        <f t="shared" si="1115"/>
        <v>-0.2857142857142857</v>
      </c>
      <c r="Q2634" t="str">
        <f t="shared" si="1119"/>
        <v>2.31% | 4.17%</v>
      </c>
      <c r="R2634" t="str">
        <f t="shared" si="1116"/>
        <v>NEUTRAL</v>
      </c>
      <c r="S2634">
        <f t="shared" si="1120"/>
        <v>0</v>
      </c>
    </row>
    <row r="2635" spans="1:19" hidden="1" x14ac:dyDescent="0.25">
      <c r="A2635" s="5" t="str">
        <f t="shared" si="1117"/>
        <v>44011GOOGL</v>
      </c>
      <c r="B2635" s="6" t="s">
        <v>59</v>
      </c>
      <c r="C2635" s="6">
        <v>1339</v>
      </c>
      <c r="D2635" s="6">
        <v>1422</v>
      </c>
      <c r="E2635" s="6">
        <v>1362</v>
      </c>
      <c r="F2635" t="str">
        <f t="shared" si="1106"/>
        <v>MON</v>
      </c>
      <c r="G2635" s="1">
        <f t="shared" si="1107"/>
        <v>44011</v>
      </c>
      <c r="H2635" s="2">
        <f t="shared" ca="1" si="1108"/>
        <v>242</v>
      </c>
      <c r="I2635" t="str">
        <f t="shared" si="1109"/>
        <v>GOOGL</v>
      </c>
      <c r="J2635">
        <f t="shared" si="1110"/>
        <v>1339</v>
      </c>
      <c r="K2635">
        <f t="shared" si="1111"/>
        <v>1422</v>
      </c>
      <c r="L2635">
        <f t="shared" si="1112"/>
        <v>1380.5</v>
      </c>
      <c r="M2635">
        <f t="shared" si="1113"/>
        <v>41.5</v>
      </c>
      <c r="N2635">
        <f t="shared" si="1118"/>
        <v>83</v>
      </c>
      <c r="O2635">
        <f t="shared" si="1114"/>
        <v>1362</v>
      </c>
      <c r="P2635">
        <f t="shared" si="1115"/>
        <v>-0.44578313253012047</v>
      </c>
      <c r="Q2635" t="str">
        <f t="shared" si="1119"/>
        <v>1.69% | 4.41%</v>
      </c>
      <c r="R2635" t="str">
        <f t="shared" si="1116"/>
        <v>NEUTRAL</v>
      </c>
      <c r="S2635">
        <f t="shared" si="1120"/>
        <v>0</v>
      </c>
    </row>
    <row r="2636" spans="1:19" hidden="1" x14ac:dyDescent="0.25">
      <c r="A2636" s="5" t="str">
        <f t="shared" si="1117"/>
        <v>44011NFLX</v>
      </c>
      <c r="B2636" s="6" t="s">
        <v>32</v>
      </c>
      <c r="C2636" s="6">
        <v>430</v>
      </c>
      <c r="D2636" s="6">
        <v>476</v>
      </c>
      <c r="E2636" s="6">
        <v>443</v>
      </c>
      <c r="F2636" t="str">
        <f t="shared" si="1106"/>
        <v>MON</v>
      </c>
      <c r="G2636" s="1">
        <f t="shared" si="1107"/>
        <v>44011</v>
      </c>
      <c r="H2636" s="2">
        <f t="shared" ca="1" si="1108"/>
        <v>242</v>
      </c>
      <c r="I2636" t="str">
        <f t="shared" si="1109"/>
        <v>NFLX</v>
      </c>
      <c r="J2636">
        <f t="shared" si="1110"/>
        <v>430</v>
      </c>
      <c r="K2636">
        <f t="shared" si="1111"/>
        <v>476</v>
      </c>
      <c r="L2636">
        <f t="shared" si="1112"/>
        <v>453</v>
      </c>
      <c r="M2636">
        <f t="shared" si="1113"/>
        <v>23</v>
      </c>
      <c r="N2636">
        <f t="shared" si="1118"/>
        <v>46</v>
      </c>
      <c r="O2636">
        <f t="shared" si="1114"/>
        <v>443</v>
      </c>
      <c r="P2636">
        <f t="shared" si="1115"/>
        <v>-0.43478260869565216</v>
      </c>
      <c r="Q2636" t="str">
        <f t="shared" si="1119"/>
        <v>2.93% | 7.45%</v>
      </c>
      <c r="R2636" t="str">
        <f t="shared" si="1116"/>
        <v>BULLISH</v>
      </c>
      <c r="S2636">
        <f t="shared" si="1120"/>
        <v>1</v>
      </c>
    </row>
    <row r="2637" spans="1:19" x14ac:dyDescent="0.25">
      <c r="A2637" s="5" t="str">
        <f t="shared" si="1117"/>
        <v>44011TSLA</v>
      </c>
      <c r="B2637" s="6" t="s">
        <v>33</v>
      </c>
      <c r="C2637" s="6">
        <v>924</v>
      </c>
      <c r="D2637" s="6">
        <v>1017</v>
      </c>
      <c r="E2637" s="6">
        <v>959</v>
      </c>
      <c r="F2637" t="str">
        <f t="shared" si="1106"/>
        <v>MON</v>
      </c>
      <c r="G2637" s="1">
        <f t="shared" si="1107"/>
        <v>44011</v>
      </c>
      <c r="H2637" s="2">
        <f t="shared" ca="1" si="1108"/>
        <v>242</v>
      </c>
      <c r="I2637" t="str">
        <f t="shared" si="1109"/>
        <v>TSLA</v>
      </c>
      <c r="J2637">
        <f t="shared" si="1110"/>
        <v>924</v>
      </c>
      <c r="K2637">
        <f t="shared" si="1111"/>
        <v>1017</v>
      </c>
      <c r="L2637">
        <f t="shared" si="1112"/>
        <v>970.5</v>
      </c>
      <c r="M2637">
        <f t="shared" si="1113"/>
        <v>46.5</v>
      </c>
      <c r="N2637">
        <f t="shared" si="1118"/>
        <v>93</v>
      </c>
      <c r="O2637">
        <f t="shared" si="1114"/>
        <v>959</v>
      </c>
      <c r="P2637">
        <f t="shared" si="1115"/>
        <v>-0.24731182795698925</v>
      </c>
      <c r="Q2637" t="str">
        <f t="shared" si="1119"/>
        <v>3.65% | 6.05%</v>
      </c>
      <c r="R2637" t="str">
        <f t="shared" si="1116"/>
        <v>BULLISH</v>
      </c>
      <c r="S2637">
        <f t="shared" si="1120"/>
        <v>1</v>
      </c>
    </row>
    <row r="2638" spans="1:19" hidden="1" x14ac:dyDescent="0.25">
      <c r="A2638" s="5" t="str">
        <f t="shared" si="1117"/>
        <v>44011NYXBT</v>
      </c>
      <c r="B2638" s="6" t="s">
        <v>34</v>
      </c>
      <c r="C2638" s="6">
        <v>9007</v>
      </c>
      <c r="D2638" s="6">
        <v>9681</v>
      </c>
      <c r="E2638" s="6">
        <v>9065</v>
      </c>
      <c r="F2638" t="str">
        <f t="shared" si="1106"/>
        <v>MON</v>
      </c>
      <c r="G2638" s="1">
        <f t="shared" si="1107"/>
        <v>44011</v>
      </c>
      <c r="H2638" s="2">
        <f t="shared" ca="1" si="1108"/>
        <v>242</v>
      </c>
      <c r="I2638" t="str">
        <f t="shared" si="1109"/>
        <v>NYXBT</v>
      </c>
      <c r="J2638">
        <f t="shared" si="1110"/>
        <v>9007</v>
      </c>
      <c r="K2638">
        <f t="shared" si="1111"/>
        <v>9681</v>
      </c>
      <c r="L2638">
        <f t="shared" si="1112"/>
        <v>9344</v>
      </c>
      <c r="M2638">
        <f t="shared" si="1113"/>
        <v>337</v>
      </c>
      <c r="N2638">
        <f t="shared" si="1118"/>
        <v>674</v>
      </c>
      <c r="O2638">
        <f t="shared" si="1114"/>
        <v>9065</v>
      </c>
      <c r="P2638">
        <f t="shared" si="1115"/>
        <v>-0.82789317507418403</v>
      </c>
      <c r="Q2638" t="str">
        <f t="shared" si="1119"/>
        <v>0.64% | 6.8%</v>
      </c>
      <c r="R2638" t="str">
        <f t="shared" si="1116"/>
        <v>BULLISH</v>
      </c>
      <c r="S2638">
        <f t="shared" si="1120"/>
        <v>1</v>
      </c>
    </row>
    <row r="2639" spans="1:19" hidden="1" x14ac:dyDescent="0.25">
      <c r="A2639" s="5" t="str">
        <f t="shared" si="1117"/>
        <v>44012UST10Y</v>
      </c>
      <c r="B2639" s="6" t="s">
        <v>4</v>
      </c>
      <c r="C2639" s="6">
        <v>0.71</v>
      </c>
      <c r="D2639" s="6">
        <v>0.61</v>
      </c>
      <c r="E2639" s="6">
        <v>0.64</v>
      </c>
      <c r="F2639" t="str">
        <f t="shared" si="1106"/>
        <v>TUE</v>
      </c>
      <c r="G2639" s="3">
        <f>DATE(2020,6,30)</f>
        <v>44012</v>
      </c>
      <c r="H2639" s="2">
        <f t="shared" ca="1" si="1108"/>
        <v>241</v>
      </c>
      <c r="I2639" t="str">
        <f t="shared" si="1109"/>
        <v>UST10Y</v>
      </c>
      <c r="J2639">
        <f t="shared" si="1110"/>
        <v>0.71</v>
      </c>
      <c r="K2639">
        <f t="shared" si="1111"/>
        <v>0.61</v>
      </c>
      <c r="L2639">
        <f t="shared" si="1112"/>
        <v>0.65999999999999992</v>
      </c>
      <c r="M2639">
        <f t="shared" si="1113"/>
        <v>4.9999999999999989E-2</v>
      </c>
      <c r="N2639">
        <f t="shared" si="1118"/>
        <v>9.9999999999999978E-2</v>
      </c>
      <c r="O2639">
        <f t="shared" si="1114"/>
        <v>0.64</v>
      </c>
      <c r="P2639">
        <f t="shared" si="1115"/>
        <v>-0.39999999999999825</v>
      </c>
      <c r="Q2639" t="str">
        <f t="shared" si="1119"/>
        <v>10.94% | 4.69%</v>
      </c>
      <c r="R2639" t="str">
        <f t="shared" si="1116"/>
        <v>BEARISH</v>
      </c>
      <c r="S2639">
        <f t="shared" si="1120"/>
        <v>-1</v>
      </c>
    </row>
    <row r="2640" spans="1:19" hidden="1" x14ac:dyDescent="0.25">
      <c r="A2640" s="5" t="str">
        <f t="shared" si="1117"/>
        <v>44012UST2Y</v>
      </c>
      <c r="B2640" s="6" t="s">
        <v>5</v>
      </c>
      <c r="C2640" s="6">
        <v>0.19</v>
      </c>
      <c r="D2640" s="6">
        <v>0.12</v>
      </c>
      <c r="E2640" s="6">
        <v>0.16</v>
      </c>
      <c r="F2640" t="str">
        <f t="shared" ref="F2640:F2669" si="1121">UPPER(TEXT(G2640,"ddd"))</f>
        <v>TUE</v>
      </c>
      <c r="G2640" s="3">
        <f t="shared" ref="G2640:G2668" si="1122">DATE(2020,6,30)</f>
        <v>44012</v>
      </c>
      <c r="H2640" s="2">
        <f t="shared" ref="H2640:H2669" ca="1" si="1123">TODAY()-G2640</f>
        <v>241</v>
      </c>
      <c r="I2640" t="str">
        <f t="shared" ref="I2640:I2669" si="1124">TRIM(LEFT(B2640,FIND(" ",B2640,1)))</f>
        <v>UST2Y</v>
      </c>
      <c r="J2640">
        <f t="shared" ref="J2640:J2669" si="1125">C2640</f>
        <v>0.19</v>
      </c>
      <c r="K2640">
        <f t="shared" ref="K2640:K2669" si="1126">D2640</f>
        <v>0.12</v>
      </c>
      <c r="L2640">
        <f t="shared" ref="L2640:L2669" si="1127">AVERAGE(J2640:K2640)</f>
        <v>0.155</v>
      </c>
      <c r="M2640">
        <f t="shared" ref="M2640:M2669" si="1128">_xlfn.STDEV.P(J2640:K2640)</f>
        <v>3.5000000000000003E-2</v>
      </c>
      <c r="N2640">
        <f t="shared" si="1118"/>
        <v>7.0000000000000007E-2</v>
      </c>
      <c r="O2640">
        <f t="shared" ref="O2640:O2669" si="1129">E2640</f>
        <v>0.16</v>
      </c>
      <c r="P2640">
        <f t="shared" ref="P2640:P2669" si="1130">(O2640-L2640)/M2640</f>
        <v>0.14285714285714296</v>
      </c>
      <c r="Q2640" t="str">
        <f t="shared" si="1119"/>
        <v>18.75% | 25%</v>
      </c>
      <c r="R2640" t="str">
        <f t="shared" ref="R2640:R2669" si="1131">MID(B2640,FIND("(",B2640,1)+1,FIND(")",B2640,1)-FIND("(",B2640,1)-1)</f>
        <v>BEARISH</v>
      </c>
      <c r="S2640">
        <f t="shared" si="1120"/>
        <v>-1</v>
      </c>
    </row>
    <row r="2641" spans="1:19" hidden="1" x14ac:dyDescent="0.25">
      <c r="A2641" s="5" t="str">
        <f t="shared" si="1117"/>
        <v>44012SPX</v>
      </c>
      <c r="B2641" s="6" t="s">
        <v>6</v>
      </c>
      <c r="C2641" s="6">
        <v>2982</v>
      </c>
      <c r="D2641" s="6">
        <v>3110</v>
      </c>
      <c r="E2641" s="6">
        <v>3053</v>
      </c>
      <c r="F2641" t="str">
        <f t="shared" si="1121"/>
        <v>TUE</v>
      </c>
      <c r="G2641" s="3">
        <f t="shared" si="1122"/>
        <v>44012</v>
      </c>
      <c r="H2641" s="2">
        <f t="shared" ca="1" si="1123"/>
        <v>241</v>
      </c>
      <c r="I2641" t="str">
        <f t="shared" si="1124"/>
        <v>SPX</v>
      </c>
      <c r="J2641">
        <f t="shared" si="1125"/>
        <v>2982</v>
      </c>
      <c r="K2641">
        <f t="shared" si="1126"/>
        <v>3110</v>
      </c>
      <c r="L2641">
        <f t="shared" si="1127"/>
        <v>3046</v>
      </c>
      <c r="M2641">
        <f t="shared" si="1128"/>
        <v>64</v>
      </c>
      <c r="N2641">
        <f t="shared" si="1118"/>
        <v>128</v>
      </c>
      <c r="O2641">
        <f t="shared" si="1129"/>
        <v>3053</v>
      </c>
      <c r="P2641">
        <f t="shared" si="1130"/>
        <v>0.109375</v>
      </c>
      <c r="Q2641" t="str">
        <f t="shared" si="1119"/>
        <v>2.33% | 1.87%</v>
      </c>
      <c r="R2641" t="str">
        <f t="shared" si="1131"/>
        <v>BEARISH</v>
      </c>
      <c r="S2641">
        <f t="shared" si="1120"/>
        <v>-1</v>
      </c>
    </row>
    <row r="2642" spans="1:19" hidden="1" x14ac:dyDescent="0.25">
      <c r="A2642" s="5" t="str">
        <f t="shared" si="1117"/>
        <v>44012RUT</v>
      </c>
      <c r="B2642" s="6" t="s">
        <v>7</v>
      </c>
      <c r="C2642" s="6">
        <v>1374</v>
      </c>
      <c r="D2642" s="6">
        <v>1457</v>
      </c>
      <c r="E2642" s="6">
        <v>1421</v>
      </c>
      <c r="F2642" t="str">
        <f t="shared" si="1121"/>
        <v>TUE</v>
      </c>
      <c r="G2642" s="3">
        <f t="shared" si="1122"/>
        <v>44012</v>
      </c>
      <c r="H2642" s="2">
        <f t="shared" ca="1" si="1123"/>
        <v>241</v>
      </c>
      <c r="I2642" t="str">
        <f t="shared" si="1124"/>
        <v>RUT</v>
      </c>
      <c r="J2642">
        <f t="shared" si="1125"/>
        <v>1374</v>
      </c>
      <c r="K2642">
        <f t="shared" si="1126"/>
        <v>1457</v>
      </c>
      <c r="L2642">
        <f t="shared" si="1127"/>
        <v>1415.5</v>
      </c>
      <c r="M2642">
        <f t="shared" si="1128"/>
        <v>41.5</v>
      </c>
      <c r="N2642">
        <f t="shared" si="1118"/>
        <v>83</v>
      </c>
      <c r="O2642">
        <f t="shared" si="1129"/>
        <v>1421</v>
      </c>
      <c r="P2642">
        <f t="shared" si="1130"/>
        <v>0.13253012048192772</v>
      </c>
      <c r="Q2642" t="str">
        <f t="shared" si="1119"/>
        <v>3.31% | 2.53%</v>
      </c>
      <c r="R2642" t="str">
        <f t="shared" si="1131"/>
        <v>BEARISH</v>
      </c>
      <c r="S2642">
        <f t="shared" si="1120"/>
        <v>-1</v>
      </c>
    </row>
    <row r="2643" spans="1:19" hidden="1" x14ac:dyDescent="0.25">
      <c r="A2643" s="5" t="str">
        <f t="shared" si="1117"/>
        <v>44012COMPQ</v>
      </c>
      <c r="B2643" s="6" t="s">
        <v>8</v>
      </c>
      <c r="C2643" s="6">
        <v>9687</v>
      </c>
      <c r="D2643" s="6">
        <v>10164</v>
      </c>
      <c r="E2643" s="6">
        <v>9874</v>
      </c>
      <c r="F2643" t="str">
        <f t="shared" si="1121"/>
        <v>TUE</v>
      </c>
      <c r="G2643" s="3">
        <f t="shared" si="1122"/>
        <v>44012</v>
      </c>
      <c r="H2643" s="2">
        <f t="shared" ca="1" si="1123"/>
        <v>241</v>
      </c>
      <c r="I2643" t="str">
        <f t="shared" si="1124"/>
        <v>COMPQ</v>
      </c>
      <c r="J2643">
        <f t="shared" si="1125"/>
        <v>9687</v>
      </c>
      <c r="K2643">
        <f t="shared" si="1126"/>
        <v>10164</v>
      </c>
      <c r="L2643">
        <f t="shared" si="1127"/>
        <v>9925.5</v>
      </c>
      <c r="M2643">
        <f t="shared" si="1128"/>
        <v>238.5</v>
      </c>
      <c r="N2643">
        <f t="shared" si="1118"/>
        <v>477</v>
      </c>
      <c r="O2643">
        <f t="shared" si="1129"/>
        <v>9874</v>
      </c>
      <c r="P2643">
        <f t="shared" si="1130"/>
        <v>-0.21593291404612158</v>
      </c>
      <c r="Q2643" t="str">
        <f t="shared" si="1119"/>
        <v>1.89% | 2.94%</v>
      </c>
      <c r="R2643" t="str">
        <f t="shared" si="1131"/>
        <v>BULLISH</v>
      </c>
      <c r="S2643">
        <f t="shared" si="1120"/>
        <v>1</v>
      </c>
    </row>
    <row r="2644" spans="1:19" hidden="1" x14ac:dyDescent="0.25">
      <c r="A2644" s="5" t="str">
        <f t="shared" si="1117"/>
        <v>44012XLK</v>
      </c>
      <c r="B2644" s="6" t="s">
        <v>10</v>
      </c>
      <c r="C2644" s="6">
        <v>99.98</v>
      </c>
      <c r="D2644" s="6">
        <v>104.92</v>
      </c>
      <c r="E2644" s="6">
        <v>102.65</v>
      </c>
      <c r="F2644" t="str">
        <f t="shared" si="1121"/>
        <v>TUE</v>
      </c>
      <c r="G2644" s="3">
        <f t="shared" si="1122"/>
        <v>44012</v>
      </c>
      <c r="H2644" s="2">
        <f t="shared" ca="1" si="1123"/>
        <v>241</v>
      </c>
      <c r="I2644" t="str">
        <f t="shared" si="1124"/>
        <v>XLK</v>
      </c>
      <c r="J2644">
        <f t="shared" si="1125"/>
        <v>99.98</v>
      </c>
      <c r="K2644">
        <f t="shared" si="1126"/>
        <v>104.92</v>
      </c>
      <c r="L2644">
        <f t="shared" si="1127"/>
        <v>102.45</v>
      </c>
      <c r="M2644">
        <f t="shared" si="1128"/>
        <v>2.4699999999999989</v>
      </c>
      <c r="N2644">
        <f t="shared" si="1118"/>
        <v>4.9399999999999977</v>
      </c>
      <c r="O2644">
        <f t="shared" si="1129"/>
        <v>102.65</v>
      </c>
      <c r="P2644">
        <f t="shared" si="1130"/>
        <v>8.0971659919029534E-2</v>
      </c>
      <c r="Q2644" t="str">
        <f t="shared" si="1119"/>
        <v>2.6% | 2.21%</v>
      </c>
      <c r="R2644" t="str">
        <f t="shared" si="1131"/>
        <v>BULLISH</v>
      </c>
      <c r="S2644">
        <f t="shared" si="1120"/>
        <v>1</v>
      </c>
    </row>
    <row r="2645" spans="1:19" hidden="1" x14ac:dyDescent="0.25">
      <c r="A2645" s="5" t="str">
        <f t="shared" si="1117"/>
        <v>44012XLRE</v>
      </c>
      <c r="B2645" s="6" t="s">
        <v>156</v>
      </c>
      <c r="C2645" s="6">
        <v>33.020000000000003</v>
      </c>
      <c r="D2645" s="6">
        <v>36.159999999999997</v>
      </c>
      <c r="E2645" s="6">
        <v>34.31</v>
      </c>
      <c r="F2645" t="str">
        <f t="shared" si="1121"/>
        <v>TUE</v>
      </c>
      <c r="G2645" s="3">
        <f t="shared" si="1122"/>
        <v>44012</v>
      </c>
      <c r="H2645" s="2">
        <f t="shared" ca="1" si="1123"/>
        <v>241</v>
      </c>
      <c r="I2645" t="str">
        <f t="shared" si="1124"/>
        <v>XLRE</v>
      </c>
      <c r="J2645">
        <f t="shared" si="1125"/>
        <v>33.020000000000003</v>
      </c>
      <c r="K2645">
        <f t="shared" si="1126"/>
        <v>36.159999999999997</v>
      </c>
      <c r="L2645">
        <f t="shared" si="1127"/>
        <v>34.590000000000003</v>
      </c>
      <c r="M2645">
        <f t="shared" si="1128"/>
        <v>1.5699999999999967</v>
      </c>
      <c r="N2645">
        <f t="shared" si="1118"/>
        <v>3.1399999999999935</v>
      </c>
      <c r="O2645">
        <f t="shared" si="1129"/>
        <v>34.31</v>
      </c>
      <c r="P2645">
        <f t="shared" si="1130"/>
        <v>-0.17834394904458709</v>
      </c>
      <c r="Q2645" t="str">
        <f t="shared" si="1119"/>
        <v>3.76% | 5.39%</v>
      </c>
      <c r="R2645" t="str">
        <f t="shared" si="1131"/>
        <v>NEUTRAL</v>
      </c>
      <c r="S2645">
        <f t="shared" si="1120"/>
        <v>0</v>
      </c>
    </row>
    <row r="2646" spans="1:19" hidden="1" x14ac:dyDescent="0.25">
      <c r="A2646" s="5" t="str">
        <f t="shared" si="1117"/>
        <v>44012XLU</v>
      </c>
      <c r="B2646" s="6" t="s">
        <v>80</v>
      </c>
      <c r="C2646" s="6">
        <v>54.61</v>
      </c>
      <c r="D2646" s="6">
        <v>58.28</v>
      </c>
      <c r="E2646" s="6">
        <v>56.22</v>
      </c>
      <c r="F2646" t="str">
        <f t="shared" si="1121"/>
        <v>TUE</v>
      </c>
      <c r="G2646" s="3">
        <f t="shared" si="1122"/>
        <v>44012</v>
      </c>
      <c r="H2646" s="2">
        <f t="shared" ca="1" si="1123"/>
        <v>241</v>
      </c>
      <c r="I2646" t="str">
        <f t="shared" si="1124"/>
        <v>XLU</v>
      </c>
      <c r="J2646">
        <f t="shared" si="1125"/>
        <v>54.61</v>
      </c>
      <c r="K2646">
        <f t="shared" si="1126"/>
        <v>58.28</v>
      </c>
      <c r="L2646">
        <f t="shared" si="1127"/>
        <v>56.445</v>
      </c>
      <c r="M2646">
        <f t="shared" si="1128"/>
        <v>1.8350000000000009</v>
      </c>
      <c r="N2646">
        <f t="shared" si="1118"/>
        <v>3.6700000000000017</v>
      </c>
      <c r="O2646">
        <f t="shared" si="1129"/>
        <v>56.22</v>
      </c>
      <c r="P2646">
        <f t="shared" si="1130"/>
        <v>-0.12261580381471461</v>
      </c>
      <c r="Q2646" t="str">
        <f t="shared" si="1119"/>
        <v>2.86% | 3.66%</v>
      </c>
      <c r="R2646" t="str">
        <f t="shared" si="1131"/>
        <v>NEUTRAL</v>
      </c>
      <c r="S2646">
        <f t="shared" si="1120"/>
        <v>0</v>
      </c>
    </row>
    <row r="2647" spans="1:19" hidden="1" x14ac:dyDescent="0.25">
      <c r="A2647" s="5" t="str">
        <f t="shared" si="1117"/>
        <v>44012XLF</v>
      </c>
      <c r="B2647" s="6" t="s">
        <v>12</v>
      </c>
      <c r="C2647" s="6">
        <v>22.06</v>
      </c>
      <c r="D2647" s="6">
        <v>24.07</v>
      </c>
      <c r="E2647" s="6">
        <v>22.83</v>
      </c>
      <c r="F2647" t="str">
        <f t="shared" si="1121"/>
        <v>TUE</v>
      </c>
      <c r="G2647" s="3">
        <f t="shared" si="1122"/>
        <v>44012</v>
      </c>
      <c r="H2647" s="2">
        <f t="shared" ca="1" si="1123"/>
        <v>241</v>
      </c>
      <c r="I2647" t="str">
        <f t="shared" si="1124"/>
        <v>XLF</v>
      </c>
      <c r="J2647">
        <f t="shared" si="1125"/>
        <v>22.06</v>
      </c>
      <c r="K2647">
        <f t="shared" si="1126"/>
        <v>24.07</v>
      </c>
      <c r="L2647">
        <f t="shared" si="1127"/>
        <v>23.064999999999998</v>
      </c>
      <c r="M2647">
        <f t="shared" si="1128"/>
        <v>1.0050000000000008</v>
      </c>
      <c r="N2647">
        <f t="shared" si="1118"/>
        <v>2.0100000000000016</v>
      </c>
      <c r="O2647">
        <f t="shared" si="1129"/>
        <v>22.83</v>
      </c>
      <c r="P2647">
        <f t="shared" si="1130"/>
        <v>-0.23383084577114352</v>
      </c>
      <c r="Q2647" t="str">
        <f t="shared" si="1119"/>
        <v>3.37% | 5.43%</v>
      </c>
      <c r="R2647" t="str">
        <f t="shared" si="1131"/>
        <v>BEARISH</v>
      </c>
      <c r="S2647">
        <f t="shared" si="1120"/>
        <v>-1</v>
      </c>
    </row>
    <row r="2648" spans="1:19" hidden="1" x14ac:dyDescent="0.25">
      <c r="A2648" s="5" t="str">
        <f t="shared" si="1117"/>
        <v>44012SSEC</v>
      </c>
      <c r="B2648" s="6" t="s">
        <v>104</v>
      </c>
      <c r="C2648" s="6">
        <v>2910</v>
      </c>
      <c r="D2648" s="6">
        <v>2993</v>
      </c>
      <c r="E2648" s="6">
        <v>2984</v>
      </c>
      <c r="F2648" t="str">
        <f t="shared" si="1121"/>
        <v>TUE</v>
      </c>
      <c r="G2648" s="3">
        <f t="shared" si="1122"/>
        <v>44012</v>
      </c>
      <c r="H2648" s="2">
        <f t="shared" ca="1" si="1123"/>
        <v>241</v>
      </c>
      <c r="I2648" t="str">
        <f t="shared" si="1124"/>
        <v>SSEC</v>
      </c>
      <c r="J2648">
        <f t="shared" si="1125"/>
        <v>2910</v>
      </c>
      <c r="K2648">
        <f t="shared" si="1126"/>
        <v>2993</v>
      </c>
      <c r="L2648">
        <f t="shared" si="1127"/>
        <v>2951.5</v>
      </c>
      <c r="M2648">
        <f t="shared" si="1128"/>
        <v>41.5</v>
      </c>
      <c r="N2648">
        <f t="shared" si="1118"/>
        <v>83</v>
      </c>
      <c r="O2648">
        <f t="shared" si="1129"/>
        <v>2984</v>
      </c>
      <c r="P2648">
        <f t="shared" si="1130"/>
        <v>0.7831325301204819</v>
      </c>
      <c r="Q2648" t="str">
        <f t="shared" si="1119"/>
        <v>2.48% | 0.3%</v>
      </c>
      <c r="R2648" t="str">
        <f t="shared" si="1131"/>
        <v>BULLISH</v>
      </c>
      <c r="S2648">
        <f t="shared" si="1120"/>
        <v>1</v>
      </c>
    </row>
    <row r="2649" spans="1:19" hidden="1" x14ac:dyDescent="0.25">
      <c r="A2649" s="5" t="str">
        <f t="shared" si="1117"/>
        <v>44012NIKK</v>
      </c>
      <c r="B2649" s="6" t="s">
        <v>90</v>
      </c>
      <c r="C2649" s="6">
        <v>21890</v>
      </c>
      <c r="D2649" s="6">
        <v>22496</v>
      </c>
      <c r="E2649" s="6">
        <v>22288</v>
      </c>
      <c r="F2649" t="str">
        <f t="shared" si="1121"/>
        <v>TUE</v>
      </c>
      <c r="G2649" s="3">
        <f t="shared" si="1122"/>
        <v>44012</v>
      </c>
      <c r="H2649" s="2">
        <f t="shared" ca="1" si="1123"/>
        <v>241</v>
      </c>
      <c r="I2649" t="str">
        <f t="shared" si="1124"/>
        <v>NIKK</v>
      </c>
      <c r="J2649">
        <f t="shared" si="1125"/>
        <v>21890</v>
      </c>
      <c r="K2649">
        <f t="shared" si="1126"/>
        <v>22496</v>
      </c>
      <c r="L2649">
        <f t="shared" si="1127"/>
        <v>22193</v>
      </c>
      <c r="M2649">
        <f t="shared" si="1128"/>
        <v>303</v>
      </c>
      <c r="N2649">
        <f t="shared" si="1118"/>
        <v>606</v>
      </c>
      <c r="O2649">
        <f t="shared" si="1129"/>
        <v>22288</v>
      </c>
      <c r="P2649">
        <f t="shared" si="1130"/>
        <v>0.31353135313531355</v>
      </c>
      <c r="Q2649" t="str">
        <f t="shared" si="1119"/>
        <v>1.79% | 0.93%</v>
      </c>
      <c r="R2649" t="str">
        <f t="shared" si="1131"/>
        <v>NEUTRAL</v>
      </c>
      <c r="S2649">
        <f t="shared" si="1120"/>
        <v>0</v>
      </c>
    </row>
    <row r="2650" spans="1:19" hidden="1" x14ac:dyDescent="0.25">
      <c r="A2650" s="5" t="str">
        <f t="shared" si="1117"/>
        <v>44012DAX</v>
      </c>
      <c r="B2650" s="6" t="s">
        <v>16</v>
      </c>
      <c r="C2650" s="6">
        <v>11890</v>
      </c>
      <c r="D2650" s="6">
        <v>12506</v>
      </c>
      <c r="E2650" s="6">
        <v>12233</v>
      </c>
      <c r="F2650" t="str">
        <f t="shared" si="1121"/>
        <v>TUE</v>
      </c>
      <c r="G2650" s="3">
        <f t="shared" si="1122"/>
        <v>44012</v>
      </c>
      <c r="H2650" s="2">
        <f t="shared" ca="1" si="1123"/>
        <v>241</v>
      </c>
      <c r="I2650" t="str">
        <f t="shared" si="1124"/>
        <v>DAX</v>
      </c>
      <c r="J2650">
        <f t="shared" si="1125"/>
        <v>11890</v>
      </c>
      <c r="K2650">
        <f t="shared" si="1126"/>
        <v>12506</v>
      </c>
      <c r="L2650">
        <f t="shared" si="1127"/>
        <v>12198</v>
      </c>
      <c r="M2650">
        <f t="shared" si="1128"/>
        <v>308</v>
      </c>
      <c r="N2650">
        <f t="shared" si="1118"/>
        <v>616</v>
      </c>
      <c r="O2650">
        <f t="shared" si="1129"/>
        <v>12233</v>
      </c>
      <c r="P2650">
        <f t="shared" si="1130"/>
        <v>0.11363636363636363</v>
      </c>
      <c r="Q2650" t="str">
        <f t="shared" si="1119"/>
        <v>2.8% | 2.23%</v>
      </c>
      <c r="R2650" t="str">
        <f t="shared" si="1131"/>
        <v>BEARISH</v>
      </c>
      <c r="S2650">
        <f t="shared" si="1120"/>
        <v>-1</v>
      </c>
    </row>
    <row r="2651" spans="1:19" hidden="1" x14ac:dyDescent="0.25">
      <c r="A2651" s="5" t="str">
        <f t="shared" si="1117"/>
        <v>44012VIX</v>
      </c>
      <c r="B2651" s="6" t="s">
        <v>17</v>
      </c>
      <c r="C2651" s="6">
        <v>30.27</v>
      </c>
      <c r="D2651" s="6">
        <v>37.78</v>
      </c>
      <c r="E2651" s="6">
        <v>31.78</v>
      </c>
      <c r="F2651" t="str">
        <f t="shared" si="1121"/>
        <v>TUE</v>
      </c>
      <c r="G2651" s="3">
        <f t="shared" si="1122"/>
        <v>44012</v>
      </c>
      <c r="H2651" s="2">
        <f t="shared" ca="1" si="1123"/>
        <v>241</v>
      </c>
      <c r="I2651" t="str">
        <f t="shared" si="1124"/>
        <v>VIX</v>
      </c>
      <c r="J2651">
        <f t="shared" si="1125"/>
        <v>30.27</v>
      </c>
      <c r="K2651">
        <f t="shared" si="1126"/>
        <v>37.78</v>
      </c>
      <c r="L2651">
        <f t="shared" si="1127"/>
        <v>34.024999999999999</v>
      </c>
      <c r="M2651">
        <f t="shared" si="1128"/>
        <v>3.7550000000000248</v>
      </c>
      <c r="N2651">
        <f t="shared" si="1118"/>
        <v>7.5100000000000016</v>
      </c>
      <c r="O2651">
        <f t="shared" si="1129"/>
        <v>31.78</v>
      </c>
      <c r="P2651">
        <f t="shared" si="1130"/>
        <v>-0.59786950732356392</v>
      </c>
      <c r="Q2651" t="str">
        <f t="shared" si="1119"/>
        <v>4.75% | 18.88%</v>
      </c>
      <c r="R2651" t="str">
        <f t="shared" si="1131"/>
        <v>BULLISH</v>
      </c>
      <c r="S2651">
        <f t="shared" si="1120"/>
        <v>1</v>
      </c>
    </row>
    <row r="2652" spans="1:19" hidden="1" x14ac:dyDescent="0.25">
      <c r="A2652" s="5" t="str">
        <f t="shared" si="1117"/>
        <v>44012USD</v>
      </c>
      <c r="B2652" s="6" t="s">
        <v>94</v>
      </c>
      <c r="C2652" s="6">
        <v>96.6</v>
      </c>
      <c r="D2652" s="6">
        <v>97.91</v>
      </c>
      <c r="E2652" s="6">
        <v>97.5</v>
      </c>
      <c r="F2652" t="str">
        <f t="shared" si="1121"/>
        <v>TUE</v>
      </c>
      <c r="G2652" s="3">
        <f t="shared" si="1122"/>
        <v>44012</v>
      </c>
      <c r="H2652" s="2">
        <f t="shared" ca="1" si="1123"/>
        <v>241</v>
      </c>
      <c r="I2652" t="str">
        <f t="shared" si="1124"/>
        <v>USD</v>
      </c>
      <c r="J2652">
        <f t="shared" si="1125"/>
        <v>96.6</v>
      </c>
      <c r="K2652">
        <f t="shared" si="1126"/>
        <v>97.91</v>
      </c>
      <c r="L2652">
        <f t="shared" si="1127"/>
        <v>97.254999999999995</v>
      </c>
      <c r="M2652">
        <f t="shared" si="1128"/>
        <v>0.65500000000000114</v>
      </c>
      <c r="N2652">
        <f t="shared" si="1118"/>
        <v>1.3100000000000023</v>
      </c>
      <c r="O2652">
        <f t="shared" si="1129"/>
        <v>97.5</v>
      </c>
      <c r="P2652">
        <f t="shared" si="1130"/>
        <v>0.37404580152672384</v>
      </c>
      <c r="Q2652" t="str">
        <f t="shared" si="1119"/>
        <v>0.92% | 0.42%</v>
      </c>
      <c r="R2652" t="str">
        <f t="shared" si="1131"/>
        <v>BEARISH</v>
      </c>
      <c r="S2652">
        <f t="shared" si="1120"/>
        <v>-1</v>
      </c>
    </row>
    <row r="2653" spans="1:19" hidden="1" x14ac:dyDescent="0.25">
      <c r="A2653" s="5" t="str">
        <f t="shared" si="1117"/>
        <v>44012EUR/USD</v>
      </c>
      <c r="B2653" s="6" t="s">
        <v>77</v>
      </c>
      <c r="C2653" s="6">
        <v>1.1100000000000001</v>
      </c>
      <c r="D2653" s="6">
        <v>1.1299999999999999</v>
      </c>
      <c r="E2653" s="6">
        <v>1.1200000000000001</v>
      </c>
      <c r="F2653" t="str">
        <f t="shared" si="1121"/>
        <v>TUE</v>
      </c>
      <c r="G2653" s="3">
        <f t="shared" si="1122"/>
        <v>44012</v>
      </c>
      <c r="H2653" s="2">
        <f t="shared" ca="1" si="1123"/>
        <v>241</v>
      </c>
      <c r="I2653" t="str">
        <f t="shared" si="1124"/>
        <v>EUR/USD</v>
      </c>
      <c r="J2653">
        <f t="shared" si="1125"/>
        <v>1.1100000000000001</v>
      </c>
      <c r="K2653">
        <f t="shared" si="1126"/>
        <v>1.1299999999999999</v>
      </c>
      <c r="L2653">
        <f t="shared" si="1127"/>
        <v>1.1200000000000001</v>
      </c>
      <c r="M2653">
        <f t="shared" si="1128"/>
        <v>9.9999999999998979E-3</v>
      </c>
      <c r="N2653">
        <f t="shared" si="1118"/>
        <v>1.9999999999999796E-2</v>
      </c>
      <c r="O2653">
        <f t="shared" si="1129"/>
        <v>1.1200000000000001</v>
      </c>
      <c r="P2653">
        <f t="shared" si="1130"/>
        <v>0</v>
      </c>
      <c r="Q2653" t="str">
        <f t="shared" si="1119"/>
        <v>0.89% | 0.89%</v>
      </c>
      <c r="R2653" t="str">
        <f t="shared" si="1131"/>
        <v>NEUTRAL</v>
      </c>
      <c r="S2653">
        <f t="shared" si="1120"/>
        <v>0</v>
      </c>
    </row>
    <row r="2654" spans="1:19" hidden="1" x14ac:dyDescent="0.25">
      <c r="A2654" s="5" t="str">
        <f t="shared" si="1117"/>
        <v>44012USD/JPY</v>
      </c>
      <c r="B2654" s="6" t="s">
        <v>20</v>
      </c>
      <c r="C2654" s="6">
        <v>106.45</v>
      </c>
      <c r="D2654" s="6">
        <v>107.85</v>
      </c>
      <c r="E2654" s="6">
        <v>107.57</v>
      </c>
      <c r="F2654" t="str">
        <f t="shared" si="1121"/>
        <v>TUE</v>
      </c>
      <c r="G2654" s="3">
        <f t="shared" si="1122"/>
        <v>44012</v>
      </c>
      <c r="H2654" s="2">
        <f t="shared" ca="1" si="1123"/>
        <v>241</v>
      </c>
      <c r="I2654" t="str">
        <f t="shared" si="1124"/>
        <v>USD/JPY</v>
      </c>
      <c r="J2654">
        <f t="shared" si="1125"/>
        <v>106.45</v>
      </c>
      <c r="K2654">
        <f t="shared" si="1126"/>
        <v>107.85</v>
      </c>
      <c r="L2654">
        <f t="shared" si="1127"/>
        <v>107.15</v>
      </c>
      <c r="M2654">
        <f t="shared" si="1128"/>
        <v>0.69999999999999574</v>
      </c>
      <c r="N2654">
        <f t="shared" si="1118"/>
        <v>1.3999999999999915</v>
      </c>
      <c r="O2654">
        <f t="shared" si="1129"/>
        <v>107.57</v>
      </c>
      <c r="P2654">
        <f t="shared" si="1130"/>
        <v>0.59999999999998577</v>
      </c>
      <c r="Q2654" t="str">
        <f t="shared" si="1119"/>
        <v>1.04% | 0.26%</v>
      </c>
      <c r="R2654" t="str">
        <f t="shared" si="1131"/>
        <v>BEARISH</v>
      </c>
      <c r="S2654">
        <f t="shared" si="1120"/>
        <v>-1</v>
      </c>
    </row>
    <row r="2655" spans="1:19" hidden="1" x14ac:dyDescent="0.25">
      <c r="A2655" s="5" t="str">
        <f t="shared" si="1117"/>
        <v>44012GBP/USD</v>
      </c>
      <c r="B2655" s="6" t="s">
        <v>21</v>
      </c>
      <c r="C2655" s="6">
        <v>1.22</v>
      </c>
      <c r="D2655" s="6">
        <v>1.25</v>
      </c>
      <c r="E2655" s="6">
        <v>1.22</v>
      </c>
      <c r="F2655" t="str">
        <f t="shared" si="1121"/>
        <v>TUE</v>
      </c>
      <c r="G2655" s="3">
        <f t="shared" si="1122"/>
        <v>44012</v>
      </c>
      <c r="H2655" s="2">
        <f t="shared" ca="1" si="1123"/>
        <v>241</v>
      </c>
      <c r="I2655" t="str">
        <f t="shared" si="1124"/>
        <v>GBP/USD</v>
      </c>
      <c r="J2655">
        <f t="shared" si="1125"/>
        <v>1.22</v>
      </c>
      <c r="K2655">
        <f t="shared" si="1126"/>
        <v>1.25</v>
      </c>
      <c r="L2655">
        <f t="shared" si="1127"/>
        <v>1.2349999999999999</v>
      </c>
      <c r="M2655">
        <f t="shared" si="1128"/>
        <v>1.5000000000000013E-2</v>
      </c>
      <c r="N2655">
        <f t="shared" si="1118"/>
        <v>3.0000000000000027E-2</v>
      </c>
      <c r="O2655">
        <f t="shared" si="1129"/>
        <v>1.22</v>
      </c>
      <c r="P2655">
        <f t="shared" si="1130"/>
        <v>-0.99999999999999256</v>
      </c>
      <c r="Q2655" t="str">
        <f t="shared" si="1119"/>
        <v>0% | 2.46%</v>
      </c>
      <c r="R2655" t="str">
        <f t="shared" si="1131"/>
        <v>BEARISH</v>
      </c>
      <c r="S2655">
        <f t="shared" si="1120"/>
        <v>-1</v>
      </c>
    </row>
    <row r="2656" spans="1:19" hidden="1" x14ac:dyDescent="0.25">
      <c r="A2656" s="5" t="str">
        <f t="shared" si="1117"/>
        <v>44012USD/CHF</v>
      </c>
      <c r="B2656" s="6" t="s">
        <v>76</v>
      </c>
      <c r="C2656" s="6">
        <v>0.94</v>
      </c>
      <c r="D2656" s="6">
        <v>0.96</v>
      </c>
      <c r="E2656" s="6">
        <v>0.95</v>
      </c>
      <c r="F2656" t="str">
        <f t="shared" si="1121"/>
        <v>TUE</v>
      </c>
      <c r="G2656" s="3">
        <f t="shared" si="1122"/>
        <v>44012</v>
      </c>
      <c r="H2656" s="2">
        <f t="shared" ca="1" si="1123"/>
        <v>241</v>
      </c>
      <c r="I2656" t="str">
        <f t="shared" si="1124"/>
        <v>USD/CHF</v>
      </c>
      <c r="J2656">
        <f t="shared" si="1125"/>
        <v>0.94</v>
      </c>
      <c r="K2656">
        <f t="shared" si="1126"/>
        <v>0.96</v>
      </c>
      <c r="L2656">
        <f t="shared" si="1127"/>
        <v>0.95</v>
      </c>
      <c r="M2656">
        <f t="shared" si="1128"/>
        <v>1.0000000000000009E-2</v>
      </c>
      <c r="N2656">
        <f t="shared" si="1118"/>
        <v>2.0000000000000018E-2</v>
      </c>
      <c r="O2656">
        <f t="shared" si="1129"/>
        <v>0.95</v>
      </c>
      <c r="P2656">
        <f t="shared" si="1130"/>
        <v>0</v>
      </c>
      <c r="Q2656" t="str">
        <f t="shared" si="1119"/>
        <v>1.05% | 1.05%</v>
      </c>
      <c r="R2656" t="str">
        <f t="shared" si="1131"/>
        <v>BEARISH</v>
      </c>
      <c r="S2656">
        <f t="shared" si="1120"/>
        <v>-1</v>
      </c>
    </row>
    <row r="2657" spans="1:19" hidden="1" x14ac:dyDescent="0.25">
      <c r="A2657" s="5" t="str">
        <f t="shared" si="1117"/>
        <v>44012WTIC</v>
      </c>
      <c r="B2657" s="6" t="s">
        <v>103</v>
      </c>
      <c r="C2657" s="6">
        <v>36.409999999999997</v>
      </c>
      <c r="D2657" s="6">
        <v>41.16</v>
      </c>
      <c r="E2657" s="6">
        <v>39.700000000000003</v>
      </c>
      <c r="F2657" t="str">
        <f t="shared" si="1121"/>
        <v>TUE</v>
      </c>
      <c r="G2657" s="3">
        <f t="shared" si="1122"/>
        <v>44012</v>
      </c>
      <c r="H2657" s="2">
        <f t="shared" ca="1" si="1123"/>
        <v>241</v>
      </c>
      <c r="I2657" t="str">
        <f t="shared" si="1124"/>
        <v>WTIC</v>
      </c>
      <c r="J2657">
        <f t="shared" si="1125"/>
        <v>36.409999999999997</v>
      </c>
      <c r="K2657">
        <f t="shared" si="1126"/>
        <v>41.16</v>
      </c>
      <c r="L2657">
        <f t="shared" si="1127"/>
        <v>38.784999999999997</v>
      </c>
      <c r="M2657">
        <f t="shared" si="1128"/>
        <v>2.375</v>
      </c>
      <c r="N2657">
        <f t="shared" si="1118"/>
        <v>4.75</v>
      </c>
      <c r="O2657">
        <f t="shared" si="1129"/>
        <v>39.700000000000003</v>
      </c>
      <c r="P2657">
        <f t="shared" si="1130"/>
        <v>0.38526315789473947</v>
      </c>
      <c r="Q2657" t="str">
        <f t="shared" si="1119"/>
        <v>8.29% | 3.68%</v>
      </c>
      <c r="R2657" t="str">
        <f t="shared" si="1131"/>
        <v>NEUTRAL</v>
      </c>
      <c r="S2657">
        <f t="shared" si="1120"/>
        <v>0</v>
      </c>
    </row>
    <row r="2658" spans="1:19" hidden="1" x14ac:dyDescent="0.25">
      <c r="A2658" s="5" t="str">
        <f t="shared" si="1117"/>
        <v>44012NATGAS</v>
      </c>
      <c r="B2658" s="6" t="s">
        <v>24</v>
      </c>
      <c r="C2658" s="6">
        <v>1.45</v>
      </c>
      <c r="D2658" s="6">
        <v>1.78</v>
      </c>
      <c r="E2658" s="6">
        <v>1.71</v>
      </c>
      <c r="F2658" t="str">
        <f t="shared" si="1121"/>
        <v>TUE</v>
      </c>
      <c r="G2658" s="3">
        <f t="shared" si="1122"/>
        <v>44012</v>
      </c>
      <c r="H2658" s="2">
        <f t="shared" ca="1" si="1123"/>
        <v>241</v>
      </c>
      <c r="I2658" t="str">
        <f t="shared" si="1124"/>
        <v>NATGAS</v>
      </c>
      <c r="J2658">
        <f t="shared" si="1125"/>
        <v>1.45</v>
      </c>
      <c r="K2658">
        <f t="shared" si="1126"/>
        <v>1.78</v>
      </c>
      <c r="L2658">
        <f t="shared" si="1127"/>
        <v>1.615</v>
      </c>
      <c r="M2658">
        <f t="shared" si="1128"/>
        <v>0.16500000000000017</v>
      </c>
      <c r="N2658">
        <f t="shared" si="1118"/>
        <v>0.33000000000000007</v>
      </c>
      <c r="O2658">
        <f t="shared" si="1129"/>
        <v>1.71</v>
      </c>
      <c r="P2658">
        <f t="shared" si="1130"/>
        <v>0.57575757575757502</v>
      </c>
      <c r="Q2658" t="str">
        <f t="shared" si="1119"/>
        <v>15.2% | 4.09%</v>
      </c>
      <c r="R2658" t="str">
        <f t="shared" si="1131"/>
        <v>BEARISH</v>
      </c>
      <c r="S2658">
        <f t="shared" si="1120"/>
        <v>-1</v>
      </c>
    </row>
    <row r="2659" spans="1:19" hidden="1" x14ac:dyDescent="0.25">
      <c r="A2659" s="5" t="str">
        <f t="shared" si="1117"/>
        <v>44012GOLD</v>
      </c>
      <c r="B2659" s="6" t="s">
        <v>25</v>
      </c>
      <c r="C2659" s="6">
        <v>1744</v>
      </c>
      <c r="D2659" s="6">
        <v>1802</v>
      </c>
      <c r="E2659" s="6">
        <v>1781</v>
      </c>
      <c r="F2659" t="str">
        <f t="shared" si="1121"/>
        <v>TUE</v>
      </c>
      <c r="G2659" s="3">
        <f t="shared" si="1122"/>
        <v>44012</v>
      </c>
      <c r="H2659" s="2">
        <f t="shared" ca="1" si="1123"/>
        <v>241</v>
      </c>
      <c r="I2659" t="str">
        <f t="shared" si="1124"/>
        <v>GOLD</v>
      </c>
      <c r="J2659">
        <f t="shared" si="1125"/>
        <v>1744</v>
      </c>
      <c r="K2659">
        <f t="shared" si="1126"/>
        <v>1802</v>
      </c>
      <c r="L2659">
        <f t="shared" si="1127"/>
        <v>1773</v>
      </c>
      <c r="M2659">
        <f t="shared" si="1128"/>
        <v>29</v>
      </c>
      <c r="N2659">
        <f t="shared" si="1118"/>
        <v>58</v>
      </c>
      <c r="O2659">
        <f t="shared" si="1129"/>
        <v>1781</v>
      </c>
      <c r="P2659">
        <f t="shared" si="1130"/>
        <v>0.27586206896551724</v>
      </c>
      <c r="Q2659" t="str">
        <f t="shared" si="1119"/>
        <v>2.08% | 1.18%</v>
      </c>
      <c r="R2659" t="str">
        <f t="shared" si="1131"/>
        <v>BULLISH</v>
      </c>
      <c r="S2659">
        <f t="shared" si="1120"/>
        <v>1</v>
      </c>
    </row>
    <row r="2660" spans="1:19" hidden="1" x14ac:dyDescent="0.25">
      <c r="A2660" s="5" t="str">
        <f t="shared" si="1117"/>
        <v>44012COPPER</v>
      </c>
      <c r="B2660" s="6" t="s">
        <v>100</v>
      </c>
      <c r="C2660" s="6">
        <v>2.58</v>
      </c>
      <c r="D2660" s="6">
        <v>2.72</v>
      </c>
      <c r="E2660" s="6">
        <v>2.69</v>
      </c>
      <c r="F2660" t="str">
        <f t="shared" si="1121"/>
        <v>TUE</v>
      </c>
      <c r="G2660" s="3">
        <f t="shared" si="1122"/>
        <v>44012</v>
      </c>
      <c r="H2660" s="2">
        <f t="shared" ca="1" si="1123"/>
        <v>241</v>
      </c>
      <c r="I2660" t="str">
        <f t="shared" si="1124"/>
        <v>COPPER</v>
      </c>
      <c r="J2660">
        <f t="shared" si="1125"/>
        <v>2.58</v>
      </c>
      <c r="K2660">
        <f t="shared" si="1126"/>
        <v>2.72</v>
      </c>
      <c r="L2660">
        <f t="shared" si="1127"/>
        <v>2.6500000000000004</v>
      </c>
      <c r="M2660">
        <f t="shared" si="1128"/>
        <v>7.0000000000000062E-2</v>
      </c>
      <c r="N2660">
        <f t="shared" si="1118"/>
        <v>0.14000000000000012</v>
      </c>
      <c r="O2660">
        <f t="shared" si="1129"/>
        <v>2.69</v>
      </c>
      <c r="P2660">
        <f t="shared" si="1130"/>
        <v>0.57142857142856507</v>
      </c>
      <c r="Q2660" t="str">
        <f t="shared" si="1119"/>
        <v>4.09% | 1.12%</v>
      </c>
      <c r="R2660" t="str">
        <f t="shared" si="1131"/>
        <v>BULLISH</v>
      </c>
      <c r="S2660">
        <f t="shared" si="1120"/>
        <v>1</v>
      </c>
    </row>
    <row r="2661" spans="1:19" hidden="1" x14ac:dyDescent="0.25">
      <c r="A2661" s="5" t="str">
        <f t="shared" si="1117"/>
        <v>44012MSFT</v>
      </c>
      <c r="B2661" s="6" t="s">
        <v>27</v>
      </c>
      <c r="C2661" s="6">
        <v>191</v>
      </c>
      <c r="D2661" s="6">
        <v>203</v>
      </c>
      <c r="E2661" s="6">
        <v>198</v>
      </c>
      <c r="F2661" t="str">
        <f t="shared" si="1121"/>
        <v>TUE</v>
      </c>
      <c r="G2661" s="3">
        <f t="shared" si="1122"/>
        <v>44012</v>
      </c>
      <c r="H2661" s="2">
        <f t="shared" ca="1" si="1123"/>
        <v>241</v>
      </c>
      <c r="I2661" t="str">
        <f t="shared" si="1124"/>
        <v>MSFT</v>
      </c>
      <c r="J2661">
        <f t="shared" si="1125"/>
        <v>191</v>
      </c>
      <c r="K2661">
        <f t="shared" si="1126"/>
        <v>203</v>
      </c>
      <c r="L2661">
        <f t="shared" si="1127"/>
        <v>197</v>
      </c>
      <c r="M2661">
        <f t="shared" si="1128"/>
        <v>6</v>
      </c>
      <c r="N2661">
        <f t="shared" si="1118"/>
        <v>12</v>
      </c>
      <c r="O2661">
        <f t="shared" si="1129"/>
        <v>198</v>
      </c>
      <c r="P2661">
        <f t="shared" si="1130"/>
        <v>0.16666666666666666</v>
      </c>
      <c r="Q2661" t="str">
        <f t="shared" si="1119"/>
        <v>3.54% | 2.53%</v>
      </c>
      <c r="R2661" t="str">
        <f t="shared" si="1131"/>
        <v>BULLISH</v>
      </c>
      <c r="S2661">
        <f t="shared" si="1120"/>
        <v>1</v>
      </c>
    </row>
    <row r="2662" spans="1:19" hidden="1" x14ac:dyDescent="0.25">
      <c r="A2662" s="5" t="str">
        <f t="shared" si="1117"/>
        <v>44012AAPL</v>
      </c>
      <c r="B2662" s="6" t="s">
        <v>28</v>
      </c>
      <c r="C2662" s="6">
        <v>343</v>
      </c>
      <c r="D2662" s="6">
        <v>369</v>
      </c>
      <c r="E2662" s="6">
        <v>361</v>
      </c>
      <c r="F2662" t="str">
        <f t="shared" si="1121"/>
        <v>TUE</v>
      </c>
      <c r="G2662" s="3">
        <f t="shared" si="1122"/>
        <v>44012</v>
      </c>
      <c r="H2662" s="2">
        <f t="shared" ca="1" si="1123"/>
        <v>241</v>
      </c>
      <c r="I2662" t="str">
        <f t="shared" si="1124"/>
        <v>AAPL</v>
      </c>
      <c r="J2662">
        <f t="shared" si="1125"/>
        <v>343</v>
      </c>
      <c r="K2662">
        <f t="shared" si="1126"/>
        <v>369</v>
      </c>
      <c r="L2662">
        <f t="shared" si="1127"/>
        <v>356</v>
      </c>
      <c r="M2662">
        <f t="shared" si="1128"/>
        <v>13</v>
      </c>
      <c r="N2662">
        <f t="shared" si="1118"/>
        <v>26</v>
      </c>
      <c r="O2662">
        <f t="shared" si="1129"/>
        <v>361</v>
      </c>
      <c r="P2662">
        <f t="shared" si="1130"/>
        <v>0.38461538461538464</v>
      </c>
      <c r="Q2662" t="str">
        <f t="shared" si="1119"/>
        <v>4.99% | 2.22%</v>
      </c>
      <c r="R2662" t="str">
        <f t="shared" si="1131"/>
        <v>BULLISH</v>
      </c>
      <c r="S2662">
        <f t="shared" si="1120"/>
        <v>1</v>
      </c>
    </row>
    <row r="2663" spans="1:19" hidden="1" x14ac:dyDescent="0.25">
      <c r="A2663" s="5" t="str">
        <f t="shared" si="1117"/>
        <v>44012AMZN</v>
      </c>
      <c r="B2663" s="6" t="s">
        <v>29</v>
      </c>
      <c r="C2663" s="6">
        <v>2588</v>
      </c>
      <c r="D2663" s="6">
        <v>2785</v>
      </c>
      <c r="E2663" s="6">
        <v>2680</v>
      </c>
      <c r="F2663" t="str">
        <f t="shared" si="1121"/>
        <v>TUE</v>
      </c>
      <c r="G2663" s="3">
        <f t="shared" si="1122"/>
        <v>44012</v>
      </c>
      <c r="H2663" s="2">
        <f t="shared" ca="1" si="1123"/>
        <v>241</v>
      </c>
      <c r="I2663" t="str">
        <f t="shared" si="1124"/>
        <v>AMZN</v>
      </c>
      <c r="J2663">
        <f t="shared" si="1125"/>
        <v>2588</v>
      </c>
      <c r="K2663">
        <f t="shared" si="1126"/>
        <v>2785</v>
      </c>
      <c r="L2663">
        <f t="shared" si="1127"/>
        <v>2686.5</v>
      </c>
      <c r="M2663">
        <f t="shared" si="1128"/>
        <v>98.5</v>
      </c>
      <c r="N2663">
        <f t="shared" si="1118"/>
        <v>197</v>
      </c>
      <c r="O2663">
        <f t="shared" si="1129"/>
        <v>2680</v>
      </c>
      <c r="P2663">
        <f t="shared" si="1130"/>
        <v>-6.5989847715736044E-2</v>
      </c>
      <c r="Q2663" t="str">
        <f t="shared" si="1119"/>
        <v>3.43% | 3.92%</v>
      </c>
      <c r="R2663" t="str">
        <f t="shared" si="1131"/>
        <v>BULLISH</v>
      </c>
      <c r="S2663">
        <f t="shared" si="1120"/>
        <v>1</v>
      </c>
    </row>
    <row r="2664" spans="1:19" hidden="1" x14ac:dyDescent="0.25">
      <c r="A2664" s="5" t="str">
        <f t="shared" si="1117"/>
        <v>44012FB</v>
      </c>
      <c r="B2664" s="6" t="s">
        <v>157</v>
      </c>
      <c r="C2664" s="6">
        <v>211</v>
      </c>
      <c r="D2664" s="6">
        <v>233</v>
      </c>
      <c r="E2664" s="6">
        <v>220</v>
      </c>
      <c r="F2664" t="str">
        <f t="shared" si="1121"/>
        <v>TUE</v>
      </c>
      <c r="G2664" s="3">
        <f t="shared" si="1122"/>
        <v>44012</v>
      </c>
      <c r="H2664" s="2">
        <f t="shared" ca="1" si="1123"/>
        <v>241</v>
      </c>
      <c r="I2664" t="str">
        <f t="shared" si="1124"/>
        <v>FB</v>
      </c>
      <c r="J2664">
        <f t="shared" si="1125"/>
        <v>211</v>
      </c>
      <c r="K2664">
        <f t="shared" si="1126"/>
        <v>233</v>
      </c>
      <c r="L2664">
        <f t="shared" si="1127"/>
        <v>222</v>
      </c>
      <c r="M2664">
        <f t="shared" si="1128"/>
        <v>11</v>
      </c>
      <c r="N2664">
        <f t="shared" si="1118"/>
        <v>22</v>
      </c>
      <c r="O2664">
        <f t="shared" si="1129"/>
        <v>220</v>
      </c>
      <c r="P2664">
        <f t="shared" si="1130"/>
        <v>-0.18181818181818182</v>
      </c>
      <c r="Q2664" t="str">
        <f t="shared" si="1119"/>
        <v>4.09% | 5.91%</v>
      </c>
      <c r="R2664" t="str">
        <f t="shared" si="1131"/>
        <v>NEUTRAL</v>
      </c>
      <c r="S2664">
        <f t="shared" si="1120"/>
        <v>0</v>
      </c>
    </row>
    <row r="2665" spans="1:19" hidden="1" x14ac:dyDescent="0.25">
      <c r="A2665" s="5" t="str">
        <f t="shared" si="1117"/>
        <v>44012GOOGL</v>
      </c>
      <c r="B2665" s="6" t="s">
        <v>59</v>
      </c>
      <c r="C2665" s="6">
        <v>1350</v>
      </c>
      <c r="D2665" s="6">
        <v>1429</v>
      </c>
      <c r="E2665" s="6">
        <v>1397</v>
      </c>
      <c r="F2665" t="str">
        <f t="shared" si="1121"/>
        <v>TUE</v>
      </c>
      <c r="G2665" s="3">
        <f t="shared" si="1122"/>
        <v>44012</v>
      </c>
      <c r="H2665" s="2">
        <f t="shared" ca="1" si="1123"/>
        <v>241</v>
      </c>
      <c r="I2665" t="str">
        <f t="shared" si="1124"/>
        <v>GOOGL</v>
      </c>
      <c r="J2665">
        <f t="shared" si="1125"/>
        <v>1350</v>
      </c>
      <c r="K2665">
        <f t="shared" si="1126"/>
        <v>1429</v>
      </c>
      <c r="L2665">
        <f t="shared" si="1127"/>
        <v>1389.5</v>
      </c>
      <c r="M2665">
        <f t="shared" si="1128"/>
        <v>39.5</v>
      </c>
      <c r="N2665">
        <f t="shared" si="1118"/>
        <v>79</v>
      </c>
      <c r="O2665">
        <f t="shared" si="1129"/>
        <v>1397</v>
      </c>
      <c r="P2665">
        <f t="shared" si="1130"/>
        <v>0.189873417721519</v>
      </c>
      <c r="Q2665" t="str">
        <f t="shared" si="1119"/>
        <v>3.36% | 2.29%</v>
      </c>
      <c r="R2665" t="str">
        <f t="shared" si="1131"/>
        <v>NEUTRAL</v>
      </c>
      <c r="S2665">
        <f t="shared" si="1120"/>
        <v>0</v>
      </c>
    </row>
    <row r="2666" spans="1:19" hidden="1" x14ac:dyDescent="0.25">
      <c r="A2666" s="5" t="str">
        <f t="shared" si="1117"/>
        <v>44012NFLX</v>
      </c>
      <c r="B2666" s="6" t="s">
        <v>32</v>
      </c>
      <c r="C2666" s="6">
        <v>435</v>
      </c>
      <c r="D2666" s="6">
        <v>474</v>
      </c>
      <c r="E2666" s="6">
        <v>447</v>
      </c>
      <c r="F2666" t="str">
        <f t="shared" si="1121"/>
        <v>TUE</v>
      </c>
      <c r="G2666" s="3">
        <f t="shared" si="1122"/>
        <v>44012</v>
      </c>
      <c r="H2666" s="2">
        <f t="shared" ca="1" si="1123"/>
        <v>241</v>
      </c>
      <c r="I2666" t="str">
        <f t="shared" si="1124"/>
        <v>NFLX</v>
      </c>
      <c r="J2666">
        <f t="shared" si="1125"/>
        <v>435</v>
      </c>
      <c r="K2666">
        <f t="shared" si="1126"/>
        <v>474</v>
      </c>
      <c r="L2666">
        <f t="shared" si="1127"/>
        <v>454.5</v>
      </c>
      <c r="M2666">
        <f t="shared" si="1128"/>
        <v>19.5</v>
      </c>
      <c r="N2666">
        <f t="shared" si="1118"/>
        <v>39</v>
      </c>
      <c r="O2666">
        <f t="shared" si="1129"/>
        <v>447</v>
      </c>
      <c r="P2666">
        <f t="shared" si="1130"/>
        <v>-0.38461538461538464</v>
      </c>
      <c r="Q2666" t="str">
        <f t="shared" si="1119"/>
        <v>2.68% | 6.04%</v>
      </c>
      <c r="R2666" t="str">
        <f t="shared" si="1131"/>
        <v>BULLISH</v>
      </c>
      <c r="S2666">
        <f t="shared" si="1120"/>
        <v>1</v>
      </c>
    </row>
    <row r="2667" spans="1:19" x14ac:dyDescent="0.25">
      <c r="A2667" s="5" t="str">
        <f t="shared" si="1117"/>
        <v>44012TSLA</v>
      </c>
      <c r="B2667" s="6" t="s">
        <v>33</v>
      </c>
      <c r="C2667" s="6">
        <v>929</v>
      </c>
      <c r="D2667" s="6">
        <v>1026</v>
      </c>
      <c r="E2667" s="6">
        <v>1009</v>
      </c>
      <c r="F2667" t="str">
        <f t="shared" si="1121"/>
        <v>TUE</v>
      </c>
      <c r="G2667" s="3">
        <f t="shared" si="1122"/>
        <v>44012</v>
      </c>
      <c r="H2667" s="2">
        <f t="shared" ca="1" si="1123"/>
        <v>241</v>
      </c>
      <c r="I2667" t="str">
        <f t="shared" si="1124"/>
        <v>TSLA</v>
      </c>
      <c r="J2667">
        <f t="shared" si="1125"/>
        <v>929</v>
      </c>
      <c r="K2667">
        <f t="shared" si="1126"/>
        <v>1026</v>
      </c>
      <c r="L2667">
        <f t="shared" si="1127"/>
        <v>977.5</v>
      </c>
      <c r="M2667">
        <f t="shared" si="1128"/>
        <v>48.5</v>
      </c>
      <c r="N2667">
        <f t="shared" si="1118"/>
        <v>97</v>
      </c>
      <c r="O2667">
        <f t="shared" si="1129"/>
        <v>1009</v>
      </c>
      <c r="P2667">
        <f t="shared" si="1130"/>
        <v>0.64948453608247425</v>
      </c>
      <c r="Q2667" t="str">
        <f t="shared" si="1119"/>
        <v>7.93% | 1.68%</v>
      </c>
      <c r="R2667" t="str">
        <f t="shared" si="1131"/>
        <v>BULLISH</v>
      </c>
      <c r="S2667">
        <f t="shared" si="1120"/>
        <v>1</v>
      </c>
    </row>
    <row r="2668" spans="1:19" hidden="1" x14ac:dyDescent="0.25">
      <c r="A2668" s="5" t="str">
        <f t="shared" si="1117"/>
        <v>44012NYXBT</v>
      </c>
      <c r="B2668" s="6" t="s">
        <v>34</v>
      </c>
      <c r="C2668" s="6">
        <v>8961</v>
      </c>
      <c r="D2668" s="6">
        <v>9582</v>
      </c>
      <c r="E2668" s="6">
        <v>9071</v>
      </c>
      <c r="F2668" t="str">
        <f t="shared" si="1121"/>
        <v>TUE</v>
      </c>
      <c r="G2668" s="3">
        <f t="shared" si="1122"/>
        <v>44012</v>
      </c>
      <c r="H2668" s="2">
        <f t="shared" ca="1" si="1123"/>
        <v>241</v>
      </c>
      <c r="I2668" t="str">
        <f t="shared" si="1124"/>
        <v>NYXBT</v>
      </c>
      <c r="J2668">
        <f t="shared" si="1125"/>
        <v>8961</v>
      </c>
      <c r="K2668">
        <f t="shared" si="1126"/>
        <v>9582</v>
      </c>
      <c r="L2668">
        <f t="shared" si="1127"/>
        <v>9271.5</v>
      </c>
      <c r="M2668">
        <f t="shared" si="1128"/>
        <v>310.5</v>
      </c>
      <c r="N2668">
        <f t="shared" si="1118"/>
        <v>621</v>
      </c>
      <c r="O2668">
        <f t="shared" si="1129"/>
        <v>9071</v>
      </c>
      <c r="P2668">
        <f t="shared" si="1130"/>
        <v>-0.64573268921095006</v>
      </c>
      <c r="Q2668" t="str">
        <f t="shared" si="1119"/>
        <v>1.21% | 5.63%</v>
      </c>
      <c r="R2668" t="str">
        <f t="shared" si="1131"/>
        <v>BULLISH</v>
      </c>
      <c r="S2668">
        <f t="shared" si="1120"/>
        <v>1</v>
      </c>
    </row>
    <row r="2669" spans="1:19" hidden="1" x14ac:dyDescent="0.25">
      <c r="A2669" s="5" t="str">
        <f t="shared" si="1117"/>
        <v>44013UST10Y</v>
      </c>
      <c r="B2669" s="6" t="s">
        <v>4</v>
      </c>
      <c r="C2669" s="6">
        <v>0.73</v>
      </c>
      <c r="D2669" s="6">
        <v>0.62</v>
      </c>
      <c r="E2669" s="6">
        <v>0.66</v>
      </c>
      <c r="F2669" t="str">
        <f t="shared" si="1121"/>
        <v>WED</v>
      </c>
      <c r="G2669" s="1">
        <f>DATE(2020,7,1)</f>
        <v>44013</v>
      </c>
      <c r="H2669" s="2">
        <f t="shared" ca="1" si="1123"/>
        <v>240</v>
      </c>
      <c r="I2669" t="str">
        <f t="shared" si="1124"/>
        <v>UST10Y</v>
      </c>
      <c r="J2669">
        <f t="shared" si="1125"/>
        <v>0.73</v>
      </c>
      <c r="K2669">
        <f t="shared" si="1126"/>
        <v>0.62</v>
      </c>
      <c r="L2669">
        <f t="shared" si="1127"/>
        <v>0.67500000000000004</v>
      </c>
      <c r="M2669">
        <f t="shared" si="1128"/>
        <v>5.4999999999999993E-2</v>
      </c>
      <c r="N2669">
        <f t="shared" si="1118"/>
        <v>0.10999999999999999</v>
      </c>
      <c r="O2669">
        <f t="shared" si="1129"/>
        <v>0.66</v>
      </c>
      <c r="P2669">
        <f t="shared" si="1130"/>
        <v>-0.27272727272727298</v>
      </c>
      <c r="Q2669" t="str">
        <f t="shared" si="1119"/>
        <v>10.61% | 6.06%</v>
      </c>
      <c r="R2669" t="str">
        <f t="shared" si="1131"/>
        <v>BEARISH</v>
      </c>
      <c r="S2669">
        <f t="shared" si="1120"/>
        <v>-1</v>
      </c>
    </row>
    <row r="2670" spans="1:19" hidden="1" x14ac:dyDescent="0.25">
      <c r="A2670" s="5" t="str">
        <f t="shared" si="1117"/>
        <v>44013UST2Y</v>
      </c>
      <c r="B2670" s="6" t="s">
        <v>5</v>
      </c>
      <c r="C2670" s="6">
        <v>0.19</v>
      </c>
      <c r="D2670" s="6">
        <v>0.12</v>
      </c>
      <c r="E2670" s="6">
        <v>0.16</v>
      </c>
      <c r="F2670" t="str">
        <f t="shared" ref="F2670:F2699" si="1132">UPPER(TEXT(G2670,"ddd"))</f>
        <v>WED</v>
      </c>
      <c r="G2670" s="1">
        <f t="shared" ref="G2670:G2698" si="1133">DATE(2020,7,1)</f>
        <v>44013</v>
      </c>
      <c r="H2670" s="2">
        <f t="shared" ref="H2670:H2699" ca="1" si="1134">TODAY()-G2670</f>
        <v>240</v>
      </c>
      <c r="I2670" t="str">
        <f t="shared" ref="I2670:I2699" si="1135">TRIM(LEFT(B2670,FIND(" ",B2670,1)))</f>
        <v>UST2Y</v>
      </c>
      <c r="J2670">
        <f t="shared" ref="J2670:J2699" si="1136">C2670</f>
        <v>0.19</v>
      </c>
      <c r="K2670">
        <f t="shared" ref="K2670:K2699" si="1137">D2670</f>
        <v>0.12</v>
      </c>
      <c r="L2670">
        <f t="shared" ref="L2670:L2699" si="1138">AVERAGE(J2670:K2670)</f>
        <v>0.155</v>
      </c>
      <c r="M2670">
        <f t="shared" ref="M2670:M2699" si="1139">_xlfn.STDEV.P(J2670:K2670)</f>
        <v>3.5000000000000003E-2</v>
      </c>
      <c r="N2670">
        <f t="shared" si="1118"/>
        <v>7.0000000000000007E-2</v>
      </c>
      <c r="O2670">
        <f t="shared" ref="O2670:O2699" si="1140">E2670</f>
        <v>0.16</v>
      </c>
      <c r="P2670">
        <f t="shared" ref="P2670:P2699" si="1141">(O2670-L2670)/M2670</f>
        <v>0.14285714285714296</v>
      </c>
      <c r="Q2670" t="str">
        <f t="shared" si="1119"/>
        <v>18.75% | 25%</v>
      </c>
      <c r="R2670" t="str">
        <f t="shared" ref="R2670:R2699" si="1142">MID(B2670,FIND("(",B2670,1)+1,FIND(")",B2670,1)-FIND("(",B2670,1)-1)</f>
        <v>BEARISH</v>
      </c>
      <c r="S2670">
        <f t="shared" si="1120"/>
        <v>-1</v>
      </c>
    </row>
    <row r="2671" spans="1:19" hidden="1" x14ac:dyDescent="0.25">
      <c r="A2671" s="5" t="str">
        <f t="shared" si="1117"/>
        <v>44013SPX</v>
      </c>
      <c r="B2671" s="6" t="s">
        <v>6</v>
      </c>
      <c r="C2671" s="6">
        <v>2995</v>
      </c>
      <c r="D2671" s="6">
        <v>3130</v>
      </c>
      <c r="E2671" s="6">
        <v>3100</v>
      </c>
      <c r="F2671" t="str">
        <f t="shared" si="1132"/>
        <v>WED</v>
      </c>
      <c r="G2671" s="1">
        <f t="shared" si="1133"/>
        <v>44013</v>
      </c>
      <c r="H2671" s="2">
        <f t="shared" ca="1" si="1134"/>
        <v>240</v>
      </c>
      <c r="I2671" t="str">
        <f t="shared" si="1135"/>
        <v>SPX</v>
      </c>
      <c r="J2671">
        <f t="shared" si="1136"/>
        <v>2995</v>
      </c>
      <c r="K2671">
        <f t="shared" si="1137"/>
        <v>3130</v>
      </c>
      <c r="L2671">
        <f t="shared" si="1138"/>
        <v>3062.5</v>
      </c>
      <c r="M2671">
        <f t="shared" si="1139"/>
        <v>67.5</v>
      </c>
      <c r="N2671">
        <f t="shared" si="1118"/>
        <v>135</v>
      </c>
      <c r="O2671">
        <f t="shared" si="1140"/>
        <v>3100</v>
      </c>
      <c r="P2671">
        <f t="shared" si="1141"/>
        <v>0.55555555555555558</v>
      </c>
      <c r="Q2671" t="str">
        <f t="shared" si="1119"/>
        <v>3.39% | 0.97%</v>
      </c>
      <c r="R2671" t="str">
        <f t="shared" si="1142"/>
        <v>BEARISH</v>
      </c>
      <c r="S2671">
        <f t="shared" si="1120"/>
        <v>-1</v>
      </c>
    </row>
    <row r="2672" spans="1:19" hidden="1" x14ac:dyDescent="0.25">
      <c r="A2672" s="5" t="str">
        <f t="shared" si="1117"/>
        <v>44013RUT</v>
      </c>
      <c r="B2672" s="6" t="s">
        <v>7</v>
      </c>
      <c r="C2672" s="6">
        <v>1376</v>
      </c>
      <c r="D2672" s="6">
        <v>1460</v>
      </c>
      <c r="E2672" s="6">
        <v>1441</v>
      </c>
      <c r="F2672" t="str">
        <f t="shared" si="1132"/>
        <v>WED</v>
      </c>
      <c r="G2672" s="1">
        <f t="shared" si="1133"/>
        <v>44013</v>
      </c>
      <c r="H2672" s="2">
        <f t="shared" ca="1" si="1134"/>
        <v>240</v>
      </c>
      <c r="I2672" t="str">
        <f t="shared" si="1135"/>
        <v>RUT</v>
      </c>
      <c r="J2672">
        <f t="shared" si="1136"/>
        <v>1376</v>
      </c>
      <c r="K2672">
        <f t="shared" si="1137"/>
        <v>1460</v>
      </c>
      <c r="L2672">
        <f t="shared" si="1138"/>
        <v>1418</v>
      </c>
      <c r="M2672">
        <f t="shared" si="1139"/>
        <v>42</v>
      </c>
      <c r="N2672">
        <f t="shared" si="1118"/>
        <v>84</v>
      </c>
      <c r="O2672">
        <f t="shared" si="1140"/>
        <v>1441</v>
      </c>
      <c r="P2672">
        <f t="shared" si="1141"/>
        <v>0.54761904761904767</v>
      </c>
      <c r="Q2672" t="str">
        <f t="shared" si="1119"/>
        <v>4.51% | 1.32%</v>
      </c>
      <c r="R2672" t="str">
        <f t="shared" si="1142"/>
        <v>BEARISH</v>
      </c>
      <c r="S2672">
        <f t="shared" si="1120"/>
        <v>-1</v>
      </c>
    </row>
    <row r="2673" spans="1:19" hidden="1" x14ac:dyDescent="0.25">
      <c r="A2673" s="5" t="str">
        <f t="shared" si="1117"/>
        <v>44013COMPQ</v>
      </c>
      <c r="B2673" s="6" t="s">
        <v>8</v>
      </c>
      <c r="C2673" s="6">
        <v>9713</v>
      </c>
      <c r="D2673" s="6">
        <v>10181</v>
      </c>
      <c r="E2673" s="6">
        <v>10058</v>
      </c>
      <c r="F2673" t="str">
        <f t="shared" si="1132"/>
        <v>WED</v>
      </c>
      <c r="G2673" s="1">
        <f t="shared" si="1133"/>
        <v>44013</v>
      </c>
      <c r="H2673" s="2">
        <f t="shared" ca="1" si="1134"/>
        <v>240</v>
      </c>
      <c r="I2673" t="str">
        <f t="shared" si="1135"/>
        <v>COMPQ</v>
      </c>
      <c r="J2673">
        <f t="shared" si="1136"/>
        <v>9713</v>
      </c>
      <c r="K2673">
        <f t="shared" si="1137"/>
        <v>10181</v>
      </c>
      <c r="L2673">
        <f t="shared" si="1138"/>
        <v>9947</v>
      </c>
      <c r="M2673">
        <f t="shared" si="1139"/>
        <v>234</v>
      </c>
      <c r="N2673">
        <f t="shared" si="1118"/>
        <v>468</v>
      </c>
      <c r="O2673">
        <f t="shared" si="1140"/>
        <v>10058</v>
      </c>
      <c r="P2673">
        <f t="shared" si="1141"/>
        <v>0.47435897435897434</v>
      </c>
      <c r="Q2673" t="str">
        <f t="shared" si="1119"/>
        <v>3.43% | 1.22%</v>
      </c>
      <c r="R2673" t="str">
        <f t="shared" si="1142"/>
        <v>BULLISH</v>
      </c>
      <c r="S2673">
        <f t="shared" si="1120"/>
        <v>1</v>
      </c>
    </row>
    <row r="2674" spans="1:19" hidden="1" x14ac:dyDescent="0.25">
      <c r="A2674" s="5" t="str">
        <f t="shared" si="1117"/>
        <v>44013XLK</v>
      </c>
      <c r="B2674" s="6" t="s">
        <v>10</v>
      </c>
      <c r="C2674" s="6">
        <v>100.22</v>
      </c>
      <c r="D2674" s="6">
        <v>105.37</v>
      </c>
      <c r="E2674" s="6">
        <v>104.49</v>
      </c>
      <c r="F2674" t="str">
        <f t="shared" si="1132"/>
        <v>WED</v>
      </c>
      <c r="G2674" s="1">
        <f t="shared" si="1133"/>
        <v>44013</v>
      </c>
      <c r="H2674" s="2">
        <f t="shared" ca="1" si="1134"/>
        <v>240</v>
      </c>
      <c r="I2674" t="str">
        <f t="shared" si="1135"/>
        <v>XLK</v>
      </c>
      <c r="J2674">
        <f t="shared" si="1136"/>
        <v>100.22</v>
      </c>
      <c r="K2674">
        <f t="shared" si="1137"/>
        <v>105.37</v>
      </c>
      <c r="L2674">
        <f t="shared" si="1138"/>
        <v>102.795</v>
      </c>
      <c r="M2674">
        <f t="shared" si="1139"/>
        <v>2.5750000000000028</v>
      </c>
      <c r="N2674">
        <f t="shared" si="1118"/>
        <v>5.1500000000000057</v>
      </c>
      <c r="O2674">
        <f t="shared" si="1140"/>
        <v>104.49</v>
      </c>
      <c r="P2674">
        <f t="shared" si="1141"/>
        <v>0.65825242718446264</v>
      </c>
      <c r="Q2674" t="str">
        <f t="shared" si="1119"/>
        <v>4.09% | 0.84%</v>
      </c>
      <c r="R2674" t="str">
        <f t="shared" si="1142"/>
        <v>BULLISH</v>
      </c>
      <c r="S2674">
        <f t="shared" si="1120"/>
        <v>1</v>
      </c>
    </row>
    <row r="2675" spans="1:19" hidden="1" x14ac:dyDescent="0.25">
      <c r="A2675" s="5" t="str">
        <f t="shared" si="1117"/>
        <v>44013XLRE</v>
      </c>
      <c r="B2675" s="6" t="s">
        <v>97</v>
      </c>
      <c r="C2675" s="6">
        <v>33.25</v>
      </c>
      <c r="D2675" s="6">
        <v>36.020000000000003</v>
      </c>
      <c r="E2675" s="6">
        <v>34.81</v>
      </c>
      <c r="F2675" t="str">
        <f t="shared" si="1132"/>
        <v>WED</v>
      </c>
      <c r="G2675" s="1">
        <f t="shared" si="1133"/>
        <v>44013</v>
      </c>
      <c r="H2675" s="2">
        <f t="shared" ca="1" si="1134"/>
        <v>240</v>
      </c>
      <c r="I2675" t="str">
        <f t="shared" si="1135"/>
        <v>XLRE</v>
      </c>
      <c r="J2675">
        <f t="shared" si="1136"/>
        <v>33.25</v>
      </c>
      <c r="K2675">
        <f t="shared" si="1137"/>
        <v>36.020000000000003</v>
      </c>
      <c r="L2675">
        <f t="shared" si="1138"/>
        <v>34.635000000000005</v>
      </c>
      <c r="M2675">
        <f t="shared" si="1139"/>
        <v>1.3850000000000016</v>
      </c>
      <c r="N2675">
        <f t="shared" si="1118"/>
        <v>2.7700000000000031</v>
      </c>
      <c r="O2675">
        <f t="shared" si="1140"/>
        <v>34.81</v>
      </c>
      <c r="P2675">
        <f t="shared" si="1141"/>
        <v>0.12635379061371621</v>
      </c>
      <c r="Q2675" t="str">
        <f t="shared" si="1119"/>
        <v>4.48% | 3.48%</v>
      </c>
      <c r="R2675" t="str">
        <f t="shared" si="1142"/>
        <v>BULLISH</v>
      </c>
      <c r="S2675">
        <f t="shared" si="1120"/>
        <v>1</v>
      </c>
    </row>
    <row r="2676" spans="1:19" hidden="1" x14ac:dyDescent="0.25">
      <c r="A2676" s="5" t="str">
        <f t="shared" si="1117"/>
        <v>44013XLU</v>
      </c>
      <c r="B2676" s="6" t="s">
        <v>80</v>
      </c>
      <c r="C2676" s="6">
        <v>54.68</v>
      </c>
      <c r="D2676" s="6">
        <v>58.64</v>
      </c>
      <c r="E2676" s="6">
        <v>56.43</v>
      </c>
      <c r="F2676" t="str">
        <f t="shared" si="1132"/>
        <v>WED</v>
      </c>
      <c r="G2676" s="1">
        <f t="shared" si="1133"/>
        <v>44013</v>
      </c>
      <c r="H2676" s="2">
        <f t="shared" ca="1" si="1134"/>
        <v>240</v>
      </c>
      <c r="I2676" t="str">
        <f t="shared" si="1135"/>
        <v>XLU</v>
      </c>
      <c r="J2676">
        <f t="shared" si="1136"/>
        <v>54.68</v>
      </c>
      <c r="K2676">
        <f t="shared" si="1137"/>
        <v>58.64</v>
      </c>
      <c r="L2676">
        <f t="shared" si="1138"/>
        <v>56.66</v>
      </c>
      <c r="M2676">
        <f t="shared" si="1139"/>
        <v>1.9800000000000004</v>
      </c>
      <c r="N2676">
        <f t="shared" si="1118"/>
        <v>3.9600000000000009</v>
      </c>
      <c r="O2676">
        <f t="shared" si="1140"/>
        <v>56.43</v>
      </c>
      <c r="P2676">
        <f t="shared" si="1141"/>
        <v>-0.11616161616161456</v>
      </c>
      <c r="Q2676" t="str">
        <f t="shared" si="1119"/>
        <v>3.1% | 3.92%</v>
      </c>
      <c r="R2676" t="str">
        <f t="shared" si="1142"/>
        <v>NEUTRAL</v>
      </c>
      <c r="S2676">
        <f t="shared" si="1120"/>
        <v>0</v>
      </c>
    </row>
    <row r="2677" spans="1:19" hidden="1" x14ac:dyDescent="0.25">
      <c r="A2677" s="5" t="str">
        <f t="shared" si="1117"/>
        <v>44013XLF</v>
      </c>
      <c r="B2677" s="6" t="s">
        <v>12</v>
      </c>
      <c r="C2677" s="6">
        <v>22.12</v>
      </c>
      <c r="D2677" s="6">
        <v>23.68</v>
      </c>
      <c r="E2677" s="6">
        <v>23.14</v>
      </c>
      <c r="F2677" t="str">
        <f t="shared" si="1132"/>
        <v>WED</v>
      </c>
      <c r="G2677" s="1">
        <f t="shared" si="1133"/>
        <v>44013</v>
      </c>
      <c r="H2677" s="2">
        <f t="shared" ca="1" si="1134"/>
        <v>240</v>
      </c>
      <c r="I2677" t="str">
        <f t="shared" si="1135"/>
        <v>XLF</v>
      </c>
      <c r="J2677">
        <f t="shared" si="1136"/>
        <v>22.12</v>
      </c>
      <c r="K2677">
        <f t="shared" si="1137"/>
        <v>23.68</v>
      </c>
      <c r="L2677">
        <f t="shared" si="1138"/>
        <v>22.9</v>
      </c>
      <c r="M2677">
        <f t="shared" si="1139"/>
        <v>0.77999999999999936</v>
      </c>
      <c r="N2677">
        <f t="shared" si="1118"/>
        <v>1.5599999999999987</v>
      </c>
      <c r="O2677">
        <f t="shared" si="1140"/>
        <v>23.14</v>
      </c>
      <c r="P2677">
        <f t="shared" si="1141"/>
        <v>0.30769230769231048</v>
      </c>
      <c r="Q2677" t="str">
        <f t="shared" si="1119"/>
        <v>4.41% | 2.33%</v>
      </c>
      <c r="R2677" t="str">
        <f t="shared" si="1142"/>
        <v>BEARISH</v>
      </c>
      <c r="S2677">
        <f t="shared" si="1120"/>
        <v>-1</v>
      </c>
    </row>
    <row r="2678" spans="1:19" hidden="1" x14ac:dyDescent="0.25">
      <c r="A2678" s="5" t="str">
        <f t="shared" si="1117"/>
        <v>44013SSEC</v>
      </c>
      <c r="B2678" s="6" t="s">
        <v>104</v>
      </c>
      <c r="C2678" s="6">
        <v>2908</v>
      </c>
      <c r="D2678" s="6">
        <v>3040</v>
      </c>
      <c r="E2678" s="6">
        <v>3025</v>
      </c>
      <c r="F2678" t="str">
        <f t="shared" si="1132"/>
        <v>WED</v>
      </c>
      <c r="G2678" s="1">
        <f t="shared" si="1133"/>
        <v>44013</v>
      </c>
      <c r="H2678" s="2">
        <f t="shared" ca="1" si="1134"/>
        <v>240</v>
      </c>
      <c r="I2678" t="str">
        <f t="shared" si="1135"/>
        <v>SSEC</v>
      </c>
      <c r="J2678">
        <f t="shared" si="1136"/>
        <v>2908</v>
      </c>
      <c r="K2678">
        <f t="shared" si="1137"/>
        <v>3040</v>
      </c>
      <c r="L2678">
        <f t="shared" si="1138"/>
        <v>2974</v>
      </c>
      <c r="M2678">
        <f t="shared" si="1139"/>
        <v>66</v>
      </c>
      <c r="N2678">
        <f t="shared" si="1118"/>
        <v>132</v>
      </c>
      <c r="O2678">
        <f t="shared" si="1140"/>
        <v>3025</v>
      </c>
      <c r="P2678">
        <f t="shared" si="1141"/>
        <v>0.77272727272727271</v>
      </c>
      <c r="Q2678" t="str">
        <f t="shared" si="1119"/>
        <v>3.87% | 0.5%</v>
      </c>
      <c r="R2678" t="str">
        <f t="shared" si="1142"/>
        <v>BULLISH</v>
      </c>
      <c r="S2678">
        <f t="shared" si="1120"/>
        <v>1</v>
      </c>
    </row>
    <row r="2679" spans="1:19" hidden="1" x14ac:dyDescent="0.25">
      <c r="A2679" s="5" t="str">
        <f t="shared" si="1117"/>
        <v>44013NIKK</v>
      </c>
      <c r="B2679" s="6" t="s">
        <v>15</v>
      </c>
      <c r="C2679" s="6">
        <v>22008</v>
      </c>
      <c r="D2679" s="6">
        <v>22471</v>
      </c>
      <c r="E2679" s="6">
        <v>22121</v>
      </c>
      <c r="F2679" t="str">
        <f t="shared" si="1132"/>
        <v>WED</v>
      </c>
      <c r="G2679" s="1">
        <f t="shared" si="1133"/>
        <v>44013</v>
      </c>
      <c r="H2679" s="2">
        <f t="shared" ca="1" si="1134"/>
        <v>240</v>
      </c>
      <c r="I2679" t="str">
        <f t="shared" si="1135"/>
        <v>NIKK</v>
      </c>
      <c r="J2679">
        <f t="shared" si="1136"/>
        <v>22008</v>
      </c>
      <c r="K2679">
        <f t="shared" si="1137"/>
        <v>22471</v>
      </c>
      <c r="L2679">
        <f t="shared" si="1138"/>
        <v>22239.5</v>
      </c>
      <c r="M2679">
        <f t="shared" si="1139"/>
        <v>231.5</v>
      </c>
      <c r="N2679">
        <f t="shared" si="1118"/>
        <v>463</v>
      </c>
      <c r="O2679">
        <f t="shared" si="1140"/>
        <v>22121</v>
      </c>
      <c r="P2679">
        <f t="shared" si="1141"/>
        <v>-0.51187904967602593</v>
      </c>
      <c r="Q2679" t="str">
        <f t="shared" si="1119"/>
        <v>0.51% | 1.58%</v>
      </c>
      <c r="R2679" t="str">
        <f t="shared" si="1142"/>
        <v>BEARISH</v>
      </c>
      <c r="S2679">
        <f t="shared" si="1120"/>
        <v>-1</v>
      </c>
    </row>
    <row r="2680" spans="1:19" hidden="1" x14ac:dyDescent="0.25">
      <c r="A2680" s="5" t="str">
        <f t="shared" si="1117"/>
        <v>44013DAX</v>
      </c>
      <c r="B2680" s="6" t="s">
        <v>16</v>
      </c>
      <c r="C2680" s="6">
        <v>11951</v>
      </c>
      <c r="D2680" s="6">
        <v>12499</v>
      </c>
      <c r="E2680" s="6">
        <v>12301</v>
      </c>
      <c r="F2680" t="str">
        <f t="shared" si="1132"/>
        <v>WED</v>
      </c>
      <c r="G2680" s="1">
        <f t="shared" si="1133"/>
        <v>44013</v>
      </c>
      <c r="H2680" s="2">
        <f t="shared" ca="1" si="1134"/>
        <v>240</v>
      </c>
      <c r="I2680" t="str">
        <f t="shared" si="1135"/>
        <v>DAX</v>
      </c>
      <c r="J2680">
        <f t="shared" si="1136"/>
        <v>11951</v>
      </c>
      <c r="K2680">
        <f t="shared" si="1137"/>
        <v>12499</v>
      </c>
      <c r="L2680">
        <f t="shared" si="1138"/>
        <v>12225</v>
      </c>
      <c r="M2680">
        <f t="shared" si="1139"/>
        <v>274</v>
      </c>
      <c r="N2680">
        <f t="shared" si="1118"/>
        <v>548</v>
      </c>
      <c r="O2680">
        <f t="shared" si="1140"/>
        <v>12301</v>
      </c>
      <c r="P2680">
        <f t="shared" si="1141"/>
        <v>0.27737226277372262</v>
      </c>
      <c r="Q2680" t="str">
        <f t="shared" si="1119"/>
        <v>2.85% | 1.61%</v>
      </c>
      <c r="R2680" t="str">
        <f t="shared" si="1142"/>
        <v>BEARISH</v>
      </c>
      <c r="S2680">
        <f t="shared" si="1120"/>
        <v>-1</v>
      </c>
    </row>
    <row r="2681" spans="1:19" hidden="1" x14ac:dyDescent="0.25">
      <c r="A2681" s="5" t="str">
        <f t="shared" si="1117"/>
        <v>44013VIX</v>
      </c>
      <c r="B2681" s="6" t="s">
        <v>17</v>
      </c>
      <c r="C2681" s="6">
        <v>29.7</v>
      </c>
      <c r="D2681" s="6">
        <v>37.68</v>
      </c>
      <c r="E2681" s="6">
        <v>30.43</v>
      </c>
      <c r="F2681" t="str">
        <f t="shared" si="1132"/>
        <v>WED</v>
      </c>
      <c r="G2681" s="1">
        <f t="shared" si="1133"/>
        <v>44013</v>
      </c>
      <c r="H2681" s="2">
        <f t="shared" ca="1" si="1134"/>
        <v>240</v>
      </c>
      <c r="I2681" t="str">
        <f t="shared" si="1135"/>
        <v>VIX</v>
      </c>
      <c r="J2681">
        <f t="shared" si="1136"/>
        <v>29.7</v>
      </c>
      <c r="K2681">
        <f t="shared" si="1137"/>
        <v>37.68</v>
      </c>
      <c r="L2681">
        <f t="shared" si="1138"/>
        <v>33.69</v>
      </c>
      <c r="M2681">
        <f t="shared" si="1139"/>
        <v>3.9900000000000344</v>
      </c>
      <c r="N2681">
        <f t="shared" si="1118"/>
        <v>7.98</v>
      </c>
      <c r="O2681">
        <f t="shared" si="1140"/>
        <v>30.43</v>
      </c>
      <c r="P2681">
        <f t="shared" si="1141"/>
        <v>-0.81704260651628313</v>
      </c>
      <c r="Q2681" t="str">
        <f t="shared" si="1119"/>
        <v>2.4% | 23.83%</v>
      </c>
      <c r="R2681" t="str">
        <f t="shared" si="1142"/>
        <v>BULLISH</v>
      </c>
      <c r="S2681">
        <f t="shared" si="1120"/>
        <v>1</v>
      </c>
    </row>
    <row r="2682" spans="1:19" hidden="1" x14ac:dyDescent="0.25">
      <c r="A2682" s="5" t="str">
        <f t="shared" si="1117"/>
        <v>44013USD</v>
      </c>
      <c r="B2682" s="6" t="s">
        <v>94</v>
      </c>
      <c r="C2682" s="6">
        <v>96.49</v>
      </c>
      <c r="D2682" s="6">
        <v>97.93</v>
      </c>
      <c r="E2682" s="6">
        <v>97.35</v>
      </c>
      <c r="F2682" t="str">
        <f t="shared" si="1132"/>
        <v>WED</v>
      </c>
      <c r="G2682" s="1">
        <f t="shared" si="1133"/>
        <v>44013</v>
      </c>
      <c r="H2682" s="2">
        <f t="shared" ca="1" si="1134"/>
        <v>240</v>
      </c>
      <c r="I2682" t="str">
        <f t="shared" si="1135"/>
        <v>USD</v>
      </c>
      <c r="J2682">
        <f t="shared" si="1136"/>
        <v>96.49</v>
      </c>
      <c r="K2682">
        <f t="shared" si="1137"/>
        <v>97.93</v>
      </c>
      <c r="L2682">
        <f t="shared" si="1138"/>
        <v>97.210000000000008</v>
      </c>
      <c r="M2682">
        <f t="shared" si="1139"/>
        <v>0.72000000000000597</v>
      </c>
      <c r="N2682">
        <f t="shared" si="1118"/>
        <v>1.4400000000000119</v>
      </c>
      <c r="O2682">
        <f t="shared" si="1140"/>
        <v>97.35</v>
      </c>
      <c r="P2682">
        <f t="shared" si="1141"/>
        <v>0.19444444444442388</v>
      </c>
      <c r="Q2682" t="str">
        <f t="shared" si="1119"/>
        <v>0.88% | 0.6%</v>
      </c>
      <c r="R2682" t="str">
        <f t="shared" si="1142"/>
        <v>BEARISH</v>
      </c>
      <c r="S2682">
        <f t="shared" si="1120"/>
        <v>-1</v>
      </c>
    </row>
    <row r="2683" spans="1:19" hidden="1" x14ac:dyDescent="0.25">
      <c r="A2683" s="5" t="str">
        <f t="shared" si="1117"/>
        <v>44013EUR/USD</v>
      </c>
      <c r="B2683" s="6" t="s">
        <v>77</v>
      </c>
      <c r="C2683" s="6">
        <v>1.1100000000000001</v>
      </c>
      <c r="D2683" s="6">
        <v>1.1299999999999999</v>
      </c>
      <c r="E2683" s="6">
        <v>1.1200000000000001</v>
      </c>
      <c r="F2683" t="str">
        <f t="shared" si="1132"/>
        <v>WED</v>
      </c>
      <c r="G2683" s="1">
        <f t="shared" si="1133"/>
        <v>44013</v>
      </c>
      <c r="H2683" s="2">
        <f t="shared" ca="1" si="1134"/>
        <v>240</v>
      </c>
      <c r="I2683" t="str">
        <f t="shared" si="1135"/>
        <v>EUR/USD</v>
      </c>
      <c r="J2683">
        <f t="shared" si="1136"/>
        <v>1.1100000000000001</v>
      </c>
      <c r="K2683">
        <f t="shared" si="1137"/>
        <v>1.1299999999999999</v>
      </c>
      <c r="L2683">
        <f t="shared" si="1138"/>
        <v>1.1200000000000001</v>
      </c>
      <c r="M2683">
        <f t="shared" si="1139"/>
        <v>9.9999999999998979E-3</v>
      </c>
      <c r="N2683">
        <f t="shared" si="1118"/>
        <v>1.9999999999999796E-2</v>
      </c>
      <c r="O2683">
        <f t="shared" si="1140"/>
        <v>1.1200000000000001</v>
      </c>
      <c r="P2683">
        <f t="shared" si="1141"/>
        <v>0</v>
      </c>
      <c r="Q2683" t="str">
        <f t="shared" si="1119"/>
        <v>0.89% | 0.89%</v>
      </c>
      <c r="R2683" t="str">
        <f t="shared" si="1142"/>
        <v>NEUTRAL</v>
      </c>
      <c r="S2683">
        <f t="shared" si="1120"/>
        <v>0</v>
      </c>
    </row>
    <row r="2684" spans="1:19" hidden="1" x14ac:dyDescent="0.25">
      <c r="A2684" s="5" t="str">
        <f t="shared" si="1117"/>
        <v>44013USD/JPY</v>
      </c>
      <c r="B2684" s="6" t="s">
        <v>20</v>
      </c>
      <c r="C2684" s="6">
        <v>106.3</v>
      </c>
      <c r="D2684" s="6">
        <v>107.99</v>
      </c>
      <c r="E2684" s="6">
        <v>107.97</v>
      </c>
      <c r="F2684" t="str">
        <f t="shared" si="1132"/>
        <v>WED</v>
      </c>
      <c r="G2684" s="1">
        <f t="shared" si="1133"/>
        <v>44013</v>
      </c>
      <c r="H2684" s="2">
        <f t="shared" ca="1" si="1134"/>
        <v>240</v>
      </c>
      <c r="I2684" t="str">
        <f t="shared" si="1135"/>
        <v>USD/JPY</v>
      </c>
      <c r="J2684">
        <f t="shared" si="1136"/>
        <v>106.3</v>
      </c>
      <c r="K2684">
        <f t="shared" si="1137"/>
        <v>107.99</v>
      </c>
      <c r="L2684">
        <f t="shared" si="1138"/>
        <v>107.145</v>
      </c>
      <c r="M2684">
        <f t="shared" si="1139"/>
        <v>0.84499999999999886</v>
      </c>
      <c r="N2684">
        <f t="shared" si="1118"/>
        <v>1.6899999999999977</v>
      </c>
      <c r="O2684">
        <f t="shared" si="1140"/>
        <v>107.97</v>
      </c>
      <c r="P2684">
        <f t="shared" si="1141"/>
        <v>0.97633136094675022</v>
      </c>
      <c r="Q2684" t="str">
        <f t="shared" si="1119"/>
        <v>1.55% | 0.02%</v>
      </c>
      <c r="R2684" t="str">
        <f t="shared" si="1142"/>
        <v>BEARISH</v>
      </c>
      <c r="S2684">
        <f t="shared" si="1120"/>
        <v>-1</v>
      </c>
    </row>
    <row r="2685" spans="1:19" hidden="1" x14ac:dyDescent="0.25">
      <c r="A2685" s="5" t="str">
        <f t="shared" si="1117"/>
        <v>44013GBP/USD</v>
      </c>
      <c r="B2685" s="6" t="s">
        <v>21</v>
      </c>
      <c r="C2685" s="6">
        <v>1.22</v>
      </c>
      <c r="D2685" s="6">
        <v>1.25</v>
      </c>
      <c r="E2685" s="6">
        <v>1.23</v>
      </c>
      <c r="F2685" t="str">
        <f t="shared" si="1132"/>
        <v>WED</v>
      </c>
      <c r="G2685" s="1">
        <f t="shared" si="1133"/>
        <v>44013</v>
      </c>
      <c r="H2685" s="2">
        <f t="shared" ca="1" si="1134"/>
        <v>240</v>
      </c>
      <c r="I2685" t="str">
        <f t="shared" si="1135"/>
        <v>GBP/USD</v>
      </c>
      <c r="J2685">
        <f t="shared" si="1136"/>
        <v>1.22</v>
      </c>
      <c r="K2685">
        <f t="shared" si="1137"/>
        <v>1.25</v>
      </c>
      <c r="L2685">
        <f t="shared" si="1138"/>
        <v>1.2349999999999999</v>
      </c>
      <c r="M2685">
        <f t="shared" si="1139"/>
        <v>1.5000000000000013E-2</v>
      </c>
      <c r="N2685">
        <f t="shared" si="1118"/>
        <v>3.0000000000000027E-2</v>
      </c>
      <c r="O2685">
        <f t="shared" si="1140"/>
        <v>1.23</v>
      </c>
      <c r="P2685">
        <f t="shared" si="1141"/>
        <v>-0.33333333333332593</v>
      </c>
      <c r="Q2685" t="str">
        <f t="shared" si="1119"/>
        <v>0.81% | 1.63%</v>
      </c>
      <c r="R2685" t="str">
        <f t="shared" si="1142"/>
        <v>BEARISH</v>
      </c>
      <c r="S2685">
        <f t="shared" si="1120"/>
        <v>-1</v>
      </c>
    </row>
    <row r="2686" spans="1:19" hidden="1" x14ac:dyDescent="0.25">
      <c r="A2686" s="5" t="str">
        <f t="shared" si="1117"/>
        <v>44013USD/CHF</v>
      </c>
      <c r="B2686" s="6" t="s">
        <v>76</v>
      </c>
      <c r="C2686" s="6">
        <v>0.94</v>
      </c>
      <c r="D2686" s="6">
        <v>0.96</v>
      </c>
      <c r="E2686" s="6">
        <v>0.94</v>
      </c>
      <c r="F2686" t="str">
        <f t="shared" si="1132"/>
        <v>WED</v>
      </c>
      <c r="G2686" s="1">
        <f t="shared" si="1133"/>
        <v>44013</v>
      </c>
      <c r="H2686" s="2">
        <f t="shared" ca="1" si="1134"/>
        <v>240</v>
      </c>
      <c r="I2686" t="str">
        <f t="shared" si="1135"/>
        <v>USD/CHF</v>
      </c>
      <c r="J2686">
        <f t="shared" si="1136"/>
        <v>0.94</v>
      </c>
      <c r="K2686">
        <f t="shared" si="1137"/>
        <v>0.96</v>
      </c>
      <c r="L2686">
        <f t="shared" si="1138"/>
        <v>0.95</v>
      </c>
      <c r="M2686">
        <f t="shared" si="1139"/>
        <v>1.0000000000000009E-2</v>
      </c>
      <c r="N2686">
        <f t="shared" si="1118"/>
        <v>2.0000000000000018E-2</v>
      </c>
      <c r="O2686">
        <f t="shared" si="1140"/>
        <v>0.94</v>
      </c>
      <c r="P2686">
        <f t="shared" si="1141"/>
        <v>-1</v>
      </c>
      <c r="Q2686" t="str">
        <f t="shared" si="1119"/>
        <v>0% | 2.13%</v>
      </c>
      <c r="R2686" t="str">
        <f t="shared" si="1142"/>
        <v>BEARISH</v>
      </c>
      <c r="S2686">
        <f t="shared" si="1120"/>
        <v>-1</v>
      </c>
    </row>
    <row r="2687" spans="1:19" hidden="1" x14ac:dyDescent="0.25">
      <c r="A2687" s="5" t="str">
        <f t="shared" si="1117"/>
        <v>44013WTIC</v>
      </c>
      <c r="B2687" s="6" t="s">
        <v>158</v>
      </c>
      <c r="C2687" s="6">
        <v>36.700000000000003</v>
      </c>
      <c r="D2687" s="6">
        <v>41.23</v>
      </c>
      <c r="E2687" s="6">
        <v>39.270000000000003</v>
      </c>
      <c r="F2687" t="str">
        <f t="shared" si="1132"/>
        <v>WED</v>
      </c>
      <c r="G2687" s="1">
        <f t="shared" si="1133"/>
        <v>44013</v>
      </c>
      <c r="H2687" s="2">
        <f t="shared" ca="1" si="1134"/>
        <v>240</v>
      </c>
      <c r="I2687" t="str">
        <f t="shared" si="1135"/>
        <v>WTIC</v>
      </c>
      <c r="J2687">
        <f t="shared" si="1136"/>
        <v>36.700000000000003</v>
      </c>
      <c r="K2687">
        <f t="shared" si="1137"/>
        <v>41.23</v>
      </c>
      <c r="L2687">
        <f t="shared" si="1138"/>
        <v>38.965000000000003</v>
      </c>
      <c r="M2687">
        <f t="shared" si="1139"/>
        <v>2.264999999999997</v>
      </c>
      <c r="N2687">
        <f t="shared" si="1118"/>
        <v>4.529999999999994</v>
      </c>
      <c r="O2687">
        <f t="shared" si="1140"/>
        <v>39.270000000000003</v>
      </c>
      <c r="P2687">
        <f t="shared" si="1141"/>
        <v>0.13465783664459166</v>
      </c>
      <c r="Q2687" t="str">
        <f t="shared" si="1119"/>
        <v>6.54% | 4.99%</v>
      </c>
      <c r="R2687" t="str">
        <f t="shared" si="1142"/>
        <v>BULLISH</v>
      </c>
      <c r="S2687">
        <f t="shared" si="1120"/>
        <v>1</v>
      </c>
    </row>
    <row r="2688" spans="1:19" hidden="1" x14ac:dyDescent="0.25">
      <c r="A2688" s="5" t="str">
        <f t="shared" si="1117"/>
        <v>44013NATGAS</v>
      </c>
      <c r="B2688" s="6" t="s">
        <v>24</v>
      </c>
      <c r="C2688" s="6">
        <v>1.51</v>
      </c>
      <c r="D2688" s="6">
        <v>1.81</v>
      </c>
      <c r="E2688" s="6">
        <v>1.75</v>
      </c>
      <c r="F2688" t="str">
        <f t="shared" si="1132"/>
        <v>WED</v>
      </c>
      <c r="G2688" s="1">
        <f t="shared" si="1133"/>
        <v>44013</v>
      </c>
      <c r="H2688" s="2">
        <f t="shared" ca="1" si="1134"/>
        <v>240</v>
      </c>
      <c r="I2688" t="str">
        <f t="shared" si="1135"/>
        <v>NATGAS</v>
      </c>
      <c r="J2688">
        <f t="shared" si="1136"/>
        <v>1.51</v>
      </c>
      <c r="K2688">
        <f t="shared" si="1137"/>
        <v>1.81</v>
      </c>
      <c r="L2688">
        <f t="shared" si="1138"/>
        <v>1.6600000000000001</v>
      </c>
      <c r="M2688">
        <f t="shared" si="1139"/>
        <v>0.15000000000000002</v>
      </c>
      <c r="N2688">
        <f t="shared" si="1118"/>
        <v>0.30000000000000004</v>
      </c>
      <c r="O2688">
        <f t="shared" si="1140"/>
        <v>1.75</v>
      </c>
      <c r="P2688">
        <f t="shared" si="1141"/>
        <v>0.59999999999999898</v>
      </c>
      <c r="Q2688" t="str">
        <f t="shared" si="1119"/>
        <v>13.71% | 3.43%</v>
      </c>
      <c r="R2688" t="str">
        <f t="shared" si="1142"/>
        <v>BEARISH</v>
      </c>
      <c r="S2688">
        <f t="shared" si="1120"/>
        <v>-1</v>
      </c>
    </row>
    <row r="2689" spans="1:19" hidden="1" x14ac:dyDescent="0.25">
      <c r="A2689" s="5" t="str">
        <f t="shared" si="1117"/>
        <v>44013GOLD</v>
      </c>
      <c r="B2689" s="6" t="s">
        <v>25</v>
      </c>
      <c r="C2689" s="6">
        <v>1748</v>
      </c>
      <c r="D2689" s="6">
        <v>1818</v>
      </c>
      <c r="E2689" s="6">
        <v>1800</v>
      </c>
      <c r="F2689" t="str">
        <f t="shared" si="1132"/>
        <v>WED</v>
      </c>
      <c r="G2689" s="1">
        <f t="shared" si="1133"/>
        <v>44013</v>
      </c>
      <c r="H2689" s="2">
        <f t="shared" ca="1" si="1134"/>
        <v>240</v>
      </c>
      <c r="I2689" t="str">
        <f t="shared" si="1135"/>
        <v>GOLD</v>
      </c>
      <c r="J2689">
        <f t="shared" si="1136"/>
        <v>1748</v>
      </c>
      <c r="K2689">
        <f t="shared" si="1137"/>
        <v>1818</v>
      </c>
      <c r="L2689">
        <f t="shared" si="1138"/>
        <v>1783</v>
      </c>
      <c r="M2689">
        <f t="shared" si="1139"/>
        <v>35</v>
      </c>
      <c r="N2689">
        <f t="shared" si="1118"/>
        <v>70</v>
      </c>
      <c r="O2689">
        <f t="shared" si="1140"/>
        <v>1800</v>
      </c>
      <c r="P2689">
        <f t="shared" si="1141"/>
        <v>0.48571428571428571</v>
      </c>
      <c r="Q2689" t="str">
        <f t="shared" si="1119"/>
        <v>2.89% | 1%</v>
      </c>
      <c r="R2689" t="str">
        <f t="shared" si="1142"/>
        <v>BULLISH</v>
      </c>
      <c r="S2689">
        <f t="shared" si="1120"/>
        <v>1</v>
      </c>
    </row>
    <row r="2690" spans="1:19" hidden="1" x14ac:dyDescent="0.25">
      <c r="A2690" s="5" t="str">
        <f t="shared" si="1117"/>
        <v>44013COPPER</v>
      </c>
      <c r="B2690" s="6" t="s">
        <v>100</v>
      </c>
      <c r="C2690" s="6">
        <v>2.59</v>
      </c>
      <c r="D2690" s="6">
        <v>2.74</v>
      </c>
      <c r="E2690" s="6">
        <v>2.73</v>
      </c>
      <c r="F2690" t="str">
        <f t="shared" si="1132"/>
        <v>WED</v>
      </c>
      <c r="G2690" s="1">
        <f t="shared" si="1133"/>
        <v>44013</v>
      </c>
      <c r="H2690" s="2">
        <f t="shared" ca="1" si="1134"/>
        <v>240</v>
      </c>
      <c r="I2690" t="str">
        <f t="shared" si="1135"/>
        <v>COPPER</v>
      </c>
      <c r="J2690">
        <f t="shared" si="1136"/>
        <v>2.59</v>
      </c>
      <c r="K2690">
        <f t="shared" si="1137"/>
        <v>2.74</v>
      </c>
      <c r="L2690">
        <f t="shared" si="1138"/>
        <v>2.665</v>
      </c>
      <c r="M2690">
        <f t="shared" si="1139"/>
        <v>7.5000000000000178E-2</v>
      </c>
      <c r="N2690">
        <f t="shared" si="1118"/>
        <v>0.15000000000000036</v>
      </c>
      <c r="O2690">
        <f t="shared" si="1140"/>
        <v>2.73</v>
      </c>
      <c r="P2690">
        <f t="shared" si="1141"/>
        <v>0.86666666666666392</v>
      </c>
      <c r="Q2690" t="str">
        <f t="shared" si="1119"/>
        <v>5.13% | 0.37%</v>
      </c>
      <c r="R2690" t="str">
        <f t="shared" si="1142"/>
        <v>BULLISH</v>
      </c>
      <c r="S2690">
        <f t="shared" si="1120"/>
        <v>1</v>
      </c>
    </row>
    <row r="2691" spans="1:19" hidden="1" x14ac:dyDescent="0.25">
      <c r="A2691" s="5" t="str">
        <f t="shared" ref="A2691:A2754" si="1143">G2691&amp;I2691</f>
        <v>44013MSFT</v>
      </c>
      <c r="B2691" s="6" t="s">
        <v>27</v>
      </c>
      <c r="C2691" s="6">
        <v>193</v>
      </c>
      <c r="D2691" s="6">
        <v>204</v>
      </c>
      <c r="E2691" s="6">
        <v>203</v>
      </c>
      <c r="F2691" t="str">
        <f t="shared" si="1132"/>
        <v>WED</v>
      </c>
      <c r="G2691" s="1">
        <f t="shared" si="1133"/>
        <v>44013</v>
      </c>
      <c r="H2691" s="2">
        <f t="shared" ca="1" si="1134"/>
        <v>240</v>
      </c>
      <c r="I2691" t="str">
        <f t="shared" si="1135"/>
        <v>MSFT</v>
      </c>
      <c r="J2691">
        <f t="shared" si="1136"/>
        <v>193</v>
      </c>
      <c r="K2691">
        <f t="shared" si="1137"/>
        <v>204</v>
      </c>
      <c r="L2691">
        <f t="shared" si="1138"/>
        <v>198.5</v>
      </c>
      <c r="M2691">
        <f t="shared" si="1139"/>
        <v>5.5</v>
      </c>
      <c r="N2691">
        <f t="shared" ref="N2691:N2754" si="1144">ABS(K2691-J2691)</f>
        <v>11</v>
      </c>
      <c r="O2691">
        <f t="shared" si="1140"/>
        <v>203</v>
      </c>
      <c r="P2691">
        <f t="shared" si="1141"/>
        <v>0.81818181818181823</v>
      </c>
      <c r="Q2691" t="str">
        <f t="shared" ref="Q2691:Q2754" si="1145">ROUND(ABS(100*(O2691-J2691)/O2691),2)&amp;"% | "&amp;ROUND(ABS(100*(K2691-O2691)/O2691),2)&amp;"%"</f>
        <v>4.93% | 0.49%</v>
      </c>
      <c r="R2691" t="str">
        <f t="shared" si="1142"/>
        <v>BULLISH</v>
      </c>
      <c r="S2691">
        <f t="shared" ref="S2691:S2754" si="1146">IF(R2691="BEARISH",-1,IF(R2691="NEUTRAL",0,IF(R2691="BULLISH",1,99)))</f>
        <v>1</v>
      </c>
    </row>
    <row r="2692" spans="1:19" hidden="1" x14ac:dyDescent="0.25">
      <c r="A2692" s="5" t="str">
        <f t="shared" si="1143"/>
        <v>44013AAPL</v>
      </c>
      <c r="B2692" s="6" t="s">
        <v>28</v>
      </c>
      <c r="C2692" s="6">
        <v>345</v>
      </c>
      <c r="D2692" s="6">
        <v>371</v>
      </c>
      <c r="E2692" s="6">
        <v>364</v>
      </c>
      <c r="F2692" t="str">
        <f t="shared" si="1132"/>
        <v>WED</v>
      </c>
      <c r="G2692" s="1">
        <f t="shared" si="1133"/>
        <v>44013</v>
      </c>
      <c r="H2692" s="2">
        <f t="shared" ca="1" si="1134"/>
        <v>240</v>
      </c>
      <c r="I2692" t="str">
        <f t="shared" si="1135"/>
        <v>AAPL</v>
      </c>
      <c r="J2692">
        <f t="shared" si="1136"/>
        <v>345</v>
      </c>
      <c r="K2692">
        <f t="shared" si="1137"/>
        <v>371</v>
      </c>
      <c r="L2692">
        <f t="shared" si="1138"/>
        <v>358</v>
      </c>
      <c r="M2692">
        <f t="shared" si="1139"/>
        <v>13</v>
      </c>
      <c r="N2692">
        <f t="shared" si="1144"/>
        <v>26</v>
      </c>
      <c r="O2692">
        <f t="shared" si="1140"/>
        <v>364</v>
      </c>
      <c r="P2692">
        <f t="shared" si="1141"/>
        <v>0.46153846153846156</v>
      </c>
      <c r="Q2692" t="str">
        <f t="shared" si="1145"/>
        <v>5.22% | 1.92%</v>
      </c>
      <c r="R2692" t="str">
        <f t="shared" si="1142"/>
        <v>BULLISH</v>
      </c>
      <c r="S2692">
        <f t="shared" si="1146"/>
        <v>1</v>
      </c>
    </row>
    <row r="2693" spans="1:19" hidden="1" x14ac:dyDescent="0.25">
      <c r="A2693" s="5" t="str">
        <f t="shared" si="1143"/>
        <v>44013AMZN</v>
      </c>
      <c r="B2693" s="6" t="s">
        <v>29</v>
      </c>
      <c r="C2693" s="6">
        <v>2607</v>
      </c>
      <c r="D2693" s="6">
        <v>2795</v>
      </c>
      <c r="E2693" s="6">
        <v>2758</v>
      </c>
      <c r="F2693" t="str">
        <f t="shared" si="1132"/>
        <v>WED</v>
      </c>
      <c r="G2693" s="1">
        <f t="shared" si="1133"/>
        <v>44013</v>
      </c>
      <c r="H2693" s="2">
        <f t="shared" ca="1" si="1134"/>
        <v>240</v>
      </c>
      <c r="I2693" t="str">
        <f t="shared" si="1135"/>
        <v>AMZN</v>
      </c>
      <c r="J2693">
        <f t="shared" si="1136"/>
        <v>2607</v>
      </c>
      <c r="K2693">
        <f t="shared" si="1137"/>
        <v>2795</v>
      </c>
      <c r="L2693">
        <f t="shared" si="1138"/>
        <v>2701</v>
      </c>
      <c r="M2693">
        <f t="shared" si="1139"/>
        <v>94</v>
      </c>
      <c r="N2693">
        <f t="shared" si="1144"/>
        <v>188</v>
      </c>
      <c r="O2693">
        <f t="shared" si="1140"/>
        <v>2758</v>
      </c>
      <c r="P2693">
        <f t="shared" si="1141"/>
        <v>0.6063829787234043</v>
      </c>
      <c r="Q2693" t="str">
        <f t="shared" si="1145"/>
        <v>5.47% | 1.34%</v>
      </c>
      <c r="R2693" t="str">
        <f t="shared" si="1142"/>
        <v>BULLISH</v>
      </c>
      <c r="S2693">
        <f t="shared" si="1146"/>
        <v>1</v>
      </c>
    </row>
    <row r="2694" spans="1:19" hidden="1" x14ac:dyDescent="0.25">
      <c r="A2694" s="5" t="str">
        <f t="shared" si="1143"/>
        <v>44013FB</v>
      </c>
      <c r="B2694" s="6" t="s">
        <v>157</v>
      </c>
      <c r="C2694" s="6">
        <v>211</v>
      </c>
      <c r="D2694" s="6">
        <v>233</v>
      </c>
      <c r="E2694" s="6">
        <v>227</v>
      </c>
      <c r="F2694" t="str">
        <f t="shared" si="1132"/>
        <v>WED</v>
      </c>
      <c r="G2694" s="1">
        <f t="shared" si="1133"/>
        <v>44013</v>
      </c>
      <c r="H2694" s="2">
        <f t="shared" ca="1" si="1134"/>
        <v>240</v>
      </c>
      <c r="I2694" t="str">
        <f t="shared" si="1135"/>
        <v>FB</v>
      </c>
      <c r="J2694">
        <f t="shared" si="1136"/>
        <v>211</v>
      </c>
      <c r="K2694">
        <f t="shared" si="1137"/>
        <v>233</v>
      </c>
      <c r="L2694">
        <f t="shared" si="1138"/>
        <v>222</v>
      </c>
      <c r="M2694">
        <f t="shared" si="1139"/>
        <v>11</v>
      </c>
      <c r="N2694">
        <f t="shared" si="1144"/>
        <v>22</v>
      </c>
      <c r="O2694">
        <f t="shared" si="1140"/>
        <v>227</v>
      </c>
      <c r="P2694">
        <f t="shared" si="1141"/>
        <v>0.45454545454545453</v>
      </c>
      <c r="Q2694" t="str">
        <f t="shared" si="1145"/>
        <v>7.05% | 2.64%</v>
      </c>
      <c r="R2694" t="str">
        <f t="shared" si="1142"/>
        <v>NEUTRAL</v>
      </c>
      <c r="S2694">
        <f t="shared" si="1146"/>
        <v>0</v>
      </c>
    </row>
    <row r="2695" spans="1:19" hidden="1" x14ac:dyDescent="0.25">
      <c r="A2695" s="5" t="str">
        <f t="shared" si="1143"/>
        <v>44013GOOGL</v>
      </c>
      <c r="B2695" s="6" t="s">
        <v>59</v>
      </c>
      <c r="C2695" s="6">
        <v>1354</v>
      </c>
      <c r="D2695" s="6">
        <v>1435</v>
      </c>
      <c r="E2695" s="6">
        <v>1418</v>
      </c>
      <c r="F2695" t="str">
        <f t="shared" si="1132"/>
        <v>WED</v>
      </c>
      <c r="G2695" s="1">
        <f t="shared" si="1133"/>
        <v>44013</v>
      </c>
      <c r="H2695" s="2">
        <f t="shared" ca="1" si="1134"/>
        <v>240</v>
      </c>
      <c r="I2695" t="str">
        <f t="shared" si="1135"/>
        <v>GOOGL</v>
      </c>
      <c r="J2695">
        <f t="shared" si="1136"/>
        <v>1354</v>
      </c>
      <c r="K2695">
        <f t="shared" si="1137"/>
        <v>1435</v>
      </c>
      <c r="L2695">
        <f t="shared" si="1138"/>
        <v>1394.5</v>
      </c>
      <c r="M2695">
        <f t="shared" si="1139"/>
        <v>40.5</v>
      </c>
      <c r="N2695">
        <f t="shared" si="1144"/>
        <v>81</v>
      </c>
      <c r="O2695">
        <f t="shared" si="1140"/>
        <v>1418</v>
      </c>
      <c r="P2695">
        <f t="shared" si="1141"/>
        <v>0.58024691358024694</v>
      </c>
      <c r="Q2695" t="str">
        <f t="shared" si="1145"/>
        <v>4.51% | 1.2%</v>
      </c>
      <c r="R2695" t="str">
        <f t="shared" si="1142"/>
        <v>NEUTRAL</v>
      </c>
      <c r="S2695">
        <f t="shared" si="1146"/>
        <v>0</v>
      </c>
    </row>
    <row r="2696" spans="1:19" hidden="1" x14ac:dyDescent="0.25">
      <c r="A2696" s="5" t="str">
        <f t="shared" si="1143"/>
        <v>44013NFLX</v>
      </c>
      <c r="B2696" s="6" t="s">
        <v>32</v>
      </c>
      <c r="C2696" s="6">
        <v>437</v>
      </c>
      <c r="D2696" s="6">
        <v>474</v>
      </c>
      <c r="E2696" s="6">
        <v>455</v>
      </c>
      <c r="F2696" t="str">
        <f t="shared" si="1132"/>
        <v>WED</v>
      </c>
      <c r="G2696" s="1">
        <f t="shared" si="1133"/>
        <v>44013</v>
      </c>
      <c r="H2696" s="2">
        <f t="shared" ca="1" si="1134"/>
        <v>240</v>
      </c>
      <c r="I2696" t="str">
        <f t="shared" si="1135"/>
        <v>NFLX</v>
      </c>
      <c r="J2696">
        <f t="shared" si="1136"/>
        <v>437</v>
      </c>
      <c r="K2696">
        <f t="shared" si="1137"/>
        <v>474</v>
      </c>
      <c r="L2696">
        <f t="shared" si="1138"/>
        <v>455.5</v>
      </c>
      <c r="M2696">
        <f t="shared" si="1139"/>
        <v>18.5</v>
      </c>
      <c r="N2696">
        <f t="shared" si="1144"/>
        <v>37</v>
      </c>
      <c r="O2696">
        <f t="shared" si="1140"/>
        <v>455</v>
      </c>
      <c r="P2696">
        <f t="shared" si="1141"/>
        <v>-2.7027027027027029E-2</v>
      </c>
      <c r="Q2696" t="str">
        <f t="shared" si="1145"/>
        <v>3.96% | 4.18%</v>
      </c>
      <c r="R2696" t="str">
        <f t="shared" si="1142"/>
        <v>BULLISH</v>
      </c>
      <c r="S2696">
        <f t="shared" si="1146"/>
        <v>1</v>
      </c>
    </row>
    <row r="2697" spans="1:19" x14ac:dyDescent="0.25">
      <c r="A2697" s="5" t="str">
        <f t="shared" si="1143"/>
        <v>44013TSLA</v>
      </c>
      <c r="B2697" s="6" t="s">
        <v>33</v>
      </c>
      <c r="C2697" s="6">
        <v>942</v>
      </c>
      <c r="D2697" s="6">
        <v>1099</v>
      </c>
      <c r="E2697" s="6">
        <v>1079</v>
      </c>
      <c r="F2697" t="str">
        <f t="shared" si="1132"/>
        <v>WED</v>
      </c>
      <c r="G2697" s="1">
        <f t="shared" si="1133"/>
        <v>44013</v>
      </c>
      <c r="H2697" s="2">
        <f t="shared" ca="1" si="1134"/>
        <v>240</v>
      </c>
      <c r="I2697" t="str">
        <f t="shared" si="1135"/>
        <v>TSLA</v>
      </c>
      <c r="J2697">
        <f t="shared" si="1136"/>
        <v>942</v>
      </c>
      <c r="K2697">
        <f t="shared" si="1137"/>
        <v>1099</v>
      </c>
      <c r="L2697">
        <f t="shared" si="1138"/>
        <v>1020.5</v>
      </c>
      <c r="M2697">
        <f t="shared" si="1139"/>
        <v>78.5</v>
      </c>
      <c r="N2697">
        <f t="shared" si="1144"/>
        <v>157</v>
      </c>
      <c r="O2697">
        <f t="shared" si="1140"/>
        <v>1079</v>
      </c>
      <c r="P2697">
        <f t="shared" si="1141"/>
        <v>0.74522292993630568</v>
      </c>
      <c r="Q2697" t="str">
        <f t="shared" si="1145"/>
        <v>12.7% | 1.85%</v>
      </c>
      <c r="R2697" t="str">
        <f t="shared" si="1142"/>
        <v>BULLISH</v>
      </c>
      <c r="S2697">
        <f t="shared" si="1146"/>
        <v>1</v>
      </c>
    </row>
    <row r="2698" spans="1:19" hidden="1" x14ac:dyDescent="0.25">
      <c r="A2698" s="5" t="str">
        <f t="shared" si="1143"/>
        <v>44013NYXBT</v>
      </c>
      <c r="B2698" s="6" t="s">
        <v>34</v>
      </c>
      <c r="C2698" s="6">
        <v>8820</v>
      </c>
      <c r="D2698" s="6">
        <v>9658</v>
      </c>
      <c r="E2698" s="6">
        <v>9160</v>
      </c>
      <c r="F2698" t="str">
        <f t="shared" si="1132"/>
        <v>WED</v>
      </c>
      <c r="G2698" s="1">
        <f t="shared" si="1133"/>
        <v>44013</v>
      </c>
      <c r="H2698" s="2">
        <f t="shared" ca="1" si="1134"/>
        <v>240</v>
      </c>
      <c r="I2698" t="str">
        <f t="shared" si="1135"/>
        <v>NYXBT</v>
      </c>
      <c r="J2698">
        <f t="shared" si="1136"/>
        <v>8820</v>
      </c>
      <c r="K2698">
        <f t="shared" si="1137"/>
        <v>9658</v>
      </c>
      <c r="L2698">
        <f t="shared" si="1138"/>
        <v>9239</v>
      </c>
      <c r="M2698">
        <f t="shared" si="1139"/>
        <v>419</v>
      </c>
      <c r="N2698">
        <f t="shared" si="1144"/>
        <v>838</v>
      </c>
      <c r="O2698">
        <f t="shared" si="1140"/>
        <v>9160</v>
      </c>
      <c r="P2698">
        <f t="shared" si="1141"/>
        <v>-0.18854415274463007</v>
      </c>
      <c r="Q2698" t="str">
        <f t="shared" si="1145"/>
        <v>3.71% | 5.44%</v>
      </c>
      <c r="R2698" t="str">
        <f t="shared" si="1142"/>
        <v>BULLISH</v>
      </c>
      <c r="S2698">
        <f t="shared" si="1146"/>
        <v>1</v>
      </c>
    </row>
    <row r="2699" spans="1:19" hidden="1" x14ac:dyDescent="0.25">
      <c r="A2699" s="5" t="str">
        <f t="shared" si="1143"/>
        <v>44014UST10Y</v>
      </c>
      <c r="B2699" s="6" t="s">
        <v>4</v>
      </c>
      <c r="C2699" s="6">
        <v>0.73</v>
      </c>
      <c r="D2699" s="6">
        <v>0.62</v>
      </c>
      <c r="E2699" s="6">
        <v>0.69</v>
      </c>
      <c r="F2699" t="str">
        <f t="shared" si="1132"/>
        <v>THU</v>
      </c>
      <c r="G2699" s="3">
        <f>DATE(2020,7,2)</f>
        <v>44014</v>
      </c>
      <c r="H2699" s="2">
        <f t="shared" ca="1" si="1134"/>
        <v>239</v>
      </c>
      <c r="I2699" t="str">
        <f t="shared" si="1135"/>
        <v>UST10Y</v>
      </c>
      <c r="J2699">
        <f t="shared" si="1136"/>
        <v>0.73</v>
      </c>
      <c r="K2699">
        <f t="shared" si="1137"/>
        <v>0.62</v>
      </c>
      <c r="L2699">
        <f t="shared" si="1138"/>
        <v>0.67500000000000004</v>
      </c>
      <c r="M2699">
        <f t="shared" si="1139"/>
        <v>5.4999999999999993E-2</v>
      </c>
      <c r="N2699">
        <f t="shared" si="1144"/>
        <v>0.10999999999999999</v>
      </c>
      <c r="O2699">
        <f t="shared" si="1140"/>
        <v>0.69</v>
      </c>
      <c r="P2699">
        <f t="shared" si="1141"/>
        <v>0.27272727272727099</v>
      </c>
      <c r="Q2699" t="str">
        <f t="shared" si="1145"/>
        <v>5.8% | 10.14%</v>
      </c>
      <c r="R2699" t="str">
        <f t="shared" si="1142"/>
        <v>BEARISH</v>
      </c>
      <c r="S2699">
        <f t="shared" si="1146"/>
        <v>-1</v>
      </c>
    </row>
    <row r="2700" spans="1:19" hidden="1" x14ac:dyDescent="0.25">
      <c r="A2700" s="5" t="str">
        <f t="shared" si="1143"/>
        <v>44014UST2Y</v>
      </c>
      <c r="B2700" s="6" t="s">
        <v>5</v>
      </c>
      <c r="C2700" s="6">
        <v>0.2</v>
      </c>
      <c r="D2700" s="6">
        <v>0.14000000000000001</v>
      </c>
      <c r="E2700" s="6">
        <v>0.17</v>
      </c>
      <c r="F2700" t="str">
        <f t="shared" ref="F2700:F2729" si="1147">UPPER(TEXT(G2700,"ddd"))</f>
        <v>THU</v>
      </c>
      <c r="G2700" s="3">
        <f t="shared" ref="G2700:G2728" si="1148">DATE(2020,7,2)</f>
        <v>44014</v>
      </c>
      <c r="H2700" s="2">
        <f t="shared" ref="H2700:H2729" ca="1" si="1149">TODAY()-G2700</f>
        <v>239</v>
      </c>
      <c r="I2700" t="str">
        <f t="shared" ref="I2700:I2729" si="1150">TRIM(LEFT(B2700,FIND(" ",B2700,1)))</f>
        <v>UST2Y</v>
      </c>
      <c r="J2700">
        <f t="shared" ref="J2700:J2729" si="1151">C2700</f>
        <v>0.2</v>
      </c>
      <c r="K2700">
        <f t="shared" ref="K2700:K2729" si="1152">D2700</f>
        <v>0.14000000000000001</v>
      </c>
      <c r="L2700">
        <f t="shared" ref="L2700:L2729" si="1153">AVERAGE(J2700:K2700)</f>
        <v>0.17</v>
      </c>
      <c r="M2700">
        <f t="shared" ref="M2700:M2729" si="1154">_xlfn.STDEV.P(J2700:K2700)</f>
        <v>3.0000000000000023E-2</v>
      </c>
      <c r="N2700">
        <f t="shared" si="1144"/>
        <v>0.06</v>
      </c>
      <c r="O2700">
        <f t="shared" ref="O2700:O2729" si="1155">E2700</f>
        <v>0.17</v>
      </c>
      <c r="P2700">
        <f t="shared" ref="P2700:P2729" si="1156">(O2700-L2700)/M2700</f>
        <v>0</v>
      </c>
      <c r="Q2700" t="str">
        <f t="shared" si="1145"/>
        <v>17.65% | 17.65%</v>
      </c>
      <c r="R2700" t="str">
        <f t="shared" ref="R2700:R2729" si="1157">MID(B2700,FIND("(",B2700,1)+1,FIND(")",B2700,1)-FIND("(",B2700,1)-1)</f>
        <v>BEARISH</v>
      </c>
      <c r="S2700">
        <f t="shared" si="1146"/>
        <v>-1</v>
      </c>
    </row>
    <row r="2701" spans="1:19" hidden="1" x14ac:dyDescent="0.25">
      <c r="A2701" s="5" t="str">
        <f t="shared" si="1143"/>
        <v>44014SPX</v>
      </c>
      <c r="B2701" s="6" t="s">
        <v>6</v>
      </c>
      <c r="C2701" s="6">
        <v>3002</v>
      </c>
      <c r="D2701" s="6">
        <v>3144</v>
      </c>
      <c r="E2701" s="6">
        <v>3115</v>
      </c>
      <c r="F2701" t="str">
        <f t="shared" si="1147"/>
        <v>THU</v>
      </c>
      <c r="G2701" s="3">
        <f t="shared" si="1148"/>
        <v>44014</v>
      </c>
      <c r="H2701" s="2">
        <f t="shared" ca="1" si="1149"/>
        <v>239</v>
      </c>
      <c r="I2701" t="str">
        <f t="shared" si="1150"/>
        <v>SPX</v>
      </c>
      <c r="J2701">
        <f t="shared" si="1151"/>
        <v>3002</v>
      </c>
      <c r="K2701">
        <f t="shared" si="1152"/>
        <v>3144</v>
      </c>
      <c r="L2701">
        <f t="shared" si="1153"/>
        <v>3073</v>
      </c>
      <c r="M2701">
        <f t="shared" si="1154"/>
        <v>71</v>
      </c>
      <c r="N2701">
        <f t="shared" si="1144"/>
        <v>142</v>
      </c>
      <c r="O2701">
        <f t="shared" si="1155"/>
        <v>3115</v>
      </c>
      <c r="P2701">
        <f t="shared" si="1156"/>
        <v>0.59154929577464788</v>
      </c>
      <c r="Q2701" t="str">
        <f t="shared" si="1145"/>
        <v>3.63% | 0.93%</v>
      </c>
      <c r="R2701" t="str">
        <f t="shared" si="1157"/>
        <v>BEARISH</v>
      </c>
      <c r="S2701">
        <f t="shared" si="1146"/>
        <v>-1</v>
      </c>
    </row>
    <row r="2702" spans="1:19" hidden="1" x14ac:dyDescent="0.25">
      <c r="A2702" s="5" t="str">
        <f t="shared" si="1143"/>
        <v>44014RUT</v>
      </c>
      <c r="B2702" s="6" t="s">
        <v>7</v>
      </c>
      <c r="C2702" s="6">
        <v>1376</v>
      </c>
      <c r="D2702" s="6">
        <v>1448</v>
      </c>
      <c r="E2702" s="6">
        <v>1427</v>
      </c>
      <c r="F2702" t="str">
        <f t="shared" si="1147"/>
        <v>THU</v>
      </c>
      <c r="G2702" s="3">
        <f t="shared" si="1148"/>
        <v>44014</v>
      </c>
      <c r="H2702" s="2">
        <f t="shared" ca="1" si="1149"/>
        <v>239</v>
      </c>
      <c r="I2702" t="str">
        <f t="shared" si="1150"/>
        <v>RUT</v>
      </c>
      <c r="J2702">
        <f t="shared" si="1151"/>
        <v>1376</v>
      </c>
      <c r="K2702">
        <f t="shared" si="1152"/>
        <v>1448</v>
      </c>
      <c r="L2702">
        <f t="shared" si="1153"/>
        <v>1412</v>
      </c>
      <c r="M2702">
        <f t="shared" si="1154"/>
        <v>36</v>
      </c>
      <c r="N2702">
        <f t="shared" si="1144"/>
        <v>72</v>
      </c>
      <c r="O2702">
        <f t="shared" si="1155"/>
        <v>1427</v>
      </c>
      <c r="P2702">
        <f t="shared" si="1156"/>
        <v>0.41666666666666669</v>
      </c>
      <c r="Q2702" t="str">
        <f t="shared" si="1145"/>
        <v>3.57% | 1.47%</v>
      </c>
      <c r="R2702" t="str">
        <f t="shared" si="1157"/>
        <v>BEARISH</v>
      </c>
      <c r="S2702">
        <f t="shared" si="1146"/>
        <v>-1</v>
      </c>
    </row>
    <row r="2703" spans="1:19" hidden="1" x14ac:dyDescent="0.25">
      <c r="A2703" s="5" t="str">
        <f t="shared" si="1143"/>
        <v>44014COMPQ</v>
      </c>
      <c r="B2703" s="6" t="s">
        <v>8</v>
      </c>
      <c r="C2703" s="6">
        <v>9734</v>
      </c>
      <c r="D2703" s="6">
        <v>10242</v>
      </c>
      <c r="E2703" s="6">
        <v>10154</v>
      </c>
      <c r="F2703" t="str">
        <f t="shared" si="1147"/>
        <v>THU</v>
      </c>
      <c r="G2703" s="3">
        <f t="shared" si="1148"/>
        <v>44014</v>
      </c>
      <c r="H2703" s="2">
        <f t="shared" ca="1" si="1149"/>
        <v>239</v>
      </c>
      <c r="I2703" t="str">
        <f t="shared" si="1150"/>
        <v>COMPQ</v>
      </c>
      <c r="J2703">
        <f t="shared" si="1151"/>
        <v>9734</v>
      </c>
      <c r="K2703">
        <f t="shared" si="1152"/>
        <v>10242</v>
      </c>
      <c r="L2703">
        <f t="shared" si="1153"/>
        <v>9988</v>
      </c>
      <c r="M2703">
        <f t="shared" si="1154"/>
        <v>254</v>
      </c>
      <c r="N2703">
        <f t="shared" si="1144"/>
        <v>508</v>
      </c>
      <c r="O2703">
        <f t="shared" si="1155"/>
        <v>10154</v>
      </c>
      <c r="P2703">
        <f t="shared" si="1156"/>
        <v>0.65354330708661412</v>
      </c>
      <c r="Q2703" t="str">
        <f t="shared" si="1145"/>
        <v>4.14% | 0.87%</v>
      </c>
      <c r="R2703" t="str">
        <f t="shared" si="1157"/>
        <v>BULLISH</v>
      </c>
      <c r="S2703">
        <f t="shared" si="1146"/>
        <v>1</v>
      </c>
    </row>
    <row r="2704" spans="1:19" hidden="1" x14ac:dyDescent="0.25">
      <c r="A2704" s="5" t="str">
        <f t="shared" si="1143"/>
        <v>44014XLK</v>
      </c>
      <c r="B2704" s="6" t="s">
        <v>10</v>
      </c>
      <c r="C2704" s="6">
        <v>100.33</v>
      </c>
      <c r="D2704" s="6">
        <v>105.79</v>
      </c>
      <c r="E2704" s="6">
        <v>104.66</v>
      </c>
      <c r="F2704" t="str">
        <f t="shared" si="1147"/>
        <v>THU</v>
      </c>
      <c r="G2704" s="3">
        <f t="shared" si="1148"/>
        <v>44014</v>
      </c>
      <c r="H2704" s="2">
        <f t="shared" ca="1" si="1149"/>
        <v>239</v>
      </c>
      <c r="I2704" t="str">
        <f t="shared" si="1150"/>
        <v>XLK</v>
      </c>
      <c r="J2704">
        <f t="shared" si="1151"/>
        <v>100.33</v>
      </c>
      <c r="K2704">
        <f t="shared" si="1152"/>
        <v>105.79</v>
      </c>
      <c r="L2704">
        <f t="shared" si="1153"/>
        <v>103.06</v>
      </c>
      <c r="M2704">
        <f t="shared" si="1154"/>
        <v>2.730000000000004</v>
      </c>
      <c r="N2704">
        <f t="shared" si="1144"/>
        <v>5.460000000000008</v>
      </c>
      <c r="O2704">
        <f t="shared" si="1155"/>
        <v>104.66</v>
      </c>
      <c r="P2704">
        <f t="shared" si="1156"/>
        <v>0.58608058608058311</v>
      </c>
      <c r="Q2704" t="str">
        <f t="shared" si="1145"/>
        <v>4.14% | 1.08%</v>
      </c>
      <c r="R2704" t="str">
        <f t="shared" si="1157"/>
        <v>BULLISH</v>
      </c>
      <c r="S2704">
        <f t="shared" si="1146"/>
        <v>1</v>
      </c>
    </row>
    <row r="2705" spans="1:19" hidden="1" x14ac:dyDescent="0.25">
      <c r="A2705" s="5" t="str">
        <f t="shared" si="1143"/>
        <v>44014XLRE</v>
      </c>
      <c r="B2705" s="6" t="s">
        <v>97</v>
      </c>
      <c r="C2705" s="6">
        <v>33.06</v>
      </c>
      <c r="D2705" s="6">
        <v>36.03</v>
      </c>
      <c r="E2705" s="6">
        <v>35.76</v>
      </c>
      <c r="F2705" t="str">
        <f t="shared" si="1147"/>
        <v>THU</v>
      </c>
      <c r="G2705" s="3">
        <f t="shared" si="1148"/>
        <v>44014</v>
      </c>
      <c r="H2705" s="2">
        <f t="shared" ca="1" si="1149"/>
        <v>239</v>
      </c>
      <c r="I2705" t="str">
        <f t="shared" si="1150"/>
        <v>XLRE</v>
      </c>
      <c r="J2705">
        <f t="shared" si="1151"/>
        <v>33.06</v>
      </c>
      <c r="K2705">
        <f t="shared" si="1152"/>
        <v>36.03</v>
      </c>
      <c r="L2705">
        <f t="shared" si="1153"/>
        <v>34.545000000000002</v>
      </c>
      <c r="M2705">
        <f t="shared" si="1154"/>
        <v>1.4849999999999994</v>
      </c>
      <c r="N2705">
        <f t="shared" si="1144"/>
        <v>2.9699999999999989</v>
      </c>
      <c r="O2705">
        <f t="shared" si="1155"/>
        <v>35.76</v>
      </c>
      <c r="P2705">
        <f t="shared" si="1156"/>
        <v>0.81818181818181601</v>
      </c>
      <c r="Q2705" t="str">
        <f t="shared" si="1145"/>
        <v>7.55% | 0.76%</v>
      </c>
      <c r="R2705" t="str">
        <f t="shared" si="1157"/>
        <v>BULLISH</v>
      </c>
      <c r="S2705">
        <f t="shared" si="1146"/>
        <v>1</v>
      </c>
    </row>
    <row r="2706" spans="1:19" hidden="1" x14ac:dyDescent="0.25">
      <c r="A2706" s="5" t="str">
        <f t="shared" si="1143"/>
        <v>44014XLU</v>
      </c>
      <c r="B2706" s="6" t="s">
        <v>80</v>
      </c>
      <c r="C2706" s="6">
        <v>54.98</v>
      </c>
      <c r="D2706" s="6">
        <v>58.41</v>
      </c>
      <c r="E2706" s="6">
        <v>57.75</v>
      </c>
      <c r="F2706" t="str">
        <f t="shared" si="1147"/>
        <v>THU</v>
      </c>
      <c r="G2706" s="3">
        <f t="shared" si="1148"/>
        <v>44014</v>
      </c>
      <c r="H2706" s="2">
        <f t="shared" ca="1" si="1149"/>
        <v>239</v>
      </c>
      <c r="I2706" t="str">
        <f t="shared" si="1150"/>
        <v>XLU</v>
      </c>
      <c r="J2706">
        <f t="shared" si="1151"/>
        <v>54.98</v>
      </c>
      <c r="K2706">
        <f t="shared" si="1152"/>
        <v>58.41</v>
      </c>
      <c r="L2706">
        <f t="shared" si="1153"/>
        <v>56.694999999999993</v>
      </c>
      <c r="M2706">
        <f t="shared" si="1154"/>
        <v>1.7149999999999999</v>
      </c>
      <c r="N2706">
        <f t="shared" si="1144"/>
        <v>3.4299999999999997</v>
      </c>
      <c r="O2706">
        <f t="shared" si="1155"/>
        <v>57.75</v>
      </c>
      <c r="P2706">
        <f t="shared" si="1156"/>
        <v>0.6151603498542314</v>
      </c>
      <c r="Q2706" t="str">
        <f t="shared" si="1145"/>
        <v>4.8% | 1.14%</v>
      </c>
      <c r="R2706" t="str">
        <f t="shared" si="1157"/>
        <v>NEUTRAL</v>
      </c>
      <c r="S2706">
        <f t="shared" si="1146"/>
        <v>0</v>
      </c>
    </row>
    <row r="2707" spans="1:19" hidden="1" x14ac:dyDescent="0.25">
      <c r="A2707" s="5" t="str">
        <f t="shared" si="1143"/>
        <v>44014XLF</v>
      </c>
      <c r="B2707" s="6" t="s">
        <v>12</v>
      </c>
      <c r="C2707" s="6">
        <v>22.08</v>
      </c>
      <c r="D2707" s="6">
        <v>23.67</v>
      </c>
      <c r="E2707" s="6">
        <v>22.94</v>
      </c>
      <c r="F2707" t="str">
        <f t="shared" si="1147"/>
        <v>THU</v>
      </c>
      <c r="G2707" s="3">
        <f t="shared" si="1148"/>
        <v>44014</v>
      </c>
      <c r="H2707" s="2">
        <f t="shared" ca="1" si="1149"/>
        <v>239</v>
      </c>
      <c r="I2707" t="str">
        <f t="shared" si="1150"/>
        <v>XLF</v>
      </c>
      <c r="J2707">
        <f t="shared" si="1151"/>
        <v>22.08</v>
      </c>
      <c r="K2707">
        <f t="shared" si="1152"/>
        <v>23.67</v>
      </c>
      <c r="L2707">
        <f t="shared" si="1153"/>
        <v>22.875</v>
      </c>
      <c r="M2707">
        <f t="shared" si="1154"/>
        <v>0.79500000000000171</v>
      </c>
      <c r="N2707">
        <f t="shared" si="1144"/>
        <v>1.5900000000000034</v>
      </c>
      <c r="O2707">
        <f t="shared" si="1155"/>
        <v>22.94</v>
      </c>
      <c r="P2707">
        <f t="shared" si="1156"/>
        <v>8.1761006289309615E-2</v>
      </c>
      <c r="Q2707" t="str">
        <f t="shared" si="1145"/>
        <v>3.75% | 3.18%</v>
      </c>
      <c r="R2707" t="str">
        <f t="shared" si="1157"/>
        <v>BEARISH</v>
      </c>
      <c r="S2707">
        <f t="shared" si="1146"/>
        <v>-1</v>
      </c>
    </row>
    <row r="2708" spans="1:19" hidden="1" x14ac:dyDescent="0.25">
      <c r="A2708" s="5" t="str">
        <f t="shared" si="1143"/>
        <v>44014SSEC</v>
      </c>
      <c r="B2708" s="6" t="s">
        <v>104</v>
      </c>
      <c r="C2708" s="6">
        <v>2935</v>
      </c>
      <c r="D2708" s="6">
        <v>3114</v>
      </c>
      <c r="E2708" s="6">
        <v>3090</v>
      </c>
      <c r="F2708" t="str">
        <f t="shared" si="1147"/>
        <v>THU</v>
      </c>
      <c r="G2708" s="3">
        <f t="shared" si="1148"/>
        <v>44014</v>
      </c>
      <c r="H2708" s="2">
        <f t="shared" ca="1" si="1149"/>
        <v>239</v>
      </c>
      <c r="I2708" t="str">
        <f t="shared" si="1150"/>
        <v>SSEC</v>
      </c>
      <c r="J2708">
        <f t="shared" si="1151"/>
        <v>2935</v>
      </c>
      <c r="K2708">
        <f t="shared" si="1152"/>
        <v>3114</v>
      </c>
      <c r="L2708">
        <f t="shared" si="1153"/>
        <v>3024.5</v>
      </c>
      <c r="M2708">
        <f t="shared" si="1154"/>
        <v>89.5</v>
      </c>
      <c r="N2708">
        <f t="shared" si="1144"/>
        <v>179</v>
      </c>
      <c r="O2708">
        <f t="shared" si="1155"/>
        <v>3090</v>
      </c>
      <c r="P2708">
        <f t="shared" si="1156"/>
        <v>0.73184357541899436</v>
      </c>
      <c r="Q2708" t="str">
        <f t="shared" si="1145"/>
        <v>5.02% | 0.78%</v>
      </c>
      <c r="R2708" t="str">
        <f t="shared" si="1157"/>
        <v>BULLISH</v>
      </c>
      <c r="S2708">
        <f t="shared" si="1146"/>
        <v>1</v>
      </c>
    </row>
    <row r="2709" spans="1:19" hidden="1" x14ac:dyDescent="0.25">
      <c r="A2709" s="5" t="str">
        <f t="shared" si="1143"/>
        <v>44014NIKK</v>
      </c>
      <c r="B2709" s="6" t="s">
        <v>15</v>
      </c>
      <c r="C2709" s="6">
        <v>21879</v>
      </c>
      <c r="D2709" s="6">
        <v>22391</v>
      </c>
      <c r="E2709" s="6">
        <v>22145</v>
      </c>
      <c r="F2709" t="str">
        <f t="shared" si="1147"/>
        <v>THU</v>
      </c>
      <c r="G2709" s="3">
        <f t="shared" si="1148"/>
        <v>44014</v>
      </c>
      <c r="H2709" s="2">
        <f t="shared" ca="1" si="1149"/>
        <v>239</v>
      </c>
      <c r="I2709" t="str">
        <f t="shared" si="1150"/>
        <v>NIKK</v>
      </c>
      <c r="J2709">
        <f t="shared" si="1151"/>
        <v>21879</v>
      </c>
      <c r="K2709">
        <f t="shared" si="1152"/>
        <v>22391</v>
      </c>
      <c r="L2709">
        <f t="shared" si="1153"/>
        <v>22135</v>
      </c>
      <c r="M2709">
        <f t="shared" si="1154"/>
        <v>256</v>
      </c>
      <c r="N2709">
        <f t="shared" si="1144"/>
        <v>512</v>
      </c>
      <c r="O2709">
        <f t="shared" si="1155"/>
        <v>22145</v>
      </c>
      <c r="P2709">
        <f t="shared" si="1156"/>
        <v>3.90625E-2</v>
      </c>
      <c r="Q2709" t="str">
        <f t="shared" si="1145"/>
        <v>1.2% | 1.11%</v>
      </c>
      <c r="R2709" t="str">
        <f t="shared" si="1157"/>
        <v>BEARISH</v>
      </c>
      <c r="S2709">
        <f t="shared" si="1146"/>
        <v>-1</v>
      </c>
    </row>
    <row r="2710" spans="1:19" hidden="1" x14ac:dyDescent="0.25">
      <c r="A2710" s="5" t="str">
        <f t="shared" si="1143"/>
        <v>44014DAX</v>
      </c>
      <c r="B2710" s="6" t="s">
        <v>16</v>
      </c>
      <c r="C2710" s="6">
        <v>11908</v>
      </c>
      <c r="D2710" s="6">
        <v>12592</v>
      </c>
      <c r="E2710" s="6">
        <v>12250</v>
      </c>
      <c r="F2710" t="str">
        <f t="shared" si="1147"/>
        <v>THU</v>
      </c>
      <c r="G2710" s="3">
        <f t="shared" si="1148"/>
        <v>44014</v>
      </c>
      <c r="H2710" s="2">
        <f t="shared" ca="1" si="1149"/>
        <v>239</v>
      </c>
      <c r="I2710" t="str">
        <f t="shared" si="1150"/>
        <v>DAX</v>
      </c>
      <c r="J2710">
        <f t="shared" si="1151"/>
        <v>11908</v>
      </c>
      <c r="K2710">
        <f t="shared" si="1152"/>
        <v>12592</v>
      </c>
      <c r="L2710">
        <f t="shared" si="1153"/>
        <v>12250</v>
      </c>
      <c r="M2710">
        <f t="shared" si="1154"/>
        <v>342</v>
      </c>
      <c r="N2710">
        <f t="shared" si="1144"/>
        <v>684</v>
      </c>
      <c r="O2710">
        <f t="shared" si="1155"/>
        <v>12250</v>
      </c>
      <c r="P2710">
        <f t="shared" si="1156"/>
        <v>0</v>
      </c>
      <c r="Q2710" t="str">
        <f t="shared" si="1145"/>
        <v>2.79% | 2.79%</v>
      </c>
      <c r="R2710" t="str">
        <f t="shared" si="1157"/>
        <v>BEARISH</v>
      </c>
      <c r="S2710">
        <f t="shared" si="1146"/>
        <v>-1</v>
      </c>
    </row>
    <row r="2711" spans="1:19" hidden="1" x14ac:dyDescent="0.25">
      <c r="A2711" s="5" t="str">
        <f t="shared" si="1143"/>
        <v>44014VIX</v>
      </c>
      <c r="B2711" s="6" t="s">
        <v>17</v>
      </c>
      <c r="C2711" s="6">
        <v>28.09</v>
      </c>
      <c r="D2711" s="6">
        <v>37.130000000000003</v>
      </c>
      <c r="E2711" s="6">
        <v>28.62</v>
      </c>
      <c r="F2711" t="str">
        <f t="shared" si="1147"/>
        <v>THU</v>
      </c>
      <c r="G2711" s="3">
        <f t="shared" si="1148"/>
        <v>44014</v>
      </c>
      <c r="H2711" s="2">
        <f t="shared" ca="1" si="1149"/>
        <v>239</v>
      </c>
      <c r="I2711" t="str">
        <f t="shared" si="1150"/>
        <v>VIX</v>
      </c>
      <c r="J2711">
        <f t="shared" si="1151"/>
        <v>28.09</v>
      </c>
      <c r="K2711">
        <f t="shared" si="1152"/>
        <v>37.130000000000003</v>
      </c>
      <c r="L2711">
        <f t="shared" si="1153"/>
        <v>32.61</v>
      </c>
      <c r="M2711">
        <f t="shared" si="1154"/>
        <v>4.5200000000000209</v>
      </c>
      <c r="N2711">
        <f t="shared" si="1144"/>
        <v>9.0400000000000027</v>
      </c>
      <c r="O2711">
        <f t="shared" si="1155"/>
        <v>28.62</v>
      </c>
      <c r="P2711">
        <f t="shared" si="1156"/>
        <v>-0.88274336283185395</v>
      </c>
      <c r="Q2711" t="str">
        <f t="shared" si="1145"/>
        <v>1.85% | 29.73%</v>
      </c>
      <c r="R2711" t="str">
        <f t="shared" si="1157"/>
        <v>BULLISH</v>
      </c>
      <c r="S2711">
        <f t="shared" si="1146"/>
        <v>1</v>
      </c>
    </row>
    <row r="2712" spans="1:19" hidden="1" x14ac:dyDescent="0.25">
      <c r="A2712" s="5" t="str">
        <f t="shared" si="1143"/>
        <v>44014USD</v>
      </c>
      <c r="B2712" s="6" t="s">
        <v>94</v>
      </c>
      <c r="C2712" s="6">
        <v>96.6</v>
      </c>
      <c r="D2712" s="6">
        <v>97.85</v>
      </c>
      <c r="E2712" s="6">
        <v>97.15</v>
      </c>
      <c r="F2712" t="str">
        <f t="shared" si="1147"/>
        <v>THU</v>
      </c>
      <c r="G2712" s="3">
        <f t="shared" si="1148"/>
        <v>44014</v>
      </c>
      <c r="H2712" s="2">
        <f t="shared" ca="1" si="1149"/>
        <v>239</v>
      </c>
      <c r="I2712" t="str">
        <f t="shared" si="1150"/>
        <v>USD</v>
      </c>
      <c r="J2712">
        <f t="shared" si="1151"/>
        <v>96.6</v>
      </c>
      <c r="K2712">
        <f t="shared" si="1152"/>
        <v>97.85</v>
      </c>
      <c r="L2712">
        <f t="shared" si="1153"/>
        <v>97.224999999999994</v>
      </c>
      <c r="M2712">
        <f t="shared" si="1154"/>
        <v>0.625</v>
      </c>
      <c r="N2712">
        <f t="shared" si="1144"/>
        <v>1.25</v>
      </c>
      <c r="O2712">
        <f t="shared" si="1155"/>
        <v>97.15</v>
      </c>
      <c r="P2712">
        <f t="shared" si="1156"/>
        <v>-0.11999999999998182</v>
      </c>
      <c r="Q2712" t="str">
        <f t="shared" si="1145"/>
        <v>0.57% | 0.72%</v>
      </c>
      <c r="R2712" t="str">
        <f t="shared" si="1157"/>
        <v>BEARISH</v>
      </c>
      <c r="S2712">
        <f t="shared" si="1146"/>
        <v>-1</v>
      </c>
    </row>
    <row r="2713" spans="1:19" hidden="1" x14ac:dyDescent="0.25">
      <c r="A2713" s="5" t="str">
        <f t="shared" si="1143"/>
        <v>44014EUR/USD</v>
      </c>
      <c r="B2713" s="6" t="s">
        <v>99</v>
      </c>
      <c r="C2713" s="6">
        <v>1.1100000000000001</v>
      </c>
      <c r="D2713" s="6">
        <v>1.1299999999999999</v>
      </c>
      <c r="E2713" s="6">
        <v>1.1200000000000001</v>
      </c>
      <c r="F2713" t="str">
        <f t="shared" si="1147"/>
        <v>THU</v>
      </c>
      <c r="G2713" s="3">
        <f t="shared" si="1148"/>
        <v>44014</v>
      </c>
      <c r="H2713" s="2">
        <f t="shared" ca="1" si="1149"/>
        <v>239</v>
      </c>
      <c r="I2713" t="str">
        <f t="shared" si="1150"/>
        <v>EUR/USD</v>
      </c>
      <c r="J2713">
        <f t="shared" si="1151"/>
        <v>1.1100000000000001</v>
      </c>
      <c r="K2713">
        <f t="shared" si="1152"/>
        <v>1.1299999999999999</v>
      </c>
      <c r="L2713">
        <f t="shared" si="1153"/>
        <v>1.1200000000000001</v>
      </c>
      <c r="M2713">
        <f t="shared" si="1154"/>
        <v>9.9999999999998979E-3</v>
      </c>
      <c r="N2713">
        <f t="shared" si="1144"/>
        <v>1.9999999999999796E-2</v>
      </c>
      <c r="O2713">
        <f t="shared" si="1155"/>
        <v>1.1200000000000001</v>
      </c>
      <c r="P2713">
        <f t="shared" si="1156"/>
        <v>0</v>
      </c>
      <c r="Q2713" t="str">
        <f t="shared" si="1145"/>
        <v>0.89% | 0.89%</v>
      </c>
      <c r="R2713" t="str">
        <f t="shared" si="1157"/>
        <v>BULLISH</v>
      </c>
      <c r="S2713">
        <f t="shared" si="1146"/>
        <v>1</v>
      </c>
    </row>
    <row r="2714" spans="1:19" hidden="1" x14ac:dyDescent="0.25">
      <c r="A2714" s="5" t="str">
        <f t="shared" si="1143"/>
        <v>44014USD/JPY</v>
      </c>
      <c r="B2714" s="6" t="s">
        <v>20</v>
      </c>
      <c r="C2714" s="6">
        <v>106.31</v>
      </c>
      <c r="D2714" s="6">
        <v>108.1</v>
      </c>
      <c r="E2714" s="6">
        <v>107.46</v>
      </c>
      <c r="F2714" t="str">
        <f t="shared" si="1147"/>
        <v>THU</v>
      </c>
      <c r="G2714" s="3">
        <f t="shared" si="1148"/>
        <v>44014</v>
      </c>
      <c r="H2714" s="2">
        <f t="shared" ca="1" si="1149"/>
        <v>239</v>
      </c>
      <c r="I2714" t="str">
        <f t="shared" si="1150"/>
        <v>USD/JPY</v>
      </c>
      <c r="J2714">
        <f t="shared" si="1151"/>
        <v>106.31</v>
      </c>
      <c r="K2714">
        <f t="shared" si="1152"/>
        <v>108.1</v>
      </c>
      <c r="L2714">
        <f t="shared" si="1153"/>
        <v>107.205</v>
      </c>
      <c r="M2714">
        <f t="shared" si="1154"/>
        <v>0.89499999999999602</v>
      </c>
      <c r="N2714">
        <f t="shared" si="1144"/>
        <v>1.789999999999992</v>
      </c>
      <c r="O2714">
        <f t="shared" si="1155"/>
        <v>107.46</v>
      </c>
      <c r="P2714">
        <f t="shared" si="1156"/>
        <v>0.28491620111731464</v>
      </c>
      <c r="Q2714" t="str">
        <f t="shared" si="1145"/>
        <v>1.07% | 0.6%</v>
      </c>
      <c r="R2714" t="str">
        <f t="shared" si="1157"/>
        <v>BEARISH</v>
      </c>
      <c r="S2714">
        <f t="shared" si="1146"/>
        <v>-1</v>
      </c>
    </row>
    <row r="2715" spans="1:19" hidden="1" x14ac:dyDescent="0.25">
      <c r="A2715" s="5" t="str">
        <f t="shared" si="1143"/>
        <v>44014GBP/USD</v>
      </c>
      <c r="B2715" s="6" t="s">
        <v>79</v>
      </c>
      <c r="C2715" s="6">
        <v>1.22</v>
      </c>
      <c r="D2715" s="6">
        <v>1.25</v>
      </c>
      <c r="E2715" s="6">
        <v>1.24</v>
      </c>
      <c r="F2715" t="str">
        <f t="shared" si="1147"/>
        <v>THU</v>
      </c>
      <c r="G2715" s="3">
        <f t="shared" si="1148"/>
        <v>44014</v>
      </c>
      <c r="H2715" s="2">
        <f t="shared" ca="1" si="1149"/>
        <v>239</v>
      </c>
      <c r="I2715" t="str">
        <f t="shared" si="1150"/>
        <v>GBP/USD</v>
      </c>
      <c r="J2715">
        <f t="shared" si="1151"/>
        <v>1.22</v>
      </c>
      <c r="K2715">
        <f t="shared" si="1152"/>
        <v>1.25</v>
      </c>
      <c r="L2715">
        <f t="shared" si="1153"/>
        <v>1.2349999999999999</v>
      </c>
      <c r="M2715">
        <f t="shared" si="1154"/>
        <v>1.5000000000000013E-2</v>
      </c>
      <c r="N2715">
        <f t="shared" si="1144"/>
        <v>3.0000000000000027E-2</v>
      </c>
      <c r="O2715">
        <f t="shared" si="1155"/>
        <v>1.24</v>
      </c>
      <c r="P2715">
        <f t="shared" si="1156"/>
        <v>0.33333333333334075</v>
      </c>
      <c r="Q2715" t="str">
        <f t="shared" si="1145"/>
        <v>1.61% | 0.81%</v>
      </c>
      <c r="R2715" t="str">
        <f t="shared" si="1157"/>
        <v>NEUTRAL</v>
      </c>
      <c r="S2715">
        <f t="shared" si="1146"/>
        <v>0</v>
      </c>
    </row>
    <row r="2716" spans="1:19" hidden="1" x14ac:dyDescent="0.25">
      <c r="A2716" s="5" t="str">
        <f t="shared" si="1143"/>
        <v>44014USD/CHF</v>
      </c>
      <c r="B2716" s="6" t="s">
        <v>76</v>
      </c>
      <c r="C2716" s="6">
        <v>0.94</v>
      </c>
      <c r="D2716" s="6">
        <v>0.96</v>
      </c>
      <c r="E2716" s="6">
        <v>0.94</v>
      </c>
      <c r="F2716" t="str">
        <f t="shared" si="1147"/>
        <v>THU</v>
      </c>
      <c r="G2716" s="3">
        <f t="shared" si="1148"/>
        <v>44014</v>
      </c>
      <c r="H2716" s="2">
        <f t="shared" ca="1" si="1149"/>
        <v>239</v>
      </c>
      <c r="I2716" t="str">
        <f t="shared" si="1150"/>
        <v>USD/CHF</v>
      </c>
      <c r="J2716">
        <f t="shared" si="1151"/>
        <v>0.94</v>
      </c>
      <c r="K2716">
        <f t="shared" si="1152"/>
        <v>0.96</v>
      </c>
      <c r="L2716">
        <f t="shared" si="1153"/>
        <v>0.95</v>
      </c>
      <c r="M2716">
        <f t="shared" si="1154"/>
        <v>1.0000000000000009E-2</v>
      </c>
      <c r="N2716">
        <f t="shared" si="1144"/>
        <v>2.0000000000000018E-2</v>
      </c>
      <c r="O2716">
        <f t="shared" si="1155"/>
        <v>0.94</v>
      </c>
      <c r="P2716">
        <f t="shared" si="1156"/>
        <v>-1</v>
      </c>
      <c r="Q2716" t="str">
        <f t="shared" si="1145"/>
        <v>0% | 2.13%</v>
      </c>
      <c r="R2716" t="str">
        <f t="shared" si="1157"/>
        <v>BEARISH</v>
      </c>
      <c r="S2716">
        <f t="shared" si="1146"/>
        <v>-1</v>
      </c>
    </row>
    <row r="2717" spans="1:19" hidden="1" x14ac:dyDescent="0.25">
      <c r="A2717" s="5" t="str">
        <f t="shared" si="1143"/>
        <v>44014WTIC</v>
      </c>
      <c r="B2717" s="6" t="s">
        <v>158</v>
      </c>
      <c r="C2717" s="6">
        <v>36.92</v>
      </c>
      <c r="D2717" s="6">
        <v>41.22</v>
      </c>
      <c r="E2717" s="6">
        <v>39.82</v>
      </c>
      <c r="F2717" t="str">
        <f t="shared" si="1147"/>
        <v>THU</v>
      </c>
      <c r="G2717" s="3">
        <f t="shared" si="1148"/>
        <v>44014</v>
      </c>
      <c r="H2717" s="2">
        <f t="shared" ca="1" si="1149"/>
        <v>239</v>
      </c>
      <c r="I2717" t="str">
        <f t="shared" si="1150"/>
        <v>WTIC</v>
      </c>
      <c r="J2717">
        <f t="shared" si="1151"/>
        <v>36.92</v>
      </c>
      <c r="K2717">
        <f t="shared" si="1152"/>
        <v>41.22</v>
      </c>
      <c r="L2717">
        <f t="shared" si="1153"/>
        <v>39.07</v>
      </c>
      <c r="M2717">
        <f t="shared" si="1154"/>
        <v>2.1499999999999986</v>
      </c>
      <c r="N2717">
        <f t="shared" si="1144"/>
        <v>4.2999999999999972</v>
      </c>
      <c r="O2717">
        <f t="shared" si="1155"/>
        <v>39.82</v>
      </c>
      <c r="P2717">
        <f t="shared" si="1156"/>
        <v>0.34883720930232581</v>
      </c>
      <c r="Q2717" t="str">
        <f t="shared" si="1145"/>
        <v>7.28% | 3.52%</v>
      </c>
      <c r="R2717" t="str">
        <f t="shared" si="1157"/>
        <v>BULLISH</v>
      </c>
      <c r="S2717">
        <f t="shared" si="1146"/>
        <v>1</v>
      </c>
    </row>
    <row r="2718" spans="1:19" hidden="1" x14ac:dyDescent="0.25">
      <c r="A2718" s="5" t="str">
        <f t="shared" si="1143"/>
        <v>44014NATGAS</v>
      </c>
      <c r="B2718" s="6" t="s">
        <v>24</v>
      </c>
      <c r="C2718" s="6">
        <v>1.51</v>
      </c>
      <c r="D2718" s="6">
        <v>1.82</v>
      </c>
      <c r="E2718" s="6">
        <v>1.67</v>
      </c>
      <c r="F2718" t="str">
        <f t="shared" si="1147"/>
        <v>THU</v>
      </c>
      <c r="G2718" s="3">
        <f t="shared" si="1148"/>
        <v>44014</v>
      </c>
      <c r="H2718" s="2">
        <f t="shared" ca="1" si="1149"/>
        <v>239</v>
      </c>
      <c r="I2718" t="str">
        <f t="shared" si="1150"/>
        <v>NATGAS</v>
      </c>
      <c r="J2718">
        <f t="shared" si="1151"/>
        <v>1.51</v>
      </c>
      <c r="K2718">
        <f t="shared" si="1152"/>
        <v>1.82</v>
      </c>
      <c r="L2718">
        <f t="shared" si="1153"/>
        <v>1.665</v>
      </c>
      <c r="M2718">
        <f t="shared" si="1154"/>
        <v>0.15500000000000003</v>
      </c>
      <c r="N2718">
        <f t="shared" si="1144"/>
        <v>0.31000000000000005</v>
      </c>
      <c r="O2718">
        <f t="shared" si="1155"/>
        <v>1.67</v>
      </c>
      <c r="P2718">
        <f t="shared" si="1156"/>
        <v>3.2258064516128337E-2</v>
      </c>
      <c r="Q2718" t="str">
        <f t="shared" si="1145"/>
        <v>9.58% | 8.98%</v>
      </c>
      <c r="R2718" t="str">
        <f t="shared" si="1157"/>
        <v>BEARISH</v>
      </c>
      <c r="S2718">
        <f t="shared" si="1146"/>
        <v>-1</v>
      </c>
    </row>
    <row r="2719" spans="1:19" hidden="1" x14ac:dyDescent="0.25">
      <c r="A2719" s="5" t="str">
        <f t="shared" si="1143"/>
        <v>44014GOLD</v>
      </c>
      <c r="B2719" s="6" t="s">
        <v>25</v>
      </c>
      <c r="C2719" s="6">
        <v>1750</v>
      </c>
      <c r="D2719" s="6">
        <v>1804</v>
      </c>
      <c r="E2719" s="6">
        <v>1779</v>
      </c>
      <c r="F2719" t="str">
        <f t="shared" si="1147"/>
        <v>THU</v>
      </c>
      <c r="G2719" s="3">
        <f t="shared" si="1148"/>
        <v>44014</v>
      </c>
      <c r="H2719" s="2">
        <f t="shared" ca="1" si="1149"/>
        <v>239</v>
      </c>
      <c r="I2719" t="str">
        <f t="shared" si="1150"/>
        <v>GOLD</v>
      </c>
      <c r="J2719">
        <f t="shared" si="1151"/>
        <v>1750</v>
      </c>
      <c r="K2719">
        <f t="shared" si="1152"/>
        <v>1804</v>
      </c>
      <c r="L2719">
        <f t="shared" si="1153"/>
        <v>1777</v>
      </c>
      <c r="M2719">
        <f t="shared" si="1154"/>
        <v>27</v>
      </c>
      <c r="N2719">
        <f t="shared" si="1144"/>
        <v>54</v>
      </c>
      <c r="O2719">
        <f t="shared" si="1155"/>
        <v>1779</v>
      </c>
      <c r="P2719">
        <f t="shared" si="1156"/>
        <v>7.407407407407407E-2</v>
      </c>
      <c r="Q2719" t="str">
        <f t="shared" si="1145"/>
        <v>1.63% | 1.41%</v>
      </c>
      <c r="R2719" t="str">
        <f t="shared" si="1157"/>
        <v>BULLISH</v>
      </c>
      <c r="S2719">
        <f t="shared" si="1146"/>
        <v>1</v>
      </c>
    </row>
    <row r="2720" spans="1:19" hidden="1" x14ac:dyDescent="0.25">
      <c r="A2720" s="5" t="str">
        <f t="shared" si="1143"/>
        <v>44014COPPER</v>
      </c>
      <c r="B2720" s="6" t="s">
        <v>100</v>
      </c>
      <c r="C2720" s="6">
        <v>2.61</v>
      </c>
      <c r="D2720" s="6">
        <v>2.76</v>
      </c>
      <c r="E2720" s="6">
        <v>2.73</v>
      </c>
      <c r="F2720" t="str">
        <f t="shared" si="1147"/>
        <v>THU</v>
      </c>
      <c r="G2720" s="3">
        <f t="shared" si="1148"/>
        <v>44014</v>
      </c>
      <c r="H2720" s="2">
        <f t="shared" ca="1" si="1149"/>
        <v>239</v>
      </c>
      <c r="I2720" t="str">
        <f t="shared" si="1150"/>
        <v>COPPER</v>
      </c>
      <c r="J2720">
        <f t="shared" si="1151"/>
        <v>2.61</v>
      </c>
      <c r="K2720">
        <f t="shared" si="1152"/>
        <v>2.76</v>
      </c>
      <c r="L2720">
        <f t="shared" si="1153"/>
        <v>2.6849999999999996</v>
      </c>
      <c r="M2720">
        <f t="shared" si="1154"/>
        <v>7.4999999999999956E-2</v>
      </c>
      <c r="N2720">
        <f t="shared" si="1144"/>
        <v>0.14999999999999991</v>
      </c>
      <c r="O2720">
        <f t="shared" si="1155"/>
        <v>2.73</v>
      </c>
      <c r="P2720">
        <f t="shared" si="1156"/>
        <v>0.60000000000000531</v>
      </c>
      <c r="Q2720" t="str">
        <f t="shared" si="1145"/>
        <v>4.4% | 1.1%</v>
      </c>
      <c r="R2720" t="str">
        <f t="shared" si="1157"/>
        <v>BULLISH</v>
      </c>
      <c r="S2720">
        <f t="shared" si="1146"/>
        <v>1</v>
      </c>
    </row>
    <row r="2721" spans="1:19" hidden="1" x14ac:dyDescent="0.25">
      <c r="A2721" s="5" t="str">
        <f t="shared" si="1143"/>
        <v>44014MSFT</v>
      </c>
      <c r="B2721" s="6" t="s">
        <v>27</v>
      </c>
      <c r="C2721" s="6">
        <v>194</v>
      </c>
      <c r="D2721" s="6">
        <v>206</v>
      </c>
      <c r="E2721" s="6">
        <v>204</v>
      </c>
      <c r="F2721" t="str">
        <f t="shared" si="1147"/>
        <v>THU</v>
      </c>
      <c r="G2721" s="3">
        <f t="shared" si="1148"/>
        <v>44014</v>
      </c>
      <c r="H2721" s="2">
        <f t="shared" ca="1" si="1149"/>
        <v>239</v>
      </c>
      <c r="I2721" t="str">
        <f t="shared" si="1150"/>
        <v>MSFT</v>
      </c>
      <c r="J2721">
        <f t="shared" si="1151"/>
        <v>194</v>
      </c>
      <c r="K2721">
        <f t="shared" si="1152"/>
        <v>206</v>
      </c>
      <c r="L2721">
        <f t="shared" si="1153"/>
        <v>200</v>
      </c>
      <c r="M2721">
        <f t="shared" si="1154"/>
        <v>6</v>
      </c>
      <c r="N2721">
        <f t="shared" si="1144"/>
        <v>12</v>
      </c>
      <c r="O2721">
        <f t="shared" si="1155"/>
        <v>204</v>
      </c>
      <c r="P2721">
        <f t="shared" si="1156"/>
        <v>0.66666666666666663</v>
      </c>
      <c r="Q2721" t="str">
        <f t="shared" si="1145"/>
        <v>4.9% | 0.98%</v>
      </c>
      <c r="R2721" t="str">
        <f t="shared" si="1157"/>
        <v>BULLISH</v>
      </c>
      <c r="S2721">
        <f t="shared" si="1146"/>
        <v>1</v>
      </c>
    </row>
    <row r="2722" spans="1:19" hidden="1" x14ac:dyDescent="0.25">
      <c r="A2722" s="5" t="str">
        <f t="shared" si="1143"/>
        <v>44014AAPL</v>
      </c>
      <c r="B2722" s="6" t="s">
        <v>28</v>
      </c>
      <c r="C2722" s="6">
        <v>348</v>
      </c>
      <c r="D2722" s="6">
        <v>372</v>
      </c>
      <c r="E2722" s="6">
        <v>364</v>
      </c>
      <c r="F2722" t="str">
        <f t="shared" si="1147"/>
        <v>THU</v>
      </c>
      <c r="G2722" s="3">
        <f t="shared" si="1148"/>
        <v>44014</v>
      </c>
      <c r="H2722" s="2">
        <f t="shared" ca="1" si="1149"/>
        <v>239</v>
      </c>
      <c r="I2722" t="str">
        <f t="shared" si="1150"/>
        <v>AAPL</v>
      </c>
      <c r="J2722">
        <f t="shared" si="1151"/>
        <v>348</v>
      </c>
      <c r="K2722">
        <f t="shared" si="1152"/>
        <v>372</v>
      </c>
      <c r="L2722">
        <f t="shared" si="1153"/>
        <v>360</v>
      </c>
      <c r="M2722">
        <f t="shared" si="1154"/>
        <v>12</v>
      </c>
      <c r="N2722">
        <f t="shared" si="1144"/>
        <v>24</v>
      </c>
      <c r="O2722">
        <f t="shared" si="1155"/>
        <v>364</v>
      </c>
      <c r="P2722">
        <f t="shared" si="1156"/>
        <v>0.33333333333333331</v>
      </c>
      <c r="Q2722" t="str">
        <f t="shared" si="1145"/>
        <v>4.4% | 2.2%</v>
      </c>
      <c r="R2722" t="str">
        <f t="shared" si="1157"/>
        <v>BULLISH</v>
      </c>
      <c r="S2722">
        <f t="shared" si="1146"/>
        <v>1</v>
      </c>
    </row>
    <row r="2723" spans="1:19" hidden="1" x14ac:dyDescent="0.25">
      <c r="A2723" s="5" t="str">
        <f t="shared" si="1143"/>
        <v>44014AMZN</v>
      </c>
      <c r="B2723" s="6" t="s">
        <v>29</v>
      </c>
      <c r="C2723" s="6">
        <v>2709</v>
      </c>
      <c r="D2723" s="6">
        <v>2896</v>
      </c>
      <c r="E2723" s="6">
        <v>2878</v>
      </c>
      <c r="F2723" t="str">
        <f t="shared" si="1147"/>
        <v>THU</v>
      </c>
      <c r="G2723" s="3">
        <f t="shared" si="1148"/>
        <v>44014</v>
      </c>
      <c r="H2723" s="2">
        <f t="shared" ca="1" si="1149"/>
        <v>239</v>
      </c>
      <c r="I2723" t="str">
        <f t="shared" si="1150"/>
        <v>AMZN</v>
      </c>
      <c r="J2723">
        <f t="shared" si="1151"/>
        <v>2709</v>
      </c>
      <c r="K2723">
        <f t="shared" si="1152"/>
        <v>2896</v>
      </c>
      <c r="L2723">
        <f t="shared" si="1153"/>
        <v>2802.5</v>
      </c>
      <c r="M2723">
        <f t="shared" si="1154"/>
        <v>93.5</v>
      </c>
      <c r="N2723">
        <f t="shared" si="1144"/>
        <v>187</v>
      </c>
      <c r="O2723">
        <f t="shared" si="1155"/>
        <v>2878</v>
      </c>
      <c r="P2723">
        <f t="shared" si="1156"/>
        <v>0.80748663101604279</v>
      </c>
      <c r="Q2723" t="str">
        <f t="shared" si="1145"/>
        <v>5.87% | 0.63%</v>
      </c>
      <c r="R2723" t="str">
        <f t="shared" si="1157"/>
        <v>BULLISH</v>
      </c>
      <c r="S2723">
        <f t="shared" si="1146"/>
        <v>1</v>
      </c>
    </row>
    <row r="2724" spans="1:19" hidden="1" x14ac:dyDescent="0.25">
      <c r="A2724" s="5" t="str">
        <f t="shared" si="1143"/>
        <v>44014FB</v>
      </c>
      <c r="B2724" s="6" t="s">
        <v>30</v>
      </c>
      <c r="C2724" s="6">
        <v>214</v>
      </c>
      <c r="D2724" s="6">
        <v>250</v>
      </c>
      <c r="E2724" s="6">
        <v>237</v>
      </c>
      <c r="F2724" t="str">
        <f t="shared" si="1147"/>
        <v>THU</v>
      </c>
      <c r="G2724" s="3">
        <f t="shared" si="1148"/>
        <v>44014</v>
      </c>
      <c r="H2724" s="2">
        <f t="shared" ca="1" si="1149"/>
        <v>239</v>
      </c>
      <c r="I2724" t="str">
        <f t="shared" si="1150"/>
        <v>FB</v>
      </c>
      <c r="J2724">
        <f t="shared" si="1151"/>
        <v>214</v>
      </c>
      <c r="K2724">
        <f t="shared" si="1152"/>
        <v>250</v>
      </c>
      <c r="L2724">
        <f t="shared" si="1153"/>
        <v>232</v>
      </c>
      <c r="M2724">
        <f t="shared" si="1154"/>
        <v>18</v>
      </c>
      <c r="N2724">
        <f t="shared" si="1144"/>
        <v>36</v>
      </c>
      <c r="O2724">
        <f t="shared" si="1155"/>
        <v>237</v>
      </c>
      <c r="P2724">
        <f t="shared" si="1156"/>
        <v>0.27777777777777779</v>
      </c>
      <c r="Q2724" t="str">
        <f t="shared" si="1145"/>
        <v>9.7% | 5.49%</v>
      </c>
      <c r="R2724" t="str">
        <f t="shared" si="1157"/>
        <v>BULLISH</v>
      </c>
      <c r="S2724">
        <f t="shared" si="1146"/>
        <v>1</v>
      </c>
    </row>
    <row r="2725" spans="1:19" hidden="1" x14ac:dyDescent="0.25">
      <c r="A2725" s="5" t="str">
        <f t="shared" si="1143"/>
        <v>44014GOOGL</v>
      </c>
      <c r="B2725" s="6" t="s">
        <v>31</v>
      </c>
      <c r="C2725" s="6">
        <v>1361</v>
      </c>
      <c r="D2725" s="6">
        <v>1485</v>
      </c>
      <c r="E2725" s="6">
        <v>1442</v>
      </c>
      <c r="F2725" t="str">
        <f t="shared" si="1147"/>
        <v>THU</v>
      </c>
      <c r="G2725" s="3">
        <f t="shared" si="1148"/>
        <v>44014</v>
      </c>
      <c r="H2725" s="2">
        <f t="shared" ca="1" si="1149"/>
        <v>239</v>
      </c>
      <c r="I2725" t="str">
        <f t="shared" si="1150"/>
        <v>GOOGL</v>
      </c>
      <c r="J2725">
        <f t="shared" si="1151"/>
        <v>1361</v>
      </c>
      <c r="K2725">
        <f t="shared" si="1152"/>
        <v>1485</v>
      </c>
      <c r="L2725">
        <f t="shared" si="1153"/>
        <v>1423</v>
      </c>
      <c r="M2725">
        <f t="shared" si="1154"/>
        <v>62</v>
      </c>
      <c r="N2725">
        <f t="shared" si="1144"/>
        <v>124</v>
      </c>
      <c r="O2725">
        <f t="shared" si="1155"/>
        <v>1442</v>
      </c>
      <c r="P2725">
        <f t="shared" si="1156"/>
        <v>0.30645161290322581</v>
      </c>
      <c r="Q2725" t="str">
        <f t="shared" si="1145"/>
        <v>5.62% | 2.98%</v>
      </c>
      <c r="R2725" t="str">
        <f t="shared" si="1157"/>
        <v>BULLISH</v>
      </c>
      <c r="S2725">
        <f t="shared" si="1146"/>
        <v>1</v>
      </c>
    </row>
    <row r="2726" spans="1:19" hidden="1" x14ac:dyDescent="0.25">
      <c r="A2726" s="5" t="str">
        <f t="shared" si="1143"/>
        <v>44014NFLX</v>
      </c>
      <c r="B2726" s="6" t="s">
        <v>32</v>
      </c>
      <c r="C2726" s="6">
        <v>445</v>
      </c>
      <c r="D2726" s="6">
        <v>490</v>
      </c>
      <c r="E2726" s="6">
        <v>485</v>
      </c>
      <c r="F2726" t="str">
        <f t="shared" si="1147"/>
        <v>THU</v>
      </c>
      <c r="G2726" s="3">
        <f t="shared" si="1148"/>
        <v>44014</v>
      </c>
      <c r="H2726" s="2">
        <f t="shared" ca="1" si="1149"/>
        <v>239</v>
      </c>
      <c r="I2726" t="str">
        <f t="shared" si="1150"/>
        <v>NFLX</v>
      </c>
      <c r="J2726">
        <f t="shared" si="1151"/>
        <v>445</v>
      </c>
      <c r="K2726">
        <f t="shared" si="1152"/>
        <v>490</v>
      </c>
      <c r="L2726">
        <f t="shared" si="1153"/>
        <v>467.5</v>
      </c>
      <c r="M2726">
        <f t="shared" si="1154"/>
        <v>22.5</v>
      </c>
      <c r="N2726">
        <f t="shared" si="1144"/>
        <v>45</v>
      </c>
      <c r="O2726">
        <f t="shared" si="1155"/>
        <v>485</v>
      </c>
      <c r="P2726">
        <f t="shared" si="1156"/>
        <v>0.77777777777777779</v>
      </c>
      <c r="Q2726" t="str">
        <f t="shared" si="1145"/>
        <v>8.25% | 1.03%</v>
      </c>
      <c r="R2726" t="str">
        <f t="shared" si="1157"/>
        <v>BULLISH</v>
      </c>
      <c r="S2726">
        <f t="shared" si="1146"/>
        <v>1</v>
      </c>
    </row>
    <row r="2727" spans="1:19" x14ac:dyDescent="0.25">
      <c r="A2727" s="5" t="str">
        <f t="shared" si="1143"/>
        <v>44014TSLA</v>
      </c>
      <c r="B2727" s="6" t="s">
        <v>33</v>
      </c>
      <c r="C2727" s="6">
        <v>954</v>
      </c>
      <c r="D2727" s="6">
        <v>1130</v>
      </c>
      <c r="E2727" s="6">
        <v>1119</v>
      </c>
      <c r="F2727" t="str">
        <f t="shared" si="1147"/>
        <v>THU</v>
      </c>
      <c r="G2727" s="3">
        <f t="shared" si="1148"/>
        <v>44014</v>
      </c>
      <c r="H2727" s="2">
        <f t="shared" ca="1" si="1149"/>
        <v>239</v>
      </c>
      <c r="I2727" t="str">
        <f t="shared" si="1150"/>
        <v>TSLA</v>
      </c>
      <c r="J2727">
        <f t="shared" si="1151"/>
        <v>954</v>
      </c>
      <c r="K2727">
        <f t="shared" si="1152"/>
        <v>1130</v>
      </c>
      <c r="L2727">
        <f t="shared" si="1153"/>
        <v>1042</v>
      </c>
      <c r="M2727">
        <f t="shared" si="1154"/>
        <v>88</v>
      </c>
      <c r="N2727">
        <f t="shared" si="1144"/>
        <v>176</v>
      </c>
      <c r="O2727">
        <f t="shared" si="1155"/>
        <v>1119</v>
      </c>
      <c r="P2727">
        <f t="shared" si="1156"/>
        <v>0.875</v>
      </c>
      <c r="Q2727" t="str">
        <f t="shared" si="1145"/>
        <v>14.75% | 0.98%</v>
      </c>
      <c r="R2727" t="str">
        <f t="shared" si="1157"/>
        <v>BULLISH</v>
      </c>
      <c r="S2727">
        <f t="shared" si="1146"/>
        <v>1</v>
      </c>
    </row>
    <row r="2728" spans="1:19" hidden="1" x14ac:dyDescent="0.25">
      <c r="A2728" s="5" t="str">
        <f t="shared" si="1143"/>
        <v>44014NYXBT</v>
      </c>
      <c r="B2728" s="6" t="s">
        <v>34</v>
      </c>
      <c r="C2728" s="6">
        <v>8909</v>
      </c>
      <c r="D2728" s="6">
        <v>9650</v>
      </c>
      <c r="E2728" s="6">
        <v>9232</v>
      </c>
      <c r="F2728" t="str">
        <f t="shared" si="1147"/>
        <v>THU</v>
      </c>
      <c r="G2728" s="3">
        <f t="shared" si="1148"/>
        <v>44014</v>
      </c>
      <c r="H2728" s="2">
        <f t="shared" ca="1" si="1149"/>
        <v>239</v>
      </c>
      <c r="I2728" t="str">
        <f t="shared" si="1150"/>
        <v>NYXBT</v>
      </c>
      <c r="J2728">
        <f t="shared" si="1151"/>
        <v>8909</v>
      </c>
      <c r="K2728">
        <f t="shared" si="1152"/>
        <v>9650</v>
      </c>
      <c r="L2728">
        <f t="shared" si="1153"/>
        <v>9279.5</v>
      </c>
      <c r="M2728">
        <f t="shared" si="1154"/>
        <v>370.5</v>
      </c>
      <c r="N2728">
        <f t="shared" si="1144"/>
        <v>741</v>
      </c>
      <c r="O2728">
        <f t="shared" si="1155"/>
        <v>9232</v>
      </c>
      <c r="P2728">
        <f t="shared" si="1156"/>
        <v>-0.12820512820512819</v>
      </c>
      <c r="Q2728" t="str">
        <f t="shared" si="1145"/>
        <v>3.5% | 4.53%</v>
      </c>
      <c r="R2728" t="str">
        <f t="shared" si="1157"/>
        <v>BULLISH</v>
      </c>
      <c r="S2728">
        <f t="shared" si="1146"/>
        <v>1</v>
      </c>
    </row>
    <row r="2729" spans="1:19" hidden="1" x14ac:dyDescent="0.25">
      <c r="A2729" s="5" t="str">
        <f t="shared" si="1143"/>
        <v>44018UST10Y</v>
      </c>
      <c r="B2729" s="6" t="s">
        <v>4</v>
      </c>
      <c r="C2729" s="6">
        <v>0.73</v>
      </c>
      <c r="D2729" s="6">
        <v>0.62</v>
      </c>
      <c r="E2729" s="6">
        <v>0.68</v>
      </c>
      <c r="F2729" t="str">
        <f t="shared" si="1147"/>
        <v>MON</v>
      </c>
      <c r="G2729" s="1">
        <f>DATE(2020,7,6)</f>
        <v>44018</v>
      </c>
      <c r="H2729" s="2">
        <f t="shared" ca="1" si="1149"/>
        <v>235</v>
      </c>
      <c r="I2729" t="str">
        <f t="shared" si="1150"/>
        <v>UST10Y</v>
      </c>
      <c r="J2729">
        <f t="shared" si="1151"/>
        <v>0.73</v>
      </c>
      <c r="K2729">
        <f t="shared" si="1152"/>
        <v>0.62</v>
      </c>
      <c r="L2729">
        <f t="shared" si="1153"/>
        <v>0.67500000000000004</v>
      </c>
      <c r="M2729">
        <f t="shared" si="1154"/>
        <v>5.4999999999999993E-2</v>
      </c>
      <c r="N2729">
        <f t="shared" si="1144"/>
        <v>0.10999999999999999</v>
      </c>
      <c r="O2729">
        <f t="shared" si="1155"/>
        <v>0.68</v>
      </c>
      <c r="P2729">
        <f t="shared" si="1156"/>
        <v>9.0909090909090995E-2</v>
      </c>
      <c r="Q2729" t="str">
        <f t="shared" si="1145"/>
        <v>7.35% | 8.82%</v>
      </c>
      <c r="R2729" t="str">
        <f t="shared" si="1157"/>
        <v>BEARISH</v>
      </c>
      <c r="S2729">
        <f t="shared" si="1146"/>
        <v>-1</v>
      </c>
    </row>
    <row r="2730" spans="1:19" hidden="1" x14ac:dyDescent="0.25">
      <c r="A2730" s="5" t="str">
        <f t="shared" si="1143"/>
        <v>44018UST2Y</v>
      </c>
      <c r="B2730" s="6" t="s">
        <v>5</v>
      </c>
      <c r="C2730" s="6">
        <v>0.2</v>
      </c>
      <c r="D2730" s="6">
        <v>0.14000000000000001</v>
      </c>
      <c r="E2730" s="6">
        <v>0.16</v>
      </c>
      <c r="F2730" t="str">
        <f t="shared" ref="F2730:F2759" si="1158">UPPER(TEXT(G2730,"ddd"))</f>
        <v>MON</v>
      </c>
      <c r="G2730" s="1">
        <f t="shared" ref="G2730:G2758" si="1159">DATE(2020,7,6)</f>
        <v>44018</v>
      </c>
      <c r="H2730" s="2">
        <f t="shared" ref="H2730:H2759" ca="1" si="1160">TODAY()-G2730</f>
        <v>235</v>
      </c>
      <c r="I2730" t="str">
        <f t="shared" ref="I2730:I2759" si="1161">TRIM(LEFT(B2730,FIND(" ",B2730,1)))</f>
        <v>UST2Y</v>
      </c>
      <c r="J2730">
        <f t="shared" ref="J2730:J2759" si="1162">C2730</f>
        <v>0.2</v>
      </c>
      <c r="K2730">
        <f t="shared" ref="K2730:K2759" si="1163">D2730</f>
        <v>0.14000000000000001</v>
      </c>
      <c r="L2730">
        <f t="shared" ref="L2730:L2759" si="1164">AVERAGE(J2730:K2730)</f>
        <v>0.17</v>
      </c>
      <c r="M2730">
        <f t="shared" ref="M2730:M2759" si="1165">_xlfn.STDEV.P(J2730:K2730)</f>
        <v>3.0000000000000023E-2</v>
      </c>
      <c r="N2730">
        <f t="shared" si="1144"/>
        <v>0.06</v>
      </c>
      <c r="O2730">
        <f t="shared" ref="O2730:O2759" si="1166">E2730</f>
        <v>0.16</v>
      </c>
      <c r="P2730">
        <f t="shared" ref="P2730:P2759" si="1167">(O2730-L2730)/M2730</f>
        <v>-0.33333333333333337</v>
      </c>
      <c r="Q2730" t="str">
        <f t="shared" si="1145"/>
        <v>25% | 12.5%</v>
      </c>
      <c r="R2730" t="str">
        <f t="shared" ref="R2730:R2759" si="1168">MID(B2730,FIND("(",B2730,1)+1,FIND(")",B2730,1)-FIND("(",B2730,1)-1)</f>
        <v>BEARISH</v>
      </c>
      <c r="S2730">
        <f t="shared" si="1146"/>
        <v>-1</v>
      </c>
    </row>
    <row r="2731" spans="1:19" hidden="1" x14ac:dyDescent="0.25">
      <c r="A2731" s="5" t="str">
        <f t="shared" si="1143"/>
        <v>44018SPX</v>
      </c>
      <c r="B2731" s="6" t="s">
        <v>6</v>
      </c>
      <c r="C2731" s="6">
        <v>2993</v>
      </c>
      <c r="D2731" s="6">
        <v>3168</v>
      </c>
      <c r="E2731" s="6">
        <v>3130</v>
      </c>
      <c r="F2731" t="str">
        <f t="shared" si="1158"/>
        <v>MON</v>
      </c>
      <c r="G2731" s="1">
        <f t="shared" si="1159"/>
        <v>44018</v>
      </c>
      <c r="H2731" s="2">
        <f t="shared" ca="1" si="1160"/>
        <v>235</v>
      </c>
      <c r="I2731" t="str">
        <f t="shared" si="1161"/>
        <v>SPX</v>
      </c>
      <c r="J2731">
        <f t="shared" si="1162"/>
        <v>2993</v>
      </c>
      <c r="K2731">
        <f t="shared" si="1163"/>
        <v>3168</v>
      </c>
      <c r="L2731">
        <f t="shared" si="1164"/>
        <v>3080.5</v>
      </c>
      <c r="M2731">
        <f t="shared" si="1165"/>
        <v>87.5</v>
      </c>
      <c r="N2731">
        <f t="shared" si="1144"/>
        <v>175</v>
      </c>
      <c r="O2731">
        <f t="shared" si="1166"/>
        <v>3130</v>
      </c>
      <c r="P2731">
        <f t="shared" si="1167"/>
        <v>0.56571428571428573</v>
      </c>
      <c r="Q2731" t="str">
        <f t="shared" si="1145"/>
        <v>4.38% | 1.21%</v>
      </c>
      <c r="R2731" t="str">
        <f t="shared" si="1168"/>
        <v>BEARISH</v>
      </c>
      <c r="S2731">
        <f t="shared" si="1146"/>
        <v>-1</v>
      </c>
    </row>
    <row r="2732" spans="1:19" hidden="1" x14ac:dyDescent="0.25">
      <c r="A2732" s="5" t="str">
        <f t="shared" si="1143"/>
        <v>44018RUT</v>
      </c>
      <c r="B2732" s="6" t="s">
        <v>7</v>
      </c>
      <c r="C2732" s="6">
        <v>1375</v>
      </c>
      <c r="D2732" s="6">
        <v>1460</v>
      </c>
      <c r="E2732" s="6">
        <v>1431</v>
      </c>
      <c r="F2732" t="str">
        <f t="shared" si="1158"/>
        <v>MON</v>
      </c>
      <c r="G2732" s="1">
        <f t="shared" si="1159"/>
        <v>44018</v>
      </c>
      <c r="H2732" s="2">
        <f t="shared" ca="1" si="1160"/>
        <v>235</v>
      </c>
      <c r="I2732" t="str">
        <f t="shared" si="1161"/>
        <v>RUT</v>
      </c>
      <c r="J2732">
        <f t="shared" si="1162"/>
        <v>1375</v>
      </c>
      <c r="K2732">
        <f t="shared" si="1163"/>
        <v>1460</v>
      </c>
      <c r="L2732">
        <f t="shared" si="1164"/>
        <v>1417.5</v>
      </c>
      <c r="M2732">
        <f t="shared" si="1165"/>
        <v>42.5</v>
      </c>
      <c r="N2732">
        <f t="shared" si="1144"/>
        <v>85</v>
      </c>
      <c r="O2732">
        <f t="shared" si="1166"/>
        <v>1431</v>
      </c>
      <c r="P2732">
        <f t="shared" si="1167"/>
        <v>0.31764705882352939</v>
      </c>
      <c r="Q2732" t="str">
        <f t="shared" si="1145"/>
        <v>3.91% | 2.03%</v>
      </c>
      <c r="R2732" t="str">
        <f t="shared" si="1168"/>
        <v>BEARISH</v>
      </c>
      <c r="S2732">
        <f t="shared" si="1146"/>
        <v>-1</v>
      </c>
    </row>
    <row r="2733" spans="1:19" hidden="1" x14ac:dyDescent="0.25">
      <c r="A2733" s="5" t="str">
        <f t="shared" si="1143"/>
        <v>44018COMPQ</v>
      </c>
      <c r="B2733" s="6" t="s">
        <v>8</v>
      </c>
      <c r="C2733" s="6">
        <v>9778</v>
      </c>
      <c r="D2733" s="6">
        <v>10296</v>
      </c>
      <c r="E2733" s="6">
        <v>10207</v>
      </c>
      <c r="F2733" t="str">
        <f t="shared" si="1158"/>
        <v>MON</v>
      </c>
      <c r="G2733" s="1">
        <f t="shared" si="1159"/>
        <v>44018</v>
      </c>
      <c r="H2733" s="2">
        <f t="shared" ca="1" si="1160"/>
        <v>235</v>
      </c>
      <c r="I2733" t="str">
        <f t="shared" si="1161"/>
        <v>COMPQ</v>
      </c>
      <c r="J2733">
        <f t="shared" si="1162"/>
        <v>9778</v>
      </c>
      <c r="K2733">
        <f t="shared" si="1163"/>
        <v>10296</v>
      </c>
      <c r="L2733">
        <f t="shared" si="1164"/>
        <v>10037</v>
      </c>
      <c r="M2733">
        <f t="shared" si="1165"/>
        <v>259</v>
      </c>
      <c r="N2733">
        <f t="shared" si="1144"/>
        <v>518</v>
      </c>
      <c r="O2733">
        <f t="shared" si="1166"/>
        <v>10207</v>
      </c>
      <c r="P2733">
        <f t="shared" si="1167"/>
        <v>0.65637065637065639</v>
      </c>
      <c r="Q2733" t="str">
        <f t="shared" si="1145"/>
        <v>4.2% | 0.87%</v>
      </c>
      <c r="R2733" t="str">
        <f t="shared" si="1168"/>
        <v>BULLISH</v>
      </c>
      <c r="S2733">
        <f t="shared" si="1146"/>
        <v>1</v>
      </c>
    </row>
    <row r="2734" spans="1:19" hidden="1" x14ac:dyDescent="0.25">
      <c r="A2734" s="5" t="str">
        <f t="shared" si="1143"/>
        <v>44018XLK</v>
      </c>
      <c r="B2734" s="6" t="s">
        <v>10</v>
      </c>
      <c r="C2734" s="6">
        <v>100.96</v>
      </c>
      <c r="D2734" s="6">
        <v>106.54</v>
      </c>
      <c r="E2734" s="6">
        <v>105.27</v>
      </c>
      <c r="F2734" t="str">
        <f t="shared" si="1158"/>
        <v>MON</v>
      </c>
      <c r="G2734" s="1">
        <f t="shared" si="1159"/>
        <v>44018</v>
      </c>
      <c r="H2734" s="2">
        <f t="shared" ca="1" si="1160"/>
        <v>235</v>
      </c>
      <c r="I2734" t="str">
        <f t="shared" si="1161"/>
        <v>XLK</v>
      </c>
      <c r="J2734">
        <f t="shared" si="1162"/>
        <v>100.96</v>
      </c>
      <c r="K2734">
        <f t="shared" si="1163"/>
        <v>106.54</v>
      </c>
      <c r="L2734">
        <f t="shared" si="1164"/>
        <v>103.75</v>
      </c>
      <c r="M2734">
        <f t="shared" si="1165"/>
        <v>2.7900000000000063</v>
      </c>
      <c r="N2734">
        <f t="shared" si="1144"/>
        <v>5.5800000000000125</v>
      </c>
      <c r="O2734">
        <f t="shared" si="1166"/>
        <v>105.27</v>
      </c>
      <c r="P2734">
        <f t="shared" si="1167"/>
        <v>0.54480286738350991</v>
      </c>
      <c r="Q2734" t="str">
        <f t="shared" si="1145"/>
        <v>4.09% | 1.21%</v>
      </c>
      <c r="R2734" t="str">
        <f t="shared" si="1168"/>
        <v>BULLISH</v>
      </c>
      <c r="S2734">
        <f t="shared" si="1146"/>
        <v>1</v>
      </c>
    </row>
    <row r="2735" spans="1:19" hidden="1" x14ac:dyDescent="0.25">
      <c r="A2735" s="5" t="str">
        <f t="shared" si="1143"/>
        <v>44018XLRE</v>
      </c>
      <c r="B2735" s="6" t="s">
        <v>97</v>
      </c>
      <c r="C2735" s="6">
        <v>33.299999999999997</v>
      </c>
      <c r="D2735" s="6">
        <v>36.229999999999997</v>
      </c>
      <c r="E2735" s="6">
        <v>35.64</v>
      </c>
      <c r="F2735" t="str">
        <f t="shared" si="1158"/>
        <v>MON</v>
      </c>
      <c r="G2735" s="1">
        <f t="shared" si="1159"/>
        <v>44018</v>
      </c>
      <c r="H2735" s="2">
        <f t="shared" ca="1" si="1160"/>
        <v>235</v>
      </c>
      <c r="I2735" t="str">
        <f t="shared" si="1161"/>
        <v>XLRE</v>
      </c>
      <c r="J2735">
        <f t="shared" si="1162"/>
        <v>33.299999999999997</v>
      </c>
      <c r="K2735">
        <f t="shared" si="1163"/>
        <v>36.229999999999997</v>
      </c>
      <c r="L2735">
        <f t="shared" si="1164"/>
        <v>34.765000000000001</v>
      </c>
      <c r="M2735">
        <f t="shared" si="1165"/>
        <v>1.4649999999999999</v>
      </c>
      <c r="N2735">
        <f t="shared" si="1144"/>
        <v>2.9299999999999997</v>
      </c>
      <c r="O2735">
        <f t="shared" si="1166"/>
        <v>35.64</v>
      </c>
      <c r="P2735">
        <f t="shared" si="1167"/>
        <v>0.59726962457337884</v>
      </c>
      <c r="Q2735" t="str">
        <f t="shared" si="1145"/>
        <v>6.57% | 1.66%</v>
      </c>
      <c r="R2735" t="str">
        <f t="shared" si="1168"/>
        <v>BULLISH</v>
      </c>
      <c r="S2735">
        <f t="shared" si="1146"/>
        <v>1</v>
      </c>
    </row>
    <row r="2736" spans="1:19" hidden="1" x14ac:dyDescent="0.25">
      <c r="A2736" s="5" t="str">
        <f t="shared" si="1143"/>
        <v>44018XLU</v>
      </c>
      <c r="B2736" s="6" t="s">
        <v>52</v>
      </c>
      <c r="C2736" s="6">
        <v>54.95</v>
      </c>
      <c r="D2736" s="6">
        <v>58.68</v>
      </c>
      <c r="E2736" s="6">
        <v>57.9</v>
      </c>
      <c r="F2736" t="str">
        <f t="shared" si="1158"/>
        <v>MON</v>
      </c>
      <c r="G2736" s="1">
        <f t="shared" si="1159"/>
        <v>44018</v>
      </c>
      <c r="H2736" s="2">
        <f t="shared" ca="1" si="1160"/>
        <v>235</v>
      </c>
      <c r="I2736" t="str">
        <f t="shared" si="1161"/>
        <v>XLU</v>
      </c>
      <c r="J2736">
        <f t="shared" si="1162"/>
        <v>54.95</v>
      </c>
      <c r="K2736">
        <f t="shared" si="1163"/>
        <v>58.68</v>
      </c>
      <c r="L2736">
        <f t="shared" si="1164"/>
        <v>56.814999999999998</v>
      </c>
      <c r="M2736">
        <f t="shared" si="1165"/>
        <v>1.8649999999999984</v>
      </c>
      <c r="N2736">
        <f t="shared" si="1144"/>
        <v>3.7299999999999969</v>
      </c>
      <c r="O2736">
        <f t="shared" si="1166"/>
        <v>57.9</v>
      </c>
      <c r="P2736">
        <f t="shared" si="1167"/>
        <v>0.58176943699731998</v>
      </c>
      <c r="Q2736" t="str">
        <f t="shared" si="1145"/>
        <v>5.09% | 1.35%</v>
      </c>
      <c r="R2736" t="str">
        <f t="shared" si="1168"/>
        <v>BULLISH</v>
      </c>
      <c r="S2736">
        <f t="shared" si="1146"/>
        <v>1</v>
      </c>
    </row>
    <row r="2737" spans="1:19" hidden="1" x14ac:dyDescent="0.25">
      <c r="A2737" s="5" t="str">
        <f t="shared" si="1143"/>
        <v>44018XLF</v>
      </c>
      <c r="B2737" s="6" t="s">
        <v>12</v>
      </c>
      <c r="C2737" s="6">
        <v>22.06</v>
      </c>
      <c r="D2737" s="6">
        <v>23.99</v>
      </c>
      <c r="E2737" s="6">
        <v>22.97</v>
      </c>
      <c r="F2737" t="str">
        <f t="shared" si="1158"/>
        <v>MON</v>
      </c>
      <c r="G2737" s="1">
        <f t="shared" si="1159"/>
        <v>44018</v>
      </c>
      <c r="H2737" s="2">
        <f t="shared" ca="1" si="1160"/>
        <v>235</v>
      </c>
      <c r="I2737" t="str">
        <f t="shared" si="1161"/>
        <v>XLF</v>
      </c>
      <c r="J2737">
        <f t="shared" si="1162"/>
        <v>22.06</v>
      </c>
      <c r="K2737">
        <f t="shared" si="1163"/>
        <v>23.99</v>
      </c>
      <c r="L2737">
        <f t="shared" si="1164"/>
        <v>23.024999999999999</v>
      </c>
      <c r="M2737">
        <f t="shared" si="1165"/>
        <v>0.96499999999999986</v>
      </c>
      <c r="N2737">
        <f t="shared" si="1144"/>
        <v>1.9299999999999997</v>
      </c>
      <c r="O2737">
        <f t="shared" si="1166"/>
        <v>22.97</v>
      </c>
      <c r="P2737">
        <f t="shared" si="1167"/>
        <v>-5.6994818652849458E-2</v>
      </c>
      <c r="Q2737" t="str">
        <f t="shared" si="1145"/>
        <v>3.96% | 4.44%</v>
      </c>
      <c r="R2737" t="str">
        <f t="shared" si="1168"/>
        <v>BEARISH</v>
      </c>
      <c r="S2737">
        <f t="shared" si="1146"/>
        <v>-1</v>
      </c>
    </row>
    <row r="2738" spans="1:19" hidden="1" x14ac:dyDescent="0.25">
      <c r="A2738" s="5" t="str">
        <f t="shared" si="1143"/>
        <v>44018SSEC</v>
      </c>
      <c r="B2738" s="6" t="s">
        <v>104</v>
      </c>
      <c r="C2738" s="6">
        <v>2960</v>
      </c>
      <c r="D2738" s="6">
        <v>3362</v>
      </c>
      <c r="E2738" s="6">
        <v>3332</v>
      </c>
      <c r="F2738" t="str">
        <f t="shared" si="1158"/>
        <v>MON</v>
      </c>
      <c r="G2738" s="1">
        <f t="shared" si="1159"/>
        <v>44018</v>
      </c>
      <c r="H2738" s="2">
        <f t="shared" ca="1" si="1160"/>
        <v>235</v>
      </c>
      <c r="I2738" t="str">
        <f t="shared" si="1161"/>
        <v>SSEC</v>
      </c>
      <c r="J2738">
        <f t="shared" si="1162"/>
        <v>2960</v>
      </c>
      <c r="K2738">
        <f t="shared" si="1163"/>
        <v>3362</v>
      </c>
      <c r="L2738">
        <f t="shared" si="1164"/>
        <v>3161</v>
      </c>
      <c r="M2738">
        <f t="shared" si="1165"/>
        <v>201</v>
      </c>
      <c r="N2738">
        <f t="shared" si="1144"/>
        <v>402</v>
      </c>
      <c r="O2738">
        <f t="shared" si="1166"/>
        <v>3332</v>
      </c>
      <c r="P2738">
        <f t="shared" si="1167"/>
        <v>0.85074626865671643</v>
      </c>
      <c r="Q2738" t="str">
        <f t="shared" si="1145"/>
        <v>11.16% | 0.9%</v>
      </c>
      <c r="R2738" t="str">
        <f t="shared" si="1168"/>
        <v>BULLISH</v>
      </c>
      <c r="S2738">
        <f t="shared" si="1146"/>
        <v>1</v>
      </c>
    </row>
    <row r="2739" spans="1:19" hidden="1" x14ac:dyDescent="0.25">
      <c r="A2739" s="5" t="str">
        <f t="shared" si="1143"/>
        <v>44018NIKK</v>
      </c>
      <c r="B2739" s="6" t="s">
        <v>91</v>
      </c>
      <c r="C2739" s="6">
        <v>21938</v>
      </c>
      <c r="D2739" s="6">
        <v>22773</v>
      </c>
      <c r="E2739" s="6">
        <v>22714</v>
      </c>
      <c r="F2739" t="str">
        <f t="shared" si="1158"/>
        <v>MON</v>
      </c>
      <c r="G2739" s="1">
        <f t="shared" si="1159"/>
        <v>44018</v>
      </c>
      <c r="H2739" s="2">
        <f t="shared" ca="1" si="1160"/>
        <v>235</v>
      </c>
      <c r="I2739" t="str">
        <f t="shared" si="1161"/>
        <v>NIKK</v>
      </c>
      <c r="J2739">
        <f t="shared" si="1162"/>
        <v>21938</v>
      </c>
      <c r="K2739">
        <f t="shared" si="1163"/>
        <v>22773</v>
      </c>
      <c r="L2739">
        <f t="shared" si="1164"/>
        <v>22355.5</v>
      </c>
      <c r="M2739">
        <f t="shared" si="1165"/>
        <v>417.5</v>
      </c>
      <c r="N2739">
        <f t="shared" si="1144"/>
        <v>835</v>
      </c>
      <c r="O2739">
        <f t="shared" si="1166"/>
        <v>22714</v>
      </c>
      <c r="P2739">
        <f t="shared" si="1167"/>
        <v>0.85868263473053896</v>
      </c>
      <c r="Q2739" t="str">
        <f t="shared" si="1145"/>
        <v>3.42% | 0.26%</v>
      </c>
      <c r="R2739" t="str">
        <f t="shared" si="1168"/>
        <v>BULLISH</v>
      </c>
      <c r="S2739">
        <f t="shared" si="1146"/>
        <v>1</v>
      </c>
    </row>
    <row r="2740" spans="1:19" hidden="1" x14ac:dyDescent="0.25">
      <c r="A2740" s="5" t="str">
        <f t="shared" si="1143"/>
        <v>44018DAX</v>
      </c>
      <c r="B2740" s="6" t="s">
        <v>98</v>
      </c>
      <c r="C2740" s="6">
        <v>11940</v>
      </c>
      <c r="D2740" s="6">
        <v>12780</v>
      </c>
      <c r="E2740" s="6">
        <v>12528</v>
      </c>
      <c r="F2740" t="str">
        <f t="shared" si="1158"/>
        <v>MON</v>
      </c>
      <c r="G2740" s="1">
        <f t="shared" si="1159"/>
        <v>44018</v>
      </c>
      <c r="H2740" s="2">
        <f t="shared" ca="1" si="1160"/>
        <v>235</v>
      </c>
      <c r="I2740" t="str">
        <f t="shared" si="1161"/>
        <v>DAX</v>
      </c>
      <c r="J2740">
        <f t="shared" si="1162"/>
        <v>11940</v>
      </c>
      <c r="K2740">
        <f t="shared" si="1163"/>
        <v>12780</v>
      </c>
      <c r="L2740">
        <f t="shared" si="1164"/>
        <v>12360</v>
      </c>
      <c r="M2740">
        <f t="shared" si="1165"/>
        <v>420</v>
      </c>
      <c r="N2740">
        <f t="shared" si="1144"/>
        <v>840</v>
      </c>
      <c r="O2740">
        <f t="shared" si="1166"/>
        <v>12528</v>
      </c>
      <c r="P2740">
        <f t="shared" si="1167"/>
        <v>0.4</v>
      </c>
      <c r="Q2740" t="str">
        <f t="shared" si="1145"/>
        <v>4.69% | 2.01%</v>
      </c>
      <c r="R2740" t="str">
        <f t="shared" si="1168"/>
        <v>BULLISH</v>
      </c>
      <c r="S2740">
        <f t="shared" si="1146"/>
        <v>1</v>
      </c>
    </row>
    <row r="2741" spans="1:19" hidden="1" x14ac:dyDescent="0.25">
      <c r="A2741" s="5" t="str">
        <f t="shared" si="1143"/>
        <v>44018VIX</v>
      </c>
      <c r="B2741" s="6" t="s">
        <v>17</v>
      </c>
      <c r="C2741" s="6">
        <v>26.04</v>
      </c>
      <c r="D2741" s="6">
        <v>36.619999999999997</v>
      </c>
      <c r="E2741" s="6">
        <v>27.68</v>
      </c>
      <c r="F2741" t="str">
        <f t="shared" si="1158"/>
        <v>MON</v>
      </c>
      <c r="G2741" s="1">
        <f t="shared" si="1159"/>
        <v>44018</v>
      </c>
      <c r="H2741" s="2">
        <f t="shared" ca="1" si="1160"/>
        <v>235</v>
      </c>
      <c r="I2741" t="str">
        <f t="shared" si="1161"/>
        <v>VIX</v>
      </c>
      <c r="J2741">
        <f t="shared" si="1162"/>
        <v>26.04</v>
      </c>
      <c r="K2741">
        <f t="shared" si="1163"/>
        <v>36.619999999999997</v>
      </c>
      <c r="L2741">
        <f t="shared" si="1164"/>
        <v>31.33</v>
      </c>
      <c r="M2741">
        <f t="shared" si="1165"/>
        <v>5.2900000000000009</v>
      </c>
      <c r="N2741">
        <f t="shared" si="1144"/>
        <v>10.579999999999998</v>
      </c>
      <c r="O2741">
        <f t="shared" si="1166"/>
        <v>27.68</v>
      </c>
      <c r="P2741">
        <f t="shared" si="1167"/>
        <v>-0.68998109640831717</v>
      </c>
      <c r="Q2741" t="str">
        <f t="shared" si="1145"/>
        <v>5.92% | 32.3%</v>
      </c>
      <c r="R2741" t="str">
        <f t="shared" si="1168"/>
        <v>BULLISH</v>
      </c>
      <c r="S2741">
        <f t="shared" si="1146"/>
        <v>1</v>
      </c>
    </row>
    <row r="2742" spans="1:19" hidden="1" x14ac:dyDescent="0.25">
      <c r="A2742" s="5" t="str">
        <f t="shared" si="1143"/>
        <v>44018USD</v>
      </c>
      <c r="B2742" s="6" t="s">
        <v>94</v>
      </c>
      <c r="C2742" s="6">
        <v>96.18</v>
      </c>
      <c r="D2742" s="6">
        <v>97.75</v>
      </c>
      <c r="E2742" s="6">
        <v>97.3</v>
      </c>
      <c r="F2742" t="str">
        <f t="shared" si="1158"/>
        <v>MON</v>
      </c>
      <c r="G2742" s="1">
        <f t="shared" si="1159"/>
        <v>44018</v>
      </c>
      <c r="H2742" s="2">
        <f t="shared" ca="1" si="1160"/>
        <v>235</v>
      </c>
      <c r="I2742" t="str">
        <f t="shared" si="1161"/>
        <v>USD</v>
      </c>
      <c r="J2742">
        <f t="shared" si="1162"/>
        <v>96.18</v>
      </c>
      <c r="K2742">
        <f t="shared" si="1163"/>
        <v>97.75</v>
      </c>
      <c r="L2742">
        <f t="shared" si="1164"/>
        <v>96.965000000000003</v>
      </c>
      <c r="M2742">
        <f t="shared" si="1165"/>
        <v>0.78499999999999659</v>
      </c>
      <c r="N2742">
        <f t="shared" si="1144"/>
        <v>1.5699999999999932</v>
      </c>
      <c r="O2742">
        <f t="shared" si="1166"/>
        <v>97.3</v>
      </c>
      <c r="P2742">
        <f t="shared" si="1167"/>
        <v>0.42675159235668181</v>
      </c>
      <c r="Q2742" t="str">
        <f t="shared" si="1145"/>
        <v>1.15% | 0.46%</v>
      </c>
      <c r="R2742" t="str">
        <f t="shared" si="1168"/>
        <v>BEARISH</v>
      </c>
      <c r="S2742">
        <f t="shared" si="1146"/>
        <v>-1</v>
      </c>
    </row>
    <row r="2743" spans="1:19" hidden="1" x14ac:dyDescent="0.25">
      <c r="A2743" s="5" t="str">
        <f t="shared" si="1143"/>
        <v>44018EUR/USD</v>
      </c>
      <c r="B2743" s="6" t="s">
        <v>99</v>
      </c>
      <c r="C2743" s="6">
        <v>1.1100000000000001</v>
      </c>
      <c r="D2743" s="6">
        <v>1.1299999999999999</v>
      </c>
      <c r="E2743" s="6">
        <v>1.1200000000000001</v>
      </c>
      <c r="F2743" t="str">
        <f t="shared" si="1158"/>
        <v>MON</v>
      </c>
      <c r="G2743" s="1">
        <f t="shared" si="1159"/>
        <v>44018</v>
      </c>
      <c r="H2743" s="2">
        <f t="shared" ca="1" si="1160"/>
        <v>235</v>
      </c>
      <c r="I2743" t="str">
        <f t="shared" si="1161"/>
        <v>EUR/USD</v>
      </c>
      <c r="J2743">
        <f t="shared" si="1162"/>
        <v>1.1100000000000001</v>
      </c>
      <c r="K2743">
        <f t="shared" si="1163"/>
        <v>1.1299999999999999</v>
      </c>
      <c r="L2743">
        <f t="shared" si="1164"/>
        <v>1.1200000000000001</v>
      </c>
      <c r="M2743">
        <f t="shared" si="1165"/>
        <v>9.9999999999998979E-3</v>
      </c>
      <c r="N2743">
        <f t="shared" si="1144"/>
        <v>1.9999999999999796E-2</v>
      </c>
      <c r="O2743">
        <f t="shared" si="1166"/>
        <v>1.1200000000000001</v>
      </c>
      <c r="P2743">
        <f t="shared" si="1167"/>
        <v>0</v>
      </c>
      <c r="Q2743" t="str">
        <f t="shared" si="1145"/>
        <v>0.89% | 0.89%</v>
      </c>
      <c r="R2743" t="str">
        <f t="shared" si="1168"/>
        <v>BULLISH</v>
      </c>
      <c r="S2743">
        <f t="shared" si="1146"/>
        <v>1</v>
      </c>
    </row>
    <row r="2744" spans="1:19" hidden="1" x14ac:dyDescent="0.25">
      <c r="A2744" s="5" t="str">
        <f t="shared" si="1143"/>
        <v>44018USD/JPY</v>
      </c>
      <c r="B2744" s="6" t="s">
        <v>20</v>
      </c>
      <c r="C2744" s="6">
        <v>106.38</v>
      </c>
      <c r="D2744" s="6">
        <v>108.16</v>
      </c>
      <c r="E2744" s="6">
        <v>107.54</v>
      </c>
      <c r="F2744" t="str">
        <f t="shared" si="1158"/>
        <v>MON</v>
      </c>
      <c r="G2744" s="1">
        <f t="shared" si="1159"/>
        <v>44018</v>
      </c>
      <c r="H2744" s="2">
        <f t="shared" ca="1" si="1160"/>
        <v>235</v>
      </c>
      <c r="I2744" t="str">
        <f t="shared" si="1161"/>
        <v>USD/JPY</v>
      </c>
      <c r="J2744">
        <f t="shared" si="1162"/>
        <v>106.38</v>
      </c>
      <c r="K2744">
        <f t="shared" si="1163"/>
        <v>108.16</v>
      </c>
      <c r="L2744">
        <f t="shared" si="1164"/>
        <v>107.27</v>
      </c>
      <c r="M2744">
        <f t="shared" si="1165"/>
        <v>0.89000000000000057</v>
      </c>
      <c r="N2744">
        <f t="shared" si="1144"/>
        <v>1.7800000000000011</v>
      </c>
      <c r="O2744">
        <f t="shared" si="1166"/>
        <v>107.54</v>
      </c>
      <c r="P2744">
        <f t="shared" si="1167"/>
        <v>0.30337078651686522</v>
      </c>
      <c r="Q2744" t="str">
        <f t="shared" si="1145"/>
        <v>1.08% | 0.58%</v>
      </c>
      <c r="R2744" t="str">
        <f t="shared" si="1168"/>
        <v>BEARISH</v>
      </c>
      <c r="S2744">
        <f t="shared" si="1146"/>
        <v>-1</v>
      </c>
    </row>
    <row r="2745" spans="1:19" hidden="1" x14ac:dyDescent="0.25">
      <c r="A2745" s="5" t="str">
        <f t="shared" si="1143"/>
        <v>44018GBP/USD</v>
      </c>
      <c r="B2745" s="6" t="s">
        <v>79</v>
      </c>
      <c r="C2745" s="6">
        <v>1.22</v>
      </c>
      <c r="D2745" s="6">
        <v>1.25</v>
      </c>
      <c r="E2745" s="6">
        <v>1.24</v>
      </c>
      <c r="F2745" t="str">
        <f t="shared" si="1158"/>
        <v>MON</v>
      </c>
      <c r="G2745" s="1">
        <f t="shared" si="1159"/>
        <v>44018</v>
      </c>
      <c r="H2745" s="2">
        <f t="shared" ca="1" si="1160"/>
        <v>235</v>
      </c>
      <c r="I2745" t="str">
        <f t="shared" si="1161"/>
        <v>GBP/USD</v>
      </c>
      <c r="J2745">
        <f t="shared" si="1162"/>
        <v>1.22</v>
      </c>
      <c r="K2745">
        <f t="shared" si="1163"/>
        <v>1.25</v>
      </c>
      <c r="L2745">
        <f t="shared" si="1164"/>
        <v>1.2349999999999999</v>
      </c>
      <c r="M2745">
        <f t="shared" si="1165"/>
        <v>1.5000000000000013E-2</v>
      </c>
      <c r="N2745">
        <f t="shared" si="1144"/>
        <v>3.0000000000000027E-2</v>
      </c>
      <c r="O2745">
        <f t="shared" si="1166"/>
        <v>1.24</v>
      </c>
      <c r="P2745">
        <f t="shared" si="1167"/>
        <v>0.33333333333334075</v>
      </c>
      <c r="Q2745" t="str">
        <f t="shared" si="1145"/>
        <v>1.61% | 0.81%</v>
      </c>
      <c r="R2745" t="str">
        <f t="shared" si="1168"/>
        <v>NEUTRAL</v>
      </c>
      <c r="S2745">
        <f t="shared" si="1146"/>
        <v>0</v>
      </c>
    </row>
    <row r="2746" spans="1:19" hidden="1" x14ac:dyDescent="0.25">
      <c r="A2746" s="5" t="str">
        <f t="shared" si="1143"/>
        <v>44018USD/CHF</v>
      </c>
      <c r="B2746" s="6" t="s">
        <v>76</v>
      </c>
      <c r="C2746" s="6">
        <v>0.93</v>
      </c>
      <c r="D2746" s="6">
        <v>0.95</v>
      </c>
      <c r="E2746" s="6">
        <v>0.94</v>
      </c>
      <c r="F2746" t="str">
        <f t="shared" si="1158"/>
        <v>MON</v>
      </c>
      <c r="G2746" s="1">
        <f t="shared" si="1159"/>
        <v>44018</v>
      </c>
      <c r="H2746" s="2">
        <f t="shared" ca="1" si="1160"/>
        <v>235</v>
      </c>
      <c r="I2746" t="str">
        <f t="shared" si="1161"/>
        <v>USD/CHF</v>
      </c>
      <c r="J2746">
        <f t="shared" si="1162"/>
        <v>0.93</v>
      </c>
      <c r="K2746">
        <f t="shared" si="1163"/>
        <v>0.95</v>
      </c>
      <c r="L2746">
        <f t="shared" si="1164"/>
        <v>0.94</v>
      </c>
      <c r="M2746">
        <f t="shared" si="1165"/>
        <v>9.9999999999999534E-3</v>
      </c>
      <c r="N2746">
        <f t="shared" si="1144"/>
        <v>1.9999999999999907E-2</v>
      </c>
      <c r="O2746">
        <f t="shared" si="1166"/>
        <v>0.94</v>
      </c>
      <c r="P2746">
        <f t="shared" si="1167"/>
        <v>0</v>
      </c>
      <c r="Q2746" t="str">
        <f t="shared" si="1145"/>
        <v>1.06% | 1.06%</v>
      </c>
      <c r="R2746" t="str">
        <f t="shared" si="1168"/>
        <v>BEARISH</v>
      </c>
      <c r="S2746">
        <f t="shared" si="1146"/>
        <v>-1</v>
      </c>
    </row>
    <row r="2747" spans="1:19" hidden="1" x14ac:dyDescent="0.25">
      <c r="A2747" s="5" t="str">
        <f t="shared" si="1143"/>
        <v>44018WTIC</v>
      </c>
      <c r="B2747" s="6" t="s">
        <v>158</v>
      </c>
      <c r="C2747" s="6">
        <v>37.19</v>
      </c>
      <c r="D2747" s="6">
        <v>41.47</v>
      </c>
      <c r="E2747" s="6">
        <v>40.65</v>
      </c>
      <c r="F2747" t="str">
        <f t="shared" si="1158"/>
        <v>MON</v>
      </c>
      <c r="G2747" s="1">
        <f t="shared" si="1159"/>
        <v>44018</v>
      </c>
      <c r="H2747" s="2">
        <f t="shared" ca="1" si="1160"/>
        <v>235</v>
      </c>
      <c r="I2747" t="str">
        <f t="shared" si="1161"/>
        <v>WTIC</v>
      </c>
      <c r="J2747">
        <f t="shared" si="1162"/>
        <v>37.19</v>
      </c>
      <c r="K2747">
        <f t="shared" si="1163"/>
        <v>41.47</v>
      </c>
      <c r="L2747">
        <f t="shared" si="1164"/>
        <v>39.33</v>
      </c>
      <c r="M2747">
        <f t="shared" si="1165"/>
        <v>2.1400000000000006</v>
      </c>
      <c r="N2747">
        <f t="shared" si="1144"/>
        <v>4.2800000000000011</v>
      </c>
      <c r="O2747">
        <f t="shared" si="1166"/>
        <v>40.65</v>
      </c>
      <c r="P2747">
        <f t="shared" si="1167"/>
        <v>0.61682242990654201</v>
      </c>
      <c r="Q2747" t="str">
        <f t="shared" si="1145"/>
        <v>8.51% | 2.02%</v>
      </c>
      <c r="R2747" t="str">
        <f t="shared" si="1168"/>
        <v>BULLISH</v>
      </c>
      <c r="S2747">
        <f t="shared" si="1146"/>
        <v>1</v>
      </c>
    </row>
    <row r="2748" spans="1:19" hidden="1" x14ac:dyDescent="0.25">
      <c r="A2748" s="5" t="str">
        <f t="shared" si="1143"/>
        <v>44018NATGAS</v>
      </c>
      <c r="B2748" s="6" t="s">
        <v>87</v>
      </c>
      <c r="C2748" s="6">
        <v>1.53</v>
      </c>
      <c r="D2748" s="6">
        <v>1.84</v>
      </c>
      <c r="E2748" s="6">
        <v>1.73</v>
      </c>
      <c r="F2748" t="str">
        <f t="shared" si="1158"/>
        <v>MON</v>
      </c>
      <c r="G2748" s="1">
        <f t="shared" si="1159"/>
        <v>44018</v>
      </c>
      <c r="H2748" s="2">
        <f t="shared" ca="1" si="1160"/>
        <v>235</v>
      </c>
      <c r="I2748" t="str">
        <f t="shared" si="1161"/>
        <v>NATGAS</v>
      </c>
      <c r="J2748">
        <f t="shared" si="1162"/>
        <v>1.53</v>
      </c>
      <c r="K2748">
        <f t="shared" si="1163"/>
        <v>1.84</v>
      </c>
      <c r="L2748">
        <f t="shared" si="1164"/>
        <v>1.6850000000000001</v>
      </c>
      <c r="M2748">
        <f t="shared" si="1165"/>
        <v>0.15500000000000003</v>
      </c>
      <c r="N2748">
        <f t="shared" si="1144"/>
        <v>0.31000000000000005</v>
      </c>
      <c r="O2748">
        <f t="shared" si="1166"/>
        <v>1.73</v>
      </c>
      <c r="P2748">
        <f t="shared" si="1167"/>
        <v>0.29032258064516075</v>
      </c>
      <c r="Q2748" t="str">
        <f t="shared" si="1145"/>
        <v>11.56% | 6.36%</v>
      </c>
      <c r="R2748" t="str">
        <f t="shared" si="1168"/>
        <v>NEUTRAL</v>
      </c>
      <c r="S2748">
        <f t="shared" si="1146"/>
        <v>0</v>
      </c>
    </row>
    <row r="2749" spans="1:19" hidden="1" x14ac:dyDescent="0.25">
      <c r="A2749" s="5" t="str">
        <f t="shared" si="1143"/>
        <v>44018GOLD</v>
      </c>
      <c r="B2749" s="6" t="s">
        <v>25</v>
      </c>
      <c r="C2749" s="6">
        <v>1760</v>
      </c>
      <c r="D2749" s="6">
        <v>1801</v>
      </c>
      <c r="E2749" s="6">
        <v>1790</v>
      </c>
      <c r="F2749" t="str">
        <f t="shared" si="1158"/>
        <v>MON</v>
      </c>
      <c r="G2749" s="1">
        <f t="shared" si="1159"/>
        <v>44018</v>
      </c>
      <c r="H2749" s="2">
        <f t="shared" ca="1" si="1160"/>
        <v>235</v>
      </c>
      <c r="I2749" t="str">
        <f t="shared" si="1161"/>
        <v>GOLD</v>
      </c>
      <c r="J2749">
        <f t="shared" si="1162"/>
        <v>1760</v>
      </c>
      <c r="K2749">
        <f t="shared" si="1163"/>
        <v>1801</v>
      </c>
      <c r="L2749">
        <f t="shared" si="1164"/>
        <v>1780.5</v>
      </c>
      <c r="M2749">
        <f t="shared" si="1165"/>
        <v>20.5</v>
      </c>
      <c r="N2749">
        <f t="shared" si="1144"/>
        <v>41</v>
      </c>
      <c r="O2749">
        <f t="shared" si="1166"/>
        <v>1790</v>
      </c>
      <c r="P2749">
        <f t="shared" si="1167"/>
        <v>0.46341463414634149</v>
      </c>
      <c r="Q2749" t="str">
        <f t="shared" si="1145"/>
        <v>1.68% | 0.61%</v>
      </c>
      <c r="R2749" t="str">
        <f t="shared" si="1168"/>
        <v>BULLISH</v>
      </c>
      <c r="S2749">
        <f t="shared" si="1146"/>
        <v>1</v>
      </c>
    </row>
    <row r="2750" spans="1:19" hidden="1" x14ac:dyDescent="0.25">
      <c r="A2750" s="5" t="str">
        <f t="shared" si="1143"/>
        <v>44018COPPER</v>
      </c>
      <c r="B2750" s="6" t="s">
        <v>100</v>
      </c>
      <c r="C2750" s="6">
        <v>2.62</v>
      </c>
      <c r="D2750" s="6">
        <v>2.77</v>
      </c>
      <c r="E2750" s="6">
        <v>2.75</v>
      </c>
      <c r="F2750" t="str">
        <f t="shared" si="1158"/>
        <v>MON</v>
      </c>
      <c r="G2750" s="1">
        <f t="shared" si="1159"/>
        <v>44018</v>
      </c>
      <c r="H2750" s="2">
        <f t="shared" ca="1" si="1160"/>
        <v>235</v>
      </c>
      <c r="I2750" t="str">
        <f t="shared" si="1161"/>
        <v>COPPER</v>
      </c>
      <c r="J2750">
        <f t="shared" si="1162"/>
        <v>2.62</v>
      </c>
      <c r="K2750">
        <f t="shared" si="1163"/>
        <v>2.77</v>
      </c>
      <c r="L2750">
        <f t="shared" si="1164"/>
        <v>2.6950000000000003</v>
      </c>
      <c r="M2750">
        <f t="shared" si="1165"/>
        <v>7.4999999999999956E-2</v>
      </c>
      <c r="N2750">
        <f t="shared" si="1144"/>
        <v>0.14999999999999991</v>
      </c>
      <c r="O2750">
        <f t="shared" si="1166"/>
        <v>2.75</v>
      </c>
      <c r="P2750">
        <f t="shared" si="1167"/>
        <v>0.73333333333332995</v>
      </c>
      <c r="Q2750" t="str">
        <f t="shared" si="1145"/>
        <v>4.73% | 0.73%</v>
      </c>
      <c r="R2750" t="str">
        <f t="shared" si="1168"/>
        <v>BULLISH</v>
      </c>
      <c r="S2750">
        <f t="shared" si="1146"/>
        <v>1</v>
      </c>
    </row>
    <row r="2751" spans="1:19" hidden="1" x14ac:dyDescent="0.25">
      <c r="A2751" s="5" t="str">
        <f t="shared" si="1143"/>
        <v>44018MSFT</v>
      </c>
      <c r="B2751" s="6" t="s">
        <v>27</v>
      </c>
      <c r="C2751" s="6">
        <v>195</v>
      </c>
      <c r="D2751" s="6">
        <v>208</v>
      </c>
      <c r="E2751" s="6">
        <v>206</v>
      </c>
      <c r="F2751" t="str">
        <f t="shared" si="1158"/>
        <v>MON</v>
      </c>
      <c r="G2751" s="1">
        <f t="shared" si="1159"/>
        <v>44018</v>
      </c>
      <c r="H2751" s="2">
        <f t="shared" ca="1" si="1160"/>
        <v>235</v>
      </c>
      <c r="I2751" t="str">
        <f t="shared" si="1161"/>
        <v>MSFT</v>
      </c>
      <c r="J2751">
        <f t="shared" si="1162"/>
        <v>195</v>
      </c>
      <c r="K2751">
        <f t="shared" si="1163"/>
        <v>208</v>
      </c>
      <c r="L2751">
        <f t="shared" si="1164"/>
        <v>201.5</v>
      </c>
      <c r="M2751">
        <f t="shared" si="1165"/>
        <v>6.5</v>
      </c>
      <c r="N2751">
        <f t="shared" si="1144"/>
        <v>13</v>
      </c>
      <c r="O2751">
        <f t="shared" si="1166"/>
        <v>206</v>
      </c>
      <c r="P2751">
        <f t="shared" si="1167"/>
        <v>0.69230769230769229</v>
      </c>
      <c r="Q2751" t="str">
        <f t="shared" si="1145"/>
        <v>5.34% | 0.97%</v>
      </c>
      <c r="R2751" t="str">
        <f t="shared" si="1168"/>
        <v>BULLISH</v>
      </c>
      <c r="S2751">
        <f t="shared" si="1146"/>
        <v>1</v>
      </c>
    </row>
    <row r="2752" spans="1:19" hidden="1" x14ac:dyDescent="0.25">
      <c r="A2752" s="5" t="str">
        <f t="shared" si="1143"/>
        <v>44018AAPL</v>
      </c>
      <c r="B2752" s="6" t="s">
        <v>28</v>
      </c>
      <c r="C2752" s="6">
        <v>353</v>
      </c>
      <c r="D2752" s="6">
        <v>371</v>
      </c>
      <c r="E2752" s="6">
        <v>364</v>
      </c>
      <c r="F2752" t="str">
        <f t="shared" si="1158"/>
        <v>MON</v>
      </c>
      <c r="G2752" s="1">
        <f t="shared" si="1159"/>
        <v>44018</v>
      </c>
      <c r="H2752" s="2">
        <f t="shared" ca="1" si="1160"/>
        <v>235</v>
      </c>
      <c r="I2752" t="str">
        <f t="shared" si="1161"/>
        <v>AAPL</v>
      </c>
      <c r="J2752">
        <f t="shared" si="1162"/>
        <v>353</v>
      </c>
      <c r="K2752">
        <f t="shared" si="1163"/>
        <v>371</v>
      </c>
      <c r="L2752">
        <f t="shared" si="1164"/>
        <v>362</v>
      </c>
      <c r="M2752">
        <f t="shared" si="1165"/>
        <v>9</v>
      </c>
      <c r="N2752">
        <f t="shared" si="1144"/>
        <v>18</v>
      </c>
      <c r="O2752">
        <f t="shared" si="1166"/>
        <v>364</v>
      </c>
      <c r="P2752">
        <f t="shared" si="1167"/>
        <v>0.22222222222222221</v>
      </c>
      <c r="Q2752" t="str">
        <f t="shared" si="1145"/>
        <v>3.02% | 1.92%</v>
      </c>
      <c r="R2752" t="str">
        <f t="shared" si="1168"/>
        <v>BULLISH</v>
      </c>
      <c r="S2752">
        <f t="shared" si="1146"/>
        <v>1</v>
      </c>
    </row>
    <row r="2753" spans="1:19" hidden="1" x14ac:dyDescent="0.25">
      <c r="A2753" s="5" t="str">
        <f t="shared" si="1143"/>
        <v>44018AMZN</v>
      </c>
      <c r="B2753" s="6" t="s">
        <v>29</v>
      </c>
      <c r="C2753" s="6">
        <v>2713</v>
      </c>
      <c r="D2753" s="6">
        <v>2914</v>
      </c>
      <c r="E2753" s="6">
        <v>2890</v>
      </c>
      <c r="F2753" t="str">
        <f t="shared" si="1158"/>
        <v>MON</v>
      </c>
      <c r="G2753" s="1">
        <f t="shared" si="1159"/>
        <v>44018</v>
      </c>
      <c r="H2753" s="2">
        <f t="shared" ca="1" si="1160"/>
        <v>235</v>
      </c>
      <c r="I2753" t="str">
        <f t="shared" si="1161"/>
        <v>AMZN</v>
      </c>
      <c r="J2753">
        <f t="shared" si="1162"/>
        <v>2713</v>
      </c>
      <c r="K2753">
        <f t="shared" si="1163"/>
        <v>2914</v>
      </c>
      <c r="L2753">
        <f t="shared" si="1164"/>
        <v>2813.5</v>
      </c>
      <c r="M2753">
        <f t="shared" si="1165"/>
        <v>100.5</v>
      </c>
      <c r="N2753">
        <f t="shared" si="1144"/>
        <v>201</v>
      </c>
      <c r="O2753">
        <f t="shared" si="1166"/>
        <v>2890</v>
      </c>
      <c r="P2753">
        <f t="shared" si="1167"/>
        <v>0.76119402985074625</v>
      </c>
      <c r="Q2753" t="str">
        <f t="shared" si="1145"/>
        <v>6.12% | 0.83%</v>
      </c>
      <c r="R2753" t="str">
        <f t="shared" si="1168"/>
        <v>BULLISH</v>
      </c>
      <c r="S2753">
        <f t="shared" si="1146"/>
        <v>1</v>
      </c>
    </row>
    <row r="2754" spans="1:19" hidden="1" x14ac:dyDescent="0.25">
      <c r="A2754" s="5" t="str">
        <f t="shared" si="1143"/>
        <v>44018FB</v>
      </c>
      <c r="B2754" s="6" t="s">
        <v>30</v>
      </c>
      <c r="C2754" s="6">
        <v>215</v>
      </c>
      <c r="D2754" s="6">
        <v>250</v>
      </c>
      <c r="E2754" s="6">
        <v>233</v>
      </c>
      <c r="F2754" t="str">
        <f t="shared" si="1158"/>
        <v>MON</v>
      </c>
      <c r="G2754" s="1">
        <f t="shared" si="1159"/>
        <v>44018</v>
      </c>
      <c r="H2754" s="2">
        <f t="shared" ca="1" si="1160"/>
        <v>235</v>
      </c>
      <c r="I2754" t="str">
        <f t="shared" si="1161"/>
        <v>FB</v>
      </c>
      <c r="J2754">
        <f t="shared" si="1162"/>
        <v>215</v>
      </c>
      <c r="K2754">
        <f t="shared" si="1163"/>
        <v>250</v>
      </c>
      <c r="L2754">
        <f t="shared" si="1164"/>
        <v>232.5</v>
      </c>
      <c r="M2754">
        <f t="shared" si="1165"/>
        <v>17.5</v>
      </c>
      <c r="N2754">
        <f t="shared" si="1144"/>
        <v>35</v>
      </c>
      <c r="O2754">
        <f t="shared" si="1166"/>
        <v>233</v>
      </c>
      <c r="P2754">
        <f t="shared" si="1167"/>
        <v>2.8571428571428571E-2</v>
      </c>
      <c r="Q2754" t="str">
        <f t="shared" si="1145"/>
        <v>7.73% | 7.3%</v>
      </c>
      <c r="R2754" t="str">
        <f t="shared" si="1168"/>
        <v>BULLISH</v>
      </c>
      <c r="S2754">
        <f t="shared" si="1146"/>
        <v>1</v>
      </c>
    </row>
    <row r="2755" spans="1:19" hidden="1" x14ac:dyDescent="0.25">
      <c r="A2755" s="5" t="str">
        <f t="shared" ref="A2755:A2819" si="1169">G2755&amp;I2755</f>
        <v>44018GOOGL</v>
      </c>
      <c r="B2755" s="6" t="s">
        <v>31</v>
      </c>
      <c r="C2755" s="6">
        <v>1368</v>
      </c>
      <c r="D2755" s="6">
        <v>1497</v>
      </c>
      <c r="E2755" s="6">
        <v>1469</v>
      </c>
      <c r="F2755" t="str">
        <f t="shared" si="1158"/>
        <v>MON</v>
      </c>
      <c r="G2755" s="1">
        <f t="shared" si="1159"/>
        <v>44018</v>
      </c>
      <c r="H2755" s="2">
        <f t="shared" ca="1" si="1160"/>
        <v>235</v>
      </c>
      <c r="I2755" t="str">
        <f t="shared" si="1161"/>
        <v>GOOGL</v>
      </c>
      <c r="J2755">
        <f t="shared" si="1162"/>
        <v>1368</v>
      </c>
      <c r="K2755">
        <f t="shared" si="1163"/>
        <v>1497</v>
      </c>
      <c r="L2755">
        <f t="shared" si="1164"/>
        <v>1432.5</v>
      </c>
      <c r="M2755">
        <f t="shared" si="1165"/>
        <v>64.5</v>
      </c>
      <c r="N2755">
        <f t="shared" ref="N2755:N2818" si="1170">ABS(K2755-J2755)</f>
        <v>129</v>
      </c>
      <c r="O2755">
        <f t="shared" si="1166"/>
        <v>1469</v>
      </c>
      <c r="P2755">
        <f t="shared" si="1167"/>
        <v>0.56589147286821706</v>
      </c>
      <c r="Q2755" t="str">
        <f t="shared" ref="Q2755:Q2818" si="1171">ROUND(ABS(100*(O2755-J2755)/O2755),2)&amp;"% | "&amp;ROUND(ABS(100*(K2755-O2755)/O2755),2)&amp;"%"</f>
        <v>6.88% | 1.91%</v>
      </c>
      <c r="R2755" t="str">
        <f t="shared" si="1168"/>
        <v>BULLISH</v>
      </c>
      <c r="S2755">
        <f t="shared" ref="S2755:S2818" si="1172">IF(R2755="BEARISH",-1,IF(R2755="NEUTRAL",0,IF(R2755="BULLISH",1,99)))</f>
        <v>1</v>
      </c>
    </row>
    <row r="2756" spans="1:19" hidden="1" x14ac:dyDescent="0.25">
      <c r="A2756" s="5" t="str">
        <f t="shared" si="1169"/>
        <v>44018NFLX</v>
      </c>
      <c r="B2756" s="6" t="s">
        <v>32</v>
      </c>
      <c r="C2756" s="6">
        <v>446</v>
      </c>
      <c r="D2756" s="6">
        <v>490</v>
      </c>
      <c r="E2756" s="6">
        <v>476</v>
      </c>
      <c r="F2756" t="str">
        <f t="shared" si="1158"/>
        <v>MON</v>
      </c>
      <c r="G2756" s="1">
        <f t="shared" si="1159"/>
        <v>44018</v>
      </c>
      <c r="H2756" s="2">
        <f t="shared" ca="1" si="1160"/>
        <v>235</v>
      </c>
      <c r="I2756" t="str">
        <f t="shared" si="1161"/>
        <v>NFLX</v>
      </c>
      <c r="J2756">
        <f t="shared" si="1162"/>
        <v>446</v>
      </c>
      <c r="K2756">
        <f t="shared" si="1163"/>
        <v>490</v>
      </c>
      <c r="L2756">
        <f t="shared" si="1164"/>
        <v>468</v>
      </c>
      <c r="M2756">
        <f t="shared" si="1165"/>
        <v>22</v>
      </c>
      <c r="N2756">
        <f t="shared" si="1170"/>
        <v>44</v>
      </c>
      <c r="O2756">
        <f t="shared" si="1166"/>
        <v>476</v>
      </c>
      <c r="P2756">
        <f t="shared" si="1167"/>
        <v>0.36363636363636365</v>
      </c>
      <c r="Q2756" t="str">
        <f t="shared" si="1171"/>
        <v>6.3% | 2.94%</v>
      </c>
      <c r="R2756" t="str">
        <f t="shared" si="1168"/>
        <v>BULLISH</v>
      </c>
      <c r="S2756">
        <f t="shared" si="1172"/>
        <v>1</v>
      </c>
    </row>
    <row r="2757" spans="1:19" x14ac:dyDescent="0.25">
      <c r="A2757" s="5" t="str">
        <f t="shared" si="1169"/>
        <v>44018TSLA</v>
      </c>
      <c r="B2757" s="6" t="s">
        <v>33</v>
      </c>
      <c r="C2757" s="6">
        <v>1035</v>
      </c>
      <c r="D2757" s="6">
        <v>1243</v>
      </c>
      <c r="E2757" s="6">
        <v>1208</v>
      </c>
      <c r="F2757" t="str">
        <f t="shared" si="1158"/>
        <v>MON</v>
      </c>
      <c r="G2757" s="1">
        <f t="shared" si="1159"/>
        <v>44018</v>
      </c>
      <c r="H2757" s="2">
        <f t="shared" ca="1" si="1160"/>
        <v>235</v>
      </c>
      <c r="I2757" t="str">
        <f t="shared" si="1161"/>
        <v>TSLA</v>
      </c>
      <c r="J2757">
        <f t="shared" si="1162"/>
        <v>1035</v>
      </c>
      <c r="K2757">
        <f t="shared" si="1163"/>
        <v>1243</v>
      </c>
      <c r="L2757">
        <f t="shared" si="1164"/>
        <v>1139</v>
      </c>
      <c r="M2757">
        <f t="shared" si="1165"/>
        <v>104</v>
      </c>
      <c r="N2757">
        <f t="shared" si="1170"/>
        <v>208</v>
      </c>
      <c r="O2757">
        <f t="shared" si="1166"/>
        <v>1208</v>
      </c>
      <c r="P2757">
        <f t="shared" si="1167"/>
        <v>0.66346153846153844</v>
      </c>
      <c r="Q2757" t="str">
        <f t="shared" si="1171"/>
        <v>14.32% | 2.9%</v>
      </c>
      <c r="R2757" t="str">
        <f t="shared" si="1168"/>
        <v>BULLISH</v>
      </c>
      <c r="S2757">
        <f t="shared" si="1172"/>
        <v>1</v>
      </c>
    </row>
    <row r="2758" spans="1:19" hidden="1" x14ac:dyDescent="0.25">
      <c r="A2758" s="5" t="str">
        <f t="shared" si="1169"/>
        <v>44018NYXBT</v>
      </c>
      <c r="B2758" s="6" t="s">
        <v>34</v>
      </c>
      <c r="C2758" s="6">
        <v>8831</v>
      </c>
      <c r="D2758" s="6">
        <v>9613</v>
      </c>
      <c r="E2758" s="6">
        <v>9223</v>
      </c>
      <c r="F2758" t="str">
        <f t="shared" si="1158"/>
        <v>MON</v>
      </c>
      <c r="G2758" s="1">
        <f t="shared" si="1159"/>
        <v>44018</v>
      </c>
      <c r="H2758" s="2">
        <f t="shared" ca="1" si="1160"/>
        <v>235</v>
      </c>
      <c r="I2758" t="str">
        <f t="shared" si="1161"/>
        <v>NYXBT</v>
      </c>
      <c r="J2758">
        <f t="shared" si="1162"/>
        <v>8831</v>
      </c>
      <c r="K2758">
        <f t="shared" si="1163"/>
        <v>9613</v>
      </c>
      <c r="L2758">
        <f t="shared" si="1164"/>
        <v>9222</v>
      </c>
      <c r="M2758">
        <f t="shared" si="1165"/>
        <v>391</v>
      </c>
      <c r="N2758">
        <f t="shared" si="1170"/>
        <v>782</v>
      </c>
      <c r="O2758">
        <f t="shared" si="1166"/>
        <v>9223</v>
      </c>
      <c r="P2758">
        <f t="shared" si="1167"/>
        <v>2.5575447570332483E-3</v>
      </c>
      <c r="Q2758" t="str">
        <f t="shared" si="1171"/>
        <v>4.25% | 4.23%</v>
      </c>
      <c r="R2758" t="str">
        <f t="shared" si="1168"/>
        <v>BULLISH</v>
      </c>
      <c r="S2758">
        <f t="shared" si="1172"/>
        <v>1</v>
      </c>
    </row>
    <row r="2759" spans="1:19" hidden="1" x14ac:dyDescent="0.25">
      <c r="A2759" s="5" t="str">
        <f t="shared" si="1169"/>
        <v>44019UST10Y</v>
      </c>
      <c r="B2759" s="6" t="s">
        <v>4</v>
      </c>
      <c r="C2759" s="6">
        <v>0.73</v>
      </c>
      <c r="D2759" s="6">
        <v>0.62</v>
      </c>
      <c r="E2759" s="6">
        <v>0.69</v>
      </c>
      <c r="F2759" t="str">
        <f t="shared" si="1158"/>
        <v>TUE</v>
      </c>
      <c r="G2759" s="3">
        <f>DATE(2020,7,7)</f>
        <v>44019</v>
      </c>
      <c r="H2759" s="2">
        <f t="shared" ca="1" si="1160"/>
        <v>234</v>
      </c>
      <c r="I2759" t="str">
        <f t="shared" si="1161"/>
        <v>UST10Y</v>
      </c>
      <c r="J2759">
        <f t="shared" si="1162"/>
        <v>0.73</v>
      </c>
      <c r="K2759">
        <f t="shared" si="1163"/>
        <v>0.62</v>
      </c>
      <c r="L2759">
        <f t="shared" si="1164"/>
        <v>0.67500000000000004</v>
      </c>
      <c r="M2759">
        <f t="shared" si="1165"/>
        <v>5.4999999999999993E-2</v>
      </c>
      <c r="N2759">
        <f t="shared" si="1170"/>
        <v>0.10999999999999999</v>
      </c>
      <c r="O2759">
        <f t="shared" si="1166"/>
        <v>0.69</v>
      </c>
      <c r="P2759">
        <f t="shared" si="1167"/>
        <v>0.27272727272727099</v>
      </c>
      <c r="Q2759" t="str">
        <f t="shared" si="1171"/>
        <v>5.8% | 10.14%</v>
      </c>
      <c r="R2759" t="str">
        <f t="shared" si="1168"/>
        <v>BEARISH</v>
      </c>
      <c r="S2759">
        <f t="shared" si="1172"/>
        <v>-1</v>
      </c>
    </row>
    <row r="2760" spans="1:19" hidden="1" x14ac:dyDescent="0.25">
      <c r="A2760" s="5" t="str">
        <f t="shared" si="1169"/>
        <v>44019UST2Y</v>
      </c>
      <c r="B2760" s="6" t="s">
        <v>5</v>
      </c>
      <c r="C2760" s="6">
        <v>0.2</v>
      </c>
      <c r="D2760" s="6">
        <v>0.14000000000000001</v>
      </c>
      <c r="E2760" s="6">
        <v>0.16</v>
      </c>
      <c r="F2760" t="str">
        <f t="shared" ref="F2760:F2789" si="1173">UPPER(TEXT(G2760,"ddd"))</f>
        <v>TUE</v>
      </c>
      <c r="G2760" s="3">
        <f t="shared" ref="G2760:G2788" si="1174">DATE(2020,7,7)</f>
        <v>44019</v>
      </c>
      <c r="H2760" s="2">
        <f t="shared" ref="H2760:H2789" ca="1" si="1175">TODAY()-G2760</f>
        <v>234</v>
      </c>
      <c r="I2760" t="str">
        <f t="shared" ref="I2760:I2789" si="1176">TRIM(LEFT(B2760,FIND(" ",B2760,1)))</f>
        <v>UST2Y</v>
      </c>
      <c r="J2760">
        <f t="shared" ref="J2760:J2789" si="1177">C2760</f>
        <v>0.2</v>
      </c>
      <c r="K2760">
        <f t="shared" ref="K2760:K2789" si="1178">D2760</f>
        <v>0.14000000000000001</v>
      </c>
      <c r="L2760">
        <f t="shared" ref="L2760:L2789" si="1179">AVERAGE(J2760:K2760)</f>
        <v>0.17</v>
      </c>
      <c r="M2760">
        <f t="shared" ref="M2760:M2789" si="1180">_xlfn.STDEV.P(J2760:K2760)</f>
        <v>3.0000000000000023E-2</v>
      </c>
      <c r="N2760">
        <f t="shared" si="1170"/>
        <v>0.06</v>
      </c>
      <c r="O2760">
        <f t="shared" ref="O2760:O2789" si="1181">E2760</f>
        <v>0.16</v>
      </c>
      <c r="P2760">
        <f t="shared" ref="P2760:P2789" si="1182">(O2760-L2760)/M2760</f>
        <v>-0.33333333333333337</v>
      </c>
      <c r="Q2760" t="str">
        <f t="shared" si="1171"/>
        <v>25% | 12.5%</v>
      </c>
      <c r="R2760" t="str">
        <f t="shared" ref="R2760:R2789" si="1183">MID(B2760,FIND("(",B2760,1)+1,FIND(")",B2760,1)-FIND("(",B2760,1)-1)</f>
        <v>BEARISH</v>
      </c>
      <c r="S2760">
        <f t="shared" si="1172"/>
        <v>-1</v>
      </c>
    </row>
    <row r="2761" spans="1:19" hidden="1" x14ac:dyDescent="0.25">
      <c r="A2761" s="5" t="str">
        <f t="shared" si="1169"/>
        <v>44019SPX</v>
      </c>
      <c r="B2761" s="6" t="s">
        <v>6</v>
      </c>
      <c r="C2761" s="6">
        <v>2999</v>
      </c>
      <c r="D2761" s="6">
        <v>3197</v>
      </c>
      <c r="E2761" s="6">
        <v>3179</v>
      </c>
      <c r="F2761" t="str">
        <f t="shared" si="1173"/>
        <v>TUE</v>
      </c>
      <c r="G2761" s="3">
        <f t="shared" si="1174"/>
        <v>44019</v>
      </c>
      <c r="H2761" s="2">
        <f t="shared" ca="1" si="1175"/>
        <v>234</v>
      </c>
      <c r="I2761" t="str">
        <f t="shared" si="1176"/>
        <v>SPX</v>
      </c>
      <c r="J2761">
        <f t="shared" si="1177"/>
        <v>2999</v>
      </c>
      <c r="K2761">
        <f t="shared" si="1178"/>
        <v>3197</v>
      </c>
      <c r="L2761">
        <f t="shared" si="1179"/>
        <v>3098</v>
      </c>
      <c r="M2761">
        <f t="shared" si="1180"/>
        <v>99</v>
      </c>
      <c r="N2761">
        <f t="shared" si="1170"/>
        <v>198</v>
      </c>
      <c r="O2761">
        <f t="shared" si="1181"/>
        <v>3179</v>
      </c>
      <c r="P2761">
        <f t="shared" si="1182"/>
        <v>0.81818181818181823</v>
      </c>
      <c r="Q2761" t="str">
        <f t="shared" si="1171"/>
        <v>5.66% | 0.57%</v>
      </c>
      <c r="R2761" t="str">
        <f t="shared" si="1183"/>
        <v>BEARISH</v>
      </c>
      <c r="S2761">
        <f t="shared" si="1172"/>
        <v>-1</v>
      </c>
    </row>
    <row r="2762" spans="1:19" hidden="1" x14ac:dyDescent="0.25">
      <c r="A2762" s="5" t="str">
        <f t="shared" si="1169"/>
        <v>44019RUT</v>
      </c>
      <c r="B2762" s="6" t="s">
        <v>7</v>
      </c>
      <c r="C2762" s="6">
        <v>1306</v>
      </c>
      <c r="D2762" s="6">
        <v>1464</v>
      </c>
      <c r="E2762" s="6">
        <v>1442</v>
      </c>
      <c r="F2762" t="str">
        <f t="shared" si="1173"/>
        <v>TUE</v>
      </c>
      <c r="G2762" s="3">
        <f t="shared" si="1174"/>
        <v>44019</v>
      </c>
      <c r="H2762" s="2">
        <f t="shared" ca="1" si="1175"/>
        <v>234</v>
      </c>
      <c r="I2762" t="str">
        <f t="shared" si="1176"/>
        <v>RUT</v>
      </c>
      <c r="J2762">
        <f t="shared" si="1177"/>
        <v>1306</v>
      </c>
      <c r="K2762">
        <f t="shared" si="1178"/>
        <v>1464</v>
      </c>
      <c r="L2762">
        <f t="shared" si="1179"/>
        <v>1385</v>
      </c>
      <c r="M2762">
        <f t="shared" si="1180"/>
        <v>79</v>
      </c>
      <c r="N2762">
        <f t="shared" si="1170"/>
        <v>158</v>
      </c>
      <c r="O2762">
        <f t="shared" si="1181"/>
        <v>1442</v>
      </c>
      <c r="P2762">
        <f t="shared" si="1182"/>
        <v>0.72151898734177211</v>
      </c>
      <c r="Q2762" t="str">
        <f t="shared" si="1171"/>
        <v>9.43% | 1.53%</v>
      </c>
      <c r="R2762" t="str">
        <f t="shared" si="1183"/>
        <v>BEARISH</v>
      </c>
      <c r="S2762">
        <f t="shared" si="1172"/>
        <v>-1</v>
      </c>
    </row>
    <row r="2763" spans="1:19" hidden="1" x14ac:dyDescent="0.25">
      <c r="A2763" s="5" t="str">
        <f t="shared" si="1169"/>
        <v>44019COMPQ</v>
      </c>
      <c r="B2763" s="6" t="s">
        <v>8</v>
      </c>
      <c r="C2763" s="6">
        <v>9925</v>
      </c>
      <c r="D2763" s="6">
        <v>10507</v>
      </c>
      <c r="E2763" s="6">
        <v>10433</v>
      </c>
      <c r="F2763" t="str">
        <f t="shared" si="1173"/>
        <v>TUE</v>
      </c>
      <c r="G2763" s="3">
        <f t="shared" si="1174"/>
        <v>44019</v>
      </c>
      <c r="H2763" s="2">
        <f t="shared" ca="1" si="1175"/>
        <v>234</v>
      </c>
      <c r="I2763" t="str">
        <f t="shared" si="1176"/>
        <v>COMPQ</v>
      </c>
      <c r="J2763">
        <f t="shared" si="1177"/>
        <v>9925</v>
      </c>
      <c r="K2763">
        <f t="shared" si="1178"/>
        <v>10507</v>
      </c>
      <c r="L2763">
        <f t="shared" si="1179"/>
        <v>10216</v>
      </c>
      <c r="M2763">
        <f t="shared" si="1180"/>
        <v>291</v>
      </c>
      <c r="N2763">
        <f t="shared" si="1170"/>
        <v>582</v>
      </c>
      <c r="O2763">
        <f t="shared" si="1181"/>
        <v>10433</v>
      </c>
      <c r="P2763">
        <f t="shared" si="1182"/>
        <v>0.74570446735395191</v>
      </c>
      <c r="Q2763" t="str">
        <f t="shared" si="1171"/>
        <v>4.87% | 0.71%</v>
      </c>
      <c r="R2763" t="str">
        <f t="shared" si="1183"/>
        <v>BULLISH</v>
      </c>
      <c r="S2763">
        <f t="shared" si="1172"/>
        <v>1</v>
      </c>
    </row>
    <row r="2764" spans="1:19" hidden="1" x14ac:dyDescent="0.25">
      <c r="A2764" s="5" t="str">
        <f t="shared" si="1169"/>
        <v>44019XLK</v>
      </c>
      <c r="B2764" s="6" t="s">
        <v>10</v>
      </c>
      <c r="C2764" s="6">
        <v>100.9</v>
      </c>
      <c r="D2764" s="6">
        <v>107.35</v>
      </c>
      <c r="E2764" s="6">
        <v>107.11</v>
      </c>
      <c r="F2764" t="str">
        <f t="shared" si="1173"/>
        <v>TUE</v>
      </c>
      <c r="G2764" s="3">
        <f t="shared" si="1174"/>
        <v>44019</v>
      </c>
      <c r="H2764" s="2">
        <f t="shared" ca="1" si="1175"/>
        <v>234</v>
      </c>
      <c r="I2764" t="str">
        <f t="shared" si="1176"/>
        <v>XLK</v>
      </c>
      <c r="J2764">
        <f t="shared" si="1177"/>
        <v>100.9</v>
      </c>
      <c r="K2764">
        <f t="shared" si="1178"/>
        <v>107.35</v>
      </c>
      <c r="L2764">
        <f t="shared" si="1179"/>
        <v>104.125</v>
      </c>
      <c r="M2764">
        <f t="shared" si="1180"/>
        <v>3.2249999999999943</v>
      </c>
      <c r="N2764">
        <f t="shared" si="1170"/>
        <v>6.4499999999999886</v>
      </c>
      <c r="O2764">
        <f t="shared" si="1181"/>
        <v>107.11</v>
      </c>
      <c r="P2764">
        <f t="shared" si="1182"/>
        <v>0.92558139534883865</v>
      </c>
      <c r="Q2764" t="str">
        <f t="shared" si="1171"/>
        <v>5.8% | 0.22%</v>
      </c>
      <c r="R2764" t="str">
        <f t="shared" si="1183"/>
        <v>BULLISH</v>
      </c>
      <c r="S2764">
        <f t="shared" si="1172"/>
        <v>1</v>
      </c>
    </row>
    <row r="2765" spans="1:19" hidden="1" x14ac:dyDescent="0.25">
      <c r="A2765" s="5" t="str">
        <f t="shared" si="1169"/>
        <v>44019XLRE</v>
      </c>
      <c r="B2765" s="6" t="s">
        <v>97</v>
      </c>
      <c r="C2765" s="6">
        <v>33.31</v>
      </c>
      <c r="D2765" s="6">
        <v>36.33</v>
      </c>
      <c r="E2765" s="6">
        <v>35.68</v>
      </c>
      <c r="F2765" t="str">
        <f t="shared" si="1173"/>
        <v>TUE</v>
      </c>
      <c r="G2765" s="3">
        <f t="shared" si="1174"/>
        <v>44019</v>
      </c>
      <c r="H2765" s="2">
        <f t="shared" ca="1" si="1175"/>
        <v>234</v>
      </c>
      <c r="I2765" t="str">
        <f t="shared" si="1176"/>
        <v>XLRE</v>
      </c>
      <c r="J2765">
        <f t="shared" si="1177"/>
        <v>33.31</v>
      </c>
      <c r="K2765">
        <f t="shared" si="1178"/>
        <v>36.33</v>
      </c>
      <c r="L2765">
        <f t="shared" si="1179"/>
        <v>34.82</v>
      </c>
      <c r="M2765">
        <f t="shared" si="1180"/>
        <v>1.509999999999998</v>
      </c>
      <c r="N2765">
        <f t="shared" si="1170"/>
        <v>3.019999999999996</v>
      </c>
      <c r="O2765">
        <f t="shared" si="1181"/>
        <v>35.68</v>
      </c>
      <c r="P2765">
        <f t="shared" si="1182"/>
        <v>0.56953642384105996</v>
      </c>
      <c r="Q2765" t="str">
        <f t="shared" si="1171"/>
        <v>6.64% | 1.82%</v>
      </c>
      <c r="R2765" t="str">
        <f t="shared" si="1183"/>
        <v>BULLISH</v>
      </c>
      <c r="S2765">
        <f t="shared" si="1172"/>
        <v>1</v>
      </c>
    </row>
    <row r="2766" spans="1:19" hidden="1" x14ac:dyDescent="0.25">
      <c r="A2766" s="5" t="str">
        <f t="shared" si="1169"/>
        <v>44019XLU</v>
      </c>
      <c r="B2766" s="6" t="s">
        <v>80</v>
      </c>
      <c r="C2766" s="6">
        <v>54.94</v>
      </c>
      <c r="D2766" s="6">
        <v>58.4</v>
      </c>
      <c r="E2766" s="6">
        <v>57.19</v>
      </c>
      <c r="F2766" t="str">
        <f t="shared" si="1173"/>
        <v>TUE</v>
      </c>
      <c r="G2766" s="3">
        <f t="shared" si="1174"/>
        <v>44019</v>
      </c>
      <c r="H2766" s="2">
        <f t="shared" ca="1" si="1175"/>
        <v>234</v>
      </c>
      <c r="I2766" t="str">
        <f t="shared" si="1176"/>
        <v>XLU</v>
      </c>
      <c r="J2766">
        <f t="shared" si="1177"/>
        <v>54.94</v>
      </c>
      <c r="K2766">
        <f t="shared" si="1178"/>
        <v>58.4</v>
      </c>
      <c r="L2766">
        <f t="shared" si="1179"/>
        <v>56.67</v>
      </c>
      <c r="M2766">
        <f t="shared" si="1180"/>
        <v>1.7300000000000004</v>
      </c>
      <c r="N2766">
        <f t="shared" si="1170"/>
        <v>3.4600000000000009</v>
      </c>
      <c r="O2766">
        <f t="shared" si="1181"/>
        <v>57.19</v>
      </c>
      <c r="P2766">
        <f t="shared" si="1182"/>
        <v>0.30057803468207855</v>
      </c>
      <c r="Q2766" t="str">
        <f t="shared" si="1171"/>
        <v>3.93% | 2.12%</v>
      </c>
      <c r="R2766" t="str">
        <f t="shared" si="1183"/>
        <v>NEUTRAL</v>
      </c>
      <c r="S2766">
        <f t="shared" si="1172"/>
        <v>0</v>
      </c>
    </row>
    <row r="2767" spans="1:19" hidden="1" x14ac:dyDescent="0.25">
      <c r="A2767" s="5" t="str">
        <f t="shared" si="1169"/>
        <v>44019XLF</v>
      </c>
      <c r="B2767" s="6" t="s">
        <v>12</v>
      </c>
      <c r="C2767" s="6">
        <v>22.04</v>
      </c>
      <c r="D2767" s="6">
        <v>23.98</v>
      </c>
      <c r="E2767" s="6">
        <v>23.41</v>
      </c>
      <c r="F2767" t="str">
        <f t="shared" si="1173"/>
        <v>TUE</v>
      </c>
      <c r="G2767" s="3">
        <f t="shared" si="1174"/>
        <v>44019</v>
      </c>
      <c r="H2767" s="2">
        <f t="shared" ca="1" si="1175"/>
        <v>234</v>
      </c>
      <c r="I2767" t="str">
        <f t="shared" si="1176"/>
        <v>XLF</v>
      </c>
      <c r="J2767">
        <f t="shared" si="1177"/>
        <v>22.04</v>
      </c>
      <c r="K2767">
        <f t="shared" si="1178"/>
        <v>23.98</v>
      </c>
      <c r="L2767">
        <f t="shared" si="1179"/>
        <v>23.009999999999998</v>
      </c>
      <c r="M2767">
        <f t="shared" si="1180"/>
        <v>0.97000000000000064</v>
      </c>
      <c r="N2767">
        <f t="shared" si="1170"/>
        <v>1.9400000000000013</v>
      </c>
      <c r="O2767">
        <f t="shared" si="1181"/>
        <v>23.41</v>
      </c>
      <c r="P2767">
        <f t="shared" si="1182"/>
        <v>0.41237113402062048</v>
      </c>
      <c r="Q2767" t="str">
        <f t="shared" si="1171"/>
        <v>5.85% | 2.43%</v>
      </c>
      <c r="R2767" t="str">
        <f t="shared" si="1183"/>
        <v>BEARISH</v>
      </c>
      <c r="S2767">
        <f t="shared" si="1172"/>
        <v>-1</v>
      </c>
    </row>
    <row r="2768" spans="1:19" hidden="1" x14ac:dyDescent="0.25">
      <c r="A2768" s="5" t="str">
        <f t="shared" si="1169"/>
        <v>44019SSEC</v>
      </c>
      <c r="B2768" s="6" t="s">
        <v>104</v>
      </c>
      <c r="C2768" s="6">
        <v>3061</v>
      </c>
      <c r="D2768" s="6">
        <v>3378</v>
      </c>
      <c r="E2768" s="6">
        <v>3345</v>
      </c>
      <c r="F2768" t="str">
        <f t="shared" si="1173"/>
        <v>TUE</v>
      </c>
      <c r="G2768" s="3">
        <f t="shared" si="1174"/>
        <v>44019</v>
      </c>
      <c r="H2768" s="2">
        <f t="shared" ca="1" si="1175"/>
        <v>234</v>
      </c>
      <c r="I2768" t="str">
        <f t="shared" si="1176"/>
        <v>SSEC</v>
      </c>
      <c r="J2768">
        <f t="shared" si="1177"/>
        <v>3061</v>
      </c>
      <c r="K2768">
        <f t="shared" si="1178"/>
        <v>3378</v>
      </c>
      <c r="L2768">
        <f t="shared" si="1179"/>
        <v>3219.5</v>
      </c>
      <c r="M2768">
        <f t="shared" si="1180"/>
        <v>158.5</v>
      </c>
      <c r="N2768">
        <f t="shared" si="1170"/>
        <v>317</v>
      </c>
      <c r="O2768">
        <f t="shared" si="1181"/>
        <v>3345</v>
      </c>
      <c r="P2768">
        <f t="shared" si="1182"/>
        <v>0.79179810725552047</v>
      </c>
      <c r="Q2768" t="str">
        <f t="shared" si="1171"/>
        <v>8.49% | 0.99%</v>
      </c>
      <c r="R2768" t="str">
        <f t="shared" si="1183"/>
        <v>BULLISH</v>
      </c>
      <c r="S2768">
        <f t="shared" si="1172"/>
        <v>1</v>
      </c>
    </row>
    <row r="2769" spans="1:19" hidden="1" x14ac:dyDescent="0.25">
      <c r="A2769" s="5" t="str">
        <f t="shared" si="1169"/>
        <v>44019NIKK</v>
      </c>
      <c r="B2769" s="6" t="s">
        <v>90</v>
      </c>
      <c r="C2769" s="6">
        <v>21808</v>
      </c>
      <c r="D2769" s="6">
        <v>22751</v>
      </c>
      <c r="E2769" s="6">
        <v>22614</v>
      </c>
      <c r="F2769" t="str">
        <f t="shared" si="1173"/>
        <v>TUE</v>
      </c>
      <c r="G2769" s="3">
        <f t="shared" si="1174"/>
        <v>44019</v>
      </c>
      <c r="H2769" s="2">
        <f t="shared" ca="1" si="1175"/>
        <v>234</v>
      </c>
      <c r="I2769" t="str">
        <f t="shared" si="1176"/>
        <v>NIKK</v>
      </c>
      <c r="J2769">
        <f t="shared" si="1177"/>
        <v>21808</v>
      </c>
      <c r="K2769">
        <f t="shared" si="1178"/>
        <v>22751</v>
      </c>
      <c r="L2769">
        <f t="shared" si="1179"/>
        <v>22279.5</v>
      </c>
      <c r="M2769">
        <f t="shared" si="1180"/>
        <v>471.5</v>
      </c>
      <c r="N2769">
        <f t="shared" si="1170"/>
        <v>943</v>
      </c>
      <c r="O2769">
        <f t="shared" si="1181"/>
        <v>22614</v>
      </c>
      <c r="P2769">
        <f t="shared" si="1182"/>
        <v>0.70943796394485681</v>
      </c>
      <c r="Q2769" t="str">
        <f t="shared" si="1171"/>
        <v>3.56% | 0.61%</v>
      </c>
      <c r="R2769" t="str">
        <f t="shared" si="1183"/>
        <v>NEUTRAL</v>
      </c>
      <c r="S2769">
        <f t="shared" si="1172"/>
        <v>0</v>
      </c>
    </row>
    <row r="2770" spans="1:19" hidden="1" x14ac:dyDescent="0.25">
      <c r="A2770" s="5" t="str">
        <f t="shared" si="1169"/>
        <v>44019DAX</v>
      </c>
      <c r="B2770" s="6" t="s">
        <v>92</v>
      </c>
      <c r="C2770" s="6">
        <v>12101</v>
      </c>
      <c r="D2770" s="6">
        <v>12780</v>
      </c>
      <c r="E2770" s="6">
        <v>12733</v>
      </c>
      <c r="F2770" t="str">
        <f t="shared" si="1173"/>
        <v>TUE</v>
      </c>
      <c r="G2770" s="3">
        <f t="shared" si="1174"/>
        <v>44019</v>
      </c>
      <c r="H2770" s="2">
        <f t="shared" ca="1" si="1175"/>
        <v>234</v>
      </c>
      <c r="I2770" t="str">
        <f t="shared" si="1176"/>
        <v>DAX</v>
      </c>
      <c r="J2770">
        <f t="shared" si="1177"/>
        <v>12101</v>
      </c>
      <c r="K2770">
        <f t="shared" si="1178"/>
        <v>12780</v>
      </c>
      <c r="L2770">
        <f t="shared" si="1179"/>
        <v>12440.5</v>
      </c>
      <c r="M2770">
        <f t="shared" si="1180"/>
        <v>339.5</v>
      </c>
      <c r="N2770">
        <f t="shared" si="1170"/>
        <v>679</v>
      </c>
      <c r="O2770">
        <f t="shared" si="1181"/>
        <v>12733</v>
      </c>
      <c r="P2770">
        <f t="shared" si="1182"/>
        <v>0.8615611192930781</v>
      </c>
      <c r="Q2770" t="str">
        <f t="shared" si="1171"/>
        <v>4.96% | 0.37%</v>
      </c>
      <c r="R2770" t="str">
        <f t="shared" si="1183"/>
        <v>NEUTRAL</v>
      </c>
      <c r="S2770">
        <f t="shared" si="1172"/>
        <v>0</v>
      </c>
    </row>
    <row r="2771" spans="1:19" hidden="1" x14ac:dyDescent="0.25">
      <c r="A2771" s="5" t="str">
        <f t="shared" si="1169"/>
        <v>44019VIX</v>
      </c>
      <c r="B2771" s="6" t="s">
        <v>17</v>
      </c>
      <c r="C2771" s="6">
        <v>26.12</v>
      </c>
      <c r="D2771" s="6">
        <v>35.9</v>
      </c>
      <c r="E2771" s="6">
        <v>27.94</v>
      </c>
      <c r="F2771" t="str">
        <f t="shared" si="1173"/>
        <v>TUE</v>
      </c>
      <c r="G2771" s="3">
        <f t="shared" si="1174"/>
        <v>44019</v>
      </c>
      <c r="H2771" s="2">
        <f t="shared" ca="1" si="1175"/>
        <v>234</v>
      </c>
      <c r="I2771" t="str">
        <f t="shared" si="1176"/>
        <v>VIX</v>
      </c>
      <c r="J2771">
        <f t="shared" si="1177"/>
        <v>26.12</v>
      </c>
      <c r="K2771">
        <f t="shared" si="1178"/>
        <v>35.9</v>
      </c>
      <c r="L2771">
        <f t="shared" si="1179"/>
        <v>31.009999999999998</v>
      </c>
      <c r="M2771">
        <f t="shared" si="1180"/>
        <v>4.890000000000013</v>
      </c>
      <c r="N2771">
        <f t="shared" si="1170"/>
        <v>9.7799999999999976</v>
      </c>
      <c r="O2771">
        <f t="shared" si="1181"/>
        <v>27.94</v>
      </c>
      <c r="P2771">
        <f t="shared" si="1182"/>
        <v>-0.62781186094069297</v>
      </c>
      <c r="Q2771" t="str">
        <f t="shared" si="1171"/>
        <v>6.51% | 28.49%</v>
      </c>
      <c r="R2771" t="str">
        <f t="shared" si="1183"/>
        <v>BULLISH</v>
      </c>
      <c r="S2771">
        <f t="shared" si="1172"/>
        <v>1</v>
      </c>
    </row>
    <row r="2772" spans="1:19" hidden="1" x14ac:dyDescent="0.25">
      <c r="A2772" s="5" t="str">
        <f t="shared" si="1169"/>
        <v>44019USD</v>
      </c>
      <c r="B2772" s="6" t="s">
        <v>94</v>
      </c>
      <c r="C2772" s="6">
        <v>96.37</v>
      </c>
      <c r="D2772" s="6">
        <v>97.8</v>
      </c>
      <c r="E2772" s="6">
        <v>96.68</v>
      </c>
      <c r="F2772" t="str">
        <f t="shared" si="1173"/>
        <v>TUE</v>
      </c>
      <c r="G2772" s="3">
        <f t="shared" si="1174"/>
        <v>44019</v>
      </c>
      <c r="H2772" s="2">
        <f t="shared" ca="1" si="1175"/>
        <v>234</v>
      </c>
      <c r="I2772" t="str">
        <f t="shared" si="1176"/>
        <v>USD</v>
      </c>
      <c r="J2772">
        <f t="shared" si="1177"/>
        <v>96.37</v>
      </c>
      <c r="K2772">
        <f t="shared" si="1178"/>
        <v>97.8</v>
      </c>
      <c r="L2772">
        <f t="shared" si="1179"/>
        <v>97.085000000000008</v>
      </c>
      <c r="M2772">
        <f t="shared" si="1180"/>
        <v>0.71499999999999631</v>
      </c>
      <c r="N2772">
        <f t="shared" si="1170"/>
        <v>1.4299999999999926</v>
      </c>
      <c r="O2772">
        <f t="shared" si="1181"/>
        <v>96.68</v>
      </c>
      <c r="P2772">
        <f t="shared" si="1182"/>
        <v>-0.5664335664335709</v>
      </c>
      <c r="Q2772" t="str">
        <f t="shared" si="1171"/>
        <v>0.32% | 1.16%</v>
      </c>
      <c r="R2772" t="str">
        <f t="shared" si="1183"/>
        <v>BEARISH</v>
      </c>
      <c r="S2772">
        <f t="shared" si="1172"/>
        <v>-1</v>
      </c>
    </row>
    <row r="2773" spans="1:19" hidden="1" x14ac:dyDescent="0.25">
      <c r="A2773" s="5" t="str">
        <f t="shared" si="1169"/>
        <v>44019EUR/USD</v>
      </c>
      <c r="B2773" s="6" t="s">
        <v>99</v>
      </c>
      <c r="C2773" s="6">
        <v>1.1100000000000001</v>
      </c>
      <c r="D2773" s="6">
        <v>1.1299999999999999</v>
      </c>
      <c r="E2773" s="6">
        <v>1.1299999999999999</v>
      </c>
      <c r="F2773" t="str">
        <f t="shared" si="1173"/>
        <v>TUE</v>
      </c>
      <c r="G2773" s="3">
        <f t="shared" si="1174"/>
        <v>44019</v>
      </c>
      <c r="H2773" s="2">
        <f t="shared" ca="1" si="1175"/>
        <v>234</v>
      </c>
      <c r="I2773" t="str">
        <f t="shared" si="1176"/>
        <v>EUR/USD</v>
      </c>
      <c r="J2773">
        <f t="shared" si="1177"/>
        <v>1.1100000000000001</v>
      </c>
      <c r="K2773">
        <f t="shared" si="1178"/>
        <v>1.1299999999999999</v>
      </c>
      <c r="L2773">
        <f t="shared" si="1179"/>
        <v>1.1200000000000001</v>
      </c>
      <c r="M2773">
        <f t="shared" si="1180"/>
        <v>9.9999999999998979E-3</v>
      </c>
      <c r="N2773">
        <f t="shared" si="1170"/>
        <v>1.9999999999999796E-2</v>
      </c>
      <c r="O2773">
        <f t="shared" si="1181"/>
        <v>1.1299999999999999</v>
      </c>
      <c r="P2773">
        <f t="shared" si="1182"/>
        <v>0.9999999999999889</v>
      </c>
      <c r="Q2773" t="str">
        <f t="shared" si="1171"/>
        <v>1.77% | 0%</v>
      </c>
      <c r="R2773" t="str">
        <f t="shared" si="1183"/>
        <v>BULLISH</v>
      </c>
      <c r="S2773">
        <f t="shared" si="1172"/>
        <v>1</v>
      </c>
    </row>
    <row r="2774" spans="1:19" hidden="1" x14ac:dyDescent="0.25">
      <c r="A2774" s="5" t="str">
        <f t="shared" si="1169"/>
        <v>44019USD/JPY</v>
      </c>
      <c r="B2774" s="6" t="s">
        <v>20</v>
      </c>
      <c r="C2774" s="6">
        <v>106.47</v>
      </c>
      <c r="D2774" s="6">
        <v>108.17</v>
      </c>
      <c r="E2774" s="6">
        <v>107.38</v>
      </c>
      <c r="F2774" t="str">
        <f t="shared" si="1173"/>
        <v>TUE</v>
      </c>
      <c r="G2774" s="3">
        <f t="shared" si="1174"/>
        <v>44019</v>
      </c>
      <c r="H2774" s="2">
        <f t="shared" ca="1" si="1175"/>
        <v>234</v>
      </c>
      <c r="I2774" t="str">
        <f t="shared" si="1176"/>
        <v>USD/JPY</v>
      </c>
      <c r="J2774">
        <f t="shared" si="1177"/>
        <v>106.47</v>
      </c>
      <c r="K2774">
        <f t="shared" si="1178"/>
        <v>108.17</v>
      </c>
      <c r="L2774">
        <f t="shared" si="1179"/>
        <v>107.32</v>
      </c>
      <c r="M2774">
        <f t="shared" si="1180"/>
        <v>0.85000000000000142</v>
      </c>
      <c r="N2774">
        <f t="shared" si="1170"/>
        <v>1.7000000000000028</v>
      </c>
      <c r="O2774">
        <f t="shared" si="1181"/>
        <v>107.38</v>
      </c>
      <c r="P2774">
        <f t="shared" si="1182"/>
        <v>7.05882352941202E-2</v>
      </c>
      <c r="Q2774" t="str">
        <f t="shared" si="1171"/>
        <v>0.85% | 0.74%</v>
      </c>
      <c r="R2774" t="str">
        <f t="shared" si="1183"/>
        <v>BEARISH</v>
      </c>
      <c r="S2774">
        <f t="shared" si="1172"/>
        <v>-1</v>
      </c>
    </row>
    <row r="2775" spans="1:19" hidden="1" x14ac:dyDescent="0.25">
      <c r="A2775" s="5" t="str">
        <f t="shared" si="1169"/>
        <v>44019GBP/USD</v>
      </c>
      <c r="B2775" s="6" t="s">
        <v>79</v>
      </c>
      <c r="C2775" s="6">
        <v>1.22</v>
      </c>
      <c r="D2775" s="6">
        <v>1.25</v>
      </c>
      <c r="E2775" s="6">
        <v>1.24</v>
      </c>
      <c r="F2775" t="str">
        <f t="shared" si="1173"/>
        <v>TUE</v>
      </c>
      <c r="G2775" s="3">
        <f t="shared" si="1174"/>
        <v>44019</v>
      </c>
      <c r="H2775" s="2">
        <f t="shared" ca="1" si="1175"/>
        <v>234</v>
      </c>
      <c r="I2775" t="str">
        <f t="shared" si="1176"/>
        <v>GBP/USD</v>
      </c>
      <c r="J2775">
        <f t="shared" si="1177"/>
        <v>1.22</v>
      </c>
      <c r="K2775">
        <f t="shared" si="1178"/>
        <v>1.25</v>
      </c>
      <c r="L2775">
        <f t="shared" si="1179"/>
        <v>1.2349999999999999</v>
      </c>
      <c r="M2775">
        <f t="shared" si="1180"/>
        <v>1.5000000000000013E-2</v>
      </c>
      <c r="N2775">
        <f t="shared" si="1170"/>
        <v>3.0000000000000027E-2</v>
      </c>
      <c r="O2775">
        <f t="shared" si="1181"/>
        <v>1.24</v>
      </c>
      <c r="P2775">
        <f t="shared" si="1182"/>
        <v>0.33333333333334075</v>
      </c>
      <c r="Q2775" t="str">
        <f t="shared" si="1171"/>
        <v>1.61% | 0.81%</v>
      </c>
      <c r="R2775" t="str">
        <f t="shared" si="1183"/>
        <v>NEUTRAL</v>
      </c>
      <c r="S2775">
        <f t="shared" si="1172"/>
        <v>0</v>
      </c>
    </row>
    <row r="2776" spans="1:19" hidden="1" x14ac:dyDescent="0.25">
      <c r="A2776" s="5" t="str">
        <f t="shared" si="1169"/>
        <v>44019USD/CHF</v>
      </c>
      <c r="B2776" s="6" t="s">
        <v>76</v>
      </c>
      <c r="C2776" s="6">
        <v>0.93</v>
      </c>
      <c r="D2776" s="6">
        <v>0.95</v>
      </c>
      <c r="E2776" s="6">
        <v>0.94</v>
      </c>
      <c r="F2776" t="str">
        <f t="shared" si="1173"/>
        <v>TUE</v>
      </c>
      <c r="G2776" s="3">
        <f t="shared" si="1174"/>
        <v>44019</v>
      </c>
      <c r="H2776" s="2">
        <f t="shared" ca="1" si="1175"/>
        <v>234</v>
      </c>
      <c r="I2776" t="str">
        <f t="shared" si="1176"/>
        <v>USD/CHF</v>
      </c>
      <c r="J2776">
        <f t="shared" si="1177"/>
        <v>0.93</v>
      </c>
      <c r="K2776">
        <f t="shared" si="1178"/>
        <v>0.95</v>
      </c>
      <c r="L2776">
        <f t="shared" si="1179"/>
        <v>0.94</v>
      </c>
      <c r="M2776">
        <f t="shared" si="1180"/>
        <v>9.9999999999999534E-3</v>
      </c>
      <c r="N2776">
        <f t="shared" si="1170"/>
        <v>1.9999999999999907E-2</v>
      </c>
      <c r="O2776">
        <f t="shared" si="1181"/>
        <v>0.94</v>
      </c>
      <c r="P2776">
        <f t="shared" si="1182"/>
        <v>0</v>
      </c>
      <c r="Q2776" t="str">
        <f t="shared" si="1171"/>
        <v>1.06% | 1.06%</v>
      </c>
      <c r="R2776" t="str">
        <f t="shared" si="1183"/>
        <v>BEARISH</v>
      </c>
      <c r="S2776">
        <f t="shared" si="1172"/>
        <v>-1</v>
      </c>
    </row>
    <row r="2777" spans="1:19" hidden="1" x14ac:dyDescent="0.25">
      <c r="A2777" s="5" t="str">
        <f t="shared" si="1169"/>
        <v>44019WTIC</v>
      </c>
      <c r="B2777" s="6" t="s">
        <v>158</v>
      </c>
      <c r="C2777" s="6">
        <v>37.44</v>
      </c>
      <c r="D2777" s="6">
        <v>41.34</v>
      </c>
      <c r="E2777" s="6">
        <v>40.630000000000003</v>
      </c>
      <c r="F2777" t="str">
        <f t="shared" si="1173"/>
        <v>TUE</v>
      </c>
      <c r="G2777" s="3">
        <f t="shared" si="1174"/>
        <v>44019</v>
      </c>
      <c r="H2777" s="2">
        <f t="shared" ca="1" si="1175"/>
        <v>234</v>
      </c>
      <c r="I2777" t="str">
        <f t="shared" si="1176"/>
        <v>WTIC</v>
      </c>
      <c r="J2777">
        <f t="shared" si="1177"/>
        <v>37.44</v>
      </c>
      <c r="K2777">
        <f t="shared" si="1178"/>
        <v>41.34</v>
      </c>
      <c r="L2777">
        <f t="shared" si="1179"/>
        <v>39.39</v>
      </c>
      <c r="M2777">
        <f t="shared" si="1180"/>
        <v>1.9500000000000028</v>
      </c>
      <c r="N2777">
        <f t="shared" si="1170"/>
        <v>3.9000000000000057</v>
      </c>
      <c r="O2777">
        <f t="shared" si="1181"/>
        <v>40.630000000000003</v>
      </c>
      <c r="P2777">
        <f t="shared" si="1182"/>
        <v>0.63589743589743597</v>
      </c>
      <c r="Q2777" t="str">
        <f t="shared" si="1171"/>
        <v>7.85% | 1.75%</v>
      </c>
      <c r="R2777" t="str">
        <f t="shared" si="1183"/>
        <v>BULLISH</v>
      </c>
      <c r="S2777">
        <f t="shared" si="1172"/>
        <v>1</v>
      </c>
    </row>
    <row r="2778" spans="1:19" hidden="1" x14ac:dyDescent="0.25">
      <c r="A2778" s="5" t="str">
        <f t="shared" si="1169"/>
        <v>44019NATGAS</v>
      </c>
      <c r="B2778" s="6" t="s">
        <v>89</v>
      </c>
      <c r="C2778" s="6">
        <v>1.53</v>
      </c>
      <c r="D2778" s="6">
        <v>1.91</v>
      </c>
      <c r="E2778" s="6">
        <v>1.83</v>
      </c>
      <c r="F2778" t="str">
        <f t="shared" si="1173"/>
        <v>TUE</v>
      </c>
      <c r="G2778" s="3">
        <f t="shared" si="1174"/>
        <v>44019</v>
      </c>
      <c r="H2778" s="2">
        <f t="shared" ca="1" si="1175"/>
        <v>234</v>
      </c>
      <c r="I2778" t="str">
        <f t="shared" si="1176"/>
        <v>NATGAS</v>
      </c>
      <c r="J2778">
        <f t="shared" si="1177"/>
        <v>1.53</v>
      </c>
      <c r="K2778">
        <f t="shared" si="1178"/>
        <v>1.91</v>
      </c>
      <c r="L2778">
        <f t="shared" si="1179"/>
        <v>1.72</v>
      </c>
      <c r="M2778">
        <f t="shared" si="1180"/>
        <v>0.19000000000000064</v>
      </c>
      <c r="N2778">
        <f t="shared" si="1170"/>
        <v>0.37999999999999989</v>
      </c>
      <c r="O2778">
        <f t="shared" si="1181"/>
        <v>1.83</v>
      </c>
      <c r="P2778">
        <f t="shared" si="1182"/>
        <v>0.57894736842105121</v>
      </c>
      <c r="Q2778" t="str">
        <f t="shared" si="1171"/>
        <v>16.39% | 4.37%</v>
      </c>
      <c r="R2778" t="str">
        <f t="shared" si="1183"/>
        <v>BULLISH</v>
      </c>
      <c r="S2778">
        <f t="shared" si="1172"/>
        <v>1</v>
      </c>
    </row>
    <row r="2779" spans="1:19" hidden="1" x14ac:dyDescent="0.25">
      <c r="A2779" s="5" t="str">
        <f t="shared" si="1169"/>
        <v>44019GOLD</v>
      </c>
      <c r="B2779" s="6" t="s">
        <v>25</v>
      </c>
      <c r="C2779" s="6">
        <v>1762</v>
      </c>
      <c r="D2779" s="6">
        <v>1802</v>
      </c>
      <c r="E2779" s="6">
        <v>1793</v>
      </c>
      <c r="F2779" t="str">
        <f t="shared" si="1173"/>
        <v>TUE</v>
      </c>
      <c r="G2779" s="3">
        <f t="shared" si="1174"/>
        <v>44019</v>
      </c>
      <c r="H2779" s="2">
        <f t="shared" ca="1" si="1175"/>
        <v>234</v>
      </c>
      <c r="I2779" t="str">
        <f t="shared" si="1176"/>
        <v>GOLD</v>
      </c>
      <c r="J2779">
        <f t="shared" si="1177"/>
        <v>1762</v>
      </c>
      <c r="K2779">
        <f t="shared" si="1178"/>
        <v>1802</v>
      </c>
      <c r="L2779">
        <f t="shared" si="1179"/>
        <v>1782</v>
      </c>
      <c r="M2779">
        <f t="shared" si="1180"/>
        <v>20</v>
      </c>
      <c r="N2779">
        <f t="shared" si="1170"/>
        <v>40</v>
      </c>
      <c r="O2779">
        <f t="shared" si="1181"/>
        <v>1793</v>
      </c>
      <c r="P2779">
        <f t="shared" si="1182"/>
        <v>0.55000000000000004</v>
      </c>
      <c r="Q2779" t="str">
        <f t="shared" si="1171"/>
        <v>1.73% | 0.5%</v>
      </c>
      <c r="R2779" t="str">
        <f t="shared" si="1183"/>
        <v>BULLISH</v>
      </c>
      <c r="S2779">
        <f t="shared" si="1172"/>
        <v>1</v>
      </c>
    </row>
    <row r="2780" spans="1:19" hidden="1" x14ac:dyDescent="0.25">
      <c r="A2780" s="5" t="str">
        <f t="shared" si="1169"/>
        <v>44019COPPER</v>
      </c>
      <c r="B2780" s="6" t="s">
        <v>100</v>
      </c>
      <c r="C2780" s="6">
        <v>2.62</v>
      </c>
      <c r="D2780" s="6">
        <v>2.79</v>
      </c>
      <c r="E2780" s="6">
        <v>2.77</v>
      </c>
      <c r="F2780" t="str">
        <f t="shared" si="1173"/>
        <v>TUE</v>
      </c>
      <c r="G2780" s="3">
        <f t="shared" si="1174"/>
        <v>44019</v>
      </c>
      <c r="H2780" s="2">
        <f t="shared" ca="1" si="1175"/>
        <v>234</v>
      </c>
      <c r="I2780" t="str">
        <f t="shared" si="1176"/>
        <v>COPPER</v>
      </c>
      <c r="J2780">
        <f t="shared" si="1177"/>
        <v>2.62</v>
      </c>
      <c r="K2780">
        <f t="shared" si="1178"/>
        <v>2.79</v>
      </c>
      <c r="L2780">
        <f t="shared" si="1179"/>
        <v>2.7050000000000001</v>
      </c>
      <c r="M2780">
        <f t="shared" si="1180"/>
        <v>8.4999999999999964E-2</v>
      </c>
      <c r="N2780">
        <f t="shared" si="1170"/>
        <v>0.16999999999999993</v>
      </c>
      <c r="O2780">
        <f t="shared" si="1181"/>
        <v>2.77</v>
      </c>
      <c r="P2780">
        <f t="shared" si="1182"/>
        <v>0.7647058823529409</v>
      </c>
      <c r="Q2780" t="str">
        <f t="shared" si="1171"/>
        <v>5.42% | 0.72%</v>
      </c>
      <c r="R2780" t="str">
        <f t="shared" si="1183"/>
        <v>BULLISH</v>
      </c>
      <c r="S2780">
        <f t="shared" si="1172"/>
        <v>1</v>
      </c>
    </row>
    <row r="2781" spans="1:19" hidden="1" x14ac:dyDescent="0.25">
      <c r="A2781" s="5" t="str">
        <f t="shared" si="1169"/>
        <v>44019MSFT</v>
      </c>
      <c r="B2781" s="6" t="s">
        <v>27</v>
      </c>
      <c r="C2781" s="6">
        <v>195</v>
      </c>
      <c r="D2781" s="6">
        <v>212</v>
      </c>
      <c r="E2781" s="6">
        <v>210</v>
      </c>
      <c r="F2781" t="str">
        <f t="shared" si="1173"/>
        <v>TUE</v>
      </c>
      <c r="G2781" s="3">
        <f t="shared" si="1174"/>
        <v>44019</v>
      </c>
      <c r="H2781" s="2">
        <f t="shared" ca="1" si="1175"/>
        <v>234</v>
      </c>
      <c r="I2781" t="str">
        <f t="shared" si="1176"/>
        <v>MSFT</v>
      </c>
      <c r="J2781">
        <f t="shared" si="1177"/>
        <v>195</v>
      </c>
      <c r="K2781">
        <f t="shared" si="1178"/>
        <v>212</v>
      </c>
      <c r="L2781">
        <f t="shared" si="1179"/>
        <v>203.5</v>
      </c>
      <c r="M2781">
        <f t="shared" si="1180"/>
        <v>8.5</v>
      </c>
      <c r="N2781">
        <f t="shared" si="1170"/>
        <v>17</v>
      </c>
      <c r="O2781">
        <f t="shared" si="1181"/>
        <v>210</v>
      </c>
      <c r="P2781">
        <f t="shared" si="1182"/>
        <v>0.76470588235294112</v>
      </c>
      <c r="Q2781" t="str">
        <f t="shared" si="1171"/>
        <v>7.14% | 0.95%</v>
      </c>
      <c r="R2781" t="str">
        <f t="shared" si="1183"/>
        <v>BULLISH</v>
      </c>
      <c r="S2781">
        <f t="shared" si="1172"/>
        <v>1</v>
      </c>
    </row>
    <row r="2782" spans="1:19" hidden="1" x14ac:dyDescent="0.25">
      <c r="A2782" s="5" t="str">
        <f t="shared" si="1169"/>
        <v>44019AAPL</v>
      </c>
      <c r="B2782" s="6" t="s">
        <v>28</v>
      </c>
      <c r="C2782" s="6">
        <v>353</v>
      </c>
      <c r="D2782" s="6">
        <v>375</v>
      </c>
      <c r="E2782" s="6">
        <v>373</v>
      </c>
      <c r="F2782" t="str">
        <f t="shared" si="1173"/>
        <v>TUE</v>
      </c>
      <c r="G2782" s="3">
        <f t="shared" si="1174"/>
        <v>44019</v>
      </c>
      <c r="H2782" s="2">
        <f t="shared" ca="1" si="1175"/>
        <v>234</v>
      </c>
      <c r="I2782" t="str">
        <f t="shared" si="1176"/>
        <v>AAPL</v>
      </c>
      <c r="J2782">
        <f t="shared" si="1177"/>
        <v>353</v>
      </c>
      <c r="K2782">
        <f t="shared" si="1178"/>
        <v>375</v>
      </c>
      <c r="L2782">
        <f t="shared" si="1179"/>
        <v>364</v>
      </c>
      <c r="M2782">
        <f t="shared" si="1180"/>
        <v>11</v>
      </c>
      <c r="N2782">
        <f t="shared" si="1170"/>
        <v>22</v>
      </c>
      <c r="O2782">
        <f t="shared" si="1181"/>
        <v>373</v>
      </c>
      <c r="P2782">
        <f t="shared" si="1182"/>
        <v>0.81818181818181823</v>
      </c>
      <c r="Q2782" t="str">
        <f t="shared" si="1171"/>
        <v>5.36% | 0.54%</v>
      </c>
      <c r="R2782" t="str">
        <f t="shared" si="1183"/>
        <v>BULLISH</v>
      </c>
      <c r="S2782">
        <f t="shared" si="1172"/>
        <v>1</v>
      </c>
    </row>
    <row r="2783" spans="1:19" hidden="1" x14ac:dyDescent="0.25">
      <c r="A2783" s="5" t="str">
        <f t="shared" si="1169"/>
        <v>44019AMZN</v>
      </c>
      <c r="B2783" s="6" t="s">
        <v>29</v>
      </c>
      <c r="C2783" s="6">
        <v>2790</v>
      </c>
      <c r="D2783" s="6">
        <v>3060</v>
      </c>
      <c r="E2783" s="6">
        <v>3057</v>
      </c>
      <c r="F2783" t="str">
        <f t="shared" si="1173"/>
        <v>TUE</v>
      </c>
      <c r="G2783" s="3">
        <f t="shared" si="1174"/>
        <v>44019</v>
      </c>
      <c r="H2783" s="2">
        <f t="shared" ca="1" si="1175"/>
        <v>234</v>
      </c>
      <c r="I2783" t="str">
        <f t="shared" si="1176"/>
        <v>AMZN</v>
      </c>
      <c r="J2783">
        <f t="shared" si="1177"/>
        <v>2790</v>
      </c>
      <c r="K2783">
        <f t="shared" si="1178"/>
        <v>3060</v>
      </c>
      <c r="L2783">
        <f t="shared" si="1179"/>
        <v>2925</v>
      </c>
      <c r="M2783">
        <f t="shared" si="1180"/>
        <v>135</v>
      </c>
      <c r="N2783">
        <f t="shared" si="1170"/>
        <v>270</v>
      </c>
      <c r="O2783">
        <f t="shared" si="1181"/>
        <v>3057</v>
      </c>
      <c r="P2783">
        <f t="shared" si="1182"/>
        <v>0.97777777777777775</v>
      </c>
      <c r="Q2783" t="str">
        <f t="shared" si="1171"/>
        <v>8.73% | 0.1%</v>
      </c>
      <c r="R2783" t="str">
        <f t="shared" si="1183"/>
        <v>BULLISH</v>
      </c>
      <c r="S2783">
        <f t="shared" si="1172"/>
        <v>1</v>
      </c>
    </row>
    <row r="2784" spans="1:19" hidden="1" x14ac:dyDescent="0.25">
      <c r="A2784" s="5" t="str">
        <f t="shared" si="1169"/>
        <v>44019FB</v>
      </c>
      <c r="B2784" s="6" t="s">
        <v>30</v>
      </c>
      <c r="C2784" s="6">
        <v>215</v>
      </c>
      <c r="D2784" s="6">
        <v>248</v>
      </c>
      <c r="E2784" s="6">
        <v>240</v>
      </c>
      <c r="F2784" t="str">
        <f t="shared" si="1173"/>
        <v>TUE</v>
      </c>
      <c r="G2784" s="3">
        <f t="shared" si="1174"/>
        <v>44019</v>
      </c>
      <c r="H2784" s="2">
        <f t="shared" ca="1" si="1175"/>
        <v>234</v>
      </c>
      <c r="I2784" t="str">
        <f t="shared" si="1176"/>
        <v>FB</v>
      </c>
      <c r="J2784">
        <f t="shared" si="1177"/>
        <v>215</v>
      </c>
      <c r="K2784">
        <f t="shared" si="1178"/>
        <v>248</v>
      </c>
      <c r="L2784">
        <f t="shared" si="1179"/>
        <v>231.5</v>
      </c>
      <c r="M2784">
        <f t="shared" si="1180"/>
        <v>16.5</v>
      </c>
      <c r="N2784">
        <f t="shared" si="1170"/>
        <v>33</v>
      </c>
      <c r="O2784">
        <f t="shared" si="1181"/>
        <v>240</v>
      </c>
      <c r="P2784">
        <f t="shared" si="1182"/>
        <v>0.51515151515151514</v>
      </c>
      <c r="Q2784" t="str">
        <f t="shared" si="1171"/>
        <v>10.42% | 3.33%</v>
      </c>
      <c r="R2784" t="str">
        <f t="shared" si="1183"/>
        <v>BULLISH</v>
      </c>
      <c r="S2784">
        <f t="shared" si="1172"/>
        <v>1</v>
      </c>
    </row>
    <row r="2785" spans="1:19" hidden="1" x14ac:dyDescent="0.25">
      <c r="A2785" s="5" t="str">
        <f t="shared" si="1169"/>
        <v>44019GOOGL</v>
      </c>
      <c r="B2785" s="6" t="s">
        <v>31</v>
      </c>
      <c r="C2785" s="6">
        <v>1373</v>
      </c>
      <c r="D2785" s="6">
        <v>1515</v>
      </c>
      <c r="E2785" s="6">
        <v>1499</v>
      </c>
      <c r="F2785" t="str">
        <f t="shared" si="1173"/>
        <v>TUE</v>
      </c>
      <c r="G2785" s="3">
        <f t="shared" si="1174"/>
        <v>44019</v>
      </c>
      <c r="H2785" s="2">
        <f t="shared" ca="1" si="1175"/>
        <v>234</v>
      </c>
      <c r="I2785" t="str">
        <f t="shared" si="1176"/>
        <v>GOOGL</v>
      </c>
      <c r="J2785">
        <f t="shared" si="1177"/>
        <v>1373</v>
      </c>
      <c r="K2785">
        <f t="shared" si="1178"/>
        <v>1515</v>
      </c>
      <c r="L2785">
        <f t="shared" si="1179"/>
        <v>1444</v>
      </c>
      <c r="M2785">
        <f t="shared" si="1180"/>
        <v>71</v>
      </c>
      <c r="N2785">
        <f t="shared" si="1170"/>
        <v>142</v>
      </c>
      <c r="O2785">
        <f t="shared" si="1181"/>
        <v>1499</v>
      </c>
      <c r="P2785">
        <f t="shared" si="1182"/>
        <v>0.77464788732394363</v>
      </c>
      <c r="Q2785" t="str">
        <f t="shared" si="1171"/>
        <v>8.41% | 1.07%</v>
      </c>
      <c r="R2785" t="str">
        <f t="shared" si="1183"/>
        <v>BULLISH</v>
      </c>
      <c r="S2785">
        <f t="shared" si="1172"/>
        <v>1</v>
      </c>
    </row>
    <row r="2786" spans="1:19" hidden="1" x14ac:dyDescent="0.25">
      <c r="A2786" s="5" t="str">
        <f t="shared" si="1169"/>
        <v>44019NFLX</v>
      </c>
      <c r="B2786" s="6" t="s">
        <v>32</v>
      </c>
      <c r="C2786" s="6">
        <v>449</v>
      </c>
      <c r="D2786" s="6">
        <v>498</v>
      </c>
      <c r="E2786" s="6">
        <v>493</v>
      </c>
      <c r="F2786" t="str">
        <f t="shared" si="1173"/>
        <v>TUE</v>
      </c>
      <c r="G2786" s="3">
        <f t="shared" si="1174"/>
        <v>44019</v>
      </c>
      <c r="H2786" s="2">
        <f t="shared" ca="1" si="1175"/>
        <v>234</v>
      </c>
      <c r="I2786" t="str">
        <f t="shared" si="1176"/>
        <v>NFLX</v>
      </c>
      <c r="J2786">
        <f t="shared" si="1177"/>
        <v>449</v>
      </c>
      <c r="K2786">
        <f t="shared" si="1178"/>
        <v>498</v>
      </c>
      <c r="L2786">
        <f t="shared" si="1179"/>
        <v>473.5</v>
      </c>
      <c r="M2786">
        <f t="shared" si="1180"/>
        <v>24.5</v>
      </c>
      <c r="N2786">
        <f t="shared" si="1170"/>
        <v>49</v>
      </c>
      <c r="O2786">
        <f t="shared" si="1181"/>
        <v>493</v>
      </c>
      <c r="P2786">
        <f t="shared" si="1182"/>
        <v>0.79591836734693877</v>
      </c>
      <c r="Q2786" t="str">
        <f t="shared" si="1171"/>
        <v>8.92% | 1.01%</v>
      </c>
      <c r="R2786" t="str">
        <f t="shared" si="1183"/>
        <v>BULLISH</v>
      </c>
      <c r="S2786">
        <f t="shared" si="1172"/>
        <v>1</v>
      </c>
    </row>
    <row r="2787" spans="1:19" x14ac:dyDescent="0.25">
      <c r="A2787" s="5" t="str">
        <f t="shared" si="1169"/>
        <v>44019TSLA</v>
      </c>
      <c r="B2787" s="6" t="s">
        <v>33</v>
      </c>
      <c r="C2787" s="6">
        <v>1078</v>
      </c>
      <c r="D2787" s="6">
        <v>1442</v>
      </c>
      <c r="E2787" s="6">
        <v>1371</v>
      </c>
      <c r="F2787" t="str">
        <f t="shared" si="1173"/>
        <v>TUE</v>
      </c>
      <c r="G2787" s="3">
        <f t="shared" si="1174"/>
        <v>44019</v>
      </c>
      <c r="H2787" s="2">
        <f t="shared" ca="1" si="1175"/>
        <v>234</v>
      </c>
      <c r="I2787" t="str">
        <f t="shared" si="1176"/>
        <v>TSLA</v>
      </c>
      <c r="J2787">
        <f t="shared" si="1177"/>
        <v>1078</v>
      </c>
      <c r="K2787">
        <f t="shared" si="1178"/>
        <v>1442</v>
      </c>
      <c r="L2787">
        <f t="shared" si="1179"/>
        <v>1260</v>
      </c>
      <c r="M2787">
        <f t="shared" si="1180"/>
        <v>182</v>
      </c>
      <c r="N2787">
        <f t="shared" si="1170"/>
        <v>364</v>
      </c>
      <c r="O2787">
        <f t="shared" si="1181"/>
        <v>1371</v>
      </c>
      <c r="P2787">
        <f t="shared" si="1182"/>
        <v>0.60989010989010994</v>
      </c>
      <c r="Q2787" t="str">
        <f t="shared" si="1171"/>
        <v>21.37% | 5.18%</v>
      </c>
      <c r="R2787" t="str">
        <f t="shared" si="1183"/>
        <v>BULLISH</v>
      </c>
      <c r="S2787">
        <f t="shared" si="1172"/>
        <v>1</v>
      </c>
    </row>
    <row r="2788" spans="1:19" hidden="1" x14ac:dyDescent="0.25">
      <c r="A2788" s="5" t="str">
        <f t="shared" si="1169"/>
        <v>44019NYXBT</v>
      </c>
      <c r="B2788" s="6" t="s">
        <v>34</v>
      </c>
      <c r="C2788" s="6">
        <v>8910</v>
      </c>
      <c r="D2788" s="6">
        <v>9581</v>
      </c>
      <c r="E2788" s="6">
        <v>9250</v>
      </c>
      <c r="F2788" t="str">
        <f t="shared" si="1173"/>
        <v>TUE</v>
      </c>
      <c r="G2788" s="3">
        <f t="shared" si="1174"/>
        <v>44019</v>
      </c>
      <c r="H2788" s="2">
        <f t="shared" ca="1" si="1175"/>
        <v>234</v>
      </c>
      <c r="I2788" t="str">
        <f t="shared" si="1176"/>
        <v>NYXBT</v>
      </c>
      <c r="J2788">
        <f t="shared" si="1177"/>
        <v>8910</v>
      </c>
      <c r="K2788">
        <f t="shared" si="1178"/>
        <v>9581</v>
      </c>
      <c r="L2788">
        <f t="shared" si="1179"/>
        <v>9245.5</v>
      </c>
      <c r="M2788">
        <f t="shared" si="1180"/>
        <v>335.5</v>
      </c>
      <c r="N2788">
        <f t="shared" si="1170"/>
        <v>671</v>
      </c>
      <c r="O2788">
        <f t="shared" si="1181"/>
        <v>9250</v>
      </c>
      <c r="P2788">
        <f t="shared" si="1182"/>
        <v>1.3412816691505217E-2</v>
      </c>
      <c r="Q2788" t="str">
        <f t="shared" si="1171"/>
        <v>3.68% | 3.58%</v>
      </c>
      <c r="R2788" t="str">
        <f t="shared" si="1183"/>
        <v>BULLISH</v>
      </c>
      <c r="S2788">
        <f t="shared" si="1172"/>
        <v>1</v>
      </c>
    </row>
    <row r="2789" spans="1:19" hidden="1" x14ac:dyDescent="0.25">
      <c r="A2789" s="5" t="str">
        <f t="shared" si="1169"/>
        <v>44020UST10Y</v>
      </c>
      <c r="B2789" s="6" t="s">
        <v>4</v>
      </c>
      <c r="C2789" s="6">
        <v>0.71</v>
      </c>
      <c r="D2789" s="6">
        <v>0.62</v>
      </c>
      <c r="E2789" s="6">
        <v>0.65</v>
      </c>
      <c r="F2789" t="str">
        <f t="shared" si="1173"/>
        <v>WED</v>
      </c>
      <c r="G2789" s="1">
        <f>DATE(2020,7,8)</f>
        <v>44020</v>
      </c>
      <c r="H2789" s="2">
        <f t="shared" ca="1" si="1175"/>
        <v>233</v>
      </c>
      <c r="I2789" t="str">
        <f t="shared" si="1176"/>
        <v>UST10Y</v>
      </c>
      <c r="J2789">
        <f t="shared" si="1177"/>
        <v>0.71</v>
      </c>
      <c r="K2789">
        <f t="shared" si="1178"/>
        <v>0.62</v>
      </c>
      <c r="L2789">
        <f t="shared" si="1179"/>
        <v>0.66500000000000004</v>
      </c>
      <c r="M2789">
        <f t="shared" si="1180"/>
        <v>4.4999999999999991E-2</v>
      </c>
      <c r="N2789">
        <f t="shared" si="1170"/>
        <v>8.9999999999999969E-2</v>
      </c>
      <c r="O2789">
        <f t="shared" si="1181"/>
        <v>0.65</v>
      </c>
      <c r="P2789">
        <f t="shared" si="1182"/>
        <v>-0.3333333333333337</v>
      </c>
      <c r="Q2789" t="str">
        <f t="shared" si="1171"/>
        <v>9.23% | 4.62%</v>
      </c>
      <c r="R2789" t="str">
        <f t="shared" si="1183"/>
        <v>BEARISH</v>
      </c>
      <c r="S2789">
        <f t="shared" si="1172"/>
        <v>-1</v>
      </c>
    </row>
    <row r="2790" spans="1:19" hidden="1" x14ac:dyDescent="0.25">
      <c r="A2790" s="5" t="str">
        <f t="shared" si="1169"/>
        <v>44020UST2Y</v>
      </c>
      <c r="B2790" s="6" t="s">
        <v>5</v>
      </c>
      <c r="C2790" s="6">
        <v>0.19</v>
      </c>
      <c r="D2790" s="6">
        <v>0.13</v>
      </c>
      <c r="E2790" s="6">
        <v>0.16</v>
      </c>
      <c r="F2790" t="str">
        <f t="shared" ref="F2790:F2819" si="1184">UPPER(TEXT(G2790,"ddd"))</f>
        <v>WED</v>
      </c>
      <c r="G2790" s="1">
        <f t="shared" ref="G2790:G2818" si="1185">DATE(2020,7,8)</f>
        <v>44020</v>
      </c>
      <c r="H2790" s="2">
        <f t="shared" ref="H2790:H2819" ca="1" si="1186">TODAY()-G2790</f>
        <v>233</v>
      </c>
      <c r="I2790" t="str">
        <f t="shared" ref="I2790:I2819" si="1187">TRIM(LEFT(B2790,FIND(" ",B2790,1)))</f>
        <v>UST2Y</v>
      </c>
      <c r="J2790">
        <f t="shared" ref="J2790:J2819" si="1188">C2790</f>
        <v>0.19</v>
      </c>
      <c r="K2790">
        <f t="shared" ref="K2790:K2819" si="1189">D2790</f>
        <v>0.13</v>
      </c>
      <c r="L2790">
        <f t="shared" ref="L2790:L2819" si="1190">AVERAGE(J2790:K2790)</f>
        <v>0.16</v>
      </c>
      <c r="M2790">
        <f t="shared" ref="M2790:M2819" si="1191">_xlfn.STDEV.P(J2790:K2790)</f>
        <v>3.0000000000000023E-2</v>
      </c>
      <c r="N2790">
        <f t="shared" si="1170"/>
        <v>0.06</v>
      </c>
      <c r="O2790">
        <f t="shared" ref="O2790:O2819" si="1192">E2790</f>
        <v>0.16</v>
      </c>
      <c r="P2790">
        <f t="shared" ref="P2790:P2819" si="1193">(O2790-L2790)/M2790</f>
        <v>0</v>
      </c>
      <c r="Q2790" t="str">
        <f t="shared" si="1171"/>
        <v>18.75% | 18.75%</v>
      </c>
      <c r="R2790" t="str">
        <f t="shared" ref="R2790:R2819" si="1194">MID(B2790,FIND("(",B2790,1)+1,FIND(")",B2790,1)-FIND("(",B2790,1)-1)</f>
        <v>BEARISH</v>
      </c>
      <c r="S2790">
        <f t="shared" si="1172"/>
        <v>-1</v>
      </c>
    </row>
    <row r="2791" spans="1:19" hidden="1" x14ac:dyDescent="0.25">
      <c r="A2791" s="5" t="str">
        <f t="shared" si="1169"/>
        <v>44020SPX</v>
      </c>
      <c r="B2791" s="6" t="s">
        <v>6</v>
      </c>
      <c r="C2791" s="6">
        <v>3000</v>
      </c>
      <c r="D2791" s="6">
        <v>3197</v>
      </c>
      <c r="E2791" s="6">
        <v>3145</v>
      </c>
      <c r="F2791" t="str">
        <f t="shared" si="1184"/>
        <v>WED</v>
      </c>
      <c r="G2791" s="1">
        <f t="shared" si="1185"/>
        <v>44020</v>
      </c>
      <c r="H2791" s="2">
        <f t="shared" ca="1" si="1186"/>
        <v>233</v>
      </c>
      <c r="I2791" t="str">
        <f t="shared" si="1187"/>
        <v>SPX</v>
      </c>
      <c r="J2791">
        <f t="shared" si="1188"/>
        <v>3000</v>
      </c>
      <c r="K2791">
        <f t="shared" si="1189"/>
        <v>3197</v>
      </c>
      <c r="L2791">
        <f t="shared" si="1190"/>
        <v>3098.5</v>
      </c>
      <c r="M2791">
        <f t="shared" si="1191"/>
        <v>98.5</v>
      </c>
      <c r="N2791">
        <f t="shared" si="1170"/>
        <v>197</v>
      </c>
      <c r="O2791">
        <f t="shared" si="1192"/>
        <v>3145</v>
      </c>
      <c r="P2791">
        <f t="shared" si="1193"/>
        <v>0.4720812182741117</v>
      </c>
      <c r="Q2791" t="str">
        <f t="shared" si="1171"/>
        <v>4.61% | 1.65%</v>
      </c>
      <c r="R2791" t="str">
        <f t="shared" si="1194"/>
        <v>BEARISH</v>
      </c>
      <c r="S2791">
        <f t="shared" si="1172"/>
        <v>-1</v>
      </c>
    </row>
    <row r="2792" spans="1:19" hidden="1" x14ac:dyDescent="0.25">
      <c r="A2792" s="5" t="str">
        <f t="shared" si="1169"/>
        <v>44020RUT</v>
      </c>
      <c r="B2792" s="6" t="s">
        <v>7</v>
      </c>
      <c r="C2792" s="6">
        <v>1352</v>
      </c>
      <c r="D2792" s="6">
        <v>1454</v>
      </c>
      <c r="E2792" s="6">
        <v>1416</v>
      </c>
      <c r="F2792" t="str">
        <f t="shared" si="1184"/>
        <v>WED</v>
      </c>
      <c r="G2792" s="1">
        <f t="shared" si="1185"/>
        <v>44020</v>
      </c>
      <c r="H2792" s="2">
        <f t="shared" ca="1" si="1186"/>
        <v>233</v>
      </c>
      <c r="I2792" t="str">
        <f t="shared" si="1187"/>
        <v>RUT</v>
      </c>
      <c r="J2792">
        <f t="shared" si="1188"/>
        <v>1352</v>
      </c>
      <c r="K2792">
        <f t="shared" si="1189"/>
        <v>1454</v>
      </c>
      <c r="L2792">
        <f t="shared" si="1190"/>
        <v>1403</v>
      </c>
      <c r="M2792">
        <f t="shared" si="1191"/>
        <v>51</v>
      </c>
      <c r="N2792">
        <f t="shared" si="1170"/>
        <v>102</v>
      </c>
      <c r="O2792">
        <f t="shared" si="1192"/>
        <v>1416</v>
      </c>
      <c r="P2792">
        <f t="shared" si="1193"/>
        <v>0.25490196078431371</v>
      </c>
      <c r="Q2792" t="str">
        <f t="shared" si="1171"/>
        <v>4.52% | 2.68%</v>
      </c>
      <c r="R2792" t="str">
        <f t="shared" si="1194"/>
        <v>BEARISH</v>
      </c>
      <c r="S2792">
        <f t="shared" si="1172"/>
        <v>-1</v>
      </c>
    </row>
    <row r="2793" spans="1:19" hidden="1" x14ac:dyDescent="0.25">
      <c r="A2793" s="5" t="str">
        <f t="shared" si="1169"/>
        <v>44020COMPQ</v>
      </c>
      <c r="B2793" s="6" t="s">
        <v>8</v>
      </c>
      <c r="C2793" s="6">
        <v>9862</v>
      </c>
      <c r="D2793" s="6">
        <v>10505</v>
      </c>
      <c r="E2793" s="6">
        <v>10343</v>
      </c>
      <c r="F2793" t="str">
        <f t="shared" si="1184"/>
        <v>WED</v>
      </c>
      <c r="G2793" s="1">
        <f t="shared" si="1185"/>
        <v>44020</v>
      </c>
      <c r="H2793" s="2">
        <f t="shared" ca="1" si="1186"/>
        <v>233</v>
      </c>
      <c r="I2793" t="str">
        <f t="shared" si="1187"/>
        <v>COMPQ</v>
      </c>
      <c r="J2793">
        <f t="shared" si="1188"/>
        <v>9862</v>
      </c>
      <c r="K2793">
        <f t="shared" si="1189"/>
        <v>10505</v>
      </c>
      <c r="L2793">
        <f t="shared" si="1190"/>
        <v>10183.5</v>
      </c>
      <c r="M2793">
        <f t="shared" si="1191"/>
        <v>321.5</v>
      </c>
      <c r="N2793">
        <f t="shared" si="1170"/>
        <v>643</v>
      </c>
      <c r="O2793">
        <f t="shared" si="1192"/>
        <v>10343</v>
      </c>
      <c r="P2793">
        <f t="shared" si="1193"/>
        <v>0.49611197511664074</v>
      </c>
      <c r="Q2793" t="str">
        <f t="shared" si="1171"/>
        <v>4.65% | 1.57%</v>
      </c>
      <c r="R2793" t="str">
        <f t="shared" si="1194"/>
        <v>BULLISH</v>
      </c>
      <c r="S2793">
        <f t="shared" si="1172"/>
        <v>1</v>
      </c>
    </row>
    <row r="2794" spans="1:19" hidden="1" x14ac:dyDescent="0.25">
      <c r="A2794" s="5" t="str">
        <f t="shared" si="1169"/>
        <v>44020XLK</v>
      </c>
      <c r="B2794" s="6" t="s">
        <v>10</v>
      </c>
      <c r="C2794" s="6">
        <v>100.83</v>
      </c>
      <c r="D2794" s="6">
        <v>107.72</v>
      </c>
      <c r="E2794" s="6">
        <v>105.99</v>
      </c>
      <c r="F2794" t="str">
        <f t="shared" si="1184"/>
        <v>WED</v>
      </c>
      <c r="G2794" s="1">
        <f t="shared" si="1185"/>
        <v>44020</v>
      </c>
      <c r="H2794" s="2">
        <f t="shared" ca="1" si="1186"/>
        <v>233</v>
      </c>
      <c r="I2794" t="str">
        <f t="shared" si="1187"/>
        <v>XLK</v>
      </c>
      <c r="J2794">
        <f t="shared" si="1188"/>
        <v>100.83</v>
      </c>
      <c r="K2794">
        <f t="shared" si="1189"/>
        <v>107.72</v>
      </c>
      <c r="L2794">
        <f t="shared" si="1190"/>
        <v>104.27500000000001</v>
      </c>
      <c r="M2794">
        <f t="shared" si="1191"/>
        <v>3.4450000000000003</v>
      </c>
      <c r="N2794">
        <f t="shared" si="1170"/>
        <v>6.8900000000000006</v>
      </c>
      <c r="O2794">
        <f t="shared" si="1192"/>
        <v>105.99</v>
      </c>
      <c r="P2794">
        <f t="shared" si="1193"/>
        <v>0.49782293178519277</v>
      </c>
      <c r="Q2794" t="str">
        <f t="shared" si="1171"/>
        <v>4.87% | 1.63%</v>
      </c>
      <c r="R2794" t="str">
        <f t="shared" si="1194"/>
        <v>BULLISH</v>
      </c>
      <c r="S2794">
        <f t="shared" si="1172"/>
        <v>1</v>
      </c>
    </row>
    <row r="2795" spans="1:19" hidden="1" x14ac:dyDescent="0.25">
      <c r="A2795" s="5" t="str">
        <f t="shared" si="1169"/>
        <v>44020XLRE</v>
      </c>
      <c r="B2795" s="6" t="s">
        <v>97</v>
      </c>
      <c r="C2795" s="6">
        <v>33.299999999999997</v>
      </c>
      <c r="D2795" s="6">
        <v>36.29</v>
      </c>
      <c r="E2795" s="6">
        <v>35.1</v>
      </c>
      <c r="F2795" t="str">
        <f t="shared" si="1184"/>
        <v>WED</v>
      </c>
      <c r="G2795" s="1">
        <f t="shared" si="1185"/>
        <v>44020</v>
      </c>
      <c r="H2795" s="2">
        <f t="shared" ca="1" si="1186"/>
        <v>233</v>
      </c>
      <c r="I2795" t="str">
        <f t="shared" si="1187"/>
        <v>XLRE</v>
      </c>
      <c r="J2795">
        <f t="shared" si="1188"/>
        <v>33.299999999999997</v>
      </c>
      <c r="K2795">
        <f t="shared" si="1189"/>
        <v>36.29</v>
      </c>
      <c r="L2795">
        <f t="shared" si="1190"/>
        <v>34.795000000000002</v>
      </c>
      <c r="M2795">
        <f t="shared" si="1191"/>
        <v>1.495000000000001</v>
      </c>
      <c r="N2795">
        <f t="shared" si="1170"/>
        <v>2.990000000000002</v>
      </c>
      <c r="O2795">
        <f t="shared" si="1192"/>
        <v>35.1</v>
      </c>
      <c r="P2795">
        <f t="shared" si="1193"/>
        <v>0.20401337792642107</v>
      </c>
      <c r="Q2795" t="str">
        <f t="shared" si="1171"/>
        <v>5.13% | 3.39%</v>
      </c>
      <c r="R2795" t="str">
        <f t="shared" si="1194"/>
        <v>BULLISH</v>
      </c>
      <c r="S2795">
        <f t="shared" si="1172"/>
        <v>1</v>
      </c>
    </row>
    <row r="2796" spans="1:19" hidden="1" x14ac:dyDescent="0.25">
      <c r="A2796" s="5" t="str">
        <f t="shared" si="1169"/>
        <v>44020XLU</v>
      </c>
      <c r="B2796" s="6" t="s">
        <v>80</v>
      </c>
      <c r="C2796" s="6">
        <v>54.87</v>
      </c>
      <c r="D2796" s="6">
        <v>58.35</v>
      </c>
      <c r="E2796" s="6">
        <v>56.96</v>
      </c>
      <c r="F2796" t="str">
        <f t="shared" si="1184"/>
        <v>WED</v>
      </c>
      <c r="G2796" s="1">
        <f t="shared" si="1185"/>
        <v>44020</v>
      </c>
      <c r="H2796" s="2">
        <f t="shared" ca="1" si="1186"/>
        <v>233</v>
      </c>
      <c r="I2796" t="str">
        <f t="shared" si="1187"/>
        <v>XLU</v>
      </c>
      <c r="J2796">
        <f t="shared" si="1188"/>
        <v>54.87</v>
      </c>
      <c r="K2796">
        <f t="shared" si="1189"/>
        <v>58.35</v>
      </c>
      <c r="L2796">
        <f t="shared" si="1190"/>
        <v>56.61</v>
      </c>
      <c r="M2796">
        <f t="shared" si="1191"/>
        <v>1.740000000000002</v>
      </c>
      <c r="N2796">
        <f t="shared" si="1170"/>
        <v>3.480000000000004</v>
      </c>
      <c r="O2796">
        <f t="shared" si="1192"/>
        <v>56.96</v>
      </c>
      <c r="P2796">
        <f t="shared" si="1193"/>
        <v>0.20114942528735691</v>
      </c>
      <c r="Q2796" t="str">
        <f t="shared" si="1171"/>
        <v>3.67% | 2.44%</v>
      </c>
      <c r="R2796" t="str">
        <f t="shared" si="1194"/>
        <v>NEUTRAL</v>
      </c>
      <c r="S2796">
        <f t="shared" si="1172"/>
        <v>0</v>
      </c>
    </row>
    <row r="2797" spans="1:19" hidden="1" x14ac:dyDescent="0.25">
      <c r="A2797" s="5" t="str">
        <f t="shared" si="1169"/>
        <v>44020XLF</v>
      </c>
      <c r="B2797" s="6" t="s">
        <v>12</v>
      </c>
      <c r="C2797" s="6">
        <v>22.03</v>
      </c>
      <c r="D2797" s="6">
        <v>23.81</v>
      </c>
      <c r="E2797" s="6">
        <v>22.93</v>
      </c>
      <c r="F2797" t="str">
        <f t="shared" si="1184"/>
        <v>WED</v>
      </c>
      <c r="G2797" s="1">
        <f t="shared" si="1185"/>
        <v>44020</v>
      </c>
      <c r="H2797" s="2">
        <f t="shared" ca="1" si="1186"/>
        <v>233</v>
      </c>
      <c r="I2797" t="str">
        <f t="shared" si="1187"/>
        <v>XLF</v>
      </c>
      <c r="J2797">
        <f t="shared" si="1188"/>
        <v>22.03</v>
      </c>
      <c r="K2797">
        <f t="shared" si="1189"/>
        <v>23.81</v>
      </c>
      <c r="L2797">
        <f t="shared" si="1190"/>
        <v>22.92</v>
      </c>
      <c r="M2797">
        <f t="shared" si="1191"/>
        <v>0.88999999999999879</v>
      </c>
      <c r="N2797">
        <f t="shared" si="1170"/>
        <v>1.7799999999999976</v>
      </c>
      <c r="O2797">
        <f t="shared" si="1192"/>
        <v>22.93</v>
      </c>
      <c r="P2797">
        <f t="shared" si="1193"/>
        <v>1.1235955056177555E-2</v>
      </c>
      <c r="Q2797" t="str">
        <f t="shared" si="1171"/>
        <v>3.92% | 3.84%</v>
      </c>
      <c r="R2797" t="str">
        <f t="shared" si="1194"/>
        <v>BEARISH</v>
      </c>
      <c r="S2797">
        <f t="shared" si="1172"/>
        <v>-1</v>
      </c>
    </row>
    <row r="2798" spans="1:19" hidden="1" x14ac:dyDescent="0.25">
      <c r="A2798" s="5" t="str">
        <f t="shared" si="1169"/>
        <v>44020SSEC</v>
      </c>
      <c r="B2798" s="6" t="s">
        <v>104</v>
      </c>
      <c r="C2798" s="6">
        <v>3094</v>
      </c>
      <c r="D2798" s="6">
        <v>3469</v>
      </c>
      <c r="E2798" s="6">
        <v>3403</v>
      </c>
      <c r="F2798" t="str">
        <f t="shared" si="1184"/>
        <v>WED</v>
      </c>
      <c r="G2798" s="1">
        <f t="shared" si="1185"/>
        <v>44020</v>
      </c>
      <c r="H2798" s="2">
        <f t="shared" ca="1" si="1186"/>
        <v>233</v>
      </c>
      <c r="I2798" t="str">
        <f t="shared" si="1187"/>
        <v>SSEC</v>
      </c>
      <c r="J2798">
        <f t="shared" si="1188"/>
        <v>3094</v>
      </c>
      <c r="K2798">
        <f t="shared" si="1189"/>
        <v>3469</v>
      </c>
      <c r="L2798">
        <f t="shared" si="1190"/>
        <v>3281.5</v>
      </c>
      <c r="M2798">
        <f t="shared" si="1191"/>
        <v>187.5</v>
      </c>
      <c r="N2798">
        <f t="shared" si="1170"/>
        <v>375</v>
      </c>
      <c r="O2798">
        <f t="shared" si="1192"/>
        <v>3403</v>
      </c>
      <c r="P2798">
        <f t="shared" si="1193"/>
        <v>0.64800000000000002</v>
      </c>
      <c r="Q2798" t="str">
        <f t="shared" si="1171"/>
        <v>9.08% | 1.94%</v>
      </c>
      <c r="R2798" t="str">
        <f t="shared" si="1194"/>
        <v>BULLISH</v>
      </c>
      <c r="S2798">
        <f t="shared" si="1172"/>
        <v>1</v>
      </c>
    </row>
    <row r="2799" spans="1:19" hidden="1" x14ac:dyDescent="0.25">
      <c r="A2799" s="5" t="str">
        <f t="shared" si="1169"/>
        <v>44020NIKK</v>
      </c>
      <c r="B2799" s="6" t="s">
        <v>15</v>
      </c>
      <c r="C2799" s="6">
        <v>21867</v>
      </c>
      <c r="D2799" s="6">
        <v>22790</v>
      </c>
      <c r="E2799" s="6">
        <v>22438</v>
      </c>
      <c r="F2799" t="str">
        <f t="shared" si="1184"/>
        <v>WED</v>
      </c>
      <c r="G2799" s="1">
        <f t="shared" si="1185"/>
        <v>44020</v>
      </c>
      <c r="H2799" s="2">
        <f t="shared" ca="1" si="1186"/>
        <v>233</v>
      </c>
      <c r="I2799" t="str">
        <f t="shared" si="1187"/>
        <v>NIKK</v>
      </c>
      <c r="J2799">
        <f t="shared" si="1188"/>
        <v>21867</v>
      </c>
      <c r="K2799">
        <f t="shared" si="1189"/>
        <v>22790</v>
      </c>
      <c r="L2799">
        <f t="shared" si="1190"/>
        <v>22328.5</v>
      </c>
      <c r="M2799">
        <f t="shared" si="1191"/>
        <v>461.5</v>
      </c>
      <c r="N2799">
        <f t="shared" si="1170"/>
        <v>923</v>
      </c>
      <c r="O2799">
        <f t="shared" si="1192"/>
        <v>22438</v>
      </c>
      <c r="P2799">
        <f t="shared" si="1193"/>
        <v>0.23726977248104009</v>
      </c>
      <c r="Q2799" t="str">
        <f t="shared" si="1171"/>
        <v>2.54% | 1.57%</v>
      </c>
      <c r="R2799" t="str">
        <f t="shared" si="1194"/>
        <v>BEARISH</v>
      </c>
      <c r="S2799">
        <f t="shared" si="1172"/>
        <v>-1</v>
      </c>
    </row>
    <row r="2800" spans="1:19" hidden="1" x14ac:dyDescent="0.25">
      <c r="A2800" s="5" t="str">
        <f t="shared" si="1169"/>
        <v>44020DAX</v>
      </c>
      <c r="B2800" s="6" t="s">
        <v>92</v>
      </c>
      <c r="C2800" s="6">
        <v>11940</v>
      </c>
      <c r="D2800" s="6">
        <v>12830</v>
      </c>
      <c r="E2800" s="6">
        <v>12616</v>
      </c>
      <c r="F2800" t="str">
        <f t="shared" si="1184"/>
        <v>WED</v>
      </c>
      <c r="G2800" s="1">
        <f t="shared" si="1185"/>
        <v>44020</v>
      </c>
      <c r="H2800" s="2">
        <f t="shared" ca="1" si="1186"/>
        <v>233</v>
      </c>
      <c r="I2800" t="str">
        <f t="shared" si="1187"/>
        <v>DAX</v>
      </c>
      <c r="J2800">
        <f t="shared" si="1188"/>
        <v>11940</v>
      </c>
      <c r="K2800">
        <f t="shared" si="1189"/>
        <v>12830</v>
      </c>
      <c r="L2800">
        <f t="shared" si="1190"/>
        <v>12385</v>
      </c>
      <c r="M2800">
        <f t="shared" si="1191"/>
        <v>445</v>
      </c>
      <c r="N2800">
        <f t="shared" si="1170"/>
        <v>890</v>
      </c>
      <c r="O2800">
        <f t="shared" si="1192"/>
        <v>12616</v>
      </c>
      <c r="P2800">
        <f t="shared" si="1193"/>
        <v>0.51910112359550564</v>
      </c>
      <c r="Q2800" t="str">
        <f t="shared" si="1171"/>
        <v>5.36% | 1.7%</v>
      </c>
      <c r="R2800" t="str">
        <f t="shared" si="1194"/>
        <v>NEUTRAL</v>
      </c>
      <c r="S2800">
        <f t="shared" si="1172"/>
        <v>0</v>
      </c>
    </row>
    <row r="2801" spans="1:19" hidden="1" x14ac:dyDescent="0.25">
      <c r="A2801" s="5" t="str">
        <f t="shared" si="1169"/>
        <v>44020VIX</v>
      </c>
      <c r="B2801" s="6" t="s">
        <v>17</v>
      </c>
      <c r="C2801" s="6">
        <v>26.81</v>
      </c>
      <c r="D2801" s="6">
        <v>35.96</v>
      </c>
      <c r="E2801" s="6">
        <v>29.43</v>
      </c>
      <c r="F2801" t="str">
        <f t="shared" si="1184"/>
        <v>WED</v>
      </c>
      <c r="G2801" s="1">
        <f t="shared" si="1185"/>
        <v>44020</v>
      </c>
      <c r="H2801" s="2">
        <f t="shared" ca="1" si="1186"/>
        <v>233</v>
      </c>
      <c r="I2801" t="str">
        <f t="shared" si="1187"/>
        <v>VIX</v>
      </c>
      <c r="J2801">
        <f t="shared" si="1188"/>
        <v>26.81</v>
      </c>
      <c r="K2801">
        <f t="shared" si="1189"/>
        <v>35.96</v>
      </c>
      <c r="L2801">
        <f t="shared" si="1190"/>
        <v>31.384999999999998</v>
      </c>
      <c r="M2801">
        <f t="shared" si="1191"/>
        <v>4.5750000000000082</v>
      </c>
      <c r="N2801">
        <f t="shared" si="1170"/>
        <v>9.1500000000000021</v>
      </c>
      <c r="O2801">
        <f t="shared" si="1192"/>
        <v>29.43</v>
      </c>
      <c r="P2801">
        <f t="shared" si="1193"/>
        <v>-0.42732240437158359</v>
      </c>
      <c r="Q2801" t="str">
        <f t="shared" si="1171"/>
        <v>8.9% | 22.19%</v>
      </c>
      <c r="R2801" t="str">
        <f t="shared" si="1194"/>
        <v>BULLISH</v>
      </c>
      <c r="S2801">
        <f t="shared" si="1172"/>
        <v>1</v>
      </c>
    </row>
    <row r="2802" spans="1:19" hidden="1" x14ac:dyDescent="0.25">
      <c r="A2802" s="5" t="str">
        <f t="shared" si="1169"/>
        <v>44020USD</v>
      </c>
      <c r="B2802" s="6" t="s">
        <v>94</v>
      </c>
      <c r="C2802" s="6">
        <v>96.48</v>
      </c>
      <c r="D2802" s="6">
        <v>97.71</v>
      </c>
      <c r="E2802" s="6">
        <v>96.84</v>
      </c>
      <c r="F2802" t="str">
        <f t="shared" si="1184"/>
        <v>WED</v>
      </c>
      <c r="G2802" s="1">
        <f t="shared" si="1185"/>
        <v>44020</v>
      </c>
      <c r="H2802" s="2">
        <f t="shared" ca="1" si="1186"/>
        <v>233</v>
      </c>
      <c r="I2802" t="str">
        <f t="shared" si="1187"/>
        <v>USD</v>
      </c>
      <c r="J2802">
        <f t="shared" si="1188"/>
        <v>96.48</v>
      </c>
      <c r="K2802">
        <f t="shared" si="1189"/>
        <v>97.71</v>
      </c>
      <c r="L2802">
        <f t="shared" si="1190"/>
        <v>97.094999999999999</v>
      </c>
      <c r="M2802">
        <f t="shared" si="1191"/>
        <v>0.61499999999999488</v>
      </c>
      <c r="N2802">
        <f t="shared" si="1170"/>
        <v>1.2299999999999898</v>
      </c>
      <c r="O2802">
        <f t="shared" si="1192"/>
        <v>96.84</v>
      </c>
      <c r="P2802">
        <f t="shared" si="1193"/>
        <v>-0.41463414634145945</v>
      </c>
      <c r="Q2802" t="str">
        <f t="shared" si="1171"/>
        <v>0.37% | 0.9%</v>
      </c>
      <c r="R2802" t="str">
        <f t="shared" si="1194"/>
        <v>BEARISH</v>
      </c>
      <c r="S2802">
        <f t="shared" si="1172"/>
        <v>-1</v>
      </c>
    </row>
    <row r="2803" spans="1:19" hidden="1" x14ac:dyDescent="0.25">
      <c r="A2803" s="5" t="str">
        <f t="shared" si="1169"/>
        <v>44020EUR/USD</v>
      </c>
      <c r="B2803" s="6" t="s">
        <v>99</v>
      </c>
      <c r="C2803" s="6">
        <v>1.1100000000000001</v>
      </c>
      <c r="D2803" s="6">
        <v>1.1299999999999999</v>
      </c>
      <c r="E2803" s="6">
        <v>1.1200000000000001</v>
      </c>
      <c r="F2803" t="str">
        <f t="shared" si="1184"/>
        <v>WED</v>
      </c>
      <c r="G2803" s="1">
        <f t="shared" si="1185"/>
        <v>44020</v>
      </c>
      <c r="H2803" s="2">
        <f t="shared" ca="1" si="1186"/>
        <v>233</v>
      </c>
      <c r="I2803" t="str">
        <f t="shared" si="1187"/>
        <v>EUR/USD</v>
      </c>
      <c r="J2803">
        <f t="shared" si="1188"/>
        <v>1.1100000000000001</v>
      </c>
      <c r="K2803">
        <f t="shared" si="1189"/>
        <v>1.1299999999999999</v>
      </c>
      <c r="L2803">
        <f t="shared" si="1190"/>
        <v>1.1200000000000001</v>
      </c>
      <c r="M2803">
        <f t="shared" si="1191"/>
        <v>9.9999999999998979E-3</v>
      </c>
      <c r="N2803">
        <f t="shared" si="1170"/>
        <v>1.9999999999999796E-2</v>
      </c>
      <c r="O2803">
        <f t="shared" si="1192"/>
        <v>1.1200000000000001</v>
      </c>
      <c r="P2803">
        <f t="shared" si="1193"/>
        <v>0</v>
      </c>
      <c r="Q2803" t="str">
        <f t="shared" si="1171"/>
        <v>0.89% | 0.89%</v>
      </c>
      <c r="R2803" t="str">
        <f t="shared" si="1194"/>
        <v>BULLISH</v>
      </c>
      <c r="S2803">
        <f t="shared" si="1172"/>
        <v>1</v>
      </c>
    </row>
    <row r="2804" spans="1:19" hidden="1" x14ac:dyDescent="0.25">
      <c r="A2804" s="5" t="str">
        <f t="shared" si="1169"/>
        <v>44020USD/JPY</v>
      </c>
      <c r="B2804" s="6" t="s">
        <v>20</v>
      </c>
      <c r="C2804" s="6">
        <v>106.51</v>
      </c>
      <c r="D2804" s="6">
        <v>108.17</v>
      </c>
      <c r="E2804" s="6">
        <v>107.54</v>
      </c>
      <c r="F2804" t="str">
        <f t="shared" si="1184"/>
        <v>WED</v>
      </c>
      <c r="G2804" s="1">
        <f t="shared" si="1185"/>
        <v>44020</v>
      </c>
      <c r="H2804" s="2">
        <f t="shared" ca="1" si="1186"/>
        <v>233</v>
      </c>
      <c r="I2804" t="str">
        <f t="shared" si="1187"/>
        <v>USD/JPY</v>
      </c>
      <c r="J2804">
        <f t="shared" si="1188"/>
        <v>106.51</v>
      </c>
      <c r="K2804">
        <f t="shared" si="1189"/>
        <v>108.17</v>
      </c>
      <c r="L2804">
        <f t="shared" si="1190"/>
        <v>107.34</v>
      </c>
      <c r="M2804">
        <f t="shared" si="1191"/>
        <v>0.82999999999999829</v>
      </c>
      <c r="N2804">
        <f t="shared" si="1170"/>
        <v>1.6599999999999966</v>
      </c>
      <c r="O2804">
        <f t="shared" si="1192"/>
        <v>107.54</v>
      </c>
      <c r="P2804">
        <f t="shared" si="1193"/>
        <v>0.24096385542169066</v>
      </c>
      <c r="Q2804" t="str">
        <f t="shared" si="1171"/>
        <v>0.96% | 0.59%</v>
      </c>
      <c r="R2804" t="str">
        <f t="shared" si="1194"/>
        <v>BEARISH</v>
      </c>
      <c r="S2804">
        <f t="shared" si="1172"/>
        <v>-1</v>
      </c>
    </row>
    <row r="2805" spans="1:19" hidden="1" x14ac:dyDescent="0.25">
      <c r="A2805" s="5" t="str">
        <f t="shared" si="1169"/>
        <v>44020GBP/USD</v>
      </c>
      <c r="B2805" s="6" t="s">
        <v>79</v>
      </c>
      <c r="C2805" s="6">
        <v>1.22</v>
      </c>
      <c r="D2805" s="6">
        <v>1.25</v>
      </c>
      <c r="E2805" s="6">
        <v>1.25</v>
      </c>
      <c r="F2805" t="str">
        <f t="shared" si="1184"/>
        <v>WED</v>
      </c>
      <c r="G2805" s="1">
        <f t="shared" si="1185"/>
        <v>44020</v>
      </c>
      <c r="H2805" s="2">
        <f t="shared" ca="1" si="1186"/>
        <v>233</v>
      </c>
      <c r="I2805" t="str">
        <f t="shared" si="1187"/>
        <v>GBP/USD</v>
      </c>
      <c r="J2805">
        <f t="shared" si="1188"/>
        <v>1.22</v>
      </c>
      <c r="K2805">
        <f t="shared" si="1189"/>
        <v>1.25</v>
      </c>
      <c r="L2805">
        <f t="shared" si="1190"/>
        <v>1.2349999999999999</v>
      </c>
      <c r="M2805">
        <f t="shared" si="1191"/>
        <v>1.5000000000000013E-2</v>
      </c>
      <c r="N2805">
        <f t="shared" si="1170"/>
        <v>3.0000000000000027E-2</v>
      </c>
      <c r="O2805">
        <f t="shared" si="1192"/>
        <v>1.25</v>
      </c>
      <c r="P2805">
        <f t="shared" si="1193"/>
        <v>1.0000000000000073</v>
      </c>
      <c r="Q2805" t="str">
        <f t="shared" si="1171"/>
        <v>2.4% | 0%</v>
      </c>
      <c r="R2805" t="str">
        <f t="shared" si="1194"/>
        <v>NEUTRAL</v>
      </c>
      <c r="S2805">
        <f t="shared" si="1172"/>
        <v>0</v>
      </c>
    </row>
    <row r="2806" spans="1:19" hidden="1" x14ac:dyDescent="0.25">
      <c r="A2806" s="5" t="str">
        <f t="shared" si="1169"/>
        <v>44020USD/CHF</v>
      </c>
      <c r="B2806" s="6" t="s">
        <v>76</v>
      </c>
      <c r="C2806" s="6">
        <v>0.93</v>
      </c>
      <c r="D2806" s="6">
        <v>0.95</v>
      </c>
      <c r="E2806" s="6">
        <v>0.94</v>
      </c>
      <c r="F2806" t="str">
        <f t="shared" si="1184"/>
        <v>WED</v>
      </c>
      <c r="G2806" s="1">
        <f t="shared" si="1185"/>
        <v>44020</v>
      </c>
      <c r="H2806" s="2">
        <f t="shared" ca="1" si="1186"/>
        <v>233</v>
      </c>
      <c r="I2806" t="str">
        <f t="shared" si="1187"/>
        <v>USD/CHF</v>
      </c>
      <c r="J2806">
        <f t="shared" si="1188"/>
        <v>0.93</v>
      </c>
      <c r="K2806">
        <f t="shared" si="1189"/>
        <v>0.95</v>
      </c>
      <c r="L2806">
        <f t="shared" si="1190"/>
        <v>0.94</v>
      </c>
      <c r="M2806">
        <f t="shared" si="1191"/>
        <v>9.9999999999999534E-3</v>
      </c>
      <c r="N2806">
        <f t="shared" si="1170"/>
        <v>1.9999999999999907E-2</v>
      </c>
      <c r="O2806">
        <f t="shared" si="1192"/>
        <v>0.94</v>
      </c>
      <c r="P2806">
        <f t="shared" si="1193"/>
        <v>0</v>
      </c>
      <c r="Q2806" t="str">
        <f t="shared" si="1171"/>
        <v>1.06% | 1.06%</v>
      </c>
      <c r="R2806" t="str">
        <f t="shared" si="1194"/>
        <v>BEARISH</v>
      </c>
      <c r="S2806">
        <f t="shared" si="1172"/>
        <v>-1</v>
      </c>
    </row>
    <row r="2807" spans="1:19" hidden="1" x14ac:dyDescent="0.25">
      <c r="A2807" s="5" t="str">
        <f t="shared" si="1169"/>
        <v>44020WTIC</v>
      </c>
      <c r="B2807" s="6" t="s">
        <v>158</v>
      </c>
      <c r="C2807" s="6">
        <v>37.56</v>
      </c>
      <c r="D2807" s="6">
        <v>41.52</v>
      </c>
      <c r="E2807" s="6">
        <v>40.619999999999997</v>
      </c>
      <c r="F2807" t="str">
        <f t="shared" si="1184"/>
        <v>WED</v>
      </c>
      <c r="G2807" s="1">
        <f t="shared" si="1185"/>
        <v>44020</v>
      </c>
      <c r="H2807" s="2">
        <f t="shared" ca="1" si="1186"/>
        <v>233</v>
      </c>
      <c r="I2807" t="str">
        <f t="shared" si="1187"/>
        <v>WTIC</v>
      </c>
      <c r="J2807">
        <f t="shared" si="1188"/>
        <v>37.56</v>
      </c>
      <c r="K2807">
        <f t="shared" si="1189"/>
        <v>41.52</v>
      </c>
      <c r="L2807">
        <f t="shared" si="1190"/>
        <v>39.540000000000006</v>
      </c>
      <c r="M2807">
        <f t="shared" si="1191"/>
        <v>1.9800000000000004</v>
      </c>
      <c r="N2807">
        <f t="shared" si="1170"/>
        <v>3.9600000000000009</v>
      </c>
      <c r="O2807">
        <f t="shared" si="1192"/>
        <v>40.619999999999997</v>
      </c>
      <c r="P2807">
        <f t="shared" si="1193"/>
        <v>0.54545454545454086</v>
      </c>
      <c r="Q2807" t="str">
        <f t="shared" si="1171"/>
        <v>7.53% | 2.22%</v>
      </c>
      <c r="R2807" t="str">
        <f t="shared" si="1194"/>
        <v>BULLISH</v>
      </c>
      <c r="S2807">
        <f t="shared" si="1172"/>
        <v>1</v>
      </c>
    </row>
    <row r="2808" spans="1:19" hidden="1" x14ac:dyDescent="0.25">
      <c r="A2808" s="5" t="str">
        <f t="shared" si="1169"/>
        <v>44020NATGAS</v>
      </c>
      <c r="B2808" s="6" t="s">
        <v>89</v>
      </c>
      <c r="C2808" s="6">
        <v>1.55</v>
      </c>
      <c r="D2808" s="6">
        <v>1.92</v>
      </c>
      <c r="E2808" s="6">
        <v>1.88</v>
      </c>
      <c r="F2808" t="str">
        <f t="shared" si="1184"/>
        <v>WED</v>
      </c>
      <c r="G2808" s="1">
        <f t="shared" si="1185"/>
        <v>44020</v>
      </c>
      <c r="H2808" s="2">
        <f t="shared" ca="1" si="1186"/>
        <v>233</v>
      </c>
      <c r="I2808" t="str">
        <f t="shared" si="1187"/>
        <v>NATGAS</v>
      </c>
      <c r="J2808">
        <f t="shared" si="1188"/>
        <v>1.55</v>
      </c>
      <c r="K2808">
        <f t="shared" si="1189"/>
        <v>1.92</v>
      </c>
      <c r="L2808">
        <f t="shared" si="1190"/>
        <v>1.7349999999999999</v>
      </c>
      <c r="M2808">
        <f t="shared" si="1191"/>
        <v>0.18500000000000166</v>
      </c>
      <c r="N2808">
        <f t="shared" si="1170"/>
        <v>0.36999999999999988</v>
      </c>
      <c r="O2808">
        <f t="shared" si="1192"/>
        <v>1.88</v>
      </c>
      <c r="P2808">
        <f t="shared" si="1193"/>
        <v>0.78378378378377689</v>
      </c>
      <c r="Q2808" t="str">
        <f t="shared" si="1171"/>
        <v>17.55% | 2.13%</v>
      </c>
      <c r="R2808" t="str">
        <f t="shared" si="1194"/>
        <v>BULLISH</v>
      </c>
      <c r="S2808">
        <f t="shared" si="1172"/>
        <v>1</v>
      </c>
    </row>
    <row r="2809" spans="1:19" hidden="1" x14ac:dyDescent="0.25">
      <c r="A2809" s="5" t="str">
        <f t="shared" si="1169"/>
        <v>44020GOLD</v>
      </c>
      <c r="B2809" s="6" t="s">
        <v>25</v>
      </c>
      <c r="C2809" s="6">
        <v>1764</v>
      </c>
      <c r="D2809" s="6">
        <v>1821</v>
      </c>
      <c r="E2809" s="6">
        <v>1809</v>
      </c>
      <c r="F2809" t="str">
        <f t="shared" si="1184"/>
        <v>WED</v>
      </c>
      <c r="G2809" s="1">
        <f t="shared" si="1185"/>
        <v>44020</v>
      </c>
      <c r="H2809" s="2">
        <f t="shared" ca="1" si="1186"/>
        <v>233</v>
      </c>
      <c r="I2809" t="str">
        <f t="shared" si="1187"/>
        <v>GOLD</v>
      </c>
      <c r="J2809">
        <f t="shared" si="1188"/>
        <v>1764</v>
      </c>
      <c r="K2809">
        <f t="shared" si="1189"/>
        <v>1821</v>
      </c>
      <c r="L2809">
        <f t="shared" si="1190"/>
        <v>1792.5</v>
      </c>
      <c r="M2809">
        <f t="shared" si="1191"/>
        <v>28.5</v>
      </c>
      <c r="N2809">
        <f t="shared" si="1170"/>
        <v>57</v>
      </c>
      <c r="O2809">
        <f t="shared" si="1192"/>
        <v>1809</v>
      </c>
      <c r="P2809">
        <f t="shared" si="1193"/>
        <v>0.57894736842105265</v>
      </c>
      <c r="Q2809" t="str">
        <f t="shared" si="1171"/>
        <v>2.49% | 0.66%</v>
      </c>
      <c r="R2809" t="str">
        <f t="shared" si="1194"/>
        <v>BULLISH</v>
      </c>
      <c r="S2809">
        <f t="shared" si="1172"/>
        <v>1</v>
      </c>
    </row>
    <row r="2810" spans="1:19" hidden="1" x14ac:dyDescent="0.25">
      <c r="A2810" s="5" t="str">
        <f t="shared" si="1169"/>
        <v>44020COPPER</v>
      </c>
      <c r="B2810" s="6" t="s">
        <v>100</v>
      </c>
      <c r="C2810" s="6">
        <v>2.63</v>
      </c>
      <c r="D2810" s="6">
        <v>2.82</v>
      </c>
      <c r="E2810" s="6">
        <v>2.8</v>
      </c>
      <c r="F2810" t="str">
        <f t="shared" si="1184"/>
        <v>WED</v>
      </c>
      <c r="G2810" s="1">
        <f t="shared" si="1185"/>
        <v>44020</v>
      </c>
      <c r="H2810" s="2">
        <f t="shared" ca="1" si="1186"/>
        <v>233</v>
      </c>
      <c r="I2810" t="str">
        <f t="shared" si="1187"/>
        <v>COPPER</v>
      </c>
      <c r="J2810">
        <f t="shared" si="1188"/>
        <v>2.63</v>
      </c>
      <c r="K2810">
        <f t="shared" si="1189"/>
        <v>2.82</v>
      </c>
      <c r="L2810">
        <f t="shared" si="1190"/>
        <v>2.7249999999999996</v>
      </c>
      <c r="M2810">
        <f t="shared" si="1191"/>
        <v>9.4999999999999973E-2</v>
      </c>
      <c r="N2810">
        <f t="shared" si="1170"/>
        <v>0.18999999999999995</v>
      </c>
      <c r="O2810">
        <f t="shared" si="1192"/>
        <v>2.8</v>
      </c>
      <c r="P2810">
        <f t="shared" si="1193"/>
        <v>0.78947368421052844</v>
      </c>
      <c r="Q2810" t="str">
        <f t="shared" si="1171"/>
        <v>6.07% | 0.71%</v>
      </c>
      <c r="R2810" t="str">
        <f t="shared" si="1194"/>
        <v>BULLISH</v>
      </c>
      <c r="S2810">
        <f t="shared" si="1172"/>
        <v>1</v>
      </c>
    </row>
    <row r="2811" spans="1:19" hidden="1" x14ac:dyDescent="0.25">
      <c r="A2811" s="5" t="str">
        <f t="shared" si="1169"/>
        <v>44020MSFT</v>
      </c>
      <c r="B2811" s="6" t="s">
        <v>27</v>
      </c>
      <c r="C2811" s="6">
        <v>193</v>
      </c>
      <c r="D2811" s="6">
        <v>212</v>
      </c>
      <c r="E2811" s="6">
        <v>208</v>
      </c>
      <c r="F2811" t="str">
        <f t="shared" si="1184"/>
        <v>WED</v>
      </c>
      <c r="G2811" s="1">
        <f t="shared" si="1185"/>
        <v>44020</v>
      </c>
      <c r="H2811" s="2">
        <f t="shared" ca="1" si="1186"/>
        <v>233</v>
      </c>
      <c r="I2811" t="str">
        <f t="shared" si="1187"/>
        <v>MSFT</v>
      </c>
      <c r="J2811">
        <f t="shared" si="1188"/>
        <v>193</v>
      </c>
      <c r="K2811">
        <f t="shared" si="1189"/>
        <v>212</v>
      </c>
      <c r="L2811">
        <f t="shared" si="1190"/>
        <v>202.5</v>
      </c>
      <c r="M2811">
        <f t="shared" si="1191"/>
        <v>9.5</v>
      </c>
      <c r="N2811">
        <f t="shared" si="1170"/>
        <v>19</v>
      </c>
      <c r="O2811">
        <f t="shared" si="1192"/>
        <v>208</v>
      </c>
      <c r="P2811">
        <f t="shared" si="1193"/>
        <v>0.57894736842105265</v>
      </c>
      <c r="Q2811" t="str">
        <f t="shared" si="1171"/>
        <v>7.21% | 1.92%</v>
      </c>
      <c r="R2811" t="str">
        <f t="shared" si="1194"/>
        <v>BULLISH</v>
      </c>
      <c r="S2811">
        <f t="shared" si="1172"/>
        <v>1</v>
      </c>
    </row>
    <row r="2812" spans="1:19" hidden="1" x14ac:dyDescent="0.25">
      <c r="A2812" s="5" t="str">
        <f t="shared" si="1169"/>
        <v>44020AAPL</v>
      </c>
      <c r="B2812" s="6" t="s">
        <v>28</v>
      </c>
      <c r="C2812" s="6">
        <v>353</v>
      </c>
      <c r="D2812" s="6">
        <v>376</v>
      </c>
      <c r="E2812" s="6">
        <v>372</v>
      </c>
      <c r="F2812" t="str">
        <f t="shared" si="1184"/>
        <v>WED</v>
      </c>
      <c r="G2812" s="1">
        <f t="shared" si="1185"/>
        <v>44020</v>
      </c>
      <c r="H2812" s="2">
        <f t="shared" ca="1" si="1186"/>
        <v>233</v>
      </c>
      <c r="I2812" t="str">
        <f t="shared" si="1187"/>
        <v>AAPL</v>
      </c>
      <c r="J2812">
        <f t="shared" si="1188"/>
        <v>353</v>
      </c>
      <c r="K2812">
        <f t="shared" si="1189"/>
        <v>376</v>
      </c>
      <c r="L2812">
        <f t="shared" si="1190"/>
        <v>364.5</v>
      </c>
      <c r="M2812">
        <f t="shared" si="1191"/>
        <v>11.5</v>
      </c>
      <c r="N2812">
        <f t="shared" si="1170"/>
        <v>23</v>
      </c>
      <c r="O2812">
        <f t="shared" si="1192"/>
        <v>372</v>
      </c>
      <c r="P2812">
        <f t="shared" si="1193"/>
        <v>0.65217391304347827</v>
      </c>
      <c r="Q2812" t="str">
        <f t="shared" si="1171"/>
        <v>5.11% | 1.08%</v>
      </c>
      <c r="R2812" t="str">
        <f t="shared" si="1194"/>
        <v>BULLISH</v>
      </c>
      <c r="S2812">
        <f t="shared" si="1172"/>
        <v>1</v>
      </c>
    </row>
    <row r="2813" spans="1:19" hidden="1" x14ac:dyDescent="0.25">
      <c r="A2813" s="5" t="str">
        <f t="shared" si="1169"/>
        <v>44020AMZN</v>
      </c>
      <c r="B2813" s="6" t="s">
        <v>29</v>
      </c>
      <c r="C2813" s="6">
        <v>2817</v>
      </c>
      <c r="D2813" s="6">
        <v>3085</v>
      </c>
      <c r="E2813" s="6">
        <v>3000</v>
      </c>
      <c r="F2813" t="str">
        <f t="shared" si="1184"/>
        <v>WED</v>
      </c>
      <c r="G2813" s="1">
        <f t="shared" si="1185"/>
        <v>44020</v>
      </c>
      <c r="H2813" s="2">
        <f t="shared" ca="1" si="1186"/>
        <v>233</v>
      </c>
      <c r="I2813" t="str">
        <f t="shared" si="1187"/>
        <v>AMZN</v>
      </c>
      <c r="J2813">
        <f t="shared" si="1188"/>
        <v>2817</v>
      </c>
      <c r="K2813">
        <f t="shared" si="1189"/>
        <v>3085</v>
      </c>
      <c r="L2813">
        <f t="shared" si="1190"/>
        <v>2951</v>
      </c>
      <c r="M2813">
        <f t="shared" si="1191"/>
        <v>134</v>
      </c>
      <c r="N2813">
        <f t="shared" si="1170"/>
        <v>268</v>
      </c>
      <c r="O2813">
        <f t="shared" si="1192"/>
        <v>3000</v>
      </c>
      <c r="P2813">
        <f t="shared" si="1193"/>
        <v>0.36567164179104478</v>
      </c>
      <c r="Q2813" t="str">
        <f t="shared" si="1171"/>
        <v>6.1% | 2.83%</v>
      </c>
      <c r="R2813" t="str">
        <f t="shared" si="1194"/>
        <v>BULLISH</v>
      </c>
      <c r="S2813">
        <f t="shared" si="1172"/>
        <v>1</v>
      </c>
    </row>
    <row r="2814" spans="1:19" hidden="1" x14ac:dyDescent="0.25">
      <c r="A2814" s="5" t="str">
        <f t="shared" si="1169"/>
        <v>44020FB</v>
      </c>
      <c r="B2814" s="6" t="s">
        <v>30</v>
      </c>
      <c r="C2814" s="6">
        <v>215</v>
      </c>
      <c r="D2814" s="6">
        <v>248</v>
      </c>
      <c r="E2814" s="6">
        <v>240</v>
      </c>
      <c r="F2814" t="str">
        <f t="shared" si="1184"/>
        <v>WED</v>
      </c>
      <c r="G2814" s="1">
        <f t="shared" si="1185"/>
        <v>44020</v>
      </c>
      <c r="H2814" s="2">
        <f t="shared" ca="1" si="1186"/>
        <v>233</v>
      </c>
      <c r="I2814" t="str">
        <f t="shared" si="1187"/>
        <v>FB</v>
      </c>
      <c r="J2814">
        <f t="shared" si="1188"/>
        <v>215</v>
      </c>
      <c r="K2814">
        <f t="shared" si="1189"/>
        <v>248</v>
      </c>
      <c r="L2814">
        <f t="shared" si="1190"/>
        <v>231.5</v>
      </c>
      <c r="M2814">
        <f t="shared" si="1191"/>
        <v>16.5</v>
      </c>
      <c r="N2814">
        <f t="shared" si="1170"/>
        <v>33</v>
      </c>
      <c r="O2814">
        <f t="shared" si="1192"/>
        <v>240</v>
      </c>
      <c r="P2814">
        <f t="shared" si="1193"/>
        <v>0.51515151515151514</v>
      </c>
      <c r="Q2814" t="str">
        <f t="shared" si="1171"/>
        <v>10.42% | 3.33%</v>
      </c>
      <c r="R2814" t="str">
        <f t="shared" si="1194"/>
        <v>BULLISH</v>
      </c>
      <c r="S2814">
        <f t="shared" si="1172"/>
        <v>1</v>
      </c>
    </row>
    <row r="2815" spans="1:19" hidden="1" x14ac:dyDescent="0.25">
      <c r="A2815" s="5" t="str">
        <f t="shared" si="1169"/>
        <v>44020GOOGL</v>
      </c>
      <c r="B2815" s="6" t="s">
        <v>31</v>
      </c>
      <c r="C2815" s="6">
        <v>1375</v>
      </c>
      <c r="D2815" s="6">
        <v>1522</v>
      </c>
      <c r="E2815" s="6">
        <v>1489</v>
      </c>
      <c r="F2815" t="str">
        <f t="shared" si="1184"/>
        <v>WED</v>
      </c>
      <c r="G2815" s="1">
        <f t="shared" si="1185"/>
        <v>44020</v>
      </c>
      <c r="H2815" s="2">
        <f t="shared" ca="1" si="1186"/>
        <v>233</v>
      </c>
      <c r="I2815" t="str">
        <f t="shared" si="1187"/>
        <v>GOOGL</v>
      </c>
      <c r="J2815">
        <f t="shared" si="1188"/>
        <v>1375</v>
      </c>
      <c r="K2815">
        <f t="shared" si="1189"/>
        <v>1522</v>
      </c>
      <c r="L2815">
        <f t="shared" si="1190"/>
        <v>1448.5</v>
      </c>
      <c r="M2815">
        <f t="shared" si="1191"/>
        <v>73.5</v>
      </c>
      <c r="N2815">
        <f t="shared" si="1170"/>
        <v>147</v>
      </c>
      <c r="O2815">
        <f t="shared" si="1192"/>
        <v>1489</v>
      </c>
      <c r="P2815">
        <f t="shared" si="1193"/>
        <v>0.55102040816326525</v>
      </c>
      <c r="Q2815" t="str">
        <f t="shared" si="1171"/>
        <v>7.66% | 2.22%</v>
      </c>
      <c r="R2815" t="str">
        <f t="shared" si="1194"/>
        <v>BULLISH</v>
      </c>
      <c r="S2815">
        <f t="shared" si="1172"/>
        <v>1</v>
      </c>
    </row>
    <row r="2816" spans="1:19" hidden="1" x14ac:dyDescent="0.25">
      <c r="A2816" s="5" t="str">
        <f t="shared" si="1169"/>
        <v>44020NFLX</v>
      </c>
      <c r="B2816" s="6" t="s">
        <v>32</v>
      </c>
      <c r="C2816" s="6">
        <v>453</v>
      </c>
      <c r="D2816" s="6">
        <v>506</v>
      </c>
      <c r="E2816" s="6">
        <v>493</v>
      </c>
      <c r="F2816" t="str">
        <f t="shared" si="1184"/>
        <v>WED</v>
      </c>
      <c r="G2816" s="1">
        <f t="shared" si="1185"/>
        <v>44020</v>
      </c>
      <c r="H2816" s="2">
        <f t="shared" ca="1" si="1186"/>
        <v>233</v>
      </c>
      <c r="I2816" t="str">
        <f t="shared" si="1187"/>
        <v>NFLX</v>
      </c>
      <c r="J2816">
        <f t="shared" si="1188"/>
        <v>453</v>
      </c>
      <c r="K2816">
        <f t="shared" si="1189"/>
        <v>506</v>
      </c>
      <c r="L2816">
        <f t="shared" si="1190"/>
        <v>479.5</v>
      </c>
      <c r="M2816">
        <f t="shared" si="1191"/>
        <v>26.5</v>
      </c>
      <c r="N2816">
        <f t="shared" si="1170"/>
        <v>53</v>
      </c>
      <c r="O2816">
        <f t="shared" si="1192"/>
        <v>493</v>
      </c>
      <c r="P2816">
        <f t="shared" si="1193"/>
        <v>0.50943396226415094</v>
      </c>
      <c r="Q2816" t="str">
        <f t="shared" si="1171"/>
        <v>8.11% | 2.64%</v>
      </c>
      <c r="R2816" t="str">
        <f t="shared" si="1194"/>
        <v>BULLISH</v>
      </c>
      <c r="S2816">
        <f t="shared" si="1172"/>
        <v>1</v>
      </c>
    </row>
    <row r="2817" spans="1:19" x14ac:dyDescent="0.25">
      <c r="A2817" s="5" t="str">
        <f t="shared" si="1169"/>
        <v>44020TSLA</v>
      </c>
      <c r="B2817" s="6" t="s">
        <v>33</v>
      </c>
      <c r="C2817" s="6">
        <v>1121</v>
      </c>
      <c r="D2817" s="6">
        <v>1438</v>
      </c>
      <c r="E2817" s="6">
        <v>1389</v>
      </c>
      <c r="F2817" t="str">
        <f t="shared" si="1184"/>
        <v>WED</v>
      </c>
      <c r="G2817" s="1">
        <f t="shared" si="1185"/>
        <v>44020</v>
      </c>
      <c r="H2817" s="2">
        <f t="shared" ca="1" si="1186"/>
        <v>233</v>
      </c>
      <c r="I2817" t="str">
        <f t="shared" si="1187"/>
        <v>TSLA</v>
      </c>
      <c r="J2817">
        <f t="shared" si="1188"/>
        <v>1121</v>
      </c>
      <c r="K2817">
        <f t="shared" si="1189"/>
        <v>1438</v>
      </c>
      <c r="L2817">
        <f t="shared" si="1190"/>
        <v>1279.5</v>
      </c>
      <c r="M2817">
        <f t="shared" si="1191"/>
        <v>158.5</v>
      </c>
      <c r="N2817">
        <f t="shared" si="1170"/>
        <v>317</v>
      </c>
      <c r="O2817">
        <f t="shared" si="1192"/>
        <v>1389</v>
      </c>
      <c r="P2817">
        <f t="shared" si="1193"/>
        <v>0.69085173501577291</v>
      </c>
      <c r="Q2817" t="str">
        <f t="shared" si="1171"/>
        <v>19.29% | 3.53%</v>
      </c>
      <c r="R2817" t="str">
        <f t="shared" si="1194"/>
        <v>BULLISH</v>
      </c>
      <c r="S2817">
        <f t="shared" si="1172"/>
        <v>1</v>
      </c>
    </row>
    <row r="2818" spans="1:19" hidden="1" x14ac:dyDescent="0.25">
      <c r="A2818" s="5" t="str">
        <f t="shared" si="1169"/>
        <v>44020NYXBT</v>
      </c>
      <c r="B2818" s="6" t="s">
        <v>34</v>
      </c>
      <c r="C2818" s="6">
        <v>8951</v>
      </c>
      <c r="D2818" s="6">
        <v>9564</v>
      </c>
      <c r="E2818" s="6">
        <v>9259</v>
      </c>
      <c r="F2818" t="str">
        <f t="shared" si="1184"/>
        <v>WED</v>
      </c>
      <c r="G2818" s="1">
        <f t="shared" si="1185"/>
        <v>44020</v>
      </c>
      <c r="H2818" s="2">
        <f t="shared" ca="1" si="1186"/>
        <v>233</v>
      </c>
      <c r="I2818" t="str">
        <f t="shared" si="1187"/>
        <v>NYXBT</v>
      </c>
      <c r="J2818">
        <f t="shared" si="1188"/>
        <v>8951</v>
      </c>
      <c r="K2818">
        <f t="shared" si="1189"/>
        <v>9564</v>
      </c>
      <c r="L2818">
        <f t="shared" si="1190"/>
        <v>9257.5</v>
      </c>
      <c r="M2818">
        <f t="shared" si="1191"/>
        <v>306.5</v>
      </c>
      <c r="N2818">
        <f t="shared" si="1170"/>
        <v>613</v>
      </c>
      <c r="O2818">
        <f t="shared" si="1192"/>
        <v>9259</v>
      </c>
      <c r="P2818">
        <f t="shared" si="1193"/>
        <v>4.8939641109298528E-3</v>
      </c>
      <c r="Q2818" t="str">
        <f t="shared" si="1171"/>
        <v>3.33% | 3.29%</v>
      </c>
      <c r="R2818" t="str">
        <f t="shared" si="1194"/>
        <v>BULLISH</v>
      </c>
      <c r="S2818">
        <f t="shared" si="1172"/>
        <v>1</v>
      </c>
    </row>
    <row r="2819" spans="1:19" hidden="1" x14ac:dyDescent="0.25">
      <c r="A2819" s="5" t="str">
        <f t="shared" si="1169"/>
        <v>44021UST10Y</v>
      </c>
      <c r="B2819" s="6" t="s">
        <v>4</v>
      </c>
      <c r="C2819" s="6">
        <v>0.71</v>
      </c>
      <c r="D2819" s="6">
        <v>0.62</v>
      </c>
      <c r="E2819" s="6">
        <v>0.67</v>
      </c>
      <c r="F2819" t="str">
        <f t="shared" si="1184"/>
        <v>THU</v>
      </c>
      <c r="G2819" s="3">
        <f>DATE(2020,7,9)</f>
        <v>44021</v>
      </c>
      <c r="H2819" s="2">
        <f t="shared" ca="1" si="1186"/>
        <v>232</v>
      </c>
      <c r="I2819" t="str">
        <f t="shared" si="1187"/>
        <v>UST10Y</v>
      </c>
      <c r="J2819">
        <f t="shared" si="1188"/>
        <v>0.71</v>
      </c>
      <c r="K2819">
        <f t="shared" si="1189"/>
        <v>0.62</v>
      </c>
      <c r="L2819">
        <f t="shared" si="1190"/>
        <v>0.66500000000000004</v>
      </c>
      <c r="M2819">
        <f t="shared" si="1191"/>
        <v>4.4999999999999991E-2</v>
      </c>
      <c r="N2819">
        <f t="shared" ref="N2819:N2882" si="1195">ABS(K2819-J2819)</f>
        <v>8.9999999999999969E-2</v>
      </c>
      <c r="O2819">
        <f t="shared" si="1192"/>
        <v>0.67</v>
      </c>
      <c r="P2819">
        <f t="shared" si="1193"/>
        <v>0.11111111111111123</v>
      </c>
      <c r="Q2819" t="str">
        <f t="shared" ref="Q2819:Q2882" si="1196">ROUND(ABS(100*(O2819-J2819)/O2819),2)&amp;"% | "&amp;ROUND(ABS(100*(K2819-O2819)/O2819),2)&amp;"%"</f>
        <v>5.97% | 7.46%</v>
      </c>
      <c r="R2819" t="str">
        <f t="shared" si="1194"/>
        <v>BEARISH</v>
      </c>
      <c r="S2819">
        <f t="shared" ref="S2819:S2882" si="1197">IF(R2819="BEARISH",-1,IF(R2819="NEUTRAL",0,IF(R2819="BULLISH",1,99)))</f>
        <v>-1</v>
      </c>
    </row>
    <row r="2820" spans="1:19" hidden="1" x14ac:dyDescent="0.25">
      <c r="A2820" s="5" t="str">
        <f t="shared" ref="A2820:A2883" si="1198">G2820&amp;I2820</f>
        <v>44021UST2Y</v>
      </c>
      <c r="B2820" s="6" t="s">
        <v>5</v>
      </c>
      <c r="C2820" s="6">
        <v>0.19</v>
      </c>
      <c r="D2820" s="6">
        <v>0.13</v>
      </c>
      <c r="E2820" s="6">
        <v>0.16</v>
      </c>
      <c r="F2820" t="str">
        <f t="shared" ref="F2820:F2849" si="1199">UPPER(TEXT(G2820,"ddd"))</f>
        <v>THU</v>
      </c>
      <c r="G2820" s="3">
        <f t="shared" ref="G2820:G2848" si="1200">DATE(2020,7,9)</f>
        <v>44021</v>
      </c>
      <c r="H2820" s="2">
        <f t="shared" ref="H2820:H2849" ca="1" si="1201">TODAY()-G2820</f>
        <v>232</v>
      </c>
      <c r="I2820" t="str">
        <f t="shared" ref="I2820:I2849" si="1202">TRIM(LEFT(B2820,FIND(" ",B2820,1)))</f>
        <v>UST2Y</v>
      </c>
      <c r="J2820">
        <f t="shared" ref="J2820:J2849" si="1203">C2820</f>
        <v>0.19</v>
      </c>
      <c r="K2820">
        <f t="shared" ref="K2820:K2849" si="1204">D2820</f>
        <v>0.13</v>
      </c>
      <c r="L2820">
        <f t="shared" ref="L2820:L2849" si="1205">AVERAGE(J2820:K2820)</f>
        <v>0.16</v>
      </c>
      <c r="M2820">
        <f t="shared" ref="M2820:M2849" si="1206">_xlfn.STDEV.P(J2820:K2820)</f>
        <v>3.0000000000000023E-2</v>
      </c>
      <c r="N2820">
        <f t="shared" si="1195"/>
        <v>0.06</v>
      </c>
      <c r="O2820">
        <f t="shared" ref="O2820:O2849" si="1207">E2820</f>
        <v>0.16</v>
      </c>
      <c r="P2820">
        <f t="shared" ref="P2820:P2849" si="1208">(O2820-L2820)/M2820</f>
        <v>0</v>
      </c>
      <c r="Q2820" t="str">
        <f t="shared" si="1196"/>
        <v>18.75% | 18.75%</v>
      </c>
      <c r="R2820" t="str">
        <f t="shared" ref="R2820:R2849" si="1209">MID(B2820,FIND("(",B2820,1)+1,FIND(")",B2820,1)-FIND("(",B2820,1)-1)</f>
        <v>BEARISH</v>
      </c>
      <c r="S2820">
        <f t="shared" si="1197"/>
        <v>-1</v>
      </c>
    </row>
    <row r="2821" spans="1:19" hidden="1" x14ac:dyDescent="0.25">
      <c r="A2821" s="5" t="str">
        <f t="shared" si="1198"/>
        <v>44021SPX</v>
      </c>
      <c r="B2821" s="6" t="s">
        <v>6</v>
      </c>
      <c r="C2821" s="6">
        <v>3006</v>
      </c>
      <c r="D2821" s="6">
        <v>3195</v>
      </c>
      <c r="E2821" s="6">
        <v>3169</v>
      </c>
      <c r="F2821" t="str">
        <f t="shared" si="1199"/>
        <v>THU</v>
      </c>
      <c r="G2821" s="3">
        <f t="shared" si="1200"/>
        <v>44021</v>
      </c>
      <c r="H2821" s="2">
        <f t="shared" ca="1" si="1201"/>
        <v>232</v>
      </c>
      <c r="I2821" t="str">
        <f t="shared" si="1202"/>
        <v>SPX</v>
      </c>
      <c r="J2821">
        <f t="shared" si="1203"/>
        <v>3006</v>
      </c>
      <c r="K2821">
        <f t="shared" si="1204"/>
        <v>3195</v>
      </c>
      <c r="L2821">
        <f t="shared" si="1205"/>
        <v>3100.5</v>
      </c>
      <c r="M2821">
        <f t="shared" si="1206"/>
        <v>94.5</v>
      </c>
      <c r="N2821">
        <f t="shared" si="1195"/>
        <v>189</v>
      </c>
      <c r="O2821">
        <f t="shared" si="1207"/>
        <v>3169</v>
      </c>
      <c r="P2821">
        <f t="shared" si="1208"/>
        <v>0.72486772486772488</v>
      </c>
      <c r="Q2821" t="str">
        <f t="shared" si="1196"/>
        <v>5.14% | 0.82%</v>
      </c>
      <c r="R2821" t="str">
        <f t="shared" si="1209"/>
        <v>BEARISH</v>
      </c>
      <c r="S2821">
        <f t="shared" si="1197"/>
        <v>-1</v>
      </c>
    </row>
    <row r="2822" spans="1:19" hidden="1" x14ac:dyDescent="0.25">
      <c r="A2822" s="5" t="str">
        <f t="shared" si="1198"/>
        <v>44021RUT</v>
      </c>
      <c r="B2822" s="6" t="s">
        <v>7</v>
      </c>
      <c r="C2822" s="6">
        <v>1349</v>
      </c>
      <c r="D2822" s="6">
        <v>1458</v>
      </c>
      <c r="E2822" s="6">
        <v>1427</v>
      </c>
      <c r="F2822" t="str">
        <f t="shared" si="1199"/>
        <v>THU</v>
      </c>
      <c r="G2822" s="3">
        <f t="shared" si="1200"/>
        <v>44021</v>
      </c>
      <c r="H2822" s="2">
        <f t="shared" ca="1" si="1201"/>
        <v>232</v>
      </c>
      <c r="I2822" t="str">
        <f t="shared" si="1202"/>
        <v>RUT</v>
      </c>
      <c r="J2822">
        <f t="shared" si="1203"/>
        <v>1349</v>
      </c>
      <c r="K2822">
        <f t="shared" si="1204"/>
        <v>1458</v>
      </c>
      <c r="L2822">
        <f t="shared" si="1205"/>
        <v>1403.5</v>
      </c>
      <c r="M2822">
        <f t="shared" si="1206"/>
        <v>54.5</v>
      </c>
      <c r="N2822">
        <f t="shared" si="1195"/>
        <v>109</v>
      </c>
      <c r="O2822">
        <f t="shared" si="1207"/>
        <v>1427</v>
      </c>
      <c r="P2822">
        <f t="shared" si="1208"/>
        <v>0.43119266055045874</v>
      </c>
      <c r="Q2822" t="str">
        <f t="shared" si="1196"/>
        <v>5.47% | 2.17%</v>
      </c>
      <c r="R2822" t="str">
        <f t="shared" si="1209"/>
        <v>BEARISH</v>
      </c>
      <c r="S2822">
        <f t="shared" si="1197"/>
        <v>-1</v>
      </c>
    </row>
    <row r="2823" spans="1:19" hidden="1" x14ac:dyDescent="0.25">
      <c r="A2823" s="5" t="str">
        <f t="shared" si="1198"/>
        <v>44021COMPQ</v>
      </c>
      <c r="B2823" s="6" t="s">
        <v>8</v>
      </c>
      <c r="C2823" s="6">
        <v>9916</v>
      </c>
      <c r="D2823" s="6">
        <v>10619</v>
      </c>
      <c r="E2823" s="6">
        <v>10492</v>
      </c>
      <c r="F2823" t="str">
        <f t="shared" si="1199"/>
        <v>THU</v>
      </c>
      <c r="G2823" s="3">
        <f t="shared" si="1200"/>
        <v>44021</v>
      </c>
      <c r="H2823" s="2">
        <f t="shared" ca="1" si="1201"/>
        <v>232</v>
      </c>
      <c r="I2823" t="str">
        <f t="shared" si="1202"/>
        <v>COMPQ</v>
      </c>
      <c r="J2823">
        <f t="shared" si="1203"/>
        <v>9916</v>
      </c>
      <c r="K2823">
        <f t="shared" si="1204"/>
        <v>10619</v>
      </c>
      <c r="L2823">
        <f t="shared" si="1205"/>
        <v>10267.5</v>
      </c>
      <c r="M2823">
        <f t="shared" si="1206"/>
        <v>351.5</v>
      </c>
      <c r="N2823">
        <f t="shared" si="1195"/>
        <v>703</v>
      </c>
      <c r="O2823">
        <f t="shared" si="1207"/>
        <v>10492</v>
      </c>
      <c r="P2823">
        <f t="shared" si="1208"/>
        <v>0.63869132290184927</v>
      </c>
      <c r="Q2823" t="str">
        <f t="shared" si="1196"/>
        <v>5.49% | 1.21%</v>
      </c>
      <c r="R2823" t="str">
        <f t="shared" si="1209"/>
        <v>BULLISH</v>
      </c>
      <c r="S2823">
        <f t="shared" si="1197"/>
        <v>1</v>
      </c>
    </row>
    <row r="2824" spans="1:19" hidden="1" x14ac:dyDescent="0.25">
      <c r="A2824" s="5" t="str">
        <f t="shared" si="1198"/>
        <v>44021XLK</v>
      </c>
      <c r="B2824" s="6" t="s">
        <v>10</v>
      </c>
      <c r="C2824" s="6">
        <v>102.14</v>
      </c>
      <c r="D2824" s="6">
        <v>108.67</v>
      </c>
      <c r="E2824" s="6">
        <v>107.72</v>
      </c>
      <c r="F2824" t="str">
        <f t="shared" si="1199"/>
        <v>THU</v>
      </c>
      <c r="G2824" s="3">
        <f t="shared" si="1200"/>
        <v>44021</v>
      </c>
      <c r="H2824" s="2">
        <f t="shared" ca="1" si="1201"/>
        <v>232</v>
      </c>
      <c r="I2824" t="str">
        <f t="shared" si="1202"/>
        <v>XLK</v>
      </c>
      <c r="J2824">
        <f t="shared" si="1203"/>
        <v>102.14</v>
      </c>
      <c r="K2824">
        <f t="shared" si="1204"/>
        <v>108.67</v>
      </c>
      <c r="L2824">
        <f t="shared" si="1205"/>
        <v>105.405</v>
      </c>
      <c r="M2824">
        <f t="shared" si="1206"/>
        <v>3.2650000000000006</v>
      </c>
      <c r="N2824">
        <f t="shared" si="1195"/>
        <v>6.5300000000000011</v>
      </c>
      <c r="O2824">
        <f t="shared" si="1207"/>
        <v>107.72</v>
      </c>
      <c r="P2824">
        <f t="shared" si="1208"/>
        <v>0.70903522205206659</v>
      </c>
      <c r="Q2824" t="str">
        <f t="shared" si="1196"/>
        <v>5.18% | 0.88%</v>
      </c>
      <c r="R2824" t="str">
        <f t="shared" si="1209"/>
        <v>BULLISH</v>
      </c>
      <c r="S2824">
        <f t="shared" si="1197"/>
        <v>1</v>
      </c>
    </row>
    <row r="2825" spans="1:19" hidden="1" x14ac:dyDescent="0.25">
      <c r="A2825" s="5" t="str">
        <f t="shared" si="1198"/>
        <v>44021XLRE</v>
      </c>
      <c r="B2825" s="6" t="s">
        <v>97</v>
      </c>
      <c r="C2825" s="6">
        <v>33.5</v>
      </c>
      <c r="D2825" s="6">
        <v>36.299999999999997</v>
      </c>
      <c r="E2825" s="6">
        <v>35.08</v>
      </c>
      <c r="F2825" t="str">
        <f t="shared" si="1199"/>
        <v>THU</v>
      </c>
      <c r="G2825" s="3">
        <f t="shared" si="1200"/>
        <v>44021</v>
      </c>
      <c r="H2825" s="2">
        <f t="shared" ca="1" si="1201"/>
        <v>232</v>
      </c>
      <c r="I2825" t="str">
        <f t="shared" si="1202"/>
        <v>XLRE</v>
      </c>
      <c r="J2825">
        <f t="shared" si="1203"/>
        <v>33.5</v>
      </c>
      <c r="K2825">
        <f t="shared" si="1204"/>
        <v>36.299999999999997</v>
      </c>
      <c r="L2825">
        <f t="shared" si="1205"/>
        <v>34.9</v>
      </c>
      <c r="M2825">
        <f t="shared" si="1206"/>
        <v>1.3999999999999986</v>
      </c>
      <c r="N2825">
        <f t="shared" si="1195"/>
        <v>2.7999999999999972</v>
      </c>
      <c r="O2825">
        <f t="shared" si="1207"/>
        <v>35.08</v>
      </c>
      <c r="P2825">
        <f t="shared" si="1208"/>
        <v>0.1285714285714285</v>
      </c>
      <c r="Q2825" t="str">
        <f t="shared" si="1196"/>
        <v>4.5% | 3.48%</v>
      </c>
      <c r="R2825" t="str">
        <f t="shared" si="1209"/>
        <v>BULLISH</v>
      </c>
      <c r="S2825">
        <f t="shared" si="1197"/>
        <v>1</v>
      </c>
    </row>
    <row r="2826" spans="1:19" hidden="1" x14ac:dyDescent="0.25">
      <c r="A2826" s="5" t="str">
        <f t="shared" si="1198"/>
        <v>44021XLU</v>
      </c>
      <c r="B2826" s="6" t="s">
        <v>52</v>
      </c>
      <c r="C2826" s="6">
        <v>54.99</v>
      </c>
      <c r="D2826" s="6">
        <v>58.61</v>
      </c>
      <c r="E2826" s="6">
        <v>57.47</v>
      </c>
      <c r="F2826" t="str">
        <f t="shared" si="1199"/>
        <v>THU</v>
      </c>
      <c r="G2826" s="3">
        <f t="shared" si="1200"/>
        <v>44021</v>
      </c>
      <c r="H2826" s="2">
        <f t="shared" ca="1" si="1201"/>
        <v>232</v>
      </c>
      <c r="I2826" t="str">
        <f t="shared" si="1202"/>
        <v>XLU</v>
      </c>
      <c r="J2826">
        <f t="shared" si="1203"/>
        <v>54.99</v>
      </c>
      <c r="K2826">
        <f t="shared" si="1204"/>
        <v>58.61</v>
      </c>
      <c r="L2826">
        <f t="shared" si="1205"/>
        <v>56.8</v>
      </c>
      <c r="M2826">
        <f t="shared" si="1206"/>
        <v>1.8099999999999987</v>
      </c>
      <c r="N2826">
        <f t="shared" si="1195"/>
        <v>3.6199999999999974</v>
      </c>
      <c r="O2826">
        <f t="shared" si="1207"/>
        <v>57.47</v>
      </c>
      <c r="P2826">
        <f t="shared" si="1208"/>
        <v>0.37016574585635481</v>
      </c>
      <c r="Q2826" t="str">
        <f t="shared" si="1196"/>
        <v>4.32% | 1.98%</v>
      </c>
      <c r="R2826" t="str">
        <f t="shared" si="1209"/>
        <v>BULLISH</v>
      </c>
      <c r="S2826">
        <f t="shared" si="1197"/>
        <v>1</v>
      </c>
    </row>
    <row r="2827" spans="1:19" hidden="1" x14ac:dyDescent="0.25">
      <c r="A2827" s="5" t="str">
        <f t="shared" si="1198"/>
        <v>44021XLF</v>
      </c>
      <c r="B2827" s="6" t="s">
        <v>12</v>
      </c>
      <c r="C2827" s="6">
        <v>22.09</v>
      </c>
      <c r="D2827" s="6">
        <v>23.74</v>
      </c>
      <c r="E2827" s="6">
        <v>23.17</v>
      </c>
      <c r="F2827" t="str">
        <f t="shared" si="1199"/>
        <v>THU</v>
      </c>
      <c r="G2827" s="3">
        <f t="shared" si="1200"/>
        <v>44021</v>
      </c>
      <c r="H2827" s="2">
        <f t="shared" ca="1" si="1201"/>
        <v>232</v>
      </c>
      <c r="I2827" t="str">
        <f t="shared" si="1202"/>
        <v>XLF</v>
      </c>
      <c r="J2827">
        <f t="shared" si="1203"/>
        <v>22.09</v>
      </c>
      <c r="K2827">
        <f t="shared" si="1204"/>
        <v>23.74</v>
      </c>
      <c r="L2827">
        <f t="shared" si="1205"/>
        <v>22.914999999999999</v>
      </c>
      <c r="M2827">
        <f t="shared" si="1206"/>
        <v>0.82499999999999929</v>
      </c>
      <c r="N2827">
        <f t="shared" si="1195"/>
        <v>1.6499999999999986</v>
      </c>
      <c r="O2827">
        <f t="shared" si="1207"/>
        <v>23.17</v>
      </c>
      <c r="P2827">
        <f t="shared" si="1208"/>
        <v>0.30909090909091247</v>
      </c>
      <c r="Q2827" t="str">
        <f t="shared" si="1196"/>
        <v>4.66% | 2.46%</v>
      </c>
      <c r="R2827" t="str">
        <f t="shared" si="1209"/>
        <v>BEARISH</v>
      </c>
      <c r="S2827">
        <f t="shared" si="1197"/>
        <v>-1</v>
      </c>
    </row>
    <row r="2828" spans="1:19" hidden="1" x14ac:dyDescent="0.25">
      <c r="A2828" s="5" t="str">
        <f t="shared" si="1198"/>
        <v>44021SSEC</v>
      </c>
      <c r="B2828" s="6" t="s">
        <v>104</v>
      </c>
      <c r="C2828" s="6">
        <v>3413</v>
      </c>
      <c r="D2828" s="6">
        <v>3474</v>
      </c>
      <c r="E2828" s="6">
        <v>3450</v>
      </c>
      <c r="F2828" t="str">
        <f t="shared" si="1199"/>
        <v>THU</v>
      </c>
      <c r="G2828" s="3">
        <f t="shared" si="1200"/>
        <v>44021</v>
      </c>
      <c r="H2828" s="2">
        <f t="shared" ca="1" si="1201"/>
        <v>232</v>
      </c>
      <c r="I2828" t="str">
        <f t="shared" si="1202"/>
        <v>SSEC</v>
      </c>
      <c r="J2828">
        <f t="shared" si="1203"/>
        <v>3413</v>
      </c>
      <c r="K2828">
        <f t="shared" si="1204"/>
        <v>3474</v>
      </c>
      <c r="L2828">
        <f t="shared" si="1205"/>
        <v>3443.5</v>
      </c>
      <c r="M2828">
        <f t="shared" si="1206"/>
        <v>30.5</v>
      </c>
      <c r="N2828">
        <f t="shared" si="1195"/>
        <v>61</v>
      </c>
      <c r="O2828">
        <f t="shared" si="1207"/>
        <v>3450</v>
      </c>
      <c r="P2828">
        <f t="shared" si="1208"/>
        <v>0.21311475409836064</v>
      </c>
      <c r="Q2828" t="str">
        <f t="shared" si="1196"/>
        <v>1.07% | 0.7%</v>
      </c>
      <c r="R2828" t="str">
        <f t="shared" si="1209"/>
        <v>BULLISH</v>
      </c>
      <c r="S2828">
        <f t="shared" si="1197"/>
        <v>1</v>
      </c>
    </row>
    <row r="2829" spans="1:19" hidden="1" x14ac:dyDescent="0.25">
      <c r="A2829" s="5" t="str">
        <f t="shared" si="1198"/>
        <v>44021NIKK</v>
      </c>
      <c r="B2829" s="6" t="s">
        <v>90</v>
      </c>
      <c r="C2829" s="6">
        <v>21805</v>
      </c>
      <c r="D2829" s="6">
        <v>22809</v>
      </c>
      <c r="E2829" s="6">
        <v>22529</v>
      </c>
      <c r="F2829" t="str">
        <f t="shared" si="1199"/>
        <v>THU</v>
      </c>
      <c r="G2829" s="3">
        <f t="shared" si="1200"/>
        <v>44021</v>
      </c>
      <c r="H2829" s="2">
        <f t="shared" ca="1" si="1201"/>
        <v>232</v>
      </c>
      <c r="I2829" t="str">
        <f t="shared" si="1202"/>
        <v>NIKK</v>
      </c>
      <c r="J2829">
        <f t="shared" si="1203"/>
        <v>21805</v>
      </c>
      <c r="K2829">
        <f t="shared" si="1204"/>
        <v>22809</v>
      </c>
      <c r="L2829">
        <f t="shared" si="1205"/>
        <v>22307</v>
      </c>
      <c r="M2829">
        <f t="shared" si="1206"/>
        <v>502</v>
      </c>
      <c r="N2829">
        <f t="shared" si="1195"/>
        <v>1004</v>
      </c>
      <c r="O2829">
        <f t="shared" si="1207"/>
        <v>22529</v>
      </c>
      <c r="P2829">
        <f t="shared" si="1208"/>
        <v>0.44223107569721115</v>
      </c>
      <c r="Q2829" t="str">
        <f t="shared" si="1196"/>
        <v>3.21% | 1.24%</v>
      </c>
      <c r="R2829" t="str">
        <f t="shared" si="1209"/>
        <v>NEUTRAL</v>
      </c>
      <c r="S2829">
        <f t="shared" si="1197"/>
        <v>0</v>
      </c>
    </row>
    <row r="2830" spans="1:19" hidden="1" x14ac:dyDescent="0.25">
      <c r="A2830" s="5" t="str">
        <f t="shared" si="1198"/>
        <v>44021DAX</v>
      </c>
      <c r="B2830" s="6" t="s">
        <v>92</v>
      </c>
      <c r="C2830" s="6">
        <v>12000</v>
      </c>
      <c r="D2830" s="6">
        <v>12843</v>
      </c>
      <c r="E2830" s="6">
        <v>12494</v>
      </c>
      <c r="F2830" t="str">
        <f t="shared" si="1199"/>
        <v>THU</v>
      </c>
      <c r="G2830" s="3">
        <f t="shared" si="1200"/>
        <v>44021</v>
      </c>
      <c r="H2830" s="2">
        <f t="shared" ca="1" si="1201"/>
        <v>232</v>
      </c>
      <c r="I2830" t="str">
        <f t="shared" si="1202"/>
        <v>DAX</v>
      </c>
      <c r="J2830">
        <f t="shared" si="1203"/>
        <v>12000</v>
      </c>
      <c r="K2830">
        <f t="shared" si="1204"/>
        <v>12843</v>
      </c>
      <c r="L2830">
        <f t="shared" si="1205"/>
        <v>12421.5</v>
      </c>
      <c r="M2830">
        <f t="shared" si="1206"/>
        <v>421.5</v>
      </c>
      <c r="N2830">
        <f t="shared" si="1195"/>
        <v>843</v>
      </c>
      <c r="O2830">
        <f t="shared" si="1207"/>
        <v>12494</v>
      </c>
      <c r="P2830">
        <f t="shared" si="1208"/>
        <v>0.17200474495848161</v>
      </c>
      <c r="Q2830" t="str">
        <f t="shared" si="1196"/>
        <v>3.95% | 2.79%</v>
      </c>
      <c r="R2830" t="str">
        <f t="shared" si="1209"/>
        <v>NEUTRAL</v>
      </c>
      <c r="S2830">
        <f t="shared" si="1197"/>
        <v>0</v>
      </c>
    </row>
    <row r="2831" spans="1:19" hidden="1" x14ac:dyDescent="0.25">
      <c r="A2831" s="5" t="str">
        <f t="shared" si="1198"/>
        <v>44021VIX</v>
      </c>
      <c r="B2831" s="6" t="s">
        <v>17</v>
      </c>
      <c r="C2831" s="6">
        <v>26.84</v>
      </c>
      <c r="D2831" s="6">
        <v>34.93</v>
      </c>
      <c r="E2831" s="6">
        <v>28.08</v>
      </c>
      <c r="F2831" t="str">
        <f t="shared" si="1199"/>
        <v>THU</v>
      </c>
      <c r="G2831" s="3">
        <f t="shared" si="1200"/>
        <v>44021</v>
      </c>
      <c r="H2831" s="2">
        <f t="shared" ca="1" si="1201"/>
        <v>232</v>
      </c>
      <c r="I2831" t="str">
        <f t="shared" si="1202"/>
        <v>VIX</v>
      </c>
      <c r="J2831">
        <f t="shared" si="1203"/>
        <v>26.84</v>
      </c>
      <c r="K2831">
        <f t="shared" si="1204"/>
        <v>34.93</v>
      </c>
      <c r="L2831">
        <f t="shared" si="1205"/>
        <v>30.884999999999998</v>
      </c>
      <c r="M2831">
        <f t="shared" si="1206"/>
        <v>4.0450000000000017</v>
      </c>
      <c r="N2831">
        <f t="shared" si="1195"/>
        <v>8.09</v>
      </c>
      <c r="O2831">
        <f t="shared" si="1207"/>
        <v>28.08</v>
      </c>
      <c r="P2831">
        <f t="shared" si="1208"/>
        <v>-0.69344870210135934</v>
      </c>
      <c r="Q2831" t="str">
        <f t="shared" si="1196"/>
        <v>4.42% | 24.39%</v>
      </c>
      <c r="R2831" t="str">
        <f t="shared" si="1209"/>
        <v>BULLISH</v>
      </c>
      <c r="S2831">
        <f t="shared" si="1197"/>
        <v>1</v>
      </c>
    </row>
    <row r="2832" spans="1:19" hidden="1" x14ac:dyDescent="0.25">
      <c r="A2832" s="5" t="str">
        <f t="shared" si="1198"/>
        <v>44021USD</v>
      </c>
      <c r="B2832" s="6" t="s">
        <v>94</v>
      </c>
      <c r="C2832" s="6">
        <v>96.2</v>
      </c>
      <c r="D2832" s="6">
        <v>97.46</v>
      </c>
      <c r="E2832" s="6">
        <v>96.37</v>
      </c>
      <c r="F2832" t="str">
        <f t="shared" si="1199"/>
        <v>THU</v>
      </c>
      <c r="G2832" s="3">
        <f t="shared" si="1200"/>
        <v>44021</v>
      </c>
      <c r="H2832" s="2">
        <f t="shared" ca="1" si="1201"/>
        <v>232</v>
      </c>
      <c r="I2832" t="str">
        <f t="shared" si="1202"/>
        <v>USD</v>
      </c>
      <c r="J2832">
        <f t="shared" si="1203"/>
        <v>96.2</v>
      </c>
      <c r="K2832">
        <f t="shared" si="1204"/>
        <v>97.46</v>
      </c>
      <c r="L2832">
        <f t="shared" si="1205"/>
        <v>96.83</v>
      </c>
      <c r="M2832">
        <f t="shared" si="1206"/>
        <v>0.62999999999999545</v>
      </c>
      <c r="N2832">
        <f t="shared" si="1195"/>
        <v>1.2599999999999909</v>
      </c>
      <c r="O2832">
        <f t="shared" si="1207"/>
        <v>96.37</v>
      </c>
      <c r="P2832">
        <f t="shared" si="1208"/>
        <v>-0.73015873015872546</v>
      </c>
      <c r="Q2832" t="str">
        <f t="shared" si="1196"/>
        <v>0.18% | 1.13%</v>
      </c>
      <c r="R2832" t="str">
        <f t="shared" si="1209"/>
        <v>BEARISH</v>
      </c>
      <c r="S2832">
        <f t="shared" si="1197"/>
        <v>-1</v>
      </c>
    </row>
    <row r="2833" spans="1:19" hidden="1" x14ac:dyDescent="0.25">
      <c r="A2833" s="5" t="str">
        <f t="shared" si="1198"/>
        <v>44021EUR/USD</v>
      </c>
      <c r="B2833" s="6" t="s">
        <v>99</v>
      </c>
      <c r="C2833" s="6">
        <v>1.1100000000000001</v>
      </c>
      <c r="D2833" s="6">
        <v>1.1299999999999999</v>
      </c>
      <c r="E2833" s="6">
        <v>1.1299999999999999</v>
      </c>
      <c r="F2833" t="str">
        <f t="shared" si="1199"/>
        <v>THU</v>
      </c>
      <c r="G2833" s="3">
        <f t="shared" si="1200"/>
        <v>44021</v>
      </c>
      <c r="H2833" s="2">
        <f t="shared" ca="1" si="1201"/>
        <v>232</v>
      </c>
      <c r="I2833" t="str">
        <f t="shared" si="1202"/>
        <v>EUR/USD</v>
      </c>
      <c r="J2833">
        <f t="shared" si="1203"/>
        <v>1.1100000000000001</v>
      </c>
      <c r="K2833">
        <f t="shared" si="1204"/>
        <v>1.1299999999999999</v>
      </c>
      <c r="L2833">
        <f t="shared" si="1205"/>
        <v>1.1200000000000001</v>
      </c>
      <c r="M2833">
        <f t="shared" si="1206"/>
        <v>9.9999999999998979E-3</v>
      </c>
      <c r="N2833">
        <f t="shared" si="1195"/>
        <v>1.9999999999999796E-2</v>
      </c>
      <c r="O2833">
        <f t="shared" si="1207"/>
        <v>1.1299999999999999</v>
      </c>
      <c r="P2833">
        <f t="shared" si="1208"/>
        <v>0.9999999999999889</v>
      </c>
      <c r="Q2833" t="str">
        <f t="shared" si="1196"/>
        <v>1.77% | 0%</v>
      </c>
      <c r="R2833" t="str">
        <f t="shared" si="1209"/>
        <v>BULLISH</v>
      </c>
      <c r="S2833">
        <f t="shared" si="1197"/>
        <v>1</v>
      </c>
    </row>
    <row r="2834" spans="1:19" hidden="1" x14ac:dyDescent="0.25">
      <c r="A2834" s="5" t="str">
        <f t="shared" si="1198"/>
        <v>44021USD/JPY</v>
      </c>
      <c r="B2834" s="6" t="s">
        <v>20</v>
      </c>
      <c r="C2834" s="6">
        <v>106.5</v>
      </c>
      <c r="D2834" s="6">
        <v>108.2</v>
      </c>
      <c r="E2834" s="6">
        <v>107.26</v>
      </c>
      <c r="F2834" t="str">
        <f t="shared" si="1199"/>
        <v>THU</v>
      </c>
      <c r="G2834" s="3">
        <f t="shared" si="1200"/>
        <v>44021</v>
      </c>
      <c r="H2834" s="2">
        <f t="shared" ca="1" si="1201"/>
        <v>232</v>
      </c>
      <c r="I2834" t="str">
        <f t="shared" si="1202"/>
        <v>USD/JPY</v>
      </c>
      <c r="J2834">
        <f t="shared" si="1203"/>
        <v>106.5</v>
      </c>
      <c r="K2834">
        <f t="shared" si="1204"/>
        <v>108.2</v>
      </c>
      <c r="L2834">
        <f t="shared" si="1205"/>
        <v>107.35</v>
      </c>
      <c r="M2834">
        <f t="shared" si="1206"/>
        <v>0.85000000000000142</v>
      </c>
      <c r="N2834">
        <f t="shared" si="1195"/>
        <v>1.7000000000000028</v>
      </c>
      <c r="O2834">
        <f t="shared" si="1207"/>
        <v>107.26</v>
      </c>
      <c r="P2834">
        <f t="shared" si="1208"/>
        <v>-0.10588235294116359</v>
      </c>
      <c r="Q2834" t="str">
        <f t="shared" si="1196"/>
        <v>0.71% | 0.88%</v>
      </c>
      <c r="R2834" t="str">
        <f t="shared" si="1209"/>
        <v>BEARISH</v>
      </c>
      <c r="S2834">
        <f t="shared" si="1197"/>
        <v>-1</v>
      </c>
    </row>
    <row r="2835" spans="1:19" hidden="1" x14ac:dyDescent="0.25">
      <c r="A2835" s="5" t="str">
        <f t="shared" si="1198"/>
        <v>44021GBP/USD</v>
      </c>
      <c r="B2835" s="6" t="s">
        <v>102</v>
      </c>
      <c r="C2835" s="6">
        <v>1.23</v>
      </c>
      <c r="D2835" s="6">
        <v>1.26</v>
      </c>
      <c r="E2835" s="6">
        <v>1.26</v>
      </c>
      <c r="F2835" t="str">
        <f t="shared" si="1199"/>
        <v>THU</v>
      </c>
      <c r="G2835" s="3">
        <f t="shared" si="1200"/>
        <v>44021</v>
      </c>
      <c r="H2835" s="2">
        <f t="shared" ca="1" si="1201"/>
        <v>232</v>
      </c>
      <c r="I2835" t="str">
        <f t="shared" si="1202"/>
        <v>GBP/USD</v>
      </c>
      <c r="J2835">
        <f t="shared" si="1203"/>
        <v>1.23</v>
      </c>
      <c r="K2835">
        <f t="shared" si="1204"/>
        <v>1.26</v>
      </c>
      <c r="L2835">
        <f t="shared" si="1205"/>
        <v>1.2450000000000001</v>
      </c>
      <c r="M2835">
        <f t="shared" si="1206"/>
        <v>1.5000000000000013E-2</v>
      </c>
      <c r="N2835">
        <f t="shared" si="1195"/>
        <v>3.0000000000000027E-2</v>
      </c>
      <c r="O2835">
        <f t="shared" si="1207"/>
        <v>1.26</v>
      </c>
      <c r="P2835">
        <f t="shared" si="1208"/>
        <v>0.99999999999999256</v>
      </c>
      <c r="Q2835" t="str">
        <f t="shared" si="1196"/>
        <v>2.38% | 0%</v>
      </c>
      <c r="R2835" t="str">
        <f t="shared" si="1209"/>
        <v>BULLISH</v>
      </c>
      <c r="S2835">
        <f t="shared" si="1197"/>
        <v>1</v>
      </c>
    </row>
    <row r="2836" spans="1:19" hidden="1" x14ac:dyDescent="0.25">
      <c r="A2836" s="5" t="str">
        <f t="shared" si="1198"/>
        <v>44021USD/CHF</v>
      </c>
      <c r="B2836" s="6" t="s">
        <v>76</v>
      </c>
      <c r="C2836" s="6">
        <v>0.93</v>
      </c>
      <c r="D2836" s="6">
        <v>0.95</v>
      </c>
      <c r="E2836" s="6">
        <v>0.93</v>
      </c>
      <c r="F2836" t="str">
        <f t="shared" si="1199"/>
        <v>THU</v>
      </c>
      <c r="G2836" s="3">
        <f t="shared" si="1200"/>
        <v>44021</v>
      </c>
      <c r="H2836" s="2">
        <f t="shared" ca="1" si="1201"/>
        <v>232</v>
      </c>
      <c r="I2836" t="str">
        <f t="shared" si="1202"/>
        <v>USD/CHF</v>
      </c>
      <c r="J2836">
        <f t="shared" si="1203"/>
        <v>0.93</v>
      </c>
      <c r="K2836">
        <f t="shared" si="1204"/>
        <v>0.95</v>
      </c>
      <c r="L2836">
        <f t="shared" si="1205"/>
        <v>0.94</v>
      </c>
      <c r="M2836">
        <f t="shared" si="1206"/>
        <v>9.9999999999999534E-3</v>
      </c>
      <c r="N2836">
        <f t="shared" si="1195"/>
        <v>1.9999999999999907E-2</v>
      </c>
      <c r="O2836">
        <f t="shared" si="1207"/>
        <v>0.93</v>
      </c>
      <c r="P2836">
        <f t="shared" si="1208"/>
        <v>-0.99999999999999445</v>
      </c>
      <c r="Q2836" t="str">
        <f t="shared" si="1196"/>
        <v>0% | 2.15%</v>
      </c>
      <c r="R2836" t="str">
        <f t="shared" si="1209"/>
        <v>BEARISH</v>
      </c>
      <c r="S2836">
        <f t="shared" si="1197"/>
        <v>-1</v>
      </c>
    </row>
    <row r="2837" spans="1:19" hidden="1" x14ac:dyDescent="0.25">
      <c r="A2837" s="5" t="str">
        <f t="shared" si="1198"/>
        <v>44021WTIC</v>
      </c>
      <c r="B2837" s="6" t="s">
        <v>158</v>
      </c>
      <c r="C2837" s="6">
        <v>37.89</v>
      </c>
      <c r="D2837" s="6">
        <v>41.78</v>
      </c>
      <c r="E2837" s="6">
        <v>40.9</v>
      </c>
      <c r="F2837" t="str">
        <f t="shared" si="1199"/>
        <v>THU</v>
      </c>
      <c r="G2837" s="3">
        <f t="shared" si="1200"/>
        <v>44021</v>
      </c>
      <c r="H2837" s="2">
        <f t="shared" ca="1" si="1201"/>
        <v>232</v>
      </c>
      <c r="I2837" t="str">
        <f t="shared" si="1202"/>
        <v>WTIC</v>
      </c>
      <c r="J2837">
        <f t="shared" si="1203"/>
        <v>37.89</v>
      </c>
      <c r="K2837">
        <f t="shared" si="1204"/>
        <v>41.78</v>
      </c>
      <c r="L2837">
        <f t="shared" si="1205"/>
        <v>39.835000000000001</v>
      </c>
      <c r="M2837">
        <f t="shared" si="1206"/>
        <v>1.9450000000000003</v>
      </c>
      <c r="N2837">
        <f t="shared" si="1195"/>
        <v>3.8900000000000006</v>
      </c>
      <c r="O2837">
        <f t="shared" si="1207"/>
        <v>40.9</v>
      </c>
      <c r="P2837">
        <f t="shared" si="1208"/>
        <v>0.54755784061696533</v>
      </c>
      <c r="Q2837" t="str">
        <f t="shared" si="1196"/>
        <v>7.36% | 2.15%</v>
      </c>
      <c r="R2837" t="str">
        <f t="shared" si="1209"/>
        <v>BULLISH</v>
      </c>
      <c r="S2837">
        <f t="shared" si="1197"/>
        <v>1</v>
      </c>
    </row>
    <row r="2838" spans="1:19" hidden="1" x14ac:dyDescent="0.25">
      <c r="A2838" s="5" t="str">
        <f t="shared" si="1198"/>
        <v>44021NATGAS</v>
      </c>
      <c r="B2838" s="6" t="s">
        <v>89</v>
      </c>
      <c r="C2838" s="6">
        <v>1.55</v>
      </c>
      <c r="D2838" s="6">
        <v>1.93</v>
      </c>
      <c r="E2838" s="6">
        <v>1.82</v>
      </c>
      <c r="F2838" t="str">
        <f t="shared" si="1199"/>
        <v>THU</v>
      </c>
      <c r="G2838" s="3">
        <f t="shared" si="1200"/>
        <v>44021</v>
      </c>
      <c r="H2838" s="2">
        <f t="shared" ca="1" si="1201"/>
        <v>232</v>
      </c>
      <c r="I2838" t="str">
        <f t="shared" si="1202"/>
        <v>NATGAS</v>
      </c>
      <c r="J2838">
        <f t="shared" si="1203"/>
        <v>1.55</v>
      </c>
      <c r="K2838">
        <f t="shared" si="1204"/>
        <v>1.93</v>
      </c>
      <c r="L2838">
        <f t="shared" si="1205"/>
        <v>1.74</v>
      </c>
      <c r="M2838">
        <f t="shared" si="1206"/>
        <v>0.18999999999999947</v>
      </c>
      <c r="N2838">
        <f t="shared" si="1195"/>
        <v>0.37999999999999989</v>
      </c>
      <c r="O2838">
        <f t="shared" si="1207"/>
        <v>1.82</v>
      </c>
      <c r="P2838">
        <f t="shared" si="1208"/>
        <v>0.4210526315789489</v>
      </c>
      <c r="Q2838" t="str">
        <f t="shared" si="1196"/>
        <v>14.84% | 6.04%</v>
      </c>
      <c r="R2838" t="str">
        <f t="shared" si="1209"/>
        <v>BULLISH</v>
      </c>
      <c r="S2838">
        <f t="shared" si="1197"/>
        <v>1</v>
      </c>
    </row>
    <row r="2839" spans="1:19" hidden="1" x14ac:dyDescent="0.25">
      <c r="A2839" s="5" t="str">
        <f t="shared" si="1198"/>
        <v>44021GOLD</v>
      </c>
      <c r="B2839" s="6" t="s">
        <v>25</v>
      </c>
      <c r="C2839" s="6">
        <v>1765</v>
      </c>
      <c r="D2839" s="6">
        <v>1828</v>
      </c>
      <c r="E2839" s="6">
        <v>1820</v>
      </c>
      <c r="F2839" t="str">
        <f t="shared" si="1199"/>
        <v>THU</v>
      </c>
      <c r="G2839" s="3">
        <f t="shared" si="1200"/>
        <v>44021</v>
      </c>
      <c r="H2839" s="2">
        <f t="shared" ca="1" si="1201"/>
        <v>232</v>
      </c>
      <c r="I2839" t="str">
        <f t="shared" si="1202"/>
        <v>GOLD</v>
      </c>
      <c r="J2839">
        <f t="shared" si="1203"/>
        <v>1765</v>
      </c>
      <c r="K2839">
        <f t="shared" si="1204"/>
        <v>1828</v>
      </c>
      <c r="L2839">
        <f t="shared" si="1205"/>
        <v>1796.5</v>
      </c>
      <c r="M2839">
        <f t="shared" si="1206"/>
        <v>31.5</v>
      </c>
      <c r="N2839">
        <f t="shared" si="1195"/>
        <v>63</v>
      </c>
      <c r="O2839">
        <f t="shared" si="1207"/>
        <v>1820</v>
      </c>
      <c r="P2839">
        <f t="shared" si="1208"/>
        <v>0.74603174603174605</v>
      </c>
      <c r="Q2839" t="str">
        <f t="shared" si="1196"/>
        <v>3.02% | 0.44%</v>
      </c>
      <c r="R2839" t="str">
        <f t="shared" si="1209"/>
        <v>BULLISH</v>
      </c>
      <c r="S2839">
        <f t="shared" si="1197"/>
        <v>1</v>
      </c>
    </row>
    <row r="2840" spans="1:19" hidden="1" x14ac:dyDescent="0.25">
      <c r="A2840" s="5" t="str">
        <f t="shared" si="1198"/>
        <v>44021COPPER</v>
      </c>
      <c r="B2840" s="6" t="s">
        <v>100</v>
      </c>
      <c r="C2840" s="6">
        <v>2.64</v>
      </c>
      <c r="D2840" s="6">
        <v>2.88</v>
      </c>
      <c r="E2840" s="6">
        <v>2.82</v>
      </c>
      <c r="F2840" t="str">
        <f t="shared" si="1199"/>
        <v>THU</v>
      </c>
      <c r="G2840" s="3">
        <f t="shared" si="1200"/>
        <v>44021</v>
      </c>
      <c r="H2840" s="2">
        <f t="shared" ca="1" si="1201"/>
        <v>232</v>
      </c>
      <c r="I2840" t="str">
        <f t="shared" si="1202"/>
        <v>COPPER</v>
      </c>
      <c r="J2840">
        <f t="shared" si="1203"/>
        <v>2.64</v>
      </c>
      <c r="K2840">
        <f t="shared" si="1204"/>
        <v>2.88</v>
      </c>
      <c r="L2840">
        <f t="shared" si="1205"/>
        <v>2.76</v>
      </c>
      <c r="M2840">
        <f t="shared" si="1206"/>
        <v>0.11999999999999988</v>
      </c>
      <c r="N2840">
        <f t="shared" si="1195"/>
        <v>0.23999999999999977</v>
      </c>
      <c r="O2840">
        <f t="shared" si="1207"/>
        <v>2.82</v>
      </c>
      <c r="P2840">
        <f t="shared" si="1208"/>
        <v>0.50000000000000089</v>
      </c>
      <c r="Q2840" t="str">
        <f t="shared" si="1196"/>
        <v>6.38% | 2.13%</v>
      </c>
      <c r="R2840" t="str">
        <f t="shared" si="1209"/>
        <v>BULLISH</v>
      </c>
      <c r="S2840">
        <f t="shared" si="1197"/>
        <v>1</v>
      </c>
    </row>
    <row r="2841" spans="1:19" hidden="1" x14ac:dyDescent="0.25">
      <c r="A2841" s="5" t="str">
        <f t="shared" si="1198"/>
        <v>44021MSFT</v>
      </c>
      <c r="B2841" s="6" t="s">
        <v>27</v>
      </c>
      <c r="C2841" s="6">
        <v>197</v>
      </c>
      <c r="D2841" s="6">
        <v>215</v>
      </c>
      <c r="E2841" s="6">
        <v>212</v>
      </c>
      <c r="F2841" t="str">
        <f t="shared" si="1199"/>
        <v>THU</v>
      </c>
      <c r="G2841" s="3">
        <f t="shared" si="1200"/>
        <v>44021</v>
      </c>
      <c r="H2841" s="2">
        <f t="shared" ca="1" si="1201"/>
        <v>232</v>
      </c>
      <c r="I2841" t="str">
        <f t="shared" si="1202"/>
        <v>MSFT</v>
      </c>
      <c r="J2841">
        <f t="shared" si="1203"/>
        <v>197</v>
      </c>
      <c r="K2841">
        <f t="shared" si="1204"/>
        <v>215</v>
      </c>
      <c r="L2841">
        <f t="shared" si="1205"/>
        <v>206</v>
      </c>
      <c r="M2841">
        <f t="shared" si="1206"/>
        <v>9</v>
      </c>
      <c r="N2841">
        <f t="shared" si="1195"/>
        <v>18</v>
      </c>
      <c r="O2841">
        <f t="shared" si="1207"/>
        <v>212</v>
      </c>
      <c r="P2841">
        <f t="shared" si="1208"/>
        <v>0.66666666666666663</v>
      </c>
      <c r="Q2841" t="str">
        <f t="shared" si="1196"/>
        <v>7.08% | 1.42%</v>
      </c>
      <c r="R2841" t="str">
        <f t="shared" si="1209"/>
        <v>BULLISH</v>
      </c>
      <c r="S2841">
        <f t="shared" si="1197"/>
        <v>1</v>
      </c>
    </row>
    <row r="2842" spans="1:19" hidden="1" x14ac:dyDescent="0.25">
      <c r="A2842" s="5" t="str">
        <f t="shared" si="1198"/>
        <v>44021AAPL</v>
      </c>
      <c r="B2842" s="6" t="s">
        <v>28</v>
      </c>
      <c r="C2842" s="6">
        <v>353</v>
      </c>
      <c r="D2842" s="6">
        <v>384</v>
      </c>
      <c r="E2842" s="6">
        <v>381</v>
      </c>
      <c r="F2842" t="str">
        <f t="shared" si="1199"/>
        <v>THU</v>
      </c>
      <c r="G2842" s="3">
        <f t="shared" si="1200"/>
        <v>44021</v>
      </c>
      <c r="H2842" s="2">
        <f t="shared" ca="1" si="1201"/>
        <v>232</v>
      </c>
      <c r="I2842" t="str">
        <f t="shared" si="1202"/>
        <v>AAPL</v>
      </c>
      <c r="J2842">
        <f t="shared" si="1203"/>
        <v>353</v>
      </c>
      <c r="K2842">
        <f t="shared" si="1204"/>
        <v>384</v>
      </c>
      <c r="L2842">
        <f t="shared" si="1205"/>
        <v>368.5</v>
      </c>
      <c r="M2842">
        <f t="shared" si="1206"/>
        <v>15.5</v>
      </c>
      <c r="N2842">
        <f t="shared" si="1195"/>
        <v>31</v>
      </c>
      <c r="O2842">
        <f t="shared" si="1207"/>
        <v>381</v>
      </c>
      <c r="P2842">
        <f t="shared" si="1208"/>
        <v>0.80645161290322576</v>
      </c>
      <c r="Q2842" t="str">
        <f t="shared" si="1196"/>
        <v>7.35% | 0.79%</v>
      </c>
      <c r="R2842" t="str">
        <f t="shared" si="1209"/>
        <v>BULLISH</v>
      </c>
      <c r="S2842">
        <f t="shared" si="1197"/>
        <v>1</v>
      </c>
    </row>
    <row r="2843" spans="1:19" hidden="1" x14ac:dyDescent="0.25">
      <c r="A2843" s="5" t="str">
        <f t="shared" si="1198"/>
        <v>44021AMZN</v>
      </c>
      <c r="B2843" s="6" t="s">
        <v>29</v>
      </c>
      <c r="C2843" s="6">
        <v>2864</v>
      </c>
      <c r="D2843" s="6">
        <v>3160</v>
      </c>
      <c r="E2843" s="6">
        <v>3081</v>
      </c>
      <c r="F2843" t="str">
        <f t="shared" si="1199"/>
        <v>THU</v>
      </c>
      <c r="G2843" s="3">
        <f t="shared" si="1200"/>
        <v>44021</v>
      </c>
      <c r="H2843" s="2">
        <f t="shared" ca="1" si="1201"/>
        <v>232</v>
      </c>
      <c r="I2843" t="str">
        <f t="shared" si="1202"/>
        <v>AMZN</v>
      </c>
      <c r="J2843">
        <f t="shared" si="1203"/>
        <v>2864</v>
      </c>
      <c r="K2843">
        <f t="shared" si="1204"/>
        <v>3160</v>
      </c>
      <c r="L2843">
        <f t="shared" si="1205"/>
        <v>3012</v>
      </c>
      <c r="M2843">
        <f t="shared" si="1206"/>
        <v>148</v>
      </c>
      <c r="N2843">
        <f t="shared" si="1195"/>
        <v>296</v>
      </c>
      <c r="O2843">
        <f t="shared" si="1207"/>
        <v>3081</v>
      </c>
      <c r="P2843">
        <f t="shared" si="1208"/>
        <v>0.46621621621621623</v>
      </c>
      <c r="Q2843" t="str">
        <f t="shared" si="1196"/>
        <v>7.04% | 2.56%</v>
      </c>
      <c r="R2843" t="str">
        <f t="shared" si="1209"/>
        <v>BULLISH</v>
      </c>
      <c r="S2843">
        <f t="shared" si="1197"/>
        <v>1</v>
      </c>
    </row>
    <row r="2844" spans="1:19" hidden="1" x14ac:dyDescent="0.25">
      <c r="A2844" s="5" t="str">
        <f t="shared" si="1198"/>
        <v>44021FB</v>
      </c>
      <c r="B2844" s="6" t="s">
        <v>30</v>
      </c>
      <c r="C2844" s="6">
        <v>216</v>
      </c>
      <c r="D2844" s="6">
        <v>251</v>
      </c>
      <c r="E2844" s="6">
        <v>243</v>
      </c>
      <c r="F2844" t="str">
        <f t="shared" si="1199"/>
        <v>THU</v>
      </c>
      <c r="G2844" s="3">
        <f t="shared" si="1200"/>
        <v>44021</v>
      </c>
      <c r="H2844" s="2">
        <f t="shared" ca="1" si="1201"/>
        <v>232</v>
      </c>
      <c r="I2844" t="str">
        <f t="shared" si="1202"/>
        <v>FB</v>
      </c>
      <c r="J2844">
        <f t="shared" si="1203"/>
        <v>216</v>
      </c>
      <c r="K2844">
        <f t="shared" si="1204"/>
        <v>251</v>
      </c>
      <c r="L2844">
        <f t="shared" si="1205"/>
        <v>233.5</v>
      </c>
      <c r="M2844">
        <f t="shared" si="1206"/>
        <v>17.5</v>
      </c>
      <c r="N2844">
        <f t="shared" si="1195"/>
        <v>35</v>
      </c>
      <c r="O2844">
        <f t="shared" si="1207"/>
        <v>243</v>
      </c>
      <c r="P2844">
        <f t="shared" si="1208"/>
        <v>0.54285714285714282</v>
      </c>
      <c r="Q2844" t="str">
        <f t="shared" si="1196"/>
        <v>11.11% | 3.29%</v>
      </c>
      <c r="R2844" t="str">
        <f t="shared" si="1209"/>
        <v>BULLISH</v>
      </c>
      <c r="S2844">
        <f t="shared" si="1197"/>
        <v>1</v>
      </c>
    </row>
    <row r="2845" spans="1:19" hidden="1" x14ac:dyDescent="0.25">
      <c r="A2845" s="5" t="str">
        <f t="shared" si="1198"/>
        <v>44021GOOGL</v>
      </c>
      <c r="B2845" s="6" t="s">
        <v>31</v>
      </c>
      <c r="C2845" s="6">
        <v>1379</v>
      </c>
      <c r="D2845" s="6">
        <v>1540</v>
      </c>
      <c r="E2845" s="6">
        <v>1503</v>
      </c>
      <c r="F2845" t="str">
        <f t="shared" si="1199"/>
        <v>THU</v>
      </c>
      <c r="G2845" s="3">
        <f t="shared" si="1200"/>
        <v>44021</v>
      </c>
      <c r="H2845" s="2">
        <f t="shared" ca="1" si="1201"/>
        <v>232</v>
      </c>
      <c r="I2845" t="str">
        <f t="shared" si="1202"/>
        <v>GOOGL</v>
      </c>
      <c r="J2845">
        <f t="shared" si="1203"/>
        <v>1379</v>
      </c>
      <c r="K2845">
        <f t="shared" si="1204"/>
        <v>1540</v>
      </c>
      <c r="L2845">
        <f t="shared" si="1205"/>
        <v>1459.5</v>
      </c>
      <c r="M2845">
        <f t="shared" si="1206"/>
        <v>80.5</v>
      </c>
      <c r="N2845">
        <f t="shared" si="1195"/>
        <v>161</v>
      </c>
      <c r="O2845">
        <f t="shared" si="1207"/>
        <v>1503</v>
      </c>
      <c r="P2845">
        <f t="shared" si="1208"/>
        <v>0.54037267080745344</v>
      </c>
      <c r="Q2845" t="str">
        <f t="shared" si="1196"/>
        <v>8.25% | 2.46%</v>
      </c>
      <c r="R2845" t="str">
        <f t="shared" si="1209"/>
        <v>BULLISH</v>
      </c>
      <c r="S2845">
        <f t="shared" si="1197"/>
        <v>1</v>
      </c>
    </row>
    <row r="2846" spans="1:19" hidden="1" x14ac:dyDescent="0.25">
      <c r="A2846" s="5" t="str">
        <f t="shared" si="1198"/>
        <v>44021NFLX</v>
      </c>
      <c r="B2846" s="6" t="s">
        <v>32</v>
      </c>
      <c r="C2846" s="6">
        <v>456</v>
      </c>
      <c r="D2846" s="6">
        <v>515</v>
      </c>
      <c r="E2846" s="6">
        <v>502</v>
      </c>
      <c r="F2846" t="str">
        <f t="shared" si="1199"/>
        <v>THU</v>
      </c>
      <c r="G2846" s="3">
        <f t="shared" si="1200"/>
        <v>44021</v>
      </c>
      <c r="H2846" s="2">
        <f t="shared" ca="1" si="1201"/>
        <v>232</v>
      </c>
      <c r="I2846" t="str">
        <f t="shared" si="1202"/>
        <v>NFLX</v>
      </c>
      <c r="J2846">
        <f t="shared" si="1203"/>
        <v>456</v>
      </c>
      <c r="K2846">
        <f t="shared" si="1204"/>
        <v>515</v>
      </c>
      <c r="L2846">
        <f t="shared" si="1205"/>
        <v>485.5</v>
      </c>
      <c r="M2846">
        <f t="shared" si="1206"/>
        <v>29.5</v>
      </c>
      <c r="N2846">
        <f t="shared" si="1195"/>
        <v>59</v>
      </c>
      <c r="O2846">
        <f t="shared" si="1207"/>
        <v>502</v>
      </c>
      <c r="P2846">
        <f t="shared" si="1208"/>
        <v>0.55932203389830504</v>
      </c>
      <c r="Q2846" t="str">
        <f t="shared" si="1196"/>
        <v>9.16% | 2.59%</v>
      </c>
      <c r="R2846" t="str">
        <f t="shared" si="1209"/>
        <v>BULLISH</v>
      </c>
      <c r="S2846">
        <f t="shared" si="1197"/>
        <v>1</v>
      </c>
    </row>
    <row r="2847" spans="1:19" x14ac:dyDescent="0.25">
      <c r="A2847" s="5" t="str">
        <f t="shared" si="1198"/>
        <v>44021TSLA</v>
      </c>
      <c r="B2847" s="6" t="s">
        <v>33</v>
      </c>
      <c r="C2847" s="6">
        <v>1166</v>
      </c>
      <c r="D2847" s="6">
        <v>1495</v>
      </c>
      <c r="E2847" s="6">
        <v>1365</v>
      </c>
      <c r="F2847" t="str">
        <f t="shared" si="1199"/>
        <v>THU</v>
      </c>
      <c r="G2847" s="3">
        <f t="shared" si="1200"/>
        <v>44021</v>
      </c>
      <c r="H2847" s="2">
        <f t="shared" ca="1" si="1201"/>
        <v>232</v>
      </c>
      <c r="I2847" t="str">
        <f t="shared" si="1202"/>
        <v>TSLA</v>
      </c>
      <c r="J2847">
        <f t="shared" si="1203"/>
        <v>1166</v>
      </c>
      <c r="K2847">
        <f t="shared" si="1204"/>
        <v>1495</v>
      </c>
      <c r="L2847">
        <f t="shared" si="1205"/>
        <v>1330.5</v>
      </c>
      <c r="M2847">
        <f t="shared" si="1206"/>
        <v>164.5</v>
      </c>
      <c r="N2847">
        <f t="shared" si="1195"/>
        <v>329</v>
      </c>
      <c r="O2847">
        <f t="shared" si="1207"/>
        <v>1365</v>
      </c>
      <c r="P2847">
        <f t="shared" si="1208"/>
        <v>0.20972644376899696</v>
      </c>
      <c r="Q2847" t="str">
        <f t="shared" si="1196"/>
        <v>14.58% | 9.52%</v>
      </c>
      <c r="R2847" t="str">
        <f t="shared" si="1209"/>
        <v>BULLISH</v>
      </c>
      <c r="S2847">
        <f t="shared" si="1197"/>
        <v>1</v>
      </c>
    </row>
    <row r="2848" spans="1:19" hidden="1" x14ac:dyDescent="0.25">
      <c r="A2848" s="5" t="str">
        <f t="shared" si="1198"/>
        <v>44021NYXBT</v>
      </c>
      <c r="B2848" s="6" t="s">
        <v>34</v>
      </c>
      <c r="C2848" s="6">
        <v>9001</v>
      </c>
      <c r="D2848" s="6">
        <v>9524</v>
      </c>
      <c r="E2848" s="6">
        <v>9432</v>
      </c>
      <c r="F2848" t="str">
        <f t="shared" si="1199"/>
        <v>THU</v>
      </c>
      <c r="G2848" s="3">
        <f t="shared" si="1200"/>
        <v>44021</v>
      </c>
      <c r="H2848" s="2">
        <f t="shared" ca="1" si="1201"/>
        <v>232</v>
      </c>
      <c r="I2848" t="str">
        <f t="shared" si="1202"/>
        <v>NYXBT</v>
      </c>
      <c r="J2848">
        <f t="shared" si="1203"/>
        <v>9001</v>
      </c>
      <c r="K2848">
        <f t="shared" si="1204"/>
        <v>9524</v>
      </c>
      <c r="L2848">
        <f t="shared" si="1205"/>
        <v>9262.5</v>
      </c>
      <c r="M2848">
        <f t="shared" si="1206"/>
        <v>261.5</v>
      </c>
      <c r="N2848">
        <f t="shared" si="1195"/>
        <v>523</v>
      </c>
      <c r="O2848">
        <f t="shared" si="1207"/>
        <v>9432</v>
      </c>
      <c r="P2848">
        <f t="shared" si="1208"/>
        <v>0.64818355640535374</v>
      </c>
      <c r="Q2848" t="str">
        <f t="shared" si="1196"/>
        <v>4.57% | 0.98%</v>
      </c>
      <c r="R2848" t="str">
        <f t="shared" si="1209"/>
        <v>BULLISH</v>
      </c>
      <c r="S2848">
        <f t="shared" si="1197"/>
        <v>1</v>
      </c>
    </row>
    <row r="2849" spans="1:19" hidden="1" x14ac:dyDescent="0.25">
      <c r="A2849" s="5" t="str">
        <f t="shared" si="1198"/>
        <v>44022UST10Y</v>
      </c>
      <c r="B2849" s="6" t="s">
        <v>4</v>
      </c>
      <c r="C2849" s="6">
        <v>0.69</v>
      </c>
      <c r="D2849" s="6">
        <v>0.56999999999999995</v>
      </c>
      <c r="E2849" s="6">
        <v>0.62</v>
      </c>
      <c r="F2849" t="str">
        <f t="shared" si="1199"/>
        <v>FRI</v>
      </c>
      <c r="G2849" s="1">
        <f>DATE(2020,7,10)</f>
        <v>44022</v>
      </c>
      <c r="H2849" s="2">
        <f t="shared" ca="1" si="1201"/>
        <v>231</v>
      </c>
      <c r="I2849" t="str">
        <f t="shared" si="1202"/>
        <v>UST10Y</v>
      </c>
      <c r="J2849">
        <f t="shared" si="1203"/>
        <v>0.69</v>
      </c>
      <c r="K2849">
        <f t="shared" si="1204"/>
        <v>0.56999999999999995</v>
      </c>
      <c r="L2849">
        <f t="shared" si="1205"/>
        <v>0.62999999999999989</v>
      </c>
      <c r="M2849">
        <f t="shared" si="1206"/>
        <v>0.06</v>
      </c>
      <c r="N2849">
        <f t="shared" si="1195"/>
        <v>0.12</v>
      </c>
      <c r="O2849">
        <f t="shared" si="1207"/>
        <v>0.62</v>
      </c>
      <c r="P2849">
        <f t="shared" si="1208"/>
        <v>-0.16666666666666496</v>
      </c>
      <c r="Q2849" t="str">
        <f t="shared" si="1196"/>
        <v>11.29% | 8.06%</v>
      </c>
      <c r="R2849" t="str">
        <f t="shared" si="1209"/>
        <v>BEARISH</v>
      </c>
      <c r="S2849">
        <f t="shared" si="1197"/>
        <v>-1</v>
      </c>
    </row>
    <row r="2850" spans="1:19" hidden="1" x14ac:dyDescent="0.25">
      <c r="A2850" s="5" t="str">
        <f t="shared" si="1198"/>
        <v>44022UST2Y</v>
      </c>
      <c r="B2850" s="6" t="s">
        <v>5</v>
      </c>
      <c r="C2850" s="6">
        <v>0.18</v>
      </c>
      <c r="D2850" s="6">
        <v>0.13</v>
      </c>
      <c r="E2850" s="6">
        <v>0.16</v>
      </c>
      <c r="F2850" t="str">
        <f t="shared" ref="F2850:F2879" si="1210">UPPER(TEXT(G2850,"ddd"))</f>
        <v>FRI</v>
      </c>
      <c r="G2850" s="1">
        <f t="shared" ref="G2850:G2878" si="1211">DATE(2020,7,10)</f>
        <v>44022</v>
      </c>
      <c r="H2850" s="2">
        <f t="shared" ref="H2850:H2879" ca="1" si="1212">TODAY()-G2850</f>
        <v>231</v>
      </c>
      <c r="I2850" t="str">
        <f t="shared" ref="I2850:I2879" si="1213">TRIM(LEFT(B2850,FIND(" ",B2850,1)))</f>
        <v>UST2Y</v>
      </c>
      <c r="J2850">
        <f t="shared" ref="J2850:J2879" si="1214">C2850</f>
        <v>0.18</v>
      </c>
      <c r="K2850">
        <f t="shared" ref="K2850:K2879" si="1215">D2850</f>
        <v>0.13</v>
      </c>
      <c r="L2850">
        <f t="shared" ref="L2850:L2879" si="1216">AVERAGE(J2850:K2850)</f>
        <v>0.155</v>
      </c>
      <c r="M2850">
        <f t="shared" ref="M2850:M2879" si="1217">_xlfn.STDEV.P(J2850:K2850)</f>
        <v>2.4999999999999942E-2</v>
      </c>
      <c r="N2850">
        <f t="shared" si="1195"/>
        <v>4.9999999999999989E-2</v>
      </c>
      <c r="O2850">
        <f t="shared" ref="O2850:O2879" si="1218">E2850</f>
        <v>0.16</v>
      </c>
      <c r="P2850">
        <f t="shared" ref="P2850:P2879" si="1219">(O2850-L2850)/M2850</f>
        <v>0.20000000000000065</v>
      </c>
      <c r="Q2850" t="str">
        <f t="shared" si="1196"/>
        <v>12.5% | 18.75%</v>
      </c>
      <c r="R2850" t="str">
        <f t="shared" ref="R2850:R2879" si="1220">MID(B2850,FIND("(",B2850,1)+1,FIND(")",B2850,1)-FIND("(",B2850,1)-1)</f>
        <v>BEARISH</v>
      </c>
      <c r="S2850">
        <f t="shared" si="1197"/>
        <v>-1</v>
      </c>
    </row>
    <row r="2851" spans="1:19" hidden="1" x14ac:dyDescent="0.25">
      <c r="A2851" s="5" t="str">
        <f t="shared" si="1198"/>
        <v>44022SPX</v>
      </c>
      <c r="B2851" s="6" t="s">
        <v>6</v>
      </c>
      <c r="C2851" s="6">
        <v>3009</v>
      </c>
      <c r="D2851" s="6">
        <v>3176</v>
      </c>
      <c r="E2851" s="6">
        <v>3152</v>
      </c>
      <c r="F2851" t="str">
        <f t="shared" si="1210"/>
        <v>FRI</v>
      </c>
      <c r="G2851" s="1">
        <f t="shared" si="1211"/>
        <v>44022</v>
      </c>
      <c r="H2851" s="2">
        <f t="shared" ca="1" si="1212"/>
        <v>231</v>
      </c>
      <c r="I2851" t="str">
        <f t="shared" si="1213"/>
        <v>SPX</v>
      </c>
      <c r="J2851">
        <f t="shared" si="1214"/>
        <v>3009</v>
      </c>
      <c r="K2851">
        <f t="shared" si="1215"/>
        <v>3176</v>
      </c>
      <c r="L2851">
        <f t="shared" si="1216"/>
        <v>3092.5</v>
      </c>
      <c r="M2851">
        <f t="shared" si="1217"/>
        <v>83.5</v>
      </c>
      <c r="N2851">
        <f t="shared" si="1195"/>
        <v>167</v>
      </c>
      <c r="O2851">
        <f t="shared" si="1218"/>
        <v>3152</v>
      </c>
      <c r="P2851">
        <f t="shared" si="1219"/>
        <v>0.71257485029940115</v>
      </c>
      <c r="Q2851" t="str">
        <f t="shared" si="1196"/>
        <v>4.54% | 0.76%</v>
      </c>
      <c r="R2851" t="str">
        <f t="shared" si="1220"/>
        <v>BEARISH</v>
      </c>
      <c r="S2851">
        <f t="shared" si="1197"/>
        <v>-1</v>
      </c>
    </row>
    <row r="2852" spans="1:19" hidden="1" x14ac:dyDescent="0.25">
      <c r="A2852" s="5" t="str">
        <f t="shared" si="1198"/>
        <v>44022RUT</v>
      </c>
      <c r="B2852" s="6" t="s">
        <v>7</v>
      </c>
      <c r="C2852" s="6">
        <v>1348</v>
      </c>
      <c r="D2852" s="6">
        <v>1438</v>
      </c>
      <c r="E2852" s="6">
        <v>1398</v>
      </c>
      <c r="F2852" t="str">
        <f t="shared" si="1210"/>
        <v>FRI</v>
      </c>
      <c r="G2852" s="1">
        <f t="shared" si="1211"/>
        <v>44022</v>
      </c>
      <c r="H2852" s="2">
        <f t="shared" ca="1" si="1212"/>
        <v>231</v>
      </c>
      <c r="I2852" t="str">
        <f t="shared" si="1213"/>
        <v>RUT</v>
      </c>
      <c r="J2852">
        <f t="shared" si="1214"/>
        <v>1348</v>
      </c>
      <c r="K2852">
        <f t="shared" si="1215"/>
        <v>1438</v>
      </c>
      <c r="L2852">
        <f t="shared" si="1216"/>
        <v>1393</v>
      </c>
      <c r="M2852">
        <f t="shared" si="1217"/>
        <v>45</v>
      </c>
      <c r="N2852">
        <f t="shared" si="1195"/>
        <v>90</v>
      </c>
      <c r="O2852">
        <f t="shared" si="1218"/>
        <v>1398</v>
      </c>
      <c r="P2852">
        <f t="shared" si="1219"/>
        <v>0.1111111111111111</v>
      </c>
      <c r="Q2852" t="str">
        <f t="shared" si="1196"/>
        <v>3.58% | 2.86%</v>
      </c>
      <c r="R2852" t="str">
        <f t="shared" si="1220"/>
        <v>BEARISH</v>
      </c>
      <c r="S2852">
        <f t="shared" si="1197"/>
        <v>-1</v>
      </c>
    </row>
    <row r="2853" spans="1:19" hidden="1" x14ac:dyDescent="0.25">
      <c r="A2853" s="5" t="str">
        <f t="shared" si="1198"/>
        <v>44022COMPQ</v>
      </c>
      <c r="B2853" s="6" t="s">
        <v>8</v>
      </c>
      <c r="C2853" s="6">
        <v>9952</v>
      </c>
      <c r="D2853" s="6">
        <v>10736</v>
      </c>
      <c r="E2853" s="6">
        <v>10547</v>
      </c>
      <c r="F2853" t="str">
        <f t="shared" si="1210"/>
        <v>FRI</v>
      </c>
      <c r="G2853" s="1">
        <f t="shared" si="1211"/>
        <v>44022</v>
      </c>
      <c r="H2853" s="2">
        <f t="shared" ca="1" si="1212"/>
        <v>231</v>
      </c>
      <c r="I2853" t="str">
        <f t="shared" si="1213"/>
        <v>COMPQ</v>
      </c>
      <c r="J2853">
        <f t="shared" si="1214"/>
        <v>9952</v>
      </c>
      <c r="K2853">
        <f t="shared" si="1215"/>
        <v>10736</v>
      </c>
      <c r="L2853">
        <f t="shared" si="1216"/>
        <v>10344</v>
      </c>
      <c r="M2853">
        <f t="shared" si="1217"/>
        <v>392</v>
      </c>
      <c r="N2853">
        <f t="shared" si="1195"/>
        <v>784</v>
      </c>
      <c r="O2853">
        <f t="shared" si="1218"/>
        <v>10547</v>
      </c>
      <c r="P2853">
        <f t="shared" si="1219"/>
        <v>0.5178571428571429</v>
      </c>
      <c r="Q2853" t="str">
        <f t="shared" si="1196"/>
        <v>5.64% | 1.79%</v>
      </c>
      <c r="R2853" t="str">
        <f t="shared" si="1220"/>
        <v>BULLISH</v>
      </c>
      <c r="S2853">
        <f t="shared" si="1197"/>
        <v>1</v>
      </c>
    </row>
    <row r="2854" spans="1:19" hidden="1" x14ac:dyDescent="0.25">
      <c r="A2854" s="5" t="str">
        <f t="shared" si="1198"/>
        <v>44022XLK</v>
      </c>
      <c r="B2854" s="6" t="s">
        <v>10</v>
      </c>
      <c r="C2854" s="6">
        <v>102.57</v>
      </c>
      <c r="D2854" s="6">
        <v>109.58</v>
      </c>
      <c r="E2854" s="6">
        <v>108.11</v>
      </c>
      <c r="F2854" t="str">
        <f t="shared" si="1210"/>
        <v>FRI</v>
      </c>
      <c r="G2854" s="1">
        <f t="shared" si="1211"/>
        <v>44022</v>
      </c>
      <c r="H2854" s="2">
        <f t="shared" ca="1" si="1212"/>
        <v>231</v>
      </c>
      <c r="I2854" t="str">
        <f t="shared" si="1213"/>
        <v>XLK</v>
      </c>
      <c r="J2854">
        <f t="shared" si="1214"/>
        <v>102.57</v>
      </c>
      <c r="K2854">
        <f t="shared" si="1215"/>
        <v>109.58</v>
      </c>
      <c r="L2854">
        <f t="shared" si="1216"/>
        <v>106.07499999999999</v>
      </c>
      <c r="M2854">
        <f t="shared" si="1217"/>
        <v>3.5050000000000026</v>
      </c>
      <c r="N2854">
        <f t="shared" si="1195"/>
        <v>7.0100000000000051</v>
      </c>
      <c r="O2854">
        <f t="shared" si="1218"/>
        <v>108.11</v>
      </c>
      <c r="P2854">
        <f t="shared" si="1219"/>
        <v>0.58059914407988855</v>
      </c>
      <c r="Q2854" t="str">
        <f t="shared" si="1196"/>
        <v>5.12% | 1.36%</v>
      </c>
      <c r="R2854" t="str">
        <f t="shared" si="1220"/>
        <v>BULLISH</v>
      </c>
      <c r="S2854">
        <f t="shared" si="1197"/>
        <v>1</v>
      </c>
    </row>
    <row r="2855" spans="1:19" hidden="1" x14ac:dyDescent="0.25">
      <c r="A2855" s="5" t="str">
        <f t="shared" si="1198"/>
        <v>44022XLRE</v>
      </c>
      <c r="B2855" s="6" t="s">
        <v>97</v>
      </c>
      <c r="C2855" s="6">
        <v>33.54</v>
      </c>
      <c r="D2855" s="6">
        <v>36.29</v>
      </c>
      <c r="E2855" s="6">
        <v>34.96</v>
      </c>
      <c r="F2855" t="str">
        <f t="shared" si="1210"/>
        <v>FRI</v>
      </c>
      <c r="G2855" s="1">
        <f t="shared" si="1211"/>
        <v>44022</v>
      </c>
      <c r="H2855" s="2">
        <f t="shared" ca="1" si="1212"/>
        <v>231</v>
      </c>
      <c r="I2855" t="str">
        <f t="shared" si="1213"/>
        <v>XLRE</v>
      </c>
      <c r="J2855">
        <f t="shared" si="1214"/>
        <v>33.54</v>
      </c>
      <c r="K2855">
        <f t="shared" si="1215"/>
        <v>36.29</v>
      </c>
      <c r="L2855">
        <f t="shared" si="1216"/>
        <v>34.914999999999999</v>
      </c>
      <c r="M2855">
        <f t="shared" si="1217"/>
        <v>1.375</v>
      </c>
      <c r="N2855">
        <f t="shared" si="1195"/>
        <v>2.75</v>
      </c>
      <c r="O2855">
        <f t="shared" si="1218"/>
        <v>34.96</v>
      </c>
      <c r="P2855">
        <f t="shared" si="1219"/>
        <v>3.2727272727273965E-2</v>
      </c>
      <c r="Q2855" t="str">
        <f t="shared" si="1196"/>
        <v>4.06% | 3.8%</v>
      </c>
      <c r="R2855" t="str">
        <f t="shared" si="1220"/>
        <v>BULLISH</v>
      </c>
      <c r="S2855">
        <f t="shared" si="1197"/>
        <v>1</v>
      </c>
    </row>
    <row r="2856" spans="1:19" hidden="1" x14ac:dyDescent="0.25">
      <c r="A2856" s="5" t="str">
        <f t="shared" si="1198"/>
        <v>44022XLU</v>
      </c>
      <c r="B2856" s="6" t="s">
        <v>80</v>
      </c>
      <c r="C2856" s="6">
        <v>55.06</v>
      </c>
      <c r="D2856" s="6">
        <v>58.57</v>
      </c>
      <c r="E2856" s="6">
        <v>56.7</v>
      </c>
      <c r="F2856" t="str">
        <f t="shared" si="1210"/>
        <v>FRI</v>
      </c>
      <c r="G2856" s="1">
        <f t="shared" si="1211"/>
        <v>44022</v>
      </c>
      <c r="H2856" s="2">
        <f t="shared" ca="1" si="1212"/>
        <v>231</v>
      </c>
      <c r="I2856" t="str">
        <f t="shared" si="1213"/>
        <v>XLU</v>
      </c>
      <c r="J2856">
        <f t="shared" si="1214"/>
        <v>55.06</v>
      </c>
      <c r="K2856">
        <f t="shared" si="1215"/>
        <v>58.57</v>
      </c>
      <c r="L2856">
        <f t="shared" si="1216"/>
        <v>56.814999999999998</v>
      </c>
      <c r="M2856">
        <f t="shared" si="1217"/>
        <v>1.754999999999999</v>
      </c>
      <c r="N2856">
        <f t="shared" si="1195"/>
        <v>3.509999999999998</v>
      </c>
      <c r="O2856">
        <f t="shared" si="1218"/>
        <v>56.7</v>
      </c>
      <c r="P2856">
        <f t="shared" si="1219"/>
        <v>-6.5527065527062653E-2</v>
      </c>
      <c r="Q2856" t="str">
        <f t="shared" si="1196"/>
        <v>2.89% | 3.3%</v>
      </c>
      <c r="R2856" t="str">
        <f t="shared" si="1220"/>
        <v>NEUTRAL</v>
      </c>
      <c r="S2856">
        <f t="shared" si="1197"/>
        <v>0</v>
      </c>
    </row>
    <row r="2857" spans="1:19" hidden="1" x14ac:dyDescent="0.25">
      <c r="A2857" s="5" t="str">
        <f t="shared" si="1198"/>
        <v>44022XLF</v>
      </c>
      <c r="B2857" s="6" t="s">
        <v>12</v>
      </c>
      <c r="C2857" s="6">
        <v>22.08</v>
      </c>
      <c r="D2857" s="6">
        <v>23.54</v>
      </c>
      <c r="E2857" s="6">
        <v>22.68</v>
      </c>
      <c r="F2857" t="str">
        <f t="shared" si="1210"/>
        <v>FRI</v>
      </c>
      <c r="G2857" s="1">
        <f t="shared" si="1211"/>
        <v>44022</v>
      </c>
      <c r="H2857" s="2">
        <f t="shared" ca="1" si="1212"/>
        <v>231</v>
      </c>
      <c r="I2857" t="str">
        <f t="shared" si="1213"/>
        <v>XLF</v>
      </c>
      <c r="J2857">
        <f t="shared" si="1214"/>
        <v>22.08</v>
      </c>
      <c r="K2857">
        <f t="shared" si="1215"/>
        <v>23.54</v>
      </c>
      <c r="L2857">
        <f t="shared" si="1216"/>
        <v>22.81</v>
      </c>
      <c r="M2857">
        <f t="shared" si="1217"/>
        <v>0.73000000000000043</v>
      </c>
      <c r="N2857">
        <f t="shared" si="1195"/>
        <v>1.4600000000000009</v>
      </c>
      <c r="O2857">
        <f t="shared" si="1218"/>
        <v>22.68</v>
      </c>
      <c r="P2857">
        <f t="shared" si="1219"/>
        <v>-0.17808219178082046</v>
      </c>
      <c r="Q2857" t="str">
        <f t="shared" si="1196"/>
        <v>2.65% | 3.79%</v>
      </c>
      <c r="R2857" t="str">
        <f t="shared" si="1220"/>
        <v>BEARISH</v>
      </c>
      <c r="S2857">
        <f t="shared" si="1197"/>
        <v>-1</v>
      </c>
    </row>
    <row r="2858" spans="1:19" hidden="1" x14ac:dyDescent="0.25">
      <c r="A2858" s="5" t="str">
        <f t="shared" si="1198"/>
        <v>44022SSEC</v>
      </c>
      <c r="B2858" s="6" t="s">
        <v>104</v>
      </c>
      <c r="C2858" s="6">
        <v>3184</v>
      </c>
      <c r="D2858" s="6">
        <v>3551</v>
      </c>
      <c r="E2858" s="6">
        <v>3383</v>
      </c>
      <c r="F2858" t="str">
        <f t="shared" si="1210"/>
        <v>FRI</v>
      </c>
      <c r="G2858" s="1">
        <f t="shared" si="1211"/>
        <v>44022</v>
      </c>
      <c r="H2858" s="2">
        <f t="shared" ca="1" si="1212"/>
        <v>231</v>
      </c>
      <c r="I2858" t="str">
        <f t="shared" si="1213"/>
        <v>SSEC</v>
      </c>
      <c r="J2858">
        <f t="shared" si="1214"/>
        <v>3184</v>
      </c>
      <c r="K2858">
        <f t="shared" si="1215"/>
        <v>3551</v>
      </c>
      <c r="L2858">
        <f t="shared" si="1216"/>
        <v>3367.5</v>
      </c>
      <c r="M2858">
        <f t="shared" si="1217"/>
        <v>183.5</v>
      </c>
      <c r="N2858">
        <f t="shared" si="1195"/>
        <v>367</v>
      </c>
      <c r="O2858">
        <f t="shared" si="1218"/>
        <v>3383</v>
      </c>
      <c r="P2858">
        <f t="shared" si="1219"/>
        <v>8.4468664850136238E-2</v>
      </c>
      <c r="Q2858" t="str">
        <f t="shared" si="1196"/>
        <v>5.88% | 4.97%</v>
      </c>
      <c r="R2858" t="str">
        <f t="shared" si="1220"/>
        <v>BULLISH</v>
      </c>
      <c r="S2858">
        <f t="shared" si="1197"/>
        <v>1</v>
      </c>
    </row>
    <row r="2859" spans="1:19" hidden="1" x14ac:dyDescent="0.25">
      <c r="A2859" s="5" t="str">
        <f t="shared" si="1198"/>
        <v>44022NIKK</v>
      </c>
      <c r="B2859" s="6" t="s">
        <v>15</v>
      </c>
      <c r="C2859" s="6">
        <v>21804</v>
      </c>
      <c r="D2859" s="6">
        <v>22816</v>
      </c>
      <c r="E2859" s="6">
        <v>22290</v>
      </c>
      <c r="F2859" t="str">
        <f t="shared" si="1210"/>
        <v>FRI</v>
      </c>
      <c r="G2859" s="1">
        <f t="shared" si="1211"/>
        <v>44022</v>
      </c>
      <c r="H2859" s="2">
        <f t="shared" ca="1" si="1212"/>
        <v>231</v>
      </c>
      <c r="I2859" t="str">
        <f t="shared" si="1213"/>
        <v>NIKK</v>
      </c>
      <c r="J2859">
        <f t="shared" si="1214"/>
        <v>21804</v>
      </c>
      <c r="K2859">
        <f t="shared" si="1215"/>
        <v>22816</v>
      </c>
      <c r="L2859">
        <f t="shared" si="1216"/>
        <v>22310</v>
      </c>
      <c r="M2859">
        <f t="shared" si="1217"/>
        <v>506</v>
      </c>
      <c r="N2859">
        <f t="shared" si="1195"/>
        <v>1012</v>
      </c>
      <c r="O2859">
        <f t="shared" si="1218"/>
        <v>22290</v>
      </c>
      <c r="P2859">
        <f t="shared" si="1219"/>
        <v>-3.9525691699604744E-2</v>
      </c>
      <c r="Q2859" t="str">
        <f t="shared" si="1196"/>
        <v>2.18% | 2.36%</v>
      </c>
      <c r="R2859" t="str">
        <f t="shared" si="1220"/>
        <v>BEARISH</v>
      </c>
      <c r="S2859">
        <f t="shared" si="1197"/>
        <v>-1</v>
      </c>
    </row>
    <row r="2860" spans="1:19" hidden="1" x14ac:dyDescent="0.25">
      <c r="A2860" s="5" t="str">
        <f t="shared" si="1198"/>
        <v>44022DAX</v>
      </c>
      <c r="B2860" s="6" t="s">
        <v>92</v>
      </c>
      <c r="C2860" s="6">
        <v>12101</v>
      </c>
      <c r="D2860" s="6">
        <v>12802</v>
      </c>
      <c r="E2860" s="6">
        <v>12489</v>
      </c>
      <c r="F2860" t="str">
        <f t="shared" si="1210"/>
        <v>FRI</v>
      </c>
      <c r="G2860" s="1">
        <f t="shared" si="1211"/>
        <v>44022</v>
      </c>
      <c r="H2860" s="2">
        <f t="shared" ca="1" si="1212"/>
        <v>231</v>
      </c>
      <c r="I2860" t="str">
        <f t="shared" si="1213"/>
        <v>DAX</v>
      </c>
      <c r="J2860">
        <f t="shared" si="1214"/>
        <v>12101</v>
      </c>
      <c r="K2860">
        <f t="shared" si="1215"/>
        <v>12802</v>
      </c>
      <c r="L2860">
        <f t="shared" si="1216"/>
        <v>12451.5</v>
      </c>
      <c r="M2860">
        <f t="shared" si="1217"/>
        <v>350.5</v>
      </c>
      <c r="N2860">
        <f t="shared" si="1195"/>
        <v>701</v>
      </c>
      <c r="O2860">
        <f t="shared" si="1218"/>
        <v>12489</v>
      </c>
      <c r="P2860">
        <f t="shared" si="1219"/>
        <v>0.10699001426533523</v>
      </c>
      <c r="Q2860" t="str">
        <f t="shared" si="1196"/>
        <v>3.11% | 2.51%</v>
      </c>
      <c r="R2860" t="str">
        <f t="shared" si="1220"/>
        <v>NEUTRAL</v>
      </c>
      <c r="S2860">
        <f t="shared" si="1197"/>
        <v>0</v>
      </c>
    </row>
    <row r="2861" spans="1:19" hidden="1" x14ac:dyDescent="0.25">
      <c r="A2861" s="5" t="str">
        <f t="shared" si="1198"/>
        <v>44022VIX</v>
      </c>
      <c r="B2861" s="6" t="s">
        <v>17</v>
      </c>
      <c r="C2861" s="6">
        <v>26.92</v>
      </c>
      <c r="D2861" s="6">
        <v>35.06</v>
      </c>
      <c r="E2861" s="6">
        <v>29.26</v>
      </c>
      <c r="F2861" t="str">
        <f t="shared" si="1210"/>
        <v>FRI</v>
      </c>
      <c r="G2861" s="1">
        <f t="shared" si="1211"/>
        <v>44022</v>
      </c>
      <c r="H2861" s="2">
        <f t="shared" ca="1" si="1212"/>
        <v>231</v>
      </c>
      <c r="I2861" t="str">
        <f t="shared" si="1213"/>
        <v>VIX</v>
      </c>
      <c r="J2861">
        <f t="shared" si="1214"/>
        <v>26.92</v>
      </c>
      <c r="K2861">
        <f t="shared" si="1215"/>
        <v>35.06</v>
      </c>
      <c r="L2861">
        <f t="shared" si="1216"/>
        <v>30.990000000000002</v>
      </c>
      <c r="M2861">
        <f t="shared" si="1217"/>
        <v>4.0699999999999958</v>
      </c>
      <c r="N2861">
        <f t="shared" si="1195"/>
        <v>8.14</v>
      </c>
      <c r="O2861">
        <f t="shared" si="1218"/>
        <v>29.26</v>
      </c>
      <c r="P2861">
        <f t="shared" si="1219"/>
        <v>-0.42506142506142558</v>
      </c>
      <c r="Q2861" t="str">
        <f t="shared" si="1196"/>
        <v>8% | 19.82%</v>
      </c>
      <c r="R2861" t="str">
        <f t="shared" si="1220"/>
        <v>BULLISH</v>
      </c>
      <c r="S2861">
        <f t="shared" si="1197"/>
        <v>1</v>
      </c>
    </row>
    <row r="2862" spans="1:19" hidden="1" x14ac:dyDescent="0.25">
      <c r="A2862" s="5" t="str">
        <f t="shared" si="1198"/>
        <v>44022USD</v>
      </c>
      <c r="B2862" s="6" t="s">
        <v>94</v>
      </c>
      <c r="C2862" s="6">
        <v>96.17</v>
      </c>
      <c r="D2862" s="6">
        <v>97.7</v>
      </c>
      <c r="E2862" s="6">
        <v>96.65</v>
      </c>
      <c r="F2862" t="str">
        <f t="shared" si="1210"/>
        <v>FRI</v>
      </c>
      <c r="G2862" s="1">
        <f t="shared" si="1211"/>
        <v>44022</v>
      </c>
      <c r="H2862" s="2">
        <f t="shared" ca="1" si="1212"/>
        <v>231</v>
      </c>
      <c r="I2862" t="str">
        <f t="shared" si="1213"/>
        <v>USD</v>
      </c>
      <c r="J2862">
        <f t="shared" si="1214"/>
        <v>96.17</v>
      </c>
      <c r="K2862">
        <f t="shared" si="1215"/>
        <v>97.7</v>
      </c>
      <c r="L2862">
        <f t="shared" si="1216"/>
        <v>96.935000000000002</v>
      </c>
      <c r="M2862">
        <f t="shared" si="1217"/>
        <v>0.76500000000000057</v>
      </c>
      <c r="N2862">
        <f t="shared" si="1195"/>
        <v>1.5300000000000011</v>
      </c>
      <c r="O2862">
        <f t="shared" si="1218"/>
        <v>96.65</v>
      </c>
      <c r="P2862">
        <f t="shared" si="1219"/>
        <v>-0.37254901960783843</v>
      </c>
      <c r="Q2862" t="str">
        <f t="shared" si="1196"/>
        <v>0.5% | 1.09%</v>
      </c>
      <c r="R2862" t="str">
        <f t="shared" si="1220"/>
        <v>BEARISH</v>
      </c>
      <c r="S2862">
        <f t="shared" si="1197"/>
        <v>-1</v>
      </c>
    </row>
    <row r="2863" spans="1:19" hidden="1" x14ac:dyDescent="0.25">
      <c r="A2863" s="5" t="str">
        <f t="shared" si="1198"/>
        <v>44022EUR/USD</v>
      </c>
      <c r="B2863" s="6" t="s">
        <v>99</v>
      </c>
      <c r="C2863" s="6">
        <v>1.1100000000000001</v>
      </c>
      <c r="D2863" s="6">
        <v>1.1299999999999999</v>
      </c>
      <c r="E2863" s="6">
        <v>1.1200000000000001</v>
      </c>
      <c r="F2863" t="str">
        <f t="shared" si="1210"/>
        <v>FRI</v>
      </c>
      <c r="G2863" s="1">
        <f t="shared" si="1211"/>
        <v>44022</v>
      </c>
      <c r="H2863" s="2">
        <f t="shared" ca="1" si="1212"/>
        <v>231</v>
      </c>
      <c r="I2863" t="str">
        <f t="shared" si="1213"/>
        <v>EUR/USD</v>
      </c>
      <c r="J2863">
        <f t="shared" si="1214"/>
        <v>1.1100000000000001</v>
      </c>
      <c r="K2863">
        <f t="shared" si="1215"/>
        <v>1.1299999999999999</v>
      </c>
      <c r="L2863">
        <f t="shared" si="1216"/>
        <v>1.1200000000000001</v>
      </c>
      <c r="M2863">
        <f t="shared" si="1217"/>
        <v>9.9999999999998979E-3</v>
      </c>
      <c r="N2863">
        <f t="shared" si="1195"/>
        <v>1.9999999999999796E-2</v>
      </c>
      <c r="O2863">
        <f t="shared" si="1218"/>
        <v>1.1200000000000001</v>
      </c>
      <c r="P2863">
        <f t="shared" si="1219"/>
        <v>0</v>
      </c>
      <c r="Q2863" t="str">
        <f t="shared" si="1196"/>
        <v>0.89% | 0.89%</v>
      </c>
      <c r="R2863" t="str">
        <f t="shared" si="1220"/>
        <v>BULLISH</v>
      </c>
      <c r="S2863">
        <f t="shared" si="1197"/>
        <v>1</v>
      </c>
    </row>
    <row r="2864" spans="1:19" hidden="1" x14ac:dyDescent="0.25">
      <c r="A2864" s="5" t="str">
        <f t="shared" si="1198"/>
        <v>44022USD/JPY</v>
      </c>
      <c r="B2864" s="6" t="s">
        <v>20</v>
      </c>
      <c r="C2864" s="6">
        <v>106.53</v>
      </c>
      <c r="D2864" s="6">
        <v>107.95</v>
      </c>
      <c r="E2864" s="6">
        <v>107.19</v>
      </c>
      <c r="F2864" t="str">
        <f t="shared" si="1210"/>
        <v>FRI</v>
      </c>
      <c r="G2864" s="1">
        <f t="shared" si="1211"/>
        <v>44022</v>
      </c>
      <c r="H2864" s="2">
        <f t="shared" ca="1" si="1212"/>
        <v>231</v>
      </c>
      <c r="I2864" t="str">
        <f t="shared" si="1213"/>
        <v>USD/JPY</v>
      </c>
      <c r="J2864">
        <f t="shared" si="1214"/>
        <v>106.53</v>
      </c>
      <c r="K2864">
        <f t="shared" si="1215"/>
        <v>107.95</v>
      </c>
      <c r="L2864">
        <f t="shared" si="1216"/>
        <v>107.24000000000001</v>
      </c>
      <c r="M2864">
        <f t="shared" si="1217"/>
        <v>0.71000000000000085</v>
      </c>
      <c r="N2864">
        <f t="shared" si="1195"/>
        <v>1.4200000000000017</v>
      </c>
      <c r="O2864">
        <f t="shared" si="1218"/>
        <v>107.19</v>
      </c>
      <c r="P2864">
        <f t="shared" si="1219"/>
        <v>-7.0422535211283527E-2</v>
      </c>
      <c r="Q2864" t="str">
        <f t="shared" si="1196"/>
        <v>0.62% | 0.71%</v>
      </c>
      <c r="R2864" t="str">
        <f t="shared" si="1220"/>
        <v>BEARISH</v>
      </c>
      <c r="S2864">
        <f t="shared" si="1197"/>
        <v>-1</v>
      </c>
    </row>
    <row r="2865" spans="1:19" hidden="1" x14ac:dyDescent="0.25">
      <c r="A2865" s="5" t="str">
        <f t="shared" si="1198"/>
        <v>44022GBP/USD</v>
      </c>
      <c r="B2865" s="6" t="s">
        <v>102</v>
      </c>
      <c r="C2865" s="6">
        <v>1.23</v>
      </c>
      <c r="D2865" s="6">
        <v>1.26</v>
      </c>
      <c r="E2865" s="6">
        <v>1.26</v>
      </c>
      <c r="F2865" t="str">
        <f t="shared" si="1210"/>
        <v>FRI</v>
      </c>
      <c r="G2865" s="1">
        <f t="shared" si="1211"/>
        <v>44022</v>
      </c>
      <c r="H2865" s="2">
        <f t="shared" ca="1" si="1212"/>
        <v>231</v>
      </c>
      <c r="I2865" t="str">
        <f t="shared" si="1213"/>
        <v>GBP/USD</v>
      </c>
      <c r="J2865">
        <f t="shared" si="1214"/>
        <v>1.23</v>
      </c>
      <c r="K2865">
        <f t="shared" si="1215"/>
        <v>1.26</v>
      </c>
      <c r="L2865">
        <f t="shared" si="1216"/>
        <v>1.2450000000000001</v>
      </c>
      <c r="M2865">
        <f t="shared" si="1217"/>
        <v>1.5000000000000013E-2</v>
      </c>
      <c r="N2865">
        <f t="shared" si="1195"/>
        <v>3.0000000000000027E-2</v>
      </c>
      <c r="O2865">
        <f t="shared" si="1218"/>
        <v>1.26</v>
      </c>
      <c r="P2865">
        <f t="shared" si="1219"/>
        <v>0.99999999999999256</v>
      </c>
      <c r="Q2865" t="str">
        <f t="shared" si="1196"/>
        <v>2.38% | 0%</v>
      </c>
      <c r="R2865" t="str">
        <f t="shared" si="1220"/>
        <v>BULLISH</v>
      </c>
      <c r="S2865">
        <f t="shared" si="1197"/>
        <v>1</v>
      </c>
    </row>
    <row r="2866" spans="1:19" hidden="1" x14ac:dyDescent="0.25">
      <c r="A2866" s="5" t="str">
        <f t="shared" si="1198"/>
        <v>44022USD/CHF</v>
      </c>
      <c r="B2866" s="6" t="s">
        <v>76</v>
      </c>
      <c r="C2866" s="6">
        <v>0.93</v>
      </c>
      <c r="D2866" s="6">
        <v>0.95</v>
      </c>
      <c r="E2866" s="6">
        <v>0.94</v>
      </c>
      <c r="F2866" t="str">
        <f t="shared" si="1210"/>
        <v>FRI</v>
      </c>
      <c r="G2866" s="1">
        <f t="shared" si="1211"/>
        <v>44022</v>
      </c>
      <c r="H2866" s="2">
        <f t="shared" ca="1" si="1212"/>
        <v>231</v>
      </c>
      <c r="I2866" t="str">
        <f t="shared" si="1213"/>
        <v>USD/CHF</v>
      </c>
      <c r="J2866">
        <f t="shared" si="1214"/>
        <v>0.93</v>
      </c>
      <c r="K2866">
        <f t="shared" si="1215"/>
        <v>0.95</v>
      </c>
      <c r="L2866">
        <f t="shared" si="1216"/>
        <v>0.94</v>
      </c>
      <c r="M2866">
        <f t="shared" si="1217"/>
        <v>9.9999999999999534E-3</v>
      </c>
      <c r="N2866">
        <f t="shared" si="1195"/>
        <v>1.9999999999999907E-2</v>
      </c>
      <c r="O2866">
        <f t="shared" si="1218"/>
        <v>0.94</v>
      </c>
      <c r="P2866">
        <f t="shared" si="1219"/>
        <v>0</v>
      </c>
      <c r="Q2866" t="str">
        <f t="shared" si="1196"/>
        <v>1.06% | 1.06%</v>
      </c>
      <c r="R2866" t="str">
        <f t="shared" si="1220"/>
        <v>BEARISH</v>
      </c>
      <c r="S2866">
        <f t="shared" si="1197"/>
        <v>-1</v>
      </c>
    </row>
    <row r="2867" spans="1:19" hidden="1" x14ac:dyDescent="0.25">
      <c r="A2867" s="5" t="str">
        <f t="shared" si="1198"/>
        <v>44022WTIC</v>
      </c>
      <c r="B2867" s="6" t="s">
        <v>158</v>
      </c>
      <c r="C2867" s="6">
        <v>38.020000000000003</v>
      </c>
      <c r="D2867" s="6">
        <v>41.57</v>
      </c>
      <c r="E2867" s="6">
        <v>39.619999999999997</v>
      </c>
      <c r="F2867" t="str">
        <f t="shared" si="1210"/>
        <v>FRI</v>
      </c>
      <c r="G2867" s="1">
        <f t="shared" si="1211"/>
        <v>44022</v>
      </c>
      <c r="H2867" s="2">
        <f t="shared" ca="1" si="1212"/>
        <v>231</v>
      </c>
      <c r="I2867" t="str">
        <f t="shared" si="1213"/>
        <v>WTIC</v>
      </c>
      <c r="J2867">
        <f t="shared" si="1214"/>
        <v>38.020000000000003</v>
      </c>
      <c r="K2867">
        <f t="shared" si="1215"/>
        <v>41.57</v>
      </c>
      <c r="L2867">
        <f t="shared" si="1216"/>
        <v>39.795000000000002</v>
      </c>
      <c r="M2867">
        <f t="shared" si="1217"/>
        <v>1.7749999999999986</v>
      </c>
      <c r="N2867">
        <f t="shared" si="1195"/>
        <v>3.5499999999999972</v>
      </c>
      <c r="O2867">
        <f t="shared" si="1218"/>
        <v>39.619999999999997</v>
      </c>
      <c r="P2867">
        <f t="shared" si="1219"/>
        <v>-9.8591549295777126E-2</v>
      </c>
      <c r="Q2867" t="str">
        <f t="shared" si="1196"/>
        <v>4.04% | 4.92%</v>
      </c>
      <c r="R2867" t="str">
        <f t="shared" si="1220"/>
        <v>BULLISH</v>
      </c>
      <c r="S2867">
        <f t="shared" si="1197"/>
        <v>1</v>
      </c>
    </row>
    <row r="2868" spans="1:19" hidden="1" x14ac:dyDescent="0.25">
      <c r="A2868" s="5" t="str">
        <f t="shared" si="1198"/>
        <v>44022NATGAS</v>
      </c>
      <c r="B2868" s="6" t="s">
        <v>87</v>
      </c>
      <c r="C2868" s="6">
        <v>1.54</v>
      </c>
      <c r="D2868" s="6">
        <v>1.93</v>
      </c>
      <c r="E2868" s="6">
        <v>1.78</v>
      </c>
      <c r="F2868" t="str">
        <f t="shared" si="1210"/>
        <v>FRI</v>
      </c>
      <c r="G2868" s="1">
        <f t="shared" si="1211"/>
        <v>44022</v>
      </c>
      <c r="H2868" s="2">
        <f t="shared" ca="1" si="1212"/>
        <v>231</v>
      </c>
      <c r="I2868" t="str">
        <f t="shared" si="1213"/>
        <v>NATGAS</v>
      </c>
      <c r="J2868">
        <f t="shared" si="1214"/>
        <v>1.54</v>
      </c>
      <c r="K2868">
        <f t="shared" si="1215"/>
        <v>1.93</v>
      </c>
      <c r="L2868">
        <f t="shared" si="1216"/>
        <v>1.7349999999999999</v>
      </c>
      <c r="M2868">
        <f t="shared" si="1217"/>
        <v>0.19500000000000051</v>
      </c>
      <c r="N2868">
        <f t="shared" si="1195"/>
        <v>0.3899999999999999</v>
      </c>
      <c r="O2868">
        <f t="shared" si="1218"/>
        <v>1.78</v>
      </c>
      <c r="P2868">
        <f t="shared" si="1219"/>
        <v>0.23076923076923095</v>
      </c>
      <c r="Q2868" t="str">
        <f t="shared" si="1196"/>
        <v>13.48% | 8.43%</v>
      </c>
      <c r="R2868" t="str">
        <f t="shared" si="1220"/>
        <v>NEUTRAL</v>
      </c>
      <c r="S2868">
        <f t="shared" si="1197"/>
        <v>0</v>
      </c>
    </row>
    <row r="2869" spans="1:19" hidden="1" x14ac:dyDescent="0.25">
      <c r="A2869" s="5" t="str">
        <f t="shared" si="1198"/>
        <v>44022GOLD</v>
      </c>
      <c r="B2869" s="6" t="s">
        <v>25</v>
      </c>
      <c r="C2869" s="6">
        <v>1769</v>
      </c>
      <c r="D2869" s="6">
        <v>1824</v>
      </c>
      <c r="E2869" s="6">
        <v>1803</v>
      </c>
      <c r="F2869" t="str">
        <f t="shared" si="1210"/>
        <v>FRI</v>
      </c>
      <c r="G2869" s="1">
        <f t="shared" si="1211"/>
        <v>44022</v>
      </c>
      <c r="H2869" s="2">
        <f t="shared" ca="1" si="1212"/>
        <v>231</v>
      </c>
      <c r="I2869" t="str">
        <f t="shared" si="1213"/>
        <v>GOLD</v>
      </c>
      <c r="J2869">
        <f t="shared" si="1214"/>
        <v>1769</v>
      </c>
      <c r="K2869">
        <f t="shared" si="1215"/>
        <v>1824</v>
      </c>
      <c r="L2869">
        <f t="shared" si="1216"/>
        <v>1796.5</v>
      </c>
      <c r="M2869">
        <f t="shared" si="1217"/>
        <v>27.5</v>
      </c>
      <c r="N2869">
        <f t="shared" si="1195"/>
        <v>55</v>
      </c>
      <c r="O2869">
        <f t="shared" si="1218"/>
        <v>1803</v>
      </c>
      <c r="P2869">
        <f t="shared" si="1219"/>
        <v>0.23636363636363636</v>
      </c>
      <c r="Q2869" t="str">
        <f t="shared" si="1196"/>
        <v>1.89% | 1.16%</v>
      </c>
      <c r="R2869" t="str">
        <f t="shared" si="1220"/>
        <v>BULLISH</v>
      </c>
      <c r="S2869">
        <f t="shared" si="1197"/>
        <v>1</v>
      </c>
    </row>
    <row r="2870" spans="1:19" hidden="1" x14ac:dyDescent="0.25">
      <c r="A2870" s="5" t="str">
        <f t="shared" si="1198"/>
        <v>44022COPPER</v>
      </c>
      <c r="B2870" s="6" t="s">
        <v>100</v>
      </c>
      <c r="C2870" s="6">
        <v>2.7</v>
      </c>
      <c r="D2870" s="6">
        <v>2.87</v>
      </c>
      <c r="E2870" s="6">
        <v>2.84</v>
      </c>
      <c r="F2870" t="str">
        <f t="shared" si="1210"/>
        <v>FRI</v>
      </c>
      <c r="G2870" s="1">
        <f t="shared" si="1211"/>
        <v>44022</v>
      </c>
      <c r="H2870" s="2">
        <f t="shared" ca="1" si="1212"/>
        <v>231</v>
      </c>
      <c r="I2870" t="str">
        <f t="shared" si="1213"/>
        <v>COPPER</v>
      </c>
      <c r="J2870">
        <f t="shared" si="1214"/>
        <v>2.7</v>
      </c>
      <c r="K2870">
        <f t="shared" si="1215"/>
        <v>2.87</v>
      </c>
      <c r="L2870">
        <f t="shared" si="1216"/>
        <v>2.7850000000000001</v>
      </c>
      <c r="M2870">
        <f t="shared" si="1217"/>
        <v>8.4999999999999964E-2</v>
      </c>
      <c r="N2870">
        <f t="shared" si="1195"/>
        <v>0.16999999999999993</v>
      </c>
      <c r="O2870">
        <f t="shared" si="1218"/>
        <v>2.84</v>
      </c>
      <c r="P2870">
        <f t="shared" si="1219"/>
        <v>0.64705882352940869</v>
      </c>
      <c r="Q2870" t="str">
        <f t="shared" si="1196"/>
        <v>4.93% | 1.06%</v>
      </c>
      <c r="R2870" t="str">
        <f t="shared" si="1220"/>
        <v>BULLISH</v>
      </c>
      <c r="S2870">
        <f t="shared" si="1197"/>
        <v>1</v>
      </c>
    </row>
    <row r="2871" spans="1:19" hidden="1" x14ac:dyDescent="0.25">
      <c r="A2871" s="5" t="str">
        <f t="shared" si="1198"/>
        <v>44022MSFT</v>
      </c>
      <c r="B2871" s="6" t="s">
        <v>27</v>
      </c>
      <c r="C2871" s="6">
        <v>198</v>
      </c>
      <c r="D2871" s="6">
        <v>218</v>
      </c>
      <c r="E2871" s="6">
        <v>214</v>
      </c>
      <c r="F2871" t="str">
        <f t="shared" si="1210"/>
        <v>FRI</v>
      </c>
      <c r="G2871" s="1">
        <f t="shared" si="1211"/>
        <v>44022</v>
      </c>
      <c r="H2871" s="2">
        <f t="shared" ca="1" si="1212"/>
        <v>231</v>
      </c>
      <c r="I2871" t="str">
        <f t="shared" si="1213"/>
        <v>MSFT</v>
      </c>
      <c r="J2871">
        <f t="shared" si="1214"/>
        <v>198</v>
      </c>
      <c r="K2871">
        <f t="shared" si="1215"/>
        <v>218</v>
      </c>
      <c r="L2871">
        <f t="shared" si="1216"/>
        <v>208</v>
      </c>
      <c r="M2871">
        <f t="shared" si="1217"/>
        <v>10</v>
      </c>
      <c r="N2871">
        <f t="shared" si="1195"/>
        <v>20</v>
      </c>
      <c r="O2871">
        <f t="shared" si="1218"/>
        <v>214</v>
      </c>
      <c r="P2871">
        <f t="shared" si="1219"/>
        <v>0.6</v>
      </c>
      <c r="Q2871" t="str">
        <f t="shared" si="1196"/>
        <v>7.48% | 1.87%</v>
      </c>
      <c r="R2871" t="str">
        <f t="shared" si="1220"/>
        <v>BULLISH</v>
      </c>
      <c r="S2871">
        <f t="shared" si="1197"/>
        <v>1</v>
      </c>
    </row>
    <row r="2872" spans="1:19" hidden="1" x14ac:dyDescent="0.25">
      <c r="A2872" s="5" t="str">
        <f t="shared" si="1198"/>
        <v>44022AAPL</v>
      </c>
      <c r="B2872" s="6" t="s">
        <v>28</v>
      </c>
      <c r="C2872" s="6">
        <v>354</v>
      </c>
      <c r="D2872" s="6">
        <v>387</v>
      </c>
      <c r="E2872" s="6">
        <v>382</v>
      </c>
      <c r="F2872" t="str">
        <f t="shared" si="1210"/>
        <v>FRI</v>
      </c>
      <c r="G2872" s="1">
        <f t="shared" si="1211"/>
        <v>44022</v>
      </c>
      <c r="H2872" s="2">
        <f t="shared" ca="1" si="1212"/>
        <v>231</v>
      </c>
      <c r="I2872" t="str">
        <f t="shared" si="1213"/>
        <v>AAPL</v>
      </c>
      <c r="J2872">
        <f t="shared" si="1214"/>
        <v>354</v>
      </c>
      <c r="K2872">
        <f t="shared" si="1215"/>
        <v>387</v>
      </c>
      <c r="L2872">
        <f t="shared" si="1216"/>
        <v>370.5</v>
      </c>
      <c r="M2872">
        <f t="shared" si="1217"/>
        <v>16.5</v>
      </c>
      <c r="N2872">
        <f t="shared" si="1195"/>
        <v>33</v>
      </c>
      <c r="O2872">
        <f t="shared" si="1218"/>
        <v>382</v>
      </c>
      <c r="P2872">
        <f t="shared" si="1219"/>
        <v>0.69696969696969702</v>
      </c>
      <c r="Q2872" t="str">
        <f t="shared" si="1196"/>
        <v>7.33% | 1.31%</v>
      </c>
      <c r="R2872" t="str">
        <f t="shared" si="1220"/>
        <v>BULLISH</v>
      </c>
      <c r="S2872">
        <f t="shared" si="1197"/>
        <v>1</v>
      </c>
    </row>
    <row r="2873" spans="1:19" hidden="1" x14ac:dyDescent="0.25">
      <c r="A2873" s="5" t="str">
        <f t="shared" si="1198"/>
        <v>44022AMZN</v>
      </c>
      <c r="B2873" s="6" t="s">
        <v>29</v>
      </c>
      <c r="C2873" s="6">
        <v>2923</v>
      </c>
      <c r="D2873" s="6">
        <v>3255</v>
      </c>
      <c r="E2873" s="6">
        <v>3182</v>
      </c>
      <c r="F2873" t="str">
        <f t="shared" si="1210"/>
        <v>FRI</v>
      </c>
      <c r="G2873" s="1">
        <f t="shared" si="1211"/>
        <v>44022</v>
      </c>
      <c r="H2873" s="2">
        <f t="shared" ca="1" si="1212"/>
        <v>231</v>
      </c>
      <c r="I2873" t="str">
        <f t="shared" si="1213"/>
        <v>AMZN</v>
      </c>
      <c r="J2873">
        <f t="shared" si="1214"/>
        <v>2923</v>
      </c>
      <c r="K2873">
        <f t="shared" si="1215"/>
        <v>3255</v>
      </c>
      <c r="L2873">
        <f t="shared" si="1216"/>
        <v>3089</v>
      </c>
      <c r="M2873">
        <f t="shared" si="1217"/>
        <v>166</v>
      </c>
      <c r="N2873">
        <f t="shared" si="1195"/>
        <v>332</v>
      </c>
      <c r="O2873">
        <f t="shared" si="1218"/>
        <v>3182</v>
      </c>
      <c r="P2873">
        <f t="shared" si="1219"/>
        <v>0.56024096385542166</v>
      </c>
      <c r="Q2873" t="str">
        <f t="shared" si="1196"/>
        <v>8.14% | 2.29%</v>
      </c>
      <c r="R2873" t="str">
        <f t="shared" si="1220"/>
        <v>BULLISH</v>
      </c>
      <c r="S2873">
        <f t="shared" si="1197"/>
        <v>1</v>
      </c>
    </row>
    <row r="2874" spans="1:19" hidden="1" x14ac:dyDescent="0.25">
      <c r="A2874" s="5" t="str">
        <f t="shared" si="1198"/>
        <v>44022FB</v>
      </c>
      <c r="B2874" s="6" t="s">
        <v>30</v>
      </c>
      <c r="C2874" s="6">
        <v>216</v>
      </c>
      <c r="D2874" s="6">
        <v>253</v>
      </c>
      <c r="E2874" s="6">
        <v>244</v>
      </c>
      <c r="F2874" t="str">
        <f t="shared" si="1210"/>
        <v>FRI</v>
      </c>
      <c r="G2874" s="1">
        <f t="shared" si="1211"/>
        <v>44022</v>
      </c>
      <c r="H2874" s="2">
        <f t="shared" ca="1" si="1212"/>
        <v>231</v>
      </c>
      <c r="I2874" t="str">
        <f t="shared" si="1213"/>
        <v>FB</v>
      </c>
      <c r="J2874">
        <f t="shared" si="1214"/>
        <v>216</v>
      </c>
      <c r="K2874">
        <f t="shared" si="1215"/>
        <v>253</v>
      </c>
      <c r="L2874">
        <f t="shared" si="1216"/>
        <v>234.5</v>
      </c>
      <c r="M2874">
        <f t="shared" si="1217"/>
        <v>18.5</v>
      </c>
      <c r="N2874">
        <f t="shared" si="1195"/>
        <v>37</v>
      </c>
      <c r="O2874">
        <f t="shared" si="1218"/>
        <v>244</v>
      </c>
      <c r="P2874">
        <f t="shared" si="1219"/>
        <v>0.51351351351351349</v>
      </c>
      <c r="Q2874" t="str">
        <f t="shared" si="1196"/>
        <v>11.48% | 3.69%</v>
      </c>
      <c r="R2874" t="str">
        <f t="shared" si="1220"/>
        <v>BULLISH</v>
      </c>
      <c r="S2874">
        <f t="shared" si="1197"/>
        <v>1</v>
      </c>
    </row>
    <row r="2875" spans="1:19" hidden="1" x14ac:dyDescent="0.25">
      <c r="A2875" s="5" t="str">
        <f t="shared" si="1198"/>
        <v>44022GOOGL</v>
      </c>
      <c r="B2875" s="6" t="s">
        <v>31</v>
      </c>
      <c r="C2875" s="6">
        <v>1381</v>
      </c>
      <c r="D2875" s="6">
        <v>1558</v>
      </c>
      <c r="E2875" s="6">
        <v>1518</v>
      </c>
      <c r="F2875" t="str">
        <f t="shared" si="1210"/>
        <v>FRI</v>
      </c>
      <c r="G2875" s="1">
        <f t="shared" si="1211"/>
        <v>44022</v>
      </c>
      <c r="H2875" s="2">
        <f t="shared" ca="1" si="1212"/>
        <v>231</v>
      </c>
      <c r="I2875" t="str">
        <f t="shared" si="1213"/>
        <v>GOOGL</v>
      </c>
      <c r="J2875">
        <f t="shared" si="1214"/>
        <v>1381</v>
      </c>
      <c r="K2875">
        <f t="shared" si="1215"/>
        <v>1558</v>
      </c>
      <c r="L2875">
        <f t="shared" si="1216"/>
        <v>1469.5</v>
      </c>
      <c r="M2875">
        <f t="shared" si="1217"/>
        <v>88.5</v>
      </c>
      <c r="N2875">
        <f t="shared" si="1195"/>
        <v>177</v>
      </c>
      <c r="O2875">
        <f t="shared" si="1218"/>
        <v>1518</v>
      </c>
      <c r="P2875">
        <f t="shared" si="1219"/>
        <v>0.54802259887005644</v>
      </c>
      <c r="Q2875" t="str">
        <f t="shared" si="1196"/>
        <v>9.03% | 2.64%</v>
      </c>
      <c r="R2875" t="str">
        <f t="shared" si="1220"/>
        <v>BULLISH</v>
      </c>
      <c r="S2875">
        <f t="shared" si="1197"/>
        <v>1</v>
      </c>
    </row>
    <row r="2876" spans="1:19" hidden="1" x14ac:dyDescent="0.25">
      <c r="A2876" s="5" t="str">
        <f t="shared" si="1198"/>
        <v>44022NFLX</v>
      </c>
      <c r="B2876" s="6" t="s">
        <v>32</v>
      </c>
      <c r="C2876" s="6">
        <v>478</v>
      </c>
      <c r="D2876" s="6">
        <v>525</v>
      </c>
      <c r="E2876" s="6">
        <v>507</v>
      </c>
      <c r="F2876" t="str">
        <f t="shared" si="1210"/>
        <v>FRI</v>
      </c>
      <c r="G2876" s="1">
        <f t="shared" si="1211"/>
        <v>44022</v>
      </c>
      <c r="H2876" s="2">
        <f t="shared" ca="1" si="1212"/>
        <v>231</v>
      </c>
      <c r="I2876" t="str">
        <f t="shared" si="1213"/>
        <v>NFLX</v>
      </c>
      <c r="J2876">
        <f t="shared" si="1214"/>
        <v>478</v>
      </c>
      <c r="K2876">
        <f t="shared" si="1215"/>
        <v>525</v>
      </c>
      <c r="L2876">
        <f t="shared" si="1216"/>
        <v>501.5</v>
      </c>
      <c r="M2876">
        <f t="shared" si="1217"/>
        <v>23.5</v>
      </c>
      <c r="N2876">
        <f t="shared" si="1195"/>
        <v>47</v>
      </c>
      <c r="O2876">
        <f t="shared" si="1218"/>
        <v>507</v>
      </c>
      <c r="P2876">
        <f t="shared" si="1219"/>
        <v>0.23404255319148937</v>
      </c>
      <c r="Q2876" t="str">
        <f t="shared" si="1196"/>
        <v>5.72% | 3.55%</v>
      </c>
      <c r="R2876" t="str">
        <f t="shared" si="1220"/>
        <v>BULLISH</v>
      </c>
      <c r="S2876">
        <f t="shared" si="1197"/>
        <v>1</v>
      </c>
    </row>
    <row r="2877" spans="1:19" x14ac:dyDescent="0.25">
      <c r="A2877" s="5" t="str">
        <f t="shared" si="1198"/>
        <v>44022TSLA</v>
      </c>
      <c r="B2877" s="6" t="s">
        <v>33</v>
      </c>
      <c r="C2877" s="6">
        <v>1201</v>
      </c>
      <c r="D2877" s="6">
        <v>1545</v>
      </c>
      <c r="E2877" s="6">
        <v>1394</v>
      </c>
      <c r="F2877" t="str">
        <f t="shared" si="1210"/>
        <v>FRI</v>
      </c>
      <c r="G2877" s="1">
        <f t="shared" si="1211"/>
        <v>44022</v>
      </c>
      <c r="H2877" s="2">
        <f t="shared" ca="1" si="1212"/>
        <v>231</v>
      </c>
      <c r="I2877" t="str">
        <f t="shared" si="1213"/>
        <v>TSLA</v>
      </c>
      <c r="J2877">
        <f t="shared" si="1214"/>
        <v>1201</v>
      </c>
      <c r="K2877">
        <f t="shared" si="1215"/>
        <v>1545</v>
      </c>
      <c r="L2877">
        <f t="shared" si="1216"/>
        <v>1373</v>
      </c>
      <c r="M2877">
        <f t="shared" si="1217"/>
        <v>172</v>
      </c>
      <c r="N2877">
        <f t="shared" si="1195"/>
        <v>344</v>
      </c>
      <c r="O2877">
        <f t="shared" si="1218"/>
        <v>1394</v>
      </c>
      <c r="P2877">
        <f t="shared" si="1219"/>
        <v>0.12209302325581395</v>
      </c>
      <c r="Q2877" t="str">
        <f t="shared" si="1196"/>
        <v>13.85% | 10.83%</v>
      </c>
      <c r="R2877" t="str">
        <f t="shared" si="1220"/>
        <v>BULLISH</v>
      </c>
      <c r="S2877">
        <f t="shared" si="1197"/>
        <v>1</v>
      </c>
    </row>
    <row r="2878" spans="1:19" hidden="1" x14ac:dyDescent="0.25">
      <c r="A2878" s="5" t="str">
        <f t="shared" si="1198"/>
        <v>44022NYXBT</v>
      </c>
      <c r="B2878" s="6" t="s">
        <v>34</v>
      </c>
      <c r="C2878" s="6">
        <v>8990</v>
      </c>
      <c r="D2878" s="6">
        <v>9462</v>
      </c>
      <c r="E2878" s="6">
        <v>9351</v>
      </c>
      <c r="F2878" t="str">
        <f t="shared" si="1210"/>
        <v>FRI</v>
      </c>
      <c r="G2878" s="1">
        <f t="shared" si="1211"/>
        <v>44022</v>
      </c>
      <c r="H2878" s="2">
        <f t="shared" ca="1" si="1212"/>
        <v>231</v>
      </c>
      <c r="I2878" t="str">
        <f t="shared" si="1213"/>
        <v>NYXBT</v>
      </c>
      <c r="J2878">
        <f t="shared" si="1214"/>
        <v>8990</v>
      </c>
      <c r="K2878">
        <f t="shared" si="1215"/>
        <v>9462</v>
      </c>
      <c r="L2878">
        <f t="shared" si="1216"/>
        <v>9226</v>
      </c>
      <c r="M2878">
        <f t="shared" si="1217"/>
        <v>236</v>
      </c>
      <c r="N2878">
        <f t="shared" si="1195"/>
        <v>472</v>
      </c>
      <c r="O2878">
        <f t="shared" si="1218"/>
        <v>9351</v>
      </c>
      <c r="P2878">
        <f t="shared" si="1219"/>
        <v>0.52966101694915257</v>
      </c>
      <c r="Q2878" t="str">
        <f t="shared" si="1196"/>
        <v>3.86% | 1.19%</v>
      </c>
      <c r="R2878" t="str">
        <f t="shared" si="1220"/>
        <v>BULLISH</v>
      </c>
      <c r="S2878">
        <f t="shared" si="1197"/>
        <v>1</v>
      </c>
    </row>
    <row r="2879" spans="1:19" hidden="1" x14ac:dyDescent="0.25">
      <c r="A2879" s="5" t="str">
        <f t="shared" si="1198"/>
        <v>44025UST10Y</v>
      </c>
      <c r="B2879" s="6" t="s">
        <v>4</v>
      </c>
      <c r="C2879" s="6">
        <v>0.69</v>
      </c>
      <c r="D2879" s="6">
        <v>0.59</v>
      </c>
      <c r="E2879" s="6">
        <v>0.65</v>
      </c>
      <c r="F2879" t="str">
        <f t="shared" si="1210"/>
        <v>MON</v>
      </c>
      <c r="G2879" s="3">
        <f>DATE(2020,7,13)</f>
        <v>44025</v>
      </c>
      <c r="H2879" s="2">
        <f t="shared" ca="1" si="1212"/>
        <v>228</v>
      </c>
      <c r="I2879" t="str">
        <f t="shared" si="1213"/>
        <v>UST10Y</v>
      </c>
      <c r="J2879">
        <f t="shared" si="1214"/>
        <v>0.69</v>
      </c>
      <c r="K2879">
        <f t="shared" si="1215"/>
        <v>0.59</v>
      </c>
      <c r="L2879">
        <f t="shared" si="1216"/>
        <v>0.6399999999999999</v>
      </c>
      <c r="M2879">
        <f t="shared" si="1217"/>
        <v>4.9999999999999989E-2</v>
      </c>
      <c r="N2879">
        <f t="shared" si="1195"/>
        <v>9.9999999999999978E-2</v>
      </c>
      <c r="O2879">
        <f t="shared" si="1218"/>
        <v>0.65</v>
      </c>
      <c r="P2879">
        <f t="shared" si="1219"/>
        <v>0.20000000000000245</v>
      </c>
      <c r="Q2879" t="str">
        <f t="shared" si="1196"/>
        <v>6.15% | 9.23%</v>
      </c>
      <c r="R2879" t="str">
        <f t="shared" si="1220"/>
        <v>BEARISH</v>
      </c>
      <c r="S2879">
        <f t="shared" si="1197"/>
        <v>-1</v>
      </c>
    </row>
    <row r="2880" spans="1:19" hidden="1" x14ac:dyDescent="0.25">
      <c r="A2880" s="5" t="str">
        <f t="shared" si="1198"/>
        <v>44025UST2Y</v>
      </c>
      <c r="B2880" s="6" t="s">
        <v>5</v>
      </c>
      <c r="C2880" s="6">
        <v>0.18</v>
      </c>
      <c r="D2880" s="6">
        <v>0.13</v>
      </c>
      <c r="E2880" s="6">
        <v>0.16</v>
      </c>
      <c r="F2880" t="str">
        <f t="shared" ref="F2880:F2909" si="1221">UPPER(TEXT(G2880,"ddd"))</f>
        <v>MON</v>
      </c>
      <c r="G2880" s="3">
        <f t="shared" ref="G2880:G2908" si="1222">DATE(2020,7,13)</f>
        <v>44025</v>
      </c>
      <c r="H2880" s="2">
        <f t="shared" ref="H2880:H2909" ca="1" si="1223">TODAY()-G2880</f>
        <v>228</v>
      </c>
      <c r="I2880" t="str">
        <f t="shared" ref="I2880:I2909" si="1224">TRIM(LEFT(B2880,FIND(" ",B2880,1)))</f>
        <v>UST2Y</v>
      </c>
      <c r="J2880">
        <f t="shared" ref="J2880:J2909" si="1225">C2880</f>
        <v>0.18</v>
      </c>
      <c r="K2880">
        <f t="shared" ref="K2880:K2909" si="1226">D2880</f>
        <v>0.13</v>
      </c>
      <c r="L2880">
        <f t="shared" ref="L2880:L2909" si="1227">AVERAGE(J2880:K2880)</f>
        <v>0.155</v>
      </c>
      <c r="M2880">
        <f t="shared" ref="M2880:M2909" si="1228">_xlfn.STDEV.P(J2880:K2880)</f>
        <v>2.4999999999999942E-2</v>
      </c>
      <c r="N2880">
        <f t="shared" si="1195"/>
        <v>4.9999999999999989E-2</v>
      </c>
      <c r="O2880">
        <f t="shared" ref="O2880:O2909" si="1229">E2880</f>
        <v>0.16</v>
      </c>
      <c r="P2880">
        <f t="shared" ref="P2880:P2909" si="1230">(O2880-L2880)/M2880</f>
        <v>0.20000000000000065</v>
      </c>
      <c r="Q2880" t="str">
        <f t="shared" si="1196"/>
        <v>12.5% | 18.75%</v>
      </c>
      <c r="R2880" t="str">
        <f t="shared" ref="R2880:R2909" si="1231">MID(B2880,FIND("(",B2880,1)+1,FIND(")",B2880,1)-FIND("(",B2880,1)-1)</f>
        <v>BEARISH</v>
      </c>
      <c r="S2880">
        <f t="shared" si="1197"/>
        <v>-1</v>
      </c>
    </row>
    <row r="2881" spans="1:19" hidden="1" x14ac:dyDescent="0.25">
      <c r="A2881" s="5" t="str">
        <f t="shared" si="1198"/>
        <v>44025SPX</v>
      </c>
      <c r="B2881" s="6" t="s">
        <v>6</v>
      </c>
      <c r="C2881" s="6">
        <v>3046</v>
      </c>
      <c r="D2881" s="6">
        <v>3199</v>
      </c>
      <c r="E2881" s="6">
        <v>3185</v>
      </c>
      <c r="F2881" t="str">
        <f t="shared" si="1221"/>
        <v>MON</v>
      </c>
      <c r="G2881" s="3">
        <f t="shared" si="1222"/>
        <v>44025</v>
      </c>
      <c r="H2881" s="2">
        <f t="shared" ca="1" si="1223"/>
        <v>228</v>
      </c>
      <c r="I2881" t="str">
        <f t="shared" si="1224"/>
        <v>SPX</v>
      </c>
      <c r="J2881">
        <f t="shared" si="1225"/>
        <v>3046</v>
      </c>
      <c r="K2881">
        <f t="shared" si="1226"/>
        <v>3199</v>
      </c>
      <c r="L2881">
        <f t="shared" si="1227"/>
        <v>3122.5</v>
      </c>
      <c r="M2881">
        <f t="shared" si="1228"/>
        <v>76.5</v>
      </c>
      <c r="N2881">
        <f t="shared" si="1195"/>
        <v>153</v>
      </c>
      <c r="O2881">
        <f t="shared" si="1229"/>
        <v>3185</v>
      </c>
      <c r="P2881">
        <f t="shared" si="1230"/>
        <v>0.81699346405228757</v>
      </c>
      <c r="Q2881" t="str">
        <f t="shared" si="1196"/>
        <v>4.36% | 0.44%</v>
      </c>
      <c r="R2881" t="str">
        <f t="shared" si="1231"/>
        <v>BEARISH</v>
      </c>
      <c r="S2881">
        <f t="shared" si="1197"/>
        <v>-1</v>
      </c>
    </row>
    <row r="2882" spans="1:19" hidden="1" x14ac:dyDescent="0.25">
      <c r="A2882" s="5" t="str">
        <f t="shared" si="1198"/>
        <v>44025RUT</v>
      </c>
      <c r="B2882" s="6" t="s">
        <v>7</v>
      </c>
      <c r="C2882" s="6">
        <v>1382</v>
      </c>
      <c r="D2882" s="6">
        <v>1452</v>
      </c>
      <c r="E2882" s="6">
        <v>1422</v>
      </c>
      <c r="F2882" t="str">
        <f t="shared" si="1221"/>
        <v>MON</v>
      </c>
      <c r="G2882" s="3">
        <f t="shared" si="1222"/>
        <v>44025</v>
      </c>
      <c r="H2882" s="2">
        <f t="shared" ca="1" si="1223"/>
        <v>228</v>
      </c>
      <c r="I2882" t="str">
        <f t="shared" si="1224"/>
        <v>RUT</v>
      </c>
      <c r="J2882">
        <f t="shared" si="1225"/>
        <v>1382</v>
      </c>
      <c r="K2882">
        <f t="shared" si="1226"/>
        <v>1452</v>
      </c>
      <c r="L2882">
        <f t="shared" si="1227"/>
        <v>1417</v>
      </c>
      <c r="M2882">
        <f t="shared" si="1228"/>
        <v>35</v>
      </c>
      <c r="N2882">
        <f t="shared" si="1195"/>
        <v>70</v>
      </c>
      <c r="O2882">
        <f t="shared" si="1229"/>
        <v>1422</v>
      </c>
      <c r="P2882">
        <f t="shared" si="1230"/>
        <v>0.14285714285714285</v>
      </c>
      <c r="Q2882" t="str">
        <f t="shared" si="1196"/>
        <v>2.81% | 2.11%</v>
      </c>
      <c r="R2882" t="str">
        <f t="shared" si="1231"/>
        <v>BEARISH</v>
      </c>
      <c r="S2882">
        <f t="shared" si="1197"/>
        <v>-1</v>
      </c>
    </row>
    <row r="2883" spans="1:19" hidden="1" x14ac:dyDescent="0.25">
      <c r="A2883" s="5" t="str">
        <f t="shared" si="1198"/>
        <v>44025COMPQ</v>
      </c>
      <c r="B2883" s="6" t="s">
        <v>8</v>
      </c>
      <c r="C2883" s="6">
        <v>10000</v>
      </c>
      <c r="D2883" s="6">
        <v>10770</v>
      </c>
      <c r="E2883" s="6">
        <v>10617</v>
      </c>
      <c r="F2883" t="str">
        <f t="shared" si="1221"/>
        <v>MON</v>
      </c>
      <c r="G2883" s="3">
        <f t="shared" si="1222"/>
        <v>44025</v>
      </c>
      <c r="H2883" s="2">
        <f t="shared" ca="1" si="1223"/>
        <v>228</v>
      </c>
      <c r="I2883" t="str">
        <f t="shared" si="1224"/>
        <v>COMPQ</v>
      </c>
      <c r="J2883">
        <f t="shared" si="1225"/>
        <v>10000</v>
      </c>
      <c r="K2883">
        <f t="shared" si="1226"/>
        <v>10770</v>
      </c>
      <c r="L2883">
        <f t="shared" si="1227"/>
        <v>10385</v>
      </c>
      <c r="M2883">
        <f t="shared" si="1228"/>
        <v>385</v>
      </c>
      <c r="N2883">
        <f t="shared" ref="N2883:N2946" si="1232">ABS(K2883-J2883)</f>
        <v>770</v>
      </c>
      <c r="O2883">
        <f t="shared" si="1229"/>
        <v>10617</v>
      </c>
      <c r="P2883">
        <f t="shared" si="1230"/>
        <v>0.60259740259740258</v>
      </c>
      <c r="Q2883" t="str">
        <f t="shared" ref="Q2883:Q2946" si="1233">ROUND(ABS(100*(O2883-J2883)/O2883),2)&amp;"% | "&amp;ROUND(ABS(100*(K2883-O2883)/O2883),2)&amp;"%"</f>
        <v>5.81% | 1.44%</v>
      </c>
      <c r="R2883" t="str">
        <f t="shared" si="1231"/>
        <v>BULLISH</v>
      </c>
      <c r="S2883">
        <f t="shared" ref="S2883:S2946" si="1234">IF(R2883="BEARISH",-1,IF(R2883="NEUTRAL",0,IF(R2883="BULLISH",1,99)))</f>
        <v>1</v>
      </c>
    </row>
    <row r="2884" spans="1:19" hidden="1" x14ac:dyDescent="0.25">
      <c r="A2884" s="5" t="str">
        <f t="shared" ref="A2884:A2947" si="1235">G2884&amp;I2884</f>
        <v>44025XLK</v>
      </c>
      <c r="B2884" s="6" t="s">
        <v>10</v>
      </c>
      <c r="C2884" s="6">
        <v>102.99</v>
      </c>
      <c r="D2884" s="6">
        <v>109.8</v>
      </c>
      <c r="E2884" s="6">
        <v>108.08</v>
      </c>
      <c r="F2884" t="str">
        <f t="shared" si="1221"/>
        <v>MON</v>
      </c>
      <c r="G2884" s="3">
        <f t="shared" si="1222"/>
        <v>44025</v>
      </c>
      <c r="H2884" s="2">
        <f t="shared" ca="1" si="1223"/>
        <v>228</v>
      </c>
      <c r="I2884" t="str">
        <f t="shared" si="1224"/>
        <v>XLK</v>
      </c>
      <c r="J2884">
        <f t="shared" si="1225"/>
        <v>102.99</v>
      </c>
      <c r="K2884">
        <f t="shared" si="1226"/>
        <v>109.8</v>
      </c>
      <c r="L2884">
        <f t="shared" si="1227"/>
        <v>106.395</v>
      </c>
      <c r="M2884">
        <f t="shared" si="1228"/>
        <v>3.4050000000000011</v>
      </c>
      <c r="N2884">
        <f t="shared" si="1232"/>
        <v>6.8100000000000023</v>
      </c>
      <c r="O2884">
        <f t="shared" si="1229"/>
        <v>108.08</v>
      </c>
      <c r="P2884">
        <f t="shared" si="1230"/>
        <v>0.49486049926578612</v>
      </c>
      <c r="Q2884" t="str">
        <f t="shared" si="1233"/>
        <v>4.71% | 1.59%</v>
      </c>
      <c r="R2884" t="str">
        <f t="shared" si="1231"/>
        <v>BULLISH</v>
      </c>
      <c r="S2884">
        <f t="shared" si="1234"/>
        <v>1</v>
      </c>
    </row>
    <row r="2885" spans="1:19" hidden="1" x14ac:dyDescent="0.25">
      <c r="A2885" s="5" t="str">
        <f t="shared" si="1235"/>
        <v>44025XLRE</v>
      </c>
      <c r="B2885" s="6" t="s">
        <v>97</v>
      </c>
      <c r="C2885" s="6">
        <v>33.96</v>
      </c>
      <c r="D2885" s="6">
        <v>36.14</v>
      </c>
      <c r="E2885" s="6">
        <v>35</v>
      </c>
      <c r="F2885" t="str">
        <f t="shared" si="1221"/>
        <v>MON</v>
      </c>
      <c r="G2885" s="3">
        <f t="shared" si="1222"/>
        <v>44025</v>
      </c>
      <c r="H2885" s="2">
        <f t="shared" ca="1" si="1223"/>
        <v>228</v>
      </c>
      <c r="I2885" t="str">
        <f t="shared" si="1224"/>
        <v>XLRE</v>
      </c>
      <c r="J2885">
        <f t="shared" si="1225"/>
        <v>33.96</v>
      </c>
      <c r="K2885">
        <f t="shared" si="1226"/>
        <v>36.14</v>
      </c>
      <c r="L2885">
        <f t="shared" si="1227"/>
        <v>35.049999999999997</v>
      </c>
      <c r="M2885">
        <f t="shared" si="1228"/>
        <v>1.0899999999999999</v>
      </c>
      <c r="N2885">
        <f t="shared" si="1232"/>
        <v>2.1799999999999997</v>
      </c>
      <c r="O2885">
        <f t="shared" si="1229"/>
        <v>35</v>
      </c>
      <c r="P2885">
        <f t="shared" si="1230"/>
        <v>-4.5871559633024923E-2</v>
      </c>
      <c r="Q2885" t="str">
        <f t="shared" si="1233"/>
        <v>2.97% | 3.26%</v>
      </c>
      <c r="R2885" t="str">
        <f t="shared" si="1231"/>
        <v>BULLISH</v>
      </c>
      <c r="S2885">
        <f t="shared" si="1234"/>
        <v>1</v>
      </c>
    </row>
    <row r="2886" spans="1:19" hidden="1" x14ac:dyDescent="0.25">
      <c r="A2886" s="5" t="str">
        <f t="shared" si="1235"/>
        <v>44025XLU</v>
      </c>
      <c r="B2886" s="6" t="s">
        <v>52</v>
      </c>
      <c r="C2886" s="6">
        <v>55.89</v>
      </c>
      <c r="D2886" s="6">
        <v>58.42</v>
      </c>
      <c r="E2886" s="6">
        <v>57.77</v>
      </c>
      <c r="F2886" t="str">
        <f t="shared" si="1221"/>
        <v>MON</v>
      </c>
      <c r="G2886" s="3">
        <f t="shared" si="1222"/>
        <v>44025</v>
      </c>
      <c r="H2886" s="2">
        <f t="shared" ca="1" si="1223"/>
        <v>228</v>
      </c>
      <c r="I2886" t="str">
        <f t="shared" si="1224"/>
        <v>XLU</v>
      </c>
      <c r="J2886">
        <f t="shared" si="1225"/>
        <v>55.89</v>
      </c>
      <c r="K2886">
        <f t="shared" si="1226"/>
        <v>58.42</v>
      </c>
      <c r="L2886">
        <f t="shared" si="1227"/>
        <v>57.155000000000001</v>
      </c>
      <c r="M2886">
        <f t="shared" si="1228"/>
        <v>1.2650000000000006</v>
      </c>
      <c r="N2886">
        <f t="shared" si="1232"/>
        <v>2.5300000000000011</v>
      </c>
      <c r="O2886">
        <f t="shared" si="1229"/>
        <v>57.77</v>
      </c>
      <c r="P2886">
        <f t="shared" si="1230"/>
        <v>0.4861660079051397</v>
      </c>
      <c r="Q2886" t="str">
        <f t="shared" si="1233"/>
        <v>3.25% | 1.13%</v>
      </c>
      <c r="R2886" t="str">
        <f t="shared" si="1231"/>
        <v>BULLISH</v>
      </c>
      <c r="S2886">
        <f t="shared" si="1234"/>
        <v>1</v>
      </c>
    </row>
    <row r="2887" spans="1:19" hidden="1" x14ac:dyDescent="0.25">
      <c r="A2887" s="5" t="str">
        <f t="shared" si="1235"/>
        <v>44025XLF</v>
      </c>
      <c r="B2887" s="6" t="s">
        <v>12</v>
      </c>
      <c r="C2887" s="6">
        <v>22.17</v>
      </c>
      <c r="D2887" s="6">
        <v>23.68</v>
      </c>
      <c r="E2887" s="6">
        <v>23.46</v>
      </c>
      <c r="F2887" t="str">
        <f t="shared" si="1221"/>
        <v>MON</v>
      </c>
      <c r="G2887" s="3">
        <f t="shared" si="1222"/>
        <v>44025</v>
      </c>
      <c r="H2887" s="2">
        <f t="shared" ca="1" si="1223"/>
        <v>228</v>
      </c>
      <c r="I2887" t="str">
        <f t="shared" si="1224"/>
        <v>XLF</v>
      </c>
      <c r="J2887">
        <f t="shared" si="1225"/>
        <v>22.17</v>
      </c>
      <c r="K2887">
        <f t="shared" si="1226"/>
        <v>23.68</v>
      </c>
      <c r="L2887">
        <f t="shared" si="1227"/>
        <v>22.925000000000001</v>
      </c>
      <c r="M2887">
        <f t="shared" si="1228"/>
        <v>0.75499999999999901</v>
      </c>
      <c r="N2887">
        <f t="shared" si="1232"/>
        <v>1.509999999999998</v>
      </c>
      <c r="O2887">
        <f t="shared" si="1229"/>
        <v>23.46</v>
      </c>
      <c r="P2887">
        <f t="shared" si="1230"/>
        <v>0.70860927152317998</v>
      </c>
      <c r="Q2887" t="str">
        <f t="shared" si="1233"/>
        <v>5.5% | 0.94%</v>
      </c>
      <c r="R2887" t="str">
        <f t="shared" si="1231"/>
        <v>BEARISH</v>
      </c>
      <c r="S2887">
        <f t="shared" si="1234"/>
        <v>-1</v>
      </c>
    </row>
    <row r="2888" spans="1:19" hidden="1" x14ac:dyDescent="0.25">
      <c r="A2888" s="5" t="str">
        <f t="shared" si="1235"/>
        <v>44025SSEC</v>
      </c>
      <c r="B2888" s="6" t="s">
        <v>104</v>
      </c>
      <c r="C2888" s="6">
        <v>3251</v>
      </c>
      <c r="D2888" s="6">
        <v>3576</v>
      </c>
      <c r="E2888" s="6">
        <v>3443</v>
      </c>
      <c r="F2888" t="str">
        <f t="shared" si="1221"/>
        <v>MON</v>
      </c>
      <c r="G2888" s="3">
        <f t="shared" si="1222"/>
        <v>44025</v>
      </c>
      <c r="H2888" s="2">
        <f t="shared" ca="1" si="1223"/>
        <v>228</v>
      </c>
      <c r="I2888" t="str">
        <f t="shared" si="1224"/>
        <v>SSEC</v>
      </c>
      <c r="J2888">
        <f t="shared" si="1225"/>
        <v>3251</v>
      </c>
      <c r="K2888">
        <f t="shared" si="1226"/>
        <v>3576</v>
      </c>
      <c r="L2888">
        <f t="shared" si="1227"/>
        <v>3413.5</v>
      </c>
      <c r="M2888">
        <f t="shared" si="1228"/>
        <v>162.5</v>
      </c>
      <c r="N2888">
        <f t="shared" si="1232"/>
        <v>325</v>
      </c>
      <c r="O2888">
        <f t="shared" si="1229"/>
        <v>3443</v>
      </c>
      <c r="P2888">
        <f t="shared" si="1230"/>
        <v>0.18153846153846154</v>
      </c>
      <c r="Q2888" t="str">
        <f t="shared" si="1233"/>
        <v>5.58% | 3.86%</v>
      </c>
      <c r="R2888" t="str">
        <f t="shared" si="1231"/>
        <v>BULLISH</v>
      </c>
      <c r="S2888">
        <f t="shared" si="1234"/>
        <v>1</v>
      </c>
    </row>
    <row r="2889" spans="1:19" hidden="1" x14ac:dyDescent="0.25">
      <c r="A2889" s="5" t="str">
        <f t="shared" si="1235"/>
        <v>44025NIKK</v>
      </c>
      <c r="B2889" s="6" t="s">
        <v>91</v>
      </c>
      <c r="C2889" s="6">
        <v>21897</v>
      </c>
      <c r="D2889" s="6">
        <v>22799</v>
      </c>
      <c r="E2889" s="6">
        <v>22784</v>
      </c>
      <c r="F2889" t="str">
        <f t="shared" si="1221"/>
        <v>MON</v>
      </c>
      <c r="G2889" s="3">
        <f t="shared" si="1222"/>
        <v>44025</v>
      </c>
      <c r="H2889" s="2">
        <f t="shared" ca="1" si="1223"/>
        <v>228</v>
      </c>
      <c r="I2889" t="str">
        <f t="shared" si="1224"/>
        <v>NIKK</v>
      </c>
      <c r="J2889">
        <f t="shared" si="1225"/>
        <v>21897</v>
      </c>
      <c r="K2889">
        <f t="shared" si="1226"/>
        <v>22799</v>
      </c>
      <c r="L2889">
        <f t="shared" si="1227"/>
        <v>22348</v>
      </c>
      <c r="M2889">
        <f t="shared" si="1228"/>
        <v>451</v>
      </c>
      <c r="N2889">
        <f t="shared" si="1232"/>
        <v>902</v>
      </c>
      <c r="O2889">
        <f t="shared" si="1229"/>
        <v>22784</v>
      </c>
      <c r="P2889">
        <f t="shared" si="1230"/>
        <v>0.96674057649667411</v>
      </c>
      <c r="Q2889" t="str">
        <f t="shared" si="1233"/>
        <v>3.89% | 0.07%</v>
      </c>
      <c r="R2889" t="str">
        <f t="shared" si="1231"/>
        <v>BULLISH</v>
      </c>
      <c r="S2889">
        <f t="shared" si="1234"/>
        <v>1</v>
      </c>
    </row>
    <row r="2890" spans="1:19" hidden="1" x14ac:dyDescent="0.25">
      <c r="A2890" s="5" t="str">
        <f t="shared" si="1235"/>
        <v>44025DAX</v>
      </c>
      <c r="B2890" s="6" t="s">
        <v>92</v>
      </c>
      <c r="C2890" s="6">
        <v>12121</v>
      </c>
      <c r="D2890" s="6">
        <v>12823</v>
      </c>
      <c r="E2890" s="6">
        <v>12633</v>
      </c>
      <c r="F2890" t="str">
        <f t="shared" si="1221"/>
        <v>MON</v>
      </c>
      <c r="G2890" s="3">
        <f t="shared" si="1222"/>
        <v>44025</v>
      </c>
      <c r="H2890" s="2">
        <f t="shared" ca="1" si="1223"/>
        <v>228</v>
      </c>
      <c r="I2890" t="str">
        <f t="shared" si="1224"/>
        <v>DAX</v>
      </c>
      <c r="J2890">
        <f t="shared" si="1225"/>
        <v>12121</v>
      </c>
      <c r="K2890">
        <f t="shared" si="1226"/>
        <v>12823</v>
      </c>
      <c r="L2890">
        <f t="shared" si="1227"/>
        <v>12472</v>
      </c>
      <c r="M2890">
        <f t="shared" si="1228"/>
        <v>351</v>
      </c>
      <c r="N2890">
        <f t="shared" si="1232"/>
        <v>702</v>
      </c>
      <c r="O2890">
        <f t="shared" si="1229"/>
        <v>12633</v>
      </c>
      <c r="P2890">
        <f t="shared" si="1230"/>
        <v>0.45868945868945871</v>
      </c>
      <c r="Q2890" t="str">
        <f t="shared" si="1233"/>
        <v>4.05% | 1.5%</v>
      </c>
      <c r="R2890" t="str">
        <f t="shared" si="1231"/>
        <v>NEUTRAL</v>
      </c>
      <c r="S2890">
        <f t="shared" si="1234"/>
        <v>0</v>
      </c>
    </row>
    <row r="2891" spans="1:19" hidden="1" x14ac:dyDescent="0.25">
      <c r="A2891" s="5" t="str">
        <f t="shared" si="1235"/>
        <v>44025VIX</v>
      </c>
      <c r="B2891" s="6" t="s">
        <v>17</v>
      </c>
      <c r="C2891" s="6">
        <v>26.11</v>
      </c>
      <c r="D2891" s="6">
        <v>33.4</v>
      </c>
      <c r="E2891" s="6">
        <v>27.29</v>
      </c>
      <c r="F2891" t="str">
        <f t="shared" si="1221"/>
        <v>MON</v>
      </c>
      <c r="G2891" s="3">
        <f t="shared" si="1222"/>
        <v>44025</v>
      </c>
      <c r="H2891" s="2">
        <f t="shared" ca="1" si="1223"/>
        <v>228</v>
      </c>
      <c r="I2891" t="str">
        <f t="shared" si="1224"/>
        <v>VIX</v>
      </c>
      <c r="J2891">
        <f t="shared" si="1225"/>
        <v>26.11</v>
      </c>
      <c r="K2891">
        <f t="shared" si="1226"/>
        <v>33.4</v>
      </c>
      <c r="L2891">
        <f t="shared" si="1227"/>
        <v>29.754999999999999</v>
      </c>
      <c r="M2891">
        <f t="shared" si="1228"/>
        <v>3.6449999999999991</v>
      </c>
      <c r="N2891">
        <f t="shared" si="1232"/>
        <v>7.2899999999999991</v>
      </c>
      <c r="O2891">
        <f t="shared" si="1229"/>
        <v>27.29</v>
      </c>
      <c r="P2891">
        <f t="shared" si="1230"/>
        <v>-0.67626886145404674</v>
      </c>
      <c r="Q2891" t="str">
        <f t="shared" si="1233"/>
        <v>4.32% | 22.39%</v>
      </c>
      <c r="R2891" t="str">
        <f t="shared" si="1231"/>
        <v>BULLISH</v>
      </c>
      <c r="S2891">
        <f t="shared" si="1234"/>
        <v>1</v>
      </c>
    </row>
    <row r="2892" spans="1:19" hidden="1" x14ac:dyDescent="0.25">
      <c r="A2892" s="5" t="str">
        <f t="shared" si="1235"/>
        <v>44025USD</v>
      </c>
      <c r="B2892" s="6" t="s">
        <v>94</v>
      </c>
      <c r="C2892" s="6">
        <v>96.09</v>
      </c>
      <c r="D2892" s="6">
        <v>97.36</v>
      </c>
      <c r="E2892" s="6">
        <v>96.59</v>
      </c>
      <c r="F2892" t="str">
        <f t="shared" si="1221"/>
        <v>MON</v>
      </c>
      <c r="G2892" s="3">
        <f t="shared" si="1222"/>
        <v>44025</v>
      </c>
      <c r="H2892" s="2">
        <f t="shared" ca="1" si="1223"/>
        <v>228</v>
      </c>
      <c r="I2892" t="str">
        <f t="shared" si="1224"/>
        <v>USD</v>
      </c>
      <c r="J2892">
        <f t="shared" si="1225"/>
        <v>96.09</v>
      </c>
      <c r="K2892">
        <f t="shared" si="1226"/>
        <v>97.36</v>
      </c>
      <c r="L2892">
        <f t="shared" si="1227"/>
        <v>96.724999999999994</v>
      </c>
      <c r="M2892">
        <f t="shared" si="1228"/>
        <v>0.63499999999999801</v>
      </c>
      <c r="N2892">
        <f t="shared" si="1232"/>
        <v>1.269999999999996</v>
      </c>
      <c r="O2892">
        <f t="shared" si="1229"/>
        <v>96.59</v>
      </c>
      <c r="P2892">
        <f t="shared" si="1230"/>
        <v>-0.21259842519683675</v>
      </c>
      <c r="Q2892" t="str">
        <f t="shared" si="1233"/>
        <v>0.52% | 0.8%</v>
      </c>
      <c r="R2892" t="str">
        <f t="shared" si="1231"/>
        <v>BEARISH</v>
      </c>
      <c r="S2892">
        <f t="shared" si="1234"/>
        <v>-1</v>
      </c>
    </row>
    <row r="2893" spans="1:19" hidden="1" x14ac:dyDescent="0.25">
      <c r="A2893" s="5" t="str">
        <f t="shared" si="1235"/>
        <v>44025EUR/USD</v>
      </c>
      <c r="B2893" s="6" t="s">
        <v>99</v>
      </c>
      <c r="C2893" s="6">
        <v>1.1200000000000001</v>
      </c>
      <c r="D2893" s="6">
        <v>1.1399999999999999</v>
      </c>
      <c r="E2893" s="6">
        <v>1.1299999999999999</v>
      </c>
      <c r="F2893" t="str">
        <f t="shared" si="1221"/>
        <v>MON</v>
      </c>
      <c r="G2893" s="3">
        <f t="shared" si="1222"/>
        <v>44025</v>
      </c>
      <c r="H2893" s="2">
        <f t="shared" ca="1" si="1223"/>
        <v>228</v>
      </c>
      <c r="I2893" t="str">
        <f t="shared" si="1224"/>
        <v>EUR/USD</v>
      </c>
      <c r="J2893">
        <f t="shared" si="1225"/>
        <v>1.1200000000000001</v>
      </c>
      <c r="K2893">
        <f t="shared" si="1226"/>
        <v>1.1399999999999999</v>
      </c>
      <c r="L2893">
        <f t="shared" si="1227"/>
        <v>1.1299999999999999</v>
      </c>
      <c r="M2893">
        <f t="shared" si="1228"/>
        <v>9.9999999999998979E-3</v>
      </c>
      <c r="N2893">
        <f t="shared" si="1232"/>
        <v>1.9999999999999796E-2</v>
      </c>
      <c r="O2893">
        <f t="shared" si="1229"/>
        <v>1.1299999999999999</v>
      </c>
      <c r="P2893">
        <f t="shared" si="1230"/>
        <v>0</v>
      </c>
      <c r="Q2893" t="str">
        <f t="shared" si="1233"/>
        <v>0.88% | 0.88%</v>
      </c>
      <c r="R2893" t="str">
        <f t="shared" si="1231"/>
        <v>BULLISH</v>
      </c>
      <c r="S2893">
        <f t="shared" si="1234"/>
        <v>1</v>
      </c>
    </row>
    <row r="2894" spans="1:19" hidden="1" x14ac:dyDescent="0.25">
      <c r="A2894" s="5" t="str">
        <f t="shared" si="1235"/>
        <v>44025USD/JPY</v>
      </c>
      <c r="B2894" s="6" t="s">
        <v>20</v>
      </c>
      <c r="C2894" s="6">
        <v>106.58</v>
      </c>
      <c r="D2894" s="6">
        <v>107.98</v>
      </c>
      <c r="E2894" s="6">
        <v>106.94</v>
      </c>
      <c r="F2894" t="str">
        <f t="shared" si="1221"/>
        <v>MON</v>
      </c>
      <c r="G2894" s="3">
        <f t="shared" si="1222"/>
        <v>44025</v>
      </c>
      <c r="H2894" s="2">
        <f t="shared" ca="1" si="1223"/>
        <v>228</v>
      </c>
      <c r="I2894" t="str">
        <f t="shared" si="1224"/>
        <v>USD/JPY</v>
      </c>
      <c r="J2894">
        <f t="shared" si="1225"/>
        <v>106.58</v>
      </c>
      <c r="K2894">
        <f t="shared" si="1226"/>
        <v>107.98</v>
      </c>
      <c r="L2894">
        <f t="shared" si="1227"/>
        <v>107.28</v>
      </c>
      <c r="M2894">
        <f t="shared" si="1228"/>
        <v>0.70000000000000284</v>
      </c>
      <c r="N2894">
        <f t="shared" si="1232"/>
        <v>1.4000000000000057</v>
      </c>
      <c r="O2894">
        <f t="shared" si="1229"/>
        <v>106.94</v>
      </c>
      <c r="P2894">
        <f t="shared" si="1230"/>
        <v>-0.4857142857142886</v>
      </c>
      <c r="Q2894" t="str">
        <f t="shared" si="1233"/>
        <v>0.34% | 0.97%</v>
      </c>
      <c r="R2894" t="str">
        <f t="shared" si="1231"/>
        <v>BEARISH</v>
      </c>
      <c r="S2894">
        <f t="shared" si="1234"/>
        <v>-1</v>
      </c>
    </row>
    <row r="2895" spans="1:19" hidden="1" x14ac:dyDescent="0.25">
      <c r="A2895" s="5" t="str">
        <f t="shared" si="1235"/>
        <v>44025GBP/USD</v>
      </c>
      <c r="B2895" s="6" t="s">
        <v>102</v>
      </c>
      <c r="C2895" s="6">
        <v>1.23</v>
      </c>
      <c r="D2895" s="6">
        <v>1.27</v>
      </c>
      <c r="E2895" s="6">
        <v>1.26</v>
      </c>
      <c r="F2895" t="str">
        <f t="shared" si="1221"/>
        <v>MON</v>
      </c>
      <c r="G2895" s="3">
        <f t="shared" si="1222"/>
        <v>44025</v>
      </c>
      <c r="H2895" s="2">
        <f t="shared" ca="1" si="1223"/>
        <v>228</v>
      </c>
      <c r="I2895" t="str">
        <f t="shared" si="1224"/>
        <v>GBP/USD</v>
      </c>
      <c r="J2895">
        <f t="shared" si="1225"/>
        <v>1.23</v>
      </c>
      <c r="K2895">
        <f t="shared" si="1226"/>
        <v>1.27</v>
      </c>
      <c r="L2895">
        <f t="shared" si="1227"/>
        <v>1.25</v>
      </c>
      <c r="M2895">
        <f t="shared" si="1228"/>
        <v>2.0000000000000018E-2</v>
      </c>
      <c r="N2895">
        <f t="shared" si="1232"/>
        <v>4.0000000000000036E-2</v>
      </c>
      <c r="O2895">
        <f t="shared" si="1229"/>
        <v>1.26</v>
      </c>
      <c r="P2895">
        <f t="shared" si="1230"/>
        <v>0.5</v>
      </c>
      <c r="Q2895" t="str">
        <f t="shared" si="1233"/>
        <v>2.38% | 0.79%</v>
      </c>
      <c r="R2895" t="str">
        <f t="shared" si="1231"/>
        <v>BULLISH</v>
      </c>
      <c r="S2895">
        <f t="shared" si="1234"/>
        <v>1</v>
      </c>
    </row>
    <row r="2896" spans="1:19" hidden="1" x14ac:dyDescent="0.25">
      <c r="A2896" s="5" t="str">
        <f t="shared" si="1235"/>
        <v>44025USD/CHF</v>
      </c>
      <c r="B2896" s="6" t="s">
        <v>76</v>
      </c>
      <c r="C2896" s="6">
        <v>0.93</v>
      </c>
      <c r="D2896" s="6">
        <v>0.95</v>
      </c>
      <c r="E2896" s="6">
        <v>0.94</v>
      </c>
      <c r="F2896" t="str">
        <f t="shared" si="1221"/>
        <v>MON</v>
      </c>
      <c r="G2896" s="3">
        <f t="shared" si="1222"/>
        <v>44025</v>
      </c>
      <c r="H2896" s="2">
        <f t="shared" ca="1" si="1223"/>
        <v>228</v>
      </c>
      <c r="I2896" t="str">
        <f t="shared" si="1224"/>
        <v>USD/CHF</v>
      </c>
      <c r="J2896">
        <f t="shared" si="1225"/>
        <v>0.93</v>
      </c>
      <c r="K2896">
        <f t="shared" si="1226"/>
        <v>0.95</v>
      </c>
      <c r="L2896">
        <f t="shared" si="1227"/>
        <v>0.94</v>
      </c>
      <c r="M2896">
        <f t="shared" si="1228"/>
        <v>9.9999999999999534E-3</v>
      </c>
      <c r="N2896">
        <f t="shared" si="1232"/>
        <v>1.9999999999999907E-2</v>
      </c>
      <c r="O2896">
        <f t="shared" si="1229"/>
        <v>0.94</v>
      </c>
      <c r="P2896">
        <f t="shared" si="1230"/>
        <v>0</v>
      </c>
      <c r="Q2896" t="str">
        <f t="shared" si="1233"/>
        <v>1.06% | 1.06%</v>
      </c>
      <c r="R2896" t="str">
        <f t="shared" si="1231"/>
        <v>BEARISH</v>
      </c>
      <c r="S2896">
        <f t="shared" si="1234"/>
        <v>-1</v>
      </c>
    </row>
    <row r="2897" spans="1:19" hidden="1" x14ac:dyDescent="0.25">
      <c r="A2897" s="5" t="str">
        <f t="shared" si="1235"/>
        <v>44025WTIC</v>
      </c>
      <c r="B2897" s="6" t="s">
        <v>158</v>
      </c>
      <c r="C2897" s="6">
        <v>38.200000000000003</v>
      </c>
      <c r="D2897" s="6">
        <v>41.41</v>
      </c>
      <c r="E2897" s="6">
        <v>40.549999999999997</v>
      </c>
      <c r="F2897" t="str">
        <f t="shared" si="1221"/>
        <v>MON</v>
      </c>
      <c r="G2897" s="3">
        <f t="shared" si="1222"/>
        <v>44025</v>
      </c>
      <c r="H2897" s="2">
        <f t="shared" ca="1" si="1223"/>
        <v>228</v>
      </c>
      <c r="I2897" t="str">
        <f t="shared" si="1224"/>
        <v>WTIC</v>
      </c>
      <c r="J2897">
        <f t="shared" si="1225"/>
        <v>38.200000000000003</v>
      </c>
      <c r="K2897">
        <f t="shared" si="1226"/>
        <v>41.41</v>
      </c>
      <c r="L2897">
        <f t="shared" si="1227"/>
        <v>39.805</v>
      </c>
      <c r="M2897">
        <f t="shared" si="1228"/>
        <v>1.6049999999999969</v>
      </c>
      <c r="N2897">
        <f t="shared" si="1232"/>
        <v>3.2099999999999937</v>
      </c>
      <c r="O2897">
        <f t="shared" si="1229"/>
        <v>40.549999999999997</v>
      </c>
      <c r="P2897">
        <f t="shared" si="1230"/>
        <v>0.46417445482865977</v>
      </c>
      <c r="Q2897" t="str">
        <f t="shared" si="1233"/>
        <v>5.8% | 2.12%</v>
      </c>
      <c r="R2897" t="str">
        <f t="shared" si="1231"/>
        <v>BULLISH</v>
      </c>
      <c r="S2897">
        <f t="shared" si="1234"/>
        <v>1</v>
      </c>
    </row>
    <row r="2898" spans="1:19" hidden="1" x14ac:dyDescent="0.25">
      <c r="A2898" s="5" t="str">
        <f t="shared" si="1235"/>
        <v>44025NATGAS</v>
      </c>
      <c r="B2898" s="6" t="s">
        <v>87</v>
      </c>
      <c r="C2898" s="6">
        <v>1.61</v>
      </c>
      <c r="D2898" s="6">
        <v>1.91</v>
      </c>
      <c r="E2898" s="6">
        <v>1.8</v>
      </c>
      <c r="F2898" t="str">
        <f t="shared" si="1221"/>
        <v>MON</v>
      </c>
      <c r="G2898" s="3">
        <f t="shared" si="1222"/>
        <v>44025</v>
      </c>
      <c r="H2898" s="2">
        <f t="shared" ca="1" si="1223"/>
        <v>228</v>
      </c>
      <c r="I2898" t="str">
        <f t="shared" si="1224"/>
        <v>NATGAS</v>
      </c>
      <c r="J2898">
        <f t="shared" si="1225"/>
        <v>1.61</v>
      </c>
      <c r="K2898">
        <f t="shared" si="1226"/>
        <v>1.91</v>
      </c>
      <c r="L2898">
        <f t="shared" si="1227"/>
        <v>1.76</v>
      </c>
      <c r="M2898">
        <f t="shared" si="1228"/>
        <v>0.14999999999999991</v>
      </c>
      <c r="N2898">
        <f t="shared" si="1232"/>
        <v>0.29999999999999982</v>
      </c>
      <c r="O2898">
        <f t="shared" si="1229"/>
        <v>1.8</v>
      </c>
      <c r="P2898">
        <f t="shared" si="1230"/>
        <v>0.26666666666666705</v>
      </c>
      <c r="Q2898" t="str">
        <f t="shared" si="1233"/>
        <v>10.56% | 6.11%</v>
      </c>
      <c r="R2898" t="str">
        <f t="shared" si="1231"/>
        <v>NEUTRAL</v>
      </c>
      <c r="S2898">
        <f t="shared" si="1234"/>
        <v>0</v>
      </c>
    </row>
    <row r="2899" spans="1:19" hidden="1" x14ac:dyDescent="0.25">
      <c r="A2899" s="5" t="str">
        <f t="shared" si="1235"/>
        <v>44025GOLD</v>
      </c>
      <c r="B2899" s="6" t="s">
        <v>25</v>
      </c>
      <c r="C2899" s="6">
        <v>1773</v>
      </c>
      <c r="D2899" s="6">
        <v>1824</v>
      </c>
      <c r="E2899" s="6">
        <v>1801</v>
      </c>
      <c r="F2899" t="str">
        <f t="shared" si="1221"/>
        <v>MON</v>
      </c>
      <c r="G2899" s="3">
        <f t="shared" si="1222"/>
        <v>44025</v>
      </c>
      <c r="H2899" s="2">
        <f t="shared" ca="1" si="1223"/>
        <v>228</v>
      </c>
      <c r="I2899" t="str">
        <f t="shared" si="1224"/>
        <v>GOLD</v>
      </c>
      <c r="J2899">
        <f t="shared" si="1225"/>
        <v>1773</v>
      </c>
      <c r="K2899">
        <f t="shared" si="1226"/>
        <v>1824</v>
      </c>
      <c r="L2899">
        <f t="shared" si="1227"/>
        <v>1798.5</v>
      </c>
      <c r="M2899">
        <f t="shared" si="1228"/>
        <v>25.5</v>
      </c>
      <c r="N2899">
        <f t="shared" si="1232"/>
        <v>51</v>
      </c>
      <c r="O2899">
        <f t="shared" si="1229"/>
        <v>1801</v>
      </c>
      <c r="P2899">
        <f t="shared" si="1230"/>
        <v>9.8039215686274508E-2</v>
      </c>
      <c r="Q2899" t="str">
        <f t="shared" si="1233"/>
        <v>1.55% | 1.28%</v>
      </c>
      <c r="R2899" t="str">
        <f t="shared" si="1231"/>
        <v>BULLISH</v>
      </c>
      <c r="S2899">
        <f t="shared" si="1234"/>
        <v>1</v>
      </c>
    </row>
    <row r="2900" spans="1:19" hidden="1" x14ac:dyDescent="0.25">
      <c r="A2900" s="5" t="str">
        <f t="shared" si="1235"/>
        <v>44025COPPER</v>
      </c>
      <c r="B2900" s="6" t="s">
        <v>100</v>
      </c>
      <c r="C2900" s="6">
        <v>2.68</v>
      </c>
      <c r="D2900" s="6">
        <v>2.96</v>
      </c>
      <c r="E2900" s="6">
        <v>2.9</v>
      </c>
      <c r="F2900" t="str">
        <f t="shared" si="1221"/>
        <v>MON</v>
      </c>
      <c r="G2900" s="3">
        <f t="shared" si="1222"/>
        <v>44025</v>
      </c>
      <c r="H2900" s="2">
        <f t="shared" ca="1" si="1223"/>
        <v>228</v>
      </c>
      <c r="I2900" t="str">
        <f t="shared" si="1224"/>
        <v>COPPER</v>
      </c>
      <c r="J2900">
        <f t="shared" si="1225"/>
        <v>2.68</v>
      </c>
      <c r="K2900">
        <f t="shared" si="1226"/>
        <v>2.96</v>
      </c>
      <c r="L2900">
        <f t="shared" si="1227"/>
        <v>2.8200000000000003</v>
      </c>
      <c r="M2900">
        <f t="shared" si="1228"/>
        <v>0.1399999999999999</v>
      </c>
      <c r="N2900">
        <f t="shared" si="1232"/>
        <v>0.2799999999999998</v>
      </c>
      <c r="O2900">
        <f t="shared" si="1229"/>
        <v>2.9</v>
      </c>
      <c r="P2900">
        <f t="shared" si="1230"/>
        <v>0.57142857142856918</v>
      </c>
      <c r="Q2900" t="str">
        <f t="shared" si="1233"/>
        <v>7.59% | 2.07%</v>
      </c>
      <c r="R2900" t="str">
        <f t="shared" si="1231"/>
        <v>BULLISH</v>
      </c>
      <c r="S2900">
        <f t="shared" si="1234"/>
        <v>1</v>
      </c>
    </row>
    <row r="2901" spans="1:19" hidden="1" x14ac:dyDescent="0.25">
      <c r="A2901" s="5" t="str">
        <f t="shared" si="1235"/>
        <v>44025MSFT</v>
      </c>
      <c r="B2901" s="6" t="s">
        <v>27</v>
      </c>
      <c r="C2901" s="6">
        <v>200</v>
      </c>
      <c r="D2901" s="6">
        <v>218</v>
      </c>
      <c r="E2901" s="6">
        <v>213</v>
      </c>
      <c r="F2901" t="str">
        <f t="shared" si="1221"/>
        <v>MON</v>
      </c>
      <c r="G2901" s="3">
        <f t="shared" si="1222"/>
        <v>44025</v>
      </c>
      <c r="H2901" s="2">
        <f t="shared" ca="1" si="1223"/>
        <v>228</v>
      </c>
      <c r="I2901" t="str">
        <f t="shared" si="1224"/>
        <v>MSFT</v>
      </c>
      <c r="J2901">
        <f t="shared" si="1225"/>
        <v>200</v>
      </c>
      <c r="K2901">
        <f t="shared" si="1226"/>
        <v>218</v>
      </c>
      <c r="L2901">
        <f t="shared" si="1227"/>
        <v>209</v>
      </c>
      <c r="M2901">
        <f t="shared" si="1228"/>
        <v>9</v>
      </c>
      <c r="N2901">
        <f t="shared" si="1232"/>
        <v>18</v>
      </c>
      <c r="O2901">
        <f t="shared" si="1229"/>
        <v>213</v>
      </c>
      <c r="P2901">
        <f t="shared" si="1230"/>
        <v>0.44444444444444442</v>
      </c>
      <c r="Q2901" t="str">
        <f t="shared" si="1233"/>
        <v>6.1% | 2.35%</v>
      </c>
      <c r="R2901" t="str">
        <f t="shared" si="1231"/>
        <v>BULLISH</v>
      </c>
      <c r="S2901">
        <f t="shared" si="1234"/>
        <v>1</v>
      </c>
    </row>
    <row r="2902" spans="1:19" hidden="1" x14ac:dyDescent="0.25">
      <c r="A2902" s="5" t="str">
        <f t="shared" si="1235"/>
        <v>44025AAPL</v>
      </c>
      <c r="B2902" s="6" t="s">
        <v>28</v>
      </c>
      <c r="C2902" s="6">
        <v>356</v>
      </c>
      <c r="D2902" s="6">
        <v>389</v>
      </c>
      <c r="E2902" s="6">
        <v>383</v>
      </c>
      <c r="F2902" t="str">
        <f t="shared" si="1221"/>
        <v>MON</v>
      </c>
      <c r="G2902" s="3">
        <f t="shared" si="1222"/>
        <v>44025</v>
      </c>
      <c r="H2902" s="2">
        <f t="shared" ca="1" si="1223"/>
        <v>228</v>
      </c>
      <c r="I2902" t="str">
        <f t="shared" si="1224"/>
        <v>AAPL</v>
      </c>
      <c r="J2902">
        <f t="shared" si="1225"/>
        <v>356</v>
      </c>
      <c r="K2902">
        <f t="shared" si="1226"/>
        <v>389</v>
      </c>
      <c r="L2902">
        <f t="shared" si="1227"/>
        <v>372.5</v>
      </c>
      <c r="M2902">
        <f t="shared" si="1228"/>
        <v>16.5</v>
      </c>
      <c r="N2902">
        <f t="shared" si="1232"/>
        <v>33</v>
      </c>
      <c r="O2902">
        <f t="shared" si="1229"/>
        <v>383</v>
      </c>
      <c r="P2902">
        <f t="shared" si="1230"/>
        <v>0.63636363636363635</v>
      </c>
      <c r="Q2902" t="str">
        <f t="shared" si="1233"/>
        <v>7.05% | 1.57%</v>
      </c>
      <c r="R2902" t="str">
        <f t="shared" si="1231"/>
        <v>BULLISH</v>
      </c>
      <c r="S2902">
        <f t="shared" si="1234"/>
        <v>1</v>
      </c>
    </row>
    <row r="2903" spans="1:19" hidden="1" x14ac:dyDescent="0.25">
      <c r="A2903" s="5" t="str">
        <f t="shared" si="1235"/>
        <v>44025AMZN</v>
      </c>
      <c r="B2903" s="6" t="s">
        <v>29</v>
      </c>
      <c r="C2903" s="6">
        <v>2965</v>
      </c>
      <c r="D2903" s="6">
        <v>3312</v>
      </c>
      <c r="E2903" s="6">
        <v>3200</v>
      </c>
      <c r="F2903" t="str">
        <f t="shared" si="1221"/>
        <v>MON</v>
      </c>
      <c r="G2903" s="3">
        <f t="shared" si="1222"/>
        <v>44025</v>
      </c>
      <c r="H2903" s="2">
        <f t="shared" ca="1" si="1223"/>
        <v>228</v>
      </c>
      <c r="I2903" t="str">
        <f t="shared" si="1224"/>
        <v>AMZN</v>
      </c>
      <c r="J2903">
        <f t="shared" si="1225"/>
        <v>2965</v>
      </c>
      <c r="K2903">
        <f t="shared" si="1226"/>
        <v>3312</v>
      </c>
      <c r="L2903">
        <f t="shared" si="1227"/>
        <v>3138.5</v>
      </c>
      <c r="M2903">
        <f t="shared" si="1228"/>
        <v>173.5</v>
      </c>
      <c r="N2903">
        <f t="shared" si="1232"/>
        <v>347</v>
      </c>
      <c r="O2903">
        <f t="shared" si="1229"/>
        <v>3200</v>
      </c>
      <c r="P2903">
        <f t="shared" si="1230"/>
        <v>0.35446685878962536</v>
      </c>
      <c r="Q2903" t="str">
        <f t="shared" si="1233"/>
        <v>7.34% | 3.5%</v>
      </c>
      <c r="R2903" t="str">
        <f t="shared" si="1231"/>
        <v>BULLISH</v>
      </c>
      <c r="S2903">
        <f t="shared" si="1234"/>
        <v>1</v>
      </c>
    </row>
    <row r="2904" spans="1:19" hidden="1" x14ac:dyDescent="0.25">
      <c r="A2904" s="5" t="str">
        <f t="shared" si="1235"/>
        <v>44025FB</v>
      </c>
      <c r="B2904" s="6" t="s">
        <v>30</v>
      </c>
      <c r="C2904" s="6">
        <v>220</v>
      </c>
      <c r="D2904" s="6">
        <v>253</v>
      </c>
      <c r="E2904" s="6">
        <v>245</v>
      </c>
      <c r="F2904" t="str">
        <f t="shared" si="1221"/>
        <v>MON</v>
      </c>
      <c r="G2904" s="3">
        <f t="shared" si="1222"/>
        <v>44025</v>
      </c>
      <c r="H2904" s="2">
        <f t="shared" ca="1" si="1223"/>
        <v>228</v>
      </c>
      <c r="I2904" t="str">
        <f t="shared" si="1224"/>
        <v>FB</v>
      </c>
      <c r="J2904">
        <f t="shared" si="1225"/>
        <v>220</v>
      </c>
      <c r="K2904">
        <f t="shared" si="1226"/>
        <v>253</v>
      </c>
      <c r="L2904">
        <f t="shared" si="1227"/>
        <v>236.5</v>
      </c>
      <c r="M2904">
        <f t="shared" si="1228"/>
        <v>16.5</v>
      </c>
      <c r="N2904">
        <f t="shared" si="1232"/>
        <v>33</v>
      </c>
      <c r="O2904">
        <f t="shared" si="1229"/>
        <v>245</v>
      </c>
      <c r="P2904">
        <f t="shared" si="1230"/>
        <v>0.51515151515151514</v>
      </c>
      <c r="Q2904" t="str">
        <f t="shared" si="1233"/>
        <v>10.2% | 3.27%</v>
      </c>
      <c r="R2904" t="str">
        <f t="shared" si="1231"/>
        <v>BULLISH</v>
      </c>
      <c r="S2904">
        <f t="shared" si="1234"/>
        <v>1</v>
      </c>
    </row>
    <row r="2905" spans="1:19" hidden="1" x14ac:dyDescent="0.25">
      <c r="A2905" s="5" t="str">
        <f t="shared" si="1235"/>
        <v>44025GOOGL</v>
      </c>
      <c r="B2905" s="6" t="s">
        <v>31</v>
      </c>
      <c r="C2905" s="6">
        <v>1386</v>
      </c>
      <c r="D2905" s="6">
        <v>1565</v>
      </c>
      <c r="E2905" s="6">
        <v>1539</v>
      </c>
      <c r="F2905" t="str">
        <f t="shared" si="1221"/>
        <v>MON</v>
      </c>
      <c r="G2905" s="3">
        <f t="shared" si="1222"/>
        <v>44025</v>
      </c>
      <c r="H2905" s="2">
        <f t="shared" ca="1" si="1223"/>
        <v>228</v>
      </c>
      <c r="I2905" t="str">
        <f t="shared" si="1224"/>
        <v>GOOGL</v>
      </c>
      <c r="J2905">
        <f t="shared" si="1225"/>
        <v>1386</v>
      </c>
      <c r="K2905">
        <f t="shared" si="1226"/>
        <v>1565</v>
      </c>
      <c r="L2905">
        <f t="shared" si="1227"/>
        <v>1475.5</v>
      </c>
      <c r="M2905">
        <f t="shared" si="1228"/>
        <v>89.5</v>
      </c>
      <c r="N2905">
        <f t="shared" si="1232"/>
        <v>179</v>
      </c>
      <c r="O2905">
        <f t="shared" si="1229"/>
        <v>1539</v>
      </c>
      <c r="P2905">
        <f t="shared" si="1230"/>
        <v>0.70949720670391059</v>
      </c>
      <c r="Q2905" t="str">
        <f t="shared" si="1233"/>
        <v>9.94% | 1.69%</v>
      </c>
      <c r="R2905" t="str">
        <f t="shared" si="1231"/>
        <v>BULLISH</v>
      </c>
      <c r="S2905">
        <f t="shared" si="1234"/>
        <v>1</v>
      </c>
    </row>
    <row r="2906" spans="1:19" hidden="1" x14ac:dyDescent="0.25">
      <c r="A2906" s="5" t="str">
        <f t="shared" si="1235"/>
        <v>44025NFLX</v>
      </c>
      <c r="B2906" s="6" t="s">
        <v>32</v>
      </c>
      <c r="C2906" s="6">
        <v>466</v>
      </c>
      <c r="D2906" s="6">
        <v>556</v>
      </c>
      <c r="E2906" s="6">
        <v>548</v>
      </c>
      <c r="F2906" t="str">
        <f t="shared" si="1221"/>
        <v>MON</v>
      </c>
      <c r="G2906" s="3">
        <f t="shared" si="1222"/>
        <v>44025</v>
      </c>
      <c r="H2906" s="2">
        <f t="shared" ca="1" si="1223"/>
        <v>228</v>
      </c>
      <c r="I2906" t="str">
        <f t="shared" si="1224"/>
        <v>NFLX</v>
      </c>
      <c r="J2906">
        <f t="shared" si="1225"/>
        <v>466</v>
      </c>
      <c r="K2906">
        <f t="shared" si="1226"/>
        <v>556</v>
      </c>
      <c r="L2906">
        <f t="shared" si="1227"/>
        <v>511</v>
      </c>
      <c r="M2906">
        <f t="shared" si="1228"/>
        <v>45</v>
      </c>
      <c r="N2906">
        <f t="shared" si="1232"/>
        <v>90</v>
      </c>
      <c r="O2906">
        <f t="shared" si="1229"/>
        <v>548</v>
      </c>
      <c r="P2906">
        <f t="shared" si="1230"/>
        <v>0.82222222222222219</v>
      </c>
      <c r="Q2906" t="str">
        <f t="shared" si="1233"/>
        <v>14.96% | 1.46%</v>
      </c>
      <c r="R2906" t="str">
        <f t="shared" si="1231"/>
        <v>BULLISH</v>
      </c>
      <c r="S2906">
        <f t="shared" si="1234"/>
        <v>1</v>
      </c>
    </row>
    <row r="2907" spans="1:19" x14ac:dyDescent="0.25">
      <c r="A2907" s="5" t="str">
        <f t="shared" si="1235"/>
        <v>44025TSLA</v>
      </c>
      <c r="B2907" s="6" t="s">
        <v>33</v>
      </c>
      <c r="C2907" s="6">
        <v>1276</v>
      </c>
      <c r="D2907" s="6">
        <v>1613</v>
      </c>
      <c r="E2907" s="6">
        <v>1544</v>
      </c>
      <c r="F2907" t="str">
        <f t="shared" si="1221"/>
        <v>MON</v>
      </c>
      <c r="G2907" s="3">
        <f t="shared" si="1222"/>
        <v>44025</v>
      </c>
      <c r="H2907" s="2">
        <f t="shared" ca="1" si="1223"/>
        <v>228</v>
      </c>
      <c r="I2907" t="str">
        <f t="shared" si="1224"/>
        <v>TSLA</v>
      </c>
      <c r="J2907">
        <f t="shared" si="1225"/>
        <v>1276</v>
      </c>
      <c r="K2907">
        <f t="shared" si="1226"/>
        <v>1613</v>
      </c>
      <c r="L2907">
        <f t="shared" si="1227"/>
        <v>1444.5</v>
      </c>
      <c r="M2907">
        <f t="shared" si="1228"/>
        <v>168.5</v>
      </c>
      <c r="N2907">
        <f t="shared" si="1232"/>
        <v>337</v>
      </c>
      <c r="O2907">
        <f t="shared" si="1229"/>
        <v>1544</v>
      </c>
      <c r="P2907">
        <f t="shared" si="1230"/>
        <v>0.59050445103857563</v>
      </c>
      <c r="Q2907" t="str">
        <f t="shared" si="1233"/>
        <v>17.36% | 4.47%</v>
      </c>
      <c r="R2907" t="str">
        <f t="shared" si="1231"/>
        <v>BULLISH</v>
      </c>
      <c r="S2907">
        <f t="shared" si="1234"/>
        <v>1</v>
      </c>
    </row>
    <row r="2908" spans="1:19" hidden="1" x14ac:dyDescent="0.25">
      <c r="A2908" s="5" t="str">
        <f t="shared" si="1235"/>
        <v>44025NYXBT</v>
      </c>
      <c r="B2908" s="6" t="s">
        <v>34</v>
      </c>
      <c r="C2908" s="6">
        <v>9002</v>
      </c>
      <c r="D2908" s="6">
        <v>9498</v>
      </c>
      <c r="E2908" s="6">
        <v>9184</v>
      </c>
      <c r="F2908" t="str">
        <f t="shared" si="1221"/>
        <v>MON</v>
      </c>
      <c r="G2908" s="3">
        <f t="shared" si="1222"/>
        <v>44025</v>
      </c>
      <c r="H2908" s="2">
        <f t="shared" ca="1" si="1223"/>
        <v>228</v>
      </c>
      <c r="I2908" t="str">
        <f t="shared" si="1224"/>
        <v>NYXBT</v>
      </c>
      <c r="J2908">
        <f t="shared" si="1225"/>
        <v>9002</v>
      </c>
      <c r="K2908">
        <f t="shared" si="1226"/>
        <v>9498</v>
      </c>
      <c r="L2908">
        <f t="shared" si="1227"/>
        <v>9250</v>
      </c>
      <c r="M2908">
        <f t="shared" si="1228"/>
        <v>248</v>
      </c>
      <c r="N2908">
        <f t="shared" si="1232"/>
        <v>496</v>
      </c>
      <c r="O2908">
        <f t="shared" si="1229"/>
        <v>9184</v>
      </c>
      <c r="P2908">
        <f t="shared" si="1230"/>
        <v>-0.2661290322580645</v>
      </c>
      <c r="Q2908" t="str">
        <f t="shared" si="1233"/>
        <v>1.98% | 3.42%</v>
      </c>
      <c r="R2908" t="str">
        <f t="shared" si="1231"/>
        <v>BULLISH</v>
      </c>
      <c r="S2908">
        <f t="shared" si="1234"/>
        <v>1</v>
      </c>
    </row>
    <row r="2909" spans="1:19" hidden="1" x14ac:dyDescent="0.25">
      <c r="A2909" s="5" t="str">
        <f t="shared" si="1235"/>
        <v>44026UST10Y</v>
      </c>
      <c r="B2909" s="6" t="s">
        <v>4</v>
      </c>
      <c r="C2909" s="6">
        <v>0.68</v>
      </c>
      <c r="D2909" s="6">
        <v>0.6</v>
      </c>
      <c r="E2909" s="6">
        <v>0.64</v>
      </c>
      <c r="F2909" t="str">
        <f t="shared" si="1221"/>
        <v>TUE</v>
      </c>
      <c r="G2909" s="1">
        <f>DATE(2020,7,14)</f>
        <v>44026</v>
      </c>
      <c r="H2909" s="2">
        <f t="shared" ca="1" si="1223"/>
        <v>227</v>
      </c>
      <c r="I2909" t="str">
        <f t="shared" si="1224"/>
        <v>UST10Y</v>
      </c>
      <c r="J2909">
        <f t="shared" si="1225"/>
        <v>0.68</v>
      </c>
      <c r="K2909">
        <f t="shared" si="1226"/>
        <v>0.6</v>
      </c>
      <c r="L2909">
        <f t="shared" si="1227"/>
        <v>0.64</v>
      </c>
      <c r="M2909">
        <f t="shared" si="1228"/>
        <v>4.0000000000000036E-2</v>
      </c>
      <c r="N2909">
        <f t="shared" si="1232"/>
        <v>8.0000000000000071E-2</v>
      </c>
      <c r="O2909">
        <f t="shared" si="1229"/>
        <v>0.64</v>
      </c>
      <c r="P2909">
        <f t="shared" si="1230"/>
        <v>0</v>
      </c>
      <c r="Q2909" t="str">
        <f t="shared" si="1233"/>
        <v>6.25% | 6.25%</v>
      </c>
      <c r="R2909" t="str">
        <f t="shared" si="1231"/>
        <v>BEARISH</v>
      </c>
      <c r="S2909">
        <f t="shared" si="1234"/>
        <v>-1</v>
      </c>
    </row>
    <row r="2910" spans="1:19" hidden="1" x14ac:dyDescent="0.25">
      <c r="A2910" s="5" t="str">
        <f t="shared" si="1235"/>
        <v>44026UST2Y</v>
      </c>
      <c r="B2910" s="6" t="s">
        <v>5</v>
      </c>
      <c r="C2910" s="6">
        <v>0.18</v>
      </c>
      <c r="D2910" s="6">
        <v>0.13</v>
      </c>
      <c r="E2910" s="6">
        <v>0.16</v>
      </c>
      <c r="F2910" t="str">
        <f t="shared" ref="F2910:F2939" si="1236">UPPER(TEXT(G2910,"ddd"))</f>
        <v>TUE</v>
      </c>
      <c r="G2910" s="1">
        <f t="shared" ref="G2910:G2938" si="1237">DATE(2020,7,14)</f>
        <v>44026</v>
      </c>
      <c r="H2910" s="2">
        <f t="shared" ref="H2910:H2939" ca="1" si="1238">TODAY()-G2910</f>
        <v>227</v>
      </c>
      <c r="I2910" t="str">
        <f t="shared" ref="I2910:I2939" si="1239">TRIM(LEFT(B2910,FIND(" ",B2910,1)))</f>
        <v>UST2Y</v>
      </c>
      <c r="J2910">
        <f t="shared" ref="J2910:J2939" si="1240">C2910</f>
        <v>0.18</v>
      </c>
      <c r="K2910">
        <f t="shared" ref="K2910:K2939" si="1241">D2910</f>
        <v>0.13</v>
      </c>
      <c r="L2910">
        <f t="shared" ref="L2910:L2939" si="1242">AVERAGE(J2910:K2910)</f>
        <v>0.155</v>
      </c>
      <c r="M2910">
        <f t="shared" ref="M2910:M2939" si="1243">_xlfn.STDEV.P(J2910:K2910)</f>
        <v>2.4999999999999942E-2</v>
      </c>
      <c r="N2910">
        <f t="shared" si="1232"/>
        <v>4.9999999999999989E-2</v>
      </c>
      <c r="O2910">
        <f t="shared" ref="O2910:O2939" si="1244">E2910</f>
        <v>0.16</v>
      </c>
      <c r="P2910">
        <f t="shared" ref="P2910:P2939" si="1245">(O2910-L2910)/M2910</f>
        <v>0.20000000000000065</v>
      </c>
      <c r="Q2910" t="str">
        <f t="shared" si="1233"/>
        <v>12.5% | 18.75%</v>
      </c>
      <c r="R2910" t="str">
        <f t="shared" ref="R2910:R2939" si="1246">MID(B2910,FIND("(",B2910,1)+1,FIND(")",B2910,1)-FIND("(",B2910,1)-1)</f>
        <v>BEARISH</v>
      </c>
      <c r="S2910">
        <f t="shared" si="1234"/>
        <v>-1</v>
      </c>
    </row>
    <row r="2911" spans="1:19" hidden="1" x14ac:dyDescent="0.25">
      <c r="A2911" s="5" t="str">
        <f t="shared" si="1235"/>
        <v>44026SPX</v>
      </c>
      <c r="B2911" s="6" t="s">
        <v>6</v>
      </c>
      <c r="C2911" s="6">
        <v>3084</v>
      </c>
      <c r="D2911" s="6">
        <v>3197</v>
      </c>
      <c r="E2911" s="6">
        <v>3155</v>
      </c>
      <c r="F2911" t="str">
        <f t="shared" si="1236"/>
        <v>TUE</v>
      </c>
      <c r="G2911" s="1">
        <f t="shared" si="1237"/>
        <v>44026</v>
      </c>
      <c r="H2911" s="2">
        <f t="shared" ca="1" si="1238"/>
        <v>227</v>
      </c>
      <c r="I2911" t="str">
        <f t="shared" si="1239"/>
        <v>SPX</v>
      </c>
      <c r="J2911">
        <f t="shared" si="1240"/>
        <v>3084</v>
      </c>
      <c r="K2911">
        <f t="shared" si="1241"/>
        <v>3197</v>
      </c>
      <c r="L2911">
        <f t="shared" si="1242"/>
        <v>3140.5</v>
      </c>
      <c r="M2911">
        <f t="shared" si="1243"/>
        <v>56.5</v>
      </c>
      <c r="N2911">
        <f t="shared" si="1232"/>
        <v>113</v>
      </c>
      <c r="O2911">
        <f t="shared" si="1244"/>
        <v>3155</v>
      </c>
      <c r="P2911">
        <f t="shared" si="1245"/>
        <v>0.25663716814159293</v>
      </c>
      <c r="Q2911" t="str">
        <f t="shared" si="1233"/>
        <v>2.25% | 1.33%</v>
      </c>
      <c r="R2911" t="str">
        <f t="shared" si="1246"/>
        <v>BEARISH</v>
      </c>
      <c r="S2911">
        <f t="shared" si="1234"/>
        <v>-1</v>
      </c>
    </row>
    <row r="2912" spans="1:19" hidden="1" x14ac:dyDescent="0.25">
      <c r="A2912" s="5" t="str">
        <f t="shared" si="1235"/>
        <v>44026RUT</v>
      </c>
      <c r="B2912" s="6" t="s">
        <v>7</v>
      </c>
      <c r="C2912" s="6">
        <v>1383</v>
      </c>
      <c r="D2912" s="6">
        <v>1451</v>
      </c>
      <c r="E2912" s="6">
        <v>1403</v>
      </c>
      <c r="F2912" t="str">
        <f t="shared" si="1236"/>
        <v>TUE</v>
      </c>
      <c r="G2912" s="1">
        <f t="shared" si="1237"/>
        <v>44026</v>
      </c>
      <c r="H2912" s="2">
        <f t="shared" ca="1" si="1238"/>
        <v>227</v>
      </c>
      <c r="I2912" t="str">
        <f t="shared" si="1239"/>
        <v>RUT</v>
      </c>
      <c r="J2912">
        <f t="shared" si="1240"/>
        <v>1383</v>
      </c>
      <c r="K2912">
        <f t="shared" si="1241"/>
        <v>1451</v>
      </c>
      <c r="L2912">
        <f t="shared" si="1242"/>
        <v>1417</v>
      </c>
      <c r="M2912">
        <f t="shared" si="1243"/>
        <v>34</v>
      </c>
      <c r="N2912">
        <f t="shared" si="1232"/>
        <v>68</v>
      </c>
      <c r="O2912">
        <f t="shared" si="1244"/>
        <v>1403</v>
      </c>
      <c r="P2912">
        <f t="shared" si="1245"/>
        <v>-0.41176470588235292</v>
      </c>
      <c r="Q2912" t="str">
        <f t="shared" si="1233"/>
        <v>1.43% | 3.42%</v>
      </c>
      <c r="R2912" t="str">
        <f t="shared" si="1246"/>
        <v>BEARISH</v>
      </c>
      <c r="S2912">
        <f t="shared" si="1234"/>
        <v>-1</v>
      </c>
    </row>
    <row r="2913" spans="1:19" hidden="1" x14ac:dyDescent="0.25">
      <c r="A2913" s="5" t="str">
        <f t="shared" si="1235"/>
        <v>44026COMPQ</v>
      </c>
      <c r="B2913" s="6" t="s">
        <v>8</v>
      </c>
      <c r="C2913" s="6">
        <v>10003</v>
      </c>
      <c r="D2913" s="6">
        <v>10715</v>
      </c>
      <c r="E2913" s="6">
        <v>10390</v>
      </c>
      <c r="F2913" t="str">
        <f t="shared" si="1236"/>
        <v>TUE</v>
      </c>
      <c r="G2913" s="1">
        <f t="shared" si="1237"/>
        <v>44026</v>
      </c>
      <c r="H2913" s="2">
        <f t="shared" ca="1" si="1238"/>
        <v>227</v>
      </c>
      <c r="I2913" t="str">
        <f t="shared" si="1239"/>
        <v>COMPQ</v>
      </c>
      <c r="J2913">
        <f t="shared" si="1240"/>
        <v>10003</v>
      </c>
      <c r="K2913">
        <f t="shared" si="1241"/>
        <v>10715</v>
      </c>
      <c r="L2913">
        <f t="shared" si="1242"/>
        <v>10359</v>
      </c>
      <c r="M2913">
        <f t="shared" si="1243"/>
        <v>356</v>
      </c>
      <c r="N2913">
        <f t="shared" si="1232"/>
        <v>712</v>
      </c>
      <c r="O2913">
        <f t="shared" si="1244"/>
        <v>10390</v>
      </c>
      <c r="P2913">
        <f t="shared" si="1245"/>
        <v>8.7078651685393263E-2</v>
      </c>
      <c r="Q2913" t="str">
        <f t="shared" si="1233"/>
        <v>3.72% | 3.13%</v>
      </c>
      <c r="R2913" t="str">
        <f t="shared" si="1246"/>
        <v>BULLISH</v>
      </c>
      <c r="S2913">
        <f t="shared" si="1234"/>
        <v>1</v>
      </c>
    </row>
    <row r="2914" spans="1:19" hidden="1" x14ac:dyDescent="0.25">
      <c r="A2914" s="5" t="str">
        <f t="shared" si="1235"/>
        <v>44026XLK</v>
      </c>
      <c r="B2914" s="6" t="s">
        <v>10</v>
      </c>
      <c r="C2914" s="6">
        <v>103.08</v>
      </c>
      <c r="D2914" s="6">
        <v>109.16</v>
      </c>
      <c r="E2914" s="6">
        <v>105.84</v>
      </c>
      <c r="F2914" t="str">
        <f t="shared" si="1236"/>
        <v>TUE</v>
      </c>
      <c r="G2914" s="1">
        <f t="shared" si="1237"/>
        <v>44026</v>
      </c>
      <c r="H2914" s="2">
        <f t="shared" ca="1" si="1238"/>
        <v>227</v>
      </c>
      <c r="I2914" t="str">
        <f t="shared" si="1239"/>
        <v>XLK</v>
      </c>
      <c r="J2914">
        <f t="shared" si="1240"/>
        <v>103.08</v>
      </c>
      <c r="K2914">
        <f t="shared" si="1241"/>
        <v>109.16</v>
      </c>
      <c r="L2914">
        <f t="shared" si="1242"/>
        <v>106.12</v>
      </c>
      <c r="M2914">
        <f t="shared" si="1243"/>
        <v>3.0399999999999991</v>
      </c>
      <c r="N2914">
        <f t="shared" si="1232"/>
        <v>6.0799999999999983</v>
      </c>
      <c r="O2914">
        <f t="shared" si="1244"/>
        <v>105.84</v>
      </c>
      <c r="P2914">
        <f t="shared" si="1245"/>
        <v>-9.2105263157895134E-2</v>
      </c>
      <c r="Q2914" t="str">
        <f t="shared" si="1233"/>
        <v>2.61% | 3.14%</v>
      </c>
      <c r="R2914" t="str">
        <f t="shared" si="1246"/>
        <v>BULLISH</v>
      </c>
      <c r="S2914">
        <f t="shared" si="1234"/>
        <v>1</v>
      </c>
    </row>
    <row r="2915" spans="1:19" hidden="1" x14ac:dyDescent="0.25">
      <c r="A2915" s="5" t="str">
        <f t="shared" si="1235"/>
        <v>44026XLRE</v>
      </c>
      <c r="B2915" s="6" t="s">
        <v>97</v>
      </c>
      <c r="C2915" s="6">
        <v>33.93</v>
      </c>
      <c r="D2915" s="6">
        <v>36.01</v>
      </c>
      <c r="E2915" s="6">
        <v>34.450000000000003</v>
      </c>
      <c r="F2915" t="str">
        <f t="shared" si="1236"/>
        <v>TUE</v>
      </c>
      <c r="G2915" s="1">
        <f t="shared" si="1237"/>
        <v>44026</v>
      </c>
      <c r="H2915" s="2">
        <f t="shared" ca="1" si="1238"/>
        <v>227</v>
      </c>
      <c r="I2915" t="str">
        <f t="shared" si="1239"/>
        <v>XLRE</v>
      </c>
      <c r="J2915">
        <f t="shared" si="1240"/>
        <v>33.93</v>
      </c>
      <c r="K2915">
        <f t="shared" si="1241"/>
        <v>36.01</v>
      </c>
      <c r="L2915">
        <f t="shared" si="1242"/>
        <v>34.97</v>
      </c>
      <c r="M2915">
        <f t="shared" si="1243"/>
        <v>1.0399999999999991</v>
      </c>
      <c r="N2915">
        <f t="shared" si="1232"/>
        <v>2.0799999999999983</v>
      </c>
      <c r="O2915">
        <f t="shared" si="1244"/>
        <v>34.450000000000003</v>
      </c>
      <c r="P2915">
        <f t="shared" si="1245"/>
        <v>-0.49999999999999656</v>
      </c>
      <c r="Q2915" t="str">
        <f t="shared" si="1233"/>
        <v>1.51% | 4.53%</v>
      </c>
      <c r="R2915" t="str">
        <f t="shared" si="1246"/>
        <v>BULLISH</v>
      </c>
      <c r="S2915">
        <f t="shared" si="1234"/>
        <v>1</v>
      </c>
    </row>
    <row r="2916" spans="1:19" hidden="1" x14ac:dyDescent="0.25">
      <c r="A2916" s="5" t="str">
        <f t="shared" si="1235"/>
        <v>44026XLU</v>
      </c>
      <c r="B2916" s="6" t="s">
        <v>80</v>
      </c>
      <c r="C2916" s="6">
        <v>56.22</v>
      </c>
      <c r="D2916" s="6">
        <v>58.39</v>
      </c>
      <c r="E2916" s="6">
        <v>57.83</v>
      </c>
      <c r="F2916" t="str">
        <f t="shared" si="1236"/>
        <v>TUE</v>
      </c>
      <c r="G2916" s="1">
        <f t="shared" si="1237"/>
        <v>44026</v>
      </c>
      <c r="H2916" s="2">
        <f t="shared" ca="1" si="1238"/>
        <v>227</v>
      </c>
      <c r="I2916" t="str">
        <f t="shared" si="1239"/>
        <v>XLU</v>
      </c>
      <c r="J2916">
        <f t="shared" si="1240"/>
        <v>56.22</v>
      </c>
      <c r="K2916">
        <f t="shared" si="1241"/>
        <v>58.39</v>
      </c>
      <c r="L2916">
        <f t="shared" si="1242"/>
        <v>57.305</v>
      </c>
      <c r="M2916">
        <f t="shared" si="1243"/>
        <v>1.0850000000000009</v>
      </c>
      <c r="N2916">
        <f t="shared" si="1232"/>
        <v>2.1700000000000017</v>
      </c>
      <c r="O2916">
        <f t="shared" si="1244"/>
        <v>57.83</v>
      </c>
      <c r="P2916">
        <f t="shared" si="1245"/>
        <v>0.48387096774193378</v>
      </c>
      <c r="Q2916" t="str">
        <f t="shared" si="1233"/>
        <v>2.78% | 0.97%</v>
      </c>
      <c r="R2916" t="str">
        <f t="shared" si="1246"/>
        <v>NEUTRAL</v>
      </c>
      <c r="S2916">
        <f t="shared" si="1234"/>
        <v>0</v>
      </c>
    </row>
    <row r="2917" spans="1:19" hidden="1" x14ac:dyDescent="0.25">
      <c r="A2917" s="5" t="str">
        <f t="shared" si="1235"/>
        <v>44026XLF</v>
      </c>
      <c r="B2917" s="6" t="s">
        <v>12</v>
      </c>
      <c r="C2917" s="6">
        <v>22.09</v>
      </c>
      <c r="D2917" s="6">
        <v>23.99</v>
      </c>
      <c r="E2917" s="6">
        <v>23.56</v>
      </c>
      <c r="F2917" t="str">
        <f t="shared" si="1236"/>
        <v>TUE</v>
      </c>
      <c r="G2917" s="1">
        <f t="shared" si="1237"/>
        <v>44026</v>
      </c>
      <c r="H2917" s="2">
        <f t="shared" ca="1" si="1238"/>
        <v>227</v>
      </c>
      <c r="I2917" t="str">
        <f t="shared" si="1239"/>
        <v>XLF</v>
      </c>
      <c r="J2917">
        <f t="shared" si="1240"/>
        <v>22.09</v>
      </c>
      <c r="K2917">
        <f t="shared" si="1241"/>
        <v>23.99</v>
      </c>
      <c r="L2917">
        <f t="shared" si="1242"/>
        <v>23.04</v>
      </c>
      <c r="M2917">
        <f t="shared" si="1243"/>
        <v>0.94999999999999929</v>
      </c>
      <c r="N2917">
        <f t="shared" si="1232"/>
        <v>1.8999999999999986</v>
      </c>
      <c r="O2917">
        <f t="shared" si="1244"/>
        <v>23.56</v>
      </c>
      <c r="P2917">
        <f t="shared" si="1245"/>
        <v>0.5473684210526315</v>
      </c>
      <c r="Q2917" t="str">
        <f t="shared" si="1233"/>
        <v>6.24% | 1.83%</v>
      </c>
      <c r="R2917" t="str">
        <f t="shared" si="1246"/>
        <v>BEARISH</v>
      </c>
      <c r="S2917">
        <f t="shared" si="1234"/>
        <v>-1</v>
      </c>
    </row>
    <row r="2918" spans="1:19" hidden="1" x14ac:dyDescent="0.25">
      <c r="A2918" s="5" t="str">
        <f t="shared" si="1235"/>
        <v>44026SSEC</v>
      </c>
      <c r="B2918" s="6" t="s">
        <v>104</v>
      </c>
      <c r="C2918" s="6">
        <v>3282</v>
      </c>
      <c r="D2918" s="6">
        <v>3595</v>
      </c>
      <c r="E2918" s="6">
        <v>3414</v>
      </c>
      <c r="F2918" t="str">
        <f t="shared" si="1236"/>
        <v>TUE</v>
      </c>
      <c r="G2918" s="1">
        <f t="shared" si="1237"/>
        <v>44026</v>
      </c>
      <c r="H2918" s="2">
        <f t="shared" ca="1" si="1238"/>
        <v>227</v>
      </c>
      <c r="I2918" t="str">
        <f t="shared" si="1239"/>
        <v>SSEC</v>
      </c>
      <c r="J2918">
        <f t="shared" si="1240"/>
        <v>3282</v>
      </c>
      <c r="K2918">
        <f t="shared" si="1241"/>
        <v>3595</v>
      </c>
      <c r="L2918">
        <f t="shared" si="1242"/>
        <v>3438.5</v>
      </c>
      <c r="M2918">
        <f t="shared" si="1243"/>
        <v>156.5</v>
      </c>
      <c r="N2918">
        <f t="shared" si="1232"/>
        <v>313</v>
      </c>
      <c r="O2918">
        <f t="shared" si="1244"/>
        <v>3414</v>
      </c>
      <c r="P2918">
        <f t="shared" si="1245"/>
        <v>-0.15654952076677317</v>
      </c>
      <c r="Q2918" t="str">
        <f t="shared" si="1233"/>
        <v>3.87% | 5.3%</v>
      </c>
      <c r="R2918" t="str">
        <f t="shared" si="1246"/>
        <v>BULLISH</v>
      </c>
      <c r="S2918">
        <f t="shared" si="1234"/>
        <v>1</v>
      </c>
    </row>
    <row r="2919" spans="1:19" hidden="1" x14ac:dyDescent="0.25">
      <c r="A2919" s="5" t="str">
        <f t="shared" si="1235"/>
        <v>44026NIKK</v>
      </c>
      <c r="B2919" s="6" t="s">
        <v>90</v>
      </c>
      <c r="C2919" s="6">
        <v>21906</v>
      </c>
      <c r="D2919" s="6">
        <v>22880</v>
      </c>
      <c r="E2919" s="6">
        <v>22587</v>
      </c>
      <c r="F2919" t="str">
        <f t="shared" si="1236"/>
        <v>TUE</v>
      </c>
      <c r="G2919" s="1">
        <f t="shared" si="1237"/>
        <v>44026</v>
      </c>
      <c r="H2919" s="2">
        <f t="shared" ca="1" si="1238"/>
        <v>227</v>
      </c>
      <c r="I2919" t="str">
        <f t="shared" si="1239"/>
        <v>NIKK</v>
      </c>
      <c r="J2919">
        <f t="shared" si="1240"/>
        <v>21906</v>
      </c>
      <c r="K2919">
        <f t="shared" si="1241"/>
        <v>22880</v>
      </c>
      <c r="L2919">
        <f t="shared" si="1242"/>
        <v>22393</v>
      </c>
      <c r="M2919">
        <f t="shared" si="1243"/>
        <v>487</v>
      </c>
      <c r="N2919">
        <f t="shared" si="1232"/>
        <v>974</v>
      </c>
      <c r="O2919">
        <f t="shared" si="1244"/>
        <v>22587</v>
      </c>
      <c r="P2919">
        <f t="shared" si="1245"/>
        <v>0.39835728952772076</v>
      </c>
      <c r="Q2919" t="str">
        <f t="shared" si="1233"/>
        <v>3.02% | 1.3%</v>
      </c>
      <c r="R2919" t="str">
        <f t="shared" si="1246"/>
        <v>NEUTRAL</v>
      </c>
      <c r="S2919">
        <f t="shared" si="1234"/>
        <v>0</v>
      </c>
    </row>
    <row r="2920" spans="1:19" hidden="1" x14ac:dyDescent="0.25">
      <c r="A2920" s="5" t="str">
        <f t="shared" si="1235"/>
        <v>44026DAX</v>
      </c>
      <c r="B2920" s="6" t="s">
        <v>92</v>
      </c>
      <c r="C2920" s="6">
        <v>12212</v>
      </c>
      <c r="D2920" s="6">
        <v>12875</v>
      </c>
      <c r="E2920" s="6">
        <v>12799</v>
      </c>
      <c r="F2920" t="str">
        <f t="shared" si="1236"/>
        <v>TUE</v>
      </c>
      <c r="G2920" s="1">
        <f t="shared" si="1237"/>
        <v>44026</v>
      </c>
      <c r="H2920" s="2">
        <f t="shared" ca="1" si="1238"/>
        <v>227</v>
      </c>
      <c r="I2920" t="str">
        <f t="shared" si="1239"/>
        <v>DAX</v>
      </c>
      <c r="J2920">
        <f t="shared" si="1240"/>
        <v>12212</v>
      </c>
      <c r="K2920">
        <f t="shared" si="1241"/>
        <v>12875</v>
      </c>
      <c r="L2920">
        <f t="shared" si="1242"/>
        <v>12543.5</v>
      </c>
      <c r="M2920">
        <f t="shared" si="1243"/>
        <v>331.5</v>
      </c>
      <c r="N2920">
        <f t="shared" si="1232"/>
        <v>663</v>
      </c>
      <c r="O2920">
        <f t="shared" si="1244"/>
        <v>12799</v>
      </c>
      <c r="P2920">
        <f t="shared" si="1245"/>
        <v>0.77073906485671195</v>
      </c>
      <c r="Q2920" t="str">
        <f t="shared" si="1233"/>
        <v>4.59% | 0.59%</v>
      </c>
      <c r="R2920" t="str">
        <f t="shared" si="1246"/>
        <v>NEUTRAL</v>
      </c>
      <c r="S2920">
        <f t="shared" si="1234"/>
        <v>0</v>
      </c>
    </row>
    <row r="2921" spans="1:19" hidden="1" x14ac:dyDescent="0.25">
      <c r="A2921" s="5" t="str">
        <f t="shared" si="1235"/>
        <v>44026VIX</v>
      </c>
      <c r="B2921" s="6" t="s">
        <v>17</v>
      </c>
      <c r="C2921" s="6">
        <v>28.89</v>
      </c>
      <c r="D2921" s="6">
        <v>34.61</v>
      </c>
      <c r="E2921" s="6">
        <v>32.19</v>
      </c>
      <c r="F2921" t="str">
        <f t="shared" si="1236"/>
        <v>TUE</v>
      </c>
      <c r="G2921" s="1">
        <f t="shared" si="1237"/>
        <v>44026</v>
      </c>
      <c r="H2921" s="2">
        <f t="shared" ca="1" si="1238"/>
        <v>227</v>
      </c>
      <c r="I2921" t="str">
        <f t="shared" si="1239"/>
        <v>VIX</v>
      </c>
      <c r="J2921">
        <f t="shared" si="1240"/>
        <v>28.89</v>
      </c>
      <c r="K2921">
        <f t="shared" si="1241"/>
        <v>34.61</v>
      </c>
      <c r="L2921">
        <f t="shared" si="1242"/>
        <v>31.75</v>
      </c>
      <c r="M2921">
        <f t="shared" si="1243"/>
        <v>2.8599999999999994</v>
      </c>
      <c r="N2921">
        <f t="shared" si="1232"/>
        <v>5.7199999999999989</v>
      </c>
      <c r="O2921">
        <f t="shared" si="1244"/>
        <v>32.19</v>
      </c>
      <c r="P2921">
        <f t="shared" si="1245"/>
        <v>0.15384615384615308</v>
      </c>
      <c r="Q2921" t="str">
        <f t="shared" si="1233"/>
        <v>10.25% | 7.52%</v>
      </c>
      <c r="R2921" t="str">
        <f t="shared" si="1246"/>
        <v>BULLISH</v>
      </c>
      <c r="S2921">
        <f t="shared" si="1234"/>
        <v>1</v>
      </c>
    </row>
    <row r="2922" spans="1:19" hidden="1" x14ac:dyDescent="0.25">
      <c r="A2922" s="5" t="str">
        <f t="shared" si="1235"/>
        <v>44026USD</v>
      </c>
      <c r="B2922" s="6" t="s">
        <v>94</v>
      </c>
      <c r="C2922" s="6">
        <v>96.01</v>
      </c>
      <c r="D2922" s="6">
        <v>97.2</v>
      </c>
      <c r="E2922" s="6">
        <v>96.39</v>
      </c>
      <c r="F2922" t="str">
        <f t="shared" si="1236"/>
        <v>TUE</v>
      </c>
      <c r="G2922" s="1">
        <f t="shared" si="1237"/>
        <v>44026</v>
      </c>
      <c r="H2922" s="2">
        <f t="shared" ca="1" si="1238"/>
        <v>227</v>
      </c>
      <c r="I2922" t="str">
        <f t="shared" si="1239"/>
        <v>USD</v>
      </c>
      <c r="J2922">
        <f t="shared" si="1240"/>
        <v>96.01</v>
      </c>
      <c r="K2922">
        <f t="shared" si="1241"/>
        <v>97.2</v>
      </c>
      <c r="L2922">
        <f t="shared" si="1242"/>
        <v>96.605000000000004</v>
      </c>
      <c r="M2922">
        <f t="shared" si="1243"/>
        <v>0.59499999999999886</v>
      </c>
      <c r="N2922">
        <f t="shared" si="1232"/>
        <v>1.1899999999999977</v>
      </c>
      <c r="O2922">
        <f t="shared" si="1244"/>
        <v>96.39</v>
      </c>
      <c r="P2922">
        <f t="shared" si="1245"/>
        <v>-0.36134453781513248</v>
      </c>
      <c r="Q2922" t="str">
        <f t="shared" si="1233"/>
        <v>0.39% | 0.84%</v>
      </c>
      <c r="R2922" t="str">
        <f t="shared" si="1246"/>
        <v>BEARISH</v>
      </c>
      <c r="S2922">
        <f t="shared" si="1234"/>
        <v>-1</v>
      </c>
    </row>
    <row r="2923" spans="1:19" hidden="1" x14ac:dyDescent="0.25">
      <c r="A2923" s="5" t="str">
        <f t="shared" si="1235"/>
        <v>44026EUR/USD</v>
      </c>
      <c r="B2923" s="6" t="s">
        <v>99</v>
      </c>
      <c r="C2923" s="6">
        <v>1.1200000000000001</v>
      </c>
      <c r="D2923" s="6">
        <v>1.1399999999999999</v>
      </c>
      <c r="E2923" s="6">
        <v>1.1299999999999999</v>
      </c>
      <c r="F2923" t="str">
        <f t="shared" si="1236"/>
        <v>TUE</v>
      </c>
      <c r="G2923" s="1">
        <f t="shared" si="1237"/>
        <v>44026</v>
      </c>
      <c r="H2923" s="2">
        <f t="shared" ca="1" si="1238"/>
        <v>227</v>
      </c>
      <c r="I2923" t="str">
        <f t="shared" si="1239"/>
        <v>EUR/USD</v>
      </c>
      <c r="J2923">
        <f t="shared" si="1240"/>
        <v>1.1200000000000001</v>
      </c>
      <c r="K2923">
        <f t="shared" si="1241"/>
        <v>1.1399999999999999</v>
      </c>
      <c r="L2923">
        <f t="shared" si="1242"/>
        <v>1.1299999999999999</v>
      </c>
      <c r="M2923">
        <f t="shared" si="1243"/>
        <v>9.9999999999998979E-3</v>
      </c>
      <c r="N2923">
        <f t="shared" si="1232"/>
        <v>1.9999999999999796E-2</v>
      </c>
      <c r="O2923">
        <f t="shared" si="1244"/>
        <v>1.1299999999999999</v>
      </c>
      <c r="P2923">
        <f t="shared" si="1245"/>
        <v>0</v>
      </c>
      <c r="Q2923" t="str">
        <f t="shared" si="1233"/>
        <v>0.88% | 0.88%</v>
      </c>
      <c r="R2923" t="str">
        <f t="shared" si="1246"/>
        <v>BULLISH</v>
      </c>
      <c r="S2923">
        <f t="shared" si="1234"/>
        <v>1</v>
      </c>
    </row>
    <row r="2924" spans="1:19" hidden="1" x14ac:dyDescent="0.25">
      <c r="A2924" s="5" t="str">
        <f t="shared" si="1235"/>
        <v>44026USD/JPY</v>
      </c>
      <c r="B2924" s="6" t="s">
        <v>20</v>
      </c>
      <c r="C2924" s="6">
        <v>106.6</v>
      </c>
      <c r="D2924" s="6">
        <v>107.97</v>
      </c>
      <c r="E2924" s="6">
        <v>107.24</v>
      </c>
      <c r="F2924" t="str">
        <f t="shared" si="1236"/>
        <v>TUE</v>
      </c>
      <c r="G2924" s="1">
        <f t="shared" si="1237"/>
        <v>44026</v>
      </c>
      <c r="H2924" s="2">
        <f t="shared" ca="1" si="1238"/>
        <v>227</v>
      </c>
      <c r="I2924" t="str">
        <f t="shared" si="1239"/>
        <v>USD/JPY</v>
      </c>
      <c r="J2924">
        <f t="shared" si="1240"/>
        <v>106.6</v>
      </c>
      <c r="K2924">
        <f t="shared" si="1241"/>
        <v>107.97</v>
      </c>
      <c r="L2924">
        <f t="shared" si="1242"/>
        <v>107.285</v>
      </c>
      <c r="M2924">
        <f t="shared" si="1243"/>
        <v>0.68500000000000227</v>
      </c>
      <c r="N2924">
        <f t="shared" si="1232"/>
        <v>1.3700000000000045</v>
      </c>
      <c r="O2924">
        <f t="shared" si="1244"/>
        <v>107.24</v>
      </c>
      <c r="P2924">
        <f t="shared" si="1245"/>
        <v>-6.5693430656936572E-2</v>
      </c>
      <c r="Q2924" t="str">
        <f t="shared" si="1233"/>
        <v>0.6% | 0.68%</v>
      </c>
      <c r="R2924" t="str">
        <f t="shared" si="1246"/>
        <v>BEARISH</v>
      </c>
      <c r="S2924">
        <f t="shared" si="1234"/>
        <v>-1</v>
      </c>
    </row>
    <row r="2925" spans="1:19" hidden="1" x14ac:dyDescent="0.25">
      <c r="A2925" s="5" t="str">
        <f t="shared" si="1235"/>
        <v>44026GBP/USD</v>
      </c>
      <c r="B2925" s="6" t="s">
        <v>102</v>
      </c>
      <c r="C2925" s="6">
        <v>1.23</v>
      </c>
      <c r="D2925" s="6">
        <v>1.27</v>
      </c>
      <c r="E2925" s="6">
        <v>1.25</v>
      </c>
      <c r="F2925" t="str">
        <f t="shared" si="1236"/>
        <v>TUE</v>
      </c>
      <c r="G2925" s="1">
        <f t="shared" si="1237"/>
        <v>44026</v>
      </c>
      <c r="H2925" s="2">
        <f t="shared" ca="1" si="1238"/>
        <v>227</v>
      </c>
      <c r="I2925" t="str">
        <f t="shared" si="1239"/>
        <v>GBP/USD</v>
      </c>
      <c r="J2925">
        <f t="shared" si="1240"/>
        <v>1.23</v>
      </c>
      <c r="K2925">
        <f t="shared" si="1241"/>
        <v>1.27</v>
      </c>
      <c r="L2925">
        <f t="shared" si="1242"/>
        <v>1.25</v>
      </c>
      <c r="M2925">
        <f t="shared" si="1243"/>
        <v>2.0000000000000018E-2</v>
      </c>
      <c r="N2925">
        <f t="shared" si="1232"/>
        <v>4.0000000000000036E-2</v>
      </c>
      <c r="O2925">
        <f t="shared" si="1244"/>
        <v>1.25</v>
      </c>
      <c r="P2925">
        <f t="shared" si="1245"/>
        <v>0</v>
      </c>
      <c r="Q2925" t="str">
        <f t="shared" si="1233"/>
        <v>1.6% | 1.6%</v>
      </c>
      <c r="R2925" t="str">
        <f t="shared" si="1246"/>
        <v>BULLISH</v>
      </c>
      <c r="S2925">
        <f t="shared" si="1234"/>
        <v>1</v>
      </c>
    </row>
    <row r="2926" spans="1:19" hidden="1" x14ac:dyDescent="0.25">
      <c r="A2926" s="5" t="str">
        <f t="shared" si="1235"/>
        <v>44026USD/CHF</v>
      </c>
      <c r="B2926" s="6" t="s">
        <v>76</v>
      </c>
      <c r="C2926" s="6">
        <v>0.93</v>
      </c>
      <c r="D2926" s="6">
        <v>0.95</v>
      </c>
      <c r="E2926" s="6">
        <v>0.94</v>
      </c>
      <c r="F2926" t="str">
        <f t="shared" si="1236"/>
        <v>TUE</v>
      </c>
      <c r="G2926" s="1">
        <f t="shared" si="1237"/>
        <v>44026</v>
      </c>
      <c r="H2926" s="2">
        <f t="shared" ca="1" si="1238"/>
        <v>227</v>
      </c>
      <c r="I2926" t="str">
        <f t="shared" si="1239"/>
        <v>USD/CHF</v>
      </c>
      <c r="J2926">
        <f t="shared" si="1240"/>
        <v>0.93</v>
      </c>
      <c r="K2926">
        <f t="shared" si="1241"/>
        <v>0.95</v>
      </c>
      <c r="L2926">
        <f t="shared" si="1242"/>
        <v>0.94</v>
      </c>
      <c r="M2926">
        <f t="shared" si="1243"/>
        <v>9.9999999999999534E-3</v>
      </c>
      <c r="N2926">
        <f t="shared" si="1232"/>
        <v>1.9999999999999907E-2</v>
      </c>
      <c r="O2926">
        <f t="shared" si="1244"/>
        <v>0.94</v>
      </c>
      <c r="P2926">
        <f t="shared" si="1245"/>
        <v>0</v>
      </c>
      <c r="Q2926" t="str">
        <f t="shared" si="1233"/>
        <v>1.06% | 1.06%</v>
      </c>
      <c r="R2926" t="str">
        <f t="shared" si="1246"/>
        <v>BEARISH</v>
      </c>
      <c r="S2926">
        <f t="shared" si="1234"/>
        <v>-1</v>
      </c>
    </row>
    <row r="2927" spans="1:19" hidden="1" x14ac:dyDescent="0.25">
      <c r="A2927" s="5" t="str">
        <f t="shared" si="1235"/>
        <v>44026WTIC</v>
      </c>
      <c r="B2927" s="6" t="s">
        <v>158</v>
      </c>
      <c r="C2927" s="6">
        <v>38.380000000000003</v>
      </c>
      <c r="D2927" s="6">
        <v>41.32</v>
      </c>
      <c r="E2927" s="6">
        <v>40.1</v>
      </c>
      <c r="F2927" t="str">
        <f t="shared" si="1236"/>
        <v>TUE</v>
      </c>
      <c r="G2927" s="1">
        <f t="shared" si="1237"/>
        <v>44026</v>
      </c>
      <c r="H2927" s="2">
        <f t="shared" ca="1" si="1238"/>
        <v>227</v>
      </c>
      <c r="I2927" t="str">
        <f t="shared" si="1239"/>
        <v>WTIC</v>
      </c>
      <c r="J2927">
        <f t="shared" si="1240"/>
        <v>38.380000000000003</v>
      </c>
      <c r="K2927">
        <f t="shared" si="1241"/>
        <v>41.32</v>
      </c>
      <c r="L2927">
        <f t="shared" si="1242"/>
        <v>39.85</v>
      </c>
      <c r="M2927">
        <f t="shared" si="1243"/>
        <v>1.4699999999999989</v>
      </c>
      <c r="N2927">
        <f t="shared" si="1232"/>
        <v>2.9399999999999977</v>
      </c>
      <c r="O2927">
        <f t="shared" si="1244"/>
        <v>40.1</v>
      </c>
      <c r="P2927">
        <f t="shared" si="1245"/>
        <v>0.17006802721088449</v>
      </c>
      <c r="Q2927" t="str">
        <f t="shared" si="1233"/>
        <v>4.29% | 3.04%</v>
      </c>
      <c r="R2927" t="str">
        <f t="shared" si="1246"/>
        <v>BULLISH</v>
      </c>
      <c r="S2927">
        <f t="shared" si="1234"/>
        <v>1</v>
      </c>
    </row>
    <row r="2928" spans="1:19" hidden="1" x14ac:dyDescent="0.25">
      <c r="A2928" s="5" t="str">
        <f t="shared" si="1235"/>
        <v>44026NATGAS</v>
      </c>
      <c r="B2928" s="6" t="s">
        <v>87</v>
      </c>
      <c r="C2928" s="6">
        <v>1.6</v>
      </c>
      <c r="D2928" s="6">
        <v>1.91</v>
      </c>
      <c r="E2928" s="6">
        <v>1.74</v>
      </c>
      <c r="F2928" t="str">
        <f t="shared" si="1236"/>
        <v>TUE</v>
      </c>
      <c r="G2928" s="1">
        <f t="shared" si="1237"/>
        <v>44026</v>
      </c>
      <c r="H2928" s="2">
        <f t="shared" ca="1" si="1238"/>
        <v>227</v>
      </c>
      <c r="I2928" t="str">
        <f t="shared" si="1239"/>
        <v>NATGAS</v>
      </c>
      <c r="J2928">
        <f t="shared" si="1240"/>
        <v>1.6</v>
      </c>
      <c r="K2928">
        <f t="shared" si="1241"/>
        <v>1.91</v>
      </c>
      <c r="L2928">
        <f t="shared" si="1242"/>
        <v>1.7549999999999999</v>
      </c>
      <c r="M2928">
        <f t="shared" si="1243"/>
        <v>0.15499999999999992</v>
      </c>
      <c r="N2928">
        <f t="shared" si="1232"/>
        <v>0.30999999999999983</v>
      </c>
      <c r="O2928">
        <f t="shared" si="1244"/>
        <v>1.74</v>
      </c>
      <c r="P2928">
        <f t="shared" si="1245"/>
        <v>-9.6774193548386525E-2</v>
      </c>
      <c r="Q2928" t="str">
        <f t="shared" si="1233"/>
        <v>8.05% | 9.77%</v>
      </c>
      <c r="R2928" t="str">
        <f t="shared" si="1246"/>
        <v>NEUTRAL</v>
      </c>
      <c r="S2928">
        <f t="shared" si="1234"/>
        <v>0</v>
      </c>
    </row>
    <row r="2929" spans="1:19" hidden="1" x14ac:dyDescent="0.25">
      <c r="A2929" s="5" t="str">
        <f t="shared" si="1235"/>
        <v>44026GOLD</v>
      </c>
      <c r="B2929" s="6" t="s">
        <v>25</v>
      </c>
      <c r="C2929" s="6">
        <v>1775</v>
      </c>
      <c r="D2929" s="6">
        <v>1827</v>
      </c>
      <c r="E2929" s="6">
        <v>1814</v>
      </c>
      <c r="F2929" t="str">
        <f t="shared" si="1236"/>
        <v>TUE</v>
      </c>
      <c r="G2929" s="1">
        <f t="shared" si="1237"/>
        <v>44026</v>
      </c>
      <c r="H2929" s="2">
        <f t="shared" ca="1" si="1238"/>
        <v>227</v>
      </c>
      <c r="I2929" t="str">
        <f t="shared" si="1239"/>
        <v>GOLD</v>
      </c>
      <c r="J2929">
        <f t="shared" si="1240"/>
        <v>1775</v>
      </c>
      <c r="K2929">
        <f t="shared" si="1241"/>
        <v>1827</v>
      </c>
      <c r="L2929">
        <f t="shared" si="1242"/>
        <v>1801</v>
      </c>
      <c r="M2929">
        <f t="shared" si="1243"/>
        <v>26</v>
      </c>
      <c r="N2929">
        <f t="shared" si="1232"/>
        <v>52</v>
      </c>
      <c r="O2929">
        <f t="shared" si="1244"/>
        <v>1814</v>
      </c>
      <c r="P2929">
        <f t="shared" si="1245"/>
        <v>0.5</v>
      </c>
      <c r="Q2929" t="str">
        <f t="shared" si="1233"/>
        <v>2.15% | 0.72%</v>
      </c>
      <c r="R2929" t="str">
        <f t="shared" si="1246"/>
        <v>BULLISH</v>
      </c>
      <c r="S2929">
        <f t="shared" si="1234"/>
        <v>1</v>
      </c>
    </row>
    <row r="2930" spans="1:19" hidden="1" x14ac:dyDescent="0.25">
      <c r="A2930" s="5" t="str">
        <f t="shared" si="1235"/>
        <v>44026COPPER</v>
      </c>
      <c r="B2930" s="6" t="s">
        <v>100</v>
      </c>
      <c r="C2930" s="6">
        <v>2.8</v>
      </c>
      <c r="D2930" s="6">
        <v>2.97</v>
      </c>
      <c r="E2930" s="6">
        <v>2.95</v>
      </c>
      <c r="F2930" t="str">
        <f t="shared" si="1236"/>
        <v>TUE</v>
      </c>
      <c r="G2930" s="1">
        <f t="shared" si="1237"/>
        <v>44026</v>
      </c>
      <c r="H2930" s="2">
        <f t="shared" ca="1" si="1238"/>
        <v>227</v>
      </c>
      <c r="I2930" t="str">
        <f t="shared" si="1239"/>
        <v>COPPER</v>
      </c>
      <c r="J2930">
        <f t="shared" si="1240"/>
        <v>2.8</v>
      </c>
      <c r="K2930">
        <f t="shared" si="1241"/>
        <v>2.97</v>
      </c>
      <c r="L2930">
        <f t="shared" si="1242"/>
        <v>2.8849999999999998</v>
      </c>
      <c r="M2930">
        <f t="shared" si="1243"/>
        <v>8.5000000000000187E-2</v>
      </c>
      <c r="N2930">
        <f t="shared" si="1232"/>
        <v>0.17000000000000037</v>
      </c>
      <c r="O2930">
        <f t="shared" si="1244"/>
        <v>2.95</v>
      </c>
      <c r="P2930">
        <f t="shared" si="1245"/>
        <v>0.76470588235294412</v>
      </c>
      <c r="Q2930" t="str">
        <f t="shared" si="1233"/>
        <v>5.08% | 0.68%</v>
      </c>
      <c r="R2930" t="str">
        <f t="shared" si="1246"/>
        <v>BULLISH</v>
      </c>
      <c r="S2930">
        <f t="shared" si="1234"/>
        <v>1</v>
      </c>
    </row>
    <row r="2931" spans="1:19" hidden="1" x14ac:dyDescent="0.25">
      <c r="A2931" s="5" t="str">
        <f t="shared" si="1235"/>
        <v>44026MSFT</v>
      </c>
      <c r="B2931" s="6" t="s">
        <v>27</v>
      </c>
      <c r="C2931" s="6">
        <v>200</v>
      </c>
      <c r="D2931" s="6">
        <v>217</v>
      </c>
      <c r="E2931" s="6">
        <v>207</v>
      </c>
      <c r="F2931" t="str">
        <f t="shared" si="1236"/>
        <v>TUE</v>
      </c>
      <c r="G2931" s="1">
        <f t="shared" si="1237"/>
        <v>44026</v>
      </c>
      <c r="H2931" s="2">
        <f t="shared" ca="1" si="1238"/>
        <v>227</v>
      </c>
      <c r="I2931" t="str">
        <f t="shared" si="1239"/>
        <v>MSFT</v>
      </c>
      <c r="J2931">
        <f t="shared" si="1240"/>
        <v>200</v>
      </c>
      <c r="K2931">
        <f t="shared" si="1241"/>
        <v>217</v>
      </c>
      <c r="L2931">
        <f t="shared" si="1242"/>
        <v>208.5</v>
      </c>
      <c r="M2931">
        <f t="shared" si="1243"/>
        <v>8.5</v>
      </c>
      <c r="N2931">
        <f t="shared" si="1232"/>
        <v>17</v>
      </c>
      <c r="O2931">
        <f t="shared" si="1244"/>
        <v>207</v>
      </c>
      <c r="P2931">
        <f t="shared" si="1245"/>
        <v>-0.17647058823529413</v>
      </c>
      <c r="Q2931" t="str">
        <f t="shared" si="1233"/>
        <v>3.38% | 4.83%</v>
      </c>
      <c r="R2931" t="str">
        <f t="shared" si="1246"/>
        <v>BULLISH</v>
      </c>
      <c r="S2931">
        <f t="shared" si="1234"/>
        <v>1</v>
      </c>
    </row>
    <row r="2932" spans="1:19" hidden="1" x14ac:dyDescent="0.25">
      <c r="A2932" s="5" t="str">
        <f t="shared" si="1235"/>
        <v>44026AAPL</v>
      </c>
      <c r="B2932" s="6" t="s">
        <v>28</v>
      </c>
      <c r="C2932" s="6">
        <v>356</v>
      </c>
      <c r="D2932" s="6">
        <v>389</v>
      </c>
      <c r="E2932" s="6">
        <v>381</v>
      </c>
      <c r="F2932" t="str">
        <f t="shared" si="1236"/>
        <v>TUE</v>
      </c>
      <c r="G2932" s="1">
        <f t="shared" si="1237"/>
        <v>44026</v>
      </c>
      <c r="H2932" s="2">
        <f t="shared" ca="1" si="1238"/>
        <v>227</v>
      </c>
      <c r="I2932" t="str">
        <f t="shared" si="1239"/>
        <v>AAPL</v>
      </c>
      <c r="J2932">
        <f t="shared" si="1240"/>
        <v>356</v>
      </c>
      <c r="K2932">
        <f t="shared" si="1241"/>
        <v>389</v>
      </c>
      <c r="L2932">
        <f t="shared" si="1242"/>
        <v>372.5</v>
      </c>
      <c r="M2932">
        <f t="shared" si="1243"/>
        <v>16.5</v>
      </c>
      <c r="N2932">
        <f t="shared" si="1232"/>
        <v>33</v>
      </c>
      <c r="O2932">
        <f t="shared" si="1244"/>
        <v>381</v>
      </c>
      <c r="P2932">
        <f t="shared" si="1245"/>
        <v>0.51515151515151514</v>
      </c>
      <c r="Q2932" t="str">
        <f t="shared" si="1233"/>
        <v>6.56% | 2.1%</v>
      </c>
      <c r="R2932" t="str">
        <f t="shared" si="1246"/>
        <v>BULLISH</v>
      </c>
      <c r="S2932">
        <f t="shared" si="1234"/>
        <v>1</v>
      </c>
    </row>
    <row r="2933" spans="1:19" hidden="1" x14ac:dyDescent="0.25">
      <c r="A2933" s="5" t="str">
        <f t="shared" si="1235"/>
        <v>44026AMZN</v>
      </c>
      <c r="B2933" s="6" t="s">
        <v>29</v>
      </c>
      <c r="C2933" s="6">
        <v>2985</v>
      </c>
      <c r="D2933" s="6">
        <v>3299</v>
      </c>
      <c r="E2933" s="6">
        <v>3104</v>
      </c>
      <c r="F2933" t="str">
        <f t="shared" si="1236"/>
        <v>TUE</v>
      </c>
      <c r="G2933" s="1">
        <f t="shared" si="1237"/>
        <v>44026</v>
      </c>
      <c r="H2933" s="2">
        <f t="shared" ca="1" si="1238"/>
        <v>227</v>
      </c>
      <c r="I2933" t="str">
        <f t="shared" si="1239"/>
        <v>AMZN</v>
      </c>
      <c r="J2933">
        <f t="shared" si="1240"/>
        <v>2985</v>
      </c>
      <c r="K2933">
        <f t="shared" si="1241"/>
        <v>3299</v>
      </c>
      <c r="L2933">
        <f t="shared" si="1242"/>
        <v>3142</v>
      </c>
      <c r="M2933">
        <f t="shared" si="1243"/>
        <v>157</v>
      </c>
      <c r="N2933">
        <f t="shared" si="1232"/>
        <v>314</v>
      </c>
      <c r="O2933">
        <f t="shared" si="1244"/>
        <v>3104</v>
      </c>
      <c r="P2933">
        <f t="shared" si="1245"/>
        <v>-0.24203821656050956</v>
      </c>
      <c r="Q2933" t="str">
        <f t="shared" si="1233"/>
        <v>3.83% | 6.28%</v>
      </c>
      <c r="R2933" t="str">
        <f t="shared" si="1246"/>
        <v>BULLISH</v>
      </c>
      <c r="S2933">
        <f t="shared" si="1234"/>
        <v>1</v>
      </c>
    </row>
    <row r="2934" spans="1:19" hidden="1" x14ac:dyDescent="0.25">
      <c r="A2934" s="5" t="str">
        <f t="shared" si="1235"/>
        <v>44026FB</v>
      </c>
      <c r="B2934" s="6" t="s">
        <v>30</v>
      </c>
      <c r="C2934" s="6">
        <v>225</v>
      </c>
      <c r="D2934" s="6">
        <v>250</v>
      </c>
      <c r="E2934" s="6">
        <v>239</v>
      </c>
      <c r="F2934" t="str">
        <f t="shared" si="1236"/>
        <v>TUE</v>
      </c>
      <c r="G2934" s="1">
        <f t="shared" si="1237"/>
        <v>44026</v>
      </c>
      <c r="H2934" s="2">
        <f t="shared" ca="1" si="1238"/>
        <v>227</v>
      </c>
      <c r="I2934" t="str">
        <f t="shared" si="1239"/>
        <v>FB</v>
      </c>
      <c r="J2934">
        <f t="shared" si="1240"/>
        <v>225</v>
      </c>
      <c r="K2934">
        <f t="shared" si="1241"/>
        <v>250</v>
      </c>
      <c r="L2934">
        <f t="shared" si="1242"/>
        <v>237.5</v>
      </c>
      <c r="M2934">
        <f t="shared" si="1243"/>
        <v>12.5</v>
      </c>
      <c r="N2934">
        <f t="shared" si="1232"/>
        <v>25</v>
      </c>
      <c r="O2934">
        <f t="shared" si="1244"/>
        <v>239</v>
      </c>
      <c r="P2934">
        <f t="shared" si="1245"/>
        <v>0.12</v>
      </c>
      <c r="Q2934" t="str">
        <f t="shared" si="1233"/>
        <v>5.86% | 4.6%</v>
      </c>
      <c r="R2934" t="str">
        <f t="shared" si="1246"/>
        <v>BULLISH</v>
      </c>
      <c r="S2934">
        <f t="shared" si="1234"/>
        <v>1</v>
      </c>
    </row>
    <row r="2935" spans="1:19" hidden="1" x14ac:dyDescent="0.25">
      <c r="A2935" s="5" t="str">
        <f t="shared" si="1235"/>
        <v>44026GOOGL</v>
      </c>
      <c r="B2935" s="6" t="s">
        <v>31</v>
      </c>
      <c r="C2935" s="6">
        <v>1396</v>
      </c>
      <c r="D2935" s="6">
        <v>1561</v>
      </c>
      <c r="E2935" s="6">
        <v>1512</v>
      </c>
      <c r="F2935" t="str">
        <f t="shared" si="1236"/>
        <v>TUE</v>
      </c>
      <c r="G2935" s="1">
        <f t="shared" si="1237"/>
        <v>44026</v>
      </c>
      <c r="H2935" s="2">
        <f t="shared" ca="1" si="1238"/>
        <v>227</v>
      </c>
      <c r="I2935" t="str">
        <f t="shared" si="1239"/>
        <v>GOOGL</v>
      </c>
      <c r="J2935">
        <f t="shared" si="1240"/>
        <v>1396</v>
      </c>
      <c r="K2935">
        <f t="shared" si="1241"/>
        <v>1561</v>
      </c>
      <c r="L2935">
        <f t="shared" si="1242"/>
        <v>1478.5</v>
      </c>
      <c r="M2935">
        <f t="shared" si="1243"/>
        <v>82.5</v>
      </c>
      <c r="N2935">
        <f t="shared" si="1232"/>
        <v>165</v>
      </c>
      <c r="O2935">
        <f t="shared" si="1244"/>
        <v>1512</v>
      </c>
      <c r="P2935">
        <f t="shared" si="1245"/>
        <v>0.40606060606060607</v>
      </c>
      <c r="Q2935" t="str">
        <f t="shared" si="1233"/>
        <v>7.67% | 3.24%</v>
      </c>
      <c r="R2935" t="str">
        <f t="shared" si="1246"/>
        <v>BULLISH</v>
      </c>
      <c r="S2935">
        <f t="shared" si="1234"/>
        <v>1</v>
      </c>
    </row>
    <row r="2936" spans="1:19" hidden="1" x14ac:dyDescent="0.25">
      <c r="A2936" s="5" t="str">
        <f t="shared" si="1235"/>
        <v>44026NFLX</v>
      </c>
      <c r="B2936" s="6" t="s">
        <v>32</v>
      </c>
      <c r="C2936" s="6">
        <v>446</v>
      </c>
      <c r="D2936" s="6">
        <v>550</v>
      </c>
      <c r="E2936" s="6">
        <v>525</v>
      </c>
      <c r="F2936" t="str">
        <f t="shared" si="1236"/>
        <v>TUE</v>
      </c>
      <c r="G2936" s="1">
        <f t="shared" si="1237"/>
        <v>44026</v>
      </c>
      <c r="H2936" s="2">
        <f t="shared" ca="1" si="1238"/>
        <v>227</v>
      </c>
      <c r="I2936" t="str">
        <f t="shared" si="1239"/>
        <v>NFLX</v>
      </c>
      <c r="J2936">
        <f t="shared" si="1240"/>
        <v>446</v>
      </c>
      <c r="K2936">
        <f t="shared" si="1241"/>
        <v>550</v>
      </c>
      <c r="L2936">
        <f t="shared" si="1242"/>
        <v>498</v>
      </c>
      <c r="M2936">
        <f t="shared" si="1243"/>
        <v>52</v>
      </c>
      <c r="N2936">
        <f t="shared" si="1232"/>
        <v>104</v>
      </c>
      <c r="O2936">
        <f t="shared" si="1244"/>
        <v>525</v>
      </c>
      <c r="P2936">
        <f t="shared" si="1245"/>
        <v>0.51923076923076927</v>
      </c>
      <c r="Q2936" t="str">
        <f t="shared" si="1233"/>
        <v>15.05% | 4.76%</v>
      </c>
      <c r="R2936" t="str">
        <f t="shared" si="1246"/>
        <v>BULLISH</v>
      </c>
      <c r="S2936">
        <f t="shared" si="1234"/>
        <v>1</v>
      </c>
    </row>
    <row r="2937" spans="1:19" x14ac:dyDescent="0.25">
      <c r="A2937" s="5" t="str">
        <f t="shared" si="1235"/>
        <v>44026TSLA</v>
      </c>
      <c r="B2937" s="6" t="s">
        <v>33</v>
      </c>
      <c r="C2937" s="6">
        <v>1320</v>
      </c>
      <c r="D2937" s="6">
        <v>1642</v>
      </c>
      <c r="E2937" s="6">
        <v>1497</v>
      </c>
      <c r="F2937" t="str">
        <f t="shared" si="1236"/>
        <v>TUE</v>
      </c>
      <c r="G2937" s="1">
        <f t="shared" si="1237"/>
        <v>44026</v>
      </c>
      <c r="H2937" s="2">
        <f t="shared" ca="1" si="1238"/>
        <v>227</v>
      </c>
      <c r="I2937" t="str">
        <f t="shared" si="1239"/>
        <v>TSLA</v>
      </c>
      <c r="J2937">
        <f t="shared" si="1240"/>
        <v>1320</v>
      </c>
      <c r="K2937">
        <f t="shared" si="1241"/>
        <v>1642</v>
      </c>
      <c r="L2937">
        <f t="shared" si="1242"/>
        <v>1481</v>
      </c>
      <c r="M2937">
        <f t="shared" si="1243"/>
        <v>161</v>
      </c>
      <c r="N2937">
        <f t="shared" si="1232"/>
        <v>322</v>
      </c>
      <c r="O2937">
        <f t="shared" si="1244"/>
        <v>1497</v>
      </c>
      <c r="P2937">
        <f t="shared" si="1245"/>
        <v>9.9378881987577633E-2</v>
      </c>
      <c r="Q2937" t="str">
        <f t="shared" si="1233"/>
        <v>11.82% | 9.69%</v>
      </c>
      <c r="R2937" t="str">
        <f t="shared" si="1246"/>
        <v>BULLISH</v>
      </c>
      <c r="S2937">
        <f t="shared" si="1234"/>
        <v>1</v>
      </c>
    </row>
    <row r="2938" spans="1:19" hidden="1" x14ac:dyDescent="0.25">
      <c r="A2938" s="5" t="str">
        <f t="shared" si="1235"/>
        <v>44026NYXBT</v>
      </c>
      <c r="B2938" s="6" t="s">
        <v>34</v>
      </c>
      <c r="C2938" s="6">
        <v>9095</v>
      </c>
      <c r="D2938" s="6">
        <v>9451</v>
      </c>
      <c r="E2938" s="6">
        <v>9321</v>
      </c>
      <c r="F2938" t="str">
        <f t="shared" si="1236"/>
        <v>TUE</v>
      </c>
      <c r="G2938" s="1">
        <f t="shared" si="1237"/>
        <v>44026</v>
      </c>
      <c r="H2938" s="2">
        <f t="shared" ca="1" si="1238"/>
        <v>227</v>
      </c>
      <c r="I2938" t="str">
        <f t="shared" si="1239"/>
        <v>NYXBT</v>
      </c>
      <c r="J2938">
        <f t="shared" si="1240"/>
        <v>9095</v>
      </c>
      <c r="K2938">
        <f t="shared" si="1241"/>
        <v>9451</v>
      </c>
      <c r="L2938">
        <f t="shared" si="1242"/>
        <v>9273</v>
      </c>
      <c r="M2938">
        <f t="shared" si="1243"/>
        <v>178</v>
      </c>
      <c r="N2938">
        <f t="shared" si="1232"/>
        <v>356</v>
      </c>
      <c r="O2938">
        <f t="shared" si="1244"/>
        <v>9321</v>
      </c>
      <c r="P2938">
        <f t="shared" si="1245"/>
        <v>0.2696629213483146</v>
      </c>
      <c r="Q2938" t="str">
        <f t="shared" si="1233"/>
        <v>2.42% | 1.39%</v>
      </c>
      <c r="R2938" t="str">
        <f t="shared" si="1246"/>
        <v>BULLISH</v>
      </c>
      <c r="S2938">
        <f t="shared" si="1234"/>
        <v>1</v>
      </c>
    </row>
    <row r="2939" spans="1:19" hidden="1" x14ac:dyDescent="0.25">
      <c r="A2939" s="5" t="str">
        <f t="shared" si="1235"/>
        <v>44027UST10Y</v>
      </c>
      <c r="B2939" s="6" t="s">
        <v>4</v>
      </c>
      <c r="C2939" s="6">
        <v>0.68</v>
      </c>
      <c r="D2939" s="6">
        <v>0.59</v>
      </c>
      <c r="E2939" s="6">
        <v>0.63</v>
      </c>
      <c r="F2939" t="str">
        <f t="shared" si="1236"/>
        <v>WED</v>
      </c>
      <c r="G2939" s="3">
        <f>DATE(2020,7,15)</f>
        <v>44027</v>
      </c>
      <c r="H2939" s="2">
        <f t="shared" ca="1" si="1238"/>
        <v>226</v>
      </c>
      <c r="I2939" t="str">
        <f t="shared" si="1239"/>
        <v>UST10Y</v>
      </c>
      <c r="J2939">
        <f t="shared" si="1240"/>
        <v>0.68</v>
      </c>
      <c r="K2939">
        <f t="shared" si="1241"/>
        <v>0.59</v>
      </c>
      <c r="L2939">
        <f t="shared" si="1242"/>
        <v>0.63500000000000001</v>
      </c>
      <c r="M2939">
        <f t="shared" si="1243"/>
        <v>4.500000000000004E-2</v>
      </c>
      <c r="N2939">
        <f t="shared" si="1232"/>
        <v>9.000000000000008E-2</v>
      </c>
      <c r="O2939">
        <f t="shared" si="1244"/>
        <v>0.63</v>
      </c>
      <c r="P2939">
        <f t="shared" si="1245"/>
        <v>-0.1111111111111111</v>
      </c>
      <c r="Q2939" t="str">
        <f t="shared" si="1233"/>
        <v>7.94% | 6.35%</v>
      </c>
      <c r="R2939" t="str">
        <f t="shared" si="1246"/>
        <v>BEARISH</v>
      </c>
      <c r="S2939">
        <f t="shared" si="1234"/>
        <v>-1</v>
      </c>
    </row>
    <row r="2940" spans="1:19" hidden="1" x14ac:dyDescent="0.25">
      <c r="A2940" s="5" t="str">
        <f t="shared" si="1235"/>
        <v>44027UST2Y</v>
      </c>
      <c r="B2940" s="6" t="s">
        <v>5</v>
      </c>
      <c r="C2940" s="6">
        <v>0.18</v>
      </c>
      <c r="D2940" s="6">
        <v>0.13</v>
      </c>
      <c r="E2940" s="6">
        <v>0.14000000000000001</v>
      </c>
      <c r="F2940" t="str">
        <f t="shared" ref="F2940:F2968" si="1247">UPPER(TEXT(G2940,"ddd"))</f>
        <v>WED</v>
      </c>
      <c r="G2940" s="3">
        <f t="shared" ref="G2940:G2967" si="1248">DATE(2020,7,15)</f>
        <v>44027</v>
      </c>
      <c r="H2940" s="2">
        <f t="shared" ref="H2940:H2968" ca="1" si="1249">TODAY()-G2940</f>
        <v>226</v>
      </c>
      <c r="I2940" t="str">
        <f t="shared" ref="I2940:I2968" si="1250">TRIM(LEFT(B2940,FIND(" ",B2940,1)))</f>
        <v>UST2Y</v>
      </c>
      <c r="J2940">
        <f t="shared" ref="J2940:J2968" si="1251">C2940</f>
        <v>0.18</v>
      </c>
      <c r="K2940">
        <f t="shared" ref="K2940:K2968" si="1252">D2940</f>
        <v>0.13</v>
      </c>
      <c r="L2940">
        <f t="shared" ref="L2940:L2968" si="1253">AVERAGE(J2940:K2940)</f>
        <v>0.155</v>
      </c>
      <c r="M2940">
        <f t="shared" ref="M2940:M2968" si="1254">_xlfn.STDEV.P(J2940:K2940)</f>
        <v>2.4999999999999942E-2</v>
      </c>
      <c r="N2940">
        <f t="shared" si="1232"/>
        <v>4.9999999999999989E-2</v>
      </c>
      <c r="O2940">
        <f t="shared" ref="O2940:O2968" si="1255">E2940</f>
        <v>0.14000000000000001</v>
      </c>
      <c r="P2940">
        <f t="shared" ref="P2940:P2968" si="1256">(O2940-L2940)/M2940</f>
        <v>-0.60000000000000075</v>
      </c>
      <c r="Q2940" t="str">
        <f t="shared" si="1233"/>
        <v>28.57% | 7.14%</v>
      </c>
      <c r="R2940" t="str">
        <f t="shared" ref="R2940:R2968" si="1257">MID(B2940,FIND("(",B2940,1)+1,FIND(")",B2940,1)-FIND("(",B2940,1)-1)</f>
        <v>BEARISH</v>
      </c>
      <c r="S2940">
        <f t="shared" si="1234"/>
        <v>-1</v>
      </c>
    </row>
    <row r="2941" spans="1:19" hidden="1" x14ac:dyDescent="0.25">
      <c r="A2941" s="5" t="str">
        <f t="shared" si="1235"/>
        <v>44027SPX</v>
      </c>
      <c r="B2941" s="6" t="s">
        <v>6</v>
      </c>
      <c r="C2941" s="6">
        <v>3101</v>
      </c>
      <c r="D2941" s="6">
        <v>3219</v>
      </c>
      <c r="E2941" s="6">
        <v>3197</v>
      </c>
      <c r="F2941" t="str">
        <f t="shared" si="1247"/>
        <v>WED</v>
      </c>
      <c r="G2941" s="3">
        <f t="shared" si="1248"/>
        <v>44027</v>
      </c>
      <c r="H2941" s="2">
        <f t="shared" ca="1" si="1249"/>
        <v>226</v>
      </c>
      <c r="I2941" t="str">
        <f t="shared" si="1250"/>
        <v>SPX</v>
      </c>
      <c r="J2941">
        <f t="shared" si="1251"/>
        <v>3101</v>
      </c>
      <c r="K2941">
        <f t="shared" si="1252"/>
        <v>3219</v>
      </c>
      <c r="L2941">
        <f t="shared" si="1253"/>
        <v>3160</v>
      </c>
      <c r="M2941">
        <f t="shared" si="1254"/>
        <v>59</v>
      </c>
      <c r="N2941">
        <f t="shared" si="1232"/>
        <v>118</v>
      </c>
      <c r="O2941">
        <f t="shared" si="1255"/>
        <v>3197</v>
      </c>
      <c r="P2941">
        <f t="shared" si="1256"/>
        <v>0.6271186440677966</v>
      </c>
      <c r="Q2941" t="str">
        <f t="shared" si="1233"/>
        <v>3% | 0.69%</v>
      </c>
      <c r="R2941" t="str">
        <f t="shared" si="1257"/>
        <v>BEARISH</v>
      </c>
      <c r="S2941">
        <f t="shared" si="1234"/>
        <v>-1</v>
      </c>
    </row>
    <row r="2942" spans="1:19" hidden="1" x14ac:dyDescent="0.25">
      <c r="A2942" s="5" t="str">
        <f t="shared" si="1235"/>
        <v>44027RUT</v>
      </c>
      <c r="B2942" s="6" t="s">
        <v>7</v>
      </c>
      <c r="C2942" s="6">
        <v>1385</v>
      </c>
      <c r="D2942" s="6">
        <v>1449</v>
      </c>
      <c r="E2942" s="6">
        <v>1428</v>
      </c>
      <c r="F2942" t="str">
        <f t="shared" si="1247"/>
        <v>WED</v>
      </c>
      <c r="G2942" s="3">
        <f t="shared" si="1248"/>
        <v>44027</v>
      </c>
      <c r="H2942" s="2">
        <f t="shared" ca="1" si="1249"/>
        <v>226</v>
      </c>
      <c r="I2942" t="str">
        <f t="shared" si="1250"/>
        <v>RUT</v>
      </c>
      <c r="J2942">
        <f t="shared" si="1251"/>
        <v>1385</v>
      </c>
      <c r="K2942">
        <f t="shared" si="1252"/>
        <v>1449</v>
      </c>
      <c r="L2942">
        <f t="shared" si="1253"/>
        <v>1417</v>
      </c>
      <c r="M2942">
        <f t="shared" si="1254"/>
        <v>32</v>
      </c>
      <c r="N2942">
        <f t="shared" si="1232"/>
        <v>64</v>
      </c>
      <c r="O2942">
        <f t="shared" si="1255"/>
        <v>1428</v>
      </c>
      <c r="P2942">
        <f t="shared" si="1256"/>
        <v>0.34375</v>
      </c>
      <c r="Q2942" t="str">
        <f t="shared" si="1233"/>
        <v>3.01% | 1.47%</v>
      </c>
      <c r="R2942" t="str">
        <f t="shared" si="1257"/>
        <v>BEARISH</v>
      </c>
      <c r="S2942">
        <f t="shared" si="1234"/>
        <v>-1</v>
      </c>
    </row>
    <row r="2943" spans="1:19" hidden="1" x14ac:dyDescent="0.25">
      <c r="A2943" s="5" t="str">
        <f t="shared" si="1235"/>
        <v>44027COMPQ</v>
      </c>
      <c r="B2943" s="6" t="s">
        <v>8</v>
      </c>
      <c r="C2943" s="6">
        <v>10213</v>
      </c>
      <c r="D2943" s="6">
        <v>10684</v>
      </c>
      <c r="E2943" s="6">
        <v>10488</v>
      </c>
      <c r="F2943" t="str">
        <f t="shared" si="1247"/>
        <v>WED</v>
      </c>
      <c r="G2943" s="3">
        <f t="shared" si="1248"/>
        <v>44027</v>
      </c>
      <c r="H2943" s="2">
        <f t="shared" ca="1" si="1249"/>
        <v>226</v>
      </c>
      <c r="I2943" t="str">
        <f t="shared" si="1250"/>
        <v>COMPQ</v>
      </c>
      <c r="J2943">
        <f t="shared" si="1251"/>
        <v>10213</v>
      </c>
      <c r="K2943">
        <f t="shared" si="1252"/>
        <v>10684</v>
      </c>
      <c r="L2943">
        <f t="shared" si="1253"/>
        <v>10448.5</v>
      </c>
      <c r="M2943">
        <f t="shared" si="1254"/>
        <v>235.5</v>
      </c>
      <c r="N2943">
        <f t="shared" si="1232"/>
        <v>471</v>
      </c>
      <c r="O2943">
        <f t="shared" si="1255"/>
        <v>10488</v>
      </c>
      <c r="P2943">
        <f t="shared" si="1256"/>
        <v>0.16772823779193205</v>
      </c>
      <c r="Q2943" t="str">
        <f t="shared" si="1233"/>
        <v>2.62% | 1.87%</v>
      </c>
      <c r="R2943" t="str">
        <f t="shared" si="1257"/>
        <v>BULLISH</v>
      </c>
      <c r="S2943">
        <f t="shared" si="1234"/>
        <v>1</v>
      </c>
    </row>
    <row r="2944" spans="1:19" hidden="1" x14ac:dyDescent="0.25">
      <c r="A2944" s="5" t="str">
        <f t="shared" si="1235"/>
        <v>44027XLK</v>
      </c>
      <c r="B2944" s="6" t="s">
        <v>10</v>
      </c>
      <c r="C2944" s="6">
        <v>103.34</v>
      </c>
      <c r="D2944" s="6">
        <v>109.12</v>
      </c>
      <c r="E2944" s="6">
        <v>107.06</v>
      </c>
      <c r="F2944" t="str">
        <f t="shared" si="1247"/>
        <v>WED</v>
      </c>
      <c r="G2944" s="3">
        <f t="shared" si="1248"/>
        <v>44027</v>
      </c>
      <c r="H2944" s="2">
        <f t="shared" ca="1" si="1249"/>
        <v>226</v>
      </c>
      <c r="I2944" t="str">
        <f t="shared" si="1250"/>
        <v>XLK</v>
      </c>
      <c r="J2944">
        <f t="shared" si="1251"/>
        <v>103.34</v>
      </c>
      <c r="K2944">
        <f t="shared" si="1252"/>
        <v>109.12</v>
      </c>
      <c r="L2944">
        <f t="shared" si="1253"/>
        <v>106.23</v>
      </c>
      <c r="M2944">
        <f t="shared" si="1254"/>
        <v>2.8900000000000006</v>
      </c>
      <c r="N2944">
        <f t="shared" si="1232"/>
        <v>5.7800000000000011</v>
      </c>
      <c r="O2944">
        <f t="shared" si="1255"/>
        <v>107.06</v>
      </c>
      <c r="P2944">
        <f t="shared" si="1256"/>
        <v>0.28719723183390938</v>
      </c>
      <c r="Q2944" t="str">
        <f t="shared" si="1233"/>
        <v>3.47% | 1.92%</v>
      </c>
      <c r="R2944" t="str">
        <f t="shared" si="1257"/>
        <v>BULLISH</v>
      </c>
      <c r="S2944">
        <f t="shared" si="1234"/>
        <v>1</v>
      </c>
    </row>
    <row r="2945" spans="1:19" hidden="1" x14ac:dyDescent="0.25">
      <c r="A2945" s="5" t="str">
        <f t="shared" si="1235"/>
        <v>44027XLRE</v>
      </c>
      <c r="B2945" s="6" t="s">
        <v>97</v>
      </c>
      <c r="C2945" s="6">
        <v>34.020000000000003</v>
      </c>
      <c r="D2945" s="6">
        <v>36.01</v>
      </c>
      <c r="E2945" s="6">
        <v>34.79</v>
      </c>
      <c r="F2945" t="str">
        <f t="shared" si="1247"/>
        <v>WED</v>
      </c>
      <c r="G2945" s="3">
        <f t="shared" si="1248"/>
        <v>44027</v>
      </c>
      <c r="H2945" s="2">
        <f t="shared" ca="1" si="1249"/>
        <v>226</v>
      </c>
      <c r="I2945" t="str">
        <f t="shared" si="1250"/>
        <v>XLRE</v>
      </c>
      <c r="J2945">
        <f t="shared" si="1251"/>
        <v>34.020000000000003</v>
      </c>
      <c r="K2945">
        <f t="shared" si="1252"/>
        <v>36.01</v>
      </c>
      <c r="L2945">
        <f t="shared" si="1253"/>
        <v>35.015000000000001</v>
      </c>
      <c r="M2945">
        <f t="shared" si="1254"/>
        <v>0.99499999999999744</v>
      </c>
      <c r="N2945">
        <f t="shared" si="1232"/>
        <v>1.9899999999999949</v>
      </c>
      <c r="O2945">
        <f t="shared" si="1255"/>
        <v>34.79</v>
      </c>
      <c r="P2945">
        <f t="shared" si="1256"/>
        <v>-0.22613065326633366</v>
      </c>
      <c r="Q2945" t="str">
        <f t="shared" si="1233"/>
        <v>2.21% | 3.51%</v>
      </c>
      <c r="R2945" t="str">
        <f t="shared" si="1257"/>
        <v>BULLISH</v>
      </c>
      <c r="S2945">
        <f t="shared" si="1234"/>
        <v>1</v>
      </c>
    </row>
    <row r="2946" spans="1:19" hidden="1" x14ac:dyDescent="0.25">
      <c r="A2946" s="5" t="str">
        <f t="shared" si="1235"/>
        <v>44027XLU</v>
      </c>
      <c r="B2946" s="6" t="s">
        <v>80</v>
      </c>
      <c r="C2946" s="6">
        <v>56.37</v>
      </c>
      <c r="D2946" s="6">
        <v>58.63</v>
      </c>
      <c r="E2946" s="6">
        <v>58.37</v>
      </c>
      <c r="F2946" t="str">
        <f t="shared" si="1247"/>
        <v>WED</v>
      </c>
      <c r="G2946" s="3">
        <f t="shared" si="1248"/>
        <v>44027</v>
      </c>
      <c r="H2946" s="2">
        <f t="shared" ca="1" si="1249"/>
        <v>226</v>
      </c>
      <c r="I2946" t="str">
        <f t="shared" si="1250"/>
        <v>XLU</v>
      </c>
      <c r="J2946">
        <f t="shared" si="1251"/>
        <v>56.37</v>
      </c>
      <c r="K2946">
        <f t="shared" si="1252"/>
        <v>58.63</v>
      </c>
      <c r="L2946">
        <f t="shared" si="1253"/>
        <v>57.5</v>
      </c>
      <c r="M2946">
        <f t="shared" si="1254"/>
        <v>1.1300000000000026</v>
      </c>
      <c r="N2946">
        <f t="shared" si="1232"/>
        <v>2.2600000000000051</v>
      </c>
      <c r="O2946">
        <f t="shared" si="1255"/>
        <v>58.37</v>
      </c>
      <c r="P2946">
        <f t="shared" si="1256"/>
        <v>0.76991150442477474</v>
      </c>
      <c r="Q2946" t="str">
        <f t="shared" si="1233"/>
        <v>3.43% | 0.45%</v>
      </c>
      <c r="R2946" t="str">
        <f t="shared" si="1257"/>
        <v>NEUTRAL</v>
      </c>
      <c r="S2946">
        <f t="shared" si="1234"/>
        <v>0</v>
      </c>
    </row>
    <row r="2947" spans="1:19" hidden="1" x14ac:dyDescent="0.25">
      <c r="A2947" s="5" t="str">
        <f t="shared" si="1235"/>
        <v>44027XLF</v>
      </c>
      <c r="B2947" s="6" t="s">
        <v>12</v>
      </c>
      <c r="C2947" s="6">
        <v>22.15</v>
      </c>
      <c r="D2947" s="6">
        <v>23.98</v>
      </c>
      <c r="E2947" s="6">
        <v>23.68</v>
      </c>
      <c r="F2947" t="str">
        <f t="shared" si="1247"/>
        <v>WED</v>
      </c>
      <c r="G2947" s="3">
        <f t="shared" si="1248"/>
        <v>44027</v>
      </c>
      <c r="H2947" s="2">
        <f t="shared" ca="1" si="1249"/>
        <v>226</v>
      </c>
      <c r="I2947" t="str">
        <f t="shared" si="1250"/>
        <v>XLF</v>
      </c>
      <c r="J2947">
        <f t="shared" si="1251"/>
        <v>22.15</v>
      </c>
      <c r="K2947">
        <f t="shared" si="1252"/>
        <v>23.98</v>
      </c>
      <c r="L2947">
        <f t="shared" si="1253"/>
        <v>23.064999999999998</v>
      </c>
      <c r="M2947">
        <f t="shared" si="1254"/>
        <v>0.91500000000000092</v>
      </c>
      <c r="N2947">
        <f t="shared" ref="N2947:N3010" si="1258">ABS(K2947-J2947)</f>
        <v>1.8300000000000018</v>
      </c>
      <c r="O2947">
        <f t="shared" si="1255"/>
        <v>23.68</v>
      </c>
      <c r="P2947">
        <f t="shared" si="1256"/>
        <v>0.67213114754098513</v>
      </c>
      <c r="Q2947" t="str">
        <f t="shared" ref="Q2947:Q3010" si="1259">ROUND(ABS(100*(O2947-J2947)/O2947),2)&amp;"% | "&amp;ROUND(ABS(100*(K2947-O2947)/O2947),2)&amp;"%"</f>
        <v>6.46% | 1.27%</v>
      </c>
      <c r="R2947" t="str">
        <f t="shared" si="1257"/>
        <v>BEARISH</v>
      </c>
      <c r="S2947">
        <f t="shared" ref="S2947:S3010" si="1260">IF(R2947="BEARISH",-1,IF(R2947="NEUTRAL",0,IF(R2947="BULLISH",1,99)))</f>
        <v>-1</v>
      </c>
    </row>
    <row r="2948" spans="1:19" hidden="1" x14ac:dyDescent="0.25">
      <c r="A2948" s="5" t="str">
        <f t="shared" ref="A2948:A3011" si="1261">G2948&amp;I2948</f>
        <v>44027SSEC</v>
      </c>
      <c r="B2948" s="6" t="s">
        <v>104</v>
      </c>
      <c r="C2948" s="6">
        <v>3235</v>
      </c>
      <c r="D2948" s="6">
        <v>3578</v>
      </c>
      <c r="E2948" s="6">
        <v>3361</v>
      </c>
      <c r="F2948" t="str">
        <f t="shared" si="1247"/>
        <v>WED</v>
      </c>
      <c r="G2948" s="3">
        <f t="shared" si="1248"/>
        <v>44027</v>
      </c>
      <c r="H2948" s="2">
        <f t="shared" ca="1" si="1249"/>
        <v>226</v>
      </c>
      <c r="I2948" t="str">
        <f t="shared" si="1250"/>
        <v>SSEC</v>
      </c>
      <c r="J2948">
        <f t="shared" si="1251"/>
        <v>3235</v>
      </c>
      <c r="K2948">
        <f t="shared" si="1252"/>
        <v>3578</v>
      </c>
      <c r="L2948">
        <f t="shared" si="1253"/>
        <v>3406.5</v>
      </c>
      <c r="M2948">
        <f t="shared" si="1254"/>
        <v>171.5</v>
      </c>
      <c r="N2948">
        <f t="shared" si="1258"/>
        <v>343</v>
      </c>
      <c r="O2948">
        <f t="shared" si="1255"/>
        <v>3361</v>
      </c>
      <c r="P2948">
        <f t="shared" si="1256"/>
        <v>-0.26530612244897961</v>
      </c>
      <c r="Q2948" t="str">
        <f t="shared" si="1259"/>
        <v>3.75% | 6.46%</v>
      </c>
      <c r="R2948" t="str">
        <f t="shared" si="1257"/>
        <v>BULLISH</v>
      </c>
      <c r="S2948">
        <f t="shared" si="1260"/>
        <v>1</v>
      </c>
    </row>
    <row r="2949" spans="1:19" hidden="1" x14ac:dyDescent="0.25">
      <c r="A2949" s="5" t="str">
        <f t="shared" si="1261"/>
        <v>44027NIKK</v>
      </c>
      <c r="B2949" s="6" t="s">
        <v>91</v>
      </c>
      <c r="C2949" s="6">
        <v>22061</v>
      </c>
      <c r="D2949" s="6">
        <v>22999</v>
      </c>
      <c r="E2949" s="6">
        <v>22945</v>
      </c>
      <c r="F2949" t="str">
        <f t="shared" si="1247"/>
        <v>WED</v>
      </c>
      <c r="G2949" s="3">
        <f t="shared" si="1248"/>
        <v>44027</v>
      </c>
      <c r="H2949" s="2">
        <f t="shared" ca="1" si="1249"/>
        <v>226</v>
      </c>
      <c r="I2949" t="str">
        <f t="shared" si="1250"/>
        <v>NIKK</v>
      </c>
      <c r="J2949">
        <f t="shared" si="1251"/>
        <v>22061</v>
      </c>
      <c r="K2949">
        <f t="shared" si="1252"/>
        <v>22999</v>
      </c>
      <c r="L2949">
        <f t="shared" si="1253"/>
        <v>22530</v>
      </c>
      <c r="M2949">
        <f t="shared" si="1254"/>
        <v>469</v>
      </c>
      <c r="N2949">
        <f t="shared" si="1258"/>
        <v>938</v>
      </c>
      <c r="O2949">
        <f t="shared" si="1255"/>
        <v>22945</v>
      </c>
      <c r="P2949">
        <f t="shared" si="1256"/>
        <v>0.88486140724946694</v>
      </c>
      <c r="Q2949" t="str">
        <f t="shared" si="1259"/>
        <v>3.85% | 0.24%</v>
      </c>
      <c r="R2949" t="str">
        <f t="shared" si="1257"/>
        <v>BULLISH</v>
      </c>
      <c r="S2949">
        <f t="shared" si="1260"/>
        <v>1</v>
      </c>
    </row>
    <row r="2950" spans="1:19" hidden="1" x14ac:dyDescent="0.25">
      <c r="A2950" s="5" t="str">
        <f t="shared" si="1261"/>
        <v>44027DAX</v>
      </c>
      <c r="B2950" s="6" t="s">
        <v>92</v>
      </c>
      <c r="C2950" s="6">
        <v>12307</v>
      </c>
      <c r="D2950" s="6">
        <v>12826</v>
      </c>
      <c r="E2950" s="6">
        <v>12697</v>
      </c>
      <c r="F2950" t="str">
        <f t="shared" si="1247"/>
        <v>WED</v>
      </c>
      <c r="G2950" s="3">
        <f t="shared" si="1248"/>
        <v>44027</v>
      </c>
      <c r="H2950" s="2">
        <f t="shared" ca="1" si="1249"/>
        <v>226</v>
      </c>
      <c r="I2950" t="str">
        <f t="shared" si="1250"/>
        <v>DAX</v>
      </c>
      <c r="J2950">
        <f t="shared" si="1251"/>
        <v>12307</v>
      </c>
      <c r="K2950">
        <f t="shared" si="1252"/>
        <v>12826</v>
      </c>
      <c r="L2950">
        <f t="shared" si="1253"/>
        <v>12566.5</v>
      </c>
      <c r="M2950">
        <f t="shared" si="1254"/>
        <v>259.5</v>
      </c>
      <c r="N2950">
        <f t="shared" si="1258"/>
        <v>519</v>
      </c>
      <c r="O2950">
        <f t="shared" si="1255"/>
        <v>12697</v>
      </c>
      <c r="P2950">
        <f t="shared" si="1256"/>
        <v>0.50289017341040465</v>
      </c>
      <c r="Q2950" t="str">
        <f t="shared" si="1259"/>
        <v>3.07% | 1.02%</v>
      </c>
      <c r="R2950" t="str">
        <f t="shared" si="1257"/>
        <v>NEUTRAL</v>
      </c>
      <c r="S2950">
        <f t="shared" si="1260"/>
        <v>0</v>
      </c>
    </row>
    <row r="2951" spans="1:19" hidden="1" x14ac:dyDescent="0.25">
      <c r="A2951" s="5" t="str">
        <f t="shared" si="1261"/>
        <v>44027VIX</v>
      </c>
      <c r="B2951" s="6" t="s">
        <v>17</v>
      </c>
      <c r="C2951" s="6">
        <v>26.22</v>
      </c>
      <c r="D2951" s="6">
        <v>34.67</v>
      </c>
      <c r="E2951" s="6">
        <v>29.52</v>
      </c>
      <c r="F2951" t="str">
        <f t="shared" si="1247"/>
        <v>WED</v>
      </c>
      <c r="G2951" s="3">
        <f t="shared" si="1248"/>
        <v>44027</v>
      </c>
      <c r="H2951" s="2">
        <f t="shared" ca="1" si="1249"/>
        <v>226</v>
      </c>
      <c r="I2951" t="str">
        <f t="shared" si="1250"/>
        <v>VIX</v>
      </c>
      <c r="J2951">
        <f t="shared" si="1251"/>
        <v>26.22</v>
      </c>
      <c r="K2951">
        <f t="shared" si="1252"/>
        <v>34.67</v>
      </c>
      <c r="L2951">
        <f t="shared" si="1253"/>
        <v>30.445</v>
      </c>
      <c r="M2951">
        <f t="shared" si="1254"/>
        <v>4.2250000000000041</v>
      </c>
      <c r="N2951">
        <f t="shared" si="1258"/>
        <v>8.4500000000000028</v>
      </c>
      <c r="O2951">
        <f t="shared" si="1255"/>
        <v>29.52</v>
      </c>
      <c r="P2951">
        <f t="shared" si="1256"/>
        <v>-0.2189349112426035</v>
      </c>
      <c r="Q2951" t="str">
        <f t="shared" si="1259"/>
        <v>11.18% | 17.45%</v>
      </c>
      <c r="R2951" t="str">
        <f t="shared" si="1257"/>
        <v>BULLISH</v>
      </c>
      <c r="S2951">
        <f t="shared" si="1260"/>
        <v>1</v>
      </c>
    </row>
    <row r="2952" spans="1:19" hidden="1" x14ac:dyDescent="0.25">
      <c r="A2952" s="5" t="str">
        <f t="shared" si="1261"/>
        <v>44027USD</v>
      </c>
      <c r="B2952" s="6" t="s">
        <v>94</v>
      </c>
      <c r="C2952" s="6">
        <v>95.9</v>
      </c>
      <c r="D2952" s="6">
        <v>97.12</v>
      </c>
      <c r="E2952" s="6">
        <v>96.19</v>
      </c>
      <c r="F2952" t="str">
        <f t="shared" si="1247"/>
        <v>WED</v>
      </c>
      <c r="G2952" s="3">
        <f t="shared" si="1248"/>
        <v>44027</v>
      </c>
      <c r="H2952" s="2">
        <f t="shared" ca="1" si="1249"/>
        <v>226</v>
      </c>
      <c r="I2952" t="str">
        <f t="shared" si="1250"/>
        <v>USD</v>
      </c>
      <c r="J2952">
        <f t="shared" si="1251"/>
        <v>95.9</v>
      </c>
      <c r="K2952">
        <f t="shared" si="1252"/>
        <v>97.12</v>
      </c>
      <c r="L2952">
        <f t="shared" si="1253"/>
        <v>96.51</v>
      </c>
      <c r="M2952">
        <f t="shared" si="1254"/>
        <v>0.60999999999999943</v>
      </c>
      <c r="N2952">
        <f t="shared" si="1258"/>
        <v>1.2199999999999989</v>
      </c>
      <c r="O2952">
        <f t="shared" si="1255"/>
        <v>96.19</v>
      </c>
      <c r="P2952">
        <f t="shared" si="1256"/>
        <v>-0.5245901639344388</v>
      </c>
      <c r="Q2952" t="str">
        <f t="shared" si="1259"/>
        <v>0.3% | 0.97%</v>
      </c>
      <c r="R2952" t="str">
        <f t="shared" si="1257"/>
        <v>BEARISH</v>
      </c>
      <c r="S2952">
        <f t="shared" si="1260"/>
        <v>-1</v>
      </c>
    </row>
    <row r="2953" spans="1:19" hidden="1" x14ac:dyDescent="0.25">
      <c r="A2953" s="5" t="str">
        <f t="shared" si="1261"/>
        <v>44027EUR/USD</v>
      </c>
      <c r="B2953" s="6" t="s">
        <v>99</v>
      </c>
      <c r="C2953" s="6">
        <v>1.1200000000000001</v>
      </c>
      <c r="D2953" s="6">
        <v>1.1399999999999999</v>
      </c>
      <c r="E2953" s="6">
        <v>1.1299999999999999</v>
      </c>
      <c r="F2953" t="str">
        <f t="shared" si="1247"/>
        <v>WED</v>
      </c>
      <c r="G2953" s="3">
        <f t="shared" si="1248"/>
        <v>44027</v>
      </c>
      <c r="H2953" s="2">
        <f t="shared" ca="1" si="1249"/>
        <v>226</v>
      </c>
      <c r="I2953" t="str">
        <f t="shared" si="1250"/>
        <v>EUR/USD</v>
      </c>
      <c r="J2953">
        <f t="shared" si="1251"/>
        <v>1.1200000000000001</v>
      </c>
      <c r="K2953">
        <f t="shared" si="1252"/>
        <v>1.1399999999999999</v>
      </c>
      <c r="L2953">
        <f t="shared" si="1253"/>
        <v>1.1299999999999999</v>
      </c>
      <c r="M2953">
        <f t="shared" si="1254"/>
        <v>9.9999999999998979E-3</v>
      </c>
      <c r="N2953">
        <f t="shared" si="1258"/>
        <v>1.9999999999999796E-2</v>
      </c>
      <c r="O2953">
        <f t="shared" si="1255"/>
        <v>1.1299999999999999</v>
      </c>
      <c r="P2953">
        <f t="shared" si="1256"/>
        <v>0</v>
      </c>
      <c r="Q2953" t="str">
        <f t="shared" si="1259"/>
        <v>0.88% | 0.88%</v>
      </c>
      <c r="R2953" t="str">
        <f t="shared" si="1257"/>
        <v>BULLISH</v>
      </c>
      <c r="S2953">
        <f t="shared" si="1260"/>
        <v>1</v>
      </c>
    </row>
    <row r="2954" spans="1:19" hidden="1" x14ac:dyDescent="0.25">
      <c r="A2954" s="5" t="str">
        <f t="shared" si="1261"/>
        <v>44027USD/JPY</v>
      </c>
      <c r="B2954" s="6" t="s">
        <v>20</v>
      </c>
      <c r="C2954" s="6">
        <v>106.65</v>
      </c>
      <c r="D2954" s="6">
        <v>107.87</v>
      </c>
      <c r="E2954" s="6">
        <v>107.26</v>
      </c>
      <c r="F2954" t="str">
        <f t="shared" si="1247"/>
        <v>WED</v>
      </c>
      <c r="G2954" s="3">
        <f t="shared" si="1248"/>
        <v>44027</v>
      </c>
      <c r="H2954" s="2">
        <f t="shared" ca="1" si="1249"/>
        <v>226</v>
      </c>
      <c r="I2954" t="str">
        <f t="shared" si="1250"/>
        <v>USD/JPY</v>
      </c>
      <c r="J2954">
        <f t="shared" si="1251"/>
        <v>106.65</v>
      </c>
      <c r="K2954">
        <f t="shared" si="1252"/>
        <v>107.87</v>
      </c>
      <c r="L2954">
        <f t="shared" si="1253"/>
        <v>107.26</v>
      </c>
      <c r="M2954">
        <f t="shared" si="1254"/>
        <v>0.60999999999999943</v>
      </c>
      <c r="N2954">
        <f t="shared" si="1258"/>
        <v>1.2199999999999989</v>
      </c>
      <c r="O2954">
        <f t="shared" si="1255"/>
        <v>107.26</v>
      </c>
      <c r="P2954">
        <f t="shared" si="1256"/>
        <v>0</v>
      </c>
      <c r="Q2954" t="str">
        <f t="shared" si="1259"/>
        <v>0.57% | 0.57%</v>
      </c>
      <c r="R2954" t="str">
        <f t="shared" si="1257"/>
        <v>BEARISH</v>
      </c>
      <c r="S2954">
        <f t="shared" si="1260"/>
        <v>-1</v>
      </c>
    </row>
    <row r="2955" spans="1:19" hidden="1" x14ac:dyDescent="0.25">
      <c r="A2955" s="5" t="str">
        <f t="shared" si="1261"/>
        <v>44027GBP/USD</v>
      </c>
      <c r="B2955" s="6" t="s">
        <v>102</v>
      </c>
      <c r="C2955" s="6">
        <v>1.24</v>
      </c>
      <c r="D2955" s="6">
        <v>1.27</v>
      </c>
      <c r="E2955" s="6">
        <v>1.25</v>
      </c>
      <c r="F2955" t="str">
        <f t="shared" si="1247"/>
        <v>WED</v>
      </c>
      <c r="G2955" s="3">
        <f t="shared" si="1248"/>
        <v>44027</v>
      </c>
      <c r="H2955" s="2">
        <f t="shared" ca="1" si="1249"/>
        <v>226</v>
      </c>
      <c r="I2955" t="str">
        <f t="shared" si="1250"/>
        <v>GBP/USD</v>
      </c>
      <c r="J2955">
        <f t="shared" si="1251"/>
        <v>1.24</v>
      </c>
      <c r="K2955">
        <f t="shared" si="1252"/>
        <v>1.27</v>
      </c>
      <c r="L2955">
        <f t="shared" si="1253"/>
        <v>1.2549999999999999</v>
      </c>
      <c r="M2955">
        <f t="shared" si="1254"/>
        <v>1.5000000000000013E-2</v>
      </c>
      <c r="N2955">
        <f t="shared" si="1258"/>
        <v>3.0000000000000027E-2</v>
      </c>
      <c r="O2955">
        <f t="shared" si="1255"/>
        <v>1.25</v>
      </c>
      <c r="P2955">
        <f t="shared" si="1256"/>
        <v>-0.33333333333332593</v>
      </c>
      <c r="Q2955" t="str">
        <f t="shared" si="1259"/>
        <v>0.8% | 1.6%</v>
      </c>
      <c r="R2955" t="str">
        <f t="shared" si="1257"/>
        <v>BULLISH</v>
      </c>
      <c r="S2955">
        <f t="shared" si="1260"/>
        <v>1</v>
      </c>
    </row>
    <row r="2956" spans="1:19" hidden="1" x14ac:dyDescent="0.25">
      <c r="A2956" s="5" t="str">
        <f t="shared" si="1261"/>
        <v>44027USD/CHF</v>
      </c>
      <c r="B2956" s="6" t="s">
        <v>76</v>
      </c>
      <c r="C2956" s="6">
        <v>0.93</v>
      </c>
      <c r="D2956" s="6">
        <v>0.95</v>
      </c>
      <c r="E2956" s="6">
        <v>0.94</v>
      </c>
      <c r="F2956" t="str">
        <f t="shared" si="1247"/>
        <v>WED</v>
      </c>
      <c r="G2956" s="3">
        <f t="shared" si="1248"/>
        <v>44027</v>
      </c>
      <c r="H2956" s="2">
        <f t="shared" ca="1" si="1249"/>
        <v>226</v>
      </c>
      <c r="I2956" t="str">
        <f t="shared" si="1250"/>
        <v>USD/CHF</v>
      </c>
      <c r="J2956">
        <f t="shared" si="1251"/>
        <v>0.93</v>
      </c>
      <c r="K2956">
        <f t="shared" si="1252"/>
        <v>0.95</v>
      </c>
      <c r="L2956">
        <f t="shared" si="1253"/>
        <v>0.94</v>
      </c>
      <c r="M2956">
        <f t="shared" si="1254"/>
        <v>9.9999999999999534E-3</v>
      </c>
      <c r="N2956">
        <f t="shared" si="1258"/>
        <v>1.9999999999999907E-2</v>
      </c>
      <c r="O2956">
        <f t="shared" si="1255"/>
        <v>0.94</v>
      </c>
      <c r="P2956">
        <f t="shared" si="1256"/>
        <v>0</v>
      </c>
      <c r="Q2956" t="str">
        <f t="shared" si="1259"/>
        <v>1.06% | 1.06%</v>
      </c>
      <c r="R2956" t="str">
        <f t="shared" si="1257"/>
        <v>BEARISH</v>
      </c>
      <c r="S2956">
        <f t="shared" si="1260"/>
        <v>-1</v>
      </c>
    </row>
    <row r="2957" spans="1:19" hidden="1" x14ac:dyDescent="0.25">
      <c r="A2957" s="5" t="str">
        <f t="shared" si="1261"/>
        <v>44027WTIC</v>
      </c>
      <c r="B2957" s="6" t="s">
        <v>158</v>
      </c>
      <c r="C2957" s="6">
        <v>38.47</v>
      </c>
      <c r="D2957" s="6">
        <v>41.26</v>
      </c>
      <c r="E2957" s="6">
        <v>40.29</v>
      </c>
      <c r="F2957" t="str">
        <f t="shared" si="1247"/>
        <v>WED</v>
      </c>
      <c r="G2957" s="3">
        <f t="shared" si="1248"/>
        <v>44027</v>
      </c>
      <c r="H2957" s="2">
        <f t="shared" ca="1" si="1249"/>
        <v>226</v>
      </c>
      <c r="I2957" t="str">
        <f t="shared" si="1250"/>
        <v>WTIC</v>
      </c>
      <c r="J2957">
        <f t="shared" si="1251"/>
        <v>38.47</v>
      </c>
      <c r="K2957">
        <f t="shared" si="1252"/>
        <v>41.26</v>
      </c>
      <c r="L2957">
        <f t="shared" si="1253"/>
        <v>39.864999999999995</v>
      </c>
      <c r="M2957">
        <f t="shared" si="1254"/>
        <v>1.3949999999999996</v>
      </c>
      <c r="N2957">
        <f t="shared" si="1258"/>
        <v>2.7899999999999991</v>
      </c>
      <c r="O2957">
        <f t="shared" si="1255"/>
        <v>40.29</v>
      </c>
      <c r="P2957">
        <f t="shared" si="1256"/>
        <v>0.30465949820788846</v>
      </c>
      <c r="Q2957" t="str">
        <f t="shared" si="1259"/>
        <v>4.52% | 2.41%</v>
      </c>
      <c r="R2957" t="str">
        <f t="shared" si="1257"/>
        <v>BULLISH</v>
      </c>
      <c r="S2957">
        <f t="shared" si="1260"/>
        <v>1</v>
      </c>
    </row>
    <row r="2958" spans="1:19" hidden="1" x14ac:dyDescent="0.25">
      <c r="A2958" s="5" t="str">
        <f t="shared" si="1261"/>
        <v>44027NATGAS</v>
      </c>
      <c r="B2958" s="6" t="s">
        <v>87</v>
      </c>
      <c r="C2958" s="6">
        <v>1.61</v>
      </c>
      <c r="D2958" s="6">
        <v>1.91</v>
      </c>
      <c r="E2958" s="6">
        <v>1.75</v>
      </c>
      <c r="F2958" t="str">
        <f t="shared" si="1247"/>
        <v>WED</v>
      </c>
      <c r="G2958" s="3">
        <f t="shared" si="1248"/>
        <v>44027</v>
      </c>
      <c r="H2958" s="2">
        <f t="shared" ca="1" si="1249"/>
        <v>226</v>
      </c>
      <c r="I2958" t="str">
        <f t="shared" si="1250"/>
        <v>NATGAS</v>
      </c>
      <c r="J2958">
        <f t="shared" si="1251"/>
        <v>1.61</v>
      </c>
      <c r="K2958">
        <f t="shared" si="1252"/>
        <v>1.91</v>
      </c>
      <c r="L2958">
        <f t="shared" si="1253"/>
        <v>1.76</v>
      </c>
      <c r="M2958">
        <f t="shared" si="1254"/>
        <v>0.14999999999999991</v>
      </c>
      <c r="N2958">
        <f t="shared" si="1258"/>
        <v>0.29999999999999982</v>
      </c>
      <c r="O2958">
        <f t="shared" si="1255"/>
        <v>1.75</v>
      </c>
      <c r="P2958">
        <f t="shared" si="1256"/>
        <v>-6.6666666666666763E-2</v>
      </c>
      <c r="Q2958" t="str">
        <f t="shared" si="1259"/>
        <v>8% | 9.14%</v>
      </c>
      <c r="R2958" t="str">
        <f t="shared" si="1257"/>
        <v>NEUTRAL</v>
      </c>
      <c r="S2958">
        <f t="shared" si="1260"/>
        <v>0</v>
      </c>
    </row>
    <row r="2959" spans="1:19" hidden="1" x14ac:dyDescent="0.25">
      <c r="A2959" s="5" t="str">
        <f t="shared" si="1261"/>
        <v>44027GOLD</v>
      </c>
      <c r="B2959" s="6" t="s">
        <v>25</v>
      </c>
      <c r="C2959" s="6">
        <v>1777</v>
      </c>
      <c r="D2959" s="6">
        <v>1828</v>
      </c>
      <c r="E2959" s="6">
        <v>1813</v>
      </c>
      <c r="F2959" t="str">
        <f t="shared" si="1247"/>
        <v>WED</v>
      </c>
      <c r="G2959" s="3">
        <f t="shared" si="1248"/>
        <v>44027</v>
      </c>
      <c r="H2959" s="2">
        <f t="shared" ca="1" si="1249"/>
        <v>226</v>
      </c>
      <c r="I2959" t="str">
        <f t="shared" si="1250"/>
        <v>GOLD</v>
      </c>
      <c r="J2959">
        <f t="shared" si="1251"/>
        <v>1777</v>
      </c>
      <c r="K2959">
        <f t="shared" si="1252"/>
        <v>1828</v>
      </c>
      <c r="L2959">
        <f t="shared" si="1253"/>
        <v>1802.5</v>
      </c>
      <c r="M2959">
        <f t="shared" si="1254"/>
        <v>25.5</v>
      </c>
      <c r="N2959">
        <f t="shared" si="1258"/>
        <v>51</v>
      </c>
      <c r="O2959">
        <f t="shared" si="1255"/>
        <v>1813</v>
      </c>
      <c r="P2959">
        <f t="shared" si="1256"/>
        <v>0.41176470588235292</v>
      </c>
      <c r="Q2959" t="str">
        <f t="shared" si="1259"/>
        <v>1.99% | 0.83%</v>
      </c>
      <c r="R2959" t="str">
        <f t="shared" si="1257"/>
        <v>BULLISH</v>
      </c>
      <c r="S2959">
        <f t="shared" si="1260"/>
        <v>1</v>
      </c>
    </row>
    <row r="2960" spans="1:19" hidden="1" x14ac:dyDescent="0.25">
      <c r="A2960" s="5" t="str">
        <f t="shared" si="1261"/>
        <v>44027COPPER</v>
      </c>
      <c r="B2960" s="6" t="s">
        <v>100</v>
      </c>
      <c r="C2960" s="6">
        <v>2.71</v>
      </c>
      <c r="D2960" s="6">
        <v>2.98</v>
      </c>
      <c r="E2960" s="6">
        <v>2.93</v>
      </c>
      <c r="F2960" t="str">
        <f t="shared" si="1247"/>
        <v>WED</v>
      </c>
      <c r="G2960" s="3">
        <f t="shared" si="1248"/>
        <v>44027</v>
      </c>
      <c r="H2960" s="2">
        <f t="shared" ca="1" si="1249"/>
        <v>226</v>
      </c>
      <c r="I2960" t="str">
        <f t="shared" si="1250"/>
        <v>COPPER</v>
      </c>
      <c r="J2960">
        <f t="shared" si="1251"/>
        <v>2.71</v>
      </c>
      <c r="K2960">
        <f t="shared" si="1252"/>
        <v>2.98</v>
      </c>
      <c r="L2960">
        <f t="shared" si="1253"/>
        <v>2.8449999999999998</v>
      </c>
      <c r="M2960">
        <f t="shared" si="1254"/>
        <v>0.13500000000000001</v>
      </c>
      <c r="N2960">
        <f t="shared" si="1258"/>
        <v>0.27</v>
      </c>
      <c r="O2960">
        <f t="shared" si="1255"/>
        <v>2.93</v>
      </c>
      <c r="P2960">
        <f t="shared" si="1256"/>
        <v>0.62962962962963265</v>
      </c>
      <c r="Q2960" t="str">
        <f t="shared" si="1259"/>
        <v>7.51% | 1.71%</v>
      </c>
      <c r="R2960" t="str">
        <f t="shared" si="1257"/>
        <v>BULLISH</v>
      </c>
      <c r="S2960">
        <f t="shared" si="1260"/>
        <v>1</v>
      </c>
    </row>
    <row r="2961" spans="1:19" hidden="1" x14ac:dyDescent="0.25">
      <c r="A2961" s="5" t="str">
        <f t="shared" si="1261"/>
        <v>44027MSFT</v>
      </c>
      <c r="B2961" s="6" t="s">
        <v>27</v>
      </c>
      <c r="C2961" s="6">
        <v>201</v>
      </c>
      <c r="D2961" s="6">
        <v>216</v>
      </c>
      <c r="E2961" s="6">
        <v>208</v>
      </c>
      <c r="F2961" t="str">
        <f t="shared" si="1247"/>
        <v>WED</v>
      </c>
      <c r="G2961" s="3">
        <f t="shared" si="1248"/>
        <v>44027</v>
      </c>
      <c r="H2961" s="2">
        <f t="shared" ca="1" si="1249"/>
        <v>226</v>
      </c>
      <c r="I2961" t="str">
        <f t="shared" si="1250"/>
        <v>MSFT</v>
      </c>
      <c r="J2961">
        <f t="shared" si="1251"/>
        <v>201</v>
      </c>
      <c r="K2961">
        <f t="shared" si="1252"/>
        <v>216</v>
      </c>
      <c r="L2961">
        <f t="shared" si="1253"/>
        <v>208.5</v>
      </c>
      <c r="M2961">
        <f t="shared" si="1254"/>
        <v>7.5</v>
      </c>
      <c r="N2961">
        <f t="shared" si="1258"/>
        <v>15</v>
      </c>
      <c r="O2961">
        <f t="shared" si="1255"/>
        <v>208</v>
      </c>
      <c r="P2961">
        <f t="shared" si="1256"/>
        <v>-6.6666666666666666E-2</v>
      </c>
      <c r="Q2961" t="str">
        <f t="shared" si="1259"/>
        <v>3.37% | 3.85%</v>
      </c>
      <c r="R2961" t="str">
        <f t="shared" si="1257"/>
        <v>BULLISH</v>
      </c>
      <c r="S2961">
        <f t="shared" si="1260"/>
        <v>1</v>
      </c>
    </row>
    <row r="2962" spans="1:19" hidden="1" x14ac:dyDescent="0.25">
      <c r="A2962" s="5" t="str">
        <f t="shared" si="1261"/>
        <v>44027AAPL</v>
      </c>
      <c r="B2962" s="6" t="s">
        <v>28</v>
      </c>
      <c r="C2962" s="6">
        <v>360</v>
      </c>
      <c r="D2962" s="6">
        <v>395</v>
      </c>
      <c r="E2962" s="6">
        <v>388</v>
      </c>
      <c r="F2962" t="str">
        <f t="shared" si="1247"/>
        <v>WED</v>
      </c>
      <c r="G2962" s="3">
        <f t="shared" si="1248"/>
        <v>44027</v>
      </c>
      <c r="H2962" s="2">
        <f t="shared" ca="1" si="1249"/>
        <v>226</v>
      </c>
      <c r="I2962" t="str">
        <f t="shared" si="1250"/>
        <v>AAPL</v>
      </c>
      <c r="J2962">
        <f t="shared" si="1251"/>
        <v>360</v>
      </c>
      <c r="K2962">
        <f t="shared" si="1252"/>
        <v>395</v>
      </c>
      <c r="L2962">
        <f t="shared" si="1253"/>
        <v>377.5</v>
      </c>
      <c r="M2962">
        <f t="shared" si="1254"/>
        <v>17.5</v>
      </c>
      <c r="N2962">
        <f t="shared" si="1258"/>
        <v>35</v>
      </c>
      <c r="O2962">
        <f t="shared" si="1255"/>
        <v>388</v>
      </c>
      <c r="P2962">
        <f t="shared" si="1256"/>
        <v>0.6</v>
      </c>
      <c r="Q2962" t="str">
        <f t="shared" si="1259"/>
        <v>7.22% | 1.8%</v>
      </c>
      <c r="R2962" t="str">
        <f t="shared" si="1257"/>
        <v>BULLISH</v>
      </c>
      <c r="S2962">
        <f t="shared" si="1260"/>
        <v>1</v>
      </c>
    </row>
    <row r="2963" spans="1:19" hidden="1" x14ac:dyDescent="0.25">
      <c r="A2963" s="5" t="str">
        <f t="shared" si="1261"/>
        <v>44027AMZN</v>
      </c>
      <c r="B2963" s="6" t="s">
        <v>29</v>
      </c>
      <c r="C2963" s="6">
        <v>2850</v>
      </c>
      <c r="D2963" s="6">
        <v>3270</v>
      </c>
      <c r="E2963" s="6">
        <v>3084</v>
      </c>
      <c r="F2963" t="str">
        <f t="shared" si="1247"/>
        <v>WED</v>
      </c>
      <c r="G2963" s="3">
        <f t="shared" si="1248"/>
        <v>44027</v>
      </c>
      <c r="H2963" s="2">
        <f t="shared" ca="1" si="1249"/>
        <v>226</v>
      </c>
      <c r="I2963" t="str">
        <f t="shared" si="1250"/>
        <v>AMZN</v>
      </c>
      <c r="J2963">
        <f t="shared" si="1251"/>
        <v>2850</v>
      </c>
      <c r="K2963">
        <f t="shared" si="1252"/>
        <v>3270</v>
      </c>
      <c r="L2963">
        <f t="shared" si="1253"/>
        <v>3060</v>
      </c>
      <c r="M2963">
        <f t="shared" si="1254"/>
        <v>210</v>
      </c>
      <c r="N2963">
        <f t="shared" si="1258"/>
        <v>420</v>
      </c>
      <c r="O2963">
        <f t="shared" si="1255"/>
        <v>3084</v>
      </c>
      <c r="P2963">
        <f t="shared" si="1256"/>
        <v>0.11428571428571428</v>
      </c>
      <c r="Q2963" t="str">
        <f t="shared" si="1259"/>
        <v>7.59% | 6.03%</v>
      </c>
      <c r="R2963" t="str">
        <f t="shared" si="1257"/>
        <v>BULLISH</v>
      </c>
      <c r="S2963">
        <f t="shared" si="1260"/>
        <v>1</v>
      </c>
    </row>
    <row r="2964" spans="1:19" hidden="1" x14ac:dyDescent="0.25">
      <c r="A2964" s="5" t="str">
        <f t="shared" si="1261"/>
        <v>44027FB</v>
      </c>
      <c r="B2964" s="6" t="s">
        <v>30</v>
      </c>
      <c r="C2964" s="6">
        <v>230</v>
      </c>
      <c r="D2964" s="6">
        <v>249</v>
      </c>
      <c r="E2964" s="6">
        <v>239</v>
      </c>
      <c r="F2964" t="str">
        <f t="shared" si="1247"/>
        <v>WED</v>
      </c>
      <c r="G2964" s="3">
        <f t="shared" si="1248"/>
        <v>44027</v>
      </c>
      <c r="H2964" s="2">
        <f t="shared" ca="1" si="1249"/>
        <v>226</v>
      </c>
      <c r="I2964" t="str">
        <f t="shared" si="1250"/>
        <v>FB</v>
      </c>
      <c r="J2964">
        <f t="shared" si="1251"/>
        <v>230</v>
      </c>
      <c r="K2964">
        <f t="shared" si="1252"/>
        <v>249</v>
      </c>
      <c r="L2964">
        <f t="shared" si="1253"/>
        <v>239.5</v>
      </c>
      <c r="M2964">
        <f t="shared" si="1254"/>
        <v>9.5</v>
      </c>
      <c r="N2964">
        <f t="shared" si="1258"/>
        <v>19</v>
      </c>
      <c r="O2964">
        <f t="shared" si="1255"/>
        <v>239</v>
      </c>
      <c r="P2964">
        <f t="shared" si="1256"/>
        <v>-5.2631578947368418E-2</v>
      </c>
      <c r="Q2964" t="str">
        <f t="shared" si="1259"/>
        <v>3.77% | 4.18%</v>
      </c>
      <c r="R2964" t="str">
        <f t="shared" si="1257"/>
        <v>BULLISH</v>
      </c>
      <c r="S2964">
        <f t="shared" si="1260"/>
        <v>1</v>
      </c>
    </row>
    <row r="2965" spans="1:19" hidden="1" x14ac:dyDescent="0.25">
      <c r="A2965" s="5" t="str">
        <f t="shared" si="1261"/>
        <v>44027GOOGL</v>
      </c>
      <c r="B2965" s="6" t="s">
        <v>31</v>
      </c>
      <c r="C2965" s="6">
        <v>1440</v>
      </c>
      <c r="D2965" s="6">
        <v>1555</v>
      </c>
      <c r="E2965" s="6">
        <v>1520</v>
      </c>
      <c r="F2965" t="str">
        <f t="shared" si="1247"/>
        <v>WED</v>
      </c>
      <c r="G2965" s="3">
        <f t="shared" si="1248"/>
        <v>44027</v>
      </c>
      <c r="H2965" s="2">
        <f t="shared" ca="1" si="1249"/>
        <v>226</v>
      </c>
      <c r="I2965" t="str">
        <f t="shared" si="1250"/>
        <v>GOOGL</v>
      </c>
      <c r="J2965">
        <f t="shared" si="1251"/>
        <v>1440</v>
      </c>
      <c r="K2965">
        <f t="shared" si="1252"/>
        <v>1555</v>
      </c>
      <c r="L2965">
        <f t="shared" si="1253"/>
        <v>1497.5</v>
      </c>
      <c r="M2965">
        <f t="shared" si="1254"/>
        <v>57.5</v>
      </c>
      <c r="N2965">
        <f t="shared" si="1258"/>
        <v>115</v>
      </c>
      <c r="O2965">
        <f t="shared" si="1255"/>
        <v>1520</v>
      </c>
      <c r="P2965">
        <f t="shared" si="1256"/>
        <v>0.39130434782608697</v>
      </c>
      <c r="Q2965" t="str">
        <f t="shared" si="1259"/>
        <v>5.26% | 2.3%</v>
      </c>
      <c r="R2965" t="str">
        <f t="shared" si="1257"/>
        <v>BULLISH</v>
      </c>
      <c r="S2965">
        <f t="shared" si="1260"/>
        <v>1</v>
      </c>
    </row>
    <row r="2966" spans="1:19" hidden="1" x14ac:dyDescent="0.25">
      <c r="A2966" s="5" t="str">
        <f t="shared" si="1261"/>
        <v>44027NFLX</v>
      </c>
      <c r="B2966" s="6" t="s">
        <v>32</v>
      </c>
      <c r="C2966" s="6">
        <v>470</v>
      </c>
      <c r="D2966" s="6">
        <v>550</v>
      </c>
      <c r="E2966" s="6">
        <v>524</v>
      </c>
      <c r="F2966" t="str">
        <f t="shared" si="1247"/>
        <v>WED</v>
      </c>
      <c r="G2966" s="3">
        <f t="shared" si="1248"/>
        <v>44027</v>
      </c>
      <c r="H2966" s="2">
        <f t="shared" ca="1" si="1249"/>
        <v>226</v>
      </c>
      <c r="I2966" t="str">
        <f t="shared" si="1250"/>
        <v>NFLX</v>
      </c>
      <c r="J2966">
        <f t="shared" si="1251"/>
        <v>470</v>
      </c>
      <c r="K2966">
        <f t="shared" si="1252"/>
        <v>550</v>
      </c>
      <c r="L2966">
        <f t="shared" si="1253"/>
        <v>510</v>
      </c>
      <c r="M2966">
        <f t="shared" si="1254"/>
        <v>40</v>
      </c>
      <c r="N2966">
        <f t="shared" si="1258"/>
        <v>80</v>
      </c>
      <c r="O2966">
        <f t="shared" si="1255"/>
        <v>524</v>
      </c>
      <c r="P2966">
        <f t="shared" si="1256"/>
        <v>0.35</v>
      </c>
      <c r="Q2966" t="str">
        <f t="shared" si="1259"/>
        <v>10.31% | 4.96%</v>
      </c>
      <c r="R2966" t="str">
        <f t="shared" si="1257"/>
        <v>BULLISH</v>
      </c>
      <c r="S2966">
        <f t="shared" si="1260"/>
        <v>1</v>
      </c>
    </row>
    <row r="2967" spans="1:19" x14ac:dyDescent="0.25">
      <c r="A2967" s="5" t="str">
        <f t="shared" si="1261"/>
        <v>44027TSLA</v>
      </c>
      <c r="B2967" s="6" t="s">
        <v>33</v>
      </c>
      <c r="C2967" s="6">
        <v>1368</v>
      </c>
      <c r="D2967" s="6">
        <v>1645</v>
      </c>
      <c r="E2967" s="6">
        <v>1516</v>
      </c>
      <c r="F2967" t="str">
        <f t="shared" si="1247"/>
        <v>WED</v>
      </c>
      <c r="G2967" s="3">
        <f t="shared" si="1248"/>
        <v>44027</v>
      </c>
      <c r="H2967" s="2">
        <f t="shared" ca="1" si="1249"/>
        <v>226</v>
      </c>
      <c r="I2967" t="str">
        <f t="shared" si="1250"/>
        <v>TSLA</v>
      </c>
      <c r="J2967">
        <f t="shared" si="1251"/>
        <v>1368</v>
      </c>
      <c r="K2967">
        <f t="shared" si="1252"/>
        <v>1645</v>
      </c>
      <c r="L2967">
        <f t="shared" si="1253"/>
        <v>1506.5</v>
      </c>
      <c r="M2967">
        <f t="shared" si="1254"/>
        <v>138.5</v>
      </c>
      <c r="N2967">
        <f t="shared" si="1258"/>
        <v>277</v>
      </c>
      <c r="O2967">
        <f t="shared" si="1255"/>
        <v>1516</v>
      </c>
      <c r="P2967">
        <f t="shared" si="1256"/>
        <v>6.8592057761732855E-2</v>
      </c>
      <c r="Q2967" t="str">
        <f t="shared" si="1259"/>
        <v>9.76% | 8.51%</v>
      </c>
      <c r="R2967" t="str">
        <f t="shared" si="1257"/>
        <v>BULLISH</v>
      </c>
      <c r="S2967">
        <f t="shared" si="1260"/>
        <v>1</v>
      </c>
    </row>
    <row r="2968" spans="1:19" hidden="1" x14ac:dyDescent="0.25">
      <c r="A2968" s="5" t="str">
        <f t="shared" si="1261"/>
        <v>44028UST10Y</v>
      </c>
      <c r="B2968" s="6" t="s">
        <v>4</v>
      </c>
      <c r="C2968" s="6">
        <v>0.69</v>
      </c>
      <c r="D2968" s="6">
        <v>0.59</v>
      </c>
      <c r="E2968" s="6">
        <v>0.64</v>
      </c>
      <c r="F2968" t="str">
        <f t="shared" si="1247"/>
        <v>THU</v>
      </c>
      <c r="G2968" s="1">
        <f>DATE(2020,7,16)</f>
        <v>44028</v>
      </c>
      <c r="H2968" s="2">
        <f t="shared" ca="1" si="1249"/>
        <v>225</v>
      </c>
      <c r="I2968" t="str">
        <f t="shared" si="1250"/>
        <v>UST10Y</v>
      </c>
      <c r="J2968">
        <f t="shared" si="1251"/>
        <v>0.69</v>
      </c>
      <c r="K2968">
        <f t="shared" si="1252"/>
        <v>0.59</v>
      </c>
      <c r="L2968">
        <f t="shared" si="1253"/>
        <v>0.6399999999999999</v>
      </c>
      <c r="M2968">
        <f t="shared" si="1254"/>
        <v>4.9999999999999989E-2</v>
      </c>
      <c r="N2968">
        <f t="shared" si="1258"/>
        <v>9.9999999999999978E-2</v>
      </c>
      <c r="O2968">
        <f t="shared" si="1255"/>
        <v>0.64</v>
      </c>
      <c r="P2968">
        <f t="shared" si="1256"/>
        <v>2.2204460492503135E-15</v>
      </c>
      <c r="Q2968" t="str">
        <f t="shared" si="1259"/>
        <v>7.81% | 7.81%</v>
      </c>
      <c r="R2968" t="str">
        <f t="shared" si="1257"/>
        <v>BEARISH</v>
      </c>
      <c r="S2968">
        <f t="shared" si="1260"/>
        <v>-1</v>
      </c>
    </row>
    <row r="2969" spans="1:19" hidden="1" x14ac:dyDescent="0.25">
      <c r="A2969" s="5" t="str">
        <f t="shared" si="1261"/>
        <v>44028UST2Y</v>
      </c>
      <c r="B2969" s="6" t="s">
        <v>5</v>
      </c>
      <c r="C2969" s="6">
        <v>0.17</v>
      </c>
      <c r="D2969" s="6">
        <v>0.13</v>
      </c>
      <c r="E2969" s="6">
        <v>0.16</v>
      </c>
      <c r="F2969" t="str">
        <f t="shared" ref="F2969:F2998" si="1262">UPPER(TEXT(G2969,"ddd"))</f>
        <v>THU</v>
      </c>
      <c r="G2969" s="1">
        <f t="shared" ref="G2969:G2997" si="1263">DATE(2020,7,16)</f>
        <v>44028</v>
      </c>
      <c r="H2969" s="2">
        <f t="shared" ref="H2969:H2998" ca="1" si="1264">TODAY()-G2969</f>
        <v>225</v>
      </c>
      <c r="I2969" t="str">
        <f t="shared" ref="I2969:I2998" si="1265">TRIM(LEFT(B2969,FIND(" ",B2969,1)))</f>
        <v>UST2Y</v>
      </c>
      <c r="J2969">
        <f t="shared" ref="J2969:J2998" si="1266">C2969</f>
        <v>0.17</v>
      </c>
      <c r="K2969">
        <f t="shared" ref="K2969:K2998" si="1267">D2969</f>
        <v>0.13</v>
      </c>
      <c r="L2969">
        <f t="shared" ref="L2969:L2998" si="1268">AVERAGE(J2969:K2969)</f>
        <v>0.15000000000000002</v>
      </c>
      <c r="M2969">
        <f t="shared" ref="M2969:M2998" si="1269">_xlfn.STDEV.P(J2969:K2969)</f>
        <v>1.9999999999999938E-2</v>
      </c>
      <c r="N2969">
        <f t="shared" si="1258"/>
        <v>4.0000000000000008E-2</v>
      </c>
      <c r="O2969">
        <f t="shared" ref="O2969:O2998" si="1270">E2969</f>
        <v>0.16</v>
      </c>
      <c r="P2969">
        <f t="shared" ref="P2969:P2998" si="1271">(O2969-L2969)/M2969</f>
        <v>0.50000000000000056</v>
      </c>
      <c r="Q2969" t="str">
        <f t="shared" si="1259"/>
        <v>6.25% | 18.75%</v>
      </c>
      <c r="R2969" t="str">
        <f t="shared" ref="R2969:R2998" si="1272">MID(B2969,FIND("(",B2969,1)+1,FIND(")",B2969,1)-FIND("(",B2969,1)-1)</f>
        <v>BEARISH</v>
      </c>
      <c r="S2969">
        <f t="shared" si="1260"/>
        <v>-1</v>
      </c>
    </row>
    <row r="2970" spans="1:19" hidden="1" x14ac:dyDescent="0.25">
      <c r="A2970" s="5" t="str">
        <f t="shared" si="1261"/>
        <v>44028SPX</v>
      </c>
      <c r="B2970" s="6" t="s">
        <v>6</v>
      </c>
      <c r="C2970" s="6">
        <v>3114</v>
      </c>
      <c r="D2970" s="6">
        <v>3232</v>
      </c>
      <c r="E2970" s="6">
        <v>3226</v>
      </c>
      <c r="F2970" t="str">
        <f t="shared" si="1262"/>
        <v>THU</v>
      </c>
      <c r="G2970" s="1">
        <f t="shared" si="1263"/>
        <v>44028</v>
      </c>
      <c r="H2970" s="2">
        <f t="shared" ca="1" si="1264"/>
        <v>225</v>
      </c>
      <c r="I2970" t="str">
        <f t="shared" si="1265"/>
        <v>SPX</v>
      </c>
      <c r="J2970">
        <f t="shared" si="1266"/>
        <v>3114</v>
      </c>
      <c r="K2970">
        <f t="shared" si="1267"/>
        <v>3232</v>
      </c>
      <c r="L2970">
        <f t="shared" si="1268"/>
        <v>3173</v>
      </c>
      <c r="M2970">
        <f t="shared" si="1269"/>
        <v>59</v>
      </c>
      <c r="N2970">
        <f t="shared" si="1258"/>
        <v>118</v>
      </c>
      <c r="O2970">
        <f t="shared" si="1270"/>
        <v>3226</v>
      </c>
      <c r="P2970">
        <f t="shared" si="1271"/>
        <v>0.89830508474576276</v>
      </c>
      <c r="Q2970" t="str">
        <f t="shared" si="1259"/>
        <v>3.47% | 0.19%</v>
      </c>
      <c r="R2970" t="str">
        <f t="shared" si="1272"/>
        <v>BEARISH</v>
      </c>
      <c r="S2970">
        <f t="shared" si="1260"/>
        <v>-1</v>
      </c>
    </row>
    <row r="2971" spans="1:19" hidden="1" x14ac:dyDescent="0.25">
      <c r="A2971" s="5" t="str">
        <f t="shared" si="1261"/>
        <v>44028RUT</v>
      </c>
      <c r="B2971" s="6" t="s">
        <v>7</v>
      </c>
      <c r="C2971" s="6">
        <v>1380</v>
      </c>
      <c r="D2971" s="6">
        <v>1485</v>
      </c>
      <c r="E2971" s="6">
        <v>1478</v>
      </c>
      <c r="F2971" t="str">
        <f t="shared" si="1262"/>
        <v>THU</v>
      </c>
      <c r="G2971" s="1">
        <f t="shared" si="1263"/>
        <v>44028</v>
      </c>
      <c r="H2971" s="2">
        <f t="shared" ca="1" si="1264"/>
        <v>225</v>
      </c>
      <c r="I2971" t="str">
        <f t="shared" si="1265"/>
        <v>RUT</v>
      </c>
      <c r="J2971">
        <f t="shared" si="1266"/>
        <v>1380</v>
      </c>
      <c r="K2971">
        <f t="shared" si="1267"/>
        <v>1485</v>
      </c>
      <c r="L2971">
        <f t="shared" si="1268"/>
        <v>1432.5</v>
      </c>
      <c r="M2971">
        <f t="shared" si="1269"/>
        <v>52.5</v>
      </c>
      <c r="N2971">
        <f t="shared" si="1258"/>
        <v>105</v>
      </c>
      <c r="O2971">
        <f t="shared" si="1270"/>
        <v>1478</v>
      </c>
      <c r="P2971">
        <f t="shared" si="1271"/>
        <v>0.8666666666666667</v>
      </c>
      <c r="Q2971" t="str">
        <f t="shared" si="1259"/>
        <v>6.63% | 0.47%</v>
      </c>
      <c r="R2971" t="str">
        <f t="shared" si="1272"/>
        <v>BEARISH</v>
      </c>
      <c r="S2971">
        <f t="shared" si="1260"/>
        <v>-1</v>
      </c>
    </row>
    <row r="2972" spans="1:19" hidden="1" x14ac:dyDescent="0.25">
      <c r="A2972" s="5" t="str">
        <f t="shared" si="1261"/>
        <v>44028COMPQ</v>
      </c>
      <c r="B2972" s="6" t="s">
        <v>8</v>
      </c>
      <c r="C2972" s="6">
        <v>10207</v>
      </c>
      <c r="D2972" s="6">
        <v>10684</v>
      </c>
      <c r="E2972" s="6">
        <v>10550</v>
      </c>
      <c r="F2972" t="str">
        <f t="shared" si="1262"/>
        <v>THU</v>
      </c>
      <c r="G2972" s="1">
        <f t="shared" si="1263"/>
        <v>44028</v>
      </c>
      <c r="H2972" s="2">
        <f t="shared" ca="1" si="1264"/>
        <v>225</v>
      </c>
      <c r="I2972" t="str">
        <f t="shared" si="1265"/>
        <v>COMPQ</v>
      </c>
      <c r="J2972">
        <f t="shared" si="1266"/>
        <v>10207</v>
      </c>
      <c r="K2972">
        <f t="shared" si="1267"/>
        <v>10684</v>
      </c>
      <c r="L2972">
        <f t="shared" si="1268"/>
        <v>10445.5</v>
      </c>
      <c r="M2972">
        <f t="shared" si="1269"/>
        <v>238.5</v>
      </c>
      <c r="N2972">
        <f t="shared" si="1258"/>
        <v>477</v>
      </c>
      <c r="O2972">
        <f t="shared" si="1270"/>
        <v>10550</v>
      </c>
      <c r="P2972">
        <f t="shared" si="1271"/>
        <v>0.43815513626834379</v>
      </c>
      <c r="Q2972" t="str">
        <f t="shared" si="1259"/>
        <v>3.25% | 1.27%</v>
      </c>
      <c r="R2972" t="str">
        <f t="shared" si="1272"/>
        <v>BULLISH</v>
      </c>
      <c r="S2972">
        <f t="shared" si="1260"/>
        <v>1</v>
      </c>
    </row>
    <row r="2973" spans="1:19" hidden="1" x14ac:dyDescent="0.25">
      <c r="A2973" s="5" t="str">
        <f t="shared" si="1261"/>
        <v>44028XLK</v>
      </c>
      <c r="B2973" s="6" t="s">
        <v>10</v>
      </c>
      <c r="C2973" s="6">
        <v>103.35</v>
      </c>
      <c r="D2973" s="6">
        <v>109.05</v>
      </c>
      <c r="E2973" s="6">
        <v>107.64</v>
      </c>
      <c r="F2973" t="str">
        <f t="shared" si="1262"/>
        <v>THU</v>
      </c>
      <c r="G2973" s="1">
        <f t="shared" si="1263"/>
        <v>44028</v>
      </c>
      <c r="H2973" s="2">
        <f t="shared" ca="1" si="1264"/>
        <v>225</v>
      </c>
      <c r="I2973" t="str">
        <f t="shared" si="1265"/>
        <v>XLK</v>
      </c>
      <c r="J2973">
        <f t="shared" si="1266"/>
        <v>103.35</v>
      </c>
      <c r="K2973">
        <f t="shared" si="1267"/>
        <v>109.05</v>
      </c>
      <c r="L2973">
        <f t="shared" si="1268"/>
        <v>106.19999999999999</v>
      </c>
      <c r="M2973">
        <f t="shared" si="1269"/>
        <v>2.8500000000000014</v>
      </c>
      <c r="N2973">
        <f t="shared" si="1258"/>
        <v>5.7000000000000028</v>
      </c>
      <c r="O2973">
        <f t="shared" si="1270"/>
        <v>107.64</v>
      </c>
      <c r="P2973">
        <f t="shared" si="1271"/>
        <v>0.50526315789474074</v>
      </c>
      <c r="Q2973" t="str">
        <f t="shared" si="1259"/>
        <v>3.99% | 1.31%</v>
      </c>
      <c r="R2973" t="str">
        <f t="shared" si="1272"/>
        <v>BULLISH</v>
      </c>
      <c r="S2973">
        <f t="shared" si="1260"/>
        <v>1</v>
      </c>
    </row>
    <row r="2974" spans="1:19" hidden="1" x14ac:dyDescent="0.25">
      <c r="A2974" s="5" t="str">
        <f t="shared" si="1261"/>
        <v>44028XLRE</v>
      </c>
      <c r="B2974" s="6" t="s">
        <v>97</v>
      </c>
      <c r="C2974" s="6">
        <v>34.04</v>
      </c>
      <c r="D2974" s="6">
        <v>35.9</v>
      </c>
      <c r="E2974" s="6">
        <v>34.950000000000003</v>
      </c>
      <c r="F2974" t="str">
        <f t="shared" si="1262"/>
        <v>THU</v>
      </c>
      <c r="G2974" s="1">
        <f t="shared" si="1263"/>
        <v>44028</v>
      </c>
      <c r="H2974" s="2">
        <f t="shared" ca="1" si="1264"/>
        <v>225</v>
      </c>
      <c r="I2974" t="str">
        <f t="shared" si="1265"/>
        <v>XLRE</v>
      </c>
      <c r="J2974">
        <f t="shared" si="1266"/>
        <v>34.04</v>
      </c>
      <c r="K2974">
        <f t="shared" si="1267"/>
        <v>35.9</v>
      </c>
      <c r="L2974">
        <f t="shared" si="1268"/>
        <v>34.97</v>
      </c>
      <c r="M2974">
        <f t="shared" si="1269"/>
        <v>0.92999999999999972</v>
      </c>
      <c r="N2974">
        <f t="shared" si="1258"/>
        <v>1.8599999999999994</v>
      </c>
      <c r="O2974">
        <f t="shared" si="1270"/>
        <v>34.950000000000003</v>
      </c>
      <c r="P2974">
        <f t="shared" si="1271"/>
        <v>-2.1505376344081749E-2</v>
      </c>
      <c r="Q2974" t="str">
        <f t="shared" si="1259"/>
        <v>2.6% | 2.72%</v>
      </c>
      <c r="R2974" t="str">
        <f t="shared" si="1272"/>
        <v>BULLISH</v>
      </c>
      <c r="S2974">
        <f t="shared" si="1260"/>
        <v>1</v>
      </c>
    </row>
    <row r="2975" spans="1:19" hidden="1" x14ac:dyDescent="0.25">
      <c r="A2975" s="5" t="str">
        <f t="shared" si="1261"/>
        <v>44028XLU</v>
      </c>
      <c r="B2975" s="6" t="s">
        <v>52</v>
      </c>
      <c r="C2975" s="6">
        <v>56.45</v>
      </c>
      <c r="D2975" s="6">
        <v>58.65</v>
      </c>
      <c r="E2975" s="6">
        <v>58.14</v>
      </c>
      <c r="F2975" t="str">
        <f t="shared" si="1262"/>
        <v>THU</v>
      </c>
      <c r="G2975" s="1">
        <f t="shared" si="1263"/>
        <v>44028</v>
      </c>
      <c r="H2975" s="2">
        <f t="shared" ca="1" si="1264"/>
        <v>225</v>
      </c>
      <c r="I2975" t="str">
        <f t="shared" si="1265"/>
        <v>XLU</v>
      </c>
      <c r="J2975">
        <f t="shared" si="1266"/>
        <v>56.45</v>
      </c>
      <c r="K2975">
        <f t="shared" si="1267"/>
        <v>58.65</v>
      </c>
      <c r="L2975">
        <f t="shared" si="1268"/>
        <v>57.55</v>
      </c>
      <c r="M2975">
        <f t="shared" si="1269"/>
        <v>1.0999999999999979</v>
      </c>
      <c r="N2975">
        <f t="shared" si="1258"/>
        <v>2.1999999999999957</v>
      </c>
      <c r="O2975">
        <f t="shared" si="1270"/>
        <v>58.14</v>
      </c>
      <c r="P2975">
        <f t="shared" si="1271"/>
        <v>0.53636363636364048</v>
      </c>
      <c r="Q2975" t="str">
        <f t="shared" si="1259"/>
        <v>2.91% | 0.88%</v>
      </c>
      <c r="R2975" t="str">
        <f t="shared" si="1272"/>
        <v>BULLISH</v>
      </c>
      <c r="S2975">
        <f t="shared" si="1260"/>
        <v>1</v>
      </c>
    </row>
    <row r="2976" spans="1:19" hidden="1" x14ac:dyDescent="0.25">
      <c r="A2976" s="5" t="str">
        <f t="shared" si="1261"/>
        <v>44028XLF</v>
      </c>
      <c r="B2976" s="6" t="s">
        <v>12</v>
      </c>
      <c r="C2976" s="6">
        <v>22.19</v>
      </c>
      <c r="D2976" s="6">
        <v>24.2</v>
      </c>
      <c r="E2976" s="6">
        <v>24.15</v>
      </c>
      <c r="F2976" t="str">
        <f t="shared" si="1262"/>
        <v>THU</v>
      </c>
      <c r="G2976" s="1">
        <f t="shared" si="1263"/>
        <v>44028</v>
      </c>
      <c r="H2976" s="2">
        <f t="shared" ca="1" si="1264"/>
        <v>225</v>
      </c>
      <c r="I2976" t="str">
        <f t="shared" si="1265"/>
        <v>XLF</v>
      </c>
      <c r="J2976">
        <f t="shared" si="1266"/>
        <v>22.19</v>
      </c>
      <c r="K2976">
        <f t="shared" si="1267"/>
        <v>24.2</v>
      </c>
      <c r="L2976">
        <f t="shared" si="1268"/>
        <v>23.195</v>
      </c>
      <c r="M2976">
        <f t="shared" si="1269"/>
        <v>1.004999999999999</v>
      </c>
      <c r="N2976">
        <f t="shared" si="1258"/>
        <v>2.009999999999998</v>
      </c>
      <c r="O2976">
        <f t="shared" si="1270"/>
        <v>24.15</v>
      </c>
      <c r="P2976">
        <f t="shared" si="1271"/>
        <v>0.9502487562189047</v>
      </c>
      <c r="Q2976" t="str">
        <f t="shared" si="1259"/>
        <v>8.12% | 0.21%</v>
      </c>
      <c r="R2976" t="str">
        <f t="shared" si="1272"/>
        <v>BEARISH</v>
      </c>
      <c r="S2976">
        <f t="shared" si="1260"/>
        <v>-1</v>
      </c>
    </row>
    <row r="2977" spans="1:19" hidden="1" x14ac:dyDescent="0.25">
      <c r="A2977" s="5" t="str">
        <f t="shared" si="1261"/>
        <v>44028SSEC</v>
      </c>
      <c r="B2977" s="6" t="s">
        <v>104</v>
      </c>
      <c r="C2977" s="6">
        <v>3186</v>
      </c>
      <c r="D2977" s="6">
        <v>3530</v>
      </c>
      <c r="E2977" s="6">
        <v>3210</v>
      </c>
      <c r="F2977" t="str">
        <f t="shared" si="1262"/>
        <v>THU</v>
      </c>
      <c r="G2977" s="1">
        <f t="shared" si="1263"/>
        <v>44028</v>
      </c>
      <c r="H2977" s="2">
        <f t="shared" ca="1" si="1264"/>
        <v>225</v>
      </c>
      <c r="I2977" t="str">
        <f t="shared" si="1265"/>
        <v>SSEC</v>
      </c>
      <c r="J2977">
        <f t="shared" si="1266"/>
        <v>3186</v>
      </c>
      <c r="K2977">
        <f t="shared" si="1267"/>
        <v>3530</v>
      </c>
      <c r="L2977">
        <f t="shared" si="1268"/>
        <v>3358</v>
      </c>
      <c r="M2977">
        <f t="shared" si="1269"/>
        <v>172</v>
      </c>
      <c r="N2977">
        <f t="shared" si="1258"/>
        <v>344</v>
      </c>
      <c r="O2977">
        <f t="shared" si="1270"/>
        <v>3210</v>
      </c>
      <c r="P2977">
        <f t="shared" si="1271"/>
        <v>-0.86046511627906974</v>
      </c>
      <c r="Q2977" t="str">
        <f t="shared" si="1259"/>
        <v>0.75% | 9.97%</v>
      </c>
      <c r="R2977" t="str">
        <f t="shared" si="1272"/>
        <v>BULLISH</v>
      </c>
      <c r="S2977">
        <f t="shared" si="1260"/>
        <v>1</v>
      </c>
    </row>
    <row r="2978" spans="1:19" hidden="1" x14ac:dyDescent="0.25">
      <c r="A2978" s="5" t="str">
        <f t="shared" si="1261"/>
        <v>44028NIKK</v>
      </c>
      <c r="B2978" s="6" t="s">
        <v>90</v>
      </c>
      <c r="C2978" s="6">
        <v>22107</v>
      </c>
      <c r="D2978" s="6">
        <v>22997</v>
      </c>
      <c r="E2978" s="6">
        <v>22770</v>
      </c>
      <c r="F2978" t="str">
        <f t="shared" si="1262"/>
        <v>THU</v>
      </c>
      <c r="G2978" s="1">
        <f t="shared" si="1263"/>
        <v>44028</v>
      </c>
      <c r="H2978" s="2">
        <f t="shared" ca="1" si="1264"/>
        <v>225</v>
      </c>
      <c r="I2978" t="str">
        <f t="shared" si="1265"/>
        <v>NIKK</v>
      </c>
      <c r="J2978">
        <f t="shared" si="1266"/>
        <v>22107</v>
      </c>
      <c r="K2978">
        <f t="shared" si="1267"/>
        <v>22997</v>
      </c>
      <c r="L2978">
        <f t="shared" si="1268"/>
        <v>22552</v>
      </c>
      <c r="M2978">
        <f t="shared" si="1269"/>
        <v>445</v>
      </c>
      <c r="N2978">
        <f t="shared" si="1258"/>
        <v>890</v>
      </c>
      <c r="O2978">
        <f t="shared" si="1270"/>
        <v>22770</v>
      </c>
      <c r="P2978">
        <f t="shared" si="1271"/>
        <v>0.48988764044943822</v>
      </c>
      <c r="Q2978" t="str">
        <f t="shared" si="1259"/>
        <v>2.91% | 1%</v>
      </c>
      <c r="R2978" t="str">
        <f t="shared" si="1272"/>
        <v>NEUTRAL</v>
      </c>
      <c r="S2978">
        <f t="shared" si="1260"/>
        <v>0</v>
      </c>
    </row>
    <row r="2979" spans="1:19" hidden="1" x14ac:dyDescent="0.25">
      <c r="A2979" s="5" t="str">
        <f t="shared" si="1261"/>
        <v>44028DAX</v>
      </c>
      <c r="B2979" s="6" t="s">
        <v>98</v>
      </c>
      <c r="C2979" s="6">
        <v>12351</v>
      </c>
      <c r="D2979" s="6">
        <v>12940</v>
      </c>
      <c r="E2979" s="6">
        <v>12930</v>
      </c>
      <c r="F2979" t="str">
        <f t="shared" si="1262"/>
        <v>THU</v>
      </c>
      <c r="G2979" s="1">
        <f t="shared" si="1263"/>
        <v>44028</v>
      </c>
      <c r="H2979" s="2">
        <f t="shared" ca="1" si="1264"/>
        <v>225</v>
      </c>
      <c r="I2979" t="str">
        <f t="shared" si="1265"/>
        <v>DAX</v>
      </c>
      <c r="J2979">
        <f t="shared" si="1266"/>
        <v>12351</v>
      </c>
      <c r="K2979">
        <f t="shared" si="1267"/>
        <v>12940</v>
      </c>
      <c r="L2979">
        <f t="shared" si="1268"/>
        <v>12645.5</v>
      </c>
      <c r="M2979">
        <f t="shared" si="1269"/>
        <v>294.5</v>
      </c>
      <c r="N2979">
        <f t="shared" si="1258"/>
        <v>589</v>
      </c>
      <c r="O2979">
        <f t="shared" si="1270"/>
        <v>12930</v>
      </c>
      <c r="P2979">
        <f t="shared" si="1271"/>
        <v>0.96604414261460103</v>
      </c>
      <c r="Q2979" t="str">
        <f t="shared" si="1259"/>
        <v>4.48% | 0.08%</v>
      </c>
      <c r="R2979" t="str">
        <f t="shared" si="1272"/>
        <v>BULLISH</v>
      </c>
      <c r="S2979">
        <f t="shared" si="1260"/>
        <v>1</v>
      </c>
    </row>
    <row r="2980" spans="1:19" hidden="1" x14ac:dyDescent="0.25">
      <c r="A2980" s="5" t="str">
        <f t="shared" si="1261"/>
        <v>44028VIX</v>
      </c>
      <c r="B2980" s="6" t="s">
        <v>17</v>
      </c>
      <c r="C2980" s="6">
        <v>26.18</v>
      </c>
      <c r="D2980" s="6">
        <v>33.57</v>
      </c>
      <c r="E2980" s="6">
        <v>27.76</v>
      </c>
      <c r="F2980" t="str">
        <f t="shared" si="1262"/>
        <v>THU</v>
      </c>
      <c r="G2980" s="1">
        <f t="shared" si="1263"/>
        <v>44028</v>
      </c>
      <c r="H2980" s="2">
        <f t="shared" ca="1" si="1264"/>
        <v>225</v>
      </c>
      <c r="I2980" t="str">
        <f t="shared" si="1265"/>
        <v>VIX</v>
      </c>
      <c r="J2980">
        <f t="shared" si="1266"/>
        <v>26.18</v>
      </c>
      <c r="K2980">
        <f t="shared" si="1267"/>
        <v>33.57</v>
      </c>
      <c r="L2980">
        <f t="shared" si="1268"/>
        <v>29.875</v>
      </c>
      <c r="M2980">
        <f t="shared" si="1269"/>
        <v>3.6949999999999941</v>
      </c>
      <c r="N2980">
        <f t="shared" si="1258"/>
        <v>7.3900000000000006</v>
      </c>
      <c r="O2980">
        <f t="shared" si="1270"/>
        <v>27.76</v>
      </c>
      <c r="P2980">
        <f t="shared" si="1271"/>
        <v>-0.57239512855209795</v>
      </c>
      <c r="Q2980" t="str">
        <f t="shared" si="1259"/>
        <v>5.69% | 20.93%</v>
      </c>
      <c r="R2980" t="str">
        <f t="shared" si="1272"/>
        <v>BULLISH</v>
      </c>
      <c r="S2980">
        <f t="shared" si="1260"/>
        <v>1</v>
      </c>
    </row>
    <row r="2981" spans="1:19" hidden="1" x14ac:dyDescent="0.25">
      <c r="A2981" s="5" t="str">
        <f t="shared" si="1261"/>
        <v>44028USD</v>
      </c>
      <c r="B2981" s="6" t="s">
        <v>94</v>
      </c>
      <c r="C2981" s="6">
        <v>95.83</v>
      </c>
      <c r="D2981" s="6">
        <v>97.14</v>
      </c>
      <c r="E2981" s="6">
        <v>96.03</v>
      </c>
      <c r="F2981" t="str">
        <f t="shared" si="1262"/>
        <v>THU</v>
      </c>
      <c r="G2981" s="1">
        <f t="shared" si="1263"/>
        <v>44028</v>
      </c>
      <c r="H2981" s="2">
        <f t="shared" ca="1" si="1264"/>
        <v>225</v>
      </c>
      <c r="I2981" t="str">
        <f t="shared" si="1265"/>
        <v>USD</v>
      </c>
      <c r="J2981">
        <f t="shared" si="1266"/>
        <v>95.83</v>
      </c>
      <c r="K2981">
        <f t="shared" si="1267"/>
        <v>97.14</v>
      </c>
      <c r="L2981">
        <f t="shared" si="1268"/>
        <v>96.484999999999999</v>
      </c>
      <c r="M2981">
        <f t="shared" si="1269"/>
        <v>0.65500000000000114</v>
      </c>
      <c r="N2981">
        <f t="shared" si="1258"/>
        <v>1.3100000000000023</v>
      </c>
      <c r="O2981">
        <f t="shared" si="1270"/>
        <v>96.03</v>
      </c>
      <c r="P2981">
        <f t="shared" si="1271"/>
        <v>-0.69465648854961448</v>
      </c>
      <c r="Q2981" t="str">
        <f t="shared" si="1259"/>
        <v>0.21% | 1.16%</v>
      </c>
      <c r="R2981" t="str">
        <f t="shared" si="1272"/>
        <v>BEARISH</v>
      </c>
      <c r="S2981">
        <f t="shared" si="1260"/>
        <v>-1</v>
      </c>
    </row>
    <row r="2982" spans="1:19" hidden="1" x14ac:dyDescent="0.25">
      <c r="A2982" s="5" t="str">
        <f t="shared" si="1261"/>
        <v>44028EUR/USD</v>
      </c>
      <c r="B2982" s="6" t="s">
        <v>99</v>
      </c>
      <c r="C2982" s="6">
        <v>1.1200000000000001</v>
      </c>
      <c r="D2982" s="6">
        <v>1.1399999999999999</v>
      </c>
      <c r="E2982" s="6">
        <v>1.1399999999999999</v>
      </c>
      <c r="F2982" t="str">
        <f t="shared" si="1262"/>
        <v>THU</v>
      </c>
      <c r="G2982" s="1">
        <f t="shared" si="1263"/>
        <v>44028</v>
      </c>
      <c r="H2982" s="2">
        <f t="shared" ca="1" si="1264"/>
        <v>225</v>
      </c>
      <c r="I2982" t="str">
        <f t="shared" si="1265"/>
        <v>EUR/USD</v>
      </c>
      <c r="J2982">
        <f t="shared" si="1266"/>
        <v>1.1200000000000001</v>
      </c>
      <c r="K2982">
        <f t="shared" si="1267"/>
        <v>1.1399999999999999</v>
      </c>
      <c r="L2982">
        <f t="shared" si="1268"/>
        <v>1.1299999999999999</v>
      </c>
      <c r="M2982">
        <f t="shared" si="1269"/>
        <v>9.9999999999998979E-3</v>
      </c>
      <c r="N2982">
        <f t="shared" si="1258"/>
        <v>1.9999999999999796E-2</v>
      </c>
      <c r="O2982">
        <f t="shared" si="1270"/>
        <v>1.1399999999999999</v>
      </c>
      <c r="P2982">
        <f t="shared" si="1271"/>
        <v>1.0000000000000111</v>
      </c>
      <c r="Q2982" t="str">
        <f t="shared" si="1259"/>
        <v>1.75% | 0%</v>
      </c>
      <c r="R2982" t="str">
        <f t="shared" si="1272"/>
        <v>BULLISH</v>
      </c>
      <c r="S2982">
        <f t="shared" si="1260"/>
        <v>1</v>
      </c>
    </row>
    <row r="2983" spans="1:19" hidden="1" x14ac:dyDescent="0.25">
      <c r="A2983" s="5" t="str">
        <f t="shared" si="1261"/>
        <v>44028USD/JPY</v>
      </c>
      <c r="B2983" s="6" t="s">
        <v>20</v>
      </c>
      <c r="C2983" s="6">
        <v>106.64</v>
      </c>
      <c r="D2983" s="6">
        <v>107.75</v>
      </c>
      <c r="E2983" s="6">
        <v>106.93</v>
      </c>
      <c r="F2983" t="str">
        <f t="shared" si="1262"/>
        <v>THU</v>
      </c>
      <c r="G2983" s="1">
        <f t="shared" si="1263"/>
        <v>44028</v>
      </c>
      <c r="H2983" s="2">
        <f t="shared" ca="1" si="1264"/>
        <v>225</v>
      </c>
      <c r="I2983" t="str">
        <f t="shared" si="1265"/>
        <v>USD/JPY</v>
      </c>
      <c r="J2983">
        <f t="shared" si="1266"/>
        <v>106.64</v>
      </c>
      <c r="K2983">
        <f t="shared" si="1267"/>
        <v>107.75</v>
      </c>
      <c r="L2983">
        <f t="shared" si="1268"/>
        <v>107.19499999999999</v>
      </c>
      <c r="M2983">
        <f t="shared" si="1269"/>
        <v>0.55499999999999972</v>
      </c>
      <c r="N2983">
        <f t="shared" si="1258"/>
        <v>1.1099999999999994</v>
      </c>
      <c r="O2983">
        <f t="shared" si="1270"/>
        <v>106.93</v>
      </c>
      <c r="P2983">
        <f t="shared" si="1271"/>
        <v>-0.47747747747745312</v>
      </c>
      <c r="Q2983" t="str">
        <f t="shared" si="1259"/>
        <v>0.27% | 0.77%</v>
      </c>
      <c r="R2983" t="str">
        <f t="shared" si="1272"/>
        <v>BEARISH</v>
      </c>
      <c r="S2983">
        <f t="shared" si="1260"/>
        <v>-1</v>
      </c>
    </row>
    <row r="2984" spans="1:19" hidden="1" x14ac:dyDescent="0.25">
      <c r="A2984" s="5" t="str">
        <f t="shared" si="1261"/>
        <v>44028GBP/USD</v>
      </c>
      <c r="B2984" s="6" t="s">
        <v>102</v>
      </c>
      <c r="C2984" s="6">
        <v>1.24</v>
      </c>
      <c r="D2984" s="6">
        <v>1.27</v>
      </c>
      <c r="E2984" s="6">
        <v>1.25</v>
      </c>
      <c r="F2984" t="str">
        <f t="shared" si="1262"/>
        <v>THU</v>
      </c>
      <c r="G2984" s="1">
        <f t="shared" si="1263"/>
        <v>44028</v>
      </c>
      <c r="H2984" s="2">
        <f t="shared" ca="1" si="1264"/>
        <v>225</v>
      </c>
      <c r="I2984" t="str">
        <f t="shared" si="1265"/>
        <v>GBP/USD</v>
      </c>
      <c r="J2984">
        <f t="shared" si="1266"/>
        <v>1.24</v>
      </c>
      <c r="K2984">
        <f t="shared" si="1267"/>
        <v>1.27</v>
      </c>
      <c r="L2984">
        <f t="shared" si="1268"/>
        <v>1.2549999999999999</v>
      </c>
      <c r="M2984">
        <f t="shared" si="1269"/>
        <v>1.5000000000000013E-2</v>
      </c>
      <c r="N2984">
        <f t="shared" si="1258"/>
        <v>3.0000000000000027E-2</v>
      </c>
      <c r="O2984">
        <f t="shared" si="1270"/>
        <v>1.25</v>
      </c>
      <c r="P2984">
        <f t="shared" si="1271"/>
        <v>-0.33333333333332593</v>
      </c>
      <c r="Q2984" t="str">
        <f t="shared" si="1259"/>
        <v>0.8% | 1.6%</v>
      </c>
      <c r="R2984" t="str">
        <f t="shared" si="1272"/>
        <v>BULLISH</v>
      </c>
      <c r="S2984">
        <f t="shared" si="1260"/>
        <v>1</v>
      </c>
    </row>
    <row r="2985" spans="1:19" hidden="1" x14ac:dyDescent="0.25">
      <c r="A2985" s="5" t="str">
        <f t="shared" si="1261"/>
        <v>44028USD/CHF</v>
      </c>
      <c r="B2985" s="6" t="s">
        <v>76</v>
      </c>
      <c r="C2985" s="6">
        <v>0.93</v>
      </c>
      <c r="D2985" s="6">
        <v>0.95</v>
      </c>
      <c r="E2985" s="6">
        <v>0.94</v>
      </c>
      <c r="F2985" t="str">
        <f t="shared" si="1262"/>
        <v>THU</v>
      </c>
      <c r="G2985" s="1">
        <f t="shared" si="1263"/>
        <v>44028</v>
      </c>
      <c r="H2985" s="2">
        <f t="shared" ca="1" si="1264"/>
        <v>225</v>
      </c>
      <c r="I2985" t="str">
        <f t="shared" si="1265"/>
        <v>USD/CHF</v>
      </c>
      <c r="J2985">
        <f t="shared" si="1266"/>
        <v>0.93</v>
      </c>
      <c r="K2985">
        <f t="shared" si="1267"/>
        <v>0.95</v>
      </c>
      <c r="L2985">
        <f t="shared" si="1268"/>
        <v>0.94</v>
      </c>
      <c r="M2985">
        <f t="shared" si="1269"/>
        <v>9.9999999999999534E-3</v>
      </c>
      <c r="N2985">
        <f t="shared" si="1258"/>
        <v>1.9999999999999907E-2</v>
      </c>
      <c r="O2985">
        <f t="shared" si="1270"/>
        <v>0.94</v>
      </c>
      <c r="P2985">
        <f t="shared" si="1271"/>
        <v>0</v>
      </c>
      <c r="Q2985" t="str">
        <f t="shared" si="1259"/>
        <v>1.06% | 1.06%</v>
      </c>
      <c r="R2985" t="str">
        <f t="shared" si="1272"/>
        <v>BEARISH</v>
      </c>
      <c r="S2985">
        <f t="shared" si="1260"/>
        <v>-1</v>
      </c>
    </row>
    <row r="2986" spans="1:19" hidden="1" x14ac:dyDescent="0.25">
      <c r="A2986" s="5" t="str">
        <f t="shared" si="1261"/>
        <v>44028WTIC</v>
      </c>
      <c r="B2986" s="6" t="s">
        <v>158</v>
      </c>
      <c r="C2986" s="6">
        <v>38.67</v>
      </c>
      <c r="D2986" s="6">
        <v>41.47</v>
      </c>
      <c r="E2986" s="6">
        <v>41.2</v>
      </c>
      <c r="F2986" t="str">
        <f t="shared" si="1262"/>
        <v>THU</v>
      </c>
      <c r="G2986" s="1">
        <f t="shared" si="1263"/>
        <v>44028</v>
      </c>
      <c r="H2986" s="2">
        <f t="shared" ca="1" si="1264"/>
        <v>225</v>
      </c>
      <c r="I2986" t="str">
        <f t="shared" si="1265"/>
        <v>WTIC</v>
      </c>
      <c r="J2986">
        <f t="shared" si="1266"/>
        <v>38.67</v>
      </c>
      <c r="K2986">
        <f t="shared" si="1267"/>
        <v>41.47</v>
      </c>
      <c r="L2986">
        <f t="shared" si="1268"/>
        <v>40.07</v>
      </c>
      <c r="M2986">
        <f t="shared" si="1269"/>
        <v>1.3999999999999986</v>
      </c>
      <c r="N2986">
        <f t="shared" si="1258"/>
        <v>2.7999999999999972</v>
      </c>
      <c r="O2986">
        <f t="shared" si="1270"/>
        <v>41.2</v>
      </c>
      <c r="P2986">
        <f t="shared" si="1271"/>
        <v>0.80714285714285983</v>
      </c>
      <c r="Q2986" t="str">
        <f t="shared" si="1259"/>
        <v>6.14% | 0.66%</v>
      </c>
      <c r="R2986" t="str">
        <f t="shared" si="1272"/>
        <v>BULLISH</v>
      </c>
      <c r="S2986">
        <f t="shared" si="1260"/>
        <v>1</v>
      </c>
    </row>
    <row r="2987" spans="1:19" hidden="1" x14ac:dyDescent="0.25">
      <c r="A2987" s="5" t="str">
        <f t="shared" si="1261"/>
        <v>44028NATGAS</v>
      </c>
      <c r="B2987" s="6" t="s">
        <v>87</v>
      </c>
      <c r="C2987" s="6">
        <v>1.65</v>
      </c>
      <c r="D2987" s="6">
        <v>1.9</v>
      </c>
      <c r="E2987" s="6">
        <v>1.78</v>
      </c>
      <c r="F2987" t="str">
        <f t="shared" si="1262"/>
        <v>THU</v>
      </c>
      <c r="G2987" s="1">
        <f t="shared" si="1263"/>
        <v>44028</v>
      </c>
      <c r="H2987" s="2">
        <f t="shared" ca="1" si="1264"/>
        <v>225</v>
      </c>
      <c r="I2987" t="str">
        <f t="shared" si="1265"/>
        <v>NATGAS</v>
      </c>
      <c r="J2987">
        <f t="shared" si="1266"/>
        <v>1.65</v>
      </c>
      <c r="K2987">
        <f t="shared" si="1267"/>
        <v>1.9</v>
      </c>
      <c r="L2987">
        <f t="shared" si="1268"/>
        <v>1.7749999999999999</v>
      </c>
      <c r="M2987">
        <f t="shared" si="1269"/>
        <v>0.125</v>
      </c>
      <c r="N2987">
        <f t="shared" si="1258"/>
        <v>0.25</v>
      </c>
      <c r="O2987">
        <f t="shared" si="1270"/>
        <v>1.78</v>
      </c>
      <c r="P2987">
        <f t="shared" si="1271"/>
        <v>4.0000000000000924E-2</v>
      </c>
      <c r="Q2987" t="str">
        <f t="shared" si="1259"/>
        <v>7.3% | 6.74%</v>
      </c>
      <c r="R2987" t="str">
        <f t="shared" si="1272"/>
        <v>NEUTRAL</v>
      </c>
      <c r="S2987">
        <f t="shared" si="1260"/>
        <v>0</v>
      </c>
    </row>
    <row r="2988" spans="1:19" hidden="1" x14ac:dyDescent="0.25">
      <c r="A2988" s="5" t="str">
        <f t="shared" si="1261"/>
        <v>44028GOLD</v>
      </c>
      <c r="B2988" s="6" t="s">
        <v>25</v>
      </c>
      <c r="C2988" s="6">
        <v>1785</v>
      </c>
      <c r="D2988" s="6">
        <v>1827</v>
      </c>
      <c r="E2988" s="6">
        <v>1813</v>
      </c>
      <c r="F2988" t="str">
        <f t="shared" si="1262"/>
        <v>THU</v>
      </c>
      <c r="G2988" s="1">
        <f t="shared" si="1263"/>
        <v>44028</v>
      </c>
      <c r="H2988" s="2">
        <f t="shared" ca="1" si="1264"/>
        <v>225</v>
      </c>
      <c r="I2988" t="str">
        <f t="shared" si="1265"/>
        <v>GOLD</v>
      </c>
      <c r="J2988">
        <f t="shared" si="1266"/>
        <v>1785</v>
      </c>
      <c r="K2988">
        <f t="shared" si="1267"/>
        <v>1827</v>
      </c>
      <c r="L2988">
        <f t="shared" si="1268"/>
        <v>1806</v>
      </c>
      <c r="M2988">
        <f t="shared" si="1269"/>
        <v>21</v>
      </c>
      <c r="N2988">
        <f t="shared" si="1258"/>
        <v>42</v>
      </c>
      <c r="O2988">
        <f t="shared" si="1270"/>
        <v>1813</v>
      </c>
      <c r="P2988">
        <f t="shared" si="1271"/>
        <v>0.33333333333333331</v>
      </c>
      <c r="Q2988" t="str">
        <f t="shared" si="1259"/>
        <v>1.54% | 0.77%</v>
      </c>
      <c r="R2988" t="str">
        <f t="shared" si="1272"/>
        <v>BULLISH</v>
      </c>
      <c r="S2988">
        <f t="shared" si="1260"/>
        <v>1</v>
      </c>
    </row>
    <row r="2989" spans="1:19" hidden="1" x14ac:dyDescent="0.25">
      <c r="A2989" s="5" t="str">
        <f t="shared" si="1261"/>
        <v>44028COPPER</v>
      </c>
      <c r="B2989" s="6" t="s">
        <v>100</v>
      </c>
      <c r="C2989" s="6">
        <v>2.72</v>
      </c>
      <c r="D2989" s="6">
        <v>2.98</v>
      </c>
      <c r="E2989" s="6">
        <v>2.88</v>
      </c>
      <c r="F2989" t="str">
        <f t="shared" si="1262"/>
        <v>THU</v>
      </c>
      <c r="G2989" s="1">
        <f t="shared" si="1263"/>
        <v>44028</v>
      </c>
      <c r="H2989" s="2">
        <f t="shared" ca="1" si="1264"/>
        <v>225</v>
      </c>
      <c r="I2989" t="str">
        <f t="shared" si="1265"/>
        <v>COPPER</v>
      </c>
      <c r="J2989">
        <f t="shared" si="1266"/>
        <v>2.72</v>
      </c>
      <c r="K2989">
        <f t="shared" si="1267"/>
        <v>2.98</v>
      </c>
      <c r="L2989">
        <f t="shared" si="1268"/>
        <v>2.85</v>
      </c>
      <c r="M2989">
        <f t="shared" si="1269"/>
        <v>0.12999999999999989</v>
      </c>
      <c r="N2989">
        <f t="shared" si="1258"/>
        <v>0.25999999999999979</v>
      </c>
      <c r="O2989">
        <f t="shared" si="1270"/>
        <v>2.88</v>
      </c>
      <c r="P2989">
        <f t="shared" si="1271"/>
        <v>0.23076923076922945</v>
      </c>
      <c r="Q2989" t="str">
        <f t="shared" si="1259"/>
        <v>5.56% | 3.47%</v>
      </c>
      <c r="R2989" t="str">
        <f t="shared" si="1272"/>
        <v>BULLISH</v>
      </c>
      <c r="S2989">
        <f t="shared" si="1260"/>
        <v>1</v>
      </c>
    </row>
    <row r="2990" spans="1:19" hidden="1" x14ac:dyDescent="0.25">
      <c r="A2990" s="5" t="str">
        <f t="shared" si="1261"/>
        <v>44028MSFT</v>
      </c>
      <c r="B2990" s="6" t="s">
        <v>27</v>
      </c>
      <c r="C2990" s="6">
        <v>201</v>
      </c>
      <c r="D2990" s="6">
        <v>215</v>
      </c>
      <c r="E2990" s="6">
        <v>208</v>
      </c>
      <c r="F2990" t="str">
        <f t="shared" si="1262"/>
        <v>THU</v>
      </c>
      <c r="G2990" s="1">
        <f t="shared" si="1263"/>
        <v>44028</v>
      </c>
      <c r="H2990" s="2">
        <f t="shared" ca="1" si="1264"/>
        <v>225</v>
      </c>
      <c r="I2990" t="str">
        <f t="shared" si="1265"/>
        <v>MSFT</v>
      </c>
      <c r="J2990">
        <f t="shared" si="1266"/>
        <v>201</v>
      </c>
      <c r="K2990">
        <f t="shared" si="1267"/>
        <v>215</v>
      </c>
      <c r="L2990">
        <f t="shared" si="1268"/>
        <v>208</v>
      </c>
      <c r="M2990">
        <f t="shared" si="1269"/>
        <v>7</v>
      </c>
      <c r="N2990">
        <f t="shared" si="1258"/>
        <v>14</v>
      </c>
      <c r="O2990">
        <f t="shared" si="1270"/>
        <v>208</v>
      </c>
      <c r="P2990">
        <f t="shared" si="1271"/>
        <v>0</v>
      </c>
      <c r="Q2990" t="str">
        <f t="shared" si="1259"/>
        <v>3.37% | 3.37%</v>
      </c>
      <c r="R2990" t="str">
        <f t="shared" si="1272"/>
        <v>BULLISH</v>
      </c>
      <c r="S2990">
        <f t="shared" si="1260"/>
        <v>1</v>
      </c>
    </row>
    <row r="2991" spans="1:19" hidden="1" x14ac:dyDescent="0.25">
      <c r="A2991" s="5" t="str">
        <f t="shared" si="1261"/>
        <v>44028AAPL</v>
      </c>
      <c r="B2991" s="6" t="s">
        <v>28</v>
      </c>
      <c r="C2991" s="6">
        <v>363</v>
      </c>
      <c r="D2991" s="6">
        <v>396</v>
      </c>
      <c r="E2991" s="6">
        <v>390</v>
      </c>
      <c r="F2991" t="str">
        <f t="shared" si="1262"/>
        <v>THU</v>
      </c>
      <c r="G2991" s="1">
        <f t="shared" si="1263"/>
        <v>44028</v>
      </c>
      <c r="H2991" s="2">
        <f t="shared" ca="1" si="1264"/>
        <v>225</v>
      </c>
      <c r="I2991" t="str">
        <f t="shared" si="1265"/>
        <v>AAPL</v>
      </c>
      <c r="J2991">
        <f t="shared" si="1266"/>
        <v>363</v>
      </c>
      <c r="K2991">
        <f t="shared" si="1267"/>
        <v>396</v>
      </c>
      <c r="L2991">
        <f t="shared" si="1268"/>
        <v>379.5</v>
      </c>
      <c r="M2991">
        <f t="shared" si="1269"/>
        <v>16.5</v>
      </c>
      <c r="N2991">
        <f t="shared" si="1258"/>
        <v>33</v>
      </c>
      <c r="O2991">
        <f t="shared" si="1270"/>
        <v>390</v>
      </c>
      <c r="P2991">
        <f t="shared" si="1271"/>
        <v>0.63636363636363635</v>
      </c>
      <c r="Q2991" t="str">
        <f t="shared" si="1259"/>
        <v>6.92% | 1.54%</v>
      </c>
      <c r="R2991" t="str">
        <f t="shared" si="1272"/>
        <v>BULLISH</v>
      </c>
      <c r="S2991">
        <f t="shared" si="1260"/>
        <v>1</v>
      </c>
    </row>
    <row r="2992" spans="1:19" hidden="1" x14ac:dyDescent="0.25">
      <c r="A2992" s="5" t="str">
        <f t="shared" si="1261"/>
        <v>44028AMZN</v>
      </c>
      <c r="B2992" s="6" t="s">
        <v>29</v>
      </c>
      <c r="C2992" s="6">
        <v>2887</v>
      </c>
      <c r="D2992" s="6">
        <v>3247</v>
      </c>
      <c r="E2992" s="6">
        <v>3008</v>
      </c>
      <c r="F2992" t="str">
        <f t="shared" si="1262"/>
        <v>THU</v>
      </c>
      <c r="G2992" s="1">
        <f t="shared" si="1263"/>
        <v>44028</v>
      </c>
      <c r="H2992" s="2">
        <f t="shared" ca="1" si="1264"/>
        <v>225</v>
      </c>
      <c r="I2992" t="str">
        <f t="shared" si="1265"/>
        <v>AMZN</v>
      </c>
      <c r="J2992">
        <f t="shared" si="1266"/>
        <v>2887</v>
      </c>
      <c r="K2992">
        <f t="shared" si="1267"/>
        <v>3247</v>
      </c>
      <c r="L2992">
        <f t="shared" si="1268"/>
        <v>3067</v>
      </c>
      <c r="M2992">
        <f t="shared" si="1269"/>
        <v>180</v>
      </c>
      <c r="N2992">
        <f t="shared" si="1258"/>
        <v>360</v>
      </c>
      <c r="O2992">
        <f t="shared" si="1270"/>
        <v>3008</v>
      </c>
      <c r="P2992">
        <f t="shared" si="1271"/>
        <v>-0.32777777777777778</v>
      </c>
      <c r="Q2992" t="str">
        <f t="shared" si="1259"/>
        <v>4.02% | 7.95%</v>
      </c>
      <c r="R2992" t="str">
        <f t="shared" si="1272"/>
        <v>BULLISH</v>
      </c>
      <c r="S2992">
        <f t="shared" si="1260"/>
        <v>1</v>
      </c>
    </row>
    <row r="2993" spans="1:19" hidden="1" x14ac:dyDescent="0.25">
      <c r="A2993" s="5" t="str">
        <f t="shared" si="1261"/>
        <v>44028FB</v>
      </c>
      <c r="B2993" s="6" t="s">
        <v>30</v>
      </c>
      <c r="C2993" s="6">
        <v>231</v>
      </c>
      <c r="D2993" s="6">
        <v>248</v>
      </c>
      <c r="E2993" s="6">
        <v>240</v>
      </c>
      <c r="F2993" t="str">
        <f t="shared" si="1262"/>
        <v>THU</v>
      </c>
      <c r="G2993" s="1">
        <f t="shared" si="1263"/>
        <v>44028</v>
      </c>
      <c r="H2993" s="2">
        <f t="shared" ca="1" si="1264"/>
        <v>225</v>
      </c>
      <c r="I2993" t="str">
        <f t="shared" si="1265"/>
        <v>FB</v>
      </c>
      <c r="J2993">
        <f t="shared" si="1266"/>
        <v>231</v>
      </c>
      <c r="K2993">
        <f t="shared" si="1267"/>
        <v>248</v>
      </c>
      <c r="L2993">
        <f t="shared" si="1268"/>
        <v>239.5</v>
      </c>
      <c r="M2993">
        <f t="shared" si="1269"/>
        <v>8.5</v>
      </c>
      <c r="N2993">
        <f t="shared" si="1258"/>
        <v>17</v>
      </c>
      <c r="O2993">
        <f t="shared" si="1270"/>
        <v>240</v>
      </c>
      <c r="P2993">
        <f t="shared" si="1271"/>
        <v>5.8823529411764705E-2</v>
      </c>
      <c r="Q2993" t="str">
        <f t="shared" si="1259"/>
        <v>3.75% | 3.33%</v>
      </c>
      <c r="R2993" t="str">
        <f t="shared" si="1272"/>
        <v>BULLISH</v>
      </c>
      <c r="S2993">
        <f t="shared" si="1260"/>
        <v>1</v>
      </c>
    </row>
    <row r="2994" spans="1:19" hidden="1" x14ac:dyDescent="0.25">
      <c r="A2994" s="5" t="str">
        <f t="shared" si="1261"/>
        <v>44028GOOGL</v>
      </c>
      <c r="B2994" s="6" t="s">
        <v>31</v>
      </c>
      <c r="C2994" s="6">
        <v>1462</v>
      </c>
      <c r="D2994" s="6">
        <v>1546</v>
      </c>
      <c r="E2994" s="6">
        <v>1516</v>
      </c>
      <c r="F2994" t="str">
        <f t="shared" si="1262"/>
        <v>THU</v>
      </c>
      <c r="G2994" s="1">
        <f t="shared" si="1263"/>
        <v>44028</v>
      </c>
      <c r="H2994" s="2">
        <f t="shared" ca="1" si="1264"/>
        <v>225</v>
      </c>
      <c r="I2994" t="str">
        <f t="shared" si="1265"/>
        <v>GOOGL</v>
      </c>
      <c r="J2994">
        <f t="shared" si="1266"/>
        <v>1462</v>
      </c>
      <c r="K2994">
        <f t="shared" si="1267"/>
        <v>1546</v>
      </c>
      <c r="L2994">
        <f t="shared" si="1268"/>
        <v>1504</v>
      </c>
      <c r="M2994">
        <f t="shared" si="1269"/>
        <v>42</v>
      </c>
      <c r="N2994">
        <f t="shared" si="1258"/>
        <v>84</v>
      </c>
      <c r="O2994">
        <f t="shared" si="1270"/>
        <v>1516</v>
      </c>
      <c r="P2994">
        <f t="shared" si="1271"/>
        <v>0.2857142857142857</v>
      </c>
      <c r="Q2994" t="str">
        <f t="shared" si="1259"/>
        <v>3.56% | 1.98%</v>
      </c>
      <c r="R2994" t="str">
        <f t="shared" si="1272"/>
        <v>BULLISH</v>
      </c>
      <c r="S2994">
        <f t="shared" si="1260"/>
        <v>1</v>
      </c>
    </row>
    <row r="2995" spans="1:19" hidden="1" x14ac:dyDescent="0.25">
      <c r="A2995" s="5" t="str">
        <f t="shared" si="1261"/>
        <v>44028NFLX</v>
      </c>
      <c r="B2995" s="6" t="s">
        <v>32</v>
      </c>
      <c r="C2995" s="6">
        <v>477</v>
      </c>
      <c r="D2995" s="6">
        <v>553</v>
      </c>
      <c r="E2995" s="6">
        <v>523</v>
      </c>
      <c r="F2995" t="str">
        <f t="shared" si="1262"/>
        <v>THU</v>
      </c>
      <c r="G2995" s="1">
        <f t="shared" si="1263"/>
        <v>44028</v>
      </c>
      <c r="H2995" s="2">
        <f t="shared" ca="1" si="1264"/>
        <v>225</v>
      </c>
      <c r="I2995" t="str">
        <f t="shared" si="1265"/>
        <v>NFLX</v>
      </c>
      <c r="J2995">
        <f t="shared" si="1266"/>
        <v>477</v>
      </c>
      <c r="K2995">
        <f t="shared" si="1267"/>
        <v>553</v>
      </c>
      <c r="L2995">
        <f t="shared" si="1268"/>
        <v>515</v>
      </c>
      <c r="M2995">
        <f t="shared" si="1269"/>
        <v>38</v>
      </c>
      <c r="N2995">
        <f t="shared" si="1258"/>
        <v>76</v>
      </c>
      <c r="O2995">
        <f t="shared" si="1270"/>
        <v>523</v>
      </c>
      <c r="P2995">
        <f t="shared" si="1271"/>
        <v>0.21052631578947367</v>
      </c>
      <c r="Q2995" t="str">
        <f t="shared" si="1259"/>
        <v>8.8% | 5.74%</v>
      </c>
      <c r="R2995" t="str">
        <f t="shared" si="1272"/>
        <v>BULLISH</v>
      </c>
      <c r="S2995">
        <f t="shared" si="1260"/>
        <v>1</v>
      </c>
    </row>
    <row r="2996" spans="1:19" x14ac:dyDescent="0.25">
      <c r="A2996" s="5" t="str">
        <f t="shared" si="1261"/>
        <v>44028TSLA</v>
      </c>
      <c r="B2996" s="6" t="s">
        <v>33</v>
      </c>
      <c r="C2996" s="6">
        <v>1416</v>
      </c>
      <c r="D2996" s="6">
        <v>1635</v>
      </c>
      <c r="E2996" s="6">
        <v>1546</v>
      </c>
      <c r="F2996" t="str">
        <f t="shared" si="1262"/>
        <v>THU</v>
      </c>
      <c r="G2996" s="1">
        <f t="shared" si="1263"/>
        <v>44028</v>
      </c>
      <c r="H2996" s="2">
        <f t="shared" ca="1" si="1264"/>
        <v>225</v>
      </c>
      <c r="I2996" t="str">
        <f t="shared" si="1265"/>
        <v>TSLA</v>
      </c>
      <c r="J2996">
        <f t="shared" si="1266"/>
        <v>1416</v>
      </c>
      <c r="K2996">
        <f t="shared" si="1267"/>
        <v>1635</v>
      </c>
      <c r="L2996">
        <f t="shared" si="1268"/>
        <v>1525.5</v>
      </c>
      <c r="M2996">
        <f t="shared" si="1269"/>
        <v>109.5</v>
      </c>
      <c r="N2996">
        <f t="shared" si="1258"/>
        <v>219</v>
      </c>
      <c r="O2996">
        <f t="shared" si="1270"/>
        <v>1546</v>
      </c>
      <c r="P2996">
        <f t="shared" si="1271"/>
        <v>0.18721461187214611</v>
      </c>
      <c r="Q2996" t="str">
        <f t="shared" si="1259"/>
        <v>8.41% | 5.76%</v>
      </c>
      <c r="R2996" t="str">
        <f t="shared" si="1272"/>
        <v>BULLISH</v>
      </c>
      <c r="S2996">
        <f t="shared" si="1260"/>
        <v>1</v>
      </c>
    </row>
    <row r="2997" spans="1:19" hidden="1" x14ac:dyDescent="0.25">
      <c r="A2997" s="5" t="str">
        <f t="shared" si="1261"/>
        <v>44028NYXBT</v>
      </c>
      <c r="B2997" s="6" t="s">
        <v>60</v>
      </c>
      <c r="C2997" s="6">
        <v>8913</v>
      </c>
      <c r="D2997" s="6">
        <v>9430</v>
      </c>
      <c r="E2997" s="6">
        <v>9230</v>
      </c>
      <c r="F2997" t="str">
        <f t="shared" si="1262"/>
        <v>THU</v>
      </c>
      <c r="G2997" s="1">
        <f t="shared" si="1263"/>
        <v>44028</v>
      </c>
      <c r="H2997" s="2">
        <f t="shared" ca="1" si="1264"/>
        <v>225</v>
      </c>
      <c r="I2997" t="str">
        <f t="shared" si="1265"/>
        <v>NYXBT</v>
      </c>
      <c r="J2997">
        <f t="shared" si="1266"/>
        <v>8913</v>
      </c>
      <c r="K2997">
        <f t="shared" si="1267"/>
        <v>9430</v>
      </c>
      <c r="L2997">
        <f t="shared" si="1268"/>
        <v>9171.5</v>
      </c>
      <c r="M2997">
        <f t="shared" si="1269"/>
        <v>258.5</v>
      </c>
      <c r="N2997">
        <f t="shared" si="1258"/>
        <v>517</v>
      </c>
      <c r="O2997">
        <f t="shared" si="1270"/>
        <v>9230</v>
      </c>
      <c r="P2997">
        <f t="shared" si="1271"/>
        <v>0.22630560928433269</v>
      </c>
      <c r="Q2997" t="str">
        <f t="shared" si="1259"/>
        <v>3.43% | 2.17%</v>
      </c>
      <c r="R2997" t="str">
        <f t="shared" si="1272"/>
        <v>BULLISH</v>
      </c>
      <c r="S2997">
        <f t="shared" si="1260"/>
        <v>1</v>
      </c>
    </row>
    <row r="2998" spans="1:19" hidden="1" x14ac:dyDescent="0.25">
      <c r="A2998" s="5" t="str">
        <f t="shared" si="1261"/>
        <v>44029UST10Y</v>
      </c>
      <c r="B2998" s="6" t="s">
        <v>4</v>
      </c>
      <c r="C2998" s="6">
        <v>0.67</v>
      </c>
      <c r="D2998" s="6">
        <v>0.59</v>
      </c>
      <c r="E2998" s="6">
        <v>0.62</v>
      </c>
      <c r="F2998" t="str">
        <f t="shared" si="1262"/>
        <v>FRI</v>
      </c>
      <c r="G2998" s="3">
        <f>DATE(2020,7,17)</f>
        <v>44029</v>
      </c>
      <c r="H2998" s="2">
        <f t="shared" ca="1" si="1264"/>
        <v>224</v>
      </c>
      <c r="I2998" t="str">
        <f t="shared" si="1265"/>
        <v>UST10Y</v>
      </c>
      <c r="J2998">
        <f t="shared" si="1266"/>
        <v>0.67</v>
      </c>
      <c r="K2998">
        <f t="shared" si="1267"/>
        <v>0.59</v>
      </c>
      <c r="L2998">
        <f t="shared" si="1268"/>
        <v>0.63</v>
      </c>
      <c r="M2998">
        <f t="shared" si="1269"/>
        <v>4.0000000000000036E-2</v>
      </c>
      <c r="N2998">
        <f t="shared" si="1258"/>
        <v>8.0000000000000071E-2</v>
      </c>
      <c r="O2998">
        <f t="shared" si="1270"/>
        <v>0.62</v>
      </c>
      <c r="P2998">
        <f t="shared" si="1271"/>
        <v>-0.25</v>
      </c>
      <c r="Q2998" t="str">
        <f t="shared" si="1259"/>
        <v>8.06% | 4.84%</v>
      </c>
      <c r="R2998" t="str">
        <f t="shared" si="1272"/>
        <v>BEARISH</v>
      </c>
      <c r="S2998">
        <f t="shared" si="1260"/>
        <v>-1</v>
      </c>
    </row>
    <row r="2999" spans="1:19" hidden="1" x14ac:dyDescent="0.25">
      <c r="A2999" s="5" t="str">
        <f t="shared" si="1261"/>
        <v>44029UST2Y</v>
      </c>
      <c r="B2999" s="6" t="s">
        <v>5</v>
      </c>
      <c r="C2999" s="6">
        <v>0.17</v>
      </c>
      <c r="D2999" s="6">
        <v>0.13</v>
      </c>
      <c r="E2999" s="6">
        <v>0.16</v>
      </c>
      <c r="F2999" t="str">
        <f t="shared" ref="F2999:F3028" si="1273">UPPER(TEXT(G2999,"ddd"))</f>
        <v>FRI</v>
      </c>
      <c r="G2999" s="3">
        <f t="shared" ref="G2999:G3027" si="1274">DATE(2020,7,17)</f>
        <v>44029</v>
      </c>
      <c r="H2999" s="2">
        <f t="shared" ref="H2999:H3028" ca="1" si="1275">TODAY()-G2999</f>
        <v>224</v>
      </c>
      <c r="I2999" t="str">
        <f t="shared" ref="I2999:I3028" si="1276">TRIM(LEFT(B2999,FIND(" ",B2999,1)))</f>
        <v>UST2Y</v>
      </c>
      <c r="J2999">
        <f t="shared" ref="J2999:J3028" si="1277">C2999</f>
        <v>0.17</v>
      </c>
      <c r="K2999">
        <f t="shared" ref="K2999:K3028" si="1278">D2999</f>
        <v>0.13</v>
      </c>
      <c r="L2999">
        <f t="shared" ref="L2999:L3028" si="1279">AVERAGE(J2999:K2999)</f>
        <v>0.15000000000000002</v>
      </c>
      <c r="M2999">
        <f t="shared" ref="M2999:M3028" si="1280">_xlfn.STDEV.P(J2999:K2999)</f>
        <v>1.9999999999999938E-2</v>
      </c>
      <c r="N2999">
        <f t="shared" si="1258"/>
        <v>4.0000000000000008E-2</v>
      </c>
      <c r="O2999">
        <f t="shared" ref="O2999:O3028" si="1281">E2999</f>
        <v>0.16</v>
      </c>
      <c r="P2999">
        <f t="shared" ref="P2999:P3028" si="1282">(O2999-L2999)/M2999</f>
        <v>0.50000000000000056</v>
      </c>
      <c r="Q2999" t="str">
        <f t="shared" si="1259"/>
        <v>6.25% | 18.75%</v>
      </c>
      <c r="R2999" t="str">
        <f t="shared" ref="R2999:R3028" si="1283">MID(B2999,FIND("(",B2999,1)+1,FIND(")",B2999,1)-FIND("(",B2999,1)-1)</f>
        <v>BEARISH</v>
      </c>
      <c r="S2999">
        <f t="shared" si="1260"/>
        <v>-1</v>
      </c>
    </row>
    <row r="3000" spans="1:19" hidden="1" x14ac:dyDescent="0.25">
      <c r="A3000" s="5" t="str">
        <f t="shared" si="1261"/>
        <v>44029SPX</v>
      </c>
      <c r="B3000" s="6" t="s">
        <v>6</v>
      </c>
      <c r="C3000" s="6">
        <v>3124</v>
      </c>
      <c r="D3000" s="6">
        <v>3235</v>
      </c>
      <c r="E3000" s="6">
        <v>3215</v>
      </c>
      <c r="F3000" t="str">
        <f t="shared" si="1273"/>
        <v>FRI</v>
      </c>
      <c r="G3000" s="3">
        <f t="shared" si="1274"/>
        <v>44029</v>
      </c>
      <c r="H3000" s="2">
        <f t="shared" ca="1" si="1275"/>
        <v>224</v>
      </c>
      <c r="I3000" t="str">
        <f t="shared" si="1276"/>
        <v>SPX</v>
      </c>
      <c r="J3000">
        <f t="shared" si="1277"/>
        <v>3124</v>
      </c>
      <c r="K3000">
        <f t="shared" si="1278"/>
        <v>3235</v>
      </c>
      <c r="L3000">
        <f t="shared" si="1279"/>
        <v>3179.5</v>
      </c>
      <c r="M3000">
        <f t="shared" si="1280"/>
        <v>55.5</v>
      </c>
      <c r="N3000">
        <f t="shared" si="1258"/>
        <v>111</v>
      </c>
      <c r="O3000">
        <f t="shared" si="1281"/>
        <v>3215</v>
      </c>
      <c r="P3000">
        <f t="shared" si="1282"/>
        <v>0.63963963963963966</v>
      </c>
      <c r="Q3000" t="str">
        <f t="shared" si="1259"/>
        <v>2.83% | 0.62%</v>
      </c>
      <c r="R3000" t="str">
        <f t="shared" si="1283"/>
        <v>BEARISH</v>
      </c>
      <c r="S3000">
        <f t="shared" si="1260"/>
        <v>-1</v>
      </c>
    </row>
    <row r="3001" spans="1:19" hidden="1" x14ac:dyDescent="0.25">
      <c r="A3001" s="5" t="str">
        <f t="shared" si="1261"/>
        <v>44029RUT</v>
      </c>
      <c r="B3001" s="6" t="s">
        <v>7</v>
      </c>
      <c r="C3001" s="6">
        <v>1376</v>
      </c>
      <c r="D3001" s="6">
        <v>1482</v>
      </c>
      <c r="E3001" s="6">
        <v>1467</v>
      </c>
      <c r="F3001" t="str">
        <f t="shared" si="1273"/>
        <v>FRI</v>
      </c>
      <c r="G3001" s="3">
        <f t="shared" si="1274"/>
        <v>44029</v>
      </c>
      <c r="H3001" s="2">
        <f t="shared" ca="1" si="1275"/>
        <v>224</v>
      </c>
      <c r="I3001" t="str">
        <f t="shared" si="1276"/>
        <v>RUT</v>
      </c>
      <c r="J3001">
        <f t="shared" si="1277"/>
        <v>1376</v>
      </c>
      <c r="K3001">
        <f t="shared" si="1278"/>
        <v>1482</v>
      </c>
      <c r="L3001">
        <f t="shared" si="1279"/>
        <v>1429</v>
      </c>
      <c r="M3001">
        <f t="shared" si="1280"/>
        <v>53</v>
      </c>
      <c r="N3001">
        <f t="shared" si="1258"/>
        <v>106</v>
      </c>
      <c r="O3001">
        <f t="shared" si="1281"/>
        <v>1467</v>
      </c>
      <c r="P3001">
        <f t="shared" si="1282"/>
        <v>0.71698113207547165</v>
      </c>
      <c r="Q3001" t="str">
        <f t="shared" si="1259"/>
        <v>6.2% | 1.02%</v>
      </c>
      <c r="R3001" t="str">
        <f t="shared" si="1283"/>
        <v>BEARISH</v>
      </c>
      <c r="S3001">
        <f t="shared" si="1260"/>
        <v>-1</v>
      </c>
    </row>
    <row r="3002" spans="1:19" hidden="1" x14ac:dyDescent="0.25">
      <c r="A3002" s="5" t="str">
        <f t="shared" si="1261"/>
        <v>44029COMPQ</v>
      </c>
      <c r="B3002" s="6" t="s">
        <v>8</v>
      </c>
      <c r="C3002" s="6">
        <v>10312</v>
      </c>
      <c r="D3002" s="6">
        <v>10645</v>
      </c>
      <c r="E3002" s="6">
        <v>10473</v>
      </c>
      <c r="F3002" t="str">
        <f t="shared" si="1273"/>
        <v>FRI</v>
      </c>
      <c r="G3002" s="3">
        <f t="shared" si="1274"/>
        <v>44029</v>
      </c>
      <c r="H3002" s="2">
        <f t="shared" ca="1" si="1275"/>
        <v>224</v>
      </c>
      <c r="I3002" t="str">
        <f t="shared" si="1276"/>
        <v>COMPQ</v>
      </c>
      <c r="J3002">
        <f t="shared" si="1277"/>
        <v>10312</v>
      </c>
      <c r="K3002">
        <f t="shared" si="1278"/>
        <v>10645</v>
      </c>
      <c r="L3002">
        <f t="shared" si="1279"/>
        <v>10478.5</v>
      </c>
      <c r="M3002">
        <f t="shared" si="1280"/>
        <v>166.5</v>
      </c>
      <c r="N3002">
        <f t="shared" si="1258"/>
        <v>333</v>
      </c>
      <c r="O3002">
        <f t="shared" si="1281"/>
        <v>10473</v>
      </c>
      <c r="P3002">
        <f t="shared" si="1282"/>
        <v>-3.3033033033033031E-2</v>
      </c>
      <c r="Q3002" t="str">
        <f t="shared" si="1259"/>
        <v>1.54% | 1.64%</v>
      </c>
      <c r="R3002" t="str">
        <f t="shared" si="1283"/>
        <v>BULLISH</v>
      </c>
      <c r="S3002">
        <f t="shared" si="1260"/>
        <v>1</v>
      </c>
    </row>
    <row r="3003" spans="1:19" hidden="1" x14ac:dyDescent="0.25">
      <c r="A3003" s="5" t="str">
        <f t="shared" si="1261"/>
        <v>44029XLK</v>
      </c>
      <c r="B3003" s="6" t="s">
        <v>10</v>
      </c>
      <c r="C3003" s="6">
        <v>103.94</v>
      </c>
      <c r="D3003" s="6">
        <v>108.95</v>
      </c>
      <c r="E3003" s="6">
        <v>106.31</v>
      </c>
      <c r="F3003" t="str">
        <f t="shared" si="1273"/>
        <v>FRI</v>
      </c>
      <c r="G3003" s="3">
        <f t="shared" si="1274"/>
        <v>44029</v>
      </c>
      <c r="H3003" s="2">
        <f t="shared" ca="1" si="1275"/>
        <v>224</v>
      </c>
      <c r="I3003" t="str">
        <f t="shared" si="1276"/>
        <v>XLK</v>
      </c>
      <c r="J3003">
        <f t="shared" si="1277"/>
        <v>103.94</v>
      </c>
      <c r="K3003">
        <f t="shared" si="1278"/>
        <v>108.95</v>
      </c>
      <c r="L3003">
        <f t="shared" si="1279"/>
        <v>106.44499999999999</v>
      </c>
      <c r="M3003">
        <f t="shared" si="1280"/>
        <v>2.5050000000000026</v>
      </c>
      <c r="N3003">
        <f t="shared" si="1258"/>
        <v>5.0100000000000051</v>
      </c>
      <c r="O3003">
        <f t="shared" si="1281"/>
        <v>106.31</v>
      </c>
      <c r="P3003">
        <f t="shared" si="1282"/>
        <v>-5.3892215568858592E-2</v>
      </c>
      <c r="Q3003" t="str">
        <f t="shared" si="1259"/>
        <v>2.23% | 2.48%</v>
      </c>
      <c r="R3003" t="str">
        <f t="shared" si="1283"/>
        <v>BULLISH</v>
      </c>
      <c r="S3003">
        <f t="shared" si="1260"/>
        <v>1</v>
      </c>
    </row>
    <row r="3004" spans="1:19" hidden="1" x14ac:dyDescent="0.25">
      <c r="A3004" s="5" t="str">
        <f t="shared" si="1261"/>
        <v>44029XLRE</v>
      </c>
      <c r="B3004" s="6" t="s">
        <v>97</v>
      </c>
      <c r="C3004" s="6">
        <v>34.08</v>
      </c>
      <c r="D3004" s="6">
        <v>35.72</v>
      </c>
      <c r="E3004" s="6">
        <v>34.54</v>
      </c>
      <c r="F3004" t="str">
        <f t="shared" si="1273"/>
        <v>FRI</v>
      </c>
      <c r="G3004" s="3">
        <f t="shared" si="1274"/>
        <v>44029</v>
      </c>
      <c r="H3004" s="2">
        <f t="shared" ca="1" si="1275"/>
        <v>224</v>
      </c>
      <c r="I3004" t="str">
        <f t="shared" si="1276"/>
        <v>XLRE</v>
      </c>
      <c r="J3004">
        <f t="shared" si="1277"/>
        <v>34.08</v>
      </c>
      <c r="K3004">
        <f t="shared" si="1278"/>
        <v>35.72</v>
      </c>
      <c r="L3004">
        <f t="shared" si="1279"/>
        <v>34.9</v>
      </c>
      <c r="M3004">
        <f t="shared" si="1280"/>
        <v>0.82000000000000028</v>
      </c>
      <c r="N3004">
        <f t="shared" si="1258"/>
        <v>1.6400000000000006</v>
      </c>
      <c r="O3004">
        <f t="shared" si="1281"/>
        <v>34.54</v>
      </c>
      <c r="P3004">
        <f t="shared" si="1282"/>
        <v>-0.43902439024390161</v>
      </c>
      <c r="Q3004" t="str">
        <f t="shared" si="1259"/>
        <v>1.33% | 3.42%</v>
      </c>
      <c r="R3004" t="str">
        <f t="shared" si="1283"/>
        <v>BULLISH</v>
      </c>
      <c r="S3004">
        <f t="shared" si="1260"/>
        <v>1</v>
      </c>
    </row>
    <row r="3005" spans="1:19" hidden="1" x14ac:dyDescent="0.25">
      <c r="A3005" s="5" t="str">
        <f t="shared" si="1261"/>
        <v>44029XLU</v>
      </c>
      <c r="B3005" s="6" t="s">
        <v>52</v>
      </c>
      <c r="C3005" s="6">
        <v>56.4</v>
      </c>
      <c r="D3005" s="6">
        <v>59.12</v>
      </c>
      <c r="E3005" s="6">
        <v>58.88</v>
      </c>
      <c r="F3005" t="str">
        <f t="shared" si="1273"/>
        <v>FRI</v>
      </c>
      <c r="G3005" s="3">
        <f t="shared" si="1274"/>
        <v>44029</v>
      </c>
      <c r="H3005" s="2">
        <f t="shared" ca="1" si="1275"/>
        <v>224</v>
      </c>
      <c r="I3005" t="str">
        <f t="shared" si="1276"/>
        <v>XLU</v>
      </c>
      <c r="J3005">
        <f t="shared" si="1277"/>
        <v>56.4</v>
      </c>
      <c r="K3005">
        <f t="shared" si="1278"/>
        <v>59.12</v>
      </c>
      <c r="L3005">
        <f t="shared" si="1279"/>
        <v>57.76</v>
      </c>
      <c r="M3005">
        <f t="shared" si="1280"/>
        <v>1.3599999999999994</v>
      </c>
      <c r="N3005">
        <f t="shared" si="1258"/>
        <v>2.7199999999999989</v>
      </c>
      <c r="O3005">
        <f t="shared" si="1281"/>
        <v>58.88</v>
      </c>
      <c r="P3005">
        <f t="shared" si="1282"/>
        <v>0.82352941176470962</v>
      </c>
      <c r="Q3005" t="str">
        <f t="shared" si="1259"/>
        <v>4.21% | 0.41%</v>
      </c>
      <c r="R3005" t="str">
        <f t="shared" si="1283"/>
        <v>BULLISH</v>
      </c>
      <c r="S3005">
        <f t="shared" si="1260"/>
        <v>1</v>
      </c>
    </row>
    <row r="3006" spans="1:19" hidden="1" x14ac:dyDescent="0.25">
      <c r="A3006" s="5" t="str">
        <f t="shared" si="1261"/>
        <v>44029XLF</v>
      </c>
      <c r="B3006" s="6" t="s">
        <v>12</v>
      </c>
      <c r="C3006" s="6">
        <v>22.23</v>
      </c>
      <c r="D3006" s="6">
        <v>24.42</v>
      </c>
      <c r="E3006" s="6">
        <v>24.15</v>
      </c>
      <c r="F3006" t="str">
        <f t="shared" si="1273"/>
        <v>FRI</v>
      </c>
      <c r="G3006" s="3">
        <f t="shared" si="1274"/>
        <v>44029</v>
      </c>
      <c r="H3006" s="2">
        <f t="shared" ca="1" si="1275"/>
        <v>224</v>
      </c>
      <c r="I3006" t="str">
        <f t="shared" si="1276"/>
        <v>XLF</v>
      </c>
      <c r="J3006">
        <f t="shared" si="1277"/>
        <v>22.23</v>
      </c>
      <c r="K3006">
        <f t="shared" si="1278"/>
        <v>24.42</v>
      </c>
      <c r="L3006">
        <f t="shared" si="1279"/>
        <v>23.325000000000003</v>
      </c>
      <c r="M3006">
        <f t="shared" si="1280"/>
        <v>1.0950000000000006</v>
      </c>
      <c r="N3006">
        <f t="shared" si="1258"/>
        <v>2.1900000000000013</v>
      </c>
      <c r="O3006">
        <f t="shared" si="1281"/>
        <v>24.15</v>
      </c>
      <c r="P3006">
        <f t="shared" si="1282"/>
        <v>0.75342465753424226</v>
      </c>
      <c r="Q3006" t="str">
        <f t="shared" si="1259"/>
        <v>7.95% | 1.12%</v>
      </c>
      <c r="R3006" t="str">
        <f t="shared" si="1283"/>
        <v>BEARISH</v>
      </c>
      <c r="S3006">
        <f t="shared" si="1260"/>
        <v>-1</v>
      </c>
    </row>
    <row r="3007" spans="1:19" hidden="1" x14ac:dyDescent="0.25">
      <c r="A3007" s="5" t="str">
        <f t="shared" si="1261"/>
        <v>44029SSEC</v>
      </c>
      <c r="B3007" s="6" t="s">
        <v>104</v>
      </c>
      <c r="C3007" s="6">
        <v>3167</v>
      </c>
      <c r="D3007" s="6">
        <v>3510</v>
      </c>
      <c r="E3007" s="6">
        <v>3214</v>
      </c>
      <c r="F3007" t="str">
        <f t="shared" si="1273"/>
        <v>FRI</v>
      </c>
      <c r="G3007" s="3">
        <f t="shared" si="1274"/>
        <v>44029</v>
      </c>
      <c r="H3007" s="2">
        <f t="shared" ca="1" si="1275"/>
        <v>224</v>
      </c>
      <c r="I3007" t="str">
        <f t="shared" si="1276"/>
        <v>SSEC</v>
      </c>
      <c r="J3007">
        <f t="shared" si="1277"/>
        <v>3167</v>
      </c>
      <c r="K3007">
        <f t="shared" si="1278"/>
        <v>3510</v>
      </c>
      <c r="L3007">
        <f t="shared" si="1279"/>
        <v>3338.5</v>
      </c>
      <c r="M3007">
        <f t="shared" si="1280"/>
        <v>171.5</v>
      </c>
      <c r="N3007">
        <f t="shared" si="1258"/>
        <v>343</v>
      </c>
      <c r="O3007">
        <f t="shared" si="1281"/>
        <v>3214</v>
      </c>
      <c r="P3007">
        <f t="shared" si="1282"/>
        <v>-0.72594752186588918</v>
      </c>
      <c r="Q3007" t="str">
        <f t="shared" si="1259"/>
        <v>1.46% | 9.21%</v>
      </c>
      <c r="R3007" t="str">
        <f t="shared" si="1283"/>
        <v>BULLISH</v>
      </c>
      <c r="S3007">
        <f t="shared" si="1260"/>
        <v>1</v>
      </c>
    </row>
    <row r="3008" spans="1:19" hidden="1" x14ac:dyDescent="0.25">
      <c r="A3008" s="5" t="str">
        <f t="shared" si="1261"/>
        <v>44029NIKK</v>
      </c>
      <c r="B3008" s="6" t="s">
        <v>90</v>
      </c>
      <c r="C3008" s="6">
        <v>22246</v>
      </c>
      <c r="D3008" s="6">
        <v>23000</v>
      </c>
      <c r="E3008" s="6">
        <v>22696</v>
      </c>
      <c r="F3008" t="str">
        <f t="shared" si="1273"/>
        <v>FRI</v>
      </c>
      <c r="G3008" s="3">
        <f t="shared" si="1274"/>
        <v>44029</v>
      </c>
      <c r="H3008" s="2">
        <f t="shared" ca="1" si="1275"/>
        <v>224</v>
      </c>
      <c r="I3008" t="str">
        <f t="shared" si="1276"/>
        <v>NIKK</v>
      </c>
      <c r="J3008">
        <f t="shared" si="1277"/>
        <v>22246</v>
      </c>
      <c r="K3008">
        <f t="shared" si="1278"/>
        <v>23000</v>
      </c>
      <c r="L3008">
        <f t="shared" si="1279"/>
        <v>22623</v>
      </c>
      <c r="M3008">
        <f t="shared" si="1280"/>
        <v>377</v>
      </c>
      <c r="N3008">
        <f t="shared" si="1258"/>
        <v>754</v>
      </c>
      <c r="O3008">
        <f t="shared" si="1281"/>
        <v>22696</v>
      </c>
      <c r="P3008">
        <f t="shared" si="1282"/>
        <v>0.19363395225464192</v>
      </c>
      <c r="Q3008" t="str">
        <f t="shared" si="1259"/>
        <v>1.98% | 1.34%</v>
      </c>
      <c r="R3008" t="str">
        <f t="shared" si="1283"/>
        <v>NEUTRAL</v>
      </c>
      <c r="S3008">
        <f t="shared" si="1260"/>
        <v>0</v>
      </c>
    </row>
    <row r="3009" spans="1:19" hidden="1" x14ac:dyDescent="0.25">
      <c r="A3009" s="5" t="str">
        <f t="shared" si="1261"/>
        <v>44029DAX</v>
      </c>
      <c r="B3009" s="6" t="s">
        <v>98</v>
      </c>
      <c r="C3009" s="6">
        <v>12377</v>
      </c>
      <c r="D3009" s="6">
        <v>12999</v>
      </c>
      <c r="E3009" s="6">
        <v>12874</v>
      </c>
      <c r="F3009" t="str">
        <f t="shared" si="1273"/>
        <v>FRI</v>
      </c>
      <c r="G3009" s="3">
        <f t="shared" si="1274"/>
        <v>44029</v>
      </c>
      <c r="H3009" s="2">
        <f t="shared" ca="1" si="1275"/>
        <v>224</v>
      </c>
      <c r="I3009" t="str">
        <f t="shared" si="1276"/>
        <v>DAX</v>
      </c>
      <c r="J3009">
        <f t="shared" si="1277"/>
        <v>12377</v>
      </c>
      <c r="K3009">
        <f t="shared" si="1278"/>
        <v>12999</v>
      </c>
      <c r="L3009">
        <f t="shared" si="1279"/>
        <v>12688</v>
      </c>
      <c r="M3009">
        <f t="shared" si="1280"/>
        <v>311</v>
      </c>
      <c r="N3009">
        <f t="shared" si="1258"/>
        <v>622</v>
      </c>
      <c r="O3009">
        <f t="shared" si="1281"/>
        <v>12874</v>
      </c>
      <c r="P3009">
        <f t="shared" si="1282"/>
        <v>0.59807073954983925</v>
      </c>
      <c r="Q3009" t="str">
        <f t="shared" si="1259"/>
        <v>3.86% | 0.97%</v>
      </c>
      <c r="R3009" t="str">
        <f t="shared" si="1283"/>
        <v>BULLISH</v>
      </c>
      <c r="S3009">
        <f t="shared" si="1260"/>
        <v>1</v>
      </c>
    </row>
    <row r="3010" spans="1:19" hidden="1" x14ac:dyDescent="0.25">
      <c r="A3010" s="5" t="str">
        <f t="shared" si="1261"/>
        <v>44029VIX</v>
      </c>
      <c r="B3010" s="6" t="s">
        <v>17</v>
      </c>
      <c r="C3010" s="6">
        <v>26.11</v>
      </c>
      <c r="D3010" s="6">
        <v>33.11</v>
      </c>
      <c r="E3010" s="6">
        <v>28</v>
      </c>
      <c r="F3010" t="str">
        <f t="shared" si="1273"/>
        <v>FRI</v>
      </c>
      <c r="G3010" s="3">
        <f t="shared" si="1274"/>
        <v>44029</v>
      </c>
      <c r="H3010" s="2">
        <f t="shared" ca="1" si="1275"/>
        <v>224</v>
      </c>
      <c r="I3010" t="str">
        <f t="shared" si="1276"/>
        <v>VIX</v>
      </c>
      <c r="J3010">
        <f t="shared" si="1277"/>
        <v>26.11</v>
      </c>
      <c r="K3010">
        <f t="shared" si="1278"/>
        <v>33.11</v>
      </c>
      <c r="L3010">
        <f t="shared" si="1279"/>
        <v>29.61</v>
      </c>
      <c r="M3010">
        <f t="shared" si="1280"/>
        <v>3.5</v>
      </c>
      <c r="N3010">
        <f t="shared" si="1258"/>
        <v>7</v>
      </c>
      <c r="O3010">
        <f t="shared" si="1281"/>
        <v>28</v>
      </c>
      <c r="P3010">
        <f t="shared" si="1282"/>
        <v>-0.45999999999999985</v>
      </c>
      <c r="Q3010" t="str">
        <f t="shared" si="1259"/>
        <v>6.75% | 18.25%</v>
      </c>
      <c r="R3010" t="str">
        <f t="shared" si="1283"/>
        <v>BULLISH</v>
      </c>
      <c r="S3010">
        <f t="shared" si="1260"/>
        <v>1</v>
      </c>
    </row>
    <row r="3011" spans="1:19" hidden="1" x14ac:dyDescent="0.25">
      <c r="A3011" s="5" t="str">
        <f t="shared" si="1261"/>
        <v>44029USD</v>
      </c>
      <c r="B3011" s="6" t="s">
        <v>94</v>
      </c>
      <c r="C3011" s="6">
        <v>95.9</v>
      </c>
      <c r="D3011" s="6">
        <v>97.01</v>
      </c>
      <c r="E3011" s="6">
        <v>96.29</v>
      </c>
      <c r="F3011" t="str">
        <f t="shared" si="1273"/>
        <v>FRI</v>
      </c>
      <c r="G3011" s="3">
        <f t="shared" si="1274"/>
        <v>44029</v>
      </c>
      <c r="H3011" s="2">
        <f t="shared" ca="1" si="1275"/>
        <v>224</v>
      </c>
      <c r="I3011" t="str">
        <f t="shared" si="1276"/>
        <v>USD</v>
      </c>
      <c r="J3011">
        <f t="shared" si="1277"/>
        <v>95.9</v>
      </c>
      <c r="K3011">
        <f t="shared" si="1278"/>
        <v>97.01</v>
      </c>
      <c r="L3011">
        <f t="shared" si="1279"/>
        <v>96.455000000000013</v>
      </c>
      <c r="M3011">
        <f t="shared" si="1280"/>
        <v>0.55499999999999972</v>
      </c>
      <c r="N3011">
        <f t="shared" ref="N3011:N3074" si="1284">ABS(K3011-J3011)</f>
        <v>1.1099999999999994</v>
      </c>
      <c r="O3011">
        <f t="shared" si="1281"/>
        <v>96.29</v>
      </c>
      <c r="P3011">
        <f t="shared" si="1282"/>
        <v>-0.29729729729730869</v>
      </c>
      <c r="Q3011" t="str">
        <f t="shared" ref="Q3011:Q3074" si="1285">ROUND(ABS(100*(O3011-J3011)/O3011),2)&amp;"% | "&amp;ROUND(ABS(100*(K3011-O3011)/O3011),2)&amp;"%"</f>
        <v>0.41% | 0.75%</v>
      </c>
      <c r="R3011" t="str">
        <f t="shared" si="1283"/>
        <v>BEARISH</v>
      </c>
      <c r="S3011">
        <f t="shared" ref="S3011:S3074" si="1286">IF(R3011="BEARISH",-1,IF(R3011="NEUTRAL",0,IF(R3011="BULLISH",1,99)))</f>
        <v>-1</v>
      </c>
    </row>
    <row r="3012" spans="1:19" hidden="1" x14ac:dyDescent="0.25">
      <c r="A3012" s="5" t="str">
        <f t="shared" ref="A3012:A3075" si="1287">G3012&amp;I3012</f>
        <v>44029EUR/USD</v>
      </c>
      <c r="B3012" s="6" t="s">
        <v>99</v>
      </c>
      <c r="C3012" s="6">
        <v>1.1200000000000001</v>
      </c>
      <c r="D3012" s="6">
        <v>1.1399999999999999</v>
      </c>
      <c r="E3012" s="6">
        <v>1.1299999999999999</v>
      </c>
      <c r="F3012" t="str">
        <f t="shared" si="1273"/>
        <v>FRI</v>
      </c>
      <c r="G3012" s="3">
        <f t="shared" si="1274"/>
        <v>44029</v>
      </c>
      <c r="H3012" s="2">
        <f t="shared" ca="1" si="1275"/>
        <v>224</v>
      </c>
      <c r="I3012" t="str">
        <f t="shared" si="1276"/>
        <v>EUR/USD</v>
      </c>
      <c r="J3012">
        <f t="shared" si="1277"/>
        <v>1.1200000000000001</v>
      </c>
      <c r="K3012">
        <f t="shared" si="1278"/>
        <v>1.1399999999999999</v>
      </c>
      <c r="L3012">
        <f t="shared" si="1279"/>
        <v>1.1299999999999999</v>
      </c>
      <c r="M3012">
        <f t="shared" si="1280"/>
        <v>9.9999999999998979E-3</v>
      </c>
      <c r="N3012">
        <f t="shared" si="1284"/>
        <v>1.9999999999999796E-2</v>
      </c>
      <c r="O3012">
        <f t="shared" si="1281"/>
        <v>1.1299999999999999</v>
      </c>
      <c r="P3012">
        <f t="shared" si="1282"/>
        <v>0</v>
      </c>
      <c r="Q3012" t="str">
        <f t="shared" si="1285"/>
        <v>0.88% | 0.88%</v>
      </c>
      <c r="R3012" t="str">
        <f t="shared" si="1283"/>
        <v>BULLISH</v>
      </c>
      <c r="S3012">
        <f t="shared" si="1286"/>
        <v>1</v>
      </c>
    </row>
    <row r="3013" spans="1:19" hidden="1" x14ac:dyDescent="0.25">
      <c r="A3013" s="5" t="str">
        <f t="shared" si="1287"/>
        <v>44029USD/JPY</v>
      </c>
      <c r="B3013" s="6" t="s">
        <v>20</v>
      </c>
      <c r="C3013" s="6">
        <v>106.7</v>
      </c>
      <c r="D3013" s="6">
        <v>107.75</v>
      </c>
      <c r="E3013" s="6">
        <v>107.29</v>
      </c>
      <c r="F3013" t="str">
        <f t="shared" si="1273"/>
        <v>FRI</v>
      </c>
      <c r="G3013" s="3">
        <f t="shared" si="1274"/>
        <v>44029</v>
      </c>
      <c r="H3013" s="2">
        <f t="shared" ca="1" si="1275"/>
        <v>224</v>
      </c>
      <c r="I3013" t="str">
        <f t="shared" si="1276"/>
        <v>USD/JPY</v>
      </c>
      <c r="J3013">
        <f t="shared" si="1277"/>
        <v>106.7</v>
      </c>
      <c r="K3013">
        <f t="shared" si="1278"/>
        <v>107.75</v>
      </c>
      <c r="L3013">
        <f t="shared" si="1279"/>
        <v>107.22499999999999</v>
      </c>
      <c r="M3013">
        <f t="shared" si="1280"/>
        <v>0.52499999999999858</v>
      </c>
      <c r="N3013">
        <f t="shared" si="1284"/>
        <v>1.0499999999999972</v>
      </c>
      <c r="O3013">
        <f t="shared" si="1281"/>
        <v>107.29</v>
      </c>
      <c r="P3013">
        <f t="shared" si="1282"/>
        <v>0.12380952380954688</v>
      </c>
      <c r="Q3013" t="str">
        <f t="shared" si="1285"/>
        <v>0.55% | 0.43%</v>
      </c>
      <c r="R3013" t="str">
        <f t="shared" si="1283"/>
        <v>BEARISH</v>
      </c>
      <c r="S3013">
        <f t="shared" si="1286"/>
        <v>-1</v>
      </c>
    </row>
    <row r="3014" spans="1:19" hidden="1" x14ac:dyDescent="0.25">
      <c r="A3014" s="5" t="str">
        <f t="shared" si="1287"/>
        <v>44029GBP/USD</v>
      </c>
      <c r="B3014" s="6" t="s">
        <v>102</v>
      </c>
      <c r="C3014" s="6">
        <v>1.24</v>
      </c>
      <c r="D3014" s="6">
        <v>1.27</v>
      </c>
      <c r="E3014" s="6">
        <v>1.25</v>
      </c>
      <c r="F3014" t="str">
        <f t="shared" si="1273"/>
        <v>FRI</v>
      </c>
      <c r="G3014" s="3">
        <f t="shared" si="1274"/>
        <v>44029</v>
      </c>
      <c r="H3014" s="2">
        <f t="shared" ca="1" si="1275"/>
        <v>224</v>
      </c>
      <c r="I3014" t="str">
        <f t="shared" si="1276"/>
        <v>GBP/USD</v>
      </c>
      <c r="J3014">
        <f t="shared" si="1277"/>
        <v>1.24</v>
      </c>
      <c r="K3014">
        <f t="shared" si="1278"/>
        <v>1.27</v>
      </c>
      <c r="L3014">
        <f t="shared" si="1279"/>
        <v>1.2549999999999999</v>
      </c>
      <c r="M3014">
        <f t="shared" si="1280"/>
        <v>1.5000000000000013E-2</v>
      </c>
      <c r="N3014">
        <f t="shared" si="1284"/>
        <v>3.0000000000000027E-2</v>
      </c>
      <c r="O3014">
        <f t="shared" si="1281"/>
        <v>1.25</v>
      </c>
      <c r="P3014">
        <f t="shared" si="1282"/>
        <v>-0.33333333333332593</v>
      </c>
      <c r="Q3014" t="str">
        <f t="shared" si="1285"/>
        <v>0.8% | 1.6%</v>
      </c>
      <c r="R3014" t="str">
        <f t="shared" si="1283"/>
        <v>BULLISH</v>
      </c>
      <c r="S3014">
        <f t="shared" si="1286"/>
        <v>1</v>
      </c>
    </row>
    <row r="3015" spans="1:19" hidden="1" x14ac:dyDescent="0.25">
      <c r="A3015" s="5" t="str">
        <f t="shared" si="1287"/>
        <v>44029USD/CHF</v>
      </c>
      <c r="B3015" s="6" t="s">
        <v>76</v>
      </c>
      <c r="C3015" s="6">
        <v>0.93</v>
      </c>
      <c r="D3015" s="6">
        <v>0.95</v>
      </c>
      <c r="E3015" s="6">
        <v>0.94</v>
      </c>
      <c r="F3015" t="str">
        <f t="shared" si="1273"/>
        <v>FRI</v>
      </c>
      <c r="G3015" s="3">
        <f t="shared" si="1274"/>
        <v>44029</v>
      </c>
      <c r="H3015" s="2">
        <f t="shared" ca="1" si="1275"/>
        <v>224</v>
      </c>
      <c r="I3015" t="str">
        <f t="shared" si="1276"/>
        <v>USD/CHF</v>
      </c>
      <c r="J3015">
        <f t="shared" si="1277"/>
        <v>0.93</v>
      </c>
      <c r="K3015">
        <f t="shared" si="1278"/>
        <v>0.95</v>
      </c>
      <c r="L3015">
        <f t="shared" si="1279"/>
        <v>0.94</v>
      </c>
      <c r="M3015">
        <f t="shared" si="1280"/>
        <v>9.9999999999999534E-3</v>
      </c>
      <c r="N3015">
        <f t="shared" si="1284"/>
        <v>1.9999999999999907E-2</v>
      </c>
      <c r="O3015">
        <f t="shared" si="1281"/>
        <v>0.94</v>
      </c>
      <c r="P3015">
        <f t="shared" si="1282"/>
        <v>0</v>
      </c>
      <c r="Q3015" t="str">
        <f t="shared" si="1285"/>
        <v>1.06% | 1.06%</v>
      </c>
      <c r="R3015" t="str">
        <f t="shared" si="1283"/>
        <v>BEARISH</v>
      </c>
      <c r="S3015">
        <f t="shared" si="1286"/>
        <v>-1</v>
      </c>
    </row>
    <row r="3016" spans="1:19" hidden="1" x14ac:dyDescent="0.25">
      <c r="A3016" s="5" t="str">
        <f t="shared" si="1287"/>
        <v>44029WTIC</v>
      </c>
      <c r="B3016" s="6" t="s">
        <v>158</v>
      </c>
      <c r="C3016" s="6">
        <v>38.83</v>
      </c>
      <c r="D3016" s="6">
        <v>41.54</v>
      </c>
      <c r="E3016" s="6">
        <v>40.93</v>
      </c>
      <c r="F3016" t="str">
        <f t="shared" si="1273"/>
        <v>FRI</v>
      </c>
      <c r="G3016" s="3">
        <f t="shared" si="1274"/>
        <v>44029</v>
      </c>
      <c r="H3016" s="2">
        <f t="shared" ca="1" si="1275"/>
        <v>224</v>
      </c>
      <c r="I3016" t="str">
        <f t="shared" si="1276"/>
        <v>WTIC</v>
      </c>
      <c r="J3016">
        <f t="shared" si="1277"/>
        <v>38.83</v>
      </c>
      <c r="K3016">
        <f t="shared" si="1278"/>
        <v>41.54</v>
      </c>
      <c r="L3016">
        <f t="shared" si="1279"/>
        <v>40.185000000000002</v>
      </c>
      <c r="M3016">
        <f t="shared" si="1280"/>
        <v>1.3550000000000004</v>
      </c>
      <c r="N3016">
        <f t="shared" si="1284"/>
        <v>2.7100000000000009</v>
      </c>
      <c r="O3016">
        <f t="shared" si="1281"/>
        <v>40.93</v>
      </c>
      <c r="P3016">
        <f t="shared" si="1282"/>
        <v>0.54981549815497954</v>
      </c>
      <c r="Q3016" t="str">
        <f t="shared" si="1285"/>
        <v>5.13% | 1.49%</v>
      </c>
      <c r="R3016" t="str">
        <f t="shared" si="1283"/>
        <v>BULLISH</v>
      </c>
      <c r="S3016">
        <f t="shared" si="1286"/>
        <v>1</v>
      </c>
    </row>
    <row r="3017" spans="1:19" hidden="1" x14ac:dyDescent="0.25">
      <c r="A3017" s="5" t="str">
        <f t="shared" si="1287"/>
        <v>44029NATGAS</v>
      </c>
      <c r="B3017" s="6" t="s">
        <v>87</v>
      </c>
      <c r="C3017" s="6">
        <v>1.65</v>
      </c>
      <c r="D3017" s="6">
        <v>1.9</v>
      </c>
      <c r="E3017" s="6">
        <v>1.72</v>
      </c>
      <c r="F3017" t="str">
        <f t="shared" si="1273"/>
        <v>FRI</v>
      </c>
      <c r="G3017" s="3">
        <f t="shared" si="1274"/>
        <v>44029</v>
      </c>
      <c r="H3017" s="2">
        <f t="shared" ca="1" si="1275"/>
        <v>224</v>
      </c>
      <c r="I3017" t="str">
        <f t="shared" si="1276"/>
        <v>NATGAS</v>
      </c>
      <c r="J3017">
        <f t="shared" si="1277"/>
        <v>1.65</v>
      </c>
      <c r="K3017">
        <f t="shared" si="1278"/>
        <v>1.9</v>
      </c>
      <c r="L3017">
        <f t="shared" si="1279"/>
        <v>1.7749999999999999</v>
      </c>
      <c r="M3017">
        <f t="shared" si="1280"/>
        <v>0.125</v>
      </c>
      <c r="N3017">
        <f t="shared" si="1284"/>
        <v>0.25</v>
      </c>
      <c r="O3017">
        <f t="shared" si="1281"/>
        <v>1.72</v>
      </c>
      <c r="P3017">
        <f t="shared" si="1282"/>
        <v>-0.4399999999999995</v>
      </c>
      <c r="Q3017" t="str">
        <f t="shared" si="1285"/>
        <v>4.07% | 10.47%</v>
      </c>
      <c r="R3017" t="str">
        <f t="shared" si="1283"/>
        <v>NEUTRAL</v>
      </c>
      <c r="S3017">
        <f t="shared" si="1286"/>
        <v>0</v>
      </c>
    </row>
    <row r="3018" spans="1:19" hidden="1" x14ac:dyDescent="0.25">
      <c r="A3018" s="5" t="str">
        <f t="shared" si="1287"/>
        <v>44029GOLD</v>
      </c>
      <c r="B3018" s="6" t="s">
        <v>25</v>
      </c>
      <c r="C3018" s="6">
        <v>1786</v>
      </c>
      <c r="D3018" s="6">
        <v>1827</v>
      </c>
      <c r="E3018" s="6">
        <v>1800</v>
      </c>
      <c r="F3018" t="str">
        <f t="shared" si="1273"/>
        <v>FRI</v>
      </c>
      <c r="G3018" s="3">
        <f t="shared" si="1274"/>
        <v>44029</v>
      </c>
      <c r="H3018" s="2">
        <f t="shared" ca="1" si="1275"/>
        <v>224</v>
      </c>
      <c r="I3018" t="str">
        <f t="shared" si="1276"/>
        <v>GOLD</v>
      </c>
      <c r="J3018">
        <f t="shared" si="1277"/>
        <v>1786</v>
      </c>
      <c r="K3018">
        <f t="shared" si="1278"/>
        <v>1827</v>
      </c>
      <c r="L3018">
        <f t="shared" si="1279"/>
        <v>1806.5</v>
      </c>
      <c r="M3018">
        <f t="shared" si="1280"/>
        <v>20.5</v>
      </c>
      <c r="N3018">
        <f t="shared" si="1284"/>
        <v>41</v>
      </c>
      <c r="O3018">
        <f t="shared" si="1281"/>
        <v>1800</v>
      </c>
      <c r="P3018">
        <f t="shared" si="1282"/>
        <v>-0.31707317073170732</v>
      </c>
      <c r="Q3018" t="str">
        <f t="shared" si="1285"/>
        <v>0.78% | 1.5%</v>
      </c>
      <c r="R3018" t="str">
        <f t="shared" si="1283"/>
        <v>BULLISH</v>
      </c>
      <c r="S3018">
        <f t="shared" si="1286"/>
        <v>1</v>
      </c>
    </row>
    <row r="3019" spans="1:19" hidden="1" x14ac:dyDescent="0.25">
      <c r="A3019" s="5" t="str">
        <f t="shared" si="1287"/>
        <v>44029COPPER</v>
      </c>
      <c r="B3019" s="6" t="s">
        <v>100</v>
      </c>
      <c r="C3019" s="6">
        <v>2.75</v>
      </c>
      <c r="D3019" s="6">
        <v>2.99</v>
      </c>
      <c r="E3019" s="6">
        <v>2.9</v>
      </c>
      <c r="F3019" t="str">
        <f t="shared" si="1273"/>
        <v>FRI</v>
      </c>
      <c r="G3019" s="3">
        <f t="shared" si="1274"/>
        <v>44029</v>
      </c>
      <c r="H3019" s="2">
        <f t="shared" ca="1" si="1275"/>
        <v>224</v>
      </c>
      <c r="I3019" t="str">
        <f t="shared" si="1276"/>
        <v>COPPER</v>
      </c>
      <c r="J3019">
        <f t="shared" si="1277"/>
        <v>2.75</v>
      </c>
      <c r="K3019">
        <f t="shared" si="1278"/>
        <v>2.99</v>
      </c>
      <c r="L3019">
        <f t="shared" si="1279"/>
        <v>2.87</v>
      </c>
      <c r="M3019">
        <f t="shared" si="1280"/>
        <v>0.12000000000000011</v>
      </c>
      <c r="N3019">
        <f t="shared" si="1284"/>
        <v>0.24000000000000021</v>
      </c>
      <c r="O3019">
        <f t="shared" si="1281"/>
        <v>2.9</v>
      </c>
      <c r="P3019">
        <f t="shared" si="1282"/>
        <v>0.24999999999999814</v>
      </c>
      <c r="Q3019" t="str">
        <f t="shared" si="1285"/>
        <v>5.17% | 3.1%</v>
      </c>
      <c r="R3019" t="str">
        <f t="shared" si="1283"/>
        <v>BULLISH</v>
      </c>
      <c r="S3019">
        <f t="shared" si="1286"/>
        <v>1</v>
      </c>
    </row>
    <row r="3020" spans="1:19" hidden="1" x14ac:dyDescent="0.25">
      <c r="A3020" s="5" t="str">
        <f t="shared" si="1287"/>
        <v>44029MSFT</v>
      </c>
      <c r="B3020" s="6" t="s">
        <v>27</v>
      </c>
      <c r="C3020" s="6">
        <v>201</v>
      </c>
      <c r="D3020" s="6">
        <v>215</v>
      </c>
      <c r="E3020" s="6">
        <v>203</v>
      </c>
      <c r="F3020" t="str">
        <f t="shared" si="1273"/>
        <v>FRI</v>
      </c>
      <c r="G3020" s="3">
        <f t="shared" si="1274"/>
        <v>44029</v>
      </c>
      <c r="H3020" s="2">
        <f t="shared" ca="1" si="1275"/>
        <v>224</v>
      </c>
      <c r="I3020" t="str">
        <f t="shared" si="1276"/>
        <v>MSFT</v>
      </c>
      <c r="J3020">
        <f t="shared" si="1277"/>
        <v>201</v>
      </c>
      <c r="K3020">
        <f t="shared" si="1278"/>
        <v>215</v>
      </c>
      <c r="L3020">
        <f t="shared" si="1279"/>
        <v>208</v>
      </c>
      <c r="M3020">
        <f t="shared" si="1280"/>
        <v>7</v>
      </c>
      <c r="N3020">
        <f t="shared" si="1284"/>
        <v>14</v>
      </c>
      <c r="O3020">
        <f t="shared" si="1281"/>
        <v>203</v>
      </c>
      <c r="P3020">
        <f t="shared" si="1282"/>
        <v>-0.7142857142857143</v>
      </c>
      <c r="Q3020" t="str">
        <f t="shared" si="1285"/>
        <v>0.99% | 5.91%</v>
      </c>
      <c r="R3020" t="str">
        <f t="shared" si="1283"/>
        <v>BULLISH</v>
      </c>
      <c r="S3020">
        <f t="shared" si="1286"/>
        <v>1</v>
      </c>
    </row>
    <row r="3021" spans="1:19" hidden="1" x14ac:dyDescent="0.25">
      <c r="A3021" s="5" t="str">
        <f t="shared" si="1287"/>
        <v>44029AAPL</v>
      </c>
      <c r="B3021" s="6" t="s">
        <v>28</v>
      </c>
      <c r="C3021" s="6">
        <v>363</v>
      </c>
      <c r="D3021" s="6">
        <v>394</v>
      </c>
      <c r="E3021" s="6">
        <v>386</v>
      </c>
      <c r="F3021" t="str">
        <f t="shared" si="1273"/>
        <v>FRI</v>
      </c>
      <c r="G3021" s="3">
        <f t="shared" si="1274"/>
        <v>44029</v>
      </c>
      <c r="H3021" s="2">
        <f t="shared" ca="1" si="1275"/>
        <v>224</v>
      </c>
      <c r="I3021" t="str">
        <f t="shared" si="1276"/>
        <v>AAPL</v>
      </c>
      <c r="J3021">
        <f t="shared" si="1277"/>
        <v>363</v>
      </c>
      <c r="K3021">
        <f t="shared" si="1278"/>
        <v>394</v>
      </c>
      <c r="L3021">
        <f t="shared" si="1279"/>
        <v>378.5</v>
      </c>
      <c r="M3021">
        <f t="shared" si="1280"/>
        <v>15.5</v>
      </c>
      <c r="N3021">
        <f t="shared" si="1284"/>
        <v>31</v>
      </c>
      <c r="O3021">
        <f t="shared" si="1281"/>
        <v>386</v>
      </c>
      <c r="P3021">
        <f t="shared" si="1282"/>
        <v>0.4838709677419355</v>
      </c>
      <c r="Q3021" t="str">
        <f t="shared" si="1285"/>
        <v>5.96% | 2.07%</v>
      </c>
      <c r="R3021" t="str">
        <f t="shared" si="1283"/>
        <v>BULLISH</v>
      </c>
      <c r="S3021">
        <f t="shared" si="1286"/>
        <v>1</v>
      </c>
    </row>
    <row r="3022" spans="1:19" hidden="1" x14ac:dyDescent="0.25">
      <c r="A3022" s="5" t="str">
        <f t="shared" si="1287"/>
        <v>44029AMZN</v>
      </c>
      <c r="B3022" s="6" t="s">
        <v>29</v>
      </c>
      <c r="C3022" s="6">
        <v>2930</v>
      </c>
      <c r="D3022" s="6">
        <v>3220</v>
      </c>
      <c r="E3022" s="6">
        <v>2999</v>
      </c>
      <c r="F3022" t="str">
        <f t="shared" si="1273"/>
        <v>FRI</v>
      </c>
      <c r="G3022" s="3">
        <f t="shared" si="1274"/>
        <v>44029</v>
      </c>
      <c r="H3022" s="2">
        <f t="shared" ca="1" si="1275"/>
        <v>224</v>
      </c>
      <c r="I3022" t="str">
        <f t="shared" si="1276"/>
        <v>AMZN</v>
      </c>
      <c r="J3022">
        <f t="shared" si="1277"/>
        <v>2930</v>
      </c>
      <c r="K3022">
        <f t="shared" si="1278"/>
        <v>3220</v>
      </c>
      <c r="L3022">
        <f t="shared" si="1279"/>
        <v>3075</v>
      </c>
      <c r="M3022">
        <f t="shared" si="1280"/>
        <v>145</v>
      </c>
      <c r="N3022">
        <f t="shared" si="1284"/>
        <v>290</v>
      </c>
      <c r="O3022">
        <f t="shared" si="1281"/>
        <v>2999</v>
      </c>
      <c r="P3022">
        <f t="shared" si="1282"/>
        <v>-0.52413793103448281</v>
      </c>
      <c r="Q3022" t="str">
        <f t="shared" si="1285"/>
        <v>2.3% | 7.37%</v>
      </c>
      <c r="R3022" t="str">
        <f t="shared" si="1283"/>
        <v>BULLISH</v>
      </c>
      <c r="S3022">
        <f t="shared" si="1286"/>
        <v>1</v>
      </c>
    </row>
    <row r="3023" spans="1:19" hidden="1" x14ac:dyDescent="0.25">
      <c r="A3023" s="5" t="str">
        <f t="shared" si="1287"/>
        <v>44029FB</v>
      </c>
      <c r="B3023" s="6" t="s">
        <v>30</v>
      </c>
      <c r="C3023" s="6">
        <v>233</v>
      </c>
      <c r="D3023" s="6">
        <v>246</v>
      </c>
      <c r="E3023" s="6">
        <v>240</v>
      </c>
      <c r="F3023" t="str">
        <f t="shared" si="1273"/>
        <v>FRI</v>
      </c>
      <c r="G3023" s="3">
        <f t="shared" si="1274"/>
        <v>44029</v>
      </c>
      <c r="H3023" s="2">
        <f t="shared" ca="1" si="1275"/>
        <v>224</v>
      </c>
      <c r="I3023" t="str">
        <f t="shared" si="1276"/>
        <v>FB</v>
      </c>
      <c r="J3023">
        <f t="shared" si="1277"/>
        <v>233</v>
      </c>
      <c r="K3023">
        <f t="shared" si="1278"/>
        <v>246</v>
      </c>
      <c r="L3023">
        <f t="shared" si="1279"/>
        <v>239.5</v>
      </c>
      <c r="M3023">
        <f t="shared" si="1280"/>
        <v>6.5</v>
      </c>
      <c r="N3023">
        <f t="shared" si="1284"/>
        <v>13</v>
      </c>
      <c r="O3023">
        <f t="shared" si="1281"/>
        <v>240</v>
      </c>
      <c r="P3023">
        <f t="shared" si="1282"/>
        <v>7.6923076923076927E-2</v>
      </c>
      <c r="Q3023" t="str">
        <f t="shared" si="1285"/>
        <v>2.92% | 2.5%</v>
      </c>
      <c r="R3023" t="str">
        <f t="shared" si="1283"/>
        <v>BULLISH</v>
      </c>
      <c r="S3023">
        <f t="shared" si="1286"/>
        <v>1</v>
      </c>
    </row>
    <row r="3024" spans="1:19" hidden="1" x14ac:dyDescent="0.25">
      <c r="A3024" s="5" t="str">
        <f t="shared" si="1287"/>
        <v>44029GOOGL</v>
      </c>
      <c r="B3024" s="6" t="s">
        <v>31</v>
      </c>
      <c r="C3024" s="6">
        <v>1465</v>
      </c>
      <c r="D3024" s="6">
        <v>1540</v>
      </c>
      <c r="E3024" s="6">
        <v>1514</v>
      </c>
      <c r="F3024" t="str">
        <f t="shared" si="1273"/>
        <v>FRI</v>
      </c>
      <c r="G3024" s="3">
        <f t="shared" si="1274"/>
        <v>44029</v>
      </c>
      <c r="H3024" s="2">
        <f t="shared" ca="1" si="1275"/>
        <v>224</v>
      </c>
      <c r="I3024" t="str">
        <f t="shared" si="1276"/>
        <v>GOOGL</v>
      </c>
      <c r="J3024">
        <f t="shared" si="1277"/>
        <v>1465</v>
      </c>
      <c r="K3024">
        <f t="shared" si="1278"/>
        <v>1540</v>
      </c>
      <c r="L3024">
        <f t="shared" si="1279"/>
        <v>1502.5</v>
      </c>
      <c r="M3024">
        <f t="shared" si="1280"/>
        <v>37.5</v>
      </c>
      <c r="N3024">
        <f t="shared" si="1284"/>
        <v>75</v>
      </c>
      <c r="O3024">
        <f t="shared" si="1281"/>
        <v>1514</v>
      </c>
      <c r="P3024">
        <f t="shared" si="1282"/>
        <v>0.30666666666666664</v>
      </c>
      <c r="Q3024" t="str">
        <f t="shared" si="1285"/>
        <v>3.24% | 1.72%</v>
      </c>
      <c r="R3024" t="str">
        <f t="shared" si="1283"/>
        <v>BULLISH</v>
      </c>
      <c r="S3024">
        <f t="shared" si="1286"/>
        <v>1</v>
      </c>
    </row>
    <row r="3025" spans="1:19" hidden="1" x14ac:dyDescent="0.25">
      <c r="A3025" s="5" t="str">
        <f t="shared" si="1287"/>
        <v>44029NFLX</v>
      </c>
      <c r="B3025" s="6" t="s">
        <v>70</v>
      </c>
      <c r="C3025" s="6">
        <v>437</v>
      </c>
      <c r="D3025" s="6">
        <v>548</v>
      </c>
      <c r="E3025" s="6">
        <v>527</v>
      </c>
      <c r="F3025" t="str">
        <f t="shared" si="1273"/>
        <v>FRI</v>
      </c>
      <c r="G3025" s="3">
        <f t="shared" si="1274"/>
        <v>44029</v>
      </c>
      <c r="H3025" s="2">
        <f t="shared" ca="1" si="1275"/>
        <v>224</v>
      </c>
      <c r="I3025" t="str">
        <f t="shared" si="1276"/>
        <v>NFLX</v>
      </c>
      <c r="J3025">
        <f t="shared" si="1277"/>
        <v>437</v>
      </c>
      <c r="K3025">
        <f t="shared" si="1278"/>
        <v>548</v>
      </c>
      <c r="L3025">
        <f t="shared" si="1279"/>
        <v>492.5</v>
      </c>
      <c r="M3025">
        <f t="shared" si="1280"/>
        <v>55.5</v>
      </c>
      <c r="N3025">
        <f t="shared" si="1284"/>
        <v>111</v>
      </c>
      <c r="O3025">
        <f t="shared" si="1281"/>
        <v>527</v>
      </c>
      <c r="P3025">
        <f t="shared" si="1282"/>
        <v>0.6216216216216216</v>
      </c>
      <c r="Q3025" t="str">
        <f t="shared" si="1285"/>
        <v>17.08% | 3.98%</v>
      </c>
      <c r="R3025" t="str">
        <f t="shared" si="1283"/>
        <v>NEUTRAL</v>
      </c>
      <c r="S3025">
        <f t="shared" si="1286"/>
        <v>0</v>
      </c>
    </row>
    <row r="3026" spans="1:19" x14ac:dyDescent="0.25">
      <c r="A3026" s="5" t="str">
        <f t="shared" si="1287"/>
        <v>44029TSLA</v>
      </c>
      <c r="B3026" s="6" t="s">
        <v>33</v>
      </c>
      <c r="C3026" s="6">
        <v>1324</v>
      </c>
      <c r="D3026" s="6">
        <v>1603</v>
      </c>
      <c r="E3026" s="6">
        <v>1500</v>
      </c>
      <c r="F3026" t="str">
        <f t="shared" si="1273"/>
        <v>FRI</v>
      </c>
      <c r="G3026" s="3">
        <f t="shared" si="1274"/>
        <v>44029</v>
      </c>
      <c r="H3026" s="2">
        <f t="shared" ca="1" si="1275"/>
        <v>224</v>
      </c>
      <c r="I3026" t="str">
        <f t="shared" si="1276"/>
        <v>TSLA</v>
      </c>
      <c r="J3026">
        <f t="shared" si="1277"/>
        <v>1324</v>
      </c>
      <c r="K3026">
        <f t="shared" si="1278"/>
        <v>1603</v>
      </c>
      <c r="L3026">
        <f t="shared" si="1279"/>
        <v>1463.5</v>
      </c>
      <c r="M3026">
        <f t="shared" si="1280"/>
        <v>139.5</v>
      </c>
      <c r="N3026">
        <f t="shared" si="1284"/>
        <v>279</v>
      </c>
      <c r="O3026">
        <f t="shared" si="1281"/>
        <v>1500</v>
      </c>
      <c r="P3026">
        <f t="shared" si="1282"/>
        <v>0.26164874551971329</v>
      </c>
      <c r="Q3026" t="str">
        <f t="shared" si="1285"/>
        <v>11.73% | 6.87%</v>
      </c>
      <c r="R3026" t="str">
        <f t="shared" si="1283"/>
        <v>BULLISH</v>
      </c>
      <c r="S3026">
        <f t="shared" si="1286"/>
        <v>1</v>
      </c>
    </row>
    <row r="3027" spans="1:19" hidden="1" x14ac:dyDescent="0.25">
      <c r="A3027" s="5" t="str">
        <f t="shared" si="1287"/>
        <v>44029NYXBT</v>
      </c>
      <c r="B3027" s="6" t="s">
        <v>60</v>
      </c>
      <c r="C3027" s="6">
        <v>9019</v>
      </c>
      <c r="D3027" s="6">
        <v>9445</v>
      </c>
      <c r="E3027" s="6">
        <v>9099</v>
      </c>
      <c r="F3027" t="str">
        <f t="shared" si="1273"/>
        <v>FRI</v>
      </c>
      <c r="G3027" s="3">
        <f t="shared" si="1274"/>
        <v>44029</v>
      </c>
      <c r="H3027" s="2">
        <f t="shared" ca="1" si="1275"/>
        <v>224</v>
      </c>
      <c r="I3027" t="str">
        <f t="shared" si="1276"/>
        <v>NYXBT</v>
      </c>
      <c r="J3027">
        <f t="shared" si="1277"/>
        <v>9019</v>
      </c>
      <c r="K3027">
        <f t="shared" si="1278"/>
        <v>9445</v>
      </c>
      <c r="L3027">
        <f t="shared" si="1279"/>
        <v>9232</v>
      </c>
      <c r="M3027">
        <f t="shared" si="1280"/>
        <v>213</v>
      </c>
      <c r="N3027">
        <f t="shared" si="1284"/>
        <v>426</v>
      </c>
      <c r="O3027">
        <f t="shared" si="1281"/>
        <v>9099</v>
      </c>
      <c r="P3027">
        <f t="shared" si="1282"/>
        <v>-0.62441314553990612</v>
      </c>
      <c r="Q3027" t="str">
        <f t="shared" si="1285"/>
        <v>0.88% | 3.8%</v>
      </c>
      <c r="R3027" t="str">
        <f t="shared" si="1283"/>
        <v>BULLISH</v>
      </c>
      <c r="S3027">
        <f t="shared" si="1286"/>
        <v>1</v>
      </c>
    </row>
    <row r="3028" spans="1:19" hidden="1" x14ac:dyDescent="0.25">
      <c r="A3028" s="5" t="str">
        <f t="shared" si="1287"/>
        <v>44032UST10Y</v>
      </c>
      <c r="B3028" s="6" t="s">
        <v>4</v>
      </c>
      <c r="C3028" s="6">
        <v>0.67</v>
      </c>
      <c r="D3028" s="6">
        <v>0.6</v>
      </c>
      <c r="E3028" s="6">
        <v>0.64</v>
      </c>
      <c r="F3028" t="str">
        <f t="shared" si="1273"/>
        <v>MON</v>
      </c>
      <c r="G3028" s="1">
        <f>DATE(2020,7,20)</f>
        <v>44032</v>
      </c>
      <c r="H3028" s="2">
        <f t="shared" ca="1" si="1275"/>
        <v>221</v>
      </c>
      <c r="I3028" t="str">
        <f t="shared" si="1276"/>
        <v>UST10Y</v>
      </c>
      <c r="J3028">
        <f t="shared" si="1277"/>
        <v>0.67</v>
      </c>
      <c r="K3028">
        <f t="shared" si="1278"/>
        <v>0.6</v>
      </c>
      <c r="L3028">
        <f t="shared" si="1279"/>
        <v>0.63500000000000001</v>
      </c>
      <c r="M3028">
        <f t="shared" si="1280"/>
        <v>3.5000000000000031E-2</v>
      </c>
      <c r="N3028">
        <f t="shared" si="1284"/>
        <v>7.0000000000000062E-2</v>
      </c>
      <c r="O3028">
        <f t="shared" si="1281"/>
        <v>0.64</v>
      </c>
      <c r="P3028">
        <f t="shared" si="1282"/>
        <v>0.14285714285714285</v>
      </c>
      <c r="Q3028" t="str">
        <f t="shared" si="1285"/>
        <v>4.69% | 6.25%</v>
      </c>
      <c r="R3028" t="str">
        <f t="shared" si="1283"/>
        <v>BEARISH</v>
      </c>
      <c r="S3028">
        <f t="shared" si="1286"/>
        <v>-1</v>
      </c>
    </row>
    <row r="3029" spans="1:19" hidden="1" x14ac:dyDescent="0.25">
      <c r="A3029" s="5" t="str">
        <f t="shared" si="1287"/>
        <v>44032UST2Y</v>
      </c>
      <c r="B3029" s="6" t="s">
        <v>5</v>
      </c>
      <c r="C3029" s="6">
        <v>0.17</v>
      </c>
      <c r="D3029" s="6">
        <v>0.13</v>
      </c>
      <c r="E3029" s="6">
        <v>0.14000000000000001</v>
      </c>
      <c r="F3029" t="str">
        <f t="shared" ref="F3029:F3058" si="1288">UPPER(TEXT(G3029,"ddd"))</f>
        <v>MON</v>
      </c>
      <c r="G3029" s="1">
        <f t="shared" ref="G3029:G3057" si="1289">DATE(2020,7,20)</f>
        <v>44032</v>
      </c>
      <c r="H3029" s="2">
        <f t="shared" ref="H3029:H3058" ca="1" si="1290">TODAY()-G3029</f>
        <v>221</v>
      </c>
      <c r="I3029" t="str">
        <f t="shared" ref="I3029:I3058" si="1291">TRIM(LEFT(B3029,FIND(" ",B3029,1)))</f>
        <v>UST2Y</v>
      </c>
      <c r="J3029">
        <f t="shared" ref="J3029:J3058" si="1292">C3029</f>
        <v>0.17</v>
      </c>
      <c r="K3029">
        <f t="shared" ref="K3029:K3058" si="1293">D3029</f>
        <v>0.13</v>
      </c>
      <c r="L3029">
        <f t="shared" ref="L3029:L3058" si="1294">AVERAGE(J3029:K3029)</f>
        <v>0.15000000000000002</v>
      </c>
      <c r="M3029">
        <f t="shared" ref="M3029:M3058" si="1295">_xlfn.STDEV.P(J3029:K3029)</f>
        <v>1.9999999999999938E-2</v>
      </c>
      <c r="N3029">
        <f t="shared" si="1284"/>
        <v>4.0000000000000008E-2</v>
      </c>
      <c r="O3029">
        <f t="shared" ref="O3029:O3058" si="1296">E3029</f>
        <v>0.14000000000000001</v>
      </c>
      <c r="P3029">
        <f t="shared" ref="P3029:P3058" si="1297">(O3029-L3029)/M3029</f>
        <v>-0.500000000000002</v>
      </c>
      <c r="Q3029" t="str">
        <f t="shared" si="1285"/>
        <v>21.43% | 7.14%</v>
      </c>
      <c r="R3029" t="str">
        <f t="shared" ref="R3029:R3058" si="1298">MID(B3029,FIND("(",B3029,1)+1,FIND(")",B3029,1)-FIND("(",B3029,1)-1)</f>
        <v>BEARISH</v>
      </c>
      <c r="S3029">
        <f t="shared" si="1286"/>
        <v>-1</v>
      </c>
    </row>
    <row r="3030" spans="1:19" hidden="1" x14ac:dyDescent="0.25">
      <c r="A3030" s="5" t="str">
        <f t="shared" si="1287"/>
        <v>44032SPX</v>
      </c>
      <c r="B3030" s="6" t="s">
        <v>51</v>
      </c>
      <c r="C3030" s="6">
        <v>3124</v>
      </c>
      <c r="D3030" s="6">
        <v>3247</v>
      </c>
      <c r="E3030" s="6">
        <v>3224</v>
      </c>
      <c r="F3030" t="str">
        <f t="shared" si="1288"/>
        <v>MON</v>
      </c>
      <c r="G3030" s="1">
        <f t="shared" si="1289"/>
        <v>44032</v>
      </c>
      <c r="H3030" s="2">
        <f t="shared" ca="1" si="1290"/>
        <v>221</v>
      </c>
      <c r="I3030" t="str">
        <f t="shared" si="1291"/>
        <v>SPX</v>
      </c>
      <c r="J3030">
        <f t="shared" si="1292"/>
        <v>3124</v>
      </c>
      <c r="K3030">
        <f t="shared" si="1293"/>
        <v>3247</v>
      </c>
      <c r="L3030">
        <f t="shared" si="1294"/>
        <v>3185.5</v>
      </c>
      <c r="M3030">
        <f t="shared" si="1295"/>
        <v>61.5</v>
      </c>
      <c r="N3030">
        <f t="shared" si="1284"/>
        <v>123</v>
      </c>
      <c r="O3030">
        <f t="shared" si="1296"/>
        <v>3224</v>
      </c>
      <c r="P3030">
        <f t="shared" si="1297"/>
        <v>0.62601626016260159</v>
      </c>
      <c r="Q3030" t="str">
        <f t="shared" si="1285"/>
        <v>3.1% | 0.71%</v>
      </c>
      <c r="R3030" t="str">
        <f t="shared" si="1298"/>
        <v>NEUTRAL</v>
      </c>
      <c r="S3030">
        <f t="shared" si="1286"/>
        <v>0</v>
      </c>
    </row>
    <row r="3031" spans="1:19" hidden="1" x14ac:dyDescent="0.25">
      <c r="A3031" s="5" t="str">
        <f t="shared" si="1287"/>
        <v>44032RUT</v>
      </c>
      <c r="B3031" s="6" t="s">
        <v>7</v>
      </c>
      <c r="C3031" s="6">
        <v>1375</v>
      </c>
      <c r="D3031" s="6">
        <v>1495</v>
      </c>
      <c r="E3031" s="6">
        <v>1473</v>
      </c>
      <c r="F3031" t="str">
        <f t="shared" si="1288"/>
        <v>MON</v>
      </c>
      <c r="G3031" s="1">
        <f t="shared" si="1289"/>
        <v>44032</v>
      </c>
      <c r="H3031" s="2">
        <f t="shared" ca="1" si="1290"/>
        <v>221</v>
      </c>
      <c r="I3031" t="str">
        <f t="shared" si="1291"/>
        <v>RUT</v>
      </c>
      <c r="J3031">
        <f t="shared" si="1292"/>
        <v>1375</v>
      </c>
      <c r="K3031">
        <f t="shared" si="1293"/>
        <v>1495</v>
      </c>
      <c r="L3031">
        <f t="shared" si="1294"/>
        <v>1435</v>
      </c>
      <c r="M3031">
        <f t="shared" si="1295"/>
        <v>60</v>
      </c>
      <c r="N3031">
        <f t="shared" si="1284"/>
        <v>120</v>
      </c>
      <c r="O3031">
        <f t="shared" si="1296"/>
        <v>1473</v>
      </c>
      <c r="P3031">
        <f t="shared" si="1297"/>
        <v>0.6333333333333333</v>
      </c>
      <c r="Q3031" t="str">
        <f t="shared" si="1285"/>
        <v>6.65% | 1.49%</v>
      </c>
      <c r="R3031" t="str">
        <f t="shared" si="1298"/>
        <v>BEARISH</v>
      </c>
      <c r="S3031">
        <f t="shared" si="1286"/>
        <v>-1</v>
      </c>
    </row>
    <row r="3032" spans="1:19" hidden="1" x14ac:dyDescent="0.25">
      <c r="A3032" s="5" t="str">
        <f t="shared" si="1287"/>
        <v>44032COMPQ</v>
      </c>
      <c r="B3032" s="6" t="s">
        <v>8</v>
      </c>
      <c r="C3032" s="6">
        <v>10233</v>
      </c>
      <c r="D3032" s="6">
        <v>10646</v>
      </c>
      <c r="E3032" s="6">
        <v>10503</v>
      </c>
      <c r="F3032" t="str">
        <f t="shared" si="1288"/>
        <v>MON</v>
      </c>
      <c r="G3032" s="1">
        <f t="shared" si="1289"/>
        <v>44032</v>
      </c>
      <c r="H3032" s="2">
        <f t="shared" ca="1" si="1290"/>
        <v>221</v>
      </c>
      <c r="I3032" t="str">
        <f t="shared" si="1291"/>
        <v>COMPQ</v>
      </c>
      <c r="J3032">
        <f t="shared" si="1292"/>
        <v>10233</v>
      </c>
      <c r="K3032">
        <f t="shared" si="1293"/>
        <v>10646</v>
      </c>
      <c r="L3032">
        <f t="shared" si="1294"/>
        <v>10439.5</v>
      </c>
      <c r="M3032">
        <f t="shared" si="1295"/>
        <v>206.5</v>
      </c>
      <c r="N3032">
        <f t="shared" si="1284"/>
        <v>413</v>
      </c>
      <c r="O3032">
        <f t="shared" si="1296"/>
        <v>10503</v>
      </c>
      <c r="P3032">
        <f t="shared" si="1297"/>
        <v>0.30750605326876512</v>
      </c>
      <c r="Q3032" t="str">
        <f t="shared" si="1285"/>
        <v>2.57% | 1.36%</v>
      </c>
      <c r="R3032" t="str">
        <f t="shared" si="1298"/>
        <v>BULLISH</v>
      </c>
      <c r="S3032">
        <f t="shared" si="1286"/>
        <v>1</v>
      </c>
    </row>
    <row r="3033" spans="1:19" hidden="1" x14ac:dyDescent="0.25">
      <c r="A3033" s="5" t="str">
        <f t="shared" si="1287"/>
        <v>44032XLK</v>
      </c>
      <c r="B3033" s="6" t="s">
        <v>10</v>
      </c>
      <c r="C3033" s="6">
        <v>104.15</v>
      </c>
      <c r="D3033" s="6">
        <v>108.85</v>
      </c>
      <c r="E3033" s="6">
        <v>106.83</v>
      </c>
      <c r="F3033" t="str">
        <f t="shared" si="1288"/>
        <v>MON</v>
      </c>
      <c r="G3033" s="1">
        <f t="shared" si="1289"/>
        <v>44032</v>
      </c>
      <c r="H3033" s="2">
        <f t="shared" ca="1" si="1290"/>
        <v>221</v>
      </c>
      <c r="I3033" t="str">
        <f t="shared" si="1291"/>
        <v>XLK</v>
      </c>
      <c r="J3033">
        <f t="shared" si="1292"/>
        <v>104.15</v>
      </c>
      <c r="K3033">
        <f t="shared" si="1293"/>
        <v>108.85</v>
      </c>
      <c r="L3033">
        <f t="shared" si="1294"/>
        <v>106.5</v>
      </c>
      <c r="M3033">
        <f t="shared" si="1295"/>
        <v>2.3499999999999943</v>
      </c>
      <c r="N3033">
        <f t="shared" si="1284"/>
        <v>4.6999999999999886</v>
      </c>
      <c r="O3033">
        <f t="shared" si="1296"/>
        <v>106.83</v>
      </c>
      <c r="P3033">
        <f t="shared" si="1297"/>
        <v>0.14042553191489324</v>
      </c>
      <c r="Q3033" t="str">
        <f t="shared" si="1285"/>
        <v>2.51% | 1.89%</v>
      </c>
      <c r="R3033" t="str">
        <f t="shared" si="1298"/>
        <v>BULLISH</v>
      </c>
      <c r="S3033">
        <f t="shared" si="1286"/>
        <v>1</v>
      </c>
    </row>
    <row r="3034" spans="1:19" hidden="1" x14ac:dyDescent="0.25">
      <c r="A3034" s="5" t="str">
        <f t="shared" si="1287"/>
        <v>44032XLRE</v>
      </c>
      <c r="B3034" s="6" t="s">
        <v>97</v>
      </c>
      <c r="C3034" s="6">
        <v>34.229999999999997</v>
      </c>
      <c r="D3034" s="6">
        <v>35.700000000000003</v>
      </c>
      <c r="E3034" s="6">
        <v>35.020000000000003</v>
      </c>
      <c r="F3034" t="str">
        <f t="shared" si="1288"/>
        <v>MON</v>
      </c>
      <c r="G3034" s="1">
        <f t="shared" si="1289"/>
        <v>44032</v>
      </c>
      <c r="H3034" s="2">
        <f t="shared" ca="1" si="1290"/>
        <v>221</v>
      </c>
      <c r="I3034" t="str">
        <f t="shared" si="1291"/>
        <v>XLRE</v>
      </c>
      <c r="J3034">
        <f t="shared" si="1292"/>
        <v>34.229999999999997</v>
      </c>
      <c r="K3034">
        <f t="shared" si="1293"/>
        <v>35.700000000000003</v>
      </c>
      <c r="L3034">
        <f t="shared" si="1294"/>
        <v>34.965000000000003</v>
      </c>
      <c r="M3034">
        <f t="shared" si="1295"/>
        <v>0.73500000000000298</v>
      </c>
      <c r="N3034">
        <f t="shared" si="1284"/>
        <v>1.470000000000006</v>
      </c>
      <c r="O3034">
        <f t="shared" si="1296"/>
        <v>35.020000000000003</v>
      </c>
      <c r="P3034">
        <f t="shared" si="1297"/>
        <v>7.4829931972788422E-2</v>
      </c>
      <c r="Q3034" t="str">
        <f t="shared" si="1285"/>
        <v>2.26% | 1.94%</v>
      </c>
      <c r="R3034" t="str">
        <f t="shared" si="1298"/>
        <v>BULLISH</v>
      </c>
      <c r="S3034">
        <f t="shared" si="1286"/>
        <v>1</v>
      </c>
    </row>
    <row r="3035" spans="1:19" hidden="1" x14ac:dyDescent="0.25">
      <c r="A3035" s="5" t="str">
        <f t="shared" si="1287"/>
        <v>44032XLU</v>
      </c>
      <c r="B3035" s="6" t="s">
        <v>52</v>
      </c>
      <c r="C3035" s="6">
        <v>56.5</v>
      </c>
      <c r="D3035" s="6">
        <v>60.53</v>
      </c>
      <c r="E3035" s="6">
        <v>60.21</v>
      </c>
      <c r="F3035" t="str">
        <f t="shared" si="1288"/>
        <v>MON</v>
      </c>
      <c r="G3035" s="1">
        <f t="shared" si="1289"/>
        <v>44032</v>
      </c>
      <c r="H3035" s="2">
        <f t="shared" ca="1" si="1290"/>
        <v>221</v>
      </c>
      <c r="I3035" t="str">
        <f t="shared" si="1291"/>
        <v>XLU</v>
      </c>
      <c r="J3035">
        <f t="shared" si="1292"/>
        <v>56.5</v>
      </c>
      <c r="K3035">
        <f t="shared" si="1293"/>
        <v>60.53</v>
      </c>
      <c r="L3035">
        <f t="shared" si="1294"/>
        <v>58.515000000000001</v>
      </c>
      <c r="M3035">
        <f t="shared" si="1295"/>
        <v>2.0150000000000006</v>
      </c>
      <c r="N3035">
        <f t="shared" si="1284"/>
        <v>4.0300000000000011</v>
      </c>
      <c r="O3035">
        <f t="shared" si="1296"/>
        <v>60.21</v>
      </c>
      <c r="P3035">
        <f t="shared" si="1297"/>
        <v>0.84119106699751856</v>
      </c>
      <c r="Q3035" t="str">
        <f t="shared" si="1285"/>
        <v>6.16% | 0.53%</v>
      </c>
      <c r="R3035" t="str">
        <f t="shared" si="1298"/>
        <v>BULLISH</v>
      </c>
      <c r="S3035">
        <f t="shared" si="1286"/>
        <v>1</v>
      </c>
    </row>
    <row r="3036" spans="1:19" hidden="1" x14ac:dyDescent="0.25">
      <c r="A3036" s="5" t="str">
        <f t="shared" si="1287"/>
        <v>44032XLF</v>
      </c>
      <c r="B3036" s="6" t="s">
        <v>12</v>
      </c>
      <c r="C3036" s="6">
        <v>22.24</v>
      </c>
      <c r="D3036" s="6">
        <v>24.52</v>
      </c>
      <c r="E3036" s="6">
        <v>23.95</v>
      </c>
      <c r="F3036" t="str">
        <f t="shared" si="1288"/>
        <v>MON</v>
      </c>
      <c r="G3036" s="1">
        <f t="shared" si="1289"/>
        <v>44032</v>
      </c>
      <c r="H3036" s="2">
        <f t="shared" ca="1" si="1290"/>
        <v>221</v>
      </c>
      <c r="I3036" t="str">
        <f t="shared" si="1291"/>
        <v>XLF</v>
      </c>
      <c r="J3036">
        <f t="shared" si="1292"/>
        <v>22.24</v>
      </c>
      <c r="K3036">
        <f t="shared" si="1293"/>
        <v>24.52</v>
      </c>
      <c r="L3036">
        <f t="shared" si="1294"/>
        <v>23.38</v>
      </c>
      <c r="M3036">
        <f t="shared" si="1295"/>
        <v>1.1400000000000006</v>
      </c>
      <c r="N3036">
        <f t="shared" si="1284"/>
        <v>2.2800000000000011</v>
      </c>
      <c r="O3036">
        <f t="shared" si="1296"/>
        <v>23.95</v>
      </c>
      <c r="P3036">
        <f t="shared" si="1297"/>
        <v>0.5</v>
      </c>
      <c r="Q3036" t="str">
        <f t="shared" si="1285"/>
        <v>7.14% | 2.38%</v>
      </c>
      <c r="R3036" t="str">
        <f t="shared" si="1298"/>
        <v>BEARISH</v>
      </c>
      <c r="S3036">
        <f t="shared" si="1286"/>
        <v>-1</v>
      </c>
    </row>
    <row r="3037" spans="1:19" hidden="1" x14ac:dyDescent="0.25">
      <c r="A3037" s="5" t="str">
        <f t="shared" si="1287"/>
        <v>44032SSEC</v>
      </c>
      <c r="B3037" s="6" t="s">
        <v>104</v>
      </c>
      <c r="C3037" s="6">
        <v>3190</v>
      </c>
      <c r="D3037" s="6">
        <v>3530</v>
      </c>
      <c r="E3037" s="6">
        <v>3314</v>
      </c>
      <c r="F3037" t="str">
        <f t="shared" si="1288"/>
        <v>MON</v>
      </c>
      <c r="G3037" s="1">
        <f t="shared" si="1289"/>
        <v>44032</v>
      </c>
      <c r="H3037" s="2">
        <f t="shared" ca="1" si="1290"/>
        <v>221</v>
      </c>
      <c r="I3037" t="str">
        <f t="shared" si="1291"/>
        <v>SSEC</v>
      </c>
      <c r="J3037">
        <f t="shared" si="1292"/>
        <v>3190</v>
      </c>
      <c r="K3037">
        <f t="shared" si="1293"/>
        <v>3530</v>
      </c>
      <c r="L3037">
        <f t="shared" si="1294"/>
        <v>3360</v>
      </c>
      <c r="M3037">
        <f t="shared" si="1295"/>
        <v>170</v>
      </c>
      <c r="N3037">
        <f t="shared" si="1284"/>
        <v>340</v>
      </c>
      <c r="O3037">
        <f t="shared" si="1296"/>
        <v>3314</v>
      </c>
      <c r="P3037">
        <f t="shared" si="1297"/>
        <v>-0.27058823529411763</v>
      </c>
      <c r="Q3037" t="str">
        <f t="shared" si="1285"/>
        <v>3.74% | 6.52%</v>
      </c>
      <c r="R3037" t="str">
        <f t="shared" si="1298"/>
        <v>BULLISH</v>
      </c>
      <c r="S3037">
        <f t="shared" si="1286"/>
        <v>1</v>
      </c>
    </row>
    <row r="3038" spans="1:19" hidden="1" x14ac:dyDescent="0.25">
      <c r="A3038" s="5" t="str">
        <f t="shared" si="1287"/>
        <v>44032NIKK</v>
      </c>
      <c r="B3038" s="6" t="s">
        <v>90</v>
      </c>
      <c r="C3038" s="6">
        <v>22206</v>
      </c>
      <c r="D3038" s="6">
        <v>23002</v>
      </c>
      <c r="E3038" s="6">
        <v>22717</v>
      </c>
      <c r="F3038" t="str">
        <f t="shared" si="1288"/>
        <v>MON</v>
      </c>
      <c r="G3038" s="1">
        <f t="shared" si="1289"/>
        <v>44032</v>
      </c>
      <c r="H3038" s="2">
        <f t="shared" ca="1" si="1290"/>
        <v>221</v>
      </c>
      <c r="I3038" t="str">
        <f t="shared" si="1291"/>
        <v>NIKK</v>
      </c>
      <c r="J3038">
        <f t="shared" si="1292"/>
        <v>22206</v>
      </c>
      <c r="K3038">
        <f t="shared" si="1293"/>
        <v>23002</v>
      </c>
      <c r="L3038">
        <f t="shared" si="1294"/>
        <v>22604</v>
      </c>
      <c r="M3038">
        <f t="shared" si="1295"/>
        <v>398</v>
      </c>
      <c r="N3038">
        <f t="shared" si="1284"/>
        <v>796</v>
      </c>
      <c r="O3038">
        <f t="shared" si="1296"/>
        <v>22717</v>
      </c>
      <c r="P3038">
        <f t="shared" si="1297"/>
        <v>0.28391959798994976</v>
      </c>
      <c r="Q3038" t="str">
        <f t="shared" si="1285"/>
        <v>2.25% | 1.25%</v>
      </c>
      <c r="R3038" t="str">
        <f t="shared" si="1298"/>
        <v>NEUTRAL</v>
      </c>
      <c r="S3038">
        <f t="shared" si="1286"/>
        <v>0</v>
      </c>
    </row>
    <row r="3039" spans="1:19" hidden="1" x14ac:dyDescent="0.25">
      <c r="A3039" s="5" t="str">
        <f t="shared" si="1287"/>
        <v>44032DAX</v>
      </c>
      <c r="B3039" s="6" t="s">
        <v>98</v>
      </c>
      <c r="C3039" s="6">
        <v>12405</v>
      </c>
      <c r="D3039" s="6">
        <v>13052</v>
      </c>
      <c r="E3039" s="6">
        <v>12919</v>
      </c>
      <c r="F3039" t="str">
        <f t="shared" si="1288"/>
        <v>MON</v>
      </c>
      <c r="G3039" s="1">
        <f t="shared" si="1289"/>
        <v>44032</v>
      </c>
      <c r="H3039" s="2">
        <f t="shared" ca="1" si="1290"/>
        <v>221</v>
      </c>
      <c r="I3039" t="str">
        <f t="shared" si="1291"/>
        <v>DAX</v>
      </c>
      <c r="J3039">
        <f t="shared" si="1292"/>
        <v>12405</v>
      </c>
      <c r="K3039">
        <f t="shared" si="1293"/>
        <v>13052</v>
      </c>
      <c r="L3039">
        <f t="shared" si="1294"/>
        <v>12728.5</v>
      </c>
      <c r="M3039">
        <f t="shared" si="1295"/>
        <v>323.5</v>
      </c>
      <c r="N3039">
        <f t="shared" si="1284"/>
        <v>647</v>
      </c>
      <c r="O3039">
        <f t="shared" si="1296"/>
        <v>12919</v>
      </c>
      <c r="P3039">
        <f t="shared" si="1297"/>
        <v>0.58887171561050999</v>
      </c>
      <c r="Q3039" t="str">
        <f t="shared" si="1285"/>
        <v>3.98% | 1.03%</v>
      </c>
      <c r="R3039" t="str">
        <f t="shared" si="1298"/>
        <v>BULLISH</v>
      </c>
      <c r="S3039">
        <f t="shared" si="1286"/>
        <v>1</v>
      </c>
    </row>
    <row r="3040" spans="1:19" hidden="1" x14ac:dyDescent="0.25">
      <c r="A3040" s="5" t="str">
        <f t="shared" si="1287"/>
        <v>44032VIX</v>
      </c>
      <c r="B3040" s="6" t="s">
        <v>159</v>
      </c>
      <c r="C3040" s="6">
        <v>25.05</v>
      </c>
      <c r="D3040" s="6">
        <v>31.99</v>
      </c>
      <c r="E3040" s="6">
        <v>25.68</v>
      </c>
      <c r="F3040" t="str">
        <f t="shared" si="1288"/>
        <v>MON</v>
      </c>
      <c r="G3040" s="1">
        <f t="shared" si="1289"/>
        <v>44032</v>
      </c>
      <c r="H3040" s="2">
        <f t="shared" ca="1" si="1290"/>
        <v>221</v>
      </c>
      <c r="I3040" t="str">
        <f t="shared" si="1291"/>
        <v>VIX</v>
      </c>
      <c r="J3040">
        <f t="shared" si="1292"/>
        <v>25.05</v>
      </c>
      <c r="K3040">
        <f t="shared" si="1293"/>
        <v>31.99</v>
      </c>
      <c r="L3040">
        <f t="shared" si="1294"/>
        <v>28.52</v>
      </c>
      <c r="M3040">
        <f t="shared" si="1295"/>
        <v>3.4699999999999949</v>
      </c>
      <c r="N3040">
        <f t="shared" si="1284"/>
        <v>6.9399999999999977</v>
      </c>
      <c r="O3040">
        <f t="shared" si="1296"/>
        <v>25.68</v>
      </c>
      <c r="P3040">
        <f t="shared" si="1297"/>
        <v>-0.81844380403458328</v>
      </c>
      <c r="Q3040" t="str">
        <f t="shared" si="1285"/>
        <v>2.45% | 24.57%</v>
      </c>
      <c r="R3040" t="str">
        <f t="shared" si="1298"/>
        <v>NEUTRAL</v>
      </c>
      <c r="S3040">
        <f t="shared" si="1286"/>
        <v>0</v>
      </c>
    </row>
    <row r="3041" spans="1:19" hidden="1" x14ac:dyDescent="0.25">
      <c r="A3041" s="5" t="str">
        <f t="shared" si="1287"/>
        <v>44032USD</v>
      </c>
      <c r="B3041" s="6" t="s">
        <v>94</v>
      </c>
      <c r="C3041" s="6">
        <v>95.7</v>
      </c>
      <c r="D3041" s="6">
        <v>96.92</v>
      </c>
      <c r="E3041" s="6">
        <v>95.86</v>
      </c>
      <c r="F3041" t="str">
        <f t="shared" si="1288"/>
        <v>MON</v>
      </c>
      <c r="G3041" s="1">
        <f t="shared" si="1289"/>
        <v>44032</v>
      </c>
      <c r="H3041" s="2">
        <f t="shared" ca="1" si="1290"/>
        <v>221</v>
      </c>
      <c r="I3041" t="str">
        <f t="shared" si="1291"/>
        <v>USD</v>
      </c>
      <c r="J3041">
        <f t="shared" si="1292"/>
        <v>95.7</v>
      </c>
      <c r="K3041">
        <f t="shared" si="1293"/>
        <v>96.92</v>
      </c>
      <c r="L3041">
        <f t="shared" si="1294"/>
        <v>96.31</v>
      </c>
      <c r="M3041">
        <f t="shared" si="1295"/>
        <v>0.60999999999999943</v>
      </c>
      <c r="N3041">
        <f t="shared" si="1284"/>
        <v>1.2199999999999989</v>
      </c>
      <c r="O3041">
        <f t="shared" si="1296"/>
        <v>95.86</v>
      </c>
      <c r="P3041">
        <f t="shared" si="1297"/>
        <v>-0.73770491803279226</v>
      </c>
      <c r="Q3041" t="str">
        <f t="shared" si="1285"/>
        <v>0.17% | 1.11%</v>
      </c>
      <c r="R3041" t="str">
        <f t="shared" si="1298"/>
        <v>BEARISH</v>
      </c>
      <c r="S3041">
        <f t="shared" si="1286"/>
        <v>-1</v>
      </c>
    </row>
    <row r="3042" spans="1:19" hidden="1" x14ac:dyDescent="0.25">
      <c r="A3042" s="5" t="str">
        <f t="shared" si="1287"/>
        <v>44032EUR/USD</v>
      </c>
      <c r="B3042" s="6" t="s">
        <v>99</v>
      </c>
      <c r="C3042" s="6">
        <v>1.1200000000000001</v>
      </c>
      <c r="D3042" s="6">
        <v>1.1499999999999999</v>
      </c>
      <c r="E3042" s="6">
        <v>1.1399999999999999</v>
      </c>
      <c r="F3042" t="str">
        <f t="shared" si="1288"/>
        <v>MON</v>
      </c>
      <c r="G3042" s="1">
        <f t="shared" si="1289"/>
        <v>44032</v>
      </c>
      <c r="H3042" s="2">
        <f t="shared" ca="1" si="1290"/>
        <v>221</v>
      </c>
      <c r="I3042" t="str">
        <f t="shared" si="1291"/>
        <v>EUR/USD</v>
      </c>
      <c r="J3042">
        <f t="shared" si="1292"/>
        <v>1.1200000000000001</v>
      </c>
      <c r="K3042">
        <f t="shared" si="1293"/>
        <v>1.1499999999999999</v>
      </c>
      <c r="L3042">
        <f t="shared" si="1294"/>
        <v>1.135</v>
      </c>
      <c r="M3042">
        <f t="shared" si="1295"/>
        <v>1.4999999999999902E-2</v>
      </c>
      <c r="N3042">
        <f t="shared" si="1284"/>
        <v>2.9999999999999805E-2</v>
      </c>
      <c r="O3042">
        <f t="shared" si="1296"/>
        <v>1.1399999999999999</v>
      </c>
      <c r="P3042">
        <f t="shared" si="1297"/>
        <v>0.33333333333332837</v>
      </c>
      <c r="Q3042" t="str">
        <f t="shared" si="1285"/>
        <v>1.75% | 0.88%</v>
      </c>
      <c r="R3042" t="str">
        <f t="shared" si="1298"/>
        <v>BULLISH</v>
      </c>
      <c r="S3042">
        <f t="shared" si="1286"/>
        <v>1</v>
      </c>
    </row>
    <row r="3043" spans="1:19" hidden="1" x14ac:dyDescent="0.25">
      <c r="A3043" s="5" t="str">
        <f t="shared" si="1287"/>
        <v>44032USD/JPY</v>
      </c>
      <c r="B3043" s="6" t="s">
        <v>20</v>
      </c>
      <c r="C3043" s="6">
        <v>106.71</v>
      </c>
      <c r="D3043" s="6">
        <v>107.62</v>
      </c>
      <c r="E3043" s="6">
        <v>106.97</v>
      </c>
      <c r="F3043" t="str">
        <f t="shared" si="1288"/>
        <v>MON</v>
      </c>
      <c r="G3043" s="1">
        <f t="shared" si="1289"/>
        <v>44032</v>
      </c>
      <c r="H3043" s="2">
        <f t="shared" ca="1" si="1290"/>
        <v>221</v>
      </c>
      <c r="I3043" t="str">
        <f t="shared" si="1291"/>
        <v>USD/JPY</v>
      </c>
      <c r="J3043">
        <f t="shared" si="1292"/>
        <v>106.71</v>
      </c>
      <c r="K3043">
        <f t="shared" si="1293"/>
        <v>107.62</v>
      </c>
      <c r="L3043">
        <f t="shared" si="1294"/>
        <v>107.16499999999999</v>
      </c>
      <c r="M3043">
        <f t="shared" si="1295"/>
        <v>0.4550000000000054</v>
      </c>
      <c r="N3043">
        <f t="shared" si="1284"/>
        <v>0.9100000000000108</v>
      </c>
      <c r="O3043">
        <f t="shared" si="1296"/>
        <v>106.97</v>
      </c>
      <c r="P3043">
        <f t="shared" si="1297"/>
        <v>-0.42857142857140851</v>
      </c>
      <c r="Q3043" t="str">
        <f t="shared" si="1285"/>
        <v>0.24% | 0.61%</v>
      </c>
      <c r="R3043" t="str">
        <f t="shared" si="1298"/>
        <v>BEARISH</v>
      </c>
      <c r="S3043">
        <f t="shared" si="1286"/>
        <v>-1</v>
      </c>
    </row>
    <row r="3044" spans="1:19" hidden="1" x14ac:dyDescent="0.25">
      <c r="A3044" s="5" t="str">
        <f t="shared" si="1287"/>
        <v>44032GBP/USD</v>
      </c>
      <c r="B3044" s="6" t="s">
        <v>102</v>
      </c>
      <c r="C3044" s="6">
        <v>1.24</v>
      </c>
      <c r="D3044" s="6">
        <v>1.27</v>
      </c>
      <c r="E3044" s="6">
        <v>1.25</v>
      </c>
      <c r="F3044" t="str">
        <f t="shared" si="1288"/>
        <v>MON</v>
      </c>
      <c r="G3044" s="1">
        <f t="shared" si="1289"/>
        <v>44032</v>
      </c>
      <c r="H3044" s="2">
        <f t="shared" ca="1" si="1290"/>
        <v>221</v>
      </c>
      <c r="I3044" t="str">
        <f t="shared" si="1291"/>
        <v>GBP/USD</v>
      </c>
      <c r="J3044">
        <f t="shared" si="1292"/>
        <v>1.24</v>
      </c>
      <c r="K3044">
        <f t="shared" si="1293"/>
        <v>1.27</v>
      </c>
      <c r="L3044">
        <f t="shared" si="1294"/>
        <v>1.2549999999999999</v>
      </c>
      <c r="M3044">
        <f t="shared" si="1295"/>
        <v>1.5000000000000013E-2</v>
      </c>
      <c r="N3044">
        <f t="shared" si="1284"/>
        <v>3.0000000000000027E-2</v>
      </c>
      <c r="O3044">
        <f t="shared" si="1296"/>
        <v>1.25</v>
      </c>
      <c r="P3044">
        <f t="shared" si="1297"/>
        <v>-0.33333333333332593</v>
      </c>
      <c r="Q3044" t="str">
        <f t="shared" si="1285"/>
        <v>0.8% | 1.6%</v>
      </c>
      <c r="R3044" t="str">
        <f t="shared" si="1298"/>
        <v>BULLISH</v>
      </c>
      <c r="S3044">
        <f t="shared" si="1286"/>
        <v>1</v>
      </c>
    </row>
    <row r="3045" spans="1:19" hidden="1" x14ac:dyDescent="0.25">
      <c r="A3045" s="5" t="str">
        <f t="shared" si="1287"/>
        <v>44032USD/CHF</v>
      </c>
      <c r="B3045" s="6" t="s">
        <v>76</v>
      </c>
      <c r="C3045" s="6">
        <v>0.93</v>
      </c>
      <c r="D3045" s="6">
        <v>0.95</v>
      </c>
      <c r="E3045" s="6">
        <v>0.93</v>
      </c>
      <c r="F3045" t="str">
        <f t="shared" si="1288"/>
        <v>MON</v>
      </c>
      <c r="G3045" s="1">
        <f t="shared" si="1289"/>
        <v>44032</v>
      </c>
      <c r="H3045" s="2">
        <f t="shared" ca="1" si="1290"/>
        <v>221</v>
      </c>
      <c r="I3045" t="str">
        <f t="shared" si="1291"/>
        <v>USD/CHF</v>
      </c>
      <c r="J3045">
        <f t="shared" si="1292"/>
        <v>0.93</v>
      </c>
      <c r="K3045">
        <f t="shared" si="1293"/>
        <v>0.95</v>
      </c>
      <c r="L3045">
        <f t="shared" si="1294"/>
        <v>0.94</v>
      </c>
      <c r="M3045">
        <f t="shared" si="1295"/>
        <v>9.9999999999999534E-3</v>
      </c>
      <c r="N3045">
        <f t="shared" si="1284"/>
        <v>1.9999999999999907E-2</v>
      </c>
      <c r="O3045">
        <f t="shared" si="1296"/>
        <v>0.93</v>
      </c>
      <c r="P3045">
        <f t="shared" si="1297"/>
        <v>-0.99999999999999445</v>
      </c>
      <c r="Q3045" t="str">
        <f t="shared" si="1285"/>
        <v>0% | 2.15%</v>
      </c>
      <c r="R3045" t="str">
        <f t="shared" si="1298"/>
        <v>BEARISH</v>
      </c>
      <c r="S3045">
        <f t="shared" si="1286"/>
        <v>-1</v>
      </c>
    </row>
    <row r="3046" spans="1:19" hidden="1" x14ac:dyDescent="0.25">
      <c r="A3046" s="5" t="str">
        <f t="shared" si="1287"/>
        <v>44032WTIC</v>
      </c>
      <c r="B3046" s="6" t="s">
        <v>158</v>
      </c>
      <c r="C3046" s="6">
        <v>38.97</v>
      </c>
      <c r="D3046" s="6">
        <v>41.56</v>
      </c>
      <c r="E3046" s="6">
        <v>40.75</v>
      </c>
      <c r="F3046" t="str">
        <f t="shared" si="1288"/>
        <v>MON</v>
      </c>
      <c r="G3046" s="1">
        <f t="shared" si="1289"/>
        <v>44032</v>
      </c>
      <c r="H3046" s="2">
        <f t="shared" ca="1" si="1290"/>
        <v>221</v>
      </c>
      <c r="I3046" t="str">
        <f t="shared" si="1291"/>
        <v>WTIC</v>
      </c>
      <c r="J3046">
        <f t="shared" si="1292"/>
        <v>38.97</v>
      </c>
      <c r="K3046">
        <f t="shared" si="1293"/>
        <v>41.56</v>
      </c>
      <c r="L3046">
        <f t="shared" si="1294"/>
        <v>40.265000000000001</v>
      </c>
      <c r="M3046">
        <f t="shared" si="1295"/>
        <v>1.2950000000000017</v>
      </c>
      <c r="N3046">
        <f t="shared" si="1284"/>
        <v>2.5900000000000034</v>
      </c>
      <c r="O3046">
        <f t="shared" si="1296"/>
        <v>40.75</v>
      </c>
      <c r="P3046">
        <f t="shared" si="1297"/>
        <v>0.3745173745173736</v>
      </c>
      <c r="Q3046" t="str">
        <f t="shared" si="1285"/>
        <v>4.37% | 1.99%</v>
      </c>
      <c r="R3046" t="str">
        <f t="shared" si="1298"/>
        <v>BULLISH</v>
      </c>
      <c r="S3046">
        <f t="shared" si="1286"/>
        <v>1</v>
      </c>
    </row>
    <row r="3047" spans="1:19" hidden="1" x14ac:dyDescent="0.25">
      <c r="A3047" s="5" t="str">
        <f t="shared" si="1287"/>
        <v>44032NATGAS</v>
      </c>
      <c r="B3047" s="6" t="s">
        <v>87</v>
      </c>
      <c r="C3047" s="6">
        <v>1.64</v>
      </c>
      <c r="D3047" s="6">
        <v>1.88</v>
      </c>
      <c r="E3047" s="6">
        <v>1.72</v>
      </c>
      <c r="F3047" t="str">
        <f t="shared" si="1288"/>
        <v>MON</v>
      </c>
      <c r="G3047" s="1">
        <f t="shared" si="1289"/>
        <v>44032</v>
      </c>
      <c r="H3047" s="2">
        <f t="shared" ca="1" si="1290"/>
        <v>221</v>
      </c>
      <c r="I3047" t="str">
        <f t="shared" si="1291"/>
        <v>NATGAS</v>
      </c>
      <c r="J3047">
        <f t="shared" si="1292"/>
        <v>1.64</v>
      </c>
      <c r="K3047">
        <f t="shared" si="1293"/>
        <v>1.88</v>
      </c>
      <c r="L3047">
        <f t="shared" si="1294"/>
        <v>1.7599999999999998</v>
      </c>
      <c r="M3047">
        <f t="shared" si="1295"/>
        <v>0.12</v>
      </c>
      <c r="N3047">
        <f t="shared" si="1284"/>
        <v>0.24</v>
      </c>
      <c r="O3047">
        <f t="shared" si="1296"/>
        <v>1.72</v>
      </c>
      <c r="P3047">
        <f t="shared" si="1297"/>
        <v>-0.33333333333333182</v>
      </c>
      <c r="Q3047" t="str">
        <f t="shared" si="1285"/>
        <v>4.65% | 9.3%</v>
      </c>
      <c r="R3047" t="str">
        <f t="shared" si="1298"/>
        <v>NEUTRAL</v>
      </c>
      <c r="S3047">
        <f t="shared" si="1286"/>
        <v>0</v>
      </c>
    </row>
    <row r="3048" spans="1:19" hidden="1" x14ac:dyDescent="0.25">
      <c r="A3048" s="5" t="str">
        <f t="shared" si="1287"/>
        <v>44032GOLD</v>
      </c>
      <c r="B3048" s="6" t="s">
        <v>25</v>
      </c>
      <c r="C3048" s="6">
        <v>1794</v>
      </c>
      <c r="D3048" s="6">
        <v>1827</v>
      </c>
      <c r="E3048" s="6">
        <v>1810</v>
      </c>
      <c r="F3048" t="str">
        <f t="shared" si="1288"/>
        <v>MON</v>
      </c>
      <c r="G3048" s="1">
        <f t="shared" si="1289"/>
        <v>44032</v>
      </c>
      <c r="H3048" s="2">
        <f t="shared" ca="1" si="1290"/>
        <v>221</v>
      </c>
      <c r="I3048" t="str">
        <f t="shared" si="1291"/>
        <v>GOLD</v>
      </c>
      <c r="J3048">
        <f t="shared" si="1292"/>
        <v>1794</v>
      </c>
      <c r="K3048">
        <f t="shared" si="1293"/>
        <v>1827</v>
      </c>
      <c r="L3048">
        <f t="shared" si="1294"/>
        <v>1810.5</v>
      </c>
      <c r="M3048">
        <f t="shared" si="1295"/>
        <v>16.5</v>
      </c>
      <c r="N3048">
        <f t="shared" si="1284"/>
        <v>33</v>
      </c>
      <c r="O3048">
        <f t="shared" si="1296"/>
        <v>1810</v>
      </c>
      <c r="P3048">
        <f t="shared" si="1297"/>
        <v>-3.0303030303030304E-2</v>
      </c>
      <c r="Q3048" t="str">
        <f t="shared" si="1285"/>
        <v>0.88% | 0.94%</v>
      </c>
      <c r="R3048" t="str">
        <f t="shared" si="1298"/>
        <v>BULLISH</v>
      </c>
      <c r="S3048">
        <f t="shared" si="1286"/>
        <v>1</v>
      </c>
    </row>
    <row r="3049" spans="1:19" hidden="1" x14ac:dyDescent="0.25">
      <c r="A3049" s="5" t="str">
        <f t="shared" si="1287"/>
        <v>44032COPPER</v>
      </c>
      <c r="B3049" s="6" t="s">
        <v>100</v>
      </c>
      <c r="C3049" s="6">
        <v>2.77</v>
      </c>
      <c r="D3049" s="6">
        <v>2.99</v>
      </c>
      <c r="E3049" s="6">
        <v>2.9</v>
      </c>
      <c r="F3049" t="str">
        <f t="shared" si="1288"/>
        <v>MON</v>
      </c>
      <c r="G3049" s="1">
        <f t="shared" si="1289"/>
        <v>44032</v>
      </c>
      <c r="H3049" s="2">
        <f t="shared" ca="1" si="1290"/>
        <v>221</v>
      </c>
      <c r="I3049" t="str">
        <f t="shared" si="1291"/>
        <v>COPPER</v>
      </c>
      <c r="J3049">
        <f t="shared" si="1292"/>
        <v>2.77</v>
      </c>
      <c r="K3049">
        <f t="shared" si="1293"/>
        <v>2.99</v>
      </c>
      <c r="L3049">
        <f t="shared" si="1294"/>
        <v>2.88</v>
      </c>
      <c r="M3049">
        <f t="shared" si="1295"/>
        <v>0.1100000000000001</v>
      </c>
      <c r="N3049">
        <f t="shared" si="1284"/>
        <v>0.2200000000000002</v>
      </c>
      <c r="O3049">
        <f t="shared" si="1296"/>
        <v>2.9</v>
      </c>
      <c r="P3049">
        <f t="shared" si="1297"/>
        <v>0.18181818181818182</v>
      </c>
      <c r="Q3049" t="str">
        <f t="shared" si="1285"/>
        <v>4.48% | 3.1%</v>
      </c>
      <c r="R3049" t="str">
        <f t="shared" si="1298"/>
        <v>BULLISH</v>
      </c>
      <c r="S3049">
        <f t="shared" si="1286"/>
        <v>1</v>
      </c>
    </row>
    <row r="3050" spans="1:19" hidden="1" x14ac:dyDescent="0.25">
      <c r="A3050" s="5" t="str">
        <f t="shared" si="1287"/>
        <v>44032MSFT</v>
      </c>
      <c r="B3050" s="6" t="s">
        <v>27</v>
      </c>
      <c r="C3050" s="6">
        <v>200</v>
      </c>
      <c r="D3050" s="6">
        <v>215</v>
      </c>
      <c r="E3050" s="6">
        <v>202</v>
      </c>
      <c r="F3050" t="str">
        <f t="shared" si="1288"/>
        <v>MON</v>
      </c>
      <c r="G3050" s="1">
        <f t="shared" si="1289"/>
        <v>44032</v>
      </c>
      <c r="H3050" s="2">
        <f t="shared" ca="1" si="1290"/>
        <v>221</v>
      </c>
      <c r="I3050" t="str">
        <f t="shared" si="1291"/>
        <v>MSFT</v>
      </c>
      <c r="J3050">
        <f t="shared" si="1292"/>
        <v>200</v>
      </c>
      <c r="K3050">
        <f t="shared" si="1293"/>
        <v>215</v>
      </c>
      <c r="L3050">
        <f t="shared" si="1294"/>
        <v>207.5</v>
      </c>
      <c r="M3050">
        <f t="shared" si="1295"/>
        <v>7.5</v>
      </c>
      <c r="N3050">
        <f t="shared" si="1284"/>
        <v>15</v>
      </c>
      <c r="O3050">
        <f t="shared" si="1296"/>
        <v>202</v>
      </c>
      <c r="P3050">
        <f t="shared" si="1297"/>
        <v>-0.73333333333333328</v>
      </c>
      <c r="Q3050" t="str">
        <f t="shared" si="1285"/>
        <v>0.99% | 6.44%</v>
      </c>
      <c r="R3050" t="str">
        <f t="shared" si="1298"/>
        <v>BULLISH</v>
      </c>
      <c r="S3050">
        <f t="shared" si="1286"/>
        <v>1</v>
      </c>
    </row>
    <row r="3051" spans="1:19" hidden="1" x14ac:dyDescent="0.25">
      <c r="A3051" s="5" t="str">
        <f t="shared" si="1287"/>
        <v>44032AAPL</v>
      </c>
      <c r="B3051" s="6" t="s">
        <v>28</v>
      </c>
      <c r="C3051" s="6">
        <v>371</v>
      </c>
      <c r="D3051" s="6">
        <v>394</v>
      </c>
      <c r="E3051" s="6">
        <v>385</v>
      </c>
      <c r="F3051" t="str">
        <f t="shared" si="1288"/>
        <v>MON</v>
      </c>
      <c r="G3051" s="1">
        <f t="shared" si="1289"/>
        <v>44032</v>
      </c>
      <c r="H3051" s="2">
        <f t="shared" ca="1" si="1290"/>
        <v>221</v>
      </c>
      <c r="I3051" t="str">
        <f t="shared" si="1291"/>
        <v>AAPL</v>
      </c>
      <c r="J3051">
        <f t="shared" si="1292"/>
        <v>371</v>
      </c>
      <c r="K3051">
        <f t="shared" si="1293"/>
        <v>394</v>
      </c>
      <c r="L3051">
        <f t="shared" si="1294"/>
        <v>382.5</v>
      </c>
      <c r="M3051">
        <f t="shared" si="1295"/>
        <v>11.5</v>
      </c>
      <c r="N3051">
        <f t="shared" si="1284"/>
        <v>23</v>
      </c>
      <c r="O3051">
        <f t="shared" si="1296"/>
        <v>385</v>
      </c>
      <c r="P3051">
        <f t="shared" si="1297"/>
        <v>0.21739130434782608</v>
      </c>
      <c r="Q3051" t="str">
        <f t="shared" si="1285"/>
        <v>3.64% | 2.34%</v>
      </c>
      <c r="R3051" t="str">
        <f t="shared" si="1298"/>
        <v>BULLISH</v>
      </c>
      <c r="S3051">
        <f t="shared" si="1286"/>
        <v>1</v>
      </c>
    </row>
    <row r="3052" spans="1:19" hidden="1" x14ac:dyDescent="0.25">
      <c r="A3052" s="5" t="str">
        <f t="shared" si="1287"/>
        <v>44032AMZN</v>
      </c>
      <c r="B3052" s="6" t="s">
        <v>29</v>
      </c>
      <c r="C3052" s="6">
        <v>2901</v>
      </c>
      <c r="D3052" s="6">
        <v>3225</v>
      </c>
      <c r="E3052" s="6">
        <v>2961</v>
      </c>
      <c r="F3052" t="str">
        <f t="shared" si="1288"/>
        <v>MON</v>
      </c>
      <c r="G3052" s="1">
        <f t="shared" si="1289"/>
        <v>44032</v>
      </c>
      <c r="H3052" s="2">
        <f t="shared" ca="1" si="1290"/>
        <v>221</v>
      </c>
      <c r="I3052" t="str">
        <f t="shared" si="1291"/>
        <v>AMZN</v>
      </c>
      <c r="J3052">
        <f t="shared" si="1292"/>
        <v>2901</v>
      </c>
      <c r="K3052">
        <f t="shared" si="1293"/>
        <v>3225</v>
      </c>
      <c r="L3052">
        <f t="shared" si="1294"/>
        <v>3063</v>
      </c>
      <c r="M3052">
        <f t="shared" si="1295"/>
        <v>162</v>
      </c>
      <c r="N3052">
        <f t="shared" si="1284"/>
        <v>324</v>
      </c>
      <c r="O3052">
        <f t="shared" si="1296"/>
        <v>2961</v>
      </c>
      <c r="P3052">
        <f t="shared" si="1297"/>
        <v>-0.62962962962962965</v>
      </c>
      <c r="Q3052" t="str">
        <f t="shared" si="1285"/>
        <v>2.03% | 8.92%</v>
      </c>
      <c r="R3052" t="str">
        <f t="shared" si="1298"/>
        <v>BULLISH</v>
      </c>
      <c r="S3052">
        <f t="shared" si="1286"/>
        <v>1</v>
      </c>
    </row>
    <row r="3053" spans="1:19" hidden="1" x14ac:dyDescent="0.25">
      <c r="A3053" s="5" t="str">
        <f t="shared" si="1287"/>
        <v>44032FB</v>
      </c>
      <c r="B3053" s="6" t="s">
        <v>30</v>
      </c>
      <c r="C3053" s="6">
        <v>235</v>
      </c>
      <c r="D3053" s="6">
        <v>246</v>
      </c>
      <c r="E3053" s="6">
        <v>242</v>
      </c>
      <c r="F3053" t="str">
        <f t="shared" si="1288"/>
        <v>MON</v>
      </c>
      <c r="G3053" s="1">
        <f t="shared" si="1289"/>
        <v>44032</v>
      </c>
      <c r="H3053" s="2">
        <f t="shared" ca="1" si="1290"/>
        <v>221</v>
      </c>
      <c r="I3053" t="str">
        <f t="shared" si="1291"/>
        <v>FB</v>
      </c>
      <c r="J3053">
        <f t="shared" si="1292"/>
        <v>235</v>
      </c>
      <c r="K3053">
        <f t="shared" si="1293"/>
        <v>246</v>
      </c>
      <c r="L3053">
        <f t="shared" si="1294"/>
        <v>240.5</v>
      </c>
      <c r="M3053">
        <f t="shared" si="1295"/>
        <v>5.5</v>
      </c>
      <c r="N3053">
        <f t="shared" si="1284"/>
        <v>11</v>
      </c>
      <c r="O3053">
        <f t="shared" si="1296"/>
        <v>242</v>
      </c>
      <c r="P3053">
        <f t="shared" si="1297"/>
        <v>0.27272727272727271</v>
      </c>
      <c r="Q3053" t="str">
        <f t="shared" si="1285"/>
        <v>2.89% | 1.65%</v>
      </c>
      <c r="R3053" t="str">
        <f t="shared" si="1298"/>
        <v>BULLISH</v>
      </c>
      <c r="S3053">
        <f t="shared" si="1286"/>
        <v>1</v>
      </c>
    </row>
    <row r="3054" spans="1:19" hidden="1" x14ac:dyDescent="0.25">
      <c r="A3054" s="5" t="str">
        <f t="shared" si="1287"/>
        <v>44032GOOGL</v>
      </c>
      <c r="B3054" s="6" t="s">
        <v>31</v>
      </c>
      <c r="C3054" s="6">
        <v>1469</v>
      </c>
      <c r="D3054" s="6">
        <v>1541</v>
      </c>
      <c r="E3054" s="6">
        <v>1516</v>
      </c>
      <c r="F3054" t="str">
        <f t="shared" si="1288"/>
        <v>MON</v>
      </c>
      <c r="G3054" s="1">
        <f t="shared" si="1289"/>
        <v>44032</v>
      </c>
      <c r="H3054" s="2">
        <f t="shared" ca="1" si="1290"/>
        <v>221</v>
      </c>
      <c r="I3054" t="str">
        <f t="shared" si="1291"/>
        <v>GOOGL</v>
      </c>
      <c r="J3054">
        <f t="shared" si="1292"/>
        <v>1469</v>
      </c>
      <c r="K3054">
        <f t="shared" si="1293"/>
        <v>1541</v>
      </c>
      <c r="L3054">
        <f t="shared" si="1294"/>
        <v>1505</v>
      </c>
      <c r="M3054">
        <f t="shared" si="1295"/>
        <v>36</v>
      </c>
      <c r="N3054">
        <f t="shared" si="1284"/>
        <v>72</v>
      </c>
      <c r="O3054">
        <f t="shared" si="1296"/>
        <v>1516</v>
      </c>
      <c r="P3054">
        <f t="shared" si="1297"/>
        <v>0.30555555555555558</v>
      </c>
      <c r="Q3054" t="str">
        <f t="shared" si="1285"/>
        <v>3.1% | 1.65%</v>
      </c>
      <c r="R3054" t="str">
        <f t="shared" si="1298"/>
        <v>BULLISH</v>
      </c>
      <c r="S3054">
        <f t="shared" si="1286"/>
        <v>1</v>
      </c>
    </row>
    <row r="3055" spans="1:19" hidden="1" x14ac:dyDescent="0.25">
      <c r="A3055" s="5" t="str">
        <f t="shared" si="1287"/>
        <v>44032NFLX</v>
      </c>
      <c r="B3055" s="6" t="s">
        <v>70</v>
      </c>
      <c r="C3055" s="6">
        <v>471</v>
      </c>
      <c r="D3055" s="6">
        <v>517</v>
      </c>
      <c r="E3055" s="6">
        <v>492</v>
      </c>
      <c r="F3055" t="str">
        <f t="shared" si="1288"/>
        <v>MON</v>
      </c>
      <c r="G3055" s="1">
        <f t="shared" si="1289"/>
        <v>44032</v>
      </c>
      <c r="H3055" s="2">
        <f t="shared" ca="1" si="1290"/>
        <v>221</v>
      </c>
      <c r="I3055" t="str">
        <f t="shared" si="1291"/>
        <v>NFLX</v>
      </c>
      <c r="J3055">
        <f t="shared" si="1292"/>
        <v>471</v>
      </c>
      <c r="K3055">
        <f t="shared" si="1293"/>
        <v>517</v>
      </c>
      <c r="L3055">
        <f t="shared" si="1294"/>
        <v>494</v>
      </c>
      <c r="M3055">
        <f t="shared" si="1295"/>
        <v>23</v>
      </c>
      <c r="N3055">
        <f t="shared" si="1284"/>
        <v>46</v>
      </c>
      <c r="O3055">
        <f t="shared" si="1296"/>
        <v>492</v>
      </c>
      <c r="P3055">
        <f t="shared" si="1297"/>
        <v>-8.6956521739130432E-2</v>
      </c>
      <c r="Q3055" t="str">
        <f t="shared" si="1285"/>
        <v>4.27% | 5.08%</v>
      </c>
      <c r="R3055" t="str">
        <f t="shared" si="1298"/>
        <v>NEUTRAL</v>
      </c>
      <c r="S3055">
        <f t="shared" si="1286"/>
        <v>0</v>
      </c>
    </row>
    <row r="3056" spans="1:19" x14ac:dyDescent="0.25">
      <c r="A3056" s="5" t="str">
        <f t="shared" si="1287"/>
        <v>44032TSLA</v>
      </c>
      <c r="B3056" s="6" t="s">
        <v>33</v>
      </c>
      <c r="C3056" s="6">
        <v>1340</v>
      </c>
      <c r="D3056" s="6">
        <v>1605</v>
      </c>
      <c r="E3056" s="6">
        <v>1500</v>
      </c>
      <c r="F3056" t="str">
        <f t="shared" si="1288"/>
        <v>MON</v>
      </c>
      <c r="G3056" s="1">
        <f t="shared" si="1289"/>
        <v>44032</v>
      </c>
      <c r="H3056" s="2">
        <f t="shared" ca="1" si="1290"/>
        <v>221</v>
      </c>
      <c r="I3056" t="str">
        <f t="shared" si="1291"/>
        <v>TSLA</v>
      </c>
      <c r="J3056">
        <f t="shared" si="1292"/>
        <v>1340</v>
      </c>
      <c r="K3056">
        <f t="shared" si="1293"/>
        <v>1605</v>
      </c>
      <c r="L3056">
        <f t="shared" si="1294"/>
        <v>1472.5</v>
      </c>
      <c r="M3056">
        <f t="shared" si="1295"/>
        <v>132.5</v>
      </c>
      <c r="N3056">
        <f t="shared" si="1284"/>
        <v>265</v>
      </c>
      <c r="O3056">
        <f t="shared" si="1296"/>
        <v>1500</v>
      </c>
      <c r="P3056">
        <f t="shared" si="1297"/>
        <v>0.20754716981132076</v>
      </c>
      <c r="Q3056" t="str">
        <f t="shared" si="1285"/>
        <v>10.67% | 7%</v>
      </c>
      <c r="R3056" t="str">
        <f t="shared" si="1298"/>
        <v>BULLISH</v>
      </c>
      <c r="S3056">
        <f t="shared" si="1286"/>
        <v>1</v>
      </c>
    </row>
    <row r="3057" spans="1:19" hidden="1" x14ac:dyDescent="0.25">
      <c r="A3057" s="5" t="str">
        <f t="shared" si="1287"/>
        <v>44032NYXBT</v>
      </c>
      <c r="B3057" s="6" t="s">
        <v>60</v>
      </c>
      <c r="C3057" s="6">
        <v>8923</v>
      </c>
      <c r="D3057" s="6">
        <v>9451</v>
      </c>
      <c r="E3057" s="6">
        <v>9141</v>
      </c>
      <c r="F3057" t="str">
        <f t="shared" si="1288"/>
        <v>MON</v>
      </c>
      <c r="G3057" s="1">
        <f t="shared" si="1289"/>
        <v>44032</v>
      </c>
      <c r="H3057" s="2">
        <f t="shared" ca="1" si="1290"/>
        <v>221</v>
      </c>
      <c r="I3057" t="str">
        <f t="shared" si="1291"/>
        <v>NYXBT</v>
      </c>
      <c r="J3057">
        <f t="shared" si="1292"/>
        <v>8923</v>
      </c>
      <c r="K3057">
        <f t="shared" si="1293"/>
        <v>9451</v>
      </c>
      <c r="L3057">
        <f t="shared" si="1294"/>
        <v>9187</v>
      </c>
      <c r="M3057">
        <f t="shared" si="1295"/>
        <v>264</v>
      </c>
      <c r="N3057">
        <f t="shared" si="1284"/>
        <v>528</v>
      </c>
      <c r="O3057">
        <f t="shared" si="1296"/>
        <v>9141</v>
      </c>
      <c r="P3057">
        <f t="shared" si="1297"/>
        <v>-0.17424242424242425</v>
      </c>
      <c r="Q3057" t="str">
        <f t="shared" si="1285"/>
        <v>2.38% | 3.39%</v>
      </c>
      <c r="R3057" t="str">
        <f t="shared" si="1298"/>
        <v>BULLISH</v>
      </c>
      <c r="S3057">
        <f t="shared" si="1286"/>
        <v>1</v>
      </c>
    </row>
    <row r="3058" spans="1:19" hidden="1" x14ac:dyDescent="0.25">
      <c r="A3058" s="5" t="str">
        <f t="shared" si="1287"/>
        <v>44033UST10Y</v>
      </c>
      <c r="B3058" s="6" t="s">
        <v>4</v>
      </c>
      <c r="C3058" s="6">
        <v>0.67</v>
      </c>
      <c r="D3058" s="6">
        <v>0.59</v>
      </c>
      <c r="E3058" s="6">
        <v>0.62</v>
      </c>
      <c r="F3058" t="str">
        <f t="shared" si="1288"/>
        <v>TUE</v>
      </c>
      <c r="G3058" s="3">
        <f>DATE(2020,7,21)</f>
        <v>44033</v>
      </c>
      <c r="H3058" s="2">
        <f t="shared" ca="1" si="1290"/>
        <v>220</v>
      </c>
      <c r="I3058" t="str">
        <f t="shared" si="1291"/>
        <v>UST10Y</v>
      </c>
      <c r="J3058">
        <f t="shared" si="1292"/>
        <v>0.67</v>
      </c>
      <c r="K3058">
        <f t="shared" si="1293"/>
        <v>0.59</v>
      </c>
      <c r="L3058">
        <f t="shared" si="1294"/>
        <v>0.63</v>
      </c>
      <c r="M3058">
        <f t="shared" si="1295"/>
        <v>4.0000000000000036E-2</v>
      </c>
      <c r="N3058">
        <f t="shared" si="1284"/>
        <v>8.0000000000000071E-2</v>
      </c>
      <c r="O3058">
        <f t="shared" si="1296"/>
        <v>0.62</v>
      </c>
      <c r="P3058">
        <f t="shared" si="1297"/>
        <v>-0.25</v>
      </c>
      <c r="Q3058" t="str">
        <f t="shared" si="1285"/>
        <v>8.06% | 4.84%</v>
      </c>
      <c r="R3058" t="str">
        <f t="shared" si="1298"/>
        <v>BEARISH</v>
      </c>
      <c r="S3058">
        <f t="shared" si="1286"/>
        <v>-1</v>
      </c>
    </row>
    <row r="3059" spans="1:19" hidden="1" x14ac:dyDescent="0.25">
      <c r="A3059" s="5" t="str">
        <f t="shared" si="1287"/>
        <v>44033UST2Y</v>
      </c>
      <c r="B3059" s="6" t="s">
        <v>5</v>
      </c>
      <c r="C3059" s="6">
        <v>0.17</v>
      </c>
      <c r="D3059" s="6">
        <v>0.13</v>
      </c>
      <c r="E3059" s="6">
        <v>0.16</v>
      </c>
      <c r="F3059" t="str">
        <f t="shared" ref="F3059:F3088" si="1299">UPPER(TEXT(G3059,"ddd"))</f>
        <v>TUE</v>
      </c>
      <c r="G3059" s="3">
        <f t="shared" ref="G3059:G3087" si="1300">DATE(2020,7,21)</f>
        <v>44033</v>
      </c>
      <c r="H3059" s="2">
        <f t="shared" ref="H3059:H3088" ca="1" si="1301">TODAY()-G3059</f>
        <v>220</v>
      </c>
      <c r="I3059" t="str">
        <f t="shared" ref="I3059:I3088" si="1302">TRIM(LEFT(B3059,FIND(" ",B3059,1)))</f>
        <v>UST2Y</v>
      </c>
      <c r="J3059">
        <f t="shared" ref="J3059:J3088" si="1303">C3059</f>
        <v>0.17</v>
      </c>
      <c r="K3059">
        <f t="shared" ref="K3059:K3088" si="1304">D3059</f>
        <v>0.13</v>
      </c>
      <c r="L3059">
        <f t="shared" ref="L3059:L3088" si="1305">AVERAGE(J3059:K3059)</f>
        <v>0.15000000000000002</v>
      </c>
      <c r="M3059">
        <f t="shared" ref="M3059:M3088" si="1306">_xlfn.STDEV.P(J3059:K3059)</f>
        <v>1.9999999999999938E-2</v>
      </c>
      <c r="N3059">
        <f t="shared" si="1284"/>
        <v>4.0000000000000008E-2</v>
      </c>
      <c r="O3059">
        <f t="shared" ref="O3059:O3088" si="1307">E3059</f>
        <v>0.16</v>
      </c>
      <c r="P3059">
        <f t="shared" ref="P3059:P3088" si="1308">(O3059-L3059)/M3059</f>
        <v>0.50000000000000056</v>
      </c>
      <c r="Q3059" t="str">
        <f t="shared" si="1285"/>
        <v>6.25% | 18.75%</v>
      </c>
      <c r="R3059" t="str">
        <f t="shared" ref="R3059:R3088" si="1309">MID(B3059,FIND("(",B3059,1)+1,FIND(")",B3059,1)-FIND("(",B3059,1)-1)</f>
        <v>BEARISH</v>
      </c>
      <c r="S3059">
        <f t="shared" si="1286"/>
        <v>-1</v>
      </c>
    </row>
    <row r="3060" spans="1:19" hidden="1" x14ac:dyDescent="0.25">
      <c r="A3060" s="5" t="str">
        <f t="shared" si="1287"/>
        <v>44033SPX</v>
      </c>
      <c r="B3060" s="6" t="s">
        <v>160</v>
      </c>
      <c r="C3060" s="6">
        <v>3131</v>
      </c>
      <c r="D3060" s="6">
        <v>3274</v>
      </c>
      <c r="E3060" s="6">
        <v>3251</v>
      </c>
      <c r="F3060" t="str">
        <f t="shared" si="1299"/>
        <v>TUE</v>
      </c>
      <c r="G3060" s="3">
        <f t="shared" si="1300"/>
        <v>44033</v>
      </c>
      <c r="H3060" s="2">
        <f t="shared" ca="1" si="1301"/>
        <v>220</v>
      </c>
      <c r="I3060" t="str">
        <f t="shared" si="1302"/>
        <v>SPX</v>
      </c>
      <c r="J3060">
        <f t="shared" si="1303"/>
        <v>3131</v>
      </c>
      <c r="K3060">
        <f t="shared" si="1304"/>
        <v>3274</v>
      </c>
      <c r="L3060">
        <f t="shared" si="1305"/>
        <v>3202.5</v>
      </c>
      <c r="M3060">
        <f t="shared" si="1306"/>
        <v>71.5</v>
      </c>
      <c r="N3060">
        <f t="shared" si="1284"/>
        <v>143</v>
      </c>
      <c r="O3060">
        <f t="shared" si="1307"/>
        <v>3251</v>
      </c>
      <c r="P3060">
        <f t="shared" si="1308"/>
        <v>0.67832167832167833</v>
      </c>
      <c r="Q3060" t="str">
        <f t="shared" si="1285"/>
        <v>3.69% | 0.71%</v>
      </c>
      <c r="R3060" t="str">
        <f t="shared" si="1309"/>
        <v>bullish</v>
      </c>
      <c r="S3060">
        <f t="shared" si="1286"/>
        <v>1</v>
      </c>
    </row>
    <row r="3061" spans="1:19" hidden="1" x14ac:dyDescent="0.25">
      <c r="A3061" s="5" t="str">
        <f t="shared" si="1287"/>
        <v>44033RUT</v>
      </c>
      <c r="B3061" s="6" t="s">
        <v>7</v>
      </c>
      <c r="C3061" s="6">
        <v>1373</v>
      </c>
      <c r="D3061" s="6">
        <v>1501</v>
      </c>
      <c r="E3061" s="6">
        <v>1467</v>
      </c>
      <c r="F3061" t="str">
        <f t="shared" si="1299"/>
        <v>TUE</v>
      </c>
      <c r="G3061" s="3">
        <f t="shared" si="1300"/>
        <v>44033</v>
      </c>
      <c r="H3061" s="2">
        <f t="shared" ca="1" si="1301"/>
        <v>220</v>
      </c>
      <c r="I3061" t="str">
        <f t="shared" si="1302"/>
        <v>RUT</v>
      </c>
      <c r="J3061">
        <f t="shared" si="1303"/>
        <v>1373</v>
      </c>
      <c r="K3061">
        <f t="shared" si="1304"/>
        <v>1501</v>
      </c>
      <c r="L3061">
        <f t="shared" si="1305"/>
        <v>1437</v>
      </c>
      <c r="M3061">
        <f t="shared" si="1306"/>
        <v>64</v>
      </c>
      <c r="N3061">
        <f t="shared" si="1284"/>
        <v>128</v>
      </c>
      <c r="O3061">
        <f t="shared" si="1307"/>
        <v>1467</v>
      </c>
      <c r="P3061">
        <f t="shared" si="1308"/>
        <v>0.46875</v>
      </c>
      <c r="Q3061" t="str">
        <f t="shared" si="1285"/>
        <v>6.41% | 2.32%</v>
      </c>
      <c r="R3061" t="str">
        <f t="shared" si="1309"/>
        <v>BEARISH</v>
      </c>
      <c r="S3061">
        <f t="shared" si="1286"/>
        <v>-1</v>
      </c>
    </row>
    <row r="3062" spans="1:19" hidden="1" x14ac:dyDescent="0.25">
      <c r="A3062" s="5" t="str">
        <f t="shared" si="1287"/>
        <v>44033COMPQ</v>
      </c>
      <c r="B3062" s="6" t="s">
        <v>8</v>
      </c>
      <c r="C3062" s="6">
        <v>10335</v>
      </c>
      <c r="D3062" s="6">
        <v>10855</v>
      </c>
      <c r="E3062" s="6">
        <v>10767</v>
      </c>
      <c r="F3062" t="str">
        <f t="shared" si="1299"/>
        <v>TUE</v>
      </c>
      <c r="G3062" s="3">
        <f t="shared" si="1300"/>
        <v>44033</v>
      </c>
      <c r="H3062" s="2">
        <f t="shared" ca="1" si="1301"/>
        <v>220</v>
      </c>
      <c r="I3062" t="str">
        <f t="shared" si="1302"/>
        <v>COMPQ</v>
      </c>
      <c r="J3062">
        <f t="shared" si="1303"/>
        <v>10335</v>
      </c>
      <c r="K3062">
        <f t="shared" si="1304"/>
        <v>10855</v>
      </c>
      <c r="L3062">
        <f t="shared" si="1305"/>
        <v>10595</v>
      </c>
      <c r="M3062">
        <f t="shared" si="1306"/>
        <v>260</v>
      </c>
      <c r="N3062">
        <f t="shared" si="1284"/>
        <v>520</v>
      </c>
      <c r="O3062">
        <f t="shared" si="1307"/>
        <v>10767</v>
      </c>
      <c r="P3062">
        <f t="shared" si="1308"/>
        <v>0.66153846153846152</v>
      </c>
      <c r="Q3062" t="str">
        <f t="shared" si="1285"/>
        <v>4.01% | 0.82%</v>
      </c>
      <c r="R3062" t="str">
        <f t="shared" si="1309"/>
        <v>BULLISH</v>
      </c>
      <c r="S3062">
        <f t="shared" si="1286"/>
        <v>1</v>
      </c>
    </row>
    <row r="3063" spans="1:19" hidden="1" x14ac:dyDescent="0.25">
      <c r="A3063" s="5" t="str">
        <f t="shared" si="1287"/>
        <v>44033XLK</v>
      </c>
      <c r="B3063" s="6" t="s">
        <v>10</v>
      </c>
      <c r="C3063" s="6">
        <v>105.07</v>
      </c>
      <c r="D3063" s="6">
        <v>110.55</v>
      </c>
      <c r="E3063" s="6">
        <v>109.56</v>
      </c>
      <c r="F3063" t="str">
        <f t="shared" si="1299"/>
        <v>TUE</v>
      </c>
      <c r="G3063" s="3">
        <f t="shared" si="1300"/>
        <v>44033</v>
      </c>
      <c r="H3063" s="2">
        <f t="shared" ca="1" si="1301"/>
        <v>220</v>
      </c>
      <c r="I3063" t="str">
        <f t="shared" si="1302"/>
        <v>XLK</v>
      </c>
      <c r="J3063">
        <f t="shared" si="1303"/>
        <v>105.07</v>
      </c>
      <c r="K3063">
        <f t="shared" si="1304"/>
        <v>110.55</v>
      </c>
      <c r="L3063">
        <f t="shared" si="1305"/>
        <v>107.81</v>
      </c>
      <c r="M3063">
        <f t="shared" si="1306"/>
        <v>2.740000000000002</v>
      </c>
      <c r="N3063">
        <f t="shared" si="1284"/>
        <v>5.480000000000004</v>
      </c>
      <c r="O3063">
        <f t="shared" si="1307"/>
        <v>109.56</v>
      </c>
      <c r="P3063">
        <f t="shared" si="1308"/>
        <v>0.63868613138686081</v>
      </c>
      <c r="Q3063" t="str">
        <f t="shared" si="1285"/>
        <v>4.1% | 0.9%</v>
      </c>
      <c r="R3063" t="str">
        <f t="shared" si="1309"/>
        <v>BULLISH</v>
      </c>
      <c r="S3063">
        <f t="shared" si="1286"/>
        <v>1</v>
      </c>
    </row>
    <row r="3064" spans="1:19" hidden="1" x14ac:dyDescent="0.25">
      <c r="A3064" s="5" t="str">
        <f t="shared" si="1287"/>
        <v>44033XLRE</v>
      </c>
      <c r="B3064" s="6" t="s">
        <v>97</v>
      </c>
      <c r="C3064" s="6">
        <v>34.31</v>
      </c>
      <c r="D3064" s="6">
        <v>35.5</v>
      </c>
      <c r="E3064" s="6">
        <v>34.69</v>
      </c>
      <c r="F3064" t="str">
        <f t="shared" si="1299"/>
        <v>TUE</v>
      </c>
      <c r="G3064" s="3">
        <f t="shared" si="1300"/>
        <v>44033</v>
      </c>
      <c r="H3064" s="2">
        <f t="shared" ca="1" si="1301"/>
        <v>220</v>
      </c>
      <c r="I3064" t="str">
        <f t="shared" si="1302"/>
        <v>XLRE</v>
      </c>
      <c r="J3064">
        <f t="shared" si="1303"/>
        <v>34.31</v>
      </c>
      <c r="K3064">
        <f t="shared" si="1304"/>
        <v>35.5</v>
      </c>
      <c r="L3064">
        <f t="shared" si="1305"/>
        <v>34.905000000000001</v>
      </c>
      <c r="M3064">
        <f t="shared" si="1306"/>
        <v>0.59499999999999886</v>
      </c>
      <c r="N3064">
        <f t="shared" si="1284"/>
        <v>1.1899999999999977</v>
      </c>
      <c r="O3064">
        <f t="shared" si="1307"/>
        <v>34.69</v>
      </c>
      <c r="P3064">
        <f t="shared" si="1308"/>
        <v>-0.36134453781513248</v>
      </c>
      <c r="Q3064" t="str">
        <f t="shared" si="1285"/>
        <v>1.1% | 2.33%</v>
      </c>
      <c r="R3064" t="str">
        <f t="shared" si="1309"/>
        <v>BULLISH</v>
      </c>
      <c r="S3064">
        <f t="shared" si="1286"/>
        <v>1</v>
      </c>
    </row>
    <row r="3065" spans="1:19" hidden="1" x14ac:dyDescent="0.25">
      <c r="A3065" s="5" t="str">
        <f t="shared" si="1287"/>
        <v>44033XLU</v>
      </c>
      <c r="B3065" s="6" t="s">
        <v>52</v>
      </c>
      <c r="C3065" s="6">
        <v>56.41</v>
      </c>
      <c r="D3065" s="6">
        <v>60.41</v>
      </c>
      <c r="E3065" s="6">
        <v>59.42</v>
      </c>
      <c r="F3065" t="str">
        <f t="shared" si="1299"/>
        <v>TUE</v>
      </c>
      <c r="G3065" s="3">
        <f t="shared" si="1300"/>
        <v>44033</v>
      </c>
      <c r="H3065" s="2">
        <f t="shared" ca="1" si="1301"/>
        <v>220</v>
      </c>
      <c r="I3065" t="str">
        <f t="shared" si="1302"/>
        <v>XLU</v>
      </c>
      <c r="J3065">
        <f t="shared" si="1303"/>
        <v>56.41</v>
      </c>
      <c r="K3065">
        <f t="shared" si="1304"/>
        <v>60.41</v>
      </c>
      <c r="L3065">
        <f t="shared" si="1305"/>
        <v>58.41</v>
      </c>
      <c r="M3065">
        <f t="shared" si="1306"/>
        <v>2</v>
      </c>
      <c r="N3065">
        <f t="shared" si="1284"/>
        <v>4</v>
      </c>
      <c r="O3065">
        <f t="shared" si="1307"/>
        <v>59.42</v>
      </c>
      <c r="P3065">
        <f t="shared" si="1308"/>
        <v>0.50500000000000256</v>
      </c>
      <c r="Q3065" t="str">
        <f t="shared" si="1285"/>
        <v>5.07% | 1.67%</v>
      </c>
      <c r="R3065" t="str">
        <f t="shared" si="1309"/>
        <v>BULLISH</v>
      </c>
      <c r="S3065">
        <f t="shared" si="1286"/>
        <v>1</v>
      </c>
    </row>
    <row r="3066" spans="1:19" hidden="1" x14ac:dyDescent="0.25">
      <c r="A3066" s="5" t="str">
        <f t="shared" si="1287"/>
        <v>44033XLF</v>
      </c>
      <c r="B3066" s="6" t="s">
        <v>12</v>
      </c>
      <c r="C3066" s="6">
        <v>22.32</v>
      </c>
      <c r="D3066" s="6">
        <v>24.63</v>
      </c>
      <c r="E3066" s="6">
        <v>23.84</v>
      </c>
      <c r="F3066" t="str">
        <f t="shared" si="1299"/>
        <v>TUE</v>
      </c>
      <c r="G3066" s="3">
        <f t="shared" si="1300"/>
        <v>44033</v>
      </c>
      <c r="H3066" s="2">
        <f t="shared" ca="1" si="1301"/>
        <v>220</v>
      </c>
      <c r="I3066" t="str">
        <f t="shared" si="1302"/>
        <v>XLF</v>
      </c>
      <c r="J3066">
        <f t="shared" si="1303"/>
        <v>22.32</v>
      </c>
      <c r="K3066">
        <f t="shared" si="1304"/>
        <v>24.63</v>
      </c>
      <c r="L3066">
        <f t="shared" si="1305"/>
        <v>23.475000000000001</v>
      </c>
      <c r="M3066">
        <f t="shared" si="1306"/>
        <v>1.1549999999999994</v>
      </c>
      <c r="N3066">
        <f t="shared" si="1284"/>
        <v>2.3099999999999987</v>
      </c>
      <c r="O3066">
        <f t="shared" si="1307"/>
        <v>23.84</v>
      </c>
      <c r="P3066">
        <f t="shared" si="1308"/>
        <v>0.31601731601731486</v>
      </c>
      <c r="Q3066" t="str">
        <f t="shared" si="1285"/>
        <v>6.38% | 3.31%</v>
      </c>
      <c r="R3066" t="str">
        <f t="shared" si="1309"/>
        <v>BEARISH</v>
      </c>
      <c r="S3066">
        <f t="shared" si="1286"/>
        <v>-1</v>
      </c>
    </row>
    <row r="3067" spans="1:19" hidden="1" x14ac:dyDescent="0.25">
      <c r="A3067" s="5" t="str">
        <f t="shared" si="1287"/>
        <v>44033SSEC</v>
      </c>
      <c r="B3067" s="6" t="s">
        <v>104</v>
      </c>
      <c r="C3067" s="6">
        <v>3184</v>
      </c>
      <c r="D3067" s="6">
        <v>3529</v>
      </c>
      <c r="E3067" s="6">
        <v>3320</v>
      </c>
      <c r="F3067" t="str">
        <f t="shared" si="1299"/>
        <v>TUE</v>
      </c>
      <c r="G3067" s="3">
        <f t="shared" si="1300"/>
        <v>44033</v>
      </c>
      <c r="H3067" s="2">
        <f t="shared" ca="1" si="1301"/>
        <v>220</v>
      </c>
      <c r="I3067" t="str">
        <f t="shared" si="1302"/>
        <v>SSEC</v>
      </c>
      <c r="J3067">
        <f t="shared" si="1303"/>
        <v>3184</v>
      </c>
      <c r="K3067">
        <f t="shared" si="1304"/>
        <v>3529</v>
      </c>
      <c r="L3067">
        <f t="shared" si="1305"/>
        <v>3356.5</v>
      </c>
      <c r="M3067">
        <f t="shared" si="1306"/>
        <v>172.5</v>
      </c>
      <c r="N3067">
        <f t="shared" si="1284"/>
        <v>345</v>
      </c>
      <c r="O3067">
        <f t="shared" si="1307"/>
        <v>3320</v>
      </c>
      <c r="P3067">
        <f t="shared" si="1308"/>
        <v>-0.21159420289855072</v>
      </c>
      <c r="Q3067" t="str">
        <f t="shared" si="1285"/>
        <v>4.1% | 6.3%</v>
      </c>
      <c r="R3067" t="str">
        <f t="shared" si="1309"/>
        <v>BULLISH</v>
      </c>
      <c r="S3067">
        <f t="shared" si="1286"/>
        <v>1</v>
      </c>
    </row>
    <row r="3068" spans="1:19" hidden="1" x14ac:dyDescent="0.25">
      <c r="A3068" s="5" t="str">
        <f t="shared" si="1287"/>
        <v>44033NIKK</v>
      </c>
      <c r="B3068" s="6" t="s">
        <v>90</v>
      </c>
      <c r="C3068" s="6">
        <v>22270</v>
      </c>
      <c r="D3068" s="6">
        <v>23017</v>
      </c>
      <c r="E3068" s="6">
        <v>22884</v>
      </c>
      <c r="F3068" t="str">
        <f t="shared" si="1299"/>
        <v>TUE</v>
      </c>
      <c r="G3068" s="3">
        <f t="shared" si="1300"/>
        <v>44033</v>
      </c>
      <c r="H3068" s="2">
        <f t="shared" ca="1" si="1301"/>
        <v>220</v>
      </c>
      <c r="I3068" t="str">
        <f t="shared" si="1302"/>
        <v>NIKK</v>
      </c>
      <c r="J3068">
        <f t="shared" si="1303"/>
        <v>22270</v>
      </c>
      <c r="K3068">
        <f t="shared" si="1304"/>
        <v>23017</v>
      </c>
      <c r="L3068">
        <f t="shared" si="1305"/>
        <v>22643.5</v>
      </c>
      <c r="M3068">
        <f t="shared" si="1306"/>
        <v>373.5</v>
      </c>
      <c r="N3068">
        <f t="shared" si="1284"/>
        <v>747</v>
      </c>
      <c r="O3068">
        <f t="shared" si="1307"/>
        <v>22884</v>
      </c>
      <c r="P3068">
        <f t="shared" si="1308"/>
        <v>0.64390896921017404</v>
      </c>
      <c r="Q3068" t="str">
        <f t="shared" si="1285"/>
        <v>2.68% | 0.58%</v>
      </c>
      <c r="R3068" t="str">
        <f t="shared" si="1309"/>
        <v>NEUTRAL</v>
      </c>
      <c r="S3068">
        <f t="shared" si="1286"/>
        <v>0</v>
      </c>
    </row>
    <row r="3069" spans="1:19" hidden="1" x14ac:dyDescent="0.25">
      <c r="A3069" s="5" t="str">
        <f t="shared" si="1287"/>
        <v>44033DAX</v>
      </c>
      <c r="B3069" s="6" t="s">
        <v>98</v>
      </c>
      <c r="C3069" s="6">
        <v>12480</v>
      </c>
      <c r="D3069" s="6">
        <v>13351</v>
      </c>
      <c r="E3069" s="6">
        <v>13046</v>
      </c>
      <c r="F3069" t="str">
        <f t="shared" si="1299"/>
        <v>TUE</v>
      </c>
      <c r="G3069" s="3">
        <f t="shared" si="1300"/>
        <v>44033</v>
      </c>
      <c r="H3069" s="2">
        <f t="shared" ca="1" si="1301"/>
        <v>220</v>
      </c>
      <c r="I3069" t="str">
        <f t="shared" si="1302"/>
        <v>DAX</v>
      </c>
      <c r="J3069">
        <f t="shared" si="1303"/>
        <v>12480</v>
      </c>
      <c r="K3069">
        <f t="shared" si="1304"/>
        <v>13351</v>
      </c>
      <c r="L3069">
        <f t="shared" si="1305"/>
        <v>12915.5</v>
      </c>
      <c r="M3069">
        <f t="shared" si="1306"/>
        <v>435.5</v>
      </c>
      <c r="N3069">
        <f t="shared" si="1284"/>
        <v>871</v>
      </c>
      <c r="O3069">
        <f t="shared" si="1307"/>
        <v>13046</v>
      </c>
      <c r="P3069">
        <f t="shared" si="1308"/>
        <v>0.29965556831228474</v>
      </c>
      <c r="Q3069" t="str">
        <f t="shared" si="1285"/>
        <v>4.34% | 2.34%</v>
      </c>
      <c r="R3069" t="str">
        <f t="shared" si="1309"/>
        <v>BULLISH</v>
      </c>
      <c r="S3069">
        <f t="shared" si="1286"/>
        <v>1</v>
      </c>
    </row>
    <row r="3070" spans="1:19" hidden="1" x14ac:dyDescent="0.25">
      <c r="A3070" s="5" t="str">
        <f t="shared" si="1287"/>
        <v>44033VIX</v>
      </c>
      <c r="B3070" s="6" t="s">
        <v>96</v>
      </c>
      <c r="C3070" s="6">
        <v>23.61</v>
      </c>
      <c r="D3070" s="6">
        <v>32.44</v>
      </c>
      <c r="E3070" s="6">
        <v>24.46</v>
      </c>
      <c r="F3070" t="str">
        <f t="shared" si="1299"/>
        <v>TUE</v>
      </c>
      <c r="G3070" s="3">
        <f t="shared" si="1300"/>
        <v>44033</v>
      </c>
      <c r="H3070" s="2">
        <f t="shared" ca="1" si="1301"/>
        <v>220</v>
      </c>
      <c r="I3070" t="str">
        <f t="shared" si="1302"/>
        <v>VIX</v>
      </c>
      <c r="J3070">
        <f t="shared" si="1303"/>
        <v>23.61</v>
      </c>
      <c r="K3070">
        <f t="shared" si="1304"/>
        <v>32.44</v>
      </c>
      <c r="L3070">
        <f t="shared" si="1305"/>
        <v>28.024999999999999</v>
      </c>
      <c r="M3070">
        <f t="shared" si="1306"/>
        <v>4.4150000000000089</v>
      </c>
      <c r="N3070">
        <f t="shared" si="1284"/>
        <v>8.8299999999999983</v>
      </c>
      <c r="O3070">
        <f t="shared" si="1307"/>
        <v>24.46</v>
      </c>
      <c r="P3070">
        <f t="shared" si="1308"/>
        <v>-0.80747451868629461</v>
      </c>
      <c r="Q3070" t="str">
        <f t="shared" si="1285"/>
        <v>3.48% | 32.62%</v>
      </c>
      <c r="R3070" t="str">
        <f t="shared" si="1309"/>
        <v>BEARISH</v>
      </c>
      <c r="S3070">
        <f t="shared" si="1286"/>
        <v>-1</v>
      </c>
    </row>
    <row r="3071" spans="1:19" hidden="1" x14ac:dyDescent="0.25">
      <c r="A3071" s="5" t="str">
        <f t="shared" si="1287"/>
        <v>44033USD</v>
      </c>
      <c r="B3071" s="6" t="s">
        <v>94</v>
      </c>
      <c r="C3071" s="6">
        <v>95.6</v>
      </c>
      <c r="D3071" s="6">
        <v>96.84</v>
      </c>
      <c r="E3071" s="6">
        <v>95.76</v>
      </c>
      <c r="F3071" t="str">
        <f t="shared" si="1299"/>
        <v>TUE</v>
      </c>
      <c r="G3071" s="3">
        <f t="shared" si="1300"/>
        <v>44033</v>
      </c>
      <c r="H3071" s="2">
        <f t="shared" ca="1" si="1301"/>
        <v>220</v>
      </c>
      <c r="I3071" t="str">
        <f t="shared" si="1302"/>
        <v>USD</v>
      </c>
      <c r="J3071">
        <f t="shared" si="1303"/>
        <v>95.6</v>
      </c>
      <c r="K3071">
        <f t="shared" si="1304"/>
        <v>96.84</v>
      </c>
      <c r="L3071">
        <f t="shared" si="1305"/>
        <v>96.22</v>
      </c>
      <c r="M3071">
        <f t="shared" si="1306"/>
        <v>0.62000000000000455</v>
      </c>
      <c r="N3071">
        <f t="shared" si="1284"/>
        <v>1.2400000000000091</v>
      </c>
      <c r="O3071">
        <f t="shared" si="1307"/>
        <v>95.76</v>
      </c>
      <c r="P3071">
        <f t="shared" si="1308"/>
        <v>-0.74193548387095221</v>
      </c>
      <c r="Q3071" t="str">
        <f t="shared" si="1285"/>
        <v>0.17% | 1.13%</v>
      </c>
      <c r="R3071" t="str">
        <f t="shared" si="1309"/>
        <v>BEARISH</v>
      </c>
      <c r="S3071">
        <f t="shared" si="1286"/>
        <v>-1</v>
      </c>
    </row>
    <row r="3072" spans="1:19" hidden="1" x14ac:dyDescent="0.25">
      <c r="A3072" s="5" t="str">
        <f t="shared" si="1287"/>
        <v>44033EUR/USD</v>
      </c>
      <c r="B3072" s="6" t="s">
        <v>99</v>
      </c>
      <c r="C3072" s="6">
        <v>1.1200000000000001</v>
      </c>
      <c r="D3072" s="6">
        <v>1.1499999999999999</v>
      </c>
      <c r="E3072" s="6">
        <v>1.1399999999999999</v>
      </c>
      <c r="F3072" t="str">
        <f t="shared" si="1299"/>
        <v>TUE</v>
      </c>
      <c r="G3072" s="3">
        <f t="shared" si="1300"/>
        <v>44033</v>
      </c>
      <c r="H3072" s="2">
        <f t="shared" ca="1" si="1301"/>
        <v>220</v>
      </c>
      <c r="I3072" t="str">
        <f t="shared" si="1302"/>
        <v>EUR/USD</v>
      </c>
      <c r="J3072">
        <f t="shared" si="1303"/>
        <v>1.1200000000000001</v>
      </c>
      <c r="K3072">
        <f t="shared" si="1304"/>
        <v>1.1499999999999999</v>
      </c>
      <c r="L3072">
        <f t="shared" si="1305"/>
        <v>1.135</v>
      </c>
      <c r="M3072">
        <f t="shared" si="1306"/>
        <v>1.4999999999999902E-2</v>
      </c>
      <c r="N3072">
        <f t="shared" si="1284"/>
        <v>2.9999999999999805E-2</v>
      </c>
      <c r="O3072">
        <f t="shared" si="1307"/>
        <v>1.1399999999999999</v>
      </c>
      <c r="P3072">
        <f t="shared" si="1308"/>
        <v>0.33333333333332837</v>
      </c>
      <c r="Q3072" t="str">
        <f t="shared" si="1285"/>
        <v>1.75% | 0.88%</v>
      </c>
      <c r="R3072" t="str">
        <f t="shared" si="1309"/>
        <v>BULLISH</v>
      </c>
      <c r="S3072">
        <f t="shared" si="1286"/>
        <v>1</v>
      </c>
    </row>
    <row r="3073" spans="1:19" hidden="1" x14ac:dyDescent="0.25">
      <c r="A3073" s="5" t="str">
        <f t="shared" si="1287"/>
        <v>44033USD/JPY</v>
      </c>
      <c r="B3073" s="6" t="s">
        <v>20</v>
      </c>
      <c r="C3073" s="6">
        <v>106.7</v>
      </c>
      <c r="D3073" s="6">
        <v>107.62</v>
      </c>
      <c r="E3073" s="6">
        <v>107.29</v>
      </c>
      <c r="F3073" t="str">
        <f t="shared" si="1299"/>
        <v>TUE</v>
      </c>
      <c r="G3073" s="3">
        <f t="shared" si="1300"/>
        <v>44033</v>
      </c>
      <c r="H3073" s="2">
        <f t="shared" ca="1" si="1301"/>
        <v>220</v>
      </c>
      <c r="I3073" t="str">
        <f t="shared" si="1302"/>
        <v>USD/JPY</v>
      </c>
      <c r="J3073">
        <f t="shared" si="1303"/>
        <v>106.7</v>
      </c>
      <c r="K3073">
        <f t="shared" si="1304"/>
        <v>107.62</v>
      </c>
      <c r="L3073">
        <f t="shared" si="1305"/>
        <v>107.16</v>
      </c>
      <c r="M3073">
        <f t="shared" si="1306"/>
        <v>0.46000000000000085</v>
      </c>
      <c r="N3073">
        <f t="shared" si="1284"/>
        <v>0.92000000000000171</v>
      </c>
      <c r="O3073">
        <f t="shared" si="1307"/>
        <v>107.29</v>
      </c>
      <c r="P3073">
        <f t="shared" si="1308"/>
        <v>0.28260869565219437</v>
      </c>
      <c r="Q3073" t="str">
        <f t="shared" si="1285"/>
        <v>0.55% | 0.31%</v>
      </c>
      <c r="R3073" t="str">
        <f t="shared" si="1309"/>
        <v>BEARISH</v>
      </c>
      <c r="S3073">
        <f t="shared" si="1286"/>
        <v>-1</v>
      </c>
    </row>
    <row r="3074" spans="1:19" hidden="1" x14ac:dyDescent="0.25">
      <c r="A3074" s="5" t="str">
        <f t="shared" si="1287"/>
        <v>44033GBP/USD</v>
      </c>
      <c r="B3074" s="6" t="s">
        <v>102</v>
      </c>
      <c r="C3074" s="6">
        <v>1.24</v>
      </c>
      <c r="D3074" s="6">
        <v>1.27</v>
      </c>
      <c r="E3074" s="6">
        <v>1.26</v>
      </c>
      <c r="F3074" t="str">
        <f t="shared" si="1299"/>
        <v>TUE</v>
      </c>
      <c r="G3074" s="3">
        <f t="shared" si="1300"/>
        <v>44033</v>
      </c>
      <c r="H3074" s="2">
        <f t="shared" ca="1" si="1301"/>
        <v>220</v>
      </c>
      <c r="I3074" t="str">
        <f t="shared" si="1302"/>
        <v>GBP/USD</v>
      </c>
      <c r="J3074">
        <f t="shared" si="1303"/>
        <v>1.24</v>
      </c>
      <c r="K3074">
        <f t="shared" si="1304"/>
        <v>1.27</v>
      </c>
      <c r="L3074">
        <f t="shared" si="1305"/>
        <v>1.2549999999999999</v>
      </c>
      <c r="M3074">
        <f t="shared" si="1306"/>
        <v>1.5000000000000013E-2</v>
      </c>
      <c r="N3074">
        <f t="shared" si="1284"/>
        <v>3.0000000000000027E-2</v>
      </c>
      <c r="O3074">
        <f t="shared" si="1307"/>
        <v>1.26</v>
      </c>
      <c r="P3074">
        <f t="shared" si="1308"/>
        <v>0.33333333333334075</v>
      </c>
      <c r="Q3074" t="str">
        <f t="shared" si="1285"/>
        <v>1.59% | 0.79%</v>
      </c>
      <c r="R3074" t="str">
        <f t="shared" si="1309"/>
        <v>BULLISH</v>
      </c>
      <c r="S3074">
        <f t="shared" si="1286"/>
        <v>1</v>
      </c>
    </row>
    <row r="3075" spans="1:19" hidden="1" x14ac:dyDescent="0.25">
      <c r="A3075" s="5" t="str">
        <f t="shared" si="1287"/>
        <v>44033USD/CHF</v>
      </c>
      <c r="B3075" s="6" t="s">
        <v>76</v>
      </c>
      <c r="C3075" s="6">
        <v>0.93</v>
      </c>
      <c r="D3075" s="6">
        <v>0.95</v>
      </c>
      <c r="E3075" s="6">
        <v>0.93</v>
      </c>
      <c r="F3075" t="str">
        <f t="shared" si="1299"/>
        <v>TUE</v>
      </c>
      <c r="G3075" s="3">
        <f t="shared" si="1300"/>
        <v>44033</v>
      </c>
      <c r="H3075" s="2">
        <f t="shared" ca="1" si="1301"/>
        <v>220</v>
      </c>
      <c r="I3075" t="str">
        <f t="shared" si="1302"/>
        <v>USD/CHF</v>
      </c>
      <c r="J3075">
        <f t="shared" si="1303"/>
        <v>0.93</v>
      </c>
      <c r="K3075">
        <f t="shared" si="1304"/>
        <v>0.95</v>
      </c>
      <c r="L3075">
        <f t="shared" si="1305"/>
        <v>0.94</v>
      </c>
      <c r="M3075">
        <f t="shared" si="1306"/>
        <v>9.9999999999999534E-3</v>
      </c>
      <c r="N3075">
        <f t="shared" ref="N3075:N3138" si="1310">ABS(K3075-J3075)</f>
        <v>1.9999999999999907E-2</v>
      </c>
      <c r="O3075">
        <f t="shared" si="1307"/>
        <v>0.93</v>
      </c>
      <c r="P3075">
        <f t="shared" si="1308"/>
        <v>-0.99999999999999445</v>
      </c>
      <c r="Q3075" t="str">
        <f t="shared" ref="Q3075:Q3138" si="1311">ROUND(ABS(100*(O3075-J3075)/O3075),2)&amp;"% | "&amp;ROUND(ABS(100*(K3075-O3075)/O3075),2)&amp;"%"</f>
        <v>0% | 2.15%</v>
      </c>
      <c r="R3075" t="str">
        <f t="shared" si="1309"/>
        <v>BEARISH</v>
      </c>
      <c r="S3075">
        <f t="shared" ref="S3075:S3138" si="1312">IF(R3075="BEARISH",-1,IF(R3075="NEUTRAL",0,IF(R3075="BULLISH",1,99)))</f>
        <v>-1</v>
      </c>
    </row>
    <row r="3076" spans="1:19" hidden="1" x14ac:dyDescent="0.25">
      <c r="A3076" s="5" t="str">
        <f t="shared" ref="A3076:A3139" si="1313">G3076&amp;I3076</f>
        <v>44033WTIC</v>
      </c>
      <c r="B3076" s="6" t="s">
        <v>158</v>
      </c>
      <c r="C3076" s="6">
        <v>39.11</v>
      </c>
      <c r="D3076" s="6">
        <v>41.93</v>
      </c>
      <c r="E3076" s="6">
        <v>40.92</v>
      </c>
      <c r="F3076" t="str">
        <f t="shared" si="1299"/>
        <v>TUE</v>
      </c>
      <c r="G3076" s="3">
        <f t="shared" si="1300"/>
        <v>44033</v>
      </c>
      <c r="H3076" s="2">
        <f t="shared" ca="1" si="1301"/>
        <v>220</v>
      </c>
      <c r="I3076" t="str">
        <f t="shared" si="1302"/>
        <v>WTIC</v>
      </c>
      <c r="J3076">
        <f t="shared" si="1303"/>
        <v>39.11</v>
      </c>
      <c r="K3076">
        <f t="shared" si="1304"/>
        <v>41.93</v>
      </c>
      <c r="L3076">
        <f t="shared" si="1305"/>
        <v>40.519999999999996</v>
      </c>
      <c r="M3076">
        <f t="shared" si="1306"/>
        <v>1.4100000000000001</v>
      </c>
      <c r="N3076">
        <f t="shared" si="1310"/>
        <v>2.8200000000000003</v>
      </c>
      <c r="O3076">
        <f t="shared" si="1307"/>
        <v>40.92</v>
      </c>
      <c r="P3076">
        <f t="shared" si="1308"/>
        <v>0.28368794326241537</v>
      </c>
      <c r="Q3076" t="str">
        <f t="shared" si="1311"/>
        <v>4.42% | 2.47%</v>
      </c>
      <c r="R3076" t="str">
        <f t="shared" si="1309"/>
        <v>BULLISH</v>
      </c>
      <c r="S3076">
        <f t="shared" si="1312"/>
        <v>1</v>
      </c>
    </row>
    <row r="3077" spans="1:19" hidden="1" x14ac:dyDescent="0.25">
      <c r="A3077" s="5" t="str">
        <f t="shared" si="1313"/>
        <v>44033NATGAS</v>
      </c>
      <c r="B3077" s="6" t="s">
        <v>87</v>
      </c>
      <c r="C3077" s="6">
        <v>1.61</v>
      </c>
      <c r="D3077" s="6">
        <v>1.86</v>
      </c>
      <c r="E3077" s="6">
        <v>1.64</v>
      </c>
      <c r="F3077" t="str">
        <f t="shared" si="1299"/>
        <v>TUE</v>
      </c>
      <c r="G3077" s="3">
        <f t="shared" si="1300"/>
        <v>44033</v>
      </c>
      <c r="H3077" s="2">
        <f t="shared" ca="1" si="1301"/>
        <v>220</v>
      </c>
      <c r="I3077" t="str">
        <f t="shared" si="1302"/>
        <v>NATGAS</v>
      </c>
      <c r="J3077">
        <f t="shared" si="1303"/>
        <v>1.61</v>
      </c>
      <c r="K3077">
        <f t="shared" si="1304"/>
        <v>1.86</v>
      </c>
      <c r="L3077">
        <f t="shared" si="1305"/>
        <v>1.7350000000000001</v>
      </c>
      <c r="M3077">
        <f t="shared" si="1306"/>
        <v>0.125</v>
      </c>
      <c r="N3077">
        <f t="shared" si="1310"/>
        <v>0.25</v>
      </c>
      <c r="O3077">
        <f t="shared" si="1307"/>
        <v>1.64</v>
      </c>
      <c r="P3077">
        <f t="shared" si="1308"/>
        <v>-0.76000000000000156</v>
      </c>
      <c r="Q3077" t="str">
        <f t="shared" si="1311"/>
        <v>1.83% | 13.41%</v>
      </c>
      <c r="R3077" t="str">
        <f t="shared" si="1309"/>
        <v>NEUTRAL</v>
      </c>
      <c r="S3077">
        <f t="shared" si="1312"/>
        <v>0</v>
      </c>
    </row>
    <row r="3078" spans="1:19" hidden="1" x14ac:dyDescent="0.25">
      <c r="A3078" s="5" t="str">
        <f t="shared" si="1313"/>
        <v>44033GOLD</v>
      </c>
      <c r="B3078" s="6" t="s">
        <v>25</v>
      </c>
      <c r="C3078" s="6">
        <v>1796</v>
      </c>
      <c r="D3078" s="6">
        <v>1834</v>
      </c>
      <c r="E3078" s="6">
        <v>1817</v>
      </c>
      <c r="F3078" t="str">
        <f t="shared" si="1299"/>
        <v>TUE</v>
      </c>
      <c r="G3078" s="3">
        <f t="shared" si="1300"/>
        <v>44033</v>
      </c>
      <c r="H3078" s="2">
        <f t="shared" ca="1" si="1301"/>
        <v>220</v>
      </c>
      <c r="I3078" t="str">
        <f t="shared" si="1302"/>
        <v>GOLD</v>
      </c>
      <c r="J3078">
        <f t="shared" si="1303"/>
        <v>1796</v>
      </c>
      <c r="K3078">
        <f t="shared" si="1304"/>
        <v>1834</v>
      </c>
      <c r="L3078">
        <f t="shared" si="1305"/>
        <v>1815</v>
      </c>
      <c r="M3078">
        <f t="shared" si="1306"/>
        <v>19</v>
      </c>
      <c r="N3078">
        <f t="shared" si="1310"/>
        <v>38</v>
      </c>
      <c r="O3078">
        <f t="shared" si="1307"/>
        <v>1817</v>
      </c>
      <c r="P3078">
        <f t="shared" si="1308"/>
        <v>0.10526315789473684</v>
      </c>
      <c r="Q3078" t="str">
        <f t="shared" si="1311"/>
        <v>1.16% | 0.94%</v>
      </c>
      <c r="R3078" t="str">
        <f t="shared" si="1309"/>
        <v>BULLISH</v>
      </c>
      <c r="S3078">
        <f t="shared" si="1312"/>
        <v>1</v>
      </c>
    </row>
    <row r="3079" spans="1:19" hidden="1" x14ac:dyDescent="0.25">
      <c r="A3079" s="5" t="str">
        <f t="shared" si="1313"/>
        <v>44033COPPER</v>
      </c>
      <c r="B3079" s="6" t="s">
        <v>100</v>
      </c>
      <c r="C3079" s="6">
        <v>2.81</v>
      </c>
      <c r="D3079" s="6">
        <v>2.99</v>
      </c>
      <c r="E3079" s="6">
        <v>2.92</v>
      </c>
      <c r="F3079" t="str">
        <f t="shared" si="1299"/>
        <v>TUE</v>
      </c>
      <c r="G3079" s="3">
        <f t="shared" si="1300"/>
        <v>44033</v>
      </c>
      <c r="H3079" s="2">
        <f t="shared" ca="1" si="1301"/>
        <v>220</v>
      </c>
      <c r="I3079" t="str">
        <f t="shared" si="1302"/>
        <v>COPPER</v>
      </c>
      <c r="J3079">
        <f t="shared" si="1303"/>
        <v>2.81</v>
      </c>
      <c r="K3079">
        <f t="shared" si="1304"/>
        <v>2.99</v>
      </c>
      <c r="L3079">
        <f t="shared" si="1305"/>
        <v>2.9000000000000004</v>
      </c>
      <c r="M3079">
        <f t="shared" si="1306"/>
        <v>9.000000000000008E-2</v>
      </c>
      <c r="N3079">
        <f t="shared" si="1310"/>
        <v>0.18000000000000016</v>
      </c>
      <c r="O3079">
        <f t="shared" si="1307"/>
        <v>2.92</v>
      </c>
      <c r="P3079">
        <f t="shared" si="1308"/>
        <v>0.2222222222222173</v>
      </c>
      <c r="Q3079" t="str">
        <f t="shared" si="1311"/>
        <v>3.77% | 2.4%</v>
      </c>
      <c r="R3079" t="str">
        <f t="shared" si="1309"/>
        <v>BULLISH</v>
      </c>
      <c r="S3079">
        <f t="shared" si="1312"/>
        <v>1</v>
      </c>
    </row>
    <row r="3080" spans="1:19" hidden="1" x14ac:dyDescent="0.25">
      <c r="A3080" s="5" t="str">
        <f t="shared" si="1313"/>
        <v>44033MSFT</v>
      </c>
      <c r="B3080" s="6" t="s">
        <v>27</v>
      </c>
      <c r="C3080" s="6">
        <v>202</v>
      </c>
      <c r="D3080" s="6">
        <v>218</v>
      </c>
      <c r="E3080" s="6">
        <v>211</v>
      </c>
      <c r="F3080" t="str">
        <f t="shared" si="1299"/>
        <v>TUE</v>
      </c>
      <c r="G3080" s="3">
        <f t="shared" si="1300"/>
        <v>44033</v>
      </c>
      <c r="H3080" s="2">
        <f t="shared" ca="1" si="1301"/>
        <v>220</v>
      </c>
      <c r="I3080" t="str">
        <f t="shared" si="1302"/>
        <v>MSFT</v>
      </c>
      <c r="J3080">
        <f t="shared" si="1303"/>
        <v>202</v>
      </c>
      <c r="K3080">
        <f t="shared" si="1304"/>
        <v>218</v>
      </c>
      <c r="L3080">
        <f t="shared" si="1305"/>
        <v>210</v>
      </c>
      <c r="M3080">
        <f t="shared" si="1306"/>
        <v>8</v>
      </c>
      <c r="N3080">
        <f t="shared" si="1310"/>
        <v>16</v>
      </c>
      <c r="O3080">
        <f t="shared" si="1307"/>
        <v>211</v>
      </c>
      <c r="P3080">
        <f t="shared" si="1308"/>
        <v>0.125</v>
      </c>
      <c r="Q3080" t="str">
        <f t="shared" si="1311"/>
        <v>4.27% | 3.32%</v>
      </c>
      <c r="R3080" t="str">
        <f t="shared" si="1309"/>
        <v>BULLISH</v>
      </c>
      <c r="S3080">
        <f t="shared" si="1312"/>
        <v>1</v>
      </c>
    </row>
    <row r="3081" spans="1:19" hidden="1" x14ac:dyDescent="0.25">
      <c r="A3081" s="5" t="str">
        <f t="shared" si="1313"/>
        <v>44033AAPL</v>
      </c>
      <c r="B3081" s="6" t="s">
        <v>28</v>
      </c>
      <c r="C3081" s="6">
        <v>376</v>
      </c>
      <c r="D3081" s="6">
        <v>397</v>
      </c>
      <c r="E3081" s="6">
        <v>393</v>
      </c>
      <c r="F3081" t="str">
        <f t="shared" si="1299"/>
        <v>TUE</v>
      </c>
      <c r="G3081" s="3">
        <f t="shared" si="1300"/>
        <v>44033</v>
      </c>
      <c r="H3081" s="2">
        <f t="shared" ca="1" si="1301"/>
        <v>220</v>
      </c>
      <c r="I3081" t="str">
        <f t="shared" si="1302"/>
        <v>AAPL</v>
      </c>
      <c r="J3081">
        <f t="shared" si="1303"/>
        <v>376</v>
      </c>
      <c r="K3081">
        <f t="shared" si="1304"/>
        <v>397</v>
      </c>
      <c r="L3081">
        <f t="shared" si="1305"/>
        <v>386.5</v>
      </c>
      <c r="M3081">
        <f t="shared" si="1306"/>
        <v>10.5</v>
      </c>
      <c r="N3081">
        <f t="shared" si="1310"/>
        <v>21</v>
      </c>
      <c r="O3081">
        <f t="shared" si="1307"/>
        <v>393</v>
      </c>
      <c r="P3081">
        <f t="shared" si="1308"/>
        <v>0.61904761904761907</v>
      </c>
      <c r="Q3081" t="str">
        <f t="shared" si="1311"/>
        <v>4.33% | 1.02%</v>
      </c>
      <c r="R3081" t="str">
        <f t="shared" si="1309"/>
        <v>BULLISH</v>
      </c>
      <c r="S3081">
        <f t="shared" si="1312"/>
        <v>1</v>
      </c>
    </row>
    <row r="3082" spans="1:19" hidden="1" x14ac:dyDescent="0.25">
      <c r="A3082" s="5" t="str">
        <f t="shared" si="1313"/>
        <v>44033AMZN</v>
      </c>
      <c r="B3082" s="6" t="s">
        <v>29</v>
      </c>
      <c r="C3082" s="6">
        <v>2925</v>
      </c>
      <c r="D3082" s="6">
        <v>3265</v>
      </c>
      <c r="E3082" s="6">
        <v>3196</v>
      </c>
      <c r="F3082" t="str">
        <f t="shared" si="1299"/>
        <v>TUE</v>
      </c>
      <c r="G3082" s="3">
        <f t="shared" si="1300"/>
        <v>44033</v>
      </c>
      <c r="H3082" s="2">
        <f t="shared" ca="1" si="1301"/>
        <v>220</v>
      </c>
      <c r="I3082" t="str">
        <f t="shared" si="1302"/>
        <v>AMZN</v>
      </c>
      <c r="J3082">
        <f t="shared" si="1303"/>
        <v>2925</v>
      </c>
      <c r="K3082">
        <f t="shared" si="1304"/>
        <v>3265</v>
      </c>
      <c r="L3082">
        <f t="shared" si="1305"/>
        <v>3095</v>
      </c>
      <c r="M3082">
        <f t="shared" si="1306"/>
        <v>170</v>
      </c>
      <c r="N3082">
        <f t="shared" si="1310"/>
        <v>340</v>
      </c>
      <c r="O3082">
        <f t="shared" si="1307"/>
        <v>3196</v>
      </c>
      <c r="P3082">
        <f t="shared" si="1308"/>
        <v>0.59411764705882353</v>
      </c>
      <c r="Q3082" t="str">
        <f t="shared" si="1311"/>
        <v>8.48% | 2.16%</v>
      </c>
      <c r="R3082" t="str">
        <f t="shared" si="1309"/>
        <v>BULLISH</v>
      </c>
      <c r="S3082">
        <f t="shared" si="1312"/>
        <v>1</v>
      </c>
    </row>
    <row r="3083" spans="1:19" hidden="1" x14ac:dyDescent="0.25">
      <c r="A3083" s="5" t="str">
        <f t="shared" si="1313"/>
        <v>44033FB</v>
      </c>
      <c r="B3083" s="6" t="s">
        <v>30</v>
      </c>
      <c r="C3083" s="6">
        <v>236</v>
      </c>
      <c r="D3083" s="6">
        <v>250</v>
      </c>
      <c r="E3083" s="6">
        <v>245</v>
      </c>
      <c r="F3083" t="str">
        <f t="shared" si="1299"/>
        <v>TUE</v>
      </c>
      <c r="G3083" s="3">
        <f t="shared" si="1300"/>
        <v>44033</v>
      </c>
      <c r="H3083" s="2">
        <f t="shared" ca="1" si="1301"/>
        <v>220</v>
      </c>
      <c r="I3083" t="str">
        <f t="shared" si="1302"/>
        <v>FB</v>
      </c>
      <c r="J3083">
        <f t="shared" si="1303"/>
        <v>236</v>
      </c>
      <c r="K3083">
        <f t="shared" si="1304"/>
        <v>250</v>
      </c>
      <c r="L3083">
        <f t="shared" si="1305"/>
        <v>243</v>
      </c>
      <c r="M3083">
        <f t="shared" si="1306"/>
        <v>7</v>
      </c>
      <c r="N3083">
        <f t="shared" si="1310"/>
        <v>14</v>
      </c>
      <c r="O3083">
        <f t="shared" si="1307"/>
        <v>245</v>
      </c>
      <c r="P3083">
        <f t="shared" si="1308"/>
        <v>0.2857142857142857</v>
      </c>
      <c r="Q3083" t="str">
        <f t="shared" si="1311"/>
        <v>3.67% | 2.04%</v>
      </c>
      <c r="R3083" t="str">
        <f t="shared" si="1309"/>
        <v>BULLISH</v>
      </c>
      <c r="S3083">
        <f t="shared" si="1312"/>
        <v>1</v>
      </c>
    </row>
    <row r="3084" spans="1:19" hidden="1" x14ac:dyDescent="0.25">
      <c r="A3084" s="5" t="str">
        <f t="shared" si="1313"/>
        <v>44033GOOGL</v>
      </c>
      <c r="B3084" s="6" t="s">
        <v>31</v>
      </c>
      <c r="C3084" s="6">
        <v>1490</v>
      </c>
      <c r="D3084" s="6">
        <v>1576</v>
      </c>
      <c r="E3084" s="6">
        <v>1563</v>
      </c>
      <c r="F3084" t="str">
        <f t="shared" si="1299"/>
        <v>TUE</v>
      </c>
      <c r="G3084" s="3">
        <f t="shared" si="1300"/>
        <v>44033</v>
      </c>
      <c r="H3084" s="2">
        <f t="shared" ca="1" si="1301"/>
        <v>220</v>
      </c>
      <c r="I3084" t="str">
        <f t="shared" si="1302"/>
        <v>GOOGL</v>
      </c>
      <c r="J3084">
        <f t="shared" si="1303"/>
        <v>1490</v>
      </c>
      <c r="K3084">
        <f t="shared" si="1304"/>
        <v>1576</v>
      </c>
      <c r="L3084">
        <f t="shared" si="1305"/>
        <v>1533</v>
      </c>
      <c r="M3084">
        <f t="shared" si="1306"/>
        <v>43</v>
      </c>
      <c r="N3084">
        <f t="shared" si="1310"/>
        <v>86</v>
      </c>
      <c r="O3084">
        <f t="shared" si="1307"/>
        <v>1563</v>
      </c>
      <c r="P3084">
        <f t="shared" si="1308"/>
        <v>0.69767441860465118</v>
      </c>
      <c r="Q3084" t="str">
        <f t="shared" si="1311"/>
        <v>4.67% | 0.83%</v>
      </c>
      <c r="R3084" t="str">
        <f t="shared" si="1309"/>
        <v>BULLISH</v>
      </c>
      <c r="S3084">
        <f t="shared" si="1312"/>
        <v>1</v>
      </c>
    </row>
    <row r="3085" spans="1:19" hidden="1" x14ac:dyDescent="0.25">
      <c r="A3085" s="5" t="str">
        <f t="shared" si="1313"/>
        <v>44033NFLX</v>
      </c>
      <c r="B3085" s="6" t="s">
        <v>32</v>
      </c>
      <c r="C3085" s="6">
        <v>479</v>
      </c>
      <c r="D3085" s="6">
        <v>527</v>
      </c>
      <c r="E3085" s="6">
        <v>502</v>
      </c>
      <c r="F3085" t="str">
        <f t="shared" si="1299"/>
        <v>TUE</v>
      </c>
      <c r="G3085" s="3">
        <f t="shared" si="1300"/>
        <v>44033</v>
      </c>
      <c r="H3085" s="2">
        <f t="shared" ca="1" si="1301"/>
        <v>220</v>
      </c>
      <c r="I3085" t="str">
        <f t="shared" si="1302"/>
        <v>NFLX</v>
      </c>
      <c r="J3085">
        <f t="shared" si="1303"/>
        <v>479</v>
      </c>
      <c r="K3085">
        <f t="shared" si="1304"/>
        <v>527</v>
      </c>
      <c r="L3085">
        <f t="shared" si="1305"/>
        <v>503</v>
      </c>
      <c r="M3085">
        <f t="shared" si="1306"/>
        <v>24</v>
      </c>
      <c r="N3085">
        <f t="shared" si="1310"/>
        <v>48</v>
      </c>
      <c r="O3085">
        <f t="shared" si="1307"/>
        <v>502</v>
      </c>
      <c r="P3085">
        <f t="shared" si="1308"/>
        <v>-4.1666666666666664E-2</v>
      </c>
      <c r="Q3085" t="str">
        <f t="shared" si="1311"/>
        <v>4.58% | 4.98%</v>
      </c>
      <c r="R3085" t="str">
        <f t="shared" si="1309"/>
        <v>BULLISH</v>
      </c>
      <c r="S3085">
        <f t="shared" si="1312"/>
        <v>1</v>
      </c>
    </row>
    <row r="3086" spans="1:19" x14ac:dyDescent="0.25">
      <c r="A3086" s="5" t="str">
        <f t="shared" si="1313"/>
        <v>44033TSLA</v>
      </c>
      <c r="B3086" s="6" t="s">
        <v>33</v>
      </c>
      <c r="C3086" s="6">
        <v>1356</v>
      </c>
      <c r="D3086" s="6">
        <v>1685</v>
      </c>
      <c r="E3086" s="6">
        <v>1643</v>
      </c>
      <c r="F3086" t="str">
        <f t="shared" si="1299"/>
        <v>TUE</v>
      </c>
      <c r="G3086" s="3">
        <f t="shared" si="1300"/>
        <v>44033</v>
      </c>
      <c r="H3086" s="2">
        <f t="shared" ca="1" si="1301"/>
        <v>220</v>
      </c>
      <c r="I3086" t="str">
        <f t="shared" si="1302"/>
        <v>TSLA</v>
      </c>
      <c r="J3086">
        <f t="shared" si="1303"/>
        <v>1356</v>
      </c>
      <c r="K3086">
        <f t="shared" si="1304"/>
        <v>1685</v>
      </c>
      <c r="L3086">
        <f t="shared" si="1305"/>
        <v>1520.5</v>
      </c>
      <c r="M3086">
        <f t="shared" si="1306"/>
        <v>164.5</v>
      </c>
      <c r="N3086">
        <f t="shared" si="1310"/>
        <v>329</v>
      </c>
      <c r="O3086">
        <f t="shared" si="1307"/>
        <v>1643</v>
      </c>
      <c r="P3086">
        <f t="shared" si="1308"/>
        <v>0.74468085106382975</v>
      </c>
      <c r="Q3086" t="str">
        <f t="shared" si="1311"/>
        <v>17.47% | 2.56%</v>
      </c>
      <c r="R3086" t="str">
        <f t="shared" si="1309"/>
        <v>BULLISH</v>
      </c>
      <c r="S3086">
        <f t="shared" si="1312"/>
        <v>1</v>
      </c>
    </row>
    <row r="3087" spans="1:19" hidden="1" x14ac:dyDescent="0.25">
      <c r="A3087" s="5" t="str">
        <f t="shared" si="1313"/>
        <v>44033NYXBT</v>
      </c>
      <c r="B3087" s="6" t="s">
        <v>60</v>
      </c>
      <c r="C3087" s="6">
        <v>9030</v>
      </c>
      <c r="D3087" s="6">
        <v>9467</v>
      </c>
      <c r="E3087" s="6">
        <v>9173</v>
      </c>
      <c r="F3087" t="str">
        <f t="shared" si="1299"/>
        <v>TUE</v>
      </c>
      <c r="G3087" s="3">
        <f t="shared" si="1300"/>
        <v>44033</v>
      </c>
      <c r="H3087" s="2">
        <f t="shared" ca="1" si="1301"/>
        <v>220</v>
      </c>
      <c r="I3087" t="str">
        <f t="shared" si="1302"/>
        <v>NYXBT</v>
      </c>
      <c r="J3087">
        <f t="shared" si="1303"/>
        <v>9030</v>
      </c>
      <c r="K3087">
        <f t="shared" si="1304"/>
        <v>9467</v>
      </c>
      <c r="L3087">
        <f t="shared" si="1305"/>
        <v>9248.5</v>
      </c>
      <c r="M3087">
        <f t="shared" si="1306"/>
        <v>218.5</v>
      </c>
      <c r="N3087">
        <f t="shared" si="1310"/>
        <v>437</v>
      </c>
      <c r="O3087">
        <f t="shared" si="1307"/>
        <v>9173</v>
      </c>
      <c r="P3087">
        <f t="shared" si="1308"/>
        <v>-0.34553775743707094</v>
      </c>
      <c r="Q3087" t="str">
        <f t="shared" si="1311"/>
        <v>1.56% | 3.21%</v>
      </c>
      <c r="R3087" t="str">
        <f t="shared" si="1309"/>
        <v>BULLISH</v>
      </c>
      <c r="S3087">
        <f t="shared" si="1312"/>
        <v>1</v>
      </c>
    </row>
    <row r="3088" spans="1:19" hidden="1" x14ac:dyDescent="0.25">
      <c r="A3088" s="5" t="str">
        <f t="shared" si="1313"/>
        <v>44034UST10Y</v>
      </c>
      <c r="B3088" s="6" t="s">
        <v>4</v>
      </c>
      <c r="C3088" s="6">
        <v>0.66</v>
      </c>
      <c r="D3088" s="6">
        <v>0.57999999999999996</v>
      </c>
      <c r="E3088" s="6">
        <v>0.61</v>
      </c>
      <c r="F3088" t="str">
        <f t="shared" si="1299"/>
        <v>WED</v>
      </c>
      <c r="G3088" s="1">
        <f>DATE(2020,7,22)</f>
        <v>44034</v>
      </c>
      <c r="H3088" s="2">
        <f t="shared" ca="1" si="1301"/>
        <v>219</v>
      </c>
      <c r="I3088" t="str">
        <f t="shared" si="1302"/>
        <v>UST10Y</v>
      </c>
      <c r="J3088">
        <f t="shared" si="1303"/>
        <v>0.66</v>
      </c>
      <c r="K3088">
        <f t="shared" si="1304"/>
        <v>0.57999999999999996</v>
      </c>
      <c r="L3088">
        <f t="shared" si="1305"/>
        <v>0.62</v>
      </c>
      <c r="M3088">
        <f t="shared" si="1306"/>
        <v>4.0000000000000036E-2</v>
      </c>
      <c r="N3088">
        <f t="shared" si="1310"/>
        <v>8.0000000000000071E-2</v>
      </c>
      <c r="O3088">
        <f t="shared" si="1307"/>
        <v>0.61</v>
      </c>
      <c r="P3088">
        <f t="shared" si="1308"/>
        <v>-0.25</v>
      </c>
      <c r="Q3088" t="str">
        <f t="shared" si="1311"/>
        <v>8.2% | 4.92%</v>
      </c>
      <c r="R3088" t="str">
        <f t="shared" si="1309"/>
        <v>BEARISH</v>
      </c>
      <c r="S3088">
        <f t="shared" si="1312"/>
        <v>-1</v>
      </c>
    </row>
    <row r="3089" spans="1:19" hidden="1" x14ac:dyDescent="0.25">
      <c r="A3089" s="5" t="str">
        <f t="shared" si="1313"/>
        <v>44034UST2Y</v>
      </c>
      <c r="B3089" s="6" t="s">
        <v>5</v>
      </c>
      <c r="C3089" s="6">
        <v>0.16</v>
      </c>
      <c r="D3089" s="6">
        <v>0.12</v>
      </c>
      <c r="E3089" s="6">
        <v>0.14000000000000001</v>
      </c>
      <c r="F3089" t="str">
        <f t="shared" ref="F3089:F3118" si="1314">UPPER(TEXT(G3089,"ddd"))</f>
        <v>WED</v>
      </c>
      <c r="G3089" s="1">
        <f t="shared" ref="G3089:G3117" si="1315">DATE(2020,7,22)</f>
        <v>44034</v>
      </c>
      <c r="H3089" s="2">
        <f t="shared" ref="H3089:H3118" ca="1" si="1316">TODAY()-G3089</f>
        <v>219</v>
      </c>
      <c r="I3089" t="str">
        <f t="shared" ref="I3089:I3118" si="1317">TRIM(LEFT(B3089,FIND(" ",B3089,1)))</f>
        <v>UST2Y</v>
      </c>
      <c r="J3089">
        <f t="shared" ref="J3089:J3118" si="1318">C3089</f>
        <v>0.16</v>
      </c>
      <c r="K3089">
        <f t="shared" ref="K3089:K3118" si="1319">D3089</f>
        <v>0.12</v>
      </c>
      <c r="L3089">
        <f t="shared" ref="L3089:L3118" si="1320">AVERAGE(J3089:K3089)</f>
        <v>0.14000000000000001</v>
      </c>
      <c r="M3089">
        <f t="shared" ref="M3089:M3118" si="1321">_xlfn.STDEV.P(J3089:K3089)</f>
        <v>1.9999999999999938E-2</v>
      </c>
      <c r="N3089">
        <f t="shared" si="1310"/>
        <v>4.0000000000000008E-2</v>
      </c>
      <c r="O3089">
        <f t="shared" ref="O3089:O3118" si="1322">E3089</f>
        <v>0.14000000000000001</v>
      </c>
      <c r="P3089">
        <f t="shared" ref="P3089:P3118" si="1323">(O3089-L3089)/M3089</f>
        <v>0</v>
      </c>
      <c r="Q3089" t="str">
        <f t="shared" si="1311"/>
        <v>14.29% | 14.29%</v>
      </c>
      <c r="R3089" t="str">
        <f t="shared" ref="R3089:R3118" si="1324">MID(B3089,FIND("(",B3089,1)+1,FIND(")",B3089,1)-FIND("(",B3089,1)-1)</f>
        <v>BEARISH</v>
      </c>
      <c r="S3089">
        <f t="shared" si="1312"/>
        <v>-1</v>
      </c>
    </row>
    <row r="3090" spans="1:19" hidden="1" x14ac:dyDescent="0.25">
      <c r="A3090" s="5" t="str">
        <f t="shared" si="1313"/>
        <v>44034SPX</v>
      </c>
      <c r="B3090" s="6" t="s">
        <v>160</v>
      </c>
      <c r="C3090" s="6">
        <v>3134</v>
      </c>
      <c r="D3090" s="6">
        <v>3280</v>
      </c>
      <c r="E3090" s="6">
        <v>3257</v>
      </c>
      <c r="F3090" t="str">
        <f t="shared" si="1314"/>
        <v>WED</v>
      </c>
      <c r="G3090" s="1">
        <f t="shared" si="1315"/>
        <v>44034</v>
      </c>
      <c r="H3090" s="2">
        <f t="shared" ca="1" si="1316"/>
        <v>219</v>
      </c>
      <c r="I3090" t="str">
        <f t="shared" si="1317"/>
        <v>SPX</v>
      </c>
      <c r="J3090">
        <f t="shared" si="1318"/>
        <v>3134</v>
      </c>
      <c r="K3090">
        <f t="shared" si="1319"/>
        <v>3280</v>
      </c>
      <c r="L3090">
        <f t="shared" si="1320"/>
        <v>3207</v>
      </c>
      <c r="M3090">
        <f t="shared" si="1321"/>
        <v>73</v>
      </c>
      <c r="N3090">
        <f t="shared" si="1310"/>
        <v>146</v>
      </c>
      <c r="O3090">
        <f t="shared" si="1322"/>
        <v>3257</v>
      </c>
      <c r="P3090">
        <f t="shared" si="1323"/>
        <v>0.68493150684931503</v>
      </c>
      <c r="Q3090" t="str">
        <f t="shared" si="1311"/>
        <v>3.78% | 0.71%</v>
      </c>
      <c r="R3090" t="str">
        <f t="shared" si="1324"/>
        <v>bullish</v>
      </c>
      <c r="S3090">
        <f t="shared" si="1312"/>
        <v>1</v>
      </c>
    </row>
    <row r="3091" spans="1:19" hidden="1" x14ac:dyDescent="0.25">
      <c r="A3091" s="5" t="str">
        <f t="shared" si="1313"/>
        <v>44034RUT</v>
      </c>
      <c r="B3091" s="6" t="s">
        <v>7</v>
      </c>
      <c r="C3091" s="6">
        <v>1379</v>
      </c>
      <c r="D3091" s="6">
        <v>1512</v>
      </c>
      <c r="E3091" s="6">
        <v>1487</v>
      </c>
      <c r="F3091" t="str">
        <f t="shared" si="1314"/>
        <v>WED</v>
      </c>
      <c r="G3091" s="1">
        <f t="shared" si="1315"/>
        <v>44034</v>
      </c>
      <c r="H3091" s="2">
        <f t="shared" ca="1" si="1316"/>
        <v>219</v>
      </c>
      <c r="I3091" t="str">
        <f t="shared" si="1317"/>
        <v>RUT</v>
      </c>
      <c r="J3091">
        <f t="shared" si="1318"/>
        <v>1379</v>
      </c>
      <c r="K3091">
        <f t="shared" si="1319"/>
        <v>1512</v>
      </c>
      <c r="L3091">
        <f t="shared" si="1320"/>
        <v>1445.5</v>
      </c>
      <c r="M3091">
        <f t="shared" si="1321"/>
        <v>66.5</v>
      </c>
      <c r="N3091">
        <f t="shared" si="1310"/>
        <v>133</v>
      </c>
      <c r="O3091">
        <f t="shared" si="1322"/>
        <v>1487</v>
      </c>
      <c r="P3091">
        <f t="shared" si="1323"/>
        <v>0.62406015037593987</v>
      </c>
      <c r="Q3091" t="str">
        <f t="shared" si="1311"/>
        <v>7.26% | 1.68%</v>
      </c>
      <c r="R3091" t="str">
        <f t="shared" si="1324"/>
        <v>BEARISH</v>
      </c>
      <c r="S3091">
        <f t="shared" si="1312"/>
        <v>-1</v>
      </c>
    </row>
    <row r="3092" spans="1:19" hidden="1" x14ac:dyDescent="0.25">
      <c r="A3092" s="5" t="str">
        <f t="shared" si="1313"/>
        <v>44034COMPQ</v>
      </c>
      <c r="B3092" s="6" t="s">
        <v>8</v>
      </c>
      <c r="C3092" s="6">
        <v>10340</v>
      </c>
      <c r="D3092" s="6">
        <v>10775</v>
      </c>
      <c r="E3092" s="6">
        <v>10680</v>
      </c>
      <c r="F3092" t="str">
        <f t="shared" si="1314"/>
        <v>WED</v>
      </c>
      <c r="G3092" s="1">
        <f t="shared" si="1315"/>
        <v>44034</v>
      </c>
      <c r="H3092" s="2">
        <f t="shared" ca="1" si="1316"/>
        <v>219</v>
      </c>
      <c r="I3092" t="str">
        <f t="shared" si="1317"/>
        <v>COMPQ</v>
      </c>
      <c r="J3092">
        <f t="shared" si="1318"/>
        <v>10340</v>
      </c>
      <c r="K3092">
        <f t="shared" si="1319"/>
        <v>10775</v>
      </c>
      <c r="L3092">
        <f t="shared" si="1320"/>
        <v>10557.5</v>
      </c>
      <c r="M3092">
        <f t="shared" si="1321"/>
        <v>217.5</v>
      </c>
      <c r="N3092">
        <f t="shared" si="1310"/>
        <v>435</v>
      </c>
      <c r="O3092">
        <f t="shared" si="1322"/>
        <v>10680</v>
      </c>
      <c r="P3092">
        <f t="shared" si="1323"/>
        <v>0.56321839080459768</v>
      </c>
      <c r="Q3092" t="str">
        <f t="shared" si="1311"/>
        <v>3.18% | 0.89%</v>
      </c>
      <c r="R3092" t="str">
        <f t="shared" si="1324"/>
        <v>BULLISH</v>
      </c>
      <c r="S3092">
        <f t="shared" si="1312"/>
        <v>1</v>
      </c>
    </row>
    <row r="3093" spans="1:19" hidden="1" x14ac:dyDescent="0.25">
      <c r="A3093" s="5" t="str">
        <f t="shared" si="1313"/>
        <v>44034XLK</v>
      </c>
      <c r="B3093" s="6" t="s">
        <v>10</v>
      </c>
      <c r="C3093" s="6">
        <v>105.26</v>
      </c>
      <c r="D3093" s="6">
        <v>110.02</v>
      </c>
      <c r="E3093" s="6">
        <v>108.46</v>
      </c>
      <c r="F3093" t="str">
        <f t="shared" si="1314"/>
        <v>WED</v>
      </c>
      <c r="G3093" s="1">
        <f t="shared" si="1315"/>
        <v>44034</v>
      </c>
      <c r="H3093" s="2">
        <f t="shared" ca="1" si="1316"/>
        <v>219</v>
      </c>
      <c r="I3093" t="str">
        <f t="shared" si="1317"/>
        <v>XLK</v>
      </c>
      <c r="J3093">
        <f t="shared" si="1318"/>
        <v>105.26</v>
      </c>
      <c r="K3093">
        <f t="shared" si="1319"/>
        <v>110.02</v>
      </c>
      <c r="L3093">
        <f t="shared" si="1320"/>
        <v>107.64</v>
      </c>
      <c r="M3093">
        <f t="shared" si="1321"/>
        <v>2.3799999999999955</v>
      </c>
      <c r="N3093">
        <f t="shared" si="1310"/>
        <v>4.7599999999999909</v>
      </c>
      <c r="O3093">
        <f t="shared" si="1322"/>
        <v>108.46</v>
      </c>
      <c r="P3093">
        <f t="shared" si="1323"/>
        <v>0.3445378151260482</v>
      </c>
      <c r="Q3093" t="str">
        <f t="shared" si="1311"/>
        <v>2.95% | 1.44%</v>
      </c>
      <c r="R3093" t="str">
        <f t="shared" si="1324"/>
        <v>BULLISH</v>
      </c>
      <c r="S3093">
        <f t="shared" si="1312"/>
        <v>1</v>
      </c>
    </row>
    <row r="3094" spans="1:19" hidden="1" x14ac:dyDescent="0.25">
      <c r="A3094" s="5" t="str">
        <f t="shared" si="1313"/>
        <v>44034XLRE</v>
      </c>
      <c r="B3094" s="6" t="s">
        <v>97</v>
      </c>
      <c r="C3094" s="6">
        <v>34.299999999999997</v>
      </c>
      <c r="D3094" s="6">
        <v>35.479999999999997</v>
      </c>
      <c r="E3094" s="6">
        <v>34.700000000000003</v>
      </c>
      <c r="F3094" t="str">
        <f t="shared" si="1314"/>
        <v>WED</v>
      </c>
      <c r="G3094" s="1">
        <f t="shared" si="1315"/>
        <v>44034</v>
      </c>
      <c r="H3094" s="2">
        <f t="shared" ca="1" si="1316"/>
        <v>219</v>
      </c>
      <c r="I3094" t="str">
        <f t="shared" si="1317"/>
        <v>XLRE</v>
      </c>
      <c r="J3094">
        <f t="shared" si="1318"/>
        <v>34.299999999999997</v>
      </c>
      <c r="K3094">
        <f t="shared" si="1319"/>
        <v>35.479999999999997</v>
      </c>
      <c r="L3094">
        <f t="shared" si="1320"/>
        <v>34.89</v>
      </c>
      <c r="M3094">
        <f t="shared" si="1321"/>
        <v>0.58999999999999986</v>
      </c>
      <c r="N3094">
        <f t="shared" si="1310"/>
        <v>1.1799999999999997</v>
      </c>
      <c r="O3094">
        <f t="shared" si="1322"/>
        <v>34.700000000000003</v>
      </c>
      <c r="P3094">
        <f t="shared" si="1323"/>
        <v>-0.32203389830508095</v>
      </c>
      <c r="Q3094" t="str">
        <f t="shared" si="1311"/>
        <v>1.15% | 2.25%</v>
      </c>
      <c r="R3094" t="str">
        <f t="shared" si="1324"/>
        <v>BULLISH</v>
      </c>
      <c r="S3094">
        <f t="shared" si="1312"/>
        <v>1</v>
      </c>
    </row>
    <row r="3095" spans="1:19" hidden="1" x14ac:dyDescent="0.25">
      <c r="A3095" s="5" t="str">
        <f t="shared" si="1313"/>
        <v>44034XLU</v>
      </c>
      <c r="B3095" s="6" t="s">
        <v>52</v>
      </c>
      <c r="C3095" s="6">
        <v>56.44</v>
      </c>
      <c r="D3095" s="6">
        <v>60.73</v>
      </c>
      <c r="E3095" s="6">
        <v>59.69</v>
      </c>
      <c r="F3095" t="str">
        <f t="shared" si="1314"/>
        <v>WED</v>
      </c>
      <c r="G3095" s="1">
        <f t="shared" si="1315"/>
        <v>44034</v>
      </c>
      <c r="H3095" s="2">
        <f t="shared" ca="1" si="1316"/>
        <v>219</v>
      </c>
      <c r="I3095" t="str">
        <f t="shared" si="1317"/>
        <v>XLU</v>
      </c>
      <c r="J3095">
        <f t="shared" si="1318"/>
        <v>56.44</v>
      </c>
      <c r="K3095">
        <f t="shared" si="1319"/>
        <v>60.73</v>
      </c>
      <c r="L3095">
        <f t="shared" si="1320"/>
        <v>58.584999999999994</v>
      </c>
      <c r="M3095">
        <f t="shared" si="1321"/>
        <v>2.1449999999999996</v>
      </c>
      <c r="N3095">
        <f t="shared" si="1310"/>
        <v>4.2899999999999991</v>
      </c>
      <c r="O3095">
        <f t="shared" si="1322"/>
        <v>59.69</v>
      </c>
      <c r="P3095">
        <f t="shared" si="1323"/>
        <v>0.51515151515151714</v>
      </c>
      <c r="Q3095" t="str">
        <f t="shared" si="1311"/>
        <v>5.44% | 1.74%</v>
      </c>
      <c r="R3095" t="str">
        <f t="shared" si="1324"/>
        <v>BULLISH</v>
      </c>
      <c r="S3095">
        <f t="shared" si="1312"/>
        <v>1</v>
      </c>
    </row>
    <row r="3096" spans="1:19" hidden="1" x14ac:dyDescent="0.25">
      <c r="A3096" s="5" t="str">
        <f t="shared" si="1313"/>
        <v>44034XLF</v>
      </c>
      <c r="B3096" s="6" t="s">
        <v>12</v>
      </c>
      <c r="C3096" s="6">
        <v>22.42</v>
      </c>
      <c r="D3096" s="6">
        <v>24.71</v>
      </c>
      <c r="E3096" s="6">
        <v>24.31</v>
      </c>
      <c r="F3096" t="str">
        <f t="shared" si="1314"/>
        <v>WED</v>
      </c>
      <c r="G3096" s="1">
        <f t="shared" si="1315"/>
        <v>44034</v>
      </c>
      <c r="H3096" s="2">
        <f t="shared" ca="1" si="1316"/>
        <v>219</v>
      </c>
      <c r="I3096" t="str">
        <f t="shared" si="1317"/>
        <v>XLF</v>
      </c>
      <c r="J3096">
        <f t="shared" si="1318"/>
        <v>22.42</v>
      </c>
      <c r="K3096">
        <f t="shared" si="1319"/>
        <v>24.71</v>
      </c>
      <c r="L3096">
        <f t="shared" si="1320"/>
        <v>23.565000000000001</v>
      </c>
      <c r="M3096">
        <f t="shared" si="1321"/>
        <v>1.1449999999999996</v>
      </c>
      <c r="N3096">
        <f t="shared" si="1310"/>
        <v>2.2899999999999991</v>
      </c>
      <c r="O3096">
        <f t="shared" si="1322"/>
        <v>24.31</v>
      </c>
      <c r="P3096">
        <f t="shared" si="1323"/>
        <v>0.6506550218340591</v>
      </c>
      <c r="Q3096" t="str">
        <f t="shared" si="1311"/>
        <v>7.77% | 1.65%</v>
      </c>
      <c r="R3096" t="str">
        <f t="shared" si="1324"/>
        <v>BEARISH</v>
      </c>
      <c r="S3096">
        <f t="shared" si="1312"/>
        <v>-1</v>
      </c>
    </row>
    <row r="3097" spans="1:19" hidden="1" x14ac:dyDescent="0.25">
      <c r="A3097" s="5" t="str">
        <f t="shared" si="1313"/>
        <v>44034SSEC</v>
      </c>
      <c r="B3097" s="6" t="s">
        <v>104</v>
      </c>
      <c r="C3097" s="6">
        <v>3175</v>
      </c>
      <c r="D3097" s="6">
        <v>3515</v>
      </c>
      <c r="E3097" s="6">
        <v>3333</v>
      </c>
      <c r="F3097" t="str">
        <f t="shared" si="1314"/>
        <v>WED</v>
      </c>
      <c r="G3097" s="1">
        <f t="shared" si="1315"/>
        <v>44034</v>
      </c>
      <c r="H3097" s="2">
        <f t="shared" ca="1" si="1316"/>
        <v>219</v>
      </c>
      <c r="I3097" t="str">
        <f t="shared" si="1317"/>
        <v>SSEC</v>
      </c>
      <c r="J3097">
        <f t="shared" si="1318"/>
        <v>3175</v>
      </c>
      <c r="K3097">
        <f t="shared" si="1319"/>
        <v>3515</v>
      </c>
      <c r="L3097">
        <f t="shared" si="1320"/>
        <v>3345</v>
      </c>
      <c r="M3097">
        <f t="shared" si="1321"/>
        <v>170</v>
      </c>
      <c r="N3097">
        <f t="shared" si="1310"/>
        <v>340</v>
      </c>
      <c r="O3097">
        <f t="shared" si="1322"/>
        <v>3333</v>
      </c>
      <c r="P3097">
        <f t="shared" si="1323"/>
        <v>-7.0588235294117646E-2</v>
      </c>
      <c r="Q3097" t="str">
        <f t="shared" si="1311"/>
        <v>4.74% | 5.46%</v>
      </c>
      <c r="R3097" t="str">
        <f t="shared" si="1324"/>
        <v>BULLISH</v>
      </c>
      <c r="S3097">
        <f t="shared" si="1312"/>
        <v>1</v>
      </c>
    </row>
    <row r="3098" spans="1:19" hidden="1" x14ac:dyDescent="0.25">
      <c r="A3098" s="5" t="str">
        <f t="shared" si="1313"/>
        <v>44034NIKK</v>
      </c>
      <c r="B3098" s="6" t="s">
        <v>90</v>
      </c>
      <c r="C3098" s="6">
        <v>22305</v>
      </c>
      <c r="D3098" s="6">
        <v>23106</v>
      </c>
      <c r="E3098" s="6">
        <v>22751</v>
      </c>
      <c r="F3098" t="str">
        <f t="shared" si="1314"/>
        <v>WED</v>
      </c>
      <c r="G3098" s="1">
        <f t="shared" si="1315"/>
        <v>44034</v>
      </c>
      <c r="H3098" s="2">
        <f t="shared" ca="1" si="1316"/>
        <v>219</v>
      </c>
      <c r="I3098" t="str">
        <f t="shared" si="1317"/>
        <v>NIKK</v>
      </c>
      <c r="J3098">
        <f t="shared" si="1318"/>
        <v>22305</v>
      </c>
      <c r="K3098">
        <f t="shared" si="1319"/>
        <v>23106</v>
      </c>
      <c r="L3098">
        <f t="shared" si="1320"/>
        <v>22705.5</v>
      </c>
      <c r="M3098">
        <f t="shared" si="1321"/>
        <v>400.5</v>
      </c>
      <c r="N3098">
        <f t="shared" si="1310"/>
        <v>801</v>
      </c>
      <c r="O3098">
        <f t="shared" si="1322"/>
        <v>22751</v>
      </c>
      <c r="P3098">
        <f t="shared" si="1323"/>
        <v>0.11360799001248439</v>
      </c>
      <c r="Q3098" t="str">
        <f t="shared" si="1311"/>
        <v>1.96% | 1.56%</v>
      </c>
      <c r="R3098" t="str">
        <f t="shared" si="1324"/>
        <v>NEUTRAL</v>
      </c>
      <c r="S3098">
        <f t="shared" si="1312"/>
        <v>0</v>
      </c>
    </row>
    <row r="3099" spans="1:19" hidden="1" x14ac:dyDescent="0.25">
      <c r="A3099" s="5" t="str">
        <f t="shared" si="1313"/>
        <v>44034DAX</v>
      </c>
      <c r="B3099" s="6" t="s">
        <v>98</v>
      </c>
      <c r="C3099" s="6">
        <v>12412</v>
      </c>
      <c r="D3099" s="6">
        <v>13240</v>
      </c>
      <c r="E3099" s="6">
        <v>13171</v>
      </c>
      <c r="F3099" t="str">
        <f t="shared" si="1314"/>
        <v>WED</v>
      </c>
      <c r="G3099" s="1">
        <f t="shared" si="1315"/>
        <v>44034</v>
      </c>
      <c r="H3099" s="2">
        <f t="shared" ca="1" si="1316"/>
        <v>219</v>
      </c>
      <c r="I3099" t="str">
        <f t="shared" si="1317"/>
        <v>DAX</v>
      </c>
      <c r="J3099">
        <f t="shared" si="1318"/>
        <v>12412</v>
      </c>
      <c r="K3099">
        <f t="shared" si="1319"/>
        <v>13240</v>
      </c>
      <c r="L3099">
        <f t="shared" si="1320"/>
        <v>12826</v>
      </c>
      <c r="M3099">
        <f t="shared" si="1321"/>
        <v>414</v>
      </c>
      <c r="N3099">
        <f t="shared" si="1310"/>
        <v>828</v>
      </c>
      <c r="O3099">
        <f t="shared" si="1322"/>
        <v>13171</v>
      </c>
      <c r="P3099">
        <f t="shared" si="1323"/>
        <v>0.83333333333333337</v>
      </c>
      <c r="Q3099" t="str">
        <f t="shared" si="1311"/>
        <v>5.76% | 0.52%</v>
      </c>
      <c r="R3099" t="str">
        <f t="shared" si="1324"/>
        <v>BULLISH</v>
      </c>
      <c r="S3099">
        <f t="shared" si="1312"/>
        <v>1</v>
      </c>
    </row>
    <row r="3100" spans="1:19" hidden="1" x14ac:dyDescent="0.25">
      <c r="A3100" s="5" t="str">
        <f t="shared" si="1313"/>
        <v>44034VIX</v>
      </c>
      <c r="B3100" s="6" t="s">
        <v>96</v>
      </c>
      <c r="C3100" s="6">
        <v>23.01</v>
      </c>
      <c r="D3100" s="6">
        <v>32.43</v>
      </c>
      <c r="E3100" s="6">
        <v>24.84</v>
      </c>
      <c r="F3100" t="str">
        <f t="shared" si="1314"/>
        <v>WED</v>
      </c>
      <c r="G3100" s="1">
        <f t="shared" si="1315"/>
        <v>44034</v>
      </c>
      <c r="H3100" s="2">
        <f t="shared" ca="1" si="1316"/>
        <v>219</v>
      </c>
      <c r="I3100" t="str">
        <f t="shared" si="1317"/>
        <v>VIX</v>
      </c>
      <c r="J3100">
        <f t="shared" si="1318"/>
        <v>23.01</v>
      </c>
      <c r="K3100">
        <f t="shared" si="1319"/>
        <v>32.43</v>
      </c>
      <c r="L3100">
        <f t="shared" si="1320"/>
        <v>27.72</v>
      </c>
      <c r="M3100">
        <f t="shared" si="1321"/>
        <v>4.7100000000000062</v>
      </c>
      <c r="N3100">
        <f t="shared" si="1310"/>
        <v>9.4199999999999982</v>
      </c>
      <c r="O3100">
        <f t="shared" si="1322"/>
        <v>24.84</v>
      </c>
      <c r="P3100">
        <f t="shared" si="1323"/>
        <v>-0.61146496815286522</v>
      </c>
      <c r="Q3100" t="str">
        <f t="shared" si="1311"/>
        <v>7.37% | 30.56%</v>
      </c>
      <c r="R3100" t="str">
        <f t="shared" si="1324"/>
        <v>BEARISH</v>
      </c>
      <c r="S3100">
        <f t="shared" si="1312"/>
        <v>-1</v>
      </c>
    </row>
    <row r="3101" spans="1:19" hidden="1" x14ac:dyDescent="0.25">
      <c r="A3101" s="5" t="str">
        <f t="shared" si="1313"/>
        <v>44034USD</v>
      </c>
      <c r="B3101" s="6" t="s">
        <v>94</v>
      </c>
      <c r="C3101" s="6">
        <v>94.95</v>
      </c>
      <c r="D3101" s="6">
        <v>96.7</v>
      </c>
      <c r="E3101" s="6">
        <v>95.05</v>
      </c>
      <c r="F3101" t="str">
        <f t="shared" si="1314"/>
        <v>WED</v>
      </c>
      <c r="G3101" s="1">
        <f t="shared" si="1315"/>
        <v>44034</v>
      </c>
      <c r="H3101" s="2">
        <f t="shared" ca="1" si="1316"/>
        <v>219</v>
      </c>
      <c r="I3101" t="str">
        <f t="shared" si="1317"/>
        <v>USD</v>
      </c>
      <c r="J3101">
        <f t="shared" si="1318"/>
        <v>94.95</v>
      </c>
      <c r="K3101">
        <f t="shared" si="1319"/>
        <v>96.7</v>
      </c>
      <c r="L3101">
        <f t="shared" si="1320"/>
        <v>95.825000000000003</v>
      </c>
      <c r="M3101">
        <f t="shared" si="1321"/>
        <v>0.875</v>
      </c>
      <c r="N3101">
        <f t="shared" si="1310"/>
        <v>1.75</v>
      </c>
      <c r="O3101">
        <f t="shared" si="1322"/>
        <v>95.05</v>
      </c>
      <c r="P3101">
        <f t="shared" si="1323"/>
        <v>-0.88571428571429223</v>
      </c>
      <c r="Q3101" t="str">
        <f t="shared" si="1311"/>
        <v>0.11% | 1.74%</v>
      </c>
      <c r="R3101" t="str">
        <f t="shared" si="1324"/>
        <v>BEARISH</v>
      </c>
      <c r="S3101">
        <f t="shared" si="1312"/>
        <v>-1</v>
      </c>
    </row>
    <row r="3102" spans="1:19" hidden="1" x14ac:dyDescent="0.25">
      <c r="A3102" s="5" t="str">
        <f t="shared" si="1313"/>
        <v>44034EUR/USD</v>
      </c>
      <c r="B3102" s="6" t="s">
        <v>99</v>
      </c>
      <c r="C3102" s="6">
        <v>1.1299999999999999</v>
      </c>
      <c r="D3102" s="6">
        <v>1.1499999999999999</v>
      </c>
      <c r="E3102" s="6">
        <v>1.1499999999999999</v>
      </c>
      <c r="F3102" t="str">
        <f t="shared" si="1314"/>
        <v>WED</v>
      </c>
      <c r="G3102" s="1">
        <f t="shared" si="1315"/>
        <v>44034</v>
      </c>
      <c r="H3102" s="2">
        <f t="shared" ca="1" si="1316"/>
        <v>219</v>
      </c>
      <c r="I3102" t="str">
        <f t="shared" si="1317"/>
        <v>EUR/USD</v>
      </c>
      <c r="J3102">
        <f t="shared" si="1318"/>
        <v>1.1299999999999999</v>
      </c>
      <c r="K3102">
        <f t="shared" si="1319"/>
        <v>1.1499999999999999</v>
      </c>
      <c r="L3102">
        <f t="shared" si="1320"/>
        <v>1.1399999999999999</v>
      </c>
      <c r="M3102">
        <f t="shared" si="1321"/>
        <v>1.0000000000000009E-2</v>
      </c>
      <c r="N3102">
        <f t="shared" si="1310"/>
        <v>2.0000000000000018E-2</v>
      </c>
      <c r="O3102">
        <f t="shared" si="1322"/>
        <v>1.1499999999999999</v>
      </c>
      <c r="P3102">
        <f t="shared" si="1323"/>
        <v>1</v>
      </c>
      <c r="Q3102" t="str">
        <f t="shared" si="1311"/>
        <v>1.74% | 0%</v>
      </c>
      <c r="R3102" t="str">
        <f t="shared" si="1324"/>
        <v>BULLISH</v>
      </c>
      <c r="S3102">
        <f t="shared" si="1312"/>
        <v>1</v>
      </c>
    </row>
    <row r="3103" spans="1:19" hidden="1" x14ac:dyDescent="0.25">
      <c r="A3103" s="5" t="str">
        <f t="shared" si="1313"/>
        <v>44034USD/JPY</v>
      </c>
      <c r="B3103" s="6" t="s">
        <v>20</v>
      </c>
      <c r="C3103" s="6">
        <v>106.65</v>
      </c>
      <c r="D3103" s="6">
        <v>107.6</v>
      </c>
      <c r="E3103" s="6">
        <v>106.81</v>
      </c>
      <c r="F3103" t="str">
        <f t="shared" si="1314"/>
        <v>WED</v>
      </c>
      <c r="G3103" s="1">
        <f t="shared" si="1315"/>
        <v>44034</v>
      </c>
      <c r="H3103" s="2">
        <f t="shared" ca="1" si="1316"/>
        <v>219</v>
      </c>
      <c r="I3103" t="str">
        <f t="shared" si="1317"/>
        <v>USD/JPY</v>
      </c>
      <c r="J3103">
        <f t="shared" si="1318"/>
        <v>106.65</v>
      </c>
      <c r="K3103">
        <f t="shared" si="1319"/>
        <v>107.6</v>
      </c>
      <c r="L3103">
        <f t="shared" si="1320"/>
        <v>107.125</v>
      </c>
      <c r="M3103">
        <f t="shared" si="1321"/>
        <v>0.47499999999999432</v>
      </c>
      <c r="N3103">
        <f t="shared" si="1310"/>
        <v>0.94999999999998863</v>
      </c>
      <c r="O3103">
        <f t="shared" si="1322"/>
        <v>106.81</v>
      </c>
      <c r="P3103">
        <f t="shared" si="1323"/>
        <v>-0.66315789473684528</v>
      </c>
      <c r="Q3103" t="str">
        <f t="shared" si="1311"/>
        <v>0.15% | 0.74%</v>
      </c>
      <c r="R3103" t="str">
        <f t="shared" si="1324"/>
        <v>BEARISH</v>
      </c>
      <c r="S3103">
        <f t="shared" si="1312"/>
        <v>-1</v>
      </c>
    </row>
    <row r="3104" spans="1:19" hidden="1" x14ac:dyDescent="0.25">
      <c r="A3104" s="5" t="str">
        <f t="shared" si="1313"/>
        <v>44034GBP/USD</v>
      </c>
      <c r="B3104" s="6" t="s">
        <v>102</v>
      </c>
      <c r="C3104" s="6">
        <v>1.24</v>
      </c>
      <c r="D3104" s="6">
        <v>1.27</v>
      </c>
      <c r="E3104" s="6">
        <v>1.27</v>
      </c>
      <c r="F3104" t="str">
        <f t="shared" si="1314"/>
        <v>WED</v>
      </c>
      <c r="G3104" s="1">
        <f t="shared" si="1315"/>
        <v>44034</v>
      </c>
      <c r="H3104" s="2">
        <f t="shared" ca="1" si="1316"/>
        <v>219</v>
      </c>
      <c r="I3104" t="str">
        <f t="shared" si="1317"/>
        <v>GBP/USD</v>
      </c>
      <c r="J3104">
        <f t="shared" si="1318"/>
        <v>1.24</v>
      </c>
      <c r="K3104">
        <f t="shared" si="1319"/>
        <v>1.27</v>
      </c>
      <c r="L3104">
        <f t="shared" si="1320"/>
        <v>1.2549999999999999</v>
      </c>
      <c r="M3104">
        <f t="shared" si="1321"/>
        <v>1.5000000000000013E-2</v>
      </c>
      <c r="N3104">
        <f t="shared" si="1310"/>
        <v>3.0000000000000027E-2</v>
      </c>
      <c r="O3104">
        <f t="shared" si="1322"/>
        <v>1.27</v>
      </c>
      <c r="P3104">
        <f t="shared" si="1323"/>
        <v>1.0000000000000073</v>
      </c>
      <c r="Q3104" t="str">
        <f t="shared" si="1311"/>
        <v>2.36% | 0%</v>
      </c>
      <c r="R3104" t="str">
        <f t="shared" si="1324"/>
        <v>BULLISH</v>
      </c>
      <c r="S3104">
        <f t="shared" si="1312"/>
        <v>1</v>
      </c>
    </row>
    <row r="3105" spans="1:19" hidden="1" x14ac:dyDescent="0.25">
      <c r="A3105" s="5" t="str">
        <f t="shared" si="1313"/>
        <v>44034USD/CHF</v>
      </c>
      <c r="B3105" s="6" t="s">
        <v>76</v>
      </c>
      <c r="C3105" s="6">
        <v>0.93</v>
      </c>
      <c r="D3105" s="6">
        <v>0.95</v>
      </c>
      <c r="E3105" s="6">
        <v>0.93</v>
      </c>
      <c r="F3105" t="str">
        <f t="shared" si="1314"/>
        <v>WED</v>
      </c>
      <c r="G3105" s="1">
        <f t="shared" si="1315"/>
        <v>44034</v>
      </c>
      <c r="H3105" s="2">
        <f t="shared" ca="1" si="1316"/>
        <v>219</v>
      </c>
      <c r="I3105" t="str">
        <f t="shared" si="1317"/>
        <v>USD/CHF</v>
      </c>
      <c r="J3105">
        <f t="shared" si="1318"/>
        <v>0.93</v>
      </c>
      <c r="K3105">
        <f t="shared" si="1319"/>
        <v>0.95</v>
      </c>
      <c r="L3105">
        <f t="shared" si="1320"/>
        <v>0.94</v>
      </c>
      <c r="M3105">
        <f t="shared" si="1321"/>
        <v>9.9999999999999534E-3</v>
      </c>
      <c r="N3105">
        <f t="shared" si="1310"/>
        <v>1.9999999999999907E-2</v>
      </c>
      <c r="O3105">
        <f t="shared" si="1322"/>
        <v>0.93</v>
      </c>
      <c r="P3105">
        <f t="shared" si="1323"/>
        <v>-0.99999999999999445</v>
      </c>
      <c r="Q3105" t="str">
        <f t="shared" si="1311"/>
        <v>0% | 2.15%</v>
      </c>
      <c r="R3105" t="str">
        <f t="shared" si="1324"/>
        <v>BEARISH</v>
      </c>
      <c r="S3105">
        <f t="shared" si="1312"/>
        <v>-1</v>
      </c>
    </row>
    <row r="3106" spans="1:19" hidden="1" x14ac:dyDescent="0.25">
      <c r="A3106" s="5" t="str">
        <f t="shared" si="1313"/>
        <v>44034WTIC</v>
      </c>
      <c r="B3106" s="6" t="s">
        <v>158</v>
      </c>
      <c r="C3106" s="6">
        <v>39.31</v>
      </c>
      <c r="D3106" s="6">
        <v>42.06</v>
      </c>
      <c r="E3106" s="6">
        <v>41.92</v>
      </c>
      <c r="F3106" t="str">
        <f t="shared" si="1314"/>
        <v>WED</v>
      </c>
      <c r="G3106" s="1">
        <f t="shared" si="1315"/>
        <v>44034</v>
      </c>
      <c r="H3106" s="2">
        <f t="shared" ca="1" si="1316"/>
        <v>219</v>
      </c>
      <c r="I3106" t="str">
        <f t="shared" si="1317"/>
        <v>WTIC</v>
      </c>
      <c r="J3106">
        <f t="shared" si="1318"/>
        <v>39.31</v>
      </c>
      <c r="K3106">
        <f t="shared" si="1319"/>
        <v>42.06</v>
      </c>
      <c r="L3106">
        <f t="shared" si="1320"/>
        <v>40.685000000000002</v>
      </c>
      <c r="M3106">
        <f t="shared" si="1321"/>
        <v>1.375</v>
      </c>
      <c r="N3106">
        <f t="shared" si="1310"/>
        <v>2.75</v>
      </c>
      <c r="O3106">
        <f t="shared" si="1322"/>
        <v>41.92</v>
      </c>
      <c r="P3106">
        <f t="shared" si="1323"/>
        <v>0.89818181818181775</v>
      </c>
      <c r="Q3106" t="str">
        <f t="shared" si="1311"/>
        <v>6.23% | 0.33%</v>
      </c>
      <c r="R3106" t="str">
        <f t="shared" si="1324"/>
        <v>BULLISH</v>
      </c>
      <c r="S3106">
        <f t="shared" si="1312"/>
        <v>1</v>
      </c>
    </row>
    <row r="3107" spans="1:19" hidden="1" x14ac:dyDescent="0.25">
      <c r="A3107" s="5" t="str">
        <f t="shared" si="1313"/>
        <v>44034NATGAS</v>
      </c>
      <c r="B3107" s="6" t="s">
        <v>87</v>
      </c>
      <c r="C3107" s="6">
        <v>1.6</v>
      </c>
      <c r="D3107" s="6">
        <v>1.86</v>
      </c>
      <c r="E3107" s="6">
        <v>1.67</v>
      </c>
      <c r="F3107" t="str">
        <f t="shared" si="1314"/>
        <v>WED</v>
      </c>
      <c r="G3107" s="1">
        <f t="shared" si="1315"/>
        <v>44034</v>
      </c>
      <c r="H3107" s="2">
        <f t="shared" ca="1" si="1316"/>
        <v>219</v>
      </c>
      <c r="I3107" t="str">
        <f t="shared" si="1317"/>
        <v>NATGAS</v>
      </c>
      <c r="J3107">
        <f t="shared" si="1318"/>
        <v>1.6</v>
      </c>
      <c r="K3107">
        <f t="shared" si="1319"/>
        <v>1.86</v>
      </c>
      <c r="L3107">
        <f t="shared" si="1320"/>
        <v>1.73</v>
      </c>
      <c r="M3107">
        <f t="shared" si="1321"/>
        <v>0.13</v>
      </c>
      <c r="N3107">
        <f t="shared" si="1310"/>
        <v>0.26</v>
      </c>
      <c r="O3107">
        <f t="shared" si="1322"/>
        <v>1.67</v>
      </c>
      <c r="P3107">
        <f t="shared" si="1323"/>
        <v>-0.46153846153846195</v>
      </c>
      <c r="Q3107" t="str">
        <f t="shared" si="1311"/>
        <v>4.19% | 11.38%</v>
      </c>
      <c r="R3107" t="str">
        <f t="shared" si="1324"/>
        <v>NEUTRAL</v>
      </c>
      <c r="S3107">
        <f t="shared" si="1312"/>
        <v>0</v>
      </c>
    </row>
    <row r="3108" spans="1:19" hidden="1" x14ac:dyDescent="0.25">
      <c r="A3108" s="5" t="str">
        <f t="shared" si="1313"/>
        <v>44034GOLD</v>
      </c>
      <c r="B3108" s="6" t="s">
        <v>25</v>
      </c>
      <c r="C3108" s="6">
        <v>1788</v>
      </c>
      <c r="D3108" s="6">
        <v>1855</v>
      </c>
      <c r="E3108" s="6">
        <v>1843</v>
      </c>
      <c r="F3108" t="str">
        <f t="shared" si="1314"/>
        <v>WED</v>
      </c>
      <c r="G3108" s="1">
        <f t="shared" si="1315"/>
        <v>44034</v>
      </c>
      <c r="H3108" s="2">
        <f t="shared" ca="1" si="1316"/>
        <v>219</v>
      </c>
      <c r="I3108" t="str">
        <f t="shared" si="1317"/>
        <v>GOLD</v>
      </c>
      <c r="J3108">
        <f t="shared" si="1318"/>
        <v>1788</v>
      </c>
      <c r="K3108">
        <f t="shared" si="1319"/>
        <v>1855</v>
      </c>
      <c r="L3108">
        <f t="shared" si="1320"/>
        <v>1821.5</v>
      </c>
      <c r="M3108">
        <f t="shared" si="1321"/>
        <v>33.5</v>
      </c>
      <c r="N3108">
        <f t="shared" si="1310"/>
        <v>67</v>
      </c>
      <c r="O3108">
        <f t="shared" si="1322"/>
        <v>1843</v>
      </c>
      <c r="P3108">
        <f t="shared" si="1323"/>
        <v>0.64179104477611937</v>
      </c>
      <c r="Q3108" t="str">
        <f t="shared" si="1311"/>
        <v>2.98% | 0.65%</v>
      </c>
      <c r="R3108" t="str">
        <f t="shared" si="1324"/>
        <v>BULLISH</v>
      </c>
      <c r="S3108">
        <f t="shared" si="1312"/>
        <v>1</v>
      </c>
    </row>
    <row r="3109" spans="1:19" hidden="1" x14ac:dyDescent="0.25">
      <c r="A3109" s="5" t="str">
        <f t="shared" si="1313"/>
        <v>44034COPPER</v>
      </c>
      <c r="B3109" s="6" t="s">
        <v>100</v>
      </c>
      <c r="C3109" s="6">
        <v>2.82</v>
      </c>
      <c r="D3109" s="6">
        <v>2.98</v>
      </c>
      <c r="E3109" s="6">
        <v>2.96</v>
      </c>
      <c r="F3109" t="str">
        <f t="shared" si="1314"/>
        <v>WED</v>
      </c>
      <c r="G3109" s="1">
        <f t="shared" si="1315"/>
        <v>44034</v>
      </c>
      <c r="H3109" s="2">
        <f t="shared" ca="1" si="1316"/>
        <v>219</v>
      </c>
      <c r="I3109" t="str">
        <f t="shared" si="1317"/>
        <v>COPPER</v>
      </c>
      <c r="J3109">
        <f t="shared" si="1318"/>
        <v>2.82</v>
      </c>
      <c r="K3109">
        <f t="shared" si="1319"/>
        <v>2.98</v>
      </c>
      <c r="L3109">
        <f t="shared" si="1320"/>
        <v>2.9</v>
      </c>
      <c r="M3109">
        <f t="shared" si="1321"/>
        <v>8.0000000000000071E-2</v>
      </c>
      <c r="N3109">
        <f t="shared" si="1310"/>
        <v>0.16000000000000014</v>
      </c>
      <c r="O3109">
        <f t="shared" si="1322"/>
        <v>2.96</v>
      </c>
      <c r="P3109">
        <f t="shared" si="1323"/>
        <v>0.75</v>
      </c>
      <c r="Q3109" t="str">
        <f t="shared" si="1311"/>
        <v>4.73% | 0.68%</v>
      </c>
      <c r="R3109" t="str">
        <f t="shared" si="1324"/>
        <v>BULLISH</v>
      </c>
      <c r="S3109">
        <f t="shared" si="1312"/>
        <v>1</v>
      </c>
    </row>
    <row r="3110" spans="1:19" hidden="1" x14ac:dyDescent="0.25">
      <c r="A3110" s="5" t="str">
        <f t="shared" si="1313"/>
        <v>44034MSFT</v>
      </c>
      <c r="B3110" s="6" t="s">
        <v>27</v>
      </c>
      <c r="C3110" s="6">
        <v>200</v>
      </c>
      <c r="D3110" s="6">
        <v>216</v>
      </c>
      <c r="E3110" s="6">
        <v>208</v>
      </c>
      <c r="F3110" t="str">
        <f t="shared" si="1314"/>
        <v>WED</v>
      </c>
      <c r="G3110" s="1">
        <f t="shared" si="1315"/>
        <v>44034</v>
      </c>
      <c r="H3110" s="2">
        <f t="shared" ca="1" si="1316"/>
        <v>219</v>
      </c>
      <c r="I3110" t="str">
        <f t="shared" si="1317"/>
        <v>MSFT</v>
      </c>
      <c r="J3110">
        <f t="shared" si="1318"/>
        <v>200</v>
      </c>
      <c r="K3110">
        <f t="shared" si="1319"/>
        <v>216</v>
      </c>
      <c r="L3110">
        <f t="shared" si="1320"/>
        <v>208</v>
      </c>
      <c r="M3110">
        <f t="shared" si="1321"/>
        <v>8</v>
      </c>
      <c r="N3110">
        <f t="shared" si="1310"/>
        <v>16</v>
      </c>
      <c r="O3110">
        <f t="shared" si="1322"/>
        <v>208</v>
      </c>
      <c r="P3110">
        <f t="shared" si="1323"/>
        <v>0</v>
      </c>
      <c r="Q3110" t="str">
        <f t="shared" si="1311"/>
        <v>3.85% | 3.85%</v>
      </c>
      <c r="R3110" t="str">
        <f t="shared" si="1324"/>
        <v>BULLISH</v>
      </c>
      <c r="S3110">
        <f t="shared" si="1312"/>
        <v>1</v>
      </c>
    </row>
    <row r="3111" spans="1:19" hidden="1" x14ac:dyDescent="0.25">
      <c r="A3111" s="5" t="str">
        <f t="shared" si="1313"/>
        <v>44034AAPL</v>
      </c>
      <c r="B3111" s="6" t="s">
        <v>28</v>
      </c>
      <c r="C3111" s="6">
        <v>368</v>
      </c>
      <c r="D3111" s="6">
        <v>394</v>
      </c>
      <c r="E3111" s="6">
        <v>388</v>
      </c>
      <c r="F3111" t="str">
        <f t="shared" si="1314"/>
        <v>WED</v>
      </c>
      <c r="G3111" s="1">
        <f t="shared" si="1315"/>
        <v>44034</v>
      </c>
      <c r="H3111" s="2">
        <f t="shared" ca="1" si="1316"/>
        <v>219</v>
      </c>
      <c r="I3111" t="str">
        <f t="shared" si="1317"/>
        <v>AAPL</v>
      </c>
      <c r="J3111">
        <f t="shared" si="1318"/>
        <v>368</v>
      </c>
      <c r="K3111">
        <f t="shared" si="1319"/>
        <v>394</v>
      </c>
      <c r="L3111">
        <f t="shared" si="1320"/>
        <v>381</v>
      </c>
      <c r="M3111">
        <f t="shared" si="1321"/>
        <v>13</v>
      </c>
      <c r="N3111">
        <f t="shared" si="1310"/>
        <v>26</v>
      </c>
      <c r="O3111">
        <f t="shared" si="1322"/>
        <v>388</v>
      </c>
      <c r="P3111">
        <f t="shared" si="1323"/>
        <v>0.53846153846153844</v>
      </c>
      <c r="Q3111" t="str">
        <f t="shared" si="1311"/>
        <v>5.15% | 1.55%</v>
      </c>
      <c r="R3111" t="str">
        <f t="shared" si="1324"/>
        <v>BULLISH</v>
      </c>
      <c r="S3111">
        <f t="shared" si="1312"/>
        <v>1</v>
      </c>
    </row>
    <row r="3112" spans="1:19" hidden="1" x14ac:dyDescent="0.25">
      <c r="A3112" s="5" t="str">
        <f t="shared" si="1313"/>
        <v>44034AMZN</v>
      </c>
      <c r="B3112" s="6" t="s">
        <v>29</v>
      </c>
      <c r="C3112" s="6">
        <v>2901</v>
      </c>
      <c r="D3112" s="6">
        <v>3268</v>
      </c>
      <c r="E3112" s="6">
        <v>3138</v>
      </c>
      <c r="F3112" t="str">
        <f t="shared" si="1314"/>
        <v>WED</v>
      </c>
      <c r="G3112" s="1">
        <f t="shared" si="1315"/>
        <v>44034</v>
      </c>
      <c r="H3112" s="2">
        <f t="shared" ca="1" si="1316"/>
        <v>219</v>
      </c>
      <c r="I3112" t="str">
        <f t="shared" si="1317"/>
        <v>AMZN</v>
      </c>
      <c r="J3112">
        <f t="shared" si="1318"/>
        <v>2901</v>
      </c>
      <c r="K3112">
        <f t="shared" si="1319"/>
        <v>3268</v>
      </c>
      <c r="L3112">
        <f t="shared" si="1320"/>
        <v>3084.5</v>
      </c>
      <c r="M3112">
        <f t="shared" si="1321"/>
        <v>183.5</v>
      </c>
      <c r="N3112">
        <f t="shared" si="1310"/>
        <v>367</v>
      </c>
      <c r="O3112">
        <f t="shared" si="1322"/>
        <v>3138</v>
      </c>
      <c r="P3112">
        <f t="shared" si="1323"/>
        <v>0.29155313351498635</v>
      </c>
      <c r="Q3112" t="str">
        <f t="shared" si="1311"/>
        <v>7.55% | 4.14%</v>
      </c>
      <c r="R3112" t="str">
        <f t="shared" si="1324"/>
        <v>BULLISH</v>
      </c>
      <c r="S3112">
        <f t="shared" si="1312"/>
        <v>1</v>
      </c>
    </row>
    <row r="3113" spans="1:19" hidden="1" x14ac:dyDescent="0.25">
      <c r="A3113" s="5" t="str">
        <f t="shared" si="1313"/>
        <v>44034FB</v>
      </c>
      <c r="B3113" s="6" t="s">
        <v>30</v>
      </c>
      <c r="C3113" s="6">
        <v>235</v>
      </c>
      <c r="D3113" s="6">
        <v>247</v>
      </c>
      <c r="E3113" s="6">
        <v>241</v>
      </c>
      <c r="F3113" t="str">
        <f t="shared" si="1314"/>
        <v>WED</v>
      </c>
      <c r="G3113" s="1">
        <f t="shared" si="1315"/>
        <v>44034</v>
      </c>
      <c r="H3113" s="2">
        <f t="shared" ca="1" si="1316"/>
        <v>219</v>
      </c>
      <c r="I3113" t="str">
        <f t="shared" si="1317"/>
        <v>FB</v>
      </c>
      <c r="J3113">
        <f t="shared" si="1318"/>
        <v>235</v>
      </c>
      <c r="K3113">
        <f t="shared" si="1319"/>
        <v>247</v>
      </c>
      <c r="L3113">
        <f t="shared" si="1320"/>
        <v>241</v>
      </c>
      <c r="M3113">
        <f t="shared" si="1321"/>
        <v>6</v>
      </c>
      <c r="N3113">
        <f t="shared" si="1310"/>
        <v>12</v>
      </c>
      <c r="O3113">
        <f t="shared" si="1322"/>
        <v>241</v>
      </c>
      <c r="P3113">
        <f t="shared" si="1323"/>
        <v>0</v>
      </c>
      <c r="Q3113" t="str">
        <f t="shared" si="1311"/>
        <v>2.49% | 2.49%</v>
      </c>
      <c r="R3113" t="str">
        <f t="shared" si="1324"/>
        <v>BULLISH</v>
      </c>
      <c r="S3113">
        <f t="shared" si="1312"/>
        <v>1</v>
      </c>
    </row>
    <row r="3114" spans="1:19" hidden="1" x14ac:dyDescent="0.25">
      <c r="A3114" s="5" t="str">
        <f t="shared" si="1313"/>
        <v>44034GOOGL</v>
      </c>
      <c r="B3114" s="6" t="s">
        <v>31</v>
      </c>
      <c r="C3114" s="6">
        <v>1481</v>
      </c>
      <c r="D3114" s="6">
        <v>1566</v>
      </c>
      <c r="E3114" s="6">
        <v>1555</v>
      </c>
      <c r="F3114" t="str">
        <f t="shared" si="1314"/>
        <v>WED</v>
      </c>
      <c r="G3114" s="1">
        <f t="shared" si="1315"/>
        <v>44034</v>
      </c>
      <c r="H3114" s="2">
        <f t="shared" ca="1" si="1316"/>
        <v>219</v>
      </c>
      <c r="I3114" t="str">
        <f t="shared" si="1317"/>
        <v>GOOGL</v>
      </c>
      <c r="J3114">
        <f t="shared" si="1318"/>
        <v>1481</v>
      </c>
      <c r="K3114">
        <f t="shared" si="1319"/>
        <v>1566</v>
      </c>
      <c r="L3114">
        <f t="shared" si="1320"/>
        <v>1523.5</v>
      </c>
      <c r="M3114">
        <f t="shared" si="1321"/>
        <v>42.5</v>
      </c>
      <c r="N3114">
        <f t="shared" si="1310"/>
        <v>85</v>
      </c>
      <c r="O3114">
        <f t="shared" si="1322"/>
        <v>1555</v>
      </c>
      <c r="P3114">
        <f t="shared" si="1323"/>
        <v>0.74117647058823533</v>
      </c>
      <c r="Q3114" t="str">
        <f t="shared" si="1311"/>
        <v>4.76% | 0.71%</v>
      </c>
      <c r="R3114" t="str">
        <f t="shared" si="1324"/>
        <v>BULLISH</v>
      </c>
      <c r="S3114">
        <f t="shared" si="1312"/>
        <v>1</v>
      </c>
    </row>
    <row r="3115" spans="1:19" hidden="1" x14ac:dyDescent="0.25">
      <c r="A3115" s="5" t="str">
        <f t="shared" si="1313"/>
        <v>44034NFLX</v>
      </c>
      <c r="B3115" s="6" t="s">
        <v>70</v>
      </c>
      <c r="C3115" s="6">
        <v>478</v>
      </c>
      <c r="D3115" s="6">
        <v>516</v>
      </c>
      <c r="E3115" s="6">
        <v>490</v>
      </c>
      <c r="F3115" t="str">
        <f t="shared" si="1314"/>
        <v>WED</v>
      </c>
      <c r="G3115" s="1">
        <f t="shared" si="1315"/>
        <v>44034</v>
      </c>
      <c r="H3115" s="2">
        <f t="shared" ca="1" si="1316"/>
        <v>219</v>
      </c>
      <c r="I3115" t="str">
        <f t="shared" si="1317"/>
        <v>NFLX</v>
      </c>
      <c r="J3115">
        <f t="shared" si="1318"/>
        <v>478</v>
      </c>
      <c r="K3115">
        <f t="shared" si="1319"/>
        <v>516</v>
      </c>
      <c r="L3115">
        <f t="shared" si="1320"/>
        <v>497</v>
      </c>
      <c r="M3115">
        <f t="shared" si="1321"/>
        <v>19</v>
      </c>
      <c r="N3115">
        <f t="shared" si="1310"/>
        <v>38</v>
      </c>
      <c r="O3115">
        <f t="shared" si="1322"/>
        <v>490</v>
      </c>
      <c r="P3115">
        <f t="shared" si="1323"/>
        <v>-0.36842105263157893</v>
      </c>
      <c r="Q3115" t="str">
        <f t="shared" si="1311"/>
        <v>2.45% | 5.31%</v>
      </c>
      <c r="R3115" t="str">
        <f t="shared" si="1324"/>
        <v>NEUTRAL</v>
      </c>
      <c r="S3115">
        <f t="shared" si="1312"/>
        <v>0</v>
      </c>
    </row>
    <row r="3116" spans="1:19" x14ac:dyDescent="0.25">
      <c r="A3116" s="5" t="str">
        <f t="shared" si="1313"/>
        <v>44034TSLA</v>
      </c>
      <c r="B3116" s="6" t="s">
        <v>33</v>
      </c>
      <c r="C3116" s="6">
        <v>1395</v>
      </c>
      <c r="D3116" s="6">
        <v>1651</v>
      </c>
      <c r="E3116" s="6">
        <v>1568</v>
      </c>
      <c r="F3116" t="str">
        <f t="shared" si="1314"/>
        <v>WED</v>
      </c>
      <c r="G3116" s="1">
        <f t="shared" si="1315"/>
        <v>44034</v>
      </c>
      <c r="H3116" s="2">
        <f t="shared" ca="1" si="1316"/>
        <v>219</v>
      </c>
      <c r="I3116" t="str">
        <f t="shared" si="1317"/>
        <v>TSLA</v>
      </c>
      <c r="J3116">
        <f t="shared" si="1318"/>
        <v>1395</v>
      </c>
      <c r="K3116">
        <f t="shared" si="1319"/>
        <v>1651</v>
      </c>
      <c r="L3116">
        <f t="shared" si="1320"/>
        <v>1523</v>
      </c>
      <c r="M3116">
        <f t="shared" si="1321"/>
        <v>128</v>
      </c>
      <c r="N3116">
        <f t="shared" si="1310"/>
        <v>256</v>
      </c>
      <c r="O3116">
        <f t="shared" si="1322"/>
        <v>1568</v>
      </c>
      <c r="P3116">
        <f t="shared" si="1323"/>
        <v>0.3515625</v>
      </c>
      <c r="Q3116" t="str">
        <f t="shared" si="1311"/>
        <v>11.03% | 5.29%</v>
      </c>
      <c r="R3116" t="str">
        <f t="shared" si="1324"/>
        <v>BULLISH</v>
      </c>
      <c r="S3116">
        <f t="shared" si="1312"/>
        <v>1</v>
      </c>
    </row>
    <row r="3117" spans="1:19" hidden="1" x14ac:dyDescent="0.25">
      <c r="A3117" s="5" t="str">
        <f t="shared" si="1313"/>
        <v>44034NYXBT</v>
      </c>
      <c r="B3117" s="6" t="s">
        <v>60</v>
      </c>
      <c r="C3117" s="6">
        <v>9056</v>
      </c>
      <c r="D3117" s="6">
        <v>9459</v>
      </c>
      <c r="E3117" s="6">
        <v>9389</v>
      </c>
      <c r="F3117" t="str">
        <f t="shared" si="1314"/>
        <v>WED</v>
      </c>
      <c r="G3117" s="1">
        <f t="shared" si="1315"/>
        <v>44034</v>
      </c>
      <c r="H3117" s="2">
        <f t="shared" ca="1" si="1316"/>
        <v>219</v>
      </c>
      <c r="I3117" t="str">
        <f t="shared" si="1317"/>
        <v>NYXBT</v>
      </c>
      <c r="J3117">
        <f t="shared" si="1318"/>
        <v>9056</v>
      </c>
      <c r="K3117">
        <f t="shared" si="1319"/>
        <v>9459</v>
      </c>
      <c r="L3117">
        <f t="shared" si="1320"/>
        <v>9257.5</v>
      </c>
      <c r="M3117">
        <f t="shared" si="1321"/>
        <v>201.5</v>
      </c>
      <c r="N3117">
        <f t="shared" si="1310"/>
        <v>403</v>
      </c>
      <c r="O3117">
        <f t="shared" si="1322"/>
        <v>9389</v>
      </c>
      <c r="P3117">
        <f t="shared" si="1323"/>
        <v>0.65260545905707201</v>
      </c>
      <c r="Q3117" t="str">
        <f t="shared" si="1311"/>
        <v>3.55% | 0.75%</v>
      </c>
      <c r="R3117" t="str">
        <f t="shared" si="1324"/>
        <v>BULLISH</v>
      </c>
      <c r="S3117">
        <f t="shared" si="1312"/>
        <v>1</v>
      </c>
    </row>
    <row r="3118" spans="1:19" hidden="1" x14ac:dyDescent="0.25">
      <c r="A3118" s="5" t="str">
        <f t="shared" si="1313"/>
        <v>44035UST10Y</v>
      </c>
      <c r="B3118" s="6" t="s">
        <v>4</v>
      </c>
      <c r="C3118" s="6">
        <v>0.66</v>
      </c>
      <c r="D3118" s="6">
        <v>0.57999999999999996</v>
      </c>
      <c r="E3118" s="6">
        <v>0.6</v>
      </c>
      <c r="F3118" t="str">
        <f t="shared" si="1314"/>
        <v>THU</v>
      </c>
      <c r="G3118" s="3">
        <f>DATE(2020,7,23)</f>
        <v>44035</v>
      </c>
      <c r="H3118" s="2">
        <f t="shared" ca="1" si="1316"/>
        <v>218</v>
      </c>
      <c r="I3118" t="str">
        <f t="shared" si="1317"/>
        <v>UST10Y</v>
      </c>
      <c r="J3118">
        <f t="shared" si="1318"/>
        <v>0.66</v>
      </c>
      <c r="K3118">
        <f t="shared" si="1319"/>
        <v>0.57999999999999996</v>
      </c>
      <c r="L3118">
        <f t="shared" si="1320"/>
        <v>0.62</v>
      </c>
      <c r="M3118">
        <f t="shared" si="1321"/>
        <v>4.0000000000000036E-2</v>
      </c>
      <c r="N3118">
        <f t="shared" si="1310"/>
        <v>8.0000000000000071E-2</v>
      </c>
      <c r="O3118">
        <f t="shared" si="1322"/>
        <v>0.6</v>
      </c>
      <c r="P3118">
        <f t="shared" si="1323"/>
        <v>-0.5</v>
      </c>
      <c r="Q3118" t="str">
        <f t="shared" si="1311"/>
        <v>10% | 3.33%</v>
      </c>
      <c r="R3118" t="str">
        <f t="shared" si="1324"/>
        <v>BEARISH</v>
      </c>
      <c r="S3118">
        <f t="shared" si="1312"/>
        <v>-1</v>
      </c>
    </row>
    <row r="3119" spans="1:19" hidden="1" x14ac:dyDescent="0.25">
      <c r="A3119" s="5" t="str">
        <f t="shared" si="1313"/>
        <v>44035UST2Y</v>
      </c>
      <c r="B3119" s="6" t="s">
        <v>5</v>
      </c>
      <c r="C3119" s="6">
        <v>0.16</v>
      </c>
      <c r="D3119" s="6">
        <v>0.12</v>
      </c>
      <c r="E3119" s="6">
        <v>0.14000000000000001</v>
      </c>
      <c r="F3119" t="str">
        <f t="shared" ref="F3119:F3148" si="1325">UPPER(TEXT(G3119,"ddd"))</f>
        <v>THU</v>
      </c>
      <c r="G3119" s="3">
        <f t="shared" ref="G3119:G3147" si="1326">DATE(2020,7,23)</f>
        <v>44035</v>
      </c>
      <c r="H3119" s="2">
        <f t="shared" ref="H3119:H3148" ca="1" si="1327">TODAY()-G3119</f>
        <v>218</v>
      </c>
      <c r="I3119" t="str">
        <f t="shared" ref="I3119:I3148" si="1328">TRIM(LEFT(B3119,FIND(" ",B3119,1)))</f>
        <v>UST2Y</v>
      </c>
      <c r="J3119">
        <f t="shared" ref="J3119:J3148" si="1329">C3119</f>
        <v>0.16</v>
      </c>
      <c r="K3119">
        <f t="shared" ref="K3119:K3148" si="1330">D3119</f>
        <v>0.12</v>
      </c>
      <c r="L3119">
        <f t="shared" ref="L3119:L3148" si="1331">AVERAGE(J3119:K3119)</f>
        <v>0.14000000000000001</v>
      </c>
      <c r="M3119">
        <f t="shared" ref="M3119:M3148" si="1332">_xlfn.STDEV.P(J3119:K3119)</f>
        <v>1.9999999999999938E-2</v>
      </c>
      <c r="N3119">
        <f t="shared" si="1310"/>
        <v>4.0000000000000008E-2</v>
      </c>
      <c r="O3119">
        <f t="shared" ref="O3119:O3148" si="1333">E3119</f>
        <v>0.14000000000000001</v>
      </c>
      <c r="P3119">
        <f t="shared" ref="P3119:P3148" si="1334">(O3119-L3119)/M3119</f>
        <v>0</v>
      </c>
      <c r="Q3119" t="str">
        <f t="shared" si="1311"/>
        <v>14.29% | 14.29%</v>
      </c>
      <c r="R3119" t="str">
        <f t="shared" ref="R3119:R3148" si="1335">MID(B3119,FIND("(",B3119,1)+1,FIND(")",B3119,1)-FIND("(",B3119,1)-1)</f>
        <v>BEARISH</v>
      </c>
      <c r="S3119">
        <f t="shared" si="1312"/>
        <v>-1</v>
      </c>
    </row>
    <row r="3120" spans="1:19" hidden="1" x14ac:dyDescent="0.25">
      <c r="A3120" s="5" t="str">
        <f t="shared" si="1313"/>
        <v>44035SPX</v>
      </c>
      <c r="B3120" s="6" t="s">
        <v>160</v>
      </c>
      <c r="C3120" s="6">
        <v>3157</v>
      </c>
      <c r="D3120" s="6">
        <v>3293</v>
      </c>
      <c r="E3120" s="6">
        <v>3276</v>
      </c>
      <c r="F3120" t="str">
        <f t="shared" si="1325"/>
        <v>THU</v>
      </c>
      <c r="G3120" s="3">
        <f t="shared" si="1326"/>
        <v>44035</v>
      </c>
      <c r="H3120" s="2">
        <f t="shared" ca="1" si="1327"/>
        <v>218</v>
      </c>
      <c r="I3120" t="str">
        <f t="shared" si="1328"/>
        <v>SPX</v>
      </c>
      <c r="J3120">
        <f t="shared" si="1329"/>
        <v>3157</v>
      </c>
      <c r="K3120">
        <f t="shared" si="1330"/>
        <v>3293</v>
      </c>
      <c r="L3120">
        <f t="shared" si="1331"/>
        <v>3225</v>
      </c>
      <c r="M3120">
        <f t="shared" si="1332"/>
        <v>68</v>
      </c>
      <c r="N3120">
        <f t="shared" si="1310"/>
        <v>136</v>
      </c>
      <c r="O3120">
        <f t="shared" si="1333"/>
        <v>3276</v>
      </c>
      <c r="P3120">
        <f t="shared" si="1334"/>
        <v>0.75</v>
      </c>
      <c r="Q3120" t="str">
        <f t="shared" si="1311"/>
        <v>3.63% | 0.52%</v>
      </c>
      <c r="R3120" t="str">
        <f t="shared" si="1335"/>
        <v>bullish</v>
      </c>
      <c r="S3120">
        <f t="shared" si="1312"/>
        <v>1</v>
      </c>
    </row>
    <row r="3121" spans="1:19" hidden="1" x14ac:dyDescent="0.25">
      <c r="A3121" s="5" t="str">
        <f t="shared" si="1313"/>
        <v>44035RUT</v>
      </c>
      <c r="B3121" s="6" t="s">
        <v>7</v>
      </c>
      <c r="C3121" s="6">
        <v>1399</v>
      </c>
      <c r="D3121" s="6">
        <v>1520</v>
      </c>
      <c r="E3121" s="6">
        <v>1490</v>
      </c>
      <c r="F3121" t="str">
        <f t="shared" si="1325"/>
        <v>THU</v>
      </c>
      <c r="G3121" s="3">
        <f t="shared" si="1326"/>
        <v>44035</v>
      </c>
      <c r="H3121" s="2">
        <f t="shared" ca="1" si="1327"/>
        <v>218</v>
      </c>
      <c r="I3121" t="str">
        <f t="shared" si="1328"/>
        <v>RUT</v>
      </c>
      <c r="J3121">
        <f t="shared" si="1329"/>
        <v>1399</v>
      </c>
      <c r="K3121">
        <f t="shared" si="1330"/>
        <v>1520</v>
      </c>
      <c r="L3121">
        <f t="shared" si="1331"/>
        <v>1459.5</v>
      </c>
      <c r="M3121">
        <f t="shared" si="1332"/>
        <v>60.5</v>
      </c>
      <c r="N3121">
        <f t="shared" si="1310"/>
        <v>121</v>
      </c>
      <c r="O3121">
        <f t="shared" si="1333"/>
        <v>1490</v>
      </c>
      <c r="P3121">
        <f t="shared" si="1334"/>
        <v>0.50413223140495866</v>
      </c>
      <c r="Q3121" t="str">
        <f t="shared" si="1311"/>
        <v>6.11% | 2.01%</v>
      </c>
      <c r="R3121" t="str">
        <f t="shared" si="1335"/>
        <v>BEARISH</v>
      </c>
      <c r="S3121">
        <f t="shared" si="1312"/>
        <v>-1</v>
      </c>
    </row>
    <row r="3122" spans="1:19" hidden="1" x14ac:dyDescent="0.25">
      <c r="A3122" s="5" t="str">
        <f t="shared" si="1313"/>
        <v>44035COMPQ</v>
      </c>
      <c r="B3122" s="6" t="s">
        <v>8</v>
      </c>
      <c r="C3122" s="6">
        <v>10341</v>
      </c>
      <c r="D3122" s="6">
        <v>10812</v>
      </c>
      <c r="E3122" s="6">
        <v>10706</v>
      </c>
      <c r="F3122" t="str">
        <f t="shared" si="1325"/>
        <v>THU</v>
      </c>
      <c r="G3122" s="3">
        <f t="shared" si="1326"/>
        <v>44035</v>
      </c>
      <c r="H3122" s="2">
        <f t="shared" ca="1" si="1327"/>
        <v>218</v>
      </c>
      <c r="I3122" t="str">
        <f t="shared" si="1328"/>
        <v>COMPQ</v>
      </c>
      <c r="J3122">
        <f t="shared" si="1329"/>
        <v>10341</v>
      </c>
      <c r="K3122">
        <f t="shared" si="1330"/>
        <v>10812</v>
      </c>
      <c r="L3122">
        <f t="shared" si="1331"/>
        <v>10576.5</v>
      </c>
      <c r="M3122">
        <f t="shared" si="1332"/>
        <v>235.5</v>
      </c>
      <c r="N3122">
        <f t="shared" si="1310"/>
        <v>471</v>
      </c>
      <c r="O3122">
        <f t="shared" si="1333"/>
        <v>10706</v>
      </c>
      <c r="P3122">
        <f t="shared" si="1334"/>
        <v>0.54989384288747345</v>
      </c>
      <c r="Q3122" t="str">
        <f t="shared" si="1311"/>
        <v>3.41% | 0.99%</v>
      </c>
      <c r="R3122" t="str">
        <f t="shared" si="1335"/>
        <v>BULLISH</v>
      </c>
      <c r="S3122">
        <f t="shared" si="1312"/>
        <v>1</v>
      </c>
    </row>
    <row r="3123" spans="1:19" hidden="1" x14ac:dyDescent="0.25">
      <c r="A3123" s="5" t="str">
        <f t="shared" si="1313"/>
        <v>44035XLK</v>
      </c>
      <c r="B3123" s="6" t="s">
        <v>10</v>
      </c>
      <c r="C3123" s="6">
        <v>105.2</v>
      </c>
      <c r="D3123" s="6">
        <v>110.32</v>
      </c>
      <c r="E3123" s="6">
        <v>109.33</v>
      </c>
      <c r="F3123" t="str">
        <f t="shared" si="1325"/>
        <v>THU</v>
      </c>
      <c r="G3123" s="3">
        <f t="shared" si="1326"/>
        <v>44035</v>
      </c>
      <c r="H3123" s="2">
        <f t="shared" ca="1" si="1327"/>
        <v>218</v>
      </c>
      <c r="I3123" t="str">
        <f t="shared" si="1328"/>
        <v>XLK</v>
      </c>
      <c r="J3123">
        <f t="shared" si="1329"/>
        <v>105.2</v>
      </c>
      <c r="K3123">
        <f t="shared" si="1330"/>
        <v>110.32</v>
      </c>
      <c r="L3123">
        <f t="shared" si="1331"/>
        <v>107.75999999999999</v>
      </c>
      <c r="M3123">
        <f t="shared" si="1332"/>
        <v>2.5599999999999952</v>
      </c>
      <c r="N3123">
        <f t="shared" si="1310"/>
        <v>5.1199999999999903</v>
      </c>
      <c r="O3123">
        <f t="shared" si="1333"/>
        <v>109.33</v>
      </c>
      <c r="P3123">
        <f t="shared" si="1334"/>
        <v>0.613281250000004</v>
      </c>
      <c r="Q3123" t="str">
        <f t="shared" si="1311"/>
        <v>3.78% | 0.91%</v>
      </c>
      <c r="R3123" t="str">
        <f t="shared" si="1335"/>
        <v>BULLISH</v>
      </c>
      <c r="S3123">
        <f t="shared" si="1312"/>
        <v>1</v>
      </c>
    </row>
    <row r="3124" spans="1:19" hidden="1" x14ac:dyDescent="0.25">
      <c r="A3124" s="5" t="str">
        <f t="shared" si="1313"/>
        <v>44035XLRE</v>
      </c>
      <c r="B3124" s="6" t="s">
        <v>97</v>
      </c>
      <c r="C3124" s="6">
        <v>34.270000000000003</v>
      </c>
      <c r="D3124" s="6">
        <v>35.64</v>
      </c>
      <c r="E3124" s="6">
        <v>35.119999999999997</v>
      </c>
      <c r="F3124" t="str">
        <f t="shared" si="1325"/>
        <v>THU</v>
      </c>
      <c r="G3124" s="3">
        <f t="shared" si="1326"/>
        <v>44035</v>
      </c>
      <c r="H3124" s="2">
        <f t="shared" ca="1" si="1327"/>
        <v>218</v>
      </c>
      <c r="I3124" t="str">
        <f t="shared" si="1328"/>
        <v>XLRE</v>
      </c>
      <c r="J3124">
        <f t="shared" si="1329"/>
        <v>34.270000000000003</v>
      </c>
      <c r="K3124">
        <f t="shared" si="1330"/>
        <v>35.64</v>
      </c>
      <c r="L3124">
        <f t="shared" si="1331"/>
        <v>34.954999999999998</v>
      </c>
      <c r="M3124">
        <f t="shared" si="1332"/>
        <v>0.68499999999999872</v>
      </c>
      <c r="N3124">
        <f t="shared" si="1310"/>
        <v>1.3699999999999974</v>
      </c>
      <c r="O3124">
        <f t="shared" si="1333"/>
        <v>35.119999999999997</v>
      </c>
      <c r="P3124">
        <f t="shared" si="1334"/>
        <v>0.24087591240875833</v>
      </c>
      <c r="Q3124" t="str">
        <f t="shared" si="1311"/>
        <v>2.42% | 1.48%</v>
      </c>
      <c r="R3124" t="str">
        <f t="shared" si="1335"/>
        <v>BULLISH</v>
      </c>
      <c r="S3124">
        <f t="shared" si="1312"/>
        <v>1</v>
      </c>
    </row>
    <row r="3125" spans="1:19" hidden="1" x14ac:dyDescent="0.25">
      <c r="A3125" s="5" t="str">
        <f t="shared" si="1313"/>
        <v>44035XLU</v>
      </c>
      <c r="B3125" s="6" t="s">
        <v>52</v>
      </c>
      <c r="C3125" s="6">
        <v>56.94</v>
      </c>
      <c r="D3125" s="6">
        <v>61.06</v>
      </c>
      <c r="E3125" s="6">
        <v>60.61</v>
      </c>
      <c r="F3125" t="str">
        <f t="shared" si="1325"/>
        <v>THU</v>
      </c>
      <c r="G3125" s="3">
        <f t="shared" si="1326"/>
        <v>44035</v>
      </c>
      <c r="H3125" s="2">
        <f t="shared" ca="1" si="1327"/>
        <v>218</v>
      </c>
      <c r="I3125" t="str">
        <f t="shared" si="1328"/>
        <v>XLU</v>
      </c>
      <c r="J3125">
        <f t="shared" si="1329"/>
        <v>56.94</v>
      </c>
      <c r="K3125">
        <f t="shared" si="1330"/>
        <v>61.06</v>
      </c>
      <c r="L3125">
        <f t="shared" si="1331"/>
        <v>59</v>
      </c>
      <c r="M3125">
        <f t="shared" si="1332"/>
        <v>2.0600000000000023</v>
      </c>
      <c r="N3125">
        <f t="shared" si="1310"/>
        <v>4.1200000000000045</v>
      </c>
      <c r="O3125">
        <f t="shared" si="1333"/>
        <v>60.61</v>
      </c>
      <c r="P3125">
        <f t="shared" si="1334"/>
        <v>0.7815533980582513</v>
      </c>
      <c r="Q3125" t="str">
        <f t="shared" si="1311"/>
        <v>6.06% | 0.74%</v>
      </c>
      <c r="R3125" t="str">
        <f t="shared" si="1335"/>
        <v>BULLISH</v>
      </c>
      <c r="S3125">
        <f t="shared" si="1312"/>
        <v>1</v>
      </c>
    </row>
    <row r="3126" spans="1:19" hidden="1" x14ac:dyDescent="0.25">
      <c r="A3126" s="5" t="str">
        <f t="shared" si="1313"/>
        <v>44035XLF</v>
      </c>
      <c r="B3126" s="6" t="s">
        <v>12</v>
      </c>
      <c r="C3126" s="6">
        <v>22.23</v>
      </c>
      <c r="D3126" s="6">
        <v>24.64</v>
      </c>
      <c r="E3126" s="6">
        <v>24.31</v>
      </c>
      <c r="F3126" t="str">
        <f t="shared" si="1325"/>
        <v>THU</v>
      </c>
      <c r="G3126" s="3">
        <f t="shared" si="1326"/>
        <v>44035</v>
      </c>
      <c r="H3126" s="2">
        <f t="shared" ca="1" si="1327"/>
        <v>218</v>
      </c>
      <c r="I3126" t="str">
        <f t="shared" si="1328"/>
        <v>XLF</v>
      </c>
      <c r="J3126">
        <f t="shared" si="1329"/>
        <v>22.23</v>
      </c>
      <c r="K3126">
        <f t="shared" si="1330"/>
        <v>24.64</v>
      </c>
      <c r="L3126">
        <f t="shared" si="1331"/>
        <v>23.435000000000002</v>
      </c>
      <c r="M3126">
        <f t="shared" si="1332"/>
        <v>1.2050000000000001</v>
      </c>
      <c r="N3126">
        <f t="shared" si="1310"/>
        <v>2.41</v>
      </c>
      <c r="O3126">
        <f t="shared" si="1333"/>
        <v>24.31</v>
      </c>
      <c r="P3126">
        <f t="shared" si="1334"/>
        <v>0.72614107883817125</v>
      </c>
      <c r="Q3126" t="str">
        <f t="shared" si="1311"/>
        <v>8.56% | 1.36%</v>
      </c>
      <c r="R3126" t="str">
        <f t="shared" si="1335"/>
        <v>BEARISH</v>
      </c>
      <c r="S3126">
        <f t="shared" si="1312"/>
        <v>-1</v>
      </c>
    </row>
    <row r="3127" spans="1:19" hidden="1" x14ac:dyDescent="0.25">
      <c r="A3127" s="5" t="str">
        <f t="shared" si="1313"/>
        <v>44035SSEC</v>
      </c>
      <c r="B3127" s="6" t="s">
        <v>104</v>
      </c>
      <c r="C3127" s="6">
        <v>3170</v>
      </c>
      <c r="D3127" s="6">
        <v>3485</v>
      </c>
      <c r="E3127" s="6">
        <v>3325</v>
      </c>
      <c r="F3127" t="str">
        <f t="shared" si="1325"/>
        <v>THU</v>
      </c>
      <c r="G3127" s="3">
        <f t="shared" si="1326"/>
        <v>44035</v>
      </c>
      <c r="H3127" s="2">
        <f t="shared" ca="1" si="1327"/>
        <v>218</v>
      </c>
      <c r="I3127" t="str">
        <f t="shared" si="1328"/>
        <v>SSEC</v>
      </c>
      <c r="J3127">
        <f t="shared" si="1329"/>
        <v>3170</v>
      </c>
      <c r="K3127">
        <f t="shared" si="1330"/>
        <v>3485</v>
      </c>
      <c r="L3127">
        <f t="shared" si="1331"/>
        <v>3327.5</v>
      </c>
      <c r="M3127">
        <f t="shared" si="1332"/>
        <v>157.5</v>
      </c>
      <c r="N3127">
        <f t="shared" si="1310"/>
        <v>315</v>
      </c>
      <c r="O3127">
        <f t="shared" si="1333"/>
        <v>3325</v>
      </c>
      <c r="P3127">
        <f t="shared" si="1334"/>
        <v>-1.5873015873015872E-2</v>
      </c>
      <c r="Q3127" t="str">
        <f t="shared" si="1311"/>
        <v>4.66% | 4.81%</v>
      </c>
      <c r="R3127" t="str">
        <f t="shared" si="1335"/>
        <v>BULLISH</v>
      </c>
      <c r="S3127">
        <f t="shared" si="1312"/>
        <v>1</v>
      </c>
    </row>
    <row r="3128" spans="1:19" hidden="1" x14ac:dyDescent="0.25">
      <c r="A3128" s="5" t="str">
        <f t="shared" si="1313"/>
        <v>44035NIKK</v>
      </c>
      <c r="B3128" s="6" t="s">
        <v>90</v>
      </c>
      <c r="C3128" s="6">
        <v>22346</v>
      </c>
      <c r="D3128" s="6">
        <v>23081</v>
      </c>
      <c r="E3128" s="6">
        <v>22751</v>
      </c>
      <c r="F3128" t="str">
        <f t="shared" si="1325"/>
        <v>THU</v>
      </c>
      <c r="G3128" s="3">
        <f t="shared" si="1326"/>
        <v>44035</v>
      </c>
      <c r="H3128" s="2">
        <f t="shared" ca="1" si="1327"/>
        <v>218</v>
      </c>
      <c r="I3128" t="str">
        <f t="shared" si="1328"/>
        <v>NIKK</v>
      </c>
      <c r="J3128">
        <f t="shared" si="1329"/>
        <v>22346</v>
      </c>
      <c r="K3128">
        <f t="shared" si="1330"/>
        <v>23081</v>
      </c>
      <c r="L3128">
        <f t="shared" si="1331"/>
        <v>22713.5</v>
      </c>
      <c r="M3128">
        <f t="shared" si="1332"/>
        <v>367.5</v>
      </c>
      <c r="N3128">
        <f t="shared" si="1310"/>
        <v>735</v>
      </c>
      <c r="O3128">
        <f t="shared" si="1333"/>
        <v>22751</v>
      </c>
      <c r="P3128">
        <f t="shared" si="1334"/>
        <v>0.10204081632653061</v>
      </c>
      <c r="Q3128" t="str">
        <f t="shared" si="1311"/>
        <v>1.78% | 1.45%</v>
      </c>
      <c r="R3128" t="str">
        <f t="shared" si="1335"/>
        <v>NEUTRAL</v>
      </c>
      <c r="S3128">
        <f t="shared" si="1312"/>
        <v>0</v>
      </c>
    </row>
    <row r="3129" spans="1:19" hidden="1" x14ac:dyDescent="0.25">
      <c r="A3129" s="5" t="str">
        <f t="shared" si="1313"/>
        <v>44035DAX</v>
      </c>
      <c r="B3129" s="6" t="s">
        <v>98</v>
      </c>
      <c r="C3129" s="6">
        <v>12570</v>
      </c>
      <c r="D3129" s="6">
        <v>13251</v>
      </c>
      <c r="E3129" s="6">
        <v>13104</v>
      </c>
      <c r="F3129" t="str">
        <f t="shared" si="1325"/>
        <v>THU</v>
      </c>
      <c r="G3129" s="3">
        <f t="shared" si="1326"/>
        <v>44035</v>
      </c>
      <c r="H3129" s="2">
        <f t="shared" ca="1" si="1327"/>
        <v>218</v>
      </c>
      <c r="I3129" t="str">
        <f t="shared" si="1328"/>
        <v>DAX</v>
      </c>
      <c r="J3129">
        <f t="shared" si="1329"/>
        <v>12570</v>
      </c>
      <c r="K3129">
        <f t="shared" si="1330"/>
        <v>13251</v>
      </c>
      <c r="L3129">
        <f t="shared" si="1331"/>
        <v>12910.5</v>
      </c>
      <c r="M3129">
        <f t="shared" si="1332"/>
        <v>340.5</v>
      </c>
      <c r="N3129">
        <f t="shared" si="1310"/>
        <v>681</v>
      </c>
      <c r="O3129">
        <f t="shared" si="1333"/>
        <v>13104</v>
      </c>
      <c r="P3129">
        <f t="shared" si="1334"/>
        <v>0.56828193832599116</v>
      </c>
      <c r="Q3129" t="str">
        <f t="shared" si="1311"/>
        <v>4.08% | 1.12%</v>
      </c>
      <c r="R3129" t="str">
        <f t="shared" si="1335"/>
        <v>BULLISH</v>
      </c>
      <c r="S3129">
        <f t="shared" si="1312"/>
        <v>1</v>
      </c>
    </row>
    <row r="3130" spans="1:19" hidden="1" x14ac:dyDescent="0.25">
      <c r="A3130" s="5" t="str">
        <f t="shared" si="1313"/>
        <v>44035VIX</v>
      </c>
      <c r="B3130" s="6" t="s">
        <v>96</v>
      </c>
      <c r="C3130" s="6">
        <v>22.08</v>
      </c>
      <c r="D3130" s="6">
        <v>32.159999999999997</v>
      </c>
      <c r="E3130" s="6">
        <v>24.32</v>
      </c>
      <c r="F3130" t="str">
        <f t="shared" si="1325"/>
        <v>THU</v>
      </c>
      <c r="G3130" s="3">
        <f t="shared" si="1326"/>
        <v>44035</v>
      </c>
      <c r="H3130" s="2">
        <f t="shared" ca="1" si="1327"/>
        <v>218</v>
      </c>
      <c r="I3130" t="str">
        <f t="shared" si="1328"/>
        <v>VIX</v>
      </c>
      <c r="J3130">
        <f t="shared" si="1329"/>
        <v>22.08</v>
      </c>
      <c r="K3130">
        <f t="shared" si="1330"/>
        <v>32.159999999999997</v>
      </c>
      <c r="L3130">
        <f t="shared" si="1331"/>
        <v>27.119999999999997</v>
      </c>
      <c r="M3130">
        <f t="shared" si="1332"/>
        <v>5.0400000000000027</v>
      </c>
      <c r="N3130">
        <f t="shared" si="1310"/>
        <v>10.079999999999998</v>
      </c>
      <c r="O3130">
        <f t="shared" si="1333"/>
        <v>24.32</v>
      </c>
      <c r="P3130">
        <f t="shared" si="1334"/>
        <v>-0.55555555555555469</v>
      </c>
      <c r="Q3130" t="str">
        <f t="shared" si="1311"/>
        <v>9.21% | 32.24%</v>
      </c>
      <c r="R3130" t="str">
        <f t="shared" si="1335"/>
        <v>BEARISH</v>
      </c>
      <c r="S3130">
        <f t="shared" si="1312"/>
        <v>-1</v>
      </c>
    </row>
    <row r="3131" spans="1:19" hidden="1" x14ac:dyDescent="0.25">
      <c r="A3131" s="5" t="str">
        <f t="shared" si="1313"/>
        <v>44035USD</v>
      </c>
      <c r="B3131" s="6" t="s">
        <v>94</v>
      </c>
      <c r="C3131" s="6">
        <v>94.61</v>
      </c>
      <c r="D3131" s="6">
        <v>96.56</v>
      </c>
      <c r="E3131" s="6">
        <v>94.92</v>
      </c>
      <c r="F3131" t="str">
        <f t="shared" si="1325"/>
        <v>THU</v>
      </c>
      <c r="G3131" s="3">
        <f t="shared" si="1326"/>
        <v>44035</v>
      </c>
      <c r="H3131" s="2">
        <f t="shared" ca="1" si="1327"/>
        <v>218</v>
      </c>
      <c r="I3131" t="str">
        <f t="shared" si="1328"/>
        <v>USD</v>
      </c>
      <c r="J3131">
        <f t="shared" si="1329"/>
        <v>94.61</v>
      </c>
      <c r="K3131">
        <f t="shared" si="1330"/>
        <v>96.56</v>
      </c>
      <c r="L3131">
        <f t="shared" si="1331"/>
        <v>95.585000000000008</v>
      </c>
      <c r="M3131">
        <f t="shared" si="1332"/>
        <v>0.97500000000000142</v>
      </c>
      <c r="N3131">
        <f t="shared" si="1310"/>
        <v>1.9500000000000028</v>
      </c>
      <c r="O3131">
        <f t="shared" si="1333"/>
        <v>94.92</v>
      </c>
      <c r="P3131">
        <f t="shared" si="1334"/>
        <v>-0.68205128205128751</v>
      </c>
      <c r="Q3131" t="str">
        <f t="shared" si="1311"/>
        <v>0.33% | 1.73%</v>
      </c>
      <c r="R3131" t="str">
        <f t="shared" si="1335"/>
        <v>BEARISH</v>
      </c>
      <c r="S3131">
        <f t="shared" si="1312"/>
        <v>-1</v>
      </c>
    </row>
    <row r="3132" spans="1:19" hidden="1" x14ac:dyDescent="0.25">
      <c r="A3132" s="5" t="str">
        <f t="shared" si="1313"/>
        <v>44035EUR/USD</v>
      </c>
      <c r="B3132" s="6" t="s">
        <v>99</v>
      </c>
      <c r="C3132" s="6">
        <v>1.1299999999999999</v>
      </c>
      <c r="D3132" s="6">
        <v>1.1599999999999999</v>
      </c>
      <c r="E3132" s="6">
        <v>1.1499999999999999</v>
      </c>
      <c r="F3132" t="str">
        <f t="shared" si="1325"/>
        <v>THU</v>
      </c>
      <c r="G3132" s="3">
        <f t="shared" si="1326"/>
        <v>44035</v>
      </c>
      <c r="H3132" s="2">
        <f t="shared" ca="1" si="1327"/>
        <v>218</v>
      </c>
      <c r="I3132" t="str">
        <f t="shared" si="1328"/>
        <v>EUR/USD</v>
      </c>
      <c r="J3132">
        <f t="shared" si="1329"/>
        <v>1.1299999999999999</v>
      </c>
      <c r="K3132">
        <f t="shared" si="1330"/>
        <v>1.1599999999999999</v>
      </c>
      <c r="L3132">
        <f t="shared" si="1331"/>
        <v>1.145</v>
      </c>
      <c r="M3132">
        <f t="shared" si="1332"/>
        <v>1.5000000000000013E-2</v>
      </c>
      <c r="N3132">
        <f t="shared" si="1310"/>
        <v>3.0000000000000027E-2</v>
      </c>
      <c r="O3132">
        <f t="shared" si="1333"/>
        <v>1.1499999999999999</v>
      </c>
      <c r="P3132">
        <f t="shared" si="1334"/>
        <v>0.33333333333332593</v>
      </c>
      <c r="Q3132" t="str">
        <f t="shared" si="1311"/>
        <v>1.74% | 0.87%</v>
      </c>
      <c r="R3132" t="str">
        <f t="shared" si="1335"/>
        <v>BULLISH</v>
      </c>
      <c r="S3132">
        <f t="shared" si="1312"/>
        <v>1</v>
      </c>
    </row>
    <row r="3133" spans="1:19" hidden="1" x14ac:dyDescent="0.25">
      <c r="A3133" s="5" t="str">
        <f t="shared" si="1313"/>
        <v>44035USD/JPY</v>
      </c>
      <c r="B3133" s="6" t="s">
        <v>20</v>
      </c>
      <c r="C3133" s="6">
        <v>106.63</v>
      </c>
      <c r="D3133" s="6">
        <v>107.58</v>
      </c>
      <c r="E3133" s="6">
        <v>107.18</v>
      </c>
      <c r="F3133" t="str">
        <f t="shared" si="1325"/>
        <v>THU</v>
      </c>
      <c r="G3133" s="3">
        <f t="shared" si="1326"/>
        <v>44035</v>
      </c>
      <c r="H3133" s="2">
        <f t="shared" ca="1" si="1327"/>
        <v>218</v>
      </c>
      <c r="I3133" t="str">
        <f t="shared" si="1328"/>
        <v>USD/JPY</v>
      </c>
      <c r="J3133">
        <f t="shared" si="1329"/>
        <v>106.63</v>
      </c>
      <c r="K3133">
        <f t="shared" si="1330"/>
        <v>107.58</v>
      </c>
      <c r="L3133">
        <f t="shared" si="1331"/>
        <v>107.10499999999999</v>
      </c>
      <c r="M3133">
        <f t="shared" si="1332"/>
        <v>0.47500000000000142</v>
      </c>
      <c r="N3133">
        <f t="shared" si="1310"/>
        <v>0.95000000000000284</v>
      </c>
      <c r="O3133">
        <f t="shared" si="1333"/>
        <v>107.18</v>
      </c>
      <c r="P3133">
        <f t="shared" si="1334"/>
        <v>0.1578947368421407</v>
      </c>
      <c r="Q3133" t="str">
        <f t="shared" si="1311"/>
        <v>0.51% | 0.37%</v>
      </c>
      <c r="R3133" t="str">
        <f t="shared" si="1335"/>
        <v>BEARISH</v>
      </c>
      <c r="S3133">
        <f t="shared" si="1312"/>
        <v>-1</v>
      </c>
    </row>
    <row r="3134" spans="1:19" hidden="1" x14ac:dyDescent="0.25">
      <c r="A3134" s="5" t="str">
        <f t="shared" si="1313"/>
        <v>44035GBP/USD</v>
      </c>
      <c r="B3134" s="6" t="s">
        <v>102</v>
      </c>
      <c r="C3134" s="6">
        <v>1.24</v>
      </c>
      <c r="D3134" s="6">
        <v>1.27</v>
      </c>
      <c r="E3134" s="6">
        <v>1.27</v>
      </c>
      <c r="F3134" t="str">
        <f t="shared" si="1325"/>
        <v>THU</v>
      </c>
      <c r="G3134" s="3">
        <f t="shared" si="1326"/>
        <v>44035</v>
      </c>
      <c r="H3134" s="2">
        <f t="shared" ca="1" si="1327"/>
        <v>218</v>
      </c>
      <c r="I3134" t="str">
        <f t="shared" si="1328"/>
        <v>GBP/USD</v>
      </c>
      <c r="J3134">
        <f t="shared" si="1329"/>
        <v>1.24</v>
      </c>
      <c r="K3134">
        <f t="shared" si="1330"/>
        <v>1.27</v>
      </c>
      <c r="L3134">
        <f t="shared" si="1331"/>
        <v>1.2549999999999999</v>
      </c>
      <c r="M3134">
        <f t="shared" si="1332"/>
        <v>1.5000000000000013E-2</v>
      </c>
      <c r="N3134">
        <f t="shared" si="1310"/>
        <v>3.0000000000000027E-2</v>
      </c>
      <c r="O3134">
        <f t="shared" si="1333"/>
        <v>1.27</v>
      </c>
      <c r="P3134">
        <f t="shared" si="1334"/>
        <v>1.0000000000000073</v>
      </c>
      <c r="Q3134" t="str">
        <f t="shared" si="1311"/>
        <v>2.36% | 0%</v>
      </c>
      <c r="R3134" t="str">
        <f t="shared" si="1335"/>
        <v>BULLISH</v>
      </c>
      <c r="S3134">
        <f t="shared" si="1312"/>
        <v>1</v>
      </c>
    </row>
    <row r="3135" spans="1:19" hidden="1" x14ac:dyDescent="0.25">
      <c r="A3135" s="5" t="str">
        <f t="shared" si="1313"/>
        <v>44035USD/CHF</v>
      </c>
      <c r="B3135" s="6" t="s">
        <v>76</v>
      </c>
      <c r="C3135" s="6">
        <v>0.92</v>
      </c>
      <c r="D3135" s="6">
        <v>0.94</v>
      </c>
      <c r="E3135" s="6">
        <v>0.92</v>
      </c>
      <c r="F3135" t="str">
        <f t="shared" si="1325"/>
        <v>THU</v>
      </c>
      <c r="G3135" s="3">
        <f t="shared" si="1326"/>
        <v>44035</v>
      </c>
      <c r="H3135" s="2">
        <f t="shared" ca="1" si="1327"/>
        <v>218</v>
      </c>
      <c r="I3135" t="str">
        <f t="shared" si="1328"/>
        <v>USD/CHF</v>
      </c>
      <c r="J3135">
        <f t="shared" si="1329"/>
        <v>0.92</v>
      </c>
      <c r="K3135">
        <f t="shared" si="1330"/>
        <v>0.94</v>
      </c>
      <c r="L3135">
        <f t="shared" si="1331"/>
        <v>0.92999999999999994</v>
      </c>
      <c r="M3135">
        <f t="shared" si="1332"/>
        <v>9.9999999999999534E-3</v>
      </c>
      <c r="N3135">
        <f t="shared" si="1310"/>
        <v>1.9999999999999907E-2</v>
      </c>
      <c r="O3135">
        <f t="shared" si="1333"/>
        <v>0.92</v>
      </c>
      <c r="P3135">
        <f t="shared" si="1334"/>
        <v>-0.99999999999999445</v>
      </c>
      <c r="Q3135" t="str">
        <f t="shared" si="1311"/>
        <v>0% | 2.17%</v>
      </c>
      <c r="R3135" t="str">
        <f t="shared" si="1335"/>
        <v>BEARISH</v>
      </c>
      <c r="S3135">
        <f t="shared" si="1312"/>
        <v>-1</v>
      </c>
    </row>
    <row r="3136" spans="1:19" hidden="1" x14ac:dyDescent="0.25">
      <c r="A3136" s="5" t="str">
        <f t="shared" si="1313"/>
        <v>44035WTIC</v>
      </c>
      <c r="B3136" s="6" t="s">
        <v>158</v>
      </c>
      <c r="C3136" s="6">
        <v>39.49</v>
      </c>
      <c r="D3136" s="6">
        <v>42.46</v>
      </c>
      <c r="E3136" s="6">
        <v>41.9</v>
      </c>
      <c r="F3136" t="str">
        <f t="shared" si="1325"/>
        <v>THU</v>
      </c>
      <c r="G3136" s="3">
        <f t="shared" si="1326"/>
        <v>44035</v>
      </c>
      <c r="H3136" s="2">
        <f t="shared" ca="1" si="1327"/>
        <v>218</v>
      </c>
      <c r="I3136" t="str">
        <f t="shared" si="1328"/>
        <v>WTIC</v>
      </c>
      <c r="J3136">
        <f t="shared" si="1329"/>
        <v>39.49</v>
      </c>
      <c r="K3136">
        <f t="shared" si="1330"/>
        <v>42.46</v>
      </c>
      <c r="L3136">
        <f t="shared" si="1331"/>
        <v>40.975000000000001</v>
      </c>
      <c r="M3136">
        <f t="shared" si="1332"/>
        <v>1.4849999999999994</v>
      </c>
      <c r="N3136">
        <f t="shared" si="1310"/>
        <v>2.9699999999999989</v>
      </c>
      <c r="O3136">
        <f t="shared" si="1333"/>
        <v>41.9</v>
      </c>
      <c r="P3136">
        <f t="shared" si="1334"/>
        <v>0.62289562289562117</v>
      </c>
      <c r="Q3136" t="str">
        <f t="shared" si="1311"/>
        <v>5.75% | 1.34%</v>
      </c>
      <c r="R3136" t="str">
        <f t="shared" si="1335"/>
        <v>BULLISH</v>
      </c>
      <c r="S3136">
        <f t="shared" si="1312"/>
        <v>1</v>
      </c>
    </row>
    <row r="3137" spans="1:19" hidden="1" x14ac:dyDescent="0.25">
      <c r="A3137" s="5" t="str">
        <f t="shared" si="1313"/>
        <v>44035NATGAS</v>
      </c>
      <c r="B3137" s="6" t="s">
        <v>87</v>
      </c>
      <c r="C3137" s="6">
        <v>1.61</v>
      </c>
      <c r="D3137" s="6">
        <v>1.87</v>
      </c>
      <c r="E3137" s="6">
        <v>1.68</v>
      </c>
      <c r="F3137" t="str">
        <f t="shared" si="1325"/>
        <v>THU</v>
      </c>
      <c r="G3137" s="3">
        <f t="shared" si="1326"/>
        <v>44035</v>
      </c>
      <c r="H3137" s="2">
        <f t="shared" ca="1" si="1327"/>
        <v>218</v>
      </c>
      <c r="I3137" t="str">
        <f t="shared" si="1328"/>
        <v>NATGAS</v>
      </c>
      <c r="J3137">
        <f t="shared" si="1329"/>
        <v>1.61</v>
      </c>
      <c r="K3137">
        <f t="shared" si="1330"/>
        <v>1.87</v>
      </c>
      <c r="L3137">
        <f t="shared" si="1331"/>
        <v>1.7400000000000002</v>
      </c>
      <c r="M3137">
        <f t="shared" si="1332"/>
        <v>0.13</v>
      </c>
      <c r="N3137">
        <f t="shared" si="1310"/>
        <v>0.26</v>
      </c>
      <c r="O3137">
        <f t="shared" si="1333"/>
        <v>1.68</v>
      </c>
      <c r="P3137">
        <f t="shared" si="1334"/>
        <v>-0.46153846153846362</v>
      </c>
      <c r="Q3137" t="str">
        <f t="shared" si="1311"/>
        <v>4.17% | 11.31%</v>
      </c>
      <c r="R3137" t="str">
        <f t="shared" si="1335"/>
        <v>NEUTRAL</v>
      </c>
      <c r="S3137">
        <f t="shared" si="1312"/>
        <v>0</v>
      </c>
    </row>
    <row r="3138" spans="1:19" hidden="1" x14ac:dyDescent="0.25">
      <c r="A3138" s="5" t="str">
        <f t="shared" si="1313"/>
        <v>44035GOLD</v>
      </c>
      <c r="B3138" s="6" t="s">
        <v>25</v>
      </c>
      <c r="C3138" s="6">
        <v>1795</v>
      </c>
      <c r="D3138" s="6">
        <v>1885</v>
      </c>
      <c r="E3138" s="6">
        <v>1865</v>
      </c>
      <c r="F3138" t="str">
        <f t="shared" si="1325"/>
        <v>THU</v>
      </c>
      <c r="G3138" s="3">
        <f t="shared" si="1326"/>
        <v>44035</v>
      </c>
      <c r="H3138" s="2">
        <f t="shared" ca="1" si="1327"/>
        <v>218</v>
      </c>
      <c r="I3138" t="str">
        <f t="shared" si="1328"/>
        <v>GOLD</v>
      </c>
      <c r="J3138">
        <f t="shared" si="1329"/>
        <v>1795</v>
      </c>
      <c r="K3138">
        <f t="shared" si="1330"/>
        <v>1885</v>
      </c>
      <c r="L3138">
        <f t="shared" si="1331"/>
        <v>1840</v>
      </c>
      <c r="M3138">
        <f t="shared" si="1332"/>
        <v>45</v>
      </c>
      <c r="N3138">
        <f t="shared" si="1310"/>
        <v>90</v>
      </c>
      <c r="O3138">
        <f t="shared" si="1333"/>
        <v>1865</v>
      </c>
      <c r="P3138">
        <f t="shared" si="1334"/>
        <v>0.55555555555555558</v>
      </c>
      <c r="Q3138" t="str">
        <f t="shared" si="1311"/>
        <v>3.75% | 1.07%</v>
      </c>
      <c r="R3138" t="str">
        <f t="shared" si="1335"/>
        <v>BULLISH</v>
      </c>
      <c r="S3138">
        <f t="shared" si="1312"/>
        <v>1</v>
      </c>
    </row>
    <row r="3139" spans="1:19" hidden="1" x14ac:dyDescent="0.25">
      <c r="A3139" s="5" t="str">
        <f t="shared" si="1313"/>
        <v>44035COPPER</v>
      </c>
      <c r="B3139" s="6" t="s">
        <v>100</v>
      </c>
      <c r="C3139" s="6">
        <v>2.86</v>
      </c>
      <c r="D3139" s="6">
        <v>2.98</v>
      </c>
      <c r="E3139" s="6">
        <v>2.92</v>
      </c>
      <c r="F3139" t="str">
        <f t="shared" si="1325"/>
        <v>THU</v>
      </c>
      <c r="G3139" s="3">
        <f t="shared" si="1326"/>
        <v>44035</v>
      </c>
      <c r="H3139" s="2">
        <f t="shared" ca="1" si="1327"/>
        <v>218</v>
      </c>
      <c r="I3139" t="str">
        <f t="shared" si="1328"/>
        <v>COPPER</v>
      </c>
      <c r="J3139">
        <f t="shared" si="1329"/>
        <v>2.86</v>
      </c>
      <c r="K3139">
        <f t="shared" si="1330"/>
        <v>2.98</v>
      </c>
      <c r="L3139">
        <f t="shared" si="1331"/>
        <v>2.92</v>
      </c>
      <c r="M3139">
        <f t="shared" si="1332"/>
        <v>6.0000000000000053E-2</v>
      </c>
      <c r="N3139">
        <f t="shared" ref="N3139:N3202" si="1336">ABS(K3139-J3139)</f>
        <v>0.12000000000000011</v>
      </c>
      <c r="O3139">
        <f t="shared" si="1333"/>
        <v>2.92</v>
      </c>
      <c r="P3139">
        <f t="shared" si="1334"/>
        <v>0</v>
      </c>
      <c r="Q3139" t="str">
        <f t="shared" ref="Q3139:Q3202" si="1337">ROUND(ABS(100*(O3139-J3139)/O3139),2)&amp;"% | "&amp;ROUND(ABS(100*(K3139-O3139)/O3139),2)&amp;"%"</f>
        <v>2.05% | 2.05%</v>
      </c>
      <c r="R3139" t="str">
        <f t="shared" si="1335"/>
        <v>BULLISH</v>
      </c>
      <c r="S3139">
        <f t="shared" ref="S3139:S3202" si="1338">IF(R3139="BEARISH",-1,IF(R3139="NEUTRAL",0,IF(R3139="BULLISH",1,99)))</f>
        <v>1</v>
      </c>
    </row>
    <row r="3140" spans="1:19" hidden="1" x14ac:dyDescent="0.25">
      <c r="A3140" s="5" t="str">
        <f t="shared" ref="A3140:A3203" si="1339">G3140&amp;I3140</f>
        <v>44035MSFT</v>
      </c>
      <c r="B3140" s="6" t="s">
        <v>27</v>
      </c>
      <c r="C3140" s="6">
        <v>201</v>
      </c>
      <c r="D3140" s="6">
        <v>215</v>
      </c>
      <c r="E3140" s="6">
        <v>211</v>
      </c>
      <c r="F3140" t="str">
        <f t="shared" si="1325"/>
        <v>THU</v>
      </c>
      <c r="G3140" s="3">
        <f t="shared" si="1326"/>
        <v>44035</v>
      </c>
      <c r="H3140" s="2">
        <f t="shared" ca="1" si="1327"/>
        <v>218</v>
      </c>
      <c r="I3140" t="str">
        <f t="shared" si="1328"/>
        <v>MSFT</v>
      </c>
      <c r="J3140">
        <f t="shared" si="1329"/>
        <v>201</v>
      </c>
      <c r="K3140">
        <f t="shared" si="1330"/>
        <v>215</v>
      </c>
      <c r="L3140">
        <f t="shared" si="1331"/>
        <v>208</v>
      </c>
      <c r="M3140">
        <f t="shared" si="1332"/>
        <v>7</v>
      </c>
      <c r="N3140">
        <f t="shared" si="1336"/>
        <v>14</v>
      </c>
      <c r="O3140">
        <f t="shared" si="1333"/>
        <v>211</v>
      </c>
      <c r="P3140">
        <f t="shared" si="1334"/>
        <v>0.42857142857142855</v>
      </c>
      <c r="Q3140" t="str">
        <f t="shared" si="1337"/>
        <v>4.74% | 1.9%</v>
      </c>
      <c r="R3140" t="str">
        <f t="shared" si="1335"/>
        <v>BULLISH</v>
      </c>
      <c r="S3140">
        <f t="shared" si="1338"/>
        <v>1</v>
      </c>
    </row>
    <row r="3141" spans="1:19" hidden="1" x14ac:dyDescent="0.25">
      <c r="A3141" s="5" t="str">
        <f t="shared" si="1339"/>
        <v>44035AAPL</v>
      </c>
      <c r="B3141" s="6" t="s">
        <v>28</v>
      </c>
      <c r="C3141" s="6">
        <v>378</v>
      </c>
      <c r="D3141" s="6">
        <v>394</v>
      </c>
      <c r="E3141" s="6">
        <v>389</v>
      </c>
      <c r="F3141" t="str">
        <f t="shared" si="1325"/>
        <v>THU</v>
      </c>
      <c r="G3141" s="3">
        <f t="shared" si="1326"/>
        <v>44035</v>
      </c>
      <c r="H3141" s="2">
        <f t="shared" ca="1" si="1327"/>
        <v>218</v>
      </c>
      <c r="I3141" t="str">
        <f t="shared" si="1328"/>
        <v>AAPL</v>
      </c>
      <c r="J3141">
        <f t="shared" si="1329"/>
        <v>378</v>
      </c>
      <c r="K3141">
        <f t="shared" si="1330"/>
        <v>394</v>
      </c>
      <c r="L3141">
        <f t="shared" si="1331"/>
        <v>386</v>
      </c>
      <c r="M3141">
        <f t="shared" si="1332"/>
        <v>8</v>
      </c>
      <c r="N3141">
        <f t="shared" si="1336"/>
        <v>16</v>
      </c>
      <c r="O3141">
        <f t="shared" si="1333"/>
        <v>389</v>
      </c>
      <c r="P3141">
        <f t="shared" si="1334"/>
        <v>0.375</v>
      </c>
      <c r="Q3141" t="str">
        <f t="shared" si="1337"/>
        <v>2.83% | 1.29%</v>
      </c>
      <c r="R3141" t="str">
        <f t="shared" si="1335"/>
        <v>BULLISH</v>
      </c>
      <c r="S3141">
        <f t="shared" si="1338"/>
        <v>1</v>
      </c>
    </row>
    <row r="3142" spans="1:19" hidden="1" x14ac:dyDescent="0.25">
      <c r="A3142" s="5" t="str">
        <f t="shared" si="1339"/>
        <v>44035AMZN</v>
      </c>
      <c r="B3142" s="6" t="s">
        <v>29</v>
      </c>
      <c r="C3142" s="6">
        <v>2927</v>
      </c>
      <c r="D3142" s="6">
        <v>3250</v>
      </c>
      <c r="E3142" s="6">
        <v>3099</v>
      </c>
      <c r="F3142" t="str">
        <f t="shared" si="1325"/>
        <v>THU</v>
      </c>
      <c r="G3142" s="3">
        <f t="shared" si="1326"/>
        <v>44035</v>
      </c>
      <c r="H3142" s="2">
        <f t="shared" ca="1" si="1327"/>
        <v>218</v>
      </c>
      <c r="I3142" t="str">
        <f t="shared" si="1328"/>
        <v>AMZN</v>
      </c>
      <c r="J3142">
        <f t="shared" si="1329"/>
        <v>2927</v>
      </c>
      <c r="K3142">
        <f t="shared" si="1330"/>
        <v>3250</v>
      </c>
      <c r="L3142">
        <f t="shared" si="1331"/>
        <v>3088.5</v>
      </c>
      <c r="M3142">
        <f t="shared" si="1332"/>
        <v>161.5</v>
      </c>
      <c r="N3142">
        <f t="shared" si="1336"/>
        <v>323</v>
      </c>
      <c r="O3142">
        <f t="shared" si="1333"/>
        <v>3099</v>
      </c>
      <c r="P3142">
        <f t="shared" si="1334"/>
        <v>6.5015479876160992E-2</v>
      </c>
      <c r="Q3142" t="str">
        <f t="shared" si="1337"/>
        <v>5.55% | 4.87%</v>
      </c>
      <c r="R3142" t="str">
        <f t="shared" si="1335"/>
        <v>BULLISH</v>
      </c>
      <c r="S3142">
        <f t="shared" si="1338"/>
        <v>1</v>
      </c>
    </row>
    <row r="3143" spans="1:19" hidden="1" x14ac:dyDescent="0.25">
      <c r="A3143" s="5" t="str">
        <f t="shared" si="1339"/>
        <v>44035FB</v>
      </c>
      <c r="B3143" s="6" t="s">
        <v>30</v>
      </c>
      <c r="C3143" s="6">
        <v>235</v>
      </c>
      <c r="D3143" s="6">
        <v>246</v>
      </c>
      <c r="E3143" s="6">
        <v>239</v>
      </c>
      <c r="F3143" t="str">
        <f t="shared" si="1325"/>
        <v>THU</v>
      </c>
      <c r="G3143" s="3">
        <f t="shared" si="1326"/>
        <v>44035</v>
      </c>
      <c r="H3143" s="2">
        <f t="shared" ca="1" si="1327"/>
        <v>218</v>
      </c>
      <c r="I3143" t="str">
        <f t="shared" si="1328"/>
        <v>FB</v>
      </c>
      <c r="J3143">
        <f t="shared" si="1329"/>
        <v>235</v>
      </c>
      <c r="K3143">
        <f t="shared" si="1330"/>
        <v>246</v>
      </c>
      <c r="L3143">
        <f t="shared" si="1331"/>
        <v>240.5</v>
      </c>
      <c r="M3143">
        <f t="shared" si="1332"/>
        <v>5.5</v>
      </c>
      <c r="N3143">
        <f t="shared" si="1336"/>
        <v>11</v>
      </c>
      <c r="O3143">
        <f t="shared" si="1333"/>
        <v>239</v>
      </c>
      <c r="P3143">
        <f t="shared" si="1334"/>
        <v>-0.27272727272727271</v>
      </c>
      <c r="Q3143" t="str">
        <f t="shared" si="1337"/>
        <v>1.67% | 2.93%</v>
      </c>
      <c r="R3143" t="str">
        <f t="shared" si="1335"/>
        <v>BULLISH</v>
      </c>
      <c r="S3143">
        <f t="shared" si="1338"/>
        <v>1</v>
      </c>
    </row>
    <row r="3144" spans="1:19" hidden="1" x14ac:dyDescent="0.25">
      <c r="A3144" s="5" t="str">
        <f t="shared" si="1339"/>
        <v>44035GOOGL</v>
      </c>
      <c r="B3144" s="6" t="s">
        <v>31</v>
      </c>
      <c r="C3144" s="6">
        <v>1493</v>
      </c>
      <c r="D3144" s="6">
        <v>1580</v>
      </c>
      <c r="E3144" s="6">
        <v>1564</v>
      </c>
      <c r="F3144" t="str">
        <f t="shared" si="1325"/>
        <v>THU</v>
      </c>
      <c r="G3144" s="3">
        <f t="shared" si="1326"/>
        <v>44035</v>
      </c>
      <c r="H3144" s="2">
        <f t="shared" ca="1" si="1327"/>
        <v>218</v>
      </c>
      <c r="I3144" t="str">
        <f t="shared" si="1328"/>
        <v>GOOGL</v>
      </c>
      <c r="J3144">
        <f t="shared" si="1329"/>
        <v>1493</v>
      </c>
      <c r="K3144">
        <f t="shared" si="1330"/>
        <v>1580</v>
      </c>
      <c r="L3144">
        <f t="shared" si="1331"/>
        <v>1536.5</v>
      </c>
      <c r="M3144">
        <f t="shared" si="1332"/>
        <v>43.5</v>
      </c>
      <c r="N3144">
        <f t="shared" si="1336"/>
        <v>87</v>
      </c>
      <c r="O3144">
        <f t="shared" si="1333"/>
        <v>1564</v>
      </c>
      <c r="P3144">
        <f t="shared" si="1334"/>
        <v>0.63218390804597702</v>
      </c>
      <c r="Q3144" t="str">
        <f t="shared" si="1337"/>
        <v>4.54% | 1.02%</v>
      </c>
      <c r="R3144" t="str">
        <f t="shared" si="1335"/>
        <v>BULLISH</v>
      </c>
      <c r="S3144">
        <f t="shared" si="1338"/>
        <v>1</v>
      </c>
    </row>
    <row r="3145" spans="1:19" hidden="1" x14ac:dyDescent="0.25">
      <c r="A3145" s="5" t="str">
        <f t="shared" si="1339"/>
        <v>44035NFLX</v>
      </c>
      <c r="B3145" s="6" t="s">
        <v>70</v>
      </c>
      <c r="C3145" s="6">
        <v>473</v>
      </c>
      <c r="D3145" s="6">
        <v>516</v>
      </c>
      <c r="E3145" s="6">
        <v>489</v>
      </c>
      <c r="F3145" t="str">
        <f t="shared" si="1325"/>
        <v>THU</v>
      </c>
      <c r="G3145" s="3">
        <f t="shared" si="1326"/>
        <v>44035</v>
      </c>
      <c r="H3145" s="2">
        <f t="shared" ca="1" si="1327"/>
        <v>218</v>
      </c>
      <c r="I3145" t="str">
        <f t="shared" si="1328"/>
        <v>NFLX</v>
      </c>
      <c r="J3145">
        <f t="shared" si="1329"/>
        <v>473</v>
      </c>
      <c r="K3145">
        <f t="shared" si="1330"/>
        <v>516</v>
      </c>
      <c r="L3145">
        <f t="shared" si="1331"/>
        <v>494.5</v>
      </c>
      <c r="M3145">
        <f t="shared" si="1332"/>
        <v>21.5</v>
      </c>
      <c r="N3145">
        <f t="shared" si="1336"/>
        <v>43</v>
      </c>
      <c r="O3145">
        <f t="shared" si="1333"/>
        <v>489</v>
      </c>
      <c r="P3145">
        <f t="shared" si="1334"/>
        <v>-0.2558139534883721</v>
      </c>
      <c r="Q3145" t="str">
        <f t="shared" si="1337"/>
        <v>3.27% | 5.52%</v>
      </c>
      <c r="R3145" t="str">
        <f t="shared" si="1335"/>
        <v>NEUTRAL</v>
      </c>
      <c r="S3145">
        <f t="shared" si="1338"/>
        <v>0</v>
      </c>
    </row>
    <row r="3146" spans="1:19" x14ac:dyDescent="0.25">
      <c r="A3146" s="5" t="str">
        <f t="shared" si="1339"/>
        <v>44035TSLA</v>
      </c>
      <c r="B3146" s="6" t="s">
        <v>33</v>
      </c>
      <c r="C3146" s="6">
        <v>1450</v>
      </c>
      <c r="D3146" s="6">
        <v>1688</v>
      </c>
      <c r="E3146" s="6">
        <v>1592</v>
      </c>
      <c r="F3146" t="str">
        <f t="shared" si="1325"/>
        <v>THU</v>
      </c>
      <c r="G3146" s="3">
        <f t="shared" si="1326"/>
        <v>44035</v>
      </c>
      <c r="H3146" s="2">
        <f t="shared" ca="1" si="1327"/>
        <v>218</v>
      </c>
      <c r="I3146" t="str">
        <f t="shared" si="1328"/>
        <v>TSLA</v>
      </c>
      <c r="J3146">
        <f t="shared" si="1329"/>
        <v>1450</v>
      </c>
      <c r="K3146">
        <f t="shared" si="1330"/>
        <v>1688</v>
      </c>
      <c r="L3146">
        <f t="shared" si="1331"/>
        <v>1569</v>
      </c>
      <c r="M3146">
        <f t="shared" si="1332"/>
        <v>119</v>
      </c>
      <c r="N3146">
        <f t="shared" si="1336"/>
        <v>238</v>
      </c>
      <c r="O3146">
        <f t="shared" si="1333"/>
        <v>1592</v>
      </c>
      <c r="P3146">
        <f t="shared" si="1334"/>
        <v>0.19327731092436976</v>
      </c>
      <c r="Q3146" t="str">
        <f t="shared" si="1337"/>
        <v>8.92% | 6.03%</v>
      </c>
      <c r="R3146" t="str">
        <f t="shared" si="1335"/>
        <v>BULLISH</v>
      </c>
      <c r="S3146">
        <f t="shared" si="1338"/>
        <v>1</v>
      </c>
    </row>
    <row r="3147" spans="1:19" hidden="1" x14ac:dyDescent="0.25">
      <c r="A3147" s="5" t="str">
        <f t="shared" si="1339"/>
        <v>44035NYXBT</v>
      </c>
      <c r="B3147" s="6" t="s">
        <v>60</v>
      </c>
      <c r="C3147" s="6">
        <v>9074</v>
      </c>
      <c r="D3147" s="6">
        <v>9532</v>
      </c>
      <c r="E3147" s="6">
        <v>9325</v>
      </c>
      <c r="F3147" t="str">
        <f t="shared" si="1325"/>
        <v>THU</v>
      </c>
      <c r="G3147" s="3">
        <f t="shared" si="1326"/>
        <v>44035</v>
      </c>
      <c r="H3147" s="2">
        <f t="shared" ca="1" si="1327"/>
        <v>218</v>
      </c>
      <c r="I3147" t="str">
        <f t="shared" si="1328"/>
        <v>NYXBT</v>
      </c>
      <c r="J3147">
        <f t="shared" si="1329"/>
        <v>9074</v>
      </c>
      <c r="K3147">
        <f t="shared" si="1330"/>
        <v>9532</v>
      </c>
      <c r="L3147">
        <f t="shared" si="1331"/>
        <v>9303</v>
      </c>
      <c r="M3147">
        <f t="shared" si="1332"/>
        <v>229</v>
      </c>
      <c r="N3147">
        <f t="shared" si="1336"/>
        <v>458</v>
      </c>
      <c r="O3147">
        <f t="shared" si="1333"/>
        <v>9325</v>
      </c>
      <c r="P3147">
        <f t="shared" si="1334"/>
        <v>9.606986899563319E-2</v>
      </c>
      <c r="Q3147" t="str">
        <f t="shared" si="1337"/>
        <v>2.69% | 2.22%</v>
      </c>
      <c r="R3147" t="str">
        <f t="shared" si="1335"/>
        <v>BULLISH</v>
      </c>
      <c r="S3147">
        <f t="shared" si="1338"/>
        <v>1</v>
      </c>
    </row>
    <row r="3148" spans="1:19" hidden="1" x14ac:dyDescent="0.25">
      <c r="A3148" s="5" t="str">
        <f t="shared" si="1339"/>
        <v>44036UST10Y</v>
      </c>
      <c r="B3148" s="6" t="s">
        <v>4</v>
      </c>
      <c r="C3148" s="6">
        <v>0.65</v>
      </c>
      <c r="D3148" s="6">
        <v>0.56999999999999995</v>
      </c>
      <c r="E3148" s="6">
        <v>0.59</v>
      </c>
      <c r="F3148" t="str">
        <f t="shared" si="1325"/>
        <v>FRI</v>
      </c>
      <c r="G3148" s="1">
        <f>DATE(2020,7,24)</f>
        <v>44036</v>
      </c>
      <c r="H3148" s="2">
        <f t="shared" ca="1" si="1327"/>
        <v>217</v>
      </c>
      <c r="I3148" t="str">
        <f t="shared" si="1328"/>
        <v>UST10Y</v>
      </c>
      <c r="J3148">
        <f t="shared" si="1329"/>
        <v>0.65</v>
      </c>
      <c r="K3148">
        <f t="shared" si="1330"/>
        <v>0.56999999999999995</v>
      </c>
      <c r="L3148">
        <f t="shared" si="1331"/>
        <v>0.61</v>
      </c>
      <c r="M3148">
        <f t="shared" si="1332"/>
        <v>4.0000000000000036E-2</v>
      </c>
      <c r="N3148">
        <f t="shared" si="1336"/>
        <v>8.0000000000000071E-2</v>
      </c>
      <c r="O3148">
        <f t="shared" si="1333"/>
        <v>0.59</v>
      </c>
      <c r="P3148">
        <f t="shared" si="1334"/>
        <v>-0.5</v>
      </c>
      <c r="Q3148" t="str">
        <f t="shared" si="1337"/>
        <v>10.17% | 3.39%</v>
      </c>
      <c r="R3148" t="str">
        <f t="shared" si="1335"/>
        <v>BEARISH</v>
      </c>
      <c r="S3148">
        <f t="shared" si="1338"/>
        <v>-1</v>
      </c>
    </row>
    <row r="3149" spans="1:19" hidden="1" x14ac:dyDescent="0.25">
      <c r="A3149" s="5" t="str">
        <f t="shared" si="1339"/>
        <v>44036UST2Y</v>
      </c>
      <c r="B3149" s="6" t="s">
        <v>5</v>
      </c>
      <c r="C3149" s="6">
        <v>0.16</v>
      </c>
      <c r="D3149" s="6">
        <v>0.12</v>
      </c>
      <c r="E3149" s="6">
        <v>0.16</v>
      </c>
      <c r="F3149" t="str">
        <f t="shared" ref="F3149:F3178" si="1340">UPPER(TEXT(G3149,"ddd"))</f>
        <v>FRI</v>
      </c>
      <c r="G3149" s="1">
        <f t="shared" ref="G3149:G3177" si="1341">DATE(2020,7,24)</f>
        <v>44036</v>
      </c>
      <c r="H3149" s="2">
        <f t="shared" ref="H3149:H3178" ca="1" si="1342">TODAY()-G3149</f>
        <v>217</v>
      </c>
      <c r="I3149" t="str">
        <f t="shared" ref="I3149:I3178" si="1343">TRIM(LEFT(B3149,FIND(" ",B3149,1)))</f>
        <v>UST2Y</v>
      </c>
      <c r="J3149">
        <f t="shared" ref="J3149:J3178" si="1344">C3149</f>
        <v>0.16</v>
      </c>
      <c r="K3149">
        <f t="shared" ref="K3149:K3178" si="1345">D3149</f>
        <v>0.12</v>
      </c>
      <c r="L3149">
        <f t="shared" ref="L3149:L3178" si="1346">AVERAGE(J3149:K3149)</f>
        <v>0.14000000000000001</v>
      </c>
      <c r="M3149">
        <f t="shared" ref="M3149:M3178" si="1347">_xlfn.STDEV.P(J3149:K3149)</f>
        <v>1.9999999999999938E-2</v>
      </c>
      <c r="N3149">
        <f t="shared" si="1336"/>
        <v>4.0000000000000008E-2</v>
      </c>
      <c r="O3149">
        <f t="shared" ref="O3149:O3178" si="1348">E3149</f>
        <v>0.16</v>
      </c>
      <c r="P3149">
        <f t="shared" ref="P3149:P3178" si="1349">(O3149-L3149)/M3149</f>
        <v>1.0000000000000027</v>
      </c>
      <c r="Q3149" t="str">
        <f t="shared" si="1337"/>
        <v>0% | 25%</v>
      </c>
      <c r="R3149" t="str">
        <f t="shared" ref="R3149:R3178" si="1350">MID(B3149,FIND("(",B3149,1)+1,FIND(")",B3149,1)-FIND("(",B3149,1)-1)</f>
        <v>BEARISH</v>
      </c>
      <c r="S3149">
        <f t="shared" si="1338"/>
        <v>-1</v>
      </c>
    </row>
    <row r="3150" spans="1:19" hidden="1" x14ac:dyDescent="0.25">
      <c r="A3150" s="5" t="str">
        <f t="shared" si="1339"/>
        <v>44036SPX</v>
      </c>
      <c r="B3150" s="6" t="s">
        <v>51</v>
      </c>
      <c r="C3150" s="6">
        <v>3158</v>
      </c>
      <c r="D3150" s="6">
        <v>3289</v>
      </c>
      <c r="E3150" s="6">
        <v>3235</v>
      </c>
      <c r="F3150" t="str">
        <f t="shared" si="1340"/>
        <v>FRI</v>
      </c>
      <c r="G3150" s="1">
        <f t="shared" si="1341"/>
        <v>44036</v>
      </c>
      <c r="H3150" s="2">
        <f t="shared" ca="1" si="1342"/>
        <v>217</v>
      </c>
      <c r="I3150" t="str">
        <f t="shared" si="1343"/>
        <v>SPX</v>
      </c>
      <c r="J3150">
        <f t="shared" si="1344"/>
        <v>3158</v>
      </c>
      <c r="K3150">
        <f t="shared" si="1345"/>
        <v>3289</v>
      </c>
      <c r="L3150">
        <f t="shared" si="1346"/>
        <v>3223.5</v>
      </c>
      <c r="M3150">
        <f t="shared" si="1347"/>
        <v>65.5</v>
      </c>
      <c r="N3150">
        <f t="shared" si="1336"/>
        <v>131</v>
      </c>
      <c r="O3150">
        <f t="shared" si="1348"/>
        <v>3235</v>
      </c>
      <c r="P3150">
        <f t="shared" si="1349"/>
        <v>0.17557251908396945</v>
      </c>
      <c r="Q3150" t="str">
        <f t="shared" si="1337"/>
        <v>2.38% | 1.67%</v>
      </c>
      <c r="R3150" t="str">
        <f t="shared" si="1350"/>
        <v>NEUTRAL</v>
      </c>
      <c r="S3150">
        <f t="shared" si="1338"/>
        <v>0</v>
      </c>
    </row>
    <row r="3151" spans="1:19" hidden="1" x14ac:dyDescent="0.25">
      <c r="A3151" s="5" t="str">
        <f t="shared" si="1339"/>
        <v>44036RUT</v>
      </c>
      <c r="B3151" s="6" t="s">
        <v>7</v>
      </c>
      <c r="C3151" s="6">
        <v>1399</v>
      </c>
      <c r="D3151" s="6">
        <v>1523</v>
      </c>
      <c r="E3151" s="6">
        <v>1490</v>
      </c>
      <c r="F3151" t="str">
        <f t="shared" si="1340"/>
        <v>FRI</v>
      </c>
      <c r="G3151" s="1">
        <f t="shared" si="1341"/>
        <v>44036</v>
      </c>
      <c r="H3151" s="2">
        <f t="shared" ca="1" si="1342"/>
        <v>217</v>
      </c>
      <c r="I3151" t="str">
        <f t="shared" si="1343"/>
        <v>RUT</v>
      </c>
      <c r="J3151">
        <f t="shared" si="1344"/>
        <v>1399</v>
      </c>
      <c r="K3151">
        <f t="shared" si="1345"/>
        <v>1523</v>
      </c>
      <c r="L3151">
        <f t="shared" si="1346"/>
        <v>1461</v>
      </c>
      <c r="M3151">
        <f t="shared" si="1347"/>
        <v>62</v>
      </c>
      <c r="N3151">
        <f t="shared" si="1336"/>
        <v>124</v>
      </c>
      <c r="O3151">
        <f t="shared" si="1348"/>
        <v>1490</v>
      </c>
      <c r="P3151">
        <f t="shared" si="1349"/>
        <v>0.46774193548387094</v>
      </c>
      <c r="Q3151" t="str">
        <f t="shared" si="1337"/>
        <v>6.11% | 2.21%</v>
      </c>
      <c r="R3151" t="str">
        <f t="shared" si="1350"/>
        <v>BEARISH</v>
      </c>
      <c r="S3151">
        <f t="shared" si="1338"/>
        <v>-1</v>
      </c>
    </row>
    <row r="3152" spans="1:19" hidden="1" x14ac:dyDescent="0.25">
      <c r="A3152" s="5" t="str">
        <f t="shared" si="1339"/>
        <v>44036COMPQ</v>
      </c>
      <c r="B3152" s="6" t="s">
        <v>8</v>
      </c>
      <c r="C3152" s="6">
        <v>10277</v>
      </c>
      <c r="D3152" s="6">
        <v>10801</v>
      </c>
      <c r="E3152" s="6">
        <v>10461</v>
      </c>
      <c r="F3152" t="str">
        <f t="shared" si="1340"/>
        <v>FRI</v>
      </c>
      <c r="G3152" s="1">
        <f t="shared" si="1341"/>
        <v>44036</v>
      </c>
      <c r="H3152" s="2">
        <f t="shared" ca="1" si="1342"/>
        <v>217</v>
      </c>
      <c r="I3152" t="str">
        <f t="shared" si="1343"/>
        <v>COMPQ</v>
      </c>
      <c r="J3152">
        <f t="shared" si="1344"/>
        <v>10277</v>
      </c>
      <c r="K3152">
        <f t="shared" si="1345"/>
        <v>10801</v>
      </c>
      <c r="L3152">
        <f t="shared" si="1346"/>
        <v>10539</v>
      </c>
      <c r="M3152">
        <f t="shared" si="1347"/>
        <v>262</v>
      </c>
      <c r="N3152">
        <f t="shared" si="1336"/>
        <v>524</v>
      </c>
      <c r="O3152">
        <f t="shared" si="1348"/>
        <v>10461</v>
      </c>
      <c r="P3152">
        <f t="shared" si="1349"/>
        <v>-0.29770992366412213</v>
      </c>
      <c r="Q3152" t="str">
        <f t="shared" si="1337"/>
        <v>1.76% | 3.25%</v>
      </c>
      <c r="R3152" t="str">
        <f t="shared" si="1350"/>
        <v>BULLISH</v>
      </c>
      <c r="S3152">
        <f t="shared" si="1338"/>
        <v>1</v>
      </c>
    </row>
    <row r="3153" spans="1:19" hidden="1" x14ac:dyDescent="0.25">
      <c r="A3153" s="5" t="str">
        <f t="shared" si="1339"/>
        <v>44036XLK</v>
      </c>
      <c r="B3153" s="6" t="s">
        <v>10</v>
      </c>
      <c r="C3153" s="6">
        <v>104.76</v>
      </c>
      <c r="D3153" s="6">
        <v>110.13</v>
      </c>
      <c r="E3153" s="6">
        <v>106.49</v>
      </c>
      <c r="F3153" t="str">
        <f t="shared" si="1340"/>
        <v>FRI</v>
      </c>
      <c r="G3153" s="1">
        <f t="shared" si="1341"/>
        <v>44036</v>
      </c>
      <c r="H3153" s="2">
        <f t="shared" ca="1" si="1342"/>
        <v>217</v>
      </c>
      <c r="I3153" t="str">
        <f t="shared" si="1343"/>
        <v>XLK</v>
      </c>
      <c r="J3153">
        <f t="shared" si="1344"/>
        <v>104.76</v>
      </c>
      <c r="K3153">
        <f t="shared" si="1345"/>
        <v>110.13</v>
      </c>
      <c r="L3153">
        <f t="shared" si="1346"/>
        <v>107.44499999999999</v>
      </c>
      <c r="M3153">
        <f t="shared" si="1347"/>
        <v>2.6849999999999952</v>
      </c>
      <c r="N3153">
        <f t="shared" si="1336"/>
        <v>5.3699999999999903</v>
      </c>
      <c r="O3153">
        <f t="shared" si="1348"/>
        <v>106.49</v>
      </c>
      <c r="P3153">
        <f t="shared" si="1349"/>
        <v>-0.35567970204841715</v>
      </c>
      <c r="Q3153" t="str">
        <f t="shared" si="1337"/>
        <v>1.62% | 3.42%</v>
      </c>
      <c r="R3153" t="str">
        <f t="shared" si="1350"/>
        <v>BULLISH</v>
      </c>
      <c r="S3153">
        <f t="shared" si="1338"/>
        <v>1</v>
      </c>
    </row>
    <row r="3154" spans="1:19" hidden="1" x14ac:dyDescent="0.25">
      <c r="A3154" s="5" t="str">
        <f t="shared" si="1339"/>
        <v>44036XLRE</v>
      </c>
      <c r="B3154" s="6" t="s">
        <v>97</v>
      </c>
      <c r="C3154" s="6">
        <v>34.28</v>
      </c>
      <c r="D3154" s="6">
        <v>35.43</v>
      </c>
      <c r="E3154" s="6">
        <v>34.94</v>
      </c>
      <c r="F3154" t="str">
        <f t="shared" si="1340"/>
        <v>FRI</v>
      </c>
      <c r="G3154" s="1">
        <f t="shared" si="1341"/>
        <v>44036</v>
      </c>
      <c r="H3154" s="2">
        <f t="shared" ca="1" si="1342"/>
        <v>217</v>
      </c>
      <c r="I3154" t="str">
        <f t="shared" si="1343"/>
        <v>XLRE</v>
      </c>
      <c r="J3154">
        <f t="shared" si="1344"/>
        <v>34.28</v>
      </c>
      <c r="K3154">
        <f t="shared" si="1345"/>
        <v>35.43</v>
      </c>
      <c r="L3154">
        <f t="shared" si="1346"/>
        <v>34.855000000000004</v>
      </c>
      <c r="M3154">
        <f t="shared" si="1347"/>
        <v>0.57499999999999929</v>
      </c>
      <c r="N3154">
        <f t="shared" si="1336"/>
        <v>1.1499999999999986</v>
      </c>
      <c r="O3154">
        <f t="shared" si="1348"/>
        <v>34.94</v>
      </c>
      <c r="P3154">
        <f t="shared" si="1349"/>
        <v>0.14782608695651106</v>
      </c>
      <c r="Q3154" t="str">
        <f t="shared" si="1337"/>
        <v>1.89% | 1.4%</v>
      </c>
      <c r="R3154" t="str">
        <f t="shared" si="1350"/>
        <v>BULLISH</v>
      </c>
      <c r="S3154">
        <f t="shared" si="1338"/>
        <v>1</v>
      </c>
    </row>
    <row r="3155" spans="1:19" hidden="1" x14ac:dyDescent="0.25">
      <c r="A3155" s="5" t="str">
        <f t="shared" si="1339"/>
        <v>44036XLU</v>
      </c>
      <c r="B3155" s="6" t="s">
        <v>52</v>
      </c>
      <c r="C3155" s="6">
        <v>57.03</v>
      </c>
      <c r="D3155" s="6">
        <v>61.53</v>
      </c>
      <c r="E3155" s="6">
        <v>60.68</v>
      </c>
      <c r="F3155" t="str">
        <f t="shared" si="1340"/>
        <v>FRI</v>
      </c>
      <c r="G3155" s="1">
        <f t="shared" si="1341"/>
        <v>44036</v>
      </c>
      <c r="H3155" s="2">
        <f t="shared" ca="1" si="1342"/>
        <v>217</v>
      </c>
      <c r="I3155" t="str">
        <f t="shared" si="1343"/>
        <v>XLU</v>
      </c>
      <c r="J3155">
        <f t="shared" si="1344"/>
        <v>57.03</v>
      </c>
      <c r="K3155">
        <f t="shared" si="1345"/>
        <v>61.53</v>
      </c>
      <c r="L3155">
        <f t="shared" si="1346"/>
        <v>59.28</v>
      </c>
      <c r="M3155">
        <f t="shared" si="1347"/>
        <v>2.25</v>
      </c>
      <c r="N3155">
        <f t="shared" si="1336"/>
        <v>4.5</v>
      </c>
      <c r="O3155">
        <f t="shared" si="1348"/>
        <v>60.68</v>
      </c>
      <c r="P3155">
        <f t="shared" si="1349"/>
        <v>0.62222222222222157</v>
      </c>
      <c r="Q3155" t="str">
        <f t="shared" si="1337"/>
        <v>6.02% | 1.4%</v>
      </c>
      <c r="R3155" t="str">
        <f t="shared" si="1350"/>
        <v>BULLISH</v>
      </c>
      <c r="S3155">
        <f t="shared" si="1338"/>
        <v>1</v>
      </c>
    </row>
    <row r="3156" spans="1:19" hidden="1" x14ac:dyDescent="0.25">
      <c r="A3156" s="5" t="str">
        <f t="shared" si="1339"/>
        <v>44036XLF</v>
      </c>
      <c r="B3156" s="6" t="s">
        <v>12</v>
      </c>
      <c r="C3156" s="6">
        <v>22.33</v>
      </c>
      <c r="D3156" s="6">
        <v>24.63</v>
      </c>
      <c r="E3156" s="6">
        <v>24.33</v>
      </c>
      <c r="F3156" t="str">
        <f t="shared" si="1340"/>
        <v>FRI</v>
      </c>
      <c r="G3156" s="1">
        <f t="shared" si="1341"/>
        <v>44036</v>
      </c>
      <c r="H3156" s="2">
        <f t="shared" ca="1" si="1342"/>
        <v>217</v>
      </c>
      <c r="I3156" t="str">
        <f t="shared" si="1343"/>
        <v>XLF</v>
      </c>
      <c r="J3156">
        <f t="shared" si="1344"/>
        <v>22.33</v>
      </c>
      <c r="K3156">
        <f t="shared" si="1345"/>
        <v>24.63</v>
      </c>
      <c r="L3156">
        <f t="shared" si="1346"/>
        <v>23.479999999999997</v>
      </c>
      <c r="M3156">
        <f t="shared" si="1347"/>
        <v>1.1500000000000004</v>
      </c>
      <c r="N3156">
        <f t="shared" si="1336"/>
        <v>2.3000000000000007</v>
      </c>
      <c r="O3156">
        <f t="shared" si="1348"/>
        <v>24.33</v>
      </c>
      <c r="P3156">
        <f t="shared" si="1349"/>
        <v>0.73913043478260976</v>
      </c>
      <c r="Q3156" t="str">
        <f t="shared" si="1337"/>
        <v>8.22% | 1.23%</v>
      </c>
      <c r="R3156" t="str">
        <f t="shared" si="1350"/>
        <v>BEARISH</v>
      </c>
      <c r="S3156">
        <f t="shared" si="1338"/>
        <v>-1</v>
      </c>
    </row>
    <row r="3157" spans="1:19" hidden="1" x14ac:dyDescent="0.25">
      <c r="A3157" s="5" t="str">
        <f t="shared" si="1339"/>
        <v>44036SSEC</v>
      </c>
      <c r="B3157" s="6" t="s">
        <v>104</v>
      </c>
      <c r="C3157" s="6">
        <v>3168</v>
      </c>
      <c r="D3157" s="6">
        <v>3475</v>
      </c>
      <c r="E3157" s="6">
        <v>3196</v>
      </c>
      <c r="F3157" t="str">
        <f t="shared" si="1340"/>
        <v>FRI</v>
      </c>
      <c r="G3157" s="1">
        <f t="shared" si="1341"/>
        <v>44036</v>
      </c>
      <c r="H3157" s="2">
        <f t="shared" ca="1" si="1342"/>
        <v>217</v>
      </c>
      <c r="I3157" t="str">
        <f t="shared" si="1343"/>
        <v>SSEC</v>
      </c>
      <c r="J3157">
        <f t="shared" si="1344"/>
        <v>3168</v>
      </c>
      <c r="K3157">
        <f t="shared" si="1345"/>
        <v>3475</v>
      </c>
      <c r="L3157">
        <f t="shared" si="1346"/>
        <v>3321.5</v>
      </c>
      <c r="M3157">
        <f t="shared" si="1347"/>
        <v>153.5</v>
      </c>
      <c r="N3157">
        <f t="shared" si="1336"/>
        <v>307</v>
      </c>
      <c r="O3157">
        <f t="shared" si="1348"/>
        <v>3196</v>
      </c>
      <c r="P3157">
        <f t="shared" si="1349"/>
        <v>-0.8175895765472313</v>
      </c>
      <c r="Q3157" t="str">
        <f t="shared" si="1337"/>
        <v>0.88% | 8.73%</v>
      </c>
      <c r="R3157" t="str">
        <f t="shared" si="1350"/>
        <v>BULLISH</v>
      </c>
      <c r="S3157">
        <f t="shared" si="1338"/>
        <v>1</v>
      </c>
    </row>
    <row r="3158" spans="1:19" hidden="1" x14ac:dyDescent="0.25">
      <c r="A3158" s="5" t="str">
        <f t="shared" si="1339"/>
        <v>44036NIKK</v>
      </c>
      <c r="B3158" s="6" t="s">
        <v>90</v>
      </c>
      <c r="C3158" s="6">
        <v>22346</v>
      </c>
      <c r="D3158" s="6">
        <v>23081</v>
      </c>
      <c r="E3158" s="6">
        <v>22751</v>
      </c>
      <c r="F3158" t="str">
        <f t="shared" si="1340"/>
        <v>FRI</v>
      </c>
      <c r="G3158" s="1">
        <f t="shared" si="1341"/>
        <v>44036</v>
      </c>
      <c r="H3158" s="2">
        <f t="shared" ca="1" si="1342"/>
        <v>217</v>
      </c>
      <c r="I3158" t="str">
        <f t="shared" si="1343"/>
        <v>NIKK</v>
      </c>
      <c r="J3158">
        <f t="shared" si="1344"/>
        <v>22346</v>
      </c>
      <c r="K3158">
        <f t="shared" si="1345"/>
        <v>23081</v>
      </c>
      <c r="L3158">
        <f t="shared" si="1346"/>
        <v>22713.5</v>
      </c>
      <c r="M3158">
        <f t="shared" si="1347"/>
        <v>367.5</v>
      </c>
      <c r="N3158">
        <f t="shared" si="1336"/>
        <v>735</v>
      </c>
      <c r="O3158">
        <f t="shared" si="1348"/>
        <v>22751</v>
      </c>
      <c r="P3158">
        <f t="shared" si="1349"/>
        <v>0.10204081632653061</v>
      </c>
      <c r="Q3158" t="str">
        <f t="shared" si="1337"/>
        <v>1.78% | 1.45%</v>
      </c>
      <c r="R3158" t="str">
        <f t="shared" si="1350"/>
        <v>NEUTRAL</v>
      </c>
      <c r="S3158">
        <f t="shared" si="1338"/>
        <v>0</v>
      </c>
    </row>
    <row r="3159" spans="1:19" hidden="1" x14ac:dyDescent="0.25">
      <c r="A3159" s="5" t="str">
        <f t="shared" si="1339"/>
        <v>44036DAX</v>
      </c>
      <c r="B3159" s="6" t="s">
        <v>98</v>
      </c>
      <c r="C3159" s="6">
        <v>12600</v>
      </c>
      <c r="D3159" s="6">
        <v>13258</v>
      </c>
      <c r="E3159" s="6">
        <v>13103</v>
      </c>
      <c r="F3159" t="str">
        <f t="shared" si="1340"/>
        <v>FRI</v>
      </c>
      <c r="G3159" s="1">
        <f t="shared" si="1341"/>
        <v>44036</v>
      </c>
      <c r="H3159" s="2">
        <f t="shared" ca="1" si="1342"/>
        <v>217</v>
      </c>
      <c r="I3159" t="str">
        <f t="shared" si="1343"/>
        <v>DAX</v>
      </c>
      <c r="J3159">
        <f t="shared" si="1344"/>
        <v>12600</v>
      </c>
      <c r="K3159">
        <f t="shared" si="1345"/>
        <v>13258</v>
      </c>
      <c r="L3159">
        <f t="shared" si="1346"/>
        <v>12929</v>
      </c>
      <c r="M3159">
        <f t="shared" si="1347"/>
        <v>329</v>
      </c>
      <c r="N3159">
        <f t="shared" si="1336"/>
        <v>658</v>
      </c>
      <c r="O3159">
        <f t="shared" si="1348"/>
        <v>13103</v>
      </c>
      <c r="P3159">
        <f t="shared" si="1349"/>
        <v>0.52887537993920974</v>
      </c>
      <c r="Q3159" t="str">
        <f t="shared" si="1337"/>
        <v>3.84% | 1.18%</v>
      </c>
      <c r="R3159" t="str">
        <f t="shared" si="1350"/>
        <v>BULLISH</v>
      </c>
      <c r="S3159">
        <f t="shared" si="1338"/>
        <v>1</v>
      </c>
    </row>
    <row r="3160" spans="1:19" hidden="1" x14ac:dyDescent="0.25">
      <c r="A3160" s="5" t="str">
        <f t="shared" si="1339"/>
        <v>44036VIX</v>
      </c>
      <c r="B3160" s="6" t="s">
        <v>159</v>
      </c>
      <c r="C3160" s="6">
        <v>22.11</v>
      </c>
      <c r="D3160" s="6">
        <v>31.99</v>
      </c>
      <c r="E3160" s="6">
        <v>26.08</v>
      </c>
      <c r="F3160" t="str">
        <f t="shared" si="1340"/>
        <v>FRI</v>
      </c>
      <c r="G3160" s="1">
        <f t="shared" si="1341"/>
        <v>44036</v>
      </c>
      <c r="H3160" s="2">
        <f t="shared" ca="1" si="1342"/>
        <v>217</v>
      </c>
      <c r="I3160" t="str">
        <f t="shared" si="1343"/>
        <v>VIX</v>
      </c>
      <c r="J3160">
        <f t="shared" si="1344"/>
        <v>22.11</v>
      </c>
      <c r="K3160">
        <f t="shared" si="1345"/>
        <v>31.99</v>
      </c>
      <c r="L3160">
        <f t="shared" si="1346"/>
        <v>27.049999999999997</v>
      </c>
      <c r="M3160">
        <f t="shared" si="1347"/>
        <v>4.9400000000000102</v>
      </c>
      <c r="N3160">
        <f t="shared" si="1336"/>
        <v>9.879999999999999</v>
      </c>
      <c r="O3160">
        <f t="shared" si="1348"/>
        <v>26.08</v>
      </c>
      <c r="P3160">
        <f t="shared" si="1349"/>
        <v>-0.19635627530364308</v>
      </c>
      <c r="Q3160" t="str">
        <f t="shared" si="1337"/>
        <v>15.22% | 22.66%</v>
      </c>
      <c r="R3160" t="str">
        <f t="shared" si="1350"/>
        <v>NEUTRAL</v>
      </c>
      <c r="S3160">
        <f t="shared" si="1338"/>
        <v>0</v>
      </c>
    </row>
    <row r="3161" spans="1:19" hidden="1" x14ac:dyDescent="0.25">
      <c r="A3161" s="5" t="str">
        <f t="shared" si="1339"/>
        <v>44036USD</v>
      </c>
      <c r="B3161" s="6" t="s">
        <v>94</v>
      </c>
      <c r="C3161" s="6">
        <v>94.36</v>
      </c>
      <c r="D3161" s="6">
        <v>96.89</v>
      </c>
      <c r="E3161" s="6">
        <v>94.64</v>
      </c>
      <c r="F3161" t="str">
        <f t="shared" si="1340"/>
        <v>FRI</v>
      </c>
      <c r="G3161" s="1">
        <f t="shared" si="1341"/>
        <v>44036</v>
      </c>
      <c r="H3161" s="2">
        <f t="shared" ca="1" si="1342"/>
        <v>217</v>
      </c>
      <c r="I3161" t="str">
        <f t="shared" si="1343"/>
        <v>USD</v>
      </c>
      <c r="J3161">
        <f t="shared" si="1344"/>
        <v>94.36</v>
      </c>
      <c r="K3161">
        <f t="shared" si="1345"/>
        <v>96.89</v>
      </c>
      <c r="L3161">
        <f t="shared" si="1346"/>
        <v>95.625</v>
      </c>
      <c r="M3161">
        <f t="shared" si="1347"/>
        <v>1.2650000000000006</v>
      </c>
      <c r="N3161">
        <f t="shared" si="1336"/>
        <v>2.5300000000000011</v>
      </c>
      <c r="O3161">
        <f t="shared" si="1348"/>
        <v>94.64</v>
      </c>
      <c r="P3161">
        <f t="shared" si="1349"/>
        <v>-0.77865612648221261</v>
      </c>
      <c r="Q3161" t="str">
        <f t="shared" si="1337"/>
        <v>0.3% | 2.38%</v>
      </c>
      <c r="R3161" t="str">
        <f t="shared" si="1350"/>
        <v>BEARISH</v>
      </c>
      <c r="S3161">
        <f t="shared" si="1338"/>
        <v>-1</v>
      </c>
    </row>
    <row r="3162" spans="1:19" hidden="1" x14ac:dyDescent="0.25">
      <c r="A3162" s="5" t="str">
        <f t="shared" si="1339"/>
        <v>44036EUR/USD</v>
      </c>
      <c r="B3162" s="6" t="s">
        <v>99</v>
      </c>
      <c r="C3162" s="6">
        <v>1.1399999999999999</v>
      </c>
      <c r="D3162" s="6">
        <v>1.1599999999999999</v>
      </c>
      <c r="E3162" s="6">
        <v>1.1599999999999999</v>
      </c>
      <c r="F3162" t="str">
        <f t="shared" si="1340"/>
        <v>FRI</v>
      </c>
      <c r="G3162" s="1">
        <f t="shared" si="1341"/>
        <v>44036</v>
      </c>
      <c r="H3162" s="2">
        <f t="shared" ca="1" si="1342"/>
        <v>217</v>
      </c>
      <c r="I3162" t="str">
        <f t="shared" si="1343"/>
        <v>EUR/USD</v>
      </c>
      <c r="J3162">
        <f t="shared" si="1344"/>
        <v>1.1399999999999999</v>
      </c>
      <c r="K3162">
        <f t="shared" si="1345"/>
        <v>1.1599999999999999</v>
      </c>
      <c r="L3162">
        <f t="shared" si="1346"/>
        <v>1.1499999999999999</v>
      </c>
      <c r="M3162">
        <f t="shared" si="1347"/>
        <v>1.0000000000000009E-2</v>
      </c>
      <c r="N3162">
        <f t="shared" si="1336"/>
        <v>2.0000000000000018E-2</v>
      </c>
      <c r="O3162">
        <f t="shared" si="1348"/>
        <v>1.1599999999999999</v>
      </c>
      <c r="P3162">
        <f t="shared" si="1349"/>
        <v>1</v>
      </c>
      <c r="Q3162" t="str">
        <f t="shared" si="1337"/>
        <v>1.72% | 0%</v>
      </c>
      <c r="R3162" t="str">
        <f t="shared" si="1350"/>
        <v>BULLISH</v>
      </c>
      <c r="S3162">
        <f t="shared" si="1338"/>
        <v>1</v>
      </c>
    </row>
    <row r="3163" spans="1:19" hidden="1" x14ac:dyDescent="0.25">
      <c r="A3163" s="5" t="str">
        <f t="shared" si="1339"/>
        <v>44036USD/JPY</v>
      </c>
      <c r="B3163" s="6" t="s">
        <v>20</v>
      </c>
      <c r="C3163" s="6">
        <v>106.22</v>
      </c>
      <c r="D3163" s="6">
        <v>107.47</v>
      </c>
      <c r="E3163" s="6">
        <v>106.86</v>
      </c>
      <c r="F3163" t="str">
        <f t="shared" si="1340"/>
        <v>FRI</v>
      </c>
      <c r="G3163" s="1">
        <f t="shared" si="1341"/>
        <v>44036</v>
      </c>
      <c r="H3163" s="2">
        <f t="shared" ca="1" si="1342"/>
        <v>217</v>
      </c>
      <c r="I3163" t="str">
        <f t="shared" si="1343"/>
        <v>USD/JPY</v>
      </c>
      <c r="J3163">
        <f t="shared" si="1344"/>
        <v>106.22</v>
      </c>
      <c r="K3163">
        <f t="shared" si="1345"/>
        <v>107.47</v>
      </c>
      <c r="L3163">
        <f t="shared" si="1346"/>
        <v>106.845</v>
      </c>
      <c r="M3163">
        <f t="shared" si="1347"/>
        <v>0.625</v>
      </c>
      <c r="N3163">
        <f t="shared" si="1336"/>
        <v>1.25</v>
      </c>
      <c r="O3163">
        <f t="shared" si="1348"/>
        <v>106.86</v>
      </c>
      <c r="P3163">
        <f t="shared" si="1349"/>
        <v>2.4000000000000909E-2</v>
      </c>
      <c r="Q3163" t="str">
        <f t="shared" si="1337"/>
        <v>0.6% | 0.57%</v>
      </c>
      <c r="R3163" t="str">
        <f t="shared" si="1350"/>
        <v>BEARISH</v>
      </c>
      <c r="S3163">
        <f t="shared" si="1338"/>
        <v>-1</v>
      </c>
    </row>
    <row r="3164" spans="1:19" hidden="1" x14ac:dyDescent="0.25">
      <c r="A3164" s="5" t="str">
        <f t="shared" si="1339"/>
        <v>44036GBP/USD</v>
      </c>
      <c r="B3164" s="6" t="s">
        <v>102</v>
      </c>
      <c r="C3164" s="6">
        <v>1.25</v>
      </c>
      <c r="D3164" s="6">
        <v>1.28</v>
      </c>
      <c r="E3164" s="6">
        <v>1.27</v>
      </c>
      <c r="F3164" t="str">
        <f t="shared" si="1340"/>
        <v>FRI</v>
      </c>
      <c r="G3164" s="1">
        <f t="shared" si="1341"/>
        <v>44036</v>
      </c>
      <c r="H3164" s="2">
        <f t="shared" ca="1" si="1342"/>
        <v>217</v>
      </c>
      <c r="I3164" t="str">
        <f t="shared" si="1343"/>
        <v>GBP/USD</v>
      </c>
      <c r="J3164">
        <f t="shared" si="1344"/>
        <v>1.25</v>
      </c>
      <c r="K3164">
        <f t="shared" si="1345"/>
        <v>1.28</v>
      </c>
      <c r="L3164">
        <f t="shared" si="1346"/>
        <v>1.2650000000000001</v>
      </c>
      <c r="M3164">
        <f t="shared" si="1347"/>
        <v>1.5000000000000013E-2</v>
      </c>
      <c r="N3164">
        <f t="shared" si="1336"/>
        <v>3.0000000000000027E-2</v>
      </c>
      <c r="O3164">
        <f t="shared" si="1348"/>
        <v>1.27</v>
      </c>
      <c r="P3164">
        <f t="shared" si="1349"/>
        <v>0.33333333333332593</v>
      </c>
      <c r="Q3164" t="str">
        <f t="shared" si="1337"/>
        <v>1.57% | 0.79%</v>
      </c>
      <c r="R3164" t="str">
        <f t="shared" si="1350"/>
        <v>BULLISH</v>
      </c>
      <c r="S3164">
        <f t="shared" si="1338"/>
        <v>1</v>
      </c>
    </row>
    <row r="3165" spans="1:19" hidden="1" x14ac:dyDescent="0.25">
      <c r="A3165" s="5" t="str">
        <f t="shared" si="1339"/>
        <v>44036USD/CHF</v>
      </c>
      <c r="B3165" s="6" t="s">
        <v>76</v>
      </c>
      <c r="C3165" s="6">
        <v>0.92</v>
      </c>
      <c r="D3165" s="6">
        <v>0.94</v>
      </c>
      <c r="E3165" s="6">
        <v>0.92</v>
      </c>
      <c r="F3165" t="str">
        <f t="shared" si="1340"/>
        <v>FRI</v>
      </c>
      <c r="G3165" s="1">
        <f t="shared" si="1341"/>
        <v>44036</v>
      </c>
      <c r="H3165" s="2">
        <f t="shared" ca="1" si="1342"/>
        <v>217</v>
      </c>
      <c r="I3165" t="str">
        <f t="shared" si="1343"/>
        <v>USD/CHF</v>
      </c>
      <c r="J3165">
        <f t="shared" si="1344"/>
        <v>0.92</v>
      </c>
      <c r="K3165">
        <f t="shared" si="1345"/>
        <v>0.94</v>
      </c>
      <c r="L3165">
        <f t="shared" si="1346"/>
        <v>0.92999999999999994</v>
      </c>
      <c r="M3165">
        <f t="shared" si="1347"/>
        <v>9.9999999999999534E-3</v>
      </c>
      <c r="N3165">
        <f t="shared" si="1336"/>
        <v>1.9999999999999907E-2</v>
      </c>
      <c r="O3165">
        <f t="shared" si="1348"/>
        <v>0.92</v>
      </c>
      <c r="P3165">
        <f t="shared" si="1349"/>
        <v>-0.99999999999999445</v>
      </c>
      <c r="Q3165" t="str">
        <f t="shared" si="1337"/>
        <v>0% | 2.17%</v>
      </c>
      <c r="R3165" t="str">
        <f t="shared" si="1350"/>
        <v>BEARISH</v>
      </c>
      <c r="S3165">
        <f t="shared" si="1338"/>
        <v>-1</v>
      </c>
    </row>
    <row r="3166" spans="1:19" hidden="1" x14ac:dyDescent="0.25">
      <c r="A3166" s="5" t="str">
        <f t="shared" si="1339"/>
        <v>44036WTIC</v>
      </c>
      <c r="B3166" s="6" t="s">
        <v>158</v>
      </c>
      <c r="C3166" s="6">
        <v>39.61</v>
      </c>
      <c r="D3166" s="6">
        <v>42.28</v>
      </c>
      <c r="E3166" s="6">
        <v>41.07</v>
      </c>
      <c r="F3166" t="str">
        <f t="shared" si="1340"/>
        <v>FRI</v>
      </c>
      <c r="G3166" s="1">
        <f t="shared" si="1341"/>
        <v>44036</v>
      </c>
      <c r="H3166" s="2">
        <f t="shared" ca="1" si="1342"/>
        <v>217</v>
      </c>
      <c r="I3166" t="str">
        <f t="shared" si="1343"/>
        <v>WTIC</v>
      </c>
      <c r="J3166">
        <f t="shared" si="1344"/>
        <v>39.61</v>
      </c>
      <c r="K3166">
        <f t="shared" si="1345"/>
        <v>42.28</v>
      </c>
      <c r="L3166">
        <f t="shared" si="1346"/>
        <v>40.945</v>
      </c>
      <c r="M3166">
        <f t="shared" si="1347"/>
        <v>1.3350000000000009</v>
      </c>
      <c r="N3166">
        <f t="shared" si="1336"/>
        <v>2.6700000000000017</v>
      </c>
      <c r="O3166">
        <f t="shared" si="1348"/>
        <v>41.07</v>
      </c>
      <c r="P3166">
        <f t="shared" si="1349"/>
        <v>9.3632958801498065E-2</v>
      </c>
      <c r="Q3166" t="str">
        <f t="shared" si="1337"/>
        <v>3.55% | 2.95%</v>
      </c>
      <c r="R3166" t="str">
        <f t="shared" si="1350"/>
        <v>BULLISH</v>
      </c>
      <c r="S3166">
        <f t="shared" si="1338"/>
        <v>1</v>
      </c>
    </row>
    <row r="3167" spans="1:19" hidden="1" x14ac:dyDescent="0.25">
      <c r="A3167" s="5" t="str">
        <f t="shared" si="1339"/>
        <v>44036NATGAS</v>
      </c>
      <c r="B3167" s="6" t="s">
        <v>89</v>
      </c>
      <c r="C3167" s="6">
        <v>1.62</v>
      </c>
      <c r="D3167" s="6">
        <v>1.87</v>
      </c>
      <c r="E3167" s="6">
        <v>1.84</v>
      </c>
      <c r="F3167" t="str">
        <f t="shared" si="1340"/>
        <v>FRI</v>
      </c>
      <c r="G3167" s="1">
        <f t="shared" si="1341"/>
        <v>44036</v>
      </c>
      <c r="H3167" s="2">
        <f t="shared" ca="1" si="1342"/>
        <v>217</v>
      </c>
      <c r="I3167" t="str">
        <f t="shared" si="1343"/>
        <v>NATGAS</v>
      </c>
      <c r="J3167">
        <f t="shared" si="1344"/>
        <v>1.62</v>
      </c>
      <c r="K3167">
        <f t="shared" si="1345"/>
        <v>1.87</v>
      </c>
      <c r="L3167">
        <f t="shared" si="1346"/>
        <v>1.7450000000000001</v>
      </c>
      <c r="M3167">
        <f t="shared" si="1347"/>
        <v>0.125</v>
      </c>
      <c r="N3167">
        <f t="shared" si="1336"/>
        <v>0.25</v>
      </c>
      <c r="O3167">
        <f t="shared" si="1348"/>
        <v>1.84</v>
      </c>
      <c r="P3167">
        <f t="shared" si="1349"/>
        <v>0.75999999999999979</v>
      </c>
      <c r="Q3167" t="str">
        <f t="shared" si="1337"/>
        <v>11.96% | 1.63%</v>
      </c>
      <c r="R3167" t="str">
        <f t="shared" si="1350"/>
        <v>BULLISH</v>
      </c>
      <c r="S3167">
        <f t="shared" si="1338"/>
        <v>1</v>
      </c>
    </row>
    <row r="3168" spans="1:19" hidden="1" x14ac:dyDescent="0.25">
      <c r="A3168" s="5" t="str">
        <f t="shared" si="1339"/>
        <v>44036GOLD</v>
      </c>
      <c r="B3168" s="6" t="s">
        <v>25</v>
      </c>
      <c r="C3168" s="6">
        <v>1801</v>
      </c>
      <c r="D3168" s="6">
        <v>1896</v>
      </c>
      <c r="E3168" s="6">
        <v>1890</v>
      </c>
      <c r="F3168" t="str">
        <f t="shared" si="1340"/>
        <v>FRI</v>
      </c>
      <c r="G3168" s="1">
        <f t="shared" si="1341"/>
        <v>44036</v>
      </c>
      <c r="H3168" s="2">
        <f t="shared" ca="1" si="1342"/>
        <v>217</v>
      </c>
      <c r="I3168" t="str">
        <f t="shared" si="1343"/>
        <v>GOLD</v>
      </c>
      <c r="J3168">
        <f t="shared" si="1344"/>
        <v>1801</v>
      </c>
      <c r="K3168">
        <f t="shared" si="1345"/>
        <v>1896</v>
      </c>
      <c r="L3168">
        <f t="shared" si="1346"/>
        <v>1848.5</v>
      </c>
      <c r="M3168">
        <f t="shared" si="1347"/>
        <v>47.5</v>
      </c>
      <c r="N3168">
        <f t="shared" si="1336"/>
        <v>95</v>
      </c>
      <c r="O3168">
        <f t="shared" si="1348"/>
        <v>1890</v>
      </c>
      <c r="P3168">
        <f t="shared" si="1349"/>
        <v>0.87368421052631584</v>
      </c>
      <c r="Q3168" t="str">
        <f t="shared" si="1337"/>
        <v>4.71% | 0.32%</v>
      </c>
      <c r="R3168" t="str">
        <f t="shared" si="1350"/>
        <v>BULLISH</v>
      </c>
      <c r="S3168">
        <f t="shared" si="1338"/>
        <v>1</v>
      </c>
    </row>
    <row r="3169" spans="1:19" hidden="1" x14ac:dyDescent="0.25">
      <c r="A3169" s="5" t="str">
        <f t="shared" si="1339"/>
        <v>44036COPPER</v>
      </c>
      <c r="B3169" s="6" t="s">
        <v>100</v>
      </c>
      <c r="C3169" s="6">
        <v>2.86</v>
      </c>
      <c r="D3169" s="6">
        <v>2.98</v>
      </c>
      <c r="E3169" s="6">
        <v>2.94</v>
      </c>
      <c r="F3169" t="str">
        <f t="shared" si="1340"/>
        <v>FRI</v>
      </c>
      <c r="G3169" s="1">
        <f t="shared" si="1341"/>
        <v>44036</v>
      </c>
      <c r="H3169" s="2">
        <f t="shared" ca="1" si="1342"/>
        <v>217</v>
      </c>
      <c r="I3169" t="str">
        <f t="shared" si="1343"/>
        <v>COPPER</v>
      </c>
      <c r="J3169">
        <f t="shared" si="1344"/>
        <v>2.86</v>
      </c>
      <c r="K3169">
        <f t="shared" si="1345"/>
        <v>2.98</v>
      </c>
      <c r="L3169">
        <f t="shared" si="1346"/>
        <v>2.92</v>
      </c>
      <c r="M3169">
        <f t="shared" si="1347"/>
        <v>6.0000000000000053E-2</v>
      </c>
      <c r="N3169">
        <f t="shared" si="1336"/>
        <v>0.12000000000000011</v>
      </c>
      <c r="O3169">
        <f t="shared" si="1348"/>
        <v>2.94</v>
      </c>
      <c r="P3169">
        <f t="shared" si="1349"/>
        <v>0.33333333333333331</v>
      </c>
      <c r="Q3169" t="str">
        <f t="shared" si="1337"/>
        <v>2.72% | 1.36%</v>
      </c>
      <c r="R3169" t="str">
        <f t="shared" si="1350"/>
        <v>BULLISH</v>
      </c>
      <c r="S3169">
        <f t="shared" si="1338"/>
        <v>1</v>
      </c>
    </row>
    <row r="3170" spans="1:19" hidden="1" x14ac:dyDescent="0.25">
      <c r="A3170" s="5" t="str">
        <f t="shared" si="1339"/>
        <v>44036MSFT</v>
      </c>
      <c r="B3170" s="6" t="s">
        <v>27</v>
      </c>
      <c r="C3170" s="6">
        <v>198</v>
      </c>
      <c r="D3170" s="6">
        <v>213</v>
      </c>
      <c r="E3170" s="6">
        <v>202</v>
      </c>
      <c r="F3170" t="str">
        <f t="shared" si="1340"/>
        <v>FRI</v>
      </c>
      <c r="G3170" s="1">
        <f t="shared" si="1341"/>
        <v>44036</v>
      </c>
      <c r="H3170" s="2">
        <f t="shared" ca="1" si="1342"/>
        <v>217</v>
      </c>
      <c r="I3170" t="str">
        <f t="shared" si="1343"/>
        <v>MSFT</v>
      </c>
      <c r="J3170">
        <f t="shared" si="1344"/>
        <v>198</v>
      </c>
      <c r="K3170">
        <f t="shared" si="1345"/>
        <v>213</v>
      </c>
      <c r="L3170">
        <f t="shared" si="1346"/>
        <v>205.5</v>
      </c>
      <c r="M3170">
        <f t="shared" si="1347"/>
        <v>7.5</v>
      </c>
      <c r="N3170">
        <f t="shared" si="1336"/>
        <v>15</v>
      </c>
      <c r="O3170">
        <f t="shared" si="1348"/>
        <v>202</v>
      </c>
      <c r="P3170">
        <f t="shared" si="1349"/>
        <v>-0.46666666666666667</v>
      </c>
      <c r="Q3170" t="str">
        <f t="shared" si="1337"/>
        <v>1.98% | 5.45%</v>
      </c>
      <c r="R3170" t="str">
        <f t="shared" si="1350"/>
        <v>BULLISH</v>
      </c>
      <c r="S3170">
        <f t="shared" si="1338"/>
        <v>1</v>
      </c>
    </row>
    <row r="3171" spans="1:19" hidden="1" x14ac:dyDescent="0.25">
      <c r="A3171" s="5" t="str">
        <f t="shared" si="1339"/>
        <v>44036AAPL</v>
      </c>
      <c r="B3171" s="6" t="s">
        <v>28</v>
      </c>
      <c r="C3171" s="6">
        <v>363</v>
      </c>
      <c r="D3171" s="6">
        <v>387</v>
      </c>
      <c r="E3171" s="6">
        <v>371</v>
      </c>
      <c r="F3171" t="str">
        <f t="shared" si="1340"/>
        <v>FRI</v>
      </c>
      <c r="G3171" s="1">
        <f t="shared" si="1341"/>
        <v>44036</v>
      </c>
      <c r="H3171" s="2">
        <f t="shared" ca="1" si="1342"/>
        <v>217</v>
      </c>
      <c r="I3171" t="str">
        <f t="shared" si="1343"/>
        <v>AAPL</v>
      </c>
      <c r="J3171">
        <f t="shared" si="1344"/>
        <v>363</v>
      </c>
      <c r="K3171">
        <f t="shared" si="1345"/>
        <v>387</v>
      </c>
      <c r="L3171">
        <f t="shared" si="1346"/>
        <v>375</v>
      </c>
      <c r="M3171">
        <f t="shared" si="1347"/>
        <v>12</v>
      </c>
      <c r="N3171">
        <f t="shared" si="1336"/>
        <v>24</v>
      </c>
      <c r="O3171">
        <f t="shared" si="1348"/>
        <v>371</v>
      </c>
      <c r="P3171">
        <f t="shared" si="1349"/>
        <v>-0.33333333333333331</v>
      </c>
      <c r="Q3171" t="str">
        <f t="shared" si="1337"/>
        <v>2.16% | 4.31%</v>
      </c>
      <c r="R3171" t="str">
        <f t="shared" si="1350"/>
        <v>BULLISH</v>
      </c>
      <c r="S3171">
        <f t="shared" si="1338"/>
        <v>1</v>
      </c>
    </row>
    <row r="3172" spans="1:19" hidden="1" x14ac:dyDescent="0.25">
      <c r="A3172" s="5" t="str">
        <f t="shared" si="1339"/>
        <v>44036AMZN</v>
      </c>
      <c r="B3172" s="6" t="s">
        <v>29</v>
      </c>
      <c r="C3172" s="6">
        <v>2905</v>
      </c>
      <c r="D3172" s="6">
        <v>3215</v>
      </c>
      <c r="E3172" s="6">
        <v>2986</v>
      </c>
      <c r="F3172" t="str">
        <f t="shared" si="1340"/>
        <v>FRI</v>
      </c>
      <c r="G3172" s="1">
        <f t="shared" si="1341"/>
        <v>44036</v>
      </c>
      <c r="H3172" s="2">
        <f t="shared" ca="1" si="1342"/>
        <v>217</v>
      </c>
      <c r="I3172" t="str">
        <f t="shared" si="1343"/>
        <v>AMZN</v>
      </c>
      <c r="J3172">
        <f t="shared" si="1344"/>
        <v>2905</v>
      </c>
      <c r="K3172">
        <f t="shared" si="1345"/>
        <v>3215</v>
      </c>
      <c r="L3172">
        <f t="shared" si="1346"/>
        <v>3060</v>
      </c>
      <c r="M3172">
        <f t="shared" si="1347"/>
        <v>155</v>
      </c>
      <c r="N3172">
        <f t="shared" si="1336"/>
        <v>310</v>
      </c>
      <c r="O3172">
        <f t="shared" si="1348"/>
        <v>2986</v>
      </c>
      <c r="P3172">
        <f t="shared" si="1349"/>
        <v>-0.47741935483870968</v>
      </c>
      <c r="Q3172" t="str">
        <f t="shared" si="1337"/>
        <v>2.71% | 7.67%</v>
      </c>
      <c r="R3172" t="str">
        <f t="shared" si="1350"/>
        <v>BULLISH</v>
      </c>
      <c r="S3172">
        <f t="shared" si="1338"/>
        <v>1</v>
      </c>
    </row>
    <row r="3173" spans="1:19" hidden="1" x14ac:dyDescent="0.25">
      <c r="A3173" s="5" t="str">
        <f t="shared" si="1339"/>
        <v>44036FB</v>
      </c>
      <c r="B3173" s="6" t="s">
        <v>30</v>
      </c>
      <c r="C3173" s="6">
        <v>227</v>
      </c>
      <c r="D3173" s="6">
        <v>246</v>
      </c>
      <c r="E3173" s="6">
        <v>232</v>
      </c>
      <c r="F3173" t="str">
        <f t="shared" si="1340"/>
        <v>FRI</v>
      </c>
      <c r="G3173" s="1">
        <f t="shared" si="1341"/>
        <v>44036</v>
      </c>
      <c r="H3173" s="2">
        <f t="shared" ca="1" si="1342"/>
        <v>217</v>
      </c>
      <c r="I3173" t="str">
        <f t="shared" si="1343"/>
        <v>FB</v>
      </c>
      <c r="J3173">
        <f t="shared" si="1344"/>
        <v>227</v>
      </c>
      <c r="K3173">
        <f t="shared" si="1345"/>
        <v>246</v>
      </c>
      <c r="L3173">
        <f t="shared" si="1346"/>
        <v>236.5</v>
      </c>
      <c r="M3173">
        <f t="shared" si="1347"/>
        <v>9.5</v>
      </c>
      <c r="N3173">
        <f t="shared" si="1336"/>
        <v>19</v>
      </c>
      <c r="O3173">
        <f t="shared" si="1348"/>
        <v>232</v>
      </c>
      <c r="P3173">
        <f t="shared" si="1349"/>
        <v>-0.47368421052631576</v>
      </c>
      <c r="Q3173" t="str">
        <f t="shared" si="1337"/>
        <v>2.16% | 6.03%</v>
      </c>
      <c r="R3173" t="str">
        <f t="shared" si="1350"/>
        <v>BULLISH</v>
      </c>
      <c r="S3173">
        <f t="shared" si="1338"/>
        <v>1</v>
      </c>
    </row>
    <row r="3174" spans="1:19" hidden="1" x14ac:dyDescent="0.25">
      <c r="A3174" s="5" t="str">
        <f t="shared" si="1339"/>
        <v>44036GOOGL</v>
      </c>
      <c r="B3174" s="6" t="s">
        <v>31</v>
      </c>
      <c r="C3174" s="6">
        <v>1478</v>
      </c>
      <c r="D3174" s="6">
        <v>1575</v>
      </c>
      <c r="E3174" s="6">
        <v>1516</v>
      </c>
      <c r="F3174" t="str">
        <f t="shared" si="1340"/>
        <v>FRI</v>
      </c>
      <c r="G3174" s="1">
        <f t="shared" si="1341"/>
        <v>44036</v>
      </c>
      <c r="H3174" s="2">
        <f t="shared" ca="1" si="1342"/>
        <v>217</v>
      </c>
      <c r="I3174" t="str">
        <f t="shared" si="1343"/>
        <v>GOOGL</v>
      </c>
      <c r="J3174">
        <f t="shared" si="1344"/>
        <v>1478</v>
      </c>
      <c r="K3174">
        <f t="shared" si="1345"/>
        <v>1575</v>
      </c>
      <c r="L3174">
        <f t="shared" si="1346"/>
        <v>1526.5</v>
      </c>
      <c r="M3174">
        <f t="shared" si="1347"/>
        <v>48.5</v>
      </c>
      <c r="N3174">
        <f t="shared" si="1336"/>
        <v>97</v>
      </c>
      <c r="O3174">
        <f t="shared" si="1348"/>
        <v>1516</v>
      </c>
      <c r="P3174">
        <f t="shared" si="1349"/>
        <v>-0.21649484536082475</v>
      </c>
      <c r="Q3174" t="str">
        <f t="shared" si="1337"/>
        <v>2.51% | 3.89%</v>
      </c>
      <c r="R3174" t="str">
        <f t="shared" si="1350"/>
        <v>BULLISH</v>
      </c>
      <c r="S3174">
        <f t="shared" si="1338"/>
        <v>1</v>
      </c>
    </row>
    <row r="3175" spans="1:19" hidden="1" x14ac:dyDescent="0.25">
      <c r="A3175" s="5" t="str">
        <f t="shared" si="1339"/>
        <v>44036NFLX</v>
      </c>
      <c r="B3175" s="6" t="s">
        <v>70</v>
      </c>
      <c r="C3175" s="6">
        <v>459</v>
      </c>
      <c r="D3175" s="6">
        <v>507</v>
      </c>
      <c r="E3175" s="6">
        <v>477</v>
      </c>
      <c r="F3175" t="str">
        <f t="shared" si="1340"/>
        <v>FRI</v>
      </c>
      <c r="G3175" s="1">
        <f t="shared" si="1341"/>
        <v>44036</v>
      </c>
      <c r="H3175" s="2">
        <f t="shared" ca="1" si="1342"/>
        <v>217</v>
      </c>
      <c r="I3175" t="str">
        <f t="shared" si="1343"/>
        <v>NFLX</v>
      </c>
      <c r="J3175">
        <f t="shared" si="1344"/>
        <v>459</v>
      </c>
      <c r="K3175">
        <f t="shared" si="1345"/>
        <v>507</v>
      </c>
      <c r="L3175">
        <f t="shared" si="1346"/>
        <v>483</v>
      </c>
      <c r="M3175">
        <f t="shared" si="1347"/>
        <v>24</v>
      </c>
      <c r="N3175">
        <f t="shared" si="1336"/>
        <v>48</v>
      </c>
      <c r="O3175">
        <f t="shared" si="1348"/>
        <v>477</v>
      </c>
      <c r="P3175">
        <f t="shared" si="1349"/>
        <v>-0.25</v>
      </c>
      <c r="Q3175" t="str">
        <f t="shared" si="1337"/>
        <v>3.77% | 6.29%</v>
      </c>
      <c r="R3175" t="str">
        <f t="shared" si="1350"/>
        <v>NEUTRAL</v>
      </c>
      <c r="S3175">
        <f t="shared" si="1338"/>
        <v>0</v>
      </c>
    </row>
    <row r="3176" spans="1:19" x14ac:dyDescent="0.25">
      <c r="A3176" s="5" t="str">
        <f t="shared" si="1339"/>
        <v>44036TSLA</v>
      </c>
      <c r="B3176" s="6" t="s">
        <v>33</v>
      </c>
      <c r="C3176" s="6">
        <v>1445</v>
      </c>
      <c r="D3176" s="6">
        <v>1638</v>
      </c>
      <c r="E3176" s="6">
        <v>1513</v>
      </c>
      <c r="F3176" t="str">
        <f t="shared" si="1340"/>
        <v>FRI</v>
      </c>
      <c r="G3176" s="1">
        <f t="shared" si="1341"/>
        <v>44036</v>
      </c>
      <c r="H3176" s="2">
        <f t="shared" ca="1" si="1342"/>
        <v>217</v>
      </c>
      <c r="I3176" t="str">
        <f t="shared" si="1343"/>
        <v>TSLA</v>
      </c>
      <c r="J3176">
        <f t="shared" si="1344"/>
        <v>1445</v>
      </c>
      <c r="K3176">
        <f t="shared" si="1345"/>
        <v>1638</v>
      </c>
      <c r="L3176">
        <f t="shared" si="1346"/>
        <v>1541.5</v>
      </c>
      <c r="M3176">
        <f t="shared" si="1347"/>
        <v>96.5</v>
      </c>
      <c r="N3176">
        <f t="shared" si="1336"/>
        <v>193</v>
      </c>
      <c r="O3176">
        <f t="shared" si="1348"/>
        <v>1513</v>
      </c>
      <c r="P3176">
        <f t="shared" si="1349"/>
        <v>-0.29533678756476683</v>
      </c>
      <c r="Q3176" t="str">
        <f t="shared" si="1337"/>
        <v>4.49% | 8.26%</v>
      </c>
      <c r="R3176" t="str">
        <f t="shared" si="1350"/>
        <v>BULLISH</v>
      </c>
      <c r="S3176">
        <f t="shared" si="1338"/>
        <v>1</v>
      </c>
    </row>
    <row r="3177" spans="1:19" hidden="1" x14ac:dyDescent="0.25">
      <c r="A3177" s="5" t="str">
        <f t="shared" si="1339"/>
        <v>44036NYXBT</v>
      </c>
      <c r="B3177" s="6" t="s">
        <v>60</v>
      </c>
      <c r="C3177" s="6">
        <v>9034</v>
      </c>
      <c r="D3177" s="6">
        <v>9589</v>
      </c>
      <c r="E3177" s="6">
        <v>9492</v>
      </c>
      <c r="F3177" t="str">
        <f t="shared" si="1340"/>
        <v>FRI</v>
      </c>
      <c r="G3177" s="1">
        <f t="shared" si="1341"/>
        <v>44036</v>
      </c>
      <c r="H3177" s="2">
        <f t="shared" ca="1" si="1342"/>
        <v>217</v>
      </c>
      <c r="I3177" t="str">
        <f t="shared" si="1343"/>
        <v>NYXBT</v>
      </c>
      <c r="J3177">
        <f t="shared" si="1344"/>
        <v>9034</v>
      </c>
      <c r="K3177">
        <f t="shared" si="1345"/>
        <v>9589</v>
      </c>
      <c r="L3177">
        <f t="shared" si="1346"/>
        <v>9311.5</v>
      </c>
      <c r="M3177">
        <f t="shared" si="1347"/>
        <v>277.5</v>
      </c>
      <c r="N3177">
        <f t="shared" si="1336"/>
        <v>555</v>
      </c>
      <c r="O3177">
        <f t="shared" si="1348"/>
        <v>9492</v>
      </c>
      <c r="P3177">
        <f t="shared" si="1349"/>
        <v>0.65045045045045047</v>
      </c>
      <c r="Q3177" t="str">
        <f t="shared" si="1337"/>
        <v>4.83% | 1.02%</v>
      </c>
      <c r="R3177" t="str">
        <f t="shared" si="1350"/>
        <v>BULLISH</v>
      </c>
      <c r="S3177">
        <f t="shared" si="1338"/>
        <v>1</v>
      </c>
    </row>
    <row r="3178" spans="1:19" hidden="1" x14ac:dyDescent="0.25">
      <c r="A3178" s="5" t="str">
        <f t="shared" si="1339"/>
        <v>44039UST10Y</v>
      </c>
      <c r="B3178" s="6" t="s">
        <v>161</v>
      </c>
      <c r="C3178" s="6">
        <v>0.65</v>
      </c>
      <c r="D3178" s="6">
        <v>0.56000000000000005</v>
      </c>
      <c r="E3178" s="6">
        <v>0.59</v>
      </c>
      <c r="F3178" t="str">
        <f t="shared" si="1340"/>
        <v>MON</v>
      </c>
      <c r="G3178" s="3">
        <f>DATE(2020,7,27)</f>
        <v>44039</v>
      </c>
      <c r="H3178" s="2">
        <f t="shared" ca="1" si="1342"/>
        <v>214</v>
      </c>
      <c r="I3178" t="str">
        <f t="shared" si="1343"/>
        <v>UST10Y</v>
      </c>
      <c r="J3178">
        <f t="shared" si="1344"/>
        <v>0.65</v>
      </c>
      <c r="K3178">
        <f t="shared" si="1345"/>
        <v>0.56000000000000005</v>
      </c>
      <c r="L3178">
        <f t="shared" si="1346"/>
        <v>0.60499999999999998</v>
      </c>
      <c r="M3178">
        <f t="shared" si="1347"/>
        <v>4.4999999999999991E-2</v>
      </c>
      <c r="N3178">
        <f t="shared" si="1336"/>
        <v>8.9999999999999969E-2</v>
      </c>
      <c r="O3178">
        <f t="shared" si="1348"/>
        <v>0.59</v>
      </c>
      <c r="P3178">
        <f t="shared" si="1349"/>
        <v>-0.3333333333333337</v>
      </c>
      <c r="Q3178" t="str">
        <f t="shared" si="1337"/>
        <v>10.17% | 5.08%</v>
      </c>
      <c r="R3178" t="str">
        <f t="shared" si="1350"/>
        <v>BEARISH</v>
      </c>
      <c r="S3178">
        <f t="shared" si="1338"/>
        <v>-1</v>
      </c>
    </row>
    <row r="3179" spans="1:19" hidden="1" x14ac:dyDescent="0.25">
      <c r="A3179" s="5" t="str">
        <f t="shared" si="1339"/>
        <v>44039UST2Y</v>
      </c>
      <c r="B3179" s="6" t="s">
        <v>162</v>
      </c>
      <c r="C3179" s="6">
        <v>0.16</v>
      </c>
      <c r="D3179" s="6">
        <v>0.12</v>
      </c>
      <c r="E3179" s="6">
        <v>0.14000000000000001</v>
      </c>
      <c r="F3179" t="str">
        <f t="shared" ref="F3179:F3208" si="1351">UPPER(TEXT(G3179,"ddd"))</f>
        <v>MON</v>
      </c>
      <c r="G3179" s="3">
        <f t="shared" ref="G3179:G3207" si="1352">DATE(2020,7,27)</f>
        <v>44039</v>
      </c>
      <c r="H3179" s="2">
        <f t="shared" ref="H3179:H3208" ca="1" si="1353">TODAY()-G3179</f>
        <v>214</v>
      </c>
      <c r="I3179" t="str">
        <f t="shared" ref="I3179:I3208" si="1354">TRIM(LEFT(B3179,FIND(" ",B3179,1)))</f>
        <v>UST2Y</v>
      </c>
      <c r="J3179">
        <f t="shared" ref="J3179:J3208" si="1355">C3179</f>
        <v>0.16</v>
      </c>
      <c r="K3179">
        <f t="shared" ref="K3179:K3208" si="1356">D3179</f>
        <v>0.12</v>
      </c>
      <c r="L3179">
        <f t="shared" ref="L3179:L3208" si="1357">AVERAGE(J3179:K3179)</f>
        <v>0.14000000000000001</v>
      </c>
      <c r="M3179">
        <f t="shared" ref="M3179:M3208" si="1358">_xlfn.STDEV.P(J3179:K3179)</f>
        <v>1.9999999999999938E-2</v>
      </c>
      <c r="N3179">
        <f t="shared" si="1336"/>
        <v>4.0000000000000008E-2</v>
      </c>
      <c r="O3179">
        <f t="shared" ref="O3179:O3208" si="1359">E3179</f>
        <v>0.14000000000000001</v>
      </c>
      <c r="P3179">
        <f t="shared" ref="P3179:P3208" si="1360">(O3179-L3179)/M3179</f>
        <v>0</v>
      </c>
      <c r="Q3179" t="str">
        <f t="shared" si="1337"/>
        <v>14.29% | 14.29%</v>
      </c>
      <c r="R3179" t="str">
        <f t="shared" ref="R3179:R3208" si="1361">MID(B3179,FIND("(",B3179,1)+1,FIND(")",B3179,1)-FIND("(",B3179,1)-1)</f>
        <v>BEARISH</v>
      </c>
      <c r="S3179">
        <f t="shared" si="1338"/>
        <v>-1</v>
      </c>
    </row>
    <row r="3180" spans="1:19" hidden="1" x14ac:dyDescent="0.25">
      <c r="A3180" s="5" t="str">
        <f t="shared" si="1339"/>
        <v>44039SPX</v>
      </c>
      <c r="B3180" s="6" t="s">
        <v>163</v>
      </c>
      <c r="C3180" s="6">
        <v>3166</v>
      </c>
      <c r="D3180" s="6">
        <v>3280</v>
      </c>
      <c r="E3180" s="6">
        <v>3215</v>
      </c>
      <c r="F3180" t="str">
        <f t="shared" si="1351"/>
        <v>MON</v>
      </c>
      <c r="G3180" s="3">
        <f t="shared" si="1352"/>
        <v>44039</v>
      </c>
      <c r="H3180" s="2">
        <f t="shared" ca="1" si="1353"/>
        <v>214</v>
      </c>
      <c r="I3180" t="str">
        <f t="shared" si="1354"/>
        <v>SPX</v>
      </c>
      <c r="J3180">
        <f t="shared" si="1355"/>
        <v>3166</v>
      </c>
      <c r="K3180">
        <f t="shared" si="1356"/>
        <v>3280</v>
      </c>
      <c r="L3180">
        <f t="shared" si="1357"/>
        <v>3223</v>
      </c>
      <c r="M3180">
        <f t="shared" si="1358"/>
        <v>57</v>
      </c>
      <c r="N3180">
        <f t="shared" si="1336"/>
        <v>114</v>
      </c>
      <c r="O3180">
        <f t="shared" si="1359"/>
        <v>3215</v>
      </c>
      <c r="P3180">
        <f t="shared" si="1360"/>
        <v>-0.14035087719298245</v>
      </c>
      <c r="Q3180" t="str">
        <f t="shared" si="1337"/>
        <v>1.52% | 2.02%</v>
      </c>
      <c r="R3180" t="str">
        <f t="shared" si="1361"/>
        <v>NEUTRAL</v>
      </c>
      <c r="S3180">
        <f t="shared" si="1338"/>
        <v>0</v>
      </c>
    </row>
    <row r="3181" spans="1:19" hidden="1" x14ac:dyDescent="0.25">
      <c r="A3181" s="5" t="str">
        <f t="shared" si="1339"/>
        <v>44039RUT</v>
      </c>
      <c r="B3181" s="6" t="s">
        <v>164</v>
      </c>
      <c r="C3181" s="6">
        <v>1405</v>
      </c>
      <c r="D3181" s="6">
        <v>1513</v>
      </c>
      <c r="E3181" s="6">
        <v>1467</v>
      </c>
      <c r="F3181" t="str">
        <f t="shared" si="1351"/>
        <v>MON</v>
      </c>
      <c r="G3181" s="3">
        <f t="shared" si="1352"/>
        <v>44039</v>
      </c>
      <c r="H3181" s="2">
        <f t="shared" ca="1" si="1353"/>
        <v>214</v>
      </c>
      <c r="I3181" t="str">
        <f t="shared" si="1354"/>
        <v>RUT</v>
      </c>
      <c r="J3181">
        <f t="shared" si="1355"/>
        <v>1405</v>
      </c>
      <c r="K3181">
        <f t="shared" si="1356"/>
        <v>1513</v>
      </c>
      <c r="L3181">
        <f t="shared" si="1357"/>
        <v>1459</v>
      </c>
      <c r="M3181">
        <f t="shared" si="1358"/>
        <v>54</v>
      </c>
      <c r="N3181">
        <f t="shared" si="1336"/>
        <v>108</v>
      </c>
      <c r="O3181">
        <f t="shared" si="1359"/>
        <v>1467</v>
      </c>
      <c r="P3181">
        <f t="shared" si="1360"/>
        <v>0.14814814814814814</v>
      </c>
      <c r="Q3181" t="str">
        <f t="shared" si="1337"/>
        <v>4.23% | 3.14%</v>
      </c>
      <c r="R3181" t="str">
        <f t="shared" si="1361"/>
        <v>BEARISH</v>
      </c>
      <c r="S3181">
        <f t="shared" si="1338"/>
        <v>-1</v>
      </c>
    </row>
    <row r="3182" spans="1:19" hidden="1" x14ac:dyDescent="0.25">
      <c r="A3182" s="5" t="str">
        <f t="shared" si="1339"/>
        <v>44039COMPQ</v>
      </c>
      <c r="B3182" s="6" t="s">
        <v>165</v>
      </c>
      <c r="C3182" s="6">
        <v>10273</v>
      </c>
      <c r="D3182" s="6">
        <v>10807</v>
      </c>
      <c r="E3182" s="6">
        <v>10363</v>
      </c>
      <c r="F3182" t="str">
        <f t="shared" si="1351"/>
        <v>MON</v>
      </c>
      <c r="G3182" s="3">
        <f t="shared" si="1352"/>
        <v>44039</v>
      </c>
      <c r="H3182" s="2">
        <f t="shared" ca="1" si="1353"/>
        <v>214</v>
      </c>
      <c r="I3182" t="str">
        <f t="shared" si="1354"/>
        <v>COMPQ</v>
      </c>
      <c r="J3182">
        <f t="shared" si="1355"/>
        <v>10273</v>
      </c>
      <c r="K3182">
        <f t="shared" si="1356"/>
        <v>10807</v>
      </c>
      <c r="L3182">
        <f t="shared" si="1357"/>
        <v>10540</v>
      </c>
      <c r="M3182">
        <f t="shared" si="1358"/>
        <v>267</v>
      </c>
      <c r="N3182">
        <f t="shared" si="1336"/>
        <v>534</v>
      </c>
      <c r="O3182">
        <f t="shared" si="1359"/>
        <v>10363</v>
      </c>
      <c r="P3182">
        <f t="shared" si="1360"/>
        <v>-0.6629213483146067</v>
      </c>
      <c r="Q3182" t="str">
        <f t="shared" si="1337"/>
        <v>0.87% | 4.28%</v>
      </c>
      <c r="R3182" t="str">
        <f t="shared" si="1361"/>
        <v>BULLISH</v>
      </c>
      <c r="S3182">
        <f t="shared" si="1338"/>
        <v>1</v>
      </c>
    </row>
    <row r="3183" spans="1:19" hidden="1" x14ac:dyDescent="0.25">
      <c r="A3183" s="5" t="str">
        <f t="shared" si="1339"/>
        <v>44039XLK</v>
      </c>
      <c r="B3183" s="6" t="s">
        <v>166</v>
      </c>
      <c r="C3183" s="6">
        <v>104.49</v>
      </c>
      <c r="D3183" s="6">
        <v>110.19</v>
      </c>
      <c r="E3183" s="6">
        <v>105.2</v>
      </c>
      <c r="F3183" t="str">
        <f t="shared" si="1351"/>
        <v>MON</v>
      </c>
      <c r="G3183" s="3">
        <f t="shared" si="1352"/>
        <v>44039</v>
      </c>
      <c r="H3183" s="2">
        <f t="shared" ca="1" si="1353"/>
        <v>214</v>
      </c>
      <c r="I3183" t="str">
        <f t="shared" si="1354"/>
        <v>XLK</v>
      </c>
      <c r="J3183">
        <f t="shared" si="1355"/>
        <v>104.49</v>
      </c>
      <c r="K3183">
        <f t="shared" si="1356"/>
        <v>110.19</v>
      </c>
      <c r="L3183">
        <f t="shared" si="1357"/>
        <v>107.34</v>
      </c>
      <c r="M3183">
        <f t="shared" si="1358"/>
        <v>2.8500000000000014</v>
      </c>
      <c r="N3183">
        <f t="shared" si="1336"/>
        <v>5.7000000000000028</v>
      </c>
      <c r="O3183">
        <f t="shared" si="1359"/>
        <v>105.2</v>
      </c>
      <c r="P3183">
        <f t="shared" si="1360"/>
        <v>-0.75087719298245592</v>
      </c>
      <c r="Q3183" t="str">
        <f t="shared" si="1337"/>
        <v>0.67% | 4.74%</v>
      </c>
      <c r="R3183" t="str">
        <f t="shared" si="1361"/>
        <v>BULLISH</v>
      </c>
      <c r="S3183">
        <f t="shared" si="1338"/>
        <v>1</v>
      </c>
    </row>
    <row r="3184" spans="1:19" hidden="1" x14ac:dyDescent="0.25">
      <c r="A3184" s="5" t="str">
        <f t="shared" si="1339"/>
        <v>44039XLRE</v>
      </c>
      <c r="B3184" s="6" t="s">
        <v>167</v>
      </c>
      <c r="C3184" s="6">
        <v>34.29</v>
      </c>
      <c r="D3184" s="6">
        <v>35.28</v>
      </c>
      <c r="E3184" s="6">
        <v>34.799999999999997</v>
      </c>
      <c r="F3184" t="str">
        <f t="shared" si="1351"/>
        <v>MON</v>
      </c>
      <c r="G3184" s="3">
        <f t="shared" si="1352"/>
        <v>44039</v>
      </c>
      <c r="H3184" s="2">
        <f t="shared" ca="1" si="1353"/>
        <v>214</v>
      </c>
      <c r="I3184" t="str">
        <f t="shared" si="1354"/>
        <v>XLRE</v>
      </c>
      <c r="J3184">
        <f t="shared" si="1355"/>
        <v>34.29</v>
      </c>
      <c r="K3184">
        <f t="shared" si="1356"/>
        <v>35.28</v>
      </c>
      <c r="L3184">
        <f t="shared" si="1357"/>
        <v>34.784999999999997</v>
      </c>
      <c r="M3184">
        <f t="shared" si="1358"/>
        <v>0.49500000000000099</v>
      </c>
      <c r="N3184">
        <f t="shared" si="1336"/>
        <v>0.99000000000000199</v>
      </c>
      <c r="O3184">
        <f t="shared" si="1359"/>
        <v>34.799999999999997</v>
      </c>
      <c r="P3184">
        <f t="shared" si="1360"/>
        <v>3.030303030303139E-2</v>
      </c>
      <c r="Q3184" t="str">
        <f t="shared" si="1337"/>
        <v>1.47% | 1.38%</v>
      </c>
      <c r="R3184" t="str">
        <f t="shared" si="1361"/>
        <v>BULLISH</v>
      </c>
      <c r="S3184">
        <f t="shared" si="1338"/>
        <v>1</v>
      </c>
    </row>
    <row r="3185" spans="1:19" hidden="1" x14ac:dyDescent="0.25">
      <c r="A3185" s="5" t="str">
        <f t="shared" si="1339"/>
        <v>44039XLU</v>
      </c>
      <c r="B3185" s="6" t="s">
        <v>168</v>
      </c>
      <c r="C3185" s="6">
        <v>57.19</v>
      </c>
      <c r="D3185" s="6">
        <v>61.58</v>
      </c>
      <c r="E3185" s="6">
        <v>60.28</v>
      </c>
      <c r="F3185" t="str">
        <f t="shared" si="1351"/>
        <v>MON</v>
      </c>
      <c r="G3185" s="3">
        <f t="shared" si="1352"/>
        <v>44039</v>
      </c>
      <c r="H3185" s="2">
        <f t="shared" ca="1" si="1353"/>
        <v>214</v>
      </c>
      <c r="I3185" t="str">
        <f t="shared" si="1354"/>
        <v>XLU</v>
      </c>
      <c r="J3185">
        <f t="shared" si="1355"/>
        <v>57.19</v>
      </c>
      <c r="K3185">
        <f t="shared" si="1356"/>
        <v>61.58</v>
      </c>
      <c r="L3185">
        <f t="shared" si="1357"/>
        <v>59.384999999999998</v>
      </c>
      <c r="M3185">
        <f t="shared" si="1358"/>
        <v>2.1950000000000003</v>
      </c>
      <c r="N3185">
        <f t="shared" si="1336"/>
        <v>4.3900000000000006</v>
      </c>
      <c r="O3185">
        <f t="shared" si="1359"/>
        <v>60.28</v>
      </c>
      <c r="P3185">
        <f t="shared" si="1360"/>
        <v>0.40774487471526333</v>
      </c>
      <c r="Q3185" t="str">
        <f t="shared" si="1337"/>
        <v>5.13% | 2.16%</v>
      </c>
      <c r="R3185" t="str">
        <f t="shared" si="1361"/>
        <v>BULLISH</v>
      </c>
      <c r="S3185">
        <f t="shared" si="1338"/>
        <v>1</v>
      </c>
    </row>
    <row r="3186" spans="1:19" hidden="1" x14ac:dyDescent="0.25">
      <c r="A3186" s="5" t="str">
        <f t="shared" si="1339"/>
        <v>44039XLF</v>
      </c>
      <c r="B3186" s="6" t="s">
        <v>169</v>
      </c>
      <c r="C3186" s="6">
        <v>22.37</v>
      </c>
      <c r="D3186" s="6">
        <v>24.65</v>
      </c>
      <c r="E3186" s="6">
        <v>24.27</v>
      </c>
      <c r="F3186" t="str">
        <f t="shared" si="1351"/>
        <v>MON</v>
      </c>
      <c r="G3186" s="3">
        <f t="shared" si="1352"/>
        <v>44039</v>
      </c>
      <c r="H3186" s="2">
        <f t="shared" ca="1" si="1353"/>
        <v>214</v>
      </c>
      <c r="I3186" t="str">
        <f t="shared" si="1354"/>
        <v>XLF</v>
      </c>
      <c r="J3186">
        <f t="shared" si="1355"/>
        <v>22.37</v>
      </c>
      <c r="K3186">
        <f t="shared" si="1356"/>
        <v>24.65</v>
      </c>
      <c r="L3186">
        <f t="shared" si="1357"/>
        <v>23.509999999999998</v>
      </c>
      <c r="M3186">
        <f t="shared" si="1358"/>
        <v>1.1399999999999988</v>
      </c>
      <c r="N3186">
        <f t="shared" si="1336"/>
        <v>2.2799999999999976</v>
      </c>
      <c r="O3186">
        <f t="shared" si="1359"/>
        <v>24.27</v>
      </c>
      <c r="P3186">
        <f t="shared" si="1360"/>
        <v>0.66666666666666874</v>
      </c>
      <c r="Q3186" t="str">
        <f t="shared" si="1337"/>
        <v>7.83% | 1.57%</v>
      </c>
      <c r="R3186" t="str">
        <f t="shared" si="1361"/>
        <v>BEARISH</v>
      </c>
      <c r="S3186">
        <f t="shared" si="1338"/>
        <v>-1</v>
      </c>
    </row>
    <row r="3187" spans="1:19" hidden="1" x14ac:dyDescent="0.25">
      <c r="A3187" s="5" t="str">
        <f t="shared" si="1339"/>
        <v>44039SSEC</v>
      </c>
      <c r="B3187" s="6" t="s">
        <v>170</v>
      </c>
      <c r="C3187" s="6">
        <v>3150</v>
      </c>
      <c r="D3187" s="6">
        <v>3443</v>
      </c>
      <c r="E3187" s="6">
        <v>3205</v>
      </c>
      <c r="F3187" t="str">
        <f t="shared" si="1351"/>
        <v>MON</v>
      </c>
      <c r="G3187" s="3">
        <f t="shared" si="1352"/>
        <v>44039</v>
      </c>
      <c r="H3187" s="2">
        <f t="shared" ca="1" si="1353"/>
        <v>214</v>
      </c>
      <c r="I3187" t="str">
        <f t="shared" si="1354"/>
        <v>SSEC</v>
      </c>
      <c r="J3187">
        <f t="shared" si="1355"/>
        <v>3150</v>
      </c>
      <c r="K3187">
        <f t="shared" si="1356"/>
        <v>3443</v>
      </c>
      <c r="L3187">
        <f t="shared" si="1357"/>
        <v>3296.5</v>
      </c>
      <c r="M3187">
        <f t="shared" si="1358"/>
        <v>146.5</v>
      </c>
      <c r="N3187">
        <f t="shared" si="1336"/>
        <v>293</v>
      </c>
      <c r="O3187">
        <f t="shared" si="1359"/>
        <v>3205</v>
      </c>
      <c r="P3187">
        <f t="shared" si="1360"/>
        <v>-0.62457337883959041</v>
      </c>
      <c r="Q3187" t="str">
        <f t="shared" si="1337"/>
        <v>1.72% | 7.43%</v>
      </c>
      <c r="R3187" t="str">
        <f t="shared" si="1361"/>
        <v>BULLISH</v>
      </c>
      <c r="S3187">
        <f t="shared" si="1338"/>
        <v>1</v>
      </c>
    </row>
    <row r="3188" spans="1:19" hidden="1" x14ac:dyDescent="0.25">
      <c r="A3188" s="5" t="str">
        <f t="shared" si="1339"/>
        <v>44039NIKK</v>
      </c>
      <c r="B3188" s="6" t="s">
        <v>171</v>
      </c>
      <c r="C3188" s="6">
        <v>22306</v>
      </c>
      <c r="D3188" s="6">
        <v>23071</v>
      </c>
      <c r="E3188" s="6">
        <v>22715</v>
      </c>
      <c r="F3188" t="str">
        <f t="shared" si="1351"/>
        <v>MON</v>
      </c>
      <c r="G3188" s="3">
        <f t="shared" si="1352"/>
        <v>44039</v>
      </c>
      <c r="H3188" s="2">
        <f t="shared" ca="1" si="1353"/>
        <v>214</v>
      </c>
      <c r="I3188" t="str">
        <f t="shared" si="1354"/>
        <v>NIKK</v>
      </c>
      <c r="J3188">
        <f t="shared" si="1355"/>
        <v>22306</v>
      </c>
      <c r="K3188">
        <f t="shared" si="1356"/>
        <v>23071</v>
      </c>
      <c r="L3188">
        <f t="shared" si="1357"/>
        <v>22688.5</v>
      </c>
      <c r="M3188">
        <f t="shared" si="1358"/>
        <v>382.5</v>
      </c>
      <c r="N3188">
        <f t="shared" si="1336"/>
        <v>765</v>
      </c>
      <c r="O3188">
        <f t="shared" si="1359"/>
        <v>22715</v>
      </c>
      <c r="P3188">
        <f t="shared" si="1360"/>
        <v>6.9281045751633991E-2</v>
      </c>
      <c r="Q3188" t="str">
        <f t="shared" si="1337"/>
        <v>1.8% | 1.57%</v>
      </c>
      <c r="R3188" t="str">
        <f t="shared" si="1361"/>
        <v>NEUTRAL</v>
      </c>
      <c r="S3188">
        <f t="shared" si="1338"/>
        <v>0</v>
      </c>
    </row>
    <row r="3189" spans="1:19" hidden="1" x14ac:dyDescent="0.25">
      <c r="A3189" s="5" t="str">
        <f t="shared" si="1339"/>
        <v>44039DAX</v>
      </c>
      <c r="B3189" s="6" t="s">
        <v>172</v>
      </c>
      <c r="C3189" s="6">
        <v>12604</v>
      </c>
      <c r="D3189" s="6">
        <v>13255</v>
      </c>
      <c r="E3189" s="6">
        <v>12838</v>
      </c>
      <c r="F3189" t="str">
        <f t="shared" si="1351"/>
        <v>MON</v>
      </c>
      <c r="G3189" s="3">
        <f t="shared" si="1352"/>
        <v>44039</v>
      </c>
      <c r="H3189" s="2">
        <f t="shared" ca="1" si="1353"/>
        <v>214</v>
      </c>
      <c r="I3189" t="str">
        <f t="shared" si="1354"/>
        <v>DAX</v>
      </c>
      <c r="J3189">
        <f t="shared" si="1355"/>
        <v>12604</v>
      </c>
      <c r="K3189">
        <f t="shared" si="1356"/>
        <v>13255</v>
      </c>
      <c r="L3189">
        <f t="shared" si="1357"/>
        <v>12929.5</v>
      </c>
      <c r="M3189">
        <f t="shared" si="1358"/>
        <v>325.5</v>
      </c>
      <c r="N3189">
        <f t="shared" si="1336"/>
        <v>651</v>
      </c>
      <c r="O3189">
        <f t="shared" si="1359"/>
        <v>12838</v>
      </c>
      <c r="P3189">
        <f t="shared" si="1360"/>
        <v>-0.28110599078341014</v>
      </c>
      <c r="Q3189" t="str">
        <f t="shared" si="1337"/>
        <v>1.82% | 3.25%</v>
      </c>
      <c r="R3189" t="str">
        <f t="shared" si="1361"/>
        <v>BULLISH</v>
      </c>
      <c r="S3189">
        <f t="shared" si="1338"/>
        <v>1</v>
      </c>
    </row>
    <row r="3190" spans="1:19" hidden="1" x14ac:dyDescent="0.25">
      <c r="A3190" s="5" t="str">
        <f t="shared" si="1339"/>
        <v>44039VIX</v>
      </c>
      <c r="B3190" s="6" t="s">
        <v>173</v>
      </c>
      <c r="C3190" s="6">
        <v>22.61</v>
      </c>
      <c r="D3190" s="6">
        <v>31.18</v>
      </c>
      <c r="E3190" s="6">
        <v>25.84</v>
      </c>
      <c r="F3190" t="str">
        <f t="shared" si="1351"/>
        <v>MON</v>
      </c>
      <c r="G3190" s="3">
        <f t="shared" si="1352"/>
        <v>44039</v>
      </c>
      <c r="H3190" s="2">
        <f t="shared" ca="1" si="1353"/>
        <v>214</v>
      </c>
      <c r="I3190" t="str">
        <f t="shared" si="1354"/>
        <v>VIX</v>
      </c>
      <c r="J3190">
        <f t="shared" si="1355"/>
        <v>22.61</v>
      </c>
      <c r="K3190">
        <f t="shared" si="1356"/>
        <v>31.18</v>
      </c>
      <c r="L3190">
        <f t="shared" si="1357"/>
        <v>26.895</v>
      </c>
      <c r="M3190">
        <f t="shared" si="1358"/>
        <v>4.2850000000000126</v>
      </c>
      <c r="N3190">
        <f t="shared" si="1336"/>
        <v>8.57</v>
      </c>
      <c r="O3190">
        <f t="shared" si="1359"/>
        <v>25.84</v>
      </c>
      <c r="P3190">
        <f t="shared" si="1360"/>
        <v>-0.24620770128354647</v>
      </c>
      <c r="Q3190" t="str">
        <f t="shared" si="1337"/>
        <v>12.5% | 20.67%</v>
      </c>
      <c r="R3190" t="str">
        <f t="shared" si="1361"/>
        <v>NEUTRAL</v>
      </c>
      <c r="S3190">
        <f t="shared" si="1338"/>
        <v>0</v>
      </c>
    </row>
    <row r="3191" spans="1:19" hidden="1" x14ac:dyDescent="0.25">
      <c r="A3191" s="5" t="str">
        <f t="shared" si="1339"/>
        <v>44039USD</v>
      </c>
      <c r="B3191" s="6" t="s">
        <v>174</v>
      </c>
      <c r="C3191" s="6">
        <v>94.01</v>
      </c>
      <c r="D3191" s="6">
        <v>96.29</v>
      </c>
      <c r="E3191" s="6">
        <v>94.38</v>
      </c>
      <c r="F3191" t="str">
        <f t="shared" si="1351"/>
        <v>MON</v>
      </c>
      <c r="G3191" s="3">
        <f t="shared" si="1352"/>
        <v>44039</v>
      </c>
      <c r="H3191" s="2">
        <f t="shared" ca="1" si="1353"/>
        <v>214</v>
      </c>
      <c r="I3191" t="str">
        <f t="shared" si="1354"/>
        <v>USD</v>
      </c>
      <c r="J3191">
        <f t="shared" si="1355"/>
        <v>94.01</v>
      </c>
      <c r="K3191">
        <f t="shared" si="1356"/>
        <v>96.29</v>
      </c>
      <c r="L3191">
        <f t="shared" si="1357"/>
        <v>95.15</v>
      </c>
      <c r="M3191">
        <f t="shared" si="1358"/>
        <v>1.1400000000000006</v>
      </c>
      <c r="N3191">
        <f t="shared" si="1336"/>
        <v>2.2800000000000011</v>
      </c>
      <c r="O3191">
        <f t="shared" si="1359"/>
        <v>94.38</v>
      </c>
      <c r="P3191">
        <f t="shared" si="1360"/>
        <v>-0.67543859649123672</v>
      </c>
      <c r="Q3191" t="str">
        <f t="shared" si="1337"/>
        <v>0.39% | 2.02%</v>
      </c>
      <c r="R3191" t="str">
        <f t="shared" si="1361"/>
        <v>BEARISH</v>
      </c>
      <c r="S3191">
        <f t="shared" si="1338"/>
        <v>-1</v>
      </c>
    </row>
    <row r="3192" spans="1:19" hidden="1" x14ac:dyDescent="0.25">
      <c r="A3192" s="5" t="str">
        <f t="shared" si="1339"/>
        <v>44039EUR/USD</v>
      </c>
      <c r="B3192" s="6" t="s">
        <v>175</v>
      </c>
      <c r="C3192" s="6">
        <v>1.1399999999999999</v>
      </c>
      <c r="D3192" s="6">
        <v>1.17</v>
      </c>
      <c r="E3192" s="6">
        <v>1.1599999999999999</v>
      </c>
      <c r="F3192" t="str">
        <f t="shared" si="1351"/>
        <v>MON</v>
      </c>
      <c r="G3192" s="3">
        <f t="shared" si="1352"/>
        <v>44039</v>
      </c>
      <c r="H3192" s="2">
        <f t="shared" ca="1" si="1353"/>
        <v>214</v>
      </c>
      <c r="I3192" t="str">
        <f t="shared" si="1354"/>
        <v>EUR/USD</v>
      </c>
      <c r="J3192">
        <f t="shared" si="1355"/>
        <v>1.1399999999999999</v>
      </c>
      <c r="K3192">
        <f t="shared" si="1356"/>
        <v>1.17</v>
      </c>
      <c r="L3192">
        <f t="shared" si="1357"/>
        <v>1.1549999999999998</v>
      </c>
      <c r="M3192">
        <f t="shared" si="1358"/>
        <v>1.5000000000000013E-2</v>
      </c>
      <c r="N3192">
        <f t="shared" si="1336"/>
        <v>3.0000000000000027E-2</v>
      </c>
      <c r="O3192">
        <f t="shared" si="1359"/>
        <v>1.1599999999999999</v>
      </c>
      <c r="P3192">
        <f t="shared" si="1360"/>
        <v>0.33333333333334075</v>
      </c>
      <c r="Q3192" t="str">
        <f t="shared" si="1337"/>
        <v>1.72% | 0.86%</v>
      </c>
      <c r="R3192" t="str">
        <f t="shared" si="1361"/>
        <v>BULLISH</v>
      </c>
      <c r="S3192">
        <f t="shared" si="1338"/>
        <v>1</v>
      </c>
    </row>
    <row r="3193" spans="1:19" hidden="1" x14ac:dyDescent="0.25">
      <c r="A3193" s="5" t="str">
        <f t="shared" si="1339"/>
        <v>44039USD/JPY</v>
      </c>
      <c r="B3193" s="6" t="s">
        <v>176</v>
      </c>
      <c r="C3193" s="6">
        <v>105.2</v>
      </c>
      <c r="D3193" s="6">
        <v>107.15</v>
      </c>
      <c r="E3193" s="6">
        <v>106.01</v>
      </c>
      <c r="F3193" t="str">
        <f t="shared" si="1351"/>
        <v>MON</v>
      </c>
      <c r="G3193" s="3">
        <f t="shared" si="1352"/>
        <v>44039</v>
      </c>
      <c r="H3193" s="2">
        <f t="shared" ca="1" si="1353"/>
        <v>214</v>
      </c>
      <c r="I3193" t="str">
        <f t="shared" si="1354"/>
        <v>USD/JPY</v>
      </c>
      <c r="J3193">
        <f t="shared" si="1355"/>
        <v>105.2</v>
      </c>
      <c r="K3193">
        <f t="shared" si="1356"/>
        <v>107.15</v>
      </c>
      <c r="L3193">
        <f t="shared" si="1357"/>
        <v>106.17500000000001</v>
      </c>
      <c r="M3193">
        <f t="shared" si="1358"/>
        <v>0.97500000000000142</v>
      </c>
      <c r="N3193">
        <f t="shared" si="1336"/>
        <v>1.9500000000000028</v>
      </c>
      <c r="O3193">
        <f t="shared" si="1359"/>
        <v>106.01</v>
      </c>
      <c r="P3193">
        <f t="shared" si="1360"/>
        <v>-0.1692307692307754</v>
      </c>
      <c r="Q3193" t="str">
        <f t="shared" si="1337"/>
        <v>0.76% | 1.08%</v>
      </c>
      <c r="R3193" t="str">
        <f t="shared" si="1361"/>
        <v>BEARISH</v>
      </c>
      <c r="S3193">
        <f t="shared" si="1338"/>
        <v>-1</v>
      </c>
    </row>
    <row r="3194" spans="1:19" hidden="1" x14ac:dyDescent="0.25">
      <c r="A3194" s="5" t="str">
        <f t="shared" si="1339"/>
        <v>44039GBP/USD</v>
      </c>
      <c r="B3194" s="6" t="s">
        <v>177</v>
      </c>
      <c r="C3194" s="6">
        <v>1.25</v>
      </c>
      <c r="D3194" s="6">
        <v>1.28</v>
      </c>
      <c r="E3194" s="6">
        <v>1.28</v>
      </c>
      <c r="F3194" t="str">
        <f t="shared" si="1351"/>
        <v>MON</v>
      </c>
      <c r="G3194" s="3">
        <f t="shared" si="1352"/>
        <v>44039</v>
      </c>
      <c r="H3194" s="2">
        <f t="shared" ca="1" si="1353"/>
        <v>214</v>
      </c>
      <c r="I3194" t="str">
        <f t="shared" si="1354"/>
        <v>GBP/USD</v>
      </c>
      <c r="J3194">
        <f t="shared" si="1355"/>
        <v>1.25</v>
      </c>
      <c r="K3194">
        <f t="shared" si="1356"/>
        <v>1.28</v>
      </c>
      <c r="L3194">
        <f t="shared" si="1357"/>
        <v>1.2650000000000001</v>
      </c>
      <c r="M3194">
        <f t="shared" si="1358"/>
        <v>1.5000000000000013E-2</v>
      </c>
      <c r="N3194">
        <f t="shared" si="1336"/>
        <v>3.0000000000000027E-2</v>
      </c>
      <c r="O3194">
        <f t="shared" si="1359"/>
        <v>1.28</v>
      </c>
      <c r="P3194">
        <f t="shared" si="1360"/>
        <v>0.99999999999999256</v>
      </c>
      <c r="Q3194" t="str">
        <f t="shared" si="1337"/>
        <v>2.34% | 0%</v>
      </c>
      <c r="R3194" t="str">
        <f t="shared" si="1361"/>
        <v>BULLISH</v>
      </c>
      <c r="S3194">
        <f t="shared" si="1338"/>
        <v>1</v>
      </c>
    </row>
    <row r="3195" spans="1:19" hidden="1" x14ac:dyDescent="0.25">
      <c r="A3195" s="5" t="str">
        <f t="shared" si="1339"/>
        <v>44039USD/CHF</v>
      </c>
      <c r="B3195" s="6" t="s">
        <v>178</v>
      </c>
      <c r="C3195" s="6">
        <v>0.91</v>
      </c>
      <c r="D3195" s="6">
        <v>0.94</v>
      </c>
      <c r="E3195" s="6">
        <v>0.92</v>
      </c>
      <c r="F3195" t="str">
        <f t="shared" si="1351"/>
        <v>MON</v>
      </c>
      <c r="G3195" s="3">
        <f t="shared" si="1352"/>
        <v>44039</v>
      </c>
      <c r="H3195" s="2">
        <f t="shared" ca="1" si="1353"/>
        <v>214</v>
      </c>
      <c r="I3195" t="str">
        <f t="shared" si="1354"/>
        <v>USD/CHF</v>
      </c>
      <c r="J3195">
        <f t="shared" si="1355"/>
        <v>0.91</v>
      </c>
      <c r="K3195">
        <f t="shared" si="1356"/>
        <v>0.94</v>
      </c>
      <c r="L3195">
        <f t="shared" si="1357"/>
        <v>0.92500000000000004</v>
      </c>
      <c r="M3195">
        <f t="shared" si="1358"/>
        <v>1.4999999999999958E-2</v>
      </c>
      <c r="N3195">
        <f t="shared" si="1336"/>
        <v>2.9999999999999916E-2</v>
      </c>
      <c r="O3195">
        <f t="shared" si="1359"/>
        <v>0.92</v>
      </c>
      <c r="P3195">
        <f t="shared" si="1360"/>
        <v>-0.33333333333333459</v>
      </c>
      <c r="Q3195" t="str">
        <f t="shared" si="1337"/>
        <v>1.09% | 2.17%</v>
      </c>
      <c r="R3195" t="str">
        <f t="shared" si="1361"/>
        <v>BEARISH</v>
      </c>
      <c r="S3195">
        <f t="shared" si="1338"/>
        <v>-1</v>
      </c>
    </row>
    <row r="3196" spans="1:19" hidden="1" x14ac:dyDescent="0.25">
      <c r="A3196" s="5" t="str">
        <f t="shared" si="1339"/>
        <v>44039WTIC</v>
      </c>
      <c r="B3196" s="6" t="s">
        <v>179</v>
      </c>
      <c r="C3196" s="6">
        <v>39.729999999999997</v>
      </c>
      <c r="D3196" s="6">
        <v>42.23</v>
      </c>
      <c r="E3196" s="6">
        <v>41.29</v>
      </c>
      <c r="F3196" t="str">
        <f t="shared" si="1351"/>
        <v>MON</v>
      </c>
      <c r="G3196" s="3">
        <f t="shared" si="1352"/>
        <v>44039</v>
      </c>
      <c r="H3196" s="2">
        <f t="shared" ca="1" si="1353"/>
        <v>214</v>
      </c>
      <c r="I3196" t="str">
        <f t="shared" si="1354"/>
        <v>WTIC</v>
      </c>
      <c r="J3196">
        <f t="shared" si="1355"/>
        <v>39.729999999999997</v>
      </c>
      <c r="K3196">
        <f t="shared" si="1356"/>
        <v>42.23</v>
      </c>
      <c r="L3196">
        <f t="shared" si="1357"/>
        <v>40.98</v>
      </c>
      <c r="M3196">
        <f t="shared" si="1358"/>
        <v>1.25</v>
      </c>
      <c r="N3196">
        <f t="shared" si="1336"/>
        <v>2.5</v>
      </c>
      <c r="O3196">
        <f t="shared" si="1359"/>
        <v>41.29</v>
      </c>
      <c r="P3196">
        <f t="shared" si="1360"/>
        <v>0.24800000000000183</v>
      </c>
      <c r="Q3196" t="str">
        <f t="shared" si="1337"/>
        <v>3.78% | 2.28%</v>
      </c>
      <c r="R3196" t="str">
        <f t="shared" si="1361"/>
        <v>BULLISH</v>
      </c>
      <c r="S3196">
        <f t="shared" si="1338"/>
        <v>1</v>
      </c>
    </row>
    <row r="3197" spans="1:19" hidden="1" x14ac:dyDescent="0.25">
      <c r="A3197" s="5" t="str">
        <f t="shared" si="1339"/>
        <v>44039NATGAS</v>
      </c>
      <c r="B3197" s="6" t="s">
        <v>180</v>
      </c>
      <c r="C3197" s="6">
        <v>1.6</v>
      </c>
      <c r="D3197" s="6">
        <v>1.9</v>
      </c>
      <c r="E3197" s="6">
        <v>1.87</v>
      </c>
      <c r="F3197" t="str">
        <f t="shared" si="1351"/>
        <v>MON</v>
      </c>
      <c r="G3197" s="3">
        <f t="shared" si="1352"/>
        <v>44039</v>
      </c>
      <c r="H3197" s="2">
        <f t="shared" ca="1" si="1353"/>
        <v>214</v>
      </c>
      <c r="I3197" t="str">
        <f t="shared" si="1354"/>
        <v>NATGAS</v>
      </c>
      <c r="J3197">
        <f t="shared" si="1355"/>
        <v>1.6</v>
      </c>
      <c r="K3197">
        <f t="shared" si="1356"/>
        <v>1.9</v>
      </c>
      <c r="L3197">
        <f t="shared" si="1357"/>
        <v>1.75</v>
      </c>
      <c r="M3197">
        <f t="shared" si="1358"/>
        <v>0.14999999999999991</v>
      </c>
      <c r="N3197">
        <f t="shared" si="1336"/>
        <v>0.29999999999999982</v>
      </c>
      <c r="O3197">
        <f t="shared" si="1359"/>
        <v>1.87</v>
      </c>
      <c r="P3197">
        <f t="shared" si="1360"/>
        <v>0.80000000000000115</v>
      </c>
      <c r="Q3197" t="str">
        <f t="shared" si="1337"/>
        <v>14.44% | 1.6%</v>
      </c>
      <c r="R3197" t="str">
        <f t="shared" si="1361"/>
        <v>BULLISH</v>
      </c>
      <c r="S3197">
        <f t="shared" si="1338"/>
        <v>1</v>
      </c>
    </row>
    <row r="3198" spans="1:19" hidden="1" x14ac:dyDescent="0.25">
      <c r="A3198" s="5" t="str">
        <f t="shared" si="1339"/>
        <v>44039GOLD</v>
      </c>
      <c r="B3198" s="6" t="s">
        <v>181</v>
      </c>
      <c r="C3198" s="6">
        <v>1840</v>
      </c>
      <c r="D3198" s="6">
        <v>1973</v>
      </c>
      <c r="E3198" s="6">
        <v>1897</v>
      </c>
      <c r="F3198" t="str">
        <f t="shared" si="1351"/>
        <v>MON</v>
      </c>
      <c r="G3198" s="3">
        <f t="shared" si="1352"/>
        <v>44039</v>
      </c>
      <c r="H3198" s="2">
        <f t="shared" ca="1" si="1353"/>
        <v>214</v>
      </c>
      <c r="I3198" t="str">
        <f t="shared" si="1354"/>
        <v>GOLD</v>
      </c>
      <c r="J3198">
        <f t="shared" si="1355"/>
        <v>1840</v>
      </c>
      <c r="K3198">
        <f t="shared" si="1356"/>
        <v>1973</v>
      </c>
      <c r="L3198">
        <f t="shared" si="1357"/>
        <v>1906.5</v>
      </c>
      <c r="M3198">
        <f t="shared" si="1358"/>
        <v>66.5</v>
      </c>
      <c r="N3198">
        <f t="shared" si="1336"/>
        <v>133</v>
      </c>
      <c r="O3198">
        <f t="shared" si="1359"/>
        <v>1897</v>
      </c>
      <c r="P3198">
        <f t="shared" si="1360"/>
        <v>-0.14285714285714285</v>
      </c>
      <c r="Q3198" t="str">
        <f t="shared" si="1337"/>
        <v>3% | 4.01%</v>
      </c>
      <c r="R3198" t="str">
        <f t="shared" si="1361"/>
        <v>BULLISH</v>
      </c>
      <c r="S3198">
        <f t="shared" si="1338"/>
        <v>1</v>
      </c>
    </row>
    <row r="3199" spans="1:19" hidden="1" x14ac:dyDescent="0.25">
      <c r="A3199" s="5" t="str">
        <f t="shared" si="1339"/>
        <v>44039COPPER</v>
      </c>
      <c r="B3199" s="6" t="s">
        <v>182</v>
      </c>
      <c r="C3199" s="6">
        <v>2.86</v>
      </c>
      <c r="D3199" s="6">
        <v>2.98</v>
      </c>
      <c r="E3199" s="6">
        <v>2.89</v>
      </c>
      <c r="F3199" t="str">
        <f t="shared" si="1351"/>
        <v>MON</v>
      </c>
      <c r="G3199" s="3">
        <f t="shared" si="1352"/>
        <v>44039</v>
      </c>
      <c r="H3199" s="2">
        <f t="shared" ca="1" si="1353"/>
        <v>214</v>
      </c>
      <c r="I3199" t="str">
        <f t="shared" si="1354"/>
        <v>COPPER</v>
      </c>
      <c r="J3199">
        <f t="shared" si="1355"/>
        <v>2.86</v>
      </c>
      <c r="K3199">
        <f t="shared" si="1356"/>
        <v>2.98</v>
      </c>
      <c r="L3199">
        <f t="shared" si="1357"/>
        <v>2.92</v>
      </c>
      <c r="M3199">
        <f t="shared" si="1358"/>
        <v>6.0000000000000053E-2</v>
      </c>
      <c r="N3199">
        <f t="shared" si="1336"/>
        <v>0.12000000000000011</v>
      </c>
      <c r="O3199">
        <f t="shared" si="1359"/>
        <v>2.89</v>
      </c>
      <c r="P3199">
        <f t="shared" si="1360"/>
        <v>-0.49999999999999628</v>
      </c>
      <c r="Q3199" t="str">
        <f t="shared" si="1337"/>
        <v>1.04% | 3.11%</v>
      </c>
      <c r="R3199" t="str">
        <f t="shared" si="1361"/>
        <v>BULLISH</v>
      </c>
      <c r="S3199">
        <f t="shared" si="1338"/>
        <v>1</v>
      </c>
    </row>
    <row r="3200" spans="1:19" hidden="1" x14ac:dyDescent="0.25">
      <c r="A3200" s="5" t="str">
        <f t="shared" si="1339"/>
        <v>44039MSFT</v>
      </c>
      <c r="B3200" s="6" t="s">
        <v>183</v>
      </c>
      <c r="C3200" s="6">
        <v>198</v>
      </c>
      <c r="D3200" s="6">
        <v>214</v>
      </c>
      <c r="E3200" s="6">
        <v>201</v>
      </c>
      <c r="F3200" t="str">
        <f t="shared" si="1351"/>
        <v>MON</v>
      </c>
      <c r="G3200" s="3">
        <f t="shared" si="1352"/>
        <v>44039</v>
      </c>
      <c r="H3200" s="2">
        <f t="shared" ca="1" si="1353"/>
        <v>214</v>
      </c>
      <c r="I3200" t="str">
        <f t="shared" si="1354"/>
        <v>MSFT</v>
      </c>
      <c r="J3200">
        <f t="shared" si="1355"/>
        <v>198</v>
      </c>
      <c r="K3200">
        <f t="shared" si="1356"/>
        <v>214</v>
      </c>
      <c r="L3200">
        <f t="shared" si="1357"/>
        <v>206</v>
      </c>
      <c r="M3200">
        <f t="shared" si="1358"/>
        <v>8</v>
      </c>
      <c r="N3200">
        <f t="shared" si="1336"/>
        <v>16</v>
      </c>
      <c r="O3200">
        <f t="shared" si="1359"/>
        <v>201</v>
      </c>
      <c r="P3200">
        <f t="shared" si="1360"/>
        <v>-0.625</v>
      </c>
      <c r="Q3200" t="str">
        <f t="shared" si="1337"/>
        <v>1.49% | 6.47%</v>
      </c>
      <c r="R3200" t="str">
        <f t="shared" si="1361"/>
        <v>BULLISH</v>
      </c>
      <c r="S3200">
        <f t="shared" si="1338"/>
        <v>1</v>
      </c>
    </row>
    <row r="3201" spans="1:19" hidden="1" x14ac:dyDescent="0.25">
      <c r="A3201" s="5" t="str">
        <f t="shared" si="1339"/>
        <v>44039AAPL</v>
      </c>
      <c r="B3201" s="6" t="s">
        <v>184</v>
      </c>
      <c r="C3201" s="6">
        <v>360</v>
      </c>
      <c r="D3201" s="6">
        <v>397</v>
      </c>
      <c r="E3201" s="6">
        <v>370</v>
      </c>
      <c r="F3201" t="str">
        <f t="shared" si="1351"/>
        <v>MON</v>
      </c>
      <c r="G3201" s="3">
        <f t="shared" si="1352"/>
        <v>44039</v>
      </c>
      <c r="H3201" s="2">
        <f t="shared" ca="1" si="1353"/>
        <v>214</v>
      </c>
      <c r="I3201" t="str">
        <f t="shared" si="1354"/>
        <v>AAPL</v>
      </c>
      <c r="J3201">
        <f t="shared" si="1355"/>
        <v>360</v>
      </c>
      <c r="K3201">
        <f t="shared" si="1356"/>
        <v>397</v>
      </c>
      <c r="L3201">
        <f t="shared" si="1357"/>
        <v>378.5</v>
      </c>
      <c r="M3201">
        <f t="shared" si="1358"/>
        <v>18.5</v>
      </c>
      <c r="N3201">
        <f t="shared" si="1336"/>
        <v>37</v>
      </c>
      <c r="O3201">
        <f t="shared" si="1359"/>
        <v>370</v>
      </c>
      <c r="P3201">
        <f t="shared" si="1360"/>
        <v>-0.45945945945945948</v>
      </c>
      <c r="Q3201" t="str">
        <f t="shared" si="1337"/>
        <v>2.7% | 7.3%</v>
      </c>
      <c r="R3201" t="str">
        <f t="shared" si="1361"/>
        <v>BULLISH</v>
      </c>
      <c r="S3201">
        <f t="shared" si="1338"/>
        <v>1</v>
      </c>
    </row>
    <row r="3202" spans="1:19" hidden="1" x14ac:dyDescent="0.25">
      <c r="A3202" s="5" t="str">
        <f t="shared" si="1339"/>
        <v>44039AMZN</v>
      </c>
      <c r="B3202" s="6" t="s">
        <v>185</v>
      </c>
      <c r="C3202" s="6">
        <v>2903</v>
      </c>
      <c r="D3202" s="6">
        <v>3204</v>
      </c>
      <c r="E3202" s="6">
        <v>3008</v>
      </c>
      <c r="F3202" t="str">
        <f t="shared" si="1351"/>
        <v>MON</v>
      </c>
      <c r="G3202" s="3">
        <f t="shared" si="1352"/>
        <v>44039</v>
      </c>
      <c r="H3202" s="2">
        <f t="shared" ca="1" si="1353"/>
        <v>214</v>
      </c>
      <c r="I3202" t="str">
        <f t="shared" si="1354"/>
        <v>AMZN</v>
      </c>
      <c r="J3202">
        <f t="shared" si="1355"/>
        <v>2903</v>
      </c>
      <c r="K3202">
        <f t="shared" si="1356"/>
        <v>3204</v>
      </c>
      <c r="L3202">
        <f t="shared" si="1357"/>
        <v>3053.5</v>
      </c>
      <c r="M3202">
        <f t="shared" si="1358"/>
        <v>150.5</v>
      </c>
      <c r="N3202">
        <f t="shared" si="1336"/>
        <v>301</v>
      </c>
      <c r="O3202">
        <f t="shared" si="1359"/>
        <v>3008</v>
      </c>
      <c r="P3202">
        <f t="shared" si="1360"/>
        <v>-0.30232558139534882</v>
      </c>
      <c r="Q3202" t="str">
        <f t="shared" si="1337"/>
        <v>3.49% | 6.52%</v>
      </c>
      <c r="R3202" t="str">
        <f t="shared" si="1361"/>
        <v>BULLISH</v>
      </c>
      <c r="S3202">
        <f t="shared" si="1338"/>
        <v>1</v>
      </c>
    </row>
    <row r="3203" spans="1:19" hidden="1" x14ac:dyDescent="0.25">
      <c r="A3203" s="5" t="str">
        <f t="shared" si="1339"/>
        <v>44039FB</v>
      </c>
      <c r="B3203" s="6" t="s">
        <v>186</v>
      </c>
      <c r="C3203" s="6">
        <v>221</v>
      </c>
      <c r="D3203" s="6">
        <v>240</v>
      </c>
      <c r="E3203" s="6">
        <v>230</v>
      </c>
      <c r="F3203" t="str">
        <f t="shared" si="1351"/>
        <v>MON</v>
      </c>
      <c r="G3203" s="3">
        <f t="shared" si="1352"/>
        <v>44039</v>
      </c>
      <c r="H3203" s="2">
        <f t="shared" ca="1" si="1353"/>
        <v>214</v>
      </c>
      <c r="I3203" t="str">
        <f t="shared" si="1354"/>
        <v>FB</v>
      </c>
      <c r="J3203">
        <f t="shared" si="1355"/>
        <v>221</v>
      </c>
      <c r="K3203">
        <f t="shared" si="1356"/>
        <v>240</v>
      </c>
      <c r="L3203">
        <f t="shared" si="1357"/>
        <v>230.5</v>
      </c>
      <c r="M3203">
        <f t="shared" si="1358"/>
        <v>9.5</v>
      </c>
      <c r="N3203">
        <f t="shared" ref="N3203:N3266" si="1362">ABS(K3203-J3203)</f>
        <v>19</v>
      </c>
      <c r="O3203">
        <f t="shared" si="1359"/>
        <v>230</v>
      </c>
      <c r="P3203">
        <f t="shared" si="1360"/>
        <v>-5.2631578947368418E-2</v>
      </c>
      <c r="Q3203" t="str">
        <f t="shared" ref="Q3203:Q3266" si="1363">ROUND(ABS(100*(O3203-J3203)/O3203),2)&amp;"% | "&amp;ROUND(ABS(100*(K3203-O3203)/O3203),2)&amp;"%"</f>
        <v>3.91% | 4.35%</v>
      </c>
      <c r="R3203" t="str">
        <f t="shared" si="1361"/>
        <v>BULLISH</v>
      </c>
      <c r="S3203">
        <f t="shared" ref="S3203:S3266" si="1364">IF(R3203="BEARISH",-1,IF(R3203="NEUTRAL",0,IF(R3203="BULLISH",1,99)))</f>
        <v>1</v>
      </c>
    </row>
    <row r="3204" spans="1:19" hidden="1" x14ac:dyDescent="0.25">
      <c r="A3204" s="5" t="str">
        <f t="shared" ref="A3204:A3268" si="1365">G3204&amp;I3204</f>
        <v>44039GOOGL</v>
      </c>
      <c r="B3204" s="6" t="s">
        <v>187</v>
      </c>
      <c r="C3204" s="6">
        <v>1480</v>
      </c>
      <c r="D3204" s="6">
        <v>1575</v>
      </c>
      <c r="E3204" s="6">
        <v>1508</v>
      </c>
      <c r="F3204" t="str">
        <f t="shared" si="1351"/>
        <v>MON</v>
      </c>
      <c r="G3204" s="3">
        <f t="shared" si="1352"/>
        <v>44039</v>
      </c>
      <c r="H3204" s="2">
        <f t="shared" ca="1" si="1353"/>
        <v>214</v>
      </c>
      <c r="I3204" t="str">
        <f t="shared" si="1354"/>
        <v>GOOGL</v>
      </c>
      <c r="J3204">
        <f t="shared" si="1355"/>
        <v>1480</v>
      </c>
      <c r="K3204">
        <f t="shared" si="1356"/>
        <v>1575</v>
      </c>
      <c r="L3204">
        <f t="shared" si="1357"/>
        <v>1527.5</v>
      </c>
      <c r="M3204">
        <f t="shared" si="1358"/>
        <v>47.5</v>
      </c>
      <c r="N3204">
        <f t="shared" si="1362"/>
        <v>95</v>
      </c>
      <c r="O3204">
        <f t="shared" si="1359"/>
        <v>1508</v>
      </c>
      <c r="P3204">
        <f t="shared" si="1360"/>
        <v>-0.41052631578947368</v>
      </c>
      <c r="Q3204" t="str">
        <f t="shared" si="1363"/>
        <v>1.86% | 4.44%</v>
      </c>
      <c r="R3204" t="str">
        <f t="shared" si="1361"/>
        <v>BULLISH</v>
      </c>
      <c r="S3204">
        <f t="shared" si="1364"/>
        <v>1</v>
      </c>
    </row>
    <row r="3205" spans="1:19" hidden="1" x14ac:dyDescent="0.25">
      <c r="A3205" s="5" t="str">
        <f t="shared" si="1365"/>
        <v>44039NFLX</v>
      </c>
      <c r="B3205" s="6" t="s">
        <v>188</v>
      </c>
      <c r="C3205" s="6">
        <v>463</v>
      </c>
      <c r="D3205" s="6">
        <v>501</v>
      </c>
      <c r="E3205" s="6">
        <v>480</v>
      </c>
      <c r="F3205" t="str">
        <f t="shared" si="1351"/>
        <v>MON</v>
      </c>
      <c r="G3205" s="3">
        <f t="shared" si="1352"/>
        <v>44039</v>
      </c>
      <c r="H3205" s="2">
        <f t="shared" ca="1" si="1353"/>
        <v>214</v>
      </c>
      <c r="I3205" t="str">
        <f t="shared" si="1354"/>
        <v>NFLX</v>
      </c>
      <c r="J3205">
        <f t="shared" si="1355"/>
        <v>463</v>
      </c>
      <c r="K3205">
        <f t="shared" si="1356"/>
        <v>501</v>
      </c>
      <c r="L3205">
        <f t="shared" si="1357"/>
        <v>482</v>
      </c>
      <c r="M3205">
        <f t="shared" si="1358"/>
        <v>19</v>
      </c>
      <c r="N3205">
        <f t="shared" si="1362"/>
        <v>38</v>
      </c>
      <c r="O3205">
        <f t="shared" si="1359"/>
        <v>480</v>
      </c>
      <c r="P3205">
        <f t="shared" si="1360"/>
        <v>-0.10526315789473684</v>
      </c>
      <c r="Q3205" t="str">
        <f t="shared" si="1363"/>
        <v>3.54% | 4.38%</v>
      </c>
      <c r="R3205" t="str">
        <f t="shared" si="1361"/>
        <v>NEUTRAL</v>
      </c>
      <c r="S3205">
        <f t="shared" si="1364"/>
        <v>0</v>
      </c>
    </row>
    <row r="3206" spans="1:19" x14ac:dyDescent="0.25">
      <c r="A3206" s="5" t="str">
        <f t="shared" si="1365"/>
        <v>44039TSLA</v>
      </c>
      <c r="B3206" s="6" t="s">
        <v>189</v>
      </c>
      <c r="C3206" s="6">
        <v>1401</v>
      </c>
      <c r="D3206" s="6">
        <v>1655</v>
      </c>
      <c r="E3206" s="6">
        <v>1417</v>
      </c>
      <c r="F3206" t="str">
        <f t="shared" si="1351"/>
        <v>MON</v>
      </c>
      <c r="G3206" s="3">
        <f t="shared" si="1352"/>
        <v>44039</v>
      </c>
      <c r="H3206" s="2">
        <f t="shared" ca="1" si="1353"/>
        <v>214</v>
      </c>
      <c r="I3206" t="str">
        <f t="shared" si="1354"/>
        <v>TSLA</v>
      </c>
      <c r="J3206">
        <f t="shared" si="1355"/>
        <v>1401</v>
      </c>
      <c r="K3206">
        <f t="shared" si="1356"/>
        <v>1655</v>
      </c>
      <c r="L3206">
        <f t="shared" si="1357"/>
        <v>1528</v>
      </c>
      <c r="M3206">
        <f t="shared" si="1358"/>
        <v>127</v>
      </c>
      <c r="N3206">
        <f t="shared" si="1362"/>
        <v>254</v>
      </c>
      <c r="O3206">
        <f t="shared" si="1359"/>
        <v>1417</v>
      </c>
      <c r="P3206">
        <f t="shared" si="1360"/>
        <v>-0.87401574803149606</v>
      </c>
      <c r="Q3206" t="str">
        <f t="shared" si="1363"/>
        <v>1.13% | 16.8%</v>
      </c>
      <c r="R3206" t="str">
        <f t="shared" si="1361"/>
        <v>BULLISH</v>
      </c>
      <c r="S3206">
        <f t="shared" si="1364"/>
        <v>1</v>
      </c>
    </row>
    <row r="3207" spans="1:19" hidden="1" x14ac:dyDescent="0.25">
      <c r="A3207" s="5" t="str">
        <f t="shared" si="1365"/>
        <v>44039NYXBT</v>
      </c>
      <c r="B3207" s="6" t="s">
        <v>190</v>
      </c>
      <c r="C3207" s="6">
        <v>9111</v>
      </c>
      <c r="D3207" s="6">
        <v>10201</v>
      </c>
      <c r="E3207" s="6">
        <v>9537</v>
      </c>
      <c r="F3207" t="str">
        <f t="shared" si="1351"/>
        <v>MON</v>
      </c>
      <c r="G3207" s="3">
        <f t="shared" si="1352"/>
        <v>44039</v>
      </c>
      <c r="H3207" s="2">
        <f t="shared" ca="1" si="1353"/>
        <v>214</v>
      </c>
      <c r="I3207" t="str">
        <f t="shared" si="1354"/>
        <v>NYXBT</v>
      </c>
      <c r="J3207">
        <f t="shared" si="1355"/>
        <v>9111</v>
      </c>
      <c r="K3207">
        <f t="shared" si="1356"/>
        <v>10201</v>
      </c>
      <c r="L3207">
        <f t="shared" si="1357"/>
        <v>9656</v>
      </c>
      <c r="M3207">
        <f t="shared" si="1358"/>
        <v>545</v>
      </c>
      <c r="N3207">
        <f t="shared" si="1362"/>
        <v>1090</v>
      </c>
      <c r="O3207">
        <f t="shared" si="1359"/>
        <v>9537</v>
      </c>
      <c r="P3207">
        <f t="shared" si="1360"/>
        <v>-0.21834862385321102</v>
      </c>
      <c r="Q3207" t="str">
        <f t="shared" si="1363"/>
        <v>4.47% | 6.96%</v>
      </c>
      <c r="R3207" t="str">
        <f t="shared" si="1361"/>
        <v>BULLISH</v>
      </c>
      <c r="S3207">
        <f t="shared" si="1364"/>
        <v>1</v>
      </c>
    </row>
    <row r="3208" spans="1:19" hidden="1" x14ac:dyDescent="0.25">
      <c r="A3208" s="5" t="str">
        <f t="shared" si="1365"/>
        <v>44040UST10Y</v>
      </c>
      <c r="B3208" s="6" t="s">
        <v>161</v>
      </c>
      <c r="C3208" s="6">
        <v>0.65</v>
      </c>
      <c r="D3208" s="6">
        <v>0.56999999999999995</v>
      </c>
      <c r="E3208" s="6">
        <v>0.62</v>
      </c>
      <c r="F3208" t="str">
        <f t="shared" si="1351"/>
        <v>TUE</v>
      </c>
      <c r="G3208" s="1">
        <f>DATE(2020,7,28)</f>
        <v>44040</v>
      </c>
      <c r="H3208" s="2">
        <f t="shared" ca="1" si="1353"/>
        <v>213</v>
      </c>
      <c r="I3208" t="str">
        <f t="shared" si="1354"/>
        <v>UST10Y</v>
      </c>
      <c r="J3208">
        <f t="shared" si="1355"/>
        <v>0.65</v>
      </c>
      <c r="K3208">
        <f t="shared" si="1356"/>
        <v>0.56999999999999995</v>
      </c>
      <c r="L3208">
        <f t="shared" si="1357"/>
        <v>0.61</v>
      </c>
      <c r="M3208">
        <f t="shared" si="1358"/>
        <v>4.0000000000000036E-2</v>
      </c>
      <c r="N3208">
        <f t="shared" si="1362"/>
        <v>8.0000000000000071E-2</v>
      </c>
      <c r="O3208">
        <f t="shared" si="1359"/>
        <v>0.62</v>
      </c>
      <c r="P3208">
        <f t="shared" si="1360"/>
        <v>0.25</v>
      </c>
      <c r="Q3208" t="str">
        <f t="shared" si="1363"/>
        <v>4.84% | 8.06%</v>
      </c>
      <c r="R3208" t="str">
        <f t="shared" si="1361"/>
        <v>BEARISH</v>
      </c>
      <c r="S3208">
        <f t="shared" si="1364"/>
        <v>-1</v>
      </c>
    </row>
    <row r="3209" spans="1:19" hidden="1" x14ac:dyDescent="0.25">
      <c r="A3209" s="5" t="str">
        <f t="shared" si="1365"/>
        <v>44040UST2Y</v>
      </c>
      <c r="B3209" s="6" t="s">
        <v>162</v>
      </c>
      <c r="C3209" s="6">
        <v>0.17</v>
      </c>
      <c r="D3209" s="6">
        <v>0.13</v>
      </c>
      <c r="E3209" s="6">
        <v>0.15</v>
      </c>
      <c r="F3209" t="str">
        <f t="shared" ref="F3209:F3238" si="1366">UPPER(TEXT(G3209,"ddd"))</f>
        <v>TUE</v>
      </c>
      <c r="G3209" s="1">
        <f t="shared" ref="G3209:G3237" si="1367">DATE(2020,7,28)</f>
        <v>44040</v>
      </c>
      <c r="H3209" s="2">
        <f t="shared" ref="H3209:H3238" ca="1" si="1368">TODAY()-G3209</f>
        <v>213</v>
      </c>
      <c r="I3209" t="str">
        <f t="shared" ref="I3209:I3238" si="1369">TRIM(LEFT(B3209,FIND(" ",B3209,1)))</f>
        <v>UST2Y</v>
      </c>
      <c r="J3209">
        <f t="shared" ref="J3209:J3238" si="1370">C3209</f>
        <v>0.17</v>
      </c>
      <c r="K3209">
        <f t="shared" ref="K3209:K3238" si="1371">D3209</f>
        <v>0.13</v>
      </c>
      <c r="L3209">
        <f t="shared" ref="L3209:L3238" si="1372">AVERAGE(J3209:K3209)</f>
        <v>0.15000000000000002</v>
      </c>
      <c r="M3209">
        <f t="shared" ref="M3209:M3238" si="1373">_xlfn.STDEV.P(J3209:K3209)</f>
        <v>1.9999999999999938E-2</v>
      </c>
      <c r="N3209">
        <f t="shared" si="1362"/>
        <v>4.0000000000000008E-2</v>
      </c>
      <c r="O3209">
        <f t="shared" ref="O3209:O3238" si="1374">E3209</f>
        <v>0.15</v>
      </c>
      <c r="P3209">
        <f t="shared" ref="P3209:P3238" si="1375">(O3209-L3209)/M3209</f>
        <v>-1.38777878078145E-15</v>
      </c>
      <c r="Q3209" t="str">
        <f t="shared" si="1363"/>
        <v>13.33% | 13.33%</v>
      </c>
      <c r="R3209" t="str">
        <f t="shared" ref="R3209:R3238" si="1376">MID(B3209,FIND("(",B3209,1)+1,FIND(")",B3209,1)-FIND("(",B3209,1)-1)</f>
        <v>BEARISH</v>
      </c>
      <c r="S3209">
        <f t="shared" si="1364"/>
        <v>-1</v>
      </c>
    </row>
    <row r="3210" spans="1:19" hidden="1" x14ac:dyDescent="0.25">
      <c r="A3210" s="5" t="str">
        <f t="shared" si="1365"/>
        <v>44040SPX</v>
      </c>
      <c r="B3210" s="6" t="s">
        <v>191</v>
      </c>
      <c r="C3210" s="6">
        <v>3172</v>
      </c>
      <c r="D3210" s="6">
        <v>3278</v>
      </c>
      <c r="E3210" s="6">
        <v>3239</v>
      </c>
      <c r="F3210" t="str">
        <f t="shared" si="1366"/>
        <v>TUE</v>
      </c>
      <c r="G3210" s="1">
        <f t="shared" si="1367"/>
        <v>44040</v>
      </c>
      <c r="H3210" s="2">
        <f t="shared" ca="1" si="1368"/>
        <v>213</v>
      </c>
      <c r="I3210" t="str">
        <f t="shared" si="1369"/>
        <v>SPX</v>
      </c>
      <c r="J3210">
        <f t="shared" si="1370"/>
        <v>3172</v>
      </c>
      <c r="K3210">
        <f t="shared" si="1371"/>
        <v>3278</v>
      </c>
      <c r="L3210">
        <f t="shared" si="1372"/>
        <v>3225</v>
      </c>
      <c r="M3210">
        <f t="shared" si="1373"/>
        <v>53</v>
      </c>
      <c r="N3210">
        <f t="shared" si="1362"/>
        <v>106</v>
      </c>
      <c r="O3210">
        <f t="shared" si="1374"/>
        <v>3239</v>
      </c>
      <c r="P3210">
        <f t="shared" si="1375"/>
        <v>0.26415094339622641</v>
      </c>
      <c r="Q3210" t="str">
        <f t="shared" si="1363"/>
        <v>2.07% | 1.2%</v>
      </c>
      <c r="R3210" t="str">
        <f t="shared" si="1376"/>
        <v>BULLISH</v>
      </c>
      <c r="S3210">
        <f t="shared" si="1364"/>
        <v>1</v>
      </c>
    </row>
    <row r="3211" spans="1:19" hidden="1" x14ac:dyDescent="0.25">
      <c r="A3211" s="5" t="str">
        <f t="shared" si="1365"/>
        <v>44040RUT</v>
      </c>
      <c r="B3211" s="6" t="s">
        <v>164</v>
      </c>
      <c r="C3211" s="6">
        <v>1443</v>
      </c>
      <c r="D3211" s="6">
        <v>1498</v>
      </c>
      <c r="E3211" s="6">
        <v>1484</v>
      </c>
      <c r="F3211" t="str">
        <f t="shared" si="1366"/>
        <v>TUE</v>
      </c>
      <c r="G3211" s="1">
        <f t="shared" si="1367"/>
        <v>44040</v>
      </c>
      <c r="H3211" s="2">
        <f t="shared" ca="1" si="1368"/>
        <v>213</v>
      </c>
      <c r="I3211" t="str">
        <f t="shared" si="1369"/>
        <v>RUT</v>
      </c>
      <c r="J3211">
        <f t="shared" si="1370"/>
        <v>1443</v>
      </c>
      <c r="K3211">
        <f t="shared" si="1371"/>
        <v>1498</v>
      </c>
      <c r="L3211">
        <f t="shared" si="1372"/>
        <v>1470.5</v>
      </c>
      <c r="M3211">
        <f t="shared" si="1373"/>
        <v>27.5</v>
      </c>
      <c r="N3211">
        <f t="shared" si="1362"/>
        <v>55</v>
      </c>
      <c r="O3211">
        <f t="shared" si="1374"/>
        <v>1484</v>
      </c>
      <c r="P3211">
        <f t="shared" si="1375"/>
        <v>0.49090909090909091</v>
      </c>
      <c r="Q3211" t="str">
        <f t="shared" si="1363"/>
        <v>2.76% | 0.94%</v>
      </c>
      <c r="R3211" t="str">
        <f t="shared" si="1376"/>
        <v>BEARISH</v>
      </c>
      <c r="S3211">
        <f t="shared" si="1364"/>
        <v>-1</v>
      </c>
    </row>
    <row r="3212" spans="1:19" hidden="1" x14ac:dyDescent="0.25">
      <c r="A3212" s="5" t="str">
        <f t="shared" si="1365"/>
        <v>44040COMPQ</v>
      </c>
      <c r="B3212" s="6" t="s">
        <v>165</v>
      </c>
      <c r="C3212" s="6">
        <v>10301</v>
      </c>
      <c r="D3212" s="6">
        <v>10818</v>
      </c>
      <c r="E3212" s="6">
        <v>10536</v>
      </c>
      <c r="F3212" t="str">
        <f t="shared" si="1366"/>
        <v>TUE</v>
      </c>
      <c r="G3212" s="1">
        <f t="shared" si="1367"/>
        <v>44040</v>
      </c>
      <c r="H3212" s="2">
        <f t="shared" ca="1" si="1368"/>
        <v>213</v>
      </c>
      <c r="I3212" t="str">
        <f t="shared" si="1369"/>
        <v>COMPQ</v>
      </c>
      <c r="J3212">
        <f t="shared" si="1370"/>
        <v>10301</v>
      </c>
      <c r="K3212">
        <f t="shared" si="1371"/>
        <v>10818</v>
      </c>
      <c r="L3212">
        <f t="shared" si="1372"/>
        <v>10559.5</v>
      </c>
      <c r="M3212">
        <f t="shared" si="1373"/>
        <v>258.5</v>
      </c>
      <c r="N3212">
        <f t="shared" si="1362"/>
        <v>517</v>
      </c>
      <c r="O3212">
        <f t="shared" si="1374"/>
        <v>10536</v>
      </c>
      <c r="P3212">
        <f t="shared" si="1375"/>
        <v>-9.0909090909090912E-2</v>
      </c>
      <c r="Q3212" t="str">
        <f t="shared" si="1363"/>
        <v>2.23% | 2.68%</v>
      </c>
      <c r="R3212" t="str">
        <f t="shared" si="1376"/>
        <v>BULLISH</v>
      </c>
      <c r="S3212">
        <f t="shared" si="1364"/>
        <v>1</v>
      </c>
    </row>
    <row r="3213" spans="1:19" hidden="1" x14ac:dyDescent="0.25">
      <c r="A3213" s="5" t="str">
        <f t="shared" si="1365"/>
        <v>44040XLK</v>
      </c>
      <c r="B3213" s="6" t="s">
        <v>166</v>
      </c>
      <c r="C3213" s="6">
        <v>104.56</v>
      </c>
      <c r="D3213" s="6">
        <v>110.26</v>
      </c>
      <c r="E3213" s="6">
        <v>106.86</v>
      </c>
      <c r="F3213" t="str">
        <f t="shared" si="1366"/>
        <v>TUE</v>
      </c>
      <c r="G3213" s="1">
        <f t="shared" si="1367"/>
        <v>44040</v>
      </c>
      <c r="H3213" s="2">
        <f t="shared" ca="1" si="1368"/>
        <v>213</v>
      </c>
      <c r="I3213" t="str">
        <f t="shared" si="1369"/>
        <v>XLK</v>
      </c>
      <c r="J3213">
        <f t="shared" si="1370"/>
        <v>104.56</v>
      </c>
      <c r="K3213">
        <f t="shared" si="1371"/>
        <v>110.26</v>
      </c>
      <c r="L3213">
        <f t="shared" si="1372"/>
        <v>107.41</v>
      </c>
      <c r="M3213">
        <f t="shared" si="1373"/>
        <v>2.8500000000000014</v>
      </c>
      <c r="N3213">
        <f t="shared" si="1362"/>
        <v>5.7000000000000028</v>
      </c>
      <c r="O3213">
        <f t="shared" si="1374"/>
        <v>106.86</v>
      </c>
      <c r="P3213">
        <f t="shared" si="1375"/>
        <v>-0.19298245614034978</v>
      </c>
      <c r="Q3213" t="str">
        <f t="shared" si="1363"/>
        <v>2.15% | 3.18%</v>
      </c>
      <c r="R3213" t="str">
        <f t="shared" si="1376"/>
        <v>BULLISH</v>
      </c>
      <c r="S3213">
        <f t="shared" si="1364"/>
        <v>1</v>
      </c>
    </row>
    <row r="3214" spans="1:19" hidden="1" x14ac:dyDescent="0.25">
      <c r="A3214" s="5" t="str">
        <f t="shared" si="1365"/>
        <v>44040XLRE</v>
      </c>
      <c r="B3214" s="6" t="s">
        <v>167</v>
      </c>
      <c r="C3214" s="6">
        <v>34.369999999999997</v>
      </c>
      <c r="D3214" s="6">
        <v>35.51</v>
      </c>
      <c r="E3214" s="6">
        <v>35.21</v>
      </c>
      <c r="F3214" t="str">
        <f t="shared" si="1366"/>
        <v>TUE</v>
      </c>
      <c r="G3214" s="1">
        <f t="shared" si="1367"/>
        <v>44040</v>
      </c>
      <c r="H3214" s="2">
        <f t="shared" ca="1" si="1368"/>
        <v>213</v>
      </c>
      <c r="I3214" t="str">
        <f t="shared" si="1369"/>
        <v>XLRE</v>
      </c>
      <c r="J3214">
        <f t="shared" si="1370"/>
        <v>34.369999999999997</v>
      </c>
      <c r="K3214">
        <f t="shared" si="1371"/>
        <v>35.51</v>
      </c>
      <c r="L3214">
        <f t="shared" si="1372"/>
        <v>34.94</v>
      </c>
      <c r="M3214">
        <f t="shared" si="1373"/>
        <v>0.57000000000000028</v>
      </c>
      <c r="N3214">
        <f t="shared" si="1362"/>
        <v>1.1400000000000006</v>
      </c>
      <c r="O3214">
        <f t="shared" si="1374"/>
        <v>35.21</v>
      </c>
      <c r="P3214">
        <f t="shared" si="1375"/>
        <v>0.47368421052632104</v>
      </c>
      <c r="Q3214" t="str">
        <f t="shared" si="1363"/>
        <v>2.39% | 0.85%</v>
      </c>
      <c r="R3214" t="str">
        <f t="shared" si="1376"/>
        <v>BULLISH</v>
      </c>
      <c r="S3214">
        <f t="shared" si="1364"/>
        <v>1</v>
      </c>
    </row>
    <row r="3215" spans="1:19" hidden="1" x14ac:dyDescent="0.25">
      <c r="A3215" s="5" t="str">
        <f t="shared" si="1365"/>
        <v>44040XLU</v>
      </c>
      <c r="B3215" s="6" t="s">
        <v>168</v>
      </c>
      <c r="C3215" s="6">
        <v>57.99</v>
      </c>
      <c r="D3215" s="6">
        <v>61.31</v>
      </c>
      <c r="E3215" s="6">
        <v>59.55</v>
      </c>
      <c r="F3215" t="str">
        <f t="shared" si="1366"/>
        <v>TUE</v>
      </c>
      <c r="G3215" s="1">
        <f t="shared" si="1367"/>
        <v>44040</v>
      </c>
      <c r="H3215" s="2">
        <f t="shared" ca="1" si="1368"/>
        <v>213</v>
      </c>
      <c r="I3215" t="str">
        <f t="shared" si="1369"/>
        <v>XLU</v>
      </c>
      <c r="J3215">
        <f t="shared" si="1370"/>
        <v>57.99</v>
      </c>
      <c r="K3215">
        <f t="shared" si="1371"/>
        <v>61.31</v>
      </c>
      <c r="L3215">
        <f t="shared" si="1372"/>
        <v>59.650000000000006</v>
      </c>
      <c r="M3215">
        <f t="shared" si="1373"/>
        <v>1.6600000000000001</v>
      </c>
      <c r="N3215">
        <f t="shared" si="1362"/>
        <v>3.3200000000000003</v>
      </c>
      <c r="O3215">
        <f t="shared" si="1374"/>
        <v>59.55</v>
      </c>
      <c r="P3215">
        <f t="shared" si="1375"/>
        <v>-6.0240963855426821E-2</v>
      </c>
      <c r="Q3215" t="str">
        <f t="shared" si="1363"/>
        <v>2.62% | 2.96%</v>
      </c>
      <c r="R3215" t="str">
        <f t="shared" si="1376"/>
        <v>BULLISH</v>
      </c>
      <c r="S3215">
        <f t="shared" si="1364"/>
        <v>1</v>
      </c>
    </row>
    <row r="3216" spans="1:19" hidden="1" x14ac:dyDescent="0.25">
      <c r="A3216" s="5" t="str">
        <f t="shared" si="1365"/>
        <v>44040XLF</v>
      </c>
      <c r="B3216" s="6" t="s">
        <v>169</v>
      </c>
      <c r="C3216" s="6">
        <v>22.57</v>
      </c>
      <c r="D3216" s="6">
        <v>24.55</v>
      </c>
      <c r="E3216" s="6">
        <v>24.07</v>
      </c>
      <c r="F3216" t="str">
        <f t="shared" si="1366"/>
        <v>TUE</v>
      </c>
      <c r="G3216" s="1">
        <f t="shared" si="1367"/>
        <v>44040</v>
      </c>
      <c r="H3216" s="2">
        <f t="shared" ca="1" si="1368"/>
        <v>213</v>
      </c>
      <c r="I3216" t="str">
        <f t="shared" si="1369"/>
        <v>XLF</v>
      </c>
      <c r="J3216">
        <f t="shared" si="1370"/>
        <v>22.57</v>
      </c>
      <c r="K3216">
        <f t="shared" si="1371"/>
        <v>24.55</v>
      </c>
      <c r="L3216">
        <f t="shared" si="1372"/>
        <v>23.560000000000002</v>
      </c>
      <c r="M3216">
        <f t="shared" si="1373"/>
        <v>0.99000000000000021</v>
      </c>
      <c r="N3216">
        <f t="shared" si="1362"/>
        <v>1.9800000000000004</v>
      </c>
      <c r="O3216">
        <f t="shared" si="1374"/>
        <v>24.07</v>
      </c>
      <c r="P3216">
        <f t="shared" si="1375"/>
        <v>0.51515151515151303</v>
      </c>
      <c r="Q3216" t="str">
        <f t="shared" si="1363"/>
        <v>6.23% | 1.99%</v>
      </c>
      <c r="R3216" t="str">
        <f t="shared" si="1376"/>
        <v>BEARISH</v>
      </c>
      <c r="S3216">
        <f t="shared" si="1364"/>
        <v>-1</v>
      </c>
    </row>
    <row r="3217" spans="1:19" hidden="1" x14ac:dyDescent="0.25">
      <c r="A3217" s="5" t="str">
        <f t="shared" si="1365"/>
        <v>44040SSEC</v>
      </c>
      <c r="B3217" s="6" t="s">
        <v>170</v>
      </c>
      <c r="C3217" s="6">
        <v>3150</v>
      </c>
      <c r="D3217" s="6">
        <v>3411</v>
      </c>
      <c r="E3217" s="6">
        <v>3227</v>
      </c>
      <c r="F3217" t="str">
        <f t="shared" si="1366"/>
        <v>TUE</v>
      </c>
      <c r="G3217" s="1">
        <f t="shared" si="1367"/>
        <v>44040</v>
      </c>
      <c r="H3217" s="2">
        <f t="shared" ca="1" si="1368"/>
        <v>213</v>
      </c>
      <c r="I3217" t="str">
        <f t="shared" si="1369"/>
        <v>SSEC</v>
      </c>
      <c r="J3217">
        <f t="shared" si="1370"/>
        <v>3150</v>
      </c>
      <c r="K3217">
        <f t="shared" si="1371"/>
        <v>3411</v>
      </c>
      <c r="L3217">
        <f t="shared" si="1372"/>
        <v>3280.5</v>
      </c>
      <c r="M3217">
        <f t="shared" si="1373"/>
        <v>130.5</v>
      </c>
      <c r="N3217">
        <f t="shared" si="1362"/>
        <v>261</v>
      </c>
      <c r="O3217">
        <f t="shared" si="1374"/>
        <v>3227</v>
      </c>
      <c r="P3217">
        <f t="shared" si="1375"/>
        <v>-0.40996168582375481</v>
      </c>
      <c r="Q3217" t="str">
        <f t="shared" si="1363"/>
        <v>2.39% | 5.7%</v>
      </c>
      <c r="R3217" t="str">
        <f t="shared" si="1376"/>
        <v>BULLISH</v>
      </c>
      <c r="S3217">
        <f t="shared" si="1364"/>
        <v>1</v>
      </c>
    </row>
    <row r="3218" spans="1:19" hidden="1" x14ac:dyDescent="0.25">
      <c r="A3218" s="5" t="str">
        <f t="shared" si="1365"/>
        <v>44040NIKK</v>
      </c>
      <c r="B3218" s="6" t="s">
        <v>171</v>
      </c>
      <c r="C3218" s="6">
        <v>22475</v>
      </c>
      <c r="D3218" s="6">
        <v>22961</v>
      </c>
      <c r="E3218" s="6">
        <v>22657</v>
      </c>
      <c r="F3218" t="str">
        <f t="shared" si="1366"/>
        <v>TUE</v>
      </c>
      <c r="G3218" s="1">
        <f t="shared" si="1367"/>
        <v>44040</v>
      </c>
      <c r="H3218" s="2">
        <f t="shared" ca="1" si="1368"/>
        <v>213</v>
      </c>
      <c r="I3218" t="str">
        <f t="shared" si="1369"/>
        <v>NIKK</v>
      </c>
      <c r="J3218">
        <f t="shared" si="1370"/>
        <v>22475</v>
      </c>
      <c r="K3218">
        <f t="shared" si="1371"/>
        <v>22961</v>
      </c>
      <c r="L3218">
        <f t="shared" si="1372"/>
        <v>22718</v>
      </c>
      <c r="M3218">
        <f t="shared" si="1373"/>
        <v>243</v>
      </c>
      <c r="N3218">
        <f t="shared" si="1362"/>
        <v>486</v>
      </c>
      <c r="O3218">
        <f t="shared" si="1374"/>
        <v>22657</v>
      </c>
      <c r="P3218">
        <f t="shared" si="1375"/>
        <v>-0.25102880658436216</v>
      </c>
      <c r="Q3218" t="str">
        <f t="shared" si="1363"/>
        <v>0.8% | 1.34%</v>
      </c>
      <c r="R3218" t="str">
        <f t="shared" si="1376"/>
        <v>NEUTRAL</v>
      </c>
      <c r="S3218">
        <f t="shared" si="1364"/>
        <v>0</v>
      </c>
    </row>
    <row r="3219" spans="1:19" hidden="1" x14ac:dyDescent="0.25">
      <c r="A3219" s="5" t="str">
        <f t="shared" si="1365"/>
        <v>44040DAX</v>
      </c>
      <c r="B3219" s="6" t="s">
        <v>172</v>
      </c>
      <c r="C3219" s="6">
        <v>12640</v>
      </c>
      <c r="D3219" s="6">
        <v>13221</v>
      </c>
      <c r="E3219" s="6">
        <v>12838</v>
      </c>
      <c r="F3219" t="str">
        <f t="shared" si="1366"/>
        <v>TUE</v>
      </c>
      <c r="G3219" s="1">
        <f t="shared" si="1367"/>
        <v>44040</v>
      </c>
      <c r="H3219" s="2">
        <f t="shared" ca="1" si="1368"/>
        <v>213</v>
      </c>
      <c r="I3219" t="str">
        <f t="shared" si="1369"/>
        <v>DAX</v>
      </c>
      <c r="J3219">
        <f t="shared" si="1370"/>
        <v>12640</v>
      </c>
      <c r="K3219">
        <f t="shared" si="1371"/>
        <v>13221</v>
      </c>
      <c r="L3219">
        <f t="shared" si="1372"/>
        <v>12930.5</v>
      </c>
      <c r="M3219">
        <f t="shared" si="1373"/>
        <v>290.5</v>
      </c>
      <c r="N3219">
        <f t="shared" si="1362"/>
        <v>581</v>
      </c>
      <c r="O3219">
        <f t="shared" si="1374"/>
        <v>12838</v>
      </c>
      <c r="P3219">
        <f t="shared" si="1375"/>
        <v>-0.31841652323580033</v>
      </c>
      <c r="Q3219" t="str">
        <f t="shared" si="1363"/>
        <v>1.54% | 2.98%</v>
      </c>
      <c r="R3219" t="str">
        <f t="shared" si="1376"/>
        <v>BULLISH</v>
      </c>
      <c r="S3219">
        <f t="shared" si="1364"/>
        <v>1</v>
      </c>
    </row>
    <row r="3220" spans="1:19" hidden="1" x14ac:dyDescent="0.25">
      <c r="A3220" s="5" t="str">
        <f t="shared" si="1365"/>
        <v>44040VIX</v>
      </c>
      <c r="B3220" s="6" t="s">
        <v>192</v>
      </c>
      <c r="C3220" s="6">
        <v>23.08</v>
      </c>
      <c r="D3220" s="6">
        <v>31.01</v>
      </c>
      <c r="E3220" s="6">
        <v>24.74</v>
      </c>
      <c r="F3220" t="str">
        <f t="shared" si="1366"/>
        <v>TUE</v>
      </c>
      <c r="G3220" s="1">
        <f t="shared" si="1367"/>
        <v>44040</v>
      </c>
      <c r="H3220" s="2">
        <f t="shared" ca="1" si="1368"/>
        <v>213</v>
      </c>
      <c r="I3220" t="str">
        <f t="shared" si="1369"/>
        <v>VIX</v>
      </c>
      <c r="J3220">
        <f t="shared" si="1370"/>
        <v>23.08</v>
      </c>
      <c r="K3220">
        <f t="shared" si="1371"/>
        <v>31.01</v>
      </c>
      <c r="L3220">
        <f t="shared" si="1372"/>
        <v>27.045000000000002</v>
      </c>
      <c r="M3220">
        <f t="shared" si="1373"/>
        <v>3.9650000000000003</v>
      </c>
      <c r="N3220">
        <f t="shared" si="1362"/>
        <v>7.9300000000000033</v>
      </c>
      <c r="O3220">
        <f t="shared" si="1374"/>
        <v>24.74</v>
      </c>
      <c r="P3220">
        <f t="shared" si="1375"/>
        <v>-0.58133669609079519</v>
      </c>
      <c r="Q3220" t="str">
        <f t="shared" si="1363"/>
        <v>6.71% | 25.34%</v>
      </c>
      <c r="R3220" t="str">
        <f t="shared" si="1376"/>
        <v>BEARISH</v>
      </c>
      <c r="S3220">
        <f t="shared" si="1364"/>
        <v>-1</v>
      </c>
    </row>
    <row r="3221" spans="1:19" hidden="1" x14ac:dyDescent="0.25">
      <c r="A3221" s="5" t="str">
        <f t="shared" si="1365"/>
        <v>44040USD</v>
      </c>
      <c r="B3221" s="6" t="s">
        <v>174</v>
      </c>
      <c r="C3221" s="6">
        <v>93.41</v>
      </c>
      <c r="D3221" s="6">
        <v>96.1</v>
      </c>
      <c r="E3221" s="6">
        <v>93.61</v>
      </c>
      <c r="F3221" t="str">
        <f t="shared" si="1366"/>
        <v>TUE</v>
      </c>
      <c r="G3221" s="1">
        <f t="shared" si="1367"/>
        <v>44040</v>
      </c>
      <c r="H3221" s="2">
        <f t="shared" ca="1" si="1368"/>
        <v>213</v>
      </c>
      <c r="I3221" t="str">
        <f t="shared" si="1369"/>
        <v>USD</v>
      </c>
      <c r="J3221">
        <f t="shared" si="1370"/>
        <v>93.41</v>
      </c>
      <c r="K3221">
        <f t="shared" si="1371"/>
        <v>96.1</v>
      </c>
      <c r="L3221">
        <f t="shared" si="1372"/>
        <v>94.754999999999995</v>
      </c>
      <c r="M3221">
        <f t="shared" si="1373"/>
        <v>1.3449999999999989</v>
      </c>
      <c r="N3221">
        <f t="shared" si="1362"/>
        <v>2.6899999999999977</v>
      </c>
      <c r="O3221">
        <f t="shared" si="1374"/>
        <v>93.61</v>
      </c>
      <c r="P3221">
        <f t="shared" si="1375"/>
        <v>-0.85130111524163343</v>
      </c>
      <c r="Q3221" t="str">
        <f t="shared" si="1363"/>
        <v>0.21% | 2.66%</v>
      </c>
      <c r="R3221" t="str">
        <f t="shared" si="1376"/>
        <v>BEARISH</v>
      </c>
      <c r="S3221">
        <f t="shared" si="1364"/>
        <v>-1</v>
      </c>
    </row>
    <row r="3222" spans="1:19" hidden="1" x14ac:dyDescent="0.25">
      <c r="A3222" s="5" t="str">
        <f t="shared" si="1365"/>
        <v>44040EUR/USD</v>
      </c>
      <c r="B3222" s="6" t="s">
        <v>175</v>
      </c>
      <c r="C3222" s="6">
        <v>1.1399999999999999</v>
      </c>
      <c r="D3222" s="6">
        <v>1.17</v>
      </c>
      <c r="E3222" s="6">
        <v>1.17</v>
      </c>
      <c r="F3222" t="str">
        <f t="shared" si="1366"/>
        <v>TUE</v>
      </c>
      <c r="G3222" s="1">
        <f t="shared" si="1367"/>
        <v>44040</v>
      </c>
      <c r="H3222" s="2">
        <f t="shared" ca="1" si="1368"/>
        <v>213</v>
      </c>
      <c r="I3222" t="str">
        <f t="shared" si="1369"/>
        <v>EUR/USD</v>
      </c>
      <c r="J3222">
        <f t="shared" si="1370"/>
        <v>1.1399999999999999</v>
      </c>
      <c r="K3222">
        <f t="shared" si="1371"/>
        <v>1.17</v>
      </c>
      <c r="L3222">
        <f t="shared" si="1372"/>
        <v>1.1549999999999998</v>
      </c>
      <c r="M3222">
        <f t="shared" si="1373"/>
        <v>1.5000000000000013E-2</v>
      </c>
      <c r="N3222">
        <f t="shared" si="1362"/>
        <v>3.0000000000000027E-2</v>
      </c>
      <c r="O3222">
        <f t="shared" si="1374"/>
        <v>1.17</v>
      </c>
      <c r="P3222">
        <f t="shared" si="1375"/>
        <v>1.0000000000000073</v>
      </c>
      <c r="Q3222" t="str">
        <f t="shared" si="1363"/>
        <v>2.56% | 0%</v>
      </c>
      <c r="R3222" t="str">
        <f t="shared" si="1376"/>
        <v>BULLISH</v>
      </c>
      <c r="S3222">
        <f t="shared" si="1364"/>
        <v>1</v>
      </c>
    </row>
    <row r="3223" spans="1:19" hidden="1" x14ac:dyDescent="0.25">
      <c r="A3223" s="5" t="str">
        <f t="shared" si="1365"/>
        <v>44040USD/JPY</v>
      </c>
      <c r="B3223" s="6" t="s">
        <v>176</v>
      </c>
      <c r="C3223" s="6">
        <v>105.1</v>
      </c>
      <c r="D3223" s="6">
        <v>107.01</v>
      </c>
      <c r="E3223" s="6">
        <v>105.4</v>
      </c>
      <c r="F3223" t="str">
        <f t="shared" si="1366"/>
        <v>TUE</v>
      </c>
      <c r="G3223" s="1">
        <f t="shared" si="1367"/>
        <v>44040</v>
      </c>
      <c r="H3223" s="2">
        <f t="shared" ca="1" si="1368"/>
        <v>213</v>
      </c>
      <c r="I3223" t="str">
        <f t="shared" si="1369"/>
        <v>USD/JPY</v>
      </c>
      <c r="J3223">
        <f t="shared" si="1370"/>
        <v>105.1</v>
      </c>
      <c r="K3223">
        <f t="shared" si="1371"/>
        <v>107.01</v>
      </c>
      <c r="L3223">
        <f t="shared" si="1372"/>
        <v>106.05500000000001</v>
      </c>
      <c r="M3223">
        <f t="shared" si="1373"/>
        <v>0.9550000000000054</v>
      </c>
      <c r="N3223">
        <f t="shared" si="1362"/>
        <v>1.9100000000000108</v>
      </c>
      <c r="O3223">
        <f t="shared" si="1374"/>
        <v>105.4</v>
      </c>
      <c r="P3223">
        <f t="shared" si="1375"/>
        <v>-0.68586387434554708</v>
      </c>
      <c r="Q3223" t="str">
        <f t="shared" si="1363"/>
        <v>0.28% | 1.53%</v>
      </c>
      <c r="R3223" t="str">
        <f t="shared" si="1376"/>
        <v>BEARISH</v>
      </c>
      <c r="S3223">
        <f t="shared" si="1364"/>
        <v>-1</v>
      </c>
    </row>
    <row r="3224" spans="1:19" hidden="1" x14ac:dyDescent="0.25">
      <c r="A3224" s="5" t="str">
        <f t="shared" si="1365"/>
        <v>44040GBP/USD</v>
      </c>
      <c r="B3224" s="6" t="s">
        <v>177</v>
      </c>
      <c r="C3224" s="6">
        <v>1.25</v>
      </c>
      <c r="D3224" s="6">
        <v>1.28</v>
      </c>
      <c r="E3224" s="6">
        <v>1.28</v>
      </c>
      <c r="F3224" t="str">
        <f t="shared" si="1366"/>
        <v>TUE</v>
      </c>
      <c r="G3224" s="1">
        <f t="shared" si="1367"/>
        <v>44040</v>
      </c>
      <c r="H3224" s="2">
        <f t="shared" ca="1" si="1368"/>
        <v>213</v>
      </c>
      <c r="I3224" t="str">
        <f t="shared" si="1369"/>
        <v>GBP/USD</v>
      </c>
      <c r="J3224">
        <f t="shared" si="1370"/>
        <v>1.25</v>
      </c>
      <c r="K3224">
        <f t="shared" si="1371"/>
        <v>1.28</v>
      </c>
      <c r="L3224">
        <f t="shared" si="1372"/>
        <v>1.2650000000000001</v>
      </c>
      <c r="M3224">
        <f t="shared" si="1373"/>
        <v>1.5000000000000013E-2</v>
      </c>
      <c r="N3224">
        <f t="shared" si="1362"/>
        <v>3.0000000000000027E-2</v>
      </c>
      <c r="O3224">
        <f t="shared" si="1374"/>
        <v>1.28</v>
      </c>
      <c r="P3224">
        <f t="shared" si="1375"/>
        <v>0.99999999999999256</v>
      </c>
      <c r="Q3224" t="str">
        <f t="shared" si="1363"/>
        <v>2.34% | 0%</v>
      </c>
      <c r="R3224" t="str">
        <f t="shared" si="1376"/>
        <v>BULLISH</v>
      </c>
      <c r="S3224">
        <f t="shared" si="1364"/>
        <v>1</v>
      </c>
    </row>
    <row r="3225" spans="1:19" hidden="1" x14ac:dyDescent="0.25">
      <c r="A3225" s="5" t="str">
        <f t="shared" si="1365"/>
        <v>44040USD/CHF</v>
      </c>
      <c r="B3225" s="6" t="s">
        <v>178</v>
      </c>
      <c r="C3225" s="6">
        <v>0.91</v>
      </c>
      <c r="D3225" s="6">
        <v>0.94</v>
      </c>
      <c r="E3225" s="6">
        <v>0.92</v>
      </c>
      <c r="F3225" t="str">
        <f t="shared" si="1366"/>
        <v>TUE</v>
      </c>
      <c r="G3225" s="1">
        <f t="shared" si="1367"/>
        <v>44040</v>
      </c>
      <c r="H3225" s="2">
        <f t="shared" ca="1" si="1368"/>
        <v>213</v>
      </c>
      <c r="I3225" t="str">
        <f t="shared" si="1369"/>
        <v>USD/CHF</v>
      </c>
      <c r="J3225">
        <f t="shared" si="1370"/>
        <v>0.91</v>
      </c>
      <c r="K3225">
        <f t="shared" si="1371"/>
        <v>0.94</v>
      </c>
      <c r="L3225">
        <f t="shared" si="1372"/>
        <v>0.92500000000000004</v>
      </c>
      <c r="M3225">
        <f t="shared" si="1373"/>
        <v>1.4999999999999958E-2</v>
      </c>
      <c r="N3225">
        <f t="shared" si="1362"/>
        <v>2.9999999999999916E-2</v>
      </c>
      <c r="O3225">
        <f t="shared" si="1374"/>
        <v>0.92</v>
      </c>
      <c r="P3225">
        <f t="shared" si="1375"/>
        <v>-0.33333333333333459</v>
      </c>
      <c r="Q3225" t="str">
        <f t="shared" si="1363"/>
        <v>1.09% | 2.17%</v>
      </c>
      <c r="R3225" t="str">
        <f t="shared" si="1376"/>
        <v>BEARISH</v>
      </c>
      <c r="S3225">
        <f t="shared" si="1364"/>
        <v>-1</v>
      </c>
    </row>
    <row r="3226" spans="1:19" hidden="1" x14ac:dyDescent="0.25">
      <c r="A3226" s="5" t="str">
        <f t="shared" si="1365"/>
        <v>44040WTIC</v>
      </c>
      <c r="B3226" s="6" t="s">
        <v>179</v>
      </c>
      <c r="C3226" s="6">
        <v>39.840000000000003</v>
      </c>
      <c r="D3226" s="6">
        <v>42.12</v>
      </c>
      <c r="E3226" s="6">
        <v>41.6</v>
      </c>
      <c r="F3226" t="str">
        <f t="shared" si="1366"/>
        <v>TUE</v>
      </c>
      <c r="G3226" s="1">
        <f t="shared" si="1367"/>
        <v>44040</v>
      </c>
      <c r="H3226" s="2">
        <f t="shared" ca="1" si="1368"/>
        <v>213</v>
      </c>
      <c r="I3226" t="str">
        <f t="shared" si="1369"/>
        <v>WTIC</v>
      </c>
      <c r="J3226">
        <f t="shared" si="1370"/>
        <v>39.840000000000003</v>
      </c>
      <c r="K3226">
        <f t="shared" si="1371"/>
        <v>42.12</v>
      </c>
      <c r="L3226">
        <f t="shared" si="1372"/>
        <v>40.980000000000004</v>
      </c>
      <c r="M3226">
        <f t="shared" si="1373"/>
        <v>1.139999999999997</v>
      </c>
      <c r="N3226">
        <f t="shared" si="1362"/>
        <v>2.279999999999994</v>
      </c>
      <c r="O3226">
        <f t="shared" si="1374"/>
        <v>41.6</v>
      </c>
      <c r="P3226">
        <f t="shared" si="1375"/>
        <v>0.54385964912280615</v>
      </c>
      <c r="Q3226" t="str">
        <f t="shared" si="1363"/>
        <v>4.23% | 1.25%</v>
      </c>
      <c r="R3226" t="str">
        <f t="shared" si="1376"/>
        <v>BULLISH</v>
      </c>
      <c r="S3226">
        <f t="shared" si="1364"/>
        <v>1</v>
      </c>
    </row>
    <row r="3227" spans="1:19" hidden="1" x14ac:dyDescent="0.25">
      <c r="A3227" s="5" t="str">
        <f t="shared" si="1365"/>
        <v>44040NATGAS</v>
      </c>
      <c r="B3227" s="6" t="s">
        <v>193</v>
      </c>
      <c r="C3227" s="6">
        <v>1.6</v>
      </c>
      <c r="D3227" s="6">
        <v>1.89</v>
      </c>
      <c r="E3227" s="6">
        <v>1.79</v>
      </c>
      <c r="F3227" t="str">
        <f t="shared" si="1366"/>
        <v>TUE</v>
      </c>
      <c r="G3227" s="1">
        <f t="shared" si="1367"/>
        <v>44040</v>
      </c>
      <c r="H3227" s="2">
        <f t="shared" ca="1" si="1368"/>
        <v>213</v>
      </c>
      <c r="I3227" t="str">
        <f t="shared" si="1369"/>
        <v>NATGAS</v>
      </c>
      <c r="J3227">
        <f t="shared" si="1370"/>
        <v>1.6</v>
      </c>
      <c r="K3227">
        <f t="shared" si="1371"/>
        <v>1.89</v>
      </c>
      <c r="L3227">
        <f t="shared" si="1372"/>
        <v>1.7450000000000001</v>
      </c>
      <c r="M3227">
        <f t="shared" si="1373"/>
        <v>0.14499999999999991</v>
      </c>
      <c r="N3227">
        <f t="shared" si="1362"/>
        <v>0.28999999999999981</v>
      </c>
      <c r="O3227">
        <f t="shared" si="1374"/>
        <v>1.79</v>
      </c>
      <c r="P3227">
        <f t="shared" si="1375"/>
        <v>0.31034482758620663</v>
      </c>
      <c r="Q3227" t="str">
        <f t="shared" si="1363"/>
        <v>10.61% | 5.59%</v>
      </c>
      <c r="R3227" t="str">
        <f t="shared" si="1376"/>
        <v>NEUTRAL</v>
      </c>
      <c r="S3227">
        <f t="shared" si="1364"/>
        <v>0</v>
      </c>
    </row>
    <row r="3228" spans="1:19" hidden="1" x14ac:dyDescent="0.25">
      <c r="A3228" s="5" t="str">
        <f t="shared" si="1365"/>
        <v>44040GOLD</v>
      </c>
      <c r="B3228" s="6" t="s">
        <v>181</v>
      </c>
      <c r="C3228" s="6">
        <v>1852</v>
      </c>
      <c r="D3228" s="6">
        <v>1969</v>
      </c>
      <c r="E3228" s="6">
        <v>1931</v>
      </c>
      <c r="F3228" t="str">
        <f t="shared" si="1366"/>
        <v>TUE</v>
      </c>
      <c r="G3228" s="1">
        <f t="shared" si="1367"/>
        <v>44040</v>
      </c>
      <c r="H3228" s="2">
        <f t="shared" ca="1" si="1368"/>
        <v>213</v>
      </c>
      <c r="I3228" t="str">
        <f t="shared" si="1369"/>
        <v>GOLD</v>
      </c>
      <c r="J3228">
        <f t="shared" si="1370"/>
        <v>1852</v>
      </c>
      <c r="K3228">
        <f t="shared" si="1371"/>
        <v>1969</v>
      </c>
      <c r="L3228">
        <f t="shared" si="1372"/>
        <v>1910.5</v>
      </c>
      <c r="M3228">
        <f t="shared" si="1373"/>
        <v>58.5</v>
      </c>
      <c r="N3228">
        <f t="shared" si="1362"/>
        <v>117</v>
      </c>
      <c r="O3228">
        <f t="shared" si="1374"/>
        <v>1931</v>
      </c>
      <c r="P3228">
        <f t="shared" si="1375"/>
        <v>0.3504273504273504</v>
      </c>
      <c r="Q3228" t="str">
        <f t="shared" si="1363"/>
        <v>4.09% | 1.97%</v>
      </c>
      <c r="R3228" t="str">
        <f t="shared" si="1376"/>
        <v>BULLISH</v>
      </c>
      <c r="S3228">
        <f t="shared" si="1364"/>
        <v>1</v>
      </c>
    </row>
    <row r="3229" spans="1:19" hidden="1" x14ac:dyDescent="0.25">
      <c r="A3229" s="5" t="str">
        <f t="shared" si="1365"/>
        <v>44040COPPER</v>
      </c>
      <c r="B3229" s="6" t="s">
        <v>182</v>
      </c>
      <c r="C3229" s="6">
        <v>2.86</v>
      </c>
      <c r="D3229" s="6">
        <v>2.97</v>
      </c>
      <c r="E3229" s="6">
        <v>2.9</v>
      </c>
      <c r="F3229" t="str">
        <f t="shared" si="1366"/>
        <v>TUE</v>
      </c>
      <c r="G3229" s="1">
        <f t="shared" si="1367"/>
        <v>44040</v>
      </c>
      <c r="H3229" s="2">
        <f t="shared" ca="1" si="1368"/>
        <v>213</v>
      </c>
      <c r="I3229" t="str">
        <f t="shared" si="1369"/>
        <v>COPPER</v>
      </c>
      <c r="J3229">
        <f t="shared" si="1370"/>
        <v>2.86</v>
      </c>
      <c r="K3229">
        <f t="shared" si="1371"/>
        <v>2.97</v>
      </c>
      <c r="L3229">
        <f t="shared" si="1372"/>
        <v>2.915</v>
      </c>
      <c r="M3229">
        <f t="shared" si="1373"/>
        <v>5.500000000000016E-2</v>
      </c>
      <c r="N3229">
        <f t="shared" si="1362"/>
        <v>0.11000000000000032</v>
      </c>
      <c r="O3229">
        <f t="shared" si="1374"/>
        <v>2.9</v>
      </c>
      <c r="P3229">
        <f t="shared" si="1375"/>
        <v>-0.27272727272727421</v>
      </c>
      <c r="Q3229" t="str">
        <f t="shared" si="1363"/>
        <v>1.38% | 2.41%</v>
      </c>
      <c r="R3229" t="str">
        <f t="shared" si="1376"/>
        <v>BULLISH</v>
      </c>
      <c r="S3229">
        <f t="shared" si="1364"/>
        <v>1</v>
      </c>
    </row>
    <row r="3230" spans="1:19" hidden="1" x14ac:dyDescent="0.25">
      <c r="A3230" s="5" t="str">
        <f t="shared" si="1365"/>
        <v>44040MSFT</v>
      </c>
      <c r="B3230" s="6" t="s">
        <v>183</v>
      </c>
      <c r="C3230" s="6">
        <v>197</v>
      </c>
      <c r="D3230" s="6">
        <v>213</v>
      </c>
      <c r="E3230" s="6">
        <v>203</v>
      </c>
      <c r="F3230" t="str">
        <f t="shared" si="1366"/>
        <v>TUE</v>
      </c>
      <c r="G3230" s="1">
        <f t="shared" si="1367"/>
        <v>44040</v>
      </c>
      <c r="H3230" s="2">
        <f t="shared" ca="1" si="1368"/>
        <v>213</v>
      </c>
      <c r="I3230" t="str">
        <f t="shared" si="1369"/>
        <v>MSFT</v>
      </c>
      <c r="J3230">
        <f t="shared" si="1370"/>
        <v>197</v>
      </c>
      <c r="K3230">
        <f t="shared" si="1371"/>
        <v>213</v>
      </c>
      <c r="L3230">
        <f t="shared" si="1372"/>
        <v>205</v>
      </c>
      <c r="M3230">
        <f t="shared" si="1373"/>
        <v>8</v>
      </c>
      <c r="N3230">
        <f t="shared" si="1362"/>
        <v>16</v>
      </c>
      <c r="O3230">
        <f t="shared" si="1374"/>
        <v>203</v>
      </c>
      <c r="P3230">
        <f t="shared" si="1375"/>
        <v>-0.25</v>
      </c>
      <c r="Q3230" t="str">
        <f t="shared" si="1363"/>
        <v>2.96% | 4.93%</v>
      </c>
      <c r="R3230" t="str">
        <f t="shared" si="1376"/>
        <v>BULLISH</v>
      </c>
      <c r="S3230">
        <f t="shared" si="1364"/>
        <v>1</v>
      </c>
    </row>
    <row r="3231" spans="1:19" hidden="1" x14ac:dyDescent="0.25">
      <c r="A3231" s="5" t="str">
        <f t="shared" si="1365"/>
        <v>44040AAPL</v>
      </c>
      <c r="B3231" s="6" t="s">
        <v>184</v>
      </c>
      <c r="C3231" s="6">
        <v>361</v>
      </c>
      <c r="D3231" s="6">
        <v>399</v>
      </c>
      <c r="E3231" s="6">
        <v>379</v>
      </c>
      <c r="F3231" t="str">
        <f t="shared" si="1366"/>
        <v>TUE</v>
      </c>
      <c r="G3231" s="1">
        <f t="shared" si="1367"/>
        <v>44040</v>
      </c>
      <c r="H3231" s="2">
        <f t="shared" ca="1" si="1368"/>
        <v>213</v>
      </c>
      <c r="I3231" t="str">
        <f t="shared" si="1369"/>
        <v>AAPL</v>
      </c>
      <c r="J3231">
        <f t="shared" si="1370"/>
        <v>361</v>
      </c>
      <c r="K3231">
        <f t="shared" si="1371"/>
        <v>399</v>
      </c>
      <c r="L3231">
        <f t="shared" si="1372"/>
        <v>380</v>
      </c>
      <c r="M3231">
        <f t="shared" si="1373"/>
        <v>19</v>
      </c>
      <c r="N3231">
        <f t="shared" si="1362"/>
        <v>38</v>
      </c>
      <c r="O3231">
        <f t="shared" si="1374"/>
        <v>379</v>
      </c>
      <c r="P3231">
        <f t="shared" si="1375"/>
        <v>-5.2631578947368418E-2</v>
      </c>
      <c r="Q3231" t="str">
        <f t="shared" si="1363"/>
        <v>4.75% | 5.28%</v>
      </c>
      <c r="R3231" t="str">
        <f t="shared" si="1376"/>
        <v>BULLISH</v>
      </c>
      <c r="S3231">
        <f t="shared" si="1364"/>
        <v>1</v>
      </c>
    </row>
    <row r="3232" spans="1:19" hidden="1" x14ac:dyDescent="0.25">
      <c r="A3232" s="5" t="str">
        <f t="shared" si="1365"/>
        <v>44040AMZN</v>
      </c>
      <c r="B3232" s="6" t="s">
        <v>185</v>
      </c>
      <c r="C3232" s="6">
        <v>2904</v>
      </c>
      <c r="D3232" s="6">
        <v>3200</v>
      </c>
      <c r="E3232" s="6">
        <v>3055</v>
      </c>
      <c r="F3232" t="str">
        <f t="shared" si="1366"/>
        <v>TUE</v>
      </c>
      <c r="G3232" s="1">
        <f t="shared" si="1367"/>
        <v>44040</v>
      </c>
      <c r="H3232" s="2">
        <f t="shared" ca="1" si="1368"/>
        <v>213</v>
      </c>
      <c r="I3232" t="str">
        <f t="shared" si="1369"/>
        <v>AMZN</v>
      </c>
      <c r="J3232">
        <f t="shared" si="1370"/>
        <v>2904</v>
      </c>
      <c r="K3232">
        <f t="shared" si="1371"/>
        <v>3200</v>
      </c>
      <c r="L3232">
        <f t="shared" si="1372"/>
        <v>3052</v>
      </c>
      <c r="M3232">
        <f t="shared" si="1373"/>
        <v>148</v>
      </c>
      <c r="N3232">
        <f t="shared" si="1362"/>
        <v>296</v>
      </c>
      <c r="O3232">
        <f t="shared" si="1374"/>
        <v>3055</v>
      </c>
      <c r="P3232">
        <f t="shared" si="1375"/>
        <v>2.0270270270270271E-2</v>
      </c>
      <c r="Q3232" t="str">
        <f t="shared" si="1363"/>
        <v>4.94% | 4.75%</v>
      </c>
      <c r="R3232" t="str">
        <f t="shared" si="1376"/>
        <v>BULLISH</v>
      </c>
      <c r="S3232">
        <f t="shared" si="1364"/>
        <v>1</v>
      </c>
    </row>
    <row r="3233" spans="1:19" hidden="1" x14ac:dyDescent="0.25">
      <c r="A3233" s="5" t="str">
        <f t="shared" si="1365"/>
        <v>44040FB</v>
      </c>
      <c r="B3233" s="6" t="s">
        <v>186</v>
      </c>
      <c r="C3233" s="6">
        <v>223</v>
      </c>
      <c r="D3233" s="6">
        <v>249</v>
      </c>
      <c r="E3233" s="6">
        <v>233</v>
      </c>
      <c r="F3233" t="str">
        <f t="shared" si="1366"/>
        <v>TUE</v>
      </c>
      <c r="G3233" s="1">
        <f t="shared" si="1367"/>
        <v>44040</v>
      </c>
      <c r="H3233" s="2">
        <f t="shared" ca="1" si="1368"/>
        <v>213</v>
      </c>
      <c r="I3233" t="str">
        <f t="shared" si="1369"/>
        <v>FB</v>
      </c>
      <c r="J3233">
        <f t="shared" si="1370"/>
        <v>223</v>
      </c>
      <c r="K3233">
        <f t="shared" si="1371"/>
        <v>249</v>
      </c>
      <c r="L3233">
        <f t="shared" si="1372"/>
        <v>236</v>
      </c>
      <c r="M3233">
        <f t="shared" si="1373"/>
        <v>13</v>
      </c>
      <c r="N3233">
        <f t="shared" si="1362"/>
        <v>26</v>
      </c>
      <c r="O3233">
        <f t="shared" si="1374"/>
        <v>233</v>
      </c>
      <c r="P3233">
        <f t="shared" si="1375"/>
        <v>-0.23076923076923078</v>
      </c>
      <c r="Q3233" t="str">
        <f t="shared" si="1363"/>
        <v>4.29% | 6.87%</v>
      </c>
      <c r="R3233" t="str">
        <f t="shared" si="1376"/>
        <v>BULLISH</v>
      </c>
      <c r="S3233">
        <f t="shared" si="1364"/>
        <v>1</v>
      </c>
    </row>
    <row r="3234" spans="1:19" hidden="1" x14ac:dyDescent="0.25">
      <c r="A3234" s="5" t="str">
        <f t="shared" si="1365"/>
        <v>44040GOOGL</v>
      </c>
      <c r="B3234" s="6" t="s">
        <v>187</v>
      </c>
      <c r="C3234" s="6">
        <v>1484</v>
      </c>
      <c r="D3234" s="6">
        <v>1576</v>
      </c>
      <c r="E3234" s="6">
        <v>1529</v>
      </c>
      <c r="F3234" t="str">
        <f t="shared" si="1366"/>
        <v>TUE</v>
      </c>
      <c r="G3234" s="1">
        <f t="shared" si="1367"/>
        <v>44040</v>
      </c>
      <c r="H3234" s="2">
        <f t="shared" ca="1" si="1368"/>
        <v>213</v>
      </c>
      <c r="I3234" t="str">
        <f t="shared" si="1369"/>
        <v>GOOGL</v>
      </c>
      <c r="J3234">
        <f t="shared" si="1370"/>
        <v>1484</v>
      </c>
      <c r="K3234">
        <f t="shared" si="1371"/>
        <v>1576</v>
      </c>
      <c r="L3234">
        <f t="shared" si="1372"/>
        <v>1530</v>
      </c>
      <c r="M3234">
        <f t="shared" si="1373"/>
        <v>46</v>
      </c>
      <c r="N3234">
        <f t="shared" si="1362"/>
        <v>92</v>
      </c>
      <c r="O3234">
        <f t="shared" si="1374"/>
        <v>1529</v>
      </c>
      <c r="P3234">
        <f t="shared" si="1375"/>
        <v>-2.1739130434782608E-2</v>
      </c>
      <c r="Q3234" t="str">
        <f t="shared" si="1363"/>
        <v>2.94% | 3.07%</v>
      </c>
      <c r="R3234" t="str">
        <f t="shared" si="1376"/>
        <v>BULLISH</v>
      </c>
      <c r="S3234">
        <f t="shared" si="1364"/>
        <v>1</v>
      </c>
    </row>
    <row r="3235" spans="1:19" hidden="1" x14ac:dyDescent="0.25">
      <c r="A3235" s="5" t="str">
        <f t="shared" si="1365"/>
        <v>44040NFLX</v>
      </c>
      <c r="B3235" s="6" t="s">
        <v>194</v>
      </c>
      <c r="C3235" s="6">
        <v>464</v>
      </c>
      <c r="D3235" s="6">
        <v>529</v>
      </c>
      <c r="E3235" s="6">
        <v>495</v>
      </c>
      <c r="F3235" t="str">
        <f t="shared" si="1366"/>
        <v>TUE</v>
      </c>
      <c r="G3235" s="1">
        <f t="shared" si="1367"/>
        <v>44040</v>
      </c>
      <c r="H3235" s="2">
        <f t="shared" ca="1" si="1368"/>
        <v>213</v>
      </c>
      <c r="I3235" t="str">
        <f t="shared" si="1369"/>
        <v>NFLX</v>
      </c>
      <c r="J3235">
        <f t="shared" si="1370"/>
        <v>464</v>
      </c>
      <c r="K3235">
        <f t="shared" si="1371"/>
        <v>529</v>
      </c>
      <c r="L3235">
        <f t="shared" si="1372"/>
        <v>496.5</v>
      </c>
      <c r="M3235">
        <f t="shared" si="1373"/>
        <v>32.5</v>
      </c>
      <c r="N3235">
        <f t="shared" si="1362"/>
        <v>65</v>
      </c>
      <c r="O3235">
        <f t="shared" si="1374"/>
        <v>495</v>
      </c>
      <c r="P3235">
        <f t="shared" si="1375"/>
        <v>-4.6153846153846156E-2</v>
      </c>
      <c r="Q3235" t="str">
        <f t="shared" si="1363"/>
        <v>6.26% | 6.87%</v>
      </c>
      <c r="R3235" t="str">
        <f t="shared" si="1376"/>
        <v>BULLISH</v>
      </c>
      <c r="S3235">
        <f t="shared" si="1364"/>
        <v>1</v>
      </c>
    </row>
    <row r="3236" spans="1:19" x14ac:dyDescent="0.25">
      <c r="A3236" s="5" t="str">
        <f t="shared" si="1365"/>
        <v>44040TSLA</v>
      </c>
      <c r="B3236" s="6" t="s">
        <v>189</v>
      </c>
      <c r="C3236" s="6">
        <v>1412</v>
      </c>
      <c r="D3236" s="6">
        <v>1658</v>
      </c>
      <c r="E3236" s="6">
        <v>1539</v>
      </c>
      <c r="F3236" t="str">
        <f t="shared" si="1366"/>
        <v>TUE</v>
      </c>
      <c r="G3236" s="1">
        <f t="shared" si="1367"/>
        <v>44040</v>
      </c>
      <c r="H3236" s="2">
        <f t="shared" ca="1" si="1368"/>
        <v>213</v>
      </c>
      <c r="I3236" t="str">
        <f t="shared" si="1369"/>
        <v>TSLA</v>
      </c>
      <c r="J3236">
        <f t="shared" si="1370"/>
        <v>1412</v>
      </c>
      <c r="K3236">
        <f t="shared" si="1371"/>
        <v>1658</v>
      </c>
      <c r="L3236">
        <f t="shared" si="1372"/>
        <v>1535</v>
      </c>
      <c r="M3236">
        <f t="shared" si="1373"/>
        <v>123</v>
      </c>
      <c r="N3236">
        <f t="shared" si="1362"/>
        <v>246</v>
      </c>
      <c r="O3236">
        <f t="shared" si="1374"/>
        <v>1539</v>
      </c>
      <c r="P3236">
        <f t="shared" si="1375"/>
        <v>3.2520325203252036E-2</v>
      </c>
      <c r="Q3236" t="str">
        <f t="shared" si="1363"/>
        <v>8.25% | 7.73%</v>
      </c>
      <c r="R3236" t="str">
        <f t="shared" si="1376"/>
        <v>BULLISH</v>
      </c>
      <c r="S3236">
        <f t="shared" si="1364"/>
        <v>1</v>
      </c>
    </row>
    <row r="3237" spans="1:19" hidden="1" x14ac:dyDescent="0.25">
      <c r="A3237" s="5" t="str">
        <f t="shared" si="1365"/>
        <v>44040NYXBT</v>
      </c>
      <c r="B3237" s="6" t="s">
        <v>190</v>
      </c>
      <c r="C3237" s="6">
        <v>9429</v>
      </c>
      <c r="D3237" s="6">
        <v>10901</v>
      </c>
      <c r="E3237" s="6">
        <v>10383</v>
      </c>
      <c r="F3237" t="str">
        <f t="shared" si="1366"/>
        <v>TUE</v>
      </c>
      <c r="G3237" s="1">
        <f t="shared" si="1367"/>
        <v>44040</v>
      </c>
      <c r="H3237" s="2">
        <f t="shared" ca="1" si="1368"/>
        <v>213</v>
      </c>
      <c r="I3237" t="str">
        <f t="shared" si="1369"/>
        <v>NYXBT</v>
      </c>
      <c r="J3237">
        <f t="shared" si="1370"/>
        <v>9429</v>
      </c>
      <c r="K3237">
        <f t="shared" si="1371"/>
        <v>10901</v>
      </c>
      <c r="L3237">
        <f t="shared" si="1372"/>
        <v>10165</v>
      </c>
      <c r="M3237">
        <f t="shared" si="1373"/>
        <v>736</v>
      </c>
      <c r="N3237">
        <f t="shared" si="1362"/>
        <v>1472</v>
      </c>
      <c r="O3237">
        <f t="shared" si="1374"/>
        <v>10383</v>
      </c>
      <c r="P3237">
        <f t="shared" si="1375"/>
        <v>0.29619565217391303</v>
      </c>
      <c r="Q3237" t="str">
        <f t="shared" si="1363"/>
        <v>9.19% | 4.99%</v>
      </c>
      <c r="R3237" t="str">
        <f t="shared" si="1376"/>
        <v>BULLISH</v>
      </c>
      <c r="S3237">
        <f t="shared" si="1364"/>
        <v>1</v>
      </c>
    </row>
    <row r="3238" spans="1:19" hidden="1" x14ac:dyDescent="0.25">
      <c r="A3238" s="5" t="str">
        <f t="shared" si="1365"/>
        <v>44041UST10Y</v>
      </c>
      <c r="B3238" s="6" t="s">
        <v>161</v>
      </c>
      <c r="C3238" s="6">
        <v>0.64</v>
      </c>
      <c r="D3238" s="6">
        <v>0.56999999999999995</v>
      </c>
      <c r="E3238" s="6">
        <v>0.59</v>
      </c>
      <c r="F3238" t="str">
        <f t="shared" si="1366"/>
        <v>WED</v>
      </c>
      <c r="G3238" s="3">
        <f>DATE(2020,7,29)</f>
        <v>44041</v>
      </c>
      <c r="H3238" s="2">
        <f t="shared" ca="1" si="1368"/>
        <v>212</v>
      </c>
      <c r="I3238" t="str">
        <f t="shared" si="1369"/>
        <v>UST10Y</v>
      </c>
      <c r="J3238">
        <f t="shared" si="1370"/>
        <v>0.64</v>
      </c>
      <c r="K3238">
        <f t="shared" si="1371"/>
        <v>0.56999999999999995</v>
      </c>
      <c r="L3238">
        <f t="shared" si="1372"/>
        <v>0.60499999999999998</v>
      </c>
      <c r="M3238">
        <f t="shared" si="1373"/>
        <v>3.5000000000000031E-2</v>
      </c>
      <c r="N3238">
        <f t="shared" si="1362"/>
        <v>7.0000000000000062E-2</v>
      </c>
      <c r="O3238">
        <f t="shared" si="1374"/>
        <v>0.59</v>
      </c>
      <c r="P3238">
        <f t="shared" si="1375"/>
        <v>-0.42857142857142855</v>
      </c>
      <c r="Q3238" t="str">
        <f t="shared" si="1363"/>
        <v>8.47% | 3.39%</v>
      </c>
      <c r="R3238" t="str">
        <f t="shared" si="1376"/>
        <v>BEARISH</v>
      </c>
      <c r="S3238">
        <f t="shared" si="1364"/>
        <v>-1</v>
      </c>
    </row>
    <row r="3239" spans="1:19" hidden="1" x14ac:dyDescent="0.25">
      <c r="A3239" s="5" t="str">
        <f t="shared" si="1365"/>
        <v>44041UST2Y</v>
      </c>
      <c r="B3239" s="6" t="s">
        <v>162</v>
      </c>
      <c r="C3239" s="6">
        <v>0.17</v>
      </c>
      <c r="D3239" s="6">
        <v>0.13</v>
      </c>
      <c r="E3239" s="6">
        <v>0.14000000000000001</v>
      </c>
      <c r="F3239" t="str">
        <f t="shared" ref="F3239:F3268" si="1377">UPPER(TEXT(G3239,"ddd"))</f>
        <v>WED</v>
      </c>
      <c r="G3239" s="3">
        <f t="shared" ref="G3239:G3267" si="1378">DATE(2020,7,29)</f>
        <v>44041</v>
      </c>
      <c r="H3239" s="2">
        <f t="shared" ref="H3239:H3268" ca="1" si="1379">TODAY()-G3239</f>
        <v>212</v>
      </c>
      <c r="I3239" t="str">
        <f t="shared" ref="I3239:I3268" si="1380">TRIM(LEFT(B3239,FIND(" ",B3239,1)))</f>
        <v>UST2Y</v>
      </c>
      <c r="J3239">
        <f t="shared" ref="J3239:J3268" si="1381">C3239</f>
        <v>0.17</v>
      </c>
      <c r="K3239">
        <f t="shared" ref="K3239:K3268" si="1382">D3239</f>
        <v>0.13</v>
      </c>
      <c r="L3239">
        <f t="shared" ref="L3239:L3268" si="1383">AVERAGE(J3239:K3239)</f>
        <v>0.15000000000000002</v>
      </c>
      <c r="M3239">
        <f t="shared" ref="M3239:M3268" si="1384">_xlfn.STDEV.P(J3239:K3239)</f>
        <v>1.9999999999999938E-2</v>
      </c>
      <c r="N3239">
        <f t="shared" si="1362"/>
        <v>4.0000000000000008E-2</v>
      </c>
      <c r="O3239">
        <f t="shared" ref="O3239:O3268" si="1385">E3239</f>
        <v>0.14000000000000001</v>
      </c>
      <c r="P3239">
        <f t="shared" ref="P3239:P3268" si="1386">(O3239-L3239)/M3239</f>
        <v>-0.500000000000002</v>
      </c>
      <c r="Q3239" t="str">
        <f t="shared" si="1363"/>
        <v>21.43% | 7.14%</v>
      </c>
      <c r="R3239" t="str">
        <f t="shared" ref="R3239:R3268" si="1387">MID(B3239,FIND("(",B3239,1)+1,FIND(")",B3239,1)-FIND("(",B3239,1)-1)</f>
        <v>BEARISH</v>
      </c>
      <c r="S3239">
        <f t="shared" si="1364"/>
        <v>-1</v>
      </c>
    </row>
    <row r="3240" spans="1:19" hidden="1" x14ac:dyDescent="0.25">
      <c r="A3240" s="5" t="str">
        <f t="shared" si="1365"/>
        <v>44041SPX</v>
      </c>
      <c r="B3240" s="6" t="s">
        <v>191</v>
      </c>
      <c r="C3240" s="6">
        <v>3175</v>
      </c>
      <c r="D3240" s="6">
        <v>3277</v>
      </c>
      <c r="E3240" s="6">
        <v>3218</v>
      </c>
      <c r="F3240" t="str">
        <f t="shared" si="1377"/>
        <v>WED</v>
      </c>
      <c r="G3240" s="3">
        <f t="shared" si="1378"/>
        <v>44041</v>
      </c>
      <c r="H3240" s="2">
        <f t="shared" ca="1" si="1379"/>
        <v>212</v>
      </c>
      <c r="I3240" t="str">
        <f t="shared" si="1380"/>
        <v>SPX</v>
      </c>
      <c r="J3240">
        <f t="shared" si="1381"/>
        <v>3175</v>
      </c>
      <c r="K3240">
        <f t="shared" si="1382"/>
        <v>3277</v>
      </c>
      <c r="L3240">
        <f t="shared" si="1383"/>
        <v>3226</v>
      </c>
      <c r="M3240">
        <f t="shared" si="1384"/>
        <v>51</v>
      </c>
      <c r="N3240">
        <f t="shared" si="1362"/>
        <v>102</v>
      </c>
      <c r="O3240">
        <f t="shared" si="1385"/>
        <v>3218</v>
      </c>
      <c r="P3240">
        <f t="shared" si="1386"/>
        <v>-0.15686274509803921</v>
      </c>
      <c r="Q3240" t="str">
        <f t="shared" si="1363"/>
        <v>1.34% | 1.83%</v>
      </c>
      <c r="R3240" t="str">
        <f t="shared" si="1387"/>
        <v>BULLISH</v>
      </c>
      <c r="S3240">
        <f t="shared" si="1364"/>
        <v>1</v>
      </c>
    </row>
    <row r="3241" spans="1:19" hidden="1" x14ac:dyDescent="0.25">
      <c r="A3241" s="5" t="str">
        <f t="shared" si="1365"/>
        <v>44041RUT</v>
      </c>
      <c r="B3241" s="6" t="s">
        <v>164</v>
      </c>
      <c r="C3241" s="6">
        <v>1445</v>
      </c>
      <c r="D3241" s="6">
        <v>1497</v>
      </c>
      <c r="E3241" s="6">
        <v>1469</v>
      </c>
      <c r="F3241" t="str">
        <f t="shared" si="1377"/>
        <v>WED</v>
      </c>
      <c r="G3241" s="3">
        <f t="shared" si="1378"/>
        <v>44041</v>
      </c>
      <c r="H3241" s="2">
        <f t="shared" ca="1" si="1379"/>
        <v>212</v>
      </c>
      <c r="I3241" t="str">
        <f t="shared" si="1380"/>
        <v>RUT</v>
      </c>
      <c r="J3241">
        <f t="shared" si="1381"/>
        <v>1445</v>
      </c>
      <c r="K3241">
        <f t="shared" si="1382"/>
        <v>1497</v>
      </c>
      <c r="L3241">
        <f t="shared" si="1383"/>
        <v>1471</v>
      </c>
      <c r="M3241">
        <f t="shared" si="1384"/>
        <v>26</v>
      </c>
      <c r="N3241">
        <f t="shared" si="1362"/>
        <v>52</v>
      </c>
      <c r="O3241">
        <f t="shared" si="1385"/>
        <v>1469</v>
      </c>
      <c r="P3241">
        <f t="shared" si="1386"/>
        <v>-7.6923076923076927E-2</v>
      </c>
      <c r="Q3241" t="str">
        <f t="shared" si="1363"/>
        <v>1.63% | 1.91%</v>
      </c>
      <c r="R3241" t="str">
        <f t="shared" si="1387"/>
        <v>BEARISH</v>
      </c>
      <c r="S3241">
        <f t="shared" si="1364"/>
        <v>-1</v>
      </c>
    </row>
    <row r="3242" spans="1:19" hidden="1" x14ac:dyDescent="0.25">
      <c r="A3242" s="5" t="str">
        <f t="shared" si="1365"/>
        <v>44041COMPQ</v>
      </c>
      <c r="B3242" s="6" t="s">
        <v>165</v>
      </c>
      <c r="C3242" s="6">
        <v>10266</v>
      </c>
      <c r="D3242" s="6">
        <v>10812</v>
      </c>
      <c r="E3242" s="6">
        <v>10402</v>
      </c>
      <c r="F3242" t="str">
        <f t="shared" si="1377"/>
        <v>WED</v>
      </c>
      <c r="G3242" s="3">
        <f t="shared" si="1378"/>
        <v>44041</v>
      </c>
      <c r="H3242" s="2">
        <f t="shared" ca="1" si="1379"/>
        <v>212</v>
      </c>
      <c r="I3242" t="str">
        <f t="shared" si="1380"/>
        <v>COMPQ</v>
      </c>
      <c r="J3242">
        <f t="shared" si="1381"/>
        <v>10266</v>
      </c>
      <c r="K3242">
        <f t="shared" si="1382"/>
        <v>10812</v>
      </c>
      <c r="L3242">
        <f t="shared" si="1383"/>
        <v>10539</v>
      </c>
      <c r="M3242">
        <f t="shared" si="1384"/>
        <v>273</v>
      </c>
      <c r="N3242">
        <f t="shared" si="1362"/>
        <v>546</v>
      </c>
      <c r="O3242">
        <f t="shared" si="1385"/>
        <v>10402</v>
      </c>
      <c r="P3242">
        <f t="shared" si="1386"/>
        <v>-0.50183150183150182</v>
      </c>
      <c r="Q3242" t="str">
        <f t="shared" si="1363"/>
        <v>1.31% | 3.94%</v>
      </c>
      <c r="R3242" t="str">
        <f t="shared" si="1387"/>
        <v>BULLISH</v>
      </c>
      <c r="S3242">
        <f t="shared" si="1364"/>
        <v>1</v>
      </c>
    </row>
    <row r="3243" spans="1:19" hidden="1" x14ac:dyDescent="0.25">
      <c r="A3243" s="5" t="str">
        <f t="shared" si="1365"/>
        <v>44041XLK</v>
      </c>
      <c r="B3243" s="6" t="s">
        <v>166</v>
      </c>
      <c r="C3243" s="6">
        <v>104.21</v>
      </c>
      <c r="D3243" s="6">
        <v>110.16</v>
      </c>
      <c r="E3243" s="6">
        <v>105.61</v>
      </c>
      <c r="F3243" t="str">
        <f t="shared" si="1377"/>
        <v>WED</v>
      </c>
      <c r="G3243" s="3">
        <f t="shared" si="1378"/>
        <v>44041</v>
      </c>
      <c r="H3243" s="2">
        <f t="shared" ca="1" si="1379"/>
        <v>212</v>
      </c>
      <c r="I3243" t="str">
        <f t="shared" si="1380"/>
        <v>XLK</v>
      </c>
      <c r="J3243">
        <f t="shared" si="1381"/>
        <v>104.21</v>
      </c>
      <c r="K3243">
        <f t="shared" si="1382"/>
        <v>110.16</v>
      </c>
      <c r="L3243">
        <f t="shared" si="1383"/>
        <v>107.185</v>
      </c>
      <c r="M3243">
        <f t="shared" si="1384"/>
        <v>2.9750000000000014</v>
      </c>
      <c r="N3243">
        <f t="shared" si="1362"/>
        <v>5.9500000000000028</v>
      </c>
      <c r="O3243">
        <f t="shared" si="1385"/>
        <v>105.61</v>
      </c>
      <c r="P3243">
        <f t="shared" si="1386"/>
        <v>-0.52941176470588303</v>
      </c>
      <c r="Q3243" t="str">
        <f t="shared" si="1363"/>
        <v>1.33% | 4.31%</v>
      </c>
      <c r="R3243" t="str">
        <f t="shared" si="1387"/>
        <v>BULLISH</v>
      </c>
      <c r="S3243">
        <f t="shared" si="1364"/>
        <v>1</v>
      </c>
    </row>
    <row r="3244" spans="1:19" hidden="1" x14ac:dyDescent="0.25">
      <c r="A3244" s="5" t="str">
        <f t="shared" si="1365"/>
        <v>44041XLRE</v>
      </c>
      <c r="B3244" s="6" t="s">
        <v>167</v>
      </c>
      <c r="C3244" s="6">
        <v>34.32</v>
      </c>
      <c r="D3244" s="6">
        <v>36.36</v>
      </c>
      <c r="E3244" s="6">
        <v>35.92</v>
      </c>
      <c r="F3244" t="str">
        <f t="shared" si="1377"/>
        <v>WED</v>
      </c>
      <c r="G3244" s="3">
        <f t="shared" si="1378"/>
        <v>44041</v>
      </c>
      <c r="H3244" s="2">
        <f t="shared" ca="1" si="1379"/>
        <v>212</v>
      </c>
      <c r="I3244" t="str">
        <f t="shared" si="1380"/>
        <v>XLRE</v>
      </c>
      <c r="J3244">
        <f t="shared" si="1381"/>
        <v>34.32</v>
      </c>
      <c r="K3244">
        <f t="shared" si="1382"/>
        <v>36.36</v>
      </c>
      <c r="L3244">
        <f t="shared" si="1383"/>
        <v>35.340000000000003</v>
      </c>
      <c r="M3244">
        <f t="shared" si="1384"/>
        <v>1.0199999999999996</v>
      </c>
      <c r="N3244">
        <f t="shared" si="1362"/>
        <v>2.0399999999999991</v>
      </c>
      <c r="O3244">
        <f t="shared" si="1385"/>
        <v>35.92</v>
      </c>
      <c r="P3244">
        <f t="shared" si="1386"/>
        <v>0.56862745098039069</v>
      </c>
      <c r="Q3244" t="str">
        <f t="shared" si="1363"/>
        <v>4.45% | 1.22%</v>
      </c>
      <c r="R3244" t="str">
        <f t="shared" si="1387"/>
        <v>BULLISH</v>
      </c>
      <c r="S3244">
        <f t="shared" si="1364"/>
        <v>1</v>
      </c>
    </row>
    <row r="3245" spans="1:19" hidden="1" x14ac:dyDescent="0.25">
      <c r="A3245" s="5" t="str">
        <f t="shared" si="1365"/>
        <v>44041XLU</v>
      </c>
      <c r="B3245" s="6" t="s">
        <v>168</v>
      </c>
      <c r="C3245" s="6">
        <v>58.37</v>
      </c>
      <c r="D3245" s="6">
        <v>61.36</v>
      </c>
      <c r="E3245" s="6">
        <v>60.45</v>
      </c>
      <c r="F3245" t="str">
        <f t="shared" si="1377"/>
        <v>WED</v>
      </c>
      <c r="G3245" s="3">
        <f t="shared" si="1378"/>
        <v>44041</v>
      </c>
      <c r="H3245" s="2">
        <f t="shared" ca="1" si="1379"/>
        <v>212</v>
      </c>
      <c r="I3245" t="str">
        <f t="shared" si="1380"/>
        <v>XLU</v>
      </c>
      <c r="J3245">
        <f t="shared" si="1381"/>
        <v>58.37</v>
      </c>
      <c r="K3245">
        <f t="shared" si="1382"/>
        <v>61.36</v>
      </c>
      <c r="L3245">
        <f t="shared" si="1383"/>
        <v>59.864999999999995</v>
      </c>
      <c r="M3245">
        <f t="shared" si="1384"/>
        <v>1.495000000000001</v>
      </c>
      <c r="N3245">
        <f t="shared" si="1362"/>
        <v>2.990000000000002</v>
      </c>
      <c r="O3245">
        <f t="shared" si="1385"/>
        <v>60.45</v>
      </c>
      <c r="P3245">
        <f t="shared" si="1386"/>
        <v>0.39130434782609202</v>
      </c>
      <c r="Q3245" t="str">
        <f t="shared" si="1363"/>
        <v>3.44% | 1.51%</v>
      </c>
      <c r="R3245" t="str">
        <f t="shared" si="1387"/>
        <v>BULLISH</v>
      </c>
      <c r="S3245">
        <f t="shared" si="1364"/>
        <v>1</v>
      </c>
    </row>
    <row r="3246" spans="1:19" hidden="1" x14ac:dyDescent="0.25">
      <c r="A3246" s="5" t="str">
        <f t="shared" si="1365"/>
        <v>44041XLF</v>
      </c>
      <c r="B3246" s="6" t="s">
        <v>169</v>
      </c>
      <c r="C3246" s="6">
        <v>22.81</v>
      </c>
      <c r="D3246" s="6">
        <v>24.55</v>
      </c>
      <c r="E3246" s="6">
        <v>24.01</v>
      </c>
      <c r="F3246" t="str">
        <f t="shared" si="1377"/>
        <v>WED</v>
      </c>
      <c r="G3246" s="3">
        <f t="shared" si="1378"/>
        <v>44041</v>
      </c>
      <c r="H3246" s="2">
        <f t="shared" ca="1" si="1379"/>
        <v>212</v>
      </c>
      <c r="I3246" t="str">
        <f t="shared" si="1380"/>
        <v>XLF</v>
      </c>
      <c r="J3246">
        <f t="shared" si="1381"/>
        <v>22.81</v>
      </c>
      <c r="K3246">
        <f t="shared" si="1382"/>
        <v>24.55</v>
      </c>
      <c r="L3246">
        <f t="shared" si="1383"/>
        <v>23.68</v>
      </c>
      <c r="M3246">
        <f t="shared" si="1384"/>
        <v>0.87000000000000099</v>
      </c>
      <c r="N3246">
        <f t="shared" si="1362"/>
        <v>1.740000000000002</v>
      </c>
      <c r="O3246">
        <f t="shared" si="1385"/>
        <v>24.01</v>
      </c>
      <c r="P3246">
        <f t="shared" si="1386"/>
        <v>0.37931034482758791</v>
      </c>
      <c r="Q3246" t="str">
        <f t="shared" si="1363"/>
        <v>5% | 2.25%</v>
      </c>
      <c r="R3246" t="str">
        <f t="shared" si="1387"/>
        <v>BEARISH</v>
      </c>
      <c r="S3246">
        <f t="shared" si="1364"/>
        <v>-1</v>
      </c>
    </row>
    <row r="3247" spans="1:19" hidden="1" x14ac:dyDescent="0.25">
      <c r="A3247" s="5" t="str">
        <f t="shared" si="1365"/>
        <v>44041SSEC</v>
      </c>
      <c r="B3247" s="6" t="s">
        <v>170</v>
      </c>
      <c r="C3247" s="6">
        <v>3150</v>
      </c>
      <c r="D3247" s="6">
        <v>3384</v>
      </c>
      <c r="E3247" s="6">
        <v>3294</v>
      </c>
      <c r="F3247" t="str">
        <f t="shared" si="1377"/>
        <v>WED</v>
      </c>
      <c r="G3247" s="3">
        <f t="shared" si="1378"/>
        <v>44041</v>
      </c>
      <c r="H3247" s="2">
        <f t="shared" ca="1" si="1379"/>
        <v>212</v>
      </c>
      <c r="I3247" t="str">
        <f t="shared" si="1380"/>
        <v>SSEC</v>
      </c>
      <c r="J3247">
        <f t="shared" si="1381"/>
        <v>3150</v>
      </c>
      <c r="K3247">
        <f t="shared" si="1382"/>
        <v>3384</v>
      </c>
      <c r="L3247">
        <f t="shared" si="1383"/>
        <v>3267</v>
      </c>
      <c r="M3247">
        <f t="shared" si="1384"/>
        <v>117</v>
      </c>
      <c r="N3247">
        <f t="shared" si="1362"/>
        <v>234</v>
      </c>
      <c r="O3247">
        <f t="shared" si="1385"/>
        <v>3294</v>
      </c>
      <c r="P3247">
        <f t="shared" si="1386"/>
        <v>0.23076923076923078</v>
      </c>
      <c r="Q3247" t="str">
        <f t="shared" si="1363"/>
        <v>4.37% | 2.73%</v>
      </c>
      <c r="R3247" t="str">
        <f t="shared" si="1387"/>
        <v>BULLISH</v>
      </c>
      <c r="S3247">
        <f t="shared" si="1364"/>
        <v>1</v>
      </c>
    </row>
    <row r="3248" spans="1:19" hidden="1" x14ac:dyDescent="0.25">
      <c r="A3248" s="5" t="str">
        <f t="shared" si="1365"/>
        <v>44041NIKK</v>
      </c>
      <c r="B3248" s="6" t="s">
        <v>171</v>
      </c>
      <c r="C3248" s="6">
        <v>22250</v>
      </c>
      <c r="D3248" s="6">
        <v>22956</v>
      </c>
      <c r="E3248" s="6">
        <v>22397</v>
      </c>
      <c r="F3248" t="str">
        <f t="shared" si="1377"/>
        <v>WED</v>
      </c>
      <c r="G3248" s="3">
        <f t="shared" si="1378"/>
        <v>44041</v>
      </c>
      <c r="H3248" s="2">
        <f t="shared" ca="1" si="1379"/>
        <v>212</v>
      </c>
      <c r="I3248" t="str">
        <f t="shared" si="1380"/>
        <v>NIKK</v>
      </c>
      <c r="J3248">
        <f t="shared" si="1381"/>
        <v>22250</v>
      </c>
      <c r="K3248">
        <f t="shared" si="1382"/>
        <v>22956</v>
      </c>
      <c r="L3248">
        <f t="shared" si="1383"/>
        <v>22603</v>
      </c>
      <c r="M3248">
        <f t="shared" si="1384"/>
        <v>353</v>
      </c>
      <c r="N3248">
        <f t="shared" si="1362"/>
        <v>706</v>
      </c>
      <c r="O3248">
        <f t="shared" si="1385"/>
        <v>22397</v>
      </c>
      <c r="P3248">
        <f t="shared" si="1386"/>
        <v>-0.58356940509915012</v>
      </c>
      <c r="Q3248" t="str">
        <f t="shared" si="1363"/>
        <v>0.66% | 2.5%</v>
      </c>
      <c r="R3248" t="str">
        <f t="shared" si="1387"/>
        <v>NEUTRAL</v>
      </c>
      <c r="S3248">
        <f t="shared" si="1364"/>
        <v>0</v>
      </c>
    </row>
    <row r="3249" spans="1:19" hidden="1" x14ac:dyDescent="0.25">
      <c r="A3249" s="5" t="str">
        <f t="shared" si="1365"/>
        <v>44041DAX</v>
      </c>
      <c r="B3249" s="6" t="s">
        <v>172</v>
      </c>
      <c r="C3249" s="6">
        <v>12653</v>
      </c>
      <c r="D3249" s="6">
        <v>13235</v>
      </c>
      <c r="E3249" s="6">
        <v>12835</v>
      </c>
      <c r="F3249" t="str">
        <f t="shared" si="1377"/>
        <v>WED</v>
      </c>
      <c r="G3249" s="3">
        <f t="shared" si="1378"/>
        <v>44041</v>
      </c>
      <c r="H3249" s="2">
        <f t="shared" ca="1" si="1379"/>
        <v>212</v>
      </c>
      <c r="I3249" t="str">
        <f t="shared" si="1380"/>
        <v>DAX</v>
      </c>
      <c r="J3249">
        <f t="shared" si="1381"/>
        <v>12653</v>
      </c>
      <c r="K3249">
        <f t="shared" si="1382"/>
        <v>13235</v>
      </c>
      <c r="L3249">
        <f t="shared" si="1383"/>
        <v>12944</v>
      </c>
      <c r="M3249">
        <f t="shared" si="1384"/>
        <v>291</v>
      </c>
      <c r="N3249">
        <f t="shared" si="1362"/>
        <v>582</v>
      </c>
      <c r="O3249">
        <f t="shared" si="1385"/>
        <v>12835</v>
      </c>
      <c r="P3249">
        <f t="shared" si="1386"/>
        <v>-0.37457044673539519</v>
      </c>
      <c r="Q3249" t="str">
        <f t="shared" si="1363"/>
        <v>1.42% | 3.12%</v>
      </c>
      <c r="R3249" t="str">
        <f t="shared" si="1387"/>
        <v>BULLISH</v>
      </c>
      <c r="S3249">
        <f t="shared" si="1364"/>
        <v>1</v>
      </c>
    </row>
    <row r="3250" spans="1:19" hidden="1" x14ac:dyDescent="0.25">
      <c r="A3250" s="5" t="str">
        <f t="shared" si="1365"/>
        <v>44041VIX</v>
      </c>
      <c r="B3250" s="6" t="s">
        <v>192</v>
      </c>
      <c r="C3250" s="6">
        <v>23.26</v>
      </c>
      <c r="D3250" s="6">
        <v>30.88</v>
      </c>
      <c r="E3250" s="6">
        <v>25.44</v>
      </c>
      <c r="F3250" t="str">
        <f t="shared" si="1377"/>
        <v>WED</v>
      </c>
      <c r="G3250" s="3">
        <f t="shared" si="1378"/>
        <v>44041</v>
      </c>
      <c r="H3250" s="2">
        <f t="shared" ca="1" si="1379"/>
        <v>212</v>
      </c>
      <c r="I3250" t="str">
        <f t="shared" si="1380"/>
        <v>VIX</v>
      </c>
      <c r="J3250">
        <f t="shared" si="1381"/>
        <v>23.26</v>
      </c>
      <c r="K3250">
        <f t="shared" si="1382"/>
        <v>30.88</v>
      </c>
      <c r="L3250">
        <f t="shared" si="1383"/>
        <v>27.07</v>
      </c>
      <c r="M3250">
        <f t="shared" si="1384"/>
        <v>3.8100000000000067</v>
      </c>
      <c r="N3250">
        <f t="shared" si="1362"/>
        <v>7.6199999999999974</v>
      </c>
      <c r="O3250">
        <f t="shared" si="1385"/>
        <v>25.44</v>
      </c>
      <c r="P3250">
        <f t="shared" si="1386"/>
        <v>-0.42782152230971027</v>
      </c>
      <c r="Q3250" t="str">
        <f t="shared" si="1363"/>
        <v>8.57% | 21.38%</v>
      </c>
      <c r="R3250" t="str">
        <f t="shared" si="1387"/>
        <v>BEARISH</v>
      </c>
      <c r="S3250">
        <f t="shared" si="1364"/>
        <v>-1</v>
      </c>
    </row>
    <row r="3251" spans="1:19" hidden="1" x14ac:dyDescent="0.25">
      <c r="A3251" s="5" t="str">
        <f t="shared" si="1365"/>
        <v>44041USD</v>
      </c>
      <c r="B3251" s="6" t="s">
        <v>174</v>
      </c>
      <c r="C3251" s="6">
        <v>93.02</v>
      </c>
      <c r="D3251" s="6">
        <v>94.99</v>
      </c>
      <c r="E3251" s="6">
        <v>93.65</v>
      </c>
      <c r="F3251" t="str">
        <f t="shared" si="1377"/>
        <v>WED</v>
      </c>
      <c r="G3251" s="3">
        <f t="shared" si="1378"/>
        <v>44041</v>
      </c>
      <c r="H3251" s="2">
        <f t="shared" ca="1" si="1379"/>
        <v>212</v>
      </c>
      <c r="I3251" t="str">
        <f t="shared" si="1380"/>
        <v>USD</v>
      </c>
      <c r="J3251">
        <f t="shared" si="1381"/>
        <v>93.02</v>
      </c>
      <c r="K3251">
        <f t="shared" si="1382"/>
        <v>94.99</v>
      </c>
      <c r="L3251">
        <f t="shared" si="1383"/>
        <v>94.004999999999995</v>
      </c>
      <c r="M3251">
        <f t="shared" si="1384"/>
        <v>0.98499999999999943</v>
      </c>
      <c r="N3251">
        <f t="shared" si="1362"/>
        <v>1.9699999999999989</v>
      </c>
      <c r="O3251">
        <f t="shared" si="1385"/>
        <v>93.65</v>
      </c>
      <c r="P3251">
        <f t="shared" si="1386"/>
        <v>-0.36040609137054819</v>
      </c>
      <c r="Q3251" t="str">
        <f t="shared" si="1363"/>
        <v>0.67% | 1.43%</v>
      </c>
      <c r="R3251" t="str">
        <f t="shared" si="1387"/>
        <v>BEARISH</v>
      </c>
      <c r="S3251">
        <f t="shared" si="1364"/>
        <v>-1</v>
      </c>
    </row>
    <row r="3252" spans="1:19" hidden="1" x14ac:dyDescent="0.25">
      <c r="A3252" s="5" t="str">
        <f t="shared" si="1365"/>
        <v>44041EUR/USD</v>
      </c>
      <c r="B3252" s="6" t="s">
        <v>175</v>
      </c>
      <c r="C3252" s="6">
        <v>1.1499999999999999</v>
      </c>
      <c r="D3252" s="6">
        <v>1.18</v>
      </c>
      <c r="E3252" s="6">
        <v>1.17</v>
      </c>
      <c r="F3252" t="str">
        <f t="shared" si="1377"/>
        <v>WED</v>
      </c>
      <c r="G3252" s="3">
        <f t="shared" si="1378"/>
        <v>44041</v>
      </c>
      <c r="H3252" s="2">
        <f t="shared" ca="1" si="1379"/>
        <v>212</v>
      </c>
      <c r="I3252" t="str">
        <f t="shared" si="1380"/>
        <v>EUR/USD</v>
      </c>
      <c r="J3252">
        <f t="shared" si="1381"/>
        <v>1.1499999999999999</v>
      </c>
      <c r="K3252">
        <f t="shared" si="1382"/>
        <v>1.18</v>
      </c>
      <c r="L3252">
        <f t="shared" si="1383"/>
        <v>1.165</v>
      </c>
      <c r="M3252">
        <f t="shared" si="1384"/>
        <v>1.5000000000000013E-2</v>
      </c>
      <c r="N3252">
        <f t="shared" si="1362"/>
        <v>3.0000000000000027E-2</v>
      </c>
      <c r="O3252">
        <f t="shared" si="1385"/>
        <v>1.17</v>
      </c>
      <c r="P3252">
        <f t="shared" si="1386"/>
        <v>0.33333333333332593</v>
      </c>
      <c r="Q3252" t="str">
        <f t="shared" si="1363"/>
        <v>1.71% | 0.85%</v>
      </c>
      <c r="R3252" t="str">
        <f t="shared" si="1387"/>
        <v>BULLISH</v>
      </c>
      <c r="S3252">
        <f t="shared" si="1364"/>
        <v>1</v>
      </c>
    </row>
    <row r="3253" spans="1:19" hidden="1" x14ac:dyDescent="0.25">
      <c r="A3253" s="5" t="str">
        <f t="shared" si="1365"/>
        <v>44041USD/JPY</v>
      </c>
      <c r="B3253" s="6" t="s">
        <v>176</v>
      </c>
      <c r="C3253" s="6">
        <v>104.5</v>
      </c>
      <c r="D3253" s="6">
        <v>107</v>
      </c>
      <c r="E3253" s="6">
        <v>105.1</v>
      </c>
      <c r="F3253" t="str">
        <f t="shared" si="1377"/>
        <v>WED</v>
      </c>
      <c r="G3253" s="3">
        <f t="shared" si="1378"/>
        <v>44041</v>
      </c>
      <c r="H3253" s="2">
        <f t="shared" ca="1" si="1379"/>
        <v>212</v>
      </c>
      <c r="I3253" t="str">
        <f t="shared" si="1380"/>
        <v>USD/JPY</v>
      </c>
      <c r="J3253">
        <f t="shared" si="1381"/>
        <v>104.5</v>
      </c>
      <c r="K3253">
        <f t="shared" si="1382"/>
        <v>107</v>
      </c>
      <c r="L3253">
        <f t="shared" si="1383"/>
        <v>105.75</v>
      </c>
      <c r="M3253">
        <f t="shared" si="1384"/>
        <v>1.25</v>
      </c>
      <c r="N3253">
        <f t="shared" si="1362"/>
        <v>2.5</v>
      </c>
      <c r="O3253">
        <f t="shared" si="1385"/>
        <v>105.1</v>
      </c>
      <c r="P3253">
        <f t="shared" si="1386"/>
        <v>-0.52000000000000457</v>
      </c>
      <c r="Q3253" t="str">
        <f t="shared" si="1363"/>
        <v>0.57% | 1.81%</v>
      </c>
      <c r="R3253" t="str">
        <f t="shared" si="1387"/>
        <v>BEARISH</v>
      </c>
      <c r="S3253">
        <f t="shared" si="1364"/>
        <v>-1</v>
      </c>
    </row>
    <row r="3254" spans="1:19" hidden="1" x14ac:dyDescent="0.25">
      <c r="A3254" s="5" t="str">
        <f t="shared" si="1365"/>
        <v>44041GBP/USD</v>
      </c>
      <c r="B3254" s="6" t="s">
        <v>177</v>
      </c>
      <c r="C3254" s="6">
        <v>1.26</v>
      </c>
      <c r="D3254" s="6">
        <v>1.29</v>
      </c>
      <c r="E3254" s="6">
        <v>1.29</v>
      </c>
      <c r="F3254" t="str">
        <f t="shared" si="1377"/>
        <v>WED</v>
      </c>
      <c r="G3254" s="3">
        <f t="shared" si="1378"/>
        <v>44041</v>
      </c>
      <c r="H3254" s="2">
        <f t="shared" ca="1" si="1379"/>
        <v>212</v>
      </c>
      <c r="I3254" t="str">
        <f t="shared" si="1380"/>
        <v>GBP/USD</v>
      </c>
      <c r="J3254">
        <f t="shared" si="1381"/>
        <v>1.26</v>
      </c>
      <c r="K3254">
        <f t="shared" si="1382"/>
        <v>1.29</v>
      </c>
      <c r="L3254">
        <f t="shared" si="1383"/>
        <v>1.2749999999999999</v>
      </c>
      <c r="M3254">
        <f t="shared" si="1384"/>
        <v>1.5000000000000013E-2</v>
      </c>
      <c r="N3254">
        <f t="shared" si="1362"/>
        <v>3.0000000000000027E-2</v>
      </c>
      <c r="O3254">
        <f t="shared" si="1385"/>
        <v>1.29</v>
      </c>
      <c r="P3254">
        <f t="shared" si="1386"/>
        <v>1.0000000000000073</v>
      </c>
      <c r="Q3254" t="str">
        <f t="shared" si="1363"/>
        <v>2.33% | 0%</v>
      </c>
      <c r="R3254" t="str">
        <f t="shared" si="1387"/>
        <v>BULLISH</v>
      </c>
      <c r="S3254">
        <f t="shared" si="1364"/>
        <v>1</v>
      </c>
    </row>
    <row r="3255" spans="1:19" hidden="1" x14ac:dyDescent="0.25">
      <c r="A3255" s="5" t="str">
        <f t="shared" si="1365"/>
        <v>44041USD/CHF</v>
      </c>
      <c r="B3255" s="6" t="s">
        <v>178</v>
      </c>
      <c r="C3255" s="6">
        <v>0.91</v>
      </c>
      <c r="D3255" s="6">
        <v>0.93</v>
      </c>
      <c r="E3255" s="6">
        <v>0.91</v>
      </c>
      <c r="F3255" t="str">
        <f t="shared" si="1377"/>
        <v>WED</v>
      </c>
      <c r="G3255" s="3">
        <f t="shared" si="1378"/>
        <v>44041</v>
      </c>
      <c r="H3255" s="2">
        <f t="shared" ca="1" si="1379"/>
        <v>212</v>
      </c>
      <c r="I3255" t="str">
        <f t="shared" si="1380"/>
        <v>USD/CHF</v>
      </c>
      <c r="J3255">
        <f t="shared" si="1381"/>
        <v>0.91</v>
      </c>
      <c r="K3255">
        <f t="shared" si="1382"/>
        <v>0.93</v>
      </c>
      <c r="L3255">
        <f t="shared" si="1383"/>
        <v>0.92</v>
      </c>
      <c r="M3255">
        <f t="shared" si="1384"/>
        <v>1.0000000000000009E-2</v>
      </c>
      <c r="N3255">
        <f t="shared" si="1362"/>
        <v>2.0000000000000018E-2</v>
      </c>
      <c r="O3255">
        <f t="shared" si="1385"/>
        <v>0.91</v>
      </c>
      <c r="P3255">
        <f t="shared" si="1386"/>
        <v>-1</v>
      </c>
      <c r="Q3255" t="str">
        <f t="shared" si="1363"/>
        <v>0% | 2.2%</v>
      </c>
      <c r="R3255" t="str">
        <f t="shared" si="1387"/>
        <v>BEARISH</v>
      </c>
      <c r="S3255">
        <f t="shared" si="1364"/>
        <v>-1</v>
      </c>
    </row>
    <row r="3256" spans="1:19" hidden="1" x14ac:dyDescent="0.25">
      <c r="A3256" s="5" t="str">
        <f t="shared" si="1365"/>
        <v>44041WTIC</v>
      </c>
      <c r="B3256" s="6" t="s">
        <v>179</v>
      </c>
      <c r="C3256" s="6">
        <v>39.93</v>
      </c>
      <c r="D3256" s="6">
        <v>42.19</v>
      </c>
      <c r="E3256" s="6">
        <v>41.04</v>
      </c>
      <c r="F3256" t="str">
        <f t="shared" si="1377"/>
        <v>WED</v>
      </c>
      <c r="G3256" s="3">
        <f t="shared" si="1378"/>
        <v>44041</v>
      </c>
      <c r="H3256" s="2">
        <f t="shared" ca="1" si="1379"/>
        <v>212</v>
      </c>
      <c r="I3256" t="str">
        <f t="shared" si="1380"/>
        <v>WTIC</v>
      </c>
      <c r="J3256">
        <f t="shared" si="1381"/>
        <v>39.93</v>
      </c>
      <c r="K3256">
        <f t="shared" si="1382"/>
        <v>42.19</v>
      </c>
      <c r="L3256">
        <f t="shared" si="1383"/>
        <v>41.06</v>
      </c>
      <c r="M3256">
        <f t="shared" si="1384"/>
        <v>1.129999999999999</v>
      </c>
      <c r="N3256">
        <f t="shared" si="1362"/>
        <v>2.259999999999998</v>
      </c>
      <c r="O3256">
        <f t="shared" si="1385"/>
        <v>41.04</v>
      </c>
      <c r="P3256">
        <f t="shared" si="1386"/>
        <v>-1.769911504425057E-2</v>
      </c>
      <c r="Q3256" t="str">
        <f t="shared" si="1363"/>
        <v>2.7% | 2.8%</v>
      </c>
      <c r="R3256" t="str">
        <f t="shared" si="1387"/>
        <v>BULLISH</v>
      </c>
      <c r="S3256">
        <f t="shared" si="1364"/>
        <v>1</v>
      </c>
    </row>
    <row r="3257" spans="1:19" hidden="1" x14ac:dyDescent="0.25">
      <c r="A3257" s="5" t="str">
        <f t="shared" si="1365"/>
        <v>44041NATGAS</v>
      </c>
      <c r="B3257" s="6" t="s">
        <v>180</v>
      </c>
      <c r="C3257" s="6">
        <v>1.6</v>
      </c>
      <c r="D3257" s="6">
        <v>1.93</v>
      </c>
      <c r="E3257" s="6">
        <v>1.86</v>
      </c>
      <c r="F3257" t="str">
        <f t="shared" si="1377"/>
        <v>WED</v>
      </c>
      <c r="G3257" s="3">
        <f t="shared" si="1378"/>
        <v>44041</v>
      </c>
      <c r="H3257" s="2">
        <f t="shared" ca="1" si="1379"/>
        <v>212</v>
      </c>
      <c r="I3257" t="str">
        <f t="shared" si="1380"/>
        <v>NATGAS</v>
      </c>
      <c r="J3257">
        <f t="shared" si="1381"/>
        <v>1.6</v>
      </c>
      <c r="K3257">
        <f t="shared" si="1382"/>
        <v>1.93</v>
      </c>
      <c r="L3257">
        <f t="shared" si="1383"/>
        <v>1.7650000000000001</v>
      </c>
      <c r="M3257">
        <f t="shared" si="1384"/>
        <v>0.16499999999999992</v>
      </c>
      <c r="N3257">
        <f t="shared" si="1362"/>
        <v>0.32999999999999985</v>
      </c>
      <c r="O3257">
        <f t="shared" si="1385"/>
        <v>1.86</v>
      </c>
      <c r="P3257">
        <f t="shared" si="1386"/>
        <v>0.57575757575757591</v>
      </c>
      <c r="Q3257" t="str">
        <f t="shared" si="1363"/>
        <v>13.98% | 3.76%</v>
      </c>
      <c r="R3257" t="str">
        <f t="shared" si="1387"/>
        <v>BULLISH</v>
      </c>
      <c r="S3257">
        <f t="shared" si="1364"/>
        <v>1</v>
      </c>
    </row>
    <row r="3258" spans="1:19" hidden="1" x14ac:dyDescent="0.25">
      <c r="A3258" s="5" t="str">
        <f t="shared" si="1365"/>
        <v>44041GOLD</v>
      </c>
      <c r="B3258" s="6" t="s">
        <v>181</v>
      </c>
      <c r="C3258" s="6">
        <v>1865</v>
      </c>
      <c r="D3258" s="6">
        <v>1976</v>
      </c>
      <c r="E3258" s="6">
        <v>1944</v>
      </c>
      <c r="F3258" t="str">
        <f t="shared" si="1377"/>
        <v>WED</v>
      </c>
      <c r="G3258" s="3">
        <f t="shared" si="1378"/>
        <v>44041</v>
      </c>
      <c r="H3258" s="2">
        <f t="shared" ca="1" si="1379"/>
        <v>212</v>
      </c>
      <c r="I3258" t="str">
        <f t="shared" si="1380"/>
        <v>GOLD</v>
      </c>
      <c r="J3258">
        <f t="shared" si="1381"/>
        <v>1865</v>
      </c>
      <c r="K3258">
        <f t="shared" si="1382"/>
        <v>1976</v>
      </c>
      <c r="L3258">
        <f t="shared" si="1383"/>
        <v>1920.5</v>
      </c>
      <c r="M3258">
        <f t="shared" si="1384"/>
        <v>55.5</v>
      </c>
      <c r="N3258">
        <f t="shared" si="1362"/>
        <v>111</v>
      </c>
      <c r="O3258">
        <f t="shared" si="1385"/>
        <v>1944</v>
      </c>
      <c r="P3258">
        <f t="shared" si="1386"/>
        <v>0.42342342342342343</v>
      </c>
      <c r="Q3258" t="str">
        <f t="shared" si="1363"/>
        <v>4.06% | 1.65%</v>
      </c>
      <c r="R3258" t="str">
        <f t="shared" si="1387"/>
        <v>BULLISH</v>
      </c>
      <c r="S3258">
        <f t="shared" si="1364"/>
        <v>1</v>
      </c>
    </row>
    <row r="3259" spans="1:19" hidden="1" x14ac:dyDescent="0.25">
      <c r="A3259" s="5" t="str">
        <f t="shared" si="1365"/>
        <v>44041COPPER</v>
      </c>
      <c r="B3259" s="6" t="s">
        <v>182</v>
      </c>
      <c r="C3259" s="6">
        <v>2.87</v>
      </c>
      <c r="D3259" s="6">
        <v>2.98</v>
      </c>
      <c r="E3259" s="6">
        <v>2.92</v>
      </c>
      <c r="F3259" t="str">
        <f t="shared" si="1377"/>
        <v>WED</v>
      </c>
      <c r="G3259" s="3">
        <f t="shared" si="1378"/>
        <v>44041</v>
      </c>
      <c r="H3259" s="2">
        <f t="shared" ca="1" si="1379"/>
        <v>212</v>
      </c>
      <c r="I3259" t="str">
        <f t="shared" si="1380"/>
        <v>COPPER</v>
      </c>
      <c r="J3259">
        <f t="shared" si="1381"/>
        <v>2.87</v>
      </c>
      <c r="K3259">
        <f t="shared" si="1382"/>
        <v>2.98</v>
      </c>
      <c r="L3259">
        <f t="shared" si="1383"/>
        <v>2.9249999999999998</v>
      </c>
      <c r="M3259">
        <f t="shared" si="1384"/>
        <v>5.4999999999999938E-2</v>
      </c>
      <c r="N3259">
        <f t="shared" si="1362"/>
        <v>0.10999999999999988</v>
      </c>
      <c r="O3259">
        <f t="shared" si="1385"/>
        <v>2.92</v>
      </c>
      <c r="P3259">
        <f t="shared" si="1386"/>
        <v>-9.090909090908908E-2</v>
      </c>
      <c r="Q3259" t="str">
        <f t="shared" si="1363"/>
        <v>1.71% | 2.05%</v>
      </c>
      <c r="R3259" t="str">
        <f t="shared" si="1387"/>
        <v>BULLISH</v>
      </c>
      <c r="S3259">
        <f t="shared" si="1364"/>
        <v>1</v>
      </c>
    </row>
    <row r="3260" spans="1:19" hidden="1" x14ac:dyDescent="0.25">
      <c r="A3260" s="5" t="str">
        <f t="shared" si="1365"/>
        <v>44041MSFT</v>
      </c>
      <c r="B3260" s="6" t="s">
        <v>183</v>
      </c>
      <c r="C3260" s="6">
        <v>196</v>
      </c>
      <c r="D3260" s="6">
        <v>212</v>
      </c>
      <c r="E3260" s="6">
        <v>202</v>
      </c>
      <c r="F3260" t="str">
        <f t="shared" si="1377"/>
        <v>WED</v>
      </c>
      <c r="G3260" s="3">
        <f t="shared" si="1378"/>
        <v>44041</v>
      </c>
      <c r="H3260" s="2">
        <f t="shared" ca="1" si="1379"/>
        <v>212</v>
      </c>
      <c r="I3260" t="str">
        <f t="shared" si="1380"/>
        <v>MSFT</v>
      </c>
      <c r="J3260">
        <f t="shared" si="1381"/>
        <v>196</v>
      </c>
      <c r="K3260">
        <f t="shared" si="1382"/>
        <v>212</v>
      </c>
      <c r="L3260">
        <f t="shared" si="1383"/>
        <v>204</v>
      </c>
      <c r="M3260">
        <f t="shared" si="1384"/>
        <v>8</v>
      </c>
      <c r="N3260">
        <f t="shared" si="1362"/>
        <v>16</v>
      </c>
      <c r="O3260">
        <f t="shared" si="1385"/>
        <v>202</v>
      </c>
      <c r="P3260">
        <f t="shared" si="1386"/>
        <v>-0.25</v>
      </c>
      <c r="Q3260" t="str">
        <f t="shared" si="1363"/>
        <v>2.97% | 4.95%</v>
      </c>
      <c r="R3260" t="str">
        <f t="shared" si="1387"/>
        <v>BULLISH</v>
      </c>
      <c r="S3260">
        <f t="shared" si="1364"/>
        <v>1</v>
      </c>
    </row>
    <row r="3261" spans="1:19" hidden="1" x14ac:dyDescent="0.25">
      <c r="A3261" s="5" t="str">
        <f t="shared" si="1365"/>
        <v>44041AAPL</v>
      </c>
      <c r="B3261" s="6" t="s">
        <v>184</v>
      </c>
      <c r="C3261" s="6">
        <v>362</v>
      </c>
      <c r="D3261" s="6">
        <v>398</v>
      </c>
      <c r="E3261" s="6">
        <v>373</v>
      </c>
      <c r="F3261" t="str">
        <f t="shared" si="1377"/>
        <v>WED</v>
      </c>
      <c r="G3261" s="3">
        <f t="shared" si="1378"/>
        <v>44041</v>
      </c>
      <c r="H3261" s="2">
        <f t="shared" ca="1" si="1379"/>
        <v>212</v>
      </c>
      <c r="I3261" t="str">
        <f t="shared" si="1380"/>
        <v>AAPL</v>
      </c>
      <c r="J3261">
        <f t="shared" si="1381"/>
        <v>362</v>
      </c>
      <c r="K3261">
        <f t="shared" si="1382"/>
        <v>398</v>
      </c>
      <c r="L3261">
        <f t="shared" si="1383"/>
        <v>380</v>
      </c>
      <c r="M3261">
        <f t="shared" si="1384"/>
        <v>18</v>
      </c>
      <c r="N3261">
        <f t="shared" si="1362"/>
        <v>36</v>
      </c>
      <c r="O3261">
        <f t="shared" si="1385"/>
        <v>373</v>
      </c>
      <c r="P3261">
        <f t="shared" si="1386"/>
        <v>-0.3888888888888889</v>
      </c>
      <c r="Q3261" t="str">
        <f t="shared" si="1363"/>
        <v>2.95% | 6.7%</v>
      </c>
      <c r="R3261" t="str">
        <f t="shared" si="1387"/>
        <v>BULLISH</v>
      </c>
      <c r="S3261">
        <f t="shared" si="1364"/>
        <v>1</v>
      </c>
    </row>
    <row r="3262" spans="1:19" hidden="1" x14ac:dyDescent="0.25">
      <c r="A3262" s="5" t="str">
        <f t="shared" si="1365"/>
        <v>44041AMZN</v>
      </c>
      <c r="B3262" s="6" t="s">
        <v>185</v>
      </c>
      <c r="C3262" s="6">
        <v>2900</v>
      </c>
      <c r="D3262" s="6">
        <v>3200</v>
      </c>
      <c r="E3262" s="6">
        <v>3000</v>
      </c>
      <c r="F3262" t="str">
        <f t="shared" si="1377"/>
        <v>WED</v>
      </c>
      <c r="G3262" s="3">
        <f t="shared" si="1378"/>
        <v>44041</v>
      </c>
      <c r="H3262" s="2">
        <f t="shared" ca="1" si="1379"/>
        <v>212</v>
      </c>
      <c r="I3262" t="str">
        <f t="shared" si="1380"/>
        <v>AMZN</v>
      </c>
      <c r="J3262">
        <f t="shared" si="1381"/>
        <v>2900</v>
      </c>
      <c r="K3262">
        <f t="shared" si="1382"/>
        <v>3200</v>
      </c>
      <c r="L3262">
        <f t="shared" si="1383"/>
        <v>3050</v>
      </c>
      <c r="M3262">
        <f t="shared" si="1384"/>
        <v>150</v>
      </c>
      <c r="N3262">
        <f t="shared" si="1362"/>
        <v>300</v>
      </c>
      <c r="O3262">
        <f t="shared" si="1385"/>
        <v>3000</v>
      </c>
      <c r="P3262">
        <f t="shared" si="1386"/>
        <v>-0.33333333333333331</v>
      </c>
      <c r="Q3262" t="str">
        <f t="shared" si="1363"/>
        <v>3.33% | 6.67%</v>
      </c>
      <c r="R3262" t="str">
        <f t="shared" si="1387"/>
        <v>BULLISH</v>
      </c>
      <c r="S3262">
        <f t="shared" si="1364"/>
        <v>1</v>
      </c>
    </row>
    <row r="3263" spans="1:19" hidden="1" x14ac:dyDescent="0.25">
      <c r="A3263" s="5" t="str">
        <f t="shared" si="1365"/>
        <v>44041FB</v>
      </c>
      <c r="B3263" s="6" t="s">
        <v>186</v>
      </c>
      <c r="C3263" s="6">
        <v>221</v>
      </c>
      <c r="D3263" s="6">
        <v>248</v>
      </c>
      <c r="E3263" s="6">
        <v>230</v>
      </c>
      <c r="F3263" t="str">
        <f t="shared" si="1377"/>
        <v>WED</v>
      </c>
      <c r="G3263" s="3">
        <f t="shared" si="1378"/>
        <v>44041</v>
      </c>
      <c r="H3263" s="2">
        <f t="shared" ca="1" si="1379"/>
        <v>212</v>
      </c>
      <c r="I3263" t="str">
        <f t="shared" si="1380"/>
        <v>FB</v>
      </c>
      <c r="J3263">
        <f t="shared" si="1381"/>
        <v>221</v>
      </c>
      <c r="K3263">
        <f t="shared" si="1382"/>
        <v>248</v>
      </c>
      <c r="L3263">
        <f t="shared" si="1383"/>
        <v>234.5</v>
      </c>
      <c r="M3263">
        <f t="shared" si="1384"/>
        <v>13.5</v>
      </c>
      <c r="N3263">
        <f t="shared" si="1362"/>
        <v>27</v>
      </c>
      <c r="O3263">
        <f t="shared" si="1385"/>
        <v>230</v>
      </c>
      <c r="P3263">
        <f t="shared" si="1386"/>
        <v>-0.33333333333333331</v>
      </c>
      <c r="Q3263" t="str">
        <f t="shared" si="1363"/>
        <v>3.91% | 7.83%</v>
      </c>
      <c r="R3263" t="str">
        <f t="shared" si="1387"/>
        <v>BULLISH</v>
      </c>
      <c r="S3263">
        <f t="shared" si="1364"/>
        <v>1</v>
      </c>
    </row>
    <row r="3264" spans="1:19" hidden="1" x14ac:dyDescent="0.25">
      <c r="A3264" s="5" t="str">
        <f t="shared" si="1365"/>
        <v>44041GOOGL</v>
      </c>
      <c r="B3264" s="6" t="s">
        <v>187</v>
      </c>
      <c r="C3264" s="6">
        <v>1480</v>
      </c>
      <c r="D3264" s="6">
        <v>1575</v>
      </c>
      <c r="E3264" s="6">
        <v>1503</v>
      </c>
      <c r="F3264" t="str">
        <f t="shared" si="1377"/>
        <v>WED</v>
      </c>
      <c r="G3264" s="3">
        <f t="shared" si="1378"/>
        <v>44041</v>
      </c>
      <c r="H3264" s="2">
        <f t="shared" ca="1" si="1379"/>
        <v>212</v>
      </c>
      <c r="I3264" t="str">
        <f t="shared" si="1380"/>
        <v>GOOGL</v>
      </c>
      <c r="J3264">
        <f t="shared" si="1381"/>
        <v>1480</v>
      </c>
      <c r="K3264">
        <f t="shared" si="1382"/>
        <v>1575</v>
      </c>
      <c r="L3264">
        <f t="shared" si="1383"/>
        <v>1527.5</v>
      </c>
      <c r="M3264">
        <f t="shared" si="1384"/>
        <v>47.5</v>
      </c>
      <c r="N3264">
        <f t="shared" si="1362"/>
        <v>95</v>
      </c>
      <c r="O3264">
        <f t="shared" si="1385"/>
        <v>1503</v>
      </c>
      <c r="P3264">
        <f t="shared" si="1386"/>
        <v>-0.51578947368421058</v>
      </c>
      <c r="Q3264" t="str">
        <f t="shared" si="1363"/>
        <v>1.53% | 4.79%</v>
      </c>
      <c r="R3264" t="str">
        <f t="shared" si="1387"/>
        <v>BULLISH</v>
      </c>
      <c r="S3264">
        <f t="shared" si="1364"/>
        <v>1</v>
      </c>
    </row>
    <row r="3265" spans="1:19" hidden="1" x14ac:dyDescent="0.25">
      <c r="A3265" s="5" t="str">
        <f t="shared" si="1365"/>
        <v>44041NFLX</v>
      </c>
      <c r="B3265" s="6" t="s">
        <v>194</v>
      </c>
      <c r="C3265" s="6">
        <v>464</v>
      </c>
      <c r="D3265" s="6">
        <v>522</v>
      </c>
      <c r="E3265" s="6">
        <v>488</v>
      </c>
      <c r="F3265" t="str">
        <f t="shared" si="1377"/>
        <v>WED</v>
      </c>
      <c r="G3265" s="3">
        <f t="shared" si="1378"/>
        <v>44041</v>
      </c>
      <c r="H3265" s="2">
        <f t="shared" ca="1" si="1379"/>
        <v>212</v>
      </c>
      <c r="I3265" t="str">
        <f t="shared" si="1380"/>
        <v>NFLX</v>
      </c>
      <c r="J3265">
        <f t="shared" si="1381"/>
        <v>464</v>
      </c>
      <c r="K3265">
        <f t="shared" si="1382"/>
        <v>522</v>
      </c>
      <c r="L3265">
        <f t="shared" si="1383"/>
        <v>493</v>
      </c>
      <c r="M3265">
        <f t="shared" si="1384"/>
        <v>29</v>
      </c>
      <c r="N3265">
        <f t="shared" si="1362"/>
        <v>58</v>
      </c>
      <c r="O3265">
        <f t="shared" si="1385"/>
        <v>488</v>
      </c>
      <c r="P3265">
        <f t="shared" si="1386"/>
        <v>-0.17241379310344829</v>
      </c>
      <c r="Q3265" t="str">
        <f t="shared" si="1363"/>
        <v>4.92% | 6.97%</v>
      </c>
      <c r="R3265" t="str">
        <f t="shared" si="1387"/>
        <v>BULLISH</v>
      </c>
      <c r="S3265">
        <f t="shared" si="1364"/>
        <v>1</v>
      </c>
    </row>
    <row r="3266" spans="1:19" x14ac:dyDescent="0.25">
      <c r="A3266" s="5" t="str">
        <f t="shared" si="1365"/>
        <v>44041TSLA</v>
      </c>
      <c r="B3266" s="6" t="s">
        <v>189</v>
      </c>
      <c r="C3266" s="6">
        <v>1402</v>
      </c>
      <c r="D3266" s="6">
        <v>1655</v>
      </c>
      <c r="E3266" s="6">
        <v>1476</v>
      </c>
      <c r="F3266" t="str">
        <f t="shared" si="1377"/>
        <v>WED</v>
      </c>
      <c r="G3266" s="3">
        <f t="shared" si="1378"/>
        <v>44041</v>
      </c>
      <c r="H3266" s="2">
        <f t="shared" ca="1" si="1379"/>
        <v>212</v>
      </c>
      <c r="I3266" t="str">
        <f t="shared" si="1380"/>
        <v>TSLA</v>
      </c>
      <c r="J3266">
        <f t="shared" si="1381"/>
        <v>1402</v>
      </c>
      <c r="K3266">
        <f t="shared" si="1382"/>
        <v>1655</v>
      </c>
      <c r="L3266">
        <f t="shared" si="1383"/>
        <v>1528.5</v>
      </c>
      <c r="M3266">
        <f t="shared" si="1384"/>
        <v>126.5</v>
      </c>
      <c r="N3266">
        <f t="shared" si="1362"/>
        <v>253</v>
      </c>
      <c r="O3266">
        <f t="shared" si="1385"/>
        <v>1476</v>
      </c>
      <c r="P3266">
        <f t="shared" si="1386"/>
        <v>-0.41501976284584979</v>
      </c>
      <c r="Q3266" t="str">
        <f t="shared" si="1363"/>
        <v>5.01% | 12.13%</v>
      </c>
      <c r="R3266" t="str">
        <f t="shared" si="1387"/>
        <v>BULLISH</v>
      </c>
      <c r="S3266">
        <f t="shared" si="1364"/>
        <v>1</v>
      </c>
    </row>
    <row r="3267" spans="1:19" hidden="1" x14ac:dyDescent="0.25">
      <c r="A3267" s="5" t="str">
        <f t="shared" si="1365"/>
        <v>44041NYXBT</v>
      </c>
      <c r="B3267" s="6" t="s">
        <v>190</v>
      </c>
      <c r="C3267" s="6">
        <v>9732</v>
      </c>
      <c r="D3267" s="6">
        <v>11151</v>
      </c>
      <c r="E3267" s="6">
        <v>11147</v>
      </c>
      <c r="F3267" t="str">
        <f t="shared" si="1377"/>
        <v>WED</v>
      </c>
      <c r="G3267" s="3">
        <f t="shared" si="1378"/>
        <v>44041</v>
      </c>
      <c r="H3267" s="2">
        <f t="shared" ca="1" si="1379"/>
        <v>212</v>
      </c>
      <c r="I3267" t="str">
        <f t="shared" si="1380"/>
        <v>NYXBT</v>
      </c>
      <c r="J3267">
        <f t="shared" si="1381"/>
        <v>9732</v>
      </c>
      <c r="K3267">
        <f t="shared" si="1382"/>
        <v>11151</v>
      </c>
      <c r="L3267">
        <f t="shared" si="1383"/>
        <v>10441.5</v>
      </c>
      <c r="M3267">
        <f t="shared" si="1384"/>
        <v>709.5</v>
      </c>
      <c r="N3267">
        <f t="shared" ref="N3267:N3330" si="1388">ABS(K3267-J3267)</f>
        <v>1419</v>
      </c>
      <c r="O3267">
        <f t="shared" si="1385"/>
        <v>11147</v>
      </c>
      <c r="P3267">
        <f t="shared" si="1386"/>
        <v>0.99436222692036647</v>
      </c>
      <c r="Q3267" t="str">
        <f t="shared" ref="Q3267:Q3330" si="1389">ROUND(ABS(100*(O3267-J3267)/O3267),2)&amp;"% | "&amp;ROUND(ABS(100*(K3267-O3267)/O3267),2)&amp;"%"</f>
        <v>12.69% | 0.04%</v>
      </c>
      <c r="R3267" t="str">
        <f t="shared" si="1387"/>
        <v>BULLISH</v>
      </c>
      <c r="S3267">
        <f t="shared" ref="S3267:S3330" si="1390">IF(R3267="BEARISH",-1,IF(R3267="NEUTRAL",0,IF(R3267="BULLISH",1,99)))</f>
        <v>1</v>
      </c>
    </row>
    <row r="3268" spans="1:19" hidden="1" x14ac:dyDescent="0.25">
      <c r="A3268" s="5" t="str">
        <f t="shared" si="1365"/>
        <v>44042UST10Y</v>
      </c>
      <c r="B3268" s="6" t="s">
        <v>4</v>
      </c>
      <c r="C3268" s="6">
        <v>0.64</v>
      </c>
      <c r="D3268" s="6">
        <v>0.55000000000000004</v>
      </c>
      <c r="E3268" s="6">
        <v>0.57999999999999996</v>
      </c>
      <c r="F3268" t="str">
        <f t="shared" si="1377"/>
        <v>THU</v>
      </c>
      <c r="G3268" s="1">
        <f>DATE(2020,7,30)</f>
        <v>44042</v>
      </c>
      <c r="H3268" s="2">
        <f t="shared" ca="1" si="1379"/>
        <v>211</v>
      </c>
      <c r="I3268" t="str">
        <f t="shared" si="1380"/>
        <v>UST10Y</v>
      </c>
      <c r="J3268">
        <f t="shared" si="1381"/>
        <v>0.64</v>
      </c>
      <c r="K3268">
        <f t="shared" si="1382"/>
        <v>0.55000000000000004</v>
      </c>
      <c r="L3268">
        <f t="shared" si="1383"/>
        <v>0.59499999999999997</v>
      </c>
      <c r="M3268">
        <f t="shared" si="1384"/>
        <v>4.4999999999999991E-2</v>
      </c>
      <c r="N3268">
        <f t="shared" si="1388"/>
        <v>8.9999999999999969E-2</v>
      </c>
      <c r="O3268">
        <f t="shared" si="1385"/>
        <v>0.57999999999999996</v>
      </c>
      <c r="P3268">
        <f t="shared" si="1386"/>
        <v>-0.3333333333333337</v>
      </c>
      <c r="Q3268" t="str">
        <f t="shared" si="1389"/>
        <v>10.34% | 5.17%</v>
      </c>
      <c r="R3268" t="str">
        <f t="shared" si="1387"/>
        <v>BEARISH</v>
      </c>
      <c r="S3268">
        <f t="shared" si="1390"/>
        <v>-1</v>
      </c>
    </row>
    <row r="3269" spans="1:19" hidden="1" x14ac:dyDescent="0.25">
      <c r="A3269" s="5" t="str">
        <f t="shared" ref="A3269:A3332" si="1391">G3269&amp;I3269</f>
        <v>44042UST2Y</v>
      </c>
      <c r="B3269" s="6" t="s">
        <v>5</v>
      </c>
      <c r="C3269" s="6">
        <v>0.16</v>
      </c>
      <c r="D3269" s="6">
        <v>0.12</v>
      </c>
      <c r="E3269" s="6">
        <v>0.12</v>
      </c>
      <c r="F3269" t="str">
        <f t="shared" ref="F3269:F3298" si="1392">UPPER(TEXT(G3269,"ddd"))</f>
        <v>THU</v>
      </c>
      <c r="G3269" s="1">
        <f t="shared" ref="G3269:G3297" si="1393">DATE(2020,7,30)</f>
        <v>44042</v>
      </c>
      <c r="H3269" s="2">
        <f t="shared" ref="H3269:H3298" ca="1" si="1394">TODAY()-G3269</f>
        <v>211</v>
      </c>
      <c r="I3269" t="str">
        <f t="shared" ref="I3269:I3298" si="1395">TRIM(LEFT(B3269,FIND(" ",B3269,1)))</f>
        <v>UST2Y</v>
      </c>
      <c r="J3269">
        <f t="shared" ref="J3269:J3298" si="1396">C3269</f>
        <v>0.16</v>
      </c>
      <c r="K3269">
        <f t="shared" ref="K3269:K3298" si="1397">D3269</f>
        <v>0.12</v>
      </c>
      <c r="L3269">
        <f t="shared" ref="L3269:L3298" si="1398">AVERAGE(J3269:K3269)</f>
        <v>0.14000000000000001</v>
      </c>
      <c r="M3269">
        <f t="shared" ref="M3269:M3298" si="1399">_xlfn.STDEV.P(J3269:K3269)</f>
        <v>1.9999999999999938E-2</v>
      </c>
      <c r="N3269">
        <f t="shared" si="1388"/>
        <v>4.0000000000000008E-2</v>
      </c>
      <c r="O3269">
        <f t="shared" ref="O3269:O3298" si="1400">E3269</f>
        <v>0.12</v>
      </c>
      <c r="P3269">
        <f t="shared" ref="P3269:P3298" si="1401">(O3269-L3269)/M3269</f>
        <v>-1.000000000000004</v>
      </c>
      <c r="Q3269" t="str">
        <f t="shared" si="1389"/>
        <v>33.33% | 0%</v>
      </c>
      <c r="R3269" t="str">
        <f t="shared" ref="R3269:R3298" si="1402">MID(B3269,FIND("(",B3269,1)+1,FIND(")",B3269,1)-FIND("(",B3269,1)-1)</f>
        <v>BEARISH</v>
      </c>
      <c r="S3269">
        <f t="shared" si="1390"/>
        <v>-1</v>
      </c>
    </row>
    <row r="3270" spans="1:19" hidden="1" x14ac:dyDescent="0.25">
      <c r="A3270" s="5" t="str">
        <f t="shared" si="1391"/>
        <v>44042SPX</v>
      </c>
      <c r="B3270" s="6" t="s">
        <v>93</v>
      </c>
      <c r="C3270" s="6">
        <v>3182</v>
      </c>
      <c r="D3270" s="6">
        <v>3282</v>
      </c>
      <c r="E3270" s="6">
        <v>3258</v>
      </c>
      <c r="F3270" t="str">
        <f t="shared" si="1392"/>
        <v>THU</v>
      </c>
      <c r="G3270" s="1">
        <f t="shared" si="1393"/>
        <v>44042</v>
      </c>
      <c r="H3270" s="2">
        <f t="shared" ca="1" si="1394"/>
        <v>211</v>
      </c>
      <c r="I3270" t="str">
        <f t="shared" si="1395"/>
        <v>SPX</v>
      </c>
      <c r="J3270">
        <f t="shared" si="1396"/>
        <v>3182</v>
      </c>
      <c r="K3270">
        <f t="shared" si="1397"/>
        <v>3282</v>
      </c>
      <c r="L3270">
        <f t="shared" si="1398"/>
        <v>3232</v>
      </c>
      <c r="M3270">
        <f t="shared" si="1399"/>
        <v>50</v>
      </c>
      <c r="N3270">
        <f t="shared" si="1388"/>
        <v>100</v>
      </c>
      <c r="O3270">
        <f t="shared" si="1400"/>
        <v>3258</v>
      </c>
      <c r="P3270">
        <f t="shared" si="1401"/>
        <v>0.52</v>
      </c>
      <c r="Q3270" t="str">
        <f t="shared" si="1389"/>
        <v>2.33% | 0.74%</v>
      </c>
      <c r="R3270" t="str">
        <f t="shared" si="1402"/>
        <v>BULLISH</v>
      </c>
      <c r="S3270">
        <f t="shared" si="1390"/>
        <v>1</v>
      </c>
    </row>
    <row r="3271" spans="1:19" hidden="1" x14ac:dyDescent="0.25">
      <c r="A3271" s="5" t="str">
        <f t="shared" si="1391"/>
        <v>44042RUT</v>
      </c>
      <c r="B3271" s="6" t="s">
        <v>7</v>
      </c>
      <c r="C3271" s="6">
        <v>1450</v>
      </c>
      <c r="D3271" s="6">
        <v>1508</v>
      </c>
      <c r="E3271" s="6">
        <v>1500</v>
      </c>
      <c r="F3271" t="str">
        <f t="shared" si="1392"/>
        <v>THU</v>
      </c>
      <c r="G3271" s="1">
        <f t="shared" si="1393"/>
        <v>44042</v>
      </c>
      <c r="H3271" s="2">
        <f t="shared" ca="1" si="1394"/>
        <v>211</v>
      </c>
      <c r="I3271" t="str">
        <f t="shared" si="1395"/>
        <v>RUT</v>
      </c>
      <c r="J3271">
        <f t="shared" si="1396"/>
        <v>1450</v>
      </c>
      <c r="K3271">
        <f t="shared" si="1397"/>
        <v>1508</v>
      </c>
      <c r="L3271">
        <f t="shared" si="1398"/>
        <v>1479</v>
      </c>
      <c r="M3271">
        <f t="shared" si="1399"/>
        <v>29</v>
      </c>
      <c r="N3271">
        <f t="shared" si="1388"/>
        <v>58</v>
      </c>
      <c r="O3271">
        <f t="shared" si="1400"/>
        <v>1500</v>
      </c>
      <c r="P3271">
        <f t="shared" si="1401"/>
        <v>0.72413793103448276</v>
      </c>
      <c r="Q3271" t="str">
        <f t="shared" si="1389"/>
        <v>3.33% | 0.53%</v>
      </c>
      <c r="R3271" t="str">
        <f t="shared" si="1402"/>
        <v>BEARISH</v>
      </c>
      <c r="S3271">
        <f t="shared" si="1390"/>
        <v>-1</v>
      </c>
    </row>
    <row r="3272" spans="1:19" hidden="1" x14ac:dyDescent="0.25">
      <c r="A3272" s="5" t="str">
        <f t="shared" si="1391"/>
        <v>44042COMPQ</v>
      </c>
      <c r="B3272" s="6" t="s">
        <v>8</v>
      </c>
      <c r="C3272" s="6">
        <v>10278</v>
      </c>
      <c r="D3272" s="6">
        <v>10815</v>
      </c>
      <c r="E3272" s="6">
        <v>10542</v>
      </c>
      <c r="F3272" t="str">
        <f t="shared" si="1392"/>
        <v>THU</v>
      </c>
      <c r="G3272" s="1">
        <f t="shared" si="1393"/>
        <v>44042</v>
      </c>
      <c r="H3272" s="2">
        <f t="shared" ca="1" si="1394"/>
        <v>211</v>
      </c>
      <c r="I3272" t="str">
        <f t="shared" si="1395"/>
        <v>COMPQ</v>
      </c>
      <c r="J3272">
        <f t="shared" si="1396"/>
        <v>10278</v>
      </c>
      <c r="K3272">
        <f t="shared" si="1397"/>
        <v>10815</v>
      </c>
      <c r="L3272">
        <f t="shared" si="1398"/>
        <v>10546.5</v>
      </c>
      <c r="M3272">
        <f t="shared" si="1399"/>
        <v>268.5</v>
      </c>
      <c r="N3272">
        <f t="shared" si="1388"/>
        <v>537</v>
      </c>
      <c r="O3272">
        <f t="shared" si="1400"/>
        <v>10542</v>
      </c>
      <c r="P3272">
        <f t="shared" si="1401"/>
        <v>-1.6759776536312849E-2</v>
      </c>
      <c r="Q3272" t="str">
        <f t="shared" si="1389"/>
        <v>2.5% | 2.59%</v>
      </c>
      <c r="R3272" t="str">
        <f t="shared" si="1402"/>
        <v>BULLISH</v>
      </c>
      <c r="S3272">
        <f t="shared" si="1390"/>
        <v>1</v>
      </c>
    </row>
    <row r="3273" spans="1:19" hidden="1" x14ac:dyDescent="0.25">
      <c r="A3273" s="5" t="str">
        <f t="shared" si="1391"/>
        <v>44042XLK</v>
      </c>
      <c r="B3273" s="6" t="s">
        <v>10</v>
      </c>
      <c r="C3273" s="6">
        <v>104.17</v>
      </c>
      <c r="D3273" s="6">
        <v>110.16</v>
      </c>
      <c r="E3273" s="6">
        <v>107.14</v>
      </c>
      <c r="F3273" t="str">
        <f t="shared" si="1392"/>
        <v>THU</v>
      </c>
      <c r="G3273" s="1">
        <f t="shared" si="1393"/>
        <v>44042</v>
      </c>
      <c r="H3273" s="2">
        <f t="shared" ca="1" si="1394"/>
        <v>211</v>
      </c>
      <c r="I3273" t="str">
        <f t="shared" si="1395"/>
        <v>XLK</v>
      </c>
      <c r="J3273">
        <f t="shared" si="1396"/>
        <v>104.17</v>
      </c>
      <c r="K3273">
        <f t="shared" si="1397"/>
        <v>110.16</v>
      </c>
      <c r="L3273">
        <f t="shared" si="1398"/>
        <v>107.16499999999999</v>
      </c>
      <c r="M3273">
        <f t="shared" si="1399"/>
        <v>2.9949999999999974</v>
      </c>
      <c r="N3273">
        <f t="shared" si="1388"/>
        <v>5.9899999999999949</v>
      </c>
      <c r="O3273">
        <f t="shared" si="1400"/>
        <v>107.14</v>
      </c>
      <c r="P3273">
        <f t="shared" si="1401"/>
        <v>-8.3472454090121849E-3</v>
      </c>
      <c r="Q3273" t="str">
        <f t="shared" si="1389"/>
        <v>2.77% | 2.82%</v>
      </c>
      <c r="R3273" t="str">
        <f t="shared" si="1402"/>
        <v>BULLISH</v>
      </c>
      <c r="S3273">
        <f t="shared" si="1390"/>
        <v>1</v>
      </c>
    </row>
    <row r="3274" spans="1:19" hidden="1" x14ac:dyDescent="0.25">
      <c r="A3274" s="5" t="str">
        <f t="shared" si="1391"/>
        <v>44042XLRE</v>
      </c>
      <c r="B3274" s="6" t="s">
        <v>97</v>
      </c>
      <c r="C3274" s="6">
        <v>34.020000000000003</v>
      </c>
      <c r="D3274" s="6">
        <v>36.96</v>
      </c>
      <c r="E3274" s="6">
        <v>36.6</v>
      </c>
      <c r="F3274" t="str">
        <f t="shared" si="1392"/>
        <v>THU</v>
      </c>
      <c r="G3274" s="1">
        <f t="shared" si="1393"/>
        <v>44042</v>
      </c>
      <c r="H3274" s="2">
        <f t="shared" ca="1" si="1394"/>
        <v>211</v>
      </c>
      <c r="I3274" t="str">
        <f t="shared" si="1395"/>
        <v>XLRE</v>
      </c>
      <c r="J3274">
        <f t="shared" si="1396"/>
        <v>34.020000000000003</v>
      </c>
      <c r="K3274">
        <f t="shared" si="1397"/>
        <v>36.96</v>
      </c>
      <c r="L3274">
        <f t="shared" si="1398"/>
        <v>35.49</v>
      </c>
      <c r="M3274">
        <f t="shared" si="1399"/>
        <v>1.4699999999999989</v>
      </c>
      <c r="N3274">
        <f t="shared" si="1388"/>
        <v>2.9399999999999977</v>
      </c>
      <c r="O3274">
        <f t="shared" si="1400"/>
        <v>36.6</v>
      </c>
      <c r="P3274">
        <f t="shared" si="1401"/>
        <v>0.7551020408163267</v>
      </c>
      <c r="Q3274" t="str">
        <f t="shared" si="1389"/>
        <v>7.05% | 0.98%</v>
      </c>
      <c r="R3274" t="str">
        <f t="shared" si="1402"/>
        <v>BULLISH</v>
      </c>
      <c r="S3274">
        <f t="shared" si="1390"/>
        <v>1</v>
      </c>
    </row>
    <row r="3275" spans="1:19" hidden="1" x14ac:dyDescent="0.25">
      <c r="A3275" s="5" t="str">
        <f t="shared" si="1391"/>
        <v>44042XLU</v>
      </c>
      <c r="B3275" s="6" t="s">
        <v>52</v>
      </c>
      <c r="C3275" s="6">
        <v>58.53</v>
      </c>
      <c r="D3275" s="6">
        <v>61.38</v>
      </c>
      <c r="E3275" s="6">
        <v>60.73</v>
      </c>
      <c r="F3275" t="str">
        <f t="shared" si="1392"/>
        <v>THU</v>
      </c>
      <c r="G3275" s="1">
        <f t="shared" si="1393"/>
        <v>44042</v>
      </c>
      <c r="H3275" s="2">
        <f t="shared" ca="1" si="1394"/>
        <v>211</v>
      </c>
      <c r="I3275" t="str">
        <f t="shared" si="1395"/>
        <v>XLU</v>
      </c>
      <c r="J3275">
        <f t="shared" si="1396"/>
        <v>58.53</v>
      </c>
      <c r="K3275">
        <f t="shared" si="1397"/>
        <v>61.38</v>
      </c>
      <c r="L3275">
        <f t="shared" si="1398"/>
        <v>59.954999999999998</v>
      </c>
      <c r="M3275">
        <f t="shared" si="1399"/>
        <v>1.4250000000000007</v>
      </c>
      <c r="N3275">
        <f t="shared" si="1388"/>
        <v>2.8500000000000014</v>
      </c>
      <c r="O3275">
        <f t="shared" si="1400"/>
        <v>60.73</v>
      </c>
      <c r="P3275">
        <f t="shared" si="1401"/>
        <v>0.54385964912280571</v>
      </c>
      <c r="Q3275" t="str">
        <f t="shared" si="1389"/>
        <v>3.62% | 1.07%</v>
      </c>
      <c r="R3275" t="str">
        <f t="shared" si="1402"/>
        <v>BULLISH</v>
      </c>
      <c r="S3275">
        <f t="shared" si="1390"/>
        <v>1</v>
      </c>
    </row>
    <row r="3276" spans="1:19" hidden="1" x14ac:dyDescent="0.25">
      <c r="A3276" s="5" t="str">
        <f t="shared" si="1391"/>
        <v>44042XLF</v>
      </c>
      <c r="B3276" s="6" t="s">
        <v>12</v>
      </c>
      <c r="C3276" s="6">
        <v>22.92</v>
      </c>
      <c r="D3276" s="6">
        <v>24.59</v>
      </c>
      <c r="E3276" s="6">
        <v>24.46</v>
      </c>
      <c r="F3276" t="str">
        <f t="shared" si="1392"/>
        <v>THU</v>
      </c>
      <c r="G3276" s="1">
        <f t="shared" si="1393"/>
        <v>44042</v>
      </c>
      <c r="H3276" s="2">
        <f t="shared" ca="1" si="1394"/>
        <v>211</v>
      </c>
      <c r="I3276" t="str">
        <f t="shared" si="1395"/>
        <v>XLF</v>
      </c>
      <c r="J3276">
        <f t="shared" si="1396"/>
        <v>22.92</v>
      </c>
      <c r="K3276">
        <f t="shared" si="1397"/>
        <v>24.59</v>
      </c>
      <c r="L3276">
        <f t="shared" si="1398"/>
        <v>23.755000000000003</v>
      </c>
      <c r="M3276">
        <f t="shared" si="1399"/>
        <v>0.83499999999999908</v>
      </c>
      <c r="N3276">
        <f t="shared" si="1388"/>
        <v>1.6699999999999982</v>
      </c>
      <c r="O3276">
        <f t="shared" si="1400"/>
        <v>24.46</v>
      </c>
      <c r="P3276">
        <f t="shared" si="1401"/>
        <v>0.84431137724550787</v>
      </c>
      <c r="Q3276" t="str">
        <f t="shared" si="1389"/>
        <v>6.3% | 0.53%</v>
      </c>
      <c r="R3276" t="str">
        <f t="shared" si="1402"/>
        <v>BEARISH</v>
      </c>
      <c r="S3276">
        <f t="shared" si="1390"/>
        <v>-1</v>
      </c>
    </row>
    <row r="3277" spans="1:19" hidden="1" x14ac:dyDescent="0.25">
      <c r="A3277" s="5" t="str">
        <f t="shared" si="1391"/>
        <v>44042SSEC</v>
      </c>
      <c r="B3277" s="6" t="s">
        <v>104</v>
      </c>
      <c r="C3277" s="6">
        <v>3160</v>
      </c>
      <c r="D3277" s="6">
        <v>3380</v>
      </c>
      <c r="E3277" s="6">
        <v>3286</v>
      </c>
      <c r="F3277" t="str">
        <f t="shared" si="1392"/>
        <v>THU</v>
      </c>
      <c r="G3277" s="1">
        <f t="shared" si="1393"/>
        <v>44042</v>
      </c>
      <c r="H3277" s="2">
        <f t="shared" ca="1" si="1394"/>
        <v>211</v>
      </c>
      <c r="I3277" t="str">
        <f t="shared" si="1395"/>
        <v>SSEC</v>
      </c>
      <c r="J3277">
        <f t="shared" si="1396"/>
        <v>3160</v>
      </c>
      <c r="K3277">
        <f t="shared" si="1397"/>
        <v>3380</v>
      </c>
      <c r="L3277">
        <f t="shared" si="1398"/>
        <v>3270</v>
      </c>
      <c r="M3277">
        <f t="shared" si="1399"/>
        <v>110</v>
      </c>
      <c r="N3277">
        <f t="shared" si="1388"/>
        <v>220</v>
      </c>
      <c r="O3277">
        <f t="shared" si="1400"/>
        <v>3286</v>
      </c>
      <c r="P3277">
        <f t="shared" si="1401"/>
        <v>0.14545454545454545</v>
      </c>
      <c r="Q3277" t="str">
        <f t="shared" si="1389"/>
        <v>3.83% | 2.86%</v>
      </c>
      <c r="R3277" t="str">
        <f t="shared" si="1402"/>
        <v>BULLISH</v>
      </c>
      <c r="S3277">
        <f t="shared" si="1390"/>
        <v>1</v>
      </c>
    </row>
    <row r="3278" spans="1:19" hidden="1" x14ac:dyDescent="0.25">
      <c r="A3278" s="5" t="str">
        <f t="shared" si="1391"/>
        <v>44042NIKK</v>
      </c>
      <c r="B3278" s="6" t="s">
        <v>15</v>
      </c>
      <c r="C3278" s="6">
        <v>22299</v>
      </c>
      <c r="D3278" s="6">
        <v>22916</v>
      </c>
      <c r="E3278" s="6">
        <v>22339</v>
      </c>
      <c r="F3278" t="str">
        <f t="shared" si="1392"/>
        <v>THU</v>
      </c>
      <c r="G3278" s="1">
        <f t="shared" si="1393"/>
        <v>44042</v>
      </c>
      <c r="H3278" s="2">
        <f t="shared" ca="1" si="1394"/>
        <v>211</v>
      </c>
      <c r="I3278" t="str">
        <f t="shared" si="1395"/>
        <v>NIKK</v>
      </c>
      <c r="J3278">
        <f t="shared" si="1396"/>
        <v>22299</v>
      </c>
      <c r="K3278">
        <f t="shared" si="1397"/>
        <v>22916</v>
      </c>
      <c r="L3278">
        <f t="shared" si="1398"/>
        <v>22607.5</v>
      </c>
      <c r="M3278">
        <f t="shared" si="1399"/>
        <v>308.5</v>
      </c>
      <c r="N3278">
        <f t="shared" si="1388"/>
        <v>617</v>
      </c>
      <c r="O3278">
        <f t="shared" si="1400"/>
        <v>22339</v>
      </c>
      <c r="P3278">
        <f t="shared" si="1401"/>
        <v>-0.87034035656401942</v>
      </c>
      <c r="Q3278" t="str">
        <f t="shared" si="1389"/>
        <v>0.18% | 2.58%</v>
      </c>
      <c r="R3278" t="str">
        <f t="shared" si="1402"/>
        <v>BEARISH</v>
      </c>
      <c r="S3278">
        <f t="shared" si="1390"/>
        <v>-1</v>
      </c>
    </row>
    <row r="3279" spans="1:19" hidden="1" x14ac:dyDescent="0.25">
      <c r="A3279" s="5" t="str">
        <f t="shared" si="1391"/>
        <v>44042DAX</v>
      </c>
      <c r="B3279" s="6" t="s">
        <v>98</v>
      </c>
      <c r="C3279" s="6">
        <v>12545</v>
      </c>
      <c r="D3279" s="6">
        <v>13220</v>
      </c>
      <c r="E3279" s="6">
        <v>12822</v>
      </c>
      <c r="F3279" t="str">
        <f t="shared" si="1392"/>
        <v>THU</v>
      </c>
      <c r="G3279" s="1">
        <f t="shared" si="1393"/>
        <v>44042</v>
      </c>
      <c r="H3279" s="2">
        <f t="shared" ca="1" si="1394"/>
        <v>211</v>
      </c>
      <c r="I3279" t="str">
        <f t="shared" si="1395"/>
        <v>DAX</v>
      </c>
      <c r="J3279">
        <f t="shared" si="1396"/>
        <v>12545</v>
      </c>
      <c r="K3279">
        <f t="shared" si="1397"/>
        <v>13220</v>
      </c>
      <c r="L3279">
        <f t="shared" si="1398"/>
        <v>12882.5</v>
      </c>
      <c r="M3279">
        <f t="shared" si="1399"/>
        <v>337.5</v>
      </c>
      <c r="N3279">
        <f t="shared" si="1388"/>
        <v>675</v>
      </c>
      <c r="O3279">
        <f t="shared" si="1400"/>
        <v>12822</v>
      </c>
      <c r="P3279">
        <f t="shared" si="1401"/>
        <v>-0.17925925925925926</v>
      </c>
      <c r="Q3279" t="str">
        <f t="shared" si="1389"/>
        <v>2.16% | 3.1%</v>
      </c>
      <c r="R3279" t="str">
        <f t="shared" si="1402"/>
        <v>BULLISH</v>
      </c>
      <c r="S3279">
        <f t="shared" si="1390"/>
        <v>1</v>
      </c>
    </row>
    <row r="3280" spans="1:19" hidden="1" x14ac:dyDescent="0.25">
      <c r="A3280" s="5" t="str">
        <f t="shared" si="1391"/>
        <v>44042VIX</v>
      </c>
      <c r="B3280" s="6" t="s">
        <v>96</v>
      </c>
      <c r="C3280" s="6">
        <v>23.3</v>
      </c>
      <c r="D3280" s="6">
        <v>30.71</v>
      </c>
      <c r="E3280" s="6">
        <v>24.1</v>
      </c>
      <c r="F3280" t="str">
        <f t="shared" si="1392"/>
        <v>THU</v>
      </c>
      <c r="G3280" s="1">
        <f t="shared" si="1393"/>
        <v>44042</v>
      </c>
      <c r="H3280" s="2">
        <f t="shared" ca="1" si="1394"/>
        <v>211</v>
      </c>
      <c r="I3280" t="str">
        <f t="shared" si="1395"/>
        <v>VIX</v>
      </c>
      <c r="J3280">
        <f t="shared" si="1396"/>
        <v>23.3</v>
      </c>
      <c r="K3280">
        <f t="shared" si="1397"/>
        <v>30.71</v>
      </c>
      <c r="L3280">
        <f t="shared" si="1398"/>
        <v>27.005000000000003</v>
      </c>
      <c r="M3280">
        <f t="shared" si="1399"/>
        <v>3.704999999999973</v>
      </c>
      <c r="N3280">
        <f t="shared" si="1388"/>
        <v>7.41</v>
      </c>
      <c r="O3280">
        <f t="shared" si="1400"/>
        <v>24.1</v>
      </c>
      <c r="P3280">
        <f t="shared" si="1401"/>
        <v>-0.78407557354926383</v>
      </c>
      <c r="Q3280" t="str">
        <f t="shared" si="1389"/>
        <v>3.32% | 27.43%</v>
      </c>
      <c r="R3280" t="str">
        <f t="shared" si="1402"/>
        <v>BEARISH</v>
      </c>
      <c r="S3280">
        <f t="shared" si="1390"/>
        <v>-1</v>
      </c>
    </row>
    <row r="3281" spans="1:19" hidden="1" x14ac:dyDescent="0.25">
      <c r="A3281" s="5" t="str">
        <f t="shared" si="1391"/>
        <v>44042USD</v>
      </c>
      <c r="B3281" s="6" t="s">
        <v>94</v>
      </c>
      <c r="C3281" s="6">
        <v>92.78</v>
      </c>
      <c r="D3281" s="6">
        <v>94.79</v>
      </c>
      <c r="E3281" s="6">
        <v>93.44</v>
      </c>
      <c r="F3281" t="str">
        <f t="shared" si="1392"/>
        <v>THU</v>
      </c>
      <c r="G3281" s="1">
        <f t="shared" si="1393"/>
        <v>44042</v>
      </c>
      <c r="H3281" s="2">
        <f t="shared" ca="1" si="1394"/>
        <v>211</v>
      </c>
      <c r="I3281" t="str">
        <f t="shared" si="1395"/>
        <v>USD</v>
      </c>
      <c r="J3281">
        <f t="shared" si="1396"/>
        <v>92.78</v>
      </c>
      <c r="K3281">
        <f t="shared" si="1397"/>
        <v>94.79</v>
      </c>
      <c r="L3281">
        <f t="shared" si="1398"/>
        <v>93.784999999999997</v>
      </c>
      <c r="M3281">
        <f t="shared" si="1399"/>
        <v>1.0050000000000026</v>
      </c>
      <c r="N3281">
        <f t="shared" si="1388"/>
        <v>2.0100000000000051</v>
      </c>
      <c r="O3281">
        <f t="shared" si="1400"/>
        <v>93.44</v>
      </c>
      <c r="P3281">
        <f t="shared" si="1401"/>
        <v>-0.34328358208955023</v>
      </c>
      <c r="Q3281" t="str">
        <f t="shared" si="1389"/>
        <v>0.71% | 1.44%</v>
      </c>
      <c r="R3281" t="str">
        <f t="shared" si="1402"/>
        <v>BEARISH</v>
      </c>
      <c r="S3281">
        <f t="shared" si="1390"/>
        <v>-1</v>
      </c>
    </row>
    <row r="3282" spans="1:19" hidden="1" x14ac:dyDescent="0.25">
      <c r="A3282" s="5" t="str">
        <f t="shared" si="1391"/>
        <v>44042EUR/USD</v>
      </c>
      <c r="B3282" s="6" t="s">
        <v>99</v>
      </c>
      <c r="C3282" s="6">
        <v>1.1499999999999999</v>
      </c>
      <c r="D3282" s="6">
        <v>1.18</v>
      </c>
      <c r="E3282" s="6">
        <v>1.17</v>
      </c>
      <c r="F3282" t="str">
        <f t="shared" si="1392"/>
        <v>THU</v>
      </c>
      <c r="G3282" s="1">
        <f t="shared" si="1393"/>
        <v>44042</v>
      </c>
      <c r="H3282" s="2">
        <f t="shared" ca="1" si="1394"/>
        <v>211</v>
      </c>
      <c r="I3282" t="str">
        <f t="shared" si="1395"/>
        <v>EUR/USD</v>
      </c>
      <c r="J3282">
        <f t="shared" si="1396"/>
        <v>1.1499999999999999</v>
      </c>
      <c r="K3282">
        <f t="shared" si="1397"/>
        <v>1.18</v>
      </c>
      <c r="L3282">
        <f t="shared" si="1398"/>
        <v>1.165</v>
      </c>
      <c r="M3282">
        <f t="shared" si="1399"/>
        <v>1.5000000000000013E-2</v>
      </c>
      <c r="N3282">
        <f t="shared" si="1388"/>
        <v>3.0000000000000027E-2</v>
      </c>
      <c r="O3282">
        <f t="shared" si="1400"/>
        <v>1.17</v>
      </c>
      <c r="P3282">
        <f t="shared" si="1401"/>
        <v>0.33333333333332593</v>
      </c>
      <c r="Q3282" t="str">
        <f t="shared" si="1389"/>
        <v>1.71% | 0.85%</v>
      </c>
      <c r="R3282" t="str">
        <f t="shared" si="1402"/>
        <v>BULLISH</v>
      </c>
      <c r="S3282">
        <f t="shared" si="1390"/>
        <v>1</v>
      </c>
    </row>
    <row r="3283" spans="1:19" hidden="1" x14ac:dyDescent="0.25">
      <c r="A3283" s="5" t="str">
        <f t="shared" si="1391"/>
        <v>44042USD/JPY</v>
      </c>
      <c r="B3283" s="6" t="s">
        <v>20</v>
      </c>
      <c r="C3283" s="6">
        <v>104.42</v>
      </c>
      <c r="D3283" s="6">
        <v>106.74</v>
      </c>
      <c r="E3283" s="6">
        <v>104.93</v>
      </c>
      <c r="F3283" t="str">
        <f t="shared" si="1392"/>
        <v>THU</v>
      </c>
      <c r="G3283" s="1">
        <f t="shared" si="1393"/>
        <v>44042</v>
      </c>
      <c r="H3283" s="2">
        <f t="shared" ca="1" si="1394"/>
        <v>211</v>
      </c>
      <c r="I3283" t="str">
        <f t="shared" si="1395"/>
        <v>USD/JPY</v>
      </c>
      <c r="J3283">
        <f t="shared" si="1396"/>
        <v>104.42</v>
      </c>
      <c r="K3283">
        <f t="shared" si="1397"/>
        <v>106.74</v>
      </c>
      <c r="L3283">
        <f t="shared" si="1398"/>
        <v>105.58</v>
      </c>
      <c r="M3283">
        <f t="shared" si="1399"/>
        <v>1.1599999999999966</v>
      </c>
      <c r="N3283">
        <f t="shared" si="1388"/>
        <v>2.3199999999999932</v>
      </c>
      <c r="O3283">
        <f t="shared" si="1400"/>
        <v>104.93</v>
      </c>
      <c r="P3283">
        <f t="shared" si="1401"/>
        <v>-0.56034482758620119</v>
      </c>
      <c r="Q3283" t="str">
        <f t="shared" si="1389"/>
        <v>0.49% | 1.72%</v>
      </c>
      <c r="R3283" t="str">
        <f t="shared" si="1402"/>
        <v>BEARISH</v>
      </c>
      <c r="S3283">
        <f t="shared" si="1390"/>
        <v>-1</v>
      </c>
    </row>
    <row r="3284" spans="1:19" hidden="1" x14ac:dyDescent="0.25">
      <c r="A3284" s="5" t="str">
        <f t="shared" si="1391"/>
        <v>44042GBP/USD</v>
      </c>
      <c r="B3284" s="6" t="s">
        <v>102</v>
      </c>
      <c r="C3284" s="6">
        <v>1.26</v>
      </c>
      <c r="D3284" s="6">
        <v>1.3</v>
      </c>
      <c r="E3284" s="6">
        <v>1.29</v>
      </c>
      <c r="F3284" t="str">
        <f t="shared" si="1392"/>
        <v>THU</v>
      </c>
      <c r="G3284" s="1">
        <f t="shared" si="1393"/>
        <v>44042</v>
      </c>
      <c r="H3284" s="2">
        <f t="shared" ca="1" si="1394"/>
        <v>211</v>
      </c>
      <c r="I3284" t="str">
        <f t="shared" si="1395"/>
        <v>GBP/USD</v>
      </c>
      <c r="J3284">
        <f t="shared" si="1396"/>
        <v>1.26</v>
      </c>
      <c r="K3284">
        <f t="shared" si="1397"/>
        <v>1.3</v>
      </c>
      <c r="L3284">
        <f t="shared" si="1398"/>
        <v>1.28</v>
      </c>
      <c r="M3284">
        <f t="shared" si="1399"/>
        <v>2.0000000000000018E-2</v>
      </c>
      <c r="N3284">
        <f t="shared" si="1388"/>
        <v>4.0000000000000036E-2</v>
      </c>
      <c r="O3284">
        <f t="shared" si="1400"/>
        <v>1.29</v>
      </c>
      <c r="P3284">
        <f t="shared" si="1401"/>
        <v>0.5</v>
      </c>
      <c r="Q3284" t="str">
        <f t="shared" si="1389"/>
        <v>2.33% | 0.78%</v>
      </c>
      <c r="R3284" t="str">
        <f t="shared" si="1402"/>
        <v>BULLISH</v>
      </c>
      <c r="S3284">
        <f t="shared" si="1390"/>
        <v>1</v>
      </c>
    </row>
    <row r="3285" spans="1:19" hidden="1" x14ac:dyDescent="0.25">
      <c r="A3285" s="5" t="str">
        <f t="shared" si="1391"/>
        <v>44042USD/CHF</v>
      </c>
      <c r="B3285" s="6" t="s">
        <v>76</v>
      </c>
      <c r="C3285" s="6">
        <v>0.91</v>
      </c>
      <c r="D3285" s="6">
        <v>0.93</v>
      </c>
      <c r="E3285" s="6">
        <v>0.91</v>
      </c>
      <c r="F3285" t="str">
        <f t="shared" si="1392"/>
        <v>THU</v>
      </c>
      <c r="G3285" s="1">
        <f t="shared" si="1393"/>
        <v>44042</v>
      </c>
      <c r="H3285" s="2">
        <f t="shared" ca="1" si="1394"/>
        <v>211</v>
      </c>
      <c r="I3285" t="str">
        <f t="shared" si="1395"/>
        <v>USD/CHF</v>
      </c>
      <c r="J3285">
        <f t="shared" si="1396"/>
        <v>0.91</v>
      </c>
      <c r="K3285">
        <f t="shared" si="1397"/>
        <v>0.93</v>
      </c>
      <c r="L3285">
        <f t="shared" si="1398"/>
        <v>0.92</v>
      </c>
      <c r="M3285">
        <f t="shared" si="1399"/>
        <v>1.0000000000000009E-2</v>
      </c>
      <c r="N3285">
        <f t="shared" si="1388"/>
        <v>2.0000000000000018E-2</v>
      </c>
      <c r="O3285">
        <f t="shared" si="1400"/>
        <v>0.91</v>
      </c>
      <c r="P3285">
        <f t="shared" si="1401"/>
        <v>-1</v>
      </c>
      <c r="Q3285" t="str">
        <f t="shared" si="1389"/>
        <v>0% | 2.2%</v>
      </c>
      <c r="R3285" t="str">
        <f t="shared" si="1402"/>
        <v>BEARISH</v>
      </c>
      <c r="S3285">
        <f t="shared" si="1390"/>
        <v>-1</v>
      </c>
    </row>
    <row r="3286" spans="1:19" hidden="1" x14ac:dyDescent="0.25">
      <c r="A3286" s="5" t="str">
        <f t="shared" si="1391"/>
        <v>44042WTIC</v>
      </c>
      <c r="B3286" s="6" t="s">
        <v>158</v>
      </c>
      <c r="C3286" s="6">
        <v>40.04</v>
      </c>
      <c r="D3286" s="6">
        <v>42.2</v>
      </c>
      <c r="E3286" s="6">
        <v>41.27</v>
      </c>
      <c r="F3286" t="str">
        <f t="shared" si="1392"/>
        <v>THU</v>
      </c>
      <c r="G3286" s="1">
        <f t="shared" si="1393"/>
        <v>44042</v>
      </c>
      <c r="H3286" s="2">
        <f t="shared" ca="1" si="1394"/>
        <v>211</v>
      </c>
      <c r="I3286" t="str">
        <f t="shared" si="1395"/>
        <v>WTIC</v>
      </c>
      <c r="J3286">
        <f t="shared" si="1396"/>
        <v>40.04</v>
      </c>
      <c r="K3286">
        <f t="shared" si="1397"/>
        <v>42.2</v>
      </c>
      <c r="L3286">
        <f t="shared" si="1398"/>
        <v>41.120000000000005</v>
      </c>
      <c r="M3286">
        <f t="shared" si="1399"/>
        <v>1.0800000000000018</v>
      </c>
      <c r="N3286">
        <f t="shared" si="1388"/>
        <v>2.1600000000000037</v>
      </c>
      <c r="O3286">
        <f t="shared" si="1400"/>
        <v>41.27</v>
      </c>
      <c r="P3286">
        <f t="shared" si="1401"/>
        <v>0.13888888888888734</v>
      </c>
      <c r="Q3286" t="str">
        <f t="shared" si="1389"/>
        <v>2.98% | 2.25%</v>
      </c>
      <c r="R3286" t="str">
        <f t="shared" si="1402"/>
        <v>BULLISH</v>
      </c>
      <c r="S3286">
        <f t="shared" si="1390"/>
        <v>1</v>
      </c>
    </row>
    <row r="3287" spans="1:19" hidden="1" x14ac:dyDescent="0.25">
      <c r="A3287" s="5" t="str">
        <f t="shared" si="1391"/>
        <v>44042NATGAS</v>
      </c>
      <c r="B3287" s="6" t="s">
        <v>89</v>
      </c>
      <c r="C3287" s="6">
        <v>1.6</v>
      </c>
      <c r="D3287" s="6">
        <v>1.99</v>
      </c>
      <c r="E3287" s="6">
        <v>1.93</v>
      </c>
      <c r="F3287" t="str">
        <f t="shared" si="1392"/>
        <v>THU</v>
      </c>
      <c r="G3287" s="1">
        <f t="shared" si="1393"/>
        <v>44042</v>
      </c>
      <c r="H3287" s="2">
        <f t="shared" ca="1" si="1394"/>
        <v>211</v>
      </c>
      <c r="I3287" t="str">
        <f t="shared" si="1395"/>
        <v>NATGAS</v>
      </c>
      <c r="J3287">
        <f t="shared" si="1396"/>
        <v>1.6</v>
      </c>
      <c r="K3287">
        <f t="shared" si="1397"/>
        <v>1.99</v>
      </c>
      <c r="L3287">
        <f t="shared" si="1398"/>
        <v>1.7949999999999999</v>
      </c>
      <c r="M3287">
        <f t="shared" si="1399"/>
        <v>0.19500000000000164</v>
      </c>
      <c r="N3287">
        <f t="shared" si="1388"/>
        <v>0.3899999999999999</v>
      </c>
      <c r="O3287">
        <f t="shared" si="1400"/>
        <v>1.93</v>
      </c>
      <c r="P3287">
        <f t="shared" si="1401"/>
        <v>0.69230769230768652</v>
      </c>
      <c r="Q3287" t="str">
        <f t="shared" si="1389"/>
        <v>17.1% | 3.11%</v>
      </c>
      <c r="R3287" t="str">
        <f t="shared" si="1402"/>
        <v>BULLISH</v>
      </c>
      <c r="S3287">
        <f t="shared" si="1390"/>
        <v>1</v>
      </c>
    </row>
    <row r="3288" spans="1:19" hidden="1" x14ac:dyDescent="0.25">
      <c r="A3288" s="5" t="str">
        <f t="shared" si="1391"/>
        <v>44042GOLD</v>
      </c>
      <c r="B3288" s="6" t="s">
        <v>25</v>
      </c>
      <c r="C3288" s="6">
        <v>1882</v>
      </c>
      <c r="D3288" s="6">
        <v>1985</v>
      </c>
      <c r="E3288" s="6">
        <v>1953</v>
      </c>
      <c r="F3288" t="str">
        <f t="shared" si="1392"/>
        <v>THU</v>
      </c>
      <c r="G3288" s="1">
        <f t="shared" si="1393"/>
        <v>44042</v>
      </c>
      <c r="H3288" s="2">
        <f t="shared" ca="1" si="1394"/>
        <v>211</v>
      </c>
      <c r="I3288" t="str">
        <f t="shared" si="1395"/>
        <v>GOLD</v>
      </c>
      <c r="J3288">
        <f t="shared" si="1396"/>
        <v>1882</v>
      </c>
      <c r="K3288">
        <f t="shared" si="1397"/>
        <v>1985</v>
      </c>
      <c r="L3288">
        <f t="shared" si="1398"/>
        <v>1933.5</v>
      </c>
      <c r="M3288">
        <f t="shared" si="1399"/>
        <v>51.5</v>
      </c>
      <c r="N3288">
        <f t="shared" si="1388"/>
        <v>103</v>
      </c>
      <c r="O3288">
        <f t="shared" si="1400"/>
        <v>1953</v>
      </c>
      <c r="P3288">
        <f t="shared" si="1401"/>
        <v>0.37864077669902912</v>
      </c>
      <c r="Q3288" t="str">
        <f t="shared" si="1389"/>
        <v>3.64% | 1.64%</v>
      </c>
      <c r="R3288" t="str">
        <f t="shared" si="1402"/>
        <v>BULLISH</v>
      </c>
      <c r="S3288">
        <f t="shared" si="1390"/>
        <v>1</v>
      </c>
    </row>
    <row r="3289" spans="1:19" hidden="1" x14ac:dyDescent="0.25">
      <c r="A3289" s="5" t="str">
        <f t="shared" si="1391"/>
        <v>44042COPPER</v>
      </c>
      <c r="B3289" s="6" t="s">
        <v>100</v>
      </c>
      <c r="C3289" s="6">
        <v>2.86</v>
      </c>
      <c r="D3289" s="6">
        <v>2.97</v>
      </c>
      <c r="E3289" s="6">
        <v>2.92</v>
      </c>
      <c r="F3289" t="str">
        <f t="shared" si="1392"/>
        <v>THU</v>
      </c>
      <c r="G3289" s="1">
        <f t="shared" si="1393"/>
        <v>44042</v>
      </c>
      <c r="H3289" s="2">
        <f t="shared" ca="1" si="1394"/>
        <v>211</v>
      </c>
      <c r="I3289" t="str">
        <f t="shared" si="1395"/>
        <v>COPPER</v>
      </c>
      <c r="J3289">
        <f t="shared" si="1396"/>
        <v>2.86</v>
      </c>
      <c r="K3289">
        <f t="shared" si="1397"/>
        <v>2.97</v>
      </c>
      <c r="L3289">
        <f t="shared" si="1398"/>
        <v>2.915</v>
      </c>
      <c r="M3289">
        <f t="shared" si="1399"/>
        <v>5.500000000000016E-2</v>
      </c>
      <c r="N3289">
        <f t="shared" si="1388"/>
        <v>0.11000000000000032</v>
      </c>
      <c r="O3289">
        <f t="shared" si="1400"/>
        <v>2.92</v>
      </c>
      <c r="P3289">
        <f t="shared" si="1401"/>
        <v>9.0909090909088705E-2</v>
      </c>
      <c r="Q3289" t="str">
        <f t="shared" si="1389"/>
        <v>2.05% | 1.71%</v>
      </c>
      <c r="R3289" t="str">
        <f t="shared" si="1402"/>
        <v>BULLISH</v>
      </c>
      <c r="S3289">
        <f t="shared" si="1390"/>
        <v>1</v>
      </c>
    </row>
    <row r="3290" spans="1:19" hidden="1" x14ac:dyDescent="0.25">
      <c r="A3290" s="5" t="str">
        <f t="shared" si="1391"/>
        <v>44042MSFT</v>
      </c>
      <c r="B3290" s="6" t="s">
        <v>27</v>
      </c>
      <c r="C3290" s="6">
        <v>197</v>
      </c>
      <c r="D3290" s="6">
        <v>213</v>
      </c>
      <c r="E3290" s="6">
        <v>204</v>
      </c>
      <c r="F3290" t="str">
        <f t="shared" si="1392"/>
        <v>THU</v>
      </c>
      <c r="G3290" s="1">
        <f t="shared" si="1393"/>
        <v>44042</v>
      </c>
      <c r="H3290" s="2">
        <f t="shared" ca="1" si="1394"/>
        <v>211</v>
      </c>
      <c r="I3290" t="str">
        <f t="shared" si="1395"/>
        <v>MSFT</v>
      </c>
      <c r="J3290">
        <f t="shared" si="1396"/>
        <v>197</v>
      </c>
      <c r="K3290">
        <f t="shared" si="1397"/>
        <v>213</v>
      </c>
      <c r="L3290">
        <f t="shared" si="1398"/>
        <v>205</v>
      </c>
      <c r="M3290">
        <f t="shared" si="1399"/>
        <v>8</v>
      </c>
      <c r="N3290">
        <f t="shared" si="1388"/>
        <v>16</v>
      </c>
      <c r="O3290">
        <f t="shared" si="1400"/>
        <v>204</v>
      </c>
      <c r="P3290">
        <f t="shared" si="1401"/>
        <v>-0.125</v>
      </c>
      <c r="Q3290" t="str">
        <f t="shared" si="1389"/>
        <v>3.43% | 4.41%</v>
      </c>
      <c r="R3290" t="str">
        <f t="shared" si="1402"/>
        <v>BULLISH</v>
      </c>
      <c r="S3290">
        <f t="shared" si="1390"/>
        <v>1</v>
      </c>
    </row>
    <row r="3291" spans="1:19" hidden="1" x14ac:dyDescent="0.25">
      <c r="A3291" s="5" t="str">
        <f t="shared" si="1391"/>
        <v>44042AAPL</v>
      </c>
      <c r="B3291" s="6" t="s">
        <v>28</v>
      </c>
      <c r="C3291" s="6">
        <v>363</v>
      </c>
      <c r="D3291" s="6">
        <v>400</v>
      </c>
      <c r="E3291" s="6">
        <v>380</v>
      </c>
      <c r="F3291" t="str">
        <f t="shared" si="1392"/>
        <v>THU</v>
      </c>
      <c r="G3291" s="1">
        <f t="shared" si="1393"/>
        <v>44042</v>
      </c>
      <c r="H3291" s="2">
        <f t="shared" ca="1" si="1394"/>
        <v>211</v>
      </c>
      <c r="I3291" t="str">
        <f t="shared" si="1395"/>
        <v>AAPL</v>
      </c>
      <c r="J3291">
        <f t="shared" si="1396"/>
        <v>363</v>
      </c>
      <c r="K3291">
        <f t="shared" si="1397"/>
        <v>400</v>
      </c>
      <c r="L3291">
        <f t="shared" si="1398"/>
        <v>381.5</v>
      </c>
      <c r="M3291">
        <f t="shared" si="1399"/>
        <v>18.5</v>
      </c>
      <c r="N3291">
        <f t="shared" si="1388"/>
        <v>37</v>
      </c>
      <c r="O3291">
        <f t="shared" si="1400"/>
        <v>380</v>
      </c>
      <c r="P3291">
        <f t="shared" si="1401"/>
        <v>-8.1081081081081086E-2</v>
      </c>
      <c r="Q3291" t="str">
        <f t="shared" si="1389"/>
        <v>4.47% | 5.26%</v>
      </c>
      <c r="R3291" t="str">
        <f t="shared" si="1402"/>
        <v>BULLISH</v>
      </c>
      <c r="S3291">
        <f t="shared" si="1390"/>
        <v>1</v>
      </c>
    </row>
    <row r="3292" spans="1:19" hidden="1" x14ac:dyDescent="0.25">
      <c r="A3292" s="5" t="str">
        <f t="shared" si="1391"/>
        <v>44042AMZN</v>
      </c>
      <c r="B3292" s="6" t="s">
        <v>29</v>
      </c>
      <c r="C3292" s="6">
        <v>2902</v>
      </c>
      <c r="D3292" s="6">
        <v>3200</v>
      </c>
      <c r="E3292" s="6">
        <v>3033</v>
      </c>
      <c r="F3292" t="str">
        <f t="shared" si="1392"/>
        <v>THU</v>
      </c>
      <c r="G3292" s="1">
        <f t="shared" si="1393"/>
        <v>44042</v>
      </c>
      <c r="H3292" s="2">
        <f t="shared" ca="1" si="1394"/>
        <v>211</v>
      </c>
      <c r="I3292" t="str">
        <f t="shared" si="1395"/>
        <v>AMZN</v>
      </c>
      <c r="J3292">
        <f t="shared" si="1396"/>
        <v>2902</v>
      </c>
      <c r="K3292">
        <f t="shared" si="1397"/>
        <v>3200</v>
      </c>
      <c r="L3292">
        <f t="shared" si="1398"/>
        <v>3051</v>
      </c>
      <c r="M3292">
        <f t="shared" si="1399"/>
        <v>149</v>
      </c>
      <c r="N3292">
        <f t="shared" si="1388"/>
        <v>298</v>
      </c>
      <c r="O3292">
        <f t="shared" si="1400"/>
        <v>3033</v>
      </c>
      <c r="P3292">
        <f t="shared" si="1401"/>
        <v>-0.12080536912751678</v>
      </c>
      <c r="Q3292" t="str">
        <f t="shared" si="1389"/>
        <v>4.32% | 5.51%</v>
      </c>
      <c r="R3292" t="str">
        <f t="shared" si="1402"/>
        <v>BULLISH</v>
      </c>
      <c r="S3292">
        <f t="shared" si="1390"/>
        <v>1</v>
      </c>
    </row>
    <row r="3293" spans="1:19" hidden="1" x14ac:dyDescent="0.25">
      <c r="A3293" s="5" t="str">
        <f t="shared" si="1391"/>
        <v>44042FB</v>
      </c>
      <c r="B3293" s="6" t="s">
        <v>30</v>
      </c>
      <c r="C3293" s="6">
        <v>222</v>
      </c>
      <c r="D3293" s="6">
        <v>247</v>
      </c>
      <c r="E3293" s="6">
        <v>233</v>
      </c>
      <c r="F3293" t="str">
        <f t="shared" si="1392"/>
        <v>THU</v>
      </c>
      <c r="G3293" s="1">
        <f t="shared" si="1393"/>
        <v>44042</v>
      </c>
      <c r="H3293" s="2">
        <f t="shared" ca="1" si="1394"/>
        <v>211</v>
      </c>
      <c r="I3293" t="str">
        <f t="shared" si="1395"/>
        <v>FB</v>
      </c>
      <c r="J3293">
        <f t="shared" si="1396"/>
        <v>222</v>
      </c>
      <c r="K3293">
        <f t="shared" si="1397"/>
        <v>247</v>
      </c>
      <c r="L3293">
        <f t="shared" si="1398"/>
        <v>234.5</v>
      </c>
      <c r="M3293">
        <f t="shared" si="1399"/>
        <v>12.5</v>
      </c>
      <c r="N3293">
        <f t="shared" si="1388"/>
        <v>25</v>
      </c>
      <c r="O3293">
        <f t="shared" si="1400"/>
        <v>233</v>
      </c>
      <c r="P3293">
        <f t="shared" si="1401"/>
        <v>-0.12</v>
      </c>
      <c r="Q3293" t="str">
        <f t="shared" si="1389"/>
        <v>4.72% | 6.01%</v>
      </c>
      <c r="R3293" t="str">
        <f t="shared" si="1402"/>
        <v>BULLISH</v>
      </c>
      <c r="S3293">
        <f t="shared" si="1390"/>
        <v>1</v>
      </c>
    </row>
    <row r="3294" spans="1:19" hidden="1" x14ac:dyDescent="0.25">
      <c r="A3294" s="5" t="str">
        <f t="shared" si="1391"/>
        <v>44042GOOGL</v>
      </c>
      <c r="B3294" s="6" t="s">
        <v>31</v>
      </c>
      <c r="C3294" s="6">
        <v>1484</v>
      </c>
      <c r="D3294" s="6">
        <v>1578</v>
      </c>
      <c r="E3294" s="6">
        <v>1523</v>
      </c>
      <c r="F3294" t="str">
        <f t="shared" si="1392"/>
        <v>THU</v>
      </c>
      <c r="G3294" s="1">
        <f t="shared" si="1393"/>
        <v>44042</v>
      </c>
      <c r="H3294" s="2">
        <f t="shared" ca="1" si="1394"/>
        <v>211</v>
      </c>
      <c r="I3294" t="str">
        <f t="shared" si="1395"/>
        <v>GOOGL</v>
      </c>
      <c r="J3294">
        <f t="shared" si="1396"/>
        <v>1484</v>
      </c>
      <c r="K3294">
        <f t="shared" si="1397"/>
        <v>1578</v>
      </c>
      <c r="L3294">
        <f t="shared" si="1398"/>
        <v>1531</v>
      </c>
      <c r="M3294">
        <f t="shared" si="1399"/>
        <v>47</v>
      </c>
      <c r="N3294">
        <f t="shared" si="1388"/>
        <v>94</v>
      </c>
      <c r="O3294">
        <f t="shared" si="1400"/>
        <v>1523</v>
      </c>
      <c r="P3294">
        <f t="shared" si="1401"/>
        <v>-0.1702127659574468</v>
      </c>
      <c r="Q3294" t="str">
        <f t="shared" si="1389"/>
        <v>2.56% | 3.61%</v>
      </c>
      <c r="R3294" t="str">
        <f t="shared" si="1402"/>
        <v>BULLISH</v>
      </c>
      <c r="S3294">
        <f t="shared" si="1390"/>
        <v>1</v>
      </c>
    </row>
    <row r="3295" spans="1:19" hidden="1" x14ac:dyDescent="0.25">
      <c r="A3295" s="5" t="str">
        <f t="shared" si="1391"/>
        <v>44042NFLX</v>
      </c>
      <c r="B3295" s="6" t="s">
        <v>70</v>
      </c>
      <c r="C3295" s="6">
        <v>469</v>
      </c>
      <c r="D3295" s="6">
        <v>510</v>
      </c>
      <c r="E3295" s="6">
        <v>484</v>
      </c>
      <c r="F3295" t="str">
        <f t="shared" si="1392"/>
        <v>THU</v>
      </c>
      <c r="G3295" s="1">
        <f t="shared" si="1393"/>
        <v>44042</v>
      </c>
      <c r="H3295" s="2">
        <f t="shared" ca="1" si="1394"/>
        <v>211</v>
      </c>
      <c r="I3295" t="str">
        <f t="shared" si="1395"/>
        <v>NFLX</v>
      </c>
      <c r="J3295">
        <f t="shared" si="1396"/>
        <v>469</v>
      </c>
      <c r="K3295">
        <f t="shared" si="1397"/>
        <v>510</v>
      </c>
      <c r="L3295">
        <f t="shared" si="1398"/>
        <v>489.5</v>
      </c>
      <c r="M3295">
        <f t="shared" si="1399"/>
        <v>20.5</v>
      </c>
      <c r="N3295">
        <f t="shared" si="1388"/>
        <v>41</v>
      </c>
      <c r="O3295">
        <f t="shared" si="1400"/>
        <v>484</v>
      </c>
      <c r="P3295">
        <f t="shared" si="1401"/>
        <v>-0.26829268292682928</v>
      </c>
      <c r="Q3295" t="str">
        <f t="shared" si="1389"/>
        <v>3.1% | 5.37%</v>
      </c>
      <c r="R3295" t="str">
        <f t="shared" si="1402"/>
        <v>NEUTRAL</v>
      </c>
      <c r="S3295">
        <f t="shared" si="1390"/>
        <v>0</v>
      </c>
    </row>
    <row r="3296" spans="1:19" x14ac:dyDescent="0.25">
      <c r="A3296" s="5" t="str">
        <f t="shared" si="1391"/>
        <v>44042TSLA</v>
      </c>
      <c r="B3296" s="6" t="s">
        <v>33</v>
      </c>
      <c r="C3296" s="6">
        <v>1400</v>
      </c>
      <c r="D3296" s="6">
        <v>1656</v>
      </c>
      <c r="E3296" s="6">
        <v>1499</v>
      </c>
      <c r="F3296" t="str">
        <f t="shared" si="1392"/>
        <v>THU</v>
      </c>
      <c r="G3296" s="1">
        <f t="shared" si="1393"/>
        <v>44042</v>
      </c>
      <c r="H3296" s="2">
        <f t="shared" ca="1" si="1394"/>
        <v>211</v>
      </c>
      <c r="I3296" t="str">
        <f t="shared" si="1395"/>
        <v>TSLA</v>
      </c>
      <c r="J3296">
        <f t="shared" si="1396"/>
        <v>1400</v>
      </c>
      <c r="K3296">
        <f t="shared" si="1397"/>
        <v>1656</v>
      </c>
      <c r="L3296">
        <f t="shared" si="1398"/>
        <v>1528</v>
      </c>
      <c r="M3296">
        <f t="shared" si="1399"/>
        <v>128</v>
      </c>
      <c r="N3296">
        <f t="shared" si="1388"/>
        <v>256</v>
      </c>
      <c r="O3296">
        <f t="shared" si="1400"/>
        <v>1499</v>
      </c>
      <c r="P3296">
        <f t="shared" si="1401"/>
        <v>-0.2265625</v>
      </c>
      <c r="Q3296" t="str">
        <f t="shared" si="1389"/>
        <v>6.6% | 10.47%</v>
      </c>
      <c r="R3296" t="str">
        <f t="shared" si="1402"/>
        <v>BULLISH</v>
      </c>
      <c r="S3296">
        <f t="shared" si="1390"/>
        <v>1</v>
      </c>
    </row>
    <row r="3297" spans="1:19" hidden="1" x14ac:dyDescent="0.25">
      <c r="A3297" s="5" t="str">
        <f t="shared" si="1391"/>
        <v>44042NYXBT</v>
      </c>
      <c r="B3297" s="6" t="s">
        <v>60</v>
      </c>
      <c r="C3297" s="6">
        <v>9866</v>
      </c>
      <c r="D3297" s="6">
        <v>11433</v>
      </c>
      <c r="E3297" s="6">
        <v>11199</v>
      </c>
      <c r="F3297" t="str">
        <f t="shared" si="1392"/>
        <v>THU</v>
      </c>
      <c r="G3297" s="1">
        <f t="shared" si="1393"/>
        <v>44042</v>
      </c>
      <c r="H3297" s="2">
        <f t="shared" ca="1" si="1394"/>
        <v>211</v>
      </c>
      <c r="I3297" t="str">
        <f t="shared" si="1395"/>
        <v>NYXBT</v>
      </c>
      <c r="J3297">
        <f t="shared" si="1396"/>
        <v>9866</v>
      </c>
      <c r="K3297">
        <f t="shared" si="1397"/>
        <v>11433</v>
      </c>
      <c r="L3297">
        <f t="shared" si="1398"/>
        <v>10649.5</v>
      </c>
      <c r="M3297">
        <f t="shared" si="1399"/>
        <v>783.5</v>
      </c>
      <c r="N3297">
        <f t="shared" si="1388"/>
        <v>1567</v>
      </c>
      <c r="O3297">
        <f t="shared" si="1400"/>
        <v>11199</v>
      </c>
      <c r="P3297">
        <f t="shared" si="1401"/>
        <v>0.70134014039566051</v>
      </c>
      <c r="Q3297" t="str">
        <f t="shared" si="1389"/>
        <v>11.9% | 2.09%</v>
      </c>
      <c r="R3297" t="str">
        <f t="shared" si="1402"/>
        <v>BULLISH</v>
      </c>
      <c r="S3297">
        <f t="shared" si="1390"/>
        <v>1</v>
      </c>
    </row>
    <row r="3298" spans="1:19" hidden="1" x14ac:dyDescent="0.25">
      <c r="A3298" s="5" t="str">
        <f t="shared" si="1391"/>
        <v>44043UST10Y</v>
      </c>
      <c r="B3298" s="6" t="s">
        <v>4</v>
      </c>
      <c r="C3298" s="6">
        <v>0.61</v>
      </c>
      <c r="D3298" s="6">
        <v>0.51</v>
      </c>
      <c r="E3298" s="6">
        <v>0.55000000000000004</v>
      </c>
      <c r="F3298" t="str">
        <f t="shared" si="1392"/>
        <v>FRI</v>
      </c>
      <c r="G3298" s="3">
        <f>DATE(2020,7,31)</f>
        <v>44043</v>
      </c>
      <c r="H3298" s="2">
        <f t="shared" ca="1" si="1394"/>
        <v>210</v>
      </c>
      <c r="I3298" t="str">
        <f t="shared" si="1395"/>
        <v>UST10Y</v>
      </c>
      <c r="J3298">
        <f t="shared" si="1396"/>
        <v>0.61</v>
      </c>
      <c r="K3298">
        <f t="shared" si="1397"/>
        <v>0.51</v>
      </c>
      <c r="L3298">
        <f t="shared" si="1398"/>
        <v>0.56000000000000005</v>
      </c>
      <c r="M3298">
        <f t="shared" si="1399"/>
        <v>4.9999999999999989E-2</v>
      </c>
      <c r="N3298">
        <f t="shared" si="1388"/>
        <v>9.9999999999999978E-2</v>
      </c>
      <c r="O3298">
        <f t="shared" si="1400"/>
        <v>0.55000000000000004</v>
      </c>
      <c r="P3298">
        <f t="shared" si="1401"/>
        <v>-0.20000000000000023</v>
      </c>
      <c r="Q3298" t="str">
        <f t="shared" si="1389"/>
        <v>10.91% | 7.27%</v>
      </c>
      <c r="R3298" t="str">
        <f t="shared" si="1402"/>
        <v>BEARISH</v>
      </c>
      <c r="S3298">
        <f t="shared" si="1390"/>
        <v>-1</v>
      </c>
    </row>
    <row r="3299" spans="1:19" hidden="1" x14ac:dyDescent="0.25">
      <c r="A3299" s="5" t="str">
        <f t="shared" si="1391"/>
        <v>44043UST2Y</v>
      </c>
      <c r="B3299" s="6" t="s">
        <v>5</v>
      </c>
      <c r="C3299" s="6">
        <v>0.15</v>
      </c>
      <c r="D3299" s="6">
        <v>0.1</v>
      </c>
      <c r="E3299" s="6">
        <v>0.11</v>
      </c>
      <c r="F3299" t="str">
        <f t="shared" ref="F3299:F3328" si="1403">UPPER(TEXT(G3299,"ddd"))</f>
        <v>FRI</v>
      </c>
      <c r="G3299" s="3">
        <f t="shared" ref="G3299:G3327" si="1404">DATE(2020,7,31)</f>
        <v>44043</v>
      </c>
      <c r="H3299" s="2">
        <f t="shared" ref="H3299:H3328" ca="1" si="1405">TODAY()-G3299</f>
        <v>210</v>
      </c>
      <c r="I3299" t="str">
        <f t="shared" ref="I3299:I3328" si="1406">TRIM(LEFT(B3299,FIND(" ",B3299,1)))</f>
        <v>UST2Y</v>
      </c>
      <c r="J3299">
        <f t="shared" ref="J3299:J3328" si="1407">C3299</f>
        <v>0.15</v>
      </c>
      <c r="K3299">
        <f t="shared" ref="K3299:K3328" si="1408">D3299</f>
        <v>0.1</v>
      </c>
      <c r="L3299">
        <f t="shared" ref="L3299:L3328" si="1409">AVERAGE(J3299:K3299)</f>
        <v>0.125</v>
      </c>
      <c r="M3299">
        <f t="shared" ref="M3299:M3328" si="1410">_xlfn.STDEV.P(J3299:K3299)</f>
        <v>2.5000000000000012E-2</v>
      </c>
      <c r="N3299">
        <f t="shared" si="1388"/>
        <v>4.9999999999999989E-2</v>
      </c>
      <c r="O3299">
        <f t="shared" ref="O3299:O3328" si="1411">E3299</f>
        <v>0.11</v>
      </c>
      <c r="P3299">
        <f t="shared" ref="P3299:P3328" si="1412">(O3299-L3299)/M3299</f>
        <v>-0.59999999999999964</v>
      </c>
      <c r="Q3299" t="str">
        <f t="shared" si="1389"/>
        <v>36.36% | 9.09%</v>
      </c>
      <c r="R3299" t="str">
        <f t="shared" ref="R3299:R3328" si="1413">MID(B3299,FIND("(",B3299,1)+1,FIND(")",B3299,1)-FIND("(",B3299,1)-1)</f>
        <v>BEARISH</v>
      </c>
      <c r="S3299">
        <f t="shared" si="1390"/>
        <v>-1</v>
      </c>
    </row>
    <row r="3300" spans="1:19" hidden="1" x14ac:dyDescent="0.25">
      <c r="A3300" s="5" t="str">
        <f t="shared" si="1391"/>
        <v>44043SPX</v>
      </c>
      <c r="B3300" s="6" t="s">
        <v>93</v>
      </c>
      <c r="C3300" s="6">
        <v>3201</v>
      </c>
      <c r="D3300" s="6">
        <v>3282</v>
      </c>
      <c r="E3300" s="6">
        <v>3246</v>
      </c>
      <c r="F3300" t="str">
        <f t="shared" si="1403"/>
        <v>FRI</v>
      </c>
      <c r="G3300" s="3">
        <f t="shared" si="1404"/>
        <v>44043</v>
      </c>
      <c r="H3300" s="2">
        <f t="shared" ca="1" si="1405"/>
        <v>210</v>
      </c>
      <c r="I3300" t="str">
        <f t="shared" si="1406"/>
        <v>SPX</v>
      </c>
      <c r="J3300">
        <f t="shared" si="1407"/>
        <v>3201</v>
      </c>
      <c r="K3300">
        <f t="shared" si="1408"/>
        <v>3282</v>
      </c>
      <c r="L3300">
        <f t="shared" si="1409"/>
        <v>3241.5</v>
      </c>
      <c r="M3300">
        <f t="shared" si="1410"/>
        <v>40.5</v>
      </c>
      <c r="N3300">
        <f t="shared" si="1388"/>
        <v>81</v>
      </c>
      <c r="O3300">
        <f t="shared" si="1411"/>
        <v>3246</v>
      </c>
      <c r="P3300">
        <f t="shared" si="1412"/>
        <v>0.1111111111111111</v>
      </c>
      <c r="Q3300" t="str">
        <f t="shared" si="1389"/>
        <v>1.39% | 1.11%</v>
      </c>
      <c r="R3300" t="str">
        <f t="shared" si="1413"/>
        <v>BULLISH</v>
      </c>
      <c r="S3300">
        <f t="shared" si="1390"/>
        <v>1</v>
      </c>
    </row>
    <row r="3301" spans="1:19" hidden="1" x14ac:dyDescent="0.25">
      <c r="A3301" s="5" t="str">
        <f t="shared" si="1391"/>
        <v>44043RUT</v>
      </c>
      <c r="B3301" s="6" t="s">
        <v>7</v>
      </c>
      <c r="C3301" s="6">
        <v>1450</v>
      </c>
      <c r="D3301" s="6">
        <v>1506</v>
      </c>
      <c r="E3301" s="6">
        <v>1495</v>
      </c>
      <c r="F3301" t="str">
        <f t="shared" si="1403"/>
        <v>FRI</v>
      </c>
      <c r="G3301" s="3">
        <f t="shared" si="1404"/>
        <v>44043</v>
      </c>
      <c r="H3301" s="2">
        <f t="shared" ca="1" si="1405"/>
        <v>210</v>
      </c>
      <c r="I3301" t="str">
        <f t="shared" si="1406"/>
        <v>RUT</v>
      </c>
      <c r="J3301">
        <f t="shared" si="1407"/>
        <v>1450</v>
      </c>
      <c r="K3301">
        <f t="shared" si="1408"/>
        <v>1506</v>
      </c>
      <c r="L3301">
        <f t="shared" si="1409"/>
        <v>1478</v>
      </c>
      <c r="M3301">
        <f t="shared" si="1410"/>
        <v>28</v>
      </c>
      <c r="N3301">
        <f t="shared" si="1388"/>
        <v>56</v>
      </c>
      <c r="O3301">
        <f t="shared" si="1411"/>
        <v>1495</v>
      </c>
      <c r="P3301">
        <f t="shared" si="1412"/>
        <v>0.6071428571428571</v>
      </c>
      <c r="Q3301" t="str">
        <f t="shared" si="1389"/>
        <v>3.01% | 0.74%</v>
      </c>
      <c r="R3301" t="str">
        <f t="shared" si="1413"/>
        <v>BEARISH</v>
      </c>
      <c r="S3301">
        <f t="shared" si="1390"/>
        <v>-1</v>
      </c>
    </row>
    <row r="3302" spans="1:19" hidden="1" x14ac:dyDescent="0.25">
      <c r="A3302" s="5" t="str">
        <f t="shared" si="1391"/>
        <v>44043COMPQ</v>
      </c>
      <c r="B3302" s="6" t="s">
        <v>8</v>
      </c>
      <c r="C3302" s="6">
        <v>10289</v>
      </c>
      <c r="D3302" s="6">
        <v>10832</v>
      </c>
      <c r="E3302" s="6">
        <v>10587</v>
      </c>
      <c r="F3302" t="str">
        <f t="shared" si="1403"/>
        <v>FRI</v>
      </c>
      <c r="G3302" s="3">
        <f t="shared" si="1404"/>
        <v>44043</v>
      </c>
      <c r="H3302" s="2">
        <f t="shared" ca="1" si="1405"/>
        <v>210</v>
      </c>
      <c r="I3302" t="str">
        <f t="shared" si="1406"/>
        <v>COMPQ</v>
      </c>
      <c r="J3302">
        <f t="shared" si="1407"/>
        <v>10289</v>
      </c>
      <c r="K3302">
        <f t="shared" si="1408"/>
        <v>10832</v>
      </c>
      <c r="L3302">
        <f t="shared" si="1409"/>
        <v>10560.5</v>
      </c>
      <c r="M3302">
        <f t="shared" si="1410"/>
        <v>271.5</v>
      </c>
      <c r="N3302">
        <f t="shared" si="1388"/>
        <v>543</v>
      </c>
      <c r="O3302">
        <f t="shared" si="1411"/>
        <v>10587</v>
      </c>
      <c r="P3302">
        <f t="shared" si="1412"/>
        <v>9.7605893186003684E-2</v>
      </c>
      <c r="Q3302" t="str">
        <f t="shared" si="1389"/>
        <v>2.81% | 2.31%</v>
      </c>
      <c r="R3302" t="str">
        <f t="shared" si="1413"/>
        <v>BULLISH</v>
      </c>
      <c r="S3302">
        <f t="shared" si="1390"/>
        <v>1</v>
      </c>
    </row>
    <row r="3303" spans="1:19" hidden="1" x14ac:dyDescent="0.25">
      <c r="A3303" s="5" t="str">
        <f t="shared" si="1391"/>
        <v>44043XLK</v>
      </c>
      <c r="B3303" s="6" t="s">
        <v>10</v>
      </c>
      <c r="C3303" s="6">
        <v>104.38</v>
      </c>
      <c r="D3303" s="6">
        <v>110.57</v>
      </c>
      <c r="E3303" s="6">
        <v>107.74</v>
      </c>
      <c r="F3303" t="str">
        <f t="shared" si="1403"/>
        <v>FRI</v>
      </c>
      <c r="G3303" s="3">
        <f t="shared" si="1404"/>
        <v>44043</v>
      </c>
      <c r="H3303" s="2">
        <f t="shared" ca="1" si="1405"/>
        <v>210</v>
      </c>
      <c r="I3303" t="str">
        <f t="shared" si="1406"/>
        <v>XLK</v>
      </c>
      <c r="J3303">
        <f t="shared" si="1407"/>
        <v>104.38</v>
      </c>
      <c r="K3303">
        <f t="shared" si="1408"/>
        <v>110.57</v>
      </c>
      <c r="L3303">
        <f t="shared" si="1409"/>
        <v>107.47499999999999</v>
      </c>
      <c r="M3303">
        <f t="shared" si="1410"/>
        <v>3.0949999999999989</v>
      </c>
      <c r="N3303">
        <f t="shared" si="1388"/>
        <v>6.1899999999999977</v>
      </c>
      <c r="O3303">
        <f t="shared" si="1411"/>
        <v>107.74</v>
      </c>
      <c r="P3303">
        <f t="shared" si="1412"/>
        <v>8.5621970920840285E-2</v>
      </c>
      <c r="Q3303" t="str">
        <f t="shared" si="1389"/>
        <v>3.12% | 2.63%</v>
      </c>
      <c r="R3303" t="str">
        <f t="shared" si="1413"/>
        <v>BULLISH</v>
      </c>
      <c r="S3303">
        <f t="shared" si="1390"/>
        <v>1</v>
      </c>
    </row>
    <row r="3304" spans="1:19" hidden="1" x14ac:dyDescent="0.25">
      <c r="A3304" s="5" t="str">
        <f t="shared" si="1391"/>
        <v>44043XLRE</v>
      </c>
      <c r="B3304" s="6" t="s">
        <v>97</v>
      </c>
      <c r="C3304" s="6">
        <v>34.020000000000003</v>
      </c>
      <c r="D3304" s="6">
        <v>36.99</v>
      </c>
      <c r="E3304" s="6">
        <v>36.299999999999997</v>
      </c>
      <c r="F3304" t="str">
        <f t="shared" si="1403"/>
        <v>FRI</v>
      </c>
      <c r="G3304" s="3">
        <f t="shared" si="1404"/>
        <v>44043</v>
      </c>
      <c r="H3304" s="2">
        <f t="shared" ca="1" si="1405"/>
        <v>210</v>
      </c>
      <c r="I3304" t="str">
        <f t="shared" si="1406"/>
        <v>XLRE</v>
      </c>
      <c r="J3304">
        <f t="shared" si="1407"/>
        <v>34.020000000000003</v>
      </c>
      <c r="K3304">
        <f t="shared" si="1408"/>
        <v>36.99</v>
      </c>
      <c r="L3304">
        <f t="shared" si="1409"/>
        <v>35.505000000000003</v>
      </c>
      <c r="M3304">
        <f t="shared" si="1410"/>
        <v>1.4849999999999994</v>
      </c>
      <c r="N3304">
        <f t="shared" si="1388"/>
        <v>2.9699999999999989</v>
      </c>
      <c r="O3304">
        <f t="shared" si="1411"/>
        <v>36.299999999999997</v>
      </c>
      <c r="P3304">
        <f t="shared" si="1412"/>
        <v>0.53535353535353192</v>
      </c>
      <c r="Q3304" t="str">
        <f t="shared" si="1389"/>
        <v>6.28% | 1.9%</v>
      </c>
      <c r="R3304" t="str">
        <f t="shared" si="1413"/>
        <v>BULLISH</v>
      </c>
      <c r="S3304">
        <f t="shared" si="1390"/>
        <v>1</v>
      </c>
    </row>
    <row r="3305" spans="1:19" hidden="1" x14ac:dyDescent="0.25">
      <c r="A3305" s="5" t="str">
        <f t="shared" si="1391"/>
        <v>44043XLU</v>
      </c>
      <c r="B3305" s="6" t="s">
        <v>52</v>
      </c>
      <c r="C3305" s="6">
        <v>59.05</v>
      </c>
      <c r="D3305" s="6">
        <v>61.4</v>
      </c>
      <c r="E3305" s="6">
        <v>60.73</v>
      </c>
      <c r="F3305" t="str">
        <f t="shared" si="1403"/>
        <v>FRI</v>
      </c>
      <c r="G3305" s="3">
        <f t="shared" si="1404"/>
        <v>44043</v>
      </c>
      <c r="H3305" s="2">
        <f t="shared" ca="1" si="1405"/>
        <v>210</v>
      </c>
      <c r="I3305" t="str">
        <f t="shared" si="1406"/>
        <v>XLU</v>
      </c>
      <c r="J3305">
        <f t="shared" si="1407"/>
        <v>59.05</v>
      </c>
      <c r="K3305">
        <f t="shared" si="1408"/>
        <v>61.4</v>
      </c>
      <c r="L3305">
        <f t="shared" si="1409"/>
        <v>60.224999999999994</v>
      </c>
      <c r="M3305">
        <f t="shared" si="1410"/>
        <v>1.1750000000000007</v>
      </c>
      <c r="N3305">
        <f t="shared" si="1388"/>
        <v>2.3500000000000014</v>
      </c>
      <c r="O3305">
        <f t="shared" si="1411"/>
        <v>60.73</v>
      </c>
      <c r="P3305">
        <f t="shared" si="1412"/>
        <v>0.42978723404255509</v>
      </c>
      <c r="Q3305" t="str">
        <f t="shared" si="1389"/>
        <v>2.77% | 1.1%</v>
      </c>
      <c r="R3305" t="str">
        <f t="shared" si="1413"/>
        <v>BULLISH</v>
      </c>
      <c r="S3305">
        <f t="shared" si="1390"/>
        <v>1</v>
      </c>
    </row>
    <row r="3306" spans="1:19" hidden="1" x14ac:dyDescent="0.25">
      <c r="A3306" s="5" t="str">
        <f t="shared" si="1391"/>
        <v>44043XLF</v>
      </c>
      <c r="B3306" s="6" t="s">
        <v>12</v>
      </c>
      <c r="C3306" s="6">
        <v>22.99</v>
      </c>
      <c r="D3306" s="6">
        <v>24.66</v>
      </c>
      <c r="E3306" s="6">
        <v>24.02</v>
      </c>
      <c r="F3306" t="str">
        <f t="shared" si="1403"/>
        <v>FRI</v>
      </c>
      <c r="G3306" s="3">
        <f t="shared" si="1404"/>
        <v>44043</v>
      </c>
      <c r="H3306" s="2">
        <f t="shared" ca="1" si="1405"/>
        <v>210</v>
      </c>
      <c r="I3306" t="str">
        <f t="shared" si="1406"/>
        <v>XLF</v>
      </c>
      <c r="J3306">
        <f t="shared" si="1407"/>
        <v>22.99</v>
      </c>
      <c r="K3306">
        <f t="shared" si="1408"/>
        <v>24.66</v>
      </c>
      <c r="L3306">
        <f t="shared" si="1409"/>
        <v>23.824999999999999</v>
      </c>
      <c r="M3306">
        <f t="shared" si="1410"/>
        <v>0.83500000000000085</v>
      </c>
      <c r="N3306">
        <f t="shared" si="1388"/>
        <v>1.6700000000000017</v>
      </c>
      <c r="O3306">
        <f t="shared" si="1411"/>
        <v>24.02</v>
      </c>
      <c r="P3306">
        <f t="shared" si="1412"/>
        <v>0.23353293413173662</v>
      </c>
      <c r="Q3306" t="str">
        <f t="shared" si="1389"/>
        <v>4.29% | 2.66%</v>
      </c>
      <c r="R3306" t="str">
        <f t="shared" si="1413"/>
        <v>BEARISH</v>
      </c>
      <c r="S3306">
        <f t="shared" si="1390"/>
        <v>-1</v>
      </c>
    </row>
    <row r="3307" spans="1:19" hidden="1" x14ac:dyDescent="0.25">
      <c r="A3307" s="5" t="str">
        <f t="shared" si="1391"/>
        <v>44043SSEC</v>
      </c>
      <c r="B3307" s="6" t="s">
        <v>104</v>
      </c>
      <c r="C3307" s="6">
        <v>3166</v>
      </c>
      <c r="D3307" s="6">
        <v>3390</v>
      </c>
      <c r="E3307" s="6">
        <v>3310</v>
      </c>
      <c r="F3307" t="str">
        <f t="shared" si="1403"/>
        <v>FRI</v>
      </c>
      <c r="G3307" s="3">
        <f t="shared" si="1404"/>
        <v>44043</v>
      </c>
      <c r="H3307" s="2">
        <f t="shared" ca="1" si="1405"/>
        <v>210</v>
      </c>
      <c r="I3307" t="str">
        <f t="shared" si="1406"/>
        <v>SSEC</v>
      </c>
      <c r="J3307">
        <f t="shared" si="1407"/>
        <v>3166</v>
      </c>
      <c r="K3307">
        <f t="shared" si="1408"/>
        <v>3390</v>
      </c>
      <c r="L3307">
        <f t="shared" si="1409"/>
        <v>3278</v>
      </c>
      <c r="M3307">
        <f t="shared" si="1410"/>
        <v>112</v>
      </c>
      <c r="N3307">
        <f t="shared" si="1388"/>
        <v>224</v>
      </c>
      <c r="O3307">
        <f t="shared" si="1411"/>
        <v>3310</v>
      </c>
      <c r="P3307">
        <f t="shared" si="1412"/>
        <v>0.2857142857142857</v>
      </c>
      <c r="Q3307" t="str">
        <f t="shared" si="1389"/>
        <v>4.35% | 2.42%</v>
      </c>
      <c r="R3307" t="str">
        <f t="shared" si="1413"/>
        <v>BULLISH</v>
      </c>
      <c r="S3307">
        <f t="shared" si="1390"/>
        <v>1</v>
      </c>
    </row>
    <row r="3308" spans="1:19" hidden="1" x14ac:dyDescent="0.25">
      <c r="A3308" s="5" t="str">
        <f t="shared" si="1391"/>
        <v>44043NIKK</v>
      </c>
      <c r="B3308" s="6" t="s">
        <v>15</v>
      </c>
      <c r="C3308" s="6">
        <v>21655</v>
      </c>
      <c r="D3308" s="6">
        <v>22758</v>
      </c>
      <c r="E3308" s="6">
        <v>21710</v>
      </c>
      <c r="F3308" t="str">
        <f t="shared" si="1403"/>
        <v>FRI</v>
      </c>
      <c r="G3308" s="3">
        <f t="shared" si="1404"/>
        <v>44043</v>
      </c>
      <c r="H3308" s="2">
        <f t="shared" ca="1" si="1405"/>
        <v>210</v>
      </c>
      <c r="I3308" t="str">
        <f t="shared" si="1406"/>
        <v>NIKK</v>
      </c>
      <c r="J3308">
        <f t="shared" si="1407"/>
        <v>21655</v>
      </c>
      <c r="K3308">
        <f t="shared" si="1408"/>
        <v>22758</v>
      </c>
      <c r="L3308">
        <f t="shared" si="1409"/>
        <v>22206.5</v>
      </c>
      <c r="M3308">
        <f t="shared" si="1410"/>
        <v>551.5</v>
      </c>
      <c r="N3308">
        <f t="shared" si="1388"/>
        <v>1103</v>
      </c>
      <c r="O3308">
        <f t="shared" si="1411"/>
        <v>21710</v>
      </c>
      <c r="P3308">
        <f t="shared" si="1412"/>
        <v>-0.90027198549410703</v>
      </c>
      <c r="Q3308" t="str">
        <f t="shared" si="1389"/>
        <v>0.25% | 4.83%</v>
      </c>
      <c r="R3308" t="str">
        <f t="shared" si="1413"/>
        <v>BEARISH</v>
      </c>
      <c r="S3308">
        <f t="shared" si="1390"/>
        <v>-1</v>
      </c>
    </row>
    <row r="3309" spans="1:19" hidden="1" x14ac:dyDescent="0.25">
      <c r="A3309" s="5" t="str">
        <f t="shared" si="1391"/>
        <v>44043DAX</v>
      </c>
      <c r="B3309" s="6" t="s">
        <v>92</v>
      </c>
      <c r="C3309" s="6">
        <v>12380</v>
      </c>
      <c r="D3309" s="6">
        <v>12914</v>
      </c>
      <c r="E3309" s="6">
        <v>12379</v>
      </c>
      <c r="F3309" t="str">
        <f t="shared" si="1403"/>
        <v>FRI</v>
      </c>
      <c r="G3309" s="3">
        <f t="shared" si="1404"/>
        <v>44043</v>
      </c>
      <c r="H3309" s="2">
        <f t="shared" ca="1" si="1405"/>
        <v>210</v>
      </c>
      <c r="I3309" t="str">
        <f t="shared" si="1406"/>
        <v>DAX</v>
      </c>
      <c r="J3309">
        <f t="shared" si="1407"/>
        <v>12380</v>
      </c>
      <c r="K3309">
        <f t="shared" si="1408"/>
        <v>12914</v>
      </c>
      <c r="L3309">
        <f t="shared" si="1409"/>
        <v>12647</v>
      </c>
      <c r="M3309">
        <f t="shared" si="1410"/>
        <v>267</v>
      </c>
      <c r="N3309">
        <f t="shared" si="1388"/>
        <v>534</v>
      </c>
      <c r="O3309">
        <f t="shared" si="1411"/>
        <v>12379</v>
      </c>
      <c r="P3309">
        <f t="shared" si="1412"/>
        <v>-1.0037453183520599</v>
      </c>
      <c r="Q3309" t="str">
        <f t="shared" si="1389"/>
        <v>0.01% | 4.32%</v>
      </c>
      <c r="R3309" t="str">
        <f t="shared" si="1413"/>
        <v>NEUTRAL</v>
      </c>
      <c r="S3309">
        <f t="shared" si="1390"/>
        <v>0</v>
      </c>
    </row>
    <row r="3310" spans="1:19" hidden="1" x14ac:dyDescent="0.25">
      <c r="A3310" s="5" t="str">
        <f t="shared" si="1391"/>
        <v>44043VIX</v>
      </c>
      <c r="B3310" s="6" t="s">
        <v>96</v>
      </c>
      <c r="C3310" s="6">
        <v>23.46</v>
      </c>
      <c r="D3310" s="6">
        <v>30.55</v>
      </c>
      <c r="E3310" s="6">
        <v>24.76</v>
      </c>
      <c r="F3310" t="str">
        <f t="shared" si="1403"/>
        <v>FRI</v>
      </c>
      <c r="G3310" s="3">
        <f t="shared" si="1404"/>
        <v>44043</v>
      </c>
      <c r="H3310" s="2">
        <f t="shared" ca="1" si="1405"/>
        <v>210</v>
      </c>
      <c r="I3310" t="str">
        <f t="shared" si="1406"/>
        <v>VIX</v>
      </c>
      <c r="J3310">
        <f t="shared" si="1407"/>
        <v>23.46</v>
      </c>
      <c r="K3310">
        <f t="shared" si="1408"/>
        <v>30.55</v>
      </c>
      <c r="L3310">
        <f t="shared" si="1409"/>
        <v>27.005000000000003</v>
      </c>
      <c r="M3310">
        <f t="shared" si="1410"/>
        <v>3.5449999999999919</v>
      </c>
      <c r="N3310">
        <f t="shared" si="1388"/>
        <v>7.09</v>
      </c>
      <c r="O3310">
        <f t="shared" si="1411"/>
        <v>24.76</v>
      </c>
      <c r="P3310">
        <f t="shared" si="1412"/>
        <v>-0.63328631875881691</v>
      </c>
      <c r="Q3310" t="str">
        <f t="shared" si="1389"/>
        <v>5.25% | 23.38%</v>
      </c>
      <c r="R3310" t="str">
        <f t="shared" si="1413"/>
        <v>BEARISH</v>
      </c>
      <c r="S3310">
        <f t="shared" si="1390"/>
        <v>-1</v>
      </c>
    </row>
    <row r="3311" spans="1:19" hidden="1" x14ac:dyDescent="0.25">
      <c r="A3311" s="5" t="str">
        <f t="shared" si="1391"/>
        <v>44043USD</v>
      </c>
      <c r="B3311" s="6" t="s">
        <v>94</v>
      </c>
      <c r="C3311" s="6">
        <v>92.48</v>
      </c>
      <c r="D3311" s="6">
        <v>94.37</v>
      </c>
      <c r="E3311" s="6">
        <v>93.02</v>
      </c>
      <c r="F3311" t="str">
        <f t="shared" si="1403"/>
        <v>FRI</v>
      </c>
      <c r="G3311" s="3">
        <f t="shared" si="1404"/>
        <v>44043</v>
      </c>
      <c r="H3311" s="2">
        <f t="shared" ca="1" si="1405"/>
        <v>210</v>
      </c>
      <c r="I3311" t="str">
        <f t="shared" si="1406"/>
        <v>USD</v>
      </c>
      <c r="J3311">
        <f t="shared" si="1407"/>
        <v>92.48</v>
      </c>
      <c r="K3311">
        <f t="shared" si="1408"/>
        <v>94.37</v>
      </c>
      <c r="L3311">
        <f t="shared" si="1409"/>
        <v>93.425000000000011</v>
      </c>
      <c r="M3311">
        <f t="shared" si="1410"/>
        <v>0.94500000000000028</v>
      </c>
      <c r="N3311">
        <f t="shared" si="1388"/>
        <v>1.8900000000000006</v>
      </c>
      <c r="O3311">
        <f t="shared" si="1411"/>
        <v>93.02</v>
      </c>
      <c r="P3311">
        <f t="shared" si="1412"/>
        <v>-0.4285714285714447</v>
      </c>
      <c r="Q3311" t="str">
        <f t="shared" si="1389"/>
        <v>0.58% | 1.45%</v>
      </c>
      <c r="R3311" t="str">
        <f t="shared" si="1413"/>
        <v>BEARISH</v>
      </c>
      <c r="S3311">
        <f t="shared" si="1390"/>
        <v>-1</v>
      </c>
    </row>
    <row r="3312" spans="1:19" hidden="1" x14ac:dyDescent="0.25">
      <c r="A3312" s="5" t="str">
        <f t="shared" si="1391"/>
        <v>44043EUR/USD</v>
      </c>
      <c r="B3312" s="6" t="s">
        <v>99</v>
      </c>
      <c r="C3312" s="6">
        <v>1.1499999999999999</v>
      </c>
      <c r="D3312" s="6">
        <v>1.18</v>
      </c>
      <c r="E3312" s="6">
        <v>1.18</v>
      </c>
      <c r="F3312" t="str">
        <f t="shared" si="1403"/>
        <v>FRI</v>
      </c>
      <c r="G3312" s="3">
        <f t="shared" si="1404"/>
        <v>44043</v>
      </c>
      <c r="H3312" s="2">
        <f t="shared" ca="1" si="1405"/>
        <v>210</v>
      </c>
      <c r="I3312" t="str">
        <f t="shared" si="1406"/>
        <v>EUR/USD</v>
      </c>
      <c r="J3312">
        <f t="shared" si="1407"/>
        <v>1.1499999999999999</v>
      </c>
      <c r="K3312">
        <f t="shared" si="1408"/>
        <v>1.18</v>
      </c>
      <c r="L3312">
        <f t="shared" si="1409"/>
        <v>1.165</v>
      </c>
      <c r="M3312">
        <f t="shared" si="1410"/>
        <v>1.5000000000000013E-2</v>
      </c>
      <c r="N3312">
        <f t="shared" si="1388"/>
        <v>3.0000000000000027E-2</v>
      </c>
      <c r="O3312">
        <f t="shared" si="1411"/>
        <v>1.18</v>
      </c>
      <c r="P3312">
        <f t="shared" si="1412"/>
        <v>0.99999999999999256</v>
      </c>
      <c r="Q3312" t="str">
        <f t="shared" si="1389"/>
        <v>2.54% | 0%</v>
      </c>
      <c r="R3312" t="str">
        <f t="shared" si="1413"/>
        <v>BULLISH</v>
      </c>
      <c r="S3312">
        <f t="shared" si="1390"/>
        <v>1</v>
      </c>
    </row>
    <row r="3313" spans="1:19" hidden="1" x14ac:dyDescent="0.25">
      <c r="A3313" s="5" t="str">
        <f t="shared" si="1391"/>
        <v>44043USD/JPY</v>
      </c>
      <c r="B3313" s="6" t="s">
        <v>20</v>
      </c>
      <c r="C3313" s="6">
        <v>104.01</v>
      </c>
      <c r="D3313" s="6">
        <v>106.6</v>
      </c>
      <c r="E3313" s="6">
        <v>104.72</v>
      </c>
      <c r="F3313" t="str">
        <f t="shared" si="1403"/>
        <v>FRI</v>
      </c>
      <c r="G3313" s="3">
        <f t="shared" si="1404"/>
        <v>44043</v>
      </c>
      <c r="H3313" s="2">
        <f t="shared" ca="1" si="1405"/>
        <v>210</v>
      </c>
      <c r="I3313" t="str">
        <f t="shared" si="1406"/>
        <v>USD/JPY</v>
      </c>
      <c r="J3313">
        <f t="shared" si="1407"/>
        <v>104.01</v>
      </c>
      <c r="K3313">
        <f t="shared" si="1408"/>
        <v>106.6</v>
      </c>
      <c r="L3313">
        <f t="shared" si="1409"/>
        <v>105.30500000000001</v>
      </c>
      <c r="M3313">
        <f t="shared" si="1410"/>
        <v>1.2949999999999946</v>
      </c>
      <c r="N3313">
        <f t="shared" si="1388"/>
        <v>2.5899999999999892</v>
      </c>
      <c r="O3313">
        <f t="shared" si="1411"/>
        <v>104.72</v>
      </c>
      <c r="P3313">
        <f t="shared" si="1412"/>
        <v>-0.45173745173745977</v>
      </c>
      <c r="Q3313" t="str">
        <f t="shared" si="1389"/>
        <v>0.68% | 1.8%</v>
      </c>
      <c r="R3313" t="str">
        <f t="shared" si="1413"/>
        <v>BEARISH</v>
      </c>
      <c r="S3313">
        <f t="shared" si="1390"/>
        <v>-1</v>
      </c>
    </row>
    <row r="3314" spans="1:19" hidden="1" x14ac:dyDescent="0.25">
      <c r="A3314" s="5" t="str">
        <f t="shared" si="1391"/>
        <v>44043GBP/USD</v>
      </c>
      <c r="B3314" s="6" t="s">
        <v>102</v>
      </c>
      <c r="C3314" s="6">
        <v>1.27</v>
      </c>
      <c r="D3314" s="6">
        <v>1.31</v>
      </c>
      <c r="E3314" s="6">
        <v>1.31</v>
      </c>
      <c r="F3314" t="str">
        <f t="shared" si="1403"/>
        <v>FRI</v>
      </c>
      <c r="G3314" s="3">
        <f t="shared" si="1404"/>
        <v>44043</v>
      </c>
      <c r="H3314" s="2">
        <f t="shared" ca="1" si="1405"/>
        <v>210</v>
      </c>
      <c r="I3314" t="str">
        <f t="shared" si="1406"/>
        <v>GBP/USD</v>
      </c>
      <c r="J3314">
        <f t="shared" si="1407"/>
        <v>1.27</v>
      </c>
      <c r="K3314">
        <f t="shared" si="1408"/>
        <v>1.31</v>
      </c>
      <c r="L3314">
        <f t="shared" si="1409"/>
        <v>1.29</v>
      </c>
      <c r="M3314">
        <f t="shared" si="1410"/>
        <v>2.0000000000000018E-2</v>
      </c>
      <c r="N3314">
        <f t="shared" si="1388"/>
        <v>4.0000000000000036E-2</v>
      </c>
      <c r="O3314">
        <f t="shared" si="1411"/>
        <v>1.31</v>
      </c>
      <c r="P3314">
        <f t="shared" si="1412"/>
        <v>1</v>
      </c>
      <c r="Q3314" t="str">
        <f t="shared" si="1389"/>
        <v>3.05% | 0%</v>
      </c>
      <c r="R3314" t="str">
        <f t="shared" si="1413"/>
        <v>BULLISH</v>
      </c>
      <c r="S3314">
        <f t="shared" si="1390"/>
        <v>1</v>
      </c>
    </row>
    <row r="3315" spans="1:19" hidden="1" x14ac:dyDescent="0.25">
      <c r="A3315" s="5" t="str">
        <f t="shared" si="1391"/>
        <v>44043USD/CHF</v>
      </c>
      <c r="B3315" s="6" t="s">
        <v>76</v>
      </c>
      <c r="C3315" s="6">
        <v>0.9</v>
      </c>
      <c r="D3315" s="6">
        <v>0.92</v>
      </c>
      <c r="E3315" s="6">
        <v>0.9</v>
      </c>
      <c r="F3315" t="str">
        <f t="shared" si="1403"/>
        <v>FRI</v>
      </c>
      <c r="G3315" s="3">
        <f t="shared" si="1404"/>
        <v>44043</v>
      </c>
      <c r="H3315" s="2">
        <f t="shared" ca="1" si="1405"/>
        <v>210</v>
      </c>
      <c r="I3315" t="str">
        <f t="shared" si="1406"/>
        <v>USD/CHF</v>
      </c>
      <c r="J3315">
        <f t="shared" si="1407"/>
        <v>0.9</v>
      </c>
      <c r="K3315">
        <f t="shared" si="1408"/>
        <v>0.92</v>
      </c>
      <c r="L3315">
        <f t="shared" si="1409"/>
        <v>0.91</v>
      </c>
      <c r="M3315">
        <f t="shared" si="1410"/>
        <v>1.0000000000000009E-2</v>
      </c>
      <c r="N3315">
        <f t="shared" si="1388"/>
        <v>2.0000000000000018E-2</v>
      </c>
      <c r="O3315">
        <f t="shared" si="1411"/>
        <v>0.9</v>
      </c>
      <c r="P3315">
        <f t="shared" si="1412"/>
        <v>-1</v>
      </c>
      <c r="Q3315" t="str">
        <f t="shared" si="1389"/>
        <v>0% | 2.22%</v>
      </c>
      <c r="R3315" t="str">
        <f t="shared" si="1413"/>
        <v>BEARISH</v>
      </c>
      <c r="S3315">
        <f t="shared" si="1390"/>
        <v>-1</v>
      </c>
    </row>
    <row r="3316" spans="1:19" hidden="1" x14ac:dyDescent="0.25">
      <c r="A3316" s="5" t="str">
        <f t="shared" si="1391"/>
        <v>44043WTIC</v>
      </c>
      <c r="B3316" s="6" t="s">
        <v>158</v>
      </c>
      <c r="C3316" s="6">
        <v>39.47</v>
      </c>
      <c r="D3316" s="6">
        <v>42.4</v>
      </c>
      <c r="E3316" s="6">
        <v>39.92</v>
      </c>
      <c r="F3316" t="str">
        <f t="shared" si="1403"/>
        <v>FRI</v>
      </c>
      <c r="G3316" s="3">
        <f t="shared" si="1404"/>
        <v>44043</v>
      </c>
      <c r="H3316" s="2">
        <f t="shared" ca="1" si="1405"/>
        <v>210</v>
      </c>
      <c r="I3316" t="str">
        <f t="shared" si="1406"/>
        <v>WTIC</v>
      </c>
      <c r="J3316">
        <f t="shared" si="1407"/>
        <v>39.47</v>
      </c>
      <c r="K3316">
        <f t="shared" si="1408"/>
        <v>42.4</v>
      </c>
      <c r="L3316">
        <f t="shared" si="1409"/>
        <v>40.935000000000002</v>
      </c>
      <c r="M3316">
        <f t="shared" si="1410"/>
        <v>1.4649999999999999</v>
      </c>
      <c r="N3316">
        <f t="shared" si="1388"/>
        <v>2.9299999999999997</v>
      </c>
      <c r="O3316">
        <f t="shared" si="1411"/>
        <v>39.92</v>
      </c>
      <c r="P3316">
        <f t="shared" si="1412"/>
        <v>-0.69283276450511988</v>
      </c>
      <c r="Q3316" t="str">
        <f t="shared" si="1389"/>
        <v>1.13% | 6.21%</v>
      </c>
      <c r="R3316" t="str">
        <f t="shared" si="1413"/>
        <v>BULLISH</v>
      </c>
      <c r="S3316">
        <f t="shared" si="1390"/>
        <v>1</v>
      </c>
    </row>
    <row r="3317" spans="1:19" hidden="1" x14ac:dyDescent="0.25">
      <c r="A3317" s="5" t="str">
        <f t="shared" si="1391"/>
        <v>44043NATGAS</v>
      </c>
      <c r="B3317" s="6" t="s">
        <v>89</v>
      </c>
      <c r="C3317" s="6">
        <v>1.6</v>
      </c>
      <c r="D3317" s="6">
        <v>1.99</v>
      </c>
      <c r="E3317" s="6">
        <v>1.83</v>
      </c>
      <c r="F3317" t="str">
        <f t="shared" si="1403"/>
        <v>FRI</v>
      </c>
      <c r="G3317" s="3">
        <f t="shared" si="1404"/>
        <v>44043</v>
      </c>
      <c r="H3317" s="2">
        <f t="shared" ca="1" si="1405"/>
        <v>210</v>
      </c>
      <c r="I3317" t="str">
        <f t="shared" si="1406"/>
        <v>NATGAS</v>
      </c>
      <c r="J3317">
        <f t="shared" si="1407"/>
        <v>1.6</v>
      </c>
      <c r="K3317">
        <f t="shared" si="1408"/>
        <v>1.99</v>
      </c>
      <c r="L3317">
        <f t="shared" si="1409"/>
        <v>1.7949999999999999</v>
      </c>
      <c r="M3317">
        <f t="shared" si="1410"/>
        <v>0.19500000000000164</v>
      </c>
      <c r="N3317">
        <f t="shared" si="1388"/>
        <v>0.3899999999999999</v>
      </c>
      <c r="O3317">
        <f t="shared" si="1411"/>
        <v>1.83</v>
      </c>
      <c r="P3317">
        <f t="shared" si="1412"/>
        <v>0.17948717948717871</v>
      </c>
      <c r="Q3317" t="str">
        <f t="shared" si="1389"/>
        <v>12.57% | 8.74%</v>
      </c>
      <c r="R3317" t="str">
        <f t="shared" si="1413"/>
        <v>BULLISH</v>
      </c>
      <c r="S3317">
        <f t="shared" si="1390"/>
        <v>1</v>
      </c>
    </row>
    <row r="3318" spans="1:19" hidden="1" x14ac:dyDescent="0.25">
      <c r="A3318" s="5" t="str">
        <f t="shared" si="1391"/>
        <v>44043GOLD</v>
      </c>
      <c r="B3318" s="6" t="s">
        <v>25</v>
      </c>
      <c r="C3318" s="6">
        <v>1902</v>
      </c>
      <c r="D3318" s="6">
        <v>2001</v>
      </c>
      <c r="E3318" s="6">
        <v>1966</v>
      </c>
      <c r="F3318" t="str">
        <f t="shared" si="1403"/>
        <v>FRI</v>
      </c>
      <c r="G3318" s="3">
        <f t="shared" si="1404"/>
        <v>44043</v>
      </c>
      <c r="H3318" s="2">
        <f t="shared" ca="1" si="1405"/>
        <v>210</v>
      </c>
      <c r="I3318" t="str">
        <f t="shared" si="1406"/>
        <v>GOLD</v>
      </c>
      <c r="J3318">
        <f t="shared" si="1407"/>
        <v>1902</v>
      </c>
      <c r="K3318">
        <f t="shared" si="1408"/>
        <v>2001</v>
      </c>
      <c r="L3318">
        <f t="shared" si="1409"/>
        <v>1951.5</v>
      </c>
      <c r="M3318">
        <f t="shared" si="1410"/>
        <v>49.5</v>
      </c>
      <c r="N3318">
        <f t="shared" si="1388"/>
        <v>99</v>
      </c>
      <c r="O3318">
        <f t="shared" si="1411"/>
        <v>1966</v>
      </c>
      <c r="P3318">
        <f t="shared" si="1412"/>
        <v>0.29292929292929293</v>
      </c>
      <c r="Q3318" t="str">
        <f t="shared" si="1389"/>
        <v>3.26% | 1.78%</v>
      </c>
      <c r="R3318" t="str">
        <f t="shared" si="1413"/>
        <v>BULLISH</v>
      </c>
      <c r="S3318">
        <f t="shared" si="1390"/>
        <v>1</v>
      </c>
    </row>
    <row r="3319" spans="1:19" hidden="1" x14ac:dyDescent="0.25">
      <c r="A3319" s="5" t="str">
        <f t="shared" si="1391"/>
        <v>44043COPPER</v>
      </c>
      <c r="B3319" s="6" t="s">
        <v>100</v>
      </c>
      <c r="C3319" s="6">
        <v>2.87</v>
      </c>
      <c r="D3319" s="6">
        <v>2.97</v>
      </c>
      <c r="E3319" s="6">
        <v>2.91</v>
      </c>
      <c r="F3319" t="str">
        <f t="shared" si="1403"/>
        <v>FRI</v>
      </c>
      <c r="G3319" s="3">
        <f t="shared" si="1404"/>
        <v>44043</v>
      </c>
      <c r="H3319" s="2">
        <f t="shared" ca="1" si="1405"/>
        <v>210</v>
      </c>
      <c r="I3319" t="str">
        <f t="shared" si="1406"/>
        <v>COPPER</v>
      </c>
      <c r="J3319">
        <f t="shared" si="1407"/>
        <v>2.87</v>
      </c>
      <c r="K3319">
        <f t="shared" si="1408"/>
        <v>2.97</v>
      </c>
      <c r="L3319">
        <f t="shared" si="1409"/>
        <v>2.92</v>
      </c>
      <c r="M3319">
        <f t="shared" si="1410"/>
        <v>5.0000000000000044E-2</v>
      </c>
      <c r="N3319">
        <f t="shared" si="1388"/>
        <v>0.10000000000000009</v>
      </c>
      <c r="O3319">
        <f t="shared" si="1411"/>
        <v>2.91</v>
      </c>
      <c r="P3319">
        <f t="shared" si="1412"/>
        <v>-0.19999999999999557</v>
      </c>
      <c r="Q3319" t="str">
        <f t="shared" si="1389"/>
        <v>1.37% | 2.06%</v>
      </c>
      <c r="R3319" t="str">
        <f t="shared" si="1413"/>
        <v>BULLISH</v>
      </c>
      <c r="S3319">
        <f t="shared" si="1390"/>
        <v>1</v>
      </c>
    </row>
    <row r="3320" spans="1:19" hidden="1" x14ac:dyDescent="0.25">
      <c r="A3320" s="5" t="str">
        <f t="shared" si="1391"/>
        <v>44043MSFT</v>
      </c>
      <c r="B3320" s="6" t="s">
        <v>27</v>
      </c>
      <c r="C3320" s="6">
        <v>197</v>
      </c>
      <c r="D3320" s="6">
        <v>213</v>
      </c>
      <c r="E3320" s="6">
        <v>203</v>
      </c>
      <c r="F3320" t="str">
        <f t="shared" si="1403"/>
        <v>FRI</v>
      </c>
      <c r="G3320" s="3">
        <f t="shared" si="1404"/>
        <v>44043</v>
      </c>
      <c r="H3320" s="2">
        <f t="shared" ca="1" si="1405"/>
        <v>210</v>
      </c>
      <c r="I3320" t="str">
        <f t="shared" si="1406"/>
        <v>MSFT</v>
      </c>
      <c r="J3320">
        <f t="shared" si="1407"/>
        <v>197</v>
      </c>
      <c r="K3320">
        <f t="shared" si="1408"/>
        <v>213</v>
      </c>
      <c r="L3320">
        <f t="shared" si="1409"/>
        <v>205</v>
      </c>
      <c r="M3320">
        <f t="shared" si="1410"/>
        <v>8</v>
      </c>
      <c r="N3320">
        <f t="shared" si="1388"/>
        <v>16</v>
      </c>
      <c r="O3320">
        <f t="shared" si="1411"/>
        <v>203</v>
      </c>
      <c r="P3320">
        <f t="shared" si="1412"/>
        <v>-0.25</v>
      </c>
      <c r="Q3320" t="str">
        <f t="shared" si="1389"/>
        <v>2.96% | 4.93%</v>
      </c>
      <c r="R3320" t="str">
        <f t="shared" si="1413"/>
        <v>BULLISH</v>
      </c>
      <c r="S3320">
        <f t="shared" si="1390"/>
        <v>1</v>
      </c>
    </row>
    <row r="3321" spans="1:19" hidden="1" x14ac:dyDescent="0.25">
      <c r="A3321" s="5" t="str">
        <f t="shared" si="1391"/>
        <v>44043AAPL</v>
      </c>
      <c r="B3321" s="6" t="s">
        <v>28</v>
      </c>
      <c r="C3321" s="6">
        <v>372</v>
      </c>
      <c r="D3321" s="6">
        <v>410</v>
      </c>
      <c r="E3321" s="6">
        <v>384</v>
      </c>
      <c r="F3321" t="str">
        <f t="shared" si="1403"/>
        <v>FRI</v>
      </c>
      <c r="G3321" s="3">
        <f t="shared" si="1404"/>
        <v>44043</v>
      </c>
      <c r="H3321" s="2">
        <f t="shared" ca="1" si="1405"/>
        <v>210</v>
      </c>
      <c r="I3321" t="str">
        <f t="shared" si="1406"/>
        <v>AAPL</v>
      </c>
      <c r="J3321">
        <f t="shared" si="1407"/>
        <v>372</v>
      </c>
      <c r="K3321">
        <f t="shared" si="1408"/>
        <v>410</v>
      </c>
      <c r="L3321">
        <f t="shared" si="1409"/>
        <v>391</v>
      </c>
      <c r="M3321">
        <f t="shared" si="1410"/>
        <v>19</v>
      </c>
      <c r="N3321">
        <f t="shared" si="1388"/>
        <v>38</v>
      </c>
      <c r="O3321">
        <f t="shared" si="1411"/>
        <v>384</v>
      </c>
      <c r="P3321">
        <f t="shared" si="1412"/>
        <v>-0.36842105263157893</v>
      </c>
      <c r="Q3321" t="str">
        <f t="shared" si="1389"/>
        <v>3.13% | 6.77%</v>
      </c>
      <c r="R3321" t="str">
        <f t="shared" si="1413"/>
        <v>BULLISH</v>
      </c>
      <c r="S3321">
        <f t="shared" si="1390"/>
        <v>1</v>
      </c>
    </row>
    <row r="3322" spans="1:19" hidden="1" x14ac:dyDescent="0.25">
      <c r="A3322" s="5" t="str">
        <f t="shared" si="1391"/>
        <v>44043AMZN</v>
      </c>
      <c r="B3322" s="6" t="s">
        <v>29</v>
      </c>
      <c r="C3322" s="6">
        <v>2955</v>
      </c>
      <c r="D3322" s="6">
        <v>3240</v>
      </c>
      <c r="E3322" s="6">
        <v>3051</v>
      </c>
      <c r="F3322" t="str">
        <f t="shared" si="1403"/>
        <v>FRI</v>
      </c>
      <c r="G3322" s="3">
        <f t="shared" si="1404"/>
        <v>44043</v>
      </c>
      <c r="H3322" s="2">
        <f t="shared" ca="1" si="1405"/>
        <v>210</v>
      </c>
      <c r="I3322" t="str">
        <f t="shared" si="1406"/>
        <v>AMZN</v>
      </c>
      <c r="J3322">
        <f t="shared" si="1407"/>
        <v>2955</v>
      </c>
      <c r="K3322">
        <f t="shared" si="1408"/>
        <v>3240</v>
      </c>
      <c r="L3322">
        <f t="shared" si="1409"/>
        <v>3097.5</v>
      </c>
      <c r="M3322">
        <f t="shared" si="1410"/>
        <v>142.5</v>
      </c>
      <c r="N3322">
        <f t="shared" si="1388"/>
        <v>285</v>
      </c>
      <c r="O3322">
        <f t="shared" si="1411"/>
        <v>3051</v>
      </c>
      <c r="P3322">
        <f t="shared" si="1412"/>
        <v>-0.32631578947368423</v>
      </c>
      <c r="Q3322" t="str">
        <f t="shared" si="1389"/>
        <v>3.15% | 6.19%</v>
      </c>
      <c r="R3322" t="str">
        <f t="shared" si="1413"/>
        <v>BULLISH</v>
      </c>
      <c r="S3322">
        <f t="shared" si="1390"/>
        <v>1</v>
      </c>
    </row>
    <row r="3323" spans="1:19" hidden="1" x14ac:dyDescent="0.25">
      <c r="A3323" s="5" t="str">
        <f t="shared" si="1391"/>
        <v>44043FB</v>
      </c>
      <c r="B3323" s="6" t="s">
        <v>30</v>
      </c>
      <c r="C3323" s="6">
        <v>224</v>
      </c>
      <c r="D3323" s="6">
        <v>250</v>
      </c>
      <c r="E3323" s="6">
        <v>234</v>
      </c>
      <c r="F3323" t="str">
        <f t="shared" si="1403"/>
        <v>FRI</v>
      </c>
      <c r="G3323" s="3">
        <f t="shared" si="1404"/>
        <v>44043</v>
      </c>
      <c r="H3323" s="2">
        <f t="shared" ca="1" si="1405"/>
        <v>210</v>
      </c>
      <c r="I3323" t="str">
        <f t="shared" si="1406"/>
        <v>FB</v>
      </c>
      <c r="J3323">
        <f t="shared" si="1407"/>
        <v>224</v>
      </c>
      <c r="K3323">
        <f t="shared" si="1408"/>
        <v>250</v>
      </c>
      <c r="L3323">
        <f t="shared" si="1409"/>
        <v>237</v>
      </c>
      <c r="M3323">
        <f t="shared" si="1410"/>
        <v>13</v>
      </c>
      <c r="N3323">
        <f t="shared" si="1388"/>
        <v>26</v>
      </c>
      <c r="O3323">
        <f t="shared" si="1411"/>
        <v>234</v>
      </c>
      <c r="P3323">
        <f t="shared" si="1412"/>
        <v>-0.23076923076923078</v>
      </c>
      <c r="Q3323" t="str">
        <f t="shared" si="1389"/>
        <v>4.27% | 6.84%</v>
      </c>
      <c r="R3323" t="str">
        <f t="shared" si="1413"/>
        <v>BULLISH</v>
      </c>
      <c r="S3323">
        <f t="shared" si="1390"/>
        <v>1</v>
      </c>
    </row>
    <row r="3324" spans="1:19" hidden="1" x14ac:dyDescent="0.25">
      <c r="A3324" s="5" t="str">
        <f t="shared" si="1391"/>
        <v>44043GOOGL</v>
      </c>
      <c r="B3324" s="6" t="s">
        <v>31</v>
      </c>
      <c r="C3324" s="6">
        <v>1488</v>
      </c>
      <c r="D3324" s="6">
        <v>1581</v>
      </c>
      <c r="E3324" s="6">
        <v>1538</v>
      </c>
      <c r="F3324" t="str">
        <f t="shared" si="1403"/>
        <v>FRI</v>
      </c>
      <c r="G3324" s="3">
        <f t="shared" si="1404"/>
        <v>44043</v>
      </c>
      <c r="H3324" s="2">
        <f t="shared" ca="1" si="1405"/>
        <v>210</v>
      </c>
      <c r="I3324" t="str">
        <f t="shared" si="1406"/>
        <v>GOOGL</v>
      </c>
      <c r="J3324">
        <f t="shared" si="1407"/>
        <v>1488</v>
      </c>
      <c r="K3324">
        <f t="shared" si="1408"/>
        <v>1581</v>
      </c>
      <c r="L3324">
        <f t="shared" si="1409"/>
        <v>1534.5</v>
      </c>
      <c r="M3324">
        <f t="shared" si="1410"/>
        <v>46.5</v>
      </c>
      <c r="N3324">
        <f t="shared" si="1388"/>
        <v>93</v>
      </c>
      <c r="O3324">
        <f t="shared" si="1411"/>
        <v>1538</v>
      </c>
      <c r="P3324">
        <f t="shared" si="1412"/>
        <v>7.5268817204301078E-2</v>
      </c>
      <c r="Q3324" t="str">
        <f t="shared" si="1389"/>
        <v>3.25% | 2.8%</v>
      </c>
      <c r="R3324" t="str">
        <f t="shared" si="1413"/>
        <v>BULLISH</v>
      </c>
      <c r="S3324">
        <f t="shared" si="1390"/>
        <v>1</v>
      </c>
    </row>
    <row r="3325" spans="1:19" hidden="1" x14ac:dyDescent="0.25">
      <c r="A3325" s="5" t="str">
        <f t="shared" si="1391"/>
        <v>44043NFLX</v>
      </c>
      <c r="B3325" s="6" t="s">
        <v>70</v>
      </c>
      <c r="C3325" s="6">
        <v>473</v>
      </c>
      <c r="D3325" s="6">
        <v>508</v>
      </c>
      <c r="E3325" s="6">
        <v>485</v>
      </c>
      <c r="F3325" t="str">
        <f t="shared" si="1403"/>
        <v>FRI</v>
      </c>
      <c r="G3325" s="3">
        <f t="shared" si="1404"/>
        <v>44043</v>
      </c>
      <c r="H3325" s="2">
        <f t="shared" ca="1" si="1405"/>
        <v>210</v>
      </c>
      <c r="I3325" t="str">
        <f t="shared" si="1406"/>
        <v>NFLX</v>
      </c>
      <c r="J3325">
        <f t="shared" si="1407"/>
        <v>473</v>
      </c>
      <c r="K3325">
        <f t="shared" si="1408"/>
        <v>508</v>
      </c>
      <c r="L3325">
        <f t="shared" si="1409"/>
        <v>490.5</v>
      </c>
      <c r="M3325">
        <f t="shared" si="1410"/>
        <v>17.5</v>
      </c>
      <c r="N3325">
        <f t="shared" si="1388"/>
        <v>35</v>
      </c>
      <c r="O3325">
        <f t="shared" si="1411"/>
        <v>485</v>
      </c>
      <c r="P3325">
        <f t="shared" si="1412"/>
        <v>-0.31428571428571428</v>
      </c>
      <c r="Q3325" t="str">
        <f t="shared" si="1389"/>
        <v>2.47% | 4.74%</v>
      </c>
      <c r="R3325" t="str">
        <f t="shared" si="1413"/>
        <v>NEUTRAL</v>
      </c>
      <c r="S3325">
        <f t="shared" si="1390"/>
        <v>0</v>
      </c>
    </row>
    <row r="3326" spans="1:19" x14ac:dyDescent="0.25">
      <c r="A3326" s="5" t="str">
        <f t="shared" si="1391"/>
        <v>44043TSLA</v>
      </c>
      <c r="B3326" s="6" t="s">
        <v>33</v>
      </c>
      <c r="C3326" s="6">
        <v>1399</v>
      </c>
      <c r="D3326" s="6">
        <v>1656</v>
      </c>
      <c r="E3326" s="6">
        <v>1487</v>
      </c>
      <c r="F3326" t="str">
        <f t="shared" si="1403"/>
        <v>FRI</v>
      </c>
      <c r="G3326" s="3">
        <f t="shared" si="1404"/>
        <v>44043</v>
      </c>
      <c r="H3326" s="2">
        <f t="shared" ca="1" si="1405"/>
        <v>210</v>
      </c>
      <c r="I3326" t="str">
        <f t="shared" si="1406"/>
        <v>TSLA</v>
      </c>
      <c r="J3326">
        <f t="shared" si="1407"/>
        <v>1399</v>
      </c>
      <c r="K3326">
        <f t="shared" si="1408"/>
        <v>1656</v>
      </c>
      <c r="L3326">
        <f t="shared" si="1409"/>
        <v>1527.5</v>
      </c>
      <c r="M3326">
        <f t="shared" si="1410"/>
        <v>128.5</v>
      </c>
      <c r="N3326">
        <f t="shared" si="1388"/>
        <v>257</v>
      </c>
      <c r="O3326">
        <f t="shared" si="1411"/>
        <v>1487</v>
      </c>
      <c r="P3326">
        <f t="shared" si="1412"/>
        <v>-0.31517509727626458</v>
      </c>
      <c r="Q3326" t="str">
        <f t="shared" si="1389"/>
        <v>5.92% | 11.37%</v>
      </c>
      <c r="R3326" t="str">
        <f t="shared" si="1413"/>
        <v>BULLISH</v>
      </c>
      <c r="S3326">
        <f t="shared" si="1390"/>
        <v>1</v>
      </c>
    </row>
    <row r="3327" spans="1:19" hidden="1" x14ac:dyDescent="0.25">
      <c r="A3327" s="5" t="str">
        <f t="shared" si="1391"/>
        <v>44043NYXBT</v>
      </c>
      <c r="B3327" s="6" t="s">
        <v>60</v>
      </c>
      <c r="C3327" s="6">
        <v>10078</v>
      </c>
      <c r="D3327" s="6">
        <v>11691</v>
      </c>
      <c r="E3327" s="6">
        <v>10968</v>
      </c>
      <c r="F3327" t="str">
        <f t="shared" si="1403"/>
        <v>FRI</v>
      </c>
      <c r="G3327" s="3">
        <f t="shared" si="1404"/>
        <v>44043</v>
      </c>
      <c r="H3327" s="2">
        <f t="shared" ca="1" si="1405"/>
        <v>210</v>
      </c>
      <c r="I3327" t="str">
        <f t="shared" si="1406"/>
        <v>NYXBT</v>
      </c>
      <c r="J3327">
        <f t="shared" si="1407"/>
        <v>10078</v>
      </c>
      <c r="K3327">
        <f t="shared" si="1408"/>
        <v>11691</v>
      </c>
      <c r="L3327">
        <f t="shared" si="1409"/>
        <v>10884.5</v>
      </c>
      <c r="M3327">
        <f t="shared" si="1410"/>
        <v>806.5</v>
      </c>
      <c r="N3327">
        <f t="shared" si="1388"/>
        <v>1613</v>
      </c>
      <c r="O3327">
        <f t="shared" si="1411"/>
        <v>10968</v>
      </c>
      <c r="P3327">
        <f t="shared" si="1412"/>
        <v>0.10353378797272164</v>
      </c>
      <c r="Q3327" t="str">
        <f t="shared" si="1389"/>
        <v>8.11% | 6.59%</v>
      </c>
      <c r="R3327" t="str">
        <f t="shared" si="1413"/>
        <v>BULLISH</v>
      </c>
      <c r="S3327">
        <f t="shared" si="1390"/>
        <v>1</v>
      </c>
    </row>
    <row r="3328" spans="1:19" hidden="1" x14ac:dyDescent="0.25">
      <c r="A3328" s="5" t="str">
        <f t="shared" si="1391"/>
        <v>44046UST10Y</v>
      </c>
      <c r="B3328" s="6" t="s">
        <v>4</v>
      </c>
      <c r="C3328" s="6">
        <v>0.62</v>
      </c>
      <c r="D3328" s="6">
        <v>0.52</v>
      </c>
      <c r="E3328" s="6">
        <v>0.55000000000000004</v>
      </c>
      <c r="F3328" t="str">
        <f t="shared" si="1403"/>
        <v>MON</v>
      </c>
      <c r="G3328" s="1">
        <f>DATE(2020,8,3)</f>
        <v>44046</v>
      </c>
      <c r="H3328" s="2">
        <f t="shared" ca="1" si="1405"/>
        <v>207</v>
      </c>
      <c r="I3328" t="str">
        <f t="shared" si="1406"/>
        <v>UST10Y</v>
      </c>
      <c r="J3328">
        <f t="shared" si="1407"/>
        <v>0.62</v>
      </c>
      <c r="K3328">
        <f t="shared" si="1408"/>
        <v>0.52</v>
      </c>
      <c r="L3328">
        <f t="shared" si="1409"/>
        <v>0.57000000000000006</v>
      </c>
      <c r="M3328">
        <f t="shared" si="1410"/>
        <v>4.9999999999999989E-2</v>
      </c>
      <c r="N3328">
        <f t="shared" si="1388"/>
        <v>9.9999999999999978E-2</v>
      </c>
      <c r="O3328">
        <f t="shared" si="1411"/>
        <v>0.55000000000000004</v>
      </c>
      <c r="P3328">
        <f t="shared" si="1412"/>
        <v>-0.40000000000000047</v>
      </c>
      <c r="Q3328" t="str">
        <f t="shared" si="1389"/>
        <v>12.73% | 5.45%</v>
      </c>
      <c r="R3328" t="str">
        <f t="shared" si="1413"/>
        <v>BEARISH</v>
      </c>
      <c r="S3328">
        <f t="shared" si="1390"/>
        <v>-1</v>
      </c>
    </row>
    <row r="3329" spans="1:19" hidden="1" x14ac:dyDescent="0.25">
      <c r="A3329" s="5" t="str">
        <f t="shared" si="1391"/>
        <v>44046UST2Y</v>
      </c>
      <c r="B3329" s="6" t="s">
        <v>5</v>
      </c>
      <c r="C3329" s="6">
        <v>0.14000000000000001</v>
      </c>
      <c r="D3329" s="6">
        <v>0.1</v>
      </c>
      <c r="E3329" s="6">
        <v>0.11</v>
      </c>
      <c r="F3329" t="str">
        <f t="shared" ref="F3329:F3359" si="1414">UPPER(TEXT(G3329,"ddd"))</f>
        <v>MON</v>
      </c>
      <c r="G3329" s="1">
        <f t="shared" ref="G3329:G3358" si="1415">DATE(2020,8,3)</f>
        <v>44046</v>
      </c>
      <c r="H3329" s="2">
        <f t="shared" ref="H3329:H3359" ca="1" si="1416">TODAY()-G3329</f>
        <v>207</v>
      </c>
      <c r="I3329" t="str">
        <f t="shared" ref="I3329:I3359" si="1417">TRIM(LEFT(B3329,FIND(" ",B3329,1)))</f>
        <v>UST2Y</v>
      </c>
      <c r="J3329">
        <f t="shared" ref="J3329:J3359" si="1418">C3329</f>
        <v>0.14000000000000001</v>
      </c>
      <c r="K3329">
        <f t="shared" ref="K3329:K3359" si="1419">D3329</f>
        <v>0.1</v>
      </c>
      <c r="L3329">
        <f t="shared" ref="L3329:L3359" si="1420">AVERAGE(J3329:K3329)</f>
        <v>0.12000000000000001</v>
      </c>
      <c r="M3329">
        <f t="shared" ref="M3329:M3359" si="1421">_xlfn.STDEV.P(J3329:K3329)</f>
        <v>1.9999999999999983E-2</v>
      </c>
      <c r="N3329">
        <f t="shared" si="1388"/>
        <v>4.0000000000000008E-2</v>
      </c>
      <c r="O3329">
        <f t="shared" ref="O3329:O3359" si="1422">E3329</f>
        <v>0.11</v>
      </c>
      <c r="P3329">
        <f t="shared" ref="P3329:P3359" si="1423">(O3329-L3329)/M3329</f>
        <v>-0.50000000000000089</v>
      </c>
      <c r="Q3329" t="str">
        <f t="shared" si="1389"/>
        <v>27.27% | 9.09%</v>
      </c>
      <c r="R3329" t="str">
        <f t="shared" ref="R3329:R3359" si="1424">MID(B3329,FIND("(",B3329,1)+1,FIND(")",B3329,1)-FIND("(",B3329,1)-1)</f>
        <v>BEARISH</v>
      </c>
      <c r="S3329">
        <f t="shared" si="1390"/>
        <v>-1</v>
      </c>
    </row>
    <row r="3330" spans="1:19" hidden="1" x14ac:dyDescent="0.25">
      <c r="A3330" s="5" t="str">
        <f t="shared" si="1391"/>
        <v>44046SPX</v>
      </c>
      <c r="B3330" s="6" t="s">
        <v>93</v>
      </c>
      <c r="C3330" s="6">
        <v>3205</v>
      </c>
      <c r="D3330" s="6">
        <v>3287</v>
      </c>
      <c r="E3330" s="6">
        <v>3271</v>
      </c>
      <c r="F3330" t="str">
        <f t="shared" si="1414"/>
        <v>MON</v>
      </c>
      <c r="G3330" s="1">
        <f t="shared" si="1415"/>
        <v>44046</v>
      </c>
      <c r="H3330" s="2">
        <f t="shared" ca="1" si="1416"/>
        <v>207</v>
      </c>
      <c r="I3330" t="str">
        <f t="shared" si="1417"/>
        <v>SPX</v>
      </c>
      <c r="J3330">
        <f t="shared" si="1418"/>
        <v>3205</v>
      </c>
      <c r="K3330">
        <f t="shared" si="1419"/>
        <v>3287</v>
      </c>
      <c r="L3330">
        <f t="shared" si="1420"/>
        <v>3246</v>
      </c>
      <c r="M3330">
        <f t="shared" si="1421"/>
        <v>41</v>
      </c>
      <c r="N3330">
        <f t="shared" si="1388"/>
        <v>82</v>
      </c>
      <c r="O3330">
        <f t="shared" si="1422"/>
        <v>3271</v>
      </c>
      <c r="P3330">
        <f t="shared" si="1423"/>
        <v>0.6097560975609756</v>
      </c>
      <c r="Q3330" t="str">
        <f t="shared" si="1389"/>
        <v>2.02% | 0.49%</v>
      </c>
      <c r="R3330" t="str">
        <f t="shared" si="1424"/>
        <v>BULLISH</v>
      </c>
      <c r="S3330">
        <f t="shared" si="1390"/>
        <v>1</v>
      </c>
    </row>
    <row r="3331" spans="1:19" hidden="1" x14ac:dyDescent="0.25">
      <c r="A3331" s="5" t="str">
        <f t="shared" si="1391"/>
        <v>44046RUT</v>
      </c>
      <c r="B3331" s="6" t="s">
        <v>7</v>
      </c>
      <c r="C3331" s="6">
        <v>1453</v>
      </c>
      <c r="D3331" s="6">
        <v>1507</v>
      </c>
      <c r="E3331" s="6">
        <v>1480</v>
      </c>
      <c r="F3331" t="str">
        <f t="shared" si="1414"/>
        <v>MON</v>
      </c>
      <c r="G3331" s="1">
        <f t="shared" si="1415"/>
        <v>44046</v>
      </c>
      <c r="H3331" s="2">
        <f t="shared" ca="1" si="1416"/>
        <v>207</v>
      </c>
      <c r="I3331" t="str">
        <f t="shared" si="1417"/>
        <v>RUT</v>
      </c>
      <c r="J3331">
        <f t="shared" si="1418"/>
        <v>1453</v>
      </c>
      <c r="K3331">
        <f t="shared" si="1419"/>
        <v>1507</v>
      </c>
      <c r="L3331">
        <f t="shared" si="1420"/>
        <v>1480</v>
      </c>
      <c r="M3331">
        <f t="shared" si="1421"/>
        <v>27</v>
      </c>
      <c r="N3331">
        <f t="shared" ref="N3331:N3394" si="1425">ABS(K3331-J3331)</f>
        <v>54</v>
      </c>
      <c r="O3331">
        <f t="shared" si="1422"/>
        <v>1480</v>
      </c>
      <c r="P3331">
        <f t="shared" si="1423"/>
        <v>0</v>
      </c>
      <c r="Q3331" t="str">
        <f t="shared" ref="Q3331:Q3394" si="1426">ROUND(ABS(100*(O3331-J3331)/O3331),2)&amp;"% | "&amp;ROUND(ABS(100*(K3331-O3331)/O3331),2)&amp;"%"</f>
        <v>1.82% | 1.82%</v>
      </c>
      <c r="R3331" t="str">
        <f t="shared" si="1424"/>
        <v>BEARISH</v>
      </c>
      <c r="S3331">
        <f t="shared" ref="S3331:S3394" si="1427">IF(R3331="BEARISH",-1,IF(R3331="NEUTRAL",0,IF(R3331="BULLISH",1,99)))</f>
        <v>-1</v>
      </c>
    </row>
    <row r="3332" spans="1:19" hidden="1" x14ac:dyDescent="0.25">
      <c r="A3332" s="5" t="str">
        <f t="shared" si="1391"/>
        <v>44046COMPQ</v>
      </c>
      <c r="B3332" s="6" t="s">
        <v>8</v>
      </c>
      <c r="C3332" s="6">
        <v>10302</v>
      </c>
      <c r="D3332" s="6">
        <v>10822</v>
      </c>
      <c r="E3332" s="6">
        <v>10745</v>
      </c>
      <c r="F3332" t="str">
        <f t="shared" si="1414"/>
        <v>MON</v>
      </c>
      <c r="G3332" s="1">
        <f t="shared" si="1415"/>
        <v>44046</v>
      </c>
      <c r="H3332" s="2">
        <f t="shared" ca="1" si="1416"/>
        <v>207</v>
      </c>
      <c r="I3332" t="str">
        <f t="shared" si="1417"/>
        <v>COMPQ</v>
      </c>
      <c r="J3332">
        <f t="shared" si="1418"/>
        <v>10302</v>
      </c>
      <c r="K3332">
        <f t="shared" si="1419"/>
        <v>10822</v>
      </c>
      <c r="L3332">
        <f t="shared" si="1420"/>
        <v>10562</v>
      </c>
      <c r="M3332">
        <f t="shared" si="1421"/>
        <v>260</v>
      </c>
      <c r="N3332">
        <f t="shared" si="1425"/>
        <v>520</v>
      </c>
      <c r="O3332">
        <f t="shared" si="1422"/>
        <v>10745</v>
      </c>
      <c r="P3332">
        <f t="shared" si="1423"/>
        <v>0.7038461538461539</v>
      </c>
      <c r="Q3332" t="str">
        <f t="shared" si="1426"/>
        <v>4.12% | 0.72%</v>
      </c>
      <c r="R3332" t="str">
        <f t="shared" si="1424"/>
        <v>BULLISH</v>
      </c>
      <c r="S3332">
        <f t="shared" si="1427"/>
        <v>1</v>
      </c>
    </row>
    <row r="3333" spans="1:19" hidden="1" x14ac:dyDescent="0.25">
      <c r="A3333" s="5" t="str">
        <f t="shared" ref="A3333:A3396" si="1428">G3333&amp;I3333</f>
        <v>44046XLK</v>
      </c>
      <c r="B3333" s="6" t="s">
        <v>10</v>
      </c>
      <c r="C3333" s="6">
        <v>105.09</v>
      </c>
      <c r="D3333" s="6">
        <v>110.89</v>
      </c>
      <c r="E3333" s="6">
        <v>110.43</v>
      </c>
      <c r="F3333" t="str">
        <f t="shared" si="1414"/>
        <v>MON</v>
      </c>
      <c r="G3333" s="1">
        <f t="shared" si="1415"/>
        <v>44046</v>
      </c>
      <c r="H3333" s="2">
        <f t="shared" ca="1" si="1416"/>
        <v>207</v>
      </c>
      <c r="I3333" t="str">
        <f t="shared" si="1417"/>
        <v>XLK</v>
      </c>
      <c r="J3333">
        <f t="shared" si="1418"/>
        <v>105.09</v>
      </c>
      <c r="K3333">
        <f t="shared" si="1419"/>
        <v>110.89</v>
      </c>
      <c r="L3333">
        <f t="shared" si="1420"/>
        <v>107.99000000000001</v>
      </c>
      <c r="M3333">
        <f t="shared" si="1421"/>
        <v>2.8999999999999986</v>
      </c>
      <c r="N3333">
        <f t="shared" si="1425"/>
        <v>5.7999999999999972</v>
      </c>
      <c r="O3333">
        <f t="shared" si="1422"/>
        <v>110.43</v>
      </c>
      <c r="P3333">
        <f t="shared" si="1423"/>
        <v>0.84137931034482727</v>
      </c>
      <c r="Q3333" t="str">
        <f t="shared" si="1426"/>
        <v>4.84% | 0.42%</v>
      </c>
      <c r="R3333" t="str">
        <f t="shared" si="1424"/>
        <v>BULLISH</v>
      </c>
      <c r="S3333">
        <f t="shared" si="1427"/>
        <v>1</v>
      </c>
    </row>
    <row r="3334" spans="1:19" hidden="1" x14ac:dyDescent="0.25">
      <c r="A3334" s="5" t="str">
        <f t="shared" si="1428"/>
        <v>44046XLRE</v>
      </c>
      <c r="B3334" s="6" t="s">
        <v>97</v>
      </c>
      <c r="C3334" s="6">
        <v>34.15</v>
      </c>
      <c r="D3334" s="6">
        <v>37.11</v>
      </c>
      <c r="E3334" s="6">
        <v>36.26</v>
      </c>
      <c r="F3334" t="str">
        <f t="shared" si="1414"/>
        <v>MON</v>
      </c>
      <c r="G3334" s="1">
        <f t="shared" si="1415"/>
        <v>44046</v>
      </c>
      <c r="H3334" s="2">
        <f t="shared" ca="1" si="1416"/>
        <v>207</v>
      </c>
      <c r="I3334" t="str">
        <f t="shared" si="1417"/>
        <v>XLRE</v>
      </c>
      <c r="J3334">
        <f t="shared" si="1418"/>
        <v>34.15</v>
      </c>
      <c r="K3334">
        <f t="shared" si="1419"/>
        <v>37.11</v>
      </c>
      <c r="L3334">
        <f t="shared" si="1420"/>
        <v>35.629999999999995</v>
      </c>
      <c r="M3334">
        <f t="shared" si="1421"/>
        <v>1.4800000000000004</v>
      </c>
      <c r="N3334">
        <f t="shared" si="1425"/>
        <v>2.9600000000000009</v>
      </c>
      <c r="O3334">
        <f t="shared" si="1422"/>
        <v>36.26</v>
      </c>
      <c r="P3334">
        <f t="shared" si="1423"/>
        <v>0.42567567567567727</v>
      </c>
      <c r="Q3334" t="str">
        <f t="shared" si="1426"/>
        <v>5.82% | 2.34%</v>
      </c>
      <c r="R3334" t="str">
        <f t="shared" si="1424"/>
        <v>BULLISH</v>
      </c>
      <c r="S3334">
        <f t="shared" si="1427"/>
        <v>1</v>
      </c>
    </row>
    <row r="3335" spans="1:19" hidden="1" x14ac:dyDescent="0.25">
      <c r="A3335" s="5" t="str">
        <f t="shared" si="1428"/>
        <v>44046XLU</v>
      </c>
      <c r="B3335" s="6" t="s">
        <v>52</v>
      </c>
      <c r="C3335" s="6">
        <v>59.18</v>
      </c>
      <c r="D3335" s="6">
        <v>61.48</v>
      </c>
      <c r="E3335" s="6">
        <v>60.83</v>
      </c>
      <c r="F3335" t="str">
        <f t="shared" si="1414"/>
        <v>MON</v>
      </c>
      <c r="G3335" s="1">
        <f t="shared" si="1415"/>
        <v>44046</v>
      </c>
      <c r="H3335" s="2">
        <f t="shared" ca="1" si="1416"/>
        <v>207</v>
      </c>
      <c r="I3335" t="str">
        <f t="shared" si="1417"/>
        <v>XLU</v>
      </c>
      <c r="J3335">
        <f t="shared" si="1418"/>
        <v>59.18</v>
      </c>
      <c r="K3335">
        <f t="shared" si="1419"/>
        <v>61.48</v>
      </c>
      <c r="L3335">
        <f t="shared" si="1420"/>
        <v>60.33</v>
      </c>
      <c r="M3335">
        <f t="shared" si="1421"/>
        <v>1.1499999999999986</v>
      </c>
      <c r="N3335">
        <f t="shared" si="1425"/>
        <v>2.2999999999999972</v>
      </c>
      <c r="O3335">
        <f t="shared" si="1422"/>
        <v>60.83</v>
      </c>
      <c r="P3335">
        <f t="shared" si="1423"/>
        <v>0.43478260869565272</v>
      </c>
      <c r="Q3335" t="str">
        <f t="shared" si="1426"/>
        <v>2.71% | 1.07%</v>
      </c>
      <c r="R3335" t="str">
        <f t="shared" si="1424"/>
        <v>BULLISH</v>
      </c>
      <c r="S3335">
        <f t="shared" si="1427"/>
        <v>1</v>
      </c>
    </row>
    <row r="3336" spans="1:19" hidden="1" x14ac:dyDescent="0.25">
      <c r="A3336" s="5" t="str">
        <f t="shared" si="1428"/>
        <v>44046XLF</v>
      </c>
      <c r="B3336" s="6" t="s">
        <v>12</v>
      </c>
      <c r="C3336" s="6">
        <v>23.04</v>
      </c>
      <c r="D3336" s="6">
        <v>24.62</v>
      </c>
      <c r="E3336" s="6">
        <v>24.03</v>
      </c>
      <c r="F3336" t="str">
        <f t="shared" si="1414"/>
        <v>MON</v>
      </c>
      <c r="G3336" s="1">
        <f t="shared" si="1415"/>
        <v>44046</v>
      </c>
      <c r="H3336" s="2">
        <f t="shared" ca="1" si="1416"/>
        <v>207</v>
      </c>
      <c r="I3336" t="str">
        <f t="shared" si="1417"/>
        <v>XLF</v>
      </c>
      <c r="J3336">
        <f t="shared" si="1418"/>
        <v>23.04</v>
      </c>
      <c r="K3336">
        <f t="shared" si="1419"/>
        <v>24.62</v>
      </c>
      <c r="L3336">
        <f t="shared" si="1420"/>
        <v>23.83</v>
      </c>
      <c r="M3336">
        <f t="shared" si="1421"/>
        <v>0.79000000000000092</v>
      </c>
      <c r="N3336">
        <f t="shared" si="1425"/>
        <v>1.5800000000000018</v>
      </c>
      <c r="O3336">
        <f t="shared" si="1422"/>
        <v>24.03</v>
      </c>
      <c r="P3336">
        <f t="shared" si="1423"/>
        <v>0.25316455696202861</v>
      </c>
      <c r="Q3336" t="str">
        <f t="shared" si="1426"/>
        <v>4.12% | 2.46%</v>
      </c>
      <c r="R3336" t="str">
        <f t="shared" si="1424"/>
        <v>BEARISH</v>
      </c>
      <c r="S3336">
        <f t="shared" si="1427"/>
        <v>-1</v>
      </c>
    </row>
    <row r="3337" spans="1:19" hidden="1" x14ac:dyDescent="0.25">
      <c r="A3337" s="5" t="str">
        <f t="shared" si="1428"/>
        <v>44046SSEC</v>
      </c>
      <c r="B3337" s="6" t="s">
        <v>104</v>
      </c>
      <c r="C3337" s="6">
        <v>3213</v>
      </c>
      <c r="D3337" s="6">
        <v>3398</v>
      </c>
      <c r="E3337" s="6">
        <v>3367</v>
      </c>
      <c r="F3337" t="str">
        <f t="shared" si="1414"/>
        <v>MON</v>
      </c>
      <c r="G3337" s="1">
        <f t="shared" si="1415"/>
        <v>44046</v>
      </c>
      <c r="H3337" s="2">
        <f t="shared" ca="1" si="1416"/>
        <v>207</v>
      </c>
      <c r="I3337" t="str">
        <f t="shared" si="1417"/>
        <v>SSEC</v>
      </c>
      <c r="J3337">
        <f t="shared" si="1418"/>
        <v>3213</v>
      </c>
      <c r="K3337">
        <f t="shared" si="1419"/>
        <v>3398</v>
      </c>
      <c r="L3337">
        <f t="shared" si="1420"/>
        <v>3305.5</v>
      </c>
      <c r="M3337">
        <f t="shared" si="1421"/>
        <v>92.5</v>
      </c>
      <c r="N3337">
        <f t="shared" si="1425"/>
        <v>185</v>
      </c>
      <c r="O3337">
        <f t="shared" si="1422"/>
        <v>3367</v>
      </c>
      <c r="P3337">
        <f t="shared" si="1423"/>
        <v>0.66486486486486485</v>
      </c>
      <c r="Q3337" t="str">
        <f t="shared" si="1426"/>
        <v>4.57% | 0.92%</v>
      </c>
      <c r="R3337" t="str">
        <f t="shared" si="1424"/>
        <v>BULLISH</v>
      </c>
      <c r="S3337">
        <f t="shared" si="1427"/>
        <v>1</v>
      </c>
    </row>
    <row r="3338" spans="1:19" hidden="1" x14ac:dyDescent="0.25">
      <c r="A3338" s="5" t="str">
        <f t="shared" si="1428"/>
        <v>44046NIKK</v>
      </c>
      <c r="B3338" s="6" t="s">
        <v>15</v>
      </c>
      <c r="C3338" s="6">
        <v>21650</v>
      </c>
      <c r="D3338" s="6">
        <v>22541</v>
      </c>
      <c r="E3338" s="6">
        <v>22195</v>
      </c>
      <c r="F3338" t="str">
        <f t="shared" si="1414"/>
        <v>MON</v>
      </c>
      <c r="G3338" s="1">
        <f t="shared" si="1415"/>
        <v>44046</v>
      </c>
      <c r="H3338" s="2">
        <f t="shared" ca="1" si="1416"/>
        <v>207</v>
      </c>
      <c r="I3338" t="str">
        <f t="shared" si="1417"/>
        <v>NIKK</v>
      </c>
      <c r="J3338">
        <f t="shared" si="1418"/>
        <v>21650</v>
      </c>
      <c r="K3338">
        <f t="shared" si="1419"/>
        <v>22541</v>
      </c>
      <c r="L3338">
        <f t="shared" si="1420"/>
        <v>22095.5</v>
      </c>
      <c r="M3338">
        <f t="shared" si="1421"/>
        <v>445.5</v>
      </c>
      <c r="N3338">
        <f t="shared" si="1425"/>
        <v>891</v>
      </c>
      <c r="O3338">
        <f t="shared" si="1422"/>
        <v>22195</v>
      </c>
      <c r="P3338">
        <f t="shared" si="1423"/>
        <v>0.22334455667789002</v>
      </c>
      <c r="Q3338" t="str">
        <f t="shared" si="1426"/>
        <v>2.46% | 1.56%</v>
      </c>
      <c r="R3338" t="str">
        <f t="shared" si="1424"/>
        <v>BEARISH</v>
      </c>
      <c r="S3338">
        <f t="shared" si="1427"/>
        <v>-1</v>
      </c>
    </row>
    <row r="3339" spans="1:19" hidden="1" x14ac:dyDescent="0.25">
      <c r="A3339" s="5" t="str">
        <f t="shared" si="1428"/>
        <v>44046DAX</v>
      </c>
      <c r="B3339" s="6" t="s">
        <v>92</v>
      </c>
      <c r="C3339" s="6">
        <v>12240</v>
      </c>
      <c r="D3339" s="6">
        <v>12842</v>
      </c>
      <c r="E3339" s="6">
        <v>12313</v>
      </c>
      <c r="F3339" t="str">
        <f t="shared" si="1414"/>
        <v>MON</v>
      </c>
      <c r="G3339" s="1">
        <f t="shared" si="1415"/>
        <v>44046</v>
      </c>
      <c r="H3339" s="2">
        <f t="shared" ca="1" si="1416"/>
        <v>207</v>
      </c>
      <c r="I3339" t="str">
        <f t="shared" si="1417"/>
        <v>DAX</v>
      </c>
      <c r="J3339">
        <f t="shared" si="1418"/>
        <v>12240</v>
      </c>
      <c r="K3339">
        <f t="shared" si="1419"/>
        <v>12842</v>
      </c>
      <c r="L3339">
        <f t="shared" si="1420"/>
        <v>12541</v>
      </c>
      <c r="M3339">
        <f t="shared" si="1421"/>
        <v>301</v>
      </c>
      <c r="N3339">
        <f t="shared" si="1425"/>
        <v>602</v>
      </c>
      <c r="O3339">
        <f t="shared" si="1422"/>
        <v>12313</v>
      </c>
      <c r="P3339">
        <f t="shared" si="1423"/>
        <v>-0.75747508305647837</v>
      </c>
      <c r="Q3339" t="str">
        <f t="shared" si="1426"/>
        <v>0.59% | 4.3%</v>
      </c>
      <c r="R3339" t="str">
        <f t="shared" si="1424"/>
        <v>NEUTRAL</v>
      </c>
      <c r="S3339">
        <f t="shared" si="1427"/>
        <v>0</v>
      </c>
    </row>
    <row r="3340" spans="1:19" hidden="1" x14ac:dyDescent="0.25">
      <c r="A3340" s="5" t="str">
        <f t="shared" si="1428"/>
        <v>44046VIX</v>
      </c>
      <c r="B3340" s="6" t="s">
        <v>96</v>
      </c>
      <c r="C3340" s="6">
        <v>23.56</v>
      </c>
      <c r="D3340" s="6">
        <v>30.4</v>
      </c>
      <c r="E3340" s="6">
        <v>24.46</v>
      </c>
      <c r="F3340" t="str">
        <f t="shared" si="1414"/>
        <v>MON</v>
      </c>
      <c r="G3340" s="1">
        <f t="shared" si="1415"/>
        <v>44046</v>
      </c>
      <c r="H3340" s="2">
        <f t="shared" ca="1" si="1416"/>
        <v>207</v>
      </c>
      <c r="I3340" t="str">
        <f t="shared" si="1417"/>
        <v>VIX</v>
      </c>
      <c r="J3340">
        <f t="shared" si="1418"/>
        <v>23.56</v>
      </c>
      <c r="K3340">
        <f t="shared" si="1419"/>
        <v>30.4</v>
      </c>
      <c r="L3340">
        <f t="shared" si="1420"/>
        <v>26.979999999999997</v>
      </c>
      <c r="M3340">
        <f t="shared" si="1421"/>
        <v>3.4200000000000226</v>
      </c>
      <c r="N3340">
        <f t="shared" si="1425"/>
        <v>6.84</v>
      </c>
      <c r="O3340">
        <f t="shared" si="1422"/>
        <v>24.46</v>
      </c>
      <c r="P3340">
        <f t="shared" si="1423"/>
        <v>-0.73684210526315186</v>
      </c>
      <c r="Q3340" t="str">
        <f t="shared" si="1426"/>
        <v>3.68% | 24.28%</v>
      </c>
      <c r="R3340" t="str">
        <f t="shared" si="1424"/>
        <v>BEARISH</v>
      </c>
      <c r="S3340">
        <f t="shared" si="1427"/>
        <v>-1</v>
      </c>
    </row>
    <row r="3341" spans="1:19" hidden="1" x14ac:dyDescent="0.25">
      <c r="A3341" s="5" t="str">
        <f t="shared" si="1428"/>
        <v>44046USD</v>
      </c>
      <c r="B3341" s="6" t="s">
        <v>94</v>
      </c>
      <c r="C3341" s="6">
        <v>92.49</v>
      </c>
      <c r="D3341" s="6">
        <v>95.4</v>
      </c>
      <c r="E3341" s="6">
        <v>93.34</v>
      </c>
      <c r="F3341" t="str">
        <f t="shared" si="1414"/>
        <v>MON</v>
      </c>
      <c r="G3341" s="1">
        <f t="shared" si="1415"/>
        <v>44046</v>
      </c>
      <c r="H3341" s="2">
        <f t="shared" ca="1" si="1416"/>
        <v>207</v>
      </c>
      <c r="I3341" t="str">
        <f t="shared" si="1417"/>
        <v>USD</v>
      </c>
      <c r="J3341">
        <f t="shared" si="1418"/>
        <v>92.49</v>
      </c>
      <c r="K3341">
        <f t="shared" si="1419"/>
        <v>95.4</v>
      </c>
      <c r="L3341">
        <f t="shared" si="1420"/>
        <v>93.944999999999993</v>
      </c>
      <c r="M3341">
        <f t="shared" si="1421"/>
        <v>1.4550000000000054</v>
      </c>
      <c r="N3341">
        <f t="shared" si="1425"/>
        <v>2.9100000000000108</v>
      </c>
      <c r="O3341">
        <f t="shared" si="1422"/>
        <v>93.34</v>
      </c>
      <c r="P3341">
        <f t="shared" si="1423"/>
        <v>-0.41580756013744846</v>
      </c>
      <c r="Q3341" t="str">
        <f t="shared" si="1426"/>
        <v>0.91% | 2.21%</v>
      </c>
      <c r="R3341" t="str">
        <f t="shared" si="1424"/>
        <v>BEARISH</v>
      </c>
      <c r="S3341">
        <f t="shared" si="1427"/>
        <v>-1</v>
      </c>
    </row>
    <row r="3342" spans="1:19" hidden="1" x14ac:dyDescent="0.25">
      <c r="A3342" s="5" t="str">
        <f t="shared" si="1428"/>
        <v>44046EUR/USD</v>
      </c>
      <c r="B3342" s="6" t="s">
        <v>99</v>
      </c>
      <c r="C3342" s="6">
        <v>1.1499999999999999</v>
      </c>
      <c r="D3342" s="6">
        <v>1.18</v>
      </c>
      <c r="E3342" s="6">
        <v>1.17</v>
      </c>
      <c r="F3342" t="str">
        <f t="shared" si="1414"/>
        <v>MON</v>
      </c>
      <c r="G3342" s="1">
        <f t="shared" si="1415"/>
        <v>44046</v>
      </c>
      <c r="H3342" s="2">
        <f t="shared" ca="1" si="1416"/>
        <v>207</v>
      </c>
      <c r="I3342" t="str">
        <f t="shared" si="1417"/>
        <v>EUR/USD</v>
      </c>
      <c r="J3342">
        <f t="shared" si="1418"/>
        <v>1.1499999999999999</v>
      </c>
      <c r="K3342">
        <f t="shared" si="1419"/>
        <v>1.18</v>
      </c>
      <c r="L3342">
        <f t="shared" si="1420"/>
        <v>1.165</v>
      </c>
      <c r="M3342">
        <f t="shared" si="1421"/>
        <v>1.5000000000000013E-2</v>
      </c>
      <c r="N3342">
        <f t="shared" si="1425"/>
        <v>3.0000000000000027E-2</v>
      </c>
      <c r="O3342">
        <f t="shared" si="1422"/>
        <v>1.17</v>
      </c>
      <c r="P3342">
        <f t="shared" si="1423"/>
        <v>0.33333333333332593</v>
      </c>
      <c r="Q3342" t="str">
        <f t="shared" si="1426"/>
        <v>1.71% | 0.85%</v>
      </c>
      <c r="R3342" t="str">
        <f t="shared" si="1424"/>
        <v>BULLISH</v>
      </c>
      <c r="S3342">
        <f t="shared" si="1427"/>
        <v>1</v>
      </c>
    </row>
    <row r="3343" spans="1:19" hidden="1" x14ac:dyDescent="0.25">
      <c r="A3343" s="5" t="str">
        <f t="shared" si="1428"/>
        <v>44046USD/JPY</v>
      </c>
      <c r="B3343" s="6" t="s">
        <v>20</v>
      </c>
      <c r="C3343" s="6">
        <v>104.06</v>
      </c>
      <c r="D3343" s="6">
        <v>106.55</v>
      </c>
      <c r="E3343" s="6">
        <v>105.91</v>
      </c>
      <c r="F3343" t="str">
        <f t="shared" si="1414"/>
        <v>MON</v>
      </c>
      <c r="G3343" s="1">
        <f t="shared" si="1415"/>
        <v>44046</v>
      </c>
      <c r="H3343" s="2">
        <f t="shared" ca="1" si="1416"/>
        <v>207</v>
      </c>
      <c r="I3343" t="str">
        <f t="shared" si="1417"/>
        <v>USD/JPY</v>
      </c>
      <c r="J3343">
        <f t="shared" si="1418"/>
        <v>104.06</v>
      </c>
      <c r="K3343">
        <f t="shared" si="1419"/>
        <v>106.55</v>
      </c>
      <c r="L3343">
        <f t="shared" si="1420"/>
        <v>105.30500000000001</v>
      </c>
      <c r="M3343">
        <f t="shared" si="1421"/>
        <v>1.2449999999999974</v>
      </c>
      <c r="N3343">
        <f t="shared" si="1425"/>
        <v>2.4899999999999949</v>
      </c>
      <c r="O3343">
        <f t="shared" si="1422"/>
        <v>105.91</v>
      </c>
      <c r="P3343">
        <f t="shared" si="1423"/>
        <v>0.48594377510039438</v>
      </c>
      <c r="Q3343" t="str">
        <f t="shared" si="1426"/>
        <v>1.75% | 0.6%</v>
      </c>
      <c r="R3343" t="str">
        <f t="shared" si="1424"/>
        <v>BEARISH</v>
      </c>
      <c r="S3343">
        <f t="shared" si="1427"/>
        <v>-1</v>
      </c>
    </row>
    <row r="3344" spans="1:19" hidden="1" x14ac:dyDescent="0.25">
      <c r="A3344" s="5" t="str">
        <f t="shared" si="1428"/>
        <v>44046GBP/USD</v>
      </c>
      <c r="B3344" s="6" t="s">
        <v>102</v>
      </c>
      <c r="C3344" s="6">
        <v>1.27</v>
      </c>
      <c r="D3344" s="6">
        <v>1.31</v>
      </c>
      <c r="E3344" s="6">
        <v>1.3</v>
      </c>
      <c r="F3344" t="str">
        <f t="shared" si="1414"/>
        <v>MON</v>
      </c>
      <c r="G3344" s="1">
        <f t="shared" si="1415"/>
        <v>44046</v>
      </c>
      <c r="H3344" s="2">
        <f t="shared" ca="1" si="1416"/>
        <v>207</v>
      </c>
      <c r="I3344" t="str">
        <f t="shared" si="1417"/>
        <v>GBP/USD</v>
      </c>
      <c r="J3344">
        <f t="shared" si="1418"/>
        <v>1.27</v>
      </c>
      <c r="K3344">
        <f t="shared" si="1419"/>
        <v>1.31</v>
      </c>
      <c r="L3344">
        <f t="shared" si="1420"/>
        <v>1.29</v>
      </c>
      <c r="M3344">
        <f t="shared" si="1421"/>
        <v>2.0000000000000018E-2</v>
      </c>
      <c r="N3344">
        <f t="shared" si="1425"/>
        <v>4.0000000000000036E-2</v>
      </c>
      <c r="O3344">
        <f t="shared" si="1422"/>
        <v>1.3</v>
      </c>
      <c r="P3344">
        <f t="shared" si="1423"/>
        <v>0.5</v>
      </c>
      <c r="Q3344" t="str">
        <f t="shared" si="1426"/>
        <v>2.31% | 0.77%</v>
      </c>
      <c r="R3344" t="str">
        <f t="shared" si="1424"/>
        <v>BULLISH</v>
      </c>
      <c r="S3344">
        <f t="shared" si="1427"/>
        <v>1</v>
      </c>
    </row>
    <row r="3345" spans="1:19" hidden="1" x14ac:dyDescent="0.25">
      <c r="A3345" s="5" t="str">
        <f t="shared" si="1428"/>
        <v>44046USD/CHF</v>
      </c>
      <c r="B3345" s="6" t="s">
        <v>76</v>
      </c>
      <c r="C3345" s="6">
        <v>0.9</v>
      </c>
      <c r="D3345" s="6">
        <v>0.92</v>
      </c>
      <c r="E3345" s="6">
        <v>0.91</v>
      </c>
      <c r="F3345" t="str">
        <f t="shared" si="1414"/>
        <v>MON</v>
      </c>
      <c r="G3345" s="1">
        <f t="shared" si="1415"/>
        <v>44046</v>
      </c>
      <c r="H3345" s="2">
        <f t="shared" ca="1" si="1416"/>
        <v>207</v>
      </c>
      <c r="I3345" t="str">
        <f t="shared" si="1417"/>
        <v>USD/CHF</v>
      </c>
      <c r="J3345">
        <f t="shared" si="1418"/>
        <v>0.9</v>
      </c>
      <c r="K3345">
        <f t="shared" si="1419"/>
        <v>0.92</v>
      </c>
      <c r="L3345">
        <f t="shared" si="1420"/>
        <v>0.91</v>
      </c>
      <c r="M3345">
        <f t="shared" si="1421"/>
        <v>1.0000000000000009E-2</v>
      </c>
      <c r="N3345">
        <f t="shared" si="1425"/>
        <v>2.0000000000000018E-2</v>
      </c>
      <c r="O3345">
        <f t="shared" si="1422"/>
        <v>0.91</v>
      </c>
      <c r="P3345">
        <f t="shared" si="1423"/>
        <v>0</v>
      </c>
      <c r="Q3345" t="str">
        <f t="shared" si="1426"/>
        <v>1.1% | 1.1%</v>
      </c>
      <c r="R3345" t="str">
        <f t="shared" si="1424"/>
        <v>BEARISH</v>
      </c>
      <c r="S3345">
        <f t="shared" si="1427"/>
        <v>-1</v>
      </c>
    </row>
    <row r="3346" spans="1:19" hidden="1" x14ac:dyDescent="0.25">
      <c r="A3346" s="5" t="str">
        <f t="shared" si="1428"/>
        <v>44046WTIC</v>
      </c>
      <c r="B3346" s="6" t="s">
        <v>158</v>
      </c>
      <c r="C3346" s="6">
        <v>39.659999999999997</v>
      </c>
      <c r="D3346" s="6">
        <v>42.43</v>
      </c>
      <c r="E3346" s="6">
        <v>40.270000000000003</v>
      </c>
      <c r="F3346" t="str">
        <f t="shared" si="1414"/>
        <v>MON</v>
      </c>
      <c r="G3346" s="1">
        <f t="shared" si="1415"/>
        <v>44046</v>
      </c>
      <c r="H3346" s="2">
        <f t="shared" ca="1" si="1416"/>
        <v>207</v>
      </c>
      <c r="I3346" t="str">
        <f t="shared" si="1417"/>
        <v>WTIC</v>
      </c>
      <c r="J3346">
        <f t="shared" si="1418"/>
        <v>39.659999999999997</v>
      </c>
      <c r="K3346">
        <f t="shared" si="1419"/>
        <v>42.43</v>
      </c>
      <c r="L3346">
        <f t="shared" si="1420"/>
        <v>41.045000000000002</v>
      </c>
      <c r="M3346">
        <f t="shared" si="1421"/>
        <v>1.3850000000000016</v>
      </c>
      <c r="N3346">
        <f t="shared" si="1425"/>
        <v>2.7700000000000031</v>
      </c>
      <c r="O3346">
        <f t="shared" si="1422"/>
        <v>40.270000000000003</v>
      </c>
      <c r="P3346">
        <f t="shared" si="1423"/>
        <v>-0.5595667870036084</v>
      </c>
      <c r="Q3346" t="str">
        <f t="shared" si="1426"/>
        <v>1.51% | 5.36%</v>
      </c>
      <c r="R3346" t="str">
        <f t="shared" si="1424"/>
        <v>BULLISH</v>
      </c>
      <c r="S3346">
        <f t="shared" si="1427"/>
        <v>1</v>
      </c>
    </row>
    <row r="3347" spans="1:19" hidden="1" x14ac:dyDescent="0.25">
      <c r="A3347" s="5" t="str">
        <f t="shared" si="1428"/>
        <v>44046NATGAS</v>
      </c>
      <c r="B3347" s="6" t="s">
        <v>89</v>
      </c>
      <c r="C3347" s="6">
        <v>1.65</v>
      </c>
      <c r="D3347" s="6">
        <v>1.99</v>
      </c>
      <c r="E3347" s="6">
        <v>1.8</v>
      </c>
      <c r="F3347" t="str">
        <f t="shared" si="1414"/>
        <v>MON</v>
      </c>
      <c r="G3347" s="1">
        <f t="shared" si="1415"/>
        <v>44046</v>
      </c>
      <c r="H3347" s="2">
        <f t="shared" ca="1" si="1416"/>
        <v>207</v>
      </c>
      <c r="I3347" t="str">
        <f t="shared" si="1417"/>
        <v>NATGAS</v>
      </c>
      <c r="J3347">
        <f t="shared" si="1418"/>
        <v>1.65</v>
      </c>
      <c r="K3347">
        <f t="shared" si="1419"/>
        <v>1.99</v>
      </c>
      <c r="L3347">
        <f t="shared" si="1420"/>
        <v>1.8199999999999998</v>
      </c>
      <c r="M3347">
        <f t="shared" si="1421"/>
        <v>0.17000000000000004</v>
      </c>
      <c r="N3347">
        <f t="shared" si="1425"/>
        <v>0.34000000000000008</v>
      </c>
      <c r="O3347">
        <f t="shared" si="1422"/>
        <v>1.8</v>
      </c>
      <c r="P3347">
        <f t="shared" si="1423"/>
        <v>-0.11764705882352819</v>
      </c>
      <c r="Q3347" t="str">
        <f t="shared" si="1426"/>
        <v>8.33% | 10.56%</v>
      </c>
      <c r="R3347" t="str">
        <f t="shared" si="1424"/>
        <v>BULLISH</v>
      </c>
      <c r="S3347">
        <f t="shared" si="1427"/>
        <v>1</v>
      </c>
    </row>
    <row r="3348" spans="1:19" hidden="1" x14ac:dyDescent="0.25">
      <c r="A3348" s="5" t="str">
        <f t="shared" si="1428"/>
        <v>44046GOLD</v>
      </c>
      <c r="B3348" s="6" t="s">
        <v>25</v>
      </c>
      <c r="C3348" s="6">
        <v>1918</v>
      </c>
      <c r="D3348" s="6">
        <v>2011</v>
      </c>
      <c r="E3348" s="6">
        <v>1985</v>
      </c>
      <c r="F3348" t="str">
        <f t="shared" si="1414"/>
        <v>MON</v>
      </c>
      <c r="G3348" s="1">
        <f t="shared" si="1415"/>
        <v>44046</v>
      </c>
      <c r="H3348" s="2">
        <f t="shared" ca="1" si="1416"/>
        <v>207</v>
      </c>
      <c r="I3348" t="str">
        <f t="shared" si="1417"/>
        <v>GOLD</v>
      </c>
      <c r="J3348">
        <f t="shared" si="1418"/>
        <v>1918</v>
      </c>
      <c r="K3348">
        <f t="shared" si="1419"/>
        <v>2011</v>
      </c>
      <c r="L3348">
        <f t="shared" si="1420"/>
        <v>1964.5</v>
      </c>
      <c r="M3348">
        <f t="shared" si="1421"/>
        <v>46.5</v>
      </c>
      <c r="N3348">
        <f t="shared" si="1425"/>
        <v>93</v>
      </c>
      <c r="O3348">
        <f t="shared" si="1422"/>
        <v>1985</v>
      </c>
      <c r="P3348">
        <f t="shared" si="1423"/>
        <v>0.44086021505376344</v>
      </c>
      <c r="Q3348" t="str">
        <f t="shared" si="1426"/>
        <v>3.38% | 1.31%</v>
      </c>
      <c r="R3348" t="str">
        <f t="shared" si="1424"/>
        <v>BULLISH</v>
      </c>
      <c r="S3348">
        <f t="shared" si="1427"/>
        <v>1</v>
      </c>
    </row>
    <row r="3349" spans="1:19" hidden="1" x14ac:dyDescent="0.25">
      <c r="A3349" s="5" t="str">
        <f t="shared" si="1428"/>
        <v>44046SILVER</v>
      </c>
      <c r="B3349" s="6" t="s">
        <v>195</v>
      </c>
      <c r="C3349" s="6">
        <v>21.75</v>
      </c>
      <c r="D3349" s="6">
        <v>25.49</v>
      </c>
      <c r="E3349" s="6">
        <v>24.22</v>
      </c>
      <c r="F3349" t="str">
        <f t="shared" si="1414"/>
        <v>MON</v>
      </c>
      <c r="G3349" s="1">
        <f t="shared" si="1415"/>
        <v>44046</v>
      </c>
      <c r="H3349" s="2">
        <f t="shared" ca="1" si="1416"/>
        <v>207</v>
      </c>
      <c r="I3349" t="str">
        <f t="shared" si="1417"/>
        <v>SILVER</v>
      </c>
      <c r="J3349">
        <f t="shared" si="1418"/>
        <v>21.75</v>
      </c>
      <c r="K3349">
        <f t="shared" si="1419"/>
        <v>25.49</v>
      </c>
      <c r="L3349">
        <f t="shared" si="1420"/>
        <v>23.619999999999997</v>
      </c>
      <c r="M3349">
        <f t="shared" si="1421"/>
        <v>1.8699999999999992</v>
      </c>
      <c r="N3349">
        <f t="shared" si="1425"/>
        <v>3.7399999999999984</v>
      </c>
      <c r="O3349">
        <f t="shared" si="1422"/>
        <v>24.22</v>
      </c>
      <c r="P3349">
        <f t="shared" si="1423"/>
        <v>0.32085561497326293</v>
      </c>
      <c r="Q3349" t="str">
        <f t="shared" si="1426"/>
        <v>10.2% | 5.24%</v>
      </c>
      <c r="R3349" t="str">
        <f t="shared" si="1424"/>
        <v>BULLISH</v>
      </c>
      <c r="S3349">
        <f t="shared" si="1427"/>
        <v>1</v>
      </c>
    </row>
    <row r="3350" spans="1:19" hidden="1" x14ac:dyDescent="0.25">
      <c r="A3350" s="5" t="str">
        <f t="shared" si="1428"/>
        <v>44046COPPER</v>
      </c>
      <c r="B3350" s="6" t="s">
        <v>100</v>
      </c>
      <c r="C3350" s="6">
        <v>2.84</v>
      </c>
      <c r="D3350" s="6">
        <v>2.97</v>
      </c>
      <c r="E3350" s="6">
        <v>2.87</v>
      </c>
      <c r="F3350" t="str">
        <f t="shared" si="1414"/>
        <v>MON</v>
      </c>
      <c r="G3350" s="1">
        <f t="shared" si="1415"/>
        <v>44046</v>
      </c>
      <c r="H3350" s="2">
        <f t="shared" ca="1" si="1416"/>
        <v>207</v>
      </c>
      <c r="I3350" t="str">
        <f t="shared" si="1417"/>
        <v>COPPER</v>
      </c>
      <c r="J3350">
        <f t="shared" si="1418"/>
        <v>2.84</v>
      </c>
      <c r="K3350">
        <f t="shared" si="1419"/>
        <v>2.97</v>
      </c>
      <c r="L3350">
        <f t="shared" si="1420"/>
        <v>2.9050000000000002</v>
      </c>
      <c r="M3350">
        <f t="shared" si="1421"/>
        <v>6.5000000000000169E-2</v>
      </c>
      <c r="N3350">
        <f t="shared" si="1425"/>
        <v>0.13000000000000034</v>
      </c>
      <c r="O3350">
        <f t="shared" si="1422"/>
        <v>2.87</v>
      </c>
      <c r="P3350">
        <f t="shared" si="1423"/>
        <v>-0.53846153846153921</v>
      </c>
      <c r="Q3350" t="str">
        <f t="shared" si="1426"/>
        <v>1.05% | 3.48%</v>
      </c>
      <c r="R3350" t="str">
        <f t="shared" si="1424"/>
        <v>BULLISH</v>
      </c>
      <c r="S3350">
        <f t="shared" si="1427"/>
        <v>1</v>
      </c>
    </row>
    <row r="3351" spans="1:19" hidden="1" x14ac:dyDescent="0.25">
      <c r="A3351" s="5" t="str">
        <f t="shared" si="1428"/>
        <v>44046MSFT</v>
      </c>
      <c r="B3351" s="6" t="s">
        <v>27</v>
      </c>
      <c r="C3351" s="6">
        <v>198</v>
      </c>
      <c r="D3351" s="6">
        <v>212</v>
      </c>
      <c r="E3351" s="6">
        <v>205</v>
      </c>
      <c r="F3351" t="str">
        <f t="shared" si="1414"/>
        <v>MON</v>
      </c>
      <c r="G3351" s="1">
        <f t="shared" si="1415"/>
        <v>44046</v>
      </c>
      <c r="H3351" s="2">
        <f t="shared" ca="1" si="1416"/>
        <v>207</v>
      </c>
      <c r="I3351" t="str">
        <f t="shared" si="1417"/>
        <v>MSFT</v>
      </c>
      <c r="J3351">
        <f t="shared" si="1418"/>
        <v>198</v>
      </c>
      <c r="K3351">
        <f t="shared" si="1419"/>
        <v>212</v>
      </c>
      <c r="L3351">
        <f t="shared" si="1420"/>
        <v>205</v>
      </c>
      <c r="M3351">
        <f t="shared" si="1421"/>
        <v>7</v>
      </c>
      <c r="N3351">
        <f t="shared" si="1425"/>
        <v>14</v>
      </c>
      <c r="O3351">
        <f t="shared" si="1422"/>
        <v>205</v>
      </c>
      <c r="P3351">
        <f t="shared" si="1423"/>
        <v>0</v>
      </c>
      <c r="Q3351" t="str">
        <f t="shared" si="1426"/>
        <v>3.41% | 3.41%</v>
      </c>
      <c r="R3351" t="str">
        <f t="shared" si="1424"/>
        <v>BULLISH</v>
      </c>
      <c r="S3351">
        <f t="shared" si="1427"/>
        <v>1</v>
      </c>
    </row>
    <row r="3352" spans="1:19" hidden="1" x14ac:dyDescent="0.25">
      <c r="A3352" s="5" t="str">
        <f t="shared" si="1428"/>
        <v>44046AAPL</v>
      </c>
      <c r="B3352" s="6" t="s">
        <v>28</v>
      </c>
      <c r="C3352" s="6">
        <v>376</v>
      </c>
      <c r="D3352" s="6">
        <v>437</v>
      </c>
      <c r="E3352" s="6">
        <v>425</v>
      </c>
      <c r="F3352" t="str">
        <f t="shared" si="1414"/>
        <v>MON</v>
      </c>
      <c r="G3352" s="1">
        <f t="shared" si="1415"/>
        <v>44046</v>
      </c>
      <c r="H3352" s="2">
        <f t="shared" ca="1" si="1416"/>
        <v>207</v>
      </c>
      <c r="I3352" t="str">
        <f t="shared" si="1417"/>
        <v>AAPL</v>
      </c>
      <c r="J3352">
        <f t="shared" si="1418"/>
        <v>376</v>
      </c>
      <c r="K3352">
        <f t="shared" si="1419"/>
        <v>437</v>
      </c>
      <c r="L3352">
        <f t="shared" si="1420"/>
        <v>406.5</v>
      </c>
      <c r="M3352">
        <f t="shared" si="1421"/>
        <v>30.5</v>
      </c>
      <c r="N3352">
        <f t="shared" si="1425"/>
        <v>61</v>
      </c>
      <c r="O3352">
        <f t="shared" si="1422"/>
        <v>425</v>
      </c>
      <c r="P3352">
        <f t="shared" si="1423"/>
        <v>0.60655737704918034</v>
      </c>
      <c r="Q3352" t="str">
        <f t="shared" si="1426"/>
        <v>11.53% | 2.82%</v>
      </c>
      <c r="R3352" t="str">
        <f t="shared" si="1424"/>
        <v>BULLISH</v>
      </c>
      <c r="S3352">
        <f t="shared" si="1427"/>
        <v>1</v>
      </c>
    </row>
    <row r="3353" spans="1:19" hidden="1" x14ac:dyDescent="0.25">
      <c r="A3353" s="5" t="str">
        <f t="shared" si="1428"/>
        <v>44046AMZN</v>
      </c>
      <c r="B3353" s="6" t="s">
        <v>29</v>
      </c>
      <c r="C3353" s="6">
        <v>2952</v>
      </c>
      <c r="D3353" s="6">
        <v>3187</v>
      </c>
      <c r="E3353" s="6">
        <v>3164</v>
      </c>
      <c r="F3353" t="str">
        <f t="shared" si="1414"/>
        <v>MON</v>
      </c>
      <c r="G3353" s="1">
        <f t="shared" si="1415"/>
        <v>44046</v>
      </c>
      <c r="H3353" s="2">
        <f t="shared" ca="1" si="1416"/>
        <v>207</v>
      </c>
      <c r="I3353" t="str">
        <f t="shared" si="1417"/>
        <v>AMZN</v>
      </c>
      <c r="J3353">
        <f t="shared" si="1418"/>
        <v>2952</v>
      </c>
      <c r="K3353">
        <f t="shared" si="1419"/>
        <v>3187</v>
      </c>
      <c r="L3353">
        <f t="shared" si="1420"/>
        <v>3069.5</v>
      </c>
      <c r="M3353">
        <f t="shared" si="1421"/>
        <v>117.5</v>
      </c>
      <c r="N3353">
        <f t="shared" si="1425"/>
        <v>235</v>
      </c>
      <c r="O3353">
        <f t="shared" si="1422"/>
        <v>3164</v>
      </c>
      <c r="P3353">
        <f t="shared" si="1423"/>
        <v>0.80425531914893622</v>
      </c>
      <c r="Q3353" t="str">
        <f t="shared" si="1426"/>
        <v>6.7% | 0.73%</v>
      </c>
      <c r="R3353" t="str">
        <f t="shared" si="1424"/>
        <v>BULLISH</v>
      </c>
      <c r="S3353">
        <f t="shared" si="1427"/>
        <v>1</v>
      </c>
    </row>
    <row r="3354" spans="1:19" hidden="1" x14ac:dyDescent="0.25">
      <c r="A3354" s="5" t="str">
        <f t="shared" si="1428"/>
        <v>44046FB</v>
      </c>
      <c r="B3354" s="6" t="s">
        <v>30</v>
      </c>
      <c r="C3354" s="6">
        <v>236</v>
      </c>
      <c r="D3354" s="6">
        <v>259</v>
      </c>
      <c r="E3354" s="6">
        <v>253</v>
      </c>
      <c r="F3354" t="str">
        <f t="shared" si="1414"/>
        <v>MON</v>
      </c>
      <c r="G3354" s="1">
        <f t="shared" si="1415"/>
        <v>44046</v>
      </c>
      <c r="H3354" s="2">
        <f t="shared" ca="1" si="1416"/>
        <v>207</v>
      </c>
      <c r="I3354" t="str">
        <f t="shared" si="1417"/>
        <v>FB</v>
      </c>
      <c r="J3354">
        <f t="shared" si="1418"/>
        <v>236</v>
      </c>
      <c r="K3354">
        <f t="shared" si="1419"/>
        <v>259</v>
      </c>
      <c r="L3354">
        <f t="shared" si="1420"/>
        <v>247.5</v>
      </c>
      <c r="M3354">
        <f t="shared" si="1421"/>
        <v>11.5</v>
      </c>
      <c r="N3354">
        <f t="shared" si="1425"/>
        <v>23</v>
      </c>
      <c r="O3354">
        <f t="shared" si="1422"/>
        <v>253</v>
      </c>
      <c r="P3354">
        <f t="shared" si="1423"/>
        <v>0.47826086956521741</v>
      </c>
      <c r="Q3354" t="str">
        <f t="shared" si="1426"/>
        <v>6.72% | 2.37%</v>
      </c>
      <c r="R3354" t="str">
        <f t="shared" si="1424"/>
        <v>BULLISH</v>
      </c>
      <c r="S3354">
        <f t="shared" si="1427"/>
        <v>1</v>
      </c>
    </row>
    <row r="3355" spans="1:19" hidden="1" x14ac:dyDescent="0.25">
      <c r="A3355" s="5" t="str">
        <f t="shared" si="1428"/>
        <v>44046GOOGL</v>
      </c>
      <c r="B3355" s="6" t="s">
        <v>31</v>
      </c>
      <c r="C3355" s="6">
        <v>1474</v>
      </c>
      <c r="D3355" s="6">
        <v>1571</v>
      </c>
      <c r="E3355" s="6">
        <v>1487</v>
      </c>
      <c r="F3355" t="str">
        <f t="shared" si="1414"/>
        <v>MON</v>
      </c>
      <c r="G3355" s="1">
        <f t="shared" si="1415"/>
        <v>44046</v>
      </c>
      <c r="H3355" s="2">
        <f t="shared" ca="1" si="1416"/>
        <v>207</v>
      </c>
      <c r="I3355" t="str">
        <f t="shared" si="1417"/>
        <v>GOOGL</v>
      </c>
      <c r="J3355">
        <f t="shared" si="1418"/>
        <v>1474</v>
      </c>
      <c r="K3355">
        <f t="shared" si="1419"/>
        <v>1571</v>
      </c>
      <c r="L3355">
        <f t="shared" si="1420"/>
        <v>1522.5</v>
      </c>
      <c r="M3355">
        <f t="shared" si="1421"/>
        <v>48.5</v>
      </c>
      <c r="N3355">
        <f t="shared" si="1425"/>
        <v>97</v>
      </c>
      <c r="O3355">
        <f t="shared" si="1422"/>
        <v>1487</v>
      </c>
      <c r="P3355">
        <f t="shared" si="1423"/>
        <v>-0.73195876288659789</v>
      </c>
      <c r="Q3355" t="str">
        <f t="shared" si="1426"/>
        <v>0.87% | 5.65%</v>
      </c>
      <c r="R3355" t="str">
        <f t="shared" si="1424"/>
        <v>BULLISH</v>
      </c>
      <c r="S3355">
        <f t="shared" si="1427"/>
        <v>1</v>
      </c>
    </row>
    <row r="3356" spans="1:19" hidden="1" x14ac:dyDescent="0.25">
      <c r="A3356" s="5" t="str">
        <f t="shared" si="1428"/>
        <v>44046NFLX</v>
      </c>
      <c r="B3356" s="6" t="s">
        <v>32</v>
      </c>
      <c r="C3356" s="6">
        <v>475</v>
      </c>
      <c r="D3356" s="6">
        <v>501</v>
      </c>
      <c r="E3356" s="6">
        <v>488</v>
      </c>
      <c r="F3356" t="str">
        <f t="shared" si="1414"/>
        <v>MON</v>
      </c>
      <c r="G3356" s="1">
        <f t="shared" si="1415"/>
        <v>44046</v>
      </c>
      <c r="H3356" s="2">
        <f t="shared" ca="1" si="1416"/>
        <v>207</v>
      </c>
      <c r="I3356" t="str">
        <f t="shared" si="1417"/>
        <v>NFLX</v>
      </c>
      <c r="J3356">
        <f t="shared" si="1418"/>
        <v>475</v>
      </c>
      <c r="K3356">
        <f t="shared" si="1419"/>
        <v>501</v>
      </c>
      <c r="L3356">
        <f t="shared" si="1420"/>
        <v>488</v>
      </c>
      <c r="M3356">
        <f t="shared" si="1421"/>
        <v>13</v>
      </c>
      <c r="N3356">
        <f t="shared" si="1425"/>
        <v>26</v>
      </c>
      <c r="O3356">
        <f t="shared" si="1422"/>
        <v>488</v>
      </c>
      <c r="P3356">
        <f t="shared" si="1423"/>
        <v>0</v>
      </c>
      <c r="Q3356" t="str">
        <f t="shared" si="1426"/>
        <v>2.66% | 2.66%</v>
      </c>
      <c r="R3356" t="str">
        <f t="shared" si="1424"/>
        <v>BULLISH</v>
      </c>
      <c r="S3356">
        <f t="shared" si="1427"/>
        <v>1</v>
      </c>
    </row>
    <row r="3357" spans="1:19" x14ac:dyDescent="0.25">
      <c r="A3357" s="5" t="str">
        <f t="shared" si="1428"/>
        <v>44046TSLA</v>
      </c>
      <c r="B3357" s="6" t="s">
        <v>33</v>
      </c>
      <c r="C3357" s="6">
        <v>1375</v>
      </c>
      <c r="D3357" s="6">
        <v>1614</v>
      </c>
      <c r="E3357" s="6">
        <v>1430</v>
      </c>
      <c r="F3357" t="str">
        <f t="shared" si="1414"/>
        <v>MON</v>
      </c>
      <c r="G3357" s="1">
        <f t="shared" si="1415"/>
        <v>44046</v>
      </c>
      <c r="H3357" s="2">
        <f t="shared" ca="1" si="1416"/>
        <v>207</v>
      </c>
      <c r="I3357" t="str">
        <f t="shared" si="1417"/>
        <v>TSLA</v>
      </c>
      <c r="J3357">
        <f t="shared" si="1418"/>
        <v>1375</v>
      </c>
      <c r="K3357">
        <f t="shared" si="1419"/>
        <v>1614</v>
      </c>
      <c r="L3357">
        <f t="shared" si="1420"/>
        <v>1494.5</v>
      </c>
      <c r="M3357">
        <f t="shared" si="1421"/>
        <v>119.5</v>
      </c>
      <c r="N3357">
        <f t="shared" si="1425"/>
        <v>239</v>
      </c>
      <c r="O3357">
        <f t="shared" si="1422"/>
        <v>1430</v>
      </c>
      <c r="P3357">
        <f t="shared" si="1423"/>
        <v>-0.53974895397489542</v>
      </c>
      <c r="Q3357" t="str">
        <f t="shared" si="1426"/>
        <v>3.85% | 12.87%</v>
      </c>
      <c r="R3357" t="str">
        <f t="shared" si="1424"/>
        <v>BULLISH</v>
      </c>
      <c r="S3357">
        <f t="shared" si="1427"/>
        <v>1</v>
      </c>
    </row>
    <row r="3358" spans="1:19" hidden="1" x14ac:dyDescent="0.25">
      <c r="A3358" s="5" t="str">
        <f t="shared" si="1428"/>
        <v>44046NYXBT</v>
      </c>
      <c r="B3358" s="6" t="s">
        <v>60</v>
      </c>
      <c r="C3358" s="6">
        <v>10206</v>
      </c>
      <c r="D3358" s="6">
        <v>11949</v>
      </c>
      <c r="E3358" s="6">
        <v>11226</v>
      </c>
      <c r="F3358" t="str">
        <f t="shared" si="1414"/>
        <v>MON</v>
      </c>
      <c r="G3358" s="1">
        <f t="shared" si="1415"/>
        <v>44046</v>
      </c>
      <c r="H3358" s="2">
        <f t="shared" ca="1" si="1416"/>
        <v>207</v>
      </c>
      <c r="I3358" t="str">
        <f t="shared" si="1417"/>
        <v>NYXBT</v>
      </c>
      <c r="J3358">
        <f t="shared" si="1418"/>
        <v>10206</v>
      </c>
      <c r="K3358">
        <f t="shared" si="1419"/>
        <v>11949</v>
      </c>
      <c r="L3358">
        <f t="shared" si="1420"/>
        <v>11077.5</v>
      </c>
      <c r="M3358">
        <f t="shared" si="1421"/>
        <v>871.5</v>
      </c>
      <c r="N3358">
        <f t="shared" si="1425"/>
        <v>1743</v>
      </c>
      <c r="O3358">
        <f t="shared" si="1422"/>
        <v>11226</v>
      </c>
      <c r="P3358">
        <f t="shared" si="1423"/>
        <v>0.1703958691910499</v>
      </c>
      <c r="Q3358" t="str">
        <f t="shared" si="1426"/>
        <v>9.09% | 6.44%</v>
      </c>
      <c r="R3358" t="str">
        <f t="shared" si="1424"/>
        <v>BULLISH</v>
      </c>
      <c r="S3358">
        <f t="shared" si="1427"/>
        <v>1</v>
      </c>
    </row>
    <row r="3359" spans="1:19" hidden="1" x14ac:dyDescent="0.25">
      <c r="A3359" s="5" t="str">
        <f t="shared" si="1428"/>
        <v>44047UST10Y</v>
      </c>
      <c r="B3359" s="6" t="s">
        <v>4</v>
      </c>
      <c r="C3359" s="6">
        <v>0.62</v>
      </c>
      <c r="D3359" s="6">
        <v>0.52</v>
      </c>
      <c r="E3359" s="6">
        <v>0.56000000000000005</v>
      </c>
      <c r="F3359" t="str">
        <f t="shared" si="1414"/>
        <v>TUE</v>
      </c>
      <c r="G3359" s="3">
        <f>DATE(2020,8,4)</f>
        <v>44047</v>
      </c>
      <c r="H3359" s="2">
        <f t="shared" ca="1" si="1416"/>
        <v>206</v>
      </c>
      <c r="I3359" t="str">
        <f t="shared" si="1417"/>
        <v>UST10Y</v>
      </c>
      <c r="J3359">
        <f t="shared" si="1418"/>
        <v>0.62</v>
      </c>
      <c r="K3359">
        <f t="shared" si="1419"/>
        <v>0.52</v>
      </c>
      <c r="L3359">
        <f t="shared" si="1420"/>
        <v>0.57000000000000006</v>
      </c>
      <c r="M3359">
        <f t="shared" si="1421"/>
        <v>4.9999999999999989E-2</v>
      </c>
      <c r="N3359">
        <f t="shared" si="1425"/>
        <v>9.9999999999999978E-2</v>
      </c>
      <c r="O3359">
        <f t="shared" si="1422"/>
        <v>0.56000000000000005</v>
      </c>
      <c r="P3359">
        <f t="shared" si="1423"/>
        <v>-0.20000000000000023</v>
      </c>
      <c r="Q3359" t="str">
        <f t="shared" si="1426"/>
        <v>10.71% | 7.14%</v>
      </c>
      <c r="R3359" t="str">
        <f t="shared" si="1424"/>
        <v>BEARISH</v>
      </c>
      <c r="S3359">
        <f t="shared" si="1427"/>
        <v>-1</v>
      </c>
    </row>
    <row r="3360" spans="1:19" hidden="1" x14ac:dyDescent="0.25">
      <c r="A3360" s="5" t="str">
        <f t="shared" si="1428"/>
        <v>44047UST2Y</v>
      </c>
      <c r="B3360" s="6" t="s">
        <v>5</v>
      </c>
      <c r="C3360" s="6">
        <v>0.14000000000000001</v>
      </c>
      <c r="D3360" s="6">
        <v>0.1</v>
      </c>
      <c r="E3360" s="6">
        <v>0.11</v>
      </c>
      <c r="F3360" t="str">
        <f t="shared" ref="F3360:F3390" si="1429">UPPER(TEXT(G3360,"ddd"))</f>
        <v>TUE</v>
      </c>
      <c r="G3360" s="3">
        <f t="shared" ref="G3360:G3389" si="1430">DATE(2020,8,4)</f>
        <v>44047</v>
      </c>
      <c r="H3360" s="2">
        <f t="shared" ref="H3360:H3390" ca="1" si="1431">TODAY()-G3360</f>
        <v>206</v>
      </c>
      <c r="I3360" t="str">
        <f t="shared" ref="I3360:I3390" si="1432">TRIM(LEFT(B3360,FIND(" ",B3360,1)))</f>
        <v>UST2Y</v>
      </c>
      <c r="J3360">
        <f t="shared" ref="J3360:J3390" si="1433">C3360</f>
        <v>0.14000000000000001</v>
      </c>
      <c r="K3360">
        <f t="shared" ref="K3360:K3390" si="1434">D3360</f>
        <v>0.1</v>
      </c>
      <c r="L3360">
        <f t="shared" ref="L3360:L3390" si="1435">AVERAGE(J3360:K3360)</f>
        <v>0.12000000000000001</v>
      </c>
      <c r="M3360">
        <f t="shared" ref="M3360:M3390" si="1436">_xlfn.STDEV.P(J3360:K3360)</f>
        <v>1.9999999999999983E-2</v>
      </c>
      <c r="N3360">
        <f t="shared" si="1425"/>
        <v>4.0000000000000008E-2</v>
      </c>
      <c r="O3360">
        <f t="shared" ref="O3360:O3390" si="1437">E3360</f>
        <v>0.11</v>
      </c>
      <c r="P3360">
        <f t="shared" ref="P3360:P3390" si="1438">(O3360-L3360)/M3360</f>
        <v>-0.50000000000000089</v>
      </c>
      <c r="Q3360" t="str">
        <f t="shared" si="1426"/>
        <v>27.27% | 9.09%</v>
      </c>
      <c r="R3360" t="str">
        <f t="shared" ref="R3360:R3390" si="1439">MID(B3360,FIND("(",B3360,1)+1,FIND(")",B3360,1)-FIND("(",B3360,1)-1)</f>
        <v>BEARISH</v>
      </c>
      <c r="S3360">
        <f t="shared" si="1427"/>
        <v>-1</v>
      </c>
    </row>
    <row r="3361" spans="1:19" hidden="1" x14ac:dyDescent="0.25">
      <c r="A3361" s="5" t="str">
        <f t="shared" si="1428"/>
        <v>44047SPX</v>
      </c>
      <c r="B3361" s="6" t="s">
        <v>93</v>
      </c>
      <c r="C3361" s="6">
        <v>3201</v>
      </c>
      <c r="D3361" s="6">
        <v>3311</v>
      </c>
      <c r="E3361" s="6">
        <v>3294</v>
      </c>
      <c r="F3361" t="str">
        <f t="shared" si="1429"/>
        <v>TUE</v>
      </c>
      <c r="G3361" s="3">
        <f t="shared" si="1430"/>
        <v>44047</v>
      </c>
      <c r="H3361" s="2">
        <f t="shared" ca="1" si="1431"/>
        <v>206</v>
      </c>
      <c r="I3361" t="str">
        <f t="shared" si="1432"/>
        <v>SPX</v>
      </c>
      <c r="J3361">
        <f t="shared" si="1433"/>
        <v>3201</v>
      </c>
      <c r="K3361">
        <f t="shared" si="1434"/>
        <v>3311</v>
      </c>
      <c r="L3361">
        <f t="shared" si="1435"/>
        <v>3256</v>
      </c>
      <c r="M3361">
        <f t="shared" si="1436"/>
        <v>55</v>
      </c>
      <c r="N3361">
        <f t="shared" si="1425"/>
        <v>110</v>
      </c>
      <c r="O3361">
        <f t="shared" si="1437"/>
        <v>3294</v>
      </c>
      <c r="P3361">
        <f t="shared" si="1438"/>
        <v>0.69090909090909092</v>
      </c>
      <c r="Q3361" t="str">
        <f t="shared" si="1426"/>
        <v>2.82% | 0.52%</v>
      </c>
      <c r="R3361" t="str">
        <f t="shared" si="1439"/>
        <v>BULLISH</v>
      </c>
      <c r="S3361">
        <f t="shared" si="1427"/>
        <v>1</v>
      </c>
    </row>
    <row r="3362" spans="1:19" hidden="1" x14ac:dyDescent="0.25">
      <c r="A3362" s="5" t="str">
        <f t="shared" si="1428"/>
        <v>44047RUT</v>
      </c>
      <c r="B3362" s="6" t="s">
        <v>7</v>
      </c>
      <c r="C3362" s="6">
        <v>1459</v>
      </c>
      <c r="D3362" s="6">
        <v>1517</v>
      </c>
      <c r="E3362" s="6">
        <v>1506</v>
      </c>
      <c r="F3362" t="str">
        <f t="shared" si="1429"/>
        <v>TUE</v>
      </c>
      <c r="G3362" s="3">
        <f t="shared" si="1430"/>
        <v>44047</v>
      </c>
      <c r="H3362" s="2">
        <f t="shared" ca="1" si="1431"/>
        <v>206</v>
      </c>
      <c r="I3362" t="str">
        <f t="shared" si="1432"/>
        <v>RUT</v>
      </c>
      <c r="J3362">
        <f t="shared" si="1433"/>
        <v>1459</v>
      </c>
      <c r="K3362">
        <f t="shared" si="1434"/>
        <v>1517</v>
      </c>
      <c r="L3362">
        <f t="shared" si="1435"/>
        <v>1488</v>
      </c>
      <c r="M3362">
        <f t="shared" si="1436"/>
        <v>29</v>
      </c>
      <c r="N3362">
        <f t="shared" si="1425"/>
        <v>58</v>
      </c>
      <c r="O3362">
        <f t="shared" si="1437"/>
        <v>1506</v>
      </c>
      <c r="P3362">
        <f t="shared" si="1438"/>
        <v>0.62068965517241381</v>
      </c>
      <c r="Q3362" t="str">
        <f t="shared" si="1426"/>
        <v>3.12% | 0.73%</v>
      </c>
      <c r="R3362" t="str">
        <f t="shared" si="1439"/>
        <v>BEARISH</v>
      </c>
      <c r="S3362">
        <f t="shared" si="1427"/>
        <v>-1</v>
      </c>
    </row>
    <row r="3363" spans="1:19" hidden="1" x14ac:dyDescent="0.25">
      <c r="A3363" s="5" t="str">
        <f t="shared" si="1428"/>
        <v>44047COMPQ</v>
      </c>
      <c r="B3363" s="6" t="s">
        <v>8</v>
      </c>
      <c r="C3363" s="6">
        <v>10410</v>
      </c>
      <c r="D3363" s="6">
        <v>11002</v>
      </c>
      <c r="E3363" s="6">
        <v>10902</v>
      </c>
      <c r="F3363" t="str">
        <f t="shared" si="1429"/>
        <v>TUE</v>
      </c>
      <c r="G3363" s="3">
        <f t="shared" si="1430"/>
        <v>44047</v>
      </c>
      <c r="H3363" s="2">
        <f t="shared" ca="1" si="1431"/>
        <v>206</v>
      </c>
      <c r="I3363" t="str">
        <f t="shared" si="1432"/>
        <v>COMPQ</v>
      </c>
      <c r="J3363">
        <f t="shared" si="1433"/>
        <v>10410</v>
      </c>
      <c r="K3363">
        <f t="shared" si="1434"/>
        <v>11002</v>
      </c>
      <c r="L3363">
        <f t="shared" si="1435"/>
        <v>10706</v>
      </c>
      <c r="M3363">
        <f t="shared" si="1436"/>
        <v>296</v>
      </c>
      <c r="N3363">
        <f t="shared" si="1425"/>
        <v>592</v>
      </c>
      <c r="O3363">
        <f t="shared" si="1437"/>
        <v>10902</v>
      </c>
      <c r="P3363">
        <f t="shared" si="1438"/>
        <v>0.66216216216216217</v>
      </c>
      <c r="Q3363" t="str">
        <f t="shared" si="1426"/>
        <v>4.51% | 0.92%</v>
      </c>
      <c r="R3363" t="str">
        <f t="shared" si="1439"/>
        <v>BULLISH</v>
      </c>
      <c r="S3363">
        <f t="shared" si="1427"/>
        <v>1</v>
      </c>
    </row>
    <row r="3364" spans="1:19" hidden="1" x14ac:dyDescent="0.25">
      <c r="A3364" s="5" t="str">
        <f t="shared" si="1428"/>
        <v>44047XLK</v>
      </c>
      <c r="B3364" s="6" t="s">
        <v>10</v>
      </c>
      <c r="C3364" s="6">
        <v>106.5</v>
      </c>
      <c r="D3364" s="6">
        <v>113.81</v>
      </c>
      <c r="E3364" s="6">
        <v>113.15</v>
      </c>
      <c r="F3364" t="str">
        <f t="shared" si="1429"/>
        <v>TUE</v>
      </c>
      <c r="G3364" s="3">
        <f t="shared" si="1430"/>
        <v>44047</v>
      </c>
      <c r="H3364" s="2">
        <f t="shared" ca="1" si="1431"/>
        <v>206</v>
      </c>
      <c r="I3364" t="str">
        <f t="shared" si="1432"/>
        <v>XLK</v>
      </c>
      <c r="J3364">
        <f t="shared" si="1433"/>
        <v>106.5</v>
      </c>
      <c r="K3364">
        <f t="shared" si="1434"/>
        <v>113.81</v>
      </c>
      <c r="L3364">
        <f t="shared" si="1435"/>
        <v>110.155</v>
      </c>
      <c r="M3364">
        <f t="shared" si="1436"/>
        <v>3.6550000000000011</v>
      </c>
      <c r="N3364">
        <f t="shared" si="1425"/>
        <v>7.3100000000000023</v>
      </c>
      <c r="O3364">
        <f t="shared" si="1437"/>
        <v>113.15</v>
      </c>
      <c r="P3364">
        <f t="shared" si="1438"/>
        <v>0.81942544459644417</v>
      </c>
      <c r="Q3364" t="str">
        <f t="shared" si="1426"/>
        <v>5.88% | 0.58%</v>
      </c>
      <c r="R3364" t="str">
        <f t="shared" si="1439"/>
        <v>BULLISH</v>
      </c>
      <c r="S3364">
        <f t="shared" si="1427"/>
        <v>1</v>
      </c>
    </row>
    <row r="3365" spans="1:19" hidden="1" x14ac:dyDescent="0.25">
      <c r="A3365" s="5" t="str">
        <f t="shared" si="1428"/>
        <v>44047XLRE</v>
      </c>
      <c r="B3365" s="6" t="s">
        <v>97</v>
      </c>
      <c r="C3365" s="6">
        <v>34.21</v>
      </c>
      <c r="D3365" s="6">
        <v>37.119999999999997</v>
      </c>
      <c r="E3365" s="6">
        <v>35.68</v>
      </c>
      <c r="F3365" t="str">
        <f t="shared" si="1429"/>
        <v>TUE</v>
      </c>
      <c r="G3365" s="3">
        <f t="shared" si="1430"/>
        <v>44047</v>
      </c>
      <c r="H3365" s="2">
        <f t="shared" ca="1" si="1431"/>
        <v>206</v>
      </c>
      <c r="I3365" t="str">
        <f t="shared" si="1432"/>
        <v>XLRE</v>
      </c>
      <c r="J3365">
        <f t="shared" si="1433"/>
        <v>34.21</v>
      </c>
      <c r="K3365">
        <f t="shared" si="1434"/>
        <v>37.119999999999997</v>
      </c>
      <c r="L3365">
        <f t="shared" si="1435"/>
        <v>35.664999999999999</v>
      </c>
      <c r="M3365">
        <f t="shared" si="1436"/>
        <v>1.4549999999999983</v>
      </c>
      <c r="N3365">
        <f t="shared" si="1425"/>
        <v>2.9099999999999966</v>
      </c>
      <c r="O3365">
        <f t="shared" si="1437"/>
        <v>35.68</v>
      </c>
      <c r="P3365">
        <f t="shared" si="1438"/>
        <v>1.0309278350515866E-2</v>
      </c>
      <c r="Q3365" t="str">
        <f t="shared" si="1426"/>
        <v>4.12% | 4.04%</v>
      </c>
      <c r="R3365" t="str">
        <f t="shared" si="1439"/>
        <v>BULLISH</v>
      </c>
      <c r="S3365">
        <f t="shared" si="1427"/>
        <v>1</v>
      </c>
    </row>
    <row r="3366" spans="1:19" hidden="1" x14ac:dyDescent="0.25">
      <c r="A3366" s="5" t="str">
        <f t="shared" si="1428"/>
        <v>44047XLU</v>
      </c>
      <c r="B3366" s="6" t="s">
        <v>52</v>
      </c>
      <c r="C3366" s="6">
        <v>59.24</v>
      </c>
      <c r="D3366" s="6">
        <v>61.41</v>
      </c>
      <c r="E3366" s="6">
        <v>60.17</v>
      </c>
      <c r="F3366" t="str">
        <f t="shared" si="1429"/>
        <v>TUE</v>
      </c>
      <c r="G3366" s="3">
        <f t="shared" si="1430"/>
        <v>44047</v>
      </c>
      <c r="H3366" s="2">
        <f t="shared" ca="1" si="1431"/>
        <v>206</v>
      </c>
      <c r="I3366" t="str">
        <f t="shared" si="1432"/>
        <v>XLU</v>
      </c>
      <c r="J3366">
        <f t="shared" si="1433"/>
        <v>59.24</v>
      </c>
      <c r="K3366">
        <f t="shared" si="1434"/>
        <v>61.41</v>
      </c>
      <c r="L3366">
        <f t="shared" si="1435"/>
        <v>60.325000000000003</v>
      </c>
      <c r="M3366">
        <f t="shared" si="1436"/>
        <v>1.0849999999999973</v>
      </c>
      <c r="N3366">
        <f t="shared" si="1425"/>
        <v>2.1699999999999946</v>
      </c>
      <c r="O3366">
        <f t="shared" si="1437"/>
        <v>60.17</v>
      </c>
      <c r="P3366">
        <f t="shared" si="1438"/>
        <v>-0.14285714285714426</v>
      </c>
      <c r="Q3366" t="str">
        <f t="shared" si="1426"/>
        <v>1.55% | 2.06%</v>
      </c>
      <c r="R3366" t="str">
        <f t="shared" si="1439"/>
        <v>BULLISH</v>
      </c>
      <c r="S3366">
        <f t="shared" si="1427"/>
        <v>1</v>
      </c>
    </row>
    <row r="3367" spans="1:19" hidden="1" x14ac:dyDescent="0.25">
      <c r="A3367" s="5" t="str">
        <f t="shared" si="1428"/>
        <v>44047XLF</v>
      </c>
      <c r="B3367" s="6" t="s">
        <v>12</v>
      </c>
      <c r="C3367" s="6">
        <v>23.15</v>
      </c>
      <c r="D3367" s="6">
        <v>24.58</v>
      </c>
      <c r="E3367" s="6">
        <v>24.1</v>
      </c>
      <c r="F3367" t="str">
        <f t="shared" si="1429"/>
        <v>TUE</v>
      </c>
      <c r="G3367" s="3">
        <f t="shared" si="1430"/>
        <v>44047</v>
      </c>
      <c r="H3367" s="2">
        <f t="shared" ca="1" si="1431"/>
        <v>206</v>
      </c>
      <c r="I3367" t="str">
        <f t="shared" si="1432"/>
        <v>XLF</v>
      </c>
      <c r="J3367">
        <f t="shared" si="1433"/>
        <v>23.15</v>
      </c>
      <c r="K3367">
        <f t="shared" si="1434"/>
        <v>24.58</v>
      </c>
      <c r="L3367">
        <f t="shared" si="1435"/>
        <v>23.864999999999998</v>
      </c>
      <c r="M3367">
        <f t="shared" si="1436"/>
        <v>0.71499999999999986</v>
      </c>
      <c r="N3367">
        <f t="shared" si="1425"/>
        <v>1.4299999999999997</v>
      </c>
      <c r="O3367">
        <f t="shared" si="1437"/>
        <v>24.1</v>
      </c>
      <c r="P3367">
        <f t="shared" si="1438"/>
        <v>0.32867132867133292</v>
      </c>
      <c r="Q3367" t="str">
        <f t="shared" si="1426"/>
        <v>3.94% | 1.99%</v>
      </c>
      <c r="R3367" t="str">
        <f t="shared" si="1439"/>
        <v>BEARISH</v>
      </c>
      <c r="S3367">
        <f t="shared" si="1427"/>
        <v>-1</v>
      </c>
    </row>
    <row r="3368" spans="1:19" hidden="1" x14ac:dyDescent="0.25">
      <c r="A3368" s="5" t="str">
        <f t="shared" si="1428"/>
        <v>44047SSEC</v>
      </c>
      <c r="B3368" s="6" t="s">
        <v>104</v>
      </c>
      <c r="C3368" s="6">
        <v>3170</v>
      </c>
      <c r="D3368" s="6">
        <v>3398</v>
      </c>
      <c r="E3368" s="6">
        <v>3371</v>
      </c>
      <c r="F3368" t="str">
        <f t="shared" si="1429"/>
        <v>TUE</v>
      </c>
      <c r="G3368" s="3">
        <f t="shared" si="1430"/>
        <v>44047</v>
      </c>
      <c r="H3368" s="2">
        <f t="shared" ca="1" si="1431"/>
        <v>206</v>
      </c>
      <c r="I3368" t="str">
        <f t="shared" si="1432"/>
        <v>SSEC</v>
      </c>
      <c r="J3368">
        <f t="shared" si="1433"/>
        <v>3170</v>
      </c>
      <c r="K3368">
        <f t="shared" si="1434"/>
        <v>3398</v>
      </c>
      <c r="L3368">
        <f t="shared" si="1435"/>
        <v>3284</v>
      </c>
      <c r="M3368">
        <f t="shared" si="1436"/>
        <v>114</v>
      </c>
      <c r="N3368">
        <f t="shared" si="1425"/>
        <v>228</v>
      </c>
      <c r="O3368">
        <f t="shared" si="1437"/>
        <v>3371</v>
      </c>
      <c r="P3368">
        <f t="shared" si="1438"/>
        <v>0.76315789473684215</v>
      </c>
      <c r="Q3368" t="str">
        <f t="shared" si="1426"/>
        <v>5.96% | 0.8%</v>
      </c>
      <c r="R3368" t="str">
        <f t="shared" si="1439"/>
        <v>BULLISH</v>
      </c>
      <c r="S3368">
        <f t="shared" si="1427"/>
        <v>1</v>
      </c>
    </row>
    <row r="3369" spans="1:19" hidden="1" x14ac:dyDescent="0.25">
      <c r="A3369" s="5" t="str">
        <f t="shared" si="1428"/>
        <v>44047NIKK</v>
      </c>
      <c r="B3369" s="6" t="s">
        <v>90</v>
      </c>
      <c r="C3369" s="6">
        <v>21806</v>
      </c>
      <c r="D3369" s="6">
        <v>22665</v>
      </c>
      <c r="E3369" s="6">
        <v>22573</v>
      </c>
      <c r="F3369" t="str">
        <f t="shared" si="1429"/>
        <v>TUE</v>
      </c>
      <c r="G3369" s="3">
        <f t="shared" si="1430"/>
        <v>44047</v>
      </c>
      <c r="H3369" s="2">
        <f t="shared" ca="1" si="1431"/>
        <v>206</v>
      </c>
      <c r="I3369" t="str">
        <f t="shared" si="1432"/>
        <v>NIKK</v>
      </c>
      <c r="J3369">
        <f t="shared" si="1433"/>
        <v>21806</v>
      </c>
      <c r="K3369">
        <f t="shared" si="1434"/>
        <v>22665</v>
      </c>
      <c r="L3369">
        <f t="shared" si="1435"/>
        <v>22235.5</v>
      </c>
      <c r="M3369">
        <f t="shared" si="1436"/>
        <v>429.5</v>
      </c>
      <c r="N3369">
        <f t="shared" si="1425"/>
        <v>859</v>
      </c>
      <c r="O3369">
        <f t="shared" si="1437"/>
        <v>22573</v>
      </c>
      <c r="P3369">
        <f t="shared" si="1438"/>
        <v>0.78579743888242137</v>
      </c>
      <c r="Q3369" t="str">
        <f t="shared" si="1426"/>
        <v>3.4% | 0.41%</v>
      </c>
      <c r="R3369" t="str">
        <f t="shared" si="1439"/>
        <v>NEUTRAL</v>
      </c>
      <c r="S3369">
        <f t="shared" si="1427"/>
        <v>0</v>
      </c>
    </row>
    <row r="3370" spans="1:19" hidden="1" x14ac:dyDescent="0.25">
      <c r="A3370" s="5" t="str">
        <f t="shared" si="1428"/>
        <v>44047DAX</v>
      </c>
      <c r="B3370" s="6" t="s">
        <v>98</v>
      </c>
      <c r="C3370" s="6">
        <v>12221</v>
      </c>
      <c r="D3370" s="6">
        <v>12864</v>
      </c>
      <c r="E3370" s="6">
        <v>12646</v>
      </c>
      <c r="F3370" t="str">
        <f t="shared" si="1429"/>
        <v>TUE</v>
      </c>
      <c r="G3370" s="3">
        <f t="shared" si="1430"/>
        <v>44047</v>
      </c>
      <c r="H3370" s="2">
        <f t="shared" ca="1" si="1431"/>
        <v>206</v>
      </c>
      <c r="I3370" t="str">
        <f t="shared" si="1432"/>
        <v>DAX</v>
      </c>
      <c r="J3370">
        <f t="shared" si="1433"/>
        <v>12221</v>
      </c>
      <c r="K3370">
        <f t="shared" si="1434"/>
        <v>12864</v>
      </c>
      <c r="L3370">
        <f t="shared" si="1435"/>
        <v>12542.5</v>
      </c>
      <c r="M3370">
        <f t="shared" si="1436"/>
        <v>321.5</v>
      </c>
      <c r="N3370">
        <f t="shared" si="1425"/>
        <v>643</v>
      </c>
      <c r="O3370">
        <f t="shared" si="1437"/>
        <v>12646</v>
      </c>
      <c r="P3370">
        <f t="shared" si="1438"/>
        <v>0.32192846034214617</v>
      </c>
      <c r="Q3370" t="str">
        <f t="shared" si="1426"/>
        <v>3.36% | 1.72%</v>
      </c>
      <c r="R3370" t="str">
        <f t="shared" si="1439"/>
        <v>BULLISH</v>
      </c>
      <c r="S3370">
        <f t="shared" si="1427"/>
        <v>1</v>
      </c>
    </row>
    <row r="3371" spans="1:19" hidden="1" x14ac:dyDescent="0.25">
      <c r="A3371" s="5" t="str">
        <f t="shared" si="1428"/>
        <v>44047VIX</v>
      </c>
      <c r="B3371" s="6" t="s">
        <v>96</v>
      </c>
      <c r="C3371" s="6">
        <v>23.5</v>
      </c>
      <c r="D3371" s="6">
        <v>30.25</v>
      </c>
      <c r="E3371" s="6">
        <v>24.28</v>
      </c>
      <c r="F3371" t="str">
        <f t="shared" si="1429"/>
        <v>TUE</v>
      </c>
      <c r="G3371" s="3">
        <f t="shared" si="1430"/>
        <v>44047</v>
      </c>
      <c r="H3371" s="2">
        <f t="shared" ca="1" si="1431"/>
        <v>206</v>
      </c>
      <c r="I3371" t="str">
        <f t="shared" si="1432"/>
        <v>VIX</v>
      </c>
      <c r="J3371">
        <f t="shared" si="1433"/>
        <v>23.5</v>
      </c>
      <c r="K3371">
        <f t="shared" si="1434"/>
        <v>30.25</v>
      </c>
      <c r="L3371">
        <f t="shared" si="1435"/>
        <v>26.875</v>
      </c>
      <c r="M3371">
        <f t="shared" si="1436"/>
        <v>3.375</v>
      </c>
      <c r="N3371">
        <f t="shared" si="1425"/>
        <v>6.75</v>
      </c>
      <c r="O3371">
        <f t="shared" si="1437"/>
        <v>24.28</v>
      </c>
      <c r="P3371">
        <f t="shared" si="1438"/>
        <v>-0.76888888888888851</v>
      </c>
      <c r="Q3371" t="str">
        <f t="shared" si="1426"/>
        <v>3.21% | 24.59%</v>
      </c>
      <c r="R3371" t="str">
        <f t="shared" si="1439"/>
        <v>BEARISH</v>
      </c>
      <c r="S3371">
        <f t="shared" si="1427"/>
        <v>-1</v>
      </c>
    </row>
    <row r="3372" spans="1:19" hidden="1" x14ac:dyDescent="0.25">
      <c r="A3372" s="5" t="str">
        <f t="shared" si="1428"/>
        <v>44047USD</v>
      </c>
      <c r="B3372" s="6" t="s">
        <v>94</v>
      </c>
      <c r="C3372" s="6">
        <v>92.51</v>
      </c>
      <c r="D3372" s="6">
        <v>95.05</v>
      </c>
      <c r="E3372" s="6">
        <v>93.53</v>
      </c>
      <c r="F3372" t="str">
        <f t="shared" si="1429"/>
        <v>TUE</v>
      </c>
      <c r="G3372" s="3">
        <f t="shared" si="1430"/>
        <v>44047</v>
      </c>
      <c r="H3372" s="2">
        <f t="shared" ca="1" si="1431"/>
        <v>206</v>
      </c>
      <c r="I3372" t="str">
        <f t="shared" si="1432"/>
        <v>USD</v>
      </c>
      <c r="J3372">
        <f t="shared" si="1433"/>
        <v>92.51</v>
      </c>
      <c r="K3372">
        <f t="shared" si="1434"/>
        <v>95.05</v>
      </c>
      <c r="L3372">
        <f t="shared" si="1435"/>
        <v>93.78</v>
      </c>
      <c r="M3372">
        <f t="shared" si="1436"/>
        <v>1.269999999999996</v>
      </c>
      <c r="N3372">
        <f t="shared" si="1425"/>
        <v>2.539999999999992</v>
      </c>
      <c r="O3372">
        <f t="shared" si="1437"/>
        <v>93.53</v>
      </c>
      <c r="P3372">
        <f t="shared" si="1438"/>
        <v>-0.19685039370078802</v>
      </c>
      <c r="Q3372" t="str">
        <f t="shared" si="1426"/>
        <v>1.09% | 1.63%</v>
      </c>
      <c r="R3372" t="str">
        <f t="shared" si="1439"/>
        <v>BEARISH</v>
      </c>
      <c r="S3372">
        <f t="shared" si="1427"/>
        <v>-1</v>
      </c>
    </row>
    <row r="3373" spans="1:19" hidden="1" x14ac:dyDescent="0.25">
      <c r="A3373" s="5" t="str">
        <f t="shared" si="1428"/>
        <v>44047EUR/USD</v>
      </c>
      <c r="B3373" s="6" t="s">
        <v>99</v>
      </c>
      <c r="C3373" s="6">
        <v>1.1499999999999999</v>
      </c>
      <c r="D3373" s="6">
        <v>1.19</v>
      </c>
      <c r="E3373" s="6">
        <v>1.17</v>
      </c>
      <c r="F3373" t="str">
        <f t="shared" si="1429"/>
        <v>TUE</v>
      </c>
      <c r="G3373" s="3">
        <f t="shared" si="1430"/>
        <v>44047</v>
      </c>
      <c r="H3373" s="2">
        <f t="shared" ca="1" si="1431"/>
        <v>206</v>
      </c>
      <c r="I3373" t="str">
        <f t="shared" si="1432"/>
        <v>EUR/USD</v>
      </c>
      <c r="J3373">
        <f t="shared" si="1433"/>
        <v>1.1499999999999999</v>
      </c>
      <c r="K3373">
        <f t="shared" si="1434"/>
        <v>1.19</v>
      </c>
      <c r="L3373">
        <f t="shared" si="1435"/>
        <v>1.17</v>
      </c>
      <c r="M3373">
        <f t="shared" si="1436"/>
        <v>2.0000000000000018E-2</v>
      </c>
      <c r="N3373">
        <f t="shared" si="1425"/>
        <v>4.0000000000000036E-2</v>
      </c>
      <c r="O3373">
        <f t="shared" si="1437"/>
        <v>1.17</v>
      </c>
      <c r="P3373">
        <f t="shared" si="1438"/>
        <v>0</v>
      </c>
      <c r="Q3373" t="str">
        <f t="shared" si="1426"/>
        <v>1.71% | 1.71%</v>
      </c>
      <c r="R3373" t="str">
        <f t="shared" si="1439"/>
        <v>BULLISH</v>
      </c>
      <c r="S3373">
        <f t="shared" si="1427"/>
        <v>1</v>
      </c>
    </row>
    <row r="3374" spans="1:19" hidden="1" x14ac:dyDescent="0.25">
      <c r="A3374" s="5" t="str">
        <f t="shared" si="1428"/>
        <v>44047USD/JPY</v>
      </c>
      <c r="B3374" s="6" t="s">
        <v>20</v>
      </c>
      <c r="C3374" s="6">
        <v>104.01</v>
      </c>
      <c r="D3374" s="6">
        <v>106.59</v>
      </c>
      <c r="E3374" s="6">
        <v>105.94</v>
      </c>
      <c r="F3374" t="str">
        <f t="shared" si="1429"/>
        <v>TUE</v>
      </c>
      <c r="G3374" s="3">
        <f t="shared" si="1430"/>
        <v>44047</v>
      </c>
      <c r="H3374" s="2">
        <f t="shared" ca="1" si="1431"/>
        <v>206</v>
      </c>
      <c r="I3374" t="str">
        <f t="shared" si="1432"/>
        <v>USD/JPY</v>
      </c>
      <c r="J3374">
        <f t="shared" si="1433"/>
        <v>104.01</v>
      </c>
      <c r="K3374">
        <f t="shared" si="1434"/>
        <v>106.59</v>
      </c>
      <c r="L3374">
        <f t="shared" si="1435"/>
        <v>105.30000000000001</v>
      </c>
      <c r="M3374">
        <f t="shared" si="1436"/>
        <v>1.2899999999999991</v>
      </c>
      <c r="N3374">
        <f t="shared" si="1425"/>
        <v>2.5799999999999983</v>
      </c>
      <c r="O3374">
        <f t="shared" si="1437"/>
        <v>105.94</v>
      </c>
      <c r="P3374">
        <f t="shared" si="1438"/>
        <v>0.49612403100774172</v>
      </c>
      <c r="Q3374" t="str">
        <f t="shared" si="1426"/>
        <v>1.82% | 0.61%</v>
      </c>
      <c r="R3374" t="str">
        <f t="shared" si="1439"/>
        <v>BEARISH</v>
      </c>
      <c r="S3374">
        <f t="shared" si="1427"/>
        <v>-1</v>
      </c>
    </row>
    <row r="3375" spans="1:19" hidden="1" x14ac:dyDescent="0.25">
      <c r="A3375" s="5" t="str">
        <f t="shared" si="1428"/>
        <v>44047GBP/USD</v>
      </c>
      <c r="B3375" s="6" t="s">
        <v>102</v>
      </c>
      <c r="C3375" s="6">
        <v>1.27</v>
      </c>
      <c r="D3375" s="6">
        <v>1.31</v>
      </c>
      <c r="E3375" s="6">
        <v>1.3</v>
      </c>
      <c r="F3375" t="str">
        <f t="shared" si="1429"/>
        <v>TUE</v>
      </c>
      <c r="G3375" s="3">
        <f t="shared" si="1430"/>
        <v>44047</v>
      </c>
      <c r="H3375" s="2">
        <f t="shared" ca="1" si="1431"/>
        <v>206</v>
      </c>
      <c r="I3375" t="str">
        <f t="shared" si="1432"/>
        <v>GBP/USD</v>
      </c>
      <c r="J3375">
        <f t="shared" si="1433"/>
        <v>1.27</v>
      </c>
      <c r="K3375">
        <f t="shared" si="1434"/>
        <v>1.31</v>
      </c>
      <c r="L3375">
        <f t="shared" si="1435"/>
        <v>1.29</v>
      </c>
      <c r="M3375">
        <f t="shared" si="1436"/>
        <v>2.0000000000000018E-2</v>
      </c>
      <c r="N3375">
        <f t="shared" si="1425"/>
        <v>4.0000000000000036E-2</v>
      </c>
      <c r="O3375">
        <f t="shared" si="1437"/>
        <v>1.3</v>
      </c>
      <c r="P3375">
        <f t="shared" si="1438"/>
        <v>0.5</v>
      </c>
      <c r="Q3375" t="str">
        <f t="shared" si="1426"/>
        <v>2.31% | 0.77%</v>
      </c>
      <c r="R3375" t="str">
        <f t="shared" si="1439"/>
        <v>BULLISH</v>
      </c>
      <c r="S3375">
        <f t="shared" si="1427"/>
        <v>1</v>
      </c>
    </row>
    <row r="3376" spans="1:19" hidden="1" x14ac:dyDescent="0.25">
      <c r="A3376" s="5" t="str">
        <f t="shared" si="1428"/>
        <v>44047USD/CHF</v>
      </c>
      <c r="B3376" s="6" t="s">
        <v>76</v>
      </c>
      <c r="C3376" s="6">
        <v>0.9</v>
      </c>
      <c r="D3376" s="6">
        <v>0.92</v>
      </c>
      <c r="E3376" s="6">
        <v>0.91</v>
      </c>
      <c r="F3376" t="str">
        <f t="shared" si="1429"/>
        <v>TUE</v>
      </c>
      <c r="G3376" s="3">
        <f t="shared" si="1430"/>
        <v>44047</v>
      </c>
      <c r="H3376" s="2">
        <f t="shared" ca="1" si="1431"/>
        <v>206</v>
      </c>
      <c r="I3376" t="str">
        <f t="shared" si="1432"/>
        <v>USD/CHF</v>
      </c>
      <c r="J3376">
        <f t="shared" si="1433"/>
        <v>0.9</v>
      </c>
      <c r="K3376">
        <f t="shared" si="1434"/>
        <v>0.92</v>
      </c>
      <c r="L3376">
        <f t="shared" si="1435"/>
        <v>0.91</v>
      </c>
      <c r="M3376">
        <f t="shared" si="1436"/>
        <v>1.0000000000000009E-2</v>
      </c>
      <c r="N3376">
        <f t="shared" si="1425"/>
        <v>2.0000000000000018E-2</v>
      </c>
      <c r="O3376">
        <f t="shared" si="1437"/>
        <v>0.91</v>
      </c>
      <c r="P3376">
        <f t="shared" si="1438"/>
        <v>0</v>
      </c>
      <c r="Q3376" t="str">
        <f t="shared" si="1426"/>
        <v>1.1% | 1.1%</v>
      </c>
      <c r="R3376" t="str">
        <f t="shared" si="1439"/>
        <v>BEARISH</v>
      </c>
      <c r="S3376">
        <f t="shared" si="1427"/>
        <v>-1</v>
      </c>
    </row>
    <row r="3377" spans="1:19" hidden="1" x14ac:dyDescent="0.25">
      <c r="A3377" s="5" t="str">
        <f t="shared" si="1428"/>
        <v>44047WTIC</v>
      </c>
      <c r="B3377" s="6" t="s">
        <v>158</v>
      </c>
      <c r="C3377" s="6">
        <v>39.78</v>
      </c>
      <c r="D3377" s="6">
        <v>42.3</v>
      </c>
      <c r="E3377" s="6">
        <v>41.01</v>
      </c>
      <c r="F3377" t="str">
        <f t="shared" si="1429"/>
        <v>TUE</v>
      </c>
      <c r="G3377" s="3">
        <f t="shared" si="1430"/>
        <v>44047</v>
      </c>
      <c r="H3377" s="2">
        <f t="shared" ca="1" si="1431"/>
        <v>206</v>
      </c>
      <c r="I3377" t="str">
        <f t="shared" si="1432"/>
        <v>WTIC</v>
      </c>
      <c r="J3377">
        <f t="shared" si="1433"/>
        <v>39.78</v>
      </c>
      <c r="K3377">
        <f t="shared" si="1434"/>
        <v>42.3</v>
      </c>
      <c r="L3377">
        <f t="shared" si="1435"/>
        <v>41.04</v>
      </c>
      <c r="M3377">
        <f t="shared" si="1436"/>
        <v>1.259999999999998</v>
      </c>
      <c r="N3377">
        <f t="shared" si="1425"/>
        <v>2.519999999999996</v>
      </c>
      <c r="O3377">
        <f t="shared" si="1437"/>
        <v>41.01</v>
      </c>
      <c r="P3377">
        <f t="shared" si="1438"/>
        <v>-2.3809523809524748E-2</v>
      </c>
      <c r="Q3377" t="str">
        <f t="shared" si="1426"/>
        <v>3% | 3.15%</v>
      </c>
      <c r="R3377" t="str">
        <f t="shared" si="1439"/>
        <v>BULLISH</v>
      </c>
      <c r="S3377">
        <f t="shared" si="1427"/>
        <v>1</v>
      </c>
    </row>
    <row r="3378" spans="1:19" hidden="1" x14ac:dyDescent="0.25">
      <c r="A3378" s="5" t="str">
        <f t="shared" si="1428"/>
        <v>44047NATGAS</v>
      </c>
      <c r="B3378" s="6" t="s">
        <v>89</v>
      </c>
      <c r="C3378" s="6">
        <v>1.8</v>
      </c>
      <c r="D3378" s="6">
        <v>2.17</v>
      </c>
      <c r="E3378" s="6">
        <v>2.1</v>
      </c>
      <c r="F3378" t="str">
        <f t="shared" si="1429"/>
        <v>TUE</v>
      </c>
      <c r="G3378" s="3">
        <f t="shared" si="1430"/>
        <v>44047</v>
      </c>
      <c r="H3378" s="2">
        <f t="shared" ca="1" si="1431"/>
        <v>206</v>
      </c>
      <c r="I3378" t="str">
        <f t="shared" si="1432"/>
        <v>NATGAS</v>
      </c>
      <c r="J3378">
        <f t="shared" si="1433"/>
        <v>1.8</v>
      </c>
      <c r="K3378">
        <f t="shared" si="1434"/>
        <v>2.17</v>
      </c>
      <c r="L3378">
        <f t="shared" si="1435"/>
        <v>1.9849999999999999</v>
      </c>
      <c r="M3378">
        <f t="shared" si="1436"/>
        <v>0.18499999999999994</v>
      </c>
      <c r="N3378">
        <f t="shared" si="1425"/>
        <v>0.36999999999999988</v>
      </c>
      <c r="O3378">
        <f t="shared" si="1437"/>
        <v>2.1</v>
      </c>
      <c r="P3378">
        <f t="shared" si="1438"/>
        <v>0.62162162162162293</v>
      </c>
      <c r="Q3378" t="str">
        <f t="shared" si="1426"/>
        <v>14.29% | 3.33%</v>
      </c>
      <c r="R3378" t="str">
        <f t="shared" si="1439"/>
        <v>BULLISH</v>
      </c>
      <c r="S3378">
        <f t="shared" si="1427"/>
        <v>1</v>
      </c>
    </row>
    <row r="3379" spans="1:19" hidden="1" x14ac:dyDescent="0.25">
      <c r="A3379" s="5" t="str">
        <f t="shared" si="1428"/>
        <v>44047GOLD</v>
      </c>
      <c r="B3379" s="6" t="s">
        <v>25</v>
      </c>
      <c r="C3379" s="6">
        <v>1934</v>
      </c>
      <c r="D3379" s="6">
        <v>2018</v>
      </c>
      <c r="E3379" s="6">
        <v>1986</v>
      </c>
      <c r="F3379" t="str">
        <f t="shared" si="1429"/>
        <v>TUE</v>
      </c>
      <c r="G3379" s="3">
        <f t="shared" si="1430"/>
        <v>44047</v>
      </c>
      <c r="H3379" s="2">
        <f t="shared" ca="1" si="1431"/>
        <v>206</v>
      </c>
      <c r="I3379" t="str">
        <f t="shared" si="1432"/>
        <v>GOLD</v>
      </c>
      <c r="J3379">
        <f t="shared" si="1433"/>
        <v>1934</v>
      </c>
      <c r="K3379">
        <f t="shared" si="1434"/>
        <v>2018</v>
      </c>
      <c r="L3379">
        <f t="shared" si="1435"/>
        <v>1976</v>
      </c>
      <c r="M3379">
        <f t="shared" si="1436"/>
        <v>42</v>
      </c>
      <c r="N3379">
        <f t="shared" si="1425"/>
        <v>84</v>
      </c>
      <c r="O3379">
        <f t="shared" si="1437"/>
        <v>1986</v>
      </c>
      <c r="P3379">
        <f t="shared" si="1438"/>
        <v>0.23809523809523808</v>
      </c>
      <c r="Q3379" t="str">
        <f t="shared" si="1426"/>
        <v>2.62% | 1.61%</v>
      </c>
      <c r="R3379" t="str">
        <f t="shared" si="1439"/>
        <v>BULLISH</v>
      </c>
      <c r="S3379">
        <f t="shared" si="1427"/>
        <v>1</v>
      </c>
    </row>
    <row r="3380" spans="1:19" hidden="1" x14ac:dyDescent="0.25">
      <c r="A3380" s="5" t="str">
        <f t="shared" si="1428"/>
        <v>44047SILVER</v>
      </c>
      <c r="B3380" s="6" t="s">
        <v>195</v>
      </c>
      <c r="C3380" s="6">
        <v>22.4</v>
      </c>
      <c r="D3380" s="6">
        <v>25.28</v>
      </c>
      <c r="E3380" s="6">
        <v>24.42</v>
      </c>
      <c r="F3380" t="str">
        <f t="shared" si="1429"/>
        <v>TUE</v>
      </c>
      <c r="G3380" s="3">
        <f t="shared" si="1430"/>
        <v>44047</v>
      </c>
      <c r="H3380" s="2">
        <f t="shared" ca="1" si="1431"/>
        <v>206</v>
      </c>
      <c r="I3380" t="str">
        <f t="shared" si="1432"/>
        <v>SILVER</v>
      </c>
      <c r="J3380">
        <f t="shared" si="1433"/>
        <v>22.4</v>
      </c>
      <c r="K3380">
        <f t="shared" si="1434"/>
        <v>25.28</v>
      </c>
      <c r="L3380">
        <f t="shared" si="1435"/>
        <v>23.84</v>
      </c>
      <c r="M3380">
        <f t="shared" si="1436"/>
        <v>1.4400000000000013</v>
      </c>
      <c r="N3380">
        <f t="shared" si="1425"/>
        <v>2.8800000000000026</v>
      </c>
      <c r="O3380">
        <f t="shared" si="1437"/>
        <v>24.42</v>
      </c>
      <c r="P3380">
        <f t="shared" si="1438"/>
        <v>0.40277777777777868</v>
      </c>
      <c r="Q3380" t="str">
        <f t="shared" si="1426"/>
        <v>8.27% | 3.52%</v>
      </c>
      <c r="R3380" t="str">
        <f t="shared" si="1439"/>
        <v>BULLISH</v>
      </c>
      <c r="S3380">
        <f t="shared" si="1427"/>
        <v>1</v>
      </c>
    </row>
    <row r="3381" spans="1:19" hidden="1" x14ac:dyDescent="0.25">
      <c r="A3381" s="5" t="str">
        <f t="shared" si="1428"/>
        <v>44047COPPER</v>
      </c>
      <c r="B3381" s="6" t="s">
        <v>100</v>
      </c>
      <c r="C3381" s="6">
        <v>2.86</v>
      </c>
      <c r="D3381" s="6">
        <v>2.96</v>
      </c>
      <c r="E3381" s="6">
        <v>2.91</v>
      </c>
      <c r="F3381" t="str">
        <f t="shared" si="1429"/>
        <v>TUE</v>
      </c>
      <c r="G3381" s="3">
        <f t="shared" si="1430"/>
        <v>44047</v>
      </c>
      <c r="H3381" s="2">
        <f t="shared" ca="1" si="1431"/>
        <v>206</v>
      </c>
      <c r="I3381" t="str">
        <f t="shared" si="1432"/>
        <v>COPPER</v>
      </c>
      <c r="J3381">
        <f t="shared" si="1433"/>
        <v>2.86</v>
      </c>
      <c r="K3381">
        <f t="shared" si="1434"/>
        <v>2.96</v>
      </c>
      <c r="L3381">
        <f t="shared" si="1435"/>
        <v>2.91</v>
      </c>
      <c r="M3381">
        <f t="shared" si="1436"/>
        <v>5.0000000000000044E-2</v>
      </c>
      <c r="N3381">
        <f t="shared" si="1425"/>
        <v>0.10000000000000009</v>
      </c>
      <c r="O3381">
        <f t="shared" si="1437"/>
        <v>2.91</v>
      </c>
      <c r="P3381">
        <f t="shared" si="1438"/>
        <v>0</v>
      </c>
      <c r="Q3381" t="str">
        <f t="shared" si="1426"/>
        <v>1.72% | 1.72%</v>
      </c>
      <c r="R3381" t="str">
        <f t="shared" si="1439"/>
        <v>BULLISH</v>
      </c>
      <c r="S3381">
        <f t="shared" si="1427"/>
        <v>1</v>
      </c>
    </row>
    <row r="3382" spans="1:19" hidden="1" x14ac:dyDescent="0.25">
      <c r="A3382" s="5" t="str">
        <f t="shared" si="1428"/>
        <v>44047MSFT</v>
      </c>
      <c r="B3382" s="6" t="s">
        <v>27</v>
      </c>
      <c r="C3382" s="6">
        <v>204</v>
      </c>
      <c r="D3382" s="6">
        <v>220</v>
      </c>
      <c r="E3382" s="6">
        <v>216</v>
      </c>
      <c r="F3382" t="str">
        <f t="shared" si="1429"/>
        <v>TUE</v>
      </c>
      <c r="G3382" s="3">
        <f t="shared" si="1430"/>
        <v>44047</v>
      </c>
      <c r="H3382" s="2">
        <f t="shared" ca="1" si="1431"/>
        <v>206</v>
      </c>
      <c r="I3382" t="str">
        <f t="shared" si="1432"/>
        <v>MSFT</v>
      </c>
      <c r="J3382">
        <f t="shared" si="1433"/>
        <v>204</v>
      </c>
      <c r="K3382">
        <f t="shared" si="1434"/>
        <v>220</v>
      </c>
      <c r="L3382">
        <f t="shared" si="1435"/>
        <v>212</v>
      </c>
      <c r="M3382">
        <f t="shared" si="1436"/>
        <v>8</v>
      </c>
      <c r="N3382">
        <f t="shared" si="1425"/>
        <v>16</v>
      </c>
      <c r="O3382">
        <f t="shared" si="1437"/>
        <v>216</v>
      </c>
      <c r="P3382">
        <f t="shared" si="1438"/>
        <v>0.5</v>
      </c>
      <c r="Q3382" t="str">
        <f t="shared" si="1426"/>
        <v>5.56% | 1.85%</v>
      </c>
      <c r="R3382" t="str">
        <f t="shared" si="1439"/>
        <v>BULLISH</v>
      </c>
      <c r="S3382">
        <f t="shared" si="1427"/>
        <v>1</v>
      </c>
    </row>
    <row r="3383" spans="1:19" hidden="1" x14ac:dyDescent="0.25">
      <c r="A3383" s="5" t="str">
        <f t="shared" si="1428"/>
        <v>44047AAPL</v>
      </c>
      <c r="B3383" s="6" t="s">
        <v>28</v>
      </c>
      <c r="C3383" s="6">
        <v>381</v>
      </c>
      <c r="D3383" s="6">
        <v>459</v>
      </c>
      <c r="E3383" s="6">
        <v>435</v>
      </c>
      <c r="F3383" t="str">
        <f t="shared" si="1429"/>
        <v>TUE</v>
      </c>
      <c r="G3383" s="3">
        <f t="shared" si="1430"/>
        <v>44047</v>
      </c>
      <c r="H3383" s="2">
        <f t="shared" ca="1" si="1431"/>
        <v>206</v>
      </c>
      <c r="I3383" t="str">
        <f t="shared" si="1432"/>
        <v>AAPL</v>
      </c>
      <c r="J3383">
        <f t="shared" si="1433"/>
        <v>381</v>
      </c>
      <c r="K3383">
        <f t="shared" si="1434"/>
        <v>459</v>
      </c>
      <c r="L3383">
        <f t="shared" si="1435"/>
        <v>420</v>
      </c>
      <c r="M3383">
        <f t="shared" si="1436"/>
        <v>39</v>
      </c>
      <c r="N3383">
        <f t="shared" si="1425"/>
        <v>78</v>
      </c>
      <c r="O3383">
        <f t="shared" si="1437"/>
        <v>435</v>
      </c>
      <c r="P3383">
        <f t="shared" si="1438"/>
        <v>0.38461538461538464</v>
      </c>
      <c r="Q3383" t="str">
        <f t="shared" si="1426"/>
        <v>12.41% | 5.52%</v>
      </c>
      <c r="R3383" t="str">
        <f t="shared" si="1439"/>
        <v>BULLISH</v>
      </c>
      <c r="S3383">
        <f t="shared" si="1427"/>
        <v>1</v>
      </c>
    </row>
    <row r="3384" spans="1:19" hidden="1" x14ac:dyDescent="0.25">
      <c r="A3384" s="5" t="str">
        <f t="shared" si="1428"/>
        <v>44047AMZN</v>
      </c>
      <c r="B3384" s="6" t="s">
        <v>29</v>
      </c>
      <c r="C3384" s="6">
        <v>2979</v>
      </c>
      <c r="D3384" s="6">
        <v>3177</v>
      </c>
      <c r="E3384" s="6">
        <v>3111</v>
      </c>
      <c r="F3384" t="str">
        <f t="shared" si="1429"/>
        <v>TUE</v>
      </c>
      <c r="G3384" s="3">
        <f t="shared" si="1430"/>
        <v>44047</v>
      </c>
      <c r="H3384" s="2">
        <f t="shared" ca="1" si="1431"/>
        <v>206</v>
      </c>
      <c r="I3384" t="str">
        <f t="shared" si="1432"/>
        <v>AMZN</v>
      </c>
      <c r="J3384">
        <f t="shared" si="1433"/>
        <v>2979</v>
      </c>
      <c r="K3384">
        <f t="shared" si="1434"/>
        <v>3177</v>
      </c>
      <c r="L3384">
        <f t="shared" si="1435"/>
        <v>3078</v>
      </c>
      <c r="M3384">
        <f t="shared" si="1436"/>
        <v>99</v>
      </c>
      <c r="N3384">
        <f t="shared" si="1425"/>
        <v>198</v>
      </c>
      <c r="O3384">
        <f t="shared" si="1437"/>
        <v>3111</v>
      </c>
      <c r="P3384">
        <f t="shared" si="1438"/>
        <v>0.33333333333333331</v>
      </c>
      <c r="Q3384" t="str">
        <f t="shared" si="1426"/>
        <v>4.24% | 2.12%</v>
      </c>
      <c r="R3384" t="str">
        <f t="shared" si="1439"/>
        <v>BULLISH</v>
      </c>
      <c r="S3384">
        <f t="shared" si="1427"/>
        <v>1</v>
      </c>
    </row>
    <row r="3385" spans="1:19" hidden="1" x14ac:dyDescent="0.25">
      <c r="A3385" s="5" t="str">
        <f t="shared" si="1428"/>
        <v>44047FB</v>
      </c>
      <c r="B3385" s="6" t="s">
        <v>30</v>
      </c>
      <c r="C3385" s="6">
        <v>237</v>
      </c>
      <c r="D3385" s="6">
        <v>258</v>
      </c>
      <c r="E3385" s="6">
        <v>251</v>
      </c>
      <c r="F3385" t="str">
        <f t="shared" si="1429"/>
        <v>TUE</v>
      </c>
      <c r="G3385" s="3">
        <f t="shared" si="1430"/>
        <v>44047</v>
      </c>
      <c r="H3385" s="2">
        <f t="shared" ca="1" si="1431"/>
        <v>206</v>
      </c>
      <c r="I3385" t="str">
        <f t="shared" si="1432"/>
        <v>FB</v>
      </c>
      <c r="J3385">
        <f t="shared" si="1433"/>
        <v>237</v>
      </c>
      <c r="K3385">
        <f t="shared" si="1434"/>
        <v>258</v>
      </c>
      <c r="L3385">
        <f t="shared" si="1435"/>
        <v>247.5</v>
      </c>
      <c r="M3385">
        <f t="shared" si="1436"/>
        <v>10.5</v>
      </c>
      <c r="N3385">
        <f t="shared" si="1425"/>
        <v>21</v>
      </c>
      <c r="O3385">
        <f t="shared" si="1437"/>
        <v>251</v>
      </c>
      <c r="P3385">
        <f t="shared" si="1438"/>
        <v>0.33333333333333331</v>
      </c>
      <c r="Q3385" t="str">
        <f t="shared" si="1426"/>
        <v>5.58% | 2.79%</v>
      </c>
      <c r="R3385" t="str">
        <f t="shared" si="1439"/>
        <v>BULLISH</v>
      </c>
      <c r="S3385">
        <f t="shared" si="1427"/>
        <v>1</v>
      </c>
    </row>
    <row r="3386" spans="1:19" hidden="1" x14ac:dyDescent="0.25">
      <c r="A3386" s="5" t="str">
        <f t="shared" si="1428"/>
        <v>44047GOOGL</v>
      </c>
      <c r="B3386" s="6" t="s">
        <v>31</v>
      </c>
      <c r="C3386" s="6">
        <v>1465</v>
      </c>
      <c r="D3386" s="6">
        <v>1566</v>
      </c>
      <c r="E3386" s="6">
        <v>1482</v>
      </c>
      <c r="F3386" t="str">
        <f t="shared" si="1429"/>
        <v>TUE</v>
      </c>
      <c r="G3386" s="3">
        <f t="shared" si="1430"/>
        <v>44047</v>
      </c>
      <c r="H3386" s="2">
        <f t="shared" ca="1" si="1431"/>
        <v>206</v>
      </c>
      <c r="I3386" t="str">
        <f t="shared" si="1432"/>
        <v>GOOGL</v>
      </c>
      <c r="J3386">
        <f t="shared" si="1433"/>
        <v>1465</v>
      </c>
      <c r="K3386">
        <f t="shared" si="1434"/>
        <v>1566</v>
      </c>
      <c r="L3386">
        <f t="shared" si="1435"/>
        <v>1515.5</v>
      </c>
      <c r="M3386">
        <f t="shared" si="1436"/>
        <v>50.5</v>
      </c>
      <c r="N3386">
        <f t="shared" si="1425"/>
        <v>101</v>
      </c>
      <c r="O3386">
        <f t="shared" si="1437"/>
        <v>1482</v>
      </c>
      <c r="P3386">
        <f t="shared" si="1438"/>
        <v>-0.6633663366336634</v>
      </c>
      <c r="Q3386" t="str">
        <f t="shared" si="1426"/>
        <v>1.15% | 5.67%</v>
      </c>
      <c r="R3386" t="str">
        <f t="shared" si="1439"/>
        <v>BULLISH</v>
      </c>
      <c r="S3386">
        <f t="shared" si="1427"/>
        <v>1</v>
      </c>
    </row>
    <row r="3387" spans="1:19" hidden="1" x14ac:dyDescent="0.25">
      <c r="A3387" s="5" t="str">
        <f t="shared" si="1428"/>
        <v>44047NFLX</v>
      </c>
      <c r="B3387" s="6" t="s">
        <v>32</v>
      </c>
      <c r="C3387" s="6">
        <v>476</v>
      </c>
      <c r="D3387" s="6">
        <v>508</v>
      </c>
      <c r="E3387" s="6">
        <v>498</v>
      </c>
      <c r="F3387" t="str">
        <f t="shared" si="1429"/>
        <v>TUE</v>
      </c>
      <c r="G3387" s="3">
        <f t="shared" si="1430"/>
        <v>44047</v>
      </c>
      <c r="H3387" s="2">
        <f t="shared" ca="1" si="1431"/>
        <v>206</v>
      </c>
      <c r="I3387" t="str">
        <f t="shared" si="1432"/>
        <v>NFLX</v>
      </c>
      <c r="J3387">
        <f t="shared" si="1433"/>
        <v>476</v>
      </c>
      <c r="K3387">
        <f t="shared" si="1434"/>
        <v>508</v>
      </c>
      <c r="L3387">
        <f t="shared" si="1435"/>
        <v>492</v>
      </c>
      <c r="M3387">
        <f t="shared" si="1436"/>
        <v>16</v>
      </c>
      <c r="N3387">
        <f t="shared" si="1425"/>
        <v>32</v>
      </c>
      <c r="O3387">
        <f t="shared" si="1437"/>
        <v>498</v>
      </c>
      <c r="P3387">
        <f t="shared" si="1438"/>
        <v>0.375</v>
      </c>
      <c r="Q3387" t="str">
        <f t="shared" si="1426"/>
        <v>4.42% | 2.01%</v>
      </c>
      <c r="R3387" t="str">
        <f t="shared" si="1439"/>
        <v>BULLISH</v>
      </c>
      <c r="S3387">
        <f t="shared" si="1427"/>
        <v>1</v>
      </c>
    </row>
    <row r="3388" spans="1:19" x14ac:dyDescent="0.25">
      <c r="A3388" s="5" t="str">
        <f t="shared" si="1428"/>
        <v>44047TSLA</v>
      </c>
      <c r="B3388" s="6" t="s">
        <v>33</v>
      </c>
      <c r="C3388" s="6">
        <v>1385</v>
      </c>
      <c r="D3388" s="6">
        <v>1604</v>
      </c>
      <c r="E3388" s="6">
        <v>1485</v>
      </c>
      <c r="F3388" t="str">
        <f t="shared" si="1429"/>
        <v>TUE</v>
      </c>
      <c r="G3388" s="3">
        <f t="shared" si="1430"/>
        <v>44047</v>
      </c>
      <c r="H3388" s="2">
        <f t="shared" ca="1" si="1431"/>
        <v>206</v>
      </c>
      <c r="I3388" t="str">
        <f t="shared" si="1432"/>
        <v>TSLA</v>
      </c>
      <c r="J3388">
        <f t="shared" si="1433"/>
        <v>1385</v>
      </c>
      <c r="K3388">
        <f t="shared" si="1434"/>
        <v>1604</v>
      </c>
      <c r="L3388">
        <f t="shared" si="1435"/>
        <v>1494.5</v>
      </c>
      <c r="M3388">
        <f t="shared" si="1436"/>
        <v>109.5</v>
      </c>
      <c r="N3388">
        <f t="shared" si="1425"/>
        <v>219</v>
      </c>
      <c r="O3388">
        <f t="shared" si="1437"/>
        <v>1485</v>
      </c>
      <c r="P3388">
        <f t="shared" si="1438"/>
        <v>-8.6757990867579904E-2</v>
      </c>
      <c r="Q3388" t="str">
        <f t="shared" si="1426"/>
        <v>6.73% | 8.01%</v>
      </c>
      <c r="R3388" t="str">
        <f t="shared" si="1439"/>
        <v>BULLISH</v>
      </c>
      <c r="S3388">
        <f t="shared" si="1427"/>
        <v>1</v>
      </c>
    </row>
    <row r="3389" spans="1:19" hidden="1" x14ac:dyDescent="0.25">
      <c r="A3389" s="5" t="str">
        <f t="shared" si="1428"/>
        <v>44047NYXBT</v>
      </c>
      <c r="B3389" s="6" t="s">
        <v>60</v>
      </c>
      <c r="C3389" s="6">
        <v>10519</v>
      </c>
      <c r="D3389" s="6">
        <v>12096</v>
      </c>
      <c r="E3389" s="6">
        <v>11300</v>
      </c>
      <c r="F3389" t="str">
        <f t="shared" si="1429"/>
        <v>TUE</v>
      </c>
      <c r="G3389" s="3">
        <f t="shared" si="1430"/>
        <v>44047</v>
      </c>
      <c r="H3389" s="2">
        <f t="shared" ca="1" si="1431"/>
        <v>206</v>
      </c>
      <c r="I3389" t="str">
        <f t="shared" si="1432"/>
        <v>NYXBT</v>
      </c>
      <c r="J3389">
        <f t="shared" si="1433"/>
        <v>10519</v>
      </c>
      <c r="K3389">
        <f t="shared" si="1434"/>
        <v>12096</v>
      </c>
      <c r="L3389">
        <f t="shared" si="1435"/>
        <v>11307.5</v>
      </c>
      <c r="M3389">
        <f t="shared" si="1436"/>
        <v>788.5</v>
      </c>
      <c r="N3389">
        <f t="shared" si="1425"/>
        <v>1577</v>
      </c>
      <c r="O3389">
        <f t="shared" si="1437"/>
        <v>11300</v>
      </c>
      <c r="P3389">
        <f t="shared" si="1438"/>
        <v>-9.5117311350665819E-3</v>
      </c>
      <c r="Q3389" t="str">
        <f t="shared" si="1426"/>
        <v>6.91% | 7.04%</v>
      </c>
      <c r="R3389" t="str">
        <f t="shared" si="1439"/>
        <v>BULLISH</v>
      </c>
      <c r="S3389">
        <f t="shared" si="1427"/>
        <v>1</v>
      </c>
    </row>
    <row r="3390" spans="1:19" hidden="1" x14ac:dyDescent="0.25">
      <c r="A3390" s="5" t="str">
        <f t="shared" si="1428"/>
        <v>44048UST10Y</v>
      </c>
      <c r="B3390" s="6" t="s">
        <v>4</v>
      </c>
      <c r="C3390" s="6">
        <v>0.61</v>
      </c>
      <c r="D3390" s="6">
        <v>0.5</v>
      </c>
      <c r="E3390" s="6">
        <v>0.52</v>
      </c>
      <c r="F3390" t="str">
        <f t="shared" si="1429"/>
        <v>WED</v>
      </c>
      <c r="G3390" s="1">
        <f>DATE(2020,8,5)</f>
        <v>44048</v>
      </c>
      <c r="H3390" s="2">
        <f t="shared" ca="1" si="1431"/>
        <v>205</v>
      </c>
      <c r="I3390" t="str">
        <f t="shared" si="1432"/>
        <v>UST10Y</v>
      </c>
      <c r="J3390">
        <f t="shared" si="1433"/>
        <v>0.61</v>
      </c>
      <c r="K3390">
        <f t="shared" si="1434"/>
        <v>0.5</v>
      </c>
      <c r="L3390">
        <f t="shared" si="1435"/>
        <v>0.55499999999999994</v>
      </c>
      <c r="M3390">
        <f t="shared" si="1436"/>
        <v>5.4999999999999993E-2</v>
      </c>
      <c r="N3390">
        <f t="shared" si="1425"/>
        <v>0.10999999999999999</v>
      </c>
      <c r="O3390">
        <f t="shared" si="1437"/>
        <v>0.52</v>
      </c>
      <c r="P3390">
        <f t="shared" si="1438"/>
        <v>-0.63636363636363502</v>
      </c>
      <c r="Q3390" t="str">
        <f t="shared" si="1426"/>
        <v>17.31% | 3.85%</v>
      </c>
      <c r="R3390" t="str">
        <f t="shared" si="1439"/>
        <v>BEARISH</v>
      </c>
      <c r="S3390">
        <f t="shared" si="1427"/>
        <v>-1</v>
      </c>
    </row>
    <row r="3391" spans="1:19" hidden="1" x14ac:dyDescent="0.25">
      <c r="A3391" s="5" t="str">
        <f t="shared" si="1428"/>
        <v>44048UST2Y</v>
      </c>
      <c r="B3391" s="6" t="s">
        <v>5</v>
      </c>
      <c r="C3391" s="6">
        <v>0.13</v>
      </c>
      <c r="D3391" s="6">
        <v>0.09</v>
      </c>
      <c r="E3391" s="6">
        <v>0.11</v>
      </c>
      <c r="F3391" t="str">
        <f t="shared" ref="F3391:F3421" si="1440">UPPER(TEXT(G3391,"ddd"))</f>
        <v>WED</v>
      </c>
      <c r="G3391" s="1">
        <f t="shared" ref="G3391:G3420" si="1441">DATE(2020,8,5)</f>
        <v>44048</v>
      </c>
      <c r="H3391" s="2">
        <f t="shared" ref="H3391:H3421" ca="1" si="1442">TODAY()-G3391</f>
        <v>205</v>
      </c>
      <c r="I3391" t="str">
        <f t="shared" ref="I3391:I3421" si="1443">TRIM(LEFT(B3391,FIND(" ",B3391,1)))</f>
        <v>UST2Y</v>
      </c>
      <c r="J3391">
        <f t="shared" ref="J3391:J3421" si="1444">C3391</f>
        <v>0.13</v>
      </c>
      <c r="K3391">
        <f t="shared" ref="K3391:K3421" si="1445">D3391</f>
        <v>0.09</v>
      </c>
      <c r="L3391">
        <f t="shared" ref="L3391:L3421" si="1446">AVERAGE(J3391:K3391)</f>
        <v>0.11</v>
      </c>
      <c r="M3391">
        <f t="shared" ref="M3391:M3421" si="1447">_xlfn.STDEV.P(J3391:K3391)</f>
        <v>2.0000000000000025E-2</v>
      </c>
      <c r="N3391">
        <f t="shared" si="1425"/>
        <v>4.0000000000000008E-2</v>
      </c>
      <c r="O3391">
        <f t="shared" ref="O3391:O3421" si="1448">E3391</f>
        <v>0.11</v>
      </c>
      <c r="P3391">
        <f t="shared" ref="P3391:P3421" si="1449">(O3391-L3391)/M3391</f>
        <v>0</v>
      </c>
      <c r="Q3391" t="str">
        <f t="shared" si="1426"/>
        <v>18.18% | 18.18%</v>
      </c>
      <c r="R3391" t="str">
        <f t="shared" ref="R3391:R3421" si="1450">MID(B3391,FIND("(",B3391,1)+1,FIND(")",B3391,1)-FIND("(",B3391,1)-1)</f>
        <v>BEARISH</v>
      </c>
      <c r="S3391">
        <f t="shared" si="1427"/>
        <v>-1</v>
      </c>
    </row>
    <row r="3392" spans="1:19" hidden="1" x14ac:dyDescent="0.25">
      <c r="A3392" s="5" t="str">
        <f t="shared" si="1428"/>
        <v>44048SPX</v>
      </c>
      <c r="B3392" s="6" t="s">
        <v>93</v>
      </c>
      <c r="C3392" s="6">
        <v>3206</v>
      </c>
      <c r="D3392" s="6">
        <v>3326</v>
      </c>
      <c r="E3392" s="6">
        <v>3306</v>
      </c>
      <c r="F3392" t="str">
        <f t="shared" si="1440"/>
        <v>WED</v>
      </c>
      <c r="G3392" s="1">
        <f t="shared" si="1441"/>
        <v>44048</v>
      </c>
      <c r="H3392" s="2">
        <f t="shared" ca="1" si="1442"/>
        <v>205</v>
      </c>
      <c r="I3392" t="str">
        <f t="shared" si="1443"/>
        <v>SPX</v>
      </c>
      <c r="J3392">
        <f t="shared" si="1444"/>
        <v>3206</v>
      </c>
      <c r="K3392">
        <f t="shared" si="1445"/>
        <v>3326</v>
      </c>
      <c r="L3392">
        <f t="shared" si="1446"/>
        <v>3266</v>
      </c>
      <c r="M3392">
        <f t="shared" si="1447"/>
        <v>60</v>
      </c>
      <c r="N3392">
        <f t="shared" si="1425"/>
        <v>120</v>
      </c>
      <c r="O3392">
        <f t="shared" si="1448"/>
        <v>3306</v>
      </c>
      <c r="P3392">
        <f t="shared" si="1449"/>
        <v>0.66666666666666663</v>
      </c>
      <c r="Q3392" t="str">
        <f t="shared" si="1426"/>
        <v>3.02% | 0.6%</v>
      </c>
      <c r="R3392" t="str">
        <f t="shared" si="1450"/>
        <v>BULLISH</v>
      </c>
      <c r="S3392">
        <f t="shared" si="1427"/>
        <v>1</v>
      </c>
    </row>
    <row r="3393" spans="1:19" hidden="1" x14ac:dyDescent="0.25">
      <c r="A3393" s="5" t="str">
        <f t="shared" si="1428"/>
        <v>44048RUT</v>
      </c>
      <c r="B3393" s="6" t="s">
        <v>7</v>
      </c>
      <c r="C3393" s="6">
        <v>1457</v>
      </c>
      <c r="D3393" s="6">
        <v>1523</v>
      </c>
      <c r="E3393" s="6">
        <v>1517</v>
      </c>
      <c r="F3393" t="str">
        <f t="shared" si="1440"/>
        <v>WED</v>
      </c>
      <c r="G3393" s="1">
        <f t="shared" si="1441"/>
        <v>44048</v>
      </c>
      <c r="H3393" s="2">
        <f t="shared" ca="1" si="1442"/>
        <v>205</v>
      </c>
      <c r="I3393" t="str">
        <f t="shared" si="1443"/>
        <v>RUT</v>
      </c>
      <c r="J3393">
        <f t="shared" si="1444"/>
        <v>1457</v>
      </c>
      <c r="K3393">
        <f t="shared" si="1445"/>
        <v>1523</v>
      </c>
      <c r="L3393">
        <f t="shared" si="1446"/>
        <v>1490</v>
      </c>
      <c r="M3393">
        <f t="shared" si="1447"/>
        <v>33</v>
      </c>
      <c r="N3393">
        <f t="shared" si="1425"/>
        <v>66</v>
      </c>
      <c r="O3393">
        <f t="shared" si="1448"/>
        <v>1517</v>
      </c>
      <c r="P3393">
        <f t="shared" si="1449"/>
        <v>0.81818181818181823</v>
      </c>
      <c r="Q3393" t="str">
        <f t="shared" si="1426"/>
        <v>3.96% | 0.4%</v>
      </c>
      <c r="R3393" t="str">
        <f t="shared" si="1450"/>
        <v>BEARISH</v>
      </c>
      <c r="S3393">
        <f t="shared" si="1427"/>
        <v>-1</v>
      </c>
    </row>
    <row r="3394" spans="1:19" hidden="1" x14ac:dyDescent="0.25">
      <c r="A3394" s="5" t="str">
        <f t="shared" si="1428"/>
        <v>44048COMPQ</v>
      </c>
      <c r="B3394" s="6" t="s">
        <v>8</v>
      </c>
      <c r="C3394" s="6">
        <v>10449</v>
      </c>
      <c r="D3394" s="6">
        <v>11013</v>
      </c>
      <c r="E3394" s="6">
        <v>10941</v>
      </c>
      <c r="F3394" t="str">
        <f t="shared" si="1440"/>
        <v>WED</v>
      </c>
      <c r="G3394" s="1">
        <f t="shared" si="1441"/>
        <v>44048</v>
      </c>
      <c r="H3394" s="2">
        <f t="shared" ca="1" si="1442"/>
        <v>205</v>
      </c>
      <c r="I3394" t="str">
        <f t="shared" si="1443"/>
        <v>COMPQ</v>
      </c>
      <c r="J3394">
        <f t="shared" si="1444"/>
        <v>10449</v>
      </c>
      <c r="K3394">
        <f t="shared" si="1445"/>
        <v>11013</v>
      </c>
      <c r="L3394">
        <f t="shared" si="1446"/>
        <v>10731</v>
      </c>
      <c r="M3394">
        <f t="shared" si="1447"/>
        <v>282</v>
      </c>
      <c r="N3394">
        <f t="shared" si="1425"/>
        <v>564</v>
      </c>
      <c r="O3394">
        <f t="shared" si="1448"/>
        <v>10941</v>
      </c>
      <c r="P3394">
        <f t="shared" si="1449"/>
        <v>0.74468085106382975</v>
      </c>
      <c r="Q3394" t="str">
        <f t="shared" si="1426"/>
        <v>4.5% | 0.66%</v>
      </c>
      <c r="R3394" t="str">
        <f t="shared" si="1450"/>
        <v>BULLISH</v>
      </c>
      <c r="S3394">
        <f t="shared" si="1427"/>
        <v>1</v>
      </c>
    </row>
    <row r="3395" spans="1:19" hidden="1" x14ac:dyDescent="0.25">
      <c r="A3395" s="5" t="str">
        <f t="shared" si="1428"/>
        <v>44048XLK</v>
      </c>
      <c r="B3395" s="6" t="s">
        <v>10</v>
      </c>
      <c r="C3395" s="6">
        <v>106.92</v>
      </c>
      <c r="D3395" s="6">
        <v>114.44</v>
      </c>
      <c r="E3395" s="6">
        <v>113.44</v>
      </c>
      <c r="F3395" t="str">
        <f t="shared" si="1440"/>
        <v>WED</v>
      </c>
      <c r="G3395" s="1">
        <f t="shared" si="1441"/>
        <v>44048</v>
      </c>
      <c r="H3395" s="2">
        <f t="shared" ca="1" si="1442"/>
        <v>205</v>
      </c>
      <c r="I3395" t="str">
        <f t="shared" si="1443"/>
        <v>XLK</v>
      </c>
      <c r="J3395">
        <f t="shared" si="1444"/>
        <v>106.92</v>
      </c>
      <c r="K3395">
        <f t="shared" si="1445"/>
        <v>114.44</v>
      </c>
      <c r="L3395">
        <f t="shared" si="1446"/>
        <v>110.68</v>
      </c>
      <c r="M3395">
        <f t="shared" si="1447"/>
        <v>3.759999999999998</v>
      </c>
      <c r="N3395">
        <f t="shared" ref="N3395:N3458" si="1451">ABS(K3395-J3395)</f>
        <v>7.519999999999996</v>
      </c>
      <c r="O3395">
        <f t="shared" si="1448"/>
        <v>113.44</v>
      </c>
      <c r="P3395">
        <f t="shared" si="1449"/>
        <v>0.73404255319148737</v>
      </c>
      <c r="Q3395" t="str">
        <f t="shared" ref="Q3395:Q3458" si="1452">ROUND(ABS(100*(O3395-J3395)/O3395),2)&amp;"% | "&amp;ROUND(ABS(100*(K3395-O3395)/O3395),2)&amp;"%"</f>
        <v>5.75% | 0.88%</v>
      </c>
      <c r="R3395" t="str">
        <f t="shared" si="1450"/>
        <v>BULLISH</v>
      </c>
      <c r="S3395">
        <f t="shared" ref="S3395:S3458" si="1453">IF(R3395="BEARISH",-1,IF(R3395="NEUTRAL",0,IF(R3395="BULLISH",1,99)))</f>
        <v>1</v>
      </c>
    </row>
    <row r="3396" spans="1:19" hidden="1" x14ac:dyDescent="0.25">
      <c r="A3396" s="5" t="str">
        <f t="shared" si="1428"/>
        <v>44048XLRE</v>
      </c>
      <c r="B3396" s="6" t="s">
        <v>97</v>
      </c>
      <c r="C3396" s="6">
        <v>34.24</v>
      </c>
      <c r="D3396" s="6">
        <v>37.22</v>
      </c>
      <c r="E3396" s="6">
        <v>36.21</v>
      </c>
      <c r="F3396" t="str">
        <f t="shared" si="1440"/>
        <v>WED</v>
      </c>
      <c r="G3396" s="1">
        <f t="shared" si="1441"/>
        <v>44048</v>
      </c>
      <c r="H3396" s="2">
        <f t="shared" ca="1" si="1442"/>
        <v>205</v>
      </c>
      <c r="I3396" t="str">
        <f t="shared" si="1443"/>
        <v>XLRE</v>
      </c>
      <c r="J3396">
        <f t="shared" si="1444"/>
        <v>34.24</v>
      </c>
      <c r="K3396">
        <f t="shared" si="1445"/>
        <v>37.22</v>
      </c>
      <c r="L3396">
        <f t="shared" si="1446"/>
        <v>35.730000000000004</v>
      </c>
      <c r="M3396">
        <f t="shared" si="1447"/>
        <v>1.4899999999999984</v>
      </c>
      <c r="N3396">
        <f t="shared" si="1451"/>
        <v>2.9799999999999969</v>
      </c>
      <c r="O3396">
        <f t="shared" si="1448"/>
        <v>36.21</v>
      </c>
      <c r="P3396">
        <f t="shared" si="1449"/>
        <v>0.32214765100670967</v>
      </c>
      <c r="Q3396" t="str">
        <f t="shared" si="1452"/>
        <v>5.44% | 2.79%</v>
      </c>
      <c r="R3396" t="str">
        <f t="shared" si="1450"/>
        <v>BULLISH</v>
      </c>
      <c r="S3396">
        <f t="shared" si="1453"/>
        <v>1</v>
      </c>
    </row>
    <row r="3397" spans="1:19" hidden="1" x14ac:dyDescent="0.25">
      <c r="A3397" s="5" t="str">
        <f t="shared" ref="A3397:A3460" si="1454">G3397&amp;I3397</f>
        <v>44048XLU</v>
      </c>
      <c r="B3397" s="6" t="s">
        <v>52</v>
      </c>
      <c r="C3397" s="6">
        <v>59.36</v>
      </c>
      <c r="D3397" s="6">
        <v>61.56</v>
      </c>
      <c r="E3397" s="6">
        <v>60.83</v>
      </c>
      <c r="F3397" t="str">
        <f t="shared" si="1440"/>
        <v>WED</v>
      </c>
      <c r="G3397" s="1">
        <f t="shared" si="1441"/>
        <v>44048</v>
      </c>
      <c r="H3397" s="2">
        <f t="shared" ca="1" si="1442"/>
        <v>205</v>
      </c>
      <c r="I3397" t="str">
        <f t="shared" si="1443"/>
        <v>XLU</v>
      </c>
      <c r="J3397">
        <f t="shared" si="1444"/>
        <v>59.36</v>
      </c>
      <c r="K3397">
        <f t="shared" si="1445"/>
        <v>61.56</v>
      </c>
      <c r="L3397">
        <f t="shared" si="1446"/>
        <v>60.46</v>
      </c>
      <c r="M3397">
        <f t="shared" si="1447"/>
        <v>1.1000000000000014</v>
      </c>
      <c r="N3397">
        <f t="shared" si="1451"/>
        <v>2.2000000000000028</v>
      </c>
      <c r="O3397">
        <f t="shared" si="1448"/>
        <v>60.83</v>
      </c>
      <c r="P3397">
        <f t="shared" si="1449"/>
        <v>0.33636363636363359</v>
      </c>
      <c r="Q3397" t="str">
        <f t="shared" si="1452"/>
        <v>2.42% | 1.2%</v>
      </c>
      <c r="R3397" t="str">
        <f t="shared" si="1450"/>
        <v>BULLISH</v>
      </c>
      <c r="S3397">
        <f t="shared" si="1453"/>
        <v>1</v>
      </c>
    </row>
    <row r="3398" spans="1:19" hidden="1" x14ac:dyDescent="0.25">
      <c r="A3398" s="5" t="str">
        <f t="shared" si="1454"/>
        <v>44048XLF</v>
      </c>
      <c r="B3398" s="6" t="s">
        <v>12</v>
      </c>
      <c r="C3398" s="6">
        <v>23.35</v>
      </c>
      <c r="D3398" s="6">
        <v>24.57</v>
      </c>
      <c r="E3398" s="6">
        <v>24</v>
      </c>
      <c r="F3398" t="str">
        <f t="shared" si="1440"/>
        <v>WED</v>
      </c>
      <c r="G3398" s="1">
        <f t="shared" si="1441"/>
        <v>44048</v>
      </c>
      <c r="H3398" s="2">
        <f t="shared" ca="1" si="1442"/>
        <v>205</v>
      </c>
      <c r="I3398" t="str">
        <f t="shared" si="1443"/>
        <v>XLF</v>
      </c>
      <c r="J3398">
        <f t="shared" si="1444"/>
        <v>23.35</v>
      </c>
      <c r="K3398">
        <f t="shared" si="1445"/>
        <v>24.57</v>
      </c>
      <c r="L3398">
        <f t="shared" si="1446"/>
        <v>23.96</v>
      </c>
      <c r="M3398">
        <f t="shared" si="1447"/>
        <v>0.60999999999999943</v>
      </c>
      <c r="N3398">
        <f t="shared" si="1451"/>
        <v>1.2199999999999989</v>
      </c>
      <c r="O3398">
        <f t="shared" si="1448"/>
        <v>24</v>
      </c>
      <c r="P3398">
        <f t="shared" si="1449"/>
        <v>6.5573770491801936E-2</v>
      </c>
      <c r="Q3398" t="str">
        <f t="shared" si="1452"/>
        <v>2.71% | 2.38%</v>
      </c>
      <c r="R3398" t="str">
        <f t="shared" si="1450"/>
        <v>BEARISH</v>
      </c>
      <c r="S3398">
        <f t="shared" si="1453"/>
        <v>-1</v>
      </c>
    </row>
    <row r="3399" spans="1:19" hidden="1" x14ac:dyDescent="0.25">
      <c r="A3399" s="5" t="str">
        <f t="shared" si="1454"/>
        <v>44048SSEC</v>
      </c>
      <c r="B3399" s="6" t="s">
        <v>104</v>
      </c>
      <c r="C3399" s="6">
        <v>3203</v>
      </c>
      <c r="D3399" s="6">
        <v>3411</v>
      </c>
      <c r="E3399" s="6">
        <v>3377</v>
      </c>
      <c r="F3399" t="str">
        <f t="shared" si="1440"/>
        <v>WED</v>
      </c>
      <c r="G3399" s="1">
        <f t="shared" si="1441"/>
        <v>44048</v>
      </c>
      <c r="H3399" s="2">
        <f t="shared" ca="1" si="1442"/>
        <v>205</v>
      </c>
      <c r="I3399" t="str">
        <f t="shared" si="1443"/>
        <v>SSEC</v>
      </c>
      <c r="J3399">
        <f t="shared" si="1444"/>
        <v>3203</v>
      </c>
      <c r="K3399">
        <f t="shared" si="1445"/>
        <v>3411</v>
      </c>
      <c r="L3399">
        <f t="shared" si="1446"/>
        <v>3307</v>
      </c>
      <c r="M3399">
        <f t="shared" si="1447"/>
        <v>104</v>
      </c>
      <c r="N3399">
        <f t="shared" si="1451"/>
        <v>208</v>
      </c>
      <c r="O3399">
        <f t="shared" si="1448"/>
        <v>3377</v>
      </c>
      <c r="P3399">
        <f t="shared" si="1449"/>
        <v>0.67307692307692313</v>
      </c>
      <c r="Q3399" t="str">
        <f t="shared" si="1452"/>
        <v>5.15% | 1.01%</v>
      </c>
      <c r="R3399" t="str">
        <f t="shared" si="1450"/>
        <v>BULLISH</v>
      </c>
      <c r="S3399">
        <f t="shared" si="1453"/>
        <v>1</v>
      </c>
    </row>
    <row r="3400" spans="1:19" hidden="1" x14ac:dyDescent="0.25">
      <c r="A3400" s="5" t="str">
        <f t="shared" si="1454"/>
        <v>44048NIKK</v>
      </c>
      <c r="B3400" s="6" t="s">
        <v>90</v>
      </c>
      <c r="C3400" s="6">
        <v>21701</v>
      </c>
      <c r="D3400" s="6">
        <v>23006</v>
      </c>
      <c r="E3400" s="6">
        <v>22514</v>
      </c>
      <c r="F3400" t="str">
        <f t="shared" si="1440"/>
        <v>WED</v>
      </c>
      <c r="G3400" s="1">
        <f t="shared" si="1441"/>
        <v>44048</v>
      </c>
      <c r="H3400" s="2">
        <f t="shared" ca="1" si="1442"/>
        <v>205</v>
      </c>
      <c r="I3400" t="str">
        <f t="shared" si="1443"/>
        <v>NIKK</v>
      </c>
      <c r="J3400">
        <f t="shared" si="1444"/>
        <v>21701</v>
      </c>
      <c r="K3400">
        <f t="shared" si="1445"/>
        <v>23006</v>
      </c>
      <c r="L3400">
        <f t="shared" si="1446"/>
        <v>22353.5</v>
      </c>
      <c r="M3400">
        <f t="shared" si="1447"/>
        <v>652.5</v>
      </c>
      <c r="N3400">
        <f t="shared" si="1451"/>
        <v>1305</v>
      </c>
      <c r="O3400">
        <f t="shared" si="1448"/>
        <v>22514</v>
      </c>
      <c r="P3400">
        <f t="shared" si="1449"/>
        <v>0.24597701149425288</v>
      </c>
      <c r="Q3400" t="str">
        <f t="shared" si="1452"/>
        <v>3.61% | 2.19%</v>
      </c>
      <c r="R3400" t="str">
        <f t="shared" si="1450"/>
        <v>NEUTRAL</v>
      </c>
      <c r="S3400">
        <f t="shared" si="1453"/>
        <v>0</v>
      </c>
    </row>
    <row r="3401" spans="1:19" hidden="1" x14ac:dyDescent="0.25">
      <c r="A3401" s="5" t="str">
        <f t="shared" si="1454"/>
        <v>44048DAX</v>
      </c>
      <c r="B3401" s="6" t="s">
        <v>98</v>
      </c>
      <c r="C3401" s="6">
        <v>12208</v>
      </c>
      <c r="D3401" s="6">
        <v>13180</v>
      </c>
      <c r="E3401" s="6">
        <v>12699</v>
      </c>
      <c r="F3401" t="str">
        <f t="shared" si="1440"/>
        <v>WED</v>
      </c>
      <c r="G3401" s="1">
        <f t="shared" si="1441"/>
        <v>44048</v>
      </c>
      <c r="H3401" s="2">
        <f t="shared" ca="1" si="1442"/>
        <v>205</v>
      </c>
      <c r="I3401" t="str">
        <f t="shared" si="1443"/>
        <v>DAX</v>
      </c>
      <c r="J3401">
        <f t="shared" si="1444"/>
        <v>12208</v>
      </c>
      <c r="K3401">
        <f t="shared" si="1445"/>
        <v>13180</v>
      </c>
      <c r="L3401">
        <f t="shared" si="1446"/>
        <v>12694</v>
      </c>
      <c r="M3401">
        <f t="shared" si="1447"/>
        <v>486</v>
      </c>
      <c r="N3401">
        <f t="shared" si="1451"/>
        <v>972</v>
      </c>
      <c r="O3401">
        <f t="shared" si="1448"/>
        <v>12699</v>
      </c>
      <c r="P3401">
        <f t="shared" si="1449"/>
        <v>1.0288065843621399E-2</v>
      </c>
      <c r="Q3401" t="str">
        <f t="shared" si="1452"/>
        <v>3.87% | 3.79%</v>
      </c>
      <c r="R3401" t="str">
        <f t="shared" si="1450"/>
        <v>BULLISH</v>
      </c>
      <c r="S3401">
        <f t="shared" si="1453"/>
        <v>1</v>
      </c>
    </row>
    <row r="3402" spans="1:19" hidden="1" x14ac:dyDescent="0.25">
      <c r="A3402" s="5" t="str">
        <f t="shared" si="1454"/>
        <v>44048VIX</v>
      </c>
      <c r="B3402" s="6" t="s">
        <v>96</v>
      </c>
      <c r="C3402" s="6">
        <v>23.13</v>
      </c>
      <c r="D3402" s="6">
        <v>30.01</v>
      </c>
      <c r="E3402" s="6">
        <v>23.76</v>
      </c>
      <c r="F3402" t="str">
        <f t="shared" si="1440"/>
        <v>WED</v>
      </c>
      <c r="G3402" s="1">
        <f t="shared" si="1441"/>
        <v>44048</v>
      </c>
      <c r="H3402" s="2">
        <f t="shared" ca="1" si="1442"/>
        <v>205</v>
      </c>
      <c r="I3402" t="str">
        <f t="shared" si="1443"/>
        <v>VIX</v>
      </c>
      <c r="J3402">
        <f t="shared" si="1444"/>
        <v>23.13</v>
      </c>
      <c r="K3402">
        <f t="shared" si="1445"/>
        <v>30.01</v>
      </c>
      <c r="L3402">
        <f t="shared" si="1446"/>
        <v>26.57</v>
      </c>
      <c r="M3402">
        <f t="shared" si="1447"/>
        <v>3.4400000000000066</v>
      </c>
      <c r="N3402">
        <f t="shared" si="1451"/>
        <v>6.8800000000000026</v>
      </c>
      <c r="O3402">
        <f t="shared" si="1448"/>
        <v>23.76</v>
      </c>
      <c r="P3402">
        <f t="shared" si="1449"/>
        <v>-0.81686046511627708</v>
      </c>
      <c r="Q3402" t="str">
        <f t="shared" si="1452"/>
        <v>2.65% | 26.3%</v>
      </c>
      <c r="R3402" t="str">
        <f t="shared" si="1450"/>
        <v>BEARISH</v>
      </c>
      <c r="S3402">
        <f t="shared" si="1453"/>
        <v>-1</v>
      </c>
    </row>
    <row r="3403" spans="1:19" hidden="1" x14ac:dyDescent="0.25">
      <c r="A3403" s="5" t="str">
        <f t="shared" si="1454"/>
        <v>44048USD</v>
      </c>
      <c r="B3403" s="6" t="s">
        <v>94</v>
      </c>
      <c r="C3403" s="6">
        <v>92.5</v>
      </c>
      <c r="D3403" s="6">
        <v>94.65</v>
      </c>
      <c r="E3403" s="6">
        <v>93.4</v>
      </c>
      <c r="F3403" t="str">
        <f t="shared" si="1440"/>
        <v>WED</v>
      </c>
      <c r="G3403" s="1">
        <f t="shared" si="1441"/>
        <v>44048</v>
      </c>
      <c r="H3403" s="2">
        <f t="shared" ca="1" si="1442"/>
        <v>205</v>
      </c>
      <c r="I3403" t="str">
        <f t="shared" si="1443"/>
        <v>USD</v>
      </c>
      <c r="J3403">
        <f t="shared" si="1444"/>
        <v>92.5</v>
      </c>
      <c r="K3403">
        <f t="shared" si="1445"/>
        <v>94.65</v>
      </c>
      <c r="L3403">
        <f t="shared" si="1446"/>
        <v>93.575000000000003</v>
      </c>
      <c r="M3403">
        <f t="shared" si="1447"/>
        <v>1.0750000000000028</v>
      </c>
      <c r="N3403">
        <f t="shared" si="1451"/>
        <v>2.1500000000000057</v>
      </c>
      <c r="O3403">
        <f t="shared" si="1448"/>
        <v>93.4</v>
      </c>
      <c r="P3403">
        <f t="shared" si="1449"/>
        <v>-0.16279069767441554</v>
      </c>
      <c r="Q3403" t="str">
        <f t="shared" si="1452"/>
        <v>0.96% | 1.34%</v>
      </c>
      <c r="R3403" t="str">
        <f t="shared" si="1450"/>
        <v>BEARISH</v>
      </c>
      <c r="S3403">
        <f t="shared" si="1453"/>
        <v>-1</v>
      </c>
    </row>
    <row r="3404" spans="1:19" hidden="1" x14ac:dyDescent="0.25">
      <c r="A3404" s="5" t="str">
        <f t="shared" si="1454"/>
        <v>44048EUR/USD</v>
      </c>
      <c r="B3404" s="6" t="s">
        <v>99</v>
      </c>
      <c r="C3404" s="6">
        <v>1.1599999999999999</v>
      </c>
      <c r="D3404" s="6">
        <v>1.19</v>
      </c>
      <c r="E3404" s="6">
        <v>1.18</v>
      </c>
      <c r="F3404" t="str">
        <f t="shared" si="1440"/>
        <v>WED</v>
      </c>
      <c r="G3404" s="1">
        <f t="shared" si="1441"/>
        <v>44048</v>
      </c>
      <c r="H3404" s="2">
        <f t="shared" ca="1" si="1442"/>
        <v>205</v>
      </c>
      <c r="I3404" t="str">
        <f t="shared" si="1443"/>
        <v>EUR/USD</v>
      </c>
      <c r="J3404">
        <f t="shared" si="1444"/>
        <v>1.1599999999999999</v>
      </c>
      <c r="K3404">
        <f t="shared" si="1445"/>
        <v>1.19</v>
      </c>
      <c r="L3404">
        <f t="shared" si="1446"/>
        <v>1.1749999999999998</v>
      </c>
      <c r="M3404">
        <f t="shared" si="1447"/>
        <v>1.5000000000000013E-2</v>
      </c>
      <c r="N3404">
        <f t="shared" si="1451"/>
        <v>3.0000000000000027E-2</v>
      </c>
      <c r="O3404">
        <f t="shared" si="1448"/>
        <v>1.18</v>
      </c>
      <c r="P3404">
        <f t="shared" si="1449"/>
        <v>0.33333333333334075</v>
      </c>
      <c r="Q3404" t="str">
        <f t="shared" si="1452"/>
        <v>1.69% | 0.85%</v>
      </c>
      <c r="R3404" t="str">
        <f t="shared" si="1450"/>
        <v>BULLISH</v>
      </c>
      <c r="S3404">
        <f t="shared" si="1453"/>
        <v>1</v>
      </c>
    </row>
    <row r="3405" spans="1:19" hidden="1" x14ac:dyDescent="0.25">
      <c r="A3405" s="5" t="str">
        <f t="shared" si="1454"/>
        <v>44048USD/JPY</v>
      </c>
      <c r="B3405" s="6" t="s">
        <v>20</v>
      </c>
      <c r="C3405" s="6">
        <v>104.01</v>
      </c>
      <c r="D3405" s="6">
        <v>106.9</v>
      </c>
      <c r="E3405" s="6">
        <v>105.74</v>
      </c>
      <c r="F3405" t="str">
        <f t="shared" si="1440"/>
        <v>WED</v>
      </c>
      <c r="G3405" s="1">
        <f t="shared" si="1441"/>
        <v>44048</v>
      </c>
      <c r="H3405" s="2">
        <f t="shared" ca="1" si="1442"/>
        <v>205</v>
      </c>
      <c r="I3405" t="str">
        <f t="shared" si="1443"/>
        <v>USD/JPY</v>
      </c>
      <c r="J3405">
        <f t="shared" si="1444"/>
        <v>104.01</v>
      </c>
      <c r="K3405">
        <f t="shared" si="1445"/>
        <v>106.9</v>
      </c>
      <c r="L3405">
        <f t="shared" si="1446"/>
        <v>105.45500000000001</v>
      </c>
      <c r="M3405">
        <f t="shared" si="1447"/>
        <v>1.4450000000000003</v>
      </c>
      <c r="N3405">
        <f t="shared" si="1451"/>
        <v>2.8900000000000006</v>
      </c>
      <c r="O3405">
        <f t="shared" si="1448"/>
        <v>105.74</v>
      </c>
      <c r="P3405">
        <f t="shared" si="1449"/>
        <v>0.19723183391002236</v>
      </c>
      <c r="Q3405" t="str">
        <f t="shared" si="1452"/>
        <v>1.64% | 1.1%</v>
      </c>
      <c r="R3405" t="str">
        <f t="shared" si="1450"/>
        <v>BEARISH</v>
      </c>
      <c r="S3405">
        <f t="shared" si="1453"/>
        <v>-1</v>
      </c>
    </row>
    <row r="3406" spans="1:19" hidden="1" x14ac:dyDescent="0.25">
      <c r="A3406" s="5" t="str">
        <f t="shared" si="1454"/>
        <v>44048GBP/USD</v>
      </c>
      <c r="B3406" s="6" t="s">
        <v>102</v>
      </c>
      <c r="C3406" s="6">
        <v>1.28</v>
      </c>
      <c r="D3406" s="6">
        <v>1.32</v>
      </c>
      <c r="E3406" s="6">
        <v>1.3</v>
      </c>
      <c r="F3406" t="str">
        <f t="shared" si="1440"/>
        <v>WED</v>
      </c>
      <c r="G3406" s="1">
        <f t="shared" si="1441"/>
        <v>44048</v>
      </c>
      <c r="H3406" s="2">
        <f t="shared" ca="1" si="1442"/>
        <v>205</v>
      </c>
      <c r="I3406" t="str">
        <f t="shared" si="1443"/>
        <v>GBP/USD</v>
      </c>
      <c r="J3406">
        <f t="shared" si="1444"/>
        <v>1.28</v>
      </c>
      <c r="K3406">
        <f t="shared" si="1445"/>
        <v>1.32</v>
      </c>
      <c r="L3406">
        <f t="shared" si="1446"/>
        <v>1.3</v>
      </c>
      <c r="M3406">
        <f t="shared" si="1447"/>
        <v>2.0000000000000018E-2</v>
      </c>
      <c r="N3406">
        <f t="shared" si="1451"/>
        <v>4.0000000000000036E-2</v>
      </c>
      <c r="O3406">
        <f t="shared" si="1448"/>
        <v>1.3</v>
      </c>
      <c r="P3406">
        <f t="shared" si="1449"/>
        <v>0</v>
      </c>
      <c r="Q3406" t="str">
        <f t="shared" si="1452"/>
        <v>1.54% | 1.54%</v>
      </c>
      <c r="R3406" t="str">
        <f t="shared" si="1450"/>
        <v>BULLISH</v>
      </c>
      <c r="S3406">
        <f t="shared" si="1453"/>
        <v>1</v>
      </c>
    </row>
    <row r="3407" spans="1:19" hidden="1" x14ac:dyDescent="0.25">
      <c r="A3407" s="5" t="str">
        <f t="shared" si="1454"/>
        <v>44048USD/CHF</v>
      </c>
      <c r="B3407" s="6" t="s">
        <v>76</v>
      </c>
      <c r="C3407" s="6">
        <v>0.9</v>
      </c>
      <c r="D3407" s="6">
        <v>0.92</v>
      </c>
      <c r="E3407" s="6">
        <v>0.91</v>
      </c>
      <c r="F3407" t="str">
        <f t="shared" si="1440"/>
        <v>WED</v>
      </c>
      <c r="G3407" s="1">
        <f t="shared" si="1441"/>
        <v>44048</v>
      </c>
      <c r="H3407" s="2">
        <f t="shared" ca="1" si="1442"/>
        <v>205</v>
      </c>
      <c r="I3407" t="str">
        <f t="shared" si="1443"/>
        <v>USD/CHF</v>
      </c>
      <c r="J3407">
        <f t="shared" si="1444"/>
        <v>0.9</v>
      </c>
      <c r="K3407">
        <f t="shared" si="1445"/>
        <v>0.92</v>
      </c>
      <c r="L3407">
        <f t="shared" si="1446"/>
        <v>0.91</v>
      </c>
      <c r="M3407">
        <f t="shared" si="1447"/>
        <v>1.0000000000000009E-2</v>
      </c>
      <c r="N3407">
        <f t="shared" si="1451"/>
        <v>2.0000000000000018E-2</v>
      </c>
      <c r="O3407">
        <f t="shared" si="1448"/>
        <v>0.91</v>
      </c>
      <c r="P3407">
        <f t="shared" si="1449"/>
        <v>0</v>
      </c>
      <c r="Q3407" t="str">
        <f t="shared" si="1452"/>
        <v>1.1% | 1.1%</v>
      </c>
      <c r="R3407" t="str">
        <f t="shared" si="1450"/>
        <v>BEARISH</v>
      </c>
      <c r="S3407">
        <f t="shared" si="1453"/>
        <v>-1</v>
      </c>
    </row>
    <row r="3408" spans="1:19" hidden="1" x14ac:dyDescent="0.25">
      <c r="A3408" s="5" t="str">
        <f t="shared" si="1454"/>
        <v>44048WTIC</v>
      </c>
      <c r="B3408" s="6" t="s">
        <v>158</v>
      </c>
      <c r="C3408" s="6">
        <v>39.9</v>
      </c>
      <c r="D3408" s="6">
        <v>42.86</v>
      </c>
      <c r="E3408" s="6">
        <v>41.7</v>
      </c>
      <c r="F3408" t="str">
        <f t="shared" si="1440"/>
        <v>WED</v>
      </c>
      <c r="G3408" s="1">
        <f t="shared" si="1441"/>
        <v>44048</v>
      </c>
      <c r="H3408" s="2">
        <f t="shared" ca="1" si="1442"/>
        <v>205</v>
      </c>
      <c r="I3408" t="str">
        <f t="shared" si="1443"/>
        <v>WTIC</v>
      </c>
      <c r="J3408">
        <f t="shared" si="1444"/>
        <v>39.9</v>
      </c>
      <c r="K3408">
        <f t="shared" si="1445"/>
        <v>42.86</v>
      </c>
      <c r="L3408">
        <f t="shared" si="1446"/>
        <v>41.379999999999995</v>
      </c>
      <c r="M3408">
        <f t="shared" si="1447"/>
        <v>1.4800000000000004</v>
      </c>
      <c r="N3408">
        <f t="shared" si="1451"/>
        <v>2.9600000000000009</v>
      </c>
      <c r="O3408">
        <f t="shared" si="1448"/>
        <v>41.7</v>
      </c>
      <c r="P3408">
        <f t="shared" si="1449"/>
        <v>0.21621621621622114</v>
      </c>
      <c r="Q3408" t="str">
        <f t="shared" si="1452"/>
        <v>4.32% | 2.78%</v>
      </c>
      <c r="R3408" t="str">
        <f t="shared" si="1450"/>
        <v>BULLISH</v>
      </c>
      <c r="S3408">
        <f t="shared" si="1453"/>
        <v>1</v>
      </c>
    </row>
    <row r="3409" spans="1:19" hidden="1" x14ac:dyDescent="0.25">
      <c r="A3409" s="5" t="str">
        <f t="shared" si="1454"/>
        <v>44048NATGAS</v>
      </c>
      <c r="B3409" s="6" t="s">
        <v>89</v>
      </c>
      <c r="C3409" s="6">
        <v>1.83</v>
      </c>
      <c r="D3409" s="6">
        <v>2.2799999999999998</v>
      </c>
      <c r="E3409" s="6">
        <v>2.19</v>
      </c>
      <c r="F3409" t="str">
        <f t="shared" si="1440"/>
        <v>WED</v>
      </c>
      <c r="G3409" s="1">
        <f t="shared" si="1441"/>
        <v>44048</v>
      </c>
      <c r="H3409" s="2">
        <f t="shared" ca="1" si="1442"/>
        <v>205</v>
      </c>
      <c r="I3409" t="str">
        <f t="shared" si="1443"/>
        <v>NATGAS</v>
      </c>
      <c r="J3409">
        <f t="shared" si="1444"/>
        <v>1.83</v>
      </c>
      <c r="K3409">
        <f t="shared" si="1445"/>
        <v>2.2799999999999998</v>
      </c>
      <c r="L3409">
        <f t="shared" si="1446"/>
        <v>2.0549999999999997</v>
      </c>
      <c r="M3409">
        <f t="shared" si="1447"/>
        <v>0.22500000000000228</v>
      </c>
      <c r="N3409">
        <f t="shared" si="1451"/>
        <v>0.44999999999999973</v>
      </c>
      <c r="O3409">
        <f t="shared" si="1448"/>
        <v>2.19</v>
      </c>
      <c r="P3409">
        <f t="shared" si="1449"/>
        <v>0.59999999999999498</v>
      </c>
      <c r="Q3409" t="str">
        <f t="shared" si="1452"/>
        <v>16.44% | 4.11%</v>
      </c>
      <c r="R3409" t="str">
        <f t="shared" si="1450"/>
        <v>BULLISH</v>
      </c>
      <c r="S3409">
        <f t="shared" si="1453"/>
        <v>1</v>
      </c>
    </row>
    <row r="3410" spans="1:19" hidden="1" x14ac:dyDescent="0.25">
      <c r="A3410" s="5" t="str">
        <f t="shared" si="1454"/>
        <v>44048GOLD</v>
      </c>
      <c r="B3410" s="6" t="s">
        <v>25</v>
      </c>
      <c r="C3410" s="6">
        <v>1951</v>
      </c>
      <c r="D3410" s="6">
        <v>2058</v>
      </c>
      <c r="E3410" s="6">
        <v>2021</v>
      </c>
      <c r="F3410" t="str">
        <f t="shared" si="1440"/>
        <v>WED</v>
      </c>
      <c r="G3410" s="1">
        <f t="shared" si="1441"/>
        <v>44048</v>
      </c>
      <c r="H3410" s="2">
        <f t="shared" ca="1" si="1442"/>
        <v>205</v>
      </c>
      <c r="I3410" t="str">
        <f t="shared" si="1443"/>
        <v>GOLD</v>
      </c>
      <c r="J3410">
        <f t="shared" si="1444"/>
        <v>1951</v>
      </c>
      <c r="K3410">
        <f t="shared" si="1445"/>
        <v>2058</v>
      </c>
      <c r="L3410">
        <f t="shared" si="1446"/>
        <v>2004.5</v>
      </c>
      <c r="M3410">
        <f t="shared" si="1447"/>
        <v>53.5</v>
      </c>
      <c r="N3410">
        <f t="shared" si="1451"/>
        <v>107</v>
      </c>
      <c r="O3410">
        <f t="shared" si="1448"/>
        <v>2021</v>
      </c>
      <c r="P3410">
        <f t="shared" si="1449"/>
        <v>0.30841121495327101</v>
      </c>
      <c r="Q3410" t="str">
        <f t="shared" si="1452"/>
        <v>3.46% | 1.83%</v>
      </c>
      <c r="R3410" t="str">
        <f t="shared" si="1450"/>
        <v>BULLISH</v>
      </c>
      <c r="S3410">
        <f t="shared" si="1453"/>
        <v>1</v>
      </c>
    </row>
    <row r="3411" spans="1:19" hidden="1" x14ac:dyDescent="0.25">
      <c r="A3411" s="5" t="str">
        <f t="shared" si="1454"/>
        <v>44048SILVER</v>
      </c>
      <c r="B3411" s="6" t="s">
        <v>195</v>
      </c>
      <c r="C3411" s="6">
        <v>24.01</v>
      </c>
      <c r="D3411" s="6">
        <v>26.86</v>
      </c>
      <c r="E3411" s="6">
        <v>26.03</v>
      </c>
      <c r="F3411" t="str">
        <f t="shared" si="1440"/>
        <v>WED</v>
      </c>
      <c r="G3411" s="1">
        <f t="shared" si="1441"/>
        <v>44048</v>
      </c>
      <c r="H3411" s="2">
        <f t="shared" ca="1" si="1442"/>
        <v>205</v>
      </c>
      <c r="I3411" t="str">
        <f t="shared" si="1443"/>
        <v>SILVER</v>
      </c>
      <c r="J3411">
        <f t="shared" si="1444"/>
        <v>24.01</v>
      </c>
      <c r="K3411">
        <f t="shared" si="1445"/>
        <v>26.86</v>
      </c>
      <c r="L3411">
        <f t="shared" si="1446"/>
        <v>25.435000000000002</v>
      </c>
      <c r="M3411">
        <f t="shared" si="1447"/>
        <v>1.4249999999999989</v>
      </c>
      <c r="N3411">
        <f t="shared" si="1451"/>
        <v>2.8499999999999979</v>
      </c>
      <c r="O3411">
        <f t="shared" si="1448"/>
        <v>26.03</v>
      </c>
      <c r="P3411">
        <f t="shared" si="1449"/>
        <v>0.41754385964912233</v>
      </c>
      <c r="Q3411" t="str">
        <f t="shared" si="1452"/>
        <v>7.76% | 3.19%</v>
      </c>
      <c r="R3411" t="str">
        <f t="shared" si="1450"/>
        <v>BULLISH</v>
      </c>
      <c r="S3411">
        <f t="shared" si="1453"/>
        <v>1</v>
      </c>
    </row>
    <row r="3412" spans="1:19" hidden="1" x14ac:dyDescent="0.25">
      <c r="A3412" s="5" t="str">
        <f t="shared" si="1454"/>
        <v>44048COPPER</v>
      </c>
      <c r="B3412" s="6" t="s">
        <v>100</v>
      </c>
      <c r="C3412" s="6">
        <v>2.86</v>
      </c>
      <c r="D3412" s="6">
        <v>2.98</v>
      </c>
      <c r="E3412" s="6">
        <v>2.89</v>
      </c>
      <c r="F3412" t="str">
        <f t="shared" si="1440"/>
        <v>WED</v>
      </c>
      <c r="G3412" s="1">
        <f t="shared" si="1441"/>
        <v>44048</v>
      </c>
      <c r="H3412" s="2">
        <f t="shared" ca="1" si="1442"/>
        <v>205</v>
      </c>
      <c r="I3412" t="str">
        <f t="shared" si="1443"/>
        <v>COPPER</v>
      </c>
      <c r="J3412">
        <f t="shared" si="1444"/>
        <v>2.86</v>
      </c>
      <c r="K3412">
        <f t="shared" si="1445"/>
        <v>2.98</v>
      </c>
      <c r="L3412">
        <f t="shared" si="1446"/>
        <v>2.92</v>
      </c>
      <c r="M3412">
        <f t="shared" si="1447"/>
        <v>6.0000000000000053E-2</v>
      </c>
      <c r="N3412">
        <f t="shared" si="1451"/>
        <v>0.12000000000000011</v>
      </c>
      <c r="O3412">
        <f t="shared" si="1448"/>
        <v>2.89</v>
      </c>
      <c r="P3412">
        <f t="shared" si="1449"/>
        <v>-0.49999999999999628</v>
      </c>
      <c r="Q3412" t="str">
        <f t="shared" si="1452"/>
        <v>1.04% | 3.11%</v>
      </c>
      <c r="R3412" t="str">
        <f t="shared" si="1450"/>
        <v>BULLISH</v>
      </c>
      <c r="S3412">
        <f t="shared" si="1453"/>
        <v>1</v>
      </c>
    </row>
    <row r="3413" spans="1:19" hidden="1" x14ac:dyDescent="0.25">
      <c r="A3413" s="5" t="str">
        <f t="shared" si="1454"/>
        <v>44048MSFT</v>
      </c>
      <c r="B3413" s="6" t="s">
        <v>27</v>
      </c>
      <c r="C3413" s="6">
        <v>205</v>
      </c>
      <c r="D3413" s="6">
        <v>219</v>
      </c>
      <c r="E3413" s="6">
        <v>213</v>
      </c>
      <c r="F3413" t="str">
        <f t="shared" si="1440"/>
        <v>WED</v>
      </c>
      <c r="G3413" s="1">
        <f t="shared" si="1441"/>
        <v>44048</v>
      </c>
      <c r="H3413" s="2">
        <f t="shared" ca="1" si="1442"/>
        <v>205</v>
      </c>
      <c r="I3413" t="str">
        <f t="shared" si="1443"/>
        <v>MSFT</v>
      </c>
      <c r="J3413">
        <f t="shared" si="1444"/>
        <v>205</v>
      </c>
      <c r="K3413">
        <f t="shared" si="1445"/>
        <v>219</v>
      </c>
      <c r="L3413">
        <f t="shared" si="1446"/>
        <v>212</v>
      </c>
      <c r="M3413">
        <f t="shared" si="1447"/>
        <v>7</v>
      </c>
      <c r="N3413">
        <f t="shared" si="1451"/>
        <v>14</v>
      </c>
      <c r="O3413">
        <f t="shared" si="1448"/>
        <v>213</v>
      </c>
      <c r="P3413">
        <f t="shared" si="1449"/>
        <v>0.14285714285714285</v>
      </c>
      <c r="Q3413" t="str">
        <f t="shared" si="1452"/>
        <v>3.76% | 2.82%</v>
      </c>
      <c r="R3413" t="str">
        <f t="shared" si="1450"/>
        <v>BULLISH</v>
      </c>
      <c r="S3413">
        <f t="shared" si="1453"/>
        <v>1</v>
      </c>
    </row>
    <row r="3414" spans="1:19" hidden="1" x14ac:dyDescent="0.25">
      <c r="A3414" s="5" t="str">
        <f t="shared" si="1454"/>
        <v>44048AAPL</v>
      </c>
      <c r="B3414" s="6" t="s">
        <v>28</v>
      </c>
      <c r="C3414" s="6">
        <v>395</v>
      </c>
      <c r="D3414" s="6">
        <v>455</v>
      </c>
      <c r="E3414" s="6">
        <v>438</v>
      </c>
      <c r="F3414" t="str">
        <f t="shared" si="1440"/>
        <v>WED</v>
      </c>
      <c r="G3414" s="1">
        <f t="shared" si="1441"/>
        <v>44048</v>
      </c>
      <c r="H3414" s="2">
        <f t="shared" ca="1" si="1442"/>
        <v>205</v>
      </c>
      <c r="I3414" t="str">
        <f t="shared" si="1443"/>
        <v>AAPL</v>
      </c>
      <c r="J3414">
        <f t="shared" si="1444"/>
        <v>395</v>
      </c>
      <c r="K3414">
        <f t="shared" si="1445"/>
        <v>455</v>
      </c>
      <c r="L3414">
        <f t="shared" si="1446"/>
        <v>425</v>
      </c>
      <c r="M3414">
        <f t="shared" si="1447"/>
        <v>30</v>
      </c>
      <c r="N3414">
        <f t="shared" si="1451"/>
        <v>60</v>
      </c>
      <c r="O3414">
        <f t="shared" si="1448"/>
        <v>438</v>
      </c>
      <c r="P3414">
        <f t="shared" si="1449"/>
        <v>0.43333333333333335</v>
      </c>
      <c r="Q3414" t="str">
        <f t="shared" si="1452"/>
        <v>9.82% | 3.88%</v>
      </c>
      <c r="R3414" t="str">
        <f t="shared" si="1450"/>
        <v>BULLISH</v>
      </c>
      <c r="S3414">
        <f t="shared" si="1453"/>
        <v>1</v>
      </c>
    </row>
    <row r="3415" spans="1:19" hidden="1" x14ac:dyDescent="0.25">
      <c r="A3415" s="5" t="str">
        <f t="shared" si="1454"/>
        <v>44048AMZN</v>
      </c>
      <c r="B3415" s="6" t="s">
        <v>29</v>
      </c>
      <c r="C3415" s="6">
        <v>2992</v>
      </c>
      <c r="D3415" s="6">
        <v>3190</v>
      </c>
      <c r="E3415" s="6">
        <v>3138</v>
      </c>
      <c r="F3415" t="str">
        <f t="shared" si="1440"/>
        <v>WED</v>
      </c>
      <c r="G3415" s="1">
        <f t="shared" si="1441"/>
        <v>44048</v>
      </c>
      <c r="H3415" s="2">
        <f t="shared" ca="1" si="1442"/>
        <v>205</v>
      </c>
      <c r="I3415" t="str">
        <f t="shared" si="1443"/>
        <v>AMZN</v>
      </c>
      <c r="J3415">
        <f t="shared" si="1444"/>
        <v>2992</v>
      </c>
      <c r="K3415">
        <f t="shared" si="1445"/>
        <v>3190</v>
      </c>
      <c r="L3415">
        <f t="shared" si="1446"/>
        <v>3091</v>
      </c>
      <c r="M3415">
        <f t="shared" si="1447"/>
        <v>99</v>
      </c>
      <c r="N3415">
        <f t="shared" si="1451"/>
        <v>198</v>
      </c>
      <c r="O3415">
        <f t="shared" si="1448"/>
        <v>3138</v>
      </c>
      <c r="P3415">
        <f t="shared" si="1449"/>
        <v>0.47474747474747475</v>
      </c>
      <c r="Q3415" t="str">
        <f t="shared" si="1452"/>
        <v>4.65% | 1.66%</v>
      </c>
      <c r="R3415" t="str">
        <f t="shared" si="1450"/>
        <v>BULLISH</v>
      </c>
      <c r="S3415">
        <f t="shared" si="1453"/>
        <v>1</v>
      </c>
    </row>
    <row r="3416" spans="1:19" hidden="1" x14ac:dyDescent="0.25">
      <c r="A3416" s="5" t="str">
        <f t="shared" si="1454"/>
        <v>44048FB</v>
      </c>
      <c r="B3416" s="6" t="s">
        <v>30</v>
      </c>
      <c r="C3416" s="6">
        <v>238</v>
      </c>
      <c r="D3416" s="6">
        <v>258</v>
      </c>
      <c r="E3416" s="6">
        <v>249</v>
      </c>
      <c r="F3416" t="str">
        <f t="shared" si="1440"/>
        <v>WED</v>
      </c>
      <c r="G3416" s="1">
        <f t="shared" si="1441"/>
        <v>44048</v>
      </c>
      <c r="H3416" s="2">
        <f t="shared" ca="1" si="1442"/>
        <v>205</v>
      </c>
      <c r="I3416" t="str">
        <f t="shared" si="1443"/>
        <v>FB</v>
      </c>
      <c r="J3416">
        <f t="shared" si="1444"/>
        <v>238</v>
      </c>
      <c r="K3416">
        <f t="shared" si="1445"/>
        <v>258</v>
      </c>
      <c r="L3416">
        <f t="shared" si="1446"/>
        <v>248</v>
      </c>
      <c r="M3416">
        <f t="shared" si="1447"/>
        <v>10</v>
      </c>
      <c r="N3416">
        <f t="shared" si="1451"/>
        <v>20</v>
      </c>
      <c r="O3416">
        <f t="shared" si="1448"/>
        <v>249</v>
      </c>
      <c r="P3416">
        <f t="shared" si="1449"/>
        <v>0.1</v>
      </c>
      <c r="Q3416" t="str">
        <f t="shared" si="1452"/>
        <v>4.42% | 3.61%</v>
      </c>
      <c r="R3416" t="str">
        <f t="shared" si="1450"/>
        <v>BULLISH</v>
      </c>
      <c r="S3416">
        <f t="shared" si="1453"/>
        <v>1</v>
      </c>
    </row>
    <row r="3417" spans="1:19" hidden="1" x14ac:dyDescent="0.25">
      <c r="A3417" s="5" t="str">
        <f t="shared" si="1454"/>
        <v>44048GOOGL</v>
      </c>
      <c r="B3417" s="6" t="s">
        <v>31</v>
      </c>
      <c r="C3417" s="6">
        <v>1461</v>
      </c>
      <c r="D3417" s="6">
        <v>1550</v>
      </c>
      <c r="E3417" s="6">
        <v>1473</v>
      </c>
      <c r="F3417" t="str">
        <f t="shared" si="1440"/>
        <v>WED</v>
      </c>
      <c r="G3417" s="1">
        <f t="shared" si="1441"/>
        <v>44048</v>
      </c>
      <c r="H3417" s="2">
        <f t="shared" ca="1" si="1442"/>
        <v>205</v>
      </c>
      <c r="I3417" t="str">
        <f t="shared" si="1443"/>
        <v>GOOGL</v>
      </c>
      <c r="J3417">
        <f t="shared" si="1444"/>
        <v>1461</v>
      </c>
      <c r="K3417">
        <f t="shared" si="1445"/>
        <v>1550</v>
      </c>
      <c r="L3417">
        <f t="shared" si="1446"/>
        <v>1505.5</v>
      </c>
      <c r="M3417">
        <f t="shared" si="1447"/>
        <v>44.5</v>
      </c>
      <c r="N3417">
        <f t="shared" si="1451"/>
        <v>89</v>
      </c>
      <c r="O3417">
        <f t="shared" si="1448"/>
        <v>1473</v>
      </c>
      <c r="P3417">
        <f t="shared" si="1449"/>
        <v>-0.7303370786516854</v>
      </c>
      <c r="Q3417" t="str">
        <f t="shared" si="1452"/>
        <v>0.81% | 5.23%</v>
      </c>
      <c r="R3417" t="str">
        <f t="shared" si="1450"/>
        <v>BULLISH</v>
      </c>
      <c r="S3417">
        <f t="shared" si="1453"/>
        <v>1</v>
      </c>
    </row>
    <row r="3418" spans="1:19" hidden="1" x14ac:dyDescent="0.25">
      <c r="A3418" s="5" t="str">
        <f t="shared" si="1454"/>
        <v>44048NFLX</v>
      </c>
      <c r="B3418" s="6" t="s">
        <v>32</v>
      </c>
      <c r="C3418" s="6">
        <v>475</v>
      </c>
      <c r="D3418" s="6">
        <v>515</v>
      </c>
      <c r="E3418" s="6">
        <v>509</v>
      </c>
      <c r="F3418" t="str">
        <f t="shared" si="1440"/>
        <v>WED</v>
      </c>
      <c r="G3418" s="1">
        <f t="shared" si="1441"/>
        <v>44048</v>
      </c>
      <c r="H3418" s="2">
        <f t="shared" ca="1" si="1442"/>
        <v>205</v>
      </c>
      <c r="I3418" t="str">
        <f t="shared" si="1443"/>
        <v>NFLX</v>
      </c>
      <c r="J3418">
        <f t="shared" si="1444"/>
        <v>475</v>
      </c>
      <c r="K3418">
        <f t="shared" si="1445"/>
        <v>515</v>
      </c>
      <c r="L3418">
        <f t="shared" si="1446"/>
        <v>495</v>
      </c>
      <c r="M3418">
        <f t="shared" si="1447"/>
        <v>20</v>
      </c>
      <c r="N3418">
        <f t="shared" si="1451"/>
        <v>40</v>
      </c>
      <c r="O3418">
        <f t="shared" si="1448"/>
        <v>509</v>
      </c>
      <c r="P3418">
        <f t="shared" si="1449"/>
        <v>0.7</v>
      </c>
      <c r="Q3418" t="str">
        <f t="shared" si="1452"/>
        <v>6.68% | 1.18%</v>
      </c>
      <c r="R3418" t="str">
        <f t="shared" si="1450"/>
        <v>BULLISH</v>
      </c>
      <c r="S3418">
        <f t="shared" si="1453"/>
        <v>1</v>
      </c>
    </row>
    <row r="3419" spans="1:19" x14ac:dyDescent="0.25">
      <c r="A3419" s="5" t="str">
        <f t="shared" si="1454"/>
        <v>44048TSLA</v>
      </c>
      <c r="B3419" s="6" t="s">
        <v>33</v>
      </c>
      <c r="C3419" s="6">
        <v>1391</v>
      </c>
      <c r="D3419" s="6">
        <v>1555</v>
      </c>
      <c r="E3419" s="6">
        <v>1487</v>
      </c>
      <c r="F3419" t="str">
        <f t="shared" si="1440"/>
        <v>WED</v>
      </c>
      <c r="G3419" s="1">
        <f t="shared" si="1441"/>
        <v>44048</v>
      </c>
      <c r="H3419" s="2">
        <f t="shared" ca="1" si="1442"/>
        <v>205</v>
      </c>
      <c r="I3419" t="str">
        <f t="shared" si="1443"/>
        <v>TSLA</v>
      </c>
      <c r="J3419">
        <f t="shared" si="1444"/>
        <v>1391</v>
      </c>
      <c r="K3419">
        <f t="shared" si="1445"/>
        <v>1555</v>
      </c>
      <c r="L3419">
        <f t="shared" si="1446"/>
        <v>1473</v>
      </c>
      <c r="M3419">
        <f t="shared" si="1447"/>
        <v>82</v>
      </c>
      <c r="N3419">
        <f t="shared" si="1451"/>
        <v>164</v>
      </c>
      <c r="O3419">
        <f t="shared" si="1448"/>
        <v>1487</v>
      </c>
      <c r="P3419">
        <f t="shared" si="1449"/>
        <v>0.17073170731707318</v>
      </c>
      <c r="Q3419" t="str">
        <f t="shared" si="1452"/>
        <v>6.46% | 4.57%</v>
      </c>
      <c r="R3419" t="str">
        <f t="shared" si="1450"/>
        <v>BULLISH</v>
      </c>
      <c r="S3419">
        <f t="shared" si="1453"/>
        <v>1</v>
      </c>
    </row>
    <row r="3420" spans="1:19" hidden="1" x14ac:dyDescent="0.25">
      <c r="A3420" s="5" t="str">
        <f t="shared" si="1454"/>
        <v>44048NYXBT</v>
      </c>
      <c r="B3420" s="6" t="s">
        <v>60</v>
      </c>
      <c r="C3420" s="6">
        <v>10725</v>
      </c>
      <c r="D3420" s="6">
        <v>12099</v>
      </c>
      <c r="E3420" s="6">
        <v>11181</v>
      </c>
      <c r="F3420" t="str">
        <f t="shared" si="1440"/>
        <v>WED</v>
      </c>
      <c r="G3420" s="1">
        <f t="shared" si="1441"/>
        <v>44048</v>
      </c>
      <c r="H3420" s="2">
        <f t="shared" ca="1" si="1442"/>
        <v>205</v>
      </c>
      <c r="I3420" t="str">
        <f t="shared" si="1443"/>
        <v>NYXBT</v>
      </c>
      <c r="J3420">
        <f t="shared" si="1444"/>
        <v>10725</v>
      </c>
      <c r="K3420">
        <f t="shared" si="1445"/>
        <v>12099</v>
      </c>
      <c r="L3420">
        <f t="shared" si="1446"/>
        <v>11412</v>
      </c>
      <c r="M3420">
        <f t="shared" si="1447"/>
        <v>687</v>
      </c>
      <c r="N3420">
        <f t="shared" si="1451"/>
        <v>1374</v>
      </c>
      <c r="O3420">
        <f t="shared" si="1448"/>
        <v>11181</v>
      </c>
      <c r="P3420">
        <f t="shared" si="1449"/>
        <v>-0.33624454148471616</v>
      </c>
      <c r="Q3420" t="str">
        <f t="shared" si="1452"/>
        <v>4.08% | 8.21%</v>
      </c>
      <c r="R3420" t="str">
        <f t="shared" si="1450"/>
        <v>BULLISH</v>
      </c>
      <c r="S3420">
        <f t="shared" si="1453"/>
        <v>1</v>
      </c>
    </row>
    <row r="3421" spans="1:19" hidden="1" x14ac:dyDescent="0.25">
      <c r="A3421" s="5" t="str">
        <f t="shared" si="1454"/>
        <v>44049UST10Y</v>
      </c>
      <c r="B3421" s="6" t="s">
        <v>4</v>
      </c>
      <c r="C3421" s="6">
        <v>0.61</v>
      </c>
      <c r="D3421" s="6">
        <v>0.5</v>
      </c>
      <c r="E3421" s="6">
        <v>0.55000000000000004</v>
      </c>
      <c r="F3421" t="str">
        <f t="shared" si="1440"/>
        <v>THU</v>
      </c>
      <c r="G3421" s="3">
        <f>DATE(2020,8,6)</f>
        <v>44049</v>
      </c>
      <c r="H3421" s="2">
        <f t="shared" ca="1" si="1442"/>
        <v>204</v>
      </c>
      <c r="I3421" t="str">
        <f t="shared" si="1443"/>
        <v>UST10Y</v>
      </c>
      <c r="J3421">
        <f t="shared" si="1444"/>
        <v>0.61</v>
      </c>
      <c r="K3421">
        <f t="shared" si="1445"/>
        <v>0.5</v>
      </c>
      <c r="L3421">
        <f t="shared" si="1446"/>
        <v>0.55499999999999994</v>
      </c>
      <c r="M3421">
        <f t="shared" si="1447"/>
        <v>5.4999999999999993E-2</v>
      </c>
      <c r="N3421">
        <f t="shared" si="1451"/>
        <v>0.10999999999999999</v>
      </c>
      <c r="O3421">
        <f t="shared" si="1448"/>
        <v>0.55000000000000004</v>
      </c>
      <c r="P3421">
        <f t="shared" si="1449"/>
        <v>-9.0909090909088983E-2</v>
      </c>
      <c r="Q3421" t="str">
        <f t="shared" si="1452"/>
        <v>10.91% | 9.09%</v>
      </c>
      <c r="R3421" t="str">
        <f t="shared" si="1450"/>
        <v>BEARISH</v>
      </c>
      <c r="S3421">
        <f t="shared" si="1453"/>
        <v>-1</v>
      </c>
    </row>
    <row r="3422" spans="1:19" hidden="1" x14ac:dyDescent="0.25">
      <c r="A3422" s="5" t="str">
        <f t="shared" si="1454"/>
        <v>44049UST2Y</v>
      </c>
      <c r="B3422" s="6" t="s">
        <v>5</v>
      </c>
      <c r="C3422" s="6">
        <v>0.13</v>
      </c>
      <c r="D3422" s="6">
        <v>0.09</v>
      </c>
      <c r="E3422" s="6">
        <v>0.11</v>
      </c>
      <c r="F3422" t="str">
        <f t="shared" ref="F3422:F3452" si="1455">UPPER(TEXT(G3422,"ddd"))</f>
        <v>THU</v>
      </c>
      <c r="G3422" s="3">
        <f t="shared" ref="G3422:G3451" si="1456">DATE(2020,8,6)</f>
        <v>44049</v>
      </c>
      <c r="H3422" s="2">
        <f t="shared" ref="H3422:H3452" ca="1" si="1457">TODAY()-G3422</f>
        <v>204</v>
      </c>
      <c r="I3422" t="str">
        <f t="shared" ref="I3422:I3452" si="1458">TRIM(LEFT(B3422,FIND(" ",B3422,1)))</f>
        <v>UST2Y</v>
      </c>
      <c r="J3422">
        <f t="shared" ref="J3422:J3452" si="1459">C3422</f>
        <v>0.13</v>
      </c>
      <c r="K3422">
        <f t="shared" ref="K3422:K3452" si="1460">D3422</f>
        <v>0.09</v>
      </c>
      <c r="L3422">
        <f t="shared" ref="L3422:L3452" si="1461">AVERAGE(J3422:K3422)</f>
        <v>0.11</v>
      </c>
      <c r="M3422">
        <f t="shared" ref="M3422:M3452" si="1462">_xlfn.STDEV.P(J3422:K3422)</f>
        <v>2.0000000000000025E-2</v>
      </c>
      <c r="N3422">
        <f t="shared" si="1451"/>
        <v>4.0000000000000008E-2</v>
      </c>
      <c r="O3422">
        <f t="shared" ref="O3422:O3452" si="1463">E3422</f>
        <v>0.11</v>
      </c>
      <c r="P3422">
        <f t="shared" ref="P3422:P3452" si="1464">(O3422-L3422)/M3422</f>
        <v>0</v>
      </c>
      <c r="Q3422" t="str">
        <f t="shared" si="1452"/>
        <v>18.18% | 18.18%</v>
      </c>
      <c r="R3422" t="str">
        <f t="shared" ref="R3422:R3452" si="1465">MID(B3422,FIND("(",B3422,1)+1,FIND(")",B3422,1)-FIND("(",B3422,1)-1)</f>
        <v>BEARISH</v>
      </c>
      <c r="S3422">
        <f t="shared" si="1453"/>
        <v>-1</v>
      </c>
    </row>
    <row r="3423" spans="1:19" hidden="1" x14ac:dyDescent="0.25">
      <c r="A3423" s="5" t="str">
        <f t="shared" si="1454"/>
        <v>44049SPX</v>
      </c>
      <c r="B3423" s="6" t="s">
        <v>93</v>
      </c>
      <c r="C3423" s="6">
        <v>3216</v>
      </c>
      <c r="D3423" s="6">
        <v>3339</v>
      </c>
      <c r="E3423" s="6">
        <v>3327</v>
      </c>
      <c r="F3423" t="str">
        <f t="shared" si="1455"/>
        <v>THU</v>
      </c>
      <c r="G3423" s="3">
        <f t="shared" si="1456"/>
        <v>44049</v>
      </c>
      <c r="H3423" s="2">
        <f t="shared" ca="1" si="1457"/>
        <v>204</v>
      </c>
      <c r="I3423" t="str">
        <f t="shared" si="1458"/>
        <v>SPX</v>
      </c>
      <c r="J3423">
        <f t="shared" si="1459"/>
        <v>3216</v>
      </c>
      <c r="K3423">
        <f t="shared" si="1460"/>
        <v>3339</v>
      </c>
      <c r="L3423">
        <f t="shared" si="1461"/>
        <v>3277.5</v>
      </c>
      <c r="M3423">
        <f t="shared" si="1462"/>
        <v>61.5</v>
      </c>
      <c r="N3423">
        <f t="shared" si="1451"/>
        <v>123</v>
      </c>
      <c r="O3423">
        <f t="shared" si="1463"/>
        <v>3327</v>
      </c>
      <c r="P3423">
        <f t="shared" si="1464"/>
        <v>0.80487804878048785</v>
      </c>
      <c r="Q3423" t="str">
        <f t="shared" si="1452"/>
        <v>3.34% | 0.36%</v>
      </c>
      <c r="R3423" t="str">
        <f t="shared" si="1465"/>
        <v>BULLISH</v>
      </c>
      <c r="S3423">
        <f t="shared" si="1453"/>
        <v>1</v>
      </c>
    </row>
    <row r="3424" spans="1:19" hidden="1" x14ac:dyDescent="0.25">
      <c r="A3424" s="5" t="str">
        <f t="shared" si="1454"/>
        <v>44049RUT</v>
      </c>
      <c r="B3424" s="6" t="s">
        <v>7</v>
      </c>
      <c r="C3424" s="6">
        <v>1450</v>
      </c>
      <c r="D3424" s="6">
        <v>1555</v>
      </c>
      <c r="E3424" s="6">
        <v>1546</v>
      </c>
      <c r="F3424" t="str">
        <f t="shared" si="1455"/>
        <v>THU</v>
      </c>
      <c r="G3424" s="3">
        <f t="shared" si="1456"/>
        <v>44049</v>
      </c>
      <c r="H3424" s="2">
        <f t="shared" ca="1" si="1457"/>
        <v>204</v>
      </c>
      <c r="I3424" t="str">
        <f t="shared" si="1458"/>
        <v>RUT</v>
      </c>
      <c r="J3424">
        <f t="shared" si="1459"/>
        <v>1450</v>
      </c>
      <c r="K3424">
        <f t="shared" si="1460"/>
        <v>1555</v>
      </c>
      <c r="L3424">
        <f t="shared" si="1461"/>
        <v>1502.5</v>
      </c>
      <c r="M3424">
        <f t="shared" si="1462"/>
        <v>52.5</v>
      </c>
      <c r="N3424">
        <f t="shared" si="1451"/>
        <v>105</v>
      </c>
      <c r="O3424">
        <f t="shared" si="1463"/>
        <v>1546</v>
      </c>
      <c r="P3424">
        <f t="shared" si="1464"/>
        <v>0.82857142857142863</v>
      </c>
      <c r="Q3424" t="str">
        <f t="shared" si="1452"/>
        <v>6.21% | 0.58%</v>
      </c>
      <c r="R3424" t="str">
        <f t="shared" si="1465"/>
        <v>BEARISH</v>
      </c>
      <c r="S3424">
        <f t="shared" si="1453"/>
        <v>-1</v>
      </c>
    </row>
    <row r="3425" spans="1:19" hidden="1" x14ac:dyDescent="0.25">
      <c r="A3425" s="5" t="str">
        <f t="shared" si="1454"/>
        <v>44049COMPQ</v>
      </c>
      <c r="B3425" s="6" t="s">
        <v>8</v>
      </c>
      <c r="C3425" s="6">
        <v>10497</v>
      </c>
      <c r="D3425" s="6">
        <v>11126</v>
      </c>
      <c r="E3425" s="6">
        <v>10998</v>
      </c>
      <c r="F3425" t="str">
        <f t="shared" si="1455"/>
        <v>THU</v>
      </c>
      <c r="G3425" s="3">
        <f t="shared" si="1456"/>
        <v>44049</v>
      </c>
      <c r="H3425" s="2">
        <f t="shared" ca="1" si="1457"/>
        <v>204</v>
      </c>
      <c r="I3425" t="str">
        <f t="shared" si="1458"/>
        <v>COMPQ</v>
      </c>
      <c r="J3425">
        <f t="shared" si="1459"/>
        <v>10497</v>
      </c>
      <c r="K3425">
        <f t="shared" si="1460"/>
        <v>11126</v>
      </c>
      <c r="L3425">
        <f t="shared" si="1461"/>
        <v>10811.5</v>
      </c>
      <c r="M3425">
        <f t="shared" si="1462"/>
        <v>314.5</v>
      </c>
      <c r="N3425">
        <f t="shared" si="1451"/>
        <v>629</v>
      </c>
      <c r="O3425">
        <f t="shared" si="1463"/>
        <v>10998</v>
      </c>
      <c r="P3425">
        <f t="shared" si="1464"/>
        <v>0.59300476947535774</v>
      </c>
      <c r="Q3425" t="str">
        <f t="shared" si="1452"/>
        <v>4.56% | 1.16%</v>
      </c>
      <c r="R3425" t="str">
        <f t="shared" si="1465"/>
        <v>BULLISH</v>
      </c>
      <c r="S3425">
        <f t="shared" si="1453"/>
        <v>1</v>
      </c>
    </row>
    <row r="3426" spans="1:19" hidden="1" x14ac:dyDescent="0.25">
      <c r="A3426" s="5" t="str">
        <f t="shared" si="1454"/>
        <v>44049XLK</v>
      </c>
      <c r="B3426" s="6" t="s">
        <v>10</v>
      </c>
      <c r="C3426" s="6">
        <v>107.39</v>
      </c>
      <c r="D3426" s="6">
        <v>115.95</v>
      </c>
      <c r="E3426" s="6">
        <v>113.86</v>
      </c>
      <c r="F3426" t="str">
        <f t="shared" si="1455"/>
        <v>THU</v>
      </c>
      <c r="G3426" s="3">
        <f t="shared" si="1456"/>
        <v>44049</v>
      </c>
      <c r="H3426" s="2">
        <f t="shared" ca="1" si="1457"/>
        <v>204</v>
      </c>
      <c r="I3426" t="str">
        <f t="shared" si="1458"/>
        <v>XLK</v>
      </c>
      <c r="J3426">
        <f t="shared" si="1459"/>
        <v>107.39</v>
      </c>
      <c r="K3426">
        <f t="shared" si="1460"/>
        <v>115.95</v>
      </c>
      <c r="L3426">
        <f t="shared" si="1461"/>
        <v>111.67</v>
      </c>
      <c r="M3426">
        <f t="shared" si="1462"/>
        <v>4.2800000000000011</v>
      </c>
      <c r="N3426">
        <f t="shared" si="1451"/>
        <v>8.5600000000000023</v>
      </c>
      <c r="O3426">
        <f t="shared" si="1463"/>
        <v>113.86</v>
      </c>
      <c r="P3426">
        <f t="shared" si="1464"/>
        <v>0.51168224299065357</v>
      </c>
      <c r="Q3426" t="str">
        <f t="shared" si="1452"/>
        <v>5.68% | 1.84%</v>
      </c>
      <c r="R3426" t="str">
        <f t="shared" si="1465"/>
        <v>BULLISH</v>
      </c>
      <c r="S3426">
        <f t="shared" si="1453"/>
        <v>1</v>
      </c>
    </row>
    <row r="3427" spans="1:19" hidden="1" x14ac:dyDescent="0.25">
      <c r="A3427" s="5" t="str">
        <f t="shared" si="1454"/>
        <v>44049XLRE</v>
      </c>
      <c r="B3427" s="6" t="s">
        <v>97</v>
      </c>
      <c r="C3427" s="6">
        <v>34.6</v>
      </c>
      <c r="D3427" s="6">
        <v>37.200000000000003</v>
      </c>
      <c r="E3427" s="6">
        <v>35.94</v>
      </c>
      <c r="F3427" t="str">
        <f t="shared" si="1455"/>
        <v>THU</v>
      </c>
      <c r="G3427" s="3">
        <f t="shared" si="1456"/>
        <v>44049</v>
      </c>
      <c r="H3427" s="2">
        <f t="shared" ca="1" si="1457"/>
        <v>204</v>
      </c>
      <c r="I3427" t="str">
        <f t="shared" si="1458"/>
        <v>XLRE</v>
      </c>
      <c r="J3427">
        <f t="shared" si="1459"/>
        <v>34.6</v>
      </c>
      <c r="K3427">
        <f t="shared" si="1460"/>
        <v>37.200000000000003</v>
      </c>
      <c r="L3427">
        <f t="shared" si="1461"/>
        <v>35.900000000000006</v>
      </c>
      <c r="M3427">
        <f t="shared" si="1462"/>
        <v>1.3000000000000007</v>
      </c>
      <c r="N3427">
        <f t="shared" si="1451"/>
        <v>2.6000000000000014</v>
      </c>
      <c r="O3427">
        <f t="shared" si="1463"/>
        <v>35.94</v>
      </c>
      <c r="P3427">
        <f t="shared" si="1464"/>
        <v>3.076923076922463E-2</v>
      </c>
      <c r="Q3427" t="str">
        <f t="shared" si="1452"/>
        <v>3.73% | 3.51%</v>
      </c>
      <c r="R3427" t="str">
        <f t="shared" si="1465"/>
        <v>BULLISH</v>
      </c>
      <c r="S3427">
        <f t="shared" si="1453"/>
        <v>1</v>
      </c>
    </row>
    <row r="3428" spans="1:19" hidden="1" x14ac:dyDescent="0.25">
      <c r="A3428" s="5" t="str">
        <f t="shared" si="1454"/>
        <v>44049XLU</v>
      </c>
      <c r="B3428" s="6" t="s">
        <v>52</v>
      </c>
      <c r="C3428" s="6">
        <v>59.39</v>
      </c>
      <c r="D3428" s="6">
        <v>61.36</v>
      </c>
      <c r="E3428" s="6">
        <v>60.05</v>
      </c>
      <c r="F3428" t="str">
        <f t="shared" si="1455"/>
        <v>THU</v>
      </c>
      <c r="G3428" s="3">
        <f t="shared" si="1456"/>
        <v>44049</v>
      </c>
      <c r="H3428" s="2">
        <f t="shared" ca="1" si="1457"/>
        <v>204</v>
      </c>
      <c r="I3428" t="str">
        <f t="shared" si="1458"/>
        <v>XLU</v>
      </c>
      <c r="J3428">
        <f t="shared" si="1459"/>
        <v>59.39</v>
      </c>
      <c r="K3428">
        <f t="shared" si="1460"/>
        <v>61.36</v>
      </c>
      <c r="L3428">
        <f t="shared" si="1461"/>
        <v>60.375</v>
      </c>
      <c r="M3428">
        <f t="shared" si="1462"/>
        <v>0.98499999999999943</v>
      </c>
      <c r="N3428">
        <f t="shared" si="1451"/>
        <v>1.9699999999999989</v>
      </c>
      <c r="O3428">
        <f t="shared" si="1463"/>
        <v>60.05</v>
      </c>
      <c r="P3428">
        <f t="shared" si="1464"/>
        <v>-0.3299492385786833</v>
      </c>
      <c r="Q3428" t="str">
        <f t="shared" si="1452"/>
        <v>1.1% | 2.18%</v>
      </c>
      <c r="R3428" t="str">
        <f t="shared" si="1465"/>
        <v>BULLISH</v>
      </c>
      <c r="S3428">
        <f t="shared" si="1453"/>
        <v>1</v>
      </c>
    </row>
    <row r="3429" spans="1:19" hidden="1" x14ac:dyDescent="0.25">
      <c r="A3429" s="5" t="str">
        <f t="shared" si="1454"/>
        <v>44049XLF</v>
      </c>
      <c r="B3429" s="6" t="s">
        <v>12</v>
      </c>
      <c r="C3429" s="6">
        <v>23.37</v>
      </c>
      <c r="D3429" s="6">
        <v>24.59</v>
      </c>
      <c r="E3429" s="6">
        <v>24.33</v>
      </c>
      <c r="F3429" t="str">
        <f t="shared" si="1455"/>
        <v>THU</v>
      </c>
      <c r="G3429" s="3">
        <f t="shared" si="1456"/>
        <v>44049</v>
      </c>
      <c r="H3429" s="2">
        <f t="shared" ca="1" si="1457"/>
        <v>204</v>
      </c>
      <c r="I3429" t="str">
        <f t="shared" si="1458"/>
        <v>XLF</v>
      </c>
      <c r="J3429">
        <f t="shared" si="1459"/>
        <v>23.37</v>
      </c>
      <c r="K3429">
        <f t="shared" si="1460"/>
        <v>24.59</v>
      </c>
      <c r="L3429">
        <f t="shared" si="1461"/>
        <v>23.98</v>
      </c>
      <c r="M3429">
        <f t="shared" si="1462"/>
        <v>0.60999999999999943</v>
      </c>
      <c r="N3429">
        <f t="shared" si="1451"/>
        <v>1.2199999999999989</v>
      </c>
      <c r="O3429">
        <f t="shared" si="1463"/>
        <v>24.33</v>
      </c>
      <c r="P3429">
        <f t="shared" si="1464"/>
        <v>0.57377049180327577</v>
      </c>
      <c r="Q3429" t="str">
        <f t="shared" si="1452"/>
        <v>3.95% | 1.07%</v>
      </c>
      <c r="R3429" t="str">
        <f t="shared" si="1465"/>
        <v>BEARISH</v>
      </c>
      <c r="S3429">
        <f t="shared" si="1453"/>
        <v>-1</v>
      </c>
    </row>
    <row r="3430" spans="1:19" hidden="1" x14ac:dyDescent="0.25">
      <c r="A3430" s="5" t="str">
        <f t="shared" si="1454"/>
        <v>44049SSEC</v>
      </c>
      <c r="B3430" s="6" t="s">
        <v>104</v>
      </c>
      <c r="C3430" s="6">
        <v>3252</v>
      </c>
      <c r="D3430" s="6">
        <v>3429</v>
      </c>
      <c r="E3430" s="6">
        <v>3386</v>
      </c>
      <c r="F3430" t="str">
        <f t="shared" si="1455"/>
        <v>THU</v>
      </c>
      <c r="G3430" s="3">
        <f t="shared" si="1456"/>
        <v>44049</v>
      </c>
      <c r="H3430" s="2">
        <f t="shared" ca="1" si="1457"/>
        <v>204</v>
      </c>
      <c r="I3430" t="str">
        <f t="shared" si="1458"/>
        <v>SSEC</v>
      </c>
      <c r="J3430">
        <f t="shared" si="1459"/>
        <v>3252</v>
      </c>
      <c r="K3430">
        <f t="shared" si="1460"/>
        <v>3429</v>
      </c>
      <c r="L3430">
        <f t="shared" si="1461"/>
        <v>3340.5</v>
      </c>
      <c r="M3430">
        <f t="shared" si="1462"/>
        <v>88.5</v>
      </c>
      <c r="N3430">
        <f t="shared" si="1451"/>
        <v>177</v>
      </c>
      <c r="O3430">
        <f t="shared" si="1463"/>
        <v>3386</v>
      </c>
      <c r="P3430">
        <f t="shared" si="1464"/>
        <v>0.51412429378531077</v>
      </c>
      <c r="Q3430" t="str">
        <f t="shared" si="1452"/>
        <v>3.96% | 1.27%</v>
      </c>
      <c r="R3430" t="str">
        <f t="shared" si="1465"/>
        <v>BULLISH</v>
      </c>
      <c r="S3430">
        <f t="shared" si="1453"/>
        <v>1</v>
      </c>
    </row>
    <row r="3431" spans="1:19" hidden="1" x14ac:dyDescent="0.25">
      <c r="A3431" s="5" t="str">
        <f t="shared" si="1454"/>
        <v>44049NIKK</v>
      </c>
      <c r="B3431" s="6" t="s">
        <v>90</v>
      </c>
      <c r="C3431" s="6">
        <v>21804</v>
      </c>
      <c r="D3431" s="6">
        <v>23002</v>
      </c>
      <c r="E3431" s="6">
        <v>22418</v>
      </c>
      <c r="F3431" t="str">
        <f t="shared" si="1455"/>
        <v>THU</v>
      </c>
      <c r="G3431" s="3">
        <f t="shared" si="1456"/>
        <v>44049</v>
      </c>
      <c r="H3431" s="2">
        <f t="shared" ca="1" si="1457"/>
        <v>204</v>
      </c>
      <c r="I3431" t="str">
        <f t="shared" si="1458"/>
        <v>NIKK</v>
      </c>
      <c r="J3431">
        <f t="shared" si="1459"/>
        <v>21804</v>
      </c>
      <c r="K3431">
        <f t="shared" si="1460"/>
        <v>23002</v>
      </c>
      <c r="L3431">
        <f t="shared" si="1461"/>
        <v>22403</v>
      </c>
      <c r="M3431">
        <f t="shared" si="1462"/>
        <v>599</v>
      </c>
      <c r="N3431">
        <f t="shared" si="1451"/>
        <v>1198</v>
      </c>
      <c r="O3431">
        <f t="shared" si="1463"/>
        <v>22418</v>
      </c>
      <c r="P3431">
        <f t="shared" si="1464"/>
        <v>2.5041736227045076E-2</v>
      </c>
      <c r="Q3431" t="str">
        <f t="shared" si="1452"/>
        <v>2.74% | 2.61%</v>
      </c>
      <c r="R3431" t="str">
        <f t="shared" si="1465"/>
        <v>NEUTRAL</v>
      </c>
      <c r="S3431">
        <f t="shared" si="1453"/>
        <v>0</v>
      </c>
    </row>
    <row r="3432" spans="1:19" hidden="1" x14ac:dyDescent="0.25">
      <c r="A3432" s="5" t="str">
        <f t="shared" si="1454"/>
        <v>44049DAX</v>
      </c>
      <c r="B3432" s="6" t="s">
        <v>98</v>
      </c>
      <c r="C3432" s="6">
        <v>12270</v>
      </c>
      <c r="D3432" s="6">
        <v>13028</v>
      </c>
      <c r="E3432" s="6">
        <v>12660</v>
      </c>
      <c r="F3432" t="str">
        <f t="shared" si="1455"/>
        <v>THU</v>
      </c>
      <c r="G3432" s="3">
        <f t="shared" si="1456"/>
        <v>44049</v>
      </c>
      <c r="H3432" s="2">
        <f t="shared" ca="1" si="1457"/>
        <v>204</v>
      </c>
      <c r="I3432" t="str">
        <f t="shared" si="1458"/>
        <v>DAX</v>
      </c>
      <c r="J3432">
        <f t="shared" si="1459"/>
        <v>12270</v>
      </c>
      <c r="K3432">
        <f t="shared" si="1460"/>
        <v>13028</v>
      </c>
      <c r="L3432">
        <f t="shared" si="1461"/>
        <v>12649</v>
      </c>
      <c r="M3432">
        <f t="shared" si="1462"/>
        <v>379</v>
      </c>
      <c r="N3432">
        <f t="shared" si="1451"/>
        <v>758</v>
      </c>
      <c r="O3432">
        <f t="shared" si="1463"/>
        <v>12660</v>
      </c>
      <c r="P3432">
        <f t="shared" si="1464"/>
        <v>2.9023746701846966E-2</v>
      </c>
      <c r="Q3432" t="str">
        <f t="shared" si="1452"/>
        <v>3.08% | 2.91%</v>
      </c>
      <c r="R3432" t="str">
        <f t="shared" si="1465"/>
        <v>BULLISH</v>
      </c>
      <c r="S3432">
        <f t="shared" si="1453"/>
        <v>1</v>
      </c>
    </row>
    <row r="3433" spans="1:19" hidden="1" x14ac:dyDescent="0.25">
      <c r="A3433" s="5" t="str">
        <f t="shared" si="1454"/>
        <v>44049VIX</v>
      </c>
      <c r="B3433" s="6" t="s">
        <v>96</v>
      </c>
      <c r="C3433" s="6">
        <v>22.67</v>
      </c>
      <c r="D3433" s="6">
        <v>29.94</v>
      </c>
      <c r="E3433" s="6">
        <v>22.99</v>
      </c>
      <c r="F3433" t="str">
        <f t="shared" si="1455"/>
        <v>THU</v>
      </c>
      <c r="G3433" s="3">
        <f t="shared" si="1456"/>
        <v>44049</v>
      </c>
      <c r="H3433" s="2">
        <f t="shared" ca="1" si="1457"/>
        <v>204</v>
      </c>
      <c r="I3433" t="str">
        <f t="shared" si="1458"/>
        <v>VIX</v>
      </c>
      <c r="J3433">
        <f t="shared" si="1459"/>
        <v>22.67</v>
      </c>
      <c r="K3433">
        <f t="shared" si="1460"/>
        <v>29.94</v>
      </c>
      <c r="L3433">
        <f t="shared" si="1461"/>
        <v>26.305</v>
      </c>
      <c r="M3433">
        <f t="shared" si="1462"/>
        <v>3.6350000000000109</v>
      </c>
      <c r="N3433">
        <f t="shared" si="1451"/>
        <v>7.27</v>
      </c>
      <c r="O3433">
        <f t="shared" si="1463"/>
        <v>22.99</v>
      </c>
      <c r="P3433">
        <f t="shared" si="1464"/>
        <v>-0.91196698762035522</v>
      </c>
      <c r="Q3433" t="str">
        <f t="shared" si="1452"/>
        <v>1.39% | 30.23%</v>
      </c>
      <c r="R3433" t="str">
        <f t="shared" si="1465"/>
        <v>BEARISH</v>
      </c>
      <c r="S3433">
        <f t="shared" si="1453"/>
        <v>-1</v>
      </c>
    </row>
    <row r="3434" spans="1:19" hidden="1" x14ac:dyDescent="0.25">
      <c r="A3434" s="5" t="str">
        <f t="shared" si="1454"/>
        <v>44049USD</v>
      </c>
      <c r="B3434" s="6" t="s">
        <v>94</v>
      </c>
      <c r="C3434" s="6">
        <v>92.46</v>
      </c>
      <c r="D3434" s="6">
        <v>94.3</v>
      </c>
      <c r="E3434" s="6">
        <v>92.87</v>
      </c>
      <c r="F3434" t="str">
        <f t="shared" si="1455"/>
        <v>THU</v>
      </c>
      <c r="G3434" s="3">
        <f t="shared" si="1456"/>
        <v>44049</v>
      </c>
      <c r="H3434" s="2">
        <f t="shared" ca="1" si="1457"/>
        <v>204</v>
      </c>
      <c r="I3434" t="str">
        <f t="shared" si="1458"/>
        <v>USD</v>
      </c>
      <c r="J3434">
        <f t="shared" si="1459"/>
        <v>92.46</v>
      </c>
      <c r="K3434">
        <f t="shared" si="1460"/>
        <v>94.3</v>
      </c>
      <c r="L3434">
        <f t="shared" si="1461"/>
        <v>93.38</v>
      </c>
      <c r="M3434">
        <f t="shared" si="1462"/>
        <v>0.92000000000000171</v>
      </c>
      <c r="N3434">
        <f t="shared" si="1451"/>
        <v>1.8400000000000034</v>
      </c>
      <c r="O3434">
        <f t="shared" si="1463"/>
        <v>92.87</v>
      </c>
      <c r="P3434">
        <f t="shared" si="1464"/>
        <v>-0.55434782608694566</v>
      </c>
      <c r="Q3434" t="str">
        <f t="shared" si="1452"/>
        <v>0.44% | 1.54%</v>
      </c>
      <c r="R3434" t="str">
        <f t="shared" si="1465"/>
        <v>BEARISH</v>
      </c>
      <c r="S3434">
        <f t="shared" si="1453"/>
        <v>-1</v>
      </c>
    </row>
    <row r="3435" spans="1:19" hidden="1" x14ac:dyDescent="0.25">
      <c r="A3435" s="5" t="str">
        <f t="shared" si="1454"/>
        <v>44049EUR/USD</v>
      </c>
      <c r="B3435" s="6" t="s">
        <v>99</v>
      </c>
      <c r="C3435" s="6">
        <v>1.1599999999999999</v>
      </c>
      <c r="D3435" s="6">
        <v>1.19</v>
      </c>
      <c r="E3435" s="6">
        <v>1.18</v>
      </c>
      <c r="F3435" t="str">
        <f t="shared" si="1455"/>
        <v>THU</v>
      </c>
      <c r="G3435" s="3">
        <f t="shared" si="1456"/>
        <v>44049</v>
      </c>
      <c r="H3435" s="2">
        <f t="shared" ca="1" si="1457"/>
        <v>204</v>
      </c>
      <c r="I3435" t="str">
        <f t="shared" si="1458"/>
        <v>EUR/USD</v>
      </c>
      <c r="J3435">
        <f t="shared" si="1459"/>
        <v>1.1599999999999999</v>
      </c>
      <c r="K3435">
        <f t="shared" si="1460"/>
        <v>1.19</v>
      </c>
      <c r="L3435">
        <f t="shared" si="1461"/>
        <v>1.1749999999999998</v>
      </c>
      <c r="M3435">
        <f t="shared" si="1462"/>
        <v>1.5000000000000013E-2</v>
      </c>
      <c r="N3435">
        <f t="shared" si="1451"/>
        <v>3.0000000000000027E-2</v>
      </c>
      <c r="O3435">
        <f t="shared" si="1463"/>
        <v>1.18</v>
      </c>
      <c r="P3435">
        <f t="shared" si="1464"/>
        <v>0.33333333333334075</v>
      </c>
      <c r="Q3435" t="str">
        <f t="shared" si="1452"/>
        <v>1.69% | 0.85%</v>
      </c>
      <c r="R3435" t="str">
        <f t="shared" si="1465"/>
        <v>BULLISH</v>
      </c>
      <c r="S3435">
        <f t="shared" si="1453"/>
        <v>1</v>
      </c>
    </row>
    <row r="3436" spans="1:19" hidden="1" x14ac:dyDescent="0.25">
      <c r="A3436" s="5" t="str">
        <f t="shared" si="1454"/>
        <v>44049USD/JPY</v>
      </c>
      <c r="B3436" s="6" t="s">
        <v>20</v>
      </c>
      <c r="C3436" s="6">
        <v>104.09</v>
      </c>
      <c r="D3436" s="6">
        <v>106.5</v>
      </c>
      <c r="E3436" s="6">
        <v>105.61</v>
      </c>
      <c r="F3436" t="str">
        <f t="shared" si="1455"/>
        <v>THU</v>
      </c>
      <c r="G3436" s="3">
        <f t="shared" si="1456"/>
        <v>44049</v>
      </c>
      <c r="H3436" s="2">
        <f t="shared" ca="1" si="1457"/>
        <v>204</v>
      </c>
      <c r="I3436" t="str">
        <f t="shared" si="1458"/>
        <v>USD/JPY</v>
      </c>
      <c r="J3436">
        <f t="shared" si="1459"/>
        <v>104.09</v>
      </c>
      <c r="K3436">
        <f t="shared" si="1460"/>
        <v>106.5</v>
      </c>
      <c r="L3436">
        <f t="shared" si="1461"/>
        <v>105.295</v>
      </c>
      <c r="M3436">
        <f t="shared" si="1462"/>
        <v>1.2049999999999983</v>
      </c>
      <c r="N3436">
        <f t="shared" si="1451"/>
        <v>2.4099999999999966</v>
      </c>
      <c r="O3436">
        <f t="shared" si="1463"/>
        <v>105.61</v>
      </c>
      <c r="P3436">
        <f t="shared" si="1464"/>
        <v>0.2614107883817412</v>
      </c>
      <c r="Q3436" t="str">
        <f t="shared" si="1452"/>
        <v>1.44% | 0.84%</v>
      </c>
      <c r="R3436" t="str">
        <f t="shared" si="1465"/>
        <v>BEARISH</v>
      </c>
      <c r="S3436">
        <f t="shared" si="1453"/>
        <v>-1</v>
      </c>
    </row>
    <row r="3437" spans="1:19" hidden="1" x14ac:dyDescent="0.25">
      <c r="A3437" s="5" t="str">
        <f t="shared" si="1454"/>
        <v>44049GBP/USD</v>
      </c>
      <c r="B3437" s="6" t="s">
        <v>102</v>
      </c>
      <c r="C3437" s="6">
        <v>1.28</v>
      </c>
      <c r="D3437" s="6">
        <v>1.32</v>
      </c>
      <c r="E3437" s="6">
        <v>1.31</v>
      </c>
      <c r="F3437" t="str">
        <f t="shared" si="1455"/>
        <v>THU</v>
      </c>
      <c r="G3437" s="3">
        <f t="shared" si="1456"/>
        <v>44049</v>
      </c>
      <c r="H3437" s="2">
        <f t="shared" ca="1" si="1457"/>
        <v>204</v>
      </c>
      <c r="I3437" t="str">
        <f t="shared" si="1458"/>
        <v>GBP/USD</v>
      </c>
      <c r="J3437">
        <f t="shared" si="1459"/>
        <v>1.28</v>
      </c>
      <c r="K3437">
        <f t="shared" si="1460"/>
        <v>1.32</v>
      </c>
      <c r="L3437">
        <f t="shared" si="1461"/>
        <v>1.3</v>
      </c>
      <c r="M3437">
        <f t="shared" si="1462"/>
        <v>2.0000000000000018E-2</v>
      </c>
      <c r="N3437">
        <f t="shared" si="1451"/>
        <v>4.0000000000000036E-2</v>
      </c>
      <c r="O3437">
        <f t="shared" si="1463"/>
        <v>1.31</v>
      </c>
      <c r="P3437">
        <f t="shared" si="1464"/>
        <v>0.5</v>
      </c>
      <c r="Q3437" t="str">
        <f t="shared" si="1452"/>
        <v>2.29% | 0.76%</v>
      </c>
      <c r="R3437" t="str">
        <f t="shared" si="1465"/>
        <v>BULLISH</v>
      </c>
      <c r="S3437">
        <f t="shared" si="1453"/>
        <v>1</v>
      </c>
    </row>
    <row r="3438" spans="1:19" hidden="1" x14ac:dyDescent="0.25">
      <c r="A3438" s="5" t="str">
        <f t="shared" si="1454"/>
        <v>44049USD/CHF</v>
      </c>
      <c r="B3438" s="6" t="s">
        <v>76</v>
      </c>
      <c r="C3438" s="6">
        <v>0.9</v>
      </c>
      <c r="D3438" s="6">
        <v>0.92</v>
      </c>
      <c r="E3438" s="6">
        <v>0.9</v>
      </c>
      <c r="F3438" t="str">
        <f t="shared" si="1455"/>
        <v>THU</v>
      </c>
      <c r="G3438" s="3">
        <f t="shared" si="1456"/>
        <v>44049</v>
      </c>
      <c r="H3438" s="2">
        <f t="shared" ca="1" si="1457"/>
        <v>204</v>
      </c>
      <c r="I3438" t="str">
        <f t="shared" si="1458"/>
        <v>USD/CHF</v>
      </c>
      <c r="J3438">
        <f t="shared" si="1459"/>
        <v>0.9</v>
      </c>
      <c r="K3438">
        <f t="shared" si="1460"/>
        <v>0.92</v>
      </c>
      <c r="L3438">
        <f t="shared" si="1461"/>
        <v>0.91</v>
      </c>
      <c r="M3438">
        <f t="shared" si="1462"/>
        <v>1.0000000000000009E-2</v>
      </c>
      <c r="N3438">
        <f t="shared" si="1451"/>
        <v>2.0000000000000018E-2</v>
      </c>
      <c r="O3438">
        <f t="shared" si="1463"/>
        <v>0.9</v>
      </c>
      <c r="P3438">
        <f t="shared" si="1464"/>
        <v>-1</v>
      </c>
      <c r="Q3438" t="str">
        <f t="shared" si="1452"/>
        <v>0% | 2.22%</v>
      </c>
      <c r="R3438" t="str">
        <f t="shared" si="1465"/>
        <v>BEARISH</v>
      </c>
      <c r="S3438">
        <f t="shared" si="1453"/>
        <v>-1</v>
      </c>
    </row>
    <row r="3439" spans="1:19" hidden="1" x14ac:dyDescent="0.25">
      <c r="A3439" s="5" t="str">
        <f t="shared" si="1454"/>
        <v>44049WTIC</v>
      </c>
      <c r="B3439" s="6" t="s">
        <v>158</v>
      </c>
      <c r="C3439" s="6">
        <v>39.799999999999997</v>
      </c>
      <c r="D3439" s="6">
        <v>42.57</v>
      </c>
      <c r="E3439" s="6">
        <v>42.19</v>
      </c>
      <c r="F3439" t="str">
        <f t="shared" si="1455"/>
        <v>THU</v>
      </c>
      <c r="G3439" s="3">
        <f t="shared" si="1456"/>
        <v>44049</v>
      </c>
      <c r="H3439" s="2">
        <f t="shared" ca="1" si="1457"/>
        <v>204</v>
      </c>
      <c r="I3439" t="str">
        <f t="shared" si="1458"/>
        <v>WTIC</v>
      </c>
      <c r="J3439">
        <f t="shared" si="1459"/>
        <v>39.799999999999997</v>
      </c>
      <c r="K3439">
        <f t="shared" si="1460"/>
        <v>42.57</v>
      </c>
      <c r="L3439">
        <f t="shared" si="1461"/>
        <v>41.185000000000002</v>
      </c>
      <c r="M3439">
        <f t="shared" si="1462"/>
        <v>1.3850000000000016</v>
      </c>
      <c r="N3439">
        <f t="shared" si="1451"/>
        <v>2.7700000000000031</v>
      </c>
      <c r="O3439">
        <f t="shared" si="1463"/>
        <v>42.19</v>
      </c>
      <c r="P3439">
        <f t="shared" si="1464"/>
        <v>0.72563176895306447</v>
      </c>
      <c r="Q3439" t="str">
        <f t="shared" si="1452"/>
        <v>5.66% | 0.9%</v>
      </c>
      <c r="R3439" t="str">
        <f t="shared" si="1465"/>
        <v>BULLISH</v>
      </c>
      <c r="S3439">
        <f t="shared" si="1453"/>
        <v>1</v>
      </c>
    </row>
    <row r="3440" spans="1:19" hidden="1" x14ac:dyDescent="0.25">
      <c r="A3440" s="5" t="str">
        <f t="shared" si="1454"/>
        <v>44049NATGAS</v>
      </c>
      <c r="B3440" s="6" t="s">
        <v>89</v>
      </c>
      <c r="C3440" s="6">
        <v>1.85</v>
      </c>
      <c r="D3440" s="6">
        <v>2.2799999999999998</v>
      </c>
      <c r="E3440" s="6">
        <v>2.19</v>
      </c>
      <c r="F3440" t="str">
        <f t="shared" si="1455"/>
        <v>THU</v>
      </c>
      <c r="G3440" s="3">
        <f t="shared" si="1456"/>
        <v>44049</v>
      </c>
      <c r="H3440" s="2">
        <f t="shared" ca="1" si="1457"/>
        <v>204</v>
      </c>
      <c r="I3440" t="str">
        <f t="shared" si="1458"/>
        <v>NATGAS</v>
      </c>
      <c r="J3440">
        <f t="shared" si="1459"/>
        <v>1.85</v>
      </c>
      <c r="K3440">
        <f t="shared" si="1460"/>
        <v>2.2799999999999998</v>
      </c>
      <c r="L3440">
        <f t="shared" si="1461"/>
        <v>2.0649999999999999</v>
      </c>
      <c r="M3440">
        <f t="shared" si="1462"/>
        <v>0.21499999999999939</v>
      </c>
      <c r="N3440">
        <f t="shared" si="1451"/>
        <v>0.42999999999999972</v>
      </c>
      <c r="O3440">
        <f t="shared" si="1463"/>
        <v>2.19</v>
      </c>
      <c r="P3440">
        <f t="shared" si="1464"/>
        <v>0.581395348837211</v>
      </c>
      <c r="Q3440" t="str">
        <f t="shared" si="1452"/>
        <v>15.53% | 4.11%</v>
      </c>
      <c r="R3440" t="str">
        <f t="shared" si="1465"/>
        <v>BULLISH</v>
      </c>
      <c r="S3440">
        <f t="shared" si="1453"/>
        <v>1</v>
      </c>
    </row>
    <row r="3441" spans="1:19" hidden="1" x14ac:dyDescent="0.25">
      <c r="A3441" s="5" t="str">
        <f t="shared" si="1454"/>
        <v>44049GOLD</v>
      </c>
      <c r="B3441" s="6" t="s">
        <v>25</v>
      </c>
      <c r="C3441" s="6">
        <v>1970</v>
      </c>
      <c r="D3441" s="6">
        <v>2068</v>
      </c>
      <c r="E3441" s="6">
        <v>2049</v>
      </c>
      <c r="F3441" t="str">
        <f t="shared" si="1455"/>
        <v>THU</v>
      </c>
      <c r="G3441" s="3">
        <f t="shared" si="1456"/>
        <v>44049</v>
      </c>
      <c r="H3441" s="2">
        <f t="shared" ca="1" si="1457"/>
        <v>204</v>
      </c>
      <c r="I3441" t="str">
        <f t="shared" si="1458"/>
        <v>GOLD</v>
      </c>
      <c r="J3441">
        <f t="shared" si="1459"/>
        <v>1970</v>
      </c>
      <c r="K3441">
        <f t="shared" si="1460"/>
        <v>2068</v>
      </c>
      <c r="L3441">
        <f t="shared" si="1461"/>
        <v>2019</v>
      </c>
      <c r="M3441">
        <f t="shared" si="1462"/>
        <v>49</v>
      </c>
      <c r="N3441">
        <f t="shared" si="1451"/>
        <v>98</v>
      </c>
      <c r="O3441">
        <f t="shared" si="1463"/>
        <v>2049</v>
      </c>
      <c r="P3441">
        <f t="shared" si="1464"/>
        <v>0.61224489795918369</v>
      </c>
      <c r="Q3441" t="str">
        <f t="shared" si="1452"/>
        <v>3.86% | 0.93%</v>
      </c>
      <c r="R3441" t="str">
        <f t="shared" si="1465"/>
        <v>BULLISH</v>
      </c>
      <c r="S3441">
        <f t="shared" si="1453"/>
        <v>1</v>
      </c>
    </row>
    <row r="3442" spans="1:19" hidden="1" x14ac:dyDescent="0.25">
      <c r="A3442" s="5" t="str">
        <f t="shared" si="1454"/>
        <v>44049SILVER</v>
      </c>
      <c r="B3442" s="6" t="s">
        <v>195</v>
      </c>
      <c r="C3442" s="6">
        <v>24.6</v>
      </c>
      <c r="D3442" s="6">
        <v>27.97</v>
      </c>
      <c r="E3442" s="6">
        <v>26.89</v>
      </c>
      <c r="F3442" t="str">
        <f t="shared" si="1455"/>
        <v>THU</v>
      </c>
      <c r="G3442" s="3">
        <f t="shared" si="1456"/>
        <v>44049</v>
      </c>
      <c r="H3442" s="2">
        <f t="shared" ca="1" si="1457"/>
        <v>204</v>
      </c>
      <c r="I3442" t="str">
        <f t="shared" si="1458"/>
        <v>SILVER</v>
      </c>
      <c r="J3442">
        <f t="shared" si="1459"/>
        <v>24.6</v>
      </c>
      <c r="K3442">
        <f t="shared" si="1460"/>
        <v>27.97</v>
      </c>
      <c r="L3442">
        <f t="shared" si="1461"/>
        <v>26.285</v>
      </c>
      <c r="M3442">
        <f t="shared" si="1462"/>
        <v>1.6849999999999987</v>
      </c>
      <c r="N3442">
        <f t="shared" si="1451"/>
        <v>3.3699999999999974</v>
      </c>
      <c r="O3442">
        <f t="shared" si="1463"/>
        <v>26.89</v>
      </c>
      <c r="P3442">
        <f t="shared" si="1464"/>
        <v>0.35905044510385808</v>
      </c>
      <c r="Q3442" t="str">
        <f t="shared" si="1452"/>
        <v>8.52% | 4.02%</v>
      </c>
      <c r="R3442" t="str">
        <f t="shared" si="1465"/>
        <v>BULLISH</v>
      </c>
      <c r="S3442">
        <f t="shared" si="1453"/>
        <v>1</v>
      </c>
    </row>
    <row r="3443" spans="1:19" hidden="1" x14ac:dyDescent="0.25">
      <c r="A3443" s="5" t="str">
        <f t="shared" si="1454"/>
        <v>44049COPPER</v>
      </c>
      <c r="B3443" s="6" t="s">
        <v>100</v>
      </c>
      <c r="C3443" s="6">
        <v>2.87</v>
      </c>
      <c r="D3443" s="6">
        <v>2.97</v>
      </c>
      <c r="E3443" s="6">
        <v>2.92</v>
      </c>
      <c r="F3443" t="str">
        <f t="shared" si="1455"/>
        <v>THU</v>
      </c>
      <c r="G3443" s="3">
        <f t="shared" si="1456"/>
        <v>44049</v>
      </c>
      <c r="H3443" s="2">
        <f t="shared" ca="1" si="1457"/>
        <v>204</v>
      </c>
      <c r="I3443" t="str">
        <f t="shared" si="1458"/>
        <v>COPPER</v>
      </c>
      <c r="J3443">
        <f t="shared" si="1459"/>
        <v>2.87</v>
      </c>
      <c r="K3443">
        <f t="shared" si="1460"/>
        <v>2.97</v>
      </c>
      <c r="L3443">
        <f t="shared" si="1461"/>
        <v>2.92</v>
      </c>
      <c r="M3443">
        <f t="shared" si="1462"/>
        <v>5.0000000000000044E-2</v>
      </c>
      <c r="N3443">
        <f t="shared" si="1451"/>
        <v>0.10000000000000009</v>
      </c>
      <c r="O3443">
        <f t="shared" si="1463"/>
        <v>2.92</v>
      </c>
      <c r="P3443">
        <f t="shared" si="1464"/>
        <v>0</v>
      </c>
      <c r="Q3443" t="str">
        <f t="shared" si="1452"/>
        <v>1.71% | 1.71%</v>
      </c>
      <c r="R3443" t="str">
        <f t="shared" si="1465"/>
        <v>BULLISH</v>
      </c>
      <c r="S3443">
        <f t="shared" si="1453"/>
        <v>1</v>
      </c>
    </row>
    <row r="3444" spans="1:19" hidden="1" x14ac:dyDescent="0.25">
      <c r="A3444" s="5" t="str">
        <f t="shared" si="1454"/>
        <v>44049MSFT</v>
      </c>
      <c r="B3444" s="6" t="s">
        <v>27</v>
      </c>
      <c r="C3444" s="6">
        <v>206</v>
      </c>
      <c r="D3444" s="6">
        <v>218</v>
      </c>
      <c r="E3444" s="6">
        <v>212</v>
      </c>
      <c r="F3444" t="str">
        <f t="shared" si="1455"/>
        <v>THU</v>
      </c>
      <c r="G3444" s="3">
        <f t="shared" si="1456"/>
        <v>44049</v>
      </c>
      <c r="H3444" s="2">
        <f t="shared" ca="1" si="1457"/>
        <v>204</v>
      </c>
      <c r="I3444" t="str">
        <f t="shared" si="1458"/>
        <v>MSFT</v>
      </c>
      <c r="J3444">
        <f t="shared" si="1459"/>
        <v>206</v>
      </c>
      <c r="K3444">
        <f t="shared" si="1460"/>
        <v>218</v>
      </c>
      <c r="L3444">
        <f t="shared" si="1461"/>
        <v>212</v>
      </c>
      <c r="M3444">
        <f t="shared" si="1462"/>
        <v>6</v>
      </c>
      <c r="N3444">
        <f t="shared" si="1451"/>
        <v>12</v>
      </c>
      <c r="O3444">
        <f t="shared" si="1463"/>
        <v>212</v>
      </c>
      <c r="P3444">
        <f t="shared" si="1464"/>
        <v>0</v>
      </c>
      <c r="Q3444" t="str">
        <f t="shared" si="1452"/>
        <v>2.83% | 2.83%</v>
      </c>
      <c r="R3444" t="str">
        <f t="shared" si="1465"/>
        <v>BULLISH</v>
      </c>
      <c r="S3444">
        <f t="shared" si="1453"/>
        <v>1</v>
      </c>
    </row>
    <row r="3445" spans="1:19" hidden="1" x14ac:dyDescent="0.25">
      <c r="A3445" s="5" t="str">
        <f t="shared" si="1454"/>
        <v>44049AAPL</v>
      </c>
      <c r="B3445" s="6" t="s">
        <v>28</v>
      </c>
      <c r="C3445" s="6">
        <v>404</v>
      </c>
      <c r="D3445" s="6">
        <v>462</v>
      </c>
      <c r="E3445" s="6">
        <v>440</v>
      </c>
      <c r="F3445" t="str">
        <f t="shared" si="1455"/>
        <v>THU</v>
      </c>
      <c r="G3445" s="3">
        <f t="shared" si="1456"/>
        <v>44049</v>
      </c>
      <c r="H3445" s="2">
        <f t="shared" ca="1" si="1457"/>
        <v>204</v>
      </c>
      <c r="I3445" t="str">
        <f t="shared" si="1458"/>
        <v>AAPL</v>
      </c>
      <c r="J3445">
        <f t="shared" si="1459"/>
        <v>404</v>
      </c>
      <c r="K3445">
        <f t="shared" si="1460"/>
        <v>462</v>
      </c>
      <c r="L3445">
        <f t="shared" si="1461"/>
        <v>433</v>
      </c>
      <c r="M3445">
        <f t="shared" si="1462"/>
        <v>29</v>
      </c>
      <c r="N3445">
        <f t="shared" si="1451"/>
        <v>58</v>
      </c>
      <c r="O3445">
        <f t="shared" si="1463"/>
        <v>440</v>
      </c>
      <c r="P3445">
        <f t="shared" si="1464"/>
        <v>0.2413793103448276</v>
      </c>
      <c r="Q3445" t="str">
        <f t="shared" si="1452"/>
        <v>8.18% | 5%</v>
      </c>
      <c r="R3445" t="str">
        <f t="shared" si="1465"/>
        <v>BULLISH</v>
      </c>
      <c r="S3445">
        <f t="shared" si="1453"/>
        <v>1</v>
      </c>
    </row>
    <row r="3446" spans="1:19" hidden="1" x14ac:dyDescent="0.25">
      <c r="A3446" s="5" t="str">
        <f t="shared" si="1454"/>
        <v>44049AMZN</v>
      </c>
      <c r="B3446" s="6" t="s">
        <v>29</v>
      </c>
      <c r="C3446" s="6">
        <v>3007</v>
      </c>
      <c r="D3446" s="6">
        <v>3232</v>
      </c>
      <c r="E3446" s="6">
        <v>3205</v>
      </c>
      <c r="F3446" t="str">
        <f t="shared" si="1455"/>
        <v>THU</v>
      </c>
      <c r="G3446" s="3">
        <f t="shared" si="1456"/>
        <v>44049</v>
      </c>
      <c r="H3446" s="2">
        <f t="shared" ca="1" si="1457"/>
        <v>204</v>
      </c>
      <c r="I3446" t="str">
        <f t="shared" si="1458"/>
        <v>AMZN</v>
      </c>
      <c r="J3446">
        <f t="shared" si="1459"/>
        <v>3007</v>
      </c>
      <c r="K3446">
        <f t="shared" si="1460"/>
        <v>3232</v>
      </c>
      <c r="L3446">
        <f t="shared" si="1461"/>
        <v>3119.5</v>
      </c>
      <c r="M3446">
        <f t="shared" si="1462"/>
        <v>112.5</v>
      </c>
      <c r="N3446">
        <f t="shared" si="1451"/>
        <v>225</v>
      </c>
      <c r="O3446">
        <f t="shared" si="1463"/>
        <v>3205</v>
      </c>
      <c r="P3446">
        <f t="shared" si="1464"/>
        <v>0.76</v>
      </c>
      <c r="Q3446" t="str">
        <f t="shared" si="1452"/>
        <v>6.18% | 0.84%</v>
      </c>
      <c r="R3446" t="str">
        <f t="shared" si="1465"/>
        <v>BULLISH</v>
      </c>
      <c r="S3446">
        <f t="shared" si="1453"/>
        <v>1</v>
      </c>
    </row>
    <row r="3447" spans="1:19" hidden="1" x14ac:dyDescent="0.25">
      <c r="A3447" s="5" t="str">
        <f t="shared" si="1454"/>
        <v>44049FB</v>
      </c>
      <c r="B3447" s="6" t="s">
        <v>30</v>
      </c>
      <c r="C3447" s="6">
        <v>239</v>
      </c>
      <c r="D3447" s="6">
        <v>261</v>
      </c>
      <c r="E3447" s="6">
        <v>249</v>
      </c>
      <c r="F3447" t="str">
        <f t="shared" si="1455"/>
        <v>THU</v>
      </c>
      <c r="G3447" s="3">
        <f t="shared" si="1456"/>
        <v>44049</v>
      </c>
      <c r="H3447" s="2">
        <f t="shared" ca="1" si="1457"/>
        <v>204</v>
      </c>
      <c r="I3447" t="str">
        <f t="shared" si="1458"/>
        <v>FB</v>
      </c>
      <c r="J3447">
        <f t="shared" si="1459"/>
        <v>239</v>
      </c>
      <c r="K3447">
        <f t="shared" si="1460"/>
        <v>261</v>
      </c>
      <c r="L3447">
        <f t="shared" si="1461"/>
        <v>250</v>
      </c>
      <c r="M3447">
        <f t="shared" si="1462"/>
        <v>11</v>
      </c>
      <c r="N3447">
        <f t="shared" si="1451"/>
        <v>22</v>
      </c>
      <c r="O3447">
        <f t="shared" si="1463"/>
        <v>249</v>
      </c>
      <c r="P3447">
        <f t="shared" si="1464"/>
        <v>-9.0909090909090912E-2</v>
      </c>
      <c r="Q3447" t="str">
        <f t="shared" si="1452"/>
        <v>4.02% | 4.82%</v>
      </c>
      <c r="R3447" t="str">
        <f t="shared" si="1465"/>
        <v>BULLISH</v>
      </c>
      <c r="S3447">
        <f t="shared" si="1453"/>
        <v>1</v>
      </c>
    </row>
    <row r="3448" spans="1:19" hidden="1" x14ac:dyDescent="0.25">
      <c r="A3448" s="5" t="str">
        <f t="shared" si="1454"/>
        <v>44049GOOGL</v>
      </c>
      <c r="B3448" s="6" t="s">
        <v>31</v>
      </c>
      <c r="C3448" s="6">
        <v>1457</v>
      </c>
      <c r="D3448" s="6">
        <v>1548</v>
      </c>
      <c r="E3448" s="6">
        <v>1479</v>
      </c>
      <c r="F3448" t="str">
        <f t="shared" si="1455"/>
        <v>THU</v>
      </c>
      <c r="G3448" s="3">
        <f t="shared" si="1456"/>
        <v>44049</v>
      </c>
      <c r="H3448" s="2">
        <f t="shared" ca="1" si="1457"/>
        <v>204</v>
      </c>
      <c r="I3448" t="str">
        <f t="shared" si="1458"/>
        <v>GOOGL</v>
      </c>
      <c r="J3448">
        <f t="shared" si="1459"/>
        <v>1457</v>
      </c>
      <c r="K3448">
        <f t="shared" si="1460"/>
        <v>1548</v>
      </c>
      <c r="L3448">
        <f t="shared" si="1461"/>
        <v>1502.5</v>
      </c>
      <c r="M3448">
        <f t="shared" si="1462"/>
        <v>45.5</v>
      </c>
      <c r="N3448">
        <f t="shared" si="1451"/>
        <v>91</v>
      </c>
      <c r="O3448">
        <f t="shared" si="1463"/>
        <v>1479</v>
      </c>
      <c r="P3448">
        <f t="shared" si="1464"/>
        <v>-0.51648351648351654</v>
      </c>
      <c r="Q3448" t="str">
        <f t="shared" si="1452"/>
        <v>1.49% | 4.67%</v>
      </c>
      <c r="R3448" t="str">
        <f t="shared" si="1465"/>
        <v>BULLISH</v>
      </c>
      <c r="S3448">
        <f t="shared" si="1453"/>
        <v>1</v>
      </c>
    </row>
    <row r="3449" spans="1:19" hidden="1" x14ac:dyDescent="0.25">
      <c r="A3449" s="5" t="str">
        <f t="shared" si="1454"/>
        <v>44049NFLX</v>
      </c>
      <c r="B3449" s="6" t="s">
        <v>32</v>
      </c>
      <c r="C3449" s="6">
        <v>475</v>
      </c>
      <c r="D3449" s="6">
        <v>512</v>
      </c>
      <c r="E3449" s="6">
        <v>502</v>
      </c>
      <c r="F3449" t="str">
        <f t="shared" si="1455"/>
        <v>THU</v>
      </c>
      <c r="G3449" s="3">
        <f t="shared" si="1456"/>
        <v>44049</v>
      </c>
      <c r="H3449" s="2">
        <f t="shared" ca="1" si="1457"/>
        <v>204</v>
      </c>
      <c r="I3449" t="str">
        <f t="shared" si="1458"/>
        <v>NFLX</v>
      </c>
      <c r="J3449">
        <f t="shared" si="1459"/>
        <v>475</v>
      </c>
      <c r="K3449">
        <f t="shared" si="1460"/>
        <v>512</v>
      </c>
      <c r="L3449">
        <f t="shared" si="1461"/>
        <v>493.5</v>
      </c>
      <c r="M3449">
        <f t="shared" si="1462"/>
        <v>18.5</v>
      </c>
      <c r="N3449">
        <f t="shared" si="1451"/>
        <v>37</v>
      </c>
      <c r="O3449">
        <f t="shared" si="1463"/>
        <v>502</v>
      </c>
      <c r="P3449">
        <f t="shared" si="1464"/>
        <v>0.45945945945945948</v>
      </c>
      <c r="Q3449" t="str">
        <f t="shared" si="1452"/>
        <v>5.38% | 1.99%</v>
      </c>
      <c r="R3449" t="str">
        <f t="shared" si="1465"/>
        <v>BULLISH</v>
      </c>
      <c r="S3449">
        <f t="shared" si="1453"/>
        <v>1</v>
      </c>
    </row>
    <row r="3450" spans="1:19" x14ac:dyDescent="0.25">
      <c r="A3450" s="5" t="str">
        <f t="shared" si="1454"/>
        <v>44049TSLA</v>
      </c>
      <c r="B3450" s="6" t="s">
        <v>33</v>
      </c>
      <c r="C3450" s="6">
        <v>1397</v>
      </c>
      <c r="D3450" s="6">
        <v>1550</v>
      </c>
      <c r="E3450" s="6">
        <v>1485</v>
      </c>
      <c r="F3450" t="str">
        <f t="shared" si="1455"/>
        <v>THU</v>
      </c>
      <c r="G3450" s="3">
        <f t="shared" si="1456"/>
        <v>44049</v>
      </c>
      <c r="H3450" s="2">
        <f t="shared" ca="1" si="1457"/>
        <v>204</v>
      </c>
      <c r="I3450" t="str">
        <f t="shared" si="1458"/>
        <v>TSLA</v>
      </c>
      <c r="J3450">
        <f t="shared" si="1459"/>
        <v>1397</v>
      </c>
      <c r="K3450">
        <f t="shared" si="1460"/>
        <v>1550</v>
      </c>
      <c r="L3450">
        <f t="shared" si="1461"/>
        <v>1473.5</v>
      </c>
      <c r="M3450">
        <f t="shared" si="1462"/>
        <v>76.5</v>
      </c>
      <c r="N3450">
        <f t="shared" si="1451"/>
        <v>153</v>
      </c>
      <c r="O3450">
        <f t="shared" si="1463"/>
        <v>1485</v>
      </c>
      <c r="P3450">
        <f t="shared" si="1464"/>
        <v>0.15032679738562091</v>
      </c>
      <c r="Q3450" t="str">
        <f t="shared" si="1452"/>
        <v>5.93% | 4.38%</v>
      </c>
      <c r="R3450" t="str">
        <f t="shared" si="1465"/>
        <v>BULLISH</v>
      </c>
      <c r="S3450">
        <f t="shared" si="1453"/>
        <v>1</v>
      </c>
    </row>
    <row r="3451" spans="1:19" hidden="1" x14ac:dyDescent="0.25">
      <c r="A3451" s="5" t="str">
        <f t="shared" si="1454"/>
        <v>44049NYXBT</v>
      </c>
      <c r="B3451" s="6" t="s">
        <v>60</v>
      </c>
      <c r="C3451" s="6">
        <v>10942</v>
      </c>
      <c r="D3451" s="6">
        <v>12145</v>
      </c>
      <c r="E3451" s="6">
        <v>11629</v>
      </c>
      <c r="F3451" t="str">
        <f t="shared" si="1455"/>
        <v>THU</v>
      </c>
      <c r="G3451" s="3">
        <f t="shared" si="1456"/>
        <v>44049</v>
      </c>
      <c r="H3451" s="2">
        <f t="shared" ca="1" si="1457"/>
        <v>204</v>
      </c>
      <c r="I3451" t="str">
        <f t="shared" si="1458"/>
        <v>NYXBT</v>
      </c>
      <c r="J3451">
        <f t="shared" si="1459"/>
        <v>10942</v>
      </c>
      <c r="K3451">
        <f t="shared" si="1460"/>
        <v>12145</v>
      </c>
      <c r="L3451">
        <f t="shared" si="1461"/>
        <v>11543.5</v>
      </c>
      <c r="M3451">
        <f t="shared" si="1462"/>
        <v>601.5</v>
      </c>
      <c r="N3451">
        <f t="shared" si="1451"/>
        <v>1203</v>
      </c>
      <c r="O3451">
        <f t="shared" si="1463"/>
        <v>11629</v>
      </c>
      <c r="P3451">
        <f t="shared" si="1464"/>
        <v>0.14214463840399003</v>
      </c>
      <c r="Q3451" t="str">
        <f t="shared" si="1452"/>
        <v>5.91% | 4.44%</v>
      </c>
      <c r="R3451" t="str">
        <f t="shared" si="1465"/>
        <v>BULLISH</v>
      </c>
      <c r="S3451">
        <f t="shared" si="1453"/>
        <v>1</v>
      </c>
    </row>
    <row r="3452" spans="1:19" hidden="1" x14ac:dyDescent="0.25">
      <c r="A3452" s="5" t="str">
        <f t="shared" si="1454"/>
        <v>44050UST10Y</v>
      </c>
      <c r="B3452" s="6" t="s">
        <v>4</v>
      </c>
      <c r="C3452" s="6">
        <v>0.6</v>
      </c>
      <c r="D3452" s="6">
        <v>0.5</v>
      </c>
      <c r="E3452" s="6">
        <v>0.55000000000000004</v>
      </c>
      <c r="F3452" t="str">
        <f t="shared" si="1455"/>
        <v>FRI</v>
      </c>
      <c r="G3452" s="1">
        <f>DATE(2020,8,7)</f>
        <v>44050</v>
      </c>
      <c r="H3452" s="2">
        <f t="shared" ca="1" si="1457"/>
        <v>203</v>
      </c>
      <c r="I3452" t="str">
        <f t="shared" si="1458"/>
        <v>UST10Y</v>
      </c>
      <c r="J3452">
        <f t="shared" si="1459"/>
        <v>0.6</v>
      </c>
      <c r="K3452">
        <f t="shared" si="1460"/>
        <v>0.5</v>
      </c>
      <c r="L3452">
        <f t="shared" si="1461"/>
        <v>0.55000000000000004</v>
      </c>
      <c r="M3452">
        <f t="shared" si="1462"/>
        <v>4.9999999999999989E-2</v>
      </c>
      <c r="N3452">
        <f t="shared" si="1451"/>
        <v>9.9999999999999978E-2</v>
      </c>
      <c r="O3452">
        <f t="shared" si="1463"/>
        <v>0.55000000000000004</v>
      </c>
      <c r="P3452">
        <f t="shared" si="1464"/>
        <v>0</v>
      </c>
      <c r="Q3452" t="str">
        <f t="shared" si="1452"/>
        <v>9.09% | 9.09%</v>
      </c>
      <c r="R3452" t="str">
        <f t="shared" si="1465"/>
        <v>BEARISH</v>
      </c>
      <c r="S3452">
        <f t="shared" si="1453"/>
        <v>-1</v>
      </c>
    </row>
    <row r="3453" spans="1:19" hidden="1" x14ac:dyDescent="0.25">
      <c r="A3453" s="5" t="str">
        <f t="shared" si="1454"/>
        <v>44050UST2Y</v>
      </c>
      <c r="B3453" s="6" t="s">
        <v>5</v>
      </c>
      <c r="C3453" s="6">
        <v>0.14000000000000001</v>
      </c>
      <c r="D3453" s="6">
        <v>0.09</v>
      </c>
      <c r="E3453" s="6">
        <v>0.11</v>
      </c>
      <c r="F3453" t="str">
        <f t="shared" ref="F3453:F3483" si="1466">UPPER(TEXT(G3453,"ddd"))</f>
        <v>FRI</v>
      </c>
      <c r="G3453" s="1">
        <f t="shared" ref="G3453:G3482" si="1467">DATE(2020,8,7)</f>
        <v>44050</v>
      </c>
      <c r="H3453" s="2">
        <f t="shared" ref="H3453:H3483" ca="1" si="1468">TODAY()-G3453</f>
        <v>203</v>
      </c>
      <c r="I3453" t="str">
        <f t="shared" ref="I3453:I3483" si="1469">TRIM(LEFT(B3453,FIND(" ",B3453,1)))</f>
        <v>UST2Y</v>
      </c>
      <c r="J3453">
        <f t="shared" ref="J3453:J3483" si="1470">C3453</f>
        <v>0.14000000000000001</v>
      </c>
      <c r="K3453">
        <f t="shared" ref="K3453:K3483" si="1471">D3453</f>
        <v>0.09</v>
      </c>
      <c r="L3453">
        <f t="shared" ref="L3453:L3483" si="1472">AVERAGE(J3453:K3453)</f>
        <v>0.115</v>
      </c>
      <c r="M3453">
        <f t="shared" ref="M3453:M3483" si="1473">_xlfn.STDEV.P(J3453:K3453)</f>
        <v>2.5000000000000012E-2</v>
      </c>
      <c r="N3453">
        <f t="shared" si="1451"/>
        <v>5.0000000000000017E-2</v>
      </c>
      <c r="O3453">
        <f t="shared" ref="O3453:O3483" si="1474">E3453</f>
        <v>0.11</v>
      </c>
      <c r="P3453">
        <f t="shared" ref="P3453:P3483" si="1475">(O3453-L3453)/M3453</f>
        <v>-0.20000000000000009</v>
      </c>
      <c r="Q3453" t="str">
        <f t="shared" si="1452"/>
        <v>27.27% | 18.18%</v>
      </c>
      <c r="R3453" t="str">
        <f t="shared" ref="R3453:R3483" si="1476">MID(B3453,FIND("(",B3453,1)+1,FIND(")",B3453,1)-FIND("(",B3453,1)-1)</f>
        <v>BEARISH</v>
      </c>
      <c r="S3453">
        <f t="shared" si="1453"/>
        <v>-1</v>
      </c>
    </row>
    <row r="3454" spans="1:19" hidden="1" x14ac:dyDescent="0.25">
      <c r="A3454" s="5" t="str">
        <f t="shared" si="1454"/>
        <v>44050SPX</v>
      </c>
      <c r="B3454" s="6" t="s">
        <v>93</v>
      </c>
      <c r="C3454" s="6">
        <v>3225</v>
      </c>
      <c r="D3454" s="6">
        <v>3361</v>
      </c>
      <c r="E3454" s="6">
        <v>3349</v>
      </c>
      <c r="F3454" t="str">
        <f t="shared" si="1466"/>
        <v>FRI</v>
      </c>
      <c r="G3454" s="1">
        <f t="shared" si="1467"/>
        <v>44050</v>
      </c>
      <c r="H3454" s="2">
        <f t="shared" ca="1" si="1468"/>
        <v>203</v>
      </c>
      <c r="I3454" t="str">
        <f t="shared" si="1469"/>
        <v>SPX</v>
      </c>
      <c r="J3454">
        <f t="shared" si="1470"/>
        <v>3225</v>
      </c>
      <c r="K3454">
        <f t="shared" si="1471"/>
        <v>3361</v>
      </c>
      <c r="L3454">
        <f t="shared" si="1472"/>
        <v>3293</v>
      </c>
      <c r="M3454">
        <f t="shared" si="1473"/>
        <v>68</v>
      </c>
      <c r="N3454">
        <f t="shared" si="1451"/>
        <v>136</v>
      </c>
      <c r="O3454">
        <f t="shared" si="1474"/>
        <v>3349</v>
      </c>
      <c r="P3454">
        <f t="shared" si="1475"/>
        <v>0.82352941176470584</v>
      </c>
      <c r="Q3454" t="str">
        <f t="shared" si="1452"/>
        <v>3.7% | 0.36%</v>
      </c>
      <c r="R3454" t="str">
        <f t="shared" si="1476"/>
        <v>BULLISH</v>
      </c>
      <c r="S3454">
        <f t="shared" si="1453"/>
        <v>1</v>
      </c>
    </row>
    <row r="3455" spans="1:19" hidden="1" x14ac:dyDescent="0.25">
      <c r="A3455" s="5" t="str">
        <f t="shared" si="1454"/>
        <v>44050RUT</v>
      </c>
      <c r="B3455" s="6" t="s">
        <v>7</v>
      </c>
      <c r="C3455" s="6">
        <v>1454</v>
      </c>
      <c r="D3455" s="6">
        <v>1555</v>
      </c>
      <c r="E3455" s="6">
        <v>1544</v>
      </c>
      <c r="F3455" t="str">
        <f t="shared" si="1466"/>
        <v>FRI</v>
      </c>
      <c r="G3455" s="1">
        <f t="shared" si="1467"/>
        <v>44050</v>
      </c>
      <c r="H3455" s="2">
        <f t="shared" ca="1" si="1468"/>
        <v>203</v>
      </c>
      <c r="I3455" t="str">
        <f t="shared" si="1469"/>
        <v>RUT</v>
      </c>
      <c r="J3455">
        <f t="shared" si="1470"/>
        <v>1454</v>
      </c>
      <c r="K3455">
        <f t="shared" si="1471"/>
        <v>1555</v>
      </c>
      <c r="L3455">
        <f t="shared" si="1472"/>
        <v>1504.5</v>
      </c>
      <c r="M3455">
        <f t="shared" si="1473"/>
        <v>50.5</v>
      </c>
      <c r="N3455">
        <f t="shared" si="1451"/>
        <v>101</v>
      </c>
      <c r="O3455">
        <f t="shared" si="1474"/>
        <v>1544</v>
      </c>
      <c r="P3455">
        <f t="shared" si="1475"/>
        <v>0.78217821782178221</v>
      </c>
      <c r="Q3455" t="str">
        <f t="shared" si="1452"/>
        <v>5.83% | 0.71%</v>
      </c>
      <c r="R3455" t="str">
        <f t="shared" si="1476"/>
        <v>BEARISH</v>
      </c>
      <c r="S3455">
        <f t="shared" si="1453"/>
        <v>-1</v>
      </c>
    </row>
    <row r="3456" spans="1:19" hidden="1" x14ac:dyDescent="0.25">
      <c r="A3456" s="5" t="str">
        <f t="shared" si="1454"/>
        <v>44050COMPQ</v>
      </c>
      <c r="B3456" s="6" t="s">
        <v>8</v>
      </c>
      <c r="C3456" s="6">
        <v>10533</v>
      </c>
      <c r="D3456" s="6">
        <v>11218</v>
      </c>
      <c r="E3456" s="6">
        <v>11108</v>
      </c>
      <c r="F3456" t="str">
        <f t="shared" si="1466"/>
        <v>FRI</v>
      </c>
      <c r="G3456" s="1">
        <f t="shared" si="1467"/>
        <v>44050</v>
      </c>
      <c r="H3456" s="2">
        <f t="shared" ca="1" si="1468"/>
        <v>203</v>
      </c>
      <c r="I3456" t="str">
        <f t="shared" si="1469"/>
        <v>COMPQ</v>
      </c>
      <c r="J3456">
        <f t="shared" si="1470"/>
        <v>10533</v>
      </c>
      <c r="K3456">
        <f t="shared" si="1471"/>
        <v>11218</v>
      </c>
      <c r="L3456">
        <f t="shared" si="1472"/>
        <v>10875.5</v>
      </c>
      <c r="M3456">
        <f t="shared" si="1473"/>
        <v>342.5</v>
      </c>
      <c r="N3456">
        <f t="shared" si="1451"/>
        <v>685</v>
      </c>
      <c r="O3456">
        <f t="shared" si="1474"/>
        <v>11108</v>
      </c>
      <c r="P3456">
        <f t="shared" si="1475"/>
        <v>0.67883211678832112</v>
      </c>
      <c r="Q3456" t="str">
        <f t="shared" si="1452"/>
        <v>5.18% | 0.99%</v>
      </c>
      <c r="R3456" t="str">
        <f t="shared" si="1476"/>
        <v>BULLISH</v>
      </c>
      <c r="S3456">
        <f t="shared" si="1453"/>
        <v>1</v>
      </c>
    </row>
    <row r="3457" spans="1:19" hidden="1" x14ac:dyDescent="0.25">
      <c r="A3457" s="5" t="str">
        <f t="shared" si="1454"/>
        <v>44050XLK</v>
      </c>
      <c r="B3457" s="6" t="s">
        <v>10</v>
      </c>
      <c r="C3457" s="6">
        <v>108.07</v>
      </c>
      <c r="D3457" s="6">
        <v>117.42</v>
      </c>
      <c r="E3457" s="6">
        <v>115.46</v>
      </c>
      <c r="F3457" t="str">
        <f t="shared" si="1466"/>
        <v>FRI</v>
      </c>
      <c r="G3457" s="1">
        <f t="shared" si="1467"/>
        <v>44050</v>
      </c>
      <c r="H3457" s="2">
        <f t="shared" ca="1" si="1468"/>
        <v>203</v>
      </c>
      <c r="I3457" t="str">
        <f t="shared" si="1469"/>
        <v>XLK</v>
      </c>
      <c r="J3457">
        <f t="shared" si="1470"/>
        <v>108.07</v>
      </c>
      <c r="K3457">
        <f t="shared" si="1471"/>
        <v>117.42</v>
      </c>
      <c r="L3457">
        <f t="shared" si="1472"/>
        <v>112.745</v>
      </c>
      <c r="M3457">
        <f t="shared" si="1473"/>
        <v>4.6750000000000043</v>
      </c>
      <c r="N3457">
        <f t="shared" si="1451"/>
        <v>9.3500000000000085</v>
      </c>
      <c r="O3457">
        <f t="shared" si="1474"/>
        <v>115.46</v>
      </c>
      <c r="P3457">
        <f t="shared" si="1475"/>
        <v>0.58074866310160145</v>
      </c>
      <c r="Q3457" t="str">
        <f t="shared" si="1452"/>
        <v>6.4% | 1.7%</v>
      </c>
      <c r="R3457" t="str">
        <f t="shared" si="1476"/>
        <v>BULLISH</v>
      </c>
      <c r="S3457">
        <f t="shared" si="1453"/>
        <v>1</v>
      </c>
    </row>
    <row r="3458" spans="1:19" hidden="1" x14ac:dyDescent="0.25">
      <c r="A3458" s="5" t="str">
        <f t="shared" si="1454"/>
        <v>44050XLRE</v>
      </c>
      <c r="B3458" s="6" t="s">
        <v>97</v>
      </c>
      <c r="C3458" s="6">
        <v>34.9</v>
      </c>
      <c r="D3458" s="6">
        <v>37.07</v>
      </c>
      <c r="E3458" s="6">
        <v>36.01</v>
      </c>
      <c r="F3458" t="str">
        <f t="shared" si="1466"/>
        <v>FRI</v>
      </c>
      <c r="G3458" s="1">
        <f t="shared" si="1467"/>
        <v>44050</v>
      </c>
      <c r="H3458" s="2">
        <f t="shared" ca="1" si="1468"/>
        <v>203</v>
      </c>
      <c r="I3458" t="str">
        <f t="shared" si="1469"/>
        <v>XLRE</v>
      </c>
      <c r="J3458">
        <f t="shared" si="1470"/>
        <v>34.9</v>
      </c>
      <c r="K3458">
        <f t="shared" si="1471"/>
        <v>37.07</v>
      </c>
      <c r="L3458">
        <f t="shared" si="1472"/>
        <v>35.984999999999999</v>
      </c>
      <c r="M3458">
        <f t="shared" si="1473"/>
        <v>1.0850000000000009</v>
      </c>
      <c r="N3458">
        <f t="shared" si="1451"/>
        <v>2.1700000000000017</v>
      </c>
      <c r="O3458">
        <f t="shared" si="1474"/>
        <v>36.01</v>
      </c>
      <c r="P3458">
        <f t="shared" si="1475"/>
        <v>2.3041474654376552E-2</v>
      </c>
      <c r="Q3458" t="str">
        <f t="shared" si="1452"/>
        <v>3.08% | 2.94%</v>
      </c>
      <c r="R3458" t="str">
        <f t="shared" si="1476"/>
        <v>BULLISH</v>
      </c>
      <c r="S3458">
        <f t="shared" si="1453"/>
        <v>1</v>
      </c>
    </row>
    <row r="3459" spans="1:19" hidden="1" x14ac:dyDescent="0.25">
      <c r="A3459" s="5" t="str">
        <f t="shared" si="1454"/>
        <v>44050XLU</v>
      </c>
      <c r="B3459" s="6" t="s">
        <v>52</v>
      </c>
      <c r="C3459" s="6">
        <v>59.45</v>
      </c>
      <c r="D3459" s="6">
        <v>61.43</v>
      </c>
      <c r="E3459" s="6">
        <v>60.4</v>
      </c>
      <c r="F3459" t="str">
        <f t="shared" si="1466"/>
        <v>FRI</v>
      </c>
      <c r="G3459" s="1">
        <f t="shared" si="1467"/>
        <v>44050</v>
      </c>
      <c r="H3459" s="2">
        <f t="shared" ca="1" si="1468"/>
        <v>203</v>
      </c>
      <c r="I3459" t="str">
        <f t="shared" si="1469"/>
        <v>XLU</v>
      </c>
      <c r="J3459">
        <f t="shared" si="1470"/>
        <v>59.45</v>
      </c>
      <c r="K3459">
        <f t="shared" si="1471"/>
        <v>61.43</v>
      </c>
      <c r="L3459">
        <f t="shared" si="1472"/>
        <v>60.44</v>
      </c>
      <c r="M3459">
        <f t="shared" si="1473"/>
        <v>0.98999999999999844</v>
      </c>
      <c r="N3459">
        <f t="shared" ref="N3459:N3522" si="1477">ABS(K3459-J3459)</f>
        <v>1.9799999999999969</v>
      </c>
      <c r="O3459">
        <f t="shared" si="1474"/>
        <v>60.4</v>
      </c>
      <c r="P3459">
        <f t="shared" si="1475"/>
        <v>-4.040404040403961E-2</v>
      </c>
      <c r="Q3459" t="str">
        <f t="shared" ref="Q3459:Q3522" si="1478">ROUND(ABS(100*(O3459-J3459)/O3459),2)&amp;"% | "&amp;ROUND(ABS(100*(K3459-O3459)/O3459),2)&amp;"%"</f>
        <v>1.57% | 1.71%</v>
      </c>
      <c r="R3459" t="str">
        <f t="shared" si="1476"/>
        <v>BULLISH</v>
      </c>
      <c r="S3459">
        <f t="shared" ref="S3459:S3522" si="1479">IF(R3459="BEARISH",-1,IF(R3459="NEUTRAL",0,IF(R3459="BULLISH",1,99)))</f>
        <v>1</v>
      </c>
    </row>
    <row r="3460" spans="1:19" hidden="1" x14ac:dyDescent="0.25">
      <c r="A3460" s="5" t="str">
        <f t="shared" si="1454"/>
        <v>44050XLF</v>
      </c>
      <c r="B3460" s="6" t="s">
        <v>12</v>
      </c>
      <c r="C3460" s="6">
        <v>23.38</v>
      </c>
      <c r="D3460" s="6">
        <v>24.58</v>
      </c>
      <c r="E3460" s="6">
        <v>24.32</v>
      </c>
      <c r="F3460" t="str">
        <f t="shared" si="1466"/>
        <v>FRI</v>
      </c>
      <c r="G3460" s="1">
        <f t="shared" si="1467"/>
        <v>44050</v>
      </c>
      <c r="H3460" s="2">
        <f t="shared" ca="1" si="1468"/>
        <v>203</v>
      </c>
      <c r="I3460" t="str">
        <f t="shared" si="1469"/>
        <v>XLF</v>
      </c>
      <c r="J3460">
        <f t="shared" si="1470"/>
        <v>23.38</v>
      </c>
      <c r="K3460">
        <f t="shared" si="1471"/>
        <v>24.58</v>
      </c>
      <c r="L3460">
        <f t="shared" si="1472"/>
        <v>23.979999999999997</v>
      </c>
      <c r="M3460">
        <f t="shared" si="1473"/>
        <v>0.59999999999999964</v>
      </c>
      <c r="N3460">
        <f t="shared" si="1477"/>
        <v>1.1999999999999993</v>
      </c>
      <c r="O3460">
        <f t="shared" si="1474"/>
        <v>24.32</v>
      </c>
      <c r="P3460">
        <f t="shared" si="1475"/>
        <v>0.56666666666667265</v>
      </c>
      <c r="Q3460" t="str">
        <f t="shared" si="1478"/>
        <v>3.87% | 1.07%</v>
      </c>
      <c r="R3460" t="str">
        <f t="shared" si="1476"/>
        <v>BEARISH</v>
      </c>
      <c r="S3460">
        <f t="shared" si="1479"/>
        <v>-1</v>
      </c>
    </row>
    <row r="3461" spans="1:19" hidden="1" x14ac:dyDescent="0.25">
      <c r="A3461" s="5" t="str">
        <f t="shared" ref="A3461:A3524" si="1480">G3461&amp;I3461</f>
        <v>44050SSEC</v>
      </c>
      <c r="B3461" s="6" t="s">
        <v>104</v>
      </c>
      <c r="C3461" s="6">
        <v>3197</v>
      </c>
      <c r="D3461" s="6">
        <v>3442</v>
      </c>
      <c r="E3461" s="6">
        <v>3354</v>
      </c>
      <c r="F3461" t="str">
        <f t="shared" si="1466"/>
        <v>FRI</v>
      </c>
      <c r="G3461" s="1">
        <f t="shared" si="1467"/>
        <v>44050</v>
      </c>
      <c r="H3461" s="2">
        <f t="shared" ca="1" si="1468"/>
        <v>203</v>
      </c>
      <c r="I3461" t="str">
        <f t="shared" si="1469"/>
        <v>SSEC</v>
      </c>
      <c r="J3461">
        <f t="shared" si="1470"/>
        <v>3197</v>
      </c>
      <c r="K3461">
        <f t="shared" si="1471"/>
        <v>3442</v>
      </c>
      <c r="L3461">
        <f t="shared" si="1472"/>
        <v>3319.5</v>
      </c>
      <c r="M3461">
        <f t="shared" si="1473"/>
        <v>122.5</v>
      </c>
      <c r="N3461">
        <f t="shared" si="1477"/>
        <v>245</v>
      </c>
      <c r="O3461">
        <f t="shared" si="1474"/>
        <v>3354</v>
      </c>
      <c r="P3461">
        <f t="shared" si="1475"/>
        <v>0.28163265306122448</v>
      </c>
      <c r="Q3461" t="str">
        <f t="shared" si="1478"/>
        <v>4.68% | 2.62%</v>
      </c>
      <c r="R3461" t="str">
        <f t="shared" si="1476"/>
        <v>BULLISH</v>
      </c>
      <c r="S3461">
        <f t="shared" si="1479"/>
        <v>1</v>
      </c>
    </row>
    <row r="3462" spans="1:19" hidden="1" x14ac:dyDescent="0.25">
      <c r="A3462" s="5" t="str">
        <f t="shared" si="1480"/>
        <v>44050NIKK</v>
      </c>
      <c r="B3462" s="6" t="s">
        <v>15</v>
      </c>
      <c r="C3462" s="6">
        <v>21801</v>
      </c>
      <c r="D3462" s="6">
        <v>22861</v>
      </c>
      <c r="E3462" s="6">
        <v>22329</v>
      </c>
      <c r="F3462" t="str">
        <f t="shared" si="1466"/>
        <v>FRI</v>
      </c>
      <c r="G3462" s="1">
        <f t="shared" si="1467"/>
        <v>44050</v>
      </c>
      <c r="H3462" s="2">
        <f t="shared" ca="1" si="1468"/>
        <v>203</v>
      </c>
      <c r="I3462" t="str">
        <f t="shared" si="1469"/>
        <v>NIKK</v>
      </c>
      <c r="J3462">
        <f t="shared" si="1470"/>
        <v>21801</v>
      </c>
      <c r="K3462">
        <f t="shared" si="1471"/>
        <v>22861</v>
      </c>
      <c r="L3462">
        <f t="shared" si="1472"/>
        <v>22331</v>
      </c>
      <c r="M3462">
        <f t="shared" si="1473"/>
        <v>530</v>
      </c>
      <c r="N3462">
        <f t="shared" si="1477"/>
        <v>1060</v>
      </c>
      <c r="O3462">
        <f t="shared" si="1474"/>
        <v>22329</v>
      </c>
      <c r="P3462">
        <f t="shared" si="1475"/>
        <v>-3.7735849056603774E-3</v>
      </c>
      <c r="Q3462" t="str">
        <f t="shared" si="1478"/>
        <v>2.36% | 2.38%</v>
      </c>
      <c r="R3462" t="str">
        <f t="shared" si="1476"/>
        <v>BEARISH</v>
      </c>
      <c r="S3462">
        <f t="shared" si="1479"/>
        <v>-1</v>
      </c>
    </row>
    <row r="3463" spans="1:19" hidden="1" x14ac:dyDescent="0.25">
      <c r="A3463" s="5" t="str">
        <f t="shared" si="1480"/>
        <v>44050DAX</v>
      </c>
      <c r="B3463" s="6" t="s">
        <v>92</v>
      </c>
      <c r="C3463" s="6">
        <v>12263</v>
      </c>
      <c r="D3463" s="6">
        <v>12899</v>
      </c>
      <c r="E3463" s="6">
        <v>12591</v>
      </c>
      <c r="F3463" t="str">
        <f t="shared" si="1466"/>
        <v>FRI</v>
      </c>
      <c r="G3463" s="1">
        <f t="shared" si="1467"/>
        <v>44050</v>
      </c>
      <c r="H3463" s="2">
        <f t="shared" ca="1" si="1468"/>
        <v>203</v>
      </c>
      <c r="I3463" t="str">
        <f t="shared" si="1469"/>
        <v>DAX</v>
      </c>
      <c r="J3463">
        <f t="shared" si="1470"/>
        <v>12263</v>
      </c>
      <c r="K3463">
        <f t="shared" si="1471"/>
        <v>12899</v>
      </c>
      <c r="L3463">
        <f t="shared" si="1472"/>
        <v>12581</v>
      </c>
      <c r="M3463">
        <f t="shared" si="1473"/>
        <v>318</v>
      </c>
      <c r="N3463">
        <f t="shared" si="1477"/>
        <v>636</v>
      </c>
      <c r="O3463">
        <f t="shared" si="1474"/>
        <v>12591</v>
      </c>
      <c r="P3463">
        <f t="shared" si="1475"/>
        <v>3.1446540880503145E-2</v>
      </c>
      <c r="Q3463" t="str">
        <f t="shared" si="1478"/>
        <v>2.61% | 2.45%</v>
      </c>
      <c r="R3463" t="str">
        <f t="shared" si="1476"/>
        <v>NEUTRAL</v>
      </c>
      <c r="S3463">
        <f t="shared" si="1479"/>
        <v>0</v>
      </c>
    </row>
    <row r="3464" spans="1:19" hidden="1" x14ac:dyDescent="0.25">
      <c r="A3464" s="5" t="str">
        <f t="shared" si="1480"/>
        <v>44050VIX</v>
      </c>
      <c r="B3464" s="6" t="s">
        <v>96</v>
      </c>
      <c r="C3464" s="6">
        <v>22.37</v>
      </c>
      <c r="D3464" s="6">
        <v>29.75</v>
      </c>
      <c r="E3464" s="6">
        <v>22.65</v>
      </c>
      <c r="F3464" t="str">
        <f t="shared" si="1466"/>
        <v>FRI</v>
      </c>
      <c r="G3464" s="1">
        <f t="shared" si="1467"/>
        <v>44050</v>
      </c>
      <c r="H3464" s="2">
        <f t="shared" ca="1" si="1468"/>
        <v>203</v>
      </c>
      <c r="I3464" t="str">
        <f t="shared" si="1469"/>
        <v>VIX</v>
      </c>
      <c r="J3464">
        <f t="shared" si="1470"/>
        <v>22.37</v>
      </c>
      <c r="K3464">
        <f t="shared" si="1471"/>
        <v>29.75</v>
      </c>
      <c r="L3464">
        <f t="shared" si="1472"/>
        <v>26.060000000000002</v>
      </c>
      <c r="M3464">
        <f t="shared" si="1473"/>
        <v>3.6899999999999946</v>
      </c>
      <c r="N3464">
        <f t="shared" si="1477"/>
        <v>7.379999999999999</v>
      </c>
      <c r="O3464">
        <f t="shared" si="1474"/>
        <v>22.65</v>
      </c>
      <c r="P3464">
        <f t="shared" si="1475"/>
        <v>-0.92411924119241429</v>
      </c>
      <c r="Q3464" t="str">
        <f t="shared" si="1478"/>
        <v>1.24% | 31.35%</v>
      </c>
      <c r="R3464" t="str">
        <f t="shared" si="1476"/>
        <v>BEARISH</v>
      </c>
      <c r="S3464">
        <f t="shared" si="1479"/>
        <v>-1</v>
      </c>
    </row>
    <row r="3465" spans="1:19" hidden="1" x14ac:dyDescent="0.25">
      <c r="A3465" s="5" t="str">
        <f t="shared" si="1480"/>
        <v>44050USD</v>
      </c>
      <c r="B3465" s="6" t="s">
        <v>94</v>
      </c>
      <c r="C3465" s="6">
        <v>92.49</v>
      </c>
      <c r="D3465" s="6">
        <v>93.99</v>
      </c>
      <c r="E3465" s="6">
        <v>92.79</v>
      </c>
      <c r="F3465" t="str">
        <f t="shared" si="1466"/>
        <v>FRI</v>
      </c>
      <c r="G3465" s="1">
        <f t="shared" si="1467"/>
        <v>44050</v>
      </c>
      <c r="H3465" s="2">
        <f t="shared" ca="1" si="1468"/>
        <v>203</v>
      </c>
      <c r="I3465" t="str">
        <f t="shared" si="1469"/>
        <v>USD</v>
      </c>
      <c r="J3465">
        <f t="shared" si="1470"/>
        <v>92.49</v>
      </c>
      <c r="K3465">
        <f t="shared" si="1471"/>
        <v>93.99</v>
      </c>
      <c r="L3465">
        <f t="shared" si="1472"/>
        <v>93.24</v>
      </c>
      <c r="M3465">
        <f t="shared" si="1473"/>
        <v>0.75</v>
      </c>
      <c r="N3465">
        <f t="shared" si="1477"/>
        <v>1.5</v>
      </c>
      <c r="O3465">
        <f t="shared" si="1474"/>
        <v>92.79</v>
      </c>
      <c r="P3465">
        <f t="shared" si="1475"/>
        <v>-0.59999999999998488</v>
      </c>
      <c r="Q3465" t="str">
        <f t="shared" si="1478"/>
        <v>0.32% | 1.29%</v>
      </c>
      <c r="R3465" t="str">
        <f t="shared" si="1476"/>
        <v>BEARISH</v>
      </c>
      <c r="S3465">
        <f t="shared" si="1479"/>
        <v>-1</v>
      </c>
    </row>
    <row r="3466" spans="1:19" hidden="1" x14ac:dyDescent="0.25">
      <c r="A3466" s="5" t="str">
        <f t="shared" si="1480"/>
        <v>44050EUR/USD</v>
      </c>
      <c r="B3466" s="6" t="s">
        <v>99</v>
      </c>
      <c r="C3466" s="6">
        <v>1.1599999999999999</v>
      </c>
      <c r="D3466" s="6">
        <v>1.19</v>
      </c>
      <c r="E3466" s="6">
        <v>1.18</v>
      </c>
      <c r="F3466" t="str">
        <f t="shared" si="1466"/>
        <v>FRI</v>
      </c>
      <c r="G3466" s="1">
        <f t="shared" si="1467"/>
        <v>44050</v>
      </c>
      <c r="H3466" s="2">
        <f t="shared" ca="1" si="1468"/>
        <v>203</v>
      </c>
      <c r="I3466" t="str">
        <f t="shared" si="1469"/>
        <v>EUR/USD</v>
      </c>
      <c r="J3466">
        <f t="shared" si="1470"/>
        <v>1.1599999999999999</v>
      </c>
      <c r="K3466">
        <f t="shared" si="1471"/>
        <v>1.19</v>
      </c>
      <c r="L3466">
        <f t="shared" si="1472"/>
        <v>1.1749999999999998</v>
      </c>
      <c r="M3466">
        <f t="shared" si="1473"/>
        <v>1.5000000000000013E-2</v>
      </c>
      <c r="N3466">
        <f t="shared" si="1477"/>
        <v>3.0000000000000027E-2</v>
      </c>
      <c r="O3466">
        <f t="shared" si="1474"/>
        <v>1.18</v>
      </c>
      <c r="P3466">
        <f t="shared" si="1475"/>
        <v>0.33333333333334075</v>
      </c>
      <c r="Q3466" t="str">
        <f t="shared" si="1478"/>
        <v>1.69% | 0.85%</v>
      </c>
      <c r="R3466" t="str">
        <f t="shared" si="1476"/>
        <v>BULLISH</v>
      </c>
      <c r="S3466">
        <f t="shared" si="1479"/>
        <v>1</v>
      </c>
    </row>
    <row r="3467" spans="1:19" hidden="1" x14ac:dyDescent="0.25">
      <c r="A3467" s="5" t="str">
        <f t="shared" si="1480"/>
        <v>44050USD/JPY</v>
      </c>
      <c r="B3467" s="6" t="s">
        <v>20</v>
      </c>
      <c r="C3467" s="6">
        <v>104.1</v>
      </c>
      <c r="D3467" s="6">
        <v>106.5</v>
      </c>
      <c r="E3467" s="6">
        <v>105.54</v>
      </c>
      <c r="F3467" t="str">
        <f t="shared" si="1466"/>
        <v>FRI</v>
      </c>
      <c r="G3467" s="1">
        <f t="shared" si="1467"/>
        <v>44050</v>
      </c>
      <c r="H3467" s="2">
        <f t="shared" ca="1" si="1468"/>
        <v>203</v>
      </c>
      <c r="I3467" t="str">
        <f t="shared" si="1469"/>
        <v>USD/JPY</v>
      </c>
      <c r="J3467">
        <f t="shared" si="1470"/>
        <v>104.1</v>
      </c>
      <c r="K3467">
        <f t="shared" si="1471"/>
        <v>106.5</v>
      </c>
      <c r="L3467">
        <f t="shared" si="1472"/>
        <v>105.3</v>
      </c>
      <c r="M3467">
        <f t="shared" si="1473"/>
        <v>1.2000000000000028</v>
      </c>
      <c r="N3467">
        <f t="shared" si="1477"/>
        <v>2.4000000000000057</v>
      </c>
      <c r="O3467">
        <f t="shared" si="1474"/>
        <v>105.54</v>
      </c>
      <c r="P3467">
        <f t="shared" si="1475"/>
        <v>0.20000000000000712</v>
      </c>
      <c r="Q3467" t="str">
        <f t="shared" si="1478"/>
        <v>1.36% | 0.91%</v>
      </c>
      <c r="R3467" t="str">
        <f t="shared" si="1476"/>
        <v>BEARISH</v>
      </c>
      <c r="S3467">
        <f t="shared" si="1479"/>
        <v>-1</v>
      </c>
    </row>
    <row r="3468" spans="1:19" hidden="1" x14ac:dyDescent="0.25">
      <c r="A3468" s="5" t="str">
        <f t="shared" si="1480"/>
        <v>44050GBP/USD</v>
      </c>
      <c r="B3468" s="6" t="s">
        <v>102</v>
      </c>
      <c r="C3468" s="6">
        <v>1.28</v>
      </c>
      <c r="D3468" s="6">
        <v>1.32</v>
      </c>
      <c r="E3468" s="6">
        <v>1.31</v>
      </c>
      <c r="F3468" t="str">
        <f t="shared" si="1466"/>
        <v>FRI</v>
      </c>
      <c r="G3468" s="1">
        <f t="shared" si="1467"/>
        <v>44050</v>
      </c>
      <c r="H3468" s="2">
        <f t="shared" ca="1" si="1468"/>
        <v>203</v>
      </c>
      <c r="I3468" t="str">
        <f t="shared" si="1469"/>
        <v>GBP/USD</v>
      </c>
      <c r="J3468">
        <f t="shared" si="1470"/>
        <v>1.28</v>
      </c>
      <c r="K3468">
        <f t="shared" si="1471"/>
        <v>1.32</v>
      </c>
      <c r="L3468">
        <f t="shared" si="1472"/>
        <v>1.3</v>
      </c>
      <c r="M3468">
        <f t="shared" si="1473"/>
        <v>2.0000000000000018E-2</v>
      </c>
      <c r="N3468">
        <f t="shared" si="1477"/>
        <v>4.0000000000000036E-2</v>
      </c>
      <c r="O3468">
        <f t="shared" si="1474"/>
        <v>1.31</v>
      </c>
      <c r="P3468">
        <f t="shared" si="1475"/>
        <v>0.5</v>
      </c>
      <c r="Q3468" t="str">
        <f t="shared" si="1478"/>
        <v>2.29% | 0.76%</v>
      </c>
      <c r="R3468" t="str">
        <f t="shared" si="1476"/>
        <v>BULLISH</v>
      </c>
      <c r="S3468">
        <f t="shared" si="1479"/>
        <v>1</v>
      </c>
    </row>
    <row r="3469" spans="1:19" hidden="1" x14ac:dyDescent="0.25">
      <c r="A3469" s="5" t="str">
        <f t="shared" si="1480"/>
        <v>44050USD/CHF</v>
      </c>
      <c r="B3469" s="6" t="s">
        <v>76</v>
      </c>
      <c r="C3469" s="6">
        <v>0.9</v>
      </c>
      <c r="D3469" s="6">
        <v>0.92</v>
      </c>
      <c r="E3469" s="6">
        <v>0.91</v>
      </c>
      <c r="F3469" t="str">
        <f t="shared" si="1466"/>
        <v>FRI</v>
      </c>
      <c r="G3469" s="1">
        <f t="shared" si="1467"/>
        <v>44050</v>
      </c>
      <c r="H3469" s="2">
        <f t="shared" ca="1" si="1468"/>
        <v>203</v>
      </c>
      <c r="I3469" t="str">
        <f t="shared" si="1469"/>
        <v>USD/CHF</v>
      </c>
      <c r="J3469">
        <f t="shared" si="1470"/>
        <v>0.9</v>
      </c>
      <c r="K3469">
        <f t="shared" si="1471"/>
        <v>0.92</v>
      </c>
      <c r="L3469">
        <f t="shared" si="1472"/>
        <v>0.91</v>
      </c>
      <c r="M3469">
        <f t="shared" si="1473"/>
        <v>1.0000000000000009E-2</v>
      </c>
      <c r="N3469">
        <f t="shared" si="1477"/>
        <v>2.0000000000000018E-2</v>
      </c>
      <c r="O3469">
        <f t="shared" si="1474"/>
        <v>0.91</v>
      </c>
      <c r="P3469">
        <f t="shared" si="1475"/>
        <v>0</v>
      </c>
      <c r="Q3469" t="str">
        <f t="shared" si="1478"/>
        <v>1.1% | 1.1%</v>
      </c>
      <c r="R3469" t="str">
        <f t="shared" si="1476"/>
        <v>BEARISH</v>
      </c>
      <c r="S3469">
        <f t="shared" si="1479"/>
        <v>-1</v>
      </c>
    </row>
    <row r="3470" spans="1:19" hidden="1" x14ac:dyDescent="0.25">
      <c r="A3470" s="5" t="str">
        <f t="shared" si="1480"/>
        <v>44050WTIC</v>
      </c>
      <c r="B3470" s="6" t="s">
        <v>158</v>
      </c>
      <c r="C3470" s="6">
        <v>39.75</v>
      </c>
      <c r="D3470" s="6">
        <v>42.65</v>
      </c>
      <c r="E3470" s="6">
        <v>41.95</v>
      </c>
      <c r="F3470" t="str">
        <f t="shared" si="1466"/>
        <v>FRI</v>
      </c>
      <c r="G3470" s="1">
        <f t="shared" si="1467"/>
        <v>44050</v>
      </c>
      <c r="H3470" s="2">
        <f t="shared" ca="1" si="1468"/>
        <v>203</v>
      </c>
      <c r="I3470" t="str">
        <f t="shared" si="1469"/>
        <v>WTIC</v>
      </c>
      <c r="J3470">
        <f t="shared" si="1470"/>
        <v>39.75</v>
      </c>
      <c r="K3470">
        <f t="shared" si="1471"/>
        <v>42.65</v>
      </c>
      <c r="L3470">
        <f t="shared" si="1472"/>
        <v>41.2</v>
      </c>
      <c r="M3470">
        <f t="shared" si="1473"/>
        <v>1.4499999999999993</v>
      </c>
      <c r="N3470">
        <f t="shared" si="1477"/>
        <v>2.8999999999999986</v>
      </c>
      <c r="O3470">
        <f t="shared" si="1474"/>
        <v>41.95</v>
      </c>
      <c r="P3470">
        <f t="shared" si="1475"/>
        <v>0.51724137931034508</v>
      </c>
      <c r="Q3470" t="str">
        <f t="shared" si="1478"/>
        <v>5.24% | 1.67%</v>
      </c>
      <c r="R3470" t="str">
        <f t="shared" si="1476"/>
        <v>BULLISH</v>
      </c>
      <c r="S3470">
        <f t="shared" si="1479"/>
        <v>1</v>
      </c>
    </row>
    <row r="3471" spans="1:19" hidden="1" x14ac:dyDescent="0.25">
      <c r="A3471" s="5" t="str">
        <f t="shared" si="1480"/>
        <v>44050NATGAS</v>
      </c>
      <c r="B3471" s="6" t="s">
        <v>89</v>
      </c>
      <c r="C3471" s="6">
        <v>1.84</v>
      </c>
      <c r="D3471" s="6">
        <v>2.33</v>
      </c>
      <c r="E3471" s="6">
        <v>2.16</v>
      </c>
      <c r="F3471" t="str">
        <f t="shared" si="1466"/>
        <v>FRI</v>
      </c>
      <c r="G3471" s="1">
        <f t="shared" si="1467"/>
        <v>44050</v>
      </c>
      <c r="H3471" s="2">
        <f t="shared" ca="1" si="1468"/>
        <v>203</v>
      </c>
      <c r="I3471" t="str">
        <f t="shared" si="1469"/>
        <v>NATGAS</v>
      </c>
      <c r="J3471">
        <f t="shared" si="1470"/>
        <v>1.84</v>
      </c>
      <c r="K3471">
        <f t="shared" si="1471"/>
        <v>2.33</v>
      </c>
      <c r="L3471">
        <f t="shared" si="1472"/>
        <v>2.085</v>
      </c>
      <c r="M3471">
        <f t="shared" si="1473"/>
        <v>0.24500000000000088</v>
      </c>
      <c r="N3471">
        <f t="shared" si="1477"/>
        <v>0.49</v>
      </c>
      <c r="O3471">
        <f t="shared" si="1474"/>
        <v>2.16</v>
      </c>
      <c r="P3471">
        <f t="shared" si="1475"/>
        <v>0.30612244897959145</v>
      </c>
      <c r="Q3471" t="str">
        <f t="shared" si="1478"/>
        <v>14.81% | 7.87%</v>
      </c>
      <c r="R3471" t="str">
        <f t="shared" si="1476"/>
        <v>BULLISH</v>
      </c>
      <c r="S3471">
        <f t="shared" si="1479"/>
        <v>1</v>
      </c>
    </row>
    <row r="3472" spans="1:19" hidden="1" x14ac:dyDescent="0.25">
      <c r="A3472" s="5" t="str">
        <f t="shared" si="1480"/>
        <v>44050GOLD</v>
      </c>
      <c r="B3472" s="6" t="s">
        <v>25</v>
      </c>
      <c r="C3472" s="6">
        <v>1988</v>
      </c>
      <c r="D3472" s="6">
        <v>2089</v>
      </c>
      <c r="E3472" s="6">
        <v>2069</v>
      </c>
      <c r="F3472" t="str">
        <f t="shared" si="1466"/>
        <v>FRI</v>
      </c>
      <c r="G3472" s="1">
        <f t="shared" si="1467"/>
        <v>44050</v>
      </c>
      <c r="H3472" s="2">
        <f t="shared" ca="1" si="1468"/>
        <v>203</v>
      </c>
      <c r="I3472" t="str">
        <f t="shared" si="1469"/>
        <v>GOLD</v>
      </c>
      <c r="J3472">
        <f t="shared" si="1470"/>
        <v>1988</v>
      </c>
      <c r="K3472">
        <f t="shared" si="1471"/>
        <v>2089</v>
      </c>
      <c r="L3472">
        <f t="shared" si="1472"/>
        <v>2038.5</v>
      </c>
      <c r="M3472">
        <f t="shared" si="1473"/>
        <v>50.5</v>
      </c>
      <c r="N3472">
        <f t="shared" si="1477"/>
        <v>101</v>
      </c>
      <c r="O3472">
        <f t="shared" si="1474"/>
        <v>2069</v>
      </c>
      <c r="P3472">
        <f t="shared" si="1475"/>
        <v>0.60396039603960394</v>
      </c>
      <c r="Q3472" t="str">
        <f t="shared" si="1478"/>
        <v>3.91% | 0.97%</v>
      </c>
      <c r="R3472" t="str">
        <f t="shared" si="1476"/>
        <v>BULLISH</v>
      </c>
      <c r="S3472">
        <f t="shared" si="1479"/>
        <v>1</v>
      </c>
    </row>
    <row r="3473" spans="1:19" hidden="1" x14ac:dyDescent="0.25">
      <c r="A3473" s="5" t="str">
        <f t="shared" si="1480"/>
        <v>44050SILVER</v>
      </c>
      <c r="B3473" s="6" t="s">
        <v>195</v>
      </c>
      <c r="C3473" s="6">
        <v>25.06</v>
      </c>
      <c r="D3473" s="6">
        <v>28.4</v>
      </c>
      <c r="E3473" s="6">
        <v>28.4</v>
      </c>
      <c r="F3473" t="str">
        <f t="shared" si="1466"/>
        <v>FRI</v>
      </c>
      <c r="G3473" s="1">
        <f t="shared" si="1467"/>
        <v>44050</v>
      </c>
      <c r="H3473" s="2">
        <f t="shared" ca="1" si="1468"/>
        <v>203</v>
      </c>
      <c r="I3473" t="str">
        <f t="shared" si="1469"/>
        <v>SILVER</v>
      </c>
      <c r="J3473">
        <f t="shared" si="1470"/>
        <v>25.06</v>
      </c>
      <c r="K3473">
        <f t="shared" si="1471"/>
        <v>28.4</v>
      </c>
      <c r="L3473">
        <f t="shared" si="1472"/>
        <v>26.729999999999997</v>
      </c>
      <c r="M3473">
        <f t="shared" si="1473"/>
        <v>1.67</v>
      </c>
      <c r="N3473">
        <f t="shared" si="1477"/>
        <v>3.34</v>
      </c>
      <c r="O3473">
        <f t="shared" si="1474"/>
        <v>28.4</v>
      </c>
      <c r="P3473">
        <f t="shared" si="1475"/>
        <v>1.0000000000000011</v>
      </c>
      <c r="Q3473" t="str">
        <f t="shared" si="1478"/>
        <v>11.76% | 0%</v>
      </c>
      <c r="R3473" t="str">
        <f t="shared" si="1476"/>
        <v>BULLISH</v>
      </c>
      <c r="S3473">
        <f t="shared" si="1479"/>
        <v>1</v>
      </c>
    </row>
    <row r="3474" spans="1:19" hidden="1" x14ac:dyDescent="0.25">
      <c r="A3474" s="5" t="str">
        <f t="shared" si="1480"/>
        <v>44050COPPER</v>
      </c>
      <c r="B3474" s="6" t="s">
        <v>100</v>
      </c>
      <c r="C3474" s="6">
        <v>2.85</v>
      </c>
      <c r="D3474" s="6">
        <v>2.96</v>
      </c>
      <c r="E3474" s="6">
        <v>2.91</v>
      </c>
      <c r="F3474" t="str">
        <f t="shared" si="1466"/>
        <v>FRI</v>
      </c>
      <c r="G3474" s="1">
        <f t="shared" si="1467"/>
        <v>44050</v>
      </c>
      <c r="H3474" s="2">
        <f t="shared" ca="1" si="1468"/>
        <v>203</v>
      </c>
      <c r="I3474" t="str">
        <f t="shared" si="1469"/>
        <v>COPPER</v>
      </c>
      <c r="J3474">
        <f t="shared" si="1470"/>
        <v>2.85</v>
      </c>
      <c r="K3474">
        <f t="shared" si="1471"/>
        <v>2.96</v>
      </c>
      <c r="L3474">
        <f t="shared" si="1472"/>
        <v>2.9050000000000002</v>
      </c>
      <c r="M3474">
        <f t="shared" si="1473"/>
        <v>5.4999999999999938E-2</v>
      </c>
      <c r="N3474">
        <f t="shared" si="1477"/>
        <v>0.10999999999999988</v>
      </c>
      <c r="O3474">
        <f t="shared" si="1474"/>
        <v>2.91</v>
      </c>
      <c r="P3474">
        <f t="shared" si="1475"/>
        <v>9.090909090908908E-2</v>
      </c>
      <c r="Q3474" t="str">
        <f t="shared" si="1478"/>
        <v>2.06% | 1.72%</v>
      </c>
      <c r="R3474" t="str">
        <f t="shared" si="1476"/>
        <v>BULLISH</v>
      </c>
      <c r="S3474">
        <f t="shared" si="1479"/>
        <v>1</v>
      </c>
    </row>
    <row r="3475" spans="1:19" hidden="1" x14ac:dyDescent="0.25">
      <c r="A3475" s="5" t="str">
        <f t="shared" si="1480"/>
        <v>44050MSFT</v>
      </c>
      <c r="B3475" s="6" t="s">
        <v>27</v>
      </c>
      <c r="C3475" s="6">
        <v>207</v>
      </c>
      <c r="D3475" s="6">
        <v>221</v>
      </c>
      <c r="E3475" s="6">
        <v>216</v>
      </c>
      <c r="F3475" t="str">
        <f t="shared" si="1466"/>
        <v>FRI</v>
      </c>
      <c r="G3475" s="1">
        <f t="shared" si="1467"/>
        <v>44050</v>
      </c>
      <c r="H3475" s="2">
        <f t="shared" ca="1" si="1468"/>
        <v>203</v>
      </c>
      <c r="I3475" t="str">
        <f t="shared" si="1469"/>
        <v>MSFT</v>
      </c>
      <c r="J3475">
        <f t="shared" si="1470"/>
        <v>207</v>
      </c>
      <c r="K3475">
        <f t="shared" si="1471"/>
        <v>221</v>
      </c>
      <c r="L3475">
        <f t="shared" si="1472"/>
        <v>214</v>
      </c>
      <c r="M3475">
        <f t="shared" si="1473"/>
        <v>7</v>
      </c>
      <c r="N3475">
        <f t="shared" si="1477"/>
        <v>14</v>
      </c>
      <c r="O3475">
        <f t="shared" si="1474"/>
        <v>216</v>
      </c>
      <c r="P3475">
        <f t="shared" si="1475"/>
        <v>0.2857142857142857</v>
      </c>
      <c r="Q3475" t="str">
        <f t="shared" si="1478"/>
        <v>4.17% | 2.31%</v>
      </c>
      <c r="R3475" t="str">
        <f t="shared" si="1476"/>
        <v>BULLISH</v>
      </c>
      <c r="S3475">
        <f t="shared" si="1479"/>
        <v>1</v>
      </c>
    </row>
    <row r="3476" spans="1:19" hidden="1" x14ac:dyDescent="0.25">
      <c r="A3476" s="5" t="str">
        <f t="shared" si="1480"/>
        <v>44050AAPL</v>
      </c>
      <c r="B3476" s="6" t="s">
        <v>28</v>
      </c>
      <c r="C3476" s="6">
        <v>412</v>
      </c>
      <c r="D3476" s="6">
        <v>475</v>
      </c>
      <c r="E3476" s="6">
        <v>455</v>
      </c>
      <c r="F3476" t="str">
        <f t="shared" si="1466"/>
        <v>FRI</v>
      </c>
      <c r="G3476" s="1">
        <f t="shared" si="1467"/>
        <v>44050</v>
      </c>
      <c r="H3476" s="2">
        <f t="shared" ca="1" si="1468"/>
        <v>203</v>
      </c>
      <c r="I3476" t="str">
        <f t="shared" si="1469"/>
        <v>AAPL</v>
      </c>
      <c r="J3476">
        <f t="shared" si="1470"/>
        <v>412</v>
      </c>
      <c r="K3476">
        <f t="shared" si="1471"/>
        <v>475</v>
      </c>
      <c r="L3476">
        <f t="shared" si="1472"/>
        <v>443.5</v>
      </c>
      <c r="M3476">
        <f t="shared" si="1473"/>
        <v>31.5</v>
      </c>
      <c r="N3476">
        <f t="shared" si="1477"/>
        <v>63</v>
      </c>
      <c r="O3476">
        <f t="shared" si="1474"/>
        <v>455</v>
      </c>
      <c r="P3476">
        <f t="shared" si="1475"/>
        <v>0.36507936507936506</v>
      </c>
      <c r="Q3476" t="str">
        <f t="shared" si="1478"/>
        <v>9.45% | 4.4%</v>
      </c>
      <c r="R3476" t="str">
        <f t="shared" si="1476"/>
        <v>BULLISH</v>
      </c>
      <c r="S3476">
        <f t="shared" si="1479"/>
        <v>1</v>
      </c>
    </row>
    <row r="3477" spans="1:19" hidden="1" x14ac:dyDescent="0.25">
      <c r="A3477" s="5" t="str">
        <f t="shared" si="1480"/>
        <v>44050AMZN</v>
      </c>
      <c r="B3477" s="6" t="s">
        <v>29</v>
      </c>
      <c r="C3477" s="6">
        <v>3025</v>
      </c>
      <c r="D3477" s="6">
        <v>3269</v>
      </c>
      <c r="E3477" s="6">
        <v>3225</v>
      </c>
      <c r="F3477" t="str">
        <f t="shared" si="1466"/>
        <v>FRI</v>
      </c>
      <c r="G3477" s="1">
        <f t="shared" si="1467"/>
        <v>44050</v>
      </c>
      <c r="H3477" s="2">
        <f t="shared" ca="1" si="1468"/>
        <v>203</v>
      </c>
      <c r="I3477" t="str">
        <f t="shared" si="1469"/>
        <v>AMZN</v>
      </c>
      <c r="J3477">
        <f t="shared" si="1470"/>
        <v>3025</v>
      </c>
      <c r="K3477">
        <f t="shared" si="1471"/>
        <v>3269</v>
      </c>
      <c r="L3477">
        <f t="shared" si="1472"/>
        <v>3147</v>
      </c>
      <c r="M3477">
        <f t="shared" si="1473"/>
        <v>122</v>
      </c>
      <c r="N3477">
        <f t="shared" si="1477"/>
        <v>244</v>
      </c>
      <c r="O3477">
        <f t="shared" si="1474"/>
        <v>3225</v>
      </c>
      <c r="P3477">
        <f t="shared" si="1475"/>
        <v>0.63934426229508201</v>
      </c>
      <c r="Q3477" t="str">
        <f t="shared" si="1478"/>
        <v>6.2% | 1.36%</v>
      </c>
      <c r="R3477" t="str">
        <f t="shared" si="1476"/>
        <v>BULLISH</v>
      </c>
      <c r="S3477">
        <f t="shared" si="1479"/>
        <v>1</v>
      </c>
    </row>
    <row r="3478" spans="1:19" hidden="1" x14ac:dyDescent="0.25">
      <c r="A3478" s="5" t="str">
        <f t="shared" si="1480"/>
        <v>44050FB</v>
      </c>
      <c r="B3478" s="6" t="s">
        <v>30</v>
      </c>
      <c r="C3478" s="6">
        <v>241</v>
      </c>
      <c r="D3478" s="6">
        <v>269</v>
      </c>
      <c r="E3478" s="6">
        <v>265</v>
      </c>
      <c r="F3478" t="str">
        <f t="shared" si="1466"/>
        <v>FRI</v>
      </c>
      <c r="G3478" s="1">
        <f t="shared" si="1467"/>
        <v>44050</v>
      </c>
      <c r="H3478" s="2">
        <f t="shared" ca="1" si="1468"/>
        <v>203</v>
      </c>
      <c r="I3478" t="str">
        <f t="shared" si="1469"/>
        <v>FB</v>
      </c>
      <c r="J3478">
        <f t="shared" si="1470"/>
        <v>241</v>
      </c>
      <c r="K3478">
        <f t="shared" si="1471"/>
        <v>269</v>
      </c>
      <c r="L3478">
        <f t="shared" si="1472"/>
        <v>255</v>
      </c>
      <c r="M3478">
        <f t="shared" si="1473"/>
        <v>14</v>
      </c>
      <c r="N3478">
        <f t="shared" si="1477"/>
        <v>28</v>
      </c>
      <c r="O3478">
        <f t="shared" si="1474"/>
        <v>265</v>
      </c>
      <c r="P3478">
        <f t="shared" si="1475"/>
        <v>0.7142857142857143</v>
      </c>
      <c r="Q3478" t="str">
        <f t="shared" si="1478"/>
        <v>9.06% | 1.51%</v>
      </c>
      <c r="R3478" t="str">
        <f t="shared" si="1476"/>
        <v>BULLISH</v>
      </c>
      <c r="S3478">
        <f t="shared" si="1479"/>
        <v>1</v>
      </c>
    </row>
    <row r="3479" spans="1:19" hidden="1" x14ac:dyDescent="0.25">
      <c r="A3479" s="5" t="str">
        <f t="shared" si="1480"/>
        <v>44050GOOGL</v>
      </c>
      <c r="B3479" s="6" t="s">
        <v>31</v>
      </c>
      <c r="C3479" s="6">
        <v>1457</v>
      </c>
      <c r="D3479" s="6">
        <v>1547</v>
      </c>
      <c r="E3479" s="6">
        <v>1504</v>
      </c>
      <c r="F3479" t="str">
        <f t="shared" si="1466"/>
        <v>FRI</v>
      </c>
      <c r="G3479" s="1">
        <f t="shared" si="1467"/>
        <v>44050</v>
      </c>
      <c r="H3479" s="2">
        <f t="shared" ca="1" si="1468"/>
        <v>203</v>
      </c>
      <c r="I3479" t="str">
        <f t="shared" si="1469"/>
        <v>GOOGL</v>
      </c>
      <c r="J3479">
        <f t="shared" si="1470"/>
        <v>1457</v>
      </c>
      <c r="K3479">
        <f t="shared" si="1471"/>
        <v>1547</v>
      </c>
      <c r="L3479">
        <f t="shared" si="1472"/>
        <v>1502</v>
      </c>
      <c r="M3479">
        <f t="shared" si="1473"/>
        <v>45</v>
      </c>
      <c r="N3479">
        <f t="shared" si="1477"/>
        <v>90</v>
      </c>
      <c r="O3479">
        <f t="shared" si="1474"/>
        <v>1504</v>
      </c>
      <c r="P3479">
        <f t="shared" si="1475"/>
        <v>4.4444444444444446E-2</v>
      </c>
      <c r="Q3479" t="str">
        <f t="shared" si="1478"/>
        <v>3.13% | 2.86%</v>
      </c>
      <c r="R3479" t="str">
        <f t="shared" si="1476"/>
        <v>BULLISH</v>
      </c>
      <c r="S3479">
        <f t="shared" si="1479"/>
        <v>1</v>
      </c>
    </row>
    <row r="3480" spans="1:19" hidden="1" x14ac:dyDescent="0.25">
      <c r="A3480" s="5" t="str">
        <f t="shared" si="1480"/>
        <v>44050NFLX</v>
      </c>
      <c r="B3480" s="6" t="s">
        <v>32</v>
      </c>
      <c r="C3480" s="6">
        <v>475</v>
      </c>
      <c r="D3480" s="6">
        <v>520</v>
      </c>
      <c r="E3480" s="6">
        <v>509</v>
      </c>
      <c r="F3480" t="str">
        <f t="shared" si="1466"/>
        <v>FRI</v>
      </c>
      <c r="G3480" s="1">
        <f t="shared" si="1467"/>
        <v>44050</v>
      </c>
      <c r="H3480" s="2">
        <f t="shared" ca="1" si="1468"/>
        <v>203</v>
      </c>
      <c r="I3480" t="str">
        <f t="shared" si="1469"/>
        <v>NFLX</v>
      </c>
      <c r="J3480">
        <f t="shared" si="1470"/>
        <v>475</v>
      </c>
      <c r="K3480">
        <f t="shared" si="1471"/>
        <v>520</v>
      </c>
      <c r="L3480">
        <f t="shared" si="1472"/>
        <v>497.5</v>
      </c>
      <c r="M3480">
        <f t="shared" si="1473"/>
        <v>22.5</v>
      </c>
      <c r="N3480">
        <f t="shared" si="1477"/>
        <v>45</v>
      </c>
      <c r="O3480">
        <f t="shared" si="1474"/>
        <v>509</v>
      </c>
      <c r="P3480">
        <f t="shared" si="1475"/>
        <v>0.51111111111111107</v>
      </c>
      <c r="Q3480" t="str">
        <f t="shared" si="1478"/>
        <v>6.68% | 2.16%</v>
      </c>
      <c r="R3480" t="str">
        <f t="shared" si="1476"/>
        <v>BULLISH</v>
      </c>
      <c r="S3480">
        <f t="shared" si="1479"/>
        <v>1</v>
      </c>
    </row>
    <row r="3481" spans="1:19" x14ac:dyDescent="0.25">
      <c r="A3481" s="5" t="str">
        <f t="shared" si="1480"/>
        <v>44050TSLA</v>
      </c>
      <c r="B3481" s="6" t="s">
        <v>33</v>
      </c>
      <c r="C3481" s="6">
        <v>1405</v>
      </c>
      <c r="D3481" s="6">
        <v>1545</v>
      </c>
      <c r="E3481" s="6">
        <v>1489</v>
      </c>
      <c r="F3481" t="str">
        <f t="shared" si="1466"/>
        <v>FRI</v>
      </c>
      <c r="G3481" s="1">
        <f t="shared" si="1467"/>
        <v>44050</v>
      </c>
      <c r="H3481" s="2">
        <f t="shared" ca="1" si="1468"/>
        <v>203</v>
      </c>
      <c r="I3481" t="str">
        <f t="shared" si="1469"/>
        <v>TSLA</v>
      </c>
      <c r="J3481">
        <f t="shared" si="1470"/>
        <v>1405</v>
      </c>
      <c r="K3481">
        <f t="shared" si="1471"/>
        <v>1545</v>
      </c>
      <c r="L3481">
        <f t="shared" si="1472"/>
        <v>1475</v>
      </c>
      <c r="M3481">
        <f t="shared" si="1473"/>
        <v>70</v>
      </c>
      <c r="N3481">
        <f t="shared" si="1477"/>
        <v>140</v>
      </c>
      <c r="O3481">
        <f t="shared" si="1474"/>
        <v>1489</v>
      </c>
      <c r="P3481">
        <f t="shared" si="1475"/>
        <v>0.2</v>
      </c>
      <c r="Q3481" t="str">
        <f t="shared" si="1478"/>
        <v>5.64% | 3.76%</v>
      </c>
      <c r="R3481" t="str">
        <f t="shared" si="1476"/>
        <v>BULLISH</v>
      </c>
      <c r="S3481">
        <f t="shared" si="1479"/>
        <v>1</v>
      </c>
    </row>
    <row r="3482" spans="1:19" hidden="1" x14ac:dyDescent="0.25">
      <c r="A3482" s="5" t="str">
        <f t="shared" si="1480"/>
        <v>44050NYXBT</v>
      </c>
      <c r="B3482" s="6" t="s">
        <v>60</v>
      </c>
      <c r="C3482" s="6">
        <v>11109</v>
      </c>
      <c r="D3482" s="6">
        <v>11999</v>
      </c>
      <c r="E3482" s="6">
        <v>11845</v>
      </c>
      <c r="F3482" t="str">
        <f t="shared" si="1466"/>
        <v>FRI</v>
      </c>
      <c r="G3482" s="1">
        <f t="shared" si="1467"/>
        <v>44050</v>
      </c>
      <c r="H3482" s="2">
        <f t="shared" ca="1" si="1468"/>
        <v>203</v>
      </c>
      <c r="I3482" t="str">
        <f t="shared" si="1469"/>
        <v>NYXBT</v>
      </c>
      <c r="J3482">
        <f t="shared" si="1470"/>
        <v>11109</v>
      </c>
      <c r="K3482">
        <f t="shared" si="1471"/>
        <v>11999</v>
      </c>
      <c r="L3482">
        <f t="shared" si="1472"/>
        <v>11554</v>
      </c>
      <c r="M3482">
        <f t="shared" si="1473"/>
        <v>445</v>
      </c>
      <c r="N3482">
        <f t="shared" si="1477"/>
        <v>890</v>
      </c>
      <c r="O3482">
        <f t="shared" si="1474"/>
        <v>11845</v>
      </c>
      <c r="P3482">
        <f t="shared" si="1475"/>
        <v>0.65393258426966294</v>
      </c>
      <c r="Q3482" t="str">
        <f t="shared" si="1478"/>
        <v>6.21% | 1.3%</v>
      </c>
      <c r="R3482" t="str">
        <f t="shared" si="1476"/>
        <v>BULLISH</v>
      </c>
      <c r="S3482">
        <f t="shared" si="1479"/>
        <v>1</v>
      </c>
    </row>
    <row r="3483" spans="1:19" hidden="1" x14ac:dyDescent="0.25">
      <c r="A3483" s="5" t="str">
        <f t="shared" si="1480"/>
        <v>44053UST10Y</v>
      </c>
      <c r="B3483" s="6" t="s">
        <v>161</v>
      </c>
      <c r="C3483" s="6">
        <v>0.6</v>
      </c>
      <c r="D3483" s="6">
        <v>0.5</v>
      </c>
      <c r="E3483" s="6">
        <v>0.56999999999999995</v>
      </c>
      <c r="F3483" t="str">
        <f t="shared" si="1466"/>
        <v>MON</v>
      </c>
      <c r="G3483" s="3">
        <f>DATE(2020,8,10)</f>
        <v>44053</v>
      </c>
      <c r="H3483" s="2">
        <f t="shared" ca="1" si="1468"/>
        <v>200</v>
      </c>
      <c r="I3483" t="str">
        <f t="shared" si="1469"/>
        <v>UST10Y</v>
      </c>
      <c r="J3483">
        <f t="shared" si="1470"/>
        <v>0.6</v>
      </c>
      <c r="K3483">
        <f t="shared" si="1471"/>
        <v>0.5</v>
      </c>
      <c r="L3483">
        <f t="shared" si="1472"/>
        <v>0.55000000000000004</v>
      </c>
      <c r="M3483">
        <f t="shared" si="1473"/>
        <v>4.9999999999999989E-2</v>
      </c>
      <c r="N3483">
        <f t="shared" si="1477"/>
        <v>9.9999999999999978E-2</v>
      </c>
      <c r="O3483">
        <f t="shared" si="1474"/>
        <v>0.56999999999999995</v>
      </c>
      <c r="P3483">
        <f t="shared" si="1475"/>
        <v>0.39999999999999825</v>
      </c>
      <c r="Q3483" t="str">
        <f t="shared" si="1478"/>
        <v>5.26% | 12.28%</v>
      </c>
      <c r="R3483" t="str">
        <f t="shared" si="1476"/>
        <v>BEARISH</v>
      </c>
      <c r="S3483">
        <f t="shared" si="1479"/>
        <v>-1</v>
      </c>
    </row>
    <row r="3484" spans="1:19" hidden="1" x14ac:dyDescent="0.25">
      <c r="A3484" s="5" t="str">
        <f t="shared" si="1480"/>
        <v>44053UST2Y</v>
      </c>
      <c r="B3484" s="6" t="s">
        <v>162</v>
      </c>
      <c r="C3484" s="6">
        <v>0.14000000000000001</v>
      </c>
      <c r="D3484" s="6">
        <v>0.09</v>
      </c>
      <c r="E3484" s="6">
        <v>0.13</v>
      </c>
      <c r="F3484" t="str">
        <f t="shared" ref="F3484:F3514" si="1481">UPPER(TEXT(G3484,"ddd"))</f>
        <v>MON</v>
      </c>
      <c r="G3484" s="3">
        <f t="shared" ref="G3484:G3513" si="1482">DATE(2020,8,10)</f>
        <v>44053</v>
      </c>
      <c r="H3484" s="2">
        <f t="shared" ref="H3484:H3514" ca="1" si="1483">TODAY()-G3484</f>
        <v>200</v>
      </c>
      <c r="I3484" t="str">
        <f t="shared" ref="I3484:I3514" si="1484">TRIM(LEFT(B3484,FIND(" ",B3484,1)))</f>
        <v>UST2Y</v>
      </c>
      <c r="J3484">
        <f t="shared" ref="J3484:J3514" si="1485">C3484</f>
        <v>0.14000000000000001</v>
      </c>
      <c r="K3484">
        <f t="shared" ref="K3484:K3514" si="1486">D3484</f>
        <v>0.09</v>
      </c>
      <c r="L3484">
        <f t="shared" ref="L3484:L3514" si="1487">AVERAGE(J3484:K3484)</f>
        <v>0.115</v>
      </c>
      <c r="M3484">
        <f t="shared" ref="M3484:M3514" si="1488">_xlfn.STDEV.P(J3484:K3484)</f>
        <v>2.5000000000000012E-2</v>
      </c>
      <c r="N3484">
        <f t="shared" si="1477"/>
        <v>5.0000000000000017E-2</v>
      </c>
      <c r="O3484">
        <f t="shared" ref="O3484:O3514" si="1489">E3484</f>
        <v>0.13</v>
      </c>
      <c r="P3484">
        <f t="shared" ref="P3484:P3514" si="1490">(O3484-L3484)/M3484</f>
        <v>0.59999999999999964</v>
      </c>
      <c r="Q3484" t="str">
        <f t="shared" si="1478"/>
        <v>7.69% | 30.77%</v>
      </c>
      <c r="R3484" t="str">
        <f t="shared" ref="R3484:R3514" si="1491">MID(B3484,FIND("(",B3484,1)+1,FIND(")",B3484,1)-FIND("(",B3484,1)-1)</f>
        <v>BEARISH</v>
      </c>
      <c r="S3484">
        <f t="shared" si="1479"/>
        <v>-1</v>
      </c>
    </row>
    <row r="3485" spans="1:19" hidden="1" x14ac:dyDescent="0.25">
      <c r="A3485" s="5" t="str">
        <f t="shared" si="1480"/>
        <v>44053SPX</v>
      </c>
      <c r="B3485" s="6" t="s">
        <v>191</v>
      </c>
      <c r="C3485" s="6">
        <v>3202</v>
      </c>
      <c r="D3485" s="6">
        <v>3380</v>
      </c>
      <c r="E3485" s="6">
        <v>3351</v>
      </c>
      <c r="F3485" t="str">
        <f t="shared" si="1481"/>
        <v>MON</v>
      </c>
      <c r="G3485" s="3">
        <f t="shared" si="1482"/>
        <v>44053</v>
      </c>
      <c r="H3485" s="2">
        <f t="shared" ca="1" si="1483"/>
        <v>200</v>
      </c>
      <c r="I3485" t="str">
        <f t="shared" si="1484"/>
        <v>SPX</v>
      </c>
      <c r="J3485">
        <f t="shared" si="1485"/>
        <v>3202</v>
      </c>
      <c r="K3485">
        <f t="shared" si="1486"/>
        <v>3380</v>
      </c>
      <c r="L3485">
        <f t="shared" si="1487"/>
        <v>3291</v>
      </c>
      <c r="M3485">
        <f t="shared" si="1488"/>
        <v>89</v>
      </c>
      <c r="N3485">
        <f t="shared" si="1477"/>
        <v>178</v>
      </c>
      <c r="O3485">
        <f t="shared" si="1489"/>
        <v>3351</v>
      </c>
      <c r="P3485">
        <f t="shared" si="1490"/>
        <v>0.6741573033707865</v>
      </c>
      <c r="Q3485" t="str">
        <f t="shared" si="1478"/>
        <v>4.45% | 0.87%</v>
      </c>
      <c r="R3485" t="str">
        <f t="shared" si="1491"/>
        <v>BULLISH</v>
      </c>
      <c r="S3485">
        <f t="shared" si="1479"/>
        <v>1</v>
      </c>
    </row>
    <row r="3486" spans="1:19" hidden="1" x14ac:dyDescent="0.25">
      <c r="A3486" s="5" t="str">
        <f t="shared" si="1480"/>
        <v>44053RUT</v>
      </c>
      <c r="B3486" s="6" t="s">
        <v>164</v>
      </c>
      <c r="C3486" s="6">
        <v>1449</v>
      </c>
      <c r="D3486" s="6">
        <v>1577</v>
      </c>
      <c r="E3486" s="6">
        <v>1569</v>
      </c>
      <c r="F3486" t="str">
        <f t="shared" si="1481"/>
        <v>MON</v>
      </c>
      <c r="G3486" s="3">
        <f t="shared" si="1482"/>
        <v>44053</v>
      </c>
      <c r="H3486" s="2">
        <f t="shared" ca="1" si="1483"/>
        <v>200</v>
      </c>
      <c r="I3486" t="str">
        <f t="shared" si="1484"/>
        <v>RUT</v>
      </c>
      <c r="J3486">
        <f t="shared" si="1485"/>
        <v>1449</v>
      </c>
      <c r="K3486">
        <f t="shared" si="1486"/>
        <v>1577</v>
      </c>
      <c r="L3486">
        <f t="shared" si="1487"/>
        <v>1513</v>
      </c>
      <c r="M3486">
        <f t="shared" si="1488"/>
        <v>64</v>
      </c>
      <c r="N3486">
        <f t="shared" si="1477"/>
        <v>128</v>
      </c>
      <c r="O3486">
        <f t="shared" si="1489"/>
        <v>1569</v>
      </c>
      <c r="P3486">
        <f t="shared" si="1490"/>
        <v>0.875</v>
      </c>
      <c r="Q3486" t="str">
        <f t="shared" si="1478"/>
        <v>7.65% | 0.51%</v>
      </c>
      <c r="R3486" t="str">
        <f t="shared" si="1491"/>
        <v>BEARISH</v>
      </c>
      <c r="S3486">
        <f t="shared" si="1479"/>
        <v>-1</v>
      </c>
    </row>
    <row r="3487" spans="1:19" hidden="1" x14ac:dyDescent="0.25">
      <c r="A3487" s="5" t="str">
        <f t="shared" si="1480"/>
        <v>44053COMPQ</v>
      </c>
      <c r="B3487" s="6" t="s">
        <v>165</v>
      </c>
      <c r="C3487" s="6">
        <v>10566</v>
      </c>
      <c r="D3487" s="6">
        <v>11277</v>
      </c>
      <c r="E3487" s="6">
        <v>11010</v>
      </c>
      <c r="F3487" t="str">
        <f t="shared" si="1481"/>
        <v>MON</v>
      </c>
      <c r="G3487" s="3">
        <f t="shared" si="1482"/>
        <v>44053</v>
      </c>
      <c r="H3487" s="2">
        <f t="shared" ca="1" si="1483"/>
        <v>200</v>
      </c>
      <c r="I3487" t="str">
        <f t="shared" si="1484"/>
        <v>COMPQ</v>
      </c>
      <c r="J3487">
        <f t="shared" si="1485"/>
        <v>10566</v>
      </c>
      <c r="K3487">
        <f t="shared" si="1486"/>
        <v>11277</v>
      </c>
      <c r="L3487">
        <f t="shared" si="1487"/>
        <v>10921.5</v>
      </c>
      <c r="M3487">
        <f t="shared" si="1488"/>
        <v>355.5</v>
      </c>
      <c r="N3487">
        <f t="shared" si="1477"/>
        <v>711</v>
      </c>
      <c r="O3487">
        <f t="shared" si="1489"/>
        <v>11010</v>
      </c>
      <c r="P3487">
        <f t="shared" si="1490"/>
        <v>0.24894514767932491</v>
      </c>
      <c r="Q3487" t="str">
        <f t="shared" si="1478"/>
        <v>4.03% | 2.43%</v>
      </c>
      <c r="R3487" t="str">
        <f t="shared" si="1491"/>
        <v>BULLISH</v>
      </c>
      <c r="S3487">
        <f t="shared" si="1479"/>
        <v>1</v>
      </c>
    </row>
    <row r="3488" spans="1:19" hidden="1" x14ac:dyDescent="0.25">
      <c r="A3488" s="5" t="str">
        <f t="shared" si="1480"/>
        <v>44053XLK</v>
      </c>
      <c r="B3488" s="6" t="s">
        <v>166</v>
      </c>
      <c r="C3488" s="6">
        <v>108.36</v>
      </c>
      <c r="D3488" s="6">
        <v>117.97</v>
      </c>
      <c r="E3488" s="6">
        <v>113.74</v>
      </c>
      <c r="F3488" t="str">
        <f t="shared" si="1481"/>
        <v>MON</v>
      </c>
      <c r="G3488" s="3">
        <f t="shared" si="1482"/>
        <v>44053</v>
      </c>
      <c r="H3488" s="2">
        <f t="shared" ca="1" si="1483"/>
        <v>200</v>
      </c>
      <c r="I3488" t="str">
        <f t="shared" si="1484"/>
        <v>XLK</v>
      </c>
      <c r="J3488">
        <f t="shared" si="1485"/>
        <v>108.36</v>
      </c>
      <c r="K3488">
        <f t="shared" si="1486"/>
        <v>117.97</v>
      </c>
      <c r="L3488">
        <f t="shared" si="1487"/>
        <v>113.16499999999999</v>
      </c>
      <c r="M3488">
        <f t="shared" si="1488"/>
        <v>4.8049999999999997</v>
      </c>
      <c r="N3488">
        <f t="shared" si="1477"/>
        <v>9.61</v>
      </c>
      <c r="O3488">
        <f t="shared" si="1489"/>
        <v>113.74</v>
      </c>
      <c r="P3488">
        <f t="shared" si="1490"/>
        <v>0.11966701352757604</v>
      </c>
      <c r="Q3488" t="str">
        <f t="shared" si="1478"/>
        <v>4.73% | 3.72%</v>
      </c>
      <c r="R3488" t="str">
        <f t="shared" si="1491"/>
        <v>BULLISH</v>
      </c>
      <c r="S3488">
        <f t="shared" si="1479"/>
        <v>1</v>
      </c>
    </row>
    <row r="3489" spans="1:19" hidden="1" x14ac:dyDescent="0.25">
      <c r="A3489" s="5" t="str">
        <f t="shared" si="1480"/>
        <v>44053XLRE</v>
      </c>
      <c r="B3489" s="6" t="s">
        <v>167</v>
      </c>
      <c r="C3489" s="6">
        <v>35.049999999999997</v>
      </c>
      <c r="D3489" s="6">
        <v>37.08</v>
      </c>
      <c r="E3489" s="6">
        <v>36.5</v>
      </c>
      <c r="F3489" t="str">
        <f t="shared" si="1481"/>
        <v>MON</v>
      </c>
      <c r="G3489" s="3">
        <f t="shared" si="1482"/>
        <v>44053</v>
      </c>
      <c r="H3489" s="2">
        <f t="shared" ca="1" si="1483"/>
        <v>200</v>
      </c>
      <c r="I3489" t="str">
        <f t="shared" si="1484"/>
        <v>XLRE</v>
      </c>
      <c r="J3489">
        <f t="shared" si="1485"/>
        <v>35.049999999999997</v>
      </c>
      <c r="K3489">
        <f t="shared" si="1486"/>
        <v>37.08</v>
      </c>
      <c r="L3489">
        <f t="shared" si="1487"/>
        <v>36.064999999999998</v>
      </c>
      <c r="M3489">
        <f t="shared" si="1488"/>
        <v>1.0150000000000006</v>
      </c>
      <c r="N3489">
        <f t="shared" si="1477"/>
        <v>2.0300000000000011</v>
      </c>
      <c r="O3489">
        <f t="shared" si="1489"/>
        <v>36.5</v>
      </c>
      <c r="P3489">
        <f t="shared" si="1490"/>
        <v>0.42857142857143055</v>
      </c>
      <c r="Q3489" t="str">
        <f t="shared" si="1478"/>
        <v>3.97% | 1.59%</v>
      </c>
      <c r="R3489" t="str">
        <f t="shared" si="1491"/>
        <v>BULLISH</v>
      </c>
      <c r="S3489">
        <f t="shared" si="1479"/>
        <v>1</v>
      </c>
    </row>
    <row r="3490" spans="1:19" hidden="1" x14ac:dyDescent="0.25">
      <c r="A3490" s="5" t="str">
        <f t="shared" si="1480"/>
        <v>44053XLU</v>
      </c>
      <c r="B3490" s="6" t="s">
        <v>168</v>
      </c>
      <c r="C3490" s="6">
        <v>59.63</v>
      </c>
      <c r="D3490" s="6">
        <v>61.64</v>
      </c>
      <c r="E3490" s="6">
        <v>61.49</v>
      </c>
      <c r="F3490" t="str">
        <f t="shared" si="1481"/>
        <v>MON</v>
      </c>
      <c r="G3490" s="3">
        <f t="shared" si="1482"/>
        <v>44053</v>
      </c>
      <c r="H3490" s="2">
        <f t="shared" ca="1" si="1483"/>
        <v>200</v>
      </c>
      <c r="I3490" t="str">
        <f t="shared" si="1484"/>
        <v>XLU</v>
      </c>
      <c r="J3490">
        <f t="shared" si="1485"/>
        <v>59.63</v>
      </c>
      <c r="K3490">
        <f t="shared" si="1486"/>
        <v>61.64</v>
      </c>
      <c r="L3490">
        <f t="shared" si="1487"/>
        <v>60.635000000000005</v>
      </c>
      <c r="M3490">
        <f t="shared" si="1488"/>
        <v>1.004999999999999</v>
      </c>
      <c r="N3490">
        <f t="shared" si="1477"/>
        <v>2.009999999999998</v>
      </c>
      <c r="O3490">
        <f t="shared" si="1489"/>
        <v>61.49</v>
      </c>
      <c r="P3490">
        <f t="shared" si="1490"/>
        <v>0.8507462686567141</v>
      </c>
      <c r="Q3490" t="str">
        <f t="shared" si="1478"/>
        <v>3.02% | 0.24%</v>
      </c>
      <c r="R3490" t="str">
        <f t="shared" si="1491"/>
        <v>BULLISH</v>
      </c>
      <c r="S3490">
        <f t="shared" si="1479"/>
        <v>1</v>
      </c>
    </row>
    <row r="3491" spans="1:19" hidden="1" x14ac:dyDescent="0.25">
      <c r="A3491" s="5" t="str">
        <f t="shared" si="1480"/>
        <v>44053XLF</v>
      </c>
      <c r="B3491" s="6" t="s">
        <v>169</v>
      </c>
      <c r="C3491" s="6">
        <v>23.4</v>
      </c>
      <c r="D3491" s="6">
        <v>24.97</v>
      </c>
      <c r="E3491" s="6">
        <v>24.84</v>
      </c>
      <c r="F3491" t="str">
        <f t="shared" si="1481"/>
        <v>MON</v>
      </c>
      <c r="G3491" s="3">
        <f t="shared" si="1482"/>
        <v>44053</v>
      </c>
      <c r="H3491" s="2">
        <f t="shared" ca="1" si="1483"/>
        <v>200</v>
      </c>
      <c r="I3491" t="str">
        <f t="shared" si="1484"/>
        <v>XLF</v>
      </c>
      <c r="J3491">
        <f t="shared" si="1485"/>
        <v>23.4</v>
      </c>
      <c r="K3491">
        <f t="shared" si="1486"/>
        <v>24.97</v>
      </c>
      <c r="L3491">
        <f t="shared" si="1487"/>
        <v>24.184999999999999</v>
      </c>
      <c r="M3491">
        <f t="shared" si="1488"/>
        <v>0.78500000000000014</v>
      </c>
      <c r="N3491">
        <f t="shared" si="1477"/>
        <v>1.5700000000000003</v>
      </c>
      <c r="O3491">
        <f t="shared" si="1489"/>
        <v>24.84</v>
      </c>
      <c r="P3491">
        <f t="shared" si="1490"/>
        <v>0.83439490445859998</v>
      </c>
      <c r="Q3491" t="str">
        <f t="shared" si="1478"/>
        <v>5.8% | 0.52%</v>
      </c>
      <c r="R3491" t="str">
        <f t="shared" si="1491"/>
        <v>BEARISH</v>
      </c>
      <c r="S3491">
        <f t="shared" si="1479"/>
        <v>-1</v>
      </c>
    </row>
    <row r="3492" spans="1:19" hidden="1" x14ac:dyDescent="0.25">
      <c r="A3492" s="5" t="str">
        <f t="shared" si="1480"/>
        <v>44053SSEC</v>
      </c>
      <c r="B3492" s="6" t="s">
        <v>170</v>
      </c>
      <c r="C3492" s="6">
        <v>3227</v>
      </c>
      <c r="D3492" s="6">
        <v>3435</v>
      </c>
      <c r="E3492" s="6">
        <v>3379</v>
      </c>
      <c r="F3492" t="str">
        <f t="shared" si="1481"/>
        <v>MON</v>
      </c>
      <c r="G3492" s="3">
        <f t="shared" si="1482"/>
        <v>44053</v>
      </c>
      <c r="H3492" s="2">
        <f t="shared" ca="1" si="1483"/>
        <v>200</v>
      </c>
      <c r="I3492" t="str">
        <f t="shared" si="1484"/>
        <v>SSEC</v>
      </c>
      <c r="J3492">
        <f t="shared" si="1485"/>
        <v>3227</v>
      </c>
      <c r="K3492">
        <f t="shared" si="1486"/>
        <v>3435</v>
      </c>
      <c r="L3492">
        <f t="shared" si="1487"/>
        <v>3331</v>
      </c>
      <c r="M3492">
        <f t="shared" si="1488"/>
        <v>104</v>
      </c>
      <c r="N3492">
        <f t="shared" si="1477"/>
        <v>208</v>
      </c>
      <c r="O3492">
        <f t="shared" si="1489"/>
        <v>3379</v>
      </c>
      <c r="P3492">
        <f t="shared" si="1490"/>
        <v>0.46153846153846156</v>
      </c>
      <c r="Q3492" t="str">
        <f t="shared" si="1478"/>
        <v>4.5% | 1.66%</v>
      </c>
      <c r="R3492" t="str">
        <f t="shared" si="1491"/>
        <v>BULLISH</v>
      </c>
      <c r="S3492">
        <f t="shared" si="1479"/>
        <v>1</v>
      </c>
    </row>
    <row r="3493" spans="1:19" hidden="1" x14ac:dyDescent="0.25">
      <c r="A3493" s="5" t="str">
        <f t="shared" si="1480"/>
        <v>44053NIKK</v>
      </c>
      <c r="B3493" s="6" t="s">
        <v>197</v>
      </c>
      <c r="C3493" s="6">
        <v>21801</v>
      </c>
      <c r="D3493" s="6">
        <v>22861</v>
      </c>
      <c r="E3493" s="6">
        <v>22329</v>
      </c>
      <c r="F3493" t="str">
        <f t="shared" si="1481"/>
        <v>MON</v>
      </c>
      <c r="G3493" s="3">
        <f t="shared" si="1482"/>
        <v>44053</v>
      </c>
      <c r="H3493" s="2">
        <f t="shared" ca="1" si="1483"/>
        <v>200</v>
      </c>
      <c r="I3493" t="str">
        <f t="shared" si="1484"/>
        <v>NIKK</v>
      </c>
      <c r="J3493">
        <f t="shared" si="1485"/>
        <v>21801</v>
      </c>
      <c r="K3493">
        <f t="shared" si="1486"/>
        <v>22861</v>
      </c>
      <c r="L3493">
        <f t="shared" si="1487"/>
        <v>22331</v>
      </c>
      <c r="M3493">
        <f t="shared" si="1488"/>
        <v>530</v>
      </c>
      <c r="N3493">
        <f t="shared" si="1477"/>
        <v>1060</v>
      </c>
      <c r="O3493">
        <f t="shared" si="1489"/>
        <v>22329</v>
      </c>
      <c r="P3493">
        <f t="shared" si="1490"/>
        <v>-3.7735849056603774E-3</v>
      </c>
      <c r="Q3493" t="str">
        <f t="shared" si="1478"/>
        <v>2.36% | 2.38%</v>
      </c>
      <c r="R3493" t="str">
        <f t="shared" si="1491"/>
        <v>BEARISH</v>
      </c>
      <c r="S3493">
        <f t="shared" si="1479"/>
        <v>-1</v>
      </c>
    </row>
    <row r="3494" spans="1:19" hidden="1" x14ac:dyDescent="0.25">
      <c r="A3494" s="5" t="str">
        <f t="shared" si="1480"/>
        <v>44053DAX</v>
      </c>
      <c r="B3494" s="6" t="s">
        <v>198</v>
      </c>
      <c r="C3494" s="6">
        <v>12206</v>
      </c>
      <c r="D3494" s="6">
        <v>12934</v>
      </c>
      <c r="E3494" s="6">
        <v>12674</v>
      </c>
      <c r="F3494" t="str">
        <f t="shared" si="1481"/>
        <v>MON</v>
      </c>
      <c r="G3494" s="3">
        <f t="shared" si="1482"/>
        <v>44053</v>
      </c>
      <c r="H3494" s="2">
        <f t="shared" ca="1" si="1483"/>
        <v>200</v>
      </c>
      <c r="I3494" t="str">
        <f t="shared" si="1484"/>
        <v>DAX</v>
      </c>
      <c r="J3494">
        <f t="shared" si="1485"/>
        <v>12206</v>
      </c>
      <c r="K3494">
        <f t="shared" si="1486"/>
        <v>12934</v>
      </c>
      <c r="L3494">
        <f t="shared" si="1487"/>
        <v>12570</v>
      </c>
      <c r="M3494">
        <f t="shared" si="1488"/>
        <v>364</v>
      </c>
      <c r="N3494">
        <f t="shared" si="1477"/>
        <v>728</v>
      </c>
      <c r="O3494">
        <f t="shared" si="1489"/>
        <v>12674</v>
      </c>
      <c r="P3494">
        <f t="shared" si="1490"/>
        <v>0.2857142857142857</v>
      </c>
      <c r="Q3494" t="str">
        <f t="shared" si="1478"/>
        <v>3.69% | 2.05%</v>
      </c>
      <c r="R3494" t="str">
        <f t="shared" si="1491"/>
        <v>NEUTRAL</v>
      </c>
      <c r="S3494">
        <f t="shared" si="1479"/>
        <v>0</v>
      </c>
    </row>
    <row r="3495" spans="1:19" hidden="1" x14ac:dyDescent="0.25">
      <c r="A3495" s="5" t="str">
        <f t="shared" si="1480"/>
        <v>44053VIX</v>
      </c>
      <c r="B3495" s="6" t="s">
        <v>192</v>
      </c>
      <c r="C3495" s="6">
        <v>21.77</v>
      </c>
      <c r="D3495" s="6">
        <v>29.57</v>
      </c>
      <c r="E3495" s="6">
        <v>22.21</v>
      </c>
      <c r="F3495" t="str">
        <f t="shared" si="1481"/>
        <v>MON</v>
      </c>
      <c r="G3495" s="3">
        <f t="shared" si="1482"/>
        <v>44053</v>
      </c>
      <c r="H3495" s="2">
        <f t="shared" ca="1" si="1483"/>
        <v>200</v>
      </c>
      <c r="I3495" t="str">
        <f t="shared" si="1484"/>
        <v>VIX</v>
      </c>
      <c r="J3495">
        <f t="shared" si="1485"/>
        <v>21.77</v>
      </c>
      <c r="K3495">
        <f t="shared" si="1486"/>
        <v>29.57</v>
      </c>
      <c r="L3495">
        <f t="shared" si="1487"/>
        <v>25.67</v>
      </c>
      <c r="M3495">
        <f t="shared" si="1488"/>
        <v>3.8999999999999901</v>
      </c>
      <c r="N3495">
        <f t="shared" si="1477"/>
        <v>7.8000000000000007</v>
      </c>
      <c r="O3495">
        <f t="shared" si="1489"/>
        <v>22.21</v>
      </c>
      <c r="P3495">
        <f t="shared" si="1490"/>
        <v>-0.88717948717948969</v>
      </c>
      <c r="Q3495" t="str">
        <f t="shared" si="1478"/>
        <v>1.98% | 33.14%</v>
      </c>
      <c r="R3495" t="str">
        <f t="shared" si="1491"/>
        <v>BEARISH</v>
      </c>
      <c r="S3495">
        <f t="shared" si="1479"/>
        <v>-1</v>
      </c>
    </row>
    <row r="3496" spans="1:19" hidden="1" x14ac:dyDescent="0.25">
      <c r="A3496" s="5" t="str">
        <f t="shared" si="1480"/>
        <v>44053USD</v>
      </c>
      <c r="B3496" s="6" t="s">
        <v>174</v>
      </c>
      <c r="C3496" s="6">
        <v>92.5</v>
      </c>
      <c r="D3496" s="6">
        <v>93.95</v>
      </c>
      <c r="E3496" s="6">
        <v>93.43</v>
      </c>
      <c r="F3496" t="str">
        <f t="shared" si="1481"/>
        <v>MON</v>
      </c>
      <c r="G3496" s="3">
        <f t="shared" si="1482"/>
        <v>44053</v>
      </c>
      <c r="H3496" s="2">
        <f t="shared" ca="1" si="1483"/>
        <v>200</v>
      </c>
      <c r="I3496" t="str">
        <f t="shared" si="1484"/>
        <v>USD</v>
      </c>
      <c r="J3496">
        <f t="shared" si="1485"/>
        <v>92.5</v>
      </c>
      <c r="K3496">
        <f t="shared" si="1486"/>
        <v>93.95</v>
      </c>
      <c r="L3496">
        <f t="shared" si="1487"/>
        <v>93.224999999999994</v>
      </c>
      <c r="M3496">
        <f t="shared" si="1488"/>
        <v>0.72500000000000142</v>
      </c>
      <c r="N3496">
        <f t="shared" si="1477"/>
        <v>1.4500000000000028</v>
      </c>
      <c r="O3496">
        <f t="shared" si="1489"/>
        <v>93.43</v>
      </c>
      <c r="P3496">
        <f t="shared" si="1490"/>
        <v>0.28275862068967189</v>
      </c>
      <c r="Q3496" t="str">
        <f t="shared" si="1478"/>
        <v>1% | 0.56%</v>
      </c>
      <c r="R3496" t="str">
        <f t="shared" si="1491"/>
        <v>BEARISH</v>
      </c>
      <c r="S3496">
        <f t="shared" si="1479"/>
        <v>-1</v>
      </c>
    </row>
    <row r="3497" spans="1:19" hidden="1" x14ac:dyDescent="0.25">
      <c r="A3497" s="5" t="str">
        <f t="shared" si="1480"/>
        <v>44053EUR/USD</v>
      </c>
      <c r="B3497" s="6" t="s">
        <v>175</v>
      </c>
      <c r="C3497" s="6">
        <v>1.1599999999999999</v>
      </c>
      <c r="D3497" s="6">
        <v>1.19</v>
      </c>
      <c r="E3497" s="6">
        <v>1.17</v>
      </c>
      <c r="F3497" t="str">
        <f t="shared" si="1481"/>
        <v>MON</v>
      </c>
      <c r="G3497" s="3">
        <f t="shared" si="1482"/>
        <v>44053</v>
      </c>
      <c r="H3497" s="2">
        <f t="shared" ca="1" si="1483"/>
        <v>200</v>
      </c>
      <c r="I3497" t="str">
        <f t="shared" si="1484"/>
        <v>EUR/USD</v>
      </c>
      <c r="J3497">
        <f t="shared" si="1485"/>
        <v>1.1599999999999999</v>
      </c>
      <c r="K3497">
        <f t="shared" si="1486"/>
        <v>1.19</v>
      </c>
      <c r="L3497">
        <f t="shared" si="1487"/>
        <v>1.1749999999999998</v>
      </c>
      <c r="M3497">
        <f t="shared" si="1488"/>
        <v>1.5000000000000013E-2</v>
      </c>
      <c r="N3497">
        <f t="shared" si="1477"/>
        <v>3.0000000000000027E-2</v>
      </c>
      <c r="O3497">
        <f t="shared" si="1489"/>
        <v>1.17</v>
      </c>
      <c r="P3497">
        <f t="shared" si="1490"/>
        <v>-0.33333333333332593</v>
      </c>
      <c r="Q3497" t="str">
        <f t="shared" si="1478"/>
        <v>0.85% | 1.71%</v>
      </c>
      <c r="R3497" t="str">
        <f t="shared" si="1491"/>
        <v>BULLISH</v>
      </c>
      <c r="S3497">
        <f t="shared" si="1479"/>
        <v>1</v>
      </c>
    </row>
    <row r="3498" spans="1:19" hidden="1" x14ac:dyDescent="0.25">
      <c r="A3498" s="5" t="str">
        <f t="shared" si="1480"/>
        <v>44053USD/JPY</v>
      </c>
      <c r="B3498" s="6" t="s">
        <v>176</v>
      </c>
      <c r="C3498" s="6">
        <v>104.22</v>
      </c>
      <c r="D3498" s="6">
        <v>106.47</v>
      </c>
      <c r="E3498" s="6">
        <v>105.96</v>
      </c>
      <c r="F3498" t="str">
        <f t="shared" si="1481"/>
        <v>MON</v>
      </c>
      <c r="G3498" s="3">
        <f t="shared" si="1482"/>
        <v>44053</v>
      </c>
      <c r="H3498" s="2">
        <f t="shared" ca="1" si="1483"/>
        <v>200</v>
      </c>
      <c r="I3498" t="str">
        <f t="shared" si="1484"/>
        <v>USD/JPY</v>
      </c>
      <c r="J3498">
        <f t="shared" si="1485"/>
        <v>104.22</v>
      </c>
      <c r="K3498">
        <f t="shared" si="1486"/>
        <v>106.47</v>
      </c>
      <c r="L3498">
        <f t="shared" si="1487"/>
        <v>105.345</v>
      </c>
      <c r="M3498">
        <f t="shared" si="1488"/>
        <v>1.125</v>
      </c>
      <c r="N3498">
        <f t="shared" si="1477"/>
        <v>2.25</v>
      </c>
      <c r="O3498">
        <f t="shared" si="1489"/>
        <v>105.96</v>
      </c>
      <c r="P3498">
        <f t="shared" si="1490"/>
        <v>0.54666666666666208</v>
      </c>
      <c r="Q3498" t="str">
        <f t="shared" si="1478"/>
        <v>1.64% | 0.48%</v>
      </c>
      <c r="R3498" t="str">
        <f t="shared" si="1491"/>
        <v>BEARISH</v>
      </c>
      <c r="S3498">
        <f t="shared" si="1479"/>
        <v>-1</v>
      </c>
    </row>
    <row r="3499" spans="1:19" hidden="1" x14ac:dyDescent="0.25">
      <c r="A3499" s="5" t="str">
        <f t="shared" si="1480"/>
        <v>44053GBP/USD</v>
      </c>
      <c r="B3499" s="6" t="s">
        <v>177</v>
      </c>
      <c r="C3499" s="6">
        <v>1.29</v>
      </c>
      <c r="D3499" s="6">
        <v>1.32</v>
      </c>
      <c r="E3499" s="6">
        <v>1.3</v>
      </c>
      <c r="F3499" t="str">
        <f t="shared" si="1481"/>
        <v>MON</v>
      </c>
      <c r="G3499" s="3">
        <f t="shared" si="1482"/>
        <v>44053</v>
      </c>
      <c r="H3499" s="2">
        <f t="shared" ca="1" si="1483"/>
        <v>200</v>
      </c>
      <c r="I3499" t="str">
        <f t="shared" si="1484"/>
        <v>GBP/USD</v>
      </c>
      <c r="J3499">
        <f t="shared" si="1485"/>
        <v>1.29</v>
      </c>
      <c r="K3499">
        <f t="shared" si="1486"/>
        <v>1.32</v>
      </c>
      <c r="L3499">
        <f t="shared" si="1487"/>
        <v>1.3050000000000002</v>
      </c>
      <c r="M3499">
        <f t="shared" si="1488"/>
        <v>1.5000000000000013E-2</v>
      </c>
      <c r="N3499">
        <f t="shared" si="1477"/>
        <v>3.0000000000000027E-2</v>
      </c>
      <c r="O3499">
        <f t="shared" si="1489"/>
        <v>1.3</v>
      </c>
      <c r="P3499">
        <f t="shared" si="1490"/>
        <v>-0.33333333333334075</v>
      </c>
      <c r="Q3499" t="str">
        <f t="shared" si="1478"/>
        <v>0.77% | 1.54%</v>
      </c>
      <c r="R3499" t="str">
        <f t="shared" si="1491"/>
        <v>BULLISH</v>
      </c>
      <c r="S3499">
        <f t="shared" si="1479"/>
        <v>1</v>
      </c>
    </row>
    <row r="3500" spans="1:19" hidden="1" x14ac:dyDescent="0.25">
      <c r="A3500" s="5" t="str">
        <f t="shared" si="1480"/>
        <v>44053USD/CHF</v>
      </c>
      <c r="B3500" s="6" t="s">
        <v>178</v>
      </c>
      <c r="C3500" s="6">
        <v>0.9</v>
      </c>
      <c r="D3500" s="6">
        <v>0.92</v>
      </c>
      <c r="E3500" s="6">
        <v>0.91</v>
      </c>
      <c r="F3500" t="str">
        <f t="shared" si="1481"/>
        <v>MON</v>
      </c>
      <c r="G3500" s="3">
        <f t="shared" si="1482"/>
        <v>44053</v>
      </c>
      <c r="H3500" s="2">
        <f t="shared" ca="1" si="1483"/>
        <v>200</v>
      </c>
      <c r="I3500" t="str">
        <f t="shared" si="1484"/>
        <v>USD/CHF</v>
      </c>
      <c r="J3500">
        <f t="shared" si="1485"/>
        <v>0.9</v>
      </c>
      <c r="K3500">
        <f t="shared" si="1486"/>
        <v>0.92</v>
      </c>
      <c r="L3500">
        <f t="shared" si="1487"/>
        <v>0.91</v>
      </c>
      <c r="M3500">
        <f t="shared" si="1488"/>
        <v>1.0000000000000009E-2</v>
      </c>
      <c r="N3500">
        <f t="shared" si="1477"/>
        <v>2.0000000000000018E-2</v>
      </c>
      <c r="O3500">
        <f t="shared" si="1489"/>
        <v>0.91</v>
      </c>
      <c r="P3500">
        <f t="shared" si="1490"/>
        <v>0</v>
      </c>
      <c r="Q3500" t="str">
        <f t="shared" si="1478"/>
        <v>1.1% | 1.1%</v>
      </c>
      <c r="R3500" t="str">
        <f t="shared" si="1491"/>
        <v>BEARISH</v>
      </c>
      <c r="S3500">
        <f t="shared" si="1479"/>
        <v>-1</v>
      </c>
    </row>
    <row r="3501" spans="1:19" hidden="1" x14ac:dyDescent="0.25">
      <c r="A3501" s="5" t="str">
        <f t="shared" si="1480"/>
        <v>44053WTIC</v>
      </c>
      <c r="B3501" s="6" t="s">
        <v>179</v>
      </c>
      <c r="C3501" s="6">
        <v>39.799999999999997</v>
      </c>
      <c r="D3501" s="6">
        <v>42.67</v>
      </c>
      <c r="E3501" s="6">
        <v>41.22</v>
      </c>
      <c r="F3501" t="str">
        <f t="shared" si="1481"/>
        <v>MON</v>
      </c>
      <c r="G3501" s="3">
        <f t="shared" si="1482"/>
        <v>44053</v>
      </c>
      <c r="H3501" s="2">
        <f t="shared" ca="1" si="1483"/>
        <v>200</v>
      </c>
      <c r="I3501" t="str">
        <f t="shared" si="1484"/>
        <v>WTIC</v>
      </c>
      <c r="J3501">
        <f t="shared" si="1485"/>
        <v>39.799999999999997</v>
      </c>
      <c r="K3501">
        <f t="shared" si="1486"/>
        <v>42.67</v>
      </c>
      <c r="L3501">
        <f t="shared" si="1487"/>
        <v>41.234999999999999</v>
      </c>
      <c r="M3501">
        <f t="shared" si="1488"/>
        <v>1.4350000000000023</v>
      </c>
      <c r="N3501">
        <f t="shared" si="1477"/>
        <v>2.8700000000000045</v>
      </c>
      <c r="O3501">
        <f t="shared" si="1489"/>
        <v>41.22</v>
      </c>
      <c r="P3501">
        <f t="shared" si="1490"/>
        <v>-1.0452961672474247E-2</v>
      </c>
      <c r="Q3501" t="str">
        <f t="shared" si="1478"/>
        <v>3.44% | 3.52%</v>
      </c>
      <c r="R3501" t="str">
        <f t="shared" si="1491"/>
        <v>BULLISH</v>
      </c>
      <c r="S3501">
        <f t="shared" si="1479"/>
        <v>1</v>
      </c>
    </row>
    <row r="3502" spans="1:19" hidden="1" x14ac:dyDescent="0.25">
      <c r="A3502" s="5" t="str">
        <f t="shared" si="1480"/>
        <v>44053NATGAS</v>
      </c>
      <c r="B3502" s="6" t="s">
        <v>180</v>
      </c>
      <c r="C3502" s="6">
        <v>1.9</v>
      </c>
      <c r="D3502" s="6">
        <v>2.38</v>
      </c>
      <c r="E3502" s="6">
        <v>2.2400000000000002</v>
      </c>
      <c r="F3502" t="str">
        <f t="shared" si="1481"/>
        <v>MON</v>
      </c>
      <c r="G3502" s="3">
        <f t="shared" si="1482"/>
        <v>44053</v>
      </c>
      <c r="H3502" s="2">
        <f t="shared" ca="1" si="1483"/>
        <v>200</v>
      </c>
      <c r="I3502" t="str">
        <f t="shared" si="1484"/>
        <v>NATGAS</v>
      </c>
      <c r="J3502">
        <f t="shared" si="1485"/>
        <v>1.9</v>
      </c>
      <c r="K3502">
        <f t="shared" si="1486"/>
        <v>2.38</v>
      </c>
      <c r="L3502">
        <f t="shared" si="1487"/>
        <v>2.1399999999999997</v>
      </c>
      <c r="M3502">
        <f t="shared" si="1488"/>
        <v>0.24000000000000343</v>
      </c>
      <c r="N3502">
        <f t="shared" si="1477"/>
        <v>0.48</v>
      </c>
      <c r="O3502">
        <f t="shared" si="1489"/>
        <v>2.2400000000000002</v>
      </c>
      <c r="P3502">
        <f t="shared" si="1490"/>
        <v>0.41666666666666291</v>
      </c>
      <c r="Q3502" t="str">
        <f t="shared" si="1478"/>
        <v>15.18% | 6.25%</v>
      </c>
      <c r="R3502" t="str">
        <f t="shared" si="1491"/>
        <v>BULLISH</v>
      </c>
      <c r="S3502">
        <f t="shared" si="1479"/>
        <v>1</v>
      </c>
    </row>
    <row r="3503" spans="1:19" hidden="1" x14ac:dyDescent="0.25">
      <c r="A3503" s="5" t="str">
        <f t="shared" si="1480"/>
        <v>44053GOLD</v>
      </c>
      <c r="B3503" s="6" t="s">
        <v>181</v>
      </c>
      <c r="C3503" s="6">
        <v>1995</v>
      </c>
      <c r="D3503" s="6">
        <v>2084</v>
      </c>
      <c r="E3503" s="6">
        <v>2028</v>
      </c>
      <c r="F3503" t="str">
        <f t="shared" si="1481"/>
        <v>MON</v>
      </c>
      <c r="G3503" s="3">
        <f t="shared" si="1482"/>
        <v>44053</v>
      </c>
      <c r="H3503" s="2">
        <f t="shared" ca="1" si="1483"/>
        <v>200</v>
      </c>
      <c r="I3503" t="str">
        <f t="shared" si="1484"/>
        <v>GOLD</v>
      </c>
      <c r="J3503">
        <f t="shared" si="1485"/>
        <v>1995</v>
      </c>
      <c r="K3503">
        <f t="shared" si="1486"/>
        <v>2084</v>
      </c>
      <c r="L3503">
        <f t="shared" si="1487"/>
        <v>2039.5</v>
      </c>
      <c r="M3503">
        <f t="shared" si="1488"/>
        <v>44.5</v>
      </c>
      <c r="N3503">
        <f t="shared" si="1477"/>
        <v>89</v>
      </c>
      <c r="O3503">
        <f t="shared" si="1489"/>
        <v>2028</v>
      </c>
      <c r="P3503">
        <f t="shared" si="1490"/>
        <v>-0.25842696629213485</v>
      </c>
      <c r="Q3503" t="str">
        <f t="shared" si="1478"/>
        <v>1.63% | 2.76%</v>
      </c>
      <c r="R3503" t="str">
        <f t="shared" si="1491"/>
        <v>BULLISH</v>
      </c>
      <c r="S3503">
        <f t="shared" si="1479"/>
        <v>1</v>
      </c>
    </row>
    <row r="3504" spans="1:19" hidden="1" x14ac:dyDescent="0.25">
      <c r="A3504" s="5" t="str">
        <f t="shared" si="1480"/>
        <v>44053SILVER</v>
      </c>
      <c r="B3504" s="6" t="s">
        <v>199</v>
      </c>
      <c r="C3504" s="6">
        <v>25.4</v>
      </c>
      <c r="D3504" s="6">
        <v>28.93</v>
      </c>
      <c r="E3504" s="6">
        <v>27.54</v>
      </c>
      <c r="F3504" t="str">
        <f t="shared" si="1481"/>
        <v>MON</v>
      </c>
      <c r="G3504" s="3">
        <f t="shared" si="1482"/>
        <v>44053</v>
      </c>
      <c r="H3504" s="2">
        <f t="shared" ca="1" si="1483"/>
        <v>200</v>
      </c>
      <c r="I3504" t="str">
        <f t="shared" si="1484"/>
        <v>SILVER</v>
      </c>
      <c r="J3504">
        <f t="shared" si="1485"/>
        <v>25.4</v>
      </c>
      <c r="K3504">
        <f t="shared" si="1486"/>
        <v>28.93</v>
      </c>
      <c r="L3504">
        <f t="shared" si="1487"/>
        <v>27.164999999999999</v>
      </c>
      <c r="M3504">
        <f t="shared" si="1488"/>
        <v>1.7650000000000006</v>
      </c>
      <c r="N3504">
        <f t="shared" si="1477"/>
        <v>3.5300000000000011</v>
      </c>
      <c r="O3504">
        <f t="shared" si="1489"/>
        <v>27.54</v>
      </c>
      <c r="P3504">
        <f t="shared" si="1490"/>
        <v>0.2124645892351274</v>
      </c>
      <c r="Q3504" t="str">
        <f t="shared" si="1478"/>
        <v>7.77% | 5.05%</v>
      </c>
      <c r="R3504" t="str">
        <f t="shared" si="1491"/>
        <v>BULLISH</v>
      </c>
      <c r="S3504">
        <f t="shared" si="1479"/>
        <v>1</v>
      </c>
    </row>
    <row r="3505" spans="1:19" hidden="1" x14ac:dyDescent="0.25">
      <c r="A3505" s="5" t="str">
        <f t="shared" si="1480"/>
        <v>44053COPPER</v>
      </c>
      <c r="B3505" s="6" t="s">
        <v>182</v>
      </c>
      <c r="C3505" s="6">
        <v>2.77</v>
      </c>
      <c r="D3505" s="6">
        <v>2.97</v>
      </c>
      <c r="E3505" s="6">
        <v>2.79</v>
      </c>
      <c r="F3505" t="str">
        <f t="shared" si="1481"/>
        <v>MON</v>
      </c>
      <c r="G3505" s="3">
        <f t="shared" si="1482"/>
        <v>44053</v>
      </c>
      <c r="H3505" s="2">
        <f t="shared" ca="1" si="1483"/>
        <v>200</v>
      </c>
      <c r="I3505" t="str">
        <f t="shared" si="1484"/>
        <v>COPPER</v>
      </c>
      <c r="J3505">
        <f t="shared" si="1485"/>
        <v>2.77</v>
      </c>
      <c r="K3505">
        <f t="shared" si="1486"/>
        <v>2.97</v>
      </c>
      <c r="L3505">
        <f t="shared" si="1487"/>
        <v>2.87</v>
      </c>
      <c r="M3505">
        <f t="shared" si="1488"/>
        <v>0.10000000000000009</v>
      </c>
      <c r="N3505">
        <f t="shared" si="1477"/>
        <v>0.20000000000000018</v>
      </c>
      <c r="O3505">
        <f t="shared" si="1489"/>
        <v>2.79</v>
      </c>
      <c r="P3505">
        <f t="shared" si="1490"/>
        <v>-0.8</v>
      </c>
      <c r="Q3505" t="str">
        <f t="shared" si="1478"/>
        <v>0.72% | 6.45%</v>
      </c>
      <c r="R3505" t="str">
        <f t="shared" si="1491"/>
        <v>BULLISH</v>
      </c>
      <c r="S3505">
        <f t="shared" si="1479"/>
        <v>1</v>
      </c>
    </row>
    <row r="3506" spans="1:19" hidden="1" x14ac:dyDescent="0.25">
      <c r="A3506" s="5" t="str">
        <f t="shared" si="1480"/>
        <v>44053MSFT</v>
      </c>
      <c r="B3506" s="6" t="s">
        <v>183</v>
      </c>
      <c r="C3506" s="6">
        <v>207</v>
      </c>
      <c r="D3506" s="6">
        <v>221</v>
      </c>
      <c r="E3506" s="6">
        <v>212</v>
      </c>
      <c r="F3506" t="str">
        <f t="shared" si="1481"/>
        <v>MON</v>
      </c>
      <c r="G3506" s="3">
        <f t="shared" si="1482"/>
        <v>44053</v>
      </c>
      <c r="H3506" s="2">
        <f t="shared" ca="1" si="1483"/>
        <v>200</v>
      </c>
      <c r="I3506" t="str">
        <f t="shared" si="1484"/>
        <v>MSFT</v>
      </c>
      <c r="J3506">
        <f t="shared" si="1485"/>
        <v>207</v>
      </c>
      <c r="K3506">
        <f t="shared" si="1486"/>
        <v>221</v>
      </c>
      <c r="L3506">
        <f t="shared" si="1487"/>
        <v>214</v>
      </c>
      <c r="M3506">
        <f t="shared" si="1488"/>
        <v>7</v>
      </c>
      <c r="N3506">
        <f t="shared" si="1477"/>
        <v>14</v>
      </c>
      <c r="O3506">
        <f t="shared" si="1489"/>
        <v>212</v>
      </c>
      <c r="P3506">
        <f t="shared" si="1490"/>
        <v>-0.2857142857142857</v>
      </c>
      <c r="Q3506" t="str">
        <f t="shared" si="1478"/>
        <v>2.36% | 4.25%</v>
      </c>
      <c r="R3506" t="str">
        <f t="shared" si="1491"/>
        <v>BULLISH</v>
      </c>
      <c r="S3506">
        <f t="shared" si="1479"/>
        <v>1</v>
      </c>
    </row>
    <row r="3507" spans="1:19" hidden="1" x14ac:dyDescent="0.25">
      <c r="A3507" s="5" t="str">
        <f t="shared" si="1480"/>
        <v>44053AAPL</v>
      </c>
      <c r="B3507" s="6" t="s">
        <v>184</v>
      </c>
      <c r="C3507" s="6">
        <v>419</v>
      </c>
      <c r="D3507" s="6">
        <v>481</v>
      </c>
      <c r="E3507" s="6">
        <v>444</v>
      </c>
      <c r="F3507" t="str">
        <f t="shared" si="1481"/>
        <v>MON</v>
      </c>
      <c r="G3507" s="3">
        <f t="shared" si="1482"/>
        <v>44053</v>
      </c>
      <c r="H3507" s="2">
        <f t="shared" ca="1" si="1483"/>
        <v>200</v>
      </c>
      <c r="I3507" t="str">
        <f t="shared" si="1484"/>
        <v>AAPL</v>
      </c>
      <c r="J3507">
        <f t="shared" si="1485"/>
        <v>419</v>
      </c>
      <c r="K3507">
        <f t="shared" si="1486"/>
        <v>481</v>
      </c>
      <c r="L3507">
        <f t="shared" si="1487"/>
        <v>450</v>
      </c>
      <c r="M3507">
        <f t="shared" si="1488"/>
        <v>31</v>
      </c>
      <c r="N3507">
        <f t="shared" si="1477"/>
        <v>62</v>
      </c>
      <c r="O3507">
        <f t="shared" si="1489"/>
        <v>444</v>
      </c>
      <c r="P3507">
        <f t="shared" si="1490"/>
        <v>-0.19354838709677419</v>
      </c>
      <c r="Q3507" t="str">
        <f t="shared" si="1478"/>
        <v>5.63% | 8.33%</v>
      </c>
      <c r="R3507" t="str">
        <f t="shared" si="1491"/>
        <v>BULLISH</v>
      </c>
      <c r="S3507">
        <f t="shared" si="1479"/>
        <v>1</v>
      </c>
    </row>
    <row r="3508" spans="1:19" hidden="1" x14ac:dyDescent="0.25">
      <c r="A3508" s="5" t="str">
        <f t="shared" si="1480"/>
        <v>44053AMZN</v>
      </c>
      <c r="B3508" s="6" t="s">
        <v>185</v>
      </c>
      <c r="C3508" s="6">
        <v>3032</v>
      </c>
      <c r="D3508" s="6">
        <v>3271</v>
      </c>
      <c r="E3508" s="6">
        <v>3167</v>
      </c>
      <c r="F3508" t="str">
        <f t="shared" si="1481"/>
        <v>MON</v>
      </c>
      <c r="G3508" s="3">
        <f t="shared" si="1482"/>
        <v>44053</v>
      </c>
      <c r="H3508" s="2">
        <f t="shared" ca="1" si="1483"/>
        <v>200</v>
      </c>
      <c r="I3508" t="str">
        <f t="shared" si="1484"/>
        <v>AMZN</v>
      </c>
      <c r="J3508">
        <f t="shared" si="1485"/>
        <v>3032</v>
      </c>
      <c r="K3508">
        <f t="shared" si="1486"/>
        <v>3271</v>
      </c>
      <c r="L3508">
        <f t="shared" si="1487"/>
        <v>3151.5</v>
      </c>
      <c r="M3508">
        <f t="shared" si="1488"/>
        <v>119.5</v>
      </c>
      <c r="N3508">
        <f t="shared" si="1477"/>
        <v>239</v>
      </c>
      <c r="O3508">
        <f t="shared" si="1489"/>
        <v>3167</v>
      </c>
      <c r="P3508">
        <f t="shared" si="1490"/>
        <v>0.1297071129707113</v>
      </c>
      <c r="Q3508" t="str">
        <f t="shared" si="1478"/>
        <v>4.26% | 3.28%</v>
      </c>
      <c r="R3508" t="str">
        <f t="shared" si="1491"/>
        <v>BULLISH</v>
      </c>
      <c r="S3508">
        <f t="shared" si="1479"/>
        <v>1</v>
      </c>
    </row>
    <row r="3509" spans="1:19" hidden="1" x14ac:dyDescent="0.25">
      <c r="A3509" s="5" t="str">
        <f t="shared" si="1480"/>
        <v>44053FB</v>
      </c>
      <c r="B3509" s="6" t="s">
        <v>186</v>
      </c>
      <c r="C3509" s="6">
        <v>243</v>
      </c>
      <c r="D3509" s="6">
        <v>275</v>
      </c>
      <c r="E3509" s="6">
        <v>268</v>
      </c>
      <c r="F3509" t="str">
        <f t="shared" si="1481"/>
        <v>MON</v>
      </c>
      <c r="G3509" s="3">
        <f t="shared" si="1482"/>
        <v>44053</v>
      </c>
      <c r="H3509" s="2">
        <f t="shared" ca="1" si="1483"/>
        <v>200</v>
      </c>
      <c r="I3509" t="str">
        <f t="shared" si="1484"/>
        <v>FB</v>
      </c>
      <c r="J3509">
        <f t="shared" si="1485"/>
        <v>243</v>
      </c>
      <c r="K3509">
        <f t="shared" si="1486"/>
        <v>275</v>
      </c>
      <c r="L3509">
        <f t="shared" si="1487"/>
        <v>259</v>
      </c>
      <c r="M3509">
        <f t="shared" si="1488"/>
        <v>16</v>
      </c>
      <c r="N3509">
        <f t="shared" si="1477"/>
        <v>32</v>
      </c>
      <c r="O3509">
        <f t="shared" si="1489"/>
        <v>268</v>
      </c>
      <c r="P3509">
        <f t="shared" si="1490"/>
        <v>0.5625</v>
      </c>
      <c r="Q3509" t="str">
        <f t="shared" si="1478"/>
        <v>9.33% | 2.61%</v>
      </c>
      <c r="R3509" t="str">
        <f t="shared" si="1491"/>
        <v>BULLISH</v>
      </c>
      <c r="S3509">
        <f t="shared" si="1479"/>
        <v>1</v>
      </c>
    </row>
    <row r="3510" spans="1:19" hidden="1" x14ac:dyDescent="0.25">
      <c r="A3510" s="5" t="str">
        <f t="shared" si="1480"/>
        <v>44053GOOGL</v>
      </c>
      <c r="B3510" s="6" t="s">
        <v>187</v>
      </c>
      <c r="C3510" s="6">
        <v>1456</v>
      </c>
      <c r="D3510" s="6">
        <v>1540</v>
      </c>
      <c r="E3510" s="6">
        <v>1498</v>
      </c>
      <c r="F3510" t="str">
        <f t="shared" si="1481"/>
        <v>MON</v>
      </c>
      <c r="G3510" s="3">
        <f t="shared" si="1482"/>
        <v>44053</v>
      </c>
      <c r="H3510" s="2">
        <f t="shared" ca="1" si="1483"/>
        <v>200</v>
      </c>
      <c r="I3510" t="str">
        <f t="shared" si="1484"/>
        <v>GOOGL</v>
      </c>
      <c r="J3510">
        <f t="shared" si="1485"/>
        <v>1456</v>
      </c>
      <c r="K3510">
        <f t="shared" si="1486"/>
        <v>1540</v>
      </c>
      <c r="L3510">
        <f t="shared" si="1487"/>
        <v>1498</v>
      </c>
      <c r="M3510">
        <f t="shared" si="1488"/>
        <v>42</v>
      </c>
      <c r="N3510">
        <f t="shared" si="1477"/>
        <v>84</v>
      </c>
      <c r="O3510">
        <f t="shared" si="1489"/>
        <v>1498</v>
      </c>
      <c r="P3510">
        <f t="shared" si="1490"/>
        <v>0</v>
      </c>
      <c r="Q3510" t="str">
        <f t="shared" si="1478"/>
        <v>2.8% | 2.8%</v>
      </c>
      <c r="R3510" t="str">
        <f t="shared" si="1491"/>
        <v>BULLISH</v>
      </c>
      <c r="S3510">
        <f t="shared" si="1479"/>
        <v>1</v>
      </c>
    </row>
    <row r="3511" spans="1:19" hidden="1" x14ac:dyDescent="0.25">
      <c r="A3511" s="5" t="str">
        <f t="shared" si="1480"/>
        <v>44053NFLX</v>
      </c>
      <c r="B3511" s="6" t="s">
        <v>194</v>
      </c>
      <c r="C3511" s="6">
        <v>476</v>
      </c>
      <c r="D3511" s="6">
        <v>515</v>
      </c>
      <c r="E3511" s="6">
        <v>494</v>
      </c>
      <c r="F3511" t="str">
        <f t="shared" si="1481"/>
        <v>MON</v>
      </c>
      <c r="G3511" s="3">
        <f t="shared" si="1482"/>
        <v>44053</v>
      </c>
      <c r="H3511" s="2">
        <f t="shared" ca="1" si="1483"/>
        <v>200</v>
      </c>
      <c r="I3511" t="str">
        <f t="shared" si="1484"/>
        <v>NFLX</v>
      </c>
      <c r="J3511">
        <f t="shared" si="1485"/>
        <v>476</v>
      </c>
      <c r="K3511">
        <f t="shared" si="1486"/>
        <v>515</v>
      </c>
      <c r="L3511">
        <f t="shared" si="1487"/>
        <v>495.5</v>
      </c>
      <c r="M3511">
        <f t="shared" si="1488"/>
        <v>19.5</v>
      </c>
      <c r="N3511">
        <f t="shared" si="1477"/>
        <v>39</v>
      </c>
      <c r="O3511">
        <f t="shared" si="1489"/>
        <v>494</v>
      </c>
      <c r="P3511">
        <f t="shared" si="1490"/>
        <v>-7.6923076923076927E-2</v>
      </c>
      <c r="Q3511" t="str">
        <f t="shared" si="1478"/>
        <v>3.64% | 4.25%</v>
      </c>
      <c r="R3511" t="str">
        <f t="shared" si="1491"/>
        <v>BULLISH</v>
      </c>
      <c r="S3511">
        <f t="shared" si="1479"/>
        <v>1</v>
      </c>
    </row>
    <row r="3512" spans="1:19" x14ac:dyDescent="0.25">
      <c r="A3512" s="5" t="str">
        <f t="shared" si="1480"/>
        <v>44053TSLA</v>
      </c>
      <c r="B3512" s="6" t="s">
        <v>189</v>
      </c>
      <c r="C3512" s="6">
        <v>1406</v>
      </c>
      <c r="D3512" s="6">
        <v>1520</v>
      </c>
      <c r="E3512" s="6">
        <v>1452</v>
      </c>
      <c r="F3512" t="str">
        <f t="shared" si="1481"/>
        <v>MON</v>
      </c>
      <c r="G3512" s="3">
        <f t="shared" si="1482"/>
        <v>44053</v>
      </c>
      <c r="H3512" s="2">
        <f t="shared" ca="1" si="1483"/>
        <v>200</v>
      </c>
      <c r="I3512" t="str">
        <f t="shared" si="1484"/>
        <v>TSLA</v>
      </c>
      <c r="J3512">
        <f t="shared" si="1485"/>
        <v>1406</v>
      </c>
      <c r="K3512">
        <f t="shared" si="1486"/>
        <v>1520</v>
      </c>
      <c r="L3512">
        <f t="shared" si="1487"/>
        <v>1463</v>
      </c>
      <c r="M3512">
        <f t="shared" si="1488"/>
        <v>57</v>
      </c>
      <c r="N3512">
        <f t="shared" si="1477"/>
        <v>114</v>
      </c>
      <c r="O3512">
        <f t="shared" si="1489"/>
        <v>1452</v>
      </c>
      <c r="P3512">
        <f t="shared" si="1490"/>
        <v>-0.19298245614035087</v>
      </c>
      <c r="Q3512" t="str">
        <f t="shared" si="1478"/>
        <v>3.17% | 4.68%</v>
      </c>
      <c r="R3512" t="str">
        <f t="shared" si="1491"/>
        <v>BULLISH</v>
      </c>
      <c r="S3512">
        <f t="shared" si="1479"/>
        <v>1</v>
      </c>
    </row>
    <row r="3513" spans="1:19" hidden="1" x14ac:dyDescent="0.25">
      <c r="A3513" s="5" t="str">
        <f t="shared" si="1480"/>
        <v>44053NYXBT</v>
      </c>
      <c r="B3513" s="6" t="s">
        <v>190</v>
      </c>
      <c r="C3513" s="6">
        <v>10817</v>
      </c>
      <c r="D3513" s="6">
        <v>11997</v>
      </c>
      <c r="E3513" s="6">
        <v>11630</v>
      </c>
      <c r="F3513" t="str">
        <f t="shared" si="1481"/>
        <v>MON</v>
      </c>
      <c r="G3513" s="3">
        <f t="shared" si="1482"/>
        <v>44053</v>
      </c>
      <c r="H3513" s="2">
        <f t="shared" ca="1" si="1483"/>
        <v>200</v>
      </c>
      <c r="I3513" t="str">
        <f t="shared" si="1484"/>
        <v>NYXBT</v>
      </c>
      <c r="J3513">
        <f t="shared" si="1485"/>
        <v>10817</v>
      </c>
      <c r="K3513">
        <f t="shared" si="1486"/>
        <v>11997</v>
      </c>
      <c r="L3513">
        <f t="shared" si="1487"/>
        <v>11407</v>
      </c>
      <c r="M3513">
        <f t="shared" si="1488"/>
        <v>590</v>
      </c>
      <c r="N3513">
        <f t="shared" si="1477"/>
        <v>1180</v>
      </c>
      <c r="O3513">
        <f t="shared" si="1489"/>
        <v>11630</v>
      </c>
      <c r="P3513">
        <f t="shared" si="1490"/>
        <v>0.37796610169491524</v>
      </c>
      <c r="Q3513" t="str">
        <f t="shared" si="1478"/>
        <v>6.99% | 3.16%</v>
      </c>
      <c r="R3513" t="str">
        <f t="shared" si="1491"/>
        <v>BULLISH</v>
      </c>
      <c r="S3513">
        <f t="shared" si="1479"/>
        <v>1</v>
      </c>
    </row>
    <row r="3514" spans="1:19" hidden="1" x14ac:dyDescent="0.25">
      <c r="A3514" s="5" t="str">
        <f t="shared" si="1480"/>
        <v>44054UST10Y</v>
      </c>
      <c r="B3514" s="6" t="s">
        <v>4</v>
      </c>
      <c r="C3514" s="6">
        <v>0.62</v>
      </c>
      <c r="D3514" s="6">
        <v>0.51</v>
      </c>
      <c r="E3514" s="6">
        <v>0.59</v>
      </c>
      <c r="F3514" t="str">
        <f t="shared" si="1481"/>
        <v>TUE</v>
      </c>
      <c r="G3514" s="1">
        <f>DATE(2020,8,11)</f>
        <v>44054</v>
      </c>
      <c r="H3514" s="2">
        <f t="shared" ca="1" si="1483"/>
        <v>199</v>
      </c>
      <c r="I3514" t="str">
        <f t="shared" si="1484"/>
        <v>UST10Y</v>
      </c>
      <c r="J3514">
        <f t="shared" si="1485"/>
        <v>0.62</v>
      </c>
      <c r="K3514">
        <f t="shared" si="1486"/>
        <v>0.51</v>
      </c>
      <c r="L3514">
        <f t="shared" si="1487"/>
        <v>0.56499999999999995</v>
      </c>
      <c r="M3514">
        <f t="shared" si="1488"/>
        <v>5.4999999999999993E-2</v>
      </c>
      <c r="N3514">
        <f t="shared" si="1477"/>
        <v>0.10999999999999999</v>
      </c>
      <c r="O3514">
        <f t="shared" si="1489"/>
        <v>0.59</v>
      </c>
      <c r="P3514">
        <f t="shared" si="1490"/>
        <v>0.45454545454545503</v>
      </c>
      <c r="Q3514" t="str">
        <f t="shared" si="1478"/>
        <v>5.08% | 13.56%</v>
      </c>
      <c r="R3514" t="str">
        <f t="shared" si="1491"/>
        <v>BEARISH</v>
      </c>
      <c r="S3514">
        <f t="shared" si="1479"/>
        <v>-1</v>
      </c>
    </row>
    <row r="3515" spans="1:19" hidden="1" x14ac:dyDescent="0.25">
      <c r="A3515" s="5" t="str">
        <f t="shared" si="1480"/>
        <v>44054UST2Y</v>
      </c>
      <c r="B3515" s="6" t="s">
        <v>5</v>
      </c>
      <c r="C3515" s="6">
        <v>0.14000000000000001</v>
      </c>
      <c r="D3515" s="6">
        <v>0.09</v>
      </c>
      <c r="E3515" s="6">
        <v>0.14000000000000001</v>
      </c>
      <c r="F3515" t="str">
        <f t="shared" ref="F3515:F3545" si="1492">UPPER(TEXT(G3515,"ddd"))</f>
        <v>TUE</v>
      </c>
      <c r="G3515" s="1">
        <f t="shared" ref="G3515:G3544" si="1493">DATE(2020,8,11)</f>
        <v>44054</v>
      </c>
      <c r="H3515" s="2">
        <f t="shared" ref="H3515:H3545" ca="1" si="1494">TODAY()-G3515</f>
        <v>199</v>
      </c>
      <c r="I3515" t="str">
        <f t="shared" ref="I3515:I3545" si="1495">TRIM(LEFT(B3515,FIND(" ",B3515,1)))</f>
        <v>UST2Y</v>
      </c>
      <c r="J3515">
        <f t="shared" ref="J3515:J3545" si="1496">C3515</f>
        <v>0.14000000000000001</v>
      </c>
      <c r="K3515">
        <f t="shared" ref="K3515:K3545" si="1497">D3515</f>
        <v>0.09</v>
      </c>
      <c r="L3515">
        <f t="shared" ref="L3515:L3545" si="1498">AVERAGE(J3515:K3515)</f>
        <v>0.115</v>
      </c>
      <c r="M3515">
        <f t="shared" ref="M3515:M3545" si="1499">_xlfn.STDEV.P(J3515:K3515)</f>
        <v>2.5000000000000012E-2</v>
      </c>
      <c r="N3515">
        <f t="shared" si="1477"/>
        <v>5.0000000000000017E-2</v>
      </c>
      <c r="O3515">
        <f t="shared" ref="O3515:O3545" si="1500">E3515</f>
        <v>0.14000000000000001</v>
      </c>
      <c r="P3515">
        <f t="shared" ref="P3515:P3545" si="1501">(O3515-L3515)/M3515</f>
        <v>0.99999999999999989</v>
      </c>
      <c r="Q3515" t="str">
        <f t="shared" si="1478"/>
        <v>0% | 35.71%</v>
      </c>
      <c r="R3515" t="str">
        <f t="shared" ref="R3515:R3545" si="1502">MID(B3515,FIND("(",B3515,1)+1,FIND(")",B3515,1)-FIND("(",B3515,1)-1)</f>
        <v>BEARISH</v>
      </c>
      <c r="S3515">
        <f t="shared" si="1479"/>
        <v>-1</v>
      </c>
    </row>
    <row r="3516" spans="1:19" hidden="1" x14ac:dyDescent="0.25">
      <c r="A3516" s="5" t="str">
        <f t="shared" si="1480"/>
        <v>44054SPX</v>
      </c>
      <c r="B3516" s="6" t="s">
        <v>93</v>
      </c>
      <c r="C3516" s="6">
        <v>3225</v>
      </c>
      <c r="D3516" s="6">
        <v>3386</v>
      </c>
      <c r="E3516" s="6">
        <v>3360</v>
      </c>
      <c r="F3516" t="str">
        <f t="shared" si="1492"/>
        <v>TUE</v>
      </c>
      <c r="G3516" s="1">
        <f t="shared" si="1493"/>
        <v>44054</v>
      </c>
      <c r="H3516" s="2">
        <f t="shared" ca="1" si="1494"/>
        <v>199</v>
      </c>
      <c r="I3516" t="str">
        <f t="shared" si="1495"/>
        <v>SPX</v>
      </c>
      <c r="J3516">
        <f t="shared" si="1496"/>
        <v>3225</v>
      </c>
      <c r="K3516">
        <f t="shared" si="1497"/>
        <v>3386</v>
      </c>
      <c r="L3516">
        <f t="shared" si="1498"/>
        <v>3305.5</v>
      </c>
      <c r="M3516">
        <f t="shared" si="1499"/>
        <v>80.5</v>
      </c>
      <c r="N3516">
        <f t="shared" si="1477"/>
        <v>161</v>
      </c>
      <c r="O3516">
        <f t="shared" si="1500"/>
        <v>3360</v>
      </c>
      <c r="P3516">
        <f t="shared" si="1501"/>
        <v>0.67701863354037262</v>
      </c>
      <c r="Q3516" t="str">
        <f t="shared" si="1478"/>
        <v>4.02% | 0.77%</v>
      </c>
      <c r="R3516" t="str">
        <f t="shared" si="1502"/>
        <v>BULLISH</v>
      </c>
      <c r="S3516">
        <f t="shared" si="1479"/>
        <v>1</v>
      </c>
    </row>
    <row r="3517" spans="1:19" hidden="1" x14ac:dyDescent="0.25">
      <c r="A3517" s="5" t="str">
        <f t="shared" si="1480"/>
        <v>44054RUT</v>
      </c>
      <c r="B3517" s="6" t="s">
        <v>7</v>
      </c>
      <c r="C3517" s="6">
        <v>1447</v>
      </c>
      <c r="D3517" s="6">
        <v>1595</v>
      </c>
      <c r="E3517" s="6">
        <v>1584</v>
      </c>
      <c r="F3517" t="str">
        <f t="shared" si="1492"/>
        <v>TUE</v>
      </c>
      <c r="G3517" s="1">
        <f t="shared" si="1493"/>
        <v>44054</v>
      </c>
      <c r="H3517" s="2">
        <f t="shared" ca="1" si="1494"/>
        <v>199</v>
      </c>
      <c r="I3517" t="str">
        <f t="shared" si="1495"/>
        <v>RUT</v>
      </c>
      <c r="J3517">
        <f t="shared" si="1496"/>
        <v>1447</v>
      </c>
      <c r="K3517">
        <f t="shared" si="1497"/>
        <v>1595</v>
      </c>
      <c r="L3517">
        <f t="shared" si="1498"/>
        <v>1521</v>
      </c>
      <c r="M3517">
        <f t="shared" si="1499"/>
        <v>74</v>
      </c>
      <c r="N3517">
        <f t="shared" si="1477"/>
        <v>148</v>
      </c>
      <c r="O3517">
        <f t="shared" si="1500"/>
        <v>1584</v>
      </c>
      <c r="P3517">
        <f t="shared" si="1501"/>
        <v>0.85135135135135132</v>
      </c>
      <c r="Q3517" t="str">
        <f t="shared" si="1478"/>
        <v>8.65% | 0.69%</v>
      </c>
      <c r="R3517" t="str">
        <f t="shared" si="1502"/>
        <v>BEARISH</v>
      </c>
      <c r="S3517">
        <f t="shared" si="1479"/>
        <v>-1</v>
      </c>
    </row>
    <row r="3518" spans="1:19" hidden="1" x14ac:dyDescent="0.25">
      <c r="A3518" s="5" t="str">
        <f t="shared" si="1480"/>
        <v>44054COMPQ</v>
      </c>
      <c r="B3518" s="6" t="s">
        <v>8</v>
      </c>
      <c r="C3518" s="6">
        <v>10491</v>
      </c>
      <c r="D3518" s="6">
        <v>11241</v>
      </c>
      <c r="E3518" s="6">
        <v>10968</v>
      </c>
      <c r="F3518" t="str">
        <f t="shared" si="1492"/>
        <v>TUE</v>
      </c>
      <c r="G3518" s="1">
        <f t="shared" si="1493"/>
        <v>44054</v>
      </c>
      <c r="H3518" s="2">
        <f t="shared" ca="1" si="1494"/>
        <v>199</v>
      </c>
      <c r="I3518" t="str">
        <f t="shared" si="1495"/>
        <v>COMPQ</v>
      </c>
      <c r="J3518">
        <f t="shared" si="1496"/>
        <v>10491</v>
      </c>
      <c r="K3518">
        <f t="shared" si="1497"/>
        <v>11241</v>
      </c>
      <c r="L3518">
        <f t="shared" si="1498"/>
        <v>10866</v>
      </c>
      <c r="M3518">
        <f t="shared" si="1499"/>
        <v>375</v>
      </c>
      <c r="N3518">
        <f t="shared" si="1477"/>
        <v>750</v>
      </c>
      <c r="O3518">
        <f t="shared" si="1500"/>
        <v>10968</v>
      </c>
      <c r="P3518">
        <f t="shared" si="1501"/>
        <v>0.27200000000000002</v>
      </c>
      <c r="Q3518" t="str">
        <f t="shared" si="1478"/>
        <v>4.35% | 2.49%</v>
      </c>
      <c r="R3518" t="str">
        <f t="shared" si="1502"/>
        <v>BULLISH</v>
      </c>
      <c r="S3518">
        <f t="shared" si="1479"/>
        <v>1</v>
      </c>
    </row>
    <row r="3519" spans="1:19" hidden="1" x14ac:dyDescent="0.25">
      <c r="A3519" s="5" t="str">
        <f t="shared" si="1480"/>
        <v>44054XLK</v>
      </c>
      <c r="B3519" s="6" t="s">
        <v>10</v>
      </c>
      <c r="C3519" s="6">
        <v>108.42</v>
      </c>
      <c r="D3519" s="6">
        <v>117.64</v>
      </c>
      <c r="E3519" s="6">
        <v>113.42</v>
      </c>
      <c r="F3519" t="str">
        <f t="shared" si="1492"/>
        <v>TUE</v>
      </c>
      <c r="G3519" s="1">
        <f t="shared" si="1493"/>
        <v>44054</v>
      </c>
      <c r="H3519" s="2">
        <f t="shared" ca="1" si="1494"/>
        <v>199</v>
      </c>
      <c r="I3519" t="str">
        <f t="shared" si="1495"/>
        <v>XLK</v>
      </c>
      <c r="J3519">
        <f t="shared" si="1496"/>
        <v>108.42</v>
      </c>
      <c r="K3519">
        <f t="shared" si="1497"/>
        <v>117.64</v>
      </c>
      <c r="L3519">
        <f t="shared" si="1498"/>
        <v>113.03</v>
      </c>
      <c r="M3519">
        <f t="shared" si="1499"/>
        <v>4.6099999999999994</v>
      </c>
      <c r="N3519">
        <f t="shared" si="1477"/>
        <v>9.2199999999999989</v>
      </c>
      <c r="O3519">
        <f t="shared" si="1500"/>
        <v>113.42</v>
      </c>
      <c r="P3519">
        <f t="shared" si="1501"/>
        <v>8.4598698481561957E-2</v>
      </c>
      <c r="Q3519" t="str">
        <f t="shared" si="1478"/>
        <v>4.41% | 3.72%</v>
      </c>
      <c r="R3519" t="str">
        <f t="shared" si="1502"/>
        <v>BULLISH</v>
      </c>
      <c r="S3519">
        <f t="shared" si="1479"/>
        <v>1</v>
      </c>
    </row>
    <row r="3520" spans="1:19" hidden="1" x14ac:dyDescent="0.25">
      <c r="A3520" s="5" t="str">
        <f t="shared" si="1480"/>
        <v>44054XLRE</v>
      </c>
      <c r="B3520" s="6" t="s">
        <v>97</v>
      </c>
      <c r="C3520" s="6">
        <v>35.270000000000003</v>
      </c>
      <c r="D3520" s="6">
        <v>37.07</v>
      </c>
      <c r="E3520" s="6">
        <v>36.44</v>
      </c>
      <c r="F3520" t="str">
        <f t="shared" si="1492"/>
        <v>TUE</v>
      </c>
      <c r="G3520" s="1">
        <f t="shared" si="1493"/>
        <v>44054</v>
      </c>
      <c r="H3520" s="2">
        <f t="shared" ca="1" si="1494"/>
        <v>199</v>
      </c>
      <c r="I3520" t="str">
        <f t="shared" si="1495"/>
        <v>XLRE</v>
      </c>
      <c r="J3520">
        <f t="shared" si="1496"/>
        <v>35.270000000000003</v>
      </c>
      <c r="K3520">
        <f t="shared" si="1497"/>
        <v>37.07</v>
      </c>
      <c r="L3520">
        <f t="shared" si="1498"/>
        <v>36.17</v>
      </c>
      <c r="M3520">
        <f t="shared" si="1499"/>
        <v>0.89999999999999858</v>
      </c>
      <c r="N3520">
        <f t="shared" si="1477"/>
        <v>1.7999999999999972</v>
      </c>
      <c r="O3520">
        <f t="shared" si="1500"/>
        <v>36.44</v>
      </c>
      <c r="P3520">
        <f t="shared" si="1501"/>
        <v>0.29999999999999605</v>
      </c>
      <c r="Q3520" t="str">
        <f t="shared" si="1478"/>
        <v>3.21% | 1.73%</v>
      </c>
      <c r="R3520" t="str">
        <f t="shared" si="1502"/>
        <v>BULLISH</v>
      </c>
      <c r="S3520">
        <f t="shared" si="1479"/>
        <v>1</v>
      </c>
    </row>
    <row r="3521" spans="1:19" hidden="1" x14ac:dyDescent="0.25">
      <c r="A3521" s="5" t="str">
        <f t="shared" si="1480"/>
        <v>44054XLU</v>
      </c>
      <c r="B3521" s="6" t="s">
        <v>52</v>
      </c>
      <c r="C3521" s="6">
        <v>59.66</v>
      </c>
      <c r="D3521" s="6">
        <v>61.79</v>
      </c>
      <c r="E3521" s="6">
        <v>61.47</v>
      </c>
      <c r="F3521" t="str">
        <f t="shared" si="1492"/>
        <v>TUE</v>
      </c>
      <c r="G3521" s="1">
        <f t="shared" si="1493"/>
        <v>44054</v>
      </c>
      <c r="H3521" s="2">
        <f t="shared" ca="1" si="1494"/>
        <v>199</v>
      </c>
      <c r="I3521" t="str">
        <f t="shared" si="1495"/>
        <v>XLU</v>
      </c>
      <c r="J3521">
        <f t="shared" si="1496"/>
        <v>59.66</v>
      </c>
      <c r="K3521">
        <f t="shared" si="1497"/>
        <v>61.79</v>
      </c>
      <c r="L3521">
        <f t="shared" si="1498"/>
        <v>60.724999999999994</v>
      </c>
      <c r="M3521">
        <f t="shared" si="1499"/>
        <v>1.0650000000000013</v>
      </c>
      <c r="N3521">
        <f t="shared" si="1477"/>
        <v>2.1300000000000026</v>
      </c>
      <c r="O3521">
        <f t="shared" si="1500"/>
        <v>61.47</v>
      </c>
      <c r="P3521">
        <f t="shared" si="1501"/>
        <v>0.69953051643192832</v>
      </c>
      <c r="Q3521" t="str">
        <f t="shared" si="1478"/>
        <v>2.94% | 0.52%</v>
      </c>
      <c r="R3521" t="str">
        <f t="shared" si="1502"/>
        <v>BULLISH</v>
      </c>
      <c r="S3521">
        <f t="shared" si="1479"/>
        <v>1</v>
      </c>
    </row>
    <row r="3522" spans="1:19" hidden="1" x14ac:dyDescent="0.25">
      <c r="A3522" s="5" t="str">
        <f t="shared" si="1480"/>
        <v>44054XLF</v>
      </c>
      <c r="B3522" s="6" t="s">
        <v>12</v>
      </c>
      <c r="C3522" s="6">
        <v>23.45</v>
      </c>
      <c r="D3522" s="6">
        <v>25.27</v>
      </c>
      <c r="E3522" s="6">
        <v>25.02</v>
      </c>
      <c r="F3522" t="str">
        <f t="shared" si="1492"/>
        <v>TUE</v>
      </c>
      <c r="G3522" s="1">
        <f t="shared" si="1493"/>
        <v>44054</v>
      </c>
      <c r="H3522" s="2">
        <f t="shared" ca="1" si="1494"/>
        <v>199</v>
      </c>
      <c r="I3522" t="str">
        <f t="shared" si="1495"/>
        <v>XLF</v>
      </c>
      <c r="J3522">
        <f t="shared" si="1496"/>
        <v>23.45</v>
      </c>
      <c r="K3522">
        <f t="shared" si="1497"/>
        <v>25.27</v>
      </c>
      <c r="L3522">
        <f t="shared" si="1498"/>
        <v>24.36</v>
      </c>
      <c r="M3522">
        <f t="shared" si="1499"/>
        <v>0.91000000000000014</v>
      </c>
      <c r="N3522">
        <f t="shared" si="1477"/>
        <v>1.8200000000000003</v>
      </c>
      <c r="O3522">
        <f t="shared" si="1500"/>
        <v>25.02</v>
      </c>
      <c r="P3522">
        <f t="shared" si="1501"/>
        <v>0.72527472527472536</v>
      </c>
      <c r="Q3522" t="str">
        <f t="shared" si="1478"/>
        <v>6.27% | 1%</v>
      </c>
      <c r="R3522" t="str">
        <f t="shared" si="1502"/>
        <v>BEARISH</v>
      </c>
      <c r="S3522">
        <f t="shared" si="1479"/>
        <v>-1</v>
      </c>
    </row>
    <row r="3523" spans="1:19" hidden="1" x14ac:dyDescent="0.25">
      <c r="A3523" s="5" t="str">
        <f t="shared" si="1480"/>
        <v>44054SSEC</v>
      </c>
      <c r="B3523" s="6" t="s">
        <v>104</v>
      </c>
      <c r="C3523" s="6">
        <v>3263</v>
      </c>
      <c r="D3523" s="6">
        <v>3423</v>
      </c>
      <c r="E3523" s="6">
        <v>3340</v>
      </c>
      <c r="F3523" t="str">
        <f t="shared" si="1492"/>
        <v>TUE</v>
      </c>
      <c r="G3523" s="1">
        <f t="shared" si="1493"/>
        <v>44054</v>
      </c>
      <c r="H3523" s="2">
        <f t="shared" ca="1" si="1494"/>
        <v>199</v>
      </c>
      <c r="I3523" t="str">
        <f t="shared" si="1495"/>
        <v>SSEC</v>
      </c>
      <c r="J3523">
        <f t="shared" si="1496"/>
        <v>3263</v>
      </c>
      <c r="K3523">
        <f t="shared" si="1497"/>
        <v>3423</v>
      </c>
      <c r="L3523">
        <f t="shared" si="1498"/>
        <v>3343</v>
      </c>
      <c r="M3523">
        <f t="shared" si="1499"/>
        <v>80</v>
      </c>
      <c r="N3523">
        <f t="shared" ref="N3523:N3586" si="1503">ABS(K3523-J3523)</f>
        <v>160</v>
      </c>
      <c r="O3523">
        <f t="shared" si="1500"/>
        <v>3340</v>
      </c>
      <c r="P3523">
        <f t="shared" si="1501"/>
        <v>-3.7499999999999999E-2</v>
      </c>
      <c r="Q3523" t="str">
        <f t="shared" ref="Q3523:Q3586" si="1504">ROUND(ABS(100*(O3523-J3523)/O3523),2)&amp;"% | "&amp;ROUND(ABS(100*(K3523-O3523)/O3523),2)&amp;"%"</f>
        <v>2.31% | 2.49%</v>
      </c>
      <c r="R3523" t="str">
        <f t="shared" si="1502"/>
        <v>BULLISH</v>
      </c>
      <c r="S3523">
        <f t="shared" ref="S3523:S3586" si="1505">IF(R3523="BEARISH",-1,IF(R3523="NEUTRAL",0,IF(R3523="BULLISH",1,99)))</f>
        <v>1</v>
      </c>
    </row>
    <row r="3524" spans="1:19" hidden="1" x14ac:dyDescent="0.25">
      <c r="A3524" s="5" t="str">
        <f t="shared" si="1480"/>
        <v>44054NIKK</v>
      </c>
      <c r="B3524" s="6" t="s">
        <v>90</v>
      </c>
      <c r="C3524" s="6">
        <v>21816</v>
      </c>
      <c r="D3524" s="6">
        <v>22890</v>
      </c>
      <c r="E3524" s="6">
        <v>22750</v>
      </c>
      <c r="F3524" t="str">
        <f t="shared" si="1492"/>
        <v>TUE</v>
      </c>
      <c r="G3524" s="1">
        <f t="shared" si="1493"/>
        <v>44054</v>
      </c>
      <c r="H3524" s="2">
        <f t="shared" ca="1" si="1494"/>
        <v>199</v>
      </c>
      <c r="I3524" t="str">
        <f t="shared" si="1495"/>
        <v>NIKK</v>
      </c>
      <c r="J3524">
        <f t="shared" si="1496"/>
        <v>21816</v>
      </c>
      <c r="K3524">
        <f t="shared" si="1497"/>
        <v>22890</v>
      </c>
      <c r="L3524">
        <f t="shared" si="1498"/>
        <v>22353</v>
      </c>
      <c r="M3524">
        <f t="shared" si="1499"/>
        <v>537</v>
      </c>
      <c r="N3524">
        <f t="shared" si="1503"/>
        <v>1074</v>
      </c>
      <c r="O3524">
        <f t="shared" si="1500"/>
        <v>22750</v>
      </c>
      <c r="P3524">
        <f t="shared" si="1501"/>
        <v>0.73929236499068907</v>
      </c>
      <c r="Q3524" t="str">
        <f t="shared" si="1504"/>
        <v>4.11% | 0.62%</v>
      </c>
      <c r="R3524" t="str">
        <f t="shared" si="1502"/>
        <v>NEUTRAL</v>
      </c>
      <c r="S3524">
        <f t="shared" si="1505"/>
        <v>0</v>
      </c>
    </row>
    <row r="3525" spans="1:19" hidden="1" x14ac:dyDescent="0.25">
      <c r="A3525" s="5" t="str">
        <f t="shared" ref="A3525:A3588" si="1506">G3525&amp;I3525</f>
        <v>44054DAX</v>
      </c>
      <c r="B3525" s="6" t="s">
        <v>98</v>
      </c>
      <c r="C3525" s="6">
        <v>12300</v>
      </c>
      <c r="D3525" s="6">
        <v>13053</v>
      </c>
      <c r="E3525" s="6">
        <v>12687</v>
      </c>
      <c r="F3525" t="str">
        <f t="shared" si="1492"/>
        <v>TUE</v>
      </c>
      <c r="G3525" s="1">
        <f t="shared" si="1493"/>
        <v>44054</v>
      </c>
      <c r="H3525" s="2">
        <f t="shared" ca="1" si="1494"/>
        <v>199</v>
      </c>
      <c r="I3525" t="str">
        <f t="shared" si="1495"/>
        <v>DAX</v>
      </c>
      <c r="J3525">
        <f t="shared" si="1496"/>
        <v>12300</v>
      </c>
      <c r="K3525">
        <f t="shared" si="1497"/>
        <v>13053</v>
      </c>
      <c r="L3525">
        <f t="shared" si="1498"/>
        <v>12676.5</v>
      </c>
      <c r="M3525">
        <f t="shared" si="1499"/>
        <v>376.5</v>
      </c>
      <c r="N3525">
        <f t="shared" si="1503"/>
        <v>753</v>
      </c>
      <c r="O3525">
        <f t="shared" si="1500"/>
        <v>12687</v>
      </c>
      <c r="P3525">
        <f t="shared" si="1501"/>
        <v>2.7888446215139442E-2</v>
      </c>
      <c r="Q3525" t="str">
        <f t="shared" si="1504"/>
        <v>3.05% | 2.88%</v>
      </c>
      <c r="R3525" t="str">
        <f t="shared" si="1502"/>
        <v>BULLISH</v>
      </c>
      <c r="S3525">
        <f t="shared" si="1505"/>
        <v>1</v>
      </c>
    </row>
    <row r="3526" spans="1:19" hidden="1" x14ac:dyDescent="0.25">
      <c r="A3526" s="5" t="str">
        <f t="shared" si="1506"/>
        <v>44054VIX</v>
      </c>
      <c r="B3526" s="6" t="s">
        <v>96</v>
      </c>
      <c r="C3526" s="6">
        <v>21.49</v>
      </c>
      <c r="D3526" s="6">
        <v>29.29</v>
      </c>
      <c r="E3526" s="6">
        <v>22.13</v>
      </c>
      <c r="F3526" t="str">
        <f t="shared" si="1492"/>
        <v>TUE</v>
      </c>
      <c r="G3526" s="1">
        <f t="shared" si="1493"/>
        <v>44054</v>
      </c>
      <c r="H3526" s="2">
        <f t="shared" ca="1" si="1494"/>
        <v>199</v>
      </c>
      <c r="I3526" t="str">
        <f t="shared" si="1495"/>
        <v>VIX</v>
      </c>
      <c r="J3526">
        <f t="shared" si="1496"/>
        <v>21.49</v>
      </c>
      <c r="K3526">
        <f t="shared" si="1497"/>
        <v>29.29</v>
      </c>
      <c r="L3526">
        <f t="shared" si="1498"/>
        <v>25.39</v>
      </c>
      <c r="M3526">
        <f t="shared" si="1499"/>
        <v>3.8999999999999901</v>
      </c>
      <c r="N3526">
        <f t="shared" si="1503"/>
        <v>7.8000000000000007</v>
      </c>
      <c r="O3526">
        <f t="shared" si="1500"/>
        <v>22.13</v>
      </c>
      <c r="P3526">
        <f t="shared" si="1501"/>
        <v>-0.83589743589743837</v>
      </c>
      <c r="Q3526" t="str">
        <f t="shared" si="1504"/>
        <v>2.89% | 32.35%</v>
      </c>
      <c r="R3526" t="str">
        <f t="shared" si="1502"/>
        <v>BEARISH</v>
      </c>
      <c r="S3526">
        <f t="shared" si="1505"/>
        <v>-1</v>
      </c>
    </row>
    <row r="3527" spans="1:19" hidden="1" x14ac:dyDescent="0.25">
      <c r="A3527" s="5" t="str">
        <f t="shared" si="1506"/>
        <v>44054USD</v>
      </c>
      <c r="B3527" s="6" t="s">
        <v>94</v>
      </c>
      <c r="C3527" s="6">
        <v>92.51</v>
      </c>
      <c r="D3527" s="6">
        <v>93.93</v>
      </c>
      <c r="E3527" s="6">
        <v>93.59</v>
      </c>
      <c r="F3527" t="str">
        <f t="shared" si="1492"/>
        <v>TUE</v>
      </c>
      <c r="G3527" s="1">
        <f t="shared" si="1493"/>
        <v>44054</v>
      </c>
      <c r="H3527" s="2">
        <f t="shared" ca="1" si="1494"/>
        <v>199</v>
      </c>
      <c r="I3527" t="str">
        <f t="shared" si="1495"/>
        <v>USD</v>
      </c>
      <c r="J3527">
        <f t="shared" si="1496"/>
        <v>92.51</v>
      </c>
      <c r="K3527">
        <f t="shared" si="1497"/>
        <v>93.93</v>
      </c>
      <c r="L3527">
        <f t="shared" si="1498"/>
        <v>93.22</v>
      </c>
      <c r="M3527">
        <f t="shared" si="1499"/>
        <v>0.71000000000000085</v>
      </c>
      <c r="N3527">
        <f t="shared" si="1503"/>
        <v>1.4200000000000017</v>
      </c>
      <c r="O3527">
        <f t="shared" si="1500"/>
        <v>93.59</v>
      </c>
      <c r="P3527">
        <f t="shared" si="1501"/>
        <v>0.52112676056338603</v>
      </c>
      <c r="Q3527" t="str">
        <f t="shared" si="1504"/>
        <v>1.15% | 0.36%</v>
      </c>
      <c r="R3527" t="str">
        <f t="shared" si="1502"/>
        <v>BEARISH</v>
      </c>
      <c r="S3527">
        <f t="shared" si="1505"/>
        <v>-1</v>
      </c>
    </row>
    <row r="3528" spans="1:19" hidden="1" x14ac:dyDescent="0.25">
      <c r="A3528" s="5" t="str">
        <f t="shared" si="1506"/>
        <v>44054EUR/USD</v>
      </c>
      <c r="B3528" s="6" t="s">
        <v>99</v>
      </c>
      <c r="C3528" s="6">
        <v>1.17</v>
      </c>
      <c r="D3528" s="6">
        <v>1.19</v>
      </c>
      <c r="E3528" s="6">
        <v>1.17</v>
      </c>
      <c r="F3528" t="str">
        <f t="shared" si="1492"/>
        <v>TUE</v>
      </c>
      <c r="G3528" s="1">
        <f t="shared" si="1493"/>
        <v>44054</v>
      </c>
      <c r="H3528" s="2">
        <f t="shared" ca="1" si="1494"/>
        <v>199</v>
      </c>
      <c r="I3528" t="str">
        <f t="shared" si="1495"/>
        <v>EUR/USD</v>
      </c>
      <c r="J3528">
        <f t="shared" si="1496"/>
        <v>1.17</v>
      </c>
      <c r="K3528">
        <f t="shared" si="1497"/>
        <v>1.19</v>
      </c>
      <c r="L3528">
        <f t="shared" si="1498"/>
        <v>1.18</v>
      </c>
      <c r="M3528">
        <f t="shared" si="1499"/>
        <v>1.0000000000000009E-2</v>
      </c>
      <c r="N3528">
        <f t="shared" si="1503"/>
        <v>2.0000000000000018E-2</v>
      </c>
      <c r="O3528">
        <f t="shared" si="1500"/>
        <v>1.17</v>
      </c>
      <c r="P3528">
        <f t="shared" si="1501"/>
        <v>-1</v>
      </c>
      <c r="Q3528" t="str">
        <f t="shared" si="1504"/>
        <v>0% | 1.71%</v>
      </c>
      <c r="R3528" t="str">
        <f t="shared" si="1502"/>
        <v>BULLISH</v>
      </c>
      <c r="S3528">
        <f t="shared" si="1505"/>
        <v>1</v>
      </c>
    </row>
    <row r="3529" spans="1:19" hidden="1" x14ac:dyDescent="0.25">
      <c r="A3529" s="5" t="str">
        <f t="shared" si="1506"/>
        <v>44054USD/JPY</v>
      </c>
      <c r="B3529" s="6" t="s">
        <v>20</v>
      </c>
      <c r="C3529" s="6">
        <v>104.42</v>
      </c>
      <c r="D3529" s="6">
        <v>106.56</v>
      </c>
      <c r="E3529" s="6">
        <v>105.94</v>
      </c>
      <c r="F3529" t="str">
        <f t="shared" si="1492"/>
        <v>TUE</v>
      </c>
      <c r="G3529" s="1">
        <f t="shared" si="1493"/>
        <v>44054</v>
      </c>
      <c r="H3529" s="2">
        <f t="shared" ca="1" si="1494"/>
        <v>199</v>
      </c>
      <c r="I3529" t="str">
        <f t="shared" si="1495"/>
        <v>USD/JPY</v>
      </c>
      <c r="J3529">
        <f t="shared" si="1496"/>
        <v>104.42</v>
      </c>
      <c r="K3529">
        <f t="shared" si="1497"/>
        <v>106.56</v>
      </c>
      <c r="L3529">
        <f t="shared" si="1498"/>
        <v>105.49000000000001</v>
      </c>
      <c r="M3529">
        <f t="shared" si="1499"/>
        <v>1.0700000000000003</v>
      </c>
      <c r="N3529">
        <f t="shared" si="1503"/>
        <v>2.1400000000000006</v>
      </c>
      <c r="O3529">
        <f t="shared" si="1500"/>
        <v>105.94</v>
      </c>
      <c r="P3529">
        <f t="shared" si="1501"/>
        <v>0.42056074766354068</v>
      </c>
      <c r="Q3529" t="str">
        <f t="shared" si="1504"/>
        <v>1.43% | 0.59%</v>
      </c>
      <c r="R3529" t="str">
        <f t="shared" si="1502"/>
        <v>BEARISH</v>
      </c>
      <c r="S3529">
        <f t="shared" si="1505"/>
        <v>-1</v>
      </c>
    </row>
    <row r="3530" spans="1:19" hidden="1" x14ac:dyDescent="0.25">
      <c r="A3530" s="5" t="str">
        <f t="shared" si="1506"/>
        <v>44054GBP/USD</v>
      </c>
      <c r="B3530" s="6" t="s">
        <v>102</v>
      </c>
      <c r="C3530" s="6">
        <v>1.3</v>
      </c>
      <c r="D3530" s="6">
        <v>1.32</v>
      </c>
      <c r="E3530" s="6">
        <v>1.3</v>
      </c>
      <c r="F3530" t="str">
        <f t="shared" si="1492"/>
        <v>TUE</v>
      </c>
      <c r="G3530" s="1">
        <f t="shared" si="1493"/>
        <v>44054</v>
      </c>
      <c r="H3530" s="2">
        <f t="shared" ca="1" si="1494"/>
        <v>199</v>
      </c>
      <c r="I3530" t="str">
        <f t="shared" si="1495"/>
        <v>GBP/USD</v>
      </c>
      <c r="J3530">
        <f t="shared" si="1496"/>
        <v>1.3</v>
      </c>
      <c r="K3530">
        <f t="shared" si="1497"/>
        <v>1.32</v>
      </c>
      <c r="L3530">
        <f t="shared" si="1498"/>
        <v>1.31</v>
      </c>
      <c r="M3530">
        <f t="shared" si="1499"/>
        <v>1.0000000000000009E-2</v>
      </c>
      <c r="N3530">
        <f t="shared" si="1503"/>
        <v>2.0000000000000018E-2</v>
      </c>
      <c r="O3530">
        <f t="shared" si="1500"/>
        <v>1.3</v>
      </c>
      <c r="P3530">
        <f t="shared" si="1501"/>
        <v>-1</v>
      </c>
      <c r="Q3530" t="str">
        <f t="shared" si="1504"/>
        <v>0% | 1.54%</v>
      </c>
      <c r="R3530" t="str">
        <f t="shared" si="1502"/>
        <v>BULLISH</v>
      </c>
      <c r="S3530">
        <f t="shared" si="1505"/>
        <v>1</v>
      </c>
    </row>
    <row r="3531" spans="1:19" hidden="1" x14ac:dyDescent="0.25">
      <c r="A3531" s="5" t="str">
        <f t="shared" si="1506"/>
        <v>44054USD/CHF</v>
      </c>
      <c r="B3531" s="6" t="s">
        <v>76</v>
      </c>
      <c r="C3531" s="6">
        <v>0.9</v>
      </c>
      <c r="D3531" s="6">
        <v>0.92</v>
      </c>
      <c r="E3531" s="6">
        <v>0.91</v>
      </c>
      <c r="F3531" t="str">
        <f t="shared" si="1492"/>
        <v>TUE</v>
      </c>
      <c r="G3531" s="1">
        <f t="shared" si="1493"/>
        <v>44054</v>
      </c>
      <c r="H3531" s="2">
        <f t="shared" ca="1" si="1494"/>
        <v>199</v>
      </c>
      <c r="I3531" t="str">
        <f t="shared" si="1495"/>
        <v>USD/CHF</v>
      </c>
      <c r="J3531">
        <f t="shared" si="1496"/>
        <v>0.9</v>
      </c>
      <c r="K3531">
        <f t="shared" si="1497"/>
        <v>0.92</v>
      </c>
      <c r="L3531">
        <f t="shared" si="1498"/>
        <v>0.91</v>
      </c>
      <c r="M3531">
        <f t="shared" si="1499"/>
        <v>1.0000000000000009E-2</v>
      </c>
      <c r="N3531">
        <f t="shared" si="1503"/>
        <v>2.0000000000000018E-2</v>
      </c>
      <c r="O3531">
        <f t="shared" si="1500"/>
        <v>0.91</v>
      </c>
      <c r="P3531">
        <f t="shared" si="1501"/>
        <v>0</v>
      </c>
      <c r="Q3531" t="str">
        <f t="shared" si="1504"/>
        <v>1.1% | 1.1%</v>
      </c>
      <c r="R3531" t="str">
        <f t="shared" si="1502"/>
        <v>BEARISH</v>
      </c>
      <c r="S3531">
        <f t="shared" si="1505"/>
        <v>-1</v>
      </c>
    </row>
    <row r="3532" spans="1:19" hidden="1" x14ac:dyDescent="0.25">
      <c r="A3532" s="5" t="str">
        <f t="shared" si="1506"/>
        <v>44054WTIC</v>
      </c>
      <c r="B3532" s="6" t="s">
        <v>158</v>
      </c>
      <c r="C3532" s="6">
        <v>39.85</v>
      </c>
      <c r="D3532" s="6">
        <v>42.94</v>
      </c>
      <c r="E3532" s="6">
        <v>41.94</v>
      </c>
      <c r="F3532" t="str">
        <f t="shared" si="1492"/>
        <v>TUE</v>
      </c>
      <c r="G3532" s="1">
        <f t="shared" si="1493"/>
        <v>44054</v>
      </c>
      <c r="H3532" s="2">
        <f t="shared" ca="1" si="1494"/>
        <v>199</v>
      </c>
      <c r="I3532" t="str">
        <f t="shared" si="1495"/>
        <v>WTIC</v>
      </c>
      <c r="J3532">
        <f t="shared" si="1496"/>
        <v>39.85</v>
      </c>
      <c r="K3532">
        <f t="shared" si="1497"/>
        <v>42.94</v>
      </c>
      <c r="L3532">
        <f t="shared" si="1498"/>
        <v>41.394999999999996</v>
      </c>
      <c r="M3532">
        <f t="shared" si="1499"/>
        <v>1.5449999999999982</v>
      </c>
      <c r="N3532">
        <f t="shared" si="1503"/>
        <v>3.0899999999999963</v>
      </c>
      <c r="O3532">
        <f t="shared" si="1500"/>
        <v>41.94</v>
      </c>
      <c r="P3532">
        <f t="shared" si="1501"/>
        <v>0.3527508090614902</v>
      </c>
      <c r="Q3532" t="str">
        <f t="shared" si="1504"/>
        <v>4.98% | 2.38%</v>
      </c>
      <c r="R3532" t="str">
        <f t="shared" si="1502"/>
        <v>BULLISH</v>
      </c>
      <c r="S3532">
        <f t="shared" si="1505"/>
        <v>1</v>
      </c>
    </row>
    <row r="3533" spans="1:19" hidden="1" x14ac:dyDescent="0.25">
      <c r="A3533" s="5" t="str">
        <f t="shared" si="1506"/>
        <v>44054NATGAS</v>
      </c>
      <c r="B3533" s="6" t="s">
        <v>89</v>
      </c>
      <c r="C3533" s="6">
        <v>1.85</v>
      </c>
      <c r="D3533" s="6">
        <v>2.4</v>
      </c>
      <c r="E3533" s="6">
        <v>2.15</v>
      </c>
      <c r="F3533" t="str">
        <f t="shared" si="1492"/>
        <v>TUE</v>
      </c>
      <c r="G3533" s="1">
        <f t="shared" si="1493"/>
        <v>44054</v>
      </c>
      <c r="H3533" s="2">
        <f t="shared" ca="1" si="1494"/>
        <v>199</v>
      </c>
      <c r="I3533" t="str">
        <f t="shared" si="1495"/>
        <v>NATGAS</v>
      </c>
      <c r="J3533">
        <f t="shared" si="1496"/>
        <v>1.85</v>
      </c>
      <c r="K3533">
        <f t="shared" si="1497"/>
        <v>2.4</v>
      </c>
      <c r="L3533">
        <f t="shared" si="1498"/>
        <v>2.125</v>
      </c>
      <c r="M3533">
        <f t="shared" si="1499"/>
        <v>0.27500000000000091</v>
      </c>
      <c r="N3533">
        <f t="shared" si="1503"/>
        <v>0.54999999999999982</v>
      </c>
      <c r="O3533">
        <f t="shared" si="1500"/>
        <v>2.15</v>
      </c>
      <c r="P3533">
        <f t="shared" si="1501"/>
        <v>9.0909090909090287E-2</v>
      </c>
      <c r="Q3533" t="str">
        <f t="shared" si="1504"/>
        <v>13.95% | 11.63%</v>
      </c>
      <c r="R3533" t="str">
        <f t="shared" si="1502"/>
        <v>BULLISH</v>
      </c>
      <c r="S3533">
        <f t="shared" si="1505"/>
        <v>1</v>
      </c>
    </row>
    <row r="3534" spans="1:19" hidden="1" x14ac:dyDescent="0.25">
      <c r="A3534" s="5" t="str">
        <f t="shared" si="1506"/>
        <v>44054GOLD</v>
      </c>
      <c r="B3534" s="6" t="s">
        <v>25</v>
      </c>
      <c r="C3534" s="6">
        <v>1977</v>
      </c>
      <c r="D3534" s="6">
        <v>2086</v>
      </c>
      <c r="E3534" s="6">
        <v>2039</v>
      </c>
      <c r="F3534" t="str">
        <f t="shared" si="1492"/>
        <v>TUE</v>
      </c>
      <c r="G3534" s="1">
        <f t="shared" si="1493"/>
        <v>44054</v>
      </c>
      <c r="H3534" s="2">
        <f t="shared" ca="1" si="1494"/>
        <v>199</v>
      </c>
      <c r="I3534" t="str">
        <f t="shared" si="1495"/>
        <v>GOLD</v>
      </c>
      <c r="J3534">
        <f t="shared" si="1496"/>
        <v>1977</v>
      </c>
      <c r="K3534">
        <f t="shared" si="1497"/>
        <v>2086</v>
      </c>
      <c r="L3534">
        <f t="shared" si="1498"/>
        <v>2031.5</v>
      </c>
      <c r="M3534">
        <f t="shared" si="1499"/>
        <v>54.5</v>
      </c>
      <c r="N3534">
        <f t="shared" si="1503"/>
        <v>109</v>
      </c>
      <c r="O3534">
        <f t="shared" si="1500"/>
        <v>2039</v>
      </c>
      <c r="P3534">
        <f t="shared" si="1501"/>
        <v>0.13761467889908258</v>
      </c>
      <c r="Q3534" t="str">
        <f t="shared" si="1504"/>
        <v>3.04% | 2.31%</v>
      </c>
      <c r="R3534" t="str">
        <f t="shared" si="1502"/>
        <v>BULLISH</v>
      </c>
      <c r="S3534">
        <f t="shared" si="1505"/>
        <v>1</v>
      </c>
    </row>
    <row r="3535" spans="1:19" hidden="1" x14ac:dyDescent="0.25">
      <c r="A3535" s="5" t="str">
        <f t="shared" si="1506"/>
        <v>44054SILVER</v>
      </c>
      <c r="B3535" s="6" t="s">
        <v>195</v>
      </c>
      <c r="C3535" s="6">
        <v>26.01</v>
      </c>
      <c r="D3535" s="6">
        <v>30.02</v>
      </c>
      <c r="E3535" s="6">
        <v>29.26</v>
      </c>
      <c r="F3535" t="str">
        <f t="shared" si="1492"/>
        <v>TUE</v>
      </c>
      <c r="G3535" s="1">
        <f t="shared" si="1493"/>
        <v>44054</v>
      </c>
      <c r="H3535" s="2">
        <f t="shared" ca="1" si="1494"/>
        <v>199</v>
      </c>
      <c r="I3535" t="str">
        <f t="shared" si="1495"/>
        <v>SILVER</v>
      </c>
      <c r="J3535">
        <f t="shared" si="1496"/>
        <v>26.01</v>
      </c>
      <c r="K3535">
        <f t="shared" si="1497"/>
        <v>30.02</v>
      </c>
      <c r="L3535">
        <f t="shared" si="1498"/>
        <v>28.015000000000001</v>
      </c>
      <c r="M3535">
        <f t="shared" si="1499"/>
        <v>2.004999999999999</v>
      </c>
      <c r="N3535">
        <f t="shared" si="1503"/>
        <v>4.009999999999998</v>
      </c>
      <c r="O3535">
        <f t="shared" si="1500"/>
        <v>29.26</v>
      </c>
      <c r="P3535">
        <f t="shared" si="1501"/>
        <v>0.62094763092269412</v>
      </c>
      <c r="Q3535" t="str">
        <f t="shared" si="1504"/>
        <v>11.11% | 2.6%</v>
      </c>
      <c r="R3535" t="str">
        <f t="shared" si="1502"/>
        <v>BULLISH</v>
      </c>
      <c r="S3535">
        <f t="shared" si="1505"/>
        <v>1</v>
      </c>
    </row>
    <row r="3536" spans="1:19" hidden="1" x14ac:dyDescent="0.25">
      <c r="A3536" s="5" t="str">
        <f t="shared" si="1506"/>
        <v>44054COPPER</v>
      </c>
      <c r="B3536" s="6" t="s">
        <v>100</v>
      </c>
      <c r="C3536" s="6">
        <v>2.79</v>
      </c>
      <c r="D3536" s="6">
        <v>2.98</v>
      </c>
      <c r="E3536" s="6">
        <v>2.86</v>
      </c>
      <c r="F3536" t="str">
        <f t="shared" si="1492"/>
        <v>TUE</v>
      </c>
      <c r="G3536" s="1">
        <f t="shared" si="1493"/>
        <v>44054</v>
      </c>
      <c r="H3536" s="2">
        <f t="shared" ca="1" si="1494"/>
        <v>199</v>
      </c>
      <c r="I3536" t="str">
        <f t="shared" si="1495"/>
        <v>COPPER</v>
      </c>
      <c r="J3536">
        <f t="shared" si="1496"/>
        <v>2.79</v>
      </c>
      <c r="K3536">
        <f t="shared" si="1497"/>
        <v>2.98</v>
      </c>
      <c r="L3536">
        <f t="shared" si="1498"/>
        <v>2.8849999999999998</v>
      </c>
      <c r="M3536">
        <f t="shared" si="1499"/>
        <v>9.4999999999999973E-2</v>
      </c>
      <c r="N3536">
        <f t="shared" si="1503"/>
        <v>0.18999999999999995</v>
      </c>
      <c r="O3536">
        <f t="shared" si="1500"/>
        <v>2.86</v>
      </c>
      <c r="P3536">
        <f t="shared" si="1501"/>
        <v>-0.26315789473684126</v>
      </c>
      <c r="Q3536" t="str">
        <f t="shared" si="1504"/>
        <v>2.45% | 4.2%</v>
      </c>
      <c r="R3536" t="str">
        <f t="shared" si="1502"/>
        <v>BULLISH</v>
      </c>
      <c r="S3536">
        <f t="shared" si="1505"/>
        <v>1</v>
      </c>
    </row>
    <row r="3537" spans="1:19" hidden="1" x14ac:dyDescent="0.25">
      <c r="A3537" s="5" t="str">
        <f t="shared" si="1506"/>
        <v>44054MSFT</v>
      </c>
      <c r="B3537" s="6" t="s">
        <v>27</v>
      </c>
      <c r="C3537" s="6">
        <v>205</v>
      </c>
      <c r="D3537" s="6">
        <v>220</v>
      </c>
      <c r="E3537" s="6">
        <v>208</v>
      </c>
      <c r="F3537" t="str">
        <f t="shared" si="1492"/>
        <v>TUE</v>
      </c>
      <c r="G3537" s="1">
        <f t="shared" si="1493"/>
        <v>44054</v>
      </c>
      <c r="H3537" s="2">
        <f t="shared" ca="1" si="1494"/>
        <v>199</v>
      </c>
      <c r="I3537" t="str">
        <f t="shared" si="1495"/>
        <v>MSFT</v>
      </c>
      <c r="J3537">
        <f t="shared" si="1496"/>
        <v>205</v>
      </c>
      <c r="K3537">
        <f t="shared" si="1497"/>
        <v>220</v>
      </c>
      <c r="L3537">
        <f t="shared" si="1498"/>
        <v>212.5</v>
      </c>
      <c r="M3537">
        <f t="shared" si="1499"/>
        <v>7.5</v>
      </c>
      <c r="N3537">
        <f t="shared" si="1503"/>
        <v>15</v>
      </c>
      <c r="O3537">
        <f t="shared" si="1500"/>
        <v>208</v>
      </c>
      <c r="P3537">
        <f t="shared" si="1501"/>
        <v>-0.6</v>
      </c>
      <c r="Q3537" t="str">
        <f t="shared" si="1504"/>
        <v>1.44% | 5.77%</v>
      </c>
      <c r="R3537" t="str">
        <f t="shared" si="1502"/>
        <v>BULLISH</v>
      </c>
      <c r="S3537">
        <f t="shared" si="1505"/>
        <v>1</v>
      </c>
    </row>
    <row r="3538" spans="1:19" hidden="1" x14ac:dyDescent="0.25">
      <c r="A3538" s="5" t="str">
        <f t="shared" si="1506"/>
        <v>44054AAPL</v>
      </c>
      <c r="B3538" s="6" t="s">
        <v>28</v>
      </c>
      <c r="C3538" s="6">
        <v>422</v>
      </c>
      <c r="D3538" s="6">
        <v>481</v>
      </c>
      <c r="E3538" s="6">
        <v>450</v>
      </c>
      <c r="F3538" t="str">
        <f t="shared" si="1492"/>
        <v>TUE</v>
      </c>
      <c r="G3538" s="1">
        <f t="shared" si="1493"/>
        <v>44054</v>
      </c>
      <c r="H3538" s="2">
        <f t="shared" ca="1" si="1494"/>
        <v>199</v>
      </c>
      <c r="I3538" t="str">
        <f t="shared" si="1495"/>
        <v>AAPL</v>
      </c>
      <c r="J3538">
        <f t="shared" si="1496"/>
        <v>422</v>
      </c>
      <c r="K3538">
        <f t="shared" si="1497"/>
        <v>481</v>
      </c>
      <c r="L3538">
        <f t="shared" si="1498"/>
        <v>451.5</v>
      </c>
      <c r="M3538">
        <f t="shared" si="1499"/>
        <v>29.5</v>
      </c>
      <c r="N3538">
        <f t="shared" si="1503"/>
        <v>59</v>
      </c>
      <c r="O3538">
        <f t="shared" si="1500"/>
        <v>450</v>
      </c>
      <c r="P3538">
        <f t="shared" si="1501"/>
        <v>-5.0847457627118647E-2</v>
      </c>
      <c r="Q3538" t="str">
        <f t="shared" si="1504"/>
        <v>6.22% | 6.89%</v>
      </c>
      <c r="R3538" t="str">
        <f t="shared" si="1502"/>
        <v>BULLISH</v>
      </c>
      <c r="S3538">
        <f t="shared" si="1505"/>
        <v>1</v>
      </c>
    </row>
    <row r="3539" spans="1:19" hidden="1" x14ac:dyDescent="0.25">
      <c r="A3539" s="5" t="str">
        <f t="shared" si="1506"/>
        <v>44054AMZN</v>
      </c>
      <c r="B3539" s="6" t="s">
        <v>29</v>
      </c>
      <c r="C3539" s="6">
        <v>3018</v>
      </c>
      <c r="D3539" s="6">
        <v>3261</v>
      </c>
      <c r="E3539" s="6">
        <v>3148</v>
      </c>
      <c r="F3539" t="str">
        <f t="shared" si="1492"/>
        <v>TUE</v>
      </c>
      <c r="G3539" s="1">
        <f t="shared" si="1493"/>
        <v>44054</v>
      </c>
      <c r="H3539" s="2">
        <f t="shared" ca="1" si="1494"/>
        <v>199</v>
      </c>
      <c r="I3539" t="str">
        <f t="shared" si="1495"/>
        <v>AMZN</v>
      </c>
      <c r="J3539">
        <f t="shared" si="1496"/>
        <v>3018</v>
      </c>
      <c r="K3539">
        <f t="shared" si="1497"/>
        <v>3261</v>
      </c>
      <c r="L3539">
        <f t="shared" si="1498"/>
        <v>3139.5</v>
      </c>
      <c r="M3539">
        <f t="shared" si="1499"/>
        <v>121.5</v>
      </c>
      <c r="N3539">
        <f t="shared" si="1503"/>
        <v>243</v>
      </c>
      <c r="O3539">
        <f t="shared" si="1500"/>
        <v>3148</v>
      </c>
      <c r="P3539">
        <f t="shared" si="1501"/>
        <v>6.9958847736625515E-2</v>
      </c>
      <c r="Q3539" t="str">
        <f t="shared" si="1504"/>
        <v>4.13% | 3.59%</v>
      </c>
      <c r="R3539" t="str">
        <f t="shared" si="1502"/>
        <v>BULLISH</v>
      </c>
      <c r="S3539">
        <f t="shared" si="1505"/>
        <v>1</v>
      </c>
    </row>
    <row r="3540" spans="1:19" hidden="1" x14ac:dyDescent="0.25">
      <c r="A3540" s="5" t="str">
        <f t="shared" si="1506"/>
        <v>44054FB</v>
      </c>
      <c r="B3540" s="6" t="s">
        <v>30</v>
      </c>
      <c r="C3540" s="6">
        <v>244</v>
      </c>
      <c r="D3540" s="6">
        <v>277</v>
      </c>
      <c r="E3540" s="6">
        <v>263</v>
      </c>
      <c r="F3540" t="str">
        <f t="shared" si="1492"/>
        <v>TUE</v>
      </c>
      <c r="G3540" s="1">
        <f t="shared" si="1493"/>
        <v>44054</v>
      </c>
      <c r="H3540" s="2">
        <f t="shared" ca="1" si="1494"/>
        <v>199</v>
      </c>
      <c r="I3540" t="str">
        <f t="shared" si="1495"/>
        <v>FB</v>
      </c>
      <c r="J3540">
        <f t="shared" si="1496"/>
        <v>244</v>
      </c>
      <c r="K3540">
        <f t="shared" si="1497"/>
        <v>277</v>
      </c>
      <c r="L3540">
        <f t="shared" si="1498"/>
        <v>260.5</v>
      </c>
      <c r="M3540">
        <f t="shared" si="1499"/>
        <v>16.5</v>
      </c>
      <c r="N3540">
        <f t="shared" si="1503"/>
        <v>33</v>
      </c>
      <c r="O3540">
        <f t="shared" si="1500"/>
        <v>263</v>
      </c>
      <c r="P3540">
        <f t="shared" si="1501"/>
        <v>0.15151515151515152</v>
      </c>
      <c r="Q3540" t="str">
        <f t="shared" si="1504"/>
        <v>7.22% | 5.32%</v>
      </c>
      <c r="R3540" t="str">
        <f t="shared" si="1502"/>
        <v>BULLISH</v>
      </c>
      <c r="S3540">
        <f t="shared" si="1505"/>
        <v>1</v>
      </c>
    </row>
    <row r="3541" spans="1:19" hidden="1" x14ac:dyDescent="0.25">
      <c r="A3541" s="5" t="str">
        <f t="shared" si="1506"/>
        <v>44054GOOGL</v>
      </c>
      <c r="B3541" s="6" t="s">
        <v>31</v>
      </c>
      <c r="C3541" s="6">
        <v>1456</v>
      </c>
      <c r="D3541" s="6">
        <v>1539</v>
      </c>
      <c r="E3541" s="6">
        <v>1496</v>
      </c>
      <c r="F3541" t="str">
        <f t="shared" si="1492"/>
        <v>TUE</v>
      </c>
      <c r="G3541" s="1">
        <f t="shared" si="1493"/>
        <v>44054</v>
      </c>
      <c r="H3541" s="2">
        <f t="shared" ca="1" si="1494"/>
        <v>199</v>
      </c>
      <c r="I3541" t="str">
        <f t="shared" si="1495"/>
        <v>GOOGL</v>
      </c>
      <c r="J3541">
        <f t="shared" si="1496"/>
        <v>1456</v>
      </c>
      <c r="K3541">
        <f t="shared" si="1497"/>
        <v>1539</v>
      </c>
      <c r="L3541">
        <f t="shared" si="1498"/>
        <v>1497.5</v>
      </c>
      <c r="M3541">
        <f t="shared" si="1499"/>
        <v>41.5</v>
      </c>
      <c r="N3541">
        <f t="shared" si="1503"/>
        <v>83</v>
      </c>
      <c r="O3541">
        <f t="shared" si="1500"/>
        <v>1496</v>
      </c>
      <c r="P3541">
        <f t="shared" si="1501"/>
        <v>-3.614457831325301E-2</v>
      </c>
      <c r="Q3541" t="str">
        <f t="shared" si="1504"/>
        <v>2.67% | 2.87%</v>
      </c>
      <c r="R3541" t="str">
        <f t="shared" si="1502"/>
        <v>BULLISH</v>
      </c>
      <c r="S3541">
        <f t="shared" si="1505"/>
        <v>1</v>
      </c>
    </row>
    <row r="3542" spans="1:19" hidden="1" x14ac:dyDescent="0.25">
      <c r="A3542" s="5" t="str">
        <f t="shared" si="1506"/>
        <v>44054NFLX</v>
      </c>
      <c r="B3542" s="6" t="s">
        <v>32</v>
      </c>
      <c r="C3542" s="6">
        <v>474</v>
      </c>
      <c r="D3542" s="6">
        <v>515</v>
      </c>
      <c r="E3542" s="6">
        <v>483</v>
      </c>
      <c r="F3542" t="str">
        <f t="shared" si="1492"/>
        <v>TUE</v>
      </c>
      <c r="G3542" s="1">
        <f t="shared" si="1493"/>
        <v>44054</v>
      </c>
      <c r="H3542" s="2">
        <f t="shared" ca="1" si="1494"/>
        <v>199</v>
      </c>
      <c r="I3542" t="str">
        <f t="shared" si="1495"/>
        <v>NFLX</v>
      </c>
      <c r="J3542">
        <f t="shared" si="1496"/>
        <v>474</v>
      </c>
      <c r="K3542">
        <f t="shared" si="1497"/>
        <v>515</v>
      </c>
      <c r="L3542">
        <f t="shared" si="1498"/>
        <v>494.5</v>
      </c>
      <c r="M3542">
        <f t="shared" si="1499"/>
        <v>20.5</v>
      </c>
      <c r="N3542">
        <f t="shared" si="1503"/>
        <v>41</v>
      </c>
      <c r="O3542">
        <f t="shared" si="1500"/>
        <v>483</v>
      </c>
      <c r="P3542">
        <f t="shared" si="1501"/>
        <v>-0.56097560975609762</v>
      </c>
      <c r="Q3542" t="str">
        <f t="shared" si="1504"/>
        <v>1.86% | 6.63%</v>
      </c>
      <c r="R3542" t="str">
        <f t="shared" si="1502"/>
        <v>BULLISH</v>
      </c>
      <c r="S3542">
        <f t="shared" si="1505"/>
        <v>1</v>
      </c>
    </row>
    <row r="3543" spans="1:19" x14ac:dyDescent="0.25">
      <c r="A3543" s="5" t="str">
        <f t="shared" si="1506"/>
        <v>44054TSLA</v>
      </c>
      <c r="B3543" s="6" t="s">
        <v>33</v>
      </c>
      <c r="C3543" s="6">
        <v>1402</v>
      </c>
      <c r="D3543" s="6">
        <v>1522</v>
      </c>
      <c r="E3543" s="6">
        <v>1418</v>
      </c>
      <c r="F3543" t="str">
        <f t="shared" si="1492"/>
        <v>TUE</v>
      </c>
      <c r="G3543" s="1">
        <f t="shared" si="1493"/>
        <v>44054</v>
      </c>
      <c r="H3543" s="2">
        <f t="shared" ca="1" si="1494"/>
        <v>199</v>
      </c>
      <c r="I3543" t="str">
        <f t="shared" si="1495"/>
        <v>TSLA</v>
      </c>
      <c r="J3543">
        <f t="shared" si="1496"/>
        <v>1402</v>
      </c>
      <c r="K3543">
        <f t="shared" si="1497"/>
        <v>1522</v>
      </c>
      <c r="L3543">
        <f t="shared" si="1498"/>
        <v>1462</v>
      </c>
      <c r="M3543">
        <f t="shared" si="1499"/>
        <v>60</v>
      </c>
      <c r="N3543">
        <f t="shared" si="1503"/>
        <v>120</v>
      </c>
      <c r="O3543">
        <f t="shared" si="1500"/>
        <v>1418</v>
      </c>
      <c r="P3543">
        <f t="shared" si="1501"/>
        <v>-0.73333333333333328</v>
      </c>
      <c r="Q3543" t="str">
        <f t="shared" si="1504"/>
        <v>1.13% | 7.33%</v>
      </c>
      <c r="R3543" t="str">
        <f t="shared" si="1502"/>
        <v>BULLISH</v>
      </c>
      <c r="S3543">
        <f t="shared" si="1505"/>
        <v>1</v>
      </c>
    </row>
    <row r="3544" spans="1:19" hidden="1" x14ac:dyDescent="0.25">
      <c r="A3544" s="5" t="str">
        <f t="shared" si="1506"/>
        <v>44054NYXBT</v>
      </c>
      <c r="B3544" s="6" t="s">
        <v>60</v>
      </c>
      <c r="C3544" s="6">
        <v>10806</v>
      </c>
      <c r="D3544" s="6">
        <v>12069</v>
      </c>
      <c r="E3544" s="6">
        <v>11922</v>
      </c>
      <c r="F3544" t="str">
        <f t="shared" si="1492"/>
        <v>TUE</v>
      </c>
      <c r="G3544" s="1">
        <f t="shared" si="1493"/>
        <v>44054</v>
      </c>
      <c r="H3544" s="2">
        <f t="shared" ca="1" si="1494"/>
        <v>199</v>
      </c>
      <c r="I3544" t="str">
        <f t="shared" si="1495"/>
        <v>NYXBT</v>
      </c>
      <c r="J3544">
        <f t="shared" si="1496"/>
        <v>10806</v>
      </c>
      <c r="K3544">
        <f t="shared" si="1497"/>
        <v>12069</v>
      </c>
      <c r="L3544">
        <f t="shared" si="1498"/>
        <v>11437.5</v>
      </c>
      <c r="M3544">
        <f t="shared" si="1499"/>
        <v>631.5</v>
      </c>
      <c r="N3544">
        <f t="shared" si="1503"/>
        <v>1263</v>
      </c>
      <c r="O3544">
        <f t="shared" si="1500"/>
        <v>11922</v>
      </c>
      <c r="P3544">
        <f t="shared" si="1501"/>
        <v>0.76722090261282661</v>
      </c>
      <c r="Q3544" t="str">
        <f t="shared" si="1504"/>
        <v>9.36% | 1.23%</v>
      </c>
      <c r="R3544" t="str">
        <f t="shared" si="1502"/>
        <v>BULLISH</v>
      </c>
      <c r="S3544">
        <f t="shared" si="1505"/>
        <v>1</v>
      </c>
    </row>
    <row r="3545" spans="1:19" hidden="1" x14ac:dyDescent="0.25">
      <c r="A3545" s="5" t="str">
        <f t="shared" si="1506"/>
        <v>44055UST10Y</v>
      </c>
      <c r="B3545" s="6" t="s">
        <v>4</v>
      </c>
      <c r="C3545" s="6">
        <v>0.66</v>
      </c>
      <c r="D3545" s="6">
        <v>0.5</v>
      </c>
      <c r="E3545" s="6">
        <v>0.64</v>
      </c>
      <c r="F3545" t="str">
        <f t="shared" si="1492"/>
        <v>WED</v>
      </c>
      <c r="G3545" s="3">
        <f>DATE(2020,8,12)</f>
        <v>44055</v>
      </c>
      <c r="H3545" s="2">
        <f t="shared" ca="1" si="1494"/>
        <v>198</v>
      </c>
      <c r="I3545" t="str">
        <f t="shared" si="1495"/>
        <v>UST10Y</v>
      </c>
      <c r="J3545">
        <f t="shared" si="1496"/>
        <v>0.66</v>
      </c>
      <c r="K3545">
        <f t="shared" si="1497"/>
        <v>0.5</v>
      </c>
      <c r="L3545">
        <f t="shared" si="1498"/>
        <v>0.58000000000000007</v>
      </c>
      <c r="M3545">
        <f t="shared" si="1499"/>
        <v>7.9999999999999405E-2</v>
      </c>
      <c r="N3545">
        <f t="shared" si="1503"/>
        <v>0.16000000000000003</v>
      </c>
      <c r="O3545">
        <f t="shared" si="1500"/>
        <v>0.64</v>
      </c>
      <c r="P3545">
        <f t="shared" si="1501"/>
        <v>0.75000000000000488</v>
      </c>
      <c r="Q3545" t="str">
        <f t="shared" si="1504"/>
        <v>3.13% | 21.88%</v>
      </c>
      <c r="R3545" t="str">
        <f t="shared" si="1502"/>
        <v>BEARISH</v>
      </c>
      <c r="S3545">
        <f t="shared" si="1505"/>
        <v>-1</v>
      </c>
    </row>
    <row r="3546" spans="1:19" hidden="1" x14ac:dyDescent="0.25">
      <c r="A3546" s="5" t="str">
        <f t="shared" si="1506"/>
        <v>44055UST2Y</v>
      </c>
      <c r="B3546" s="6" t="s">
        <v>5</v>
      </c>
      <c r="C3546" s="6">
        <v>0.17</v>
      </c>
      <c r="D3546" s="6">
        <v>0.1</v>
      </c>
      <c r="E3546" s="6">
        <v>0.16</v>
      </c>
      <c r="F3546" t="str">
        <f t="shared" ref="F3546:F3576" si="1507">UPPER(TEXT(G3546,"ddd"))</f>
        <v>WED</v>
      </c>
      <c r="G3546" s="3">
        <f t="shared" ref="G3546:G3575" si="1508">DATE(2020,8,12)</f>
        <v>44055</v>
      </c>
      <c r="H3546" s="2">
        <f t="shared" ref="H3546:H3576" ca="1" si="1509">TODAY()-G3546</f>
        <v>198</v>
      </c>
      <c r="I3546" t="str">
        <f t="shared" ref="I3546:I3576" si="1510">TRIM(LEFT(B3546,FIND(" ",B3546,1)))</f>
        <v>UST2Y</v>
      </c>
      <c r="J3546">
        <f t="shared" ref="J3546:J3576" si="1511">C3546</f>
        <v>0.17</v>
      </c>
      <c r="K3546">
        <f t="shared" ref="K3546:K3576" si="1512">D3546</f>
        <v>0.1</v>
      </c>
      <c r="L3546">
        <f t="shared" ref="L3546:L3576" si="1513">AVERAGE(J3546:K3546)</f>
        <v>0.13500000000000001</v>
      </c>
      <c r="M3546">
        <f t="shared" ref="M3546:M3576" si="1514">_xlfn.STDEV.P(J3546:K3546)</f>
        <v>3.5000000000000003E-2</v>
      </c>
      <c r="N3546">
        <f t="shared" si="1503"/>
        <v>7.0000000000000007E-2</v>
      </c>
      <c r="O3546">
        <f t="shared" ref="O3546:O3576" si="1515">E3546</f>
        <v>0.16</v>
      </c>
      <c r="P3546">
        <f t="shared" ref="P3546:P3576" si="1516">(O3546-L3546)/M3546</f>
        <v>0.71428571428571408</v>
      </c>
      <c r="Q3546" t="str">
        <f t="shared" si="1504"/>
        <v>6.25% | 37.5%</v>
      </c>
      <c r="R3546" t="str">
        <f t="shared" ref="R3546:R3576" si="1517">MID(B3546,FIND("(",B3546,1)+1,FIND(")",B3546,1)-FIND("(",B3546,1)-1)</f>
        <v>BEARISH</v>
      </c>
      <c r="S3546">
        <f t="shared" si="1505"/>
        <v>-1</v>
      </c>
    </row>
    <row r="3547" spans="1:19" hidden="1" x14ac:dyDescent="0.25">
      <c r="A3547" s="5" t="str">
        <f t="shared" si="1506"/>
        <v>44055SPX</v>
      </c>
      <c r="B3547" s="6" t="s">
        <v>93</v>
      </c>
      <c r="C3547" s="6">
        <v>3240</v>
      </c>
      <c r="D3547" s="6">
        <v>3386</v>
      </c>
      <c r="E3547" s="6">
        <v>3333</v>
      </c>
      <c r="F3547" t="str">
        <f t="shared" si="1507"/>
        <v>WED</v>
      </c>
      <c r="G3547" s="3">
        <f t="shared" si="1508"/>
        <v>44055</v>
      </c>
      <c r="H3547" s="2">
        <f t="shared" ca="1" si="1509"/>
        <v>198</v>
      </c>
      <c r="I3547" t="str">
        <f t="shared" si="1510"/>
        <v>SPX</v>
      </c>
      <c r="J3547">
        <f t="shared" si="1511"/>
        <v>3240</v>
      </c>
      <c r="K3547">
        <f t="shared" si="1512"/>
        <v>3386</v>
      </c>
      <c r="L3547">
        <f t="shared" si="1513"/>
        <v>3313</v>
      </c>
      <c r="M3547">
        <f t="shared" si="1514"/>
        <v>73</v>
      </c>
      <c r="N3547">
        <f t="shared" si="1503"/>
        <v>146</v>
      </c>
      <c r="O3547">
        <f t="shared" si="1515"/>
        <v>3333</v>
      </c>
      <c r="P3547">
        <f t="shared" si="1516"/>
        <v>0.27397260273972601</v>
      </c>
      <c r="Q3547" t="str">
        <f t="shared" si="1504"/>
        <v>2.79% | 1.59%</v>
      </c>
      <c r="R3547" t="str">
        <f t="shared" si="1517"/>
        <v>BULLISH</v>
      </c>
      <c r="S3547">
        <f t="shared" si="1505"/>
        <v>1</v>
      </c>
    </row>
    <row r="3548" spans="1:19" hidden="1" x14ac:dyDescent="0.25">
      <c r="A3548" s="5" t="str">
        <f t="shared" si="1506"/>
        <v>44055RUT</v>
      </c>
      <c r="B3548" s="6" t="s">
        <v>7</v>
      </c>
      <c r="C3548" s="6">
        <v>1475</v>
      </c>
      <c r="D3548" s="6">
        <v>1604</v>
      </c>
      <c r="E3548" s="6">
        <v>1575</v>
      </c>
      <c r="F3548" t="str">
        <f t="shared" si="1507"/>
        <v>WED</v>
      </c>
      <c r="G3548" s="3">
        <f t="shared" si="1508"/>
        <v>44055</v>
      </c>
      <c r="H3548" s="2">
        <f t="shared" ca="1" si="1509"/>
        <v>198</v>
      </c>
      <c r="I3548" t="str">
        <f t="shared" si="1510"/>
        <v>RUT</v>
      </c>
      <c r="J3548">
        <f t="shared" si="1511"/>
        <v>1475</v>
      </c>
      <c r="K3548">
        <f t="shared" si="1512"/>
        <v>1604</v>
      </c>
      <c r="L3548">
        <f t="shared" si="1513"/>
        <v>1539.5</v>
      </c>
      <c r="M3548">
        <f t="shared" si="1514"/>
        <v>64.5</v>
      </c>
      <c r="N3548">
        <f t="shared" si="1503"/>
        <v>129</v>
      </c>
      <c r="O3548">
        <f t="shared" si="1515"/>
        <v>1575</v>
      </c>
      <c r="P3548">
        <f t="shared" si="1516"/>
        <v>0.55038759689922478</v>
      </c>
      <c r="Q3548" t="str">
        <f t="shared" si="1504"/>
        <v>6.35% | 1.84%</v>
      </c>
      <c r="R3548" t="str">
        <f t="shared" si="1517"/>
        <v>BEARISH</v>
      </c>
      <c r="S3548">
        <f t="shared" si="1505"/>
        <v>-1</v>
      </c>
    </row>
    <row r="3549" spans="1:19" hidden="1" x14ac:dyDescent="0.25">
      <c r="A3549" s="5" t="str">
        <f t="shared" si="1506"/>
        <v>44055COMPQ</v>
      </c>
      <c r="B3549" s="6" t="s">
        <v>8</v>
      </c>
      <c r="C3549" s="6">
        <v>10571</v>
      </c>
      <c r="D3549" s="6">
        <v>11198</v>
      </c>
      <c r="E3549" s="6">
        <v>10782</v>
      </c>
      <c r="F3549" t="str">
        <f t="shared" si="1507"/>
        <v>WED</v>
      </c>
      <c r="G3549" s="3">
        <f t="shared" si="1508"/>
        <v>44055</v>
      </c>
      <c r="H3549" s="2">
        <f t="shared" ca="1" si="1509"/>
        <v>198</v>
      </c>
      <c r="I3549" t="str">
        <f t="shared" si="1510"/>
        <v>COMPQ</v>
      </c>
      <c r="J3549">
        <f t="shared" si="1511"/>
        <v>10571</v>
      </c>
      <c r="K3549">
        <f t="shared" si="1512"/>
        <v>11198</v>
      </c>
      <c r="L3549">
        <f t="shared" si="1513"/>
        <v>10884.5</v>
      </c>
      <c r="M3549">
        <f t="shared" si="1514"/>
        <v>313.5</v>
      </c>
      <c r="N3549">
        <f t="shared" si="1503"/>
        <v>627</v>
      </c>
      <c r="O3549">
        <f t="shared" si="1515"/>
        <v>10782</v>
      </c>
      <c r="P3549">
        <f t="shared" si="1516"/>
        <v>-0.32695374800637961</v>
      </c>
      <c r="Q3549" t="str">
        <f t="shared" si="1504"/>
        <v>1.96% | 3.86%</v>
      </c>
      <c r="R3549" t="str">
        <f t="shared" si="1517"/>
        <v>BULLISH</v>
      </c>
      <c r="S3549">
        <f t="shared" si="1505"/>
        <v>1</v>
      </c>
    </row>
    <row r="3550" spans="1:19" hidden="1" x14ac:dyDescent="0.25">
      <c r="A3550" s="5" t="str">
        <f t="shared" si="1506"/>
        <v>44055XLK</v>
      </c>
      <c r="B3550" s="6" t="s">
        <v>10</v>
      </c>
      <c r="C3550" s="6">
        <v>108.16</v>
      </c>
      <c r="D3550" s="6">
        <v>116.96</v>
      </c>
      <c r="E3550" s="6">
        <v>111.38</v>
      </c>
      <c r="F3550" t="str">
        <f t="shared" si="1507"/>
        <v>WED</v>
      </c>
      <c r="G3550" s="3">
        <f t="shared" si="1508"/>
        <v>44055</v>
      </c>
      <c r="H3550" s="2">
        <f t="shared" ca="1" si="1509"/>
        <v>198</v>
      </c>
      <c r="I3550" t="str">
        <f t="shared" si="1510"/>
        <v>XLK</v>
      </c>
      <c r="J3550">
        <f t="shared" si="1511"/>
        <v>108.16</v>
      </c>
      <c r="K3550">
        <f t="shared" si="1512"/>
        <v>116.96</v>
      </c>
      <c r="L3550">
        <f t="shared" si="1513"/>
        <v>112.56</v>
      </c>
      <c r="M3550">
        <f t="shared" si="1514"/>
        <v>4.3999999999999986</v>
      </c>
      <c r="N3550">
        <f t="shared" si="1503"/>
        <v>8.7999999999999972</v>
      </c>
      <c r="O3550">
        <f t="shared" si="1515"/>
        <v>111.38</v>
      </c>
      <c r="P3550">
        <f t="shared" si="1516"/>
        <v>-0.2681818181818198</v>
      </c>
      <c r="Q3550" t="str">
        <f t="shared" si="1504"/>
        <v>2.89% | 5.01%</v>
      </c>
      <c r="R3550" t="str">
        <f t="shared" si="1517"/>
        <v>BULLISH</v>
      </c>
      <c r="S3550">
        <f t="shared" si="1505"/>
        <v>1</v>
      </c>
    </row>
    <row r="3551" spans="1:19" hidden="1" x14ac:dyDescent="0.25">
      <c r="A3551" s="5" t="str">
        <f t="shared" si="1506"/>
        <v>44055XLRE</v>
      </c>
      <c r="B3551" s="6" t="s">
        <v>97</v>
      </c>
      <c r="C3551" s="6">
        <v>35.01</v>
      </c>
      <c r="D3551" s="6">
        <v>36.869999999999997</v>
      </c>
      <c r="E3551" s="6">
        <v>35.74</v>
      </c>
      <c r="F3551" t="str">
        <f t="shared" si="1507"/>
        <v>WED</v>
      </c>
      <c r="G3551" s="3">
        <f t="shared" si="1508"/>
        <v>44055</v>
      </c>
      <c r="H3551" s="2">
        <f t="shared" ca="1" si="1509"/>
        <v>198</v>
      </c>
      <c r="I3551" t="str">
        <f t="shared" si="1510"/>
        <v>XLRE</v>
      </c>
      <c r="J3551">
        <f t="shared" si="1511"/>
        <v>35.01</v>
      </c>
      <c r="K3551">
        <f t="shared" si="1512"/>
        <v>36.869999999999997</v>
      </c>
      <c r="L3551">
        <f t="shared" si="1513"/>
        <v>35.94</v>
      </c>
      <c r="M3551">
        <f t="shared" si="1514"/>
        <v>0.92999999999999972</v>
      </c>
      <c r="N3551">
        <f t="shared" si="1503"/>
        <v>1.8599999999999994</v>
      </c>
      <c r="O3551">
        <f t="shared" si="1515"/>
        <v>35.74</v>
      </c>
      <c r="P3551">
        <f t="shared" si="1516"/>
        <v>-0.21505376344085569</v>
      </c>
      <c r="Q3551" t="str">
        <f t="shared" si="1504"/>
        <v>2.04% | 3.16%</v>
      </c>
      <c r="R3551" t="str">
        <f t="shared" si="1517"/>
        <v>BULLISH</v>
      </c>
      <c r="S3551">
        <f t="shared" si="1505"/>
        <v>1</v>
      </c>
    </row>
    <row r="3552" spans="1:19" hidden="1" x14ac:dyDescent="0.25">
      <c r="A3552" s="5" t="str">
        <f t="shared" si="1506"/>
        <v>44055XLU</v>
      </c>
      <c r="B3552" s="6" t="s">
        <v>52</v>
      </c>
      <c r="C3552" s="6">
        <v>59.46</v>
      </c>
      <c r="D3552" s="6">
        <v>61.71</v>
      </c>
      <c r="E3552" s="6">
        <v>60.14</v>
      </c>
      <c r="F3552" t="str">
        <f t="shared" si="1507"/>
        <v>WED</v>
      </c>
      <c r="G3552" s="3">
        <f t="shared" si="1508"/>
        <v>44055</v>
      </c>
      <c r="H3552" s="2">
        <f t="shared" ca="1" si="1509"/>
        <v>198</v>
      </c>
      <c r="I3552" t="str">
        <f t="shared" si="1510"/>
        <v>XLU</v>
      </c>
      <c r="J3552">
        <f t="shared" si="1511"/>
        <v>59.46</v>
      </c>
      <c r="K3552">
        <f t="shared" si="1512"/>
        <v>61.71</v>
      </c>
      <c r="L3552">
        <f t="shared" si="1513"/>
        <v>60.585000000000001</v>
      </c>
      <c r="M3552">
        <f t="shared" si="1514"/>
        <v>1.125</v>
      </c>
      <c r="N3552">
        <f t="shared" si="1503"/>
        <v>2.25</v>
      </c>
      <c r="O3552">
        <f t="shared" si="1515"/>
        <v>60.14</v>
      </c>
      <c r="P3552">
        <f t="shared" si="1516"/>
        <v>-0.39555555555555583</v>
      </c>
      <c r="Q3552" t="str">
        <f t="shared" si="1504"/>
        <v>1.13% | 2.61%</v>
      </c>
      <c r="R3552" t="str">
        <f t="shared" si="1517"/>
        <v>BULLISH</v>
      </c>
      <c r="S3552">
        <f t="shared" si="1505"/>
        <v>1</v>
      </c>
    </row>
    <row r="3553" spans="1:19" hidden="1" x14ac:dyDescent="0.25">
      <c r="A3553" s="5" t="str">
        <f t="shared" si="1506"/>
        <v>44055XLF</v>
      </c>
      <c r="B3553" s="6" t="s">
        <v>12</v>
      </c>
      <c r="C3553" s="6">
        <v>23.5</v>
      </c>
      <c r="D3553" s="6">
        <v>25.57</v>
      </c>
      <c r="E3553" s="6">
        <v>25.31</v>
      </c>
      <c r="F3553" t="str">
        <f t="shared" si="1507"/>
        <v>WED</v>
      </c>
      <c r="G3553" s="3">
        <f t="shared" si="1508"/>
        <v>44055</v>
      </c>
      <c r="H3553" s="2">
        <f t="shared" ca="1" si="1509"/>
        <v>198</v>
      </c>
      <c r="I3553" t="str">
        <f t="shared" si="1510"/>
        <v>XLF</v>
      </c>
      <c r="J3553">
        <f t="shared" si="1511"/>
        <v>23.5</v>
      </c>
      <c r="K3553">
        <f t="shared" si="1512"/>
        <v>25.57</v>
      </c>
      <c r="L3553">
        <f t="shared" si="1513"/>
        <v>24.535</v>
      </c>
      <c r="M3553">
        <f t="shared" si="1514"/>
        <v>1.0350000000000001</v>
      </c>
      <c r="N3553">
        <f t="shared" si="1503"/>
        <v>2.0700000000000003</v>
      </c>
      <c r="O3553">
        <f t="shared" si="1515"/>
        <v>25.31</v>
      </c>
      <c r="P3553">
        <f t="shared" si="1516"/>
        <v>0.74879227053139952</v>
      </c>
      <c r="Q3553" t="str">
        <f t="shared" si="1504"/>
        <v>7.15% | 1.03%</v>
      </c>
      <c r="R3553" t="str">
        <f t="shared" si="1517"/>
        <v>BEARISH</v>
      </c>
      <c r="S3553">
        <f t="shared" si="1505"/>
        <v>-1</v>
      </c>
    </row>
    <row r="3554" spans="1:19" hidden="1" x14ac:dyDescent="0.25">
      <c r="A3554" s="5" t="str">
        <f t="shared" si="1506"/>
        <v>44055SSEC</v>
      </c>
      <c r="B3554" s="6" t="s">
        <v>104</v>
      </c>
      <c r="C3554" s="6">
        <v>3241</v>
      </c>
      <c r="D3554" s="6">
        <v>3427</v>
      </c>
      <c r="E3554" s="6">
        <v>3319</v>
      </c>
      <c r="F3554" t="str">
        <f t="shared" si="1507"/>
        <v>WED</v>
      </c>
      <c r="G3554" s="3">
        <f t="shared" si="1508"/>
        <v>44055</v>
      </c>
      <c r="H3554" s="2">
        <f t="shared" ca="1" si="1509"/>
        <v>198</v>
      </c>
      <c r="I3554" t="str">
        <f t="shared" si="1510"/>
        <v>SSEC</v>
      </c>
      <c r="J3554">
        <f t="shared" si="1511"/>
        <v>3241</v>
      </c>
      <c r="K3554">
        <f t="shared" si="1512"/>
        <v>3427</v>
      </c>
      <c r="L3554">
        <f t="shared" si="1513"/>
        <v>3334</v>
      </c>
      <c r="M3554">
        <f t="shared" si="1514"/>
        <v>93</v>
      </c>
      <c r="N3554">
        <f t="shared" si="1503"/>
        <v>186</v>
      </c>
      <c r="O3554">
        <f t="shared" si="1515"/>
        <v>3319</v>
      </c>
      <c r="P3554">
        <f t="shared" si="1516"/>
        <v>-0.16129032258064516</v>
      </c>
      <c r="Q3554" t="str">
        <f t="shared" si="1504"/>
        <v>2.35% | 3.25%</v>
      </c>
      <c r="R3554" t="str">
        <f t="shared" si="1517"/>
        <v>BULLISH</v>
      </c>
      <c r="S3554">
        <f t="shared" si="1505"/>
        <v>1</v>
      </c>
    </row>
    <row r="3555" spans="1:19" hidden="1" x14ac:dyDescent="0.25">
      <c r="A3555" s="5" t="str">
        <f t="shared" si="1506"/>
        <v>44055NIKK</v>
      </c>
      <c r="B3555" s="6" t="s">
        <v>90</v>
      </c>
      <c r="C3555" s="6">
        <v>21800</v>
      </c>
      <c r="D3555" s="6">
        <v>22917</v>
      </c>
      <c r="E3555" s="6">
        <v>22843</v>
      </c>
      <c r="F3555" t="str">
        <f t="shared" si="1507"/>
        <v>WED</v>
      </c>
      <c r="G3555" s="3">
        <f t="shared" si="1508"/>
        <v>44055</v>
      </c>
      <c r="H3555" s="2">
        <f t="shared" ca="1" si="1509"/>
        <v>198</v>
      </c>
      <c r="I3555" t="str">
        <f t="shared" si="1510"/>
        <v>NIKK</v>
      </c>
      <c r="J3555">
        <f t="shared" si="1511"/>
        <v>21800</v>
      </c>
      <c r="K3555">
        <f t="shared" si="1512"/>
        <v>22917</v>
      </c>
      <c r="L3555">
        <f t="shared" si="1513"/>
        <v>22358.5</v>
      </c>
      <c r="M3555">
        <f t="shared" si="1514"/>
        <v>558.5</v>
      </c>
      <c r="N3555">
        <f t="shared" si="1503"/>
        <v>1117</v>
      </c>
      <c r="O3555">
        <f t="shared" si="1515"/>
        <v>22843</v>
      </c>
      <c r="P3555">
        <f t="shared" si="1516"/>
        <v>0.86750223813786931</v>
      </c>
      <c r="Q3555" t="str">
        <f t="shared" si="1504"/>
        <v>4.57% | 0.32%</v>
      </c>
      <c r="R3555" t="str">
        <f t="shared" si="1517"/>
        <v>NEUTRAL</v>
      </c>
      <c r="S3555">
        <f t="shared" si="1505"/>
        <v>0</v>
      </c>
    </row>
    <row r="3556" spans="1:19" hidden="1" x14ac:dyDescent="0.25">
      <c r="A3556" s="5" t="str">
        <f t="shared" si="1506"/>
        <v>44055DAX</v>
      </c>
      <c r="B3556" s="6" t="s">
        <v>92</v>
      </c>
      <c r="C3556" s="6">
        <v>12207</v>
      </c>
      <c r="D3556" s="6">
        <v>12967</v>
      </c>
      <c r="E3556" s="6">
        <v>12946</v>
      </c>
      <c r="F3556" t="str">
        <f t="shared" si="1507"/>
        <v>WED</v>
      </c>
      <c r="G3556" s="3">
        <f t="shared" si="1508"/>
        <v>44055</v>
      </c>
      <c r="H3556" s="2">
        <f t="shared" ca="1" si="1509"/>
        <v>198</v>
      </c>
      <c r="I3556" t="str">
        <f t="shared" si="1510"/>
        <v>DAX</v>
      </c>
      <c r="J3556">
        <f t="shared" si="1511"/>
        <v>12207</v>
      </c>
      <c r="K3556">
        <f t="shared" si="1512"/>
        <v>12967</v>
      </c>
      <c r="L3556">
        <f t="shared" si="1513"/>
        <v>12587</v>
      </c>
      <c r="M3556">
        <f t="shared" si="1514"/>
        <v>380</v>
      </c>
      <c r="N3556">
        <f t="shared" si="1503"/>
        <v>760</v>
      </c>
      <c r="O3556">
        <f t="shared" si="1515"/>
        <v>12946</v>
      </c>
      <c r="P3556">
        <f t="shared" si="1516"/>
        <v>0.94473684210526321</v>
      </c>
      <c r="Q3556" t="str">
        <f t="shared" si="1504"/>
        <v>5.71% | 0.16%</v>
      </c>
      <c r="R3556" t="str">
        <f t="shared" si="1517"/>
        <v>NEUTRAL</v>
      </c>
      <c r="S3556">
        <f t="shared" si="1505"/>
        <v>0</v>
      </c>
    </row>
    <row r="3557" spans="1:19" hidden="1" x14ac:dyDescent="0.25">
      <c r="A3557" s="5" t="str">
        <f t="shared" si="1506"/>
        <v>44055VIX</v>
      </c>
      <c r="B3557" s="6" t="s">
        <v>96</v>
      </c>
      <c r="C3557" s="6">
        <v>21.6</v>
      </c>
      <c r="D3557" s="6">
        <v>29.16</v>
      </c>
      <c r="E3557" s="6">
        <v>24.03</v>
      </c>
      <c r="F3557" t="str">
        <f t="shared" si="1507"/>
        <v>WED</v>
      </c>
      <c r="G3557" s="3">
        <f t="shared" si="1508"/>
        <v>44055</v>
      </c>
      <c r="H3557" s="2">
        <f t="shared" ca="1" si="1509"/>
        <v>198</v>
      </c>
      <c r="I3557" t="str">
        <f t="shared" si="1510"/>
        <v>VIX</v>
      </c>
      <c r="J3557">
        <f t="shared" si="1511"/>
        <v>21.6</v>
      </c>
      <c r="K3557">
        <f t="shared" si="1512"/>
        <v>29.16</v>
      </c>
      <c r="L3557">
        <f t="shared" si="1513"/>
        <v>25.380000000000003</v>
      </c>
      <c r="M3557">
        <f t="shared" si="1514"/>
        <v>3.7799999999999883</v>
      </c>
      <c r="N3557">
        <f t="shared" si="1503"/>
        <v>7.5599999999999987</v>
      </c>
      <c r="O3557">
        <f t="shared" si="1515"/>
        <v>24.03</v>
      </c>
      <c r="P3557">
        <f t="shared" si="1516"/>
        <v>-0.35714285714285865</v>
      </c>
      <c r="Q3557" t="str">
        <f t="shared" si="1504"/>
        <v>10.11% | 21.35%</v>
      </c>
      <c r="R3557" t="str">
        <f t="shared" si="1517"/>
        <v>BEARISH</v>
      </c>
      <c r="S3557">
        <f t="shared" si="1505"/>
        <v>-1</v>
      </c>
    </row>
    <row r="3558" spans="1:19" hidden="1" x14ac:dyDescent="0.25">
      <c r="A3558" s="5" t="str">
        <f t="shared" si="1506"/>
        <v>44055USD</v>
      </c>
      <c r="B3558" s="6" t="s">
        <v>94</v>
      </c>
      <c r="C3558" s="6">
        <v>92.59</v>
      </c>
      <c r="D3558" s="6">
        <v>93.98</v>
      </c>
      <c r="E3558" s="6">
        <v>93.62</v>
      </c>
      <c r="F3558" t="str">
        <f t="shared" si="1507"/>
        <v>WED</v>
      </c>
      <c r="G3558" s="3">
        <f t="shared" si="1508"/>
        <v>44055</v>
      </c>
      <c r="H3558" s="2">
        <f t="shared" ca="1" si="1509"/>
        <v>198</v>
      </c>
      <c r="I3558" t="str">
        <f t="shared" si="1510"/>
        <v>USD</v>
      </c>
      <c r="J3558">
        <f t="shared" si="1511"/>
        <v>92.59</v>
      </c>
      <c r="K3558">
        <f t="shared" si="1512"/>
        <v>93.98</v>
      </c>
      <c r="L3558">
        <f t="shared" si="1513"/>
        <v>93.284999999999997</v>
      </c>
      <c r="M3558">
        <f t="shared" si="1514"/>
        <v>0.69500000000000028</v>
      </c>
      <c r="N3558">
        <f t="shared" si="1503"/>
        <v>1.3900000000000006</v>
      </c>
      <c r="O3558">
        <f t="shared" si="1515"/>
        <v>93.62</v>
      </c>
      <c r="P3558">
        <f t="shared" si="1516"/>
        <v>0.4820143884892199</v>
      </c>
      <c r="Q3558" t="str">
        <f t="shared" si="1504"/>
        <v>1.1% | 0.38%</v>
      </c>
      <c r="R3558" t="str">
        <f t="shared" si="1517"/>
        <v>BEARISH</v>
      </c>
      <c r="S3558">
        <f t="shared" si="1505"/>
        <v>-1</v>
      </c>
    </row>
    <row r="3559" spans="1:19" hidden="1" x14ac:dyDescent="0.25">
      <c r="A3559" s="5" t="str">
        <f t="shared" si="1506"/>
        <v>44055EUR/USD</v>
      </c>
      <c r="B3559" s="6" t="s">
        <v>99</v>
      </c>
      <c r="C3559" s="6">
        <v>1.1599999999999999</v>
      </c>
      <c r="D3559" s="6">
        <v>1.19</v>
      </c>
      <c r="E3559" s="6">
        <v>1.17</v>
      </c>
      <c r="F3559" t="str">
        <f t="shared" si="1507"/>
        <v>WED</v>
      </c>
      <c r="G3559" s="3">
        <f t="shared" si="1508"/>
        <v>44055</v>
      </c>
      <c r="H3559" s="2">
        <f t="shared" ca="1" si="1509"/>
        <v>198</v>
      </c>
      <c r="I3559" t="str">
        <f t="shared" si="1510"/>
        <v>EUR/USD</v>
      </c>
      <c r="J3559">
        <f t="shared" si="1511"/>
        <v>1.1599999999999999</v>
      </c>
      <c r="K3559">
        <f t="shared" si="1512"/>
        <v>1.19</v>
      </c>
      <c r="L3559">
        <f t="shared" si="1513"/>
        <v>1.1749999999999998</v>
      </c>
      <c r="M3559">
        <f t="shared" si="1514"/>
        <v>1.5000000000000013E-2</v>
      </c>
      <c r="N3559">
        <f t="shared" si="1503"/>
        <v>3.0000000000000027E-2</v>
      </c>
      <c r="O3559">
        <f t="shared" si="1515"/>
        <v>1.17</v>
      </c>
      <c r="P3559">
        <f t="shared" si="1516"/>
        <v>-0.33333333333332593</v>
      </c>
      <c r="Q3559" t="str">
        <f t="shared" si="1504"/>
        <v>0.85% | 1.71%</v>
      </c>
      <c r="R3559" t="str">
        <f t="shared" si="1517"/>
        <v>BULLISH</v>
      </c>
      <c r="S3559">
        <f t="shared" si="1505"/>
        <v>1</v>
      </c>
    </row>
    <row r="3560" spans="1:19" hidden="1" x14ac:dyDescent="0.25">
      <c r="A3560" s="5" t="str">
        <f t="shared" si="1506"/>
        <v>44055USD/JPY</v>
      </c>
      <c r="B3560" s="6" t="s">
        <v>20</v>
      </c>
      <c r="C3560" s="6">
        <v>104.2</v>
      </c>
      <c r="D3560" s="6">
        <v>106.87</v>
      </c>
      <c r="E3560" s="6">
        <v>106.51</v>
      </c>
      <c r="F3560" t="str">
        <f t="shared" si="1507"/>
        <v>WED</v>
      </c>
      <c r="G3560" s="3">
        <f t="shared" si="1508"/>
        <v>44055</v>
      </c>
      <c r="H3560" s="2">
        <f t="shared" ca="1" si="1509"/>
        <v>198</v>
      </c>
      <c r="I3560" t="str">
        <f t="shared" si="1510"/>
        <v>USD/JPY</v>
      </c>
      <c r="J3560">
        <f t="shared" si="1511"/>
        <v>104.2</v>
      </c>
      <c r="K3560">
        <f t="shared" si="1512"/>
        <v>106.87</v>
      </c>
      <c r="L3560">
        <f t="shared" si="1513"/>
        <v>105.535</v>
      </c>
      <c r="M3560">
        <f t="shared" si="1514"/>
        <v>1.3350000000000009</v>
      </c>
      <c r="N3560">
        <f t="shared" si="1503"/>
        <v>2.6700000000000017</v>
      </c>
      <c r="O3560">
        <f t="shared" si="1515"/>
        <v>106.51</v>
      </c>
      <c r="P3560">
        <f t="shared" si="1516"/>
        <v>0.73033707865169128</v>
      </c>
      <c r="Q3560" t="str">
        <f t="shared" si="1504"/>
        <v>2.17% | 0.34%</v>
      </c>
      <c r="R3560" t="str">
        <f t="shared" si="1517"/>
        <v>BEARISH</v>
      </c>
      <c r="S3560">
        <f t="shared" si="1505"/>
        <v>-1</v>
      </c>
    </row>
    <row r="3561" spans="1:19" hidden="1" x14ac:dyDescent="0.25">
      <c r="A3561" s="5" t="str">
        <f t="shared" si="1506"/>
        <v>44055GBP/USD</v>
      </c>
      <c r="B3561" s="6" t="s">
        <v>102</v>
      </c>
      <c r="C3561" s="6">
        <v>1.29</v>
      </c>
      <c r="D3561" s="6">
        <v>1.32</v>
      </c>
      <c r="E3561" s="6">
        <v>1.3</v>
      </c>
      <c r="F3561" t="str">
        <f t="shared" si="1507"/>
        <v>WED</v>
      </c>
      <c r="G3561" s="3">
        <f t="shared" si="1508"/>
        <v>44055</v>
      </c>
      <c r="H3561" s="2">
        <f t="shared" ca="1" si="1509"/>
        <v>198</v>
      </c>
      <c r="I3561" t="str">
        <f t="shared" si="1510"/>
        <v>GBP/USD</v>
      </c>
      <c r="J3561">
        <f t="shared" si="1511"/>
        <v>1.29</v>
      </c>
      <c r="K3561">
        <f t="shared" si="1512"/>
        <v>1.32</v>
      </c>
      <c r="L3561">
        <f t="shared" si="1513"/>
        <v>1.3050000000000002</v>
      </c>
      <c r="M3561">
        <f t="shared" si="1514"/>
        <v>1.5000000000000013E-2</v>
      </c>
      <c r="N3561">
        <f t="shared" si="1503"/>
        <v>3.0000000000000027E-2</v>
      </c>
      <c r="O3561">
        <f t="shared" si="1515"/>
        <v>1.3</v>
      </c>
      <c r="P3561">
        <f t="shared" si="1516"/>
        <v>-0.33333333333334075</v>
      </c>
      <c r="Q3561" t="str">
        <f t="shared" si="1504"/>
        <v>0.77% | 1.54%</v>
      </c>
      <c r="R3561" t="str">
        <f t="shared" si="1517"/>
        <v>BULLISH</v>
      </c>
      <c r="S3561">
        <f t="shared" si="1505"/>
        <v>1</v>
      </c>
    </row>
    <row r="3562" spans="1:19" hidden="1" x14ac:dyDescent="0.25">
      <c r="A3562" s="5" t="str">
        <f t="shared" si="1506"/>
        <v>44055USD/CHF</v>
      </c>
      <c r="B3562" s="6" t="s">
        <v>76</v>
      </c>
      <c r="C3562" s="6">
        <v>0.9</v>
      </c>
      <c r="D3562" s="6">
        <v>0.92</v>
      </c>
      <c r="E3562" s="6">
        <v>0.91</v>
      </c>
      <c r="F3562" t="str">
        <f t="shared" si="1507"/>
        <v>WED</v>
      </c>
      <c r="G3562" s="3">
        <f t="shared" si="1508"/>
        <v>44055</v>
      </c>
      <c r="H3562" s="2">
        <f t="shared" ca="1" si="1509"/>
        <v>198</v>
      </c>
      <c r="I3562" t="str">
        <f t="shared" si="1510"/>
        <v>USD/CHF</v>
      </c>
      <c r="J3562">
        <f t="shared" si="1511"/>
        <v>0.9</v>
      </c>
      <c r="K3562">
        <f t="shared" si="1512"/>
        <v>0.92</v>
      </c>
      <c r="L3562">
        <f t="shared" si="1513"/>
        <v>0.91</v>
      </c>
      <c r="M3562">
        <f t="shared" si="1514"/>
        <v>1.0000000000000009E-2</v>
      </c>
      <c r="N3562">
        <f t="shared" si="1503"/>
        <v>2.0000000000000018E-2</v>
      </c>
      <c r="O3562">
        <f t="shared" si="1515"/>
        <v>0.91</v>
      </c>
      <c r="P3562">
        <f t="shared" si="1516"/>
        <v>0</v>
      </c>
      <c r="Q3562" t="str">
        <f t="shared" si="1504"/>
        <v>1.1% | 1.1%</v>
      </c>
      <c r="R3562" t="str">
        <f t="shared" si="1517"/>
        <v>BEARISH</v>
      </c>
      <c r="S3562">
        <f t="shared" si="1505"/>
        <v>-1</v>
      </c>
    </row>
    <row r="3563" spans="1:19" hidden="1" x14ac:dyDescent="0.25">
      <c r="A3563" s="5" t="str">
        <f t="shared" si="1506"/>
        <v>44055WTIC</v>
      </c>
      <c r="B3563" s="6" t="s">
        <v>158</v>
      </c>
      <c r="C3563" s="6">
        <v>39.81</v>
      </c>
      <c r="D3563" s="6">
        <v>42.99</v>
      </c>
      <c r="E3563" s="6">
        <v>41.61</v>
      </c>
      <c r="F3563" t="str">
        <f t="shared" si="1507"/>
        <v>WED</v>
      </c>
      <c r="G3563" s="3">
        <f t="shared" si="1508"/>
        <v>44055</v>
      </c>
      <c r="H3563" s="2">
        <f t="shared" ca="1" si="1509"/>
        <v>198</v>
      </c>
      <c r="I3563" t="str">
        <f t="shared" si="1510"/>
        <v>WTIC</v>
      </c>
      <c r="J3563">
        <f t="shared" si="1511"/>
        <v>39.81</v>
      </c>
      <c r="K3563">
        <f t="shared" si="1512"/>
        <v>42.99</v>
      </c>
      <c r="L3563">
        <f t="shared" si="1513"/>
        <v>41.400000000000006</v>
      </c>
      <c r="M3563">
        <f t="shared" si="1514"/>
        <v>1.5899999999999999</v>
      </c>
      <c r="N3563">
        <f t="shared" si="1503"/>
        <v>3.1799999999999997</v>
      </c>
      <c r="O3563">
        <f t="shared" si="1515"/>
        <v>41.61</v>
      </c>
      <c r="P3563">
        <f t="shared" si="1516"/>
        <v>0.13207547169810929</v>
      </c>
      <c r="Q3563" t="str">
        <f t="shared" si="1504"/>
        <v>4.33% | 3.32%</v>
      </c>
      <c r="R3563" t="str">
        <f t="shared" si="1517"/>
        <v>BULLISH</v>
      </c>
      <c r="S3563">
        <f t="shared" si="1505"/>
        <v>1</v>
      </c>
    </row>
    <row r="3564" spans="1:19" hidden="1" x14ac:dyDescent="0.25">
      <c r="A3564" s="5" t="str">
        <f t="shared" si="1506"/>
        <v>44055NATGAS</v>
      </c>
      <c r="B3564" s="6" t="s">
        <v>89</v>
      </c>
      <c r="C3564" s="6">
        <v>1.86</v>
      </c>
      <c r="D3564" s="6">
        <v>2.41</v>
      </c>
      <c r="E3564" s="6">
        <v>2.17</v>
      </c>
      <c r="F3564" t="str">
        <f t="shared" si="1507"/>
        <v>WED</v>
      </c>
      <c r="G3564" s="3">
        <f t="shared" si="1508"/>
        <v>44055</v>
      </c>
      <c r="H3564" s="2">
        <f t="shared" ca="1" si="1509"/>
        <v>198</v>
      </c>
      <c r="I3564" t="str">
        <f t="shared" si="1510"/>
        <v>NATGAS</v>
      </c>
      <c r="J3564">
        <f t="shared" si="1511"/>
        <v>1.86</v>
      </c>
      <c r="K3564">
        <f t="shared" si="1512"/>
        <v>2.41</v>
      </c>
      <c r="L3564">
        <f t="shared" si="1513"/>
        <v>2.1350000000000002</v>
      </c>
      <c r="M3564">
        <f t="shared" si="1514"/>
        <v>0.2749999999999993</v>
      </c>
      <c r="N3564">
        <f t="shared" si="1503"/>
        <v>0.55000000000000004</v>
      </c>
      <c r="O3564">
        <f t="shared" si="1515"/>
        <v>2.17</v>
      </c>
      <c r="P3564">
        <f t="shared" si="1516"/>
        <v>0.12727272727272651</v>
      </c>
      <c r="Q3564" t="str">
        <f t="shared" si="1504"/>
        <v>14.29% | 11.06%</v>
      </c>
      <c r="R3564" t="str">
        <f t="shared" si="1517"/>
        <v>BULLISH</v>
      </c>
      <c r="S3564">
        <f t="shared" si="1505"/>
        <v>1</v>
      </c>
    </row>
    <row r="3565" spans="1:19" hidden="1" x14ac:dyDescent="0.25">
      <c r="A3565" s="5" t="str">
        <f t="shared" si="1506"/>
        <v>44055GOLD</v>
      </c>
      <c r="B3565" s="6" t="s">
        <v>25</v>
      </c>
      <c r="C3565" s="6">
        <v>1921</v>
      </c>
      <c r="D3565" s="6">
        <v>2088</v>
      </c>
      <c r="E3565" s="6">
        <v>1946</v>
      </c>
      <c r="F3565" t="str">
        <f t="shared" si="1507"/>
        <v>WED</v>
      </c>
      <c r="G3565" s="3">
        <f t="shared" si="1508"/>
        <v>44055</v>
      </c>
      <c r="H3565" s="2">
        <f t="shared" ca="1" si="1509"/>
        <v>198</v>
      </c>
      <c r="I3565" t="str">
        <f t="shared" si="1510"/>
        <v>GOLD</v>
      </c>
      <c r="J3565">
        <f t="shared" si="1511"/>
        <v>1921</v>
      </c>
      <c r="K3565">
        <f t="shared" si="1512"/>
        <v>2088</v>
      </c>
      <c r="L3565">
        <f t="shared" si="1513"/>
        <v>2004.5</v>
      </c>
      <c r="M3565">
        <f t="shared" si="1514"/>
        <v>83.5</v>
      </c>
      <c r="N3565">
        <f t="shared" si="1503"/>
        <v>167</v>
      </c>
      <c r="O3565">
        <f t="shared" si="1515"/>
        <v>1946</v>
      </c>
      <c r="P3565">
        <f t="shared" si="1516"/>
        <v>-0.70059880239520955</v>
      </c>
      <c r="Q3565" t="str">
        <f t="shared" si="1504"/>
        <v>1.28% | 7.3%</v>
      </c>
      <c r="R3565" t="str">
        <f t="shared" si="1517"/>
        <v>BULLISH</v>
      </c>
      <c r="S3565">
        <f t="shared" si="1505"/>
        <v>1</v>
      </c>
    </row>
    <row r="3566" spans="1:19" hidden="1" x14ac:dyDescent="0.25">
      <c r="A3566" s="5" t="str">
        <f t="shared" si="1506"/>
        <v>44055SILVER</v>
      </c>
      <c r="B3566" s="6" t="s">
        <v>195</v>
      </c>
      <c r="C3566" s="6">
        <v>23.4</v>
      </c>
      <c r="D3566" s="6">
        <v>29.98</v>
      </c>
      <c r="E3566" s="6">
        <v>26.05</v>
      </c>
      <c r="F3566" t="str">
        <f t="shared" si="1507"/>
        <v>WED</v>
      </c>
      <c r="G3566" s="3">
        <f t="shared" si="1508"/>
        <v>44055</v>
      </c>
      <c r="H3566" s="2">
        <f t="shared" ca="1" si="1509"/>
        <v>198</v>
      </c>
      <c r="I3566" t="str">
        <f t="shared" si="1510"/>
        <v>SILVER</v>
      </c>
      <c r="J3566">
        <f t="shared" si="1511"/>
        <v>23.4</v>
      </c>
      <c r="K3566">
        <f t="shared" si="1512"/>
        <v>29.98</v>
      </c>
      <c r="L3566">
        <f t="shared" si="1513"/>
        <v>26.689999999999998</v>
      </c>
      <c r="M3566">
        <f t="shared" si="1514"/>
        <v>3.290000000000024</v>
      </c>
      <c r="N3566">
        <f t="shared" si="1503"/>
        <v>6.5800000000000018</v>
      </c>
      <c r="O3566">
        <f t="shared" si="1515"/>
        <v>26.05</v>
      </c>
      <c r="P3566">
        <f t="shared" si="1516"/>
        <v>-0.19452887537993688</v>
      </c>
      <c r="Q3566" t="str">
        <f t="shared" si="1504"/>
        <v>10.17% | 15.09%</v>
      </c>
      <c r="R3566" t="str">
        <f t="shared" si="1517"/>
        <v>BULLISH</v>
      </c>
      <c r="S3566">
        <f t="shared" si="1505"/>
        <v>1</v>
      </c>
    </row>
    <row r="3567" spans="1:19" hidden="1" x14ac:dyDescent="0.25">
      <c r="A3567" s="5" t="str">
        <f t="shared" si="1506"/>
        <v>44055COPPER</v>
      </c>
      <c r="B3567" s="6" t="s">
        <v>100</v>
      </c>
      <c r="C3567" s="6">
        <v>2.77</v>
      </c>
      <c r="D3567" s="6">
        <v>2.97</v>
      </c>
      <c r="E3567" s="6">
        <v>2.88</v>
      </c>
      <c r="F3567" t="str">
        <f t="shared" si="1507"/>
        <v>WED</v>
      </c>
      <c r="G3567" s="3">
        <f t="shared" si="1508"/>
        <v>44055</v>
      </c>
      <c r="H3567" s="2">
        <f t="shared" ca="1" si="1509"/>
        <v>198</v>
      </c>
      <c r="I3567" t="str">
        <f t="shared" si="1510"/>
        <v>COPPER</v>
      </c>
      <c r="J3567">
        <f t="shared" si="1511"/>
        <v>2.77</v>
      </c>
      <c r="K3567">
        <f t="shared" si="1512"/>
        <v>2.97</v>
      </c>
      <c r="L3567">
        <f t="shared" si="1513"/>
        <v>2.87</v>
      </c>
      <c r="M3567">
        <f t="shared" si="1514"/>
        <v>0.10000000000000009</v>
      </c>
      <c r="N3567">
        <f t="shared" si="1503"/>
        <v>0.20000000000000018</v>
      </c>
      <c r="O3567">
        <f t="shared" si="1515"/>
        <v>2.88</v>
      </c>
      <c r="P3567">
        <f t="shared" si="1516"/>
        <v>9.9999999999997785E-2</v>
      </c>
      <c r="Q3567" t="str">
        <f t="shared" si="1504"/>
        <v>3.82% | 3.13%</v>
      </c>
      <c r="R3567" t="str">
        <f t="shared" si="1517"/>
        <v>BULLISH</v>
      </c>
      <c r="S3567">
        <f t="shared" si="1505"/>
        <v>1</v>
      </c>
    </row>
    <row r="3568" spans="1:19" hidden="1" x14ac:dyDescent="0.25">
      <c r="A3568" s="5" t="str">
        <f t="shared" si="1506"/>
        <v>44055MSFT</v>
      </c>
      <c r="B3568" s="6" t="s">
        <v>27</v>
      </c>
      <c r="C3568" s="6">
        <v>200</v>
      </c>
      <c r="D3568" s="6">
        <v>221</v>
      </c>
      <c r="E3568" s="6">
        <v>203</v>
      </c>
      <c r="F3568" t="str">
        <f t="shared" si="1507"/>
        <v>WED</v>
      </c>
      <c r="G3568" s="3">
        <f t="shared" si="1508"/>
        <v>44055</v>
      </c>
      <c r="H3568" s="2">
        <f t="shared" ca="1" si="1509"/>
        <v>198</v>
      </c>
      <c r="I3568" t="str">
        <f t="shared" si="1510"/>
        <v>MSFT</v>
      </c>
      <c r="J3568">
        <f t="shared" si="1511"/>
        <v>200</v>
      </c>
      <c r="K3568">
        <f t="shared" si="1512"/>
        <v>221</v>
      </c>
      <c r="L3568">
        <f t="shared" si="1513"/>
        <v>210.5</v>
      </c>
      <c r="M3568">
        <f t="shared" si="1514"/>
        <v>10.5</v>
      </c>
      <c r="N3568">
        <f t="shared" si="1503"/>
        <v>21</v>
      </c>
      <c r="O3568">
        <f t="shared" si="1515"/>
        <v>203</v>
      </c>
      <c r="P3568">
        <f t="shared" si="1516"/>
        <v>-0.7142857142857143</v>
      </c>
      <c r="Q3568" t="str">
        <f t="shared" si="1504"/>
        <v>1.48% | 8.87%</v>
      </c>
      <c r="R3568" t="str">
        <f t="shared" si="1517"/>
        <v>BULLISH</v>
      </c>
      <c r="S3568">
        <f t="shared" si="1505"/>
        <v>1</v>
      </c>
    </row>
    <row r="3569" spans="1:19" hidden="1" x14ac:dyDescent="0.25">
      <c r="A3569" s="5" t="str">
        <f t="shared" si="1506"/>
        <v>44055AAPL</v>
      </c>
      <c r="B3569" s="6" t="s">
        <v>28</v>
      </c>
      <c r="C3569" s="6">
        <v>409</v>
      </c>
      <c r="D3569" s="6">
        <v>475</v>
      </c>
      <c r="E3569" s="6">
        <v>437</v>
      </c>
      <c r="F3569" t="str">
        <f t="shared" si="1507"/>
        <v>WED</v>
      </c>
      <c r="G3569" s="3">
        <f t="shared" si="1508"/>
        <v>44055</v>
      </c>
      <c r="H3569" s="2">
        <f t="shared" ca="1" si="1509"/>
        <v>198</v>
      </c>
      <c r="I3569" t="str">
        <f t="shared" si="1510"/>
        <v>AAPL</v>
      </c>
      <c r="J3569">
        <f t="shared" si="1511"/>
        <v>409</v>
      </c>
      <c r="K3569">
        <f t="shared" si="1512"/>
        <v>475</v>
      </c>
      <c r="L3569">
        <f t="shared" si="1513"/>
        <v>442</v>
      </c>
      <c r="M3569">
        <f t="shared" si="1514"/>
        <v>33</v>
      </c>
      <c r="N3569">
        <f t="shared" si="1503"/>
        <v>66</v>
      </c>
      <c r="O3569">
        <f t="shared" si="1515"/>
        <v>437</v>
      </c>
      <c r="P3569">
        <f t="shared" si="1516"/>
        <v>-0.15151515151515152</v>
      </c>
      <c r="Q3569" t="str">
        <f t="shared" si="1504"/>
        <v>6.41% | 8.7%</v>
      </c>
      <c r="R3569" t="str">
        <f t="shared" si="1517"/>
        <v>BULLISH</v>
      </c>
      <c r="S3569">
        <f t="shared" si="1505"/>
        <v>1</v>
      </c>
    </row>
    <row r="3570" spans="1:19" hidden="1" x14ac:dyDescent="0.25">
      <c r="A3570" s="5" t="str">
        <f t="shared" si="1506"/>
        <v>44055AMZN</v>
      </c>
      <c r="B3570" s="6" t="s">
        <v>29</v>
      </c>
      <c r="C3570" s="6">
        <v>3028</v>
      </c>
      <c r="D3570" s="6">
        <v>3251</v>
      </c>
      <c r="E3570" s="6">
        <v>3080</v>
      </c>
      <c r="F3570" t="str">
        <f t="shared" si="1507"/>
        <v>WED</v>
      </c>
      <c r="G3570" s="3">
        <f t="shared" si="1508"/>
        <v>44055</v>
      </c>
      <c r="H3570" s="2">
        <f t="shared" ca="1" si="1509"/>
        <v>198</v>
      </c>
      <c r="I3570" t="str">
        <f t="shared" si="1510"/>
        <v>AMZN</v>
      </c>
      <c r="J3570">
        <f t="shared" si="1511"/>
        <v>3028</v>
      </c>
      <c r="K3570">
        <f t="shared" si="1512"/>
        <v>3251</v>
      </c>
      <c r="L3570">
        <f t="shared" si="1513"/>
        <v>3139.5</v>
      </c>
      <c r="M3570">
        <f t="shared" si="1514"/>
        <v>111.5</v>
      </c>
      <c r="N3570">
        <f t="shared" si="1503"/>
        <v>223</v>
      </c>
      <c r="O3570">
        <f t="shared" si="1515"/>
        <v>3080</v>
      </c>
      <c r="P3570">
        <f t="shared" si="1516"/>
        <v>-0.53363228699551568</v>
      </c>
      <c r="Q3570" t="str">
        <f t="shared" si="1504"/>
        <v>1.69% | 5.55%</v>
      </c>
      <c r="R3570" t="str">
        <f t="shared" si="1517"/>
        <v>BULLISH</v>
      </c>
      <c r="S3570">
        <f t="shared" si="1505"/>
        <v>1</v>
      </c>
    </row>
    <row r="3571" spans="1:19" hidden="1" x14ac:dyDescent="0.25">
      <c r="A3571" s="5" t="str">
        <f t="shared" si="1506"/>
        <v>44055FB</v>
      </c>
      <c r="B3571" s="6" t="s">
        <v>30</v>
      </c>
      <c r="C3571" s="6">
        <v>235</v>
      </c>
      <c r="D3571" s="6">
        <v>275</v>
      </c>
      <c r="E3571" s="6">
        <v>256</v>
      </c>
      <c r="F3571" t="str">
        <f t="shared" si="1507"/>
        <v>WED</v>
      </c>
      <c r="G3571" s="3">
        <f t="shared" si="1508"/>
        <v>44055</v>
      </c>
      <c r="H3571" s="2">
        <f t="shared" ca="1" si="1509"/>
        <v>198</v>
      </c>
      <c r="I3571" t="str">
        <f t="shared" si="1510"/>
        <v>FB</v>
      </c>
      <c r="J3571">
        <f t="shared" si="1511"/>
        <v>235</v>
      </c>
      <c r="K3571">
        <f t="shared" si="1512"/>
        <v>275</v>
      </c>
      <c r="L3571">
        <f t="shared" si="1513"/>
        <v>255</v>
      </c>
      <c r="M3571">
        <f t="shared" si="1514"/>
        <v>20</v>
      </c>
      <c r="N3571">
        <f t="shared" si="1503"/>
        <v>40</v>
      </c>
      <c r="O3571">
        <f t="shared" si="1515"/>
        <v>256</v>
      </c>
      <c r="P3571">
        <f t="shared" si="1516"/>
        <v>0.05</v>
      </c>
      <c r="Q3571" t="str">
        <f t="shared" si="1504"/>
        <v>8.2% | 7.42%</v>
      </c>
      <c r="R3571" t="str">
        <f t="shared" si="1517"/>
        <v>BULLISH</v>
      </c>
      <c r="S3571">
        <f t="shared" si="1505"/>
        <v>1</v>
      </c>
    </row>
    <row r="3572" spans="1:19" hidden="1" x14ac:dyDescent="0.25">
      <c r="A3572" s="5" t="str">
        <f t="shared" si="1506"/>
        <v>44055GOOGL</v>
      </c>
      <c r="B3572" s="6" t="s">
        <v>31</v>
      </c>
      <c r="C3572" s="6">
        <v>1454</v>
      </c>
      <c r="D3572" s="6">
        <v>1531</v>
      </c>
      <c r="E3572" s="6">
        <v>1480</v>
      </c>
      <c r="F3572" t="str">
        <f t="shared" si="1507"/>
        <v>WED</v>
      </c>
      <c r="G3572" s="3">
        <f t="shared" si="1508"/>
        <v>44055</v>
      </c>
      <c r="H3572" s="2">
        <f t="shared" ca="1" si="1509"/>
        <v>198</v>
      </c>
      <c r="I3572" t="str">
        <f t="shared" si="1510"/>
        <v>GOOGL</v>
      </c>
      <c r="J3572">
        <f t="shared" si="1511"/>
        <v>1454</v>
      </c>
      <c r="K3572">
        <f t="shared" si="1512"/>
        <v>1531</v>
      </c>
      <c r="L3572">
        <f t="shared" si="1513"/>
        <v>1492.5</v>
      </c>
      <c r="M3572">
        <f t="shared" si="1514"/>
        <v>38.5</v>
      </c>
      <c r="N3572">
        <f t="shared" si="1503"/>
        <v>77</v>
      </c>
      <c r="O3572">
        <f t="shared" si="1515"/>
        <v>1480</v>
      </c>
      <c r="P3572">
        <f t="shared" si="1516"/>
        <v>-0.32467532467532467</v>
      </c>
      <c r="Q3572" t="str">
        <f t="shared" si="1504"/>
        <v>1.76% | 3.45%</v>
      </c>
      <c r="R3572" t="str">
        <f t="shared" si="1517"/>
        <v>BULLISH</v>
      </c>
      <c r="S3572">
        <f t="shared" si="1505"/>
        <v>1</v>
      </c>
    </row>
    <row r="3573" spans="1:19" hidden="1" x14ac:dyDescent="0.25">
      <c r="A3573" s="5" t="str">
        <f t="shared" si="1506"/>
        <v>44055NFLX</v>
      </c>
      <c r="B3573" s="6" t="s">
        <v>70</v>
      </c>
      <c r="C3573" s="6">
        <v>456</v>
      </c>
      <c r="D3573" s="6">
        <v>511</v>
      </c>
      <c r="E3573" s="6">
        <v>466</v>
      </c>
      <c r="F3573" t="str">
        <f t="shared" si="1507"/>
        <v>WED</v>
      </c>
      <c r="G3573" s="3">
        <f t="shared" si="1508"/>
        <v>44055</v>
      </c>
      <c r="H3573" s="2">
        <f t="shared" ca="1" si="1509"/>
        <v>198</v>
      </c>
      <c r="I3573" t="str">
        <f t="shared" si="1510"/>
        <v>NFLX</v>
      </c>
      <c r="J3573">
        <f t="shared" si="1511"/>
        <v>456</v>
      </c>
      <c r="K3573">
        <f t="shared" si="1512"/>
        <v>511</v>
      </c>
      <c r="L3573">
        <f t="shared" si="1513"/>
        <v>483.5</v>
      </c>
      <c r="M3573">
        <f t="shared" si="1514"/>
        <v>27.5</v>
      </c>
      <c r="N3573">
        <f t="shared" si="1503"/>
        <v>55</v>
      </c>
      <c r="O3573">
        <f t="shared" si="1515"/>
        <v>466</v>
      </c>
      <c r="P3573">
        <f t="shared" si="1516"/>
        <v>-0.63636363636363635</v>
      </c>
      <c r="Q3573" t="str">
        <f t="shared" si="1504"/>
        <v>2.15% | 9.66%</v>
      </c>
      <c r="R3573" t="str">
        <f t="shared" si="1517"/>
        <v>NEUTRAL</v>
      </c>
      <c r="S3573">
        <f t="shared" si="1505"/>
        <v>0</v>
      </c>
    </row>
    <row r="3574" spans="1:19" x14ac:dyDescent="0.25">
      <c r="A3574" s="5" t="str">
        <f t="shared" si="1506"/>
        <v>44055TSLA</v>
      </c>
      <c r="B3574" s="6" t="s">
        <v>71</v>
      </c>
      <c r="C3574" s="6">
        <v>1350</v>
      </c>
      <c r="D3574" s="6">
        <v>1480</v>
      </c>
      <c r="E3574" s="6">
        <v>1374</v>
      </c>
      <c r="F3574" t="str">
        <f t="shared" si="1507"/>
        <v>WED</v>
      </c>
      <c r="G3574" s="3">
        <f t="shared" si="1508"/>
        <v>44055</v>
      </c>
      <c r="H3574" s="2">
        <f t="shared" ca="1" si="1509"/>
        <v>198</v>
      </c>
      <c r="I3574" t="str">
        <f t="shared" si="1510"/>
        <v>TSLA</v>
      </c>
      <c r="J3574">
        <f t="shared" si="1511"/>
        <v>1350</v>
      </c>
      <c r="K3574">
        <f t="shared" si="1512"/>
        <v>1480</v>
      </c>
      <c r="L3574">
        <f t="shared" si="1513"/>
        <v>1415</v>
      </c>
      <c r="M3574">
        <f t="shared" si="1514"/>
        <v>65</v>
      </c>
      <c r="N3574">
        <f t="shared" si="1503"/>
        <v>130</v>
      </c>
      <c r="O3574">
        <f t="shared" si="1515"/>
        <v>1374</v>
      </c>
      <c r="P3574">
        <f t="shared" si="1516"/>
        <v>-0.63076923076923075</v>
      </c>
      <c r="Q3574" t="str">
        <f t="shared" si="1504"/>
        <v>1.75% | 7.71%</v>
      </c>
      <c r="R3574" t="str">
        <f t="shared" si="1517"/>
        <v>NEUTRAL</v>
      </c>
      <c r="S3574">
        <f t="shared" si="1505"/>
        <v>0</v>
      </c>
    </row>
    <row r="3575" spans="1:19" hidden="1" x14ac:dyDescent="0.25">
      <c r="A3575" s="5" t="str">
        <f t="shared" si="1506"/>
        <v>44055NYXBT</v>
      </c>
      <c r="B3575" s="6" t="s">
        <v>60</v>
      </c>
      <c r="C3575" s="6">
        <v>10898</v>
      </c>
      <c r="D3575" s="6">
        <v>12087</v>
      </c>
      <c r="E3575" s="6">
        <v>11591</v>
      </c>
      <c r="F3575" t="str">
        <f t="shared" si="1507"/>
        <v>WED</v>
      </c>
      <c r="G3575" s="3">
        <f t="shared" si="1508"/>
        <v>44055</v>
      </c>
      <c r="H3575" s="2">
        <f t="shared" ca="1" si="1509"/>
        <v>198</v>
      </c>
      <c r="I3575" t="str">
        <f t="shared" si="1510"/>
        <v>NYXBT</v>
      </c>
      <c r="J3575">
        <f t="shared" si="1511"/>
        <v>10898</v>
      </c>
      <c r="K3575">
        <f t="shared" si="1512"/>
        <v>12087</v>
      </c>
      <c r="L3575">
        <f t="shared" si="1513"/>
        <v>11492.5</v>
      </c>
      <c r="M3575">
        <f t="shared" si="1514"/>
        <v>594.5</v>
      </c>
      <c r="N3575">
        <f t="shared" si="1503"/>
        <v>1189</v>
      </c>
      <c r="O3575">
        <f t="shared" si="1515"/>
        <v>11591</v>
      </c>
      <c r="P3575">
        <f t="shared" si="1516"/>
        <v>0.16568544995794784</v>
      </c>
      <c r="Q3575" t="str">
        <f t="shared" si="1504"/>
        <v>5.98% | 4.28%</v>
      </c>
      <c r="R3575" t="str">
        <f t="shared" si="1517"/>
        <v>BULLISH</v>
      </c>
      <c r="S3575">
        <f t="shared" si="1505"/>
        <v>1</v>
      </c>
    </row>
    <row r="3576" spans="1:19" hidden="1" x14ac:dyDescent="0.25">
      <c r="A3576" s="5" t="str">
        <f t="shared" si="1506"/>
        <v>44056UST10Y</v>
      </c>
      <c r="B3576" s="6" t="s">
        <v>4</v>
      </c>
      <c r="C3576" s="6">
        <v>0.69</v>
      </c>
      <c r="D3576" s="6">
        <v>0.49</v>
      </c>
      <c r="E3576" s="6">
        <v>0.69</v>
      </c>
      <c r="F3576" t="str">
        <f t="shared" si="1507"/>
        <v>THU</v>
      </c>
      <c r="G3576" s="1">
        <f>DATE(2020,8,13)</f>
        <v>44056</v>
      </c>
      <c r="H3576" s="2">
        <f t="shared" ca="1" si="1509"/>
        <v>197</v>
      </c>
      <c r="I3576" t="str">
        <f t="shared" si="1510"/>
        <v>UST10Y</v>
      </c>
      <c r="J3576">
        <f t="shared" si="1511"/>
        <v>0.69</v>
      </c>
      <c r="K3576">
        <f t="shared" si="1512"/>
        <v>0.49</v>
      </c>
      <c r="L3576">
        <f t="shared" si="1513"/>
        <v>0.59</v>
      </c>
      <c r="M3576">
        <f t="shared" si="1514"/>
        <v>0.10000000000000005</v>
      </c>
      <c r="N3576">
        <f t="shared" si="1503"/>
        <v>0.19999999999999996</v>
      </c>
      <c r="O3576">
        <f t="shared" si="1515"/>
        <v>0.69</v>
      </c>
      <c r="P3576">
        <f t="shared" si="1516"/>
        <v>0.99999999999999933</v>
      </c>
      <c r="Q3576" t="str">
        <f t="shared" si="1504"/>
        <v>0% | 28.99%</v>
      </c>
      <c r="R3576" t="str">
        <f t="shared" si="1517"/>
        <v>BEARISH</v>
      </c>
      <c r="S3576">
        <f t="shared" si="1505"/>
        <v>-1</v>
      </c>
    </row>
    <row r="3577" spans="1:19" hidden="1" x14ac:dyDescent="0.25">
      <c r="A3577" s="5" t="str">
        <f t="shared" si="1506"/>
        <v>44056UST2Y</v>
      </c>
      <c r="B3577" s="6" t="s">
        <v>5</v>
      </c>
      <c r="C3577" s="6">
        <v>0.17</v>
      </c>
      <c r="D3577" s="6">
        <v>0.09</v>
      </c>
      <c r="E3577" s="6">
        <v>0.16</v>
      </c>
      <c r="F3577" t="str">
        <f t="shared" ref="F3577:F3607" si="1518">UPPER(TEXT(G3577,"ddd"))</f>
        <v>THU</v>
      </c>
      <c r="G3577" s="1">
        <f t="shared" ref="G3577:G3606" si="1519">DATE(2020,8,13)</f>
        <v>44056</v>
      </c>
      <c r="H3577" s="2">
        <f t="shared" ref="H3577:H3607" ca="1" si="1520">TODAY()-G3577</f>
        <v>197</v>
      </c>
      <c r="I3577" t="str">
        <f t="shared" ref="I3577:I3607" si="1521">TRIM(LEFT(B3577,FIND(" ",B3577,1)))</f>
        <v>UST2Y</v>
      </c>
      <c r="J3577">
        <f t="shared" ref="J3577:J3607" si="1522">C3577</f>
        <v>0.17</v>
      </c>
      <c r="K3577">
        <f t="shared" ref="K3577:K3607" si="1523">D3577</f>
        <v>0.09</v>
      </c>
      <c r="L3577">
        <f t="shared" ref="L3577:L3607" si="1524">AVERAGE(J3577:K3577)</f>
        <v>0.13</v>
      </c>
      <c r="M3577">
        <f t="shared" ref="M3577:M3607" si="1525">_xlfn.STDEV.P(J3577:K3577)</f>
        <v>4.0000000000000008E-2</v>
      </c>
      <c r="N3577">
        <f t="shared" si="1503"/>
        <v>8.0000000000000016E-2</v>
      </c>
      <c r="O3577">
        <f t="shared" ref="O3577:O3607" si="1526">E3577</f>
        <v>0.16</v>
      </c>
      <c r="P3577">
        <f t="shared" ref="P3577:P3607" si="1527">(O3577-L3577)/M3577</f>
        <v>0.74999999999999978</v>
      </c>
      <c r="Q3577" t="str">
        <f t="shared" si="1504"/>
        <v>6.25% | 43.75%</v>
      </c>
      <c r="R3577" t="str">
        <f t="shared" ref="R3577:R3607" si="1528">MID(B3577,FIND("(",B3577,1)+1,FIND(")",B3577,1)-FIND("(",B3577,1)-1)</f>
        <v>BEARISH</v>
      </c>
      <c r="S3577">
        <f t="shared" si="1505"/>
        <v>-1</v>
      </c>
    </row>
    <row r="3578" spans="1:19" hidden="1" x14ac:dyDescent="0.25">
      <c r="A3578" s="5" t="str">
        <f t="shared" si="1506"/>
        <v>44056SPX</v>
      </c>
      <c r="B3578" s="6" t="s">
        <v>93</v>
      </c>
      <c r="C3578" s="6">
        <v>3259</v>
      </c>
      <c r="D3578" s="6">
        <v>3399</v>
      </c>
      <c r="E3578" s="6">
        <v>3380</v>
      </c>
      <c r="F3578" t="str">
        <f t="shared" si="1518"/>
        <v>THU</v>
      </c>
      <c r="G3578" s="1">
        <f t="shared" si="1519"/>
        <v>44056</v>
      </c>
      <c r="H3578" s="2">
        <f t="shared" ca="1" si="1520"/>
        <v>197</v>
      </c>
      <c r="I3578" t="str">
        <f t="shared" si="1521"/>
        <v>SPX</v>
      </c>
      <c r="J3578">
        <f t="shared" si="1522"/>
        <v>3259</v>
      </c>
      <c r="K3578">
        <f t="shared" si="1523"/>
        <v>3399</v>
      </c>
      <c r="L3578">
        <f t="shared" si="1524"/>
        <v>3329</v>
      </c>
      <c r="M3578">
        <f t="shared" si="1525"/>
        <v>70</v>
      </c>
      <c r="N3578">
        <f t="shared" si="1503"/>
        <v>140</v>
      </c>
      <c r="O3578">
        <f t="shared" si="1526"/>
        <v>3380</v>
      </c>
      <c r="P3578">
        <f t="shared" si="1527"/>
        <v>0.72857142857142854</v>
      </c>
      <c r="Q3578" t="str">
        <f t="shared" si="1504"/>
        <v>3.58% | 0.56%</v>
      </c>
      <c r="R3578" t="str">
        <f t="shared" si="1528"/>
        <v>BULLISH</v>
      </c>
      <c r="S3578">
        <f t="shared" si="1505"/>
        <v>1</v>
      </c>
    </row>
    <row r="3579" spans="1:19" hidden="1" x14ac:dyDescent="0.25">
      <c r="A3579" s="5" t="str">
        <f t="shared" si="1506"/>
        <v>44056RUT</v>
      </c>
      <c r="B3579" s="6" t="s">
        <v>7</v>
      </c>
      <c r="C3579" s="6">
        <v>1476</v>
      </c>
      <c r="D3579" s="6">
        <v>1615</v>
      </c>
      <c r="E3579" s="6">
        <v>1583</v>
      </c>
      <c r="F3579" t="str">
        <f t="shared" si="1518"/>
        <v>THU</v>
      </c>
      <c r="G3579" s="1">
        <f t="shared" si="1519"/>
        <v>44056</v>
      </c>
      <c r="H3579" s="2">
        <f t="shared" ca="1" si="1520"/>
        <v>197</v>
      </c>
      <c r="I3579" t="str">
        <f t="shared" si="1521"/>
        <v>RUT</v>
      </c>
      <c r="J3579">
        <f t="shared" si="1522"/>
        <v>1476</v>
      </c>
      <c r="K3579">
        <f t="shared" si="1523"/>
        <v>1615</v>
      </c>
      <c r="L3579">
        <f t="shared" si="1524"/>
        <v>1545.5</v>
      </c>
      <c r="M3579">
        <f t="shared" si="1525"/>
        <v>69.5</v>
      </c>
      <c r="N3579">
        <f t="shared" si="1503"/>
        <v>139</v>
      </c>
      <c r="O3579">
        <f t="shared" si="1526"/>
        <v>1583</v>
      </c>
      <c r="P3579">
        <f t="shared" si="1527"/>
        <v>0.53956834532374098</v>
      </c>
      <c r="Q3579" t="str">
        <f t="shared" si="1504"/>
        <v>6.76% | 2.02%</v>
      </c>
      <c r="R3579" t="str">
        <f t="shared" si="1528"/>
        <v>BEARISH</v>
      </c>
      <c r="S3579">
        <f t="shared" si="1505"/>
        <v>-1</v>
      </c>
    </row>
    <row r="3580" spans="1:19" hidden="1" x14ac:dyDescent="0.25">
      <c r="A3580" s="5" t="str">
        <f t="shared" si="1506"/>
        <v>44056COMPQ</v>
      </c>
      <c r="B3580" s="6" t="s">
        <v>8</v>
      </c>
      <c r="C3580" s="6">
        <v>10703</v>
      </c>
      <c r="D3580" s="6">
        <v>11178</v>
      </c>
      <c r="E3580" s="6">
        <v>11012</v>
      </c>
      <c r="F3580" t="str">
        <f t="shared" si="1518"/>
        <v>THU</v>
      </c>
      <c r="G3580" s="1">
        <f t="shared" si="1519"/>
        <v>44056</v>
      </c>
      <c r="H3580" s="2">
        <f t="shared" ca="1" si="1520"/>
        <v>197</v>
      </c>
      <c r="I3580" t="str">
        <f t="shared" si="1521"/>
        <v>COMPQ</v>
      </c>
      <c r="J3580">
        <f t="shared" si="1522"/>
        <v>10703</v>
      </c>
      <c r="K3580">
        <f t="shared" si="1523"/>
        <v>11178</v>
      </c>
      <c r="L3580">
        <f t="shared" si="1524"/>
        <v>10940.5</v>
      </c>
      <c r="M3580">
        <f t="shared" si="1525"/>
        <v>237.5</v>
      </c>
      <c r="N3580">
        <f t="shared" si="1503"/>
        <v>475</v>
      </c>
      <c r="O3580">
        <f t="shared" si="1526"/>
        <v>11012</v>
      </c>
      <c r="P3580">
        <f t="shared" si="1527"/>
        <v>0.30105263157894735</v>
      </c>
      <c r="Q3580" t="str">
        <f t="shared" si="1504"/>
        <v>2.81% | 1.51%</v>
      </c>
      <c r="R3580" t="str">
        <f t="shared" si="1528"/>
        <v>BULLISH</v>
      </c>
      <c r="S3580">
        <f t="shared" si="1505"/>
        <v>1</v>
      </c>
    </row>
    <row r="3581" spans="1:19" hidden="1" x14ac:dyDescent="0.25">
      <c r="A3581" s="5" t="str">
        <f t="shared" si="1506"/>
        <v>44056XLK</v>
      </c>
      <c r="B3581" s="6" t="s">
        <v>10</v>
      </c>
      <c r="C3581" s="6">
        <v>108.95</v>
      </c>
      <c r="D3581" s="6">
        <v>116.16</v>
      </c>
      <c r="E3581" s="6">
        <v>113.91</v>
      </c>
      <c r="F3581" t="str">
        <f t="shared" si="1518"/>
        <v>THU</v>
      </c>
      <c r="G3581" s="1">
        <f t="shared" si="1519"/>
        <v>44056</v>
      </c>
      <c r="H3581" s="2">
        <f t="shared" ca="1" si="1520"/>
        <v>197</v>
      </c>
      <c r="I3581" t="str">
        <f t="shared" si="1521"/>
        <v>XLK</v>
      </c>
      <c r="J3581">
        <f t="shared" si="1522"/>
        <v>108.95</v>
      </c>
      <c r="K3581">
        <f t="shared" si="1523"/>
        <v>116.16</v>
      </c>
      <c r="L3581">
        <f t="shared" si="1524"/>
        <v>112.55500000000001</v>
      </c>
      <c r="M3581">
        <f t="shared" si="1525"/>
        <v>3.6049999999999969</v>
      </c>
      <c r="N3581">
        <f t="shared" si="1503"/>
        <v>7.2099999999999937</v>
      </c>
      <c r="O3581">
        <f t="shared" si="1526"/>
        <v>113.91</v>
      </c>
      <c r="P3581">
        <f t="shared" si="1527"/>
        <v>0.37586685159500444</v>
      </c>
      <c r="Q3581" t="str">
        <f t="shared" si="1504"/>
        <v>4.35% | 1.98%</v>
      </c>
      <c r="R3581" t="str">
        <f t="shared" si="1528"/>
        <v>BULLISH</v>
      </c>
      <c r="S3581">
        <f t="shared" si="1505"/>
        <v>1</v>
      </c>
    </row>
    <row r="3582" spans="1:19" hidden="1" x14ac:dyDescent="0.25">
      <c r="A3582" s="5" t="str">
        <f t="shared" si="1506"/>
        <v>44056XLRE</v>
      </c>
      <c r="B3582" s="6" t="s">
        <v>97</v>
      </c>
      <c r="C3582" s="6">
        <v>35.07</v>
      </c>
      <c r="D3582" s="6">
        <v>36.880000000000003</v>
      </c>
      <c r="E3582" s="6">
        <v>36.19</v>
      </c>
      <c r="F3582" t="str">
        <f t="shared" si="1518"/>
        <v>THU</v>
      </c>
      <c r="G3582" s="1">
        <f t="shared" si="1519"/>
        <v>44056</v>
      </c>
      <c r="H3582" s="2">
        <f t="shared" ca="1" si="1520"/>
        <v>197</v>
      </c>
      <c r="I3582" t="str">
        <f t="shared" si="1521"/>
        <v>XLRE</v>
      </c>
      <c r="J3582">
        <f t="shared" si="1522"/>
        <v>35.07</v>
      </c>
      <c r="K3582">
        <f t="shared" si="1523"/>
        <v>36.880000000000003</v>
      </c>
      <c r="L3582">
        <f t="shared" si="1524"/>
        <v>35.975000000000001</v>
      </c>
      <c r="M3582">
        <f t="shared" si="1525"/>
        <v>0.90500000000000114</v>
      </c>
      <c r="N3582">
        <f t="shared" si="1503"/>
        <v>1.8100000000000023</v>
      </c>
      <c r="O3582">
        <f t="shared" si="1526"/>
        <v>36.19</v>
      </c>
      <c r="P3582">
        <f t="shared" si="1527"/>
        <v>0.23756906077347628</v>
      </c>
      <c r="Q3582" t="str">
        <f t="shared" si="1504"/>
        <v>3.09% | 1.91%</v>
      </c>
      <c r="R3582" t="str">
        <f t="shared" si="1528"/>
        <v>BULLISH</v>
      </c>
      <c r="S3582">
        <f t="shared" si="1505"/>
        <v>1</v>
      </c>
    </row>
    <row r="3583" spans="1:19" hidden="1" x14ac:dyDescent="0.25">
      <c r="A3583" s="5" t="str">
        <f t="shared" si="1506"/>
        <v>44056XLU</v>
      </c>
      <c r="B3583" s="6" t="s">
        <v>52</v>
      </c>
      <c r="C3583" s="6">
        <v>59.47</v>
      </c>
      <c r="D3583" s="6">
        <v>61.85</v>
      </c>
      <c r="E3583" s="6">
        <v>61.01</v>
      </c>
      <c r="F3583" t="str">
        <f t="shared" si="1518"/>
        <v>THU</v>
      </c>
      <c r="G3583" s="1">
        <f t="shared" si="1519"/>
        <v>44056</v>
      </c>
      <c r="H3583" s="2">
        <f t="shared" ca="1" si="1520"/>
        <v>197</v>
      </c>
      <c r="I3583" t="str">
        <f t="shared" si="1521"/>
        <v>XLU</v>
      </c>
      <c r="J3583">
        <f t="shared" si="1522"/>
        <v>59.47</v>
      </c>
      <c r="K3583">
        <f t="shared" si="1523"/>
        <v>61.85</v>
      </c>
      <c r="L3583">
        <f t="shared" si="1524"/>
        <v>60.66</v>
      </c>
      <c r="M3583">
        <f t="shared" si="1525"/>
        <v>1.1900000000000013</v>
      </c>
      <c r="N3583">
        <f t="shared" si="1503"/>
        <v>2.3800000000000026</v>
      </c>
      <c r="O3583">
        <f t="shared" si="1526"/>
        <v>61.01</v>
      </c>
      <c r="P3583">
        <f t="shared" si="1527"/>
        <v>0.29411764705882443</v>
      </c>
      <c r="Q3583" t="str">
        <f t="shared" si="1504"/>
        <v>2.52% | 1.38%</v>
      </c>
      <c r="R3583" t="str">
        <f t="shared" si="1528"/>
        <v>BULLISH</v>
      </c>
      <c r="S3583">
        <f t="shared" si="1505"/>
        <v>1</v>
      </c>
    </row>
    <row r="3584" spans="1:19" hidden="1" x14ac:dyDescent="0.25">
      <c r="A3584" s="5" t="str">
        <f t="shared" si="1506"/>
        <v>44056XLF</v>
      </c>
      <c r="B3584" s="6" t="s">
        <v>12</v>
      </c>
      <c r="C3584" s="6">
        <v>23.52</v>
      </c>
      <c r="D3584" s="6">
        <v>25.59</v>
      </c>
      <c r="E3584" s="6">
        <v>25.24</v>
      </c>
      <c r="F3584" t="str">
        <f t="shared" si="1518"/>
        <v>THU</v>
      </c>
      <c r="G3584" s="1">
        <f t="shared" si="1519"/>
        <v>44056</v>
      </c>
      <c r="H3584" s="2">
        <f t="shared" ca="1" si="1520"/>
        <v>197</v>
      </c>
      <c r="I3584" t="str">
        <f t="shared" si="1521"/>
        <v>XLF</v>
      </c>
      <c r="J3584">
        <f t="shared" si="1522"/>
        <v>23.52</v>
      </c>
      <c r="K3584">
        <f t="shared" si="1523"/>
        <v>25.59</v>
      </c>
      <c r="L3584">
        <f t="shared" si="1524"/>
        <v>24.555</v>
      </c>
      <c r="M3584">
        <f t="shared" si="1525"/>
        <v>1.0350000000000001</v>
      </c>
      <c r="N3584">
        <f t="shared" si="1503"/>
        <v>2.0700000000000003</v>
      </c>
      <c r="O3584">
        <f t="shared" si="1526"/>
        <v>25.24</v>
      </c>
      <c r="P3584">
        <f t="shared" si="1527"/>
        <v>0.66183574879226925</v>
      </c>
      <c r="Q3584" t="str">
        <f t="shared" si="1504"/>
        <v>6.81% | 1.39%</v>
      </c>
      <c r="R3584" t="str">
        <f t="shared" si="1528"/>
        <v>BEARISH</v>
      </c>
      <c r="S3584">
        <f t="shared" si="1505"/>
        <v>-1</v>
      </c>
    </row>
    <row r="3585" spans="1:19" hidden="1" x14ac:dyDescent="0.25">
      <c r="A3585" s="5" t="str">
        <f t="shared" si="1506"/>
        <v>44056SSEC</v>
      </c>
      <c r="B3585" s="6" t="s">
        <v>104</v>
      </c>
      <c r="C3585" s="6">
        <v>3244</v>
      </c>
      <c r="D3585" s="6">
        <v>3418</v>
      </c>
      <c r="E3585" s="6">
        <v>3320</v>
      </c>
      <c r="F3585" t="str">
        <f t="shared" si="1518"/>
        <v>THU</v>
      </c>
      <c r="G3585" s="1">
        <f t="shared" si="1519"/>
        <v>44056</v>
      </c>
      <c r="H3585" s="2">
        <f t="shared" ca="1" si="1520"/>
        <v>197</v>
      </c>
      <c r="I3585" t="str">
        <f t="shared" si="1521"/>
        <v>SSEC</v>
      </c>
      <c r="J3585">
        <f t="shared" si="1522"/>
        <v>3244</v>
      </c>
      <c r="K3585">
        <f t="shared" si="1523"/>
        <v>3418</v>
      </c>
      <c r="L3585">
        <f t="shared" si="1524"/>
        <v>3331</v>
      </c>
      <c r="M3585">
        <f t="shared" si="1525"/>
        <v>87</v>
      </c>
      <c r="N3585">
        <f t="shared" si="1503"/>
        <v>174</v>
      </c>
      <c r="O3585">
        <f t="shared" si="1526"/>
        <v>3320</v>
      </c>
      <c r="P3585">
        <f t="shared" si="1527"/>
        <v>-0.12643678160919541</v>
      </c>
      <c r="Q3585" t="str">
        <f t="shared" si="1504"/>
        <v>2.29% | 2.95%</v>
      </c>
      <c r="R3585" t="str">
        <f t="shared" si="1528"/>
        <v>BULLISH</v>
      </c>
      <c r="S3585">
        <f t="shared" si="1505"/>
        <v>1</v>
      </c>
    </row>
    <row r="3586" spans="1:19" hidden="1" x14ac:dyDescent="0.25">
      <c r="A3586" s="5" t="str">
        <f t="shared" si="1506"/>
        <v>44056NIKK</v>
      </c>
      <c r="B3586" s="6" t="s">
        <v>90</v>
      </c>
      <c r="C3586" s="6">
        <v>21846</v>
      </c>
      <c r="D3586" s="6">
        <v>23107</v>
      </c>
      <c r="E3586" s="6">
        <v>23249</v>
      </c>
      <c r="F3586" t="str">
        <f t="shared" si="1518"/>
        <v>THU</v>
      </c>
      <c r="G3586" s="1">
        <f t="shared" si="1519"/>
        <v>44056</v>
      </c>
      <c r="H3586" s="2">
        <f t="shared" ca="1" si="1520"/>
        <v>197</v>
      </c>
      <c r="I3586" t="str">
        <f t="shared" si="1521"/>
        <v>NIKK</v>
      </c>
      <c r="J3586">
        <f t="shared" si="1522"/>
        <v>21846</v>
      </c>
      <c r="K3586">
        <f t="shared" si="1523"/>
        <v>23107</v>
      </c>
      <c r="L3586">
        <f t="shared" si="1524"/>
        <v>22476.5</v>
      </c>
      <c r="M3586">
        <f t="shared" si="1525"/>
        <v>630.5</v>
      </c>
      <c r="N3586">
        <f t="shared" si="1503"/>
        <v>1261</v>
      </c>
      <c r="O3586">
        <f t="shared" si="1526"/>
        <v>23249</v>
      </c>
      <c r="P3586">
        <f t="shared" si="1527"/>
        <v>1.2252180808881841</v>
      </c>
      <c r="Q3586" t="str">
        <f t="shared" si="1504"/>
        <v>6.03% | 0.61%</v>
      </c>
      <c r="R3586" t="str">
        <f t="shared" si="1528"/>
        <v>NEUTRAL</v>
      </c>
      <c r="S3586">
        <f t="shared" si="1505"/>
        <v>0</v>
      </c>
    </row>
    <row r="3587" spans="1:19" hidden="1" x14ac:dyDescent="0.25">
      <c r="A3587" s="5" t="str">
        <f t="shared" si="1506"/>
        <v>44056DAX</v>
      </c>
      <c r="B3587" s="6" t="s">
        <v>98</v>
      </c>
      <c r="C3587" s="6">
        <v>12294</v>
      </c>
      <c r="D3587" s="6">
        <v>13099</v>
      </c>
      <c r="E3587" s="6">
        <v>13058</v>
      </c>
      <c r="F3587" t="str">
        <f t="shared" si="1518"/>
        <v>THU</v>
      </c>
      <c r="G3587" s="1">
        <f t="shared" si="1519"/>
        <v>44056</v>
      </c>
      <c r="H3587" s="2">
        <f t="shared" ca="1" si="1520"/>
        <v>197</v>
      </c>
      <c r="I3587" t="str">
        <f t="shared" si="1521"/>
        <v>DAX</v>
      </c>
      <c r="J3587">
        <f t="shared" si="1522"/>
        <v>12294</v>
      </c>
      <c r="K3587">
        <f t="shared" si="1523"/>
        <v>13099</v>
      </c>
      <c r="L3587">
        <f t="shared" si="1524"/>
        <v>12696.5</v>
      </c>
      <c r="M3587">
        <f t="shared" si="1525"/>
        <v>402.5</v>
      </c>
      <c r="N3587">
        <f t="shared" ref="N3587:N3650" si="1529">ABS(K3587-J3587)</f>
        <v>805</v>
      </c>
      <c r="O3587">
        <f t="shared" si="1526"/>
        <v>13058</v>
      </c>
      <c r="P3587">
        <f t="shared" si="1527"/>
        <v>0.8981366459627329</v>
      </c>
      <c r="Q3587" t="str">
        <f t="shared" ref="Q3587:Q3650" si="1530">ROUND(ABS(100*(O3587-J3587)/O3587),2)&amp;"% | "&amp;ROUND(ABS(100*(K3587-O3587)/O3587),2)&amp;"%"</f>
        <v>5.85% | 0.31%</v>
      </c>
      <c r="R3587" t="str">
        <f t="shared" si="1528"/>
        <v>BULLISH</v>
      </c>
      <c r="S3587">
        <f t="shared" ref="S3587:S3650" si="1531">IF(R3587="BEARISH",-1,IF(R3587="NEUTRAL",0,IF(R3587="BULLISH",1,99)))</f>
        <v>1</v>
      </c>
    </row>
    <row r="3588" spans="1:19" hidden="1" x14ac:dyDescent="0.25">
      <c r="A3588" s="5" t="str">
        <f t="shared" si="1506"/>
        <v>44056VIX</v>
      </c>
      <c r="B3588" s="6" t="s">
        <v>96</v>
      </c>
      <c r="C3588" s="6">
        <v>21.33</v>
      </c>
      <c r="D3588" s="6">
        <v>29.08</v>
      </c>
      <c r="E3588" s="6">
        <v>22.28</v>
      </c>
      <c r="F3588" t="str">
        <f t="shared" si="1518"/>
        <v>THU</v>
      </c>
      <c r="G3588" s="1">
        <f t="shared" si="1519"/>
        <v>44056</v>
      </c>
      <c r="H3588" s="2">
        <f t="shared" ca="1" si="1520"/>
        <v>197</v>
      </c>
      <c r="I3588" t="str">
        <f t="shared" si="1521"/>
        <v>VIX</v>
      </c>
      <c r="J3588">
        <f t="shared" si="1522"/>
        <v>21.33</v>
      </c>
      <c r="K3588">
        <f t="shared" si="1523"/>
        <v>29.08</v>
      </c>
      <c r="L3588">
        <f t="shared" si="1524"/>
        <v>25.204999999999998</v>
      </c>
      <c r="M3588">
        <f t="shared" si="1525"/>
        <v>3.8749999999999853</v>
      </c>
      <c r="N3588">
        <f t="shared" si="1529"/>
        <v>7.75</v>
      </c>
      <c r="O3588">
        <f t="shared" si="1526"/>
        <v>22.28</v>
      </c>
      <c r="P3588">
        <f t="shared" si="1527"/>
        <v>-0.7548387096774215</v>
      </c>
      <c r="Q3588" t="str">
        <f t="shared" si="1530"/>
        <v>4.26% | 30.52%</v>
      </c>
      <c r="R3588" t="str">
        <f t="shared" si="1528"/>
        <v>BEARISH</v>
      </c>
      <c r="S3588">
        <f t="shared" si="1531"/>
        <v>-1</v>
      </c>
    </row>
    <row r="3589" spans="1:19" hidden="1" x14ac:dyDescent="0.25">
      <c r="A3589" s="5" t="str">
        <f t="shared" ref="A3589:A3652" si="1532">G3589&amp;I3589</f>
        <v>44056USD</v>
      </c>
      <c r="B3589" s="6" t="s">
        <v>94</v>
      </c>
      <c r="C3589" s="6">
        <v>92.57</v>
      </c>
      <c r="D3589" s="6">
        <v>93.94</v>
      </c>
      <c r="E3589" s="6">
        <v>93.43</v>
      </c>
      <c r="F3589" t="str">
        <f t="shared" si="1518"/>
        <v>THU</v>
      </c>
      <c r="G3589" s="1">
        <f t="shared" si="1519"/>
        <v>44056</v>
      </c>
      <c r="H3589" s="2">
        <f t="shared" ca="1" si="1520"/>
        <v>197</v>
      </c>
      <c r="I3589" t="str">
        <f t="shared" si="1521"/>
        <v>USD</v>
      </c>
      <c r="J3589">
        <f t="shared" si="1522"/>
        <v>92.57</v>
      </c>
      <c r="K3589">
        <f t="shared" si="1523"/>
        <v>93.94</v>
      </c>
      <c r="L3589">
        <f t="shared" si="1524"/>
        <v>93.254999999999995</v>
      </c>
      <c r="M3589">
        <f t="shared" si="1525"/>
        <v>0.68500000000000227</v>
      </c>
      <c r="N3589">
        <f t="shared" si="1529"/>
        <v>1.3700000000000045</v>
      </c>
      <c r="O3589">
        <f t="shared" si="1526"/>
        <v>93.43</v>
      </c>
      <c r="P3589">
        <f t="shared" si="1527"/>
        <v>0.25547445255476026</v>
      </c>
      <c r="Q3589" t="str">
        <f t="shared" si="1530"/>
        <v>0.92% | 0.55%</v>
      </c>
      <c r="R3589" t="str">
        <f t="shared" si="1528"/>
        <v>BEARISH</v>
      </c>
      <c r="S3589">
        <f t="shared" si="1531"/>
        <v>-1</v>
      </c>
    </row>
    <row r="3590" spans="1:19" hidden="1" x14ac:dyDescent="0.25">
      <c r="A3590" s="5" t="str">
        <f t="shared" si="1532"/>
        <v>44056EUR/USD</v>
      </c>
      <c r="B3590" s="6" t="s">
        <v>99</v>
      </c>
      <c r="C3590" s="6">
        <v>1.17</v>
      </c>
      <c r="D3590" s="6">
        <v>1.19</v>
      </c>
      <c r="E3590" s="6">
        <v>1.17</v>
      </c>
      <c r="F3590" t="str">
        <f t="shared" si="1518"/>
        <v>THU</v>
      </c>
      <c r="G3590" s="1">
        <f t="shared" si="1519"/>
        <v>44056</v>
      </c>
      <c r="H3590" s="2">
        <f t="shared" ca="1" si="1520"/>
        <v>197</v>
      </c>
      <c r="I3590" t="str">
        <f t="shared" si="1521"/>
        <v>EUR/USD</v>
      </c>
      <c r="J3590">
        <f t="shared" si="1522"/>
        <v>1.17</v>
      </c>
      <c r="K3590">
        <f t="shared" si="1523"/>
        <v>1.19</v>
      </c>
      <c r="L3590">
        <f t="shared" si="1524"/>
        <v>1.18</v>
      </c>
      <c r="M3590">
        <f t="shared" si="1525"/>
        <v>1.0000000000000009E-2</v>
      </c>
      <c r="N3590">
        <f t="shared" si="1529"/>
        <v>2.0000000000000018E-2</v>
      </c>
      <c r="O3590">
        <f t="shared" si="1526"/>
        <v>1.17</v>
      </c>
      <c r="P3590">
        <f t="shared" si="1527"/>
        <v>-1</v>
      </c>
      <c r="Q3590" t="str">
        <f t="shared" si="1530"/>
        <v>0% | 1.71%</v>
      </c>
      <c r="R3590" t="str">
        <f t="shared" si="1528"/>
        <v>BULLISH</v>
      </c>
      <c r="S3590">
        <f t="shared" si="1531"/>
        <v>1</v>
      </c>
    </row>
    <row r="3591" spans="1:19" hidden="1" x14ac:dyDescent="0.25">
      <c r="A3591" s="5" t="str">
        <f t="shared" si="1532"/>
        <v>44056USD/JPY</v>
      </c>
      <c r="B3591" s="6" t="s">
        <v>20</v>
      </c>
      <c r="C3591" s="6">
        <v>104.9</v>
      </c>
      <c r="D3591" s="6">
        <v>107.24</v>
      </c>
      <c r="E3591" s="6">
        <v>106.89</v>
      </c>
      <c r="F3591" t="str">
        <f t="shared" si="1518"/>
        <v>THU</v>
      </c>
      <c r="G3591" s="1">
        <f t="shared" si="1519"/>
        <v>44056</v>
      </c>
      <c r="H3591" s="2">
        <f t="shared" ca="1" si="1520"/>
        <v>197</v>
      </c>
      <c r="I3591" t="str">
        <f t="shared" si="1521"/>
        <v>USD/JPY</v>
      </c>
      <c r="J3591">
        <f t="shared" si="1522"/>
        <v>104.9</v>
      </c>
      <c r="K3591">
        <f t="shared" si="1523"/>
        <v>107.24</v>
      </c>
      <c r="L3591">
        <f t="shared" si="1524"/>
        <v>106.07</v>
      </c>
      <c r="M3591">
        <f t="shared" si="1525"/>
        <v>1.1699999999999946</v>
      </c>
      <c r="N3591">
        <f t="shared" si="1529"/>
        <v>2.3399999999999892</v>
      </c>
      <c r="O3591">
        <f t="shared" si="1526"/>
        <v>106.89</v>
      </c>
      <c r="P3591">
        <f t="shared" si="1527"/>
        <v>0.70085470085471036</v>
      </c>
      <c r="Q3591" t="str">
        <f t="shared" si="1530"/>
        <v>1.86% | 0.33%</v>
      </c>
      <c r="R3591" t="str">
        <f t="shared" si="1528"/>
        <v>BEARISH</v>
      </c>
      <c r="S3591">
        <f t="shared" si="1531"/>
        <v>-1</v>
      </c>
    </row>
    <row r="3592" spans="1:19" hidden="1" x14ac:dyDescent="0.25">
      <c r="A3592" s="5" t="str">
        <f t="shared" si="1532"/>
        <v>44056GBP/USD</v>
      </c>
      <c r="B3592" s="6" t="s">
        <v>102</v>
      </c>
      <c r="C3592" s="6">
        <v>1.3</v>
      </c>
      <c r="D3592" s="6">
        <v>1.32</v>
      </c>
      <c r="E3592" s="6">
        <v>1.3</v>
      </c>
      <c r="F3592" t="str">
        <f t="shared" si="1518"/>
        <v>THU</v>
      </c>
      <c r="G3592" s="1">
        <f t="shared" si="1519"/>
        <v>44056</v>
      </c>
      <c r="H3592" s="2">
        <f t="shared" ca="1" si="1520"/>
        <v>197</v>
      </c>
      <c r="I3592" t="str">
        <f t="shared" si="1521"/>
        <v>GBP/USD</v>
      </c>
      <c r="J3592">
        <f t="shared" si="1522"/>
        <v>1.3</v>
      </c>
      <c r="K3592">
        <f t="shared" si="1523"/>
        <v>1.32</v>
      </c>
      <c r="L3592">
        <f t="shared" si="1524"/>
        <v>1.31</v>
      </c>
      <c r="M3592">
        <f t="shared" si="1525"/>
        <v>1.0000000000000009E-2</v>
      </c>
      <c r="N3592">
        <f t="shared" si="1529"/>
        <v>2.0000000000000018E-2</v>
      </c>
      <c r="O3592">
        <f t="shared" si="1526"/>
        <v>1.3</v>
      </c>
      <c r="P3592">
        <f t="shared" si="1527"/>
        <v>-1</v>
      </c>
      <c r="Q3592" t="str">
        <f t="shared" si="1530"/>
        <v>0% | 1.54%</v>
      </c>
      <c r="R3592" t="str">
        <f t="shared" si="1528"/>
        <v>BULLISH</v>
      </c>
      <c r="S3592">
        <f t="shared" si="1531"/>
        <v>1</v>
      </c>
    </row>
    <row r="3593" spans="1:19" hidden="1" x14ac:dyDescent="0.25">
      <c r="A3593" s="5" t="str">
        <f t="shared" si="1532"/>
        <v>44056USD/CHF</v>
      </c>
      <c r="B3593" s="6" t="s">
        <v>76</v>
      </c>
      <c r="C3593" s="6">
        <v>0.9</v>
      </c>
      <c r="D3593" s="6">
        <v>0.92</v>
      </c>
      <c r="E3593" s="6">
        <v>0.91</v>
      </c>
      <c r="F3593" t="str">
        <f t="shared" si="1518"/>
        <v>THU</v>
      </c>
      <c r="G3593" s="1">
        <f t="shared" si="1519"/>
        <v>44056</v>
      </c>
      <c r="H3593" s="2">
        <f t="shared" ca="1" si="1520"/>
        <v>197</v>
      </c>
      <c r="I3593" t="str">
        <f t="shared" si="1521"/>
        <v>USD/CHF</v>
      </c>
      <c r="J3593">
        <f t="shared" si="1522"/>
        <v>0.9</v>
      </c>
      <c r="K3593">
        <f t="shared" si="1523"/>
        <v>0.92</v>
      </c>
      <c r="L3593">
        <f t="shared" si="1524"/>
        <v>0.91</v>
      </c>
      <c r="M3593">
        <f t="shared" si="1525"/>
        <v>1.0000000000000009E-2</v>
      </c>
      <c r="N3593">
        <f t="shared" si="1529"/>
        <v>2.0000000000000018E-2</v>
      </c>
      <c r="O3593">
        <f t="shared" si="1526"/>
        <v>0.91</v>
      </c>
      <c r="P3593">
        <f t="shared" si="1527"/>
        <v>0</v>
      </c>
      <c r="Q3593" t="str">
        <f t="shared" si="1530"/>
        <v>1.1% | 1.1%</v>
      </c>
      <c r="R3593" t="str">
        <f t="shared" si="1528"/>
        <v>BEARISH</v>
      </c>
      <c r="S3593">
        <f t="shared" si="1531"/>
        <v>-1</v>
      </c>
    </row>
    <row r="3594" spans="1:19" hidden="1" x14ac:dyDescent="0.25">
      <c r="A3594" s="5" t="str">
        <f t="shared" si="1532"/>
        <v>44056WTIC</v>
      </c>
      <c r="B3594" s="6" t="s">
        <v>158</v>
      </c>
      <c r="C3594" s="6">
        <v>39.979999999999997</v>
      </c>
      <c r="D3594" s="6">
        <v>42.98</v>
      </c>
      <c r="E3594" s="6">
        <v>42.67</v>
      </c>
      <c r="F3594" t="str">
        <f t="shared" si="1518"/>
        <v>THU</v>
      </c>
      <c r="G3594" s="1">
        <f t="shared" si="1519"/>
        <v>44056</v>
      </c>
      <c r="H3594" s="2">
        <f t="shared" ca="1" si="1520"/>
        <v>197</v>
      </c>
      <c r="I3594" t="str">
        <f t="shared" si="1521"/>
        <v>WTIC</v>
      </c>
      <c r="J3594">
        <f t="shared" si="1522"/>
        <v>39.979999999999997</v>
      </c>
      <c r="K3594">
        <f t="shared" si="1523"/>
        <v>42.98</v>
      </c>
      <c r="L3594">
        <f t="shared" si="1524"/>
        <v>41.48</v>
      </c>
      <c r="M3594">
        <f t="shared" si="1525"/>
        <v>1.5</v>
      </c>
      <c r="N3594">
        <f t="shared" si="1529"/>
        <v>3</v>
      </c>
      <c r="O3594">
        <f t="shared" si="1526"/>
        <v>42.67</v>
      </c>
      <c r="P3594">
        <f t="shared" si="1527"/>
        <v>0.79333333333333655</v>
      </c>
      <c r="Q3594" t="str">
        <f t="shared" si="1530"/>
        <v>6.3% | 0.73%</v>
      </c>
      <c r="R3594" t="str">
        <f t="shared" si="1528"/>
        <v>BULLISH</v>
      </c>
      <c r="S3594">
        <f t="shared" si="1531"/>
        <v>1</v>
      </c>
    </row>
    <row r="3595" spans="1:19" hidden="1" x14ac:dyDescent="0.25">
      <c r="A3595" s="5" t="str">
        <f t="shared" si="1532"/>
        <v>44056NATGAS</v>
      </c>
      <c r="B3595" s="6" t="s">
        <v>89</v>
      </c>
      <c r="C3595" s="6">
        <v>1.88</v>
      </c>
      <c r="D3595" s="6">
        <v>2.39</v>
      </c>
      <c r="E3595" s="6">
        <v>2.15</v>
      </c>
      <c r="F3595" t="str">
        <f t="shared" si="1518"/>
        <v>THU</v>
      </c>
      <c r="G3595" s="1">
        <f t="shared" si="1519"/>
        <v>44056</v>
      </c>
      <c r="H3595" s="2">
        <f t="shared" ca="1" si="1520"/>
        <v>197</v>
      </c>
      <c r="I3595" t="str">
        <f t="shared" si="1521"/>
        <v>NATGAS</v>
      </c>
      <c r="J3595">
        <f t="shared" si="1522"/>
        <v>1.88</v>
      </c>
      <c r="K3595">
        <f t="shared" si="1523"/>
        <v>2.39</v>
      </c>
      <c r="L3595">
        <f t="shared" si="1524"/>
        <v>2.1349999999999998</v>
      </c>
      <c r="M3595">
        <f t="shared" si="1525"/>
        <v>0.25500000000000239</v>
      </c>
      <c r="N3595">
        <f t="shared" si="1529"/>
        <v>0.51000000000000023</v>
      </c>
      <c r="O3595">
        <f t="shared" si="1526"/>
        <v>2.15</v>
      </c>
      <c r="P3595">
        <f t="shared" si="1527"/>
        <v>5.8823529411764643E-2</v>
      </c>
      <c r="Q3595" t="str">
        <f t="shared" si="1530"/>
        <v>12.56% | 11.16%</v>
      </c>
      <c r="R3595" t="str">
        <f t="shared" si="1528"/>
        <v>BULLISH</v>
      </c>
      <c r="S3595">
        <f t="shared" si="1531"/>
        <v>1</v>
      </c>
    </row>
    <row r="3596" spans="1:19" hidden="1" x14ac:dyDescent="0.25">
      <c r="A3596" s="5" t="str">
        <f t="shared" si="1532"/>
        <v>44056GOLD</v>
      </c>
      <c r="B3596" s="6" t="s">
        <v>25</v>
      </c>
      <c r="C3596" s="6">
        <v>1922</v>
      </c>
      <c r="D3596" s="6">
        <v>2089</v>
      </c>
      <c r="E3596" s="6">
        <v>1949</v>
      </c>
      <c r="F3596" t="str">
        <f t="shared" si="1518"/>
        <v>THU</v>
      </c>
      <c r="G3596" s="1">
        <f t="shared" si="1519"/>
        <v>44056</v>
      </c>
      <c r="H3596" s="2">
        <f t="shared" ca="1" si="1520"/>
        <v>197</v>
      </c>
      <c r="I3596" t="str">
        <f t="shared" si="1521"/>
        <v>GOLD</v>
      </c>
      <c r="J3596">
        <f t="shared" si="1522"/>
        <v>1922</v>
      </c>
      <c r="K3596">
        <f t="shared" si="1523"/>
        <v>2089</v>
      </c>
      <c r="L3596">
        <f t="shared" si="1524"/>
        <v>2005.5</v>
      </c>
      <c r="M3596">
        <f t="shared" si="1525"/>
        <v>83.5</v>
      </c>
      <c r="N3596">
        <f t="shared" si="1529"/>
        <v>167</v>
      </c>
      <c r="O3596">
        <f t="shared" si="1526"/>
        <v>1949</v>
      </c>
      <c r="P3596">
        <f t="shared" si="1527"/>
        <v>-0.67664670658682635</v>
      </c>
      <c r="Q3596" t="str">
        <f t="shared" si="1530"/>
        <v>1.39% | 7.18%</v>
      </c>
      <c r="R3596" t="str">
        <f t="shared" si="1528"/>
        <v>BULLISH</v>
      </c>
      <c r="S3596">
        <f t="shared" si="1531"/>
        <v>1</v>
      </c>
    </row>
    <row r="3597" spans="1:19" hidden="1" x14ac:dyDescent="0.25">
      <c r="A3597" s="5" t="str">
        <f t="shared" si="1532"/>
        <v>44056SILVER</v>
      </c>
      <c r="B3597" s="6" t="s">
        <v>195</v>
      </c>
      <c r="C3597" s="6">
        <v>23.32</v>
      </c>
      <c r="D3597" s="6">
        <v>29.75</v>
      </c>
      <c r="E3597" s="6">
        <v>25.98</v>
      </c>
      <c r="F3597" t="str">
        <f t="shared" si="1518"/>
        <v>THU</v>
      </c>
      <c r="G3597" s="1">
        <f t="shared" si="1519"/>
        <v>44056</v>
      </c>
      <c r="H3597" s="2">
        <f t="shared" ca="1" si="1520"/>
        <v>197</v>
      </c>
      <c r="I3597" t="str">
        <f t="shared" si="1521"/>
        <v>SILVER</v>
      </c>
      <c r="J3597">
        <f t="shared" si="1522"/>
        <v>23.32</v>
      </c>
      <c r="K3597">
        <f t="shared" si="1523"/>
        <v>29.75</v>
      </c>
      <c r="L3597">
        <f t="shared" si="1524"/>
        <v>26.535</v>
      </c>
      <c r="M3597">
        <f t="shared" si="1525"/>
        <v>3.2150000000000021</v>
      </c>
      <c r="N3597">
        <f t="shared" si="1529"/>
        <v>6.43</v>
      </c>
      <c r="O3597">
        <f t="shared" si="1526"/>
        <v>25.98</v>
      </c>
      <c r="P3597">
        <f t="shared" si="1527"/>
        <v>-0.17262830482115066</v>
      </c>
      <c r="Q3597" t="str">
        <f t="shared" si="1530"/>
        <v>10.24% | 14.51%</v>
      </c>
      <c r="R3597" t="str">
        <f t="shared" si="1528"/>
        <v>BULLISH</v>
      </c>
      <c r="S3597">
        <f t="shared" si="1531"/>
        <v>1</v>
      </c>
    </row>
    <row r="3598" spans="1:19" hidden="1" x14ac:dyDescent="0.25">
      <c r="A3598" s="5" t="str">
        <f t="shared" si="1532"/>
        <v>44056COPPER</v>
      </c>
      <c r="B3598" s="6" t="s">
        <v>100</v>
      </c>
      <c r="C3598" s="6">
        <v>2.78</v>
      </c>
      <c r="D3598" s="6">
        <v>2.96</v>
      </c>
      <c r="E3598" s="6">
        <v>2.89</v>
      </c>
      <c r="F3598" t="str">
        <f t="shared" si="1518"/>
        <v>THU</v>
      </c>
      <c r="G3598" s="1">
        <f t="shared" si="1519"/>
        <v>44056</v>
      </c>
      <c r="H3598" s="2">
        <f t="shared" ca="1" si="1520"/>
        <v>197</v>
      </c>
      <c r="I3598" t="str">
        <f t="shared" si="1521"/>
        <v>COPPER</v>
      </c>
      <c r="J3598">
        <f t="shared" si="1522"/>
        <v>2.78</v>
      </c>
      <c r="K3598">
        <f t="shared" si="1523"/>
        <v>2.96</v>
      </c>
      <c r="L3598">
        <f t="shared" si="1524"/>
        <v>2.87</v>
      </c>
      <c r="M3598">
        <f t="shared" si="1525"/>
        <v>9.000000000000008E-2</v>
      </c>
      <c r="N3598">
        <f t="shared" si="1529"/>
        <v>0.18000000000000016</v>
      </c>
      <c r="O3598">
        <f t="shared" si="1526"/>
        <v>2.89</v>
      </c>
      <c r="P3598">
        <f t="shared" si="1527"/>
        <v>0.22222222222222221</v>
      </c>
      <c r="Q3598" t="str">
        <f t="shared" si="1530"/>
        <v>3.81% | 2.42%</v>
      </c>
      <c r="R3598" t="str">
        <f t="shared" si="1528"/>
        <v>BULLISH</v>
      </c>
      <c r="S3598">
        <f t="shared" si="1531"/>
        <v>1</v>
      </c>
    </row>
    <row r="3599" spans="1:19" hidden="1" x14ac:dyDescent="0.25">
      <c r="A3599" s="5" t="str">
        <f t="shared" si="1532"/>
        <v>44056MSFT</v>
      </c>
      <c r="B3599" s="6" t="s">
        <v>27</v>
      </c>
      <c r="C3599" s="6">
        <v>202</v>
      </c>
      <c r="D3599" s="6">
        <v>220</v>
      </c>
      <c r="E3599" s="6">
        <v>209</v>
      </c>
      <c r="F3599" t="str">
        <f t="shared" si="1518"/>
        <v>THU</v>
      </c>
      <c r="G3599" s="1">
        <f t="shared" si="1519"/>
        <v>44056</v>
      </c>
      <c r="H3599" s="2">
        <f t="shared" ca="1" si="1520"/>
        <v>197</v>
      </c>
      <c r="I3599" t="str">
        <f t="shared" si="1521"/>
        <v>MSFT</v>
      </c>
      <c r="J3599">
        <f t="shared" si="1522"/>
        <v>202</v>
      </c>
      <c r="K3599">
        <f t="shared" si="1523"/>
        <v>220</v>
      </c>
      <c r="L3599">
        <f t="shared" si="1524"/>
        <v>211</v>
      </c>
      <c r="M3599">
        <f t="shared" si="1525"/>
        <v>9</v>
      </c>
      <c r="N3599">
        <f t="shared" si="1529"/>
        <v>18</v>
      </c>
      <c r="O3599">
        <f t="shared" si="1526"/>
        <v>209</v>
      </c>
      <c r="P3599">
        <f t="shared" si="1527"/>
        <v>-0.22222222222222221</v>
      </c>
      <c r="Q3599" t="str">
        <f t="shared" si="1530"/>
        <v>3.35% | 5.26%</v>
      </c>
      <c r="R3599" t="str">
        <f t="shared" si="1528"/>
        <v>BULLISH</v>
      </c>
      <c r="S3599">
        <f t="shared" si="1531"/>
        <v>1</v>
      </c>
    </row>
    <row r="3600" spans="1:19" hidden="1" x14ac:dyDescent="0.25">
      <c r="A3600" s="5" t="str">
        <f t="shared" si="1532"/>
        <v>44056AAPL</v>
      </c>
      <c r="B3600" s="6" t="s">
        <v>28</v>
      </c>
      <c r="C3600" s="6">
        <v>420</v>
      </c>
      <c r="D3600" s="6">
        <v>462</v>
      </c>
      <c r="E3600" s="6">
        <v>452</v>
      </c>
      <c r="F3600" t="str">
        <f t="shared" si="1518"/>
        <v>THU</v>
      </c>
      <c r="G3600" s="1">
        <f t="shared" si="1519"/>
        <v>44056</v>
      </c>
      <c r="H3600" s="2">
        <f t="shared" ca="1" si="1520"/>
        <v>197</v>
      </c>
      <c r="I3600" t="str">
        <f t="shared" si="1521"/>
        <v>AAPL</v>
      </c>
      <c r="J3600">
        <f t="shared" si="1522"/>
        <v>420</v>
      </c>
      <c r="K3600">
        <f t="shared" si="1523"/>
        <v>462</v>
      </c>
      <c r="L3600">
        <f t="shared" si="1524"/>
        <v>441</v>
      </c>
      <c r="M3600">
        <f t="shared" si="1525"/>
        <v>21</v>
      </c>
      <c r="N3600">
        <f t="shared" si="1529"/>
        <v>42</v>
      </c>
      <c r="O3600">
        <f t="shared" si="1526"/>
        <v>452</v>
      </c>
      <c r="P3600">
        <f t="shared" si="1527"/>
        <v>0.52380952380952384</v>
      </c>
      <c r="Q3600" t="str">
        <f t="shared" si="1530"/>
        <v>7.08% | 2.21%</v>
      </c>
      <c r="R3600" t="str">
        <f t="shared" si="1528"/>
        <v>BULLISH</v>
      </c>
      <c r="S3600">
        <f t="shared" si="1531"/>
        <v>1</v>
      </c>
    </row>
    <row r="3601" spans="1:19" hidden="1" x14ac:dyDescent="0.25">
      <c r="A3601" s="5" t="str">
        <f t="shared" si="1532"/>
        <v>44056AMZN</v>
      </c>
      <c r="B3601" s="6" t="s">
        <v>29</v>
      </c>
      <c r="C3601" s="6">
        <v>3055</v>
      </c>
      <c r="D3601" s="6">
        <v>3242</v>
      </c>
      <c r="E3601" s="6">
        <v>3162</v>
      </c>
      <c r="F3601" t="str">
        <f t="shared" si="1518"/>
        <v>THU</v>
      </c>
      <c r="G3601" s="1">
        <f t="shared" si="1519"/>
        <v>44056</v>
      </c>
      <c r="H3601" s="2">
        <f t="shared" ca="1" si="1520"/>
        <v>197</v>
      </c>
      <c r="I3601" t="str">
        <f t="shared" si="1521"/>
        <v>AMZN</v>
      </c>
      <c r="J3601">
        <f t="shared" si="1522"/>
        <v>3055</v>
      </c>
      <c r="K3601">
        <f t="shared" si="1523"/>
        <v>3242</v>
      </c>
      <c r="L3601">
        <f t="shared" si="1524"/>
        <v>3148.5</v>
      </c>
      <c r="M3601">
        <f t="shared" si="1525"/>
        <v>93.5</v>
      </c>
      <c r="N3601">
        <f t="shared" si="1529"/>
        <v>187</v>
      </c>
      <c r="O3601">
        <f t="shared" si="1526"/>
        <v>3162</v>
      </c>
      <c r="P3601">
        <f t="shared" si="1527"/>
        <v>0.14438502673796791</v>
      </c>
      <c r="Q3601" t="str">
        <f t="shared" si="1530"/>
        <v>3.38% | 2.53%</v>
      </c>
      <c r="R3601" t="str">
        <f t="shared" si="1528"/>
        <v>BULLISH</v>
      </c>
      <c r="S3601">
        <f t="shared" si="1531"/>
        <v>1</v>
      </c>
    </row>
    <row r="3602" spans="1:19" hidden="1" x14ac:dyDescent="0.25">
      <c r="A3602" s="5" t="str">
        <f t="shared" si="1532"/>
        <v>44056FB</v>
      </c>
      <c r="B3602" s="6" t="s">
        <v>30</v>
      </c>
      <c r="C3602" s="6">
        <v>245</v>
      </c>
      <c r="D3602" s="6">
        <v>273</v>
      </c>
      <c r="E3602" s="6">
        <v>259</v>
      </c>
      <c r="F3602" t="str">
        <f t="shared" si="1518"/>
        <v>THU</v>
      </c>
      <c r="G3602" s="1">
        <f t="shared" si="1519"/>
        <v>44056</v>
      </c>
      <c r="H3602" s="2">
        <f t="shared" ca="1" si="1520"/>
        <v>197</v>
      </c>
      <c r="I3602" t="str">
        <f t="shared" si="1521"/>
        <v>FB</v>
      </c>
      <c r="J3602">
        <f t="shared" si="1522"/>
        <v>245</v>
      </c>
      <c r="K3602">
        <f t="shared" si="1523"/>
        <v>273</v>
      </c>
      <c r="L3602">
        <f t="shared" si="1524"/>
        <v>259</v>
      </c>
      <c r="M3602">
        <f t="shared" si="1525"/>
        <v>14</v>
      </c>
      <c r="N3602">
        <f t="shared" si="1529"/>
        <v>28</v>
      </c>
      <c r="O3602">
        <f t="shared" si="1526"/>
        <v>259</v>
      </c>
      <c r="P3602">
        <f t="shared" si="1527"/>
        <v>0</v>
      </c>
      <c r="Q3602" t="str">
        <f t="shared" si="1530"/>
        <v>5.41% | 5.41%</v>
      </c>
      <c r="R3602" t="str">
        <f t="shared" si="1528"/>
        <v>BULLISH</v>
      </c>
      <c r="S3602">
        <f t="shared" si="1531"/>
        <v>1</v>
      </c>
    </row>
    <row r="3603" spans="1:19" hidden="1" x14ac:dyDescent="0.25">
      <c r="A3603" s="5" t="str">
        <f t="shared" si="1532"/>
        <v>44056GOOGL</v>
      </c>
      <c r="B3603" s="6" t="s">
        <v>31</v>
      </c>
      <c r="C3603" s="6">
        <v>1465</v>
      </c>
      <c r="D3603" s="6">
        <v>1523</v>
      </c>
      <c r="E3603" s="6">
        <v>1507</v>
      </c>
      <c r="F3603" t="str">
        <f t="shared" si="1518"/>
        <v>THU</v>
      </c>
      <c r="G3603" s="1">
        <f t="shared" si="1519"/>
        <v>44056</v>
      </c>
      <c r="H3603" s="2">
        <f t="shared" ca="1" si="1520"/>
        <v>197</v>
      </c>
      <c r="I3603" t="str">
        <f t="shared" si="1521"/>
        <v>GOOGL</v>
      </c>
      <c r="J3603">
        <f t="shared" si="1522"/>
        <v>1465</v>
      </c>
      <c r="K3603">
        <f t="shared" si="1523"/>
        <v>1523</v>
      </c>
      <c r="L3603">
        <f t="shared" si="1524"/>
        <v>1494</v>
      </c>
      <c r="M3603">
        <f t="shared" si="1525"/>
        <v>29</v>
      </c>
      <c r="N3603">
        <f t="shared" si="1529"/>
        <v>58</v>
      </c>
      <c r="O3603">
        <f t="shared" si="1526"/>
        <v>1507</v>
      </c>
      <c r="P3603">
        <f t="shared" si="1527"/>
        <v>0.44827586206896552</v>
      </c>
      <c r="Q3603" t="str">
        <f t="shared" si="1530"/>
        <v>2.79% | 1.06%</v>
      </c>
      <c r="R3603" t="str">
        <f t="shared" si="1528"/>
        <v>BULLISH</v>
      </c>
      <c r="S3603">
        <f t="shared" si="1531"/>
        <v>1</v>
      </c>
    </row>
    <row r="3604" spans="1:19" hidden="1" x14ac:dyDescent="0.25">
      <c r="A3604" s="5" t="str">
        <f t="shared" si="1532"/>
        <v>44056NFLX</v>
      </c>
      <c r="B3604" s="6" t="s">
        <v>70</v>
      </c>
      <c r="C3604" s="6">
        <v>461</v>
      </c>
      <c r="D3604" s="6">
        <v>520</v>
      </c>
      <c r="E3604" s="6">
        <v>475</v>
      </c>
      <c r="F3604" t="str">
        <f t="shared" si="1518"/>
        <v>THU</v>
      </c>
      <c r="G3604" s="1">
        <f t="shared" si="1519"/>
        <v>44056</v>
      </c>
      <c r="H3604" s="2">
        <f t="shared" ca="1" si="1520"/>
        <v>197</v>
      </c>
      <c r="I3604" t="str">
        <f t="shared" si="1521"/>
        <v>NFLX</v>
      </c>
      <c r="J3604">
        <f t="shared" si="1522"/>
        <v>461</v>
      </c>
      <c r="K3604">
        <f t="shared" si="1523"/>
        <v>520</v>
      </c>
      <c r="L3604">
        <f t="shared" si="1524"/>
        <v>490.5</v>
      </c>
      <c r="M3604">
        <f t="shared" si="1525"/>
        <v>29.5</v>
      </c>
      <c r="N3604">
        <f t="shared" si="1529"/>
        <v>59</v>
      </c>
      <c r="O3604">
        <f t="shared" si="1526"/>
        <v>475</v>
      </c>
      <c r="P3604">
        <f t="shared" si="1527"/>
        <v>-0.52542372881355937</v>
      </c>
      <c r="Q3604" t="str">
        <f t="shared" si="1530"/>
        <v>2.95% | 9.47%</v>
      </c>
      <c r="R3604" t="str">
        <f t="shared" si="1528"/>
        <v>NEUTRAL</v>
      </c>
      <c r="S3604">
        <f t="shared" si="1531"/>
        <v>0</v>
      </c>
    </row>
    <row r="3605" spans="1:19" x14ac:dyDescent="0.25">
      <c r="A3605" s="5" t="str">
        <f t="shared" si="1532"/>
        <v>44056TSLA</v>
      </c>
      <c r="B3605" s="6" t="s">
        <v>33</v>
      </c>
      <c r="C3605" s="6">
        <v>1365</v>
      </c>
      <c r="D3605" s="6">
        <v>1582</v>
      </c>
      <c r="E3605" s="6">
        <v>1554</v>
      </c>
      <c r="F3605" t="str">
        <f t="shared" si="1518"/>
        <v>THU</v>
      </c>
      <c r="G3605" s="1">
        <f t="shared" si="1519"/>
        <v>44056</v>
      </c>
      <c r="H3605" s="2">
        <f t="shared" ca="1" si="1520"/>
        <v>197</v>
      </c>
      <c r="I3605" t="str">
        <f t="shared" si="1521"/>
        <v>TSLA</v>
      </c>
      <c r="J3605">
        <f t="shared" si="1522"/>
        <v>1365</v>
      </c>
      <c r="K3605">
        <f t="shared" si="1523"/>
        <v>1582</v>
      </c>
      <c r="L3605">
        <f t="shared" si="1524"/>
        <v>1473.5</v>
      </c>
      <c r="M3605">
        <f t="shared" si="1525"/>
        <v>108.5</v>
      </c>
      <c r="N3605">
        <f t="shared" si="1529"/>
        <v>217</v>
      </c>
      <c r="O3605">
        <f t="shared" si="1526"/>
        <v>1554</v>
      </c>
      <c r="P3605">
        <f t="shared" si="1527"/>
        <v>0.74193548387096775</v>
      </c>
      <c r="Q3605" t="str">
        <f t="shared" si="1530"/>
        <v>12.16% | 1.8%</v>
      </c>
      <c r="R3605" t="str">
        <f t="shared" si="1528"/>
        <v>BULLISH</v>
      </c>
      <c r="S3605">
        <f t="shared" si="1531"/>
        <v>1</v>
      </c>
    </row>
    <row r="3606" spans="1:19" hidden="1" x14ac:dyDescent="0.25">
      <c r="A3606" s="5" t="str">
        <f t="shared" si="1532"/>
        <v>44056NYXBT</v>
      </c>
      <c r="B3606" s="6" t="s">
        <v>60</v>
      </c>
      <c r="C3606" s="6">
        <v>11022</v>
      </c>
      <c r="D3606" s="6">
        <v>12055</v>
      </c>
      <c r="E3606" s="6">
        <v>11569</v>
      </c>
      <c r="F3606" t="str">
        <f t="shared" si="1518"/>
        <v>THU</v>
      </c>
      <c r="G3606" s="1">
        <f t="shared" si="1519"/>
        <v>44056</v>
      </c>
      <c r="H3606" s="2">
        <f t="shared" ca="1" si="1520"/>
        <v>197</v>
      </c>
      <c r="I3606" t="str">
        <f t="shared" si="1521"/>
        <v>NYXBT</v>
      </c>
      <c r="J3606">
        <f t="shared" si="1522"/>
        <v>11022</v>
      </c>
      <c r="K3606">
        <f t="shared" si="1523"/>
        <v>12055</v>
      </c>
      <c r="L3606">
        <f t="shared" si="1524"/>
        <v>11538.5</v>
      </c>
      <c r="M3606">
        <f t="shared" si="1525"/>
        <v>516.5</v>
      </c>
      <c r="N3606">
        <f t="shared" si="1529"/>
        <v>1033</v>
      </c>
      <c r="O3606">
        <f t="shared" si="1526"/>
        <v>11569</v>
      </c>
      <c r="P3606">
        <f t="shared" si="1527"/>
        <v>5.9051306873184897E-2</v>
      </c>
      <c r="Q3606" t="str">
        <f t="shared" si="1530"/>
        <v>4.73% | 4.2%</v>
      </c>
      <c r="R3606" t="str">
        <f t="shared" si="1528"/>
        <v>BULLISH</v>
      </c>
      <c r="S3606">
        <f t="shared" si="1531"/>
        <v>1</v>
      </c>
    </row>
    <row r="3607" spans="1:19" hidden="1" x14ac:dyDescent="0.25">
      <c r="A3607" s="5" t="str">
        <f t="shared" si="1532"/>
        <v>44057UST10Y</v>
      </c>
      <c r="B3607" s="6" t="s">
        <v>4</v>
      </c>
      <c r="C3607" s="6">
        <v>0.72</v>
      </c>
      <c r="D3607" s="6">
        <v>0.48</v>
      </c>
      <c r="E3607" s="6">
        <v>0.71</v>
      </c>
      <c r="F3607" t="str">
        <f t="shared" si="1518"/>
        <v>FRI</v>
      </c>
      <c r="G3607" s="3">
        <f>DATE(2020,8,14)</f>
        <v>44057</v>
      </c>
      <c r="H3607" s="2">
        <f t="shared" ca="1" si="1520"/>
        <v>196</v>
      </c>
      <c r="I3607" t="str">
        <f t="shared" si="1521"/>
        <v>UST10Y</v>
      </c>
      <c r="J3607">
        <f t="shared" si="1522"/>
        <v>0.72</v>
      </c>
      <c r="K3607">
        <f t="shared" si="1523"/>
        <v>0.48</v>
      </c>
      <c r="L3607">
        <f t="shared" si="1524"/>
        <v>0.6</v>
      </c>
      <c r="M3607">
        <f t="shared" si="1525"/>
        <v>0.11999999999999987</v>
      </c>
      <c r="N3607">
        <f t="shared" si="1529"/>
        <v>0.24</v>
      </c>
      <c r="O3607">
        <f t="shared" si="1526"/>
        <v>0.71</v>
      </c>
      <c r="P3607">
        <f t="shared" si="1527"/>
        <v>0.91666666666666752</v>
      </c>
      <c r="Q3607" t="str">
        <f t="shared" si="1530"/>
        <v>1.41% | 32.39%</v>
      </c>
      <c r="R3607" t="str">
        <f t="shared" si="1528"/>
        <v>BEARISH</v>
      </c>
      <c r="S3607">
        <f t="shared" si="1531"/>
        <v>-1</v>
      </c>
    </row>
    <row r="3608" spans="1:19" hidden="1" x14ac:dyDescent="0.25">
      <c r="A3608" s="5" t="str">
        <f t="shared" si="1532"/>
        <v>44057UST2Y</v>
      </c>
      <c r="B3608" s="6" t="s">
        <v>5</v>
      </c>
      <c r="C3608" s="6">
        <v>0.18</v>
      </c>
      <c r="D3608" s="6">
        <v>0.09</v>
      </c>
      <c r="E3608" s="6">
        <v>0.16</v>
      </c>
      <c r="F3608" t="str">
        <f t="shared" ref="F3608:F3638" si="1533">UPPER(TEXT(G3608,"ddd"))</f>
        <v>FRI</v>
      </c>
      <c r="G3608" s="3">
        <f t="shared" ref="G3608:G3637" si="1534">DATE(2020,8,14)</f>
        <v>44057</v>
      </c>
      <c r="H3608" s="2">
        <f t="shared" ref="H3608:H3638" ca="1" si="1535">TODAY()-G3608</f>
        <v>196</v>
      </c>
      <c r="I3608" t="str">
        <f t="shared" ref="I3608:I3638" si="1536">TRIM(LEFT(B3608,FIND(" ",B3608,1)))</f>
        <v>UST2Y</v>
      </c>
      <c r="J3608">
        <f t="shared" ref="J3608:J3638" si="1537">C3608</f>
        <v>0.18</v>
      </c>
      <c r="K3608">
        <f t="shared" ref="K3608:K3638" si="1538">D3608</f>
        <v>0.09</v>
      </c>
      <c r="L3608">
        <f t="shared" ref="L3608:L3638" si="1539">AVERAGE(J3608:K3608)</f>
        <v>0.13500000000000001</v>
      </c>
      <c r="M3608">
        <f t="shared" ref="M3608:M3638" si="1540">_xlfn.STDEV.P(J3608:K3608)</f>
        <v>4.499999999999995E-2</v>
      </c>
      <c r="N3608">
        <f t="shared" si="1529"/>
        <v>0.09</v>
      </c>
      <c r="O3608">
        <f t="shared" ref="O3608:O3638" si="1541">E3608</f>
        <v>0.16</v>
      </c>
      <c r="P3608">
        <f t="shared" ref="P3608:P3638" si="1542">(O3608-L3608)/M3608</f>
        <v>0.55555555555555602</v>
      </c>
      <c r="Q3608" t="str">
        <f t="shared" si="1530"/>
        <v>12.5% | 43.75%</v>
      </c>
      <c r="R3608" t="str">
        <f t="shared" ref="R3608:R3638" si="1543">MID(B3608,FIND("(",B3608,1)+1,FIND(")",B3608,1)-FIND("(",B3608,1)-1)</f>
        <v>BEARISH</v>
      </c>
      <c r="S3608">
        <f t="shared" si="1531"/>
        <v>-1</v>
      </c>
    </row>
    <row r="3609" spans="1:19" hidden="1" x14ac:dyDescent="0.25">
      <c r="A3609" s="5" t="str">
        <f t="shared" si="1532"/>
        <v>44057SPX</v>
      </c>
      <c r="B3609" s="6" t="s">
        <v>93</v>
      </c>
      <c r="C3609" s="6">
        <v>3277</v>
      </c>
      <c r="D3609" s="6">
        <v>3397</v>
      </c>
      <c r="E3609" s="6">
        <v>3373</v>
      </c>
      <c r="F3609" t="str">
        <f t="shared" si="1533"/>
        <v>FRI</v>
      </c>
      <c r="G3609" s="3">
        <f t="shared" si="1534"/>
        <v>44057</v>
      </c>
      <c r="H3609" s="2">
        <f t="shared" ca="1" si="1535"/>
        <v>196</v>
      </c>
      <c r="I3609" t="str">
        <f t="shared" si="1536"/>
        <v>SPX</v>
      </c>
      <c r="J3609">
        <f t="shared" si="1537"/>
        <v>3277</v>
      </c>
      <c r="K3609">
        <f t="shared" si="1538"/>
        <v>3397</v>
      </c>
      <c r="L3609">
        <f t="shared" si="1539"/>
        <v>3337</v>
      </c>
      <c r="M3609">
        <f t="shared" si="1540"/>
        <v>60</v>
      </c>
      <c r="N3609">
        <f t="shared" si="1529"/>
        <v>120</v>
      </c>
      <c r="O3609">
        <f t="shared" si="1541"/>
        <v>3373</v>
      </c>
      <c r="P3609">
        <f t="shared" si="1542"/>
        <v>0.6</v>
      </c>
      <c r="Q3609" t="str">
        <f t="shared" si="1530"/>
        <v>2.85% | 0.71%</v>
      </c>
      <c r="R3609" t="str">
        <f t="shared" si="1543"/>
        <v>BULLISH</v>
      </c>
      <c r="S3609">
        <f t="shared" si="1531"/>
        <v>1</v>
      </c>
    </row>
    <row r="3610" spans="1:19" hidden="1" x14ac:dyDescent="0.25">
      <c r="A3610" s="5" t="str">
        <f t="shared" si="1532"/>
        <v>44057RUT</v>
      </c>
      <c r="B3610" s="6" t="s">
        <v>7</v>
      </c>
      <c r="C3610" s="6">
        <v>1498</v>
      </c>
      <c r="D3610" s="6">
        <v>1612</v>
      </c>
      <c r="E3610" s="6">
        <v>1579</v>
      </c>
      <c r="F3610" t="str">
        <f t="shared" si="1533"/>
        <v>FRI</v>
      </c>
      <c r="G3610" s="3">
        <f t="shared" si="1534"/>
        <v>44057</v>
      </c>
      <c r="H3610" s="2">
        <f t="shared" ca="1" si="1535"/>
        <v>196</v>
      </c>
      <c r="I3610" t="str">
        <f t="shared" si="1536"/>
        <v>RUT</v>
      </c>
      <c r="J3610">
        <f t="shared" si="1537"/>
        <v>1498</v>
      </c>
      <c r="K3610">
        <f t="shared" si="1538"/>
        <v>1612</v>
      </c>
      <c r="L3610">
        <f t="shared" si="1539"/>
        <v>1555</v>
      </c>
      <c r="M3610">
        <f t="shared" si="1540"/>
        <v>57</v>
      </c>
      <c r="N3610">
        <f t="shared" si="1529"/>
        <v>114</v>
      </c>
      <c r="O3610">
        <f t="shared" si="1541"/>
        <v>1579</v>
      </c>
      <c r="P3610">
        <f t="shared" si="1542"/>
        <v>0.42105263157894735</v>
      </c>
      <c r="Q3610" t="str">
        <f t="shared" si="1530"/>
        <v>5.13% | 2.09%</v>
      </c>
      <c r="R3610" t="str">
        <f t="shared" si="1543"/>
        <v>BEARISH</v>
      </c>
      <c r="S3610">
        <f t="shared" si="1531"/>
        <v>-1</v>
      </c>
    </row>
    <row r="3611" spans="1:19" hidden="1" x14ac:dyDescent="0.25">
      <c r="A3611" s="5" t="str">
        <f t="shared" si="1532"/>
        <v>44057COMPQ</v>
      </c>
      <c r="B3611" s="6" t="s">
        <v>8</v>
      </c>
      <c r="C3611" s="6">
        <v>10759</v>
      </c>
      <c r="D3611" s="6">
        <v>11159</v>
      </c>
      <c r="E3611" s="6">
        <v>11042</v>
      </c>
      <c r="F3611" t="str">
        <f t="shared" si="1533"/>
        <v>FRI</v>
      </c>
      <c r="G3611" s="3">
        <f t="shared" si="1534"/>
        <v>44057</v>
      </c>
      <c r="H3611" s="2">
        <f t="shared" ca="1" si="1535"/>
        <v>196</v>
      </c>
      <c r="I3611" t="str">
        <f t="shared" si="1536"/>
        <v>COMPQ</v>
      </c>
      <c r="J3611">
        <f t="shared" si="1537"/>
        <v>10759</v>
      </c>
      <c r="K3611">
        <f t="shared" si="1538"/>
        <v>11159</v>
      </c>
      <c r="L3611">
        <f t="shared" si="1539"/>
        <v>10959</v>
      </c>
      <c r="M3611">
        <f t="shared" si="1540"/>
        <v>200</v>
      </c>
      <c r="N3611">
        <f t="shared" si="1529"/>
        <v>400</v>
      </c>
      <c r="O3611">
        <f t="shared" si="1541"/>
        <v>11042</v>
      </c>
      <c r="P3611">
        <f t="shared" si="1542"/>
        <v>0.41499999999999998</v>
      </c>
      <c r="Q3611" t="str">
        <f t="shared" si="1530"/>
        <v>2.56% | 1.06%</v>
      </c>
      <c r="R3611" t="str">
        <f t="shared" si="1543"/>
        <v>BULLISH</v>
      </c>
      <c r="S3611">
        <f t="shared" si="1531"/>
        <v>1</v>
      </c>
    </row>
    <row r="3612" spans="1:19" hidden="1" x14ac:dyDescent="0.25">
      <c r="A3612" s="5" t="str">
        <f t="shared" si="1532"/>
        <v>44057XLK</v>
      </c>
      <c r="B3612" s="6" t="s">
        <v>10</v>
      </c>
      <c r="C3612" s="6">
        <v>109.88</v>
      </c>
      <c r="D3612" s="6">
        <v>115.89</v>
      </c>
      <c r="E3612" s="6">
        <v>113.96</v>
      </c>
      <c r="F3612" t="str">
        <f t="shared" si="1533"/>
        <v>FRI</v>
      </c>
      <c r="G3612" s="3">
        <f t="shared" si="1534"/>
        <v>44057</v>
      </c>
      <c r="H3612" s="2">
        <f t="shared" ca="1" si="1535"/>
        <v>196</v>
      </c>
      <c r="I3612" t="str">
        <f t="shared" si="1536"/>
        <v>XLK</v>
      </c>
      <c r="J3612">
        <f t="shared" si="1537"/>
        <v>109.88</v>
      </c>
      <c r="K3612">
        <f t="shared" si="1538"/>
        <v>115.89</v>
      </c>
      <c r="L3612">
        <f t="shared" si="1539"/>
        <v>112.88499999999999</v>
      </c>
      <c r="M3612">
        <f t="shared" si="1540"/>
        <v>3.0050000000000026</v>
      </c>
      <c r="N3612">
        <f t="shared" si="1529"/>
        <v>6.0100000000000051</v>
      </c>
      <c r="O3612">
        <f t="shared" si="1541"/>
        <v>113.96</v>
      </c>
      <c r="P3612">
        <f t="shared" si="1542"/>
        <v>0.35773710482529181</v>
      </c>
      <c r="Q3612" t="str">
        <f t="shared" si="1530"/>
        <v>3.58% | 1.69%</v>
      </c>
      <c r="R3612" t="str">
        <f t="shared" si="1543"/>
        <v>BULLISH</v>
      </c>
      <c r="S3612">
        <f t="shared" si="1531"/>
        <v>1</v>
      </c>
    </row>
    <row r="3613" spans="1:19" hidden="1" x14ac:dyDescent="0.25">
      <c r="A3613" s="5" t="str">
        <f t="shared" si="1532"/>
        <v>44057XLRE</v>
      </c>
      <c r="B3613" s="6" t="s">
        <v>97</v>
      </c>
      <c r="C3613" s="6">
        <v>35.18</v>
      </c>
      <c r="D3613" s="6">
        <v>36.72</v>
      </c>
      <c r="E3613" s="6">
        <v>35.770000000000003</v>
      </c>
      <c r="F3613" t="str">
        <f t="shared" si="1533"/>
        <v>FRI</v>
      </c>
      <c r="G3613" s="3">
        <f t="shared" si="1534"/>
        <v>44057</v>
      </c>
      <c r="H3613" s="2">
        <f t="shared" ca="1" si="1535"/>
        <v>196</v>
      </c>
      <c r="I3613" t="str">
        <f t="shared" si="1536"/>
        <v>XLRE</v>
      </c>
      <c r="J3613">
        <f t="shared" si="1537"/>
        <v>35.18</v>
      </c>
      <c r="K3613">
        <f t="shared" si="1538"/>
        <v>36.72</v>
      </c>
      <c r="L3613">
        <f t="shared" si="1539"/>
        <v>35.950000000000003</v>
      </c>
      <c r="M3613">
        <f t="shared" si="1540"/>
        <v>0.76999999999999957</v>
      </c>
      <c r="N3613">
        <f t="shared" si="1529"/>
        <v>1.5399999999999991</v>
      </c>
      <c r="O3613">
        <f t="shared" si="1541"/>
        <v>35.770000000000003</v>
      </c>
      <c r="P3613">
        <f t="shared" si="1542"/>
        <v>-0.23376623376623354</v>
      </c>
      <c r="Q3613" t="str">
        <f t="shared" si="1530"/>
        <v>1.65% | 2.66%</v>
      </c>
      <c r="R3613" t="str">
        <f t="shared" si="1543"/>
        <v>BULLISH</v>
      </c>
      <c r="S3613">
        <f t="shared" si="1531"/>
        <v>1</v>
      </c>
    </row>
    <row r="3614" spans="1:19" hidden="1" x14ac:dyDescent="0.25">
      <c r="A3614" s="5" t="str">
        <f t="shared" si="1532"/>
        <v>44057XLU</v>
      </c>
      <c r="B3614" s="6" t="s">
        <v>52</v>
      </c>
      <c r="C3614" s="6">
        <v>59.48</v>
      </c>
      <c r="D3614" s="6">
        <v>61.8</v>
      </c>
      <c r="E3614" s="6">
        <v>60.91</v>
      </c>
      <c r="F3614" t="str">
        <f t="shared" si="1533"/>
        <v>FRI</v>
      </c>
      <c r="G3614" s="3">
        <f t="shared" si="1534"/>
        <v>44057</v>
      </c>
      <c r="H3614" s="2">
        <f t="shared" ca="1" si="1535"/>
        <v>196</v>
      </c>
      <c r="I3614" t="str">
        <f t="shared" si="1536"/>
        <v>XLU</v>
      </c>
      <c r="J3614">
        <f t="shared" si="1537"/>
        <v>59.48</v>
      </c>
      <c r="K3614">
        <f t="shared" si="1538"/>
        <v>61.8</v>
      </c>
      <c r="L3614">
        <f t="shared" si="1539"/>
        <v>60.64</v>
      </c>
      <c r="M3614">
        <f t="shared" si="1540"/>
        <v>1.1600000000000001</v>
      </c>
      <c r="N3614">
        <f t="shared" si="1529"/>
        <v>2.3200000000000003</v>
      </c>
      <c r="O3614">
        <f t="shared" si="1541"/>
        <v>60.91</v>
      </c>
      <c r="P3614">
        <f t="shared" si="1542"/>
        <v>0.23275862068965172</v>
      </c>
      <c r="Q3614" t="str">
        <f t="shared" si="1530"/>
        <v>2.35% | 1.46%</v>
      </c>
      <c r="R3614" t="str">
        <f t="shared" si="1543"/>
        <v>BULLISH</v>
      </c>
      <c r="S3614">
        <f t="shared" si="1531"/>
        <v>1</v>
      </c>
    </row>
    <row r="3615" spans="1:19" hidden="1" x14ac:dyDescent="0.25">
      <c r="A3615" s="5" t="str">
        <f t="shared" si="1532"/>
        <v>44057XLF</v>
      </c>
      <c r="B3615" s="6" t="s">
        <v>12</v>
      </c>
      <c r="C3615" s="6">
        <v>23.54</v>
      </c>
      <c r="D3615" s="6">
        <v>25.66</v>
      </c>
      <c r="E3615" s="6">
        <v>25.08</v>
      </c>
      <c r="F3615" t="str">
        <f t="shared" si="1533"/>
        <v>FRI</v>
      </c>
      <c r="G3615" s="3">
        <f t="shared" si="1534"/>
        <v>44057</v>
      </c>
      <c r="H3615" s="2">
        <f t="shared" ca="1" si="1535"/>
        <v>196</v>
      </c>
      <c r="I3615" t="str">
        <f t="shared" si="1536"/>
        <v>XLF</v>
      </c>
      <c r="J3615">
        <f t="shared" si="1537"/>
        <v>23.54</v>
      </c>
      <c r="K3615">
        <f t="shared" si="1538"/>
        <v>25.66</v>
      </c>
      <c r="L3615">
        <f t="shared" si="1539"/>
        <v>24.6</v>
      </c>
      <c r="M3615">
        <f t="shared" si="1540"/>
        <v>1.0600000000000005</v>
      </c>
      <c r="N3615">
        <f t="shared" si="1529"/>
        <v>2.120000000000001</v>
      </c>
      <c r="O3615">
        <f t="shared" si="1541"/>
        <v>25.08</v>
      </c>
      <c r="P3615">
        <f t="shared" si="1542"/>
        <v>0.45283018867924213</v>
      </c>
      <c r="Q3615" t="str">
        <f t="shared" si="1530"/>
        <v>6.14% | 2.31%</v>
      </c>
      <c r="R3615" t="str">
        <f t="shared" si="1543"/>
        <v>BEARISH</v>
      </c>
      <c r="S3615">
        <f t="shared" si="1531"/>
        <v>-1</v>
      </c>
    </row>
    <row r="3616" spans="1:19" hidden="1" x14ac:dyDescent="0.25">
      <c r="A3616" s="5" t="str">
        <f t="shared" si="1532"/>
        <v>44057SSEC</v>
      </c>
      <c r="B3616" s="6" t="s">
        <v>104</v>
      </c>
      <c r="C3616" s="6">
        <v>3286</v>
      </c>
      <c r="D3616" s="6">
        <v>3420</v>
      </c>
      <c r="E3616" s="6">
        <v>3360</v>
      </c>
      <c r="F3616" t="str">
        <f t="shared" si="1533"/>
        <v>FRI</v>
      </c>
      <c r="G3616" s="3">
        <f t="shared" si="1534"/>
        <v>44057</v>
      </c>
      <c r="H3616" s="2">
        <f t="shared" ca="1" si="1535"/>
        <v>196</v>
      </c>
      <c r="I3616" t="str">
        <f t="shared" si="1536"/>
        <v>SSEC</v>
      </c>
      <c r="J3616">
        <f t="shared" si="1537"/>
        <v>3286</v>
      </c>
      <c r="K3616">
        <f t="shared" si="1538"/>
        <v>3420</v>
      </c>
      <c r="L3616">
        <f t="shared" si="1539"/>
        <v>3353</v>
      </c>
      <c r="M3616">
        <f t="shared" si="1540"/>
        <v>67</v>
      </c>
      <c r="N3616">
        <f t="shared" si="1529"/>
        <v>134</v>
      </c>
      <c r="O3616">
        <f t="shared" si="1541"/>
        <v>3360</v>
      </c>
      <c r="P3616">
        <f t="shared" si="1542"/>
        <v>0.1044776119402985</v>
      </c>
      <c r="Q3616" t="str">
        <f t="shared" si="1530"/>
        <v>2.2% | 1.79%</v>
      </c>
      <c r="R3616" t="str">
        <f t="shared" si="1543"/>
        <v>BULLISH</v>
      </c>
      <c r="S3616">
        <f t="shared" si="1531"/>
        <v>1</v>
      </c>
    </row>
    <row r="3617" spans="1:19" hidden="1" x14ac:dyDescent="0.25">
      <c r="A3617" s="5" t="str">
        <f t="shared" si="1532"/>
        <v>44057NIKK</v>
      </c>
      <c r="B3617" s="6" t="s">
        <v>91</v>
      </c>
      <c r="C3617" s="6">
        <v>21978</v>
      </c>
      <c r="D3617" s="6">
        <v>23406</v>
      </c>
      <c r="E3617" s="6">
        <v>23289</v>
      </c>
      <c r="F3617" t="str">
        <f t="shared" si="1533"/>
        <v>FRI</v>
      </c>
      <c r="G3617" s="3">
        <f t="shared" si="1534"/>
        <v>44057</v>
      </c>
      <c r="H3617" s="2">
        <f t="shared" ca="1" si="1535"/>
        <v>196</v>
      </c>
      <c r="I3617" t="str">
        <f t="shared" si="1536"/>
        <v>NIKK</v>
      </c>
      <c r="J3617">
        <f t="shared" si="1537"/>
        <v>21978</v>
      </c>
      <c r="K3617">
        <f t="shared" si="1538"/>
        <v>23406</v>
      </c>
      <c r="L3617">
        <f t="shared" si="1539"/>
        <v>22692</v>
      </c>
      <c r="M3617">
        <f t="shared" si="1540"/>
        <v>714</v>
      </c>
      <c r="N3617">
        <f t="shared" si="1529"/>
        <v>1428</v>
      </c>
      <c r="O3617">
        <f t="shared" si="1541"/>
        <v>23289</v>
      </c>
      <c r="P3617">
        <f t="shared" si="1542"/>
        <v>0.83613445378151263</v>
      </c>
      <c r="Q3617" t="str">
        <f t="shared" si="1530"/>
        <v>5.63% | 0.5%</v>
      </c>
      <c r="R3617" t="str">
        <f t="shared" si="1543"/>
        <v>BULLISH</v>
      </c>
      <c r="S3617">
        <f t="shared" si="1531"/>
        <v>1</v>
      </c>
    </row>
    <row r="3618" spans="1:19" hidden="1" x14ac:dyDescent="0.25">
      <c r="A3618" s="5" t="str">
        <f t="shared" si="1532"/>
        <v>44057DAX</v>
      </c>
      <c r="B3618" s="6" t="s">
        <v>98</v>
      </c>
      <c r="C3618" s="6">
        <v>12407</v>
      </c>
      <c r="D3618" s="6">
        <v>13098</v>
      </c>
      <c r="E3618" s="6">
        <v>12993</v>
      </c>
      <c r="F3618" t="str">
        <f t="shared" si="1533"/>
        <v>FRI</v>
      </c>
      <c r="G3618" s="3">
        <f t="shared" si="1534"/>
        <v>44057</v>
      </c>
      <c r="H3618" s="2">
        <f t="shared" ca="1" si="1535"/>
        <v>196</v>
      </c>
      <c r="I3618" t="str">
        <f t="shared" si="1536"/>
        <v>DAX</v>
      </c>
      <c r="J3618">
        <f t="shared" si="1537"/>
        <v>12407</v>
      </c>
      <c r="K3618">
        <f t="shared" si="1538"/>
        <v>13098</v>
      </c>
      <c r="L3618">
        <f t="shared" si="1539"/>
        <v>12752.5</v>
      </c>
      <c r="M3618">
        <f t="shared" si="1540"/>
        <v>345.5</v>
      </c>
      <c r="N3618">
        <f t="shared" si="1529"/>
        <v>691</v>
      </c>
      <c r="O3618">
        <f t="shared" si="1541"/>
        <v>12993</v>
      </c>
      <c r="P3618">
        <f t="shared" si="1542"/>
        <v>0.69609261939218525</v>
      </c>
      <c r="Q3618" t="str">
        <f t="shared" si="1530"/>
        <v>4.51% | 0.81%</v>
      </c>
      <c r="R3618" t="str">
        <f t="shared" si="1543"/>
        <v>BULLISH</v>
      </c>
      <c r="S3618">
        <f t="shared" si="1531"/>
        <v>1</v>
      </c>
    </row>
    <row r="3619" spans="1:19" hidden="1" x14ac:dyDescent="0.25">
      <c r="A3619" s="5" t="str">
        <f t="shared" si="1532"/>
        <v>44057VIX</v>
      </c>
      <c r="B3619" s="6" t="s">
        <v>96</v>
      </c>
      <c r="C3619" s="6">
        <v>21.2</v>
      </c>
      <c r="D3619" s="6">
        <v>28.95</v>
      </c>
      <c r="E3619" s="6">
        <v>22.13</v>
      </c>
      <c r="F3619" t="str">
        <f t="shared" si="1533"/>
        <v>FRI</v>
      </c>
      <c r="G3619" s="3">
        <f t="shared" si="1534"/>
        <v>44057</v>
      </c>
      <c r="H3619" s="2">
        <f t="shared" ca="1" si="1535"/>
        <v>196</v>
      </c>
      <c r="I3619" t="str">
        <f t="shared" si="1536"/>
        <v>VIX</v>
      </c>
      <c r="J3619">
        <f t="shared" si="1537"/>
        <v>21.2</v>
      </c>
      <c r="K3619">
        <f t="shared" si="1538"/>
        <v>28.95</v>
      </c>
      <c r="L3619">
        <f t="shared" si="1539"/>
        <v>25.074999999999999</v>
      </c>
      <c r="M3619">
        <f t="shared" si="1540"/>
        <v>3.875</v>
      </c>
      <c r="N3619">
        <f t="shared" si="1529"/>
        <v>7.75</v>
      </c>
      <c r="O3619">
        <f t="shared" si="1541"/>
        <v>22.13</v>
      </c>
      <c r="P3619">
        <f t="shared" si="1542"/>
        <v>-0.76000000000000012</v>
      </c>
      <c r="Q3619" t="str">
        <f t="shared" si="1530"/>
        <v>4.2% | 30.82%</v>
      </c>
      <c r="R3619" t="str">
        <f t="shared" si="1543"/>
        <v>BEARISH</v>
      </c>
      <c r="S3619">
        <f t="shared" si="1531"/>
        <v>-1</v>
      </c>
    </row>
    <row r="3620" spans="1:19" hidden="1" x14ac:dyDescent="0.25">
      <c r="A3620" s="5" t="str">
        <f t="shared" si="1532"/>
        <v>44057USD</v>
      </c>
      <c r="B3620" s="6" t="s">
        <v>94</v>
      </c>
      <c r="C3620" s="6">
        <v>92.58</v>
      </c>
      <c r="D3620" s="6">
        <v>93.96</v>
      </c>
      <c r="E3620" s="6">
        <v>93.34</v>
      </c>
      <c r="F3620" t="str">
        <f t="shared" si="1533"/>
        <v>FRI</v>
      </c>
      <c r="G3620" s="3">
        <f t="shared" si="1534"/>
        <v>44057</v>
      </c>
      <c r="H3620" s="2">
        <f t="shared" ca="1" si="1535"/>
        <v>196</v>
      </c>
      <c r="I3620" t="str">
        <f t="shared" si="1536"/>
        <v>USD</v>
      </c>
      <c r="J3620">
        <f t="shared" si="1537"/>
        <v>92.58</v>
      </c>
      <c r="K3620">
        <f t="shared" si="1538"/>
        <v>93.96</v>
      </c>
      <c r="L3620">
        <f t="shared" si="1539"/>
        <v>93.27</v>
      </c>
      <c r="M3620">
        <f t="shared" si="1540"/>
        <v>0.68999999999999773</v>
      </c>
      <c r="N3620">
        <f t="shared" si="1529"/>
        <v>1.3799999999999955</v>
      </c>
      <c r="O3620">
        <f t="shared" si="1541"/>
        <v>93.34</v>
      </c>
      <c r="P3620">
        <f t="shared" si="1542"/>
        <v>0.10144927536232988</v>
      </c>
      <c r="Q3620" t="str">
        <f t="shared" si="1530"/>
        <v>0.81% | 0.66%</v>
      </c>
      <c r="R3620" t="str">
        <f t="shared" si="1543"/>
        <v>BEARISH</v>
      </c>
      <c r="S3620">
        <f t="shared" si="1531"/>
        <v>-1</v>
      </c>
    </row>
    <row r="3621" spans="1:19" hidden="1" x14ac:dyDescent="0.25">
      <c r="A3621" s="5" t="str">
        <f t="shared" si="1532"/>
        <v>44057EUR/USD</v>
      </c>
      <c r="B3621" s="6" t="s">
        <v>99</v>
      </c>
      <c r="C3621" s="6">
        <v>1.17</v>
      </c>
      <c r="D3621" s="6">
        <v>1.19</v>
      </c>
      <c r="E3621" s="6">
        <v>1.18</v>
      </c>
      <c r="F3621" t="str">
        <f t="shared" si="1533"/>
        <v>FRI</v>
      </c>
      <c r="G3621" s="3">
        <f t="shared" si="1534"/>
        <v>44057</v>
      </c>
      <c r="H3621" s="2">
        <f t="shared" ca="1" si="1535"/>
        <v>196</v>
      </c>
      <c r="I3621" t="str">
        <f t="shared" si="1536"/>
        <v>EUR/USD</v>
      </c>
      <c r="J3621">
        <f t="shared" si="1537"/>
        <v>1.17</v>
      </c>
      <c r="K3621">
        <f t="shared" si="1538"/>
        <v>1.19</v>
      </c>
      <c r="L3621">
        <f t="shared" si="1539"/>
        <v>1.18</v>
      </c>
      <c r="M3621">
        <f t="shared" si="1540"/>
        <v>1.0000000000000009E-2</v>
      </c>
      <c r="N3621">
        <f t="shared" si="1529"/>
        <v>2.0000000000000018E-2</v>
      </c>
      <c r="O3621">
        <f t="shared" si="1541"/>
        <v>1.18</v>
      </c>
      <c r="P3621">
        <f t="shared" si="1542"/>
        <v>0</v>
      </c>
      <c r="Q3621" t="str">
        <f t="shared" si="1530"/>
        <v>0.85% | 0.85%</v>
      </c>
      <c r="R3621" t="str">
        <f t="shared" si="1543"/>
        <v>BULLISH</v>
      </c>
      <c r="S3621">
        <f t="shared" si="1531"/>
        <v>1</v>
      </c>
    </row>
    <row r="3622" spans="1:19" hidden="1" x14ac:dyDescent="0.25">
      <c r="A3622" s="5" t="str">
        <f t="shared" si="1532"/>
        <v>44057USD/JPY</v>
      </c>
      <c r="B3622" s="6" t="s">
        <v>20</v>
      </c>
      <c r="C3622" s="6">
        <v>104.99</v>
      </c>
      <c r="D3622" s="6">
        <v>107.21</v>
      </c>
      <c r="E3622" s="6">
        <v>106.93</v>
      </c>
      <c r="F3622" t="str">
        <f t="shared" si="1533"/>
        <v>FRI</v>
      </c>
      <c r="G3622" s="3">
        <f t="shared" si="1534"/>
        <v>44057</v>
      </c>
      <c r="H3622" s="2">
        <f t="shared" ca="1" si="1535"/>
        <v>196</v>
      </c>
      <c r="I3622" t="str">
        <f t="shared" si="1536"/>
        <v>USD/JPY</v>
      </c>
      <c r="J3622">
        <f t="shared" si="1537"/>
        <v>104.99</v>
      </c>
      <c r="K3622">
        <f t="shared" si="1538"/>
        <v>107.21</v>
      </c>
      <c r="L3622">
        <f t="shared" si="1539"/>
        <v>106.1</v>
      </c>
      <c r="M3622">
        <f t="shared" si="1540"/>
        <v>1.1099999999999994</v>
      </c>
      <c r="N3622">
        <f t="shared" si="1529"/>
        <v>2.2199999999999989</v>
      </c>
      <c r="O3622">
        <f t="shared" si="1541"/>
        <v>106.93</v>
      </c>
      <c r="P3622">
        <f t="shared" si="1542"/>
        <v>0.74774774774775943</v>
      </c>
      <c r="Q3622" t="str">
        <f t="shared" si="1530"/>
        <v>1.81% | 0.26%</v>
      </c>
      <c r="R3622" t="str">
        <f t="shared" si="1543"/>
        <v>BEARISH</v>
      </c>
      <c r="S3622">
        <f t="shared" si="1531"/>
        <v>-1</v>
      </c>
    </row>
    <row r="3623" spans="1:19" hidden="1" x14ac:dyDescent="0.25">
      <c r="A3623" s="5" t="str">
        <f t="shared" si="1532"/>
        <v>44057GBP/USD</v>
      </c>
      <c r="B3623" s="6" t="s">
        <v>102</v>
      </c>
      <c r="C3623" s="6">
        <v>1.3</v>
      </c>
      <c r="D3623" s="6">
        <v>1.32</v>
      </c>
      <c r="E3623" s="6">
        <v>1.3</v>
      </c>
      <c r="F3623" t="str">
        <f t="shared" si="1533"/>
        <v>FRI</v>
      </c>
      <c r="G3623" s="3">
        <f t="shared" si="1534"/>
        <v>44057</v>
      </c>
      <c r="H3623" s="2">
        <f t="shared" ca="1" si="1535"/>
        <v>196</v>
      </c>
      <c r="I3623" t="str">
        <f t="shared" si="1536"/>
        <v>GBP/USD</v>
      </c>
      <c r="J3623">
        <f t="shared" si="1537"/>
        <v>1.3</v>
      </c>
      <c r="K3623">
        <f t="shared" si="1538"/>
        <v>1.32</v>
      </c>
      <c r="L3623">
        <f t="shared" si="1539"/>
        <v>1.31</v>
      </c>
      <c r="M3623">
        <f t="shared" si="1540"/>
        <v>1.0000000000000009E-2</v>
      </c>
      <c r="N3623">
        <f t="shared" si="1529"/>
        <v>2.0000000000000018E-2</v>
      </c>
      <c r="O3623">
        <f t="shared" si="1541"/>
        <v>1.3</v>
      </c>
      <c r="P3623">
        <f t="shared" si="1542"/>
        <v>-1</v>
      </c>
      <c r="Q3623" t="str">
        <f t="shared" si="1530"/>
        <v>0% | 1.54%</v>
      </c>
      <c r="R3623" t="str">
        <f t="shared" si="1543"/>
        <v>BULLISH</v>
      </c>
      <c r="S3623">
        <f t="shared" si="1531"/>
        <v>1</v>
      </c>
    </row>
    <row r="3624" spans="1:19" hidden="1" x14ac:dyDescent="0.25">
      <c r="A3624" s="5" t="str">
        <f t="shared" si="1532"/>
        <v>44057USD/CHF</v>
      </c>
      <c r="B3624" s="6" t="s">
        <v>76</v>
      </c>
      <c r="C3624" s="6">
        <v>0.9</v>
      </c>
      <c r="D3624" s="6">
        <v>0.92</v>
      </c>
      <c r="E3624" s="6">
        <v>0.91</v>
      </c>
      <c r="F3624" t="str">
        <f t="shared" si="1533"/>
        <v>FRI</v>
      </c>
      <c r="G3624" s="3">
        <f t="shared" si="1534"/>
        <v>44057</v>
      </c>
      <c r="H3624" s="2">
        <f t="shared" ca="1" si="1535"/>
        <v>196</v>
      </c>
      <c r="I3624" t="str">
        <f t="shared" si="1536"/>
        <v>USD/CHF</v>
      </c>
      <c r="J3624">
        <f t="shared" si="1537"/>
        <v>0.9</v>
      </c>
      <c r="K3624">
        <f t="shared" si="1538"/>
        <v>0.92</v>
      </c>
      <c r="L3624">
        <f t="shared" si="1539"/>
        <v>0.91</v>
      </c>
      <c r="M3624">
        <f t="shared" si="1540"/>
        <v>1.0000000000000009E-2</v>
      </c>
      <c r="N3624">
        <f t="shared" si="1529"/>
        <v>2.0000000000000018E-2</v>
      </c>
      <c r="O3624">
        <f t="shared" si="1541"/>
        <v>0.91</v>
      </c>
      <c r="P3624">
        <f t="shared" si="1542"/>
        <v>0</v>
      </c>
      <c r="Q3624" t="str">
        <f t="shared" si="1530"/>
        <v>1.1% | 1.1%</v>
      </c>
      <c r="R3624" t="str">
        <f t="shared" si="1543"/>
        <v>BEARISH</v>
      </c>
      <c r="S3624">
        <f t="shared" si="1531"/>
        <v>-1</v>
      </c>
    </row>
    <row r="3625" spans="1:19" hidden="1" x14ac:dyDescent="0.25">
      <c r="A3625" s="5" t="str">
        <f t="shared" si="1532"/>
        <v>44057WTIC</v>
      </c>
      <c r="B3625" s="6" t="s">
        <v>158</v>
      </c>
      <c r="C3625" s="6">
        <v>40.06</v>
      </c>
      <c r="D3625" s="6">
        <v>42.91</v>
      </c>
      <c r="E3625" s="6">
        <v>42.24</v>
      </c>
      <c r="F3625" t="str">
        <f t="shared" si="1533"/>
        <v>FRI</v>
      </c>
      <c r="G3625" s="3">
        <f t="shared" si="1534"/>
        <v>44057</v>
      </c>
      <c r="H3625" s="2">
        <f t="shared" ca="1" si="1535"/>
        <v>196</v>
      </c>
      <c r="I3625" t="str">
        <f t="shared" si="1536"/>
        <v>WTIC</v>
      </c>
      <c r="J3625">
        <f t="shared" si="1537"/>
        <v>40.06</v>
      </c>
      <c r="K3625">
        <f t="shared" si="1538"/>
        <v>42.91</v>
      </c>
      <c r="L3625">
        <f t="shared" si="1539"/>
        <v>41.484999999999999</v>
      </c>
      <c r="M3625">
        <f t="shared" si="1540"/>
        <v>1.4249999999999972</v>
      </c>
      <c r="N3625">
        <f t="shared" si="1529"/>
        <v>2.8499999999999943</v>
      </c>
      <c r="O3625">
        <f t="shared" si="1541"/>
        <v>42.24</v>
      </c>
      <c r="P3625">
        <f t="shared" si="1542"/>
        <v>0.52982456140351164</v>
      </c>
      <c r="Q3625" t="str">
        <f t="shared" si="1530"/>
        <v>5.16% | 1.59%</v>
      </c>
      <c r="R3625" t="str">
        <f t="shared" si="1543"/>
        <v>BULLISH</v>
      </c>
      <c r="S3625">
        <f t="shared" si="1531"/>
        <v>1</v>
      </c>
    </row>
    <row r="3626" spans="1:19" hidden="1" x14ac:dyDescent="0.25">
      <c r="A3626" s="5" t="str">
        <f t="shared" si="1532"/>
        <v>44057NATGAS</v>
      </c>
      <c r="B3626" s="6" t="s">
        <v>89</v>
      </c>
      <c r="C3626" s="6">
        <v>1.97</v>
      </c>
      <c r="D3626" s="6">
        <v>2.34</v>
      </c>
      <c r="E3626" s="6">
        <v>2.1800000000000002</v>
      </c>
      <c r="F3626" t="str">
        <f t="shared" si="1533"/>
        <v>FRI</v>
      </c>
      <c r="G3626" s="3">
        <f t="shared" si="1534"/>
        <v>44057</v>
      </c>
      <c r="H3626" s="2">
        <f t="shared" ca="1" si="1535"/>
        <v>196</v>
      </c>
      <c r="I3626" t="str">
        <f t="shared" si="1536"/>
        <v>NATGAS</v>
      </c>
      <c r="J3626">
        <f t="shared" si="1537"/>
        <v>1.97</v>
      </c>
      <c r="K3626">
        <f t="shared" si="1538"/>
        <v>2.34</v>
      </c>
      <c r="L3626">
        <f t="shared" si="1539"/>
        <v>2.1549999999999998</v>
      </c>
      <c r="M3626">
        <f t="shared" si="1540"/>
        <v>0.18499999999999994</v>
      </c>
      <c r="N3626">
        <f t="shared" si="1529"/>
        <v>0.36999999999999988</v>
      </c>
      <c r="O3626">
        <f t="shared" si="1541"/>
        <v>2.1800000000000002</v>
      </c>
      <c r="P3626">
        <f t="shared" si="1542"/>
        <v>0.13513513513513709</v>
      </c>
      <c r="Q3626" t="str">
        <f t="shared" si="1530"/>
        <v>9.63% | 7.34%</v>
      </c>
      <c r="R3626" t="str">
        <f t="shared" si="1543"/>
        <v>BULLISH</v>
      </c>
      <c r="S3626">
        <f t="shared" si="1531"/>
        <v>1</v>
      </c>
    </row>
    <row r="3627" spans="1:19" hidden="1" x14ac:dyDescent="0.25">
      <c r="A3627" s="5" t="str">
        <f t="shared" si="1532"/>
        <v>44057GOLD</v>
      </c>
      <c r="B3627" s="6" t="s">
        <v>25</v>
      </c>
      <c r="C3627" s="6">
        <v>1920</v>
      </c>
      <c r="D3627" s="6">
        <v>2092</v>
      </c>
      <c r="E3627" s="6">
        <v>1970</v>
      </c>
      <c r="F3627" t="str">
        <f t="shared" si="1533"/>
        <v>FRI</v>
      </c>
      <c r="G3627" s="3">
        <f t="shared" si="1534"/>
        <v>44057</v>
      </c>
      <c r="H3627" s="2">
        <f t="shared" ca="1" si="1535"/>
        <v>196</v>
      </c>
      <c r="I3627" t="str">
        <f t="shared" si="1536"/>
        <v>GOLD</v>
      </c>
      <c r="J3627">
        <f t="shared" si="1537"/>
        <v>1920</v>
      </c>
      <c r="K3627">
        <f t="shared" si="1538"/>
        <v>2092</v>
      </c>
      <c r="L3627">
        <f t="shared" si="1539"/>
        <v>2006</v>
      </c>
      <c r="M3627">
        <f t="shared" si="1540"/>
        <v>86</v>
      </c>
      <c r="N3627">
        <f t="shared" si="1529"/>
        <v>172</v>
      </c>
      <c r="O3627">
        <v>1950</v>
      </c>
      <c r="P3627">
        <f t="shared" si="1542"/>
        <v>-0.65116279069767447</v>
      </c>
      <c r="Q3627" t="str">
        <f t="shared" si="1530"/>
        <v>1.54% | 7.28%</v>
      </c>
      <c r="R3627" t="str">
        <f t="shared" si="1543"/>
        <v>BULLISH</v>
      </c>
      <c r="S3627">
        <f t="shared" si="1531"/>
        <v>1</v>
      </c>
    </row>
    <row r="3628" spans="1:19" hidden="1" x14ac:dyDescent="0.25">
      <c r="A3628" s="5" t="str">
        <f t="shared" si="1532"/>
        <v>44057SILVER</v>
      </c>
      <c r="B3628" s="6" t="s">
        <v>195</v>
      </c>
      <c r="C3628" s="6">
        <v>23.97</v>
      </c>
      <c r="D3628" s="6">
        <v>29.74</v>
      </c>
      <c r="E3628" s="6">
        <v>27.72</v>
      </c>
      <c r="F3628" t="str">
        <f t="shared" si="1533"/>
        <v>FRI</v>
      </c>
      <c r="G3628" s="3">
        <f t="shared" si="1534"/>
        <v>44057</v>
      </c>
      <c r="H3628" s="2">
        <f t="shared" ca="1" si="1535"/>
        <v>196</v>
      </c>
      <c r="I3628" t="str">
        <f t="shared" si="1536"/>
        <v>SILVER</v>
      </c>
      <c r="J3628">
        <f t="shared" si="1537"/>
        <v>23.97</v>
      </c>
      <c r="K3628">
        <f t="shared" si="1538"/>
        <v>29.74</v>
      </c>
      <c r="L3628">
        <f t="shared" si="1539"/>
        <v>26.854999999999997</v>
      </c>
      <c r="M3628">
        <f t="shared" si="1540"/>
        <v>2.8850000000000162</v>
      </c>
      <c r="N3628">
        <f t="shared" si="1529"/>
        <v>5.77</v>
      </c>
      <c r="O3628">
        <v>26.8</v>
      </c>
      <c r="P3628">
        <f t="shared" si="1542"/>
        <v>-1.9064124783360781E-2</v>
      </c>
      <c r="Q3628" t="str">
        <f t="shared" si="1530"/>
        <v>10.56% | 10.97%</v>
      </c>
      <c r="R3628" t="str">
        <f t="shared" si="1543"/>
        <v>BULLISH</v>
      </c>
      <c r="S3628">
        <f t="shared" si="1531"/>
        <v>1</v>
      </c>
    </row>
    <row r="3629" spans="1:19" hidden="1" x14ac:dyDescent="0.25">
      <c r="A3629" s="5" t="str">
        <f t="shared" si="1532"/>
        <v>44057COPPER</v>
      </c>
      <c r="B3629" s="6" t="s">
        <v>100</v>
      </c>
      <c r="C3629" s="6">
        <v>2.78</v>
      </c>
      <c r="D3629" s="6">
        <v>2.96</v>
      </c>
      <c r="E3629" s="6">
        <v>2.81</v>
      </c>
      <c r="F3629" t="str">
        <f t="shared" si="1533"/>
        <v>FRI</v>
      </c>
      <c r="G3629" s="3">
        <f t="shared" si="1534"/>
        <v>44057</v>
      </c>
      <c r="H3629" s="2">
        <f t="shared" ca="1" si="1535"/>
        <v>196</v>
      </c>
      <c r="I3629" t="str">
        <f t="shared" si="1536"/>
        <v>COPPER</v>
      </c>
      <c r="J3629">
        <f t="shared" si="1537"/>
        <v>2.78</v>
      </c>
      <c r="K3629">
        <f t="shared" si="1538"/>
        <v>2.96</v>
      </c>
      <c r="L3629">
        <f t="shared" si="1539"/>
        <v>2.87</v>
      </c>
      <c r="M3629">
        <f t="shared" si="1540"/>
        <v>9.000000000000008E-2</v>
      </c>
      <c r="N3629">
        <f t="shared" si="1529"/>
        <v>0.18000000000000016</v>
      </c>
      <c r="O3629">
        <f t="shared" si="1541"/>
        <v>2.81</v>
      </c>
      <c r="P3629">
        <f t="shared" si="1542"/>
        <v>-0.66666666666666663</v>
      </c>
      <c r="Q3629" t="str">
        <f t="shared" si="1530"/>
        <v>1.07% | 5.34%</v>
      </c>
      <c r="R3629" t="str">
        <f t="shared" si="1543"/>
        <v>BULLISH</v>
      </c>
      <c r="S3629">
        <f t="shared" si="1531"/>
        <v>1</v>
      </c>
    </row>
    <row r="3630" spans="1:19" hidden="1" x14ac:dyDescent="0.25">
      <c r="A3630" s="5" t="str">
        <f t="shared" si="1532"/>
        <v>44057MSFT</v>
      </c>
      <c r="B3630" s="6" t="s">
        <v>27</v>
      </c>
      <c r="C3630" s="6">
        <v>203</v>
      </c>
      <c r="D3630" s="6">
        <v>219</v>
      </c>
      <c r="E3630" s="6">
        <v>208</v>
      </c>
      <c r="F3630" t="str">
        <f t="shared" si="1533"/>
        <v>FRI</v>
      </c>
      <c r="G3630" s="3">
        <f t="shared" si="1534"/>
        <v>44057</v>
      </c>
      <c r="H3630" s="2">
        <f t="shared" ca="1" si="1535"/>
        <v>196</v>
      </c>
      <c r="I3630" t="str">
        <f t="shared" si="1536"/>
        <v>MSFT</v>
      </c>
      <c r="J3630">
        <f t="shared" si="1537"/>
        <v>203</v>
      </c>
      <c r="K3630">
        <f t="shared" si="1538"/>
        <v>219</v>
      </c>
      <c r="L3630">
        <f t="shared" si="1539"/>
        <v>211</v>
      </c>
      <c r="M3630">
        <f t="shared" si="1540"/>
        <v>8</v>
      </c>
      <c r="N3630">
        <f t="shared" si="1529"/>
        <v>16</v>
      </c>
      <c r="O3630">
        <f t="shared" si="1541"/>
        <v>208</v>
      </c>
      <c r="P3630">
        <f t="shared" si="1542"/>
        <v>-0.375</v>
      </c>
      <c r="Q3630" t="str">
        <f t="shared" si="1530"/>
        <v>2.4% | 5.29%</v>
      </c>
      <c r="R3630" t="str">
        <f t="shared" si="1543"/>
        <v>BULLISH</v>
      </c>
      <c r="S3630">
        <f t="shared" si="1531"/>
        <v>1</v>
      </c>
    </row>
    <row r="3631" spans="1:19" hidden="1" x14ac:dyDescent="0.25">
      <c r="A3631" s="5" t="str">
        <f t="shared" si="1532"/>
        <v>44057AAPL</v>
      </c>
      <c r="B3631" s="6" t="s">
        <v>28</v>
      </c>
      <c r="C3631" s="6">
        <v>426</v>
      </c>
      <c r="D3631" s="6">
        <v>464</v>
      </c>
      <c r="E3631" s="6">
        <v>460</v>
      </c>
      <c r="F3631" t="str">
        <f t="shared" si="1533"/>
        <v>FRI</v>
      </c>
      <c r="G3631" s="3">
        <f t="shared" si="1534"/>
        <v>44057</v>
      </c>
      <c r="H3631" s="2">
        <f t="shared" ca="1" si="1535"/>
        <v>196</v>
      </c>
      <c r="I3631" t="str">
        <f t="shared" si="1536"/>
        <v>AAPL</v>
      </c>
      <c r="J3631">
        <f t="shared" si="1537"/>
        <v>426</v>
      </c>
      <c r="K3631">
        <f t="shared" si="1538"/>
        <v>464</v>
      </c>
      <c r="L3631">
        <f t="shared" si="1539"/>
        <v>445</v>
      </c>
      <c r="M3631">
        <f t="shared" si="1540"/>
        <v>19</v>
      </c>
      <c r="N3631">
        <f t="shared" si="1529"/>
        <v>38</v>
      </c>
      <c r="O3631">
        <f t="shared" si="1541"/>
        <v>460</v>
      </c>
      <c r="P3631">
        <f t="shared" si="1542"/>
        <v>0.78947368421052633</v>
      </c>
      <c r="Q3631" t="str">
        <f t="shared" si="1530"/>
        <v>7.39% | 0.87%</v>
      </c>
      <c r="R3631" t="str">
        <f t="shared" si="1543"/>
        <v>BULLISH</v>
      </c>
      <c r="S3631">
        <f t="shared" si="1531"/>
        <v>1</v>
      </c>
    </row>
    <row r="3632" spans="1:19" hidden="1" x14ac:dyDescent="0.25">
      <c r="A3632" s="5" t="str">
        <f t="shared" si="1532"/>
        <v>44057AMZN</v>
      </c>
      <c r="B3632" s="6" t="s">
        <v>29</v>
      </c>
      <c r="C3632" s="6">
        <v>3058</v>
      </c>
      <c r="D3632" s="6">
        <v>3241</v>
      </c>
      <c r="E3632" s="6">
        <v>3161</v>
      </c>
      <c r="F3632" t="str">
        <f t="shared" si="1533"/>
        <v>FRI</v>
      </c>
      <c r="G3632" s="3">
        <f t="shared" si="1534"/>
        <v>44057</v>
      </c>
      <c r="H3632" s="2">
        <f t="shared" ca="1" si="1535"/>
        <v>196</v>
      </c>
      <c r="I3632" t="str">
        <f t="shared" si="1536"/>
        <v>AMZN</v>
      </c>
      <c r="J3632">
        <f t="shared" si="1537"/>
        <v>3058</v>
      </c>
      <c r="K3632">
        <f t="shared" si="1538"/>
        <v>3241</v>
      </c>
      <c r="L3632">
        <f t="shared" si="1539"/>
        <v>3149.5</v>
      </c>
      <c r="M3632">
        <f t="shared" si="1540"/>
        <v>91.5</v>
      </c>
      <c r="N3632">
        <f t="shared" si="1529"/>
        <v>183</v>
      </c>
      <c r="O3632">
        <f t="shared" si="1541"/>
        <v>3161</v>
      </c>
      <c r="P3632">
        <f t="shared" si="1542"/>
        <v>0.12568306010928962</v>
      </c>
      <c r="Q3632" t="str">
        <f t="shared" si="1530"/>
        <v>3.26% | 2.53%</v>
      </c>
      <c r="R3632" t="str">
        <f t="shared" si="1543"/>
        <v>BULLISH</v>
      </c>
      <c r="S3632">
        <f t="shared" si="1531"/>
        <v>1</v>
      </c>
    </row>
    <row r="3633" spans="1:19" hidden="1" x14ac:dyDescent="0.25">
      <c r="A3633" s="5" t="str">
        <f t="shared" si="1532"/>
        <v>44057FB</v>
      </c>
      <c r="B3633" s="6" t="s">
        <v>30</v>
      </c>
      <c r="C3633" s="6">
        <v>244</v>
      </c>
      <c r="D3633" s="6">
        <v>272</v>
      </c>
      <c r="E3633" s="6">
        <v>261</v>
      </c>
      <c r="F3633" t="str">
        <f t="shared" si="1533"/>
        <v>FRI</v>
      </c>
      <c r="G3633" s="3">
        <f t="shared" si="1534"/>
        <v>44057</v>
      </c>
      <c r="H3633" s="2">
        <f t="shared" ca="1" si="1535"/>
        <v>196</v>
      </c>
      <c r="I3633" t="str">
        <f t="shared" si="1536"/>
        <v>FB</v>
      </c>
      <c r="J3633">
        <f t="shared" si="1537"/>
        <v>244</v>
      </c>
      <c r="K3633">
        <f t="shared" si="1538"/>
        <v>272</v>
      </c>
      <c r="L3633">
        <f t="shared" si="1539"/>
        <v>258</v>
      </c>
      <c r="M3633">
        <f t="shared" si="1540"/>
        <v>14</v>
      </c>
      <c r="N3633">
        <f t="shared" si="1529"/>
        <v>28</v>
      </c>
      <c r="O3633">
        <f t="shared" si="1541"/>
        <v>261</v>
      </c>
      <c r="P3633">
        <f t="shared" si="1542"/>
        <v>0.21428571428571427</v>
      </c>
      <c r="Q3633" t="str">
        <f t="shared" si="1530"/>
        <v>6.51% | 4.21%</v>
      </c>
      <c r="R3633" t="str">
        <f t="shared" si="1543"/>
        <v>BULLISH</v>
      </c>
      <c r="S3633">
        <f t="shared" si="1531"/>
        <v>1</v>
      </c>
    </row>
    <row r="3634" spans="1:19" hidden="1" x14ac:dyDescent="0.25">
      <c r="A3634" s="5" t="str">
        <f t="shared" si="1532"/>
        <v>44057GOOGL</v>
      </c>
      <c r="B3634" s="6" t="s">
        <v>31</v>
      </c>
      <c r="C3634" s="6">
        <v>1465</v>
      </c>
      <c r="D3634" s="6">
        <v>1523</v>
      </c>
      <c r="E3634" s="6">
        <v>1516</v>
      </c>
      <c r="F3634" t="str">
        <f t="shared" si="1533"/>
        <v>FRI</v>
      </c>
      <c r="G3634" s="3">
        <f t="shared" si="1534"/>
        <v>44057</v>
      </c>
      <c r="H3634" s="2">
        <f t="shared" ca="1" si="1535"/>
        <v>196</v>
      </c>
      <c r="I3634" t="str">
        <f t="shared" si="1536"/>
        <v>GOOGL</v>
      </c>
      <c r="J3634">
        <f t="shared" si="1537"/>
        <v>1465</v>
      </c>
      <c r="K3634">
        <f t="shared" si="1538"/>
        <v>1523</v>
      </c>
      <c r="L3634">
        <f t="shared" si="1539"/>
        <v>1494</v>
      </c>
      <c r="M3634">
        <f t="shared" si="1540"/>
        <v>29</v>
      </c>
      <c r="N3634">
        <f t="shared" si="1529"/>
        <v>58</v>
      </c>
      <c r="O3634">
        <f t="shared" si="1541"/>
        <v>1516</v>
      </c>
      <c r="P3634">
        <f t="shared" si="1542"/>
        <v>0.75862068965517238</v>
      </c>
      <c r="Q3634" t="str">
        <f t="shared" si="1530"/>
        <v>3.36% | 0.46%</v>
      </c>
      <c r="R3634" t="str">
        <f t="shared" si="1543"/>
        <v>BULLISH</v>
      </c>
      <c r="S3634">
        <f t="shared" si="1531"/>
        <v>1</v>
      </c>
    </row>
    <row r="3635" spans="1:19" hidden="1" x14ac:dyDescent="0.25">
      <c r="A3635" s="5" t="str">
        <f t="shared" si="1532"/>
        <v>44057NFLX</v>
      </c>
      <c r="B3635" s="6" t="s">
        <v>70</v>
      </c>
      <c r="C3635" s="6">
        <v>461</v>
      </c>
      <c r="D3635" s="6">
        <v>518</v>
      </c>
      <c r="E3635" s="6">
        <v>481</v>
      </c>
      <c r="F3635" t="str">
        <f t="shared" si="1533"/>
        <v>FRI</v>
      </c>
      <c r="G3635" s="3">
        <f t="shared" si="1534"/>
        <v>44057</v>
      </c>
      <c r="H3635" s="2">
        <f t="shared" ca="1" si="1535"/>
        <v>196</v>
      </c>
      <c r="I3635" t="str">
        <f t="shared" si="1536"/>
        <v>NFLX</v>
      </c>
      <c r="J3635">
        <f t="shared" si="1537"/>
        <v>461</v>
      </c>
      <c r="K3635">
        <f t="shared" si="1538"/>
        <v>518</v>
      </c>
      <c r="L3635">
        <f t="shared" si="1539"/>
        <v>489.5</v>
      </c>
      <c r="M3635">
        <f t="shared" si="1540"/>
        <v>28.5</v>
      </c>
      <c r="N3635">
        <f t="shared" si="1529"/>
        <v>57</v>
      </c>
      <c r="O3635">
        <f t="shared" si="1541"/>
        <v>481</v>
      </c>
      <c r="P3635">
        <f t="shared" si="1542"/>
        <v>-0.2982456140350877</v>
      </c>
      <c r="Q3635" t="str">
        <f t="shared" si="1530"/>
        <v>4.16% | 7.69%</v>
      </c>
      <c r="R3635" t="str">
        <f t="shared" si="1543"/>
        <v>NEUTRAL</v>
      </c>
      <c r="S3635">
        <f t="shared" si="1531"/>
        <v>0</v>
      </c>
    </row>
    <row r="3636" spans="1:19" x14ac:dyDescent="0.25">
      <c r="A3636" s="5" t="str">
        <f t="shared" si="1532"/>
        <v>44057TSLA</v>
      </c>
      <c r="B3636" s="6" t="s">
        <v>33</v>
      </c>
      <c r="C3636" s="6">
        <v>1360</v>
      </c>
      <c r="D3636" s="6">
        <v>1639</v>
      </c>
      <c r="E3636" s="6">
        <v>1621</v>
      </c>
      <c r="F3636" t="str">
        <f t="shared" si="1533"/>
        <v>FRI</v>
      </c>
      <c r="G3636" s="3">
        <f t="shared" si="1534"/>
        <v>44057</v>
      </c>
      <c r="H3636" s="2">
        <f t="shared" ca="1" si="1535"/>
        <v>196</v>
      </c>
      <c r="I3636" t="str">
        <f t="shared" si="1536"/>
        <v>TSLA</v>
      </c>
      <c r="J3636">
        <f t="shared" si="1537"/>
        <v>1360</v>
      </c>
      <c r="K3636">
        <f t="shared" si="1538"/>
        <v>1639</v>
      </c>
      <c r="L3636">
        <f t="shared" si="1539"/>
        <v>1499.5</v>
      </c>
      <c r="M3636">
        <f t="shared" si="1540"/>
        <v>139.5</v>
      </c>
      <c r="N3636">
        <f t="shared" si="1529"/>
        <v>279</v>
      </c>
      <c r="O3636">
        <f t="shared" si="1541"/>
        <v>1621</v>
      </c>
      <c r="P3636">
        <f t="shared" si="1542"/>
        <v>0.87096774193548387</v>
      </c>
      <c r="Q3636" t="str">
        <f t="shared" si="1530"/>
        <v>16.1% | 1.11%</v>
      </c>
      <c r="R3636" t="str">
        <f t="shared" si="1543"/>
        <v>BULLISH</v>
      </c>
      <c r="S3636">
        <f t="shared" si="1531"/>
        <v>1</v>
      </c>
    </row>
    <row r="3637" spans="1:19" hidden="1" x14ac:dyDescent="0.25">
      <c r="A3637" s="5" t="str">
        <f t="shared" si="1532"/>
        <v>44057NYXBT</v>
      </c>
      <c r="B3637" s="6" t="s">
        <v>60</v>
      </c>
      <c r="C3637" s="6">
        <v>11031</v>
      </c>
      <c r="D3637" s="6">
        <v>12045</v>
      </c>
      <c r="E3637" s="6" t="s">
        <v>200</v>
      </c>
      <c r="F3637" t="str">
        <f t="shared" si="1533"/>
        <v>FRI</v>
      </c>
      <c r="G3637" s="3">
        <f t="shared" si="1534"/>
        <v>44057</v>
      </c>
      <c r="H3637" s="2">
        <f t="shared" ca="1" si="1535"/>
        <v>196</v>
      </c>
      <c r="I3637" t="str">
        <f t="shared" si="1536"/>
        <v>NYXBT</v>
      </c>
      <c r="J3637">
        <f t="shared" si="1537"/>
        <v>11031</v>
      </c>
      <c r="K3637">
        <f t="shared" si="1538"/>
        <v>12045</v>
      </c>
      <c r="L3637">
        <f t="shared" si="1539"/>
        <v>11538</v>
      </c>
      <c r="M3637">
        <f t="shared" si="1540"/>
        <v>507</v>
      </c>
      <c r="N3637">
        <f t="shared" si="1529"/>
        <v>1014</v>
      </c>
      <c r="O3637">
        <v>11709</v>
      </c>
      <c r="P3637">
        <f t="shared" si="1542"/>
        <v>0.33727810650887574</v>
      </c>
      <c r="Q3637" t="str">
        <f t="shared" si="1530"/>
        <v>5.79% | 2.87%</v>
      </c>
      <c r="R3637" t="str">
        <f t="shared" si="1543"/>
        <v>BULLISH</v>
      </c>
      <c r="S3637">
        <f t="shared" si="1531"/>
        <v>1</v>
      </c>
    </row>
    <row r="3638" spans="1:19" hidden="1" x14ac:dyDescent="0.25">
      <c r="A3638" s="5" t="str">
        <f t="shared" si="1532"/>
        <v>44060UST10Y</v>
      </c>
      <c r="B3638" s="6" t="s">
        <v>161</v>
      </c>
      <c r="C3638" s="6">
        <v>0.72</v>
      </c>
      <c r="D3638" s="6">
        <v>0.47</v>
      </c>
      <c r="E3638" s="6">
        <v>0.71</v>
      </c>
      <c r="F3638" t="str">
        <f t="shared" si="1533"/>
        <v>MON</v>
      </c>
      <c r="G3638" s="1">
        <f>DATE(2020,8,17)</f>
        <v>44060</v>
      </c>
      <c r="H3638" s="2">
        <f t="shared" ca="1" si="1535"/>
        <v>193</v>
      </c>
      <c r="I3638" t="str">
        <f t="shared" si="1536"/>
        <v>UST10Y</v>
      </c>
      <c r="J3638">
        <f t="shared" si="1537"/>
        <v>0.72</v>
      </c>
      <c r="K3638">
        <f t="shared" si="1538"/>
        <v>0.47</v>
      </c>
      <c r="L3638">
        <f t="shared" si="1539"/>
        <v>0.59499999999999997</v>
      </c>
      <c r="M3638">
        <f t="shared" si="1540"/>
        <v>0.125</v>
      </c>
      <c r="N3638">
        <f t="shared" si="1529"/>
        <v>0.25</v>
      </c>
      <c r="O3638">
        <f t="shared" si="1541"/>
        <v>0.71</v>
      </c>
      <c r="P3638">
        <f t="shared" si="1542"/>
        <v>0.91999999999999993</v>
      </c>
      <c r="Q3638" t="str">
        <f t="shared" si="1530"/>
        <v>1.41% | 33.8%</v>
      </c>
      <c r="R3638" t="str">
        <f t="shared" si="1543"/>
        <v>BEARISH</v>
      </c>
      <c r="S3638">
        <f t="shared" si="1531"/>
        <v>-1</v>
      </c>
    </row>
    <row r="3639" spans="1:19" hidden="1" x14ac:dyDescent="0.25">
      <c r="A3639" s="5" t="str">
        <f t="shared" si="1532"/>
        <v>44060UST2Y</v>
      </c>
      <c r="B3639" s="6" t="s">
        <v>162</v>
      </c>
      <c r="C3639" s="6">
        <v>0.17</v>
      </c>
      <c r="D3639" s="6">
        <v>0.09</v>
      </c>
      <c r="E3639" s="6">
        <v>0.14000000000000001</v>
      </c>
      <c r="F3639" t="str">
        <f t="shared" ref="F3639:F3669" si="1544">UPPER(TEXT(G3639,"ddd"))</f>
        <v>MON</v>
      </c>
      <c r="G3639" s="1">
        <f t="shared" ref="G3639:G3668" si="1545">DATE(2020,8,17)</f>
        <v>44060</v>
      </c>
      <c r="H3639" s="2">
        <f t="shared" ref="H3639:H3669" ca="1" si="1546">TODAY()-G3639</f>
        <v>193</v>
      </c>
      <c r="I3639" t="str">
        <f t="shared" ref="I3639:I3669" si="1547">TRIM(LEFT(B3639,FIND(" ",B3639,1)))</f>
        <v>UST2Y</v>
      </c>
      <c r="J3639">
        <f t="shared" ref="J3639:J3669" si="1548">C3639</f>
        <v>0.17</v>
      </c>
      <c r="K3639">
        <f t="shared" ref="K3639:K3669" si="1549">D3639</f>
        <v>0.09</v>
      </c>
      <c r="L3639">
        <f t="shared" ref="L3639:L3669" si="1550">AVERAGE(J3639:K3639)</f>
        <v>0.13</v>
      </c>
      <c r="M3639">
        <f t="shared" ref="M3639:M3669" si="1551">_xlfn.STDEV.P(J3639:K3639)</f>
        <v>4.0000000000000008E-2</v>
      </c>
      <c r="N3639">
        <f t="shared" si="1529"/>
        <v>8.0000000000000016E-2</v>
      </c>
      <c r="O3639">
        <f t="shared" ref="O3639:O3669" si="1552">E3639</f>
        <v>0.14000000000000001</v>
      </c>
      <c r="P3639">
        <f t="shared" ref="P3639:P3669" si="1553">(O3639-L3639)/M3639</f>
        <v>0.25000000000000017</v>
      </c>
      <c r="Q3639" t="str">
        <f t="shared" si="1530"/>
        <v>21.43% | 35.71%</v>
      </c>
      <c r="R3639" t="str">
        <f t="shared" ref="R3639:R3669" si="1554">MID(B3639,FIND("(",B3639,1)+1,FIND(")",B3639,1)-FIND("(",B3639,1)-1)</f>
        <v>BEARISH</v>
      </c>
      <c r="S3639">
        <f t="shared" si="1531"/>
        <v>-1</v>
      </c>
    </row>
    <row r="3640" spans="1:19" hidden="1" x14ac:dyDescent="0.25">
      <c r="A3640" s="5" t="str">
        <f t="shared" si="1532"/>
        <v>44060SPX</v>
      </c>
      <c r="B3640" s="6" t="s">
        <v>191</v>
      </c>
      <c r="C3640" s="6">
        <v>3285</v>
      </c>
      <c r="D3640" s="6">
        <v>3399</v>
      </c>
      <c r="E3640" s="6">
        <v>3372</v>
      </c>
      <c r="F3640" t="str">
        <f t="shared" si="1544"/>
        <v>MON</v>
      </c>
      <c r="G3640" s="1">
        <f t="shared" si="1545"/>
        <v>44060</v>
      </c>
      <c r="H3640" s="2">
        <f t="shared" ca="1" si="1546"/>
        <v>193</v>
      </c>
      <c r="I3640" t="str">
        <f t="shared" si="1547"/>
        <v>SPX</v>
      </c>
      <c r="J3640">
        <f t="shared" si="1548"/>
        <v>3285</v>
      </c>
      <c r="K3640">
        <f t="shared" si="1549"/>
        <v>3399</v>
      </c>
      <c r="L3640">
        <f t="shared" si="1550"/>
        <v>3342</v>
      </c>
      <c r="M3640">
        <f t="shared" si="1551"/>
        <v>57</v>
      </c>
      <c r="N3640">
        <f t="shared" si="1529"/>
        <v>114</v>
      </c>
      <c r="O3640">
        <f t="shared" si="1552"/>
        <v>3372</v>
      </c>
      <c r="P3640">
        <f t="shared" si="1553"/>
        <v>0.52631578947368418</v>
      </c>
      <c r="Q3640" t="str">
        <f t="shared" si="1530"/>
        <v>2.58% | 0.8%</v>
      </c>
      <c r="R3640" t="str">
        <f t="shared" si="1554"/>
        <v>BULLISH</v>
      </c>
      <c r="S3640">
        <f t="shared" si="1531"/>
        <v>1</v>
      </c>
    </row>
    <row r="3641" spans="1:19" hidden="1" x14ac:dyDescent="0.25">
      <c r="A3641" s="5" t="str">
        <f t="shared" si="1532"/>
        <v>44060RUT</v>
      </c>
      <c r="B3641" s="6" t="s">
        <v>164</v>
      </c>
      <c r="C3641" s="6">
        <v>1506</v>
      </c>
      <c r="D3641" s="6">
        <v>1607</v>
      </c>
      <c r="E3641" s="6">
        <v>1577</v>
      </c>
      <c r="F3641" t="str">
        <f t="shared" si="1544"/>
        <v>MON</v>
      </c>
      <c r="G3641" s="1">
        <f t="shared" si="1545"/>
        <v>44060</v>
      </c>
      <c r="H3641" s="2">
        <f t="shared" ca="1" si="1546"/>
        <v>193</v>
      </c>
      <c r="I3641" t="str">
        <f t="shared" si="1547"/>
        <v>RUT</v>
      </c>
      <c r="J3641">
        <f t="shared" si="1548"/>
        <v>1506</v>
      </c>
      <c r="K3641">
        <f t="shared" si="1549"/>
        <v>1607</v>
      </c>
      <c r="L3641">
        <f t="shared" si="1550"/>
        <v>1556.5</v>
      </c>
      <c r="M3641">
        <f t="shared" si="1551"/>
        <v>50.5</v>
      </c>
      <c r="N3641">
        <f t="shared" si="1529"/>
        <v>101</v>
      </c>
      <c r="O3641">
        <f t="shared" si="1552"/>
        <v>1577</v>
      </c>
      <c r="P3641">
        <f t="shared" si="1553"/>
        <v>0.40594059405940597</v>
      </c>
      <c r="Q3641" t="str">
        <f t="shared" si="1530"/>
        <v>4.5% | 1.9%</v>
      </c>
      <c r="R3641" t="str">
        <f t="shared" si="1554"/>
        <v>BEARISH</v>
      </c>
      <c r="S3641">
        <f t="shared" si="1531"/>
        <v>-1</v>
      </c>
    </row>
    <row r="3642" spans="1:19" hidden="1" x14ac:dyDescent="0.25">
      <c r="A3642" s="5" t="str">
        <f t="shared" si="1532"/>
        <v>44060COMPQ</v>
      </c>
      <c r="B3642" s="6" t="s">
        <v>165</v>
      </c>
      <c r="C3642" s="6">
        <v>10699</v>
      </c>
      <c r="D3642" s="6">
        <v>11166</v>
      </c>
      <c r="E3642" s="6">
        <v>11019</v>
      </c>
      <c r="F3642" t="str">
        <f t="shared" si="1544"/>
        <v>MON</v>
      </c>
      <c r="G3642" s="1">
        <f t="shared" si="1545"/>
        <v>44060</v>
      </c>
      <c r="H3642" s="2">
        <f t="shared" ca="1" si="1546"/>
        <v>193</v>
      </c>
      <c r="I3642" t="str">
        <f t="shared" si="1547"/>
        <v>COMPQ</v>
      </c>
      <c r="J3642">
        <f t="shared" si="1548"/>
        <v>10699</v>
      </c>
      <c r="K3642">
        <f t="shared" si="1549"/>
        <v>11166</v>
      </c>
      <c r="L3642">
        <f t="shared" si="1550"/>
        <v>10932.5</v>
      </c>
      <c r="M3642">
        <f t="shared" si="1551"/>
        <v>233.5</v>
      </c>
      <c r="N3642">
        <f t="shared" si="1529"/>
        <v>467</v>
      </c>
      <c r="O3642">
        <f t="shared" si="1552"/>
        <v>11019</v>
      </c>
      <c r="P3642">
        <f t="shared" si="1553"/>
        <v>0.37044967880085655</v>
      </c>
      <c r="Q3642" t="str">
        <f t="shared" si="1530"/>
        <v>2.9% | 1.33%</v>
      </c>
      <c r="R3642" t="str">
        <f t="shared" si="1554"/>
        <v>BULLISH</v>
      </c>
      <c r="S3642">
        <f t="shared" si="1531"/>
        <v>1</v>
      </c>
    </row>
    <row r="3643" spans="1:19" hidden="1" x14ac:dyDescent="0.25">
      <c r="A3643" s="5" t="str">
        <f t="shared" si="1532"/>
        <v>44060XLK</v>
      </c>
      <c r="B3643" s="6" t="s">
        <v>166</v>
      </c>
      <c r="C3643" s="6">
        <v>109.99</v>
      </c>
      <c r="D3643" s="6">
        <v>115.75</v>
      </c>
      <c r="E3643" s="6">
        <v>113.88</v>
      </c>
      <c r="F3643" t="str">
        <f t="shared" si="1544"/>
        <v>MON</v>
      </c>
      <c r="G3643" s="1">
        <f t="shared" si="1545"/>
        <v>44060</v>
      </c>
      <c r="H3643" s="2">
        <f t="shared" ca="1" si="1546"/>
        <v>193</v>
      </c>
      <c r="I3643" t="str">
        <f t="shared" si="1547"/>
        <v>XLK</v>
      </c>
      <c r="J3643">
        <f t="shared" si="1548"/>
        <v>109.99</v>
      </c>
      <c r="K3643">
        <f t="shared" si="1549"/>
        <v>115.75</v>
      </c>
      <c r="L3643">
        <f t="shared" si="1550"/>
        <v>112.87</v>
      </c>
      <c r="M3643">
        <f t="shared" si="1551"/>
        <v>2.8800000000000026</v>
      </c>
      <c r="N3643">
        <f t="shared" si="1529"/>
        <v>5.7600000000000051</v>
      </c>
      <c r="O3643">
        <f t="shared" si="1552"/>
        <v>113.88</v>
      </c>
      <c r="P3643">
        <f t="shared" si="1553"/>
        <v>0.35069444444444098</v>
      </c>
      <c r="Q3643" t="str">
        <f t="shared" si="1530"/>
        <v>3.42% | 1.64%</v>
      </c>
      <c r="R3643" t="str">
        <f t="shared" si="1554"/>
        <v>BULLISH</v>
      </c>
      <c r="S3643">
        <f t="shared" si="1531"/>
        <v>1</v>
      </c>
    </row>
    <row r="3644" spans="1:19" hidden="1" x14ac:dyDescent="0.25">
      <c r="A3644" s="5" t="str">
        <f t="shared" si="1532"/>
        <v>44060XLRE</v>
      </c>
      <c r="B3644" s="6" t="s">
        <v>167</v>
      </c>
      <c r="C3644" s="6">
        <v>35.159999999999997</v>
      </c>
      <c r="D3644" s="6">
        <v>36.700000000000003</v>
      </c>
      <c r="E3644" s="6">
        <v>35.86</v>
      </c>
      <c r="F3644" t="str">
        <f t="shared" si="1544"/>
        <v>MON</v>
      </c>
      <c r="G3644" s="1">
        <f t="shared" si="1545"/>
        <v>44060</v>
      </c>
      <c r="H3644" s="2">
        <f t="shared" ca="1" si="1546"/>
        <v>193</v>
      </c>
      <c r="I3644" t="str">
        <f t="shared" si="1547"/>
        <v>XLRE</v>
      </c>
      <c r="J3644">
        <f t="shared" si="1548"/>
        <v>35.159999999999997</v>
      </c>
      <c r="K3644">
        <f t="shared" si="1549"/>
        <v>36.700000000000003</v>
      </c>
      <c r="L3644">
        <f t="shared" si="1550"/>
        <v>35.93</v>
      </c>
      <c r="M3644">
        <f t="shared" si="1551"/>
        <v>0.77000000000000313</v>
      </c>
      <c r="N3644">
        <f t="shared" si="1529"/>
        <v>1.5400000000000063</v>
      </c>
      <c r="O3644">
        <f t="shared" si="1552"/>
        <v>35.86</v>
      </c>
      <c r="P3644">
        <f t="shared" si="1553"/>
        <v>-9.0909090909090912E-2</v>
      </c>
      <c r="Q3644" t="str">
        <f t="shared" si="1530"/>
        <v>1.95% | 2.34%</v>
      </c>
      <c r="R3644" t="str">
        <f t="shared" si="1554"/>
        <v>BULLISH</v>
      </c>
      <c r="S3644">
        <f t="shared" si="1531"/>
        <v>1</v>
      </c>
    </row>
    <row r="3645" spans="1:19" hidden="1" x14ac:dyDescent="0.25">
      <c r="A3645" s="5" t="str">
        <f t="shared" si="1532"/>
        <v>44060XLU</v>
      </c>
      <c r="B3645" s="6" t="s">
        <v>168</v>
      </c>
      <c r="C3645" s="6">
        <v>59.53</v>
      </c>
      <c r="D3645" s="6">
        <v>61.8</v>
      </c>
      <c r="E3645" s="6">
        <v>60.38</v>
      </c>
      <c r="F3645" t="str">
        <f t="shared" si="1544"/>
        <v>MON</v>
      </c>
      <c r="G3645" s="1">
        <f t="shared" si="1545"/>
        <v>44060</v>
      </c>
      <c r="H3645" s="2">
        <f t="shared" ca="1" si="1546"/>
        <v>193</v>
      </c>
      <c r="I3645" t="str">
        <f t="shared" si="1547"/>
        <v>XLU</v>
      </c>
      <c r="J3645">
        <f t="shared" si="1548"/>
        <v>59.53</v>
      </c>
      <c r="K3645">
        <f t="shared" si="1549"/>
        <v>61.8</v>
      </c>
      <c r="L3645">
        <f t="shared" si="1550"/>
        <v>60.664999999999999</v>
      </c>
      <c r="M3645">
        <f t="shared" si="1551"/>
        <v>1.134999999999998</v>
      </c>
      <c r="N3645">
        <f t="shared" si="1529"/>
        <v>2.269999999999996</v>
      </c>
      <c r="O3645">
        <f t="shared" si="1552"/>
        <v>60.38</v>
      </c>
      <c r="P3645">
        <f t="shared" si="1553"/>
        <v>-0.25110132158590054</v>
      </c>
      <c r="Q3645" t="str">
        <f t="shared" si="1530"/>
        <v>1.41% | 2.35%</v>
      </c>
      <c r="R3645" t="str">
        <f t="shared" si="1554"/>
        <v>BULLISH</v>
      </c>
      <c r="S3645">
        <f t="shared" si="1531"/>
        <v>1</v>
      </c>
    </row>
    <row r="3646" spans="1:19" hidden="1" x14ac:dyDescent="0.25">
      <c r="A3646" s="5" t="str">
        <f t="shared" si="1532"/>
        <v>44060XLF</v>
      </c>
      <c r="B3646" s="6" t="s">
        <v>169</v>
      </c>
      <c r="C3646" s="6">
        <v>23.71</v>
      </c>
      <c r="D3646" s="6">
        <v>25.72</v>
      </c>
      <c r="E3646" s="6">
        <v>25.18</v>
      </c>
      <c r="F3646" t="str">
        <f t="shared" si="1544"/>
        <v>MON</v>
      </c>
      <c r="G3646" s="1">
        <f t="shared" si="1545"/>
        <v>44060</v>
      </c>
      <c r="H3646" s="2">
        <f t="shared" ca="1" si="1546"/>
        <v>193</v>
      </c>
      <c r="I3646" t="str">
        <f t="shared" si="1547"/>
        <v>XLF</v>
      </c>
      <c r="J3646">
        <f t="shared" si="1548"/>
        <v>23.71</v>
      </c>
      <c r="K3646">
        <f t="shared" si="1549"/>
        <v>25.72</v>
      </c>
      <c r="L3646">
        <f t="shared" si="1550"/>
        <v>24.715</v>
      </c>
      <c r="M3646">
        <f t="shared" si="1551"/>
        <v>1.004999999999999</v>
      </c>
      <c r="N3646">
        <f t="shared" si="1529"/>
        <v>2.009999999999998</v>
      </c>
      <c r="O3646">
        <f t="shared" si="1552"/>
        <v>25.18</v>
      </c>
      <c r="P3646">
        <f t="shared" si="1553"/>
        <v>0.46268656716417944</v>
      </c>
      <c r="Q3646" t="str">
        <f t="shared" si="1530"/>
        <v>5.84% | 2.14%</v>
      </c>
      <c r="R3646" t="str">
        <f t="shared" si="1554"/>
        <v>BEARISH</v>
      </c>
      <c r="S3646">
        <f t="shared" si="1531"/>
        <v>-1</v>
      </c>
    </row>
    <row r="3647" spans="1:19" hidden="1" x14ac:dyDescent="0.25">
      <c r="A3647" s="5" t="str">
        <f t="shared" si="1532"/>
        <v>44060SSEC</v>
      </c>
      <c r="B3647" s="6" t="s">
        <v>170</v>
      </c>
      <c r="C3647" s="6">
        <v>3303</v>
      </c>
      <c r="D3647" s="6">
        <v>3468</v>
      </c>
      <c r="E3647" s="6">
        <v>3438</v>
      </c>
      <c r="F3647" t="str">
        <f t="shared" si="1544"/>
        <v>MON</v>
      </c>
      <c r="G3647" s="1">
        <f t="shared" si="1545"/>
        <v>44060</v>
      </c>
      <c r="H3647" s="2">
        <f t="shared" ca="1" si="1546"/>
        <v>193</v>
      </c>
      <c r="I3647" t="str">
        <f t="shared" si="1547"/>
        <v>SSEC</v>
      </c>
      <c r="J3647">
        <f t="shared" si="1548"/>
        <v>3303</v>
      </c>
      <c r="K3647">
        <f t="shared" si="1549"/>
        <v>3468</v>
      </c>
      <c r="L3647">
        <f t="shared" si="1550"/>
        <v>3385.5</v>
      </c>
      <c r="M3647">
        <f t="shared" si="1551"/>
        <v>82.5</v>
      </c>
      <c r="N3647">
        <f t="shared" si="1529"/>
        <v>165</v>
      </c>
      <c r="O3647">
        <f t="shared" si="1552"/>
        <v>3438</v>
      </c>
      <c r="P3647">
        <f t="shared" si="1553"/>
        <v>0.63636363636363635</v>
      </c>
      <c r="Q3647" t="str">
        <f t="shared" si="1530"/>
        <v>3.93% | 0.87%</v>
      </c>
      <c r="R3647" t="str">
        <f t="shared" si="1554"/>
        <v>BULLISH</v>
      </c>
      <c r="S3647">
        <f t="shared" si="1531"/>
        <v>1</v>
      </c>
    </row>
    <row r="3648" spans="1:19" hidden="1" x14ac:dyDescent="0.25">
      <c r="A3648" s="5" t="str">
        <f t="shared" si="1532"/>
        <v>44060NIKK</v>
      </c>
      <c r="B3648" s="6" t="s">
        <v>201</v>
      </c>
      <c r="C3648" s="6">
        <v>22011</v>
      </c>
      <c r="D3648" s="6">
        <v>23422</v>
      </c>
      <c r="E3648" s="6">
        <v>23096</v>
      </c>
      <c r="F3648" t="str">
        <f t="shared" si="1544"/>
        <v>MON</v>
      </c>
      <c r="G3648" s="1">
        <f t="shared" si="1545"/>
        <v>44060</v>
      </c>
      <c r="H3648" s="2">
        <f t="shared" ca="1" si="1546"/>
        <v>193</v>
      </c>
      <c r="I3648" t="str">
        <f t="shared" si="1547"/>
        <v>NIKK</v>
      </c>
      <c r="J3648">
        <f t="shared" si="1548"/>
        <v>22011</v>
      </c>
      <c r="K3648">
        <f t="shared" si="1549"/>
        <v>23422</v>
      </c>
      <c r="L3648">
        <f t="shared" si="1550"/>
        <v>22716.5</v>
      </c>
      <c r="M3648">
        <f t="shared" si="1551"/>
        <v>705.5</v>
      </c>
      <c r="N3648">
        <f t="shared" si="1529"/>
        <v>1411</v>
      </c>
      <c r="O3648">
        <f t="shared" si="1552"/>
        <v>23096</v>
      </c>
      <c r="P3648">
        <f t="shared" si="1553"/>
        <v>0.53791637136782422</v>
      </c>
      <c r="Q3648" t="str">
        <f t="shared" si="1530"/>
        <v>4.7% | 1.41%</v>
      </c>
      <c r="R3648" t="str">
        <f t="shared" si="1554"/>
        <v>BULLISH</v>
      </c>
      <c r="S3648">
        <f t="shared" si="1531"/>
        <v>1</v>
      </c>
    </row>
    <row r="3649" spans="1:19" hidden="1" x14ac:dyDescent="0.25">
      <c r="A3649" s="5" t="str">
        <f t="shared" si="1532"/>
        <v>44060DAX</v>
      </c>
      <c r="B3649" s="6" t="s">
        <v>172</v>
      </c>
      <c r="C3649" s="6">
        <v>12441</v>
      </c>
      <c r="D3649" s="6">
        <v>13144</v>
      </c>
      <c r="E3649" s="6">
        <v>12901</v>
      </c>
      <c r="F3649" t="str">
        <f t="shared" si="1544"/>
        <v>MON</v>
      </c>
      <c r="G3649" s="1">
        <f t="shared" si="1545"/>
        <v>44060</v>
      </c>
      <c r="H3649" s="2">
        <f t="shared" ca="1" si="1546"/>
        <v>193</v>
      </c>
      <c r="I3649" t="str">
        <f t="shared" si="1547"/>
        <v>DAX</v>
      </c>
      <c r="J3649">
        <f t="shared" si="1548"/>
        <v>12441</v>
      </c>
      <c r="K3649">
        <f t="shared" si="1549"/>
        <v>13144</v>
      </c>
      <c r="L3649">
        <f t="shared" si="1550"/>
        <v>12792.5</v>
      </c>
      <c r="M3649">
        <f t="shared" si="1551"/>
        <v>351.5</v>
      </c>
      <c r="N3649">
        <f t="shared" si="1529"/>
        <v>703</v>
      </c>
      <c r="O3649">
        <f t="shared" si="1552"/>
        <v>12901</v>
      </c>
      <c r="P3649">
        <f t="shared" si="1553"/>
        <v>0.30867709815078237</v>
      </c>
      <c r="Q3649" t="str">
        <f t="shared" si="1530"/>
        <v>3.57% | 1.88%</v>
      </c>
      <c r="R3649" t="str">
        <f t="shared" si="1554"/>
        <v>BULLISH</v>
      </c>
      <c r="S3649">
        <f t="shared" si="1531"/>
        <v>1</v>
      </c>
    </row>
    <row r="3650" spans="1:19" hidden="1" x14ac:dyDescent="0.25">
      <c r="A3650" s="5" t="str">
        <f t="shared" si="1532"/>
        <v>44060VIX</v>
      </c>
      <c r="B3650" s="6" t="s">
        <v>192</v>
      </c>
      <c r="C3650" s="6">
        <v>21.08</v>
      </c>
      <c r="D3650" s="6">
        <v>28.85</v>
      </c>
      <c r="E3650" s="6">
        <v>22.05</v>
      </c>
      <c r="F3650" t="str">
        <f t="shared" si="1544"/>
        <v>MON</v>
      </c>
      <c r="G3650" s="1">
        <f t="shared" si="1545"/>
        <v>44060</v>
      </c>
      <c r="H3650" s="2">
        <f t="shared" ca="1" si="1546"/>
        <v>193</v>
      </c>
      <c r="I3650" t="str">
        <f t="shared" si="1547"/>
        <v>VIX</v>
      </c>
      <c r="J3650">
        <f t="shared" si="1548"/>
        <v>21.08</v>
      </c>
      <c r="K3650">
        <f t="shared" si="1549"/>
        <v>28.85</v>
      </c>
      <c r="L3650">
        <f t="shared" si="1550"/>
        <v>24.965</v>
      </c>
      <c r="M3650">
        <f t="shared" si="1551"/>
        <v>3.8850000000000096</v>
      </c>
      <c r="N3650">
        <f t="shared" si="1529"/>
        <v>7.7700000000000031</v>
      </c>
      <c r="O3650">
        <f t="shared" si="1552"/>
        <v>22.05</v>
      </c>
      <c r="P3650">
        <f t="shared" si="1553"/>
        <v>-0.7503217503217483</v>
      </c>
      <c r="Q3650" t="str">
        <f t="shared" si="1530"/>
        <v>4.4% | 30.84%</v>
      </c>
      <c r="R3650" t="str">
        <f t="shared" si="1554"/>
        <v>BEARISH</v>
      </c>
      <c r="S3650">
        <f t="shared" si="1531"/>
        <v>-1</v>
      </c>
    </row>
    <row r="3651" spans="1:19" hidden="1" x14ac:dyDescent="0.25">
      <c r="A3651" s="5" t="str">
        <f t="shared" si="1532"/>
        <v>44060USD</v>
      </c>
      <c r="B3651" s="6" t="s">
        <v>174</v>
      </c>
      <c r="C3651" s="6">
        <v>92.52</v>
      </c>
      <c r="D3651" s="6">
        <v>93.89</v>
      </c>
      <c r="E3651" s="6">
        <v>93.11</v>
      </c>
      <c r="F3651" t="str">
        <f t="shared" si="1544"/>
        <v>MON</v>
      </c>
      <c r="G3651" s="1">
        <f t="shared" si="1545"/>
        <v>44060</v>
      </c>
      <c r="H3651" s="2">
        <f t="shared" ca="1" si="1546"/>
        <v>193</v>
      </c>
      <c r="I3651" t="str">
        <f t="shared" si="1547"/>
        <v>USD</v>
      </c>
      <c r="J3651">
        <f t="shared" si="1548"/>
        <v>92.52</v>
      </c>
      <c r="K3651">
        <f t="shared" si="1549"/>
        <v>93.89</v>
      </c>
      <c r="L3651">
        <f t="shared" si="1550"/>
        <v>93.204999999999998</v>
      </c>
      <c r="M3651">
        <f t="shared" si="1551"/>
        <v>0.68500000000000227</v>
      </c>
      <c r="N3651">
        <f t="shared" ref="N3651:N3714" si="1555">ABS(K3651-J3651)</f>
        <v>1.3700000000000045</v>
      </c>
      <c r="O3651">
        <f t="shared" si="1552"/>
        <v>93.11</v>
      </c>
      <c r="P3651">
        <f t="shared" si="1553"/>
        <v>-0.1386861313868592</v>
      </c>
      <c r="Q3651" t="str">
        <f t="shared" ref="Q3651:Q3714" si="1556">ROUND(ABS(100*(O3651-J3651)/O3651),2)&amp;"% | "&amp;ROUND(ABS(100*(K3651-O3651)/O3651),2)&amp;"%"</f>
        <v>0.63% | 0.84%</v>
      </c>
      <c r="R3651" t="str">
        <f t="shared" si="1554"/>
        <v>BEARISH</v>
      </c>
      <c r="S3651">
        <f t="shared" ref="S3651:S3714" si="1557">IF(R3651="BEARISH",-1,IF(R3651="NEUTRAL",0,IF(R3651="BULLISH",1,99)))</f>
        <v>-1</v>
      </c>
    </row>
    <row r="3652" spans="1:19" hidden="1" x14ac:dyDescent="0.25">
      <c r="A3652" s="5" t="str">
        <f t="shared" si="1532"/>
        <v>44060EUR/USD</v>
      </c>
      <c r="B3652" s="6" t="s">
        <v>175</v>
      </c>
      <c r="C3652" s="6">
        <v>1.17</v>
      </c>
      <c r="D3652" s="6">
        <v>1.19</v>
      </c>
      <c r="E3652" s="6">
        <v>1.18</v>
      </c>
      <c r="F3652" t="str">
        <f t="shared" si="1544"/>
        <v>MON</v>
      </c>
      <c r="G3652" s="1">
        <f t="shared" si="1545"/>
        <v>44060</v>
      </c>
      <c r="H3652" s="2">
        <f t="shared" ca="1" si="1546"/>
        <v>193</v>
      </c>
      <c r="I3652" t="str">
        <f t="shared" si="1547"/>
        <v>EUR/USD</v>
      </c>
      <c r="J3652">
        <f t="shared" si="1548"/>
        <v>1.17</v>
      </c>
      <c r="K3652">
        <f t="shared" si="1549"/>
        <v>1.19</v>
      </c>
      <c r="L3652">
        <f t="shared" si="1550"/>
        <v>1.18</v>
      </c>
      <c r="M3652">
        <f t="shared" si="1551"/>
        <v>1.0000000000000009E-2</v>
      </c>
      <c r="N3652">
        <f t="shared" si="1555"/>
        <v>2.0000000000000018E-2</v>
      </c>
      <c r="O3652">
        <f t="shared" si="1552"/>
        <v>1.18</v>
      </c>
      <c r="P3652">
        <f t="shared" si="1553"/>
        <v>0</v>
      </c>
      <c r="Q3652" t="str">
        <f t="shared" si="1556"/>
        <v>0.85% | 0.85%</v>
      </c>
      <c r="R3652" t="str">
        <f t="shared" si="1554"/>
        <v>BULLISH</v>
      </c>
      <c r="S3652">
        <f t="shared" si="1557"/>
        <v>1</v>
      </c>
    </row>
    <row r="3653" spans="1:19" hidden="1" x14ac:dyDescent="0.25">
      <c r="A3653" s="5" t="str">
        <f t="shared" ref="A3653:A3716" si="1558">G3653&amp;I3653</f>
        <v>44060USD/JPY</v>
      </c>
      <c r="B3653" s="6" t="s">
        <v>176</v>
      </c>
      <c r="C3653" s="6">
        <v>105.06</v>
      </c>
      <c r="D3653" s="6">
        <v>107.22</v>
      </c>
      <c r="E3653" s="6">
        <v>106.63</v>
      </c>
      <c r="F3653" t="str">
        <f t="shared" si="1544"/>
        <v>MON</v>
      </c>
      <c r="G3653" s="1">
        <f t="shared" si="1545"/>
        <v>44060</v>
      </c>
      <c r="H3653" s="2">
        <f t="shared" ca="1" si="1546"/>
        <v>193</v>
      </c>
      <c r="I3653" t="str">
        <f t="shared" si="1547"/>
        <v>USD/JPY</v>
      </c>
      <c r="J3653">
        <f t="shared" si="1548"/>
        <v>105.06</v>
      </c>
      <c r="K3653">
        <f t="shared" si="1549"/>
        <v>107.22</v>
      </c>
      <c r="L3653">
        <f t="shared" si="1550"/>
        <v>106.14</v>
      </c>
      <c r="M3653">
        <f t="shared" si="1551"/>
        <v>1.0799999999999983</v>
      </c>
      <c r="N3653">
        <f t="shared" si="1555"/>
        <v>2.1599999999999966</v>
      </c>
      <c r="O3653">
        <f t="shared" si="1552"/>
        <v>106.63</v>
      </c>
      <c r="P3653">
        <f t="shared" si="1553"/>
        <v>0.45370370370369967</v>
      </c>
      <c r="Q3653" t="str">
        <f t="shared" si="1556"/>
        <v>1.47% | 0.55%</v>
      </c>
      <c r="R3653" t="str">
        <f t="shared" si="1554"/>
        <v>BEARISH</v>
      </c>
      <c r="S3653">
        <f t="shared" si="1557"/>
        <v>-1</v>
      </c>
    </row>
    <row r="3654" spans="1:19" hidden="1" x14ac:dyDescent="0.25">
      <c r="A3654" s="5" t="str">
        <f t="shared" si="1558"/>
        <v>44060GBP/USD</v>
      </c>
      <c r="B3654" s="6" t="s">
        <v>177</v>
      </c>
      <c r="C3654" s="6">
        <v>1.3</v>
      </c>
      <c r="D3654" s="6">
        <v>1.32</v>
      </c>
      <c r="E3654" s="6">
        <v>1.3</v>
      </c>
      <c r="F3654" t="str">
        <f t="shared" si="1544"/>
        <v>MON</v>
      </c>
      <c r="G3654" s="1">
        <f t="shared" si="1545"/>
        <v>44060</v>
      </c>
      <c r="H3654" s="2">
        <f t="shared" ca="1" si="1546"/>
        <v>193</v>
      </c>
      <c r="I3654" t="str">
        <f t="shared" si="1547"/>
        <v>GBP/USD</v>
      </c>
      <c r="J3654">
        <f t="shared" si="1548"/>
        <v>1.3</v>
      </c>
      <c r="K3654">
        <f t="shared" si="1549"/>
        <v>1.32</v>
      </c>
      <c r="L3654">
        <f t="shared" si="1550"/>
        <v>1.31</v>
      </c>
      <c r="M3654">
        <f t="shared" si="1551"/>
        <v>1.0000000000000009E-2</v>
      </c>
      <c r="N3654">
        <f t="shared" si="1555"/>
        <v>2.0000000000000018E-2</v>
      </c>
      <c r="O3654">
        <f t="shared" si="1552"/>
        <v>1.3</v>
      </c>
      <c r="P3654">
        <f t="shared" si="1553"/>
        <v>-1</v>
      </c>
      <c r="Q3654" t="str">
        <f t="shared" si="1556"/>
        <v>0% | 1.54%</v>
      </c>
      <c r="R3654" t="str">
        <f t="shared" si="1554"/>
        <v>BULLISH</v>
      </c>
      <c r="S3654">
        <f t="shared" si="1557"/>
        <v>1</v>
      </c>
    </row>
    <row r="3655" spans="1:19" hidden="1" x14ac:dyDescent="0.25">
      <c r="A3655" s="5" t="str">
        <f t="shared" si="1558"/>
        <v>44060USD/CHF</v>
      </c>
      <c r="B3655" s="6" t="s">
        <v>178</v>
      </c>
      <c r="C3655" s="6">
        <v>0.9</v>
      </c>
      <c r="D3655" s="6">
        <v>0.92</v>
      </c>
      <c r="E3655" s="6">
        <v>0.9</v>
      </c>
      <c r="F3655" t="str">
        <f t="shared" si="1544"/>
        <v>MON</v>
      </c>
      <c r="G3655" s="1">
        <f t="shared" si="1545"/>
        <v>44060</v>
      </c>
      <c r="H3655" s="2">
        <f t="shared" ca="1" si="1546"/>
        <v>193</v>
      </c>
      <c r="I3655" t="str">
        <f t="shared" si="1547"/>
        <v>USD/CHF</v>
      </c>
      <c r="J3655">
        <f t="shared" si="1548"/>
        <v>0.9</v>
      </c>
      <c r="K3655">
        <f t="shared" si="1549"/>
        <v>0.92</v>
      </c>
      <c r="L3655">
        <f t="shared" si="1550"/>
        <v>0.91</v>
      </c>
      <c r="M3655">
        <f t="shared" si="1551"/>
        <v>1.0000000000000009E-2</v>
      </c>
      <c r="N3655">
        <f t="shared" si="1555"/>
        <v>2.0000000000000018E-2</v>
      </c>
      <c r="O3655">
        <f t="shared" si="1552"/>
        <v>0.9</v>
      </c>
      <c r="P3655">
        <f t="shared" si="1553"/>
        <v>-1</v>
      </c>
      <c r="Q3655" t="str">
        <f t="shared" si="1556"/>
        <v>0% | 2.22%</v>
      </c>
      <c r="R3655" t="str">
        <f t="shared" si="1554"/>
        <v>BEARISH</v>
      </c>
      <c r="S3655">
        <f t="shared" si="1557"/>
        <v>-1</v>
      </c>
    </row>
    <row r="3656" spans="1:19" hidden="1" x14ac:dyDescent="0.25">
      <c r="A3656" s="5" t="str">
        <f t="shared" si="1558"/>
        <v>44060WTIC</v>
      </c>
      <c r="B3656" s="6" t="s">
        <v>179</v>
      </c>
      <c r="C3656" s="6">
        <v>41</v>
      </c>
      <c r="D3656" s="6">
        <v>42.93</v>
      </c>
      <c r="E3656" s="6">
        <v>42.01</v>
      </c>
      <c r="F3656" t="str">
        <f t="shared" si="1544"/>
        <v>MON</v>
      </c>
      <c r="G3656" s="1">
        <f t="shared" si="1545"/>
        <v>44060</v>
      </c>
      <c r="H3656" s="2">
        <f t="shared" ca="1" si="1546"/>
        <v>193</v>
      </c>
      <c r="I3656" t="str">
        <f t="shared" si="1547"/>
        <v>WTIC</v>
      </c>
      <c r="J3656">
        <f t="shared" si="1548"/>
        <v>41</v>
      </c>
      <c r="K3656">
        <f t="shared" si="1549"/>
        <v>42.93</v>
      </c>
      <c r="L3656">
        <f t="shared" si="1550"/>
        <v>41.965000000000003</v>
      </c>
      <c r="M3656">
        <f t="shared" si="1551"/>
        <v>0.96499999999999986</v>
      </c>
      <c r="N3656">
        <f t="shared" si="1555"/>
        <v>1.9299999999999997</v>
      </c>
      <c r="O3656">
        <f t="shared" si="1552"/>
        <v>42.01</v>
      </c>
      <c r="P3656">
        <f t="shared" si="1553"/>
        <v>4.663212435232602E-2</v>
      </c>
      <c r="Q3656" t="str">
        <f t="shared" si="1556"/>
        <v>2.4% | 2.19%</v>
      </c>
      <c r="R3656" t="str">
        <f t="shared" si="1554"/>
        <v>BULLISH</v>
      </c>
      <c r="S3656">
        <f t="shared" si="1557"/>
        <v>1</v>
      </c>
    </row>
    <row r="3657" spans="1:19" hidden="1" x14ac:dyDescent="0.25">
      <c r="A3657" s="5" t="str">
        <f t="shared" si="1558"/>
        <v>44060NATGAS</v>
      </c>
      <c r="B3657" s="6" t="s">
        <v>180</v>
      </c>
      <c r="C3657" s="6">
        <v>2.0499999999999998</v>
      </c>
      <c r="D3657" s="6">
        <v>2.4</v>
      </c>
      <c r="E3657" s="6">
        <v>2.36</v>
      </c>
      <c r="F3657" t="str">
        <f t="shared" si="1544"/>
        <v>MON</v>
      </c>
      <c r="G3657" s="1">
        <f t="shared" si="1545"/>
        <v>44060</v>
      </c>
      <c r="H3657" s="2">
        <f t="shared" ca="1" si="1546"/>
        <v>193</v>
      </c>
      <c r="I3657" t="str">
        <f t="shared" si="1547"/>
        <v>NATGAS</v>
      </c>
      <c r="J3657">
        <f t="shared" si="1548"/>
        <v>2.0499999999999998</v>
      </c>
      <c r="K3657">
        <f t="shared" si="1549"/>
        <v>2.4</v>
      </c>
      <c r="L3657">
        <f t="shared" si="1550"/>
        <v>2.2249999999999996</v>
      </c>
      <c r="M3657">
        <f t="shared" si="1551"/>
        <v>0.17500000000000004</v>
      </c>
      <c r="N3657">
        <f t="shared" si="1555"/>
        <v>0.35000000000000009</v>
      </c>
      <c r="O3657">
        <f t="shared" si="1552"/>
        <v>2.36</v>
      </c>
      <c r="P3657">
        <f t="shared" si="1553"/>
        <v>0.77142857142857257</v>
      </c>
      <c r="Q3657" t="str">
        <f t="shared" si="1556"/>
        <v>13.14% | 1.69%</v>
      </c>
      <c r="R3657" t="str">
        <f t="shared" si="1554"/>
        <v>BULLISH</v>
      </c>
      <c r="S3657">
        <f t="shared" si="1557"/>
        <v>1</v>
      </c>
    </row>
    <row r="3658" spans="1:19" hidden="1" x14ac:dyDescent="0.25">
      <c r="A3658" s="5" t="str">
        <f t="shared" si="1558"/>
        <v>44060GOLD</v>
      </c>
      <c r="B3658" s="6" t="s">
        <v>181</v>
      </c>
      <c r="C3658" s="6">
        <v>1910</v>
      </c>
      <c r="D3658" s="6">
        <v>2095</v>
      </c>
      <c r="E3658" s="6">
        <v>1949</v>
      </c>
      <c r="F3658" t="str">
        <f t="shared" si="1544"/>
        <v>MON</v>
      </c>
      <c r="G3658" s="1">
        <f t="shared" si="1545"/>
        <v>44060</v>
      </c>
      <c r="H3658" s="2">
        <f t="shared" ca="1" si="1546"/>
        <v>193</v>
      </c>
      <c r="I3658" t="str">
        <f t="shared" si="1547"/>
        <v>GOLD</v>
      </c>
      <c r="J3658">
        <f t="shared" si="1548"/>
        <v>1910</v>
      </c>
      <c r="K3658">
        <f t="shared" si="1549"/>
        <v>2095</v>
      </c>
      <c r="L3658">
        <f t="shared" si="1550"/>
        <v>2002.5</v>
      </c>
      <c r="M3658">
        <f t="shared" si="1551"/>
        <v>92.5</v>
      </c>
      <c r="N3658">
        <f t="shared" si="1555"/>
        <v>185</v>
      </c>
      <c r="O3658">
        <f t="shared" si="1552"/>
        <v>1949</v>
      </c>
      <c r="P3658">
        <f t="shared" si="1553"/>
        <v>-0.57837837837837835</v>
      </c>
      <c r="Q3658" t="str">
        <f t="shared" si="1556"/>
        <v>2% | 7.49%</v>
      </c>
      <c r="R3658" t="str">
        <f t="shared" si="1554"/>
        <v>BULLISH</v>
      </c>
      <c r="S3658">
        <f t="shared" si="1557"/>
        <v>1</v>
      </c>
    </row>
    <row r="3659" spans="1:19" hidden="1" x14ac:dyDescent="0.25">
      <c r="A3659" s="5" t="str">
        <f t="shared" si="1558"/>
        <v>44060SILVER</v>
      </c>
      <c r="B3659" s="6" t="s">
        <v>199</v>
      </c>
      <c r="C3659" s="6">
        <v>24.12</v>
      </c>
      <c r="D3659" s="6">
        <v>29.47</v>
      </c>
      <c r="E3659" s="6">
        <v>26.09</v>
      </c>
      <c r="F3659" t="str">
        <f t="shared" si="1544"/>
        <v>MON</v>
      </c>
      <c r="G3659" s="1">
        <f t="shared" si="1545"/>
        <v>44060</v>
      </c>
      <c r="H3659" s="2">
        <f t="shared" ca="1" si="1546"/>
        <v>193</v>
      </c>
      <c r="I3659" t="str">
        <f t="shared" si="1547"/>
        <v>SILVER</v>
      </c>
      <c r="J3659">
        <f t="shared" si="1548"/>
        <v>24.12</v>
      </c>
      <c r="K3659">
        <f t="shared" si="1549"/>
        <v>29.47</v>
      </c>
      <c r="L3659">
        <f t="shared" si="1550"/>
        <v>26.795000000000002</v>
      </c>
      <c r="M3659">
        <f t="shared" si="1551"/>
        <v>2.6749999999999989</v>
      </c>
      <c r="N3659">
        <f t="shared" si="1555"/>
        <v>5.3499999999999979</v>
      </c>
      <c r="O3659">
        <f t="shared" si="1552"/>
        <v>26.09</v>
      </c>
      <c r="P3659">
        <f t="shared" si="1553"/>
        <v>-0.26355140186915965</v>
      </c>
      <c r="Q3659" t="str">
        <f t="shared" si="1556"/>
        <v>7.55% | 12.96%</v>
      </c>
      <c r="R3659" t="str">
        <f t="shared" si="1554"/>
        <v>BULLISH</v>
      </c>
      <c r="S3659">
        <f t="shared" si="1557"/>
        <v>1</v>
      </c>
    </row>
    <row r="3660" spans="1:19" hidden="1" x14ac:dyDescent="0.25">
      <c r="A3660" s="5" t="str">
        <f t="shared" si="1558"/>
        <v>44060COPPER</v>
      </c>
      <c r="B3660" s="6" t="s">
        <v>182</v>
      </c>
      <c r="C3660" s="6">
        <v>2.78</v>
      </c>
      <c r="D3660" s="6">
        <v>2.96</v>
      </c>
      <c r="E3660" s="6">
        <v>2.86</v>
      </c>
      <c r="F3660" t="str">
        <f t="shared" si="1544"/>
        <v>MON</v>
      </c>
      <c r="G3660" s="1">
        <f t="shared" si="1545"/>
        <v>44060</v>
      </c>
      <c r="H3660" s="2">
        <f t="shared" ca="1" si="1546"/>
        <v>193</v>
      </c>
      <c r="I3660" t="str">
        <f t="shared" si="1547"/>
        <v>COPPER</v>
      </c>
      <c r="J3660">
        <f t="shared" si="1548"/>
        <v>2.78</v>
      </c>
      <c r="K3660">
        <f t="shared" si="1549"/>
        <v>2.96</v>
      </c>
      <c r="L3660">
        <f t="shared" si="1550"/>
        <v>2.87</v>
      </c>
      <c r="M3660">
        <f t="shared" si="1551"/>
        <v>9.000000000000008E-2</v>
      </c>
      <c r="N3660">
        <f t="shared" si="1555"/>
        <v>0.18000000000000016</v>
      </c>
      <c r="O3660">
        <f t="shared" si="1552"/>
        <v>2.86</v>
      </c>
      <c r="P3660">
        <f t="shared" si="1553"/>
        <v>-0.11111111111111358</v>
      </c>
      <c r="Q3660" t="str">
        <f t="shared" si="1556"/>
        <v>2.8% | 3.5%</v>
      </c>
      <c r="R3660" t="str">
        <f t="shared" si="1554"/>
        <v>BULLISH</v>
      </c>
      <c r="S3660">
        <f t="shared" si="1557"/>
        <v>1</v>
      </c>
    </row>
    <row r="3661" spans="1:19" hidden="1" x14ac:dyDescent="0.25">
      <c r="A3661" s="5" t="str">
        <f t="shared" si="1558"/>
        <v>44060MSFT</v>
      </c>
      <c r="B3661" s="6" t="s">
        <v>183</v>
      </c>
      <c r="C3661" s="6">
        <v>203</v>
      </c>
      <c r="D3661" s="6">
        <v>218</v>
      </c>
      <c r="E3661" s="6">
        <v>208</v>
      </c>
      <c r="F3661" t="str">
        <f t="shared" si="1544"/>
        <v>MON</v>
      </c>
      <c r="G3661" s="1">
        <f t="shared" si="1545"/>
        <v>44060</v>
      </c>
      <c r="H3661" s="2">
        <f t="shared" ca="1" si="1546"/>
        <v>193</v>
      </c>
      <c r="I3661" t="str">
        <f t="shared" si="1547"/>
        <v>MSFT</v>
      </c>
      <c r="J3661">
        <f t="shared" si="1548"/>
        <v>203</v>
      </c>
      <c r="K3661">
        <f t="shared" si="1549"/>
        <v>218</v>
      </c>
      <c r="L3661">
        <f t="shared" si="1550"/>
        <v>210.5</v>
      </c>
      <c r="M3661">
        <f t="shared" si="1551"/>
        <v>7.5</v>
      </c>
      <c r="N3661">
        <f t="shared" si="1555"/>
        <v>15</v>
      </c>
      <c r="O3661">
        <f t="shared" si="1552"/>
        <v>208</v>
      </c>
      <c r="P3661">
        <f t="shared" si="1553"/>
        <v>-0.33333333333333331</v>
      </c>
      <c r="Q3661" t="str">
        <f t="shared" si="1556"/>
        <v>2.4% | 4.81%</v>
      </c>
      <c r="R3661" t="str">
        <f t="shared" si="1554"/>
        <v>BULLISH</v>
      </c>
      <c r="S3661">
        <f t="shared" si="1557"/>
        <v>1</v>
      </c>
    </row>
    <row r="3662" spans="1:19" hidden="1" x14ac:dyDescent="0.25">
      <c r="A3662" s="5" t="str">
        <f t="shared" si="1558"/>
        <v>44060AAPL</v>
      </c>
      <c r="B3662" s="6" t="s">
        <v>184</v>
      </c>
      <c r="C3662" s="6">
        <v>432</v>
      </c>
      <c r="D3662" s="6">
        <v>466</v>
      </c>
      <c r="E3662" s="6">
        <v>459</v>
      </c>
      <c r="F3662" t="str">
        <f t="shared" si="1544"/>
        <v>MON</v>
      </c>
      <c r="G3662" s="1">
        <f t="shared" si="1545"/>
        <v>44060</v>
      </c>
      <c r="H3662" s="2">
        <f t="shared" ca="1" si="1546"/>
        <v>193</v>
      </c>
      <c r="I3662" t="str">
        <f t="shared" si="1547"/>
        <v>AAPL</v>
      </c>
      <c r="J3662">
        <f t="shared" si="1548"/>
        <v>432</v>
      </c>
      <c r="K3662">
        <f t="shared" si="1549"/>
        <v>466</v>
      </c>
      <c r="L3662">
        <f t="shared" si="1550"/>
        <v>449</v>
      </c>
      <c r="M3662">
        <f t="shared" si="1551"/>
        <v>17</v>
      </c>
      <c r="N3662">
        <f t="shared" si="1555"/>
        <v>34</v>
      </c>
      <c r="O3662">
        <f t="shared" si="1552"/>
        <v>459</v>
      </c>
      <c r="P3662">
        <f t="shared" si="1553"/>
        <v>0.58823529411764708</v>
      </c>
      <c r="Q3662" t="str">
        <f t="shared" si="1556"/>
        <v>5.88% | 1.53%</v>
      </c>
      <c r="R3662" t="str">
        <f t="shared" si="1554"/>
        <v>BULLISH</v>
      </c>
      <c r="S3662">
        <f t="shared" si="1557"/>
        <v>1</v>
      </c>
    </row>
    <row r="3663" spans="1:19" hidden="1" x14ac:dyDescent="0.25">
      <c r="A3663" s="5" t="str">
        <f t="shared" si="1558"/>
        <v>44060AMZN</v>
      </c>
      <c r="B3663" s="6" t="s">
        <v>185</v>
      </c>
      <c r="C3663" s="6">
        <v>3066</v>
      </c>
      <c r="D3663" s="6">
        <v>3240</v>
      </c>
      <c r="E3663" s="6">
        <v>3148</v>
      </c>
      <c r="F3663" t="str">
        <f t="shared" si="1544"/>
        <v>MON</v>
      </c>
      <c r="G3663" s="1">
        <f t="shared" si="1545"/>
        <v>44060</v>
      </c>
      <c r="H3663" s="2">
        <f t="shared" ca="1" si="1546"/>
        <v>193</v>
      </c>
      <c r="I3663" t="str">
        <f t="shared" si="1547"/>
        <v>AMZN</v>
      </c>
      <c r="J3663">
        <f t="shared" si="1548"/>
        <v>3066</v>
      </c>
      <c r="K3663">
        <f t="shared" si="1549"/>
        <v>3240</v>
      </c>
      <c r="L3663">
        <f t="shared" si="1550"/>
        <v>3153</v>
      </c>
      <c r="M3663">
        <f t="shared" si="1551"/>
        <v>87</v>
      </c>
      <c r="N3663">
        <f t="shared" si="1555"/>
        <v>174</v>
      </c>
      <c r="O3663">
        <f t="shared" si="1552"/>
        <v>3148</v>
      </c>
      <c r="P3663">
        <f t="shared" si="1553"/>
        <v>-5.7471264367816091E-2</v>
      </c>
      <c r="Q3663" t="str">
        <f t="shared" si="1556"/>
        <v>2.6% | 2.92%</v>
      </c>
      <c r="R3663" t="str">
        <f t="shared" si="1554"/>
        <v>BULLISH</v>
      </c>
      <c r="S3663">
        <f t="shared" si="1557"/>
        <v>1</v>
      </c>
    </row>
    <row r="3664" spans="1:19" hidden="1" x14ac:dyDescent="0.25">
      <c r="A3664" s="5" t="str">
        <f t="shared" si="1558"/>
        <v>44060FB</v>
      </c>
      <c r="B3664" s="6" t="s">
        <v>186</v>
      </c>
      <c r="C3664" s="6">
        <v>247</v>
      </c>
      <c r="D3664" s="6">
        <v>272</v>
      </c>
      <c r="E3664" s="6">
        <v>261</v>
      </c>
      <c r="F3664" t="str">
        <f t="shared" si="1544"/>
        <v>MON</v>
      </c>
      <c r="G3664" s="1">
        <f t="shared" si="1545"/>
        <v>44060</v>
      </c>
      <c r="H3664" s="2">
        <f t="shared" ca="1" si="1546"/>
        <v>193</v>
      </c>
      <c r="I3664" t="str">
        <f t="shared" si="1547"/>
        <v>FB</v>
      </c>
      <c r="J3664">
        <f t="shared" si="1548"/>
        <v>247</v>
      </c>
      <c r="K3664">
        <f t="shared" si="1549"/>
        <v>272</v>
      </c>
      <c r="L3664">
        <f t="shared" si="1550"/>
        <v>259.5</v>
      </c>
      <c r="M3664">
        <f t="shared" si="1551"/>
        <v>12.5</v>
      </c>
      <c r="N3664">
        <f t="shared" si="1555"/>
        <v>25</v>
      </c>
      <c r="O3664">
        <f t="shared" si="1552"/>
        <v>261</v>
      </c>
      <c r="P3664">
        <f t="shared" si="1553"/>
        <v>0.12</v>
      </c>
      <c r="Q3664" t="str">
        <f t="shared" si="1556"/>
        <v>5.36% | 4.21%</v>
      </c>
      <c r="R3664" t="str">
        <f t="shared" si="1554"/>
        <v>BULLISH</v>
      </c>
      <c r="S3664">
        <f t="shared" si="1557"/>
        <v>1</v>
      </c>
    </row>
    <row r="3665" spans="1:19" hidden="1" x14ac:dyDescent="0.25">
      <c r="A3665" s="5" t="str">
        <f t="shared" si="1558"/>
        <v>44060GOOGL</v>
      </c>
      <c r="B3665" s="6" t="s">
        <v>187</v>
      </c>
      <c r="C3665" s="6">
        <v>1466</v>
      </c>
      <c r="D3665" s="6">
        <v>1525</v>
      </c>
      <c r="E3665" s="6">
        <v>1504</v>
      </c>
      <c r="F3665" t="str">
        <f t="shared" si="1544"/>
        <v>MON</v>
      </c>
      <c r="G3665" s="1">
        <f t="shared" si="1545"/>
        <v>44060</v>
      </c>
      <c r="H3665" s="2">
        <f t="shared" ca="1" si="1546"/>
        <v>193</v>
      </c>
      <c r="I3665" t="str">
        <f t="shared" si="1547"/>
        <v>GOOGL</v>
      </c>
      <c r="J3665">
        <f t="shared" si="1548"/>
        <v>1466</v>
      </c>
      <c r="K3665">
        <f t="shared" si="1549"/>
        <v>1525</v>
      </c>
      <c r="L3665">
        <f t="shared" si="1550"/>
        <v>1495.5</v>
      </c>
      <c r="M3665">
        <f t="shared" si="1551"/>
        <v>29.5</v>
      </c>
      <c r="N3665">
        <f t="shared" si="1555"/>
        <v>59</v>
      </c>
      <c r="O3665">
        <f t="shared" si="1552"/>
        <v>1504</v>
      </c>
      <c r="P3665">
        <f t="shared" si="1553"/>
        <v>0.28813559322033899</v>
      </c>
      <c r="Q3665" t="str">
        <f t="shared" si="1556"/>
        <v>2.53% | 1.4%</v>
      </c>
      <c r="R3665" t="str">
        <f t="shared" si="1554"/>
        <v>BULLISH</v>
      </c>
      <c r="S3665">
        <f t="shared" si="1557"/>
        <v>1</v>
      </c>
    </row>
    <row r="3666" spans="1:19" hidden="1" x14ac:dyDescent="0.25">
      <c r="A3666" s="5" t="str">
        <f t="shared" si="1558"/>
        <v>44060NFLX</v>
      </c>
      <c r="B3666" s="6" t="s">
        <v>188</v>
      </c>
      <c r="C3666" s="6">
        <v>458</v>
      </c>
      <c r="D3666" s="6">
        <v>517</v>
      </c>
      <c r="E3666" s="6">
        <v>482</v>
      </c>
      <c r="F3666" t="str">
        <f t="shared" si="1544"/>
        <v>MON</v>
      </c>
      <c r="G3666" s="1">
        <f t="shared" si="1545"/>
        <v>44060</v>
      </c>
      <c r="H3666" s="2">
        <f t="shared" ca="1" si="1546"/>
        <v>193</v>
      </c>
      <c r="I3666" t="str">
        <f t="shared" si="1547"/>
        <v>NFLX</v>
      </c>
      <c r="J3666">
        <f t="shared" si="1548"/>
        <v>458</v>
      </c>
      <c r="K3666">
        <f t="shared" si="1549"/>
        <v>517</v>
      </c>
      <c r="L3666">
        <f t="shared" si="1550"/>
        <v>487.5</v>
      </c>
      <c r="M3666">
        <f t="shared" si="1551"/>
        <v>29.5</v>
      </c>
      <c r="N3666">
        <f t="shared" si="1555"/>
        <v>59</v>
      </c>
      <c r="O3666">
        <f t="shared" si="1552"/>
        <v>482</v>
      </c>
      <c r="P3666">
        <f t="shared" si="1553"/>
        <v>-0.1864406779661017</v>
      </c>
      <c r="Q3666" t="str">
        <f t="shared" si="1556"/>
        <v>4.98% | 7.26%</v>
      </c>
      <c r="R3666" t="str">
        <f t="shared" si="1554"/>
        <v>NEUTRAL</v>
      </c>
      <c r="S3666">
        <f t="shared" si="1557"/>
        <v>0</v>
      </c>
    </row>
    <row r="3667" spans="1:19" x14ac:dyDescent="0.25">
      <c r="A3667" s="5" t="str">
        <f t="shared" si="1558"/>
        <v>44060TSLA</v>
      </c>
      <c r="B3667" s="6" t="s">
        <v>189</v>
      </c>
      <c r="C3667" s="6">
        <v>1448</v>
      </c>
      <c r="D3667" s="6">
        <v>1681</v>
      </c>
      <c r="E3667" s="6">
        <v>1650</v>
      </c>
      <c r="F3667" t="str">
        <f t="shared" si="1544"/>
        <v>MON</v>
      </c>
      <c r="G3667" s="1">
        <f t="shared" si="1545"/>
        <v>44060</v>
      </c>
      <c r="H3667" s="2">
        <f t="shared" ca="1" si="1546"/>
        <v>193</v>
      </c>
      <c r="I3667" t="str">
        <f t="shared" si="1547"/>
        <v>TSLA</v>
      </c>
      <c r="J3667">
        <f t="shared" si="1548"/>
        <v>1448</v>
      </c>
      <c r="K3667">
        <f t="shared" si="1549"/>
        <v>1681</v>
      </c>
      <c r="L3667">
        <f t="shared" si="1550"/>
        <v>1564.5</v>
      </c>
      <c r="M3667">
        <f t="shared" si="1551"/>
        <v>116.5</v>
      </c>
      <c r="N3667">
        <f t="shared" si="1555"/>
        <v>233</v>
      </c>
      <c r="O3667">
        <f t="shared" si="1552"/>
        <v>1650</v>
      </c>
      <c r="P3667">
        <f t="shared" si="1553"/>
        <v>0.73390557939914158</v>
      </c>
      <c r="Q3667" t="str">
        <f t="shared" si="1556"/>
        <v>12.24% | 1.88%</v>
      </c>
      <c r="R3667" t="str">
        <f t="shared" si="1554"/>
        <v>BULLISH</v>
      </c>
      <c r="S3667">
        <f t="shared" si="1557"/>
        <v>1</v>
      </c>
    </row>
    <row r="3668" spans="1:19" hidden="1" x14ac:dyDescent="0.25">
      <c r="A3668" s="5" t="str">
        <f t="shared" si="1558"/>
        <v>44060NYXBT</v>
      </c>
      <c r="B3668" s="6" t="s">
        <v>190</v>
      </c>
      <c r="C3668" s="6">
        <v>11198</v>
      </c>
      <c r="D3668" s="6">
        <v>12001</v>
      </c>
      <c r="E3668" s="6">
        <v>11708</v>
      </c>
      <c r="F3668" t="str">
        <f t="shared" si="1544"/>
        <v>MON</v>
      </c>
      <c r="G3668" s="1">
        <f t="shared" si="1545"/>
        <v>44060</v>
      </c>
      <c r="H3668" s="2">
        <f t="shared" ca="1" si="1546"/>
        <v>193</v>
      </c>
      <c r="I3668" t="str">
        <f t="shared" si="1547"/>
        <v>NYXBT</v>
      </c>
      <c r="J3668">
        <f t="shared" si="1548"/>
        <v>11198</v>
      </c>
      <c r="K3668">
        <f t="shared" si="1549"/>
        <v>12001</v>
      </c>
      <c r="L3668">
        <f t="shared" si="1550"/>
        <v>11599.5</v>
      </c>
      <c r="M3668">
        <f t="shared" si="1551"/>
        <v>401.5</v>
      </c>
      <c r="N3668">
        <f t="shared" si="1555"/>
        <v>803</v>
      </c>
      <c r="O3668">
        <f t="shared" si="1552"/>
        <v>11708</v>
      </c>
      <c r="P3668">
        <f t="shared" si="1553"/>
        <v>0.27023661270236615</v>
      </c>
      <c r="Q3668" t="str">
        <f t="shared" si="1556"/>
        <v>4.36% | 2.5%</v>
      </c>
      <c r="R3668" t="str">
        <f t="shared" si="1554"/>
        <v>BULLISH</v>
      </c>
      <c r="S3668">
        <f t="shared" si="1557"/>
        <v>1</v>
      </c>
    </row>
    <row r="3669" spans="1:19" hidden="1" x14ac:dyDescent="0.25">
      <c r="A3669" s="5" t="str">
        <f t="shared" si="1558"/>
        <v>44061UST10Y</v>
      </c>
      <c r="B3669" s="6" t="s">
        <v>161</v>
      </c>
      <c r="C3669" s="6">
        <v>0.73</v>
      </c>
      <c r="D3669" s="6">
        <v>0.49</v>
      </c>
      <c r="E3669" s="6">
        <v>0.69</v>
      </c>
      <c r="F3669" t="str">
        <f t="shared" si="1544"/>
        <v>TUE</v>
      </c>
      <c r="G3669" s="3">
        <f>DATE(2020,8,18)</f>
        <v>44061</v>
      </c>
      <c r="H3669" s="2">
        <f t="shared" ca="1" si="1546"/>
        <v>192</v>
      </c>
      <c r="I3669" t="str">
        <f t="shared" si="1547"/>
        <v>UST10Y</v>
      </c>
      <c r="J3669">
        <f t="shared" si="1548"/>
        <v>0.73</v>
      </c>
      <c r="K3669">
        <f t="shared" si="1549"/>
        <v>0.49</v>
      </c>
      <c r="L3669">
        <f t="shared" si="1550"/>
        <v>0.61</v>
      </c>
      <c r="M3669">
        <f t="shared" si="1551"/>
        <v>0.11999999999999987</v>
      </c>
      <c r="N3669">
        <f t="shared" si="1555"/>
        <v>0.24</v>
      </c>
      <c r="O3669">
        <f t="shared" si="1552"/>
        <v>0.69</v>
      </c>
      <c r="P3669">
        <f t="shared" si="1553"/>
        <v>0.66666666666666707</v>
      </c>
      <c r="Q3669" t="str">
        <f t="shared" si="1556"/>
        <v>5.8% | 28.99%</v>
      </c>
      <c r="R3669" t="str">
        <f t="shared" si="1554"/>
        <v>BEARISH</v>
      </c>
      <c r="S3669">
        <f t="shared" si="1557"/>
        <v>-1</v>
      </c>
    </row>
    <row r="3670" spans="1:19" hidden="1" x14ac:dyDescent="0.25">
      <c r="A3670" s="5" t="str">
        <f t="shared" si="1558"/>
        <v>44061UST2Y</v>
      </c>
      <c r="B3670" s="6" t="s">
        <v>162</v>
      </c>
      <c r="C3670" s="6">
        <v>0.17</v>
      </c>
      <c r="D3670" s="6">
        <v>0.1</v>
      </c>
      <c r="E3670" s="6">
        <v>0.14000000000000001</v>
      </c>
      <c r="F3670" t="str">
        <f t="shared" ref="F3670:F3700" si="1559">UPPER(TEXT(G3670,"ddd"))</f>
        <v>TUE</v>
      </c>
      <c r="G3670" s="3">
        <f t="shared" ref="G3670:G3699" si="1560">DATE(2020,8,18)</f>
        <v>44061</v>
      </c>
      <c r="H3670" s="2">
        <f t="shared" ref="H3670:H3700" ca="1" si="1561">TODAY()-G3670</f>
        <v>192</v>
      </c>
      <c r="I3670" t="str">
        <f t="shared" ref="I3670:I3700" si="1562">TRIM(LEFT(B3670,FIND(" ",B3670,1)))</f>
        <v>UST2Y</v>
      </c>
      <c r="J3670">
        <f t="shared" ref="J3670:J3700" si="1563">C3670</f>
        <v>0.17</v>
      </c>
      <c r="K3670">
        <f t="shared" ref="K3670:K3700" si="1564">D3670</f>
        <v>0.1</v>
      </c>
      <c r="L3670">
        <f t="shared" ref="L3670:L3700" si="1565">AVERAGE(J3670:K3670)</f>
        <v>0.13500000000000001</v>
      </c>
      <c r="M3670">
        <f t="shared" ref="M3670:M3700" si="1566">_xlfn.STDEV.P(J3670:K3670)</f>
        <v>3.5000000000000003E-2</v>
      </c>
      <c r="N3670">
        <f t="shared" si="1555"/>
        <v>7.0000000000000007E-2</v>
      </c>
      <c r="O3670">
        <f t="shared" ref="O3670:O3700" si="1567">E3670</f>
        <v>0.14000000000000001</v>
      </c>
      <c r="P3670">
        <f t="shared" ref="P3670:P3700" si="1568">(O3670-L3670)/M3670</f>
        <v>0.14285714285714296</v>
      </c>
      <c r="Q3670" t="str">
        <f t="shared" si="1556"/>
        <v>21.43% | 28.57%</v>
      </c>
      <c r="R3670" t="str">
        <f t="shared" ref="R3670:R3700" si="1569">MID(B3670,FIND("(",B3670,1)+1,FIND(")",B3670,1)-FIND("(",B3670,1)-1)</f>
        <v>BEARISH</v>
      </c>
      <c r="S3670">
        <f t="shared" si="1557"/>
        <v>-1</v>
      </c>
    </row>
    <row r="3671" spans="1:19" hidden="1" x14ac:dyDescent="0.25">
      <c r="A3671" s="5" t="str">
        <f t="shared" si="1558"/>
        <v>44061SPX</v>
      </c>
      <c r="B3671" s="6" t="s">
        <v>191</v>
      </c>
      <c r="C3671" s="6">
        <v>3283</v>
      </c>
      <c r="D3671" s="6">
        <v>3398</v>
      </c>
      <c r="E3671" s="6">
        <v>3381</v>
      </c>
      <c r="F3671" t="str">
        <f t="shared" si="1559"/>
        <v>TUE</v>
      </c>
      <c r="G3671" s="3">
        <f t="shared" si="1560"/>
        <v>44061</v>
      </c>
      <c r="H3671" s="2">
        <f t="shared" ca="1" si="1561"/>
        <v>192</v>
      </c>
      <c r="I3671" t="str">
        <f t="shared" si="1562"/>
        <v>SPX</v>
      </c>
      <c r="J3671">
        <f t="shared" si="1563"/>
        <v>3283</v>
      </c>
      <c r="K3671">
        <f t="shared" si="1564"/>
        <v>3398</v>
      </c>
      <c r="L3671">
        <f t="shared" si="1565"/>
        <v>3340.5</v>
      </c>
      <c r="M3671">
        <f t="shared" si="1566"/>
        <v>57.5</v>
      </c>
      <c r="N3671">
        <f t="shared" si="1555"/>
        <v>115</v>
      </c>
      <c r="O3671">
        <f t="shared" si="1567"/>
        <v>3381</v>
      </c>
      <c r="P3671">
        <f t="shared" si="1568"/>
        <v>0.70434782608695656</v>
      </c>
      <c r="Q3671" t="str">
        <f t="shared" si="1556"/>
        <v>2.9% | 0.5%</v>
      </c>
      <c r="R3671" t="str">
        <f t="shared" si="1569"/>
        <v>BULLISH</v>
      </c>
      <c r="S3671">
        <f t="shared" si="1557"/>
        <v>1</v>
      </c>
    </row>
    <row r="3672" spans="1:19" hidden="1" x14ac:dyDescent="0.25">
      <c r="A3672" s="5" t="str">
        <f t="shared" si="1558"/>
        <v>44061RUT</v>
      </c>
      <c r="B3672" s="6" t="s">
        <v>164</v>
      </c>
      <c r="C3672" s="6">
        <v>1514</v>
      </c>
      <c r="D3672" s="6">
        <v>1601</v>
      </c>
      <c r="E3672" s="6">
        <v>1585</v>
      </c>
      <c r="F3672" t="str">
        <f t="shared" si="1559"/>
        <v>TUE</v>
      </c>
      <c r="G3672" s="3">
        <f t="shared" si="1560"/>
        <v>44061</v>
      </c>
      <c r="H3672" s="2">
        <f t="shared" ca="1" si="1561"/>
        <v>192</v>
      </c>
      <c r="I3672" t="str">
        <f t="shared" si="1562"/>
        <v>RUT</v>
      </c>
      <c r="J3672">
        <f t="shared" si="1563"/>
        <v>1514</v>
      </c>
      <c r="K3672">
        <f t="shared" si="1564"/>
        <v>1601</v>
      </c>
      <c r="L3672">
        <f t="shared" si="1565"/>
        <v>1557.5</v>
      </c>
      <c r="M3672">
        <f t="shared" si="1566"/>
        <v>43.5</v>
      </c>
      <c r="N3672">
        <f t="shared" si="1555"/>
        <v>87</v>
      </c>
      <c r="O3672">
        <f t="shared" si="1567"/>
        <v>1585</v>
      </c>
      <c r="P3672">
        <f t="shared" si="1568"/>
        <v>0.63218390804597702</v>
      </c>
      <c r="Q3672" t="str">
        <f t="shared" si="1556"/>
        <v>4.48% | 1.01%</v>
      </c>
      <c r="R3672" t="str">
        <f t="shared" si="1569"/>
        <v>BEARISH</v>
      </c>
      <c r="S3672">
        <f t="shared" si="1557"/>
        <v>-1</v>
      </c>
    </row>
    <row r="3673" spans="1:19" hidden="1" x14ac:dyDescent="0.25">
      <c r="A3673" s="5" t="str">
        <f t="shared" si="1558"/>
        <v>44061COMPQ</v>
      </c>
      <c r="B3673" s="6" t="s">
        <v>165</v>
      </c>
      <c r="C3673" s="6">
        <v>10801</v>
      </c>
      <c r="D3673" s="6">
        <v>11199</v>
      </c>
      <c r="E3673" s="6">
        <v>11129</v>
      </c>
      <c r="F3673" t="str">
        <f t="shared" si="1559"/>
        <v>TUE</v>
      </c>
      <c r="G3673" s="3">
        <f t="shared" si="1560"/>
        <v>44061</v>
      </c>
      <c r="H3673" s="2">
        <f t="shared" ca="1" si="1561"/>
        <v>192</v>
      </c>
      <c r="I3673" t="str">
        <f t="shared" si="1562"/>
        <v>COMPQ</v>
      </c>
      <c r="J3673">
        <f t="shared" si="1563"/>
        <v>10801</v>
      </c>
      <c r="K3673">
        <f t="shared" si="1564"/>
        <v>11199</v>
      </c>
      <c r="L3673">
        <f t="shared" si="1565"/>
        <v>11000</v>
      </c>
      <c r="M3673">
        <f t="shared" si="1566"/>
        <v>199</v>
      </c>
      <c r="N3673">
        <f t="shared" si="1555"/>
        <v>398</v>
      </c>
      <c r="O3673">
        <f t="shared" si="1567"/>
        <v>11129</v>
      </c>
      <c r="P3673">
        <f t="shared" si="1568"/>
        <v>0.64824120603015079</v>
      </c>
      <c r="Q3673" t="str">
        <f t="shared" si="1556"/>
        <v>2.95% | 0.63%</v>
      </c>
      <c r="R3673" t="str">
        <f t="shared" si="1569"/>
        <v>BULLISH</v>
      </c>
      <c r="S3673">
        <f t="shared" si="1557"/>
        <v>1</v>
      </c>
    </row>
    <row r="3674" spans="1:19" hidden="1" x14ac:dyDescent="0.25">
      <c r="A3674" s="5" t="str">
        <f t="shared" si="1558"/>
        <v>44061XLK</v>
      </c>
      <c r="B3674" s="6" t="s">
        <v>166</v>
      </c>
      <c r="C3674" s="6">
        <v>110.41</v>
      </c>
      <c r="D3674" s="6">
        <v>115.96</v>
      </c>
      <c r="E3674" s="6">
        <v>114.64</v>
      </c>
      <c r="F3674" t="str">
        <f t="shared" si="1559"/>
        <v>TUE</v>
      </c>
      <c r="G3674" s="3">
        <f t="shared" si="1560"/>
        <v>44061</v>
      </c>
      <c r="H3674" s="2">
        <f t="shared" ca="1" si="1561"/>
        <v>192</v>
      </c>
      <c r="I3674" t="str">
        <f t="shared" si="1562"/>
        <v>XLK</v>
      </c>
      <c r="J3674">
        <f t="shared" si="1563"/>
        <v>110.41</v>
      </c>
      <c r="K3674">
        <f t="shared" si="1564"/>
        <v>115.96</v>
      </c>
      <c r="L3674">
        <f t="shared" si="1565"/>
        <v>113.185</v>
      </c>
      <c r="M3674">
        <f t="shared" si="1566"/>
        <v>2.7749999999999986</v>
      </c>
      <c r="N3674">
        <f t="shared" si="1555"/>
        <v>5.5499999999999972</v>
      </c>
      <c r="O3674">
        <f t="shared" si="1567"/>
        <v>114.64</v>
      </c>
      <c r="P3674">
        <f t="shared" si="1568"/>
        <v>0.52432432432432396</v>
      </c>
      <c r="Q3674" t="str">
        <f t="shared" si="1556"/>
        <v>3.69% | 1.15%</v>
      </c>
      <c r="R3674" t="str">
        <f t="shared" si="1569"/>
        <v>BULLISH</v>
      </c>
      <c r="S3674">
        <f t="shared" si="1557"/>
        <v>1</v>
      </c>
    </row>
    <row r="3675" spans="1:19" hidden="1" x14ac:dyDescent="0.25">
      <c r="A3675" s="5" t="str">
        <f t="shared" si="1558"/>
        <v>44061XLRE</v>
      </c>
      <c r="B3675" s="6" t="s">
        <v>167</v>
      </c>
      <c r="C3675" s="6">
        <v>35.36</v>
      </c>
      <c r="D3675" s="6">
        <v>36.79</v>
      </c>
      <c r="E3675" s="6">
        <v>36.18</v>
      </c>
      <c r="F3675" t="str">
        <f t="shared" si="1559"/>
        <v>TUE</v>
      </c>
      <c r="G3675" s="3">
        <f t="shared" si="1560"/>
        <v>44061</v>
      </c>
      <c r="H3675" s="2">
        <f t="shared" ca="1" si="1561"/>
        <v>192</v>
      </c>
      <c r="I3675" t="str">
        <f t="shared" si="1562"/>
        <v>XLRE</v>
      </c>
      <c r="J3675">
        <f t="shared" si="1563"/>
        <v>35.36</v>
      </c>
      <c r="K3675">
        <f t="shared" si="1564"/>
        <v>36.79</v>
      </c>
      <c r="L3675">
        <f t="shared" si="1565"/>
        <v>36.075000000000003</v>
      </c>
      <c r="M3675">
        <f t="shared" si="1566"/>
        <v>0.71499999999999986</v>
      </c>
      <c r="N3675">
        <f t="shared" si="1555"/>
        <v>1.4299999999999997</v>
      </c>
      <c r="O3675">
        <f t="shared" si="1567"/>
        <v>36.18</v>
      </c>
      <c r="P3675">
        <f t="shared" si="1568"/>
        <v>0.14685314685314252</v>
      </c>
      <c r="Q3675" t="str">
        <f t="shared" si="1556"/>
        <v>2.27% | 1.69%</v>
      </c>
      <c r="R3675" t="str">
        <f t="shared" si="1569"/>
        <v>BULLISH</v>
      </c>
      <c r="S3675">
        <f t="shared" si="1557"/>
        <v>1</v>
      </c>
    </row>
    <row r="3676" spans="1:19" hidden="1" x14ac:dyDescent="0.25">
      <c r="A3676" s="5" t="str">
        <f t="shared" si="1558"/>
        <v>44061XLU</v>
      </c>
      <c r="B3676" s="6" t="s">
        <v>168</v>
      </c>
      <c r="C3676" s="6">
        <v>59.54</v>
      </c>
      <c r="D3676" s="6">
        <v>61.79</v>
      </c>
      <c r="E3676" s="6">
        <v>60.3</v>
      </c>
      <c r="F3676" t="str">
        <f t="shared" si="1559"/>
        <v>TUE</v>
      </c>
      <c r="G3676" s="3">
        <f t="shared" si="1560"/>
        <v>44061</v>
      </c>
      <c r="H3676" s="2">
        <f t="shared" ca="1" si="1561"/>
        <v>192</v>
      </c>
      <c r="I3676" t="str">
        <f t="shared" si="1562"/>
        <v>XLU</v>
      </c>
      <c r="J3676">
        <f t="shared" si="1563"/>
        <v>59.54</v>
      </c>
      <c r="K3676">
        <f t="shared" si="1564"/>
        <v>61.79</v>
      </c>
      <c r="L3676">
        <f t="shared" si="1565"/>
        <v>60.664999999999999</v>
      </c>
      <c r="M3676">
        <f t="shared" si="1566"/>
        <v>1.125</v>
      </c>
      <c r="N3676">
        <f t="shared" si="1555"/>
        <v>2.25</v>
      </c>
      <c r="O3676">
        <f t="shared" si="1567"/>
        <v>60.3</v>
      </c>
      <c r="P3676">
        <f t="shared" si="1568"/>
        <v>-0.3244444444444462</v>
      </c>
      <c r="Q3676" t="str">
        <f t="shared" si="1556"/>
        <v>1.26% | 2.47%</v>
      </c>
      <c r="R3676" t="str">
        <f t="shared" si="1569"/>
        <v>BULLISH</v>
      </c>
      <c r="S3676">
        <f t="shared" si="1557"/>
        <v>1</v>
      </c>
    </row>
    <row r="3677" spans="1:19" hidden="1" x14ac:dyDescent="0.25">
      <c r="A3677" s="5" t="str">
        <f t="shared" si="1558"/>
        <v>44061XLF</v>
      </c>
      <c r="B3677" s="6" t="s">
        <v>169</v>
      </c>
      <c r="C3677" s="6">
        <v>23.78</v>
      </c>
      <c r="D3677" s="6">
        <v>25.62</v>
      </c>
      <c r="E3677" s="6">
        <v>24.76</v>
      </c>
      <c r="F3677" t="str">
        <f t="shared" si="1559"/>
        <v>TUE</v>
      </c>
      <c r="G3677" s="3">
        <f t="shared" si="1560"/>
        <v>44061</v>
      </c>
      <c r="H3677" s="2">
        <f t="shared" ca="1" si="1561"/>
        <v>192</v>
      </c>
      <c r="I3677" t="str">
        <f t="shared" si="1562"/>
        <v>XLF</v>
      </c>
      <c r="J3677">
        <f t="shared" si="1563"/>
        <v>23.78</v>
      </c>
      <c r="K3677">
        <f t="shared" si="1564"/>
        <v>25.62</v>
      </c>
      <c r="L3677">
        <f t="shared" si="1565"/>
        <v>24.700000000000003</v>
      </c>
      <c r="M3677">
        <f t="shared" si="1566"/>
        <v>0.91999999999999993</v>
      </c>
      <c r="N3677">
        <f t="shared" si="1555"/>
        <v>1.8399999999999999</v>
      </c>
      <c r="O3677">
        <f t="shared" si="1567"/>
        <v>24.76</v>
      </c>
      <c r="P3677">
        <f t="shared" si="1568"/>
        <v>6.5217391304346436E-2</v>
      </c>
      <c r="Q3677" t="str">
        <f t="shared" si="1556"/>
        <v>3.96% | 3.47%</v>
      </c>
      <c r="R3677" t="str">
        <f t="shared" si="1569"/>
        <v>BEARISH</v>
      </c>
      <c r="S3677">
        <f t="shared" si="1557"/>
        <v>-1</v>
      </c>
    </row>
    <row r="3678" spans="1:19" hidden="1" x14ac:dyDescent="0.25">
      <c r="A3678" s="5" t="str">
        <f t="shared" si="1558"/>
        <v>44061SSEC</v>
      </c>
      <c r="B3678" s="6" t="s">
        <v>170</v>
      </c>
      <c r="C3678" s="6">
        <v>3302</v>
      </c>
      <c r="D3678" s="6">
        <v>3498</v>
      </c>
      <c r="E3678" s="6">
        <v>3451</v>
      </c>
      <c r="F3678" t="str">
        <f t="shared" si="1559"/>
        <v>TUE</v>
      </c>
      <c r="G3678" s="3">
        <f t="shared" si="1560"/>
        <v>44061</v>
      </c>
      <c r="H3678" s="2">
        <f t="shared" ca="1" si="1561"/>
        <v>192</v>
      </c>
      <c r="I3678" t="str">
        <f t="shared" si="1562"/>
        <v>SSEC</v>
      </c>
      <c r="J3678">
        <f t="shared" si="1563"/>
        <v>3302</v>
      </c>
      <c r="K3678">
        <f t="shared" si="1564"/>
        <v>3498</v>
      </c>
      <c r="L3678">
        <f t="shared" si="1565"/>
        <v>3400</v>
      </c>
      <c r="M3678">
        <f t="shared" si="1566"/>
        <v>98</v>
      </c>
      <c r="N3678">
        <f t="shared" si="1555"/>
        <v>196</v>
      </c>
      <c r="O3678">
        <f t="shared" si="1567"/>
        <v>3451</v>
      </c>
      <c r="P3678">
        <f t="shared" si="1568"/>
        <v>0.52040816326530615</v>
      </c>
      <c r="Q3678" t="str">
        <f t="shared" si="1556"/>
        <v>4.32% | 1.36%</v>
      </c>
      <c r="R3678" t="str">
        <f t="shared" si="1569"/>
        <v>BULLISH</v>
      </c>
      <c r="S3678">
        <f t="shared" si="1557"/>
        <v>1</v>
      </c>
    </row>
    <row r="3679" spans="1:19" hidden="1" x14ac:dyDescent="0.25">
      <c r="A3679" s="5" t="str">
        <f t="shared" si="1558"/>
        <v>44061NIKK</v>
      </c>
      <c r="B3679" s="6" t="s">
        <v>201</v>
      </c>
      <c r="C3679" s="6">
        <v>22101</v>
      </c>
      <c r="D3679" s="6">
        <v>23470</v>
      </c>
      <c r="E3679" s="6">
        <v>23051</v>
      </c>
      <c r="F3679" t="str">
        <f t="shared" si="1559"/>
        <v>TUE</v>
      </c>
      <c r="G3679" s="3">
        <f t="shared" si="1560"/>
        <v>44061</v>
      </c>
      <c r="H3679" s="2">
        <f t="shared" ca="1" si="1561"/>
        <v>192</v>
      </c>
      <c r="I3679" t="str">
        <f t="shared" si="1562"/>
        <v>NIKK</v>
      </c>
      <c r="J3679">
        <f t="shared" si="1563"/>
        <v>22101</v>
      </c>
      <c r="K3679">
        <f t="shared" si="1564"/>
        <v>23470</v>
      </c>
      <c r="L3679">
        <f t="shared" si="1565"/>
        <v>22785.5</v>
      </c>
      <c r="M3679">
        <f t="shared" si="1566"/>
        <v>684.5</v>
      </c>
      <c r="N3679">
        <f t="shared" si="1555"/>
        <v>1369</v>
      </c>
      <c r="O3679">
        <f t="shared" si="1567"/>
        <v>23051</v>
      </c>
      <c r="P3679">
        <f t="shared" si="1568"/>
        <v>0.38787436084733384</v>
      </c>
      <c r="Q3679" t="str">
        <f t="shared" si="1556"/>
        <v>4.12% | 1.82%</v>
      </c>
      <c r="R3679" t="str">
        <f t="shared" si="1569"/>
        <v>BULLISH</v>
      </c>
      <c r="S3679">
        <f t="shared" si="1557"/>
        <v>1</v>
      </c>
    </row>
    <row r="3680" spans="1:19" hidden="1" x14ac:dyDescent="0.25">
      <c r="A3680" s="5" t="str">
        <f t="shared" si="1558"/>
        <v>44061DAX</v>
      </c>
      <c r="B3680" s="6" t="s">
        <v>172</v>
      </c>
      <c r="C3680" s="6">
        <v>12499</v>
      </c>
      <c r="D3680" s="6">
        <v>13159</v>
      </c>
      <c r="E3680" s="6">
        <v>12920</v>
      </c>
      <c r="F3680" t="str">
        <f t="shared" si="1559"/>
        <v>TUE</v>
      </c>
      <c r="G3680" s="3">
        <f t="shared" si="1560"/>
        <v>44061</v>
      </c>
      <c r="H3680" s="2">
        <f t="shared" ca="1" si="1561"/>
        <v>192</v>
      </c>
      <c r="I3680" t="str">
        <f t="shared" si="1562"/>
        <v>DAX</v>
      </c>
      <c r="J3680">
        <f t="shared" si="1563"/>
        <v>12499</v>
      </c>
      <c r="K3680">
        <f t="shared" si="1564"/>
        <v>13159</v>
      </c>
      <c r="L3680">
        <f t="shared" si="1565"/>
        <v>12829</v>
      </c>
      <c r="M3680">
        <f t="shared" si="1566"/>
        <v>330</v>
      </c>
      <c r="N3680">
        <f t="shared" si="1555"/>
        <v>660</v>
      </c>
      <c r="O3680">
        <f t="shared" si="1567"/>
        <v>12920</v>
      </c>
      <c r="P3680">
        <f t="shared" si="1568"/>
        <v>0.27575757575757576</v>
      </c>
      <c r="Q3680" t="str">
        <f t="shared" si="1556"/>
        <v>3.26% | 1.85%</v>
      </c>
      <c r="R3680" t="str">
        <f t="shared" si="1569"/>
        <v>BULLISH</v>
      </c>
      <c r="S3680">
        <f t="shared" si="1557"/>
        <v>1</v>
      </c>
    </row>
    <row r="3681" spans="1:19" hidden="1" x14ac:dyDescent="0.25">
      <c r="A3681" s="5" t="str">
        <f t="shared" si="1558"/>
        <v>44061VIX</v>
      </c>
      <c r="B3681" s="6" t="s">
        <v>192</v>
      </c>
      <c r="C3681" s="6">
        <v>21</v>
      </c>
      <c r="D3681" s="6">
        <v>28.47</v>
      </c>
      <c r="E3681" s="6">
        <v>21.35</v>
      </c>
      <c r="F3681" t="str">
        <f t="shared" si="1559"/>
        <v>TUE</v>
      </c>
      <c r="G3681" s="3">
        <f t="shared" si="1560"/>
        <v>44061</v>
      </c>
      <c r="H3681" s="2">
        <f t="shared" ca="1" si="1561"/>
        <v>192</v>
      </c>
      <c r="I3681" t="str">
        <f t="shared" si="1562"/>
        <v>VIX</v>
      </c>
      <c r="J3681">
        <f t="shared" si="1563"/>
        <v>21</v>
      </c>
      <c r="K3681">
        <f t="shared" si="1564"/>
        <v>28.47</v>
      </c>
      <c r="L3681">
        <f t="shared" si="1565"/>
        <v>24.734999999999999</v>
      </c>
      <c r="M3681">
        <f t="shared" si="1566"/>
        <v>3.7350000000000061</v>
      </c>
      <c r="N3681">
        <f t="shared" si="1555"/>
        <v>7.4699999999999989</v>
      </c>
      <c r="O3681">
        <f t="shared" si="1567"/>
        <v>21.35</v>
      </c>
      <c r="P3681">
        <f t="shared" si="1568"/>
        <v>-0.90629183400267532</v>
      </c>
      <c r="Q3681" t="str">
        <f t="shared" si="1556"/>
        <v>1.64% | 33.35%</v>
      </c>
      <c r="R3681" t="str">
        <f t="shared" si="1569"/>
        <v>BEARISH</v>
      </c>
      <c r="S3681">
        <f t="shared" si="1557"/>
        <v>-1</v>
      </c>
    </row>
    <row r="3682" spans="1:19" hidden="1" x14ac:dyDescent="0.25">
      <c r="A3682" s="5" t="str">
        <f t="shared" si="1558"/>
        <v>44061USD</v>
      </c>
      <c r="B3682" s="6" t="s">
        <v>174</v>
      </c>
      <c r="C3682" s="6">
        <v>92.41</v>
      </c>
      <c r="D3682" s="6">
        <v>93.88</v>
      </c>
      <c r="E3682" s="6">
        <v>92.87</v>
      </c>
      <c r="F3682" t="str">
        <f t="shared" si="1559"/>
        <v>TUE</v>
      </c>
      <c r="G3682" s="3">
        <f t="shared" si="1560"/>
        <v>44061</v>
      </c>
      <c r="H3682" s="2">
        <f t="shared" ca="1" si="1561"/>
        <v>192</v>
      </c>
      <c r="I3682" t="str">
        <f t="shared" si="1562"/>
        <v>USD</v>
      </c>
      <c r="J3682">
        <f t="shared" si="1563"/>
        <v>92.41</v>
      </c>
      <c r="K3682">
        <f t="shared" si="1564"/>
        <v>93.88</v>
      </c>
      <c r="L3682">
        <f t="shared" si="1565"/>
        <v>93.144999999999996</v>
      </c>
      <c r="M3682">
        <f t="shared" si="1566"/>
        <v>0.73499999999999943</v>
      </c>
      <c r="N3682">
        <f t="shared" si="1555"/>
        <v>1.4699999999999989</v>
      </c>
      <c r="O3682">
        <f t="shared" si="1567"/>
        <v>92.87</v>
      </c>
      <c r="P3682">
        <f t="shared" si="1568"/>
        <v>-0.37414965986393428</v>
      </c>
      <c r="Q3682" t="str">
        <f t="shared" si="1556"/>
        <v>0.5% | 1.09%</v>
      </c>
      <c r="R3682" t="str">
        <f t="shared" si="1569"/>
        <v>BEARISH</v>
      </c>
      <c r="S3682">
        <f t="shared" si="1557"/>
        <v>-1</v>
      </c>
    </row>
    <row r="3683" spans="1:19" hidden="1" x14ac:dyDescent="0.25">
      <c r="A3683" s="5" t="str">
        <f t="shared" si="1558"/>
        <v>44061EUR/USD</v>
      </c>
      <c r="B3683" s="6" t="s">
        <v>175</v>
      </c>
      <c r="C3683" s="6">
        <v>1.17</v>
      </c>
      <c r="D3683" s="6">
        <v>1.19</v>
      </c>
      <c r="E3683" s="6">
        <v>1.18</v>
      </c>
      <c r="F3683" t="str">
        <f t="shared" si="1559"/>
        <v>TUE</v>
      </c>
      <c r="G3683" s="3">
        <f t="shared" si="1560"/>
        <v>44061</v>
      </c>
      <c r="H3683" s="2">
        <f t="shared" ca="1" si="1561"/>
        <v>192</v>
      </c>
      <c r="I3683" t="str">
        <f t="shared" si="1562"/>
        <v>EUR/USD</v>
      </c>
      <c r="J3683">
        <f t="shared" si="1563"/>
        <v>1.17</v>
      </c>
      <c r="K3683">
        <f t="shared" si="1564"/>
        <v>1.19</v>
      </c>
      <c r="L3683">
        <f t="shared" si="1565"/>
        <v>1.18</v>
      </c>
      <c r="M3683">
        <f t="shared" si="1566"/>
        <v>1.0000000000000009E-2</v>
      </c>
      <c r="N3683">
        <f t="shared" si="1555"/>
        <v>2.0000000000000018E-2</v>
      </c>
      <c r="O3683">
        <f t="shared" si="1567"/>
        <v>1.18</v>
      </c>
      <c r="P3683">
        <f t="shared" si="1568"/>
        <v>0</v>
      </c>
      <c r="Q3683" t="str">
        <f t="shared" si="1556"/>
        <v>0.85% | 0.85%</v>
      </c>
      <c r="R3683" t="str">
        <f t="shared" si="1569"/>
        <v>BULLISH</v>
      </c>
      <c r="S3683">
        <f t="shared" si="1557"/>
        <v>1</v>
      </c>
    </row>
    <row r="3684" spans="1:19" hidden="1" x14ac:dyDescent="0.25">
      <c r="A3684" s="5" t="str">
        <f t="shared" si="1558"/>
        <v>44061USD/JPY</v>
      </c>
      <c r="B3684" s="6" t="s">
        <v>176</v>
      </c>
      <c r="C3684" s="6">
        <v>105</v>
      </c>
      <c r="D3684" s="6">
        <v>107.21</v>
      </c>
      <c r="E3684" s="6">
        <v>106.05</v>
      </c>
      <c r="F3684" t="str">
        <f t="shared" si="1559"/>
        <v>TUE</v>
      </c>
      <c r="G3684" s="3">
        <f t="shared" si="1560"/>
        <v>44061</v>
      </c>
      <c r="H3684" s="2">
        <f t="shared" ca="1" si="1561"/>
        <v>192</v>
      </c>
      <c r="I3684" t="str">
        <f t="shared" si="1562"/>
        <v>USD/JPY</v>
      </c>
      <c r="J3684">
        <f t="shared" si="1563"/>
        <v>105</v>
      </c>
      <c r="K3684">
        <f t="shared" si="1564"/>
        <v>107.21</v>
      </c>
      <c r="L3684">
        <f t="shared" si="1565"/>
        <v>106.10499999999999</v>
      </c>
      <c r="M3684">
        <f t="shared" si="1566"/>
        <v>1.1049999999999969</v>
      </c>
      <c r="N3684">
        <f t="shared" si="1555"/>
        <v>2.2099999999999937</v>
      </c>
      <c r="O3684">
        <f t="shared" si="1567"/>
        <v>106.05</v>
      </c>
      <c r="P3684">
        <f t="shared" si="1568"/>
        <v>-4.9773755656102051E-2</v>
      </c>
      <c r="Q3684" t="str">
        <f t="shared" si="1556"/>
        <v>0.99% | 1.09%</v>
      </c>
      <c r="R3684" t="str">
        <f t="shared" si="1569"/>
        <v>BEARISH</v>
      </c>
      <c r="S3684">
        <f t="shared" si="1557"/>
        <v>-1</v>
      </c>
    </row>
    <row r="3685" spans="1:19" hidden="1" x14ac:dyDescent="0.25">
      <c r="A3685" s="5" t="str">
        <f t="shared" si="1558"/>
        <v>44061GBP/USD</v>
      </c>
      <c r="B3685" s="6" t="s">
        <v>177</v>
      </c>
      <c r="C3685" s="6">
        <v>1.3</v>
      </c>
      <c r="D3685" s="6">
        <v>1.32</v>
      </c>
      <c r="E3685" s="6">
        <v>1.31</v>
      </c>
      <c r="F3685" t="str">
        <f t="shared" si="1559"/>
        <v>TUE</v>
      </c>
      <c r="G3685" s="3">
        <f t="shared" si="1560"/>
        <v>44061</v>
      </c>
      <c r="H3685" s="2">
        <f t="shared" ca="1" si="1561"/>
        <v>192</v>
      </c>
      <c r="I3685" t="str">
        <f t="shared" si="1562"/>
        <v>GBP/USD</v>
      </c>
      <c r="J3685">
        <f t="shared" si="1563"/>
        <v>1.3</v>
      </c>
      <c r="K3685">
        <f t="shared" si="1564"/>
        <v>1.32</v>
      </c>
      <c r="L3685">
        <f t="shared" si="1565"/>
        <v>1.31</v>
      </c>
      <c r="M3685">
        <f t="shared" si="1566"/>
        <v>1.0000000000000009E-2</v>
      </c>
      <c r="N3685">
        <f t="shared" si="1555"/>
        <v>2.0000000000000018E-2</v>
      </c>
      <c r="O3685">
        <f t="shared" si="1567"/>
        <v>1.31</v>
      </c>
      <c r="P3685">
        <f t="shared" si="1568"/>
        <v>0</v>
      </c>
      <c r="Q3685" t="str">
        <f t="shared" si="1556"/>
        <v>0.76% | 0.76%</v>
      </c>
      <c r="R3685" t="str">
        <f t="shared" si="1569"/>
        <v>BULLISH</v>
      </c>
      <c r="S3685">
        <f t="shared" si="1557"/>
        <v>1</v>
      </c>
    </row>
    <row r="3686" spans="1:19" hidden="1" x14ac:dyDescent="0.25">
      <c r="A3686" s="5" t="str">
        <f t="shared" si="1558"/>
        <v>44061USD/CHF</v>
      </c>
      <c r="B3686" s="6" t="s">
        <v>178</v>
      </c>
      <c r="C3686" s="6">
        <v>0.9</v>
      </c>
      <c r="D3686" s="6">
        <v>0.92</v>
      </c>
      <c r="E3686" s="6">
        <v>0.9</v>
      </c>
      <c r="F3686" t="str">
        <f t="shared" si="1559"/>
        <v>TUE</v>
      </c>
      <c r="G3686" s="3">
        <f t="shared" si="1560"/>
        <v>44061</v>
      </c>
      <c r="H3686" s="2">
        <f t="shared" ca="1" si="1561"/>
        <v>192</v>
      </c>
      <c r="I3686" t="str">
        <f t="shared" si="1562"/>
        <v>USD/CHF</v>
      </c>
      <c r="J3686">
        <f t="shared" si="1563"/>
        <v>0.9</v>
      </c>
      <c r="K3686">
        <f t="shared" si="1564"/>
        <v>0.92</v>
      </c>
      <c r="L3686">
        <f t="shared" si="1565"/>
        <v>0.91</v>
      </c>
      <c r="M3686">
        <f t="shared" si="1566"/>
        <v>1.0000000000000009E-2</v>
      </c>
      <c r="N3686">
        <f t="shared" si="1555"/>
        <v>2.0000000000000018E-2</v>
      </c>
      <c r="O3686">
        <f t="shared" si="1567"/>
        <v>0.9</v>
      </c>
      <c r="P3686">
        <f t="shared" si="1568"/>
        <v>-1</v>
      </c>
      <c r="Q3686" t="str">
        <f t="shared" si="1556"/>
        <v>0% | 2.22%</v>
      </c>
      <c r="R3686" t="str">
        <f t="shared" si="1569"/>
        <v>BEARISH</v>
      </c>
      <c r="S3686">
        <f t="shared" si="1557"/>
        <v>-1</v>
      </c>
    </row>
    <row r="3687" spans="1:19" hidden="1" x14ac:dyDescent="0.25">
      <c r="A3687" s="5" t="str">
        <f t="shared" si="1558"/>
        <v>44061WTIC</v>
      </c>
      <c r="B3687" s="6" t="s">
        <v>179</v>
      </c>
      <c r="C3687" s="6">
        <v>41.14</v>
      </c>
      <c r="D3687" s="6">
        <v>43.23</v>
      </c>
      <c r="E3687" s="6">
        <v>42.89</v>
      </c>
      <c r="F3687" t="str">
        <f t="shared" si="1559"/>
        <v>TUE</v>
      </c>
      <c r="G3687" s="3">
        <f t="shared" si="1560"/>
        <v>44061</v>
      </c>
      <c r="H3687" s="2">
        <f t="shared" ca="1" si="1561"/>
        <v>192</v>
      </c>
      <c r="I3687" t="str">
        <f t="shared" si="1562"/>
        <v>WTIC</v>
      </c>
      <c r="J3687">
        <f t="shared" si="1563"/>
        <v>41.14</v>
      </c>
      <c r="K3687">
        <f t="shared" si="1564"/>
        <v>43.23</v>
      </c>
      <c r="L3687">
        <f t="shared" si="1565"/>
        <v>42.185000000000002</v>
      </c>
      <c r="M3687">
        <f t="shared" si="1566"/>
        <v>1.0449999999999982</v>
      </c>
      <c r="N3687">
        <f t="shared" si="1555"/>
        <v>2.0899999999999963</v>
      </c>
      <c r="O3687">
        <f t="shared" si="1567"/>
        <v>42.89</v>
      </c>
      <c r="P3687">
        <f t="shared" si="1568"/>
        <v>0.67464114832535838</v>
      </c>
      <c r="Q3687" t="str">
        <f t="shared" si="1556"/>
        <v>4.08% | 0.79%</v>
      </c>
      <c r="R3687" t="str">
        <f t="shared" si="1569"/>
        <v>BULLISH</v>
      </c>
      <c r="S3687">
        <f t="shared" si="1557"/>
        <v>1</v>
      </c>
    </row>
    <row r="3688" spans="1:19" hidden="1" x14ac:dyDescent="0.25">
      <c r="A3688" s="5" t="str">
        <f t="shared" si="1558"/>
        <v>44061NATGAS</v>
      </c>
      <c r="B3688" s="6" t="s">
        <v>180</v>
      </c>
      <c r="C3688" s="6">
        <v>2.06</v>
      </c>
      <c r="D3688" s="6">
        <v>2.4</v>
      </c>
      <c r="E3688" s="6">
        <v>2.34</v>
      </c>
      <c r="F3688" t="str">
        <f t="shared" si="1559"/>
        <v>TUE</v>
      </c>
      <c r="G3688" s="3">
        <f t="shared" si="1560"/>
        <v>44061</v>
      </c>
      <c r="H3688" s="2">
        <f t="shared" ca="1" si="1561"/>
        <v>192</v>
      </c>
      <c r="I3688" t="str">
        <f t="shared" si="1562"/>
        <v>NATGAS</v>
      </c>
      <c r="J3688">
        <f t="shared" si="1563"/>
        <v>2.06</v>
      </c>
      <c r="K3688">
        <f t="shared" si="1564"/>
        <v>2.4</v>
      </c>
      <c r="L3688">
        <f t="shared" si="1565"/>
        <v>2.23</v>
      </c>
      <c r="M3688">
        <f t="shared" si="1566"/>
        <v>0.16999999999999993</v>
      </c>
      <c r="N3688">
        <f t="shared" si="1555"/>
        <v>0.33999999999999986</v>
      </c>
      <c r="O3688">
        <f t="shared" si="1567"/>
        <v>2.34</v>
      </c>
      <c r="P3688">
        <f t="shared" si="1568"/>
        <v>0.64705882352941135</v>
      </c>
      <c r="Q3688" t="str">
        <f t="shared" si="1556"/>
        <v>11.97% | 2.56%</v>
      </c>
      <c r="R3688" t="str">
        <f t="shared" si="1569"/>
        <v>BULLISH</v>
      </c>
      <c r="S3688">
        <f t="shared" si="1557"/>
        <v>1</v>
      </c>
    </row>
    <row r="3689" spans="1:19" hidden="1" x14ac:dyDescent="0.25">
      <c r="A3689" s="5" t="str">
        <f t="shared" si="1558"/>
        <v>44061GOLD</v>
      </c>
      <c r="B3689" s="6" t="s">
        <v>181</v>
      </c>
      <c r="C3689" s="6">
        <v>1910</v>
      </c>
      <c r="D3689" s="6">
        <v>2092</v>
      </c>
      <c r="E3689" s="6">
        <v>1998</v>
      </c>
      <c r="F3689" t="str">
        <f t="shared" si="1559"/>
        <v>TUE</v>
      </c>
      <c r="G3689" s="3">
        <f t="shared" si="1560"/>
        <v>44061</v>
      </c>
      <c r="H3689" s="2">
        <f t="shared" ca="1" si="1561"/>
        <v>192</v>
      </c>
      <c r="I3689" t="str">
        <f t="shared" si="1562"/>
        <v>GOLD</v>
      </c>
      <c r="J3689">
        <f t="shared" si="1563"/>
        <v>1910</v>
      </c>
      <c r="K3689">
        <f t="shared" si="1564"/>
        <v>2092</v>
      </c>
      <c r="L3689">
        <f t="shared" si="1565"/>
        <v>2001</v>
      </c>
      <c r="M3689">
        <f t="shared" si="1566"/>
        <v>91</v>
      </c>
      <c r="N3689">
        <f t="shared" si="1555"/>
        <v>182</v>
      </c>
      <c r="O3689">
        <f t="shared" si="1567"/>
        <v>1998</v>
      </c>
      <c r="P3689">
        <f t="shared" si="1568"/>
        <v>-3.2967032967032968E-2</v>
      </c>
      <c r="Q3689" t="str">
        <f t="shared" si="1556"/>
        <v>4.4% | 4.7%</v>
      </c>
      <c r="R3689" t="str">
        <f t="shared" si="1569"/>
        <v>BULLISH</v>
      </c>
      <c r="S3689">
        <f t="shared" si="1557"/>
        <v>1</v>
      </c>
    </row>
    <row r="3690" spans="1:19" hidden="1" x14ac:dyDescent="0.25">
      <c r="A3690" s="5" t="str">
        <f t="shared" si="1558"/>
        <v>44061SILVER</v>
      </c>
      <c r="B3690" s="6" t="s">
        <v>199</v>
      </c>
      <c r="C3690" s="6">
        <v>24.38</v>
      </c>
      <c r="D3690" s="6">
        <v>29.53</v>
      </c>
      <c r="E3690" s="6">
        <v>27.67</v>
      </c>
      <c r="F3690" t="str">
        <f t="shared" si="1559"/>
        <v>TUE</v>
      </c>
      <c r="G3690" s="3">
        <f t="shared" si="1560"/>
        <v>44061</v>
      </c>
      <c r="H3690" s="2">
        <f t="shared" ca="1" si="1561"/>
        <v>192</v>
      </c>
      <c r="I3690" t="str">
        <f t="shared" si="1562"/>
        <v>SILVER</v>
      </c>
      <c r="J3690">
        <f t="shared" si="1563"/>
        <v>24.38</v>
      </c>
      <c r="K3690">
        <f t="shared" si="1564"/>
        <v>29.53</v>
      </c>
      <c r="L3690">
        <f t="shared" si="1565"/>
        <v>26.954999999999998</v>
      </c>
      <c r="M3690">
        <f t="shared" si="1566"/>
        <v>2.5750000000000011</v>
      </c>
      <c r="N3690">
        <f t="shared" si="1555"/>
        <v>5.1500000000000021</v>
      </c>
      <c r="O3690">
        <f t="shared" si="1567"/>
        <v>27.67</v>
      </c>
      <c r="P3690">
        <f t="shared" si="1568"/>
        <v>0.27766990291262256</v>
      </c>
      <c r="Q3690" t="str">
        <f t="shared" si="1556"/>
        <v>11.89% | 6.72%</v>
      </c>
      <c r="R3690" t="str">
        <f t="shared" si="1569"/>
        <v>BULLISH</v>
      </c>
      <c r="S3690">
        <f t="shared" si="1557"/>
        <v>1</v>
      </c>
    </row>
    <row r="3691" spans="1:19" hidden="1" x14ac:dyDescent="0.25">
      <c r="A3691" s="5" t="str">
        <f t="shared" si="1558"/>
        <v>44061COPPER</v>
      </c>
      <c r="B3691" s="6" t="s">
        <v>182</v>
      </c>
      <c r="C3691" s="6">
        <v>2.78</v>
      </c>
      <c r="D3691" s="6">
        <v>2.96</v>
      </c>
      <c r="E3691" s="6">
        <v>2.9</v>
      </c>
      <c r="F3691" t="str">
        <f t="shared" si="1559"/>
        <v>TUE</v>
      </c>
      <c r="G3691" s="3">
        <f t="shared" si="1560"/>
        <v>44061</v>
      </c>
      <c r="H3691" s="2">
        <f t="shared" ca="1" si="1561"/>
        <v>192</v>
      </c>
      <c r="I3691" t="str">
        <f t="shared" si="1562"/>
        <v>COPPER</v>
      </c>
      <c r="J3691">
        <f t="shared" si="1563"/>
        <v>2.78</v>
      </c>
      <c r="K3691">
        <f t="shared" si="1564"/>
        <v>2.96</v>
      </c>
      <c r="L3691">
        <f t="shared" si="1565"/>
        <v>2.87</v>
      </c>
      <c r="M3691">
        <f t="shared" si="1566"/>
        <v>9.000000000000008E-2</v>
      </c>
      <c r="N3691">
        <f t="shared" si="1555"/>
        <v>0.18000000000000016</v>
      </c>
      <c r="O3691">
        <f t="shared" si="1567"/>
        <v>2.9</v>
      </c>
      <c r="P3691">
        <f t="shared" si="1568"/>
        <v>0.33333333333333087</v>
      </c>
      <c r="Q3691" t="str">
        <f t="shared" si="1556"/>
        <v>4.14% | 2.07%</v>
      </c>
      <c r="R3691" t="str">
        <f t="shared" si="1569"/>
        <v>BULLISH</v>
      </c>
      <c r="S3691">
        <f t="shared" si="1557"/>
        <v>1</v>
      </c>
    </row>
    <row r="3692" spans="1:19" hidden="1" x14ac:dyDescent="0.25">
      <c r="A3692" s="5" t="str">
        <f t="shared" si="1558"/>
        <v>44061MSFT</v>
      </c>
      <c r="B3692" s="6" t="s">
        <v>183</v>
      </c>
      <c r="C3692" s="6">
        <v>203</v>
      </c>
      <c r="D3692" s="6">
        <v>217</v>
      </c>
      <c r="E3692" s="6">
        <v>210</v>
      </c>
      <c r="F3692" t="str">
        <f t="shared" si="1559"/>
        <v>TUE</v>
      </c>
      <c r="G3692" s="3">
        <f t="shared" si="1560"/>
        <v>44061</v>
      </c>
      <c r="H3692" s="2">
        <f t="shared" ca="1" si="1561"/>
        <v>192</v>
      </c>
      <c r="I3692" t="str">
        <f t="shared" si="1562"/>
        <v>MSFT</v>
      </c>
      <c r="J3692">
        <f t="shared" si="1563"/>
        <v>203</v>
      </c>
      <c r="K3692">
        <f t="shared" si="1564"/>
        <v>217</v>
      </c>
      <c r="L3692">
        <f t="shared" si="1565"/>
        <v>210</v>
      </c>
      <c r="M3692">
        <f t="shared" si="1566"/>
        <v>7</v>
      </c>
      <c r="N3692">
        <f t="shared" si="1555"/>
        <v>14</v>
      </c>
      <c r="O3692">
        <f t="shared" si="1567"/>
        <v>210</v>
      </c>
      <c r="P3692">
        <f t="shared" si="1568"/>
        <v>0</v>
      </c>
      <c r="Q3692" t="str">
        <f t="shared" si="1556"/>
        <v>3.33% | 3.33%</v>
      </c>
      <c r="R3692" t="str">
        <f t="shared" si="1569"/>
        <v>BULLISH</v>
      </c>
      <c r="S3692">
        <f t="shared" si="1557"/>
        <v>1</v>
      </c>
    </row>
    <row r="3693" spans="1:19" hidden="1" x14ac:dyDescent="0.25">
      <c r="A3693" s="5" t="str">
        <f t="shared" si="1558"/>
        <v>44061AAPL</v>
      </c>
      <c r="B3693" s="6" t="s">
        <v>184</v>
      </c>
      <c r="C3693" s="6">
        <v>433</v>
      </c>
      <c r="D3693" s="6">
        <v>468</v>
      </c>
      <c r="E3693" s="6">
        <v>458</v>
      </c>
      <c r="F3693" t="str">
        <f t="shared" si="1559"/>
        <v>TUE</v>
      </c>
      <c r="G3693" s="3">
        <f t="shared" si="1560"/>
        <v>44061</v>
      </c>
      <c r="H3693" s="2">
        <f t="shared" ca="1" si="1561"/>
        <v>192</v>
      </c>
      <c r="I3693" t="str">
        <f t="shared" si="1562"/>
        <v>AAPL</v>
      </c>
      <c r="J3693">
        <f t="shared" si="1563"/>
        <v>433</v>
      </c>
      <c r="K3693">
        <f t="shared" si="1564"/>
        <v>468</v>
      </c>
      <c r="L3693">
        <f t="shared" si="1565"/>
        <v>450.5</v>
      </c>
      <c r="M3693">
        <f t="shared" si="1566"/>
        <v>17.5</v>
      </c>
      <c r="N3693">
        <f t="shared" si="1555"/>
        <v>35</v>
      </c>
      <c r="O3693">
        <f t="shared" si="1567"/>
        <v>458</v>
      </c>
      <c r="P3693">
        <f t="shared" si="1568"/>
        <v>0.42857142857142855</v>
      </c>
      <c r="Q3693" t="str">
        <f t="shared" si="1556"/>
        <v>5.46% | 2.18%</v>
      </c>
      <c r="R3693" t="str">
        <f t="shared" si="1569"/>
        <v>BULLISH</v>
      </c>
      <c r="S3693">
        <f t="shared" si="1557"/>
        <v>1</v>
      </c>
    </row>
    <row r="3694" spans="1:19" hidden="1" x14ac:dyDescent="0.25">
      <c r="A3694" s="5" t="str">
        <f t="shared" si="1558"/>
        <v>44061AMZN</v>
      </c>
      <c r="B3694" s="6" t="s">
        <v>185</v>
      </c>
      <c r="C3694" s="6">
        <v>3075</v>
      </c>
      <c r="D3694" s="6">
        <v>3242</v>
      </c>
      <c r="E3694" s="6">
        <v>3182</v>
      </c>
      <c r="F3694" t="str">
        <f t="shared" si="1559"/>
        <v>TUE</v>
      </c>
      <c r="G3694" s="3">
        <f t="shared" si="1560"/>
        <v>44061</v>
      </c>
      <c r="H3694" s="2">
        <f t="shared" ca="1" si="1561"/>
        <v>192</v>
      </c>
      <c r="I3694" t="str">
        <f t="shared" si="1562"/>
        <v>AMZN</v>
      </c>
      <c r="J3694">
        <f t="shared" si="1563"/>
        <v>3075</v>
      </c>
      <c r="K3694">
        <f t="shared" si="1564"/>
        <v>3242</v>
      </c>
      <c r="L3694">
        <f t="shared" si="1565"/>
        <v>3158.5</v>
      </c>
      <c r="M3694">
        <f t="shared" si="1566"/>
        <v>83.5</v>
      </c>
      <c r="N3694">
        <f t="shared" si="1555"/>
        <v>167</v>
      </c>
      <c r="O3694">
        <f t="shared" si="1567"/>
        <v>3182</v>
      </c>
      <c r="P3694">
        <f t="shared" si="1568"/>
        <v>0.28143712574850299</v>
      </c>
      <c r="Q3694" t="str">
        <f t="shared" si="1556"/>
        <v>3.36% | 1.89%</v>
      </c>
      <c r="R3694" t="str">
        <f t="shared" si="1569"/>
        <v>BULLISH</v>
      </c>
      <c r="S3694">
        <f t="shared" si="1557"/>
        <v>1</v>
      </c>
    </row>
    <row r="3695" spans="1:19" hidden="1" x14ac:dyDescent="0.25">
      <c r="A3695" s="5" t="str">
        <f t="shared" si="1558"/>
        <v>44061FB</v>
      </c>
      <c r="B3695" s="6" t="s">
        <v>186</v>
      </c>
      <c r="C3695" s="6">
        <v>249</v>
      </c>
      <c r="D3695" s="6">
        <v>272</v>
      </c>
      <c r="E3695" s="6">
        <v>261</v>
      </c>
      <c r="F3695" t="str">
        <f t="shared" si="1559"/>
        <v>TUE</v>
      </c>
      <c r="G3695" s="3">
        <f t="shared" si="1560"/>
        <v>44061</v>
      </c>
      <c r="H3695" s="2">
        <f t="shared" ca="1" si="1561"/>
        <v>192</v>
      </c>
      <c r="I3695" t="str">
        <f t="shared" si="1562"/>
        <v>FB</v>
      </c>
      <c r="J3695">
        <f t="shared" si="1563"/>
        <v>249</v>
      </c>
      <c r="K3695">
        <f t="shared" si="1564"/>
        <v>272</v>
      </c>
      <c r="L3695">
        <f t="shared" si="1565"/>
        <v>260.5</v>
      </c>
      <c r="M3695">
        <f t="shared" si="1566"/>
        <v>11.5</v>
      </c>
      <c r="N3695">
        <f t="shared" si="1555"/>
        <v>23</v>
      </c>
      <c r="O3695">
        <f t="shared" si="1567"/>
        <v>261</v>
      </c>
      <c r="P3695">
        <f t="shared" si="1568"/>
        <v>4.3478260869565216E-2</v>
      </c>
      <c r="Q3695" t="str">
        <f t="shared" si="1556"/>
        <v>4.6% | 4.21%</v>
      </c>
      <c r="R3695" t="str">
        <f t="shared" si="1569"/>
        <v>BULLISH</v>
      </c>
      <c r="S3695">
        <f t="shared" si="1557"/>
        <v>1</v>
      </c>
    </row>
    <row r="3696" spans="1:19" hidden="1" x14ac:dyDescent="0.25">
      <c r="A3696" s="5" t="str">
        <f t="shared" si="1558"/>
        <v>44061GOOGL</v>
      </c>
      <c r="B3696" s="6" t="s">
        <v>187</v>
      </c>
      <c r="C3696" s="6">
        <v>1471</v>
      </c>
      <c r="D3696" s="6">
        <v>1527</v>
      </c>
      <c r="E3696" s="6">
        <v>1516</v>
      </c>
      <c r="F3696" t="str">
        <f t="shared" si="1559"/>
        <v>TUE</v>
      </c>
      <c r="G3696" s="3">
        <f t="shared" si="1560"/>
        <v>44061</v>
      </c>
      <c r="H3696" s="2">
        <f t="shared" ca="1" si="1561"/>
        <v>192</v>
      </c>
      <c r="I3696" t="str">
        <f t="shared" si="1562"/>
        <v>GOOGL</v>
      </c>
      <c r="J3696">
        <f t="shared" si="1563"/>
        <v>1471</v>
      </c>
      <c r="K3696">
        <f t="shared" si="1564"/>
        <v>1527</v>
      </c>
      <c r="L3696">
        <f t="shared" si="1565"/>
        <v>1499</v>
      </c>
      <c r="M3696">
        <f t="shared" si="1566"/>
        <v>28</v>
      </c>
      <c r="N3696">
        <f t="shared" si="1555"/>
        <v>56</v>
      </c>
      <c r="O3696">
        <f t="shared" si="1567"/>
        <v>1516</v>
      </c>
      <c r="P3696">
        <f t="shared" si="1568"/>
        <v>0.6071428571428571</v>
      </c>
      <c r="Q3696" t="str">
        <f t="shared" si="1556"/>
        <v>2.97% | 0.73%</v>
      </c>
      <c r="R3696" t="str">
        <f t="shared" si="1569"/>
        <v>BULLISH</v>
      </c>
      <c r="S3696">
        <f t="shared" si="1557"/>
        <v>1</v>
      </c>
    </row>
    <row r="3697" spans="1:19" hidden="1" x14ac:dyDescent="0.25">
      <c r="A3697" s="5" t="str">
        <f t="shared" si="1558"/>
        <v>44061NFLX</v>
      </c>
      <c r="B3697" s="6" t="s">
        <v>188</v>
      </c>
      <c r="C3697" s="6">
        <v>458</v>
      </c>
      <c r="D3697" s="6">
        <v>512</v>
      </c>
      <c r="E3697" s="6">
        <v>482</v>
      </c>
      <c r="F3697" t="str">
        <f t="shared" si="1559"/>
        <v>TUE</v>
      </c>
      <c r="G3697" s="3">
        <f t="shared" si="1560"/>
        <v>44061</v>
      </c>
      <c r="H3697" s="2">
        <f t="shared" ca="1" si="1561"/>
        <v>192</v>
      </c>
      <c r="I3697" t="str">
        <f t="shared" si="1562"/>
        <v>NFLX</v>
      </c>
      <c r="J3697">
        <f t="shared" si="1563"/>
        <v>458</v>
      </c>
      <c r="K3697">
        <f t="shared" si="1564"/>
        <v>512</v>
      </c>
      <c r="L3697">
        <f t="shared" si="1565"/>
        <v>485</v>
      </c>
      <c r="M3697">
        <f t="shared" si="1566"/>
        <v>27</v>
      </c>
      <c r="N3697">
        <f t="shared" si="1555"/>
        <v>54</v>
      </c>
      <c r="O3697">
        <f t="shared" si="1567"/>
        <v>482</v>
      </c>
      <c r="P3697">
        <f t="shared" si="1568"/>
        <v>-0.1111111111111111</v>
      </c>
      <c r="Q3697" t="str">
        <f t="shared" si="1556"/>
        <v>4.98% | 6.22%</v>
      </c>
      <c r="R3697" t="str">
        <f t="shared" si="1569"/>
        <v>NEUTRAL</v>
      </c>
      <c r="S3697">
        <f t="shared" si="1557"/>
        <v>0</v>
      </c>
    </row>
    <row r="3698" spans="1:19" x14ac:dyDescent="0.25">
      <c r="A3698" s="5" t="str">
        <f t="shared" si="1558"/>
        <v>44061TSLA</v>
      </c>
      <c r="B3698" s="6" t="s">
        <v>189</v>
      </c>
      <c r="C3698" s="6">
        <v>1476</v>
      </c>
      <c r="D3698" s="6">
        <v>1893</v>
      </c>
      <c r="E3698" s="6">
        <v>1835</v>
      </c>
      <c r="F3698" t="str">
        <f t="shared" si="1559"/>
        <v>TUE</v>
      </c>
      <c r="G3698" s="3">
        <f t="shared" si="1560"/>
        <v>44061</v>
      </c>
      <c r="H3698" s="2">
        <f t="shared" ca="1" si="1561"/>
        <v>192</v>
      </c>
      <c r="I3698" t="str">
        <f t="shared" si="1562"/>
        <v>TSLA</v>
      </c>
      <c r="J3698">
        <f t="shared" si="1563"/>
        <v>1476</v>
      </c>
      <c r="K3698">
        <f t="shared" si="1564"/>
        <v>1893</v>
      </c>
      <c r="L3698">
        <f t="shared" si="1565"/>
        <v>1684.5</v>
      </c>
      <c r="M3698">
        <f t="shared" si="1566"/>
        <v>208.5</v>
      </c>
      <c r="N3698">
        <f t="shared" si="1555"/>
        <v>417</v>
      </c>
      <c r="O3698">
        <f t="shared" si="1567"/>
        <v>1835</v>
      </c>
      <c r="P3698">
        <f t="shared" si="1568"/>
        <v>0.72182254196642681</v>
      </c>
      <c r="Q3698" t="str">
        <f t="shared" si="1556"/>
        <v>19.56% | 3.16%</v>
      </c>
      <c r="R3698" t="str">
        <f t="shared" si="1569"/>
        <v>BULLISH</v>
      </c>
      <c r="S3698">
        <f t="shared" si="1557"/>
        <v>1</v>
      </c>
    </row>
    <row r="3699" spans="1:19" hidden="1" x14ac:dyDescent="0.25">
      <c r="A3699" s="5" t="str">
        <f t="shared" si="1558"/>
        <v>44061NYXBT</v>
      </c>
      <c r="B3699" s="6" t="s">
        <v>190</v>
      </c>
      <c r="C3699" s="6">
        <v>11393</v>
      </c>
      <c r="D3699" s="6">
        <v>12245</v>
      </c>
      <c r="E3699" s="6">
        <v>12163</v>
      </c>
      <c r="F3699" t="str">
        <f t="shared" si="1559"/>
        <v>TUE</v>
      </c>
      <c r="G3699" s="3">
        <f t="shared" si="1560"/>
        <v>44061</v>
      </c>
      <c r="H3699" s="2">
        <f t="shared" ca="1" si="1561"/>
        <v>192</v>
      </c>
      <c r="I3699" t="str">
        <f t="shared" si="1562"/>
        <v>NYXBT</v>
      </c>
      <c r="J3699">
        <f t="shared" si="1563"/>
        <v>11393</v>
      </c>
      <c r="K3699">
        <f t="shared" si="1564"/>
        <v>12245</v>
      </c>
      <c r="L3699">
        <f t="shared" si="1565"/>
        <v>11819</v>
      </c>
      <c r="M3699">
        <f t="shared" si="1566"/>
        <v>426</v>
      </c>
      <c r="N3699">
        <f t="shared" si="1555"/>
        <v>852</v>
      </c>
      <c r="O3699">
        <f t="shared" si="1567"/>
        <v>12163</v>
      </c>
      <c r="P3699">
        <f t="shared" si="1568"/>
        <v>0.80751173708920188</v>
      </c>
      <c r="Q3699" t="str">
        <f t="shared" si="1556"/>
        <v>6.33% | 0.67%</v>
      </c>
      <c r="R3699" t="str">
        <f t="shared" si="1569"/>
        <v>BULLISH</v>
      </c>
      <c r="S3699">
        <f t="shared" si="1557"/>
        <v>1</v>
      </c>
    </row>
    <row r="3700" spans="1:19" hidden="1" x14ac:dyDescent="0.25">
      <c r="A3700" s="5" t="str">
        <f t="shared" si="1558"/>
        <v>44062UST10Y</v>
      </c>
      <c r="B3700" s="6" t="s">
        <v>161</v>
      </c>
      <c r="C3700" s="6">
        <v>0.71</v>
      </c>
      <c r="D3700" s="6">
        <v>0.51</v>
      </c>
      <c r="E3700" s="6">
        <v>0.67</v>
      </c>
      <c r="F3700" t="str">
        <f t="shared" si="1559"/>
        <v>WED</v>
      </c>
      <c r="G3700" s="1">
        <f>DATE(2020,8,19)</f>
        <v>44062</v>
      </c>
      <c r="H3700" s="2">
        <f t="shared" ca="1" si="1561"/>
        <v>191</v>
      </c>
      <c r="I3700" t="str">
        <f t="shared" si="1562"/>
        <v>UST10Y</v>
      </c>
      <c r="J3700">
        <f t="shared" si="1563"/>
        <v>0.71</v>
      </c>
      <c r="K3700">
        <f t="shared" si="1564"/>
        <v>0.51</v>
      </c>
      <c r="L3700">
        <f t="shared" si="1565"/>
        <v>0.61</v>
      </c>
      <c r="M3700">
        <f t="shared" si="1566"/>
        <v>0.10000000000000005</v>
      </c>
      <c r="N3700">
        <f t="shared" si="1555"/>
        <v>0.19999999999999996</v>
      </c>
      <c r="O3700">
        <f t="shared" si="1567"/>
        <v>0.67</v>
      </c>
      <c r="P3700">
        <f t="shared" si="1568"/>
        <v>0.6000000000000002</v>
      </c>
      <c r="Q3700" t="str">
        <f t="shared" si="1556"/>
        <v>5.97% | 23.88%</v>
      </c>
      <c r="R3700" t="str">
        <f t="shared" si="1569"/>
        <v>BEARISH</v>
      </c>
      <c r="S3700">
        <f t="shared" si="1557"/>
        <v>-1</v>
      </c>
    </row>
    <row r="3701" spans="1:19" hidden="1" x14ac:dyDescent="0.25">
      <c r="A3701" s="5" t="str">
        <f t="shared" si="1558"/>
        <v>44062UST2Y</v>
      </c>
      <c r="B3701" s="6" t="s">
        <v>162</v>
      </c>
      <c r="C3701" s="6">
        <v>0.17</v>
      </c>
      <c r="D3701" s="6">
        <v>0.1</v>
      </c>
      <c r="E3701" s="6">
        <v>0.14000000000000001</v>
      </c>
      <c r="F3701" t="str">
        <f t="shared" ref="F3701:F3731" si="1570">UPPER(TEXT(G3701,"ddd"))</f>
        <v>WED</v>
      </c>
      <c r="G3701" s="1">
        <f t="shared" ref="G3701:G3730" si="1571">DATE(2020,8,19)</f>
        <v>44062</v>
      </c>
      <c r="H3701" s="2">
        <f t="shared" ref="H3701:H3731" ca="1" si="1572">TODAY()-G3701</f>
        <v>191</v>
      </c>
      <c r="I3701" t="str">
        <f t="shared" ref="I3701:I3731" si="1573">TRIM(LEFT(B3701,FIND(" ",B3701,1)))</f>
        <v>UST2Y</v>
      </c>
      <c r="J3701">
        <f t="shared" ref="J3701:J3731" si="1574">C3701</f>
        <v>0.17</v>
      </c>
      <c r="K3701">
        <f t="shared" ref="K3701:K3731" si="1575">D3701</f>
        <v>0.1</v>
      </c>
      <c r="L3701">
        <f t="shared" ref="L3701:L3731" si="1576">AVERAGE(J3701:K3701)</f>
        <v>0.13500000000000001</v>
      </c>
      <c r="M3701">
        <f t="shared" ref="M3701:M3731" si="1577">_xlfn.STDEV.P(J3701:K3701)</f>
        <v>3.5000000000000003E-2</v>
      </c>
      <c r="N3701">
        <f t="shared" si="1555"/>
        <v>7.0000000000000007E-2</v>
      </c>
      <c r="O3701">
        <f t="shared" ref="O3701:O3731" si="1578">E3701</f>
        <v>0.14000000000000001</v>
      </c>
      <c r="P3701">
        <f t="shared" ref="P3701:P3731" si="1579">(O3701-L3701)/M3701</f>
        <v>0.14285714285714296</v>
      </c>
      <c r="Q3701" t="str">
        <f t="shared" si="1556"/>
        <v>21.43% | 28.57%</v>
      </c>
      <c r="R3701" t="str">
        <f t="shared" ref="R3701:R3731" si="1580">MID(B3701,FIND("(",B3701,1)+1,FIND(")",B3701,1)-FIND("(",B3701,1)-1)</f>
        <v>BEARISH</v>
      </c>
      <c r="S3701">
        <f t="shared" si="1557"/>
        <v>-1</v>
      </c>
    </row>
    <row r="3702" spans="1:19" hidden="1" x14ac:dyDescent="0.25">
      <c r="A3702" s="5" t="str">
        <f t="shared" si="1558"/>
        <v>44062SPX</v>
      </c>
      <c r="B3702" s="6" t="s">
        <v>191</v>
      </c>
      <c r="C3702" s="6">
        <v>3321</v>
      </c>
      <c r="D3702" s="6">
        <v>3405</v>
      </c>
      <c r="E3702" s="6">
        <v>3389</v>
      </c>
      <c r="F3702" t="str">
        <f t="shared" si="1570"/>
        <v>WED</v>
      </c>
      <c r="G3702" s="1">
        <f t="shared" si="1571"/>
        <v>44062</v>
      </c>
      <c r="H3702" s="2">
        <f t="shared" ca="1" si="1572"/>
        <v>191</v>
      </c>
      <c r="I3702" t="str">
        <f t="shared" si="1573"/>
        <v>SPX</v>
      </c>
      <c r="J3702">
        <f t="shared" si="1574"/>
        <v>3321</v>
      </c>
      <c r="K3702">
        <f t="shared" si="1575"/>
        <v>3405</v>
      </c>
      <c r="L3702">
        <f t="shared" si="1576"/>
        <v>3363</v>
      </c>
      <c r="M3702">
        <f t="shared" si="1577"/>
        <v>42</v>
      </c>
      <c r="N3702">
        <f t="shared" si="1555"/>
        <v>84</v>
      </c>
      <c r="O3702">
        <f t="shared" si="1578"/>
        <v>3389</v>
      </c>
      <c r="P3702">
        <f t="shared" si="1579"/>
        <v>0.61904761904761907</v>
      </c>
      <c r="Q3702" t="str">
        <f t="shared" si="1556"/>
        <v>2.01% | 0.47%</v>
      </c>
      <c r="R3702" t="str">
        <f t="shared" si="1580"/>
        <v>BULLISH</v>
      </c>
      <c r="S3702">
        <f t="shared" si="1557"/>
        <v>1</v>
      </c>
    </row>
    <row r="3703" spans="1:19" hidden="1" x14ac:dyDescent="0.25">
      <c r="A3703" s="5" t="str">
        <f t="shared" si="1558"/>
        <v>44062RUT</v>
      </c>
      <c r="B3703" s="6" t="s">
        <v>164</v>
      </c>
      <c r="C3703" s="6">
        <v>1520</v>
      </c>
      <c r="D3703" s="6">
        <v>1598</v>
      </c>
      <c r="E3703" s="6">
        <v>1569</v>
      </c>
      <c r="F3703" t="str">
        <f t="shared" si="1570"/>
        <v>WED</v>
      </c>
      <c r="G3703" s="1">
        <f t="shared" si="1571"/>
        <v>44062</v>
      </c>
      <c r="H3703" s="2">
        <f t="shared" ca="1" si="1572"/>
        <v>191</v>
      </c>
      <c r="I3703" t="str">
        <f t="shared" si="1573"/>
        <v>RUT</v>
      </c>
      <c r="J3703">
        <f t="shared" si="1574"/>
        <v>1520</v>
      </c>
      <c r="K3703">
        <f t="shared" si="1575"/>
        <v>1598</v>
      </c>
      <c r="L3703">
        <f t="shared" si="1576"/>
        <v>1559</v>
      </c>
      <c r="M3703">
        <f t="shared" si="1577"/>
        <v>39</v>
      </c>
      <c r="N3703">
        <f t="shared" si="1555"/>
        <v>78</v>
      </c>
      <c r="O3703">
        <f t="shared" si="1578"/>
        <v>1569</v>
      </c>
      <c r="P3703">
        <f t="shared" si="1579"/>
        <v>0.25641025641025639</v>
      </c>
      <c r="Q3703" t="str">
        <f t="shared" si="1556"/>
        <v>3.12% | 1.85%</v>
      </c>
      <c r="R3703" t="str">
        <f t="shared" si="1580"/>
        <v>BEARISH</v>
      </c>
      <c r="S3703">
        <f t="shared" si="1557"/>
        <v>-1</v>
      </c>
    </row>
    <row r="3704" spans="1:19" hidden="1" x14ac:dyDescent="0.25">
      <c r="A3704" s="5" t="str">
        <f t="shared" si="1558"/>
        <v>44062COMPQ</v>
      </c>
      <c r="B3704" s="6" t="s">
        <v>165</v>
      </c>
      <c r="C3704" s="6">
        <v>10777</v>
      </c>
      <c r="D3704" s="6">
        <v>11278</v>
      </c>
      <c r="E3704" s="6">
        <v>11210</v>
      </c>
      <c r="F3704" t="str">
        <f t="shared" si="1570"/>
        <v>WED</v>
      </c>
      <c r="G3704" s="1">
        <f t="shared" si="1571"/>
        <v>44062</v>
      </c>
      <c r="H3704" s="2">
        <f t="shared" ca="1" si="1572"/>
        <v>191</v>
      </c>
      <c r="I3704" t="str">
        <f t="shared" si="1573"/>
        <v>COMPQ</v>
      </c>
      <c r="J3704">
        <f t="shared" si="1574"/>
        <v>10777</v>
      </c>
      <c r="K3704">
        <f t="shared" si="1575"/>
        <v>11278</v>
      </c>
      <c r="L3704">
        <f t="shared" si="1576"/>
        <v>11027.5</v>
      </c>
      <c r="M3704">
        <f t="shared" si="1577"/>
        <v>250.5</v>
      </c>
      <c r="N3704">
        <f t="shared" si="1555"/>
        <v>501</v>
      </c>
      <c r="O3704">
        <f t="shared" si="1578"/>
        <v>11210</v>
      </c>
      <c r="P3704">
        <f t="shared" si="1579"/>
        <v>0.72854291417165673</v>
      </c>
      <c r="Q3704" t="str">
        <f t="shared" si="1556"/>
        <v>3.86% | 0.61%</v>
      </c>
      <c r="R3704" t="str">
        <f t="shared" si="1580"/>
        <v>BULLISH</v>
      </c>
      <c r="S3704">
        <f t="shared" si="1557"/>
        <v>1</v>
      </c>
    </row>
    <row r="3705" spans="1:19" hidden="1" x14ac:dyDescent="0.25">
      <c r="A3705" s="5" t="str">
        <f t="shared" si="1558"/>
        <v>44062XLK</v>
      </c>
      <c r="B3705" s="6" t="s">
        <v>166</v>
      </c>
      <c r="C3705" s="6">
        <v>110.55</v>
      </c>
      <c r="D3705" s="6">
        <v>116.35</v>
      </c>
      <c r="E3705" s="6">
        <v>115.07</v>
      </c>
      <c r="F3705" t="str">
        <f t="shared" si="1570"/>
        <v>WED</v>
      </c>
      <c r="G3705" s="1">
        <f t="shared" si="1571"/>
        <v>44062</v>
      </c>
      <c r="H3705" s="2">
        <f t="shared" ca="1" si="1572"/>
        <v>191</v>
      </c>
      <c r="I3705" t="str">
        <f t="shared" si="1573"/>
        <v>XLK</v>
      </c>
      <c r="J3705">
        <f t="shared" si="1574"/>
        <v>110.55</v>
      </c>
      <c r="K3705">
        <f t="shared" si="1575"/>
        <v>116.35</v>
      </c>
      <c r="L3705">
        <f t="shared" si="1576"/>
        <v>113.44999999999999</v>
      </c>
      <c r="M3705">
        <f t="shared" si="1577"/>
        <v>2.8999999999999986</v>
      </c>
      <c r="N3705">
        <f t="shared" si="1555"/>
        <v>5.7999999999999972</v>
      </c>
      <c r="O3705">
        <f t="shared" si="1578"/>
        <v>115.07</v>
      </c>
      <c r="P3705">
        <f t="shared" si="1579"/>
        <v>0.55862068965517431</v>
      </c>
      <c r="Q3705" t="str">
        <f t="shared" si="1556"/>
        <v>3.93% | 1.11%</v>
      </c>
      <c r="R3705" t="str">
        <f t="shared" si="1580"/>
        <v>BULLISH</v>
      </c>
      <c r="S3705">
        <f t="shared" si="1557"/>
        <v>1</v>
      </c>
    </row>
    <row r="3706" spans="1:19" hidden="1" x14ac:dyDescent="0.25">
      <c r="A3706" s="5" t="str">
        <f t="shared" si="1558"/>
        <v>44062XLRE</v>
      </c>
      <c r="B3706" s="6" t="s">
        <v>167</v>
      </c>
      <c r="C3706" s="6">
        <v>35.28</v>
      </c>
      <c r="D3706" s="6">
        <v>36.71</v>
      </c>
      <c r="E3706" s="6">
        <v>36.14</v>
      </c>
      <c r="F3706" t="str">
        <f t="shared" si="1570"/>
        <v>WED</v>
      </c>
      <c r="G3706" s="1">
        <f t="shared" si="1571"/>
        <v>44062</v>
      </c>
      <c r="H3706" s="2">
        <f t="shared" ca="1" si="1572"/>
        <v>191</v>
      </c>
      <c r="I3706" t="str">
        <f t="shared" si="1573"/>
        <v>XLRE</v>
      </c>
      <c r="J3706">
        <f t="shared" si="1574"/>
        <v>35.28</v>
      </c>
      <c r="K3706">
        <f t="shared" si="1575"/>
        <v>36.71</v>
      </c>
      <c r="L3706">
        <f t="shared" si="1576"/>
        <v>35.995000000000005</v>
      </c>
      <c r="M3706">
        <f t="shared" si="1577"/>
        <v>0.71499999999999986</v>
      </c>
      <c r="N3706">
        <f t="shared" si="1555"/>
        <v>1.4299999999999997</v>
      </c>
      <c r="O3706">
        <f t="shared" si="1578"/>
        <v>36.14</v>
      </c>
      <c r="P3706">
        <f t="shared" si="1579"/>
        <v>0.20279720279719726</v>
      </c>
      <c r="Q3706" t="str">
        <f t="shared" si="1556"/>
        <v>2.38% | 1.58%</v>
      </c>
      <c r="R3706" t="str">
        <f t="shared" si="1580"/>
        <v>BULLISH</v>
      </c>
      <c r="S3706">
        <f t="shared" si="1557"/>
        <v>1</v>
      </c>
    </row>
    <row r="3707" spans="1:19" hidden="1" x14ac:dyDescent="0.25">
      <c r="A3707" s="5" t="str">
        <f t="shared" si="1558"/>
        <v>44062XLU</v>
      </c>
      <c r="B3707" s="6" t="s">
        <v>168</v>
      </c>
      <c r="C3707" s="6">
        <v>59.52</v>
      </c>
      <c r="D3707" s="6">
        <v>61.76</v>
      </c>
      <c r="E3707" s="6">
        <v>60.03</v>
      </c>
      <c r="F3707" t="str">
        <f t="shared" si="1570"/>
        <v>WED</v>
      </c>
      <c r="G3707" s="1">
        <f t="shared" si="1571"/>
        <v>44062</v>
      </c>
      <c r="H3707" s="2">
        <f t="shared" ca="1" si="1572"/>
        <v>191</v>
      </c>
      <c r="I3707" t="str">
        <f t="shared" si="1573"/>
        <v>XLU</v>
      </c>
      <c r="J3707">
        <f t="shared" si="1574"/>
        <v>59.52</v>
      </c>
      <c r="K3707">
        <f t="shared" si="1575"/>
        <v>61.76</v>
      </c>
      <c r="L3707">
        <f t="shared" si="1576"/>
        <v>60.64</v>
      </c>
      <c r="M3707">
        <f t="shared" si="1577"/>
        <v>1.1199999999999974</v>
      </c>
      <c r="N3707">
        <f t="shared" si="1555"/>
        <v>2.2399999999999949</v>
      </c>
      <c r="O3707">
        <f t="shared" si="1578"/>
        <v>60.03</v>
      </c>
      <c r="P3707">
        <f t="shared" si="1579"/>
        <v>-0.54464285714285787</v>
      </c>
      <c r="Q3707" t="str">
        <f t="shared" si="1556"/>
        <v>0.85% | 2.88%</v>
      </c>
      <c r="R3707" t="str">
        <f t="shared" si="1580"/>
        <v>BULLISH</v>
      </c>
      <c r="S3707">
        <f t="shared" si="1557"/>
        <v>1</v>
      </c>
    </row>
    <row r="3708" spans="1:19" hidden="1" x14ac:dyDescent="0.25">
      <c r="A3708" s="5" t="str">
        <f t="shared" si="1558"/>
        <v>44062XLF</v>
      </c>
      <c r="B3708" s="6" t="s">
        <v>169</v>
      </c>
      <c r="C3708" s="6">
        <v>23.98</v>
      </c>
      <c r="D3708" s="6">
        <v>25.58</v>
      </c>
      <c r="E3708" s="6">
        <v>24.6</v>
      </c>
      <c r="F3708" t="str">
        <f t="shared" si="1570"/>
        <v>WED</v>
      </c>
      <c r="G3708" s="1">
        <f t="shared" si="1571"/>
        <v>44062</v>
      </c>
      <c r="H3708" s="2">
        <f t="shared" ca="1" si="1572"/>
        <v>191</v>
      </c>
      <c r="I3708" t="str">
        <f t="shared" si="1573"/>
        <v>XLF</v>
      </c>
      <c r="J3708">
        <f t="shared" si="1574"/>
        <v>23.98</v>
      </c>
      <c r="K3708">
        <f t="shared" si="1575"/>
        <v>25.58</v>
      </c>
      <c r="L3708">
        <f t="shared" si="1576"/>
        <v>24.78</v>
      </c>
      <c r="M3708">
        <f t="shared" si="1577"/>
        <v>0.79999999999999893</v>
      </c>
      <c r="N3708">
        <f t="shared" si="1555"/>
        <v>1.5999999999999979</v>
      </c>
      <c r="O3708">
        <f t="shared" si="1578"/>
        <v>24.6</v>
      </c>
      <c r="P3708">
        <f t="shared" si="1579"/>
        <v>-0.22499999999999995</v>
      </c>
      <c r="Q3708" t="str">
        <f t="shared" si="1556"/>
        <v>2.52% | 3.98%</v>
      </c>
      <c r="R3708" t="str">
        <f t="shared" si="1580"/>
        <v>BEARISH</v>
      </c>
      <c r="S3708">
        <f t="shared" si="1557"/>
        <v>-1</v>
      </c>
    </row>
    <row r="3709" spans="1:19" hidden="1" x14ac:dyDescent="0.25">
      <c r="A3709" s="5" t="str">
        <f t="shared" si="1558"/>
        <v>44062SSEC</v>
      </c>
      <c r="B3709" s="6" t="s">
        <v>170</v>
      </c>
      <c r="C3709" s="6">
        <v>3313</v>
      </c>
      <c r="D3709" s="6">
        <v>3471</v>
      </c>
      <c r="E3709" s="6">
        <v>3408</v>
      </c>
      <c r="F3709" t="str">
        <f t="shared" si="1570"/>
        <v>WED</v>
      </c>
      <c r="G3709" s="1">
        <f t="shared" si="1571"/>
        <v>44062</v>
      </c>
      <c r="H3709" s="2">
        <f t="shared" ca="1" si="1572"/>
        <v>191</v>
      </c>
      <c r="I3709" t="str">
        <f t="shared" si="1573"/>
        <v>SSEC</v>
      </c>
      <c r="J3709">
        <f t="shared" si="1574"/>
        <v>3313</v>
      </c>
      <c r="K3709">
        <f t="shared" si="1575"/>
        <v>3471</v>
      </c>
      <c r="L3709">
        <f t="shared" si="1576"/>
        <v>3392</v>
      </c>
      <c r="M3709">
        <f t="shared" si="1577"/>
        <v>79</v>
      </c>
      <c r="N3709">
        <f t="shared" si="1555"/>
        <v>158</v>
      </c>
      <c r="O3709">
        <f t="shared" si="1578"/>
        <v>3408</v>
      </c>
      <c r="P3709">
        <f t="shared" si="1579"/>
        <v>0.20253164556962025</v>
      </c>
      <c r="Q3709" t="str">
        <f t="shared" si="1556"/>
        <v>2.79% | 1.85%</v>
      </c>
      <c r="R3709" t="str">
        <f t="shared" si="1580"/>
        <v>BULLISH</v>
      </c>
      <c r="S3709">
        <f t="shared" si="1557"/>
        <v>1</v>
      </c>
    </row>
    <row r="3710" spans="1:19" hidden="1" x14ac:dyDescent="0.25">
      <c r="A3710" s="5" t="str">
        <f t="shared" si="1558"/>
        <v>44062NIKK</v>
      </c>
      <c r="B3710" s="6" t="s">
        <v>201</v>
      </c>
      <c r="C3710" s="6">
        <v>22170</v>
      </c>
      <c r="D3710" s="6">
        <v>23520</v>
      </c>
      <c r="E3710" s="6">
        <v>23110</v>
      </c>
      <c r="F3710" t="str">
        <f t="shared" si="1570"/>
        <v>WED</v>
      </c>
      <c r="G3710" s="1">
        <f t="shared" si="1571"/>
        <v>44062</v>
      </c>
      <c r="H3710" s="2">
        <f t="shared" ca="1" si="1572"/>
        <v>191</v>
      </c>
      <c r="I3710" t="str">
        <f t="shared" si="1573"/>
        <v>NIKK</v>
      </c>
      <c r="J3710">
        <f t="shared" si="1574"/>
        <v>22170</v>
      </c>
      <c r="K3710">
        <f t="shared" si="1575"/>
        <v>23520</v>
      </c>
      <c r="L3710">
        <f t="shared" si="1576"/>
        <v>22845</v>
      </c>
      <c r="M3710">
        <f t="shared" si="1577"/>
        <v>675</v>
      </c>
      <c r="N3710">
        <f t="shared" si="1555"/>
        <v>1350</v>
      </c>
      <c r="O3710">
        <f t="shared" si="1578"/>
        <v>23110</v>
      </c>
      <c r="P3710">
        <f t="shared" si="1579"/>
        <v>0.3925925925925926</v>
      </c>
      <c r="Q3710" t="str">
        <f t="shared" si="1556"/>
        <v>4.07% | 1.77%</v>
      </c>
      <c r="R3710" t="str">
        <f t="shared" si="1580"/>
        <v>BULLISH</v>
      </c>
      <c r="S3710">
        <f t="shared" si="1557"/>
        <v>1</v>
      </c>
    </row>
    <row r="3711" spans="1:19" hidden="1" x14ac:dyDescent="0.25">
      <c r="A3711" s="5" t="str">
        <f t="shared" si="1558"/>
        <v>44062DAX</v>
      </c>
      <c r="B3711" s="6" t="s">
        <v>172</v>
      </c>
      <c r="C3711" s="6">
        <v>12518</v>
      </c>
      <c r="D3711" s="6">
        <v>13155</v>
      </c>
      <c r="E3711" s="6">
        <v>12881</v>
      </c>
      <c r="F3711" t="str">
        <f t="shared" si="1570"/>
        <v>WED</v>
      </c>
      <c r="G3711" s="1">
        <f t="shared" si="1571"/>
        <v>44062</v>
      </c>
      <c r="H3711" s="2">
        <f t="shared" ca="1" si="1572"/>
        <v>191</v>
      </c>
      <c r="I3711" t="str">
        <f t="shared" si="1573"/>
        <v>DAX</v>
      </c>
      <c r="J3711">
        <f t="shared" si="1574"/>
        <v>12518</v>
      </c>
      <c r="K3711">
        <f t="shared" si="1575"/>
        <v>13155</v>
      </c>
      <c r="L3711">
        <f t="shared" si="1576"/>
        <v>12836.5</v>
      </c>
      <c r="M3711">
        <f t="shared" si="1577"/>
        <v>318.5</v>
      </c>
      <c r="N3711">
        <f t="shared" si="1555"/>
        <v>637</v>
      </c>
      <c r="O3711">
        <f t="shared" si="1578"/>
        <v>12881</v>
      </c>
      <c r="P3711">
        <f t="shared" si="1579"/>
        <v>0.13971742543171115</v>
      </c>
      <c r="Q3711" t="str">
        <f t="shared" si="1556"/>
        <v>2.82% | 2.13%</v>
      </c>
      <c r="R3711" t="str">
        <f t="shared" si="1580"/>
        <v>BULLISH</v>
      </c>
      <c r="S3711">
        <f t="shared" si="1557"/>
        <v>1</v>
      </c>
    </row>
    <row r="3712" spans="1:19" hidden="1" x14ac:dyDescent="0.25">
      <c r="A3712" s="5" t="str">
        <f t="shared" si="1558"/>
        <v>44062VIX</v>
      </c>
      <c r="B3712" s="6" t="s">
        <v>192</v>
      </c>
      <c r="C3712" s="6">
        <v>20.61</v>
      </c>
      <c r="D3712" s="6">
        <v>28.2</v>
      </c>
      <c r="E3712" s="6">
        <v>21.51</v>
      </c>
      <c r="F3712" t="str">
        <f t="shared" si="1570"/>
        <v>WED</v>
      </c>
      <c r="G3712" s="1">
        <f t="shared" si="1571"/>
        <v>44062</v>
      </c>
      <c r="H3712" s="2">
        <f t="shared" ca="1" si="1572"/>
        <v>191</v>
      </c>
      <c r="I3712" t="str">
        <f t="shared" si="1573"/>
        <v>VIX</v>
      </c>
      <c r="J3712">
        <f t="shared" si="1574"/>
        <v>20.61</v>
      </c>
      <c r="K3712">
        <f t="shared" si="1575"/>
        <v>28.2</v>
      </c>
      <c r="L3712">
        <f t="shared" si="1576"/>
        <v>24.405000000000001</v>
      </c>
      <c r="M3712">
        <f t="shared" si="1577"/>
        <v>3.7949999999999826</v>
      </c>
      <c r="N3712">
        <f t="shared" si="1555"/>
        <v>7.59</v>
      </c>
      <c r="O3712">
        <f t="shared" si="1578"/>
        <v>21.51</v>
      </c>
      <c r="P3712">
        <f t="shared" si="1579"/>
        <v>-0.76284584980237491</v>
      </c>
      <c r="Q3712" t="str">
        <f t="shared" si="1556"/>
        <v>4.18% | 31.1%</v>
      </c>
      <c r="R3712" t="str">
        <f t="shared" si="1580"/>
        <v>BEARISH</v>
      </c>
      <c r="S3712">
        <f t="shared" si="1557"/>
        <v>-1</v>
      </c>
    </row>
    <row r="3713" spans="1:19" hidden="1" x14ac:dyDescent="0.25">
      <c r="A3713" s="5" t="str">
        <f t="shared" si="1558"/>
        <v>44062USD</v>
      </c>
      <c r="B3713" s="6" t="s">
        <v>174</v>
      </c>
      <c r="C3713" s="6">
        <v>92.13</v>
      </c>
      <c r="D3713" s="6">
        <v>93.9</v>
      </c>
      <c r="E3713" s="6">
        <v>92.29</v>
      </c>
      <c r="F3713" t="str">
        <f t="shared" si="1570"/>
        <v>WED</v>
      </c>
      <c r="G3713" s="1">
        <f t="shared" si="1571"/>
        <v>44062</v>
      </c>
      <c r="H3713" s="2">
        <f t="shared" ca="1" si="1572"/>
        <v>191</v>
      </c>
      <c r="I3713" t="str">
        <f t="shared" si="1573"/>
        <v>USD</v>
      </c>
      <c r="J3713">
        <f t="shared" si="1574"/>
        <v>92.13</v>
      </c>
      <c r="K3713">
        <f t="shared" si="1575"/>
        <v>93.9</v>
      </c>
      <c r="L3713">
        <f t="shared" si="1576"/>
        <v>93.015000000000001</v>
      </c>
      <c r="M3713">
        <f t="shared" si="1577"/>
        <v>0.88500000000000512</v>
      </c>
      <c r="N3713">
        <f t="shared" si="1555"/>
        <v>1.7700000000000102</v>
      </c>
      <c r="O3713">
        <f t="shared" si="1578"/>
        <v>92.29</v>
      </c>
      <c r="P3713">
        <f t="shared" si="1579"/>
        <v>-0.81920903954801139</v>
      </c>
      <c r="Q3713" t="str">
        <f t="shared" si="1556"/>
        <v>0.17% | 1.74%</v>
      </c>
      <c r="R3713" t="str">
        <f t="shared" si="1580"/>
        <v>BEARISH</v>
      </c>
      <c r="S3713">
        <f t="shared" si="1557"/>
        <v>-1</v>
      </c>
    </row>
    <row r="3714" spans="1:19" hidden="1" x14ac:dyDescent="0.25">
      <c r="A3714" s="5" t="str">
        <f t="shared" si="1558"/>
        <v>44062EUR/USD</v>
      </c>
      <c r="B3714" s="6" t="s">
        <v>175</v>
      </c>
      <c r="C3714" s="6">
        <v>1.17</v>
      </c>
      <c r="D3714" s="6">
        <v>1.2</v>
      </c>
      <c r="E3714" s="6">
        <v>1.19</v>
      </c>
      <c r="F3714" t="str">
        <f t="shared" si="1570"/>
        <v>WED</v>
      </c>
      <c r="G3714" s="1">
        <f t="shared" si="1571"/>
        <v>44062</v>
      </c>
      <c r="H3714" s="2">
        <f t="shared" ca="1" si="1572"/>
        <v>191</v>
      </c>
      <c r="I3714" t="str">
        <f t="shared" si="1573"/>
        <v>EUR/USD</v>
      </c>
      <c r="J3714">
        <f t="shared" si="1574"/>
        <v>1.17</v>
      </c>
      <c r="K3714">
        <f t="shared" si="1575"/>
        <v>1.2</v>
      </c>
      <c r="L3714">
        <f t="shared" si="1576"/>
        <v>1.1850000000000001</v>
      </c>
      <c r="M3714">
        <f t="shared" si="1577"/>
        <v>1.5000000000000013E-2</v>
      </c>
      <c r="N3714">
        <f t="shared" si="1555"/>
        <v>3.0000000000000027E-2</v>
      </c>
      <c r="O3714">
        <f t="shared" si="1578"/>
        <v>1.19</v>
      </c>
      <c r="P3714">
        <f t="shared" si="1579"/>
        <v>0.33333333333332593</v>
      </c>
      <c r="Q3714" t="str">
        <f t="shared" si="1556"/>
        <v>1.68% | 0.84%</v>
      </c>
      <c r="R3714" t="str">
        <f t="shared" si="1580"/>
        <v>BULLISH</v>
      </c>
      <c r="S3714">
        <f t="shared" si="1557"/>
        <v>1</v>
      </c>
    </row>
    <row r="3715" spans="1:19" hidden="1" x14ac:dyDescent="0.25">
      <c r="A3715" s="5" t="str">
        <f t="shared" si="1558"/>
        <v>44062USD/JPY</v>
      </c>
      <c r="B3715" s="6" t="s">
        <v>176</v>
      </c>
      <c r="C3715" s="6">
        <v>105.01</v>
      </c>
      <c r="D3715" s="6">
        <v>107.11</v>
      </c>
      <c r="E3715" s="6">
        <v>105.43</v>
      </c>
      <c r="F3715" t="str">
        <f t="shared" si="1570"/>
        <v>WED</v>
      </c>
      <c r="G3715" s="1">
        <f t="shared" si="1571"/>
        <v>44062</v>
      </c>
      <c r="H3715" s="2">
        <f t="shared" ca="1" si="1572"/>
        <v>191</v>
      </c>
      <c r="I3715" t="str">
        <f t="shared" si="1573"/>
        <v>USD/JPY</v>
      </c>
      <c r="J3715">
        <f t="shared" si="1574"/>
        <v>105.01</v>
      </c>
      <c r="K3715">
        <f t="shared" si="1575"/>
        <v>107.11</v>
      </c>
      <c r="L3715">
        <f t="shared" si="1576"/>
        <v>106.06</v>
      </c>
      <c r="M3715">
        <f t="shared" si="1577"/>
        <v>1.0499999999999972</v>
      </c>
      <c r="N3715">
        <f t="shared" ref="N3715:N3778" si="1581">ABS(K3715-J3715)</f>
        <v>2.0999999999999943</v>
      </c>
      <c r="O3715">
        <f t="shared" si="1578"/>
        <v>105.43</v>
      </c>
      <c r="P3715">
        <f t="shared" si="1579"/>
        <v>-0.59999999999999731</v>
      </c>
      <c r="Q3715" t="str">
        <f t="shared" ref="Q3715:Q3778" si="1582">ROUND(ABS(100*(O3715-J3715)/O3715),2)&amp;"% | "&amp;ROUND(ABS(100*(K3715-O3715)/O3715),2)&amp;"%"</f>
        <v>0.4% | 1.59%</v>
      </c>
      <c r="R3715" t="str">
        <f t="shared" si="1580"/>
        <v>BEARISH</v>
      </c>
      <c r="S3715">
        <f t="shared" ref="S3715:S3778" si="1583">IF(R3715="BEARISH",-1,IF(R3715="NEUTRAL",0,IF(R3715="BULLISH",1,99)))</f>
        <v>-1</v>
      </c>
    </row>
    <row r="3716" spans="1:19" hidden="1" x14ac:dyDescent="0.25">
      <c r="A3716" s="5" t="str">
        <f t="shared" si="1558"/>
        <v>44062GBP/USD</v>
      </c>
      <c r="B3716" s="6" t="s">
        <v>177</v>
      </c>
      <c r="C3716" s="6">
        <v>1.3</v>
      </c>
      <c r="D3716" s="6">
        <v>1.32</v>
      </c>
      <c r="E3716" s="6">
        <v>1.32</v>
      </c>
      <c r="F3716" t="str">
        <f t="shared" si="1570"/>
        <v>WED</v>
      </c>
      <c r="G3716" s="1">
        <f t="shared" si="1571"/>
        <v>44062</v>
      </c>
      <c r="H3716" s="2">
        <f t="shared" ca="1" si="1572"/>
        <v>191</v>
      </c>
      <c r="I3716" t="str">
        <f t="shared" si="1573"/>
        <v>GBP/USD</v>
      </c>
      <c r="J3716">
        <f t="shared" si="1574"/>
        <v>1.3</v>
      </c>
      <c r="K3716">
        <f t="shared" si="1575"/>
        <v>1.32</v>
      </c>
      <c r="L3716">
        <f t="shared" si="1576"/>
        <v>1.31</v>
      </c>
      <c r="M3716">
        <f t="shared" si="1577"/>
        <v>1.0000000000000009E-2</v>
      </c>
      <c r="N3716">
        <f t="shared" si="1581"/>
        <v>2.0000000000000018E-2</v>
      </c>
      <c r="O3716">
        <f t="shared" si="1578"/>
        <v>1.32</v>
      </c>
      <c r="P3716">
        <f t="shared" si="1579"/>
        <v>1</v>
      </c>
      <c r="Q3716" t="str">
        <f t="shared" si="1582"/>
        <v>1.52% | 0%</v>
      </c>
      <c r="R3716" t="str">
        <f t="shared" si="1580"/>
        <v>BULLISH</v>
      </c>
      <c r="S3716">
        <f t="shared" si="1583"/>
        <v>1</v>
      </c>
    </row>
    <row r="3717" spans="1:19" hidden="1" x14ac:dyDescent="0.25">
      <c r="A3717" s="5" t="str">
        <f t="shared" ref="A3717:A3780" si="1584">G3717&amp;I3717</f>
        <v>44062USD/CHF</v>
      </c>
      <c r="B3717" s="6" t="s">
        <v>178</v>
      </c>
      <c r="C3717" s="6">
        <v>0.9</v>
      </c>
      <c r="D3717" s="6">
        <v>0.92</v>
      </c>
      <c r="E3717" s="6">
        <v>0.9</v>
      </c>
      <c r="F3717" t="str">
        <f t="shared" si="1570"/>
        <v>WED</v>
      </c>
      <c r="G3717" s="1">
        <f t="shared" si="1571"/>
        <v>44062</v>
      </c>
      <c r="H3717" s="2">
        <f t="shared" ca="1" si="1572"/>
        <v>191</v>
      </c>
      <c r="I3717" t="str">
        <f t="shared" si="1573"/>
        <v>USD/CHF</v>
      </c>
      <c r="J3717">
        <f t="shared" si="1574"/>
        <v>0.9</v>
      </c>
      <c r="K3717">
        <f t="shared" si="1575"/>
        <v>0.92</v>
      </c>
      <c r="L3717">
        <f t="shared" si="1576"/>
        <v>0.91</v>
      </c>
      <c r="M3717">
        <f t="shared" si="1577"/>
        <v>1.0000000000000009E-2</v>
      </c>
      <c r="N3717">
        <f t="shared" si="1581"/>
        <v>2.0000000000000018E-2</v>
      </c>
      <c r="O3717">
        <f t="shared" si="1578"/>
        <v>0.9</v>
      </c>
      <c r="P3717">
        <f t="shared" si="1579"/>
        <v>-1</v>
      </c>
      <c r="Q3717" t="str">
        <f t="shared" si="1582"/>
        <v>0% | 2.22%</v>
      </c>
      <c r="R3717" t="str">
        <f t="shared" si="1580"/>
        <v>BEARISH</v>
      </c>
      <c r="S3717">
        <f t="shared" si="1583"/>
        <v>-1</v>
      </c>
    </row>
    <row r="3718" spans="1:19" hidden="1" x14ac:dyDescent="0.25">
      <c r="A3718" s="5" t="str">
        <f t="shared" si="1584"/>
        <v>44062WTIC</v>
      </c>
      <c r="B3718" s="6" t="s">
        <v>179</v>
      </c>
      <c r="C3718" s="6">
        <v>41.13</v>
      </c>
      <c r="D3718" s="6">
        <v>43.44</v>
      </c>
      <c r="E3718" s="6">
        <v>43.12</v>
      </c>
      <c r="F3718" t="str">
        <f t="shared" si="1570"/>
        <v>WED</v>
      </c>
      <c r="G3718" s="1">
        <f t="shared" si="1571"/>
        <v>44062</v>
      </c>
      <c r="H3718" s="2">
        <f t="shared" ca="1" si="1572"/>
        <v>191</v>
      </c>
      <c r="I3718" t="str">
        <f t="shared" si="1573"/>
        <v>WTIC</v>
      </c>
      <c r="J3718">
        <f t="shared" si="1574"/>
        <v>41.13</v>
      </c>
      <c r="K3718">
        <f t="shared" si="1575"/>
        <v>43.44</v>
      </c>
      <c r="L3718">
        <f t="shared" si="1576"/>
        <v>42.284999999999997</v>
      </c>
      <c r="M3718">
        <f t="shared" si="1577"/>
        <v>1.1549999999999976</v>
      </c>
      <c r="N3718">
        <f t="shared" si="1581"/>
        <v>2.3099999999999952</v>
      </c>
      <c r="O3718">
        <f t="shared" si="1578"/>
        <v>43.12</v>
      </c>
      <c r="P3718">
        <f t="shared" si="1579"/>
        <v>0.72294372294372522</v>
      </c>
      <c r="Q3718" t="str">
        <f t="shared" si="1582"/>
        <v>4.62% | 0.74%</v>
      </c>
      <c r="R3718" t="str">
        <f t="shared" si="1580"/>
        <v>BULLISH</v>
      </c>
      <c r="S3718">
        <f t="shared" si="1583"/>
        <v>1</v>
      </c>
    </row>
    <row r="3719" spans="1:19" hidden="1" x14ac:dyDescent="0.25">
      <c r="A3719" s="5" t="str">
        <f t="shared" si="1584"/>
        <v>44062NATGAS</v>
      </c>
      <c r="B3719" s="6" t="s">
        <v>180</v>
      </c>
      <c r="C3719" s="6">
        <v>2.06</v>
      </c>
      <c r="D3719" s="6">
        <v>2.4500000000000002</v>
      </c>
      <c r="E3719" s="6">
        <v>2.42</v>
      </c>
      <c r="F3719" t="str">
        <f t="shared" si="1570"/>
        <v>WED</v>
      </c>
      <c r="G3719" s="1">
        <f t="shared" si="1571"/>
        <v>44062</v>
      </c>
      <c r="H3719" s="2">
        <f t="shared" ca="1" si="1572"/>
        <v>191</v>
      </c>
      <c r="I3719" t="str">
        <f t="shared" si="1573"/>
        <v>NATGAS</v>
      </c>
      <c r="J3719">
        <f t="shared" si="1574"/>
        <v>2.06</v>
      </c>
      <c r="K3719">
        <f t="shared" si="1575"/>
        <v>2.4500000000000002</v>
      </c>
      <c r="L3719">
        <f t="shared" si="1576"/>
        <v>2.2549999999999999</v>
      </c>
      <c r="M3719">
        <f t="shared" si="1577"/>
        <v>0.19500000000000009</v>
      </c>
      <c r="N3719">
        <f t="shared" si="1581"/>
        <v>0.39000000000000012</v>
      </c>
      <c r="O3719">
        <f t="shared" si="1578"/>
        <v>2.42</v>
      </c>
      <c r="P3719">
        <f t="shared" si="1579"/>
        <v>0.84615384615384592</v>
      </c>
      <c r="Q3719" t="str">
        <f t="shared" si="1582"/>
        <v>14.88% | 1.24%</v>
      </c>
      <c r="R3719" t="str">
        <f t="shared" si="1580"/>
        <v>BULLISH</v>
      </c>
      <c r="S3719">
        <f t="shared" si="1583"/>
        <v>1</v>
      </c>
    </row>
    <row r="3720" spans="1:19" hidden="1" x14ac:dyDescent="0.25">
      <c r="A3720" s="5" t="str">
        <f t="shared" si="1584"/>
        <v>44062GOLD</v>
      </c>
      <c r="B3720" s="6" t="s">
        <v>181</v>
      </c>
      <c r="C3720" s="6">
        <v>1912</v>
      </c>
      <c r="D3720" s="6">
        <v>2081</v>
      </c>
      <c r="E3720" s="6">
        <v>2013</v>
      </c>
      <c r="F3720" t="str">
        <f t="shared" si="1570"/>
        <v>WED</v>
      </c>
      <c r="G3720" s="1">
        <f t="shared" si="1571"/>
        <v>44062</v>
      </c>
      <c r="H3720" s="2">
        <f t="shared" ca="1" si="1572"/>
        <v>191</v>
      </c>
      <c r="I3720" t="str">
        <f t="shared" si="1573"/>
        <v>GOLD</v>
      </c>
      <c r="J3720">
        <f t="shared" si="1574"/>
        <v>1912</v>
      </c>
      <c r="K3720">
        <f t="shared" si="1575"/>
        <v>2081</v>
      </c>
      <c r="L3720">
        <f t="shared" si="1576"/>
        <v>1996.5</v>
      </c>
      <c r="M3720">
        <f t="shared" si="1577"/>
        <v>84.5</v>
      </c>
      <c r="N3720">
        <f t="shared" si="1581"/>
        <v>169</v>
      </c>
      <c r="O3720">
        <f t="shared" si="1578"/>
        <v>2013</v>
      </c>
      <c r="P3720">
        <f t="shared" si="1579"/>
        <v>0.19526627218934911</v>
      </c>
      <c r="Q3720" t="str">
        <f t="shared" si="1582"/>
        <v>5.02% | 3.38%</v>
      </c>
      <c r="R3720" t="str">
        <f t="shared" si="1580"/>
        <v>BULLISH</v>
      </c>
      <c r="S3720">
        <f t="shared" si="1583"/>
        <v>1</v>
      </c>
    </row>
    <row r="3721" spans="1:19" hidden="1" x14ac:dyDescent="0.25">
      <c r="A3721" s="5" t="str">
        <f t="shared" si="1584"/>
        <v>44062SILVER</v>
      </c>
      <c r="B3721" s="6" t="s">
        <v>199</v>
      </c>
      <c r="C3721" s="6">
        <v>25.04</v>
      </c>
      <c r="D3721" s="6">
        <v>29.7</v>
      </c>
      <c r="E3721" s="6">
        <v>28.08</v>
      </c>
      <c r="F3721" t="str">
        <f t="shared" si="1570"/>
        <v>WED</v>
      </c>
      <c r="G3721" s="1">
        <f t="shared" si="1571"/>
        <v>44062</v>
      </c>
      <c r="H3721" s="2">
        <f t="shared" ca="1" si="1572"/>
        <v>191</v>
      </c>
      <c r="I3721" t="str">
        <f t="shared" si="1573"/>
        <v>SILVER</v>
      </c>
      <c r="J3721">
        <f t="shared" si="1574"/>
        <v>25.04</v>
      </c>
      <c r="K3721">
        <f t="shared" si="1575"/>
        <v>29.7</v>
      </c>
      <c r="L3721">
        <f t="shared" si="1576"/>
        <v>27.369999999999997</v>
      </c>
      <c r="M3721">
        <f t="shared" si="1577"/>
        <v>2.33</v>
      </c>
      <c r="N3721">
        <f t="shared" si="1581"/>
        <v>4.66</v>
      </c>
      <c r="O3721">
        <f t="shared" si="1578"/>
        <v>28.08</v>
      </c>
      <c r="P3721">
        <f t="shared" si="1579"/>
        <v>0.30472103004291884</v>
      </c>
      <c r="Q3721" t="str">
        <f t="shared" si="1582"/>
        <v>10.83% | 5.77%</v>
      </c>
      <c r="R3721" t="str">
        <f t="shared" si="1580"/>
        <v>BULLISH</v>
      </c>
      <c r="S3721">
        <f t="shared" si="1583"/>
        <v>1</v>
      </c>
    </row>
    <row r="3722" spans="1:19" hidden="1" x14ac:dyDescent="0.25">
      <c r="A3722" s="5" t="str">
        <f t="shared" si="1584"/>
        <v>44062COPPER</v>
      </c>
      <c r="B3722" s="6" t="s">
        <v>182</v>
      </c>
      <c r="C3722" s="6">
        <v>2.79</v>
      </c>
      <c r="D3722" s="6">
        <v>3.03</v>
      </c>
      <c r="E3722" s="6">
        <v>2.97</v>
      </c>
      <c r="F3722" t="str">
        <f t="shared" si="1570"/>
        <v>WED</v>
      </c>
      <c r="G3722" s="1">
        <f t="shared" si="1571"/>
        <v>44062</v>
      </c>
      <c r="H3722" s="2">
        <f t="shared" ca="1" si="1572"/>
        <v>191</v>
      </c>
      <c r="I3722" t="str">
        <f t="shared" si="1573"/>
        <v>COPPER</v>
      </c>
      <c r="J3722">
        <f t="shared" si="1574"/>
        <v>2.79</v>
      </c>
      <c r="K3722">
        <f t="shared" si="1575"/>
        <v>3.03</v>
      </c>
      <c r="L3722">
        <f t="shared" si="1576"/>
        <v>2.91</v>
      </c>
      <c r="M3722">
        <f t="shared" si="1577"/>
        <v>0.11999999999999988</v>
      </c>
      <c r="N3722">
        <f t="shared" si="1581"/>
        <v>0.23999999999999977</v>
      </c>
      <c r="O3722">
        <f t="shared" si="1578"/>
        <v>2.97</v>
      </c>
      <c r="P3722">
        <f t="shared" si="1579"/>
        <v>0.50000000000000089</v>
      </c>
      <c r="Q3722" t="str">
        <f t="shared" si="1582"/>
        <v>6.06% | 2.02%</v>
      </c>
      <c r="R3722" t="str">
        <f t="shared" si="1580"/>
        <v>BULLISH</v>
      </c>
      <c r="S3722">
        <f t="shared" si="1583"/>
        <v>1</v>
      </c>
    </row>
    <row r="3723" spans="1:19" hidden="1" x14ac:dyDescent="0.25">
      <c r="A3723" s="5" t="str">
        <f t="shared" si="1584"/>
        <v>44062MSFT</v>
      </c>
      <c r="B3723" s="6" t="s">
        <v>183</v>
      </c>
      <c r="C3723" s="6">
        <v>203</v>
      </c>
      <c r="D3723" s="6">
        <v>217</v>
      </c>
      <c r="E3723" s="6">
        <v>211</v>
      </c>
      <c r="F3723" t="str">
        <f t="shared" si="1570"/>
        <v>WED</v>
      </c>
      <c r="G3723" s="1">
        <f t="shared" si="1571"/>
        <v>44062</v>
      </c>
      <c r="H3723" s="2">
        <f t="shared" ca="1" si="1572"/>
        <v>191</v>
      </c>
      <c r="I3723" t="str">
        <f t="shared" si="1573"/>
        <v>MSFT</v>
      </c>
      <c r="J3723">
        <f t="shared" si="1574"/>
        <v>203</v>
      </c>
      <c r="K3723">
        <f t="shared" si="1575"/>
        <v>217</v>
      </c>
      <c r="L3723">
        <f t="shared" si="1576"/>
        <v>210</v>
      </c>
      <c r="M3723">
        <f t="shared" si="1577"/>
        <v>7</v>
      </c>
      <c r="N3723">
        <f t="shared" si="1581"/>
        <v>14</v>
      </c>
      <c r="O3723">
        <f t="shared" si="1578"/>
        <v>211</v>
      </c>
      <c r="P3723">
        <f t="shared" si="1579"/>
        <v>0.14285714285714285</v>
      </c>
      <c r="Q3723" t="str">
        <f t="shared" si="1582"/>
        <v>3.79% | 2.84%</v>
      </c>
      <c r="R3723" t="str">
        <f t="shared" si="1580"/>
        <v>BULLISH</v>
      </c>
      <c r="S3723">
        <f t="shared" si="1583"/>
        <v>1</v>
      </c>
    </row>
    <row r="3724" spans="1:19" hidden="1" x14ac:dyDescent="0.25">
      <c r="A3724" s="5" t="str">
        <f t="shared" si="1584"/>
        <v>44062AAPL</v>
      </c>
      <c r="B3724" s="6" t="s">
        <v>184</v>
      </c>
      <c r="C3724" s="6">
        <v>437</v>
      </c>
      <c r="D3724" s="6">
        <v>470</v>
      </c>
      <c r="E3724" s="6">
        <v>462</v>
      </c>
      <c r="F3724" t="str">
        <f t="shared" si="1570"/>
        <v>WED</v>
      </c>
      <c r="G3724" s="1">
        <f t="shared" si="1571"/>
        <v>44062</v>
      </c>
      <c r="H3724" s="2">
        <f t="shared" ca="1" si="1572"/>
        <v>191</v>
      </c>
      <c r="I3724" t="str">
        <f t="shared" si="1573"/>
        <v>AAPL</v>
      </c>
      <c r="J3724">
        <f t="shared" si="1574"/>
        <v>437</v>
      </c>
      <c r="K3724">
        <f t="shared" si="1575"/>
        <v>470</v>
      </c>
      <c r="L3724">
        <f t="shared" si="1576"/>
        <v>453.5</v>
      </c>
      <c r="M3724">
        <f t="shared" si="1577"/>
        <v>16.5</v>
      </c>
      <c r="N3724">
        <f t="shared" si="1581"/>
        <v>33</v>
      </c>
      <c r="O3724">
        <f t="shared" si="1578"/>
        <v>462</v>
      </c>
      <c r="P3724">
        <f t="shared" si="1579"/>
        <v>0.51515151515151514</v>
      </c>
      <c r="Q3724" t="str">
        <f t="shared" si="1582"/>
        <v>5.41% | 1.73%</v>
      </c>
      <c r="R3724" t="str">
        <f t="shared" si="1580"/>
        <v>BULLISH</v>
      </c>
      <c r="S3724">
        <f t="shared" si="1583"/>
        <v>1</v>
      </c>
    </row>
    <row r="3725" spans="1:19" hidden="1" x14ac:dyDescent="0.25">
      <c r="A3725" s="5" t="str">
        <f t="shared" si="1584"/>
        <v>44062AMZN</v>
      </c>
      <c r="B3725" s="6" t="s">
        <v>185</v>
      </c>
      <c r="C3725" s="6">
        <v>3166</v>
      </c>
      <c r="D3725" s="6">
        <v>3396</v>
      </c>
      <c r="E3725" s="6">
        <v>3312</v>
      </c>
      <c r="F3725" t="str">
        <f t="shared" si="1570"/>
        <v>WED</v>
      </c>
      <c r="G3725" s="1">
        <f t="shared" si="1571"/>
        <v>44062</v>
      </c>
      <c r="H3725" s="2">
        <f t="shared" ca="1" si="1572"/>
        <v>191</v>
      </c>
      <c r="I3725" t="str">
        <f t="shared" si="1573"/>
        <v>AMZN</v>
      </c>
      <c r="J3725">
        <f t="shared" si="1574"/>
        <v>3166</v>
      </c>
      <c r="K3725">
        <f t="shared" si="1575"/>
        <v>3396</v>
      </c>
      <c r="L3725">
        <f t="shared" si="1576"/>
        <v>3281</v>
      </c>
      <c r="M3725">
        <f t="shared" si="1577"/>
        <v>115</v>
      </c>
      <c r="N3725">
        <f t="shared" si="1581"/>
        <v>230</v>
      </c>
      <c r="O3725">
        <f t="shared" si="1578"/>
        <v>3312</v>
      </c>
      <c r="P3725">
        <f t="shared" si="1579"/>
        <v>0.26956521739130435</v>
      </c>
      <c r="Q3725" t="str">
        <f t="shared" si="1582"/>
        <v>4.41% | 2.54%</v>
      </c>
      <c r="R3725" t="str">
        <f t="shared" si="1580"/>
        <v>BULLISH</v>
      </c>
      <c r="S3725">
        <f t="shared" si="1583"/>
        <v>1</v>
      </c>
    </row>
    <row r="3726" spans="1:19" hidden="1" x14ac:dyDescent="0.25">
      <c r="A3726" s="5" t="str">
        <f t="shared" si="1584"/>
        <v>44062FB</v>
      </c>
      <c r="B3726" s="6" t="s">
        <v>186</v>
      </c>
      <c r="C3726" s="6">
        <v>253</v>
      </c>
      <c r="D3726" s="6">
        <v>270</v>
      </c>
      <c r="E3726" s="6">
        <v>262</v>
      </c>
      <c r="F3726" t="str">
        <f t="shared" si="1570"/>
        <v>WED</v>
      </c>
      <c r="G3726" s="1">
        <f t="shared" si="1571"/>
        <v>44062</v>
      </c>
      <c r="H3726" s="2">
        <f t="shared" ca="1" si="1572"/>
        <v>191</v>
      </c>
      <c r="I3726" t="str">
        <f t="shared" si="1573"/>
        <v>FB</v>
      </c>
      <c r="J3726">
        <f t="shared" si="1574"/>
        <v>253</v>
      </c>
      <c r="K3726">
        <f t="shared" si="1575"/>
        <v>270</v>
      </c>
      <c r="L3726">
        <f t="shared" si="1576"/>
        <v>261.5</v>
      </c>
      <c r="M3726">
        <f t="shared" si="1577"/>
        <v>8.5</v>
      </c>
      <c r="N3726">
        <f t="shared" si="1581"/>
        <v>17</v>
      </c>
      <c r="O3726">
        <f t="shared" si="1578"/>
        <v>262</v>
      </c>
      <c r="P3726">
        <f t="shared" si="1579"/>
        <v>5.8823529411764705E-2</v>
      </c>
      <c r="Q3726" t="str">
        <f t="shared" si="1582"/>
        <v>3.44% | 3.05%</v>
      </c>
      <c r="R3726" t="str">
        <f t="shared" si="1580"/>
        <v>BULLISH</v>
      </c>
      <c r="S3726">
        <f t="shared" si="1583"/>
        <v>1</v>
      </c>
    </row>
    <row r="3727" spans="1:19" hidden="1" x14ac:dyDescent="0.25">
      <c r="A3727" s="5" t="str">
        <f t="shared" si="1584"/>
        <v>44062GOOGL</v>
      </c>
      <c r="B3727" s="6" t="s">
        <v>187</v>
      </c>
      <c r="C3727" s="6">
        <v>1491</v>
      </c>
      <c r="D3727" s="6">
        <v>1576</v>
      </c>
      <c r="E3727" s="6">
        <v>1555</v>
      </c>
      <c r="F3727" t="str">
        <f t="shared" si="1570"/>
        <v>WED</v>
      </c>
      <c r="G3727" s="1">
        <f t="shared" si="1571"/>
        <v>44062</v>
      </c>
      <c r="H3727" s="2">
        <f t="shared" ca="1" si="1572"/>
        <v>191</v>
      </c>
      <c r="I3727" t="str">
        <f t="shared" si="1573"/>
        <v>GOOGL</v>
      </c>
      <c r="J3727">
        <f t="shared" si="1574"/>
        <v>1491</v>
      </c>
      <c r="K3727">
        <f t="shared" si="1575"/>
        <v>1576</v>
      </c>
      <c r="L3727">
        <f t="shared" si="1576"/>
        <v>1533.5</v>
      </c>
      <c r="M3727">
        <f t="shared" si="1577"/>
        <v>42.5</v>
      </c>
      <c r="N3727">
        <f t="shared" si="1581"/>
        <v>85</v>
      </c>
      <c r="O3727">
        <f t="shared" si="1578"/>
        <v>1555</v>
      </c>
      <c r="P3727">
        <f t="shared" si="1579"/>
        <v>0.50588235294117645</v>
      </c>
      <c r="Q3727" t="str">
        <f t="shared" si="1582"/>
        <v>4.12% | 1.35%</v>
      </c>
      <c r="R3727" t="str">
        <f t="shared" si="1580"/>
        <v>BULLISH</v>
      </c>
      <c r="S3727">
        <f t="shared" si="1583"/>
        <v>1</v>
      </c>
    </row>
    <row r="3728" spans="1:19" hidden="1" x14ac:dyDescent="0.25">
      <c r="A3728" s="5" t="str">
        <f t="shared" si="1584"/>
        <v>44062NFLX</v>
      </c>
      <c r="B3728" s="6" t="s">
        <v>188</v>
      </c>
      <c r="C3728" s="6">
        <v>461</v>
      </c>
      <c r="D3728" s="6">
        <v>510</v>
      </c>
      <c r="E3728" s="6">
        <v>491</v>
      </c>
      <c r="F3728" t="str">
        <f t="shared" si="1570"/>
        <v>WED</v>
      </c>
      <c r="G3728" s="1">
        <f t="shared" si="1571"/>
        <v>44062</v>
      </c>
      <c r="H3728" s="2">
        <f t="shared" ca="1" si="1572"/>
        <v>191</v>
      </c>
      <c r="I3728" t="str">
        <f t="shared" si="1573"/>
        <v>NFLX</v>
      </c>
      <c r="J3728">
        <f t="shared" si="1574"/>
        <v>461</v>
      </c>
      <c r="K3728">
        <f t="shared" si="1575"/>
        <v>510</v>
      </c>
      <c r="L3728">
        <f t="shared" si="1576"/>
        <v>485.5</v>
      </c>
      <c r="M3728">
        <f t="shared" si="1577"/>
        <v>24.5</v>
      </c>
      <c r="N3728">
        <f t="shared" si="1581"/>
        <v>49</v>
      </c>
      <c r="O3728">
        <f t="shared" si="1578"/>
        <v>491</v>
      </c>
      <c r="P3728">
        <f t="shared" si="1579"/>
        <v>0.22448979591836735</v>
      </c>
      <c r="Q3728" t="str">
        <f t="shared" si="1582"/>
        <v>6.11% | 3.87%</v>
      </c>
      <c r="R3728" t="str">
        <f t="shared" si="1580"/>
        <v>NEUTRAL</v>
      </c>
      <c r="S3728">
        <f t="shared" si="1583"/>
        <v>0</v>
      </c>
    </row>
    <row r="3729" spans="1:19" x14ac:dyDescent="0.25">
      <c r="A3729" s="5" t="str">
        <f t="shared" si="1584"/>
        <v>44062TSLA</v>
      </c>
      <c r="B3729" s="6" t="s">
        <v>189</v>
      </c>
      <c r="C3729" s="6">
        <v>1577</v>
      </c>
      <c r="D3729" s="6">
        <v>1927</v>
      </c>
      <c r="E3729" s="6">
        <v>1887</v>
      </c>
      <c r="F3729" t="str">
        <f t="shared" si="1570"/>
        <v>WED</v>
      </c>
      <c r="G3729" s="1">
        <f t="shared" si="1571"/>
        <v>44062</v>
      </c>
      <c r="H3729" s="2">
        <f t="shared" ca="1" si="1572"/>
        <v>191</v>
      </c>
      <c r="I3729" t="str">
        <f t="shared" si="1573"/>
        <v>TSLA</v>
      </c>
      <c r="J3729">
        <f t="shared" si="1574"/>
        <v>1577</v>
      </c>
      <c r="K3729">
        <f t="shared" si="1575"/>
        <v>1927</v>
      </c>
      <c r="L3729">
        <f t="shared" si="1576"/>
        <v>1752</v>
      </c>
      <c r="M3729">
        <f t="shared" si="1577"/>
        <v>175</v>
      </c>
      <c r="N3729">
        <f t="shared" si="1581"/>
        <v>350</v>
      </c>
      <c r="O3729">
        <f t="shared" si="1578"/>
        <v>1887</v>
      </c>
      <c r="P3729">
        <f t="shared" si="1579"/>
        <v>0.77142857142857146</v>
      </c>
      <c r="Q3729" t="str">
        <f t="shared" si="1582"/>
        <v>16.43% | 2.12%</v>
      </c>
      <c r="R3729" t="str">
        <f t="shared" si="1580"/>
        <v>BULLISH</v>
      </c>
      <c r="S3729">
        <f t="shared" si="1583"/>
        <v>1</v>
      </c>
    </row>
    <row r="3730" spans="1:19" hidden="1" x14ac:dyDescent="0.25">
      <c r="A3730" s="5" t="str">
        <f t="shared" si="1584"/>
        <v>44062NYXBT</v>
      </c>
      <c r="B3730" s="6" t="s">
        <v>190</v>
      </c>
      <c r="C3730" s="6">
        <v>11420</v>
      </c>
      <c r="D3730" s="6">
        <v>12150</v>
      </c>
      <c r="E3730" s="6">
        <v>11920</v>
      </c>
      <c r="F3730" t="str">
        <f t="shared" si="1570"/>
        <v>WED</v>
      </c>
      <c r="G3730" s="1">
        <f t="shared" si="1571"/>
        <v>44062</v>
      </c>
      <c r="H3730" s="2">
        <f t="shared" ca="1" si="1572"/>
        <v>191</v>
      </c>
      <c r="I3730" t="str">
        <f t="shared" si="1573"/>
        <v>NYXBT</v>
      </c>
      <c r="J3730">
        <f t="shared" si="1574"/>
        <v>11420</v>
      </c>
      <c r="K3730">
        <f t="shared" si="1575"/>
        <v>12150</v>
      </c>
      <c r="L3730">
        <f t="shared" si="1576"/>
        <v>11785</v>
      </c>
      <c r="M3730">
        <f t="shared" si="1577"/>
        <v>365</v>
      </c>
      <c r="N3730">
        <f t="shared" si="1581"/>
        <v>730</v>
      </c>
      <c r="O3730">
        <f t="shared" si="1578"/>
        <v>11920</v>
      </c>
      <c r="P3730">
        <f t="shared" si="1579"/>
        <v>0.36986301369863012</v>
      </c>
      <c r="Q3730" t="str">
        <f t="shared" si="1582"/>
        <v>4.19% | 1.93%</v>
      </c>
      <c r="R3730" t="str">
        <f t="shared" si="1580"/>
        <v>BULLISH</v>
      </c>
      <c r="S3730">
        <f t="shared" si="1583"/>
        <v>1</v>
      </c>
    </row>
    <row r="3731" spans="1:19" hidden="1" x14ac:dyDescent="0.25">
      <c r="A3731" s="5" t="str">
        <f t="shared" si="1584"/>
        <v>44063UST10Y</v>
      </c>
      <c r="B3731" s="6" t="s">
        <v>161</v>
      </c>
      <c r="C3731" s="6">
        <v>0.71</v>
      </c>
      <c r="D3731" s="6">
        <v>0.52</v>
      </c>
      <c r="E3731" s="6">
        <v>0.68</v>
      </c>
      <c r="F3731" t="str">
        <f t="shared" si="1570"/>
        <v>THU</v>
      </c>
      <c r="G3731" s="3">
        <f>DATE(2020,8,20)</f>
        <v>44063</v>
      </c>
      <c r="H3731" s="2">
        <f t="shared" ca="1" si="1572"/>
        <v>190</v>
      </c>
      <c r="I3731" t="str">
        <f t="shared" si="1573"/>
        <v>UST10Y</v>
      </c>
      <c r="J3731">
        <f t="shared" si="1574"/>
        <v>0.71</v>
      </c>
      <c r="K3731">
        <f t="shared" si="1575"/>
        <v>0.52</v>
      </c>
      <c r="L3731">
        <f t="shared" si="1576"/>
        <v>0.61499999999999999</v>
      </c>
      <c r="M3731">
        <f t="shared" si="1577"/>
        <v>9.5000000000000029E-2</v>
      </c>
      <c r="N3731">
        <f t="shared" si="1581"/>
        <v>0.18999999999999995</v>
      </c>
      <c r="O3731">
        <f t="shared" si="1578"/>
        <v>0.68</v>
      </c>
      <c r="P3731">
        <f t="shared" si="1579"/>
        <v>0.68421052631578982</v>
      </c>
      <c r="Q3731" t="str">
        <f t="shared" si="1582"/>
        <v>4.41% | 23.53%</v>
      </c>
      <c r="R3731" t="str">
        <f t="shared" si="1580"/>
        <v>BEARISH</v>
      </c>
      <c r="S3731">
        <f t="shared" si="1583"/>
        <v>-1</v>
      </c>
    </row>
    <row r="3732" spans="1:19" hidden="1" x14ac:dyDescent="0.25">
      <c r="A3732" s="5" t="str">
        <f t="shared" si="1584"/>
        <v>44063UST2Y</v>
      </c>
      <c r="B3732" s="6" t="s">
        <v>162</v>
      </c>
      <c r="C3732" s="6">
        <v>0.16</v>
      </c>
      <c r="D3732" s="6">
        <v>0.11</v>
      </c>
      <c r="E3732" s="6">
        <v>0.14000000000000001</v>
      </c>
      <c r="F3732" t="str">
        <f t="shared" ref="F3732:F3762" si="1585">UPPER(TEXT(G3732,"ddd"))</f>
        <v>THU</v>
      </c>
      <c r="G3732" s="3">
        <f t="shared" ref="G3732:G3761" si="1586">DATE(2020,8,20)</f>
        <v>44063</v>
      </c>
      <c r="H3732" s="2">
        <f t="shared" ref="H3732:H3762" ca="1" si="1587">TODAY()-G3732</f>
        <v>190</v>
      </c>
      <c r="I3732" t="str">
        <f t="shared" ref="I3732:I3762" si="1588">TRIM(LEFT(B3732,FIND(" ",B3732,1)))</f>
        <v>UST2Y</v>
      </c>
      <c r="J3732">
        <f t="shared" ref="J3732:J3762" si="1589">C3732</f>
        <v>0.16</v>
      </c>
      <c r="K3732">
        <f t="shared" ref="K3732:K3762" si="1590">D3732</f>
        <v>0.11</v>
      </c>
      <c r="L3732">
        <f t="shared" ref="L3732:L3762" si="1591">AVERAGE(J3732:K3732)</f>
        <v>0.13500000000000001</v>
      </c>
      <c r="M3732">
        <f t="shared" ref="M3732:M3762" si="1592">_xlfn.STDEV.P(J3732:K3732)</f>
        <v>2.4999999999999942E-2</v>
      </c>
      <c r="N3732">
        <f t="shared" si="1581"/>
        <v>0.05</v>
      </c>
      <c r="O3732">
        <f t="shared" ref="O3732:O3762" si="1593">E3732</f>
        <v>0.14000000000000001</v>
      </c>
      <c r="P3732">
        <f t="shared" ref="P3732:P3762" si="1594">(O3732-L3732)/M3732</f>
        <v>0.20000000000000065</v>
      </c>
      <c r="Q3732" t="str">
        <f t="shared" si="1582"/>
        <v>14.29% | 21.43%</v>
      </c>
      <c r="R3732" t="str">
        <f t="shared" ref="R3732:R3762" si="1595">MID(B3732,FIND("(",B3732,1)+1,FIND(")",B3732,1)-FIND("(",B3732,1)-1)</f>
        <v>BEARISH</v>
      </c>
      <c r="S3732">
        <f t="shared" si="1583"/>
        <v>-1</v>
      </c>
    </row>
    <row r="3733" spans="1:19" hidden="1" x14ac:dyDescent="0.25">
      <c r="A3733" s="5" t="str">
        <f t="shared" si="1584"/>
        <v>44063SPX</v>
      </c>
      <c r="B3733" s="6" t="s">
        <v>191</v>
      </c>
      <c r="C3733" s="6">
        <v>3325</v>
      </c>
      <c r="D3733" s="6">
        <v>3402</v>
      </c>
      <c r="E3733" s="6">
        <v>3374</v>
      </c>
      <c r="F3733" t="str">
        <f t="shared" si="1585"/>
        <v>THU</v>
      </c>
      <c r="G3733" s="3">
        <f t="shared" si="1586"/>
        <v>44063</v>
      </c>
      <c r="H3733" s="2">
        <f t="shared" ca="1" si="1587"/>
        <v>190</v>
      </c>
      <c r="I3733" t="str">
        <f t="shared" si="1588"/>
        <v>SPX</v>
      </c>
      <c r="J3733">
        <f t="shared" si="1589"/>
        <v>3325</v>
      </c>
      <c r="K3733">
        <f t="shared" si="1590"/>
        <v>3402</v>
      </c>
      <c r="L3733">
        <f t="shared" si="1591"/>
        <v>3363.5</v>
      </c>
      <c r="M3733">
        <f t="shared" si="1592"/>
        <v>38.5</v>
      </c>
      <c r="N3733">
        <f t="shared" si="1581"/>
        <v>77</v>
      </c>
      <c r="O3733">
        <f t="shared" si="1593"/>
        <v>3374</v>
      </c>
      <c r="P3733">
        <f t="shared" si="1594"/>
        <v>0.27272727272727271</v>
      </c>
      <c r="Q3733" t="str">
        <f t="shared" si="1582"/>
        <v>1.45% | 0.83%</v>
      </c>
      <c r="R3733" t="str">
        <f t="shared" si="1595"/>
        <v>BULLISH</v>
      </c>
      <c r="S3733">
        <f t="shared" si="1583"/>
        <v>1</v>
      </c>
    </row>
    <row r="3734" spans="1:19" hidden="1" x14ac:dyDescent="0.25">
      <c r="A3734" s="5" t="str">
        <f t="shared" si="1584"/>
        <v>44063RUT</v>
      </c>
      <c r="B3734" s="6" t="s">
        <v>164</v>
      </c>
      <c r="C3734" s="6">
        <v>1524</v>
      </c>
      <c r="D3734" s="6">
        <v>1591</v>
      </c>
      <c r="E3734" s="6">
        <v>1572</v>
      </c>
      <c r="F3734" t="str">
        <f t="shared" si="1585"/>
        <v>THU</v>
      </c>
      <c r="G3734" s="3">
        <f t="shared" si="1586"/>
        <v>44063</v>
      </c>
      <c r="H3734" s="2">
        <f t="shared" ca="1" si="1587"/>
        <v>190</v>
      </c>
      <c r="I3734" t="str">
        <f t="shared" si="1588"/>
        <v>RUT</v>
      </c>
      <c r="J3734">
        <f t="shared" si="1589"/>
        <v>1524</v>
      </c>
      <c r="K3734">
        <f t="shared" si="1590"/>
        <v>1591</v>
      </c>
      <c r="L3734">
        <f t="shared" si="1591"/>
        <v>1557.5</v>
      </c>
      <c r="M3734">
        <f t="shared" si="1592"/>
        <v>33.5</v>
      </c>
      <c r="N3734">
        <f t="shared" si="1581"/>
        <v>67</v>
      </c>
      <c r="O3734">
        <f t="shared" si="1593"/>
        <v>1572</v>
      </c>
      <c r="P3734">
        <f t="shared" si="1594"/>
        <v>0.43283582089552236</v>
      </c>
      <c r="Q3734" t="str">
        <f t="shared" si="1582"/>
        <v>3.05% | 1.21%</v>
      </c>
      <c r="R3734" t="str">
        <f t="shared" si="1595"/>
        <v>BEARISH</v>
      </c>
      <c r="S3734">
        <f t="shared" si="1583"/>
        <v>-1</v>
      </c>
    </row>
    <row r="3735" spans="1:19" hidden="1" x14ac:dyDescent="0.25">
      <c r="A3735" s="5" t="str">
        <f t="shared" si="1584"/>
        <v>44063COMPQ</v>
      </c>
      <c r="B3735" s="6" t="s">
        <v>165</v>
      </c>
      <c r="C3735" s="6">
        <v>10801</v>
      </c>
      <c r="D3735" s="6">
        <v>11278</v>
      </c>
      <c r="E3735" s="6">
        <v>11146</v>
      </c>
      <c r="F3735" t="str">
        <f t="shared" si="1585"/>
        <v>THU</v>
      </c>
      <c r="G3735" s="3">
        <f t="shared" si="1586"/>
        <v>44063</v>
      </c>
      <c r="H3735" s="2">
        <f t="shared" ca="1" si="1587"/>
        <v>190</v>
      </c>
      <c r="I3735" t="str">
        <f t="shared" si="1588"/>
        <v>COMPQ</v>
      </c>
      <c r="J3735">
        <f t="shared" si="1589"/>
        <v>10801</v>
      </c>
      <c r="K3735">
        <f t="shared" si="1590"/>
        <v>11278</v>
      </c>
      <c r="L3735">
        <f t="shared" si="1591"/>
        <v>11039.5</v>
      </c>
      <c r="M3735">
        <f t="shared" si="1592"/>
        <v>238.5</v>
      </c>
      <c r="N3735">
        <f t="shared" si="1581"/>
        <v>477</v>
      </c>
      <c r="O3735">
        <f t="shared" si="1593"/>
        <v>11146</v>
      </c>
      <c r="P3735">
        <f t="shared" si="1594"/>
        <v>0.44654088050314467</v>
      </c>
      <c r="Q3735" t="str">
        <f t="shared" si="1582"/>
        <v>3.1% | 1.18%</v>
      </c>
      <c r="R3735" t="str">
        <f t="shared" si="1595"/>
        <v>BULLISH</v>
      </c>
      <c r="S3735">
        <f t="shared" si="1583"/>
        <v>1</v>
      </c>
    </row>
    <row r="3736" spans="1:19" hidden="1" x14ac:dyDescent="0.25">
      <c r="A3736" s="5" t="str">
        <f t="shared" si="1584"/>
        <v>44063XLK</v>
      </c>
      <c r="B3736" s="6" t="s">
        <v>166</v>
      </c>
      <c r="C3736" s="6">
        <v>111.12</v>
      </c>
      <c r="D3736" s="6">
        <v>115.99</v>
      </c>
      <c r="E3736" s="6">
        <v>114.93</v>
      </c>
      <c r="F3736" t="str">
        <f t="shared" si="1585"/>
        <v>THU</v>
      </c>
      <c r="G3736" s="3">
        <f t="shared" si="1586"/>
        <v>44063</v>
      </c>
      <c r="H3736" s="2">
        <f t="shared" ca="1" si="1587"/>
        <v>190</v>
      </c>
      <c r="I3736" t="str">
        <f t="shared" si="1588"/>
        <v>XLK</v>
      </c>
      <c r="J3736">
        <f t="shared" si="1589"/>
        <v>111.12</v>
      </c>
      <c r="K3736">
        <f t="shared" si="1590"/>
        <v>115.99</v>
      </c>
      <c r="L3736">
        <f t="shared" si="1591"/>
        <v>113.55500000000001</v>
      </c>
      <c r="M3736">
        <f t="shared" si="1592"/>
        <v>2.4349999999999952</v>
      </c>
      <c r="N3736">
        <f t="shared" si="1581"/>
        <v>4.8699999999999903</v>
      </c>
      <c r="O3736">
        <f t="shared" si="1593"/>
        <v>114.93</v>
      </c>
      <c r="P3736">
        <f t="shared" si="1594"/>
        <v>0.56468172484599699</v>
      </c>
      <c r="Q3736" t="str">
        <f t="shared" si="1582"/>
        <v>3.32% | 0.92%</v>
      </c>
      <c r="R3736" t="str">
        <f t="shared" si="1595"/>
        <v>BULLISH</v>
      </c>
      <c r="S3736">
        <f t="shared" si="1583"/>
        <v>1</v>
      </c>
    </row>
    <row r="3737" spans="1:19" hidden="1" x14ac:dyDescent="0.25">
      <c r="A3737" s="5" t="str">
        <f t="shared" si="1584"/>
        <v>44063XLRE</v>
      </c>
      <c r="B3737" s="6" t="s">
        <v>167</v>
      </c>
      <c r="C3737" s="6">
        <v>35.119999999999997</v>
      </c>
      <c r="D3737" s="6">
        <v>36.75</v>
      </c>
      <c r="E3737" s="6">
        <v>35.4</v>
      </c>
      <c r="F3737" t="str">
        <f t="shared" si="1585"/>
        <v>THU</v>
      </c>
      <c r="G3737" s="3">
        <f t="shared" si="1586"/>
        <v>44063</v>
      </c>
      <c r="H3737" s="2">
        <f t="shared" ca="1" si="1587"/>
        <v>190</v>
      </c>
      <c r="I3737" t="str">
        <f t="shared" si="1588"/>
        <v>XLRE</v>
      </c>
      <c r="J3737">
        <f t="shared" si="1589"/>
        <v>35.119999999999997</v>
      </c>
      <c r="K3737">
        <f t="shared" si="1590"/>
        <v>36.75</v>
      </c>
      <c r="L3737">
        <f t="shared" si="1591"/>
        <v>35.935000000000002</v>
      </c>
      <c r="M3737">
        <f t="shared" si="1592"/>
        <v>0.81500000000000128</v>
      </c>
      <c r="N3737">
        <f t="shared" si="1581"/>
        <v>1.6300000000000026</v>
      </c>
      <c r="O3737">
        <f t="shared" si="1593"/>
        <v>35.4</v>
      </c>
      <c r="P3737">
        <f t="shared" si="1594"/>
        <v>-0.65644171779141458</v>
      </c>
      <c r="Q3737" t="str">
        <f t="shared" si="1582"/>
        <v>0.79% | 3.81%</v>
      </c>
      <c r="R3737" t="str">
        <f t="shared" si="1595"/>
        <v>BULLISH</v>
      </c>
      <c r="S3737">
        <f t="shared" si="1583"/>
        <v>1</v>
      </c>
    </row>
    <row r="3738" spans="1:19" hidden="1" x14ac:dyDescent="0.25">
      <c r="A3738" s="5" t="str">
        <f t="shared" si="1584"/>
        <v>44063XLU</v>
      </c>
      <c r="B3738" s="6" t="s">
        <v>168</v>
      </c>
      <c r="C3738" s="6">
        <v>59.45</v>
      </c>
      <c r="D3738" s="6">
        <v>61.88</v>
      </c>
      <c r="E3738" s="6">
        <v>59.85</v>
      </c>
      <c r="F3738" t="str">
        <f t="shared" si="1585"/>
        <v>THU</v>
      </c>
      <c r="G3738" s="3">
        <f t="shared" si="1586"/>
        <v>44063</v>
      </c>
      <c r="H3738" s="2">
        <f t="shared" ca="1" si="1587"/>
        <v>190</v>
      </c>
      <c r="I3738" t="str">
        <f t="shared" si="1588"/>
        <v>XLU</v>
      </c>
      <c r="J3738">
        <f t="shared" si="1589"/>
        <v>59.45</v>
      </c>
      <c r="K3738">
        <f t="shared" si="1590"/>
        <v>61.88</v>
      </c>
      <c r="L3738">
        <f t="shared" si="1591"/>
        <v>60.665000000000006</v>
      </c>
      <c r="M3738">
        <f t="shared" si="1592"/>
        <v>1.2149999999999999</v>
      </c>
      <c r="N3738">
        <f t="shared" si="1581"/>
        <v>2.4299999999999997</v>
      </c>
      <c r="O3738">
        <f t="shared" si="1593"/>
        <v>59.85</v>
      </c>
      <c r="P3738">
        <f t="shared" si="1594"/>
        <v>-0.67078189300411928</v>
      </c>
      <c r="Q3738" t="str">
        <f t="shared" si="1582"/>
        <v>0.67% | 3.39%</v>
      </c>
      <c r="R3738" t="str">
        <f t="shared" si="1595"/>
        <v>BULLISH</v>
      </c>
      <c r="S3738">
        <f t="shared" si="1583"/>
        <v>1</v>
      </c>
    </row>
    <row r="3739" spans="1:19" hidden="1" x14ac:dyDescent="0.25">
      <c r="A3739" s="5" t="str">
        <f t="shared" si="1584"/>
        <v>44063XLF</v>
      </c>
      <c r="B3739" s="6" t="s">
        <v>169</v>
      </c>
      <c r="C3739" s="6">
        <v>23.99</v>
      </c>
      <c r="D3739" s="6">
        <v>25.51</v>
      </c>
      <c r="E3739" s="6">
        <v>24.59</v>
      </c>
      <c r="F3739" t="str">
        <f t="shared" si="1585"/>
        <v>THU</v>
      </c>
      <c r="G3739" s="3">
        <f t="shared" si="1586"/>
        <v>44063</v>
      </c>
      <c r="H3739" s="2">
        <f t="shared" ca="1" si="1587"/>
        <v>190</v>
      </c>
      <c r="I3739" t="str">
        <f t="shared" si="1588"/>
        <v>XLF</v>
      </c>
      <c r="J3739">
        <f t="shared" si="1589"/>
        <v>23.99</v>
      </c>
      <c r="K3739">
        <f t="shared" si="1590"/>
        <v>25.51</v>
      </c>
      <c r="L3739">
        <f t="shared" si="1591"/>
        <v>24.75</v>
      </c>
      <c r="M3739">
        <f t="shared" si="1592"/>
        <v>0.76000000000000156</v>
      </c>
      <c r="N3739">
        <f t="shared" si="1581"/>
        <v>1.5200000000000031</v>
      </c>
      <c r="O3739">
        <f t="shared" si="1593"/>
        <v>24.59</v>
      </c>
      <c r="P3739">
        <f t="shared" si="1594"/>
        <v>-0.21052631578947345</v>
      </c>
      <c r="Q3739" t="str">
        <f t="shared" si="1582"/>
        <v>2.44% | 3.74%</v>
      </c>
      <c r="R3739" t="str">
        <f t="shared" si="1595"/>
        <v>BEARISH</v>
      </c>
      <c r="S3739">
        <f t="shared" si="1583"/>
        <v>-1</v>
      </c>
    </row>
    <row r="3740" spans="1:19" hidden="1" x14ac:dyDescent="0.25">
      <c r="A3740" s="5" t="str">
        <f t="shared" si="1584"/>
        <v>44063SSEC</v>
      </c>
      <c r="B3740" s="6" t="s">
        <v>170</v>
      </c>
      <c r="C3740" s="6">
        <v>3280</v>
      </c>
      <c r="D3740" s="6">
        <v>3476</v>
      </c>
      <c r="E3740" s="6">
        <v>3363</v>
      </c>
      <c r="F3740" t="str">
        <f t="shared" si="1585"/>
        <v>THU</v>
      </c>
      <c r="G3740" s="3">
        <f t="shared" si="1586"/>
        <v>44063</v>
      </c>
      <c r="H3740" s="2">
        <f t="shared" ca="1" si="1587"/>
        <v>190</v>
      </c>
      <c r="I3740" t="str">
        <f t="shared" si="1588"/>
        <v>SSEC</v>
      </c>
      <c r="J3740">
        <f t="shared" si="1589"/>
        <v>3280</v>
      </c>
      <c r="K3740">
        <f t="shared" si="1590"/>
        <v>3476</v>
      </c>
      <c r="L3740">
        <f t="shared" si="1591"/>
        <v>3378</v>
      </c>
      <c r="M3740">
        <f t="shared" si="1592"/>
        <v>98</v>
      </c>
      <c r="N3740">
        <f t="shared" si="1581"/>
        <v>196</v>
      </c>
      <c r="O3740">
        <f t="shared" si="1593"/>
        <v>3363</v>
      </c>
      <c r="P3740">
        <f t="shared" si="1594"/>
        <v>-0.15306122448979592</v>
      </c>
      <c r="Q3740" t="str">
        <f t="shared" si="1582"/>
        <v>2.47% | 3.36%</v>
      </c>
      <c r="R3740" t="str">
        <f t="shared" si="1595"/>
        <v>BULLISH</v>
      </c>
      <c r="S3740">
        <f t="shared" si="1583"/>
        <v>1</v>
      </c>
    </row>
    <row r="3741" spans="1:19" hidden="1" x14ac:dyDescent="0.25">
      <c r="A3741" s="5" t="str">
        <f t="shared" si="1584"/>
        <v>44063NIKK</v>
      </c>
      <c r="B3741" s="6" t="s">
        <v>171</v>
      </c>
      <c r="C3741" s="6">
        <v>22240</v>
      </c>
      <c r="D3741" s="6">
        <v>23561</v>
      </c>
      <c r="E3741" s="6">
        <v>22880</v>
      </c>
      <c r="F3741" t="str">
        <f t="shared" si="1585"/>
        <v>THU</v>
      </c>
      <c r="G3741" s="3">
        <f t="shared" si="1586"/>
        <v>44063</v>
      </c>
      <c r="H3741" s="2">
        <f t="shared" ca="1" si="1587"/>
        <v>190</v>
      </c>
      <c r="I3741" t="str">
        <f t="shared" si="1588"/>
        <v>NIKK</v>
      </c>
      <c r="J3741">
        <f t="shared" si="1589"/>
        <v>22240</v>
      </c>
      <c r="K3741">
        <f t="shared" si="1590"/>
        <v>23561</v>
      </c>
      <c r="L3741">
        <f t="shared" si="1591"/>
        <v>22900.5</v>
      </c>
      <c r="M3741">
        <f t="shared" si="1592"/>
        <v>660.5</v>
      </c>
      <c r="N3741">
        <f t="shared" si="1581"/>
        <v>1321</v>
      </c>
      <c r="O3741">
        <f t="shared" si="1593"/>
        <v>22880</v>
      </c>
      <c r="P3741">
        <f t="shared" si="1594"/>
        <v>-3.1037093111279335E-2</v>
      </c>
      <c r="Q3741" t="str">
        <f t="shared" si="1582"/>
        <v>2.8% | 2.98%</v>
      </c>
      <c r="R3741" t="str">
        <f t="shared" si="1595"/>
        <v>NEUTRAL</v>
      </c>
      <c r="S3741">
        <f t="shared" si="1583"/>
        <v>0</v>
      </c>
    </row>
    <row r="3742" spans="1:19" hidden="1" x14ac:dyDescent="0.25">
      <c r="A3742" s="5" t="str">
        <f t="shared" si="1584"/>
        <v>44063DAX</v>
      </c>
      <c r="B3742" s="6" t="s">
        <v>198</v>
      </c>
      <c r="C3742" s="6">
        <v>12605</v>
      </c>
      <c r="D3742" s="6">
        <v>13131</v>
      </c>
      <c r="E3742" s="6">
        <v>12977</v>
      </c>
      <c r="F3742" t="str">
        <f t="shared" si="1585"/>
        <v>THU</v>
      </c>
      <c r="G3742" s="3">
        <f t="shared" si="1586"/>
        <v>44063</v>
      </c>
      <c r="H3742" s="2">
        <f t="shared" ca="1" si="1587"/>
        <v>190</v>
      </c>
      <c r="I3742" t="str">
        <f t="shared" si="1588"/>
        <v>DAX</v>
      </c>
      <c r="J3742">
        <f t="shared" si="1589"/>
        <v>12605</v>
      </c>
      <c r="K3742">
        <f t="shared" si="1590"/>
        <v>13131</v>
      </c>
      <c r="L3742">
        <f t="shared" si="1591"/>
        <v>12868</v>
      </c>
      <c r="M3742">
        <f t="shared" si="1592"/>
        <v>263</v>
      </c>
      <c r="N3742">
        <f t="shared" si="1581"/>
        <v>526</v>
      </c>
      <c r="O3742">
        <f t="shared" si="1593"/>
        <v>12977</v>
      </c>
      <c r="P3742">
        <f t="shared" si="1594"/>
        <v>0.4144486692015209</v>
      </c>
      <c r="Q3742" t="str">
        <f t="shared" si="1582"/>
        <v>2.87% | 1.19%</v>
      </c>
      <c r="R3742" t="str">
        <f t="shared" si="1595"/>
        <v>NEUTRAL</v>
      </c>
      <c r="S3742">
        <f t="shared" si="1583"/>
        <v>0</v>
      </c>
    </row>
    <row r="3743" spans="1:19" hidden="1" x14ac:dyDescent="0.25">
      <c r="A3743" s="5" t="str">
        <f t="shared" si="1584"/>
        <v>44063VIX</v>
      </c>
      <c r="B3743" s="6" t="s">
        <v>192</v>
      </c>
      <c r="C3743" s="6">
        <v>20.71</v>
      </c>
      <c r="D3743" s="6">
        <v>28.35</v>
      </c>
      <c r="E3743" s="6">
        <v>22.54</v>
      </c>
      <c r="F3743" t="str">
        <f t="shared" si="1585"/>
        <v>THU</v>
      </c>
      <c r="G3743" s="3">
        <f t="shared" si="1586"/>
        <v>44063</v>
      </c>
      <c r="H3743" s="2">
        <f t="shared" ca="1" si="1587"/>
        <v>190</v>
      </c>
      <c r="I3743" t="str">
        <f t="shared" si="1588"/>
        <v>VIX</v>
      </c>
      <c r="J3743">
        <f t="shared" si="1589"/>
        <v>20.71</v>
      </c>
      <c r="K3743">
        <f t="shared" si="1590"/>
        <v>28.35</v>
      </c>
      <c r="L3743">
        <f t="shared" si="1591"/>
        <v>24.53</v>
      </c>
      <c r="M3743">
        <f t="shared" si="1592"/>
        <v>3.82</v>
      </c>
      <c r="N3743">
        <f t="shared" si="1581"/>
        <v>7.6400000000000006</v>
      </c>
      <c r="O3743">
        <f t="shared" si="1593"/>
        <v>22.54</v>
      </c>
      <c r="P3743">
        <f t="shared" si="1594"/>
        <v>-0.52094240837696393</v>
      </c>
      <c r="Q3743" t="str">
        <f t="shared" si="1582"/>
        <v>8.12% | 25.78%</v>
      </c>
      <c r="R3743" t="str">
        <f t="shared" si="1595"/>
        <v>BEARISH</v>
      </c>
      <c r="S3743">
        <f t="shared" si="1583"/>
        <v>-1</v>
      </c>
    </row>
    <row r="3744" spans="1:19" hidden="1" x14ac:dyDescent="0.25">
      <c r="A3744" s="5" t="str">
        <f t="shared" si="1584"/>
        <v>44063USD</v>
      </c>
      <c r="B3744" s="6" t="s">
        <v>174</v>
      </c>
      <c r="C3744" s="6">
        <v>92.25</v>
      </c>
      <c r="D3744" s="6">
        <v>93.98</v>
      </c>
      <c r="E3744" s="6">
        <v>92.91</v>
      </c>
      <c r="F3744" t="str">
        <f t="shared" si="1585"/>
        <v>THU</v>
      </c>
      <c r="G3744" s="3">
        <f t="shared" si="1586"/>
        <v>44063</v>
      </c>
      <c r="H3744" s="2">
        <f t="shared" ca="1" si="1587"/>
        <v>190</v>
      </c>
      <c r="I3744" t="str">
        <f t="shared" si="1588"/>
        <v>USD</v>
      </c>
      <c r="J3744">
        <f t="shared" si="1589"/>
        <v>92.25</v>
      </c>
      <c r="K3744">
        <f t="shared" si="1590"/>
        <v>93.98</v>
      </c>
      <c r="L3744">
        <f t="shared" si="1591"/>
        <v>93.115000000000009</v>
      </c>
      <c r="M3744">
        <f t="shared" si="1592"/>
        <v>0.86500000000000199</v>
      </c>
      <c r="N3744">
        <f t="shared" si="1581"/>
        <v>1.730000000000004</v>
      </c>
      <c r="O3744">
        <f t="shared" si="1593"/>
        <v>92.91</v>
      </c>
      <c r="P3744">
        <f t="shared" si="1594"/>
        <v>-0.23699421965319312</v>
      </c>
      <c r="Q3744" t="str">
        <f t="shared" si="1582"/>
        <v>0.71% | 1.15%</v>
      </c>
      <c r="R3744" t="str">
        <f t="shared" si="1595"/>
        <v>BEARISH</v>
      </c>
      <c r="S3744">
        <f t="shared" si="1583"/>
        <v>-1</v>
      </c>
    </row>
    <row r="3745" spans="1:19" hidden="1" x14ac:dyDescent="0.25">
      <c r="A3745" s="5" t="str">
        <f t="shared" si="1584"/>
        <v>44063EUR/USD</v>
      </c>
      <c r="B3745" s="6" t="s">
        <v>175</v>
      </c>
      <c r="C3745" s="6">
        <v>1.17</v>
      </c>
      <c r="D3745" s="6">
        <v>1.2</v>
      </c>
      <c r="E3745" s="6">
        <v>1.18</v>
      </c>
      <c r="F3745" t="str">
        <f t="shared" si="1585"/>
        <v>THU</v>
      </c>
      <c r="G3745" s="3">
        <f t="shared" si="1586"/>
        <v>44063</v>
      </c>
      <c r="H3745" s="2">
        <f t="shared" ca="1" si="1587"/>
        <v>190</v>
      </c>
      <c r="I3745" t="str">
        <f t="shared" si="1588"/>
        <v>EUR/USD</v>
      </c>
      <c r="J3745">
        <f t="shared" si="1589"/>
        <v>1.17</v>
      </c>
      <c r="K3745">
        <f t="shared" si="1590"/>
        <v>1.2</v>
      </c>
      <c r="L3745">
        <f t="shared" si="1591"/>
        <v>1.1850000000000001</v>
      </c>
      <c r="M3745">
        <f t="shared" si="1592"/>
        <v>1.5000000000000013E-2</v>
      </c>
      <c r="N3745">
        <f t="shared" si="1581"/>
        <v>3.0000000000000027E-2</v>
      </c>
      <c r="O3745">
        <f t="shared" si="1593"/>
        <v>1.18</v>
      </c>
      <c r="P3745">
        <f t="shared" si="1594"/>
        <v>-0.33333333333334075</v>
      </c>
      <c r="Q3745" t="str">
        <f t="shared" si="1582"/>
        <v>0.85% | 1.69%</v>
      </c>
      <c r="R3745" t="str">
        <f t="shared" si="1595"/>
        <v>BULLISH</v>
      </c>
      <c r="S3745">
        <f t="shared" si="1583"/>
        <v>1</v>
      </c>
    </row>
    <row r="3746" spans="1:19" hidden="1" x14ac:dyDescent="0.25">
      <c r="A3746" s="5" t="str">
        <f t="shared" si="1584"/>
        <v>44063USD/JPY</v>
      </c>
      <c r="B3746" s="6" t="s">
        <v>176</v>
      </c>
      <c r="C3746" s="6">
        <v>105.14</v>
      </c>
      <c r="D3746" s="6">
        <v>107.31</v>
      </c>
      <c r="E3746" s="6">
        <v>106.14</v>
      </c>
      <c r="F3746" t="str">
        <f t="shared" si="1585"/>
        <v>THU</v>
      </c>
      <c r="G3746" s="3">
        <f t="shared" si="1586"/>
        <v>44063</v>
      </c>
      <c r="H3746" s="2">
        <f t="shared" ca="1" si="1587"/>
        <v>190</v>
      </c>
      <c r="I3746" t="str">
        <f t="shared" si="1588"/>
        <v>USD/JPY</v>
      </c>
      <c r="J3746">
        <f t="shared" si="1589"/>
        <v>105.14</v>
      </c>
      <c r="K3746">
        <f t="shared" si="1590"/>
        <v>107.31</v>
      </c>
      <c r="L3746">
        <f t="shared" si="1591"/>
        <v>106.22499999999999</v>
      </c>
      <c r="M3746">
        <f t="shared" si="1592"/>
        <v>1.0850000000000009</v>
      </c>
      <c r="N3746">
        <f t="shared" si="1581"/>
        <v>2.1700000000000017</v>
      </c>
      <c r="O3746">
        <f t="shared" si="1593"/>
        <v>106.14</v>
      </c>
      <c r="P3746">
        <f t="shared" si="1594"/>
        <v>-7.8341013824878972E-2</v>
      </c>
      <c r="Q3746" t="str">
        <f t="shared" si="1582"/>
        <v>0.94% | 1.1%</v>
      </c>
      <c r="R3746" t="str">
        <f t="shared" si="1595"/>
        <v>BEARISH</v>
      </c>
      <c r="S3746">
        <f t="shared" si="1583"/>
        <v>-1</v>
      </c>
    </row>
    <row r="3747" spans="1:19" hidden="1" x14ac:dyDescent="0.25">
      <c r="A3747" s="5" t="str">
        <f t="shared" si="1584"/>
        <v>44063GBP/USD</v>
      </c>
      <c r="B3747" s="6" t="s">
        <v>177</v>
      </c>
      <c r="C3747" s="6">
        <v>1.3</v>
      </c>
      <c r="D3747" s="6">
        <v>1.32</v>
      </c>
      <c r="E3747" s="6">
        <v>1.31</v>
      </c>
      <c r="F3747" t="str">
        <f t="shared" si="1585"/>
        <v>THU</v>
      </c>
      <c r="G3747" s="3">
        <f t="shared" si="1586"/>
        <v>44063</v>
      </c>
      <c r="H3747" s="2">
        <f t="shared" ca="1" si="1587"/>
        <v>190</v>
      </c>
      <c r="I3747" t="str">
        <f t="shared" si="1588"/>
        <v>GBP/USD</v>
      </c>
      <c r="J3747">
        <f t="shared" si="1589"/>
        <v>1.3</v>
      </c>
      <c r="K3747">
        <f t="shared" si="1590"/>
        <v>1.32</v>
      </c>
      <c r="L3747">
        <f t="shared" si="1591"/>
        <v>1.31</v>
      </c>
      <c r="M3747">
        <f t="shared" si="1592"/>
        <v>1.0000000000000009E-2</v>
      </c>
      <c r="N3747">
        <f t="shared" si="1581"/>
        <v>2.0000000000000018E-2</v>
      </c>
      <c r="O3747">
        <f t="shared" si="1593"/>
        <v>1.31</v>
      </c>
      <c r="P3747">
        <f t="shared" si="1594"/>
        <v>0</v>
      </c>
      <c r="Q3747" t="str">
        <f t="shared" si="1582"/>
        <v>0.76% | 0.76%</v>
      </c>
      <c r="R3747" t="str">
        <f t="shared" si="1595"/>
        <v>BULLISH</v>
      </c>
      <c r="S3747">
        <f t="shared" si="1583"/>
        <v>1</v>
      </c>
    </row>
    <row r="3748" spans="1:19" hidden="1" x14ac:dyDescent="0.25">
      <c r="A3748" s="5" t="str">
        <f t="shared" si="1584"/>
        <v>44063USD/CHF</v>
      </c>
      <c r="B3748" s="6" t="s">
        <v>178</v>
      </c>
      <c r="C3748" s="6">
        <v>0.9</v>
      </c>
      <c r="D3748" s="6">
        <v>0.92</v>
      </c>
      <c r="E3748" s="6">
        <v>0.91</v>
      </c>
      <c r="F3748" t="str">
        <f t="shared" si="1585"/>
        <v>THU</v>
      </c>
      <c r="G3748" s="3">
        <f t="shared" si="1586"/>
        <v>44063</v>
      </c>
      <c r="H3748" s="2">
        <f t="shared" ca="1" si="1587"/>
        <v>190</v>
      </c>
      <c r="I3748" t="str">
        <f t="shared" si="1588"/>
        <v>USD/CHF</v>
      </c>
      <c r="J3748">
        <f t="shared" si="1589"/>
        <v>0.9</v>
      </c>
      <c r="K3748">
        <f t="shared" si="1590"/>
        <v>0.92</v>
      </c>
      <c r="L3748">
        <f t="shared" si="1591"/>
        <v>0.91</v>
      </c>
      <c r="M3748">
        <f t="shared" si="1592"/>
        <v>1.0000000000000009E-2</v>
      </c>
      <c r="N3748">
        <f t="shared" si="1581"/>
        <v>2.0000000000000018E-2</v>
      </c>
      <c r="O3748">
        <f t="shared" si="1593"/>
        <v>0.91</v>
      </c>
      <c r="P3748">
        <f t="shared" si="1594"/>
        <v>0</v>
      </c>
      <c r="Q3748" t="str">
        <f t="shared" si="1582"/>
        <v>1.1% | 1.1%</v>
      </c>
      <c r="R3748" t="str">
        <f t="shared" si="1595"/>
        <v>BEARISH</v>
      </c>
      <c r="S3748">
        <f t="shared" si="1583"/>
        <v>-1</v>
      </c>
    </row>
    <row r="3749" spans="1:19" hidden="1" x14ac:dyDescent="0.25">
      <c r="A3749" s="5" t="str">
        <f t="shared" si="1584"/>
        <v>44063WTIC</v>
      </c>
      <c r="B3749" s="6" t="s">
        <v>179</v>
      </c>
      <c r="C3749" s="6">
        <v>41.04</v>
      </c>
      <c r="D3749" s="6">
        <v>43.6</v>
      </c>
      <c r="E3749" s="6">
        <v>43.11</v>
      </c>
      <c r="F3749" t="str">
        <f t="shared" si="1585"/>
        <v>THU</v>
      </c>
      <c r="G3749" s="3">
        <f t="shared" si="1586"/>
        <v>44063</v>
      </c>
      <c r="H3749" s="2">
        <f t="shared" ca="1" si="1587"/>
        <v>190</v>
      </c>
      <c r="I3749" t="str">
        <f t="shared" si="1588"/>
        <v>WTIC</v>
      </c>
      <c r="J3749">
        <f t="shared" si="1589"/>
        <v>41.04</v>
      </c>
      <c r="K3749">
        <f t="shared" si="1590"/>
        <v>43.6</v>
      </c>
      <c r="L3749">
        <f t="shared" si="1591"/>
        <v>42.32</v>
      </c>
      <c r="M3749">
        <f t="shared" si="1592"/>
        <v>1.2800000000000011</v>
      </c>
      <c r="N3749">
        <f t="shared" si="1581"/>
        <v>2.5600000000000023</v>
      </c>
      <c r="O3749">
        <f t="shared" si="1593"/>
        <v>43.11</v>
      </c>
      <c r="P3749">
        <f t="shared" si="1594"/>
        <v>0.61718749999999878</v>
      </c>
      <c r="Q3749" t="str">
        <f t="shared" si="1582"/>
        <v>4.8% | 1.14%</v>
      </c>
      <c r="R3749" t="str">
        <f t="shared" si="1595"/>
        <v>BULLISH</v>
      </c>
      <c r="S3749">
        <f t="shared" si="1583"/>
        <v>1</v>
      </c>
    </row>
    <row r="3750" spans="1:19" hidden="1" x14ac:dyDescent="0.25">
      <c r="A3750" s="5" t="str">
        <f t="shared" si="1584"/>
        <v>44063NATGAS</v>
      </c>
      <c r="B3750" s="6" t="s">
        <v>180</v>
      </c>
      <c r="C3750" s="6">
        <v>2.0499999999999998</v>
      </c>
      <c r="D3750" s="6">
        <v>2.5</v>
      </c>
      <c r="E3750" s="6">
        <v>2.4300000000000002</v>
      </c>
      <c r="F3750" t="str">
        <f t="shared" si="1585"/>
        <v>THU</v>
      </c>
      <c r="G3750" s="3">
        <f t="shared" si="1586"/>
        <v>44063</v>
      </c>
      <c r="H3750" s="2">
        <f t="shared" ca="1" si="1587"/>
        <v>190</v>
      </c>
      <c r="I3750" t="str">
        <f t="shared" si="1588"/>
        <v>NATGAS</v>
      </c>
      <c r="J3750">
        <f t="shared" si="1589"/>
        <v>2.0499999999999998</v>
      </c>
      <c r="K3750">
        <f t="shared" si="1590"/>
        <v>2.5</v>
      </c>
      <c r="L3750">
        <f t="shared" si="1591"/>
        <v>2.2749999999999999</v>
      </c>
      <c r="M3750">
        <f t="shared" si="1592"/>
        <v>0.22500000000000009</v>
      </c>
      <c r="N3750">
        <f t="shared" si="1581"/>
        <v>0.45000000000000018</v>
      </c>
      <c r="O3750">
        <f t="shared" si="1593"/>
        <v>2.4300000000000002</v>
      </c>
      <c r="P3750">
        <f t="shared" si="1594"/>
        <v>0.68888888888888977</v>
      </c>
      <c r="Q3750" t="str">
        <f t="shared" si="1582"/>
        <v>15.64% | 2.88%</v>
      </c>
      <c r="R3750" t="str">
        <f t="shared" si="1595"/>
        <v>BULLISH</v>
      </c>
      <c r="S3750">
        <f t="shared" si="1583"/>
        <v>1</v>
      </c>
    </row>
    <row r="3751" spans="1:19" hidden="1" x14ac:dyDescent="0.25">
      <c r="A3751" s="5" t="str">
        <f t="shared" si="1584"/>
        <v>44063GOLD</v>
      </c>
      <c r="B3751" s="6" t="s">
        <v>181</v>
      </c>
      <c r="C3751" s="6">
        <v>1914</v>
      </c>
      <c r="D3751" s="6">
        <v>2055</v>
      </c>
      <c r="E3751" s="6">
        <v>1970</v>
      </c>
      <c r="F3751" t="str">
        <f t="shared" si="1585"/>
        <v>THU</v>
      </c>
      <c r="G3751" s="3">
        <f t="shared" si="1586"/>
        <v>44063</v>
      </c>
      <c r="H3751" s="2">
        <f t="shared" ca="1" si="1587"/>
        <v>190</v>
      </c>
      <c r="I3751" t="str">
        <f t="shared" si="1588"/>
        <v>GOLD</v>
      </c>
      <c r="J3751">
        <f t="shared" si="1589"/>
        <v>1914</v>
      </c>
      <c r="K3751">
        <f t="shared" si="1590"/>
        <v>2055</v>
      </c>
      <c r="L3751">
        <f t="shared" si="1591"/>
        <v>1984.5</v>
      </c>
      <c r="M3751">
        <f t="shared" si="1592"/>
        <v>70.5</v>
      </c>
      <c r="N3751">
        <f t="shared" si="1581"/>
        <v>141</v>
      </c>
      <c r="O3751">
        <f t="shared" si="1593"/>
        <v>1970</v>
      </c>
      <c r="P3751">
        <f t="shared" si="1594"/>
        <v>-0.20567375886524822</v>
      </c>
      <c r="Q3751" t="str">
        <f t="shared" si="1582"/>
        <v>2.84% | 4.31%</v>
      </c>
      <c r="R3751" t="str">
        <f t="shared" si="1595"/>
        <v>BULLISH</v>
      </c>
      <c r="S3751">
        <f t="shared" si="1583"/>
        <v>1</v>
      </c>
    </row>
    <row r="3752" spans="1:19" hidden="1" x14ac:dyDescent="0.25">
      <c r="A3752" s="5" t="str">
        <f t="shared" si="1584"/>
        <v>44063SILVER</v>
      </c>
      <c r="B3752" s="6" t="s">
        <v>199</v>
      </c>
      <c r="C3752" s="6">
        <v>25.06</v>
      </c>
      <c r="D3752" s="6">
        <v>29.47</v>
      </c>
      <c r="E3752" s="6">
        <v>27.34</v>
      </c>
      <c r="F3752" t="str">
        <f t="shared" si="1585"/>
        <v>THU</v>
      </c>
      <c r="G3752" s="3">
        <f t="shared" si="1586"/>
        <v>44063</v>
      </c>
      <c r="H3752" s="2">
        <f t="shared" ca="1" si="1587"/>
        <v>190</v>
      </c>
      <c r="I3752" t="str">
        <f t="shared" si="1588"/>
        <v>SILVER</v>
      </c>
      <c r="J3752">
        <f t="shared" si="1589"/>
        <v>25.06</v>
      </c>
      <c r="K3752">
        <f t="shared" si="1590"/>
        <v>29.47</v>
      </c>
      <c r="L3752">
        <f t="shared" si="1591"/>
        <v>27.265000000000001</v>
      </c>
      <c r="M3752">
        <f t="shared" si="1592"/>
        <v>2.2050000000000001</v>
      </c>
      <c r="N3752">
        <f t="shared" si="1581"/>
        <v>4.41</v>
      </c>
      <c r="O3752">
        <f t="shared" si="1593"/>
        <v>27.34</v>
      </c>
      <c r="P3752">
        <f t="shared" si="1594"/>
        <v>3.4013605442176548E-2</v>
      </c>
      <c r="Q3752" t="str">
        <f t="shared" si="1582"/>
        <v>8.34% | 7.79%</v>
      </c>
      <c r="R3752" t="str">
        <f t="shared" si="1595"/>
        <v>BULLISH</v>
      </c>
      <c r="S3752">
        <f t="shared" si="1583"/>
        <v>1</v>
      </c>
    </row>
    <row r="3753" spans="1:19" hidden="1" x14ac:dyDescent="0.25">
      <c r="A3753" s="5" t="str">
        <f t="shared" si="1584"/>
        <v>44063COPPER</v>
      </c>
      <c r="B3753" s="6" t="s">
        <v>182</v>
      </c>
      <c r="C3753" s="6">
        <v>2.85</v>
      </c>
      <c r="D3753" s="6">
        <v>3.03</v>
      </c>
      <c r="E3753" s="6">
        <v>3.02</v>
      </c>
      <c r="F3753" t="str">
        <f t="shared" si="1585"/>
        <v>THU</v>
      </c>
      <c r="G3753" s="3">
        <f t="shared" si="1586"/>
        <v>44063</v>
      </c>
      <c r="H3753" s="2">
        <f t="shared" ca="1" si="1587"/>
        <v>190</v>
      </c>
      <c r="I3753" t="str">
        <f t="shared" si="1588"/>
        <v>COPPER</v>
      </c>
      <c r="J3753">
        <f t="shared" si="1589"/>
        <v>2.85</v>
      </c>
      <c r="K3753">
        <f t="shared" si="1590"/>
        <v>3.03</v>
      </c>
      <c r="L3753">
        <f t="shared" si="1591"/>
        <v>2.94</v>
      </c>
      <c r="M3753">
        <f t="shared" si="1592"/>
        <v>8.9999999999999858E-2</v>
      </c>
      <c r="N3753">
        <f t="shared" si="1581"/>
        <v>0.17999999999999972</v>
      </c>
      <c r="O3753">
        <f t="shared" si="1593"/>
        <v>3.02</v>
      </c>
      <c r="P3753">
        <f t="shared" si="1594"/>
        <v>0.88888888888889106</v>
      </c>
      <c r="Q3753" t="str">
        <f t="shared" si="1582"/>
        <v>5.63% | 0.33%</v>
      </c>
      <c r="R3753" t="str">
        <f t="shared" si="1595"/>
        <v>BULLISH</v>
      </c>
      <c r="S3753">
        <f t="shared" si="1583"/>
        <v>1</v>
      </c>
    </row>
    <row r="3754" spans="1:19" hidden="1" x14ac:dyDescent="0.25">
      <c r="A3754" s="5" t="str">
        <f t="shared" si="1584"/>
        <v>44063MSFT</v>
      </c>
      <c r="B3754" s="6" t="s">
        <v>183</v>
      </c>
      <c r="C3754" s="6">
        <v>203</v>
      </c>
      <c r="D3754" s="6">
        <v>214</v>
      </c>
      <c r="E3754" s="6">
        <v>209</v>
      </c>
      <c r="F3754" t="str">
        <f t="shared" si="1585"/>
        <v>THU</v>
      </c>
      <c r="G3754" s="3">
        <f t="shared" si="1586"/>
        <v>44063</v>
      </c>
      <c r="H3754" s="2">
        <f t="shared" ca="1" si="1587"/>
        <v>190</v>
      </c>
      <c r="I3754" t="str">
        <f t="shared" si="1588"/>
        <v>MSFT</v>
      </c>
      <c r="J3754">
        <f t="shared" si="1589"/>
        <v>203</v>
      </c>
      <c r="K3754">
        <f t="shared" si="1590"/>
        <v>214</v>
      </c>
      <c r="L3754">
        <f t="shared" si="1591"/>
        <v>208.5</v>
      </c>
      <c r="M3754">
        <f t="shared" si="1592"/>
        <v>5.5</v>
      </c>
      <c r="N3754">
        <f t="shared" si="1581"/>
        <v>11</v>
      </c>
      <c r="O3754">
        <f t="shared" si="1593"/>
        <v>209</v>
      </c>
      <c r="P3754">
        <f t="shared" si="1594"/>
        <v>9.0909090909090912E-2</v>
      </c>
      <c r="Q3754" t="str">
        <f t="shared" si="1582"/>
        <v>2.87% | 2.39%</v>
      </c>
      <c r="R3754" t="str">
        <f t="shared" si="1595"/>
        <v>BULLISH</v>
      </c>
      <c r="S3754">
        <f t="shared" si="1583"/>
        <v>1</v>
      </c>
    </row>
    <row r="3755" spans="1:19" hidden="1" x14ac:dyDescent="0.25">
      <c r="A3755" s="5" t="str">
        <f t="shared" si="1584"/>
        <v>44063AAPL</v>
      </c>
      <c r="B3755" s="6" t="s">
        <v>184</v>
      </c>
      <c r="C3755" s="6">
        <v>436</v>
      </c>
      <c r="D3755" s="6">
        <v>470</v>
      </c>
      <c r="E3755" s="6">
        <v>462</v>
      </c>
      <c r="F3755" t="str">
        <f t="shared" si="1585"/>
        <v>THU</v>
      </c>
      <c r="G3755" s="3">
        <f t="shared" si="1586"/>
        <v>44063</v>
      </c>
      <c r="H3755" s="2">
        <f t="shared" ca="1" si="1587"/>
        <v>190</v>
      </c>
      <c r="I3755" t="str">
        <f t="shared" si="1588"/>
        <v>AAPL</v>
      </c>
      <c r="J3755">
        <f t="shared" si="1589"/>
        <v>436</v>
      </c>
      <c r="K3755">
        <f t="shared" si="1590"/>
        <v>470</v>
      </c>
      <c r="L3755">
        <f t="shared" si="1591"/>
        <v>453</v>
      </c>
      <c r="M3755">
        <f t="shared" si="1592"/>
        <v>17</v>
      </c>
      <c r="N3755">
        <f t="shared" si="1581"/>
        <v>34</v>
      </c>
      <c r="O3755">
        <f t="shared" si="1593"/>
        <v>462</v>
      </c>
      <c r="P3755">
        <f t="shared" si="1594"/>
        <v>0.52941176470588236</v>
      </c>
      <c r="Q3755" t="str">
        <f t="shared" si="1582"/>
        <v>5.63% | 1.73%</v>
      </c>
      <c r="R3755" t="str">
        <f t="shared" si="1595"/>
        <v>BULLISH</v>
      </c>
      <c r="S3755">
        <f t="shared" si="1583"/>
        <v>1</v>
      </c>
    </row>
    <row r="3756" spans="1:19" hidden="1" x14ac:dyDescent="0.25">
      <c r="A3756" s="5" t="str">
        <f t="shared" si="1584"/>
        <v>44063AMZN</v>
      </c>
      <c r="B3756" s="6" t="s">
        <v>185</v>
      </c>
      <c r="C3756" s="6">
        <v>3053</v>
      </c>
      <c r="D3756" s="6">
        <v>3309</v>
      </c>
      <c r="E3756" s="6">
        <v>3260</v>
      </c>
      <c r="F3756" t="str">
        <f t="shared" si="1585"/>
        <v>THU</v>
      </c>
      <c r="G3756" s="3">
        <f t="shared" si="1586"/>
        <v>44063</v>
      </c>
      <c r="H3756" s="2">
        <f t="shared" ca="1" si="1587"/>
        <v>190</v>
      </c>
      <c r="I3756" t="str">
        <f t="shared" si="1588"/>
        <v>AMZN</v>
      </c>
      <c r="J3756">
        <f t="shared" si="1589"/>
        <v>3053</v>
      </c>
      <c r="K3756">
        <f t="shared" si="1590"/>
        <v>3309</v>
      </c>
      <c r="L3756">
        <f t="shared" si="1591"/>
        <v>3181</v>
      </c>
      <c r="M3756">
        <f t="shared" si="1592"/>
        <v>128</v>
      </c>
      <c r="N3756">
        <f t="shared" si="1581"/>
        <v>256</v>
      </c>
      <c r="O3756">
        <f t="shared" si="1593"/>
        <v>3260</v>
      </c>
      <c r="P3756">
        <f t="shared" si="1594"/>
        <v>0.6171875</v>
      </c>
      <c r="Q3756" t="str">
        <f t="shared" si="1582"/>
        <v>6.35% | 1.5%</v>
      </c>
      <c r="R3756" t="str">
        <f t="shared" si="1595"/>
        <v>BULLISH</v>
      </c>
      <c r="S3756">
        <f t="shared" si="1583"/>
        <v>1</v>
      </c>
    </row>
    <row r="3757" spans="1:19" hidden="1" x14ac:dyDescent="0.25">
      <c r="A3757" s="5" t="str">
        <f t="shared" si="1584"/>
        <v>44063FB</v>
      </c>
      <c r="B3757" s="6" t="s">
        <v>186</v>
      </c>
      <c r="C3757" s="6">
        <v>252</v>
      </c>
      <c r="D3757" s="6">
        <v>268</v>
      </c>
      <c r="E3757" s="6">
        <v>262</v>
      </c>
      <c r="F3757" t="str">
        <f t="shared" si="1585"/>
        <v>THU</v>
      </c>
      <c r="G3757" s="3">
        <f t="shared" si="1586"/>
        <v>44063</v>
      </c>
      <c r="H3757" s="2">
        <f t="shared" ca="1" si="1587"/>
        <v>190</v>
      </c>
      <c r="I3757" t="str">
        <f t="shared" si="1588"/>
        <v>FB</v>
      </c>
      <c r="J3757">
        <f t="shared" si="1589"/>
        <v>252</v>
      </c>
      <c r="K3757">
        <f t="shared" si="1590"/>
        <v>268</v>
      </c>
      <c r="L3757">
        <f t="shared" si="1591"/>
        <v>260</v>
      </c>
      <c r="M3757">
        <f t="shared" si="1592"/>
        <v>8</v>
      </c>
      <c r="N3757">
        <f t="shared" si="1581"/>
        <v>16</v>
      </c>
      <c r="O3757">
        <f t="shared" si="1593"/>
        <v>262</v>
      </c>
      <c r="P3757">
        <f t="shared" si="1594"/>
        <v>0.25</v>
      </c>
      <c r="Q3757" t="str">
        <f t="shared" si="1582"/>
        <v>3.82% | 2.29%</v>
      </c>
      <c r="R3757" t="str">
        <f t="shared" si="1595"/>
        <v>BULLISH</v>
      </c>
      <c r="S3757">
        <f t="shared" si="1583"/>
        <v>1</v>
      </c>
    </row>
    <row r="3758" spans="1:19" hidden="1" x14ac:dyDescent="0.25">
      <c r="A3758" s="5" t="str">
        <f t="shared" si="1584"/>
        <v>44063GOOGL</v>
      </c>
      <c r="B3758" s="6" t="s">
        <v>187</v>
      </c>
      <c r="C3758" s="6">
        <v>1470</v>
      </c>
      <c r="D3758" s="6">
        <v>1560</v>
      </c>
      <c r="E3758" s="6">
        <v>1544</v>
      </c>
      <c r="F3758" t="str">
        <f t="shared" si="1585"/>
        <v>THU</v>
      </c>
      <c r="G3758" s="3">
        <f t="shared" si="1586"/>
        <v>44063</v>
      </c>
      <c r="H3758" s="2">
        <f t="shared" ca="1" si="1587"/>
        <v>190</v>
      </c>
      <c r="I3758" t="str">
        <f t="shared" si="1588"/>
        <v>GOOGL</v>
      </c>
      <c r="J3758">
        <f t="shared" si="1589"/>
        <v>1470</v>
      </c>
      <c r="K3758">
        <f t="shared" si="1590"/>
        <v>1560</v>
      </c>
      <c r="L3758">
        <f t="shared" si="1591"/>
        <v>1515</v>
      </c>
      <c r="M3758">
        <f t="shared" si="1592"/>
        <v>45</v>
      </c>
      <c r="N3758">
        <f t="shared" si="1581"/>
        <v>90</v>
      </c>
      <c r="O3758">
        <f t="shared" si="1593"/>
        <v>1544</v>
      </c>
      <c r="P3758">
        <f t="shared" si="1594"/>
        <v>0.64444444444444449</v>
      </c>
      <c r="Q3758" t="str">
        <f t="shared" si="1582"/>
        <v>4.79% | 1.04%</v>
      </c>
      <c r="R3758" t="str">
        <f t="shared" si="1595"/>
        <v>BULLISH</v>
      </c>
      <c r="S3758">
        <f t="shared" si="1583"/>
        <v>1</v>
      </c>
    </row>
    <row r="3759" spans="1:19" hidden="1" x14ac:dyDescent="0.25">
      <c r="A3759" s="5" t="str">
        <f t="shared" si="1584"/>
        <v>44063NFLX</v>
      </c>
      <c r="B3759" s="6" t="s">
        <v>188</v>
      </c>
      <c r="C3759" s="6">
        <v>463</v>
      </c>
      <c r="D3759" s="6">
        <v>499</v>
      </c>
      <c r="E3759" s="6">
        <v>484</v>
      </c>
      <c r="F3759" t="str">
        <f t="shared" si="1585"/>
        <v>THU</v>
      </c>
      <c r="G3759" s="3">
        <f t="shared" si="1586"/>
        <v>44063</v>
      </c>
      <c r="H3759" s="2">
        <f t="shared" ca="1" si="1587"/>
        <v>190</v>
      </c>
      <c r="I3759" t="str">
        <f t="shared" si="1588"/>
        <v>NFLX</v>
      </c>
      <c r="J3759">
        <f t="shared" si="1589"/>
        <v>463</v>
      </c>
      <c r="K3759">
        <f t="shared" si="1590"/>
        <v>499</v>
      </c>
      <c r="L3759">
        <f t="shared" si="1591"/>
        <v>481</v>
      </c>
      <c r="M3759">
        <f t="shared" si="1592"/>
        <v>18</v>
      </c>
      <c r="N3759">
        <f t="shared" si="1581"/>
        <v>36</v>
      </c>
      <c r="O3759">
        <f t="shared" si="1593"/>
        <v>484</v>
      </c>
      <c r="P3759">
        <f t="shared" si="1594"/>
        <v>0.16666666666666666</v>
      </c>
      <c r="Q3759" t="str">
        <f t="shared" si="1582"/>
        <v>4.34% | 3.1%</v>
      </c>
      <c r="R3759" t="str">
        <f t="shared" si="1595"/>
        <v>NEUTRAL</v>
      </c>
      <c r="S3759">
        <f t="shared" si="1583"/>
        <v>0</v>
      </c>
    </row>
    <row r="3760" spans="1:19" x14ac:dyDescent="0.25">
      <c r="A3760" s="5" t="str">
        <f t="shared" si="1584"/>
        <v>44063TSLA</v>
      </c>
      <c r="B3760" s="6" t="s">
        <v>189</v>
      </c>
      <c r="C3760" s="6">
        <v>1603</v>
      </c>
      <c r="D3760" s="6">
        <v>1997</v>
      </c>
      <c r="E3760" s="6">
        <v>1878</v>
      </c>
      <c r="F3760" t="str">
        <f t="shared" si="1585"/>
        <v>THU</v>
      </c>
      <c r="G3760" s="3">
        <f t="shared" si="1586"/>
        <v>44063</v>
      </c>
      <c r="H3760" s="2">
        <f t="shared" ca="1" si="1587"/>
        <v>190</v>
      </c>
      <c r="I3760" t="str">
        <f t="shared" si="1588"/>
        <v>TSLA</v>
      </c>
      <c r="J3760">
        <f t="shared" si="1589"/>
        <v>1603</v>
      </c>
      <c r="K3760">
        <f t="shared" si="1590"/>
        <v>1997</v>
      </c>
      <c r="L3760">
        <f t="shared" si="1591"/>
        <v>1800</v>
      </c>
      <c r="M3760">
        <f t="shared" si="1592"/>
        <v>197</v>
      </c>
      <c r="N3760">
        <f t="shared" si="1581"/>
        <v>394</v>
      </c>
      <c r="O3760">
        <f t="shared" si="1593"/>
        <v>1878</v>
      </c>
      <c r="P3760">
        <f t="shared" si="1594"/>
        <v>0.39593908629441626</v>
      </c>
      <c r="Q3760" t="str">
        <f t="shared" si="1582"/>
        <v>14.64% | 6.34%</v>
      </c>
      <c r="R3760" t="str">
        <f t="shared" si="1595"/>
        <v>BULLISH</v>
      </c>
      <c r="S3760">
        <f t="shared" si="1583"/>
        <v>1</v>
      </c>
    </row>
    <row r="3761" spans="1:19" hidden="1" x14ac:dyDescent="0.25">
      <c r="A3761" s="5" t="str">
        <f t="shared" si="1584"/>
        <v>44063NYXBT</v>
      </c>
      <c r="B3761" s="6" t="s">
        <v>190</v>
      </c>
      <c r="C3761" s="6">
        <v>11405</v>
      </c>
      <c r="D3761" s="6">
        <v>12170</v>
      </c>
      <c r="E3761" s="6">
        <v>11828</v>
      </c>
      <c r="F3761" t="str">
        <f t="shared" si="1585"/>
        <v>THU</v>
      </c>
      <c r="G3761" s="3">
        <f t="shared" si="1586"/>
        <v>44063</v>
      </c>
      <c r="H3761" s="2">
        <f t="shared" ca="1" si="1587"/>
        <v>190</v>
      </c>
      <c r="I3761" t="str">
        <f t="shared" si="1588"/>
        <v>NYXBT</v>
      </c>
      <c r="J3761">
        <f t="shared" si="1589"/>
        <v>11405</v>
      </c>
      <c r="K3761">
        <f t="shared" si="1590"/>
        <v>12170</v>
      </c>
      <c r="L3761">
        <f t="shared" si="1591"/>
        <v>11787.5</v>
      </c>
      <c r="M3761">
        <f t="shared" si="1592"/>
        <v>382.5</v>
      </c>
      <c r="N3761">
        <f t="shared" si="1581"/>
        <v>765</v>
      </c>
      <c r="O3761">
        <f t="shared" si="1593"/>
        <v>11828</v>
      </c>
      <c r="P3761">
        <f t="shared" si="1594"/>
        <v>0.10588235294117647</v>
      </c>
      <c r="Q3761" t="str">
        <f t="shared" si="1582"/>
        <v>3.58% | 2.89%</v>
      </c>
      <c r="R3761" t="str">
        <f t="shared" si="1595"/>
        <v>BULLISH</v>
      </c>
      <c r="S3761">
        <f t="shared" si="1583"/>
        <v>1</v>
      </c>
    </row>
    <row r="3762" spans="1:19" hidden="1" x14ac:dyDescent="0.25">
      <c r="A3762" s="5" t="str">
        <f t="shared" si="1584"/>
        <v>44064UST10Y</v>
      </c>
      <c r="B3762" s="6" t="s">
        <v>161</v>
      </c>
      <c r="C3762" s="6">
        <v>0.71</v>
      </c>
      <c r="D3762" s="6">
        <v>0.53</v>
      </c>
      <c r="E3762" s="6">
        <v>0.65</v>
      </c>
      <c r="F3762" t="str">
        <f t="shared" si="1585"/>
        <v>FRI</v>
      </c>
      <c r="G3762" s="1">
        <f>DATE(2020,8,21)</f>
        <v>44064</v>
      </c>
      <c r="H3762" s="2">
        <f t="shared" ca="1" si="1587"/>
        <v>189</v>
      </c>
      <c r="I3762" t="str">
        <f t="shared" si="1588"/>
        <v>UST10Y</v>
      </c>
      <c r="J3762">
        <f t="shared" si="1589"/>
        <v>0.71</v>
      </c>
      <c r="K3762">
        <f t="shared" si="1590"/>
        <v>0.53</v>
      </c>
      <c r="L3762">
        <f t="shared" si="1591"/>
        <v>0.62</v>
      </c>
      <c r="M3762">
        <f t="shared" si="1592"/>
        <v>8.9999999999999983E-2</v>
      </c>
      <c r="N3762">
        <f t="shared" si="1581"/>
        <v>0.17999999999999994</v>
      </c>
      <c r="O3762">
        <f t="shared" si="1593"/>
        <v>0.65</v>
      </c>
      <c r="P3762">
        <f t="shared" si="1594"/>
        <v>0.3333333333333337</v>
      </c>
      <c r="Q3762" t="str">
        <f t="shared" si="1582"/>
        <v>9.23% | 18.46%</v>
      </c>
      <c r="R3762" t="str">
        <f t="shared" si="1595"/>
        <v>BEARISH</v>
      </c>
      <c r="S3762">
        <f t="shared" si="1583"/>
        <v>-1</v>
      </c>
    </row>
    <row r="3763" spans="1:19" hidden="1" x14ac:dyDescent="0.25">
      <c r="A3763" s="5" t="str">
        <f t="shared" si="1584"/>
        <v>44064UST2Y</v>
      </c>
      <c r="B3763" s="6" t="s">
        <v>162</v>
      </c>
      <c r="C3763" s="6">
        <v>0.16</v>
      </c>
      <c r="D3763" s="6">
        <v>0.11</v>
      </c>
      <c r="E3763" s="6">
        <v>0.13</v>
      </c>
      <c r="F3763" t="str">
        <f t="shared" ref="F3763:F3793" si="1596">UPPER(TEXT(G3763,"ddd"))</f>
        <v>FRI</v>
      </c>
      <c r="G3763" s="1">
        <f t="shared" ref="G3763:G3792" si="1597">DATE(2020,8,21)</f>
        <v>44064</v>
      </c>
      <c r="H3763" s="2">
        <f t="shared" ref="H3763:H3793" ca="1" si="1598">TODAY()-G3763</f>
        <v>189</v>
      </c>
      <c r="I3763" t="str">
        <f t="shared" ref="I3763:I3793" si="1599">TRIM(LEFT(B3763,FIND(" ",B3763,1)))</f>
        <v>UST2Y</v>
      </c>
      <c r="J3763">
        <f t="shared" ref="J3763:J3793" si="1600">C3763</f>
        <v>0.16</v>
      </c>
      <c r="K3763">
        <f t="shared" ref="K3763:K3793" si="1601">D3763</f>
        <v>0.11</v>
      </c>
      <c r="L3763">
        <f t="shared" ref="L3763:L3793" si="1602">AVERAGE(J3763:K3763)</f>
        <v>0.13500000000000001</v>
      </c>
      <c r="M3763">
        <f t="shared" ref="M3763:M3793" si="1603">_xlfn.STDEV.P(J3763:K3763)</f>
        <v>2.4999999999999942E-2</v>
      </c>
      <c r="N3763">
        <f t="shared" si="1581"/>
        <v>0.05</v>
      </c>
      <c r="O3763">
        <f t="shared" ref="O3763:O3793" si="1604">E3763</f>
        <v>0.13</v>
      </c>
      <c r="P3763">
        <f t="shared" ref="P3763:P3793" si="1605">(O3763-L3763)/M3763</f>
        <v>-0.20000000000000065</v>
      </c>
      <c r="Q3763" t="str">
        <f t="shared" si="1582"/>
        <v>23.08% | 15.38%</v>
      </c>
      <c r="R3763" t="str">
        <f t="shared" ref="R3763:R3793" si="1606">MID(B3763,FIND("(",B3763,1)+1,FIND(")",B3763,1)-FIND("(",B3763,1)-1)</f>
        <v>BEARISH</v>
      </c>
      <c r="S3763">
        <f t="shared" si="1583"/>
        <v>-1</v>
      </c>
    </row>
    <row r="3764" spans="1:19" hidden="1" x14ac:dyDescent="0.25">
      <c r="A3764" s="5" t="str">
        <f t="shared" si="1584"/>
        <v>44064SPX</v>
      </c>
      <c r="B3764" s="6" t="s">
        <v>191</v>
      </c>
      <c r="C3764" s="6">
        <v>3330</v>
      </c>
      <c r="D3764" s="6">
        <v>3414</v>
      </c>
      <c r="E3764" s="6">
        <v>3385</v>
      </c>
      <c r="F3764" t="str">
        <f t="shared" si="1596"/>
        <v>FRI</v>
      </c>
      <c r="G3764" s="1">
        <f t="shared" si="1597"/>
        <v>44064</v>
      </c>
      <c r="H3764" s="2">
        <f t="shared" ca="1" si="1598"/>
        <v>189</v>
      </c>
      <c r="I3764" t="str">
        <f t="shared" si="1599"/>
        <v>SPX</v>
      </c>
      <c r="J3764">
        <f t="shared" si="1600"/>
        <v>3330</v>
      </c>
      <c r="K3764">
        <f t="shared" si="1601"/>
        <v>3414</v>
      </c>
      <c r="L3764">
        <f t="shared" si="1602"/>
        <v>3372</v>
      </c>
      <c r="M3764">
        <f t="shared" si="1603"/>
        <v>42</v>
      </c>
      <c r="N3764">
        <f t="shared" si="1581"/>
        <v>84</v>
      </c>
      <c r="O3764">
        <f t="shared" si="1604"/>
        <v>3385</v>
      </c>
      <c r="P3764">
        <f t="shared" si="1605"/>
        <v>0.30952380952380953</v>
      </c>
      <c r="Q3764" t="str">
        <f t="shared" si="1582"/>
        <v>1.62% | 0.86%</v>
      </c>
      <c r="R3764" t="str">
        <f t="shared" si="1606"/>
        <v>BULLISH</v>
      </c>
      <c r="S3764">
        <f t="shared" si="1583"/>
        <v>1</v>
      </c>
    </row>
    <row r="3765" spans="1:19" hidden="1" x14ac:dyDescent="0.25">
      <c r="A3765" s="5" t="str">
        <f t="shared" si="1584"/>
        <v>44064RUT</v>
      </c>
      <c r="B3765" s="6" t="s">
        <v>164</v>
      </c>
      <c r="C3765" s="6">
        <v>1547</v>
      </c>
      <c r="D3765" s="6">
        <v>1591</v>
      </c>
      <c r="E3765" s="6">
        <v>1564</v>
      </c>
      <c r="F3765" t="str">
        <f t="shared" si="1596"/>
        <v>FRI</v>
      </c>
      <c r="G3765" s="1">
        <f t="shared" si="1597"/>
        <v>44064</v>
      </c>
      <c r="H3765" s="2">
        <f t="shared" ca="1" si="1598"/>
        <v>189</v>
      </c>
      <c r="I3765" t="str">
        <f t="shared" si="1599"/>
        <v>RUT</v>
      </c>
      <c r="J3765">
        <f t="shared" si="1600"/>
        <v>1547</v>
      </c>
      <c r="K3765">
        <f t="shared" si="1601"/>
        <v>1591</v>
      </c>
      <c r="L3765">
        <f t="shared" si="1602"/>
        <v>1569</v>
      </c>
      <c r="M3765">
        <f t="shared" si="1603"/>
        <v>22</v>
      </c>
      <c r="N3765">
        <f t="shared" si="1581"/>
        <v>44</v>
      </c>
      <c r="O3765">
        <f t="shared" si="1604"/>
        <v>1564</v>
      </c>
      <c r="P3765">
        <f t="shared" si="1605"/>
        <v>-0.22727272727272727</v>
      </c>
      <c r="Q3765" t="str">
        <f t="shared" si="1582"/>
        <v>1.09% | 1.73%</v>
      </c>
      <c r="R3765" t="str">
        <f t="shared" si="1606"/>
        <v>BEARISH</v>
      </c>
      <c r="S3765">
        <f t="shared" si="1583"/>
        <v>-1</v>
      </c>
    </row>
    <row r="3766" spans="1:19" hidden="1" x14ac:dyDescent="0.25">
      <c r="A3766" s="5" t="str">
        <f t="shared" si="1584"/>
        <v>44064COMPQ</v>
      </c>
      <c r="B3766" s="6" t="s">
        <v>165</v>
      </c>
      <c r="C3766" s="6">
        <v>10829</v>
      </c>
      <c r="D3766" s="6">
        <v>11346</v>
      </c>
      <c r="E3766" s="6">
        <v>11264</v>
      </c>
      <c r="F3766" t="str">
        <f t="shared" si="1596"/>
        <v>FRI</v>
      </c>
      <c r="G3766" s="1">
        <f t="shared" si="1597"/>
        <v>44064</v>
      </c>
      <c r="H3766" s="2">
        <f t="shared" ca="1" si="1598"/>
        <v>189</v>
      </c>
      <c r="I3766" t="str">
        <f t="shared" si="1599"/>
        <v>COMPQ</v>
      </c>
      <c r="J3766">
        <f t="shared" si="1600"/>
        <v>10829</v>
      </c>
      <c r="K3766">
        <f t="shared" si="1601"/>
        <v>11346</v>
      </c>
      <c r="L3766">
        <f t="shared" si="1602"/>
        <v>11087.5</v>
      </c>
      <c r="M3766">
        <f t="shared" si="1603"/>
        <v>258.5</v>
      </c>
      <c r="N3766">
        <f t="shared" si="1581"/>
        <v>517</v>
      </c>
      <c r="O3766">
        <f t="shared" si="1604"/>
        <v>11264</v>
      </c>
      <c r="P3766">
        <f t="shared" si="1605"/>
        <v>0.68278529980657643</v>
      </c>
      <c r="Q3766" t="str">
        <f t="shared" si="1582"/>
        <v>3.86% | 0.73%</v>
      </c>
      <c r="R3766" t="str">
        <f t="shared" si="1606"/>
        <v>BULLISH</v>
      </c>
      <c r="S3766">
        <f t="shared" si="1583"/>
        <v>1</v>
      </c>
    </row>
    <row r="3767" spans="1:19" hidden="1" x14ac:dyDescent="0.25">
      <c r="A3767" s="5" t="str">
        <f t="shared" si="1584"/>
        <v>44064XLK</v>
      </c>
      <c r="B3767" s="6" t="s">
        <v>166</v>
      </c>
      <c r="C3767" s="6">
        <v>111.47</v>
      </c>
      <c r="D3767" s="6">
        <v>116.99</v>
      </c>
      <c r="E3767" s="6">
        <v>116.46</v>
      </c>
      <c r="F3767" t="str">
        <f t="shared" si="1596"/>
        <v>FRI</v>
      </c>
      <c r="G3767" s="1">
        <f t="shared" si="1597"/>
        <v>44064</v>
      </c>
      <c r="H3767" s="2">
        <f t="shared" ca="1" si="1598"/>
        <v>189</v>
      </c>
      <c r="I3767" t="str">
        <f t="shared" si="1599"/>
        <v>XLK</v>
      </c>
      <c r="J3767">
        <f t="shared" si="1600"/>
        <v>111.47</v>
      </c>
      <c r="K3767">
        <f t="shared" si="1601"/>
        <v>116.99</v>
      </c>
      <c r="L3767">
        <f t="shared" si="1602"/>
        <v>114.22999999999999</v>
      </c>
      <c r="M3767">
        <f t="shared" si="1603"/>
        <v>2.759999999999998</v>
      </c>
      <c r="N3767">
        <f t="shared" si="1581"/>
        <v>5.519999999999996</v>
      </c>
      <c r="O3767">
        <f t="shared" si="1604"/>
        <v>116.46</v>
      </c>
      <c r="P3767">
        <f t="shared" si="1605"/>
        <v>0.80797101449275566</v>
      </c>
      <c r="Q3767" t="str">
        <f t="shared" si="1582"/>
        <v>4.28% | 0.46%</v>
      </c>
      <c r="R3767" t="str">
        <f t="shared" si="1606"/>
        <v>BULLISH</v>
      </c>
      <c r="S3767">
        <f t="shared" si="1583"/>
        <v>1</v>
      </c>
    </row>
    <row r="3768" spans="1:19" hidden="1" x14ac:dyDescent="0.25">
      <c r="A3768" s="5" t="str">
        <f t="shared" si="1584"/>
        <v>44064XLRE</v>
      </c>
      <c r="B3768" s="6" t="s">
        <v>167</v>
      </c>
      <c r="C3768" s="6">
        <v>35.25</v>
      </c>
      <c r="D3768" s="6">
        <v>36.74</v>
      </c>
      <c r="E3768" s="6">
        <v>35.78</v>
      </c>
      <c r="F3768" t="str">
        <f t="shared" si="1596"/>
        <v>FRI</v>
      </c>
      <c r="G3768" s="1">
        <f t="shared" si="1597"/>
        <v>44064</v>
      </c>
      <c r="H3768" s="2">
        <f t="shared" ca="1" si="1598"/>
        <v>189</v>
      </c>
      <c r="I3768" t="str">
        <f t="shared" si="1599"/>
        <v>XLRE</v>
      </c>
      <c r="J3768">
        <f t="shared" si="1600"/>
        <v>35.25</v>
      </c>
      <c r="K3768">
        <f t="shared" si="1601"/>
        <v>36.74</v>
      </c>
      <c r="L3768">
        <f t="shared" si="1602"/>
        <v>35.995000000000005</v>
      </c>
      <c r="M3768">
        <f t="shared" si="1603"/>
        <v>0.74500000000000099</v>
      </c>
      <c r="N3768">
        <f t="shared" si="1581"/>
        <v>1.490000000000002</v>
      </c>
      <c r="O3768">
        <f t="shared" si="1604"/>
        <v>35.78</v>
      </c>
      <c r="P3768">
        <f t="shared" si="1605"/>
        <v>-0.28859060402684983</v>
      </c>
      <c r="Q3768" t="str">
        <f t="shared" si="1582"/>
        <v>1.48% | 2.68%</v>
      </c>
      <c r="R3768" t="str">
        <f t="shared" si="1606"/>
        <v>BULLISH</v>
      </c>
      <c r="S3768">
        <f t="shared" si="1583"/>
        <v>1</v>
      </c>
    </row>
    <row r="3769" spans="1:19" hidden="1" x14ac:dyDescent="0.25">
      <c r="A3769" s="5" t="str">
        <f t="shared" si="1584"/>
        <v>44064XLU</v>
      </c>
      <c r="B3769" s="6" t="s">
        <v>168</v>
      </c>
      <c r="C3769" s="6">
        <v>59.11</v>
      </c>
      <c r="D3769" s="6">
        <v>61.72</v>
      </c>
      <c r="E3769" s="6">
        <v>59.32</v>
      </c>
      <c r="F3769" t="str">
        <f t="shared" si="1596"/>
        <v>FRI</v>
      </c>
      <c r="G3769" s="1">
        <f t="shared" si="1597"/>
        <v>44064</v>
      </c>
      <c r="H3769" s="2">
        <f t="shared" ca="1" si="1598"/>
        <v>189</v>
      </c>
      <c r="I3769" t="str">
        <f t="shared" si="1599"/>
        <v>XLU</v>
      </c>
      <c r="J3769">
        <f t="shared" si="1600"/>
        <v>59.11</v>
      </c>
      <c r="K3769">
        <f t="shared" si="1601"/>
        <v>61.72</v>
      </c>
      <c r="L3769">
        <f t="shared" si="1602"/>
        <v>60.414999999999999</v>
      </c>
      <c r="M3769">
        <f t="shared" si="1603"/>
        <v>1.3049999999999997</v>
      </c>
      <c r="N3769">
        <f t="shared" si="1581"/>
        <v>2.6099999999999994</v>
      </c>
      <c r="O3769">
        <f t="shared" si="1604"/>
        <v>59.32</v>
      </c>
      <c r="P3769">
        <f t="shared" si="1605"/>
        <v>-0.83908045977011425</v>
      </c>
      <c r="Q3769" t="str">
        <f t="shared" si="1582"/>
        <v>0.35% | 4.05%</v>
      </c>
      <c r="R3769" t="str">
        <f t="shared" si="1606"/>
        <v>BULLISH</v>
      </c>
      <c r="S3769">
        <f t="shared" si="1583"/>
        <v>1</v>
      </c>
    </row>
    <row r="3770" spans="1:19" hidden="1" x14ac:dyDescent="0.25">
      <c r="A3770" s="5" t="str">
        <f t="shared" si="1584"/>
        <v>44064XLF</v>
      </c>
      <c r="B3770" s="6" t="s">
        <v>169</v>
      </c>
      <c r="C3770" s="6">
        <v>23.99</v>
      </c>
      <c r="D3770" s="6">
        <v>25.52</v>
      </c>
      <c r="E3770" s="6">
        <v>24.36</v>
      </c>
      <c r="F3770" t="str">
        <f t="shared" si="1596"/>
        <v>FRI</v>
      </c>
      <c r="G3770" s="1">
        <f t="shared" si="1597"/>
        <v>44064</v>
      </c>
      <c r="H3770" s="2">
        <f t="shared" ca="1" si="1598"/>
        <v>189</v>
      </c>
      <c r="I3770" t="str">
        <f t="shared" si="1599"/>
        <v>XLF</v>
      </c>
      <c r="J3770">
        <f t="shared" si="1600"/>
        <v>23.99</v>
      </c>
      <c r="K3770">
        <f t="shared" si="1601"/>
        <v>25.52</v>
      </c>
      <c r="L3770">
        <f t="shared" si="1602"/>
        <v>24.754999999999999</v>
      </c>
      <c r="M3770">
        <f t="shared" si="1603"/>
        <v>0.76500000000000057</v>
      </c>
      <c r="N3770">
        <f t="shared" si="1581"/>
        <v>1.5300000000000011</v>
      </c>
      <c r="O3770">
        <f t="shared" si="1604"/>
        <v>24.36</v>
      </c>
      <c r="P3770">
        <f t="shared" si="1605"/>
        <v>-0.51633986928104481</v>
      </c>
      <c r="Q3770" t="str">
        <f t="shared" si="1582"/>
        <v>1.52% | 4.76%</v>
      </c>
      <c r="R3770" t="str">
        <f t="shared" si="1606"/>
        <v>BEARISH</v>
      </c>
      <c r="S3770">
        <f t="shared" si="1583"/>
        <v>-1</v>
      </c>
    </row>
    <row r="3771" spans="1:19" hidden="1" x14ac:dyDescent="0.25">
      <c r="A3771" s="5" t="str">
        <f t="shared" si="1584"/>
        <v>44064SSEC</v>
      </c>
      <c r="B3771" s="6" t="s">
        <v>170</v>
      </c>
      <c r="C3771" s="6">
        <v>3285</v>
      </c>
      <c r="D3771" s="6">
        <v>3476</v>
      </c>
      <c r="E3771" s="6">
        <v>3380</v>
      </c>
      <c r="F3771" t="str">
        <f t="shared" si="1596"/>
        <v>FRI</v>
      </c>
      <c r="G3771" s="1">
        <f t="shared" si="1597"/>
        <v>44064</v>
      </c>
      <c r="H3771" s="2">
        <f t="shared" ca="1" si="1598"/>
        <v>189</v>
      </c>
      <c r="I3771" t="str">
        <f t="shared" si="1599"/>
        <v>SSEC</v>
      </c>
      <c r="J3771">
        <f t="shared" si="1600"/>
        <v>3285</v>
      </c>
      <c r="K3771">
        <f t="shared" si="1601"/>
        <v>3476</v>
      </c>
      <c r="L3771">
        <f t="shared" si="1602"/>
        <v>3380.5</v>
      </c>
      <c r="M3771">
        <f t="shared" si="1603"/>
        <v>95.5</v>
      </c>
      <c r="N3771">
        <f t="shared" si="1581"/>
        <v>191</v>
      </c>
      <c r="O3771">
        <f t="shared" si="1604"/>
        <v>3380</v>
      </c>
      <c r="P3771">
        <f t="shared" si="1605"/>
        <v>-5.235602094240838E-3</v>
      </c>
      <c r="Q3771" t="str">
        <f t="shared" si="1582"/>
        <v>2.81% | 2.84%</v>
      </c>
      <c r="R3771" t="str">
        <f t="shared" si="1606"/>
        <v>BULLISH</v>
      </c>
      <c r="S3771">
        <f t="shared" si="1583"/>
        <v>1</v>
      </c>
    </row>
    <row r="3772" spans="1:19" hidden="1" x14ac:dyDescent="0.25">
      <c r="A3772" s="5" t="str">
        <f t="shared" si="1584"/>
        <v>44064NIKK</v>
      </c>
      <c r="B3772" s="6" t="s">
        <v>171</v>
      </c>
      <c r="C3772" s="6">
        <v>22306</v>
      </c>
      <c r="D3772" s="6">
        <v>23476</v>
      </c>
      <c r="E3772" s="6">
        <v>22920</v>
      </c>
      <c r="F3772" t="str">
        <f t="shared" si="1596"/>
        <v>FRI</v>
      </c>
      <c r="G3772" s="1">
        <f t="shared" si="1597"/>
        <v>44064</v>
      </c>
      <c r="H3772" s="2">
        <f t="shared" ca="1" si="1598"/>
        <v>189</v>
      </c>
      <c r="I3772" t="str">
        <f t="shared" si="1599"/>
        <v>NIKK</v>
      </c>
      <c r="J3772">
        <f t="shared" si="1600"/>
        <v>22306</v>
      </c>
      <c r="K3772">
        <f t="shared" si="1601"/>
        <v>23476</v>
      </c>
      <c r="L3772">
        <f t="shared" si="1602"/>
        <v>22891</v>
      </c>
      <c r="M3772">
        <f t="shared" si="1603"/>
        <v>585</v>
      </c>
      <c r="N3772">
        <f t="shared" si="1581"/>
        <v>1170</v>
      </c>
      <c r="O3772">
        <f t="shared" si="1604"/>
        <v>22920</v>
      </c>
      <c r="P3772">
        <f t="shared" si="1605"/>
        <v>4.957264957264957E-2</v>
      </c>
      <c r="Q3772" t="str">
        <f t="shared" si="1582"/>
        <v>2.68% | 2.43%</v>
      </c>
      <c r="R3772" t="str">
        <f t="shared" si="1606"/>
        <v>NEUTRAL</v>
      </c>
      <c r="S3772">
        <f t="shared" si="1583"/>
        <v>0</v>
      </c>
    </row>
    <row r="3773" spans="1:19" hidden="1" x14ac:dyDescent="0.25">
      <c r="A3773" s="5" t="str">
        <f t="shared" si="1584"/>
        <v>44064DAX</v>
      </c>
      <c r="B3773" s="6" t="s">
        <v>172</v>
      </c>
      <c r="C3773" s="6">
        <v>12700</v>
      </c>
      <c r="D3773" s="6">
        <v>13122</v>
      </c>
      <c r="E3773" s="6">
        <v>12830</v>
      </c>
      <c r="F3773" t="str">
        <f t="shared" si="1596"/>
        <v>FRI</v>
      </c>
      <c r="G3773" s="1">
        <f t="shared" si="1597"/>
        <v>44064</v>
      </c>
      <c r="H3773" s="2">
        <f t="shared" ca="1" si="1598"/>
        <v>189</v>
      </c>
      <c r="I3773" t="str">
        <f t="shared" si="1599"/>
        <v>DAX</v>
      </c>
      <c r="J3773">
        <f t="shared" si="1600"/>
        <v>12700</v>
      </c>
      <c r="K3773">
        <f t="shared" si="1601"/>
        <v>13122</v>
      </c>
      <c r="L3773">
        <f t="shared" si="1602"/>
        <v>12911</v>
      </c>
      <c r="M3773">
        <f t="shared" si="1603"/>
        <v>211</v>
      </c>
      <c r="N3773">
        <f t="shared" si="1581"/>
        <v>422</v>
      </c>
      <c r="O3773">
        <f t="shared" si="1604"/>
        <v>12830</v>
      </c>
      <c r="P3773">
        <f t="shared" si="1605"/>
        <v>-0.38388625592417064</v>
      </c>
      <c r="Q3773" t="str">
        <f t="shared" si="1582"/>
        <v>1.01% | 2.28%</v>
      </c>
      <c r="R3773" t="str">
        <f t="shared" si="1606"/>
        <v>BULLISH</v>
      </c>
      <c r="S3773">
        <f t="shared" si="1583"/>
        <v>1</v>
      </c>
    </row>
    <row r="3774" spans="1:19" hidden="1" x14ac:dyDescent="0.25">
      <c r="A3774" s="5" t="str">
        <f t="shared" si="1584"/>
        <v>44064VIX</v>
      </c>
      <c r="B3774" s="6" t="s">
        <v>192</v>
      </c>
      <c r="C3774" s="6">
        <v>20.73</v>
      </c>
      <c r="D3774" s="6">
        <v>28.02</v>
      </c>
      <c r="E3774" s="6">
        <v>22.72</v>
      </c>
      <c r="F3774" t="str">
        <f t="shared" si="1596"/>
        <v>FRI</v>
      </c>
      <c r="G3774" s="1">
        <f t="shared" si="1597"/>
        <v>44064</v>
      </c>
      <c r="H3774" s="2">
        <f t="shared" ca="1" si="1598"/>
        <v>189</v>
      </c>
      <c r="I3774" t="str">
        <f t="shared" si="1599"/>
        <v>VIX</v>
      </c>
      <c r="J3774">
        <f t="shared" si="1600"/>
        <v>20.73</v>
      </c>
      <c r="K3774">
        <f t="shared" si="1601"/>
        <v>28.02</v>
      </c>
      <c r="L3774">
        <f t="shared" si="1602"/>
        <v>24.375</v>
      </c>
      <c r="M3774">
        <f t="shared" si="1603"/>
        <v>3.6449999999999991</v>
      </c>
      <c r="N3774">
        <f t="shared" si="1581"/>
        <v>7.2899999999999991</v>
      </c>
      <c r="O3774">
        <f t="shared" si="1604"/>
        <v>22.72</v>
      </c>
      <c r="P3774">
        <f t="shared" si="1605"/>
        <v>-0.45404663923182481</v>
      </c>
      <c r="Q3774" t="str">
        <f t="shared" si="1582"/>
        <v>8.76% | 23.33%</v>
      </c>
      <c r="R3774" t="str">
        <f t="shared" si="1606"/>
        <v>BEARISH</v>
      </c>
      <c r="S3774">
        <f t="shared" si="1583"/>
        <v>-1</v>
      </c>
    </row>
    <row r="3775" spans="1:19" hidden="1" x14ac:dyDescent="0.25">
      <c r="A3775" s="5" t="str">
        <f t="shared" si="1584"/>
        <v>44064USD</v>
      </c>
      <c r="B3775" s="6" t="s">
        <v>174</v>
      </c>
      <c r="C3775" s="6">
        <v>92.19</v>
      </c>
      <c r="D3775" s="6">
        <v>93.91</v>
      </c>
      <c r="E3775" s="6">
        <v>92.81</v>
      </c>
      <c r="F3775" t="str">
        <f t="shared" si="1596"/>
        <v>FRI</v>
      </c>
      <c r="G3775" s="1">
        <f t="shared" si="1597"/>
        <v>44064</v>
      </c>
      <c r="H3775" s="2">
        <f t="shared" ca="1" si="1598"/>
        <v>189</v>
      </c>
      <c r="I3775" t="str">
        <f t="shared" si="1599"/>
        <v>USD</v>
      </c>
      <c r="J3775">
        <f t="shared" si="1600"/>
        <v>92.19</v>
      </c>
      <c r="K3775">
        <f t="shared" si="1601"/>
        <v>93.91</v>
      </c>
      <c r="L3775">
        <f t="shared" si="1602"/>
        <v>93.05</v>
      </c>
      <c r="M3775">
        <f t="shared" si="1603"/>
        <v>0.85999999999999943</v>
      </c>
      <c r="N3775">
        <f t="shared" si="1581"/>
        <v>1.7199999999999989</v>
      </c>
      <c r="O3775">
        <f t="shared" si="1604"/>
        <v>92.81</v>
      </c>
      <c r="P3775">
        <f t="shared" si="1605"/>
        <v>-0.27906976744185469</v>
      </c>
      <c r="Q3775" t="str">
        <f t="shared" si="1582"/>
        <v>0.67% | 1.19%</v>
      </c>
      <c r="R3775" t="str">
        <f t="shared" si="1606"/>
        <v>BEARISH</v>
      </c>
      <c r="S3775">
        <f t="shared" si="1583"/>
        <v>-1</v>
      </c>
    </row>
    <row r="3776" spans="1:19" hidden="1" x14ac:dyDescent="0.25">
      <c r="A3776" s="5" t="str">
        <f t="shared" si="1584"/>
        <v>44064EUR/USD</v>
      </c>
      <c r="B3776" s="6" t="s">
        <v>175</v>
      </c>
      <c r="C3776" s="6">
        <v>1.17</v>
      </c>
      <c r="D3776" s="6">
        <v>1.19</v>
      </c>
      <c r="E3776" s="6">
        <v>1.18</v>
      </c>
      <c r="F3776" t="str">
        <f t="shared" si="1596"/>
        <v>FRI</v>
      </c>
      <c r="G3776" s="1">
        <f t="shared" si="1597"/>
        <v>44064</v>
      </c>
      <c r="H3776" s="2">
        <f t="shared" ca="1" si="1598"/>
        <v>189</v>
      </c>
      <c r="I3776" t="str">
        <f t="shared" si="1599"/>
        <v>EUR/USD</v>
      </c>
      <c r="J3776">
        <f t="shared" si="1600"/>
        <v>1.17</v>
      </c>
      <c r="K3776">
        <f t="shared" si="1601"/>
        <v>1.19</v>
      </c>
      <c r="L3776">
        <f t="shared" si="1602"/>
        <v>1.18</v>
      </c>
      <c r="M3776">
        <f t="shared" si="1603"/>
        <v>1.0000000000000009E-2</v>
      </c>
      <c r="N3776">
        <f t="shared" si="1581"/>
        <v>2.0000000000000018E-2</v>
      </c>
      <c r="O3776">
        <f t="shared" si="1604"/>
        <v>1.18</v>
      </c>
      <c r="P3776">
        <f t="shared" si="1605"/>
        <v>0</v>
      </c>
      <c r="Q3776" t="str">
        <f t="shared" si="1582"/>
        <v>0.85% | 0.85%</v>
      </c>
      <c r="R3776" t="str">
        <f t="shared" si="1606"/>
        <v>BULLISH</v>
      </c>
      <c r="S3776">
        <f t="shared" si="1583"/>
        <v>1</v>
      </c>
    </row>
    <row r="3777" spans="1:19" hidden="1" x14ac:dyDescent="0.25">
      <c r="A3777" s="5" t="str">
        <f t="shared" si="1584"/>
        <v>44064USD/JPY</v>
      </c>
      <c r="B3777" s="6" t="s">
        <v>176</v>
      </c>
      <c r="C3777" s="6">
        <v>105.09</v>
      </c>
      <c r="D3777" s="6">
        <v>107.33</v>
      </c>
      <c r="E3777" s="6">
        <v>105.8</v>
      </c>
      <c r="F3777" t="str">
        <f t="shared" si="1596"/>
        <v>FRI</v>
      </c>
      <c r="G3777" s="1">
        <f t="shared" si="1597"/>
        <v>44064</v>
      </c>
      <c r="H3777" s="2">
        <f t="shared" ca="1" si="1598"/>
        <v>189</v>
      </c>
      <c r="I3777" t="str">
        <f t="shared" si="1599"/>
        <v>USD/JPY</v>
      </c>
      <c r="J3777">
        <f t="shared" si="1600"/>
        <v>105.09</v>
      </c>
      <c r="K3777">
        <f t="shared" si="1601"/>
        <v>107.33</v>
      </c>
      <c r="L3777">
        <f t="shared" si="1602"/>
        <v>106.21000000000001</v>
      </c>
      <c r="M3777">
        <f t="shared" si="1603"/>
        <v>1.1199999999999974</v>
      </c>
      <c r="N3777">
        <f t="shared" si="1581"/>
        <v>2.2399999999999949</v>
      </c>
      <c r="O3777">
        <f t="shared" si="1604"/>
        <v>105.8</v>
      </c>
      <c r="P3777">
        <f t="shared" si="1605"/>
        <v>-0.36607142857143904</v>
      </c>
      <c r="Q3777" t="str">
        <f t="shared" si="1582"/>
        <v>0.67% | 1.45%</v>
      </c>
      <c r="R3777" t="str">
        <f t="shared" si="1606"/>
        <v>BEARISH</v>
      </c>
      <c r="S3777">
        <f t="shared" si="1583"/>
        <v>-1</v>
      </c>
    </row>
    <row r="3778" spans="1:19" hidden="1" x14ac:dyDescent="0.25">
      <c r="A3778" s="5" t="str">
        <f t="shared" si="1584"/>
        <v>44064GBP/USD</v>
      </c>
      <c r="B3778" s="6" t="s">
        <v>177</v>
      </c>
      <c r="C3778" s="6">
        <v>1.3</v>
      </c>
      <c r="D3778" s="6">
        <v>1.33</v>
      </c>
      <c r="E3778" s="6">
        <v>1.32</v>
      </c>
      <c r="F3778" t="str">
        <f t="shared" si="1596"/>
        <v>FRI</v>
      </c>
      <c r="G3778" s="1">
        <f t="shared" si="1597"/>
        <v>44064</v>
      </c>
      <c r="H3778" s="2">
        <f t="shared" ca="1" si="1598"/>
        <v>189</v>
      </c>
      <c r="I3778" t="str">
        <f t="shared" si="1599"/>
        <v>GBP/USD</v>
      </c>
      <c r="J3778">
        <f t="shared" si="1600"/>
        <v>1.3</v>
      </c>
      <c r="K3778">
        <f t="shared" si="1601"/>
        <v>1.33</v>
      </c>
      <c r="L3778">
        <f t="shared" si="1602"/>
        <v>1.3149999999999999</v>
      </c>
      <c r="M3778">
        <f t="shared" si="1603"/>
        <v>1.5000000000000013E-2</v>
      </c>
      <c r="N3778">
        <f t="shared" si="1581"/>
        <v>3.0000000000000027E-2</v>
      </c>
      <c r="O3778">
        <f t="shared" si="1604"/>
        <v>1.32</v>
      </c>
      <c r="P3778">
        <f t="shared" si="1605"/>
        <v>0.33333333333334075</v>
      </c>
      <c r="Q3778" t="str">
        <f t="shared" si="1582"/>
        <v>1.52% | 0.76%</v>
      </c>
      <c r="R3778" t="str">
        <f t="shared" si="1606"/>
        <v>BULLISH</v>
      </c>
      <c r="S3778">
        <f t="shared" si="1583"/>
        <v>1</v>
      </c>
    </row>
    <row r="3779" spans="1:19" hidden="1" x14ac:dyDescent="0.25">
      <c r="A3779" s="5" t="str">
        <f t="shared" si="1584"/>
        <v>44064USD/CHF</v>
      </c>
      <c r="B3779" s="6" t="s">
        <v>178</v>
      </c>
      <c r="C3779" s="6">
        <v>0.9</v>
      </c>
      <c r="D3779" s="6">
        <v>0.92</v>
      </c>
      <c r="E3779" s="6">
        <v>0.9</v>
      </c>
      <c r="F3779" t="str">
        <f t="shared" si="1596"/>
        <v>FRI</v>
      </c>
      <c r="G3779" s="1">
        <f t="shared" si="1597"/>
        <v>44064</v>
      </c>
      <c r="H3779" s="2">
        <f t="shared" ca="1" si="1598"/>
        <v>189</v>
      </c>
      <c r="I3779" t="str">
        <f t="shared" si="1599"/>
        <v>USD/CHF</v>
      </c>
      <c r="J3779">
        <f t="shared" si="1600"/>
        <v>0.9</v>
      </c>
      <c r="K3779">
        <f t="shared" si="1601"/>
        <v>0.92</v>
      </c>
      <c r="L3779">
        <f t="shared" si="1602"/>
        <v>0.91</v>
      </c>
      <c r="M3779">
        <f t="shared" si="1603"/>
        <v>1.0000000000000009E-2</v>
      </c>
      <c r="N3779">
        <f t="shared" ref="N3779:N3842" si="1607">ABS(K3779-J3779)</f>
        <v>2.0000000000000018E-2</v>
      </c>
      <c r="O3779">
        <f t="shared" si="1604"/>
        <v>0.9</v>
      </c>
      <c r="P3779">
        <f t="shared" si="1605"/>
        <v>-1</v>
      </c>
      <c r="Q3779" t="str">
        <f t="shared" ref="Q3779:Q3842" si="1608">ROUND(ABS(100*(O3779-J3779)/O3779),2)&amp;"% | "&amp;ROUND(ABS(100*(K3779-O3779)/O3779),2)&amp;"%"</f>
        <v>0% | 2.22%</v>
      </c>
      <c r="R3779" t="str">
        <f t="shared" si="1606"/>
        <v>BEARISH</v>
      </c>
      <c r="S3779">
        <f t="shared" ref="S3779:S3842" si="1609">IF(R3779="BEARISH",-1,IF(R3779="NEUTRAL",0,IF(R3779="BULLISH",1,99)))</f>
        <v>-1</v>
      </c>
    </row>
    <row r="3780" spans="1:19" hidden="1" x14ac:dyDescent="0.25">
      <c r="A3780" s="5" t="str">
        <f t="shared" si="1584"/>
        <v>44064WTIC</v>
      </c>
      <c r="B3780" s="6" t="s">
        <v>179</v>
      </c>
      <c r="C3780" s="6">
        <v>41.22</v>
      </c>
      <c r="D3780" s="6">
        <v>43.63</v>
      </c>
      <c r="E3780" s="6">
        <v>42.82</v>
      </c>
      <c r="F3780" t="str">
        <f t="shared" si="1596"/>
        <v>FRI</v>
      </c>
      <c r="G3780" s="1">
        <f t="shared" si="1597"/>
        <v>44064</v>
      </c>
      <c r="H3780" s="2">
        <f t="shared" ca="1" si="1598"/>
        <v>189</v>
      </c>
      <c r="I3780" t="str">
        <f t="shared" si="1599"/>
        <v>WTIC</v>
      </c>
      <c r="J3780">
        <f t="shared" si="1600"/>
        <v>41.22</v>
      </c>
      <c r="K3780">
        <f t="shared" si="1601"/>
        <v>43.63</v>
      </c>
      <c r="L3780">
        <f t="shared" si="1602"/>
        <v>42.424999999999997</v>
      </c>
      <c r="M3780">
        <f t="shared" si="1603"/>
        <v>1.2050000000000018</v>
      </c>
      <c r="N3780">
        <f t="shared" si="1607"/>
        <v>2.4100000000000037</v>
      </c>
      <c r="O3780">
        <f t="shared" si="1604"/>
        <v>42.82</v>
      </c>
      <c r="P3780">
        <f t="shared" si="1605"/>
        <v>0.32780082987552078</v>
      </c>
      <c r="Q3780" t="str">
        <f t="shared" si="1608"/>
        <v>3.74% | 1.89%</v>
      </c>
      <c r="R3780" t="str">
        <f t="shared" si="1606"/>
        <v>BULLISH</v>
      </c>
      <c r="S3780">
        <f t="shared" si="1609"/>
        <v>1</v>
      </c>
    </row>
    <row r="3781" spans="1:19" hidden="1" x14ac:dyDescent="0.25">
      <c r="A3781" s="5" t="str">
        <f t="shared" ref="A3781:A3844" si="1610">G3781&amp;I3781</f>
        <v>44064NATGAS</v>
      </c>
      <c r="B3781" s="6" t="s">
        <v>180</v>
      </c>
      <c r="C3781" s="6">
        <v>2.0699999999999998</v>
      </c>
      <c r="D3781" s="6">
        <v>2.5099999999999998</v>
      </c>
      <c r="E3781" s="6">
        <v>2.35</v>
      </c>
      <c r="F3781" t="str">
        <f t="shared" si="1596"/>
        <v>FRI</v>
      </c>
      <c r="G3781" s="1">
        <f t="shared" si="1597"/>
        <v>44064</v>
      </c>
      <c r="H3781" s="2">
        <f t="shared" ca="1" si="1598"/>
        <v>189</v>
      </c>
      <c r="I3781" t="str">
        <f t="shared" si="1599"/>
        <v>NATGAS</v>
      </c>
      <c r="J3781">
        <f t="shared" si="1600"/>
        <v>2.0699999999999998</v>
      </c>
      <c r="K3781">
        <f t="shared" si="1601"/>
        <v>2.5099999999999998</v>
      </c>
      <c r="L3781">
        <f t="shared" si="1602"/>
        <v>2.29</v>
      </c>
      <c r="M3781">
        <f t="shared" si="1603"/>
        <v>0.21999999999999997</v>
      </c>
      <c r="N3781">
        <f t="shared" si="1607"/>
        <v>0.43999999999999995</v>
      </c>
      <c r="O3781">
        <f t="shared" si="1604"/>
        <v>2.35</v>
      </c>
      <c r="P3781">
        <f t="shared" si="1605"/>
        <v>0.27272727272727298</v>
      </c>
      <c r="Q3781" t="str">
        <f t="shared" si="1608"/>
        <v>11.91% | 6.81%</v>
      </c>
      <c r="R3781" t="str">
        <f t="shared" si="1606"/>
        <v>BULLISH</v>
      </c>
      <c r="S3781">
        <f t="shared" si="1609"/>
        <v>1</v>
      </c>
    </row>
    <row r="3782" spans="1:19" hidden="1" x14ac:dyDescent="0.25">
      <c r="A3782" s="5" t="str">
        <f t="shared" si="1610"/>
        <v>44064GOLD</v>
      </c>
      <c r="B3782" s="6" t="s">
        <v>181</v>
      </c>
      <c r="C3782" s="6">
        <v>1911</v>
      </c>
      <c r="D3782" s="6">
        <v>2041</v>
      </c>
      <c r="E3782" s="6">
        <v>1946</v>
      </c>
      <c r="F3782" t="str">
        <f t="shared" si="1596"/>
        <v>FRI</v>
      </c>
      <c r="G3782" s="1">
        <f t="shared" si="1597"/>
        <v>44064</v>
      </c>
      <c r="H3782" s="2">
        <f t="shared" ca="1" si="1598"/>
        <v>189</v>
      </c>
      <c r="I3782" t="str">
        <f t="shared" si="1599"/>
        <v>GOLD</v>
      </c>
      <c r="J3782">
        <f t="shared" si="1600"/>
        <v>1911</v>
      </c>
      <c r="K3782">
        <f t="shared" si="1601"/>
        <v>2041</v>
      </c>
      <c r="L3782">
        <f t="shared" si="1602"/>
        <v>1976</v>
      </c>
      <c r="M3782">
        <f t="shared" si="1603"/>
        <v>65</v>
      </c>
      <c r="N3782">
        <f t="shared" si="1607"/>
        <v>130</v>
      </c>
      <c r="O3782">
        <f t="shared" si="1604"/>
        <v>1946</v>
      </c>
      <c r="P3782">
        <f t="shared" si="1605"/>
        <v>-0.46153846153846156</v>
      </c>
      <c r="Q3782" t="str">
        <f t="shared" si="1608"/>
        <v>1.8% | 4.88%</v>
      </c>
      <c r="R3782" t="str">
        <f t="shared" si="1606"/>
        <v>BULLISH</v>
      </c>
      <c r="S3782">
        <f t="shared" si="1609"/>
        <v>1</v>
      </c>
    </row>
    <row r="3783" spans="1:19" hidden="1" x14ac:dyDescent="0.25">
      <c r="A3783" s="5" t="str">
        <f t="shared" si="1610"/>
        <v>44064SILVER</v>
      </c>
      <c r="B3783" s="6" t="s">
        <v>199</v>
      </c>
      <c r="C3783" s="6">
        <v>25.12</v>
      </c>
      <c r="D3783" s="6">
        <v>29.42</v>
      </c>
      <c r="E3783" s="6">
        <v>27.15</v>
      </c>
      <c r="F3783" t="str">
        <f t="shared" si="1596"/>
        <v>FRI</v>
      </c>
      <c r="G3783" s="1">
        <f t="shared" si="1597"/>
        <v>44064</v>
      </c>
      <c r="H3783" s="2">
        <f t="shared" ca="1" si="1598"/>
        <v>189</v>
      </c>
      <c r="I3783" t="str">
        <f t="shared" si="1599"/>
        <v>SILVER</v>
      </c>
      <c r="J3783">
        <f t="shared" si="1600"/>
        <v>25.12</v>
      </c>
      <c r="K3783">
        <f t="shared" si="1601"/>
        <v>29.42</v>
      </c>
      <c r="L3783">
        <f t="shared" si="1602"/>
        <v>27.270000000000003</v>
      </c>
      <c r="M3783">
        <f t="shared" si="1603"/>
        <v>2.1500000000000004</v>
      </c>
      <c r="N3783">
        <f t="shared" si="1607"/>
        <v>4.3000000000000007</v>
      </c>
      <c r="O3783">
        <f t="shared" si="1604"/>
        <v>27.15</v>
      </c>
      <c r="P3783">
        <f t="shared" si="1605"/>
        <v>-5.5813953488374202E-2</v>
      </c>
      <c r="Q3783" t="str">
        <f t="shared" si="1608"/>
        <v>7.48% | 8.36%</v>
      </c>
      <c r="R3783" t="str">
        <f t="shared" si="1606"/>
        <v>BULLISH</v>
      </c>
      <c r="S3783">
        <f t="shared" si="1609"/>
        <v>1</v>
      </c>
    </row>
    <row r="3784" spans="1:19" hidden="1" x14ac:dyDescent="0.25">
      <c r="A3784" s="5" t="str">
        <f t="shared" si="1610"/>
        <v>44064COPPER</v>
      </c>
      <c r="B3784" s="6" t="s">
        <v>182</v>
      </c>
      <c r="C3784" s="6">
        <v>2.79</v>
      </c>
      <c r="D3784" s="6">
        <v>3.05</v>
      </c>
      <c r="E3784" s="6">
        <v>2.97</v>
      </c>
      <c r="F3784" t="str">
        <f t="shared" si="1596"/>
        <v>FRI</v>
      </c>
      <c r="G3784" s="1">
        <f t="shared" si="1597"/>
        <v>44064</v>
      </c>
      <c r="H3784" s="2">
        <f t="shared" ca="1" si="1598"/>
        <v>189</v>
      </c>
      <c r="I3784" t="str">
        <f t="shared" si="1599"/>
        <v>COPPER</v>
      </c>
      <c r="J3784">
        <f t="shared" si="1600"/>
        <v>2.79</v>
      </c>
      <c r="K3784">
        <f t="shared" si="1601"/>
        <v>3.05</v>
      </c>
      <c r="L3784">
        <f t="shared" si="1602"/>
        <v>2.92</v>
      </c>
      <c r="M3784">
        <f t="shared" si="1603"/>
        <v>0.12999999999999989</v>
      </c>
      <c r="N3784">
        <f t="shared" si="1607"/>
        <v>0.25999999999999979</v>
      </c>
      <c r="O3784">
        <f t="shared" si="1604"/>
        <v>2.97</v>
      </c>
      <c r="P3784">
        <f t="shared" si="1605"/>
        <v>0.38461538461538697</v>
      </c>
      <c r="Q3784" t="str">
        <f t="shared" si="1608"/>
        <v>6.06% | 2.69%</v>
      </c>
      <c r="R3784" t="str">
        <f t="shared" si="1606"/>
        <v>BULLISH</v>
      </c>
      <c r="S3784">
        <f t="shared" si="1609"/>
        <v>1</v>
      </c>
    </row>
    <row r="3785" spans="1:19" hidden="1" x14ac:dyDescent="0.25">
      <c r="A3785" s="5" t="str">
        <f t="shared" si="1610"/>
        <v>44064MSFT</v>
      </c>
      <c r="B3785" s="6" t="s">
        <v>183</v>
      </c>
      <c r="C3785" s="6">
        <v>204</v>
      </c>
      <c r="D3785" s="6">
        <v>216</v>
      </c>
      <c r="E3785" s="6">
        <v>214</v>
      </c>
      <c r="F3785" t="str">
        <f t="shared" si="1596"/>
        <v>FRI</v>
      </c>
      <c r="G3785" s="1">
        <f t="shared" si="1597"/>
        <v>44064</v>
      </c>
      <c r="H3785" s="2">
        <f t="shared" ca="1" si="1598"/>
        <v>189</v>
      </c>
      <c r="I3785" t="str">
        <f t="shared" si="1599"/>
        <v>MSFT</v>
      </c>
      <c r="J3785">
        <f t="shared" si="1600"/>
        <v>204</v>
      </c>
      <c r="K3785">
        <f t="shared" si="1601"/>
        <v>216</v>
      </c>
      <c r="L3785">
        <f t="shared" si="1602"/>
        <v>210</v>
      </c>
      <c r="M3785">
        <f t="shared" si="1603"/>
        <v>6</v>
      </c>
      <c r="N3785">
        <f t="shared" si="1607"/>
        <v>12</v>
      </c>
      <c r="O3785">
        <f t="shared" si="1604"/>
        <v>214</v>
      </c>
      <c r="P3785">
        <f t="shared" si="1605"/>
        <v>0.66666666666666663</v>
      </c>
      <c r="Q3785" t="str">
        <f t="shared" si="1608"/>
        <v>4.67% | 0.93%</v>
      </c>
      <c r="R3785" t="str">
        <f t="shared" si="1606"/>
        <v>BULLISH</v>
      </c>
      <c r="S3785">
        <f t="shared" si="1609"/>
        <v>1</v>
      </c>
    </row>
    <row r="3786" spans="1:19" hidden="1" x14ac:dyDescent="0.25">
      <c r="A3786" s="5" t="str">
        <f t="shared" si="1610"/>
        <v>44064AAPL</v>
      </c>
      <c r="B3786" s="6" t="s">
        <v>184</v>
      </c>
      <c r="C3786" s="6">
        <v>440</v>
      </c>
      <c r="D3786" s="6">
        <v>479</v>
      </c>
      <c r="E3786" s="6">
        <v>473</v>
      </c>
      <c r="F3786" t="str">
        <f t="shared" si="1596"/>
        <v>FRI</v>
      </c>
      <c r="G3786" s="1">
        <f t="shared" si="1597"/>
        <v>44064</v>
      </c>
      <c r="H3786" s="2">
        <f t="shared" ca="1" si="1598"/>
        <v>189</v>
      </c>
      <c r="I3786" t="str">
        <f t="shared" si="1599"/>
        <v>AAPL</v>
      </c>
      <c r="J3786">
        <f t="shared" si="1600"/>
        <v>440</v>
      </c>
      <c r="K3786">
        <f t="shared" si="1601"/>
        <v>479</v>
      </c>
      <c r="L3786">
        <f t="shared" si="1602"/>
        <v>459.5</v>
      </c>
      <c r="M3786">
        <f t="shared" si="1603"/>
        <v>19.5</v>
      </c>
      <c r="N3786">
        <f t="shared" si="1607"/>
        <v>39</v>
      </c>
      <c r="O3786">
        <f t="shared" si="1604"/>
        <v>473</v>
      </c>
      <c r="P3786">
        <f t="shared" si="1605"/>
        <v>0.69230769230769229</v>
      </c>
      <c r="Q3786" t="str">
        <f t="shared" si="1608"/>
        <v>6.98% | 1.27%</v>
      </c>
      <c r="R3786" t="str">
        <f t="shared" si="1606"/>
        <v>BULLISH</v>
      </c>
      <c r="S3786">
        <f t="shared" si="1609"/>
        <v>1</v>
      </c>
    </row>
    <row r="3787" spans="1:19" hidden="1" x14ac:dyDescent="0.25">
      <c r="A3787" s="5" t="str">
        <f t="shared" si="1610"/>
        <v>44064AMZN</v>
      </c>
      <c r="B3787" s="6" t="s">
        <v>185</v>
      </c>
      <c r="C3787" s="6">
        <v>3154</v>
      </c>
      <c r="D3787" s="6">
        <v>3351</v>
      </c>
      <c r="E3787" s="6">
        <v>3297</v>
      </c>
      <c r="F3787" t="str">
        <f t="shared" si="1596"/>
        <v>FRI</v>
      </c>
      <c r="G3787" s="1">
        <f t="shared" si="1597"/>
        <v>44064</v>
      </c>
      <c r="H3787" s="2">
        <f t="shared" ca="1" si="1598"/>
        <v>189</v>
      </c>
      <c r="I3787" t="str">
        <f t="shared" si="1599"/>
        <v>AMZN</v>
      </c>
      <c r="J3787">
        <f t="shared" si="1600"/>
        <v>3154</v>
      </c>
      <c r="K3787">
        <f t="shared" si="1601"/>
        <v>3351</v>
      </c>
      <c r="L3787">
        <f t="shared" si="1602"/>
        <v>3252.5</v>
      </c>
      <c r="M3787">
        <f t="shared" si="1603"/>
        <v>98.5</v>
      </c>
      <c r="N3787">
        <f t="shared" si="1607"/>
        <v>197</v>
      </c>
      <c r="O3787">
        <f t="shared" si="1604"/>
        <v>3297</v>
      </c>
      <c r="P3787">
        <f t="shared" si="1605"/>
        <v>0.45177664974619292</v>
      </c>
      <c r="Q3787" t="str">
        <f t="shared" si="1608"/>
        <v>4.34% | 1.64%</v>
      </c>
      <c r="R3787" t="str">
        <f t="shared" si="1606"/>
        <v>BULLISH</v>
      </c>
      <c r="S3787">
        <f t="shared" si="1609"/>
        <v>1</v>
      </c>
    </row>
    <row r="3788" spans="1:19" hidden="1" x14ac:dyDescent="0.25">
      <c r="A3788" s="5" t="str">
        <f t="shared" si="1610"/>
        <v>44064FB</v>
      </c>
      <c r="B3788" s="6" t="s">
        <v>186</v>
      </c>
      <c r="C3788" s="6">
        <v>256</v>
      </c>
      <c r="D3788" s="6">
        <v>271</v>
      </c>
      <c r="E3788" s="6">
        <v>269</v>
      </c>
      <c r="F3788" t="str">
        <f t="shared" si="1596"/>
        <v>FRI</v>
      </c>
      <c r="G3788" s="1">
        <f t="shared" si="1597"/>
        <v>44064</v>
      </c>
      <c r="H3788" s="2">
        <f t="shared" ca="1" si="1598"/>
        <v>189</v>
      </c>
      <c r="I3788" t="str">
        <f t="shared" si="1599"/>
        <v>FB</v>
      </c>
      <c r="J3788">
        <f t="shared" si="1600"/>
        <v>256</v>
      </c>
      <c r="K3788">
        <f t="shared" si="1601"/>
        <v>271</v>
      </c>
      <c r="L3788">
        <f t="shared" si="1602"/>
        <v>263.5</v>
      </c>
      <c r="M3788">
        <f t="shared" si="1603"/>
        <v>7.5</v>
      </c>
      <c r="N3788">
        <f t="shared" si="1607"/>
        <v>15</v>
      </c>
      <c r="O3788">
        <f t="shared" si="1604"/>
        <v>269</v>
      </c>
      <c r="P3788">
        <f t="shared" si="1605"/>
        <v>0.73333333333333328</v>
      </c>
      <c r="Q3788" t="str">
        <f t="shared" si="1608"/>
        <v>4.83% | 0.74%</v>
      </c>
      <c r="R3788" t="str">
        <f t="shared" si="1606"/>
        <v>BULLISH</v>
      </c>
      <c r="S3788">
        <f t="shared" si="1609"/>
        <v>1</v>
      </c>
    </row>
    <row r="3789" spans="1:19" hidden="1" x14ac:dyDescent="0.25">
      <c r="A3789" s="5" t="str">
        <f t="shared" si="1610"/>
        <v>44064GOOGL</v>
      </c>
      <c r="B3789" s="6" t="s">
        <v>187</v>
      </c>
      <c r="C3789" s="6">
        <v>1522</v>
      </c>
      <c r="D3789" s="6">
        <v>1586</v>
      </c>
      <c r="E3789" s="6">
        <v>1576</v>
      </c>
      <c r="F3789" t="str">
        <f t="shared" si="1596"/>
        <v>FRI</v>
      </c>
      <c r="G3789" s="1">
        <f t="shared" si="1597"/>
        <v>44064</v>
      </c>
      <c r="H3789" s="2">
        <f t="shared" ca="1" si="1598"/>
        <v>189</v>
      </c>
      <c r="I3789" t="str">
        <f t="shared" si="1599"/>
        <v>GOOGL</v>
      </c>
      <c r="J3789">
        <f t="shared" si="1600"/>
        <v>1522</v>
      </c>
      <c r="K3789">
        <f t="shared" si="1601"/>
        <v>1586</v>
      </c>
      <c r="L3789">
        <f t="shared" si="1602"/>
        <v>1554</v>
      </c>
      <c r="M3789">
        <f t="shared" si="1603"/>
        <v>32</v>
      </c>
      <c r="N3789">
        <f t="shared" si="1607"/>
        <v>64</v>
      </c>
      <c r="O3789">
        <f t="shared" si="1604"/>
        <v>1576</v>
      </c>
      <c r="P3789">
        <f t="shared" si="1605"/>
        <v>0.6875</v>
      </c>
      <c r="Q3789" t="str">
        <f t="shared" si="1608"/>
        <v>3.43% | 0.63%</v>
      </c>
      <c r="R3789" t="str">
        <f t="shared" si="1606"/>
        <v>BULLISH</v>
      </c>
      <c r="S3789">
        <f t="shared" si="1609"/>
        <v>1</v>
      </c>
    </row>
    <row r="3790" spans="1:19" hidden="1" x14ac:dyDescent="0.25">
      <c r="A3790" s="5" t="str">
        <f t="shared" si="1610"/>
        <v>44064NFLX</v>
      </c>
      <c r="B3790" s="6" t="s">
        <v>194</v>
      </c>
      <c r="C3790" s="6">
        <v>465</v>
      </c>
      <c r="D3790" s="6">
        <v>509</v>
      </c>
      <c r="E3790" s="6">
        <v>497</v>
      </c>
      <c r="F3790" t="str">
        <f t="shared" si="1596"/>
        <v>FRI</v>
      </c>
      <c r="G3790" s="1">
        <f t="shared" si="1597"/>
        <v>44064</v>
      </c>
      <c r="H3790" s="2">
        <f t="shared" ca="1" si="1598"/>
        <v>189</v>
      </c>
      <c r="I3790" t="str">
        <f t="shared" si="1599"/>
        <v>NFLX</v>
      </c>
      <c r="J3790">
        <f t="shared" si="1600"/>
        <v>465</v>
      </c>
      <c r="K3790">
        <f t="shared" si="1601"/>
        <v>509</v>
      </c>
      <c r="L3790">
        <f t="shared" si="1602"/>
        <v>487</v>
      </c>
      <c r="M3790">
        <f t="shared" si="1603"/>
        <v>22</v>
      </c>
      <c r="N3790">
        <f t="shared" si="1607"/>
        <v>44</v>
      </c>
      <c r="O3790">
        <f t="shared" si="1604"/>
        <v>497</v>
      </c>
      <c r="P3790">
        <f t="shared" si="1605"/>
        <v>0.45454545454545453</v>
      </c>
      <c r="Q3790" t="str">
        <f t="shared" si="1608"/>
        <v>6.44% | 2.41%</v>
      </c>
      <c r="R3790" t="str">
        <f t="shared" si="1606"/>
        <v>BULLISH</v>
      </c>
      <c r="S3790">
        <f t="shared" si="1609"/>
        <v>1</v>
      </c>
    </row>
    <row r="3791" spans="1:19" x14ac:dyDescent="0.25">
      <c r="A3791" s="5" t="str">
        <f t="shared" si="1610"/>
        <v>44064TSLA</v>
      </c>
      <c r="B3791" s="6" t="s">
        <v>189</v>
      </c>
      <c r="C3791" s="6">
        <v>1690</v>
      </c>
      <c r="D3791" s="6">
        <v>2118</v>
      </c>
      <c r="E3791" s="6">
        <v>2001</v>
      </c>
      <c r="F3791" t="str">
        <f t="shared" si="1596"/>
        <v>FRI</v>
      </c>
      <c r="G3791" s="1">
        <f t="shared" si="1597"/>
        <v>44064</v>
      </c>
      <c r="H3791" s="2">
        <f t="shared" ca="1" si="1598"/>
        <v>189</v>
      </c>
      <c r="I3791" t="str">
        <f t="shared" si="1599"/>
        <v>TSLA</v>
      </c>
      <c r="J3791">
        <f t="shared" si="1600"/>
        <v>1690</v>
      </c>
      <c r="K3791">
        <f t="shared" si="1601"/>
        <v>2118</v>
      </c>
      <c r="L3791">
        <f t="shared" si="1602"/>
        <v>1904</v>
      </c>
      <c r="M3791">
        <f t="shared" si="1603"/>
        <v>214</v>
      </c>
      <c r="N3791">
        <f t="shared" si="1607"/>
        <v>428</v>
      </c>
      <c r="O3791">
        <f t="shared" si="1604"/>
        <v>2001</v>
      </c>
      <c r="P3791">
        <f t="shared" si="1605"/>
        <v>0.45327102803738317</v>
      </c>
      <c r="Q3791" t="str">
        <f t="shared" si="1608"/>
        <v>15.54% | 5.85%</v>
      </c>
      <c r="R3791" t="str">
        <f t="shared" si="1606"/>
        <v>BULLISH</v>
      </c>
      <c r="S3791">
        <f t="shared" si="1609"/>
        <v>1</v>
      </c>
    </row>
    <row r="3792" spans="1:19" hidden="1" x14ac:dyDescent="0.25">
      <c r="A3792" s="5" t="str">
        <f t="shared" si="1610"/>
        <v>44064NYXBT</v>
      </c>
      <c r="B3792" s="6" t="s">
        <v>190</v>
      </c>
      <c r="C3792" s="6">
        <v>11431</v>
      </c>
      <c r="D3792" s="6">
        <v>12153</v>
      </c>
      <c r="E3792" s="6">
        <v>11842</v>
      </c>
      <c r="F3792" t="str">
        <f t="shared" si="1596"/>
        <v>FRI</v>
      </c>
      <c r="G3792" s="1">
        <f t="shared" si="1597"/>
        <v>44064</v>
      </c>
      <c r="H3792" s="2">
        <f t="shared" ca="1" si="1598"/>
        <v>189</v>
      </c>
      <c r="I3792" t="str">
        <f t="shared" si="1599"/>
        <v>NYXBT</v>
      </c>
      <c r="J3792">
        <f t="shared" si="1600"/>
        <v>11431</v>
      </c>
      <c r="K3792">
        <f t="shared" si="1601"/>
        <v>12153</v>
      </c>
      <c r="L3792">
        <f t="shared" si="1602"/>
        <v>11792</v>
      </c>
      <c r="M3792">
        <f t="shared" si="1603"/>
        <v>361</v>
      </c>
      <c r="N3792">
        <f t="shared" si="1607"/>
        <v>722</v>
      </c>
      <c r="O3792">
        <f t="shared" si="1604"/>
        <v>11842</v>
      </c>
      <c r="P3792">
        <f t="shared" si="1605"/>
        <v>0.13850415512465375</v>
      </c>
      <c r="Q3792" t="str">
        <f t="shared" si="1608"/>
        <v>3.47% | 2.63%</v>
      </c>
      <c r="R3792" t="str">
        <f t="shared" si="1606"/>
        <v>BULLISH</v>
      </c>
      <c r="S3792">
        <f t="shared" si="1609"/>
        <v>1</v>
      </c>
    </row>
    <row r="3793" spans="1:19" hidden="1" x14ac:dyDescent="0.25">
      <c r="A3793" s="5" t="str">
        <f t="shared" si="1610"/>
        <v>44067UST10Y</v>
      </c>
      <c r="B3793" s="6" t="s">
        <v>161</v>
      </c>
      <c r="C3793" s="6">
        <v>0.71</v>
      </c>
      <c r="D3793" s="6">
        <v>0.54</v>
      </c>
      <c r="E3793" s="6">
        <v>0.64</v>
      </c>
      <c r="F3793" t="str">
        <f t="shared" si="1596"/>
        <v>MON</v>
      </c>
      <c r="G3793" s="3">
        <f>DATE(2020,8,24)</f>
        <v>44067</v>
      </c>
      <c r="H3793" s="2">
        <f t="shared" ca="1" si="1598"/>
        <v>186</v>
      </c>
      <c r="I3793" t="str">
        <f t="shared" si="1599"/>
        <v>UST10Y</v>
      </c>
      <c r="J3793">
        <f t="shared" si="1600"/>
        <v>0.71</v>
      </c>
      <c r="K3793">
        <f t="shared" si="1601"/>
        <v>0.54</v>
      </c>
      <c r="L3793">
        <f t="shared" si="1602"/>
        <v>0.625</v>
      </c>
      <c r="M3793">
        <f t="shared" si="1603"/>
        <v>8.5000000000000214E-2</v>
      </c>
      <c r="N3793">
        <f t="shared" si="1607"/>
        <v>0.16999999999999993</v>
      </c>
      <c r="O3793">
        <f t="shared" si="1604"/>
        <v>0.64</v>
      </c>
      <c r="P3793">
        <f t="shared" si="1605"/>
        <v>0.17647058823529382</v>
      </c>
      <c r="Q3793" t="str">
        <f t="shared" si="1608"/>
        <v>10.94% | 15.63%</v>
      </c>
      <c r="R3793" t="str">
        <f t="shared" si="1606"/>
        <v>BEARISH</v>
      </c>
      <c r="S3793">
        <f t="shared" si="1609"/>
        <v>-1</v>
      </c>
    </row>
    <row r="3794" spans="1:19" hidden="1" x14ac:dyDescent="0.25">
      <c r="A3794" s="5" t="str">
        <f t="shared" si="1610"/>
        <v>44067UST2Y</v>
      </c>
      <c r="B3794" s="6" t="s">
        <v>162</v>
      </c>
      <c r="C3794" s="6">
        <v>0.17</v>
      </c>
      <c r="D3794" s="6">
        <v>0.11</v>
      </c>
      <c r="E3794" s="6">
        <v>0.16</v>
      </c>
      <c r="F3794" t="str">
        <f t="shared" ref="F3794:F3824" si="1611">UPPER(TEXT(G3794,"ddd"))</f>
        <v>MON</v>
      </c>
      <c r="G3794" s="3">
        <f t="shared" ref="G3794:G3823" si="1612">DATE(2020,8,24)</f>
        <v>44067</v>
      </c>
      <c r="H3794" s="2">
        <f t="shared" ref="H3794:H3824" ca="1" si="1613">TODAY()-G3794</f>
        <v>186</v>
      </c>
      <c r="I3794" t="str">
        <f t="shared" ref="I3794:I3824" si="1614">TRIM(LEFT(B3794,FIND(" ",B3794,1)))</f>
        <v>UST2Y</v>
      </c>
      <c r="J3794">
        <f t="shared" ref="J3794:J3824" si="1615">C3794</f>
        <v>0.17</v>
      </c>
      <c r="K3794">
        <f t="shared" ref="K3794:K3824" si="1616">D3794</f>
        <v>0.11</v>
      </c>
      <c r="L3794">
        <f t="shared" ref="L3794:L3824" si="1617">AVERAGE(J3794:K3794)</f>
        <v>0.14000000000000001</v>
      </c>
      <c r="M3794">
        <f t="shared" ref="M3794:M3824" si="1618">_xlfn.STDEV.P(J3794:K3794)</f>
        <v>3.0000000000000023E-2</v>
      </c>
      <c r="N3794">
        <f t="shared" si="1607"/>
        <v>6.0000000000000012E-2</v>
      </c>
      <c r="O3794">
        <f t="shared" ref="O3794:O3824" si="1619">E3794</f>
        <v>0.16</v>
      </c>
      <c r="P3794">
        <f t="shared" ref="P3794:P3824" si="1620">(O3794-L3794)/M3794</f>
        <v>0.66666666666666585</v>
      </c>
      <c r="Q3794" t="str">
        <f t="shared" si="1608"/>
        <v>6.25% | 31.25%</v>
      </c>
      <c r="R3794" t="str">
        <f t="shared" ref="R3794:R3824" si="1621">MID(B3794,FIND("(",B3794,1)+1,FIND(")",B3794,1)-FIND("(",B3794,1)-1)</f>
        <v>BEARISH</v>
      </c>
      <c r="S3794">
        <f t="shared" si="1609"/>
        <v>-1</v>
      </c>
    </row>
    <row r="3795" spans="1:19" hidden="1" x14ac:dyDescent="0.25">
      <c r="A3795" s="5" t="str">
        <f t="shared" si="1610"/>
        <v>44067SPX</v>
      </c>
      <c r="B3795" s="6" t="s">
        <v>191</v>
      </c>
      <c r="C3795" s="6">
        <v>3340</v>
      </c>
      <c r="D3795" s="6">
        <v>3422</v>
      </c>
      <c r="E3795" s="6">
        <v>3397</v>
      </c>
      <c r="F3795" t="str">
        <f t="shared" si="1611"/>
        <v>MON</v>
      </c>
      <c r="G3795" s="3">
        <f t="shared" si="1612"/>
        <v>44067</v>
      </c>
      <c r="H3795" s="2">
        <f t="shared" ca="1" si="1613"/>
        <v>186</v>
      </c>
      <c r="I3795" t="str">
        <f t="shared" si="1614"/>
        <v>SPX</v>
      </c>
      <c r="J3795">
        <f t="shared" si="1615"/>
        <v>3340</v>
      </c>
      <c r="K3795">
        <f t="shared" si="1616"/>
        <v>3422</v>
      </c>
      <c r="L3795">
        <f t="shared" si="1617"/>
        <v>3381</v>
      </c>
      <c r="M3795">
        <f t="shared" si="1618"/>
        <v>41</v>
      </c>
      <c r="N3795">
        <f t="shared" si="1607"/>
        <v>82</v>
      </c>
      <c r="O3795">
        <f t="shared" si="1619"/>
        <v>3397</v>
      </c>
      <c r="P3795">
        <f t="shared" si="1620"/>
        <v>0.3902439024390244</v>
      </c>
      <c r="Q3795" t="str">
        <f t="shared" si="1608"/>
        <v>1.68% | 0.74%</v>
      </c>
      <c r="R3795" t="str">
        <f t="shared" si="1621"/>
        <v>BULLISH</v>
      </c>
      <c r="S3795">
        <f t="shared" si="1609"/>
        <v>1</v>
      </c>
    </row>
    <row r="3796" spans="1:19" hidden="1" x14ac:dyDescent="0.25">
      <c r="A3796" s="5" t="str">
        <f t="shared" si="1610"/>
        <v>44067RUT</v>
      </c>
      <c r="B3796" s="6" t="s">
        <v>164</v>
      </c>
      <c r="C3796" s="6">
        <v>1536</v>
      </c>
      <c r="D3796" s="6">
        <v>1591</v>
      </c>
      <c r="E3796" s="6">
        <v>1552</v>
      </c>
      <c r="F3796" t="str">
        <f t="shared" si="1611"/>
        <v>MON</v>
      </c>
      <c r="G3796" s="3">
        <f t="shared" si="1612"/>
        <v>44067</v>
      </c>
      <c r="H3796" s="2">
        <f t="shared" ca="1" si="1613"/>
        <v>186</v>
      </c>
      <c r="I3796" t="str">
        <f t="shared" si="1614"/>
        <v>RUT</v>
      </c>
      <c r="J3796">
        <f t="shared" si="1615"/>
        <v>1536</v>
      </c>
      <c r="K3796">
        <f t="shared" si="1616"/>
        <v>1591</v>
      </c>
      <c r="L3796">
        <f t="shared" si="1617"/>
        <v>1563.5</v>
      </c>
      <c r="M3796">
        <f t="shared" si="1618"/>
        <v>27.5</v>
      </c>
      <c r="N3796">
        <f t="shared" si="1607"/>
        <v>55</v>
      </c>
      <c r="O3796">
        <f t="shared" si="1619"/>
        <v>1552</v>
      </c>
      <c r="P3796">
        <f t="shared" si="1620"/>
        <v>-0.41818181818181815</v>
      </c>
      <c r="Q3796" t="str">
        <f t="shared" si="1608"/>
        <v>1.03% | 2.51%</v>
      </c>
      <c r="R3796" t="str">
        <f t="shared" si="1621"/>
        <v>BEARISH</v>
      </c>
      <c r="S3796">
        <f t="shared" si="1609"/>
        <v>-1</v>
      </c>
    </row>
    <row r="3797" spans="1:19" hidden="1" x14ac:dyDescent="0.25">
      <c r="A3797" s="5" t="str">
        <f t="shared" si="1610"/>
        <v>44067COMPQ</v>
      </c>
      <c r="B3797" s="6" t="s">
        <v>165</v>
      </c>
      <c r="C3797" s="6">
        <v>10855</v>
      </c>
      <c r="D3797" s="6">
        <v>11414</v>
      </c>
      <c r="E3797" s="6">
        <v>11311</v>
      </c>
      <c r="F3797" t="str">
        <f t="shared" si="1611"/>
        <v>MON</v>
      </c>
      <c r="G3797" s="3">
        <f t="shared" si="1612"/>
        <v>44067</v>
      </c>
      <c r="H3797" s="2">
        <f t="shared" ca="1" si="1613"/>
        <v>186</v>
      </c>
      <c r="I3797" t="str">
        <f t="shared" si="1614"/>
        <v>COMPQ</v>
      </c>
      <c r="J3797">
        <f t="shared" si="1615"/>
        <v>10855</v>
      </c>
      <c r="K3797">
        <f t="shared" si="1616"/>
        <v>11414</v>
      </c>
      <c r="L3797">
        <f t="shared" si="1617"/>
        <v>11134.5</v>
      </c>
      <c r="M3797">
        <f t="shared" si="1618"/>
        <v>279.5</v>
      </c>
      <c r="N3797">
        <f t="shared" si="1607"/>
        <v>559</v>
      </c>
      <c r="O3797">
        <f t="shared" si="1619"/>
        <v>11311</v>
      </c>
      <c r="P3797">
        <f t="shared" si="1620"/>
        <v>0.63148479427549198</v>
      </c>
      <c r="Q3797" t="str">
        <f t="shared" si="1608"/>
        <v>4.03% | 0.91%</v>
      </c>
      <c r="R3797" t="str">
        <f t="shared" si="1621"/>
        <v>BULLISH</v>
      </c>
      <c r="S3797">
        <f t="shared" si="1609"/>
        <v>1</v>
      </c>
    </row>
    <row r="3798" spans="1:19" hidden="1" x14ac:dyDescent="0.25">
      <c r="A3798" s="5" t="str">
        <f t="shared" si="1610"/>
        <v>44067XLK</v>
      </c>
      <c r="B3798" s="6" t="s">
        <v>166</v>
      </c>
      <c r="C3798" s="6">
        <v>111.92</v>
      </c>
      <c r="D3798" s="6">
        <v>118.45</v>
      </c>
      <c r="E3798" s="6">
        <v>117.94</v>
      </c>
      <c r="F3798" t="str">
        <f t="shared" si="1611"/>
        <v>MON</v>
      </c>
      <c r="G3798" s="3">
        <f t="shared" si="1612"/>
        <v>44067</v>
      </c>
      <c r="H3798" s="2">
        <f t="shared" ca="1" si="1613"/>
        <v>186</v>
      </c>
      <c r="I3798" t="str">
        <f t="shared" si="1614"/>
        <v>XLK</v>
      </c>
      <c r="J3798">
        <f t="shared" si="1615"/>
        <v>111.92</v>
      </c>
      <c r="K3798">
        <f t="shared" si="1616"/>
        <v>118.45</v>
      </c>
      <c r="L3798">
        <f t="shared" si="1617"/>
        <v>115.185</v>
      </c>
      <c r="M3798">
        <f t="shared" si="1618"/>
        <v>3.2650000000000006</v>
      </c>
      <c r="N3798">
        <f t="shared" si="1607"/>
        <v>6.5300000000000011</v>
      </c>
      <c r="O3798">
        <f t="shared" si="1619"/>
        <v>117.94</v>
      </c>
      <c r="P3798">
        <f t="shared" si="1620"/>
        <v>0.84379785604900304</v>
      </c>
      <c r="Q3798" t="str">
        <f t="shared" si="1608"/>
        <v>5.1% | 0.43%</v>
      </c>
      <c r="R3798" t="str">
        <f t="shared" si="1621"/>
        <v>BULLISH</v>
      </c>
      <c r="S3798">
        <f t="shared" si="1609"/>
        <v>1</v>
      </c>
    </row>
    <row r="3799" spans="1:19" hidden="1" x14ac:dyDescent="0.25">
      <c r="A3799" s="5" t="str">
        <f t="shared" si="1610"/>
        <v>44067XLRE</v>
      </c>
      <c r="B3799" s="6" t="s">
        <v>167</v>
      </c>
      <c r="C3799" s="6">
        <v>35.299999999999997</v>
      </c>
      <c r="D3799" s="6">
        <v>36.64</v>
      </c>
      <c r="E3799" s="6">
        <v>35.9</v>
      </c>
      <c r="F3799" t="str">
        <f t="shared" si="1611"/>
        <v>MON</v>
      </c>
      <c r="G3799" s="3">
        <f t="shared" si="1612"/>
        <v>44067</v>
      </c>
      <c r="H3799" s="2">
        <f t="shared" ca="1" si="1613"/>
        <v>186</v>
      </c>
      <c r="I3799" t="str">
        <f t="shared" si="1614"/>
        <v>XLRE</v>
      </c>
      <c r="J3799">
        <f t="shared" si="1615"/>
        <v>35.299999999999997</v>
      </c>
      <c r="K3799">
        <f t="shared" si="1616"/>
        <v>36.64</v>
      </c>
      <c r="L3799">
        <f t="shared" si="1617"/>
        <v>35.97</v>
      </c>
      <c r="M3799">
        <f t="shared" si="1618"/>
        <v>0.67000000000000171</v>
      </c>
      <c r="N3799">
        <f t="shared" si="1607"/>
        <v>1.3400000000000034</v>
      </c>
      <c r="O3799">
        <f t="shared" si="1619"/>
        <v>35.9</v>
      </c>
      <c r="P3799">
        <f t="shared" si="1620"/>
        <v>-0.10447761194029867</v>
      </c>
      <c r="Q3799" t="str">
        <f t="shared" si="1608"/>
        <v>1.67% | 2.06%</v>
      </c>
      <c r="R3799" t="str">
        <f t="shared" si="1621"/>
        <v>BULLISH</v>
      </c>
      <c r="S3799">
        <f t="shared" si="1609"/>
        <v>1</v>
      </c>
    </row>
    <row r="3800" spans="1:19" hidden="1" x14ac:dyDescent="0.25">
      <c r="A3800" s="5" t="str">
        <f t="shared" si="1610"/>
        <v>44067XLU</v>
      </c>
      <c r="B3800" s="6" t="s">
        <v>168</v>
      </c>
      <c r="C3800" s="6">
        <v>59.03</v>
      </c>
      <c r="D3800" s="6">
        <v>61.35</v>
      </c>
      <c r="E3800" s="6">
        <v>59.42</v>
      </c>
      <c r="F3800" t="str">
        <f t="shared" si="1611"/>
        <v>MON</v>
      </c>
      <c r="G3800" s="3">
        <f t="shared" si="1612"/>
        <v>44067</v>
      </c>
      <c r="H3800" s="2">
        <f t="shared" ca="1" si="1613"/>
        <v>186</v>
      </c>
      <c r="I3800" t="str">
        <f t="shared" si="1614"/>
        <v>XLU</v>
      </c>
      <c r="J3800">
        <f t="shared" si="1615"/>
        <v>59.03</v>
      </c>
      <c r="K3800">
        <f t="shared" si="1616"/>
        <v>61.35</v>
      </c>
      <c r="L3800">
        <f t="shared" si="1617"/>
        <v>60.19</v>
      </c>
      <c r="M3800">
        <f t="shared" si="1618"/>
        <v>1.1600000000000001</v>
      </c>
      <c r="N3800">
        <f t="shared" si="1607"/>
        <v>2.3200000000000003</v>
      </c>
      <c r="O3800">
        <f t="shared" si="1619"/>
        <v>59.42</v>
      </c>
      <c r="P3800">
        <f t="shared" si="1620"/>
        <v>-0.66379310344827236</v>
      </c>
      <c r="Q3800" t="str">
        <f t="shared" si="1608"/>
        <v>0.66% | 3.25%</v>
      </c>
      <c r="R3800" t="str">
        <f t="shared" si="1621"/>
        <v>BULLISH</v>
      </c>
      <c r="S3800">
        <f t="shared" si="1609"/>
        <v>1</v>
      </c>
    </row>
    <row r="3801" spans="1:19" hidden="1" x14ac:dyDescent="0.25">
      <c r="A3801" s="5" t="str">
        <f t="shared" si="1610"/>
        <v>44067XLF</v>
      </c>
      <c r="B3801" s="6" t="s">
        <v>169</v>
      </c>
      <c r="C3801" s="6">
        <v>23.99</v>
      </c>
      <c r="D3801" s="6">
        <v>25.51</v>
      </c>
      <c r="E3801" s="6">
        <v>24.31</v>
      </c>
      <c r="F3801" t="str">
        <f t="shared" si="1611"/>
        <v>MON</v>
      </c>
      <c r="G3801" s="3">
        <f t="shared" si="1612"/>
        <v>44067</v>
      </c>
      <c r="H3801" s="2">
        <f t="shared" ca="1" si="1613"/>
        <v>186</v>
      </c>
      <c r="I3801" t="str">
        <f t="shared" si="1614"/>
        <v>XLF</v>
      </c>
      <c r="J3801">
        <f t="shared" si="1615"/>
        <v>23.99</v>
      </c>
      <c r="K3801">
        <f t="shared" si="1616"/>
        <v>25.51</v>
      </c>
      <c r="L3801">
        <f t="shared" si="1617"/>
        <v>24.75</v>
      </c>
      <c r="M3801">
        <f t="shared" si="1618"/>
        <v>0.76000000000000156</v>
      </c>
      <c r="N3801">
        <f t="shared" si="1607"/>
        <v>1.5200000000000031</v>
      </c>
      <c r="O3801">
        <f t="shared" si="1619"/>
        <v>24.31</v>
      </c>
      <c r="P3801">
        <f t="shared" si="1620"/>
        <v>-0.5789473684210531</v>
      </c>
      <c r="Q3801" t="str">
        <f t="shared" si="1608"/>
        <v>1.32% | 4.94%</v>
      </c>
      <c r="R3801" t="str">
        <f t="shared" si="1621"/>
        <v>BEARISH</v>
      </c>
      <c r="S3801">
        <f t="shared" si="1609"/>
        <v>-1</v>
      </c>
    </row>
    <row r="3802" spans="1:19" hidden="1" x14ac:dyDescent="0.25">
      <c r="A3802" s="5" t="str">
        <f t="shared" si="1610"/>
        <v>44067SSEC</v>
      </c>
      <c r="B3802" s="6" t="s">
        <v>170</v>
      </c>
      <c r="C3802" s="6">
        <v>3289</v>
      </c>
      <c r="D3802" s="6">
        <v>3469</v>
      </c>
      <c r="E3802" s="6">
        <v>3385</v>
      </c>
      <c r="F3802" t="str">
        <f t="shared" si="1611"/>
        <v>MON</v>
      </c>
      <c r="G3802" s="3">
        <f t="shared" si="1612"/>
        <v>44067</v>
      </c>
      <c r="H3802" s="2">
        <f t="shared" ca="1" si="1613"/>
        <v>186</v>
      </c>
      <c r="I3802" t="str">
        <f t="shared" si="1614"/>
        <v>SSEC</v>
      </c>
      <c r="J3802">
        <f t="shared" si="1615"/>
        <v>3289</v>
      </c>
      <c r="K3802">
        <f t="shared" si="1616"/>
        <v>3469</v>
      </c>
      <c r="L3802">
        <f t="shared" si="1617"/>
        <v>3379</v>
      </c>
      <c r="M3802">
        <f t="shared" si="1618"/>
        <v>90</v>
      </c>
      <c r="N3802">
        <f t="shared" si="1607"/>
        <v>180</v>
      </c>
      <c r="O3802">
        <f t="shared" si="1619"/>
        <v>3385</v>
      </c>
      <c r="P3802">
        <f t="shared" si="1620"/>
        <v>6.6666666666666666E-2</v>
      </c>
      <c r="Q3802" t="str">
        <f t="shared" si="1608"/>
        <v>2.84% | 2.48%</v>
      </c>
      <c r="R3802" t="str">
        <f t="shared" si="1621"/>
        <v>BULLISH</v>
      </c>
      <c r="S3802">
        <f t="shared" si="1609"/>
        <v>1</v>
      </c>
    </row>
    <row r="3803" spans="1:19" hidden="1" x14ac:dyDescent="0.25">
      <c r="A3803" s="5" t="str">
        <f t="shared" si="1610"/>
        <v>44067NIKK</v>
      </c>
      <c r="B3803" s="6" t="s">
        <v>171</v>
      </c>
      <c r="C3803" s="6">
        <v>22602</v>
      </c>
      <c r="D3803" s="6">
        <v>23390</v>
      </c>
      <c r="E3803" s="6">
        <v>22985</v>
      </c>
      <c r="F3803" t="str">
        <f t="shared" si="1611"/>
        <v>MON</v>
      </c>
      <c r="G3803" s="3">
        <f t="shared" si="1612"/>
        <v>44067</v>
      </c>
      <c r="H3803" s="2">
        <f t="shared" ca="1" si="1613"/>
        <v>186</v>
      </c>
      <c r="I3803" t="str">
        <f t="shared" si="1614"/>
        <v>NIKK</v>
      </c>
      <c r="J3803">
        <f t="shared" si="1615"/>
        <v>22602</v>
      </c>
      <c r="K3803">
        <f t="shared" si="1616"/>
        <v>23390</v>
      </c>
      <c r="L3803">
        <f t="shared" si="1617"/>
        <v>22996</v>
      </c>
      <c r="M3803">
        <f t="shared" si="1618"/>
        <v>394</v>
      </c>
      <c r="N3803">
        <f t="shared" si="1607"/>
        <v>788</v>
      </c>
      <c r="O3803">
        <f t="shared" si="1619"/>
        <v>22985</v>
      </c>
      <c r="P3803">
        <f t="shared" si="1620"/>
        <v>-2.7918781725888325E-2</v>
      </c>
      <c r="Q3803" t="str">
        <f t="shared" si="1608"/>
        <v>1.67% | 1.76%</v>
      </c>
      <c r="R3803" t="str">
        <f t="shared" si="1621"/>
        <v>NEUTRAL</v>
      </c>
      <c r="S3803">
        <f t="shared" si="1609"/>
        <v>0</v>
      </c>
    </row>
    <row r="3804" spans="1:19" hidden="1" x14ac:dyDescent="0.25">
      <c r="A3804" s="5" t="str">
        <f t="shared" si="1610"/>
        <v>44067DAX</v>
      </c>
      <c r="B3804" s="6" t="s">
        <v>172</v>
      </c>
      <c r="C3804" s="6">
        <v>12773</v>
      </c>
      <c r="D3804" s="6">
        <v>13099</v>
      </c>
      <c r="E3804" s="6">
        <v>12785</v>
      </c>
      <c r="F3804" t="str">
        <f t="shared" si="1611"/>
        <v>MON</v>
      </c>
      <c r="G3804" s="3">
        <f t="shared" si="1612"/>
        <v>44067</v>
      </c>
      <c r="H3804" s="2">
        <f t="shared" ca="1" si="1613"/>
        <v>186</v>
      </c>
      <c r="I3804" t="str">
        <f t="shared" si="1614"/>
        <v>DAX</v>
      </c>
      <c r="J3804">
        <f t="shared" si="1615"/>
        <v>12773</v>
      </c>
      <c r="K3804">
        <f t="shared" si="1616"/>
        <v>13099</v>
      </c>
      <c r="L3804">
        <f t="shared" si="1617"/>
        <v>12936</v>
      </c>
      <c r="M3804">
        <f t="shared" si="1618"/>
        <v>163</v>
      </c>
      <c r="N3804">
        <f t="shared" si="1607"/>
        <v>326</v>
      </c>
      <c r="O3804">
        <f t="shared" si="1619"/>
        <v>12785</v>
      </c>
      <c r="P3804">
        <f t="shared" si="1620"/>
        <v>-0.92638036809815949</v>
      </c>
      <c r="Q3804" t="str">
        <f t="shared" si="1608"/>
        <v>0.09% | 2.46%</v>
      </c>
      <c r="R3804" t="str">
        <f t="shared" si="1621"/>
        <v>BULLISH</v>
      </c>
      <c r="S3804">
        <f t="shared" si="1609"/>
        <v>1</v>
      </c>
    </row>
    <row r="3805" spans="1:19" hidden="1" x14ac:dyDescent="0.25">
      <c r="A3805" s="5" t="str">
        <f t="shared" si="1610"/>
        <v>44067VIX</v>
      </c>
      <c r="B3805" s="6" t="s">
        <v>192</v>
      </c>
      <c r="C3805" s="6">
        <v>20.78</v>
      </c>
      <c r="D3805" s="6">
        <v>27.99</v>
      </c>
      <c r="E3805" s="6">
        <v>22.54</v>
      </c>
      <c r="F3805" t="str">
        <f t="shared" si="1611"/>
        <v>MON</v>
      </c>
      <c r="G3805" s="3">
        <f t="shared" si="1612"/>
        <v>44067</v>
      </c>
      <c r="H3805" s="2">
        <f t="shared" ca="1" si="1613"/>
        <v>186</v>
      </c>
      <c r="I3805" t="str">
        <f t="shared" si="1614"/>
        <v>VIX</v>
      </c>
      <c r="J3805">
        <f t="shared" si="1615"/>
        <v>20.78</v>
      </c>
      <c r="K3805">
        <f t="shared" si="1616"/>
        <v>27.99</v>
      </c>
      <c r="L3805">
        <f t="shared" si="1617"/>
        <v>24.384999999999998</v>
      </c>
      <c r="M3805">
        <f t="shared" si="1618"/>
        <v>3.6050000000000044</v>
      </c>
      <c r="N3805">
        <f t="shared" si="1607"/>
        <v>7.2099999999999973</v>
      </c>
      <c r="O3805">
        <f t="shared" si="1619"/>
        <v>22.54</v>
      </c>
      <c r="P3805">
        <f t="shared" si="1620"/>
        <v>-0.51178918169209342</v>
      </c>
      <c r="Q3805" t="str">
        <f t="shared" si="1608"/>
        <v>7.81% | 24.18%</v>
      </c>
      <c r="R3805" t="str">
        <f t="shared" si="1621"/>
        <v>BEARISH</v>
      </c>
      <c r="S3805">
        <f t="shared" si="1609"/>
        <v>-1</v>
      </c>
    </row>
    <row r="3806" spans="1:19" hidden="1" x14ac:dyDescent="0.25">
      <c r="A3806" s="5" t="str">
        <f t="shared" si="1610"/>
        <v>44067USD</v>
      </c>
      <c r="B3806" s="6" t="s">
        <v>174</v>
      </c>
      <c r="C3806" s="6">
        <v>92.21</v>
      </c>
      <c r="D3806" s="6">
        <v>93.8</v>
      </c>
      <c r="E3806" s="6">
        <v>93.27</v>
      </c>
      <c r="F3806" t="str">
        <f t="shared" si="1611"/>
        <v>MON</v>
      </c>
      <c r="G3806" s="3">
        <f t="shared" si="1612"/>
        <v>44067</v>
      </c>
      <c r="H3806" s="2">
        <f t="shared" ca="1" si="1613"/>
        <v>186</v>
      </c>
      <c r="I3806" t="str">
        <f t="shared" si="1614"/>
        <v>USD</v>
      </c>
      <c r="J3806">
        <f t="shared" si="1615"/>
        <v>92.21</v>
      </c>
      <c r="K3806">
        <f t="shared" si="1616"/>
        <v>93.8</v>
      </c>
      <c r="L3806">
        <f t="shared" si="1617"/>
        <v>93.004999999999995</v>
      </c>
      <c r="M3806">
        <f t="shared" si="1618"/>
        <v>0.79500000000000171</v>
      </c>
      <c r="N3806">
        <f t="shared" si="1607"/>
        <v>1.5900000000000034</v>
      </c>
      <c r="O3806">
        <f t="shared" si="1619"/>
        <v>93.27</v>
      </c>
      <c r="P3806">
        <f t="shared" si="1620"/>
        <v>0.33333333333333331</v>
      </c>
      <c r="Q3806" t="str">
        <f t="shared" si="1608"/>
        <v>1.14% | 0.57%</v>
      </c>
      <c r="R3806" t="str">
        <f t="shared" si="1621"/>
        <v>BEARISH</v>
      </c>
      <c r="S3806">
        <f t="shared" si="1609"/>
        <v>-1</v>
      </c>
    </row>
    <row r="3807" spans="1:19" hidden="1" x14ac:dyDescent="0.25">
      <c r="A3807" s="5" t="str">
        <f t="shared" si="1610"/>
        <v>44067EUR/USD</v>
      </c>
      <c r="B3807" s="6" t="s">
        <v>175</v>
      </c>
      <c r="C3807" s="6">
        <v>1.17</v>
      </c>
      <c r="D3807" s="6">
        <v>1.19</v>
      </c>
      <c r="E3807" s="6">
        <v>1.18</v>
      </c>
      <c r="F3807" t="str">
        <f t="shared" si="1611"/>
        <v>MON</v>
      </c>
      <c r="G3807" s="3">
        <f t="shared" si="1612"/>
        <v>44067</v>
      </c>
      <c r="H3807" s="2">
        <f t="shared" ca="1" si="1613"/>
        <v>186</v>
      </c>
      <c r="I3807" t="str">
        <f t="shared" si="1614"/>
        <v>EUR/USD</v>
      </c>
      <c r="J3807">
        <f t="shared" si="1615"/>
        <v>1.17</v>
      </c>
      <c r="K3807">
        <f t="shared" si="1616"/>
        <v>1.19</v>
      </c>
      <c r="L3807">
        <f t="shared" si="1617"/>
        <v>1.18</v>
      </c>
      <c r="M3807">
        <f t="shared" si="1618"/>
        <v>1.0000000000000009E-2</v>
      </c>
      <c r="N3807">
        <f t="shared" si="1607"/>
        <v>2.0000000000000018E-2</v>
      </c>
      <c r="O3807">
        <f t="shared" si="1619"/>
        <v>1.18</v>
      </c>
      <c r="P3807">
        <f t="shared" si="1620"/>
        <v>0</v>
      </c>
      <c r="Q3807" t="str">
        <f t="shared" si="1608"/>
        <v>0.85% | 0.85%</v>
      </c>
      <c r="R3807" t="str">
        <f t="shared" si="1621"/>
        <v>BULLISH</v>
      </c>
      <c r="S3807">
        <f t="shared" si="1609"/>
        <v>1</v>
      </c>
    </row>
    <row r="3808" spans="1:19" hidden="1" x14ac:dyDescent="0.25">
      <c r="A3808" s="5" t="str">
        <f t="shared" si="1610"/>
        <v>44067USD/JPY</v>
      </c>
      <c r="B3808" s="6" t="s">
        <v>176</v>
      </c>
      <c r="C3808" s="6">
        <v>105.15</v>
      </c>
      <c r="D3808" s="6">
        <v>107.09</v>
      </c>
      <c r="E3808" s="6">
        <v>105.81</v>
      </c>
      <c r="F3808" t="str">
        <f t="shared" si="1611"/>
        <v>MON</v>
      </c>
      <c r="G3808" s="3">
        <f t="shared" si="1612"/>
        <v>44067</v>
      </c>
      <c r="H3808" s="2">
        <f t="shared" ca="1" si="1613"/>
        <v>186</v>
      </c>
      <c r="I3808" t="str">
        <f t="shared" si="1614"/>
        <v>USD/JPY</v>
      </c>
      <c r="J3808">
        <f t="shared" si="1615"/>
        <v>105.15</v>
      </c>
      <c r="K3808">
        <f t="shared" si="1616"/>
        <v>107.09</v>
      </c>
      <c r="L3808">
        <f t="shared" si="1617"/>
        <v>106.12</v>
      </c>
      <c r="M3808">
        <f t="shared" si="1618"/>
        <v>0.96999999999999886</v>
      </c>
      <c r="N3808">
        <f t="shared" si="1607"/>
        <v>1.9399999999999977</v>
      </c>
      <c r="O3808">
        <f t="shared" si="1619"/>
        <v>105.81</v>
      </c>
      <c r="P3808">
        <f t="shared" si="1620"/>
        <v>-0.31958762886598208</v>
      </c>
      <c r="Q3808" t="str">
        <f t="shared" si="1608"/>
        <v>0.62% | 1.21%</v>
      </c>
      <c r="R3808" t="str">
        <f t="shared" si="1621"/>
        <v>BEARISH</v>
      </c>
      <c r="S3808">
        <f t="shared" si="1609"/>
        <v>-1</v>
      </c>
    </row>
    <row r="3809" spans="1:19" hidden="1" x14ac:dyDescent="0.25">
      <c r="A3809" s="5" t="str">
        <f t="shared" si="1610"/>
        <v>44067GBP/USD</v>
      </c>
      <c r="B3809" s="6" t="s">
        <v>177</v>
      </c>
      <c r="C3809" s="6">
        <v>1.3</v>
      </c>
      <c r="D3809" s="6">
        <v>1.33</v>
      </c>
      <c r="E3809" s="6">
        <v>1.3</v>
      </c>
      <c r="F3809" t="str">
        <f t="shared" si="1611"/>
        <v>MON</v>
      </c>
      <c r="G3809" s="3">
        <f t="shared" si="1612"/>
        <v>44067</v>
      </c>
      <c r="H3809" s="2">
        <f t="shared" ca="1" si="1613"/>
        <v>186</v>
      </c>
      <c r="I3809" t="str">
        <f t="shared" si="1614"/>
        <v>GBP/USD</v>
      </c>
      <c r="J3809">
        <f t="shared" si="1615"/>
        <v>1.3</v>
      </c>
      <c r="K3809">
        <f t="shared" si="1616"/>
        <v>1.33</v>
      </c>
      <c r="L3809">
        <f t="shared" si="1617"/>
        <v>1.3149999999999999</v>
      </c>
      <c r="M3809">
        <f t="shared" si="1618"/>
        <v>1.5000000000000013E-2</v>
      </c>
      <c r="N3809">
        <f t="shared" si="1607"/>
        <v>3.0000000000000027E-2</v>
      </c>
      <c r="O3809">
        <f t="shared" si="1619"/>
        <v>1.3</v>
      </c>
      <c r="P3809">
        <f t="shared" si="1620"/>
        <v>-0.99999999999999256</v>
      </c>
      <c r="Q3809" t="str">
        <f t="shared" si="1608"/>
        <v>0% | 2.31%</v>
      </c>
      <c r="R3809" t="str">
        <f t="shared" si="1621"/>
        <v>BULLISH</v>
      </c>
      <c r="S3809">
        <f t="shared" si="1609"/>
        <v>1</v>
      </c>
    </row>
    <row r="3810" spans="1:19" hidden="1" x14ac:dyDescent="0.25">
      <c r="A3810" s="5" t="str">
        <f t="shared" si="1610"/>
        <v>44067USD/CHF</v>
      </c>
      <c r="B3810" s="6" t="s">
        <v>178</v>
      </c>
      <c r="C3810" s="6">
        <v>0.9</v>
      </c>
      <c r="D3810" s="6">
        <v>0.92</v>
      </c>
      <c r="E3810" s="6">
        <v>0.91</v>
      </c>
      <c r="F3810" t="str">
        <f t="shared" si="1611"/>
        <v>MON</v>
      </c>
      <c r="G3810" s="3">
        <f t="shared" si="1612"/>
        <v>44067</v>
      </c>
      <c r="H3810" s="2">
        <f t="shared" ca="1" si="1613"/>
        <v>186</v>
      </c>
      <c r="I3810" t="str">
        <f t="shared" si="1614"/>
        <v>USD/CHF</v>
      </c>
      <c r="J3810">
        <f t="shared" si="1615"/>
        <v>0.9</v>
      </c>
      <c r="K3810">
        <f t="shared" si="1616"/>
        <v>0.92</v>
      </c>
      <c r="L3810">
        <f t="shared" si="1617"/>
        <v>0.91</v>
      </c>
      <c r="M3810">
        <f t="shared" si="1618"/>
        <v>1.0000000000000009E-2</v>
      </c>
      <c r="N3810">
        <f t="shared" si="1607"/>
        <v>2.0000000000000018E-2</v>
      </c>
      <c r="O3810">
        <f t="shared" si="1619"/>
        <v>0.91</v>
      </c>
      <c r="P3810">
        <f t="shared" si="1620"/>
        <v>0</v>
      </c>
      <c r="Q3810" t="str">
        <f t="shared" si="1608"/>
        <v>1.1% | 1.1%</v>
      </c>
      <c r="R3810" t="str">
        <f t="shared" si="1621"/>
        <v>BEARISH</v>
      </c>
      <c r="S3810">
        <f t="shared" si="1609"/>
        <v>-1</v>
      </c>
    </row>
    <row r="3811" spans="1:19" hidden="1" x14ac:dyDescent="0.25">
      <c r="A3811" s="5" t="str">
        <f t="shared" si="1610"/>
        <v>44067WTIC</v>
      </c>
      <c r="B3811" s="6" t="s">
        <v>179</v>
      </c>
      <c r="C3811" s="6">
        <v>41.48</v>
      </c>
      <c r="D3811" s="6">
        <v>43.61</v>
      </c>
      <c r="E3811" s="6">
        <v>42.34</v>
      </c>
      <c r="F3811" t="str">
        <f t="shared" si="1611"/>
        <v>MON</v>
      </c>
      <c r="G3811" s="3">
        <f t="shared" si="1612"/>
        <v>44067</v>
      </c>
      <c r="H3811" s="2">
        <f t="shared" ca="1" si="1613"/>
        <v>186</v>
      </c>
      <c r="I3811" t="str">
        <f t="shared" si="1614"/>
        <v>WTIC</v>
      </c>
      <c r="J3811">
        <f t="shared" si="1615"/>
        <v>41.48</v>
      </c>
      <c r="K3811">
        <f t="shared" si="1616"/>
        <v>43.61</v>
      </c>
      <c r="L3811">
        <f t="shared" si="1617"/>
        <v>42.545000000000002</v>
      </c>
      <c r="M3811">
        <f t="shared" si="1618"/>
        <v>1.0650000000000013</v>
      </c>
      <c r="N3811">
        <f t="shared" si="1607"/>
        <v>2.1300000000000026</v>
      </c>
      <c r="O3811">
        <f t="shared" si="1619"/>
        <v>42.34</v>
      </c>
      <c r="P3811">
        <f t="shared" si="1620"/>
        <v>-0.19248826291079629</v>
      </c>
      <c r="Q3811" t="str">
        <f t="shared" si="1608"/>
        <v>2.03% | 3%</v>
      </c>
      <c r="R3811" t="str">
        <f t="shared" si="1621"/>
        <v>BULLISH</v>
      </c>
      <c r="S3811">
        <f t="shared" si="1609"/>
        <v>1</v>
      </c>
    </row>
    <row r="3812" spans="1:19" hidden="1" x14ac:dyDescent="0.25">
      <c r="A3812" s="5" t="str">
        <f t="shared" si="1610"/>
        <v>44067NATGAS</v>
      </c>
      <c r="B3812" s="6" t="s">
        <v>180</v>
      </c>
      <c r="C3812" s="6">
        <v>2.13</v>
      </c>
      <c r="D3812" s="6">
        <v>2.61</v>
      </c>
      <c r="E3812" s="6">
        <v>2.57</v>
      </c>
      <c r="F3812" t="str">
        <f t="shared" si="1611"/>
        <v>MON</v>
      </c>
      <c r="G3812" s="3">
        <f t="shared" si="1612"/>
        <v>44067</v>
      </c>
      <c r="H3812" s="2">
        <f t="shared" ca="1" si="1613"/>
        <v>186</v>
      </c>
      <c r="I3812" t="str">
        <f t="shared" si="1614"/>
        <v>NATGAS</v>
      </c>
      <c r="J3812">
        <f t="shared" si="1615"/>
        <v>2.13</v>
      </c>
      <c r="K3812">
        <f t="shared" si="1616"/>
        <v>2.61</v>
      </c>
      <c r="L3812">
        <f t="shared" si="1617"/>
        <v>2.37</v>
      </c>
      <c r="M3812">
        <f t="shared" si="1618"/>
        <v>0.23999999999999788</v>
      </c>
      <c r="N3812">
        <f t="shared" si="1607"/>
        <v>0.48</v>
      </c>
      <c r="O3812">
        <f t="shared" si="1619"/>
        <v>2.57</v>
      </c>
      <c r="P3812">
        <f t="shared" si="1620"/>
        <v>0.83333333333333959</v>
      </c>
      <c r="Q3812" t="str">
        <f t="shared" si="1608"/>
        <v>17.12% | 1.56%</v>
      </c>
      <c r="R3812" t="str">
        <f t="shared" si="1621"/>
        <v>BULLISH</v>
      </c>
      <c r="S3812">
        <f t="shared" si="1609"/>
        <v>1</v>
      </c>
    </row>
    <row r="3813" spans="1:19" hidden="1" x14ac:dyDescent="0.25">
      <c r="A3813" s="5" t="str">
        <f t="shared" si="1610"/>
        <v>44067GOLD</v>
      </c>
      <c r="B3813" s="6" t="s">
        <v>181</v>
      </c>
      <c r="C3813" s="6">
        <v>1916</v>
      </c>
      <c r="D3813" s="6">
        <v>2022</v>
      </c>
      <c r="E3813" s="6">
        <v>1947</v>
      </c>
      <c r="F3813" t="str">
        <f t="shared" si="1611"/>
        <v>MON</v>
      </c>
      <c r="G3813" s="3">
        <f t="shared" si="1612"/>
        <v>44067</v>
      </c>
      <c r="H3813" s="2">
        <f t="shared" ca="1" si="1613"/>
        <v>186</v>
      </c>
      <c r="I3813" t="str">
        <f t="shared" si="1614"/>
        <v>GOLD</v>
      </c>
      <c r="J3813">
        <f t="shared" si="1615"/>
        <v>1916</v>
      </c>
      <c r="K3813">
        <f t="shared" si="1616"/>
        <v>2022</v>
      </c>
      <c r="L3813">
        <f t="shared" si="1617"/>
        <v>1969</v>
      </c>
      <c r="M3813">
        <f t="shared" si="1618"/>
        <v>53</v>
      </c>
      <c r="N3813">
        <f t="shared" si="1607"/>
        <v>106</v>
      </c>
      <c r="O3813">
        <f t="shared" si="1619"/>
        <v>1947</v>
      </c>
      <c r="P3813">
        <f t="shared" si="1620"/>
        <v>-0.41509433962264153</v>
      </c>
      <c r="Q3813" t="str">
        <f t="shared" si="1608"/>
        <v>1.59% | 3.85%</v>
      </c>
      <c r="R3813" t="str">
        <f t="shared" si="1621"/>
        <v>BULLISH</v>
      </c>
      <c r="S3813">
        <f t="shared" si="1609"/>
        <v>1</v>
      </c>
    </row>
    <row r="3814" spans="1:19" hidden="1" x14ac:dyDescent="0.25">
      <c r="A3814" s="5" t="str">
        <f t="shared" si="1610"/>
        <v>44067SILVER</v>
      </c>
      <c r="B3814" s="6" t="s">
        <v>199</v>
      </c>
      <c r="C3814" s="6">
        <v>25.13</v>
      </c>
      <c r="D3814" s="6">
        <v>28.58</v>
      </c>
      <c r="E3814" s="6">
        <v>26.73</v>
      </c>
      <c r="F3814" t="str">
        <f t="shared" si="1611"/>
        <v>MON</v>
      </c>
      <c r="G3814" s="3">
        <f t="shared" si="1612"/>
        <v>44067</v>
      </c>
      <c r="H3814" s="2">
        <f t="shared" ca="1" si="1613"/>
        <v>186</v>
      </c>
      <c r="I3814" t="str">
        <f t="shared" si="1614"/>
        <v>SILVER</v>
      </c>
      <c r="J3814">
        <f t="shared" si="1615"/>
        <v>25.13</v>
      </c>
      <c r="K3814">
        <f t="shared" si="1616"/>
        <v>28.58</v>
      </c>
      <c r="L3814">
        <f t="shared" si="1617"/>
        <v>26.854999999999997</v>
      </c>
      <c r="M3814">
        <f t="shared" si="1618"/>
        <v>1.7249999999999996</v>
      </c>
      <c r="N3814">
        <f t="shared" si="1607"/>
        <v>3.4499999999999993</v>
      </c>
      <c r="O3814">
        <f t="shared" si="1619"/>
        <v>26.73</v>
      </c>
      <c r="P3814">
        <f t="shared" si="1620"/>
        <v>-7.2463768115939978E-2</v>
      </c>
      <c r="Q3814" t="str">
        <f t="shared" si="1608"/>
        <v>5.99% | 6.92%</v>
      </c>
      <c r="R3814" t="str">
        <f t="shared" si="1621"/>
        <v>BULLISH</v>
      </c>
      <c r="S3814">
        <f t="shared" si="1609"/>
        <v>1</v>
      </c>
    </row>
    <row r="3815" spans="1:19" hidden="1" x14ac:dyDescent="0.25">
      <c r="A3815" s="5" t="str">
        <f t="shared" si="1610"/>
        <v>44067COPPER</v>
      </c>
      <c r="B3815" s="6" t="s">
        <v>182</v>
      </c>
      <c r="C3815" s="6">
        <v>2.8</v>
      </c>
      <c r="D3815" s="6">
        <v>3.05</v>
      </c>
      <c r="E3815" s="6">
        <v>2.92</v>
      </c>
      <c r="F3815" t="str">
        <f t="shared" si="1611"/>
        <v>MON</v>
      </c>
      <c r="G3815" s="3">
        <f t="shared" si="1612"/>
        <v>44067</v>
      </c>
      <c r="H3815" s="2">
        <f t="shared" ca="1" si="1613"/>
        <v>186</v>
      </c>
      <c r="I3815" t="str">
        <f t="shared" si="1614"/>
        <v>COPPER</v>
      </c>
      <c r="J3815">
        <f t="shared" si="1615"/>
        <v>2.8</v>
      </c>
      <c r="K3815">
        <f t="shared" si="1616"/>
        <v>3.05</v>
      </c>
      <c r="L3815">
        <f t="shared" si="1617"/>
        <v>2.9249999999999998</v>
      </c>
      <c r="M3815">
        <f t="shared" si="1618"/>
        <v>0.125</v>
      </c>
      <c r="N3815">
        <f t="shared" si="1607"/>
        <v>0.25</v>
      </c>
      <c r="O3815">
        <f t="shared" si="1619"/>
        <v>2.92</v>
      </c>
      <c r="P3815">
        <f t="shared" si="1620"/>
        <v>-3.9999999999999147E-2</v>
      </c>
      <c r="Q3815" t="str">
        <f t="shared" si="1608"/>
        <v>4.11% | 4.45%</v>
      </c>
      <c r="R3815" t="str">
        <f t="shared" si="1621"/>
        <v>BULLISH</v>
      </c>
      <c r="S3815">
        <f t="shared" si="1609"/>
        <v>1</v>
      </c>
    </row>
    <row r="3816" spans="1:19" hidden="1" x14ac:dyDescent="0.25">
      <c r="A3816" s="5" t="str">
        <f t="shared" si="1610"/>
        <v>44067MSFT</v>
      </c>
      <c r="B3816" s="6" t="s">
        <v>183</v>
      </c>
      <c r="C3816" s="6">
        <v>204</v>
      </c>
      <c r="D3816" s="6">
        <v>216</v>
      </c>
      <c r="E3816" s="6">
        <v>213</v>
      </c>
      <c r="F3816" t="str">
        <f t="shared" si="1611"/>
        <v>MON</v>
      </c>
      <c r="G3816" s="3">
        <f t="shared" si="1612"/>
        <v>44067</v>
      </c>
      <c r="H3816" s="2">
        <f t="shared" ca="1" si="1613"/>
        <v>186</v>
      </c>
      <c r="I3816" t="str">
        <f t="shared" si="1614"/>
        <v>MSFT</v>
      </c>
      <c r="J3816">
        <f t="shared" si="1615"/>
        <v>204</v>
      </c>
      <c r="K3816">
        <f t="shared" si="1616"/>
        <v>216</v>
      </c>
      <c r="L3816">
        <f t="shared" si="1617"/>
        <v>210</v>
      </c>
      <c r="M3816">
        <f t="shared" si="1618"/>
        <v>6</v>
      </c>
      <c r="N3816">
        <f t="shared" si="1607"/>
        <v>12</v>
      </c>
      <c r="O3816">
        <f t="shared" si="1619"/>
        <v>213</v>
      </c>
      <c r="P3816">
        <f t="shared" si="1620"/>
        <v>0.5</v>
      </c>
      <c r="Q3816" t="str">
        <f t="shared" si="1608"/>
        <v>4.23% | 1.41%</v>
      </c>
      <c r="R3816" t="str">
        <f t="shared" si="1621"/>
        <v>BULLISH</v>
      </c>
      <c r="S3816">
        <f t="shared" si="1609"/>
        <v>1</v>
      </c>
    </row>
    <row r="3817" spans="1:19" hidden="1" x14ac:dyDescent="0.25">
      <c r="A3817" s="5" t="str">
        <f t="shared" si="1610"/>
        <v>44067AAPL</v>
      </c>
      <c r="B3817" s="6" t="s">
        <v>184</v>
      </c>
      <c r="C3817" s="6">
        <v>460</v>
      </c>
      <c r="D3817" s="6">
        <v>507</v>
      </c>
      <c r="E3817" s="6">
        <v>497</v>
      </c>
      <c r="F3817" t="str">
        <f t="shared" si="1611"/>
        <v>MON</v>
      </c>
      <c r="G3817" s="3">
        <f t="shared" si="1612"/>
        <v>44067</v>
      </c>
      <c r="H3817" s="2">
        <f t="shared" ca="1" si="1613"/>
        <v>186</v>
      </c>
      <c r="I3817" t="str">
        <f t="shared" si="1614"/>
        <v>AAPL</v>
      </c>
      <c r="J3817">
        <f t="shared" si="1615"/>
        <v>460</v>
      </c>
      <c r="K3817">
        <f t="shared" si="1616"/>
        <v>507</v>
      </c>
      <c r="L3817">
        <f t="shared" si="1617"/>
        <v>483.5</v>
      </c>
      <c r="M3817">
        <f t="shared" si="1618"/>
        <v>23.5</v>
      </c>
      <c r="N3817">
        <f t="shared" si="1607"/>
        <v>47</v>
      </c>
      <c r="O3817">
        <f t="shared" si="1619"/>
        <v>497</v>
      </c>
      <c r="P3817">
        <f t="shared" si="1620"/>
        <v>0.57446808510638303</v>
      </c>
      <c r="Q3817" t="str">
        <f t="shared" si="1608"/>
        <v>7.44% | 2.01%</v>
      </c>
      <c r="R3817" t="str">
        <f t="shared" si="1621"/>
        <v>BULLISH</v>
      </c>
      <c r="S3817">
        <f t="shared" si="1609"/>
        <v>1</v>
      </c>
    </row>
    <row r="3818" spans="1:19" hidden="1" x14ac:dyDescent="0.25">
      <c r="A3818" s="5" t="str">
        <f t="shared" si="1610"/>
        <v>44067AMZN</v>
      </c>
      <c r="B3818" s="6" t="s">
        <v>185</v>
      </c>
      <c r="C3818" s="6">
        <v>3201</v>
      </c>
      <c r="D3818" s="6">
        <v>3372</v>
      </c>
      <c r="E3818" s="6">
        <v>3284</v>
      </c>
      <c r="F3818" t="str">
        <f t="shared" si="1611"/>
        <v>MON</v>
      </c>
      <c r="G3818" s="3">
        <f t="shared" si="1612"/>
        <v>44067</v>
      </c>
      <c r="H3818" s="2">
        <f t="shared" ca="1" si="1613"/>
        <v>186</v>
      </c>
      <c r="I3818" t="str">
        <f t="shared" si="1614"/>
        <v>AMZN</v>
      </c>
      <c r="J3818">
        <f t="shared" si="1615"/>
        <v>3201</v>
      </c>
      <c r="K3818">
        <f t="shared" si="1616"/>
        <v>3372</v>
      </c>
      <c r="L3818">
        <f t="shared" si="1617"/>
        <v>3286.5</v>
      </c>
      <c r="M3818">
        <f t="shared" si="1618"/>
        <v>85.5</v>
      </c>
      <c r="N3818">
        <f t="shared" si="1607"/>
        <v>171</v>
      </c>
      <c r="O3818">
        <f t="shared" si="1619"/>
        <v>3284</v>
      </c>
      <c r="P3818">
        <f t="shared" si="1620"/>
        <v>-2.9239766081871343E-2</v>
      </c>
      <c r="Q3818" t="str">
        <f t="shared" si="1608"/>
        <v>2.53% | 2.68%</v>
      </c>
      <c r="R3818" t="str">
        <f t="shared" si="1621"/>
        <v>BULLISH</v>
      </c>
      <c r="S3818">
        <f t="shared" si="1609"/>
        <v>1</v>
      </c>
    </row>
    <row r="3819" spans="1:19" hidden="1" x14ac:dyDescent="0.25">
      <c r="A3819" s="5" t="str">
        <f t="shared" si="1610"/>
        <v>44067FB</v>
      </c>
      <c r="B3819" s="6" t="s">
        <v>186</v>
      </c>
      <c r="C3819" s="6">
        <v>255</v>
      </c>
      <c r="D3819" s="6">
        <v>270</v>
      </c>
      <c r="E3819" s="6">
        <v>267</v>
      </c>
      <c r="F3819" t="str">
        <f t="shared" si="1611"/>
        <v>MON</v>
      </c>
      <c r="G3819" s="3">
        <f t="shared" si="1612"/>
        <v>44067</v>
      </c>
      <c r="H3819" s="2">
        <f t="shared" ca="1" si="1613"/>
        <v>186</v>
      </c>
      <c r="I3819" t="str">
        <f t="shared" si="1614"/>
        <v>FB</v>
      </c>
      <c r="J3819">
        <f t="shared" si="1615"/>
        <v>255</v>
      </c>
      <c r="K3819">
        <f t="shared" si="1616"/>
        <v>270</v>
      </c>
      <c r="L3819">
        <f t="shared" si="1617"/>
        <v>262.5</v>
      </c>
      <c r="M3819">
        <f t="shared" si="1618"/>
        <v>7.5</v>
      </c>
      <c r="N3819">
        <f t="shared" si="1607"/>
        <v>15</v>
      </c>
      <c r="O3819">
        <f t="shared" si="1619"/>
        <v>267</v>
      </c>
      <c r="P3819">
        <f t="shared" si="1620"/>
        <v>0.6</v>
      </c>
      <c r="Q3819" t="str">
        <f t="shared" si="1608"/>
        <v>4.49% | 1.12%</v>
      </c>
      <c r="R3819" t="str">
        <f t="shared" si="1621"/>
        <v>BULLISH</v>
      </c>
      <c r="S3819">
        <f t="shared" si="1609"/>
        <v>1</v>
      </c>
    </row>
    <row r="3820" spans="1:19" hidden="1" x14ac:dyDescent="0.25">
      <c r="A3820" s="5" t="str">
        <f t="shared" si="1610"/>
        <v>44067GOOGL</v>
      </c>
      <c r="B3820" s="6" t="s">
        <v>187</v>
      </c>
      <c r="C3820" s="6">
        <v>1529</v>
      </c>
      <c r="D3820" s="6">
        <v>1597</v>
      </c>
      <c r="E3820" s="6">
        <v>1575</v>
      </c>
      <c r="F3820" t="str">
        <f t="shared" si="1611"/>
        <v>MON</v>
      </c>
      <c r="G3820" s="3">
        <f t="shared" si="1612"/>
        <v>44067</v>
      </c>
      <c r="H3820" s="2">
        <f t="shared" ca="1" si="1613"/>
        <v>186</v>
      </c>
      <c r="I3820" t="str">
        <f t="shared" si="1614"/>
        <v>GOOGL</v>
      </c>
      <c r="J3820">
        <f t="shared" si="1615"/>
        <v>1529</v>
      </c>
      <c r="K3820">
        <f t="shared" si="1616"/>
        <v>1597</v>
      </c>
      <c r="L3820">
        <f t="shared" si="1617"/>
        <v>1563</v>
      </c>
      <c r="M3820">
        <f t="shared" si="1618"/>
        <v>34</v>
      </c>
      <c r="N3820">
        <f t="shared" si="1607"/>
        <v>68</v>
      </c>
      <c r="O3820">
        <f t="shared" si="1619"/>
        <v>1575</v>
      </c>
      <c r="P3820">
        <f t="shared" si="1620"/>
        <v>0.35294117647058826</v>
      </c>
      <c r="Q3820" t="str">
        <f t="shared" si="1608"/>
        <v>2.92% | 1.4%</v>
      </c>
      <c r="R3820" t="str">
        <f t="shared" si="1621"/>
        <v>BULLISH</v>
      </c>
      <c r="S3820">
        <f t="shared" si="1609"/>
        <v>1</v>
      </c>
    </row>
    <row r="3821" spans="1:19" hidden="1" x14ac:dyDescent="0.25">
      <c r="A3821" s="5" t="str">
        <f t="shared" si="1610"/>
        <v>44067NFLX</v>
      </c>
      <c r="B3821" s="6" t="s">
        <v>194</v>
      </c>
      <c r="C3821" s="6">
        <v>465</v>
      </c>
      <c r="D3821" s="6">
        <v>502</v>
      </c>
      <c r="E3821" s="6">
        <v>492</v>
      </c>
      <c r="F3821" t="str">
        <f t="shared" si="1611"/>
        <v>MON</v>
      </c>
      <c r="G3821" s="3">
        <f t="shared" si="1612"/>
        <v>44067</v>
      </c>
      <c r="H3821" s="2">
        <f t="shared" ca="1" si="1613"/>
        <v>186</v>
      </c>
      <c r="I3821" t="str">
        <f t="shared" si="1614"/>
        <v>NFLX</v>
      </c>
      <c r="J3821">
        <f t="shared" si="1615"/>
        <v>465</v>
      </c>
      <c r="K3821">
        <f t="shared" si="1616"/>
        <v>502</v>
      </c>
      <c r="L3821">
        <f t="shared" si="1617"/>
        <v>483.5</v>
      </c>
      <c r="M3821">
        <f t="shared" si="1618"/>
        <v>18.5</v>
      </c>
      <c r="N3821">
        <f t="shared" si="1607"/>
        <v>37</v>
      </c>
      <c r="O3821">
        <f t="shared" si="1619"/>
        <v>492</v>
      </c>
      <c r="P3821">
        <f t="shared" si="1620"/>
        <v>0.45945945945945948</v>
      </c>
      <c r="Q3821" t="str">
        <f t="shared" si="1608"/>
        <v>5.49% | 2.03%</v>
      </c>
      <c r="R3821" t="str">
        <f t="shared" si="1621"/>
        <v>BULLISH</v>
      </c>
      <c r="S3821">
        <f t="shared" si="1609"/>
        <v>1</v>
      </c>
    </row>
    <row r="3822" spans="1:19" x14ac:dyDescent="0.25">
      <c r="A3822" s="5" t="str">
        <f t="shared" si="1610"/>
        <v>44067TSLA</v>
      </c>
      <c r="B3822" s="6" t="s">
        <v>189</v>
      </c>
      <c r="C3822" s="6">
        <v>1760</v>
      </c>
      <c r="D3822" s="6">
        <v>2193</v>
      </c>
      <c r="E3822" s="6">
        <v>2049</v>
      </c>
      <c r="F3822" t="str">
        <f t="shared" si="1611"/>
        <v>MON</v>
      </c>
      <c r="G3822" s="3">
        <f t="shared" si="1612"/>
        <v>44067</v>
      </c>
      <c r="H3822" s="2">
        <f t="shared" ca="1" si="1613"/>
        <v>186</v>
      </c>
      <c r="I3822" t="str">
        <f t="shared" si="1614"/>
        <v>TSLA</v>
      </c>
      <c r="J3822">
        <f t="shared" si="1615"/>
        <v>1760</v>
      </c>
      <c r="K3822">
        <f t="shared" si="1616"/>
        <v>2193</v>
      </c>
      <c r="L3822">
        <f t="shared" si="1617"/>
        <v>1976.5</v>
      </c>
      <c r="M3822">
        <f t="shared" si="1618"/>
        <v>216.5</v>
      </c>
      <c r="N3822">
        <f t="shared" si="1607"/>
        <v>433</v>
      </c>
      <c r="O3822">
        <f t="shared" si="1619"/>
        <v>2049</v>
      </c>
      <c r="P3822">
        <f t="shared" si="1620"/>
        <v>0.3348729792147806</v>
      </c>
      <c r="Q3822" t="str">
        <f t="shared" si="1608"/>
        <v>14.1% | 7.03%</v>
      </c>
      <c r="R3822" t="str">
        <f t="shared" si="1621"/>
        <v>BULLISH</v>
      </c>
      <c r="S3822">
        <f t="shared" si="1609"/>
        <v>1</v>
      </c>
    </row>
    <row r="3823" spans="1:19" hidden="1" x14ac:dyDescent="0.25">
      <c r="A3823" s="5" t="str">
        <f t="shared" si="1610"/>
        <v>44067NYXBT</v>
      </c>
      <c r="B3823" s="6" t="s">
        <v>190</v>
      </c>
      <c r="C3823" s="6">
        <v>11458</v>
      </c>
      <c r="D3823" s="6">
        <v>12168</v>
      </c>
      <c r="E3823" s="6">
        <v>11729</v>
      </c>
      <c r="F3823" t="str">
        <f t="shared" si="1611"/>
        <v>MON</v>
      </c>
      <c r="G3823" s="3">
        <f t="shared" si="1612"/>
        <v>44067</v>
      </c>
      <c r="H3823" s="2">
        <f t="shared" ca="1" si="1613"/>
        <v>186</v>
      </c>
      <c r="I3823" t="str">
        <f t="shared" si="1614"/>
        <v>NYXBT</v>
      </c>
      <c r="J3823">
        <f t="shared" si="1615"/>
        <v>11458</v>
      </c>
      <c r="K3823">
        <f t="shared" si="1616"/>
        <v>12168</v>
      </c>
      <c r="L3823">
        <f t="shared" si="1617"/>
        <v>11813</v>
      </c>
      <c r="M3823">
        <f t="shared" si="1618"/>
        <v>355</v>
      </c>
      <c r="N3823">
        <f t="shared" si="1607"/>
        <v>710</v>
      </c>
      <c r="O3823">
        <f t="shared" si="1619"/>
        <v>11729</v>
      </c>
      <c r="P3823">
        <f t="shared" si="1620"/>
        <v>-0.23661971830985915</v>
      </c>
      <c r="Q3823" t="str">
        <f t="shared" si="1608"/>
        <v>2.31% | 3.74%</v>
      </c>
      <c r="R3823" t="str">
        <f t="shared" si="1621"/>
        <v>BULLISH</v>
      </c>
      <c r="S3823">
        <f t="shared" si="1609"/>
        <v>1</v>
      </c>
    </row>
    <row r="3824" spans="1:19" hidden="1" x14ac:dyDescent="0.25">
      <c r="A3824" s="5" t="str">
        <f t="shared" si="1610"/>
        <v>44068UST10Y</v>
      </c>
      <c r="B3824" s="6" t="s">
        <v>161</v>
      </c>
      <c r="C3824" s="6">
        <v>0.71</v>
      </c>
      <c r="D3824" s="6">
        <v>0.55000000000000004</v>
      </c>
      <c r="E3824" s="6">
        <v>0.65</v>
      </c>
      <c r="F3824" t="str">
        <f t="shared" si="1611"/>
        <v>TUE</v>
      </c>
      <c r="G3824" s="1">
        <f>DATE(2020,8,25)</f>
        <v>44068</v>
      </c>
      <c r="H3824" s="2">
        <f t="shared" ca="1" si="1613"/>
        <v>185</v>
      </c>
      <c r="I3824" t="str">
        <f t="shared" si="1614"/>
        <v>UST10Y</v>
      </c>
      <c r="J3824">
        <f t="shared" si="1615"/>
        <v>0.71</v>
      </c>
      <c r="K3824">
        <f t="shared" si="1616"/>
        <v>0.55000000000000004</v>
      </c>
      <c r="L3824">
        <f t="shared" si="1617"/>
        <v>0.63</v>
      </c>
      <c r="M3824">
        <f t="shared" si="1618"/>
        <v>7.9999999999999752E-2</v>
      </c>
      <c r="N3824">
        <f t="shared" si="1607"/>
        <v>0.15999999999999992</v>
      </c>
      <c r="O3824">
        <f t="shared" si="1619"/>
        <v>0.65</v>
      </c>
      <c r="P3824">
        <f t="shared" si="1620"/>
        <v>0.250000000000001</v>
      </c>
      <c r="Q3824" t="str">
        <f t="shared" si="1608"/>
        <v>9.23% | 15.38%</v>
      </c>
      <c r="R3824" t="str">
        <f t="shared" si="1621"/>
        <v>BEARISH</v>
      </c>
      <c r="S3824">
        <f t="shared" si="1609"/>
        <v>-1</v>
      </c>
    </row>
    <row r="3825" spans="1:19" hidden="1" x14ac:dyDescent="0.25">
      <c r="A3825" s="5" t="str">
        <f t="shared" si="1610"/>
        <v>44068UST2Y</v>
      </c>
      <c r="B3825" s="6" t="s">
        <v>162</v>
      </c>
      <c r="C3825" s="6">
        <v>0.17</v>
      </c>
      <c r="D3825" s="6">
        <v>0.11</v>
      </c>
      <c r="E3825" s="6">
        <v>0.14000000000000001</v>
      </c>
      <c r="F3825" t="str">
        <f t="shared" ref="F3825:F3855" si="1622">UPPER(TEXT(G3825,"ddd"))</f>
        <v>TUE</v>
      </c>
      <c r="G3825" s="1">
        <f t="shared" ref="G3825:G3854" si="1623">DATE(2020,8,25)</f>
        <v>44068</v>
      </c>
      <c r="H3825" s="2">
        <f t="shared" ref="H3825:H3855" ca="1" si="1624">TODAY()-G3825</f>
        <v>185</v>
      </c>
      <c r="I3825" t="str">
        <f t="shared" ref="I3825:I3855" si="1625">TRIM(LEFT(B3825,FIND(" ",B3825,1)))</f>
        <v>UST2Y</v>
      </c>
      <c r="J3825">
        <f t="shared" ref="J3825:J3855" si="1626">C3825</f>
        <v>0.17</v>
      </c>
      <c r="K3825">
        <f t="shared" ref="K3825:K3855" si="1627">D3825</f>
        <v>0.11</v>
      </c>
      <c r="L3825">
        <f t="shared" ref="L3825:L3855" si="1628">AVERAGE(J3825:K3825)</f>
        <v>0.14000000000000001</v>
      </c>
      <c r="M3825">
        <f t="shared" ref="M3825:M3855" si="1629">_xlfn.STDEV.P(J3825:K3825)</f>
        <v>3.0000000000000023E-2</v>
      </c>
      <c r="N3825">
        <f t="shared" si="1607"/>
        <v>6.0000000000000012E-2</v>
      </c>
      <c r="O3825">
        <f t="shared" ref="O3825:O3855" si="1630">E3825</f>
        <v>0.14000000000000001</v>
      </c>
      <c r="P3825">
        <f t="shared" ref="P3825:P3855" si="1631">(O3825-L3825)/M3825</f>
        <v>0</v>
      </c>
      <c r="Q3825" t="str">
        <f t="shared" si="1608"/>
        <v>21.43% | 21.43%</v>
      </c>
      <c r="R3825" t="str">
        <f t="shared" ref="R3825:R3855" si="1632">MID(B3825,FIND("(",B3825,1)+1,FIND(")",B3825,1)-FIND("(",B3825,1)-1)</f>
        <v>BEARISH</v>
      </c>
      <c r="S3825">
        <f t="shared" si="1609"/>
        <v>-1</v>
      </c>
    </row>
    <row r="3826" spans="1:19" hidden="1" x14ac:dyDescent="0.25">
      <c r="A3826" s="5" t="str">
        <f t="shared" si="1610"/>
        <v>44068SPX</v>
      </c>
      <c r="B3826" s="6" t="s">
        <v>191</v>
      </c>
      <c r="C3826" s="6">
        <v>3354</v>
      </c>
      <c r="D3826" s="6">
        <v>3443</v>
      </c>
      <c r="E3826" s="6">
        <v>3431</v>
      </c>
      <c r="F3826" t="str">
        <f t="shared" si="1622"/>
        <v>TUE</v>
      </c>
      <c r="G3826" s="1">
        <f t="shared" si="1623"/>
        <v>44068</v>
      </c>
      <c r="H3826" s="2">
        <f t="shared" ca="1" si="1624"/>
        <v>185</v>
      </c>
      <c r="I3826" t="str">
        <f t="shared" si="1625"/>
        <v>SPX</v>
      </c>
      <c r="J3826">
        <f t="shared" si="1626"/>
        <v>3354</v>
      </c>
      <c r="K3826">
        <f t="shared" si="1627"/>
        <v>3443</v>
      </c>
      <c r="L3826">
        <f t="shared" si="1628"/>
        <v>3398.5</v>
      </c>
      <c r="M3826">
        <f t="shared" si="1629"/>
        <v>44.5</v>
      </c>
      <c r="N3826">
        <f t="shared" si="1607"/>
        <v>89</v>
      </c>
      <c r="O3826">
        <f t="shared" si="1630"/>
        <v>3431</v>
      </c>
      <c r="P3826">
        <f t="shared" si="1631"/>
        <v>0.7303370786516854</v>
      </c>
      <c r="Q3826" t="str">
        <f t="shared" si="1608"/>
        <v>2.24% | 0.35%</v>
      </c>
      <c r="R3826" t="str">
        <f t="shared" si="1632"/>
        <v>BULLISH</v>
      </c>
      <c r="S3826">
        <f t="shared" si="1609"/>
        <v>1</v>
      </c>
    </row>
    <row r="3827" spans="1:19" hidden="1" x14ac:dyDescent="0.25">
      <c r="A3827" s="5" t="str">
        <f t="shared" si="1610"/>
        <v>44068RUT</v>
      </c>
      <c r="B3827" s="6" t="s">
        <v>164</v>
      </c>
      <c r="C3827" s="6">
        <v>1538</v>
      </c>
      <c r="D3827" s="6">
        <v>1592</v>
      </c>
      <c r="E3827" s="6">
        <v>1568</v>
      </c>
      <c r="F3827" t="str">
        <f t="shared" si="1622"/>
        <v>TUE</v>
      </c>
      <c r="G3827" s="1">
        <f t="shared" si="1623"/>
        <v>44068</v>
      </c>
      <c r="H3827" s="2">
        <f t="shared" ca="1" si="1624"/>
        <v>185</v>
      </c>
      <c r="I3827" t="str">
        <f t="shared" si="1625"/>
        <v>RUT</v>
      </c>
      <c r="J3827">
        <f t="shared" si="1626"/>
        <v>1538</v>
      </c>
      <c r="K3827">
        <f t="shared" si="1627"/>
        <v>1592</v>
      </c>
      <c r="L3827">
        <f t="shared" si="1628"/>
        <v>1565</v>
      </c>
      <c r="M3827">
        <f t="shared" si="1629"/>
        <v>27</v>
      </c>
      <c r="N3827">
        <f t="shared" si="1607"/>
        <v>54</v>
      </c>
      <c r="O3827">
        <f t="shared" si="1630"/>
        <v>1568</v>
      </c>
      <c r="P3827">
        <f t="shared" si="1631"/>
        <v>0.1111111111111111</v>
      </c>
      <c r="Q3827" t="str">
        <f t="shared" si="1608"/>
        <v>1.91% | 1.53%</v>
      </c>
      <c r="R3827" t="str">
        <f t="shared" si="1632"/>
        <v>BEARISH</v>
      </c>
      <c r="S3827">
        <f t="shared" si="1609"/>
        <v>-1</v>
      </c>
    </row>
    <row r="3828" spans="1:19" hidden="1" x14ac:dyDescent="0.25">
      <c r="A3828" s="5" t="str">
        <f t="shared" si="1610"/>
        <v>44068COMPQ</v>
      </c>
      <c r="B3828" s="6" t="s">
        <v>165</v>
      </c>
      <c r="C3828" s="6">
        <v>10919</v>
      </c>
      <c r="D3828" s="6">
        <v>11428</v>
      </c>
      <c r="E3828" s="6">
        <v>11379</v>
      </c>
      <c r="F3828" t="str">
        <f t="shared" si="1622"/>
        <v>TUE</v>
      </c>
      <c r="G3828" s="1">
        <f t="shared" si="1623"/>
        <v>44068</v>
      </c>
      <c r="H3828" s="2">
        <f t="shared" ca="1" si="1624"/>
        <v>185</v>
      </c>
      <c r="I3828" t="str">
        <f t="shared" si="1625"/>
        <v>COMPQ</v>
      </c>
      <c r="J3828">
        <f t="shared" si="1626"/>
        <v>10919</v>
      </c>
      <c r="K3828">
        <f t="shared" si="1627"/>
        <v>11428</v>
      </c>
      <c r="L3828">
        <f t="shared" si="1628"/>
        <v>11173.5</v>
      </c>
      <c r="M3828">
        <f t="shared" si="1629"/>
        <v>254.5</v>
      </c>
      <c r="N3828">
        <f t="shared" si="1607"/>
        <v>509</v>
      </c>
      <c r="O3828">
        <f t="shared" si="1630"/>
        <v>11379</v>
      </c>
      <c r="P3828">
        <f t="shared" si="1631"/>
        <v>0.80746561886051083</v>
      </c>
      <c r="Q3828" t="str">
        <f t="shared" si="1608"/>
        <v>4.04% | 0.43%</v>
      </c>
      <c r="R3828" t="str">
        <f t="shared" si="1632"/>
        <v>BULLISH</v>
      </c>
      <c r="S3828">
        <f t="shared" si="1609"/>
        <v>1</v>
      </c>
    </row>
    <row r="3829" spans="1:19" hidden="1" x14ac:dyDescent="0.25">
      <c r="A3829" s="5" t="str">
        <f t="shared" si="1610"/>
        <v>44068XLK</v>
      </c>
      <c r="B3829" s="6" t="s">
        <v>166</v>
      </c>
      <c r="C3829" s="6">
        <v>112.33</v>
      </c>
      <c r="D3829" s="6">
        <v>119.43</v>
      </c>
      <c r="E3829" s="6">
        <v>118.96</v>
      </c>
      <c r="F3829" t="str">
        <f t="shared" si="1622"/>
        <v>TUE</v>
      </c>
      <c r="G3829" s="1">
        <f t="shared" si="1623"/>
        <v>44068</v>
      </c>
      <c r="H3829" s="2">
        <f t="shared" ca="1" si="1624"/>
        <v>185</v>
      </c>
      <c r="I3829" t="str">
        <f t="shared" si="1625"/>
        <v>XLK</v>
      </c>
      <c r="J3829">
        <f t="shared" si="1626"/>
        <v>112.33</v>
      </c>
      <c r="K3829">
        <f t="shared" si="1627"/>
        <v>119.43</v>
      </c>
      <c r="L3829">
        <f t="shared" si="1628"/>
        <v>115.88</v>
      </c>
      <c r="M3829">
        <f t="shared" si="1629"/>
        <v>3.5500000000000043</v>
      </c>
      <c r="N3829">
        <f t="shared" si="1607"/>
        <v>7.1000000000000085</v>
      </c>
      <c r="O3829">
        <f t="shared" si="1630"/>
        <v>118.96</v>
      </c>
      <c r="P3829">
        <f t="shared" si="1631"/>
        <v>0.86760563380281541</v>
      </c>
      <c r="Q3829" t="str">
        <f t="shared" si="1608"/>
        <v>5.57% | 0.4%</v>
      </c>
      <c r="R3829" t="str">
        <f t="shared" si="1632"/>
        <v>BULLISH</v>
      </c>
      <c r="S3829">
        <f t="shared" si="1609"/>
        <v>1</v>
      </c>
    </row>
    <row r="3830" spans="1:19" hidden="1" x14ac:dyDescent="0.25">
      <c r="A3830" s="5" t="str">
        <f t="shared" si="1610"/>
        <v>44068XLRE</v>
      </c>
      <c r="B3830" s="6" t="s">
        <v>167</v>
      </c>
      <c r="C3830" s="6">
        <v>35.32</v>
      </c>
      <c r="D3830" s="6">
        <v>36.58</v>
      </c>
      <c r="E3830" s="6">
        <v>35.950000000000003</v>
      </c>
      <c r="F3830" t="str">
        <f t="shared" si="1622"/>
        <v>TUE</v>
      </c>
      <c r="G3830" s="1">
        <f t="shared" si="1623"/>
        <v>44068</v>
      </c>
      <c r="H3830" s="2">
        <f t="shared" ca="1" si="1624"/>
        <v>185</v>
      </c>
      <c r="I3830" t="str">
        <f t="shared" si="1625"/>
        <v>XLRE</v>
      </c>
      <c r="J3830">
        <f t="shared" si="1626"/>
        <v>35.32</v>
      </c>
      <c r="K3830">
        <f t="shared" si="1627"/>
        <v>36.58</v>
      </c>
      <c r="L3830">
        <f t="shared" si="1628"/>
        <v>35.950000000000003</v>
      </c>
      <c r="M3830">
        <f t="shared" si="1629"/>
        <v>0.62999999999999901</v>
      </c>
      <c r="N3830">
        <f t="shared" si="1607"/>
        <v>1.259999999999998</v>
      </c>
      <c r="O3830">
        <f t="shared" si="1630"/>
        <v>35.950000000000003</v>
      </c>
      <c r="P3830">
        <f t="shared" si="1631"/>
        <v>0</v>
      </c>
      <c r="Q3830" t="str">
        <f t="shared" si="1608"/>
        <v>1.75% | 1.75%</v>
      </c>
      <c r="R3830" t="str">
        <f t="shared" si="1632"/>
        <v>BULLISH</v>
      </c>
      <c r="S3830">
        <f t="shared" si="1609"/>
        <v>1</v>
      </c>
    </row>
    <row r="3831" spans="1:19" hidden="1" x14ac:dyDescent="0.25">
      <c r="A3831" s="5" t="str">
        <f t="shared" si="1610"/>
        <v>44068XLU</v>
      </c>
      <c r="B3831" s="6" t="s">
        <v>168</v>
      </c>
      <c r="C3831" s="6">
        <v>59</v>
      </c>
      <c r="D3831" s="6">
        <v>61.34</v>
      </c>
      <c r="E3831" s="6">
        <v>59.94</v>
      </c>
      <c r="F3831" t="str">
        <f t="shared" si="1622"/>
        <v>TUE</v>
      </c>
      <c r="G3831" s="1">
        <f t="shared" si="1623"/>
        <v>44068</v>
      </c>
      <c r="H3831" s="2">
        <f t="shared" ca="1" si="1624"/>
        <v>185</v>
      </c>
      <c r="I3831" t="str">
        <f t="shared" si="1625"/>
        <v>XLU</v>
      </c>
      <c r="J3831">
        <f t="shared" si="1626"/>
        <v>59</v>
      </c>
      <c r="K3831">
        <f t="shared" si="1627"/>
        <v>61.34</v>
      </c>
      <c r="L3831">
        <f t="shared" si="1628"/>
        <v>60.17</v>
      </c>
      <c r="M3831">
        <f t="shared" si="1629"/>
        <v>1.1700000000000017</v>
      </c>
      <c r="N3831">
        <f t="shared" si="1607"/>
        <v>2.3400000000000034</v>
      </c>
      <c r="O3831">
        <f t="shared" si="1630"/>
        <v>59.94</v>
      </c>
      <c r="P3831">
        <f t="shared" si="1631"/>
        <v>-0.19658119658119969</v>
      </c>
      <c r="Q3831" t="str">
        <f t="shared" si="1608"/>
        <v>1.57% | 2.34%</v>
      </c>
      <c r="R3831" t="str">
        <f t="shared" si="1632"/>
        <v>BULLISH</v>
      </c>
      <c r="S3831">
        <f t="shared" si="1609"/>
        <v>1</v>
      </c>
    </row>
    <row r="3832" spans="1:19" hidden="1" x14ac:dyDescent="0.25">
      <c r="A3832" s="5" t="str">
        <f t="shared" si="1610"/>
        <v>44068XLF</v>
      </c>
      <c r="B3832" s="6" t="s">
        <v>169</v>
      </c>
      <c r="C3832" s="6">
        <v>24.03</v>
      </c>
      <c r="D3832" s="6">
        <v>25.54</v>
      </c>
      <c r="E3832" s="6">
        <v>24.89</v>
      </c>
      <c r="F3832" t="str">
        <f t="shared" si="1622"/>
        <v>TUE</v>
      </c>
      <c r="G3832" s="1">
        <f t="shared" si="1623"/>
        <v>44068</v>
      </c>
      <c r="H3832" s="2">
        <f t="shared" ca="1" si="1624"/>
        <v>185</v>
      </c>
      <c r="I3832" t="str">
        <f t="shared" si="1625"/>
        <v>XLF</v>
      </c>
      <c r="J3832">
        <f t="shared" si="1626"/>
        <v>24.03</v>
      </c>
      <c r="K3832">
        <f t="shared" si="1627"/>
        <v>25.54</v>
      </c>
      <c r="L3832">
        <f t="shared" si="1628"/>
        <v>24.785</v>
      </c>
      <c r="M3832">
        <f t="shared" si="1629"/>
        <v>0.75499999999999901</v>
      </c>
      <c r="N3832">
        <f t="shared" si="1607"/>
        <v>1.509999999999998</v>
      </c>
      <c r="O3832">
        <f t="shared" si="1630"/>
        <v>24.89</v>
      </c>
      <c r="P3832">
        <f t="shared" si="1631"/>
        <v>0.13907284768211994</v>
      </c>
      <c r="Q3832" t="str">
        <f t="shared" si="1608"/>
        <v>3.46% | 2.61%</v>
      </c>
      <c r="R3832" t="str">
        <f t="shared" si="1632"/>
        <v>BEARISH</v>
      </c>
      <c r="S3832">
        <f t="shared" si="1609"/>
        <v>-1</v>
      </c>
    </row>
    <row r="3833" spans="1:19" hidden="1" x14ac:dyDescent="0.25">
      <c r="A3833" s="5" t="str">
        <f t="shared" si="1610"/>
        <v>44068SSEC</v>
      </c>
      <c r="B3833" s="6" t="s">
        <v>170</v>
      </c>
      <c r="C3833" s="6">
        <v>3290</v>
      </c>
      <c r="D3833" s="6">
        <v>3470</v>
      </c>
      <c r="E3833" s="6">
        <v>3373</v>
      </c>
      <c r="F3833" t="str">
        <f t="shared" si="1622"/>
        <v>TUE</v>
      </c>
      <c r="G3833" s="1">
        <f t="shared" si="1623"/>
        <v>44068</v>
      </c>
      <c r="H3833" s="2">
        <f t="shared" ca="1" si="1624"/>
        <v>185</v>
      </c>
      <c r="I3833" t="str">
        <f t="shared" si="1625"/>
        <v>SSEC</v>
      </c>
      <c r="J3833">
        <f t="shared" si="1626"/>
        <v>3290</v>
      </c>
      <c r="K3833">
        <f t="shared" si="1627"/>
        <v>3470</v>
      </c>
      <c r="L3833">
        <f t="shared" si="1628"/>
        <v>3380</v>
      </c>
      <c r="M3833">
        <f t="shared" si="1629"/>
        <v>90</v>
      </c>
      <c r="N3833">
        <f t="shared" si="1607"/>
        <v>180</v>
      </c>
      <c r="O3833">
        <f t="shared" si="1630"/>
        <v>3373</v>
      </c>
      <c r="P3833">
        <f t="shared" si="1631"/>
        <v>-7.7777777777777779E-2</v>
      </c>
      <c r="Q3833" t="str">
        <f t="shared" si="1608"/>
        <v>2.46% | 2.88%</v>
      </c>
      <c r="R3833" t="str">
        <f t="shared" si="1632"/>
        <v>BULLISH</v>
      </c>
      <c r="S3833">
        <f t="shared" si="1609"/>
        <v>1</v>
      </c>
    </row>
    <row r="3834" spans="1:19" hidden="1" x14ac:dyDescent="0.25">
      <c r="A3834" s="5" t="str">
        <f t="shared" si="1610"/>
        <v>44068NIKK</v>
      </c>
      <c r="B3834" s="6" t="s">
        <v>201</v>
      </c>
      <c r="C3834" s="6">
        <v>22730</v>
      </c>
      <c r="D3834" s="6">
        <v>23401</v>
      </c>
      <c r="E3834" s="6">
        <v>23296</v>
      </c>
      <c r="F3834" t="str">
        <f t="shared" si="1622"/>
        <v>TUE</v>
      </c>
      <c r="G3834" s="1">
        <f t="shared" si="1623"/>
        <v>44068</v>
      </c>
      <c r="H3834" s="2">
        <f t="shared" ca="1" si="1624"/>
        <v>185</v>
      </c>
      <c r="I3834" t="str">
        <f t="shared" si="1625"/>
        <v>NIKK</v>
      </c>
      <c r="J3834">
        <f t="shared" si="1626"/>
        <v>22730</v>
      </c>
      <c r="K3834">
        <f t="shared" si="1627"/>
        <v>23401</v>
      </c>
      <c r="L3834">
        <f t="shared" si="1628"/>
        <v>23065.5</v>
      </c>
      <c r="M3834">
        <f t="shared" si="1629"/>
        <v>335.5</v>
      </c>
      <c r="N3834">
        <f t="shared" si="1607"/>
        <v>671</v>
      </c>
      <c r="O3834">
        <f t="shared" si="1630"/>
        <v>23296</v>
      </c>
      <c r="P3834">
        <f t="shared" si="1631"/>
        <v>0.68703427719821164</v>
      </c>
      <c r="Q3834" t="str">
        <f t="shared" si="1608"/>
        <v>2.43% | 0.45%</v>
      </c>
      <c r="R3834" t="str">
        <f t="shared" si="1632"/>
        <v>BULLISH</v>
      </c>
      <c r="S3834">
        <f t="shared" si="1609"/>
        <v>1</v>
      </c>
    </row>
    <row r="3835" spans="1:19" hidden="1" x14ac:dyDescent="0.25">
      <c r="A3835" s="5" t="str">
        <f t="shared" si="1610"/>
        <v>44068DAX</v>
      </c>
      <c r="B3835" s="6" t="s">
        <v>172</v>
      </c>
      <c r="C3835" s="6">
        <v>12762</v>
      </c>
      <c r="D3835" s="6">
        <v>13218</v>
      </c>
      <c r="E3835" s="6">
        <v>13066</v>
      </c>
      <c r="F3835" t="str">
        <f t="shared" si="1622"/>
        <v>TUE</v>
      </c>
      <c r="G3835" s="1">
        <f t="shared" si="1623"/>
        <v>44068</v>
      </c>
      <c r="H3835" s="2">
        <f t="shared" ca="1" si="1624"/>
        <v>185</v>
      </c>
      <c r="I3835" t="str">
        <f t="shared" si="1625"/>
        <v>DAX</v>
      </c>
      <c r="J3835">
        <f t="shared" si="1626"/>
        <v>12762</v>
      </c>
      <c r="K3835">
        <f t="shared" si="1627"/>
        <v>13218</v>
      </c>
      <c r="L3835">
        <f t="shared" si="1628"/>
        <v>12990</v>
      </c>
      <c r="M3835">
        <f t="shared" si="1629"/>
        <v>228</v>
      </c>
      <c r="N3835">
        <f t="shared" si="1607"/>
        <v>456</v>
      </c>
      <c r="O3835">
        <f t="shared" si="1630"/>
        <v>13066</v>
      </c>
      <c r="P3835">
        <f t="shared" si="1631"/>
        <v>0.33333333333333331</v>
      </c>
      <c r="Q3835" t="str">
        <f t="shared" si="1608"/>
        <v>2.33% | 1.16%</v>
      </c>
      <c r="R3835" t="str">
        <f t="shared" si="1632"/>
        <v>BULLISH</v>
      </c>
      <c r="S3835">
        <f t="shared" si="1609"/>
        <v>1</v>
      </c>
    </row>
    <row r="3836" spans="1:19" hidden="1" x14ac:dyDescent="0.25">
      <c r="A3836" s="5" t="str">
        <f t="shared" si="1610"/>
        <v>44068VIX</v>
      </c>
      <c r="B3836" s="6" t="s">
        <v>192</v>
      </c>
      <c r="C3836" s="6">
        <v>21.18</v>
      </c>
      <c r="D3836" s="6">
        <v>27.99</v>
      </c>
      <c r="E3836" s="6">
        <v>22.37</v>
      </c>
      <c r="F3836" t="str">
        <f t="shared" si="1622"/>
        <v>TUE</v>
      </c>
      <c r="G3836" s="1">
        <f t="shared" si="1623"/>
        <v>44068</v>
      </c>
      <c r="H3836" s="2">
        <f t="shared" ca="1" si="1624"/>
        <v>185</v>
      </c>
      <c r="I3836" t="str">
        <f t="shared" si="1625"/>
        <v>VIX</v>
      </c>
      <c r="J3836">
        <f t="shared" si="1626"/>
        <v>21.18</v>
      </c>
      <c r="K3836">
        <f t="shared" si="1627"/>
        <v>27.99</v>
      </c>
      <c r="L3836">
        <f t="shared" si="1628"/>
        <v>24.585000000000001</v>
      </c>
      <c r="M3836">
        <f t="shared" si="1629"/>
        <v>3.4049999999999816</v>
      </c>
      <c r="N3836">
        <f t="shared" si="1607"/>
        <v>6.8099999999999987</v>
      </c>
      <c r="O3836">
        <f t="shared" si="1630"/>
        <v>22.37</v>
      </c>
      <c r="P3836">
        <f t="shared" si="1631"/>
        <v>-0.65051395007342494</v>
      </c>
      <c r="Q3836" t="str">
        <f t="shared" si="1608"/>
        <v>5.32% | 25.12%</v>
      </c>
      <c r="R3836" t="str">
        <f t="shared" si="1632"/>
        <v>BEARISH</v>
      </c>
      <c r="S3836">
        <f t="shared" si="1609"/>
        <v>-1</v>
      </c>
    </row>
    <row r="3837" spans="1:19" hidden="1" x14ac:dyDescent="0.25">
      <c r="A3837" s="5" t="str">
        <f t="shared" si="1610"/>
        <v>44068USD</v>
      </c>
      <c r="B3837" s="6" t="s">
        <v>174</v>
      </c>
      <c r="C3837" s="6">
        <v>92.26</v>
      </c>
      <c r="D3837" s="6">
        <v>93.83</v>
      </c>
      <c r="E3837" s="6">
        <v>93.32</v>
      </c>
      <c r="F3837" t="str">
        <f t="shared" si="1622"/>
        <v>TUE</v>
      </c>
      <c r="G3837" s="1">
        <f t="shared" si="1623"/>
        <v>44068</v>
      </c>
      <c r="H3837" s="2">
        <f t="shared" ca="1" si="1624"/>
        <v>185</v>
      </c>
      <c r="I3837" t="str">
        <f t="shared" si="1625"/>
        <v>USD</v>
      </c>
      <c r="J3837">
        <f t="shared" si="1626"/>
        <v>92.26</v>
      </c>
      <c r="K3837">
        <f t="shared" si="1627"/>
        <v>93.83</v>
      </c>
      <c r="L3837">
        <f t="shared" si="1628"/>
        <v>93.045000000000002</v>
      </c>
      <c r="M3837">
        <f t="shared" si="1629"/>
        <v>0.78499999999999659</v>
      </c>
      <c r="N3837">
        <f t="shared" si="1607"/>
        <v>1.5699999999999932</v>
      </c>
      <c r="O3837">
        <f t="shared" si="1630"/>
        <v>93.32</v>
      </c>
      <c r="P3837">
        <f t="shared" si="1631"/>
        <v>0.35031847133757027</v>
      </c>
      <c r="Q3837" t="str">
        <f t="shared" si="1608"/>
        <v>1.14% | 0.55%</v>
      </c>
      <c r="R3837" t="str">
        <f t="shared" si="1632"/>
        <v>BEARISH</v>
      </c>
      <c r="S3837">
        <f t="shared" si="1609"/>
        <v>-1</v>
      </c>
    </row>
    <row r="3838" spans="1:19" hidden="1" x14ac:dyDescent="0.25">
      <c r="A3838" s="5" t="str">
        <f t="shared" si="1610"/>
        <v>44068EUR/USD</v>
      </c>
      <c r="B3838" s="6" t="s">
        <v>175</v>
      </c>
      <c r="C3838" s="6">
        <v>1.17</v>
      </c>
      <c r="D3838" s="6">
        <v>1.19</v>
      </c>
      <c r="E3838" s="6">
        <v>1.17</v>
      </c>
      <c r="F3838" t="str">
        <f t="shared" si="1622"/>
        <v>TUE</v>
      </c>
      <c r="G3838" s="1">
        <f t="shared" si="1623"/>
        <v>44068</v>
      </c>
      <c r="H3838" s="2">
        <f t="shared" ca="1" si="1624"/>
        <v>185</v>
      </c>
      <c r="I3838" t="str">
        <f t="shared" si="1625"/>
        <v>EUR/USD</v>
      </c>
      <c r="J3838">
        <f t="shared" si="1626"/>
        <v>1.17</v>
      </c>
      <c r="K3838">
        <f t="shared" si="1627"/>
        <v>1.19</v>
      </c>
      <c r="L3838">
        <f t="shared" si="1628"/>
        <v>1.18</v>
      </c>
      <c r="M3838">
        <f t="shared" si="1629"/>
        <v>1.0000000000000009E-2</v>
      </c>
      <c r="N3838">
        <f t="shared" si="1607"/>
        <v>2.0000000000000018E-2</v>
      </c>
      <c r="O3838">
        <f t="shared" si="1630"/>
        <v>1.17</v>
      </c>
      <c r="P3838">
        <f t="shared" si="1631"/>
        <v>-1</v>
      </c>
      <c r="Q3838" t="str">
        <f t="shared" si="1608"/>
        <v>0% | 1.71%</v>
      </c>
      <c r="R3838" t="str">
        <f t="shared" si="1632"/>
        <v>BULLISH</v>
      </c>
      <c r="S3838">
        <f t="shared" si="1609"/>
        <v>1</v>
      </c>
    </row>
    <row r="3839" spans="1:19" hidden="1" x14ac:dyDescent="0.25">
      <c r="A3839" s="5" t="str">
        <f t="shared" si="1610"/>
        <v>44068USD/JPY</v>
      </c>
      <c r="B3839" s="6" t="s">
        <v>176</v>
      </c>
      <c r="C3839" s="6">
        <v>105.18</v>
      </c>
      <c r="D3839" s="6">
        <v>107.18</v>
      </c>
      <c r="E3839" s="6">
        <v>105.99</v>
      </c>
      <c r="F3839" t="str">
        <f t="shared" si="1622"/>
        <v>TUE</v>
      </c>
      <c r="G3839" s="1">
        <f t="shared" si="1623"/>
        <v>44068</v>
      </c>
      <c r="H3839" s="2">
        <f t="shared" ca="1" si="1624"/>
        <v>185</v>
      </c>
      <c r="I3839" t="str">
        <f t="shared" si="1625"/>
        <v>USD/JPY</v>
      </c>
      <c r="J3839">
        <f t="shared" si="1626"/>
        <v>105.18</v>
      </c>
      <c r="K3839">
        <f t="shared" si="1627"/>
        <v>107.18</v>
      </c>
      <c r="L3839">
        <f t="shared" si="1628"/>
        <v>106.18</v>
      </c>
      <c r="M3839">
        <f t="shared" si="1629"/>
        <v>1</v>
      </c>
      <c r="N3839">
        <f t="shared" si="1607"/>
        <v>2</v>
      </c>
      <c r="O3839">
        <f t="shared" si="1630"/>
        <v>105.99</v>
      </c>
      <c r="P3839">
        <f t="shared" si="1631"/>
        <v>-0.19000000000001194</v>
      </c>
      <c r="Q3839" t="str">
        <f t="shared" si="1608"/>
        <v>0.76% | 1.12%</v>
      </c>
      <c r="R3839" t="str">
        <f t="shared" si="1632"/>
        <v>BEARISH</v>
      </c>
      <c r="S3839">
        <f t="shared" si="1609"/>
        <v>-1</v>
      </c>
    </row>
    <row r="3840" spans="1:19" hidden="1" x14ac:dyDescent="0.25">
      <c r="A3840" s="5" t="str">
        <f t="shared" si="1610"/>
        <v>44068GBP/USD</v>
      </c>
      <c r="B3840" s="6" t="s">
        <v>177</v>
      </c>
      <c r="C3840" s="6">
        <v>1.3</v>
      </c>
      <c r="D3840" s="6">
        <v>1.33</v>
      </c>
      <c r="E3840" s="6">
        <v>1.3</v>
      </c>
      <c r="F3840" t="str">
        <f t="shared" si="1622"/>
        <v>TUE</v>
      </c>
      <c r="G3840" s="1">
        <f t="shared" si="1623"/>
        <v>44068</v>
      </c>
      <c r="H3840" s="2">
        <f t="shared" ca="1" si="1624"/>
        <v>185</v>
      </c>
      <c r="I3840" t="str">
        <f t="shared" si="1625"/>
        <v>GBP/USD</v>
      </c>
      <c r="J3840">
        <f t="shared" si="1626"/>
        <v>1.3</v>
      </c>
      <c r="K3840">
        <f t="shared" si="1627"/>
        <v>1.33</v>
      </c>
      <c r="L3840">
        <f t="shared" si="1628"/>
        <v>1.3149999999999999</v>
      </c>
      <c r="M3840">
        <f t="shared" si="1629"/>
        <v>1.5000000000000013E-2</v>
      </c>
      <c r="N3840">
        <f t="shared" si="1607"/>
        <v>3.0000000000000027E-2</v>
      </c>
      <c r="O3840">
        <f t="shared" si="1630"/>
        <v>1.3</v>
      </c>
      <c r="P3840">
        <f t="shared" si="1631"/>
        <v>-0.99999999999999256</v>
      </c>
      <c r="Q3840" t="str">
        <f t="shared" si="1608"/>
        <v>0% | 2.31%</v>
      </c>
      <c r="R3840" t="str">
        <f t="shared" si="1632"/>
        <v>BULLISH</v>
      </c>
      <c r="S3840">
        <f t="shared" si="1609"/>
        <v>1</v>
      </c>
    </row>
    <row r="3841" spans="1:19" hidden="1" x14ac:dyDescent="0.25">
      <c r="A3841" s="5" t="str">
        <f t="shared" si="1610"/>
        <v>44068USD/CHF</v>
      </c>
      <c r="B3841" s="6" t="s">
        <v>178</v>
      </c>
      <c r="C3841" s="6">
        <v>0.9</v>
      </c>
      <c r="D3841" s="6">
        <v>0.92</v>
      </c>
      <c r="E3841" s="6">
        <v>0.91</v>
      </c>
      <c r="F3841" t="str">
        <f t="shared" si="1622"/>
        <v>TUE</v>
      </c>
      <c r="G3841" s="1">
        <f t="shared" si="1623"/>
        <v>44068</v>
      </c>
      <c r="H3841" s="2">
        <f t="shared" ca="1" si="1624"/>
        <v>185</v>
      </c>
      <c r="I3841" t="str">
        <f t="shared" si="1625"/>
        <v>USD/CHF</v>
      </c>
      <c r="J3841">
        <f t="shared" si="1626"/>
        <v>0.9</v>
      </c>
      <c r="K3841">
        <f t="shared" si="1627"/>
        <v>0.92</v>
      </c>
      <c r="L3841">
        <f t="shared" si="1628"/>
        <v>0.91</v>
      </c>
      <c r="M3841">
        <f t="shared" si="1629"/>
        <v>1.0000000000000009E-2</v>
      </c>
      <c r="N3841">
        <f t="shared" si="1607"/>
        <v>2.0000000000000018E-2</v>
      </c>
      <c r="O3841">
        <f t="shared" si="1630"/>
        <v>0.91</v>
      </c>
      <c r="P3841">
        <f t="shared" si="1631"/>
        <v>0</v>
      </c>
      <c r="Q3841" t="str">
        <f t="shared" si="1608"/>
        <v>1.1% | 1.1%</v>
      </c>
      <c r="R3841" t="str">
        <f t="shared" si="1632"/>
        <v>BEARISH</v>
      </c>
      <c r="S3841">
        <f t="shared" si="1609"/>
        <v>-1</v>
      </c>
    </row>
    <row r="3842" spans="1:19" hidden="1" x14ac:dyDescent="0.25">
      <c r="A3842" s="5" t="str">
        <f t="shared" si="1610"/>
        <v>44068WTIC</v>
      </c>
      <c r="B3842" s="6" t="s">
        <v>179</v>
      </c>
      <c r="C3842" s="6">
        <v>41.76</v>
      </c>
      <c r="D3842" s="6">
        <v>43.48</v>
      </c>
      <c r="E3842" s="6">
        <v>42.62</v>
      </c>
      <c r="F3842" t="str">
        <f t="shared" si="1622"/>
        <v>TUE</v>
      </c>
      <c r="G3842" s="1">
        <f t="shared" si="1623"/>
        <v>44068</v>
      </c>
      <c r="H3842" s="2">
        <f t="shared" ca="1" si="1624"/>
        <v>185</v>
      </c>
      <c r="I3842" t="str">
        <f t="shared" si="1625"/>
        <v>WTIC</v>
      </c>
      <c r="J3842">
        <f t="shared" si="1626"/>
        <v>41.76</v>
      </c>
      <c r="K3842">
        <f t="shared" si="1627"/>
        <v>43.48</v>
      </c>
      <c r="L3842">
        <f t="shared" si="1628"/>
        <v>42.62</v>
      </c>
      <c r="M3842">
        <f t="shared" si="1629"/>
        <v>0.85999999999999943</v>
      </c>
      <c r="N3842">
        <f t="shared" si="1607"/>
        <v>1.7199999999999989</v>
      </c>
      <c r="O3842">
        <f t="shared" si="1630"/>
        <v>42.62</v>
      </c>
      <c r="P3842">
        <f t="shared" si="1631"/>
        <v>0</v>
      </c>
      <c r="Q3842" t="str">
        <f t="shared" si="1608"/>
        <v>2.02% | 2.02%</v>
      </c>
      <c r="R3842" t="str">
        <f t="shared" si="1632"/>
        <v>BULLISH</v>
      </c>
      <c r="S3842">
        <f t="shared" si="1609"/>
        <v>1</v>
      </c>
    </row>
    <row r="3843" spans="1:19" hidden="1" x14ac:dyDescent="0.25">
      <c r="A3843" s="5" t="str">
        <f t="shared" si="1610"/>
        <v>44068NATGAS</v>
      </c>
      <c r="B3843" s="6" t="s">
        <v>180</v>
      </c>
      <c r="C3843" s="6">
        <v>2.16</v>
      </c>
      <c r="D3843" s="6">
        <v>2.68</v>
      </c>
      <c r="E3843" s="6">
        <v>2.62</v>
      </c>
      <c r="F3843" t="str">
        <f t="shared" si="1622"/>
        <v>TUE</v>
      </c>
      <c r="G3843" s="1">
        <f t="shared" si="1623"/>
        <v>44068</v>
      </c>
      <c r="H3843" s="2">
        <f t="shared" ca="1" si="1624"/>
        <v>185</v>
      </c>
      <c r="I3843" t="str">
        <f t="shared" si="1625"/>
        <v>NATGAS</v>
      </c>
      <c r="J3843">
        <f t="shared" si="1626"/>
        <v>2.16</v>
      </c>
      <c r="K3843">
        <f t="shared" si="1627"/>
        <v>2.68</v>
      </c>
      <c r="L3843">
        <f t="shared" si="1628"/>
        <v>2.42</v>
      </c>
      <c r="M3843">
        <f t="shared" si="1629"/>
        <v>0.26000000000000278</v>
      </c>
      <c r="N3843">
        <f t="shared" ref="N3843:N3906" si="1633">ABS(K3843-J3843)</f>
        <v>0.52</v>
      </c>
      <c r="O3843">
        <f t="shared" si="1630"/>
        <v>2.62</v>
      </c>
      <c r="P3843">
        <f t="shared" si="1631"/>
        <v>0.76923076923076172</v>
      </c>
      <c r="Q3843" t="str">
        <f t="shared" ref="Q3843:Q3906" si="1634">ROUND(ABS(100*(O3843-J3843)/O3843),2)&amp;"% | "&amp;ROUND(ABS(100*(K3843-O3843)/O3843),2)&amp;"%"</f>
        <v>17.56% | 2.29%</v>
      </c>
      <c r="R3843" t="str">
        <f t="shared" si="1632"/>
        <v>BULLISH</v>
      </c>
      <c r="S3843">
        <f t="shared" ref="S3843:S3906" si="1635">IF(R3843="BEARISH",-1,IF(R3843="NEUTRAL",0,IF(R3843="BULLISH",1,99)))</f>
        <v>1</v>
      </c>
    </row>
    <row r="3844" spans="1:19" hidden="1" x14ac:dyDescent="0.25">
      <c r="A3844" s="5" t="str">
        <f t="shared" si="1610"/>
        <v>44068GOLD</v>
      </c>
      <c r="B3844" s="6" t="s">
        <v>181</v>
      </c>
      <c r="C3844" s="6">
        <v>1914</v>
      </c>
      <c r="D3844" s="6">
        <v>2014</v>
      </c>
      <c r="E3844" s="6">
        <v>1939</v>
      </c>
      <c r="F3844" t="str">
        <f t="shared" si="1622"/>
        <v>TUE</v>
      </c>
      <c r="G3844" s="1">
        <f t="shared" si="1623"/>
        <v>44068</v>
      </c>
      <c r="H3844" s="2">
        <f t="shared" ca="1" si="1624"/>
        <v>185</v>
      </c>
      <c r="I3844" t="str">
        <f t="shared" si="1625"/>
        <v>GOLD</v>
      </c>
      <c r="J3844">
        <f t="shared" si="1626"/>
        <v>1914</v>
      </c>
      <c r="K3844">
        <f t="shared" si="1627"/>
        <v>2014</v>
      </c>
      <c r="L3844">
        <f t="shared" si="1628"/>
        <v>1964</v>
      </c>
      <c r="M3844">
        <f t="shared" si="1629"/>
        <v>50</v>
      </c>
      <c r="N3844">
        <f t="shared" si="1633"/>
        <v>100</v>
      </c>
      <c r="O3844">
        <f t="shared" si="1630"/>
        <v>1939</v>
      </c>
      <c r="P3844">
        <f t="shared" si="1631"/>
        <v>-0.5</v>
      </c>
      <c r="Q3844" t="str">
        <f t="shared" si="1634"/>
        <v>1.29% | 3.87%</v>
      </c>
      <c r="R3844" t="str">
        <f t="shared" si="1632"/>
        <v>BULLISH</v>
      </c>
      <c r="S3844">
        <f t="shared" si="1635"/>
        <v>1</v>
      </c>
    </row>
    <row r="3845" spans="1:19" hidden="1" x14ac:dyDescent="0.25">
      <c r="A3845" s="5" t="str">
        <f t="shared" ref="A3845:A3908" si="1636">G3845&amp;I3845</f>
        <v>44068SILVER</v>
      </c>
      <c r="B3845" s="6" t="s">
        <v>199</v>
      </c>
      <c r="C3845" s="6">
        <v>25.23</v>
      </c>
      <c r="D3845" s="6">
        <v>28.63</v>
      </c>
      <c r="E3845" s="6">
        <v>26.61</v>
      </c>
      <c r="F3845" t="str">
        <f t="shared" si="1622"/>
        <v>TUE</v>
      </c>
      <c r="G3845" s="1">
        <f t="shared" si="1623"/>
        <v>44068</v>
      </c>
      <c r="H3845" s="2">
        <f t="shared" ca="1" si="1624"/>
        <v>185</v>
      </c>
      <c r="I3845" t="str">
        <f t="shared" si="1625"/>
        <v>SILVER</v>
      </c>
      <c r="J3845">
        <f t="shared" si="1626"/>
        <v>25.23</v>
      </c>
      <c r="K3845">
        <f t="shared" si="1627"/>
        <v>28.63</v>
      </c>
      <c r="L3845">
        <f t="shared" si="1628"/>
        <v>26.93</v>
      </c>
      <c r="M3845">
        <f t="shared" si="1629"/>
        <v>1.6999999999999993</v>
      </c>
      <c r="N3845">
        <f t="shared" si="1633"/>
        <v>3.3999999999999986</v>
      </c>
      <c r="O3845">
        <f t="shared" si="1630"/>
        <v>26.61</v>
      </c>
      <c r="P3845">
        <f t="shared" si="1631"/>
        <v>-0.18823529411764731</v>
      </c>
      <c r="Q3845" t="str">
        <f t="shared" si="1634"/>
        <v>5.19% | 7.59%</v>
      </c>
      <c r="R3845" t="str">
        <f t="shared" si="1632"/>
        <v>BULLISH</v>
      </c>
      <c r="S3845">
        <f t="shared" si="1635"/>
        <v>1</v>
      </c>
    </row>
    <row r="3846" spans="1:19" hidden="1" x14ac:dyDescent="0.25">
      <c r="A3846" s="5" t="str">
        <f t="shared" si="1636"/>
        <v>44068COPPER</v>
      </c>
      <c r="B3846" s="6" t="s">
        <v>182</v>
      </c>
      <c r="C3846" s="6">
        <v>2.81</v>
      </c>
      <c r="D3846" s="6">
        <v>3.06</v>
      </c>
      <c r="E3846" s="6">
        <v>2.93</v>
      </c>
      <c r="F3846" t="str">
        <f t="shared" si="1622"/>
        <v>TUE</v>
      </c>
      <c r="G3846" s="1">
        <f t="shared" si="1623"/>
        <v>44068</v>
      </c>
      <c r="H3846" s="2">
        <f t="shared" ca="1" si="1624"/>
        <v>185</v>
      </c>
      <c r="I3846" t="str">
        <f t="shared" si="1625"/>
        <v>COPPER</v>
      </c>
      <c r="J3846">
        <f t="shared" si="1626"/>
        <v>2.81</v>
      </c>
      <c r="K3846">
        <f t="shared" si="1627"/>
        <v>3.06</v>
      </c>
      <c r="L3846">
        <f t="shared" si="1628"/>
        <v>2.9350000000000001</v>
      </c>
      <c r="M3846">
        <f t="shared" si="1629"/>
        <v>0.125</v>
      </c>
      <c r="N3846">
        <f t="shared" si="1633"/>
        <v>0.25</v>
      </c>
      <c r="O3846">
        <f t="shared" si="1630"/>
        <v>2.93</v>
      </c>
      <c r="P3846">
        <f t="shared" si="1631"/>
        <v>-3.9999999999999147E-2</v>
      </c>
      <c r="Q3846" t="str">
        <f t="shared" si="1634"/>
        <v>4.1% | 4.44%</v>
      </c>
      <c r="R3846" t="str">
        <f t="shared" si="1632"/>
        <v>BULLISH</v>
      </c>
      <c r="S3846">
        <f t="shared" si="1635"/>
        <v>1</v>
      </c>
    </row>
    <row r="3847" spans="1:19" hidden="1" x14ac:dyDescent="0.25">
      <c r="A3847" s="5" t="str">
        <f t="shared" si="1636"/>
        <v>44068MSFT</v>
      </c>
      <c r="B3847" s="6" t="s">
        <v>183</v>
      </c>
      <c r="C3847" s="6">
        <v>207</v>
      </c>
      <c r="D3847" s="6">
        <v>215</v>
      </c>
      <c r="E3847" s="6">
        <v>213</v>
      </c>
      <c r="F3847" t="str">
        <f t="shared" si="1622"/>
        <v>TUE</v>
      </c>
      <c r="G3847" s="1">
        <f t="shared" si="1623"/>
        <v>44068</v>
      </c>
      <c r="H3847" s="2">
        <f t="shared" ca="1" si="1624"/>
        <v>185</v>
      </c>
      <c r="I3847" t="str">
        <f t="shared" si="1625"/>
        <v>MSFT</v>
      </c>
      <c r="J3847">
        <f t="shared" si="1626"/>
        <v>207</v>
      </c>
      <c r="K3847">
        <f t="shared" si="1627"/>
        <v>215</v>
      </c>
      <c r="L3847">
        <f t="shared" si="1628"/>
        <v>211</v>
      </c>
      <c r="M3847">
        <f t="shared" si="1629"/>
        <v>4</v>
      </c>
      <c r="N3847">
        <f t="shared" si="1633"/>
        <v>8</v>
      </c>
      <c r="O3847">
        <f t="shared" si="1630"/>
        <v>213</v>
      </c>
      <c r="P3847">
        <f t="shared" si="1631"/>
        <v>0.5</v>
      </c>
      <c r="Q3847" t="str">
        <f t="shared" si="1634"/>
        <v>2.82% | 0.94%</v>
      </c>
      <c r="R3847" t="str">
        <f t="shared" si="1632"/>
        <v>BULLISH</v>
      </c>
      <c r="S3847">
        <f t="shared" si="1635"/>
        <v>1</v>
      </c>
    </row>
    <row r="3848" spans="1:19" hidden="1" x14ac:dyDescent="0.25">
      <c r="A3848" s="5" t="str">
        <f t="shared" si="1636"/>
        <v>44068AAPL</v>
      </c>
      <c r="B3848" s="6" t="s">
        <v>184</v>
      </c>
      <c r="C3848" s="6">
        <v>468</v>
      </c>
      <c r="D3848" s="6">
        <v>506</v>
      </c>
      <c r="E3848" s="6">
        <v>503</v>
      </c>
      <c r="F3848" t="str">
        <f t="shared" si="1622"/>
        <v>TUE</v>
      </c>
      <c r="G3848" s="1">
        <f t="shared" si="1623"/>
        <v>44068</v>
      </c>
      <c r="H3848" s="2">
        <f t="shared" ca="1" si="1624"/>
        <v>185</v>
      </c>
      <c r="I3848" t="str">
        <f t="shared" si="1625"/>
        <v>AAPL</v>
      </c>
      <c r="J3848">
        <f t="shared" si="1626"/>
        <v>468</v>
      </c>
      <c r="K3848">
        <f t="shared" si="1627"/>
        <v>506</v>
      </c>
      <c r="L3848">
        <f t="shared" si="1628"/>
        <v>487</v>
      </c>
      <c r="M3848">
        <f t="shared" si="1629"/>
        <v>19</v>
      </c>
      <c r="N3848">
        <f t="shared" si="1633"/>
        <v>38</v>
      </c>
      <c r="O3848">
        <f t="shared" si="1630"/>
        <v>503</v>
      </c>
      <c r="P3848">
        <f t="shared" si="1631"/>
        <v>0.84210526315789469</v>
      </c>
      <c r="Q3848" t="str">
        <f t="shared" si="1634"/>
        <v>6.96% | 0.6%</v>
      </c>
      <c r="R3848" t="str">
        <f t="shared" si="1632"/>
        <v>BULLISH</v>
      </c>
      <c r="S3848">
        <f t="shared" si="1635"/>
        <v>1</v>
      </c>
    </row>
    <row r="3849" spans="1:19" hidden="1" x14ac:dyDescent="0.25">
      <c r="A3849" s="5" t="str">
        <f t="shared" si="1636"/>
        <v>44068AMZN</v>
      </c>
      <c r="B3849" s="6" t="s">
        <v>185</v>
      </c>
      <c r="C3849" s="6">
        <v>3215</v>
      </c>
      <c r="D3849" s="6">
        <v>3369</v>
      </c>
      <c r="E3849" s="6">
        <v>3307</v>
      </c>
      <c r="F3849" t="str">
        <f t="shared" si="1622"/>
        <v>TUE</v>
      </c>
      <c r="G3849" s="1">
        <f t="shared" si="1623"/>
        <v>44068</v>
      </c>
      <c r="H3849" s="2">
        <f t="shared" ca="1" si="1624"/>
        <v>185</v>
      </c>
      <c r="I3849" t="str">
        <f t="shared" si="1625"/>
        <v>AMZN</v>
      </c>
      <c r="J3849">
        <f t="shared" si="1626"/>
        <v>3215</v>
      </c>
      <c r="K3849">
        <f t="shared" si="1627"/>
        <v>3369</v>
      </c>
      <c r="L3849">
        <f t="shared" si="1628"/>
        <v>3292</v>
      </c>
      <c r="M3849">
        <f t="shared" si="1629"/>
        <v>77</v>
      </c>
      <c r="N3849">
        <f t="shared" si="1633"/>
        <v>154</v>
      </c>
      <c r="O3849">
        <f t="shared" si="1630"/>
        <v>3307</v>
      </c>
      <c r="P3849">
        <f t="shared" si="1631"/>
        <v>0.19480519480519481</v>
      </c>
      <c r="Q3849" t="str">
        <f t="shared" si="1634"/>
        <v>2.78% | 1.87%</v>
      </c>
      <c r="R3849" t="str">
        <f t="shared" si="1632"/>
        <v>BULLISH</v>
      </c>
      <c r="S3849">
        <f t="shared" si="1635"/>
        <v>1</v>
      </c>
    </row>
    <row r="3850" spans="1:19" hidden="1" x14ac:dyDescent="0.25">
      <c r="A3850" s="5" t="str">
        <f t="shared" si="1636"/>
        <v>44068FB</v>
      </c>
      <c r="B3850" s="6" t="s">
        <v>186</v>
      </c>
      <c r="C3850" s="6">
        <v>257</v>
      </c>
      <c r="D3850" s="6">
        <v>273</v>
      </c>
      <c r="E3850" s="6">
        <v>271</v>
      </c>
      <c r="F3850" t="str">
        <f t="shared" si="1622"/>
        <v>TUE</v>
      </c>
      <c r="G3850" s="1">
        <f t="shared" si="1623"/>
        <v>44068</v>
      </c>
      <c r="H3850" s="2">
        <f t="shared" ca="1" si="1624"/>
        <v>185</v>
      </c>
      <c r="I3850" t="str">
        <f t="shared" si="1625"/>
        <v>FB</v>
      </c>
      <c r="J3850">
        <f t="shared" si="1626"/>
        <v>257</v>
      </c>
      <c r="K3850">
        <f t="shared" si="1627"/>
        <v>273</v>
      </c>
      <c r="L3850">
        <f t="shared" si="1628"/>
        <v>265</v>
      </c>
      <c r="M3850">
        <f t="shared" si="1629"/>
        <v>8</v>
      </c>
      <c r="N3850">
        <f t="shared" si="1633"/>
        <v>16</v>
      </c>
      <c r="O3850">
        <f t="shared" si="1630"/>
        <v>271</v>
      </c>
      <c r="P3850">
        <f t="shared" si="1631"/>
        <v>0.75</v>
      </c>
      <c r="Q3850" t="str">
        <f t="shared" si="1634"/>
        <v>5.17% | 0.74%</v>
      </c>
      <c r="R3850" t="str">
        <f t="shared" si="1632"/>
        <v>BULLISH</v>
      </c>
      <c r="S3850">
        <f t="shared" si="1635"/>
        <v>1</v>
      </c>
    </row>
    <row r="3851" spans="1:19" hidden="1" x14ac:dyDescent="0.25">
      <c r="A3851" s="5" t="str">
        <f t="shared" si="1636"/>
        <v>44068GOOGL</v>
      </c>
      <c r="B3851" s="6" t="s">
        <v>187</v>
      </c>
      <c r="C3851" s="6">
        <v>1541</v>
      </c>
      <c r="D3851" s="6">
        <v>1608</v>
      </c>
      <c r="E3851" s="6">
        <v>1585</v>
      </c>
      <c r="F3851" t="str">
        <f t="shared" si="1622"/>
        <v>TUE</v>
      </c>
      <c r="G3851" s="1">
        <f t="shared" si="1623"/>
        <v>44068</v>
      </c>
      <c r="H3851" s="2">
        <f t="shared" ca="1" si="1624"/>
        <v>185</v>
      </c>
      <c r="I3851" t="str">
        <f t="shared" si="1625"/>
        <v>GOOGL</v>
      </c>
      <c r="J3851">
        <f t="shared" si="1626"/>
        <v>1541</v>
      </c>
      <c r="K3851">
        <f t="shared" si="1627"/>
        <v>1608</v>
      </c>
      <c r="L3851">
        <f t="shared" si="1628"/>
        <v>1574.5</v>
      </c>
      <c r="M3851">
        <f t="shared" si="1629"/>
        <v>33.5</v>
      </c>
      <c r="N3851">
        <f t="shared" si="1633"/>
        <v>67</v>
      </c>
      <c r="O3851">
        <f t="shared" si="1630"/>
        <v>1585</v>
      </c>
      <c r="P3851">
        <f t="shared" si="1631"/>
        <v>0.31343283582089554</v>
      </c>
      <c r="Q3851" t="str">
        <f t="shared" si="1634"/>
        <v>2.78% | 1.45%</v>
      </c>
      <c r="R3851" t="str">
        <f t="shared" si="1632"/>
        <v>BULLISH</v>
      </c>
      <c r="S3851">
        <f t="shared" si="1635"/>
        <v>1</v>
      </c>
    </row>
    <row r="3852" spans="1:19" hidden="1" x14ac:dyDescent="0.25">
      <c r="A3852" s="5" t="str">
        <f t="shared" si="1636"/>
        <v>44068NFLX</v>
      </c>
      <c r="B3852" s="6" t="s">
        <v>194</v>
      </c>
      <c r="C3852" s="6">
        <v>471</v>
      </c>
      <c r="D3852" s="6">
        <v>501</v>
      </c>
      <c r="E3852" s="6">
        <v>488</v>
      </c>
      <c r="F3852" t="str">
        <f t="shared" si="1622"/>
        <v>TUE</v>
      </c>
      <c r="G3852" s="1">
        <f t="shared" si="1623"/>
        <v>44068</v>
      </c>
      <c r="H3852" s="2">
        <f t="shared" ca="1" si="1624"/>
        <v>185</v>
      </c>
      <c r="I3852" t="str">
        <f t="shared" si="1625"/>
        <v>NFLX</v>
      </c>
      <c r="J3852">
        <f t="shared" si="1626"/>
        <v>471</v>
      </c>
      <c r="K3852">
        <f t="shared" si="1627"/>
        <v>501</v>
      </c>
      <c r="L3852">
        <f t="shared" si="1628"/>
        <v>486</v>
      </c>
      <c r="M3852">
        <f t="shared" si="1629"/>
        <v>15</v>
      </c>
      <c r="N3852">
        <f t="shared" si="1633"/>
        <v>30</v>
      </c>
      <c r="O3852">
        <f t="shared" si="1630"/>
        <v>488</v>
      </c>
      <c r="P3852">
        <f t="shared" si="1631"/>
        <v>0.13333333333333333</v>
      </c>
      <c r="Q3852" t="str">
        <f t="shared" si="1634"/>
        <v>3.48% | 2.66%</v>
      </c>
      <c r="R3852" t="str">
        <f t="shared" si="1632"/>
        <v>BULLISH</v>
      </c>
      <c r="S3852">
        <f t="shared" si="1635"/>
        <v>1</v>
      </c>
    </row>
    <row r="3853" spans="1:19" x14ac:dyDescent="0.25">
      <c r="A3853" s="5" t="str">
        <f t="shared" si="1636"/>
        <v>44068TSLA</v>
      </c>
      <c r="B3853" s="6" t="s">
        <v>189</v>
      </c>
      <c r="C3853" s="6">
        <v>1822</v>
      </c>
      <c r="D3853" s="6">
        <v>2180</v>
      </c>
      <c r="E3853" s="6">
        <v>2014</v>
      </c>
      <c r="F3853" t="str">
        <f t="shared" si="1622"/>
        <v>TUE</v>
      </c>
      <c r="G3853" s="1">
        <f t="shared" si="1623"/>
        <v>44068</v>
      </c>
      <c r="H3853" s="2">
        <f t="shared" ca="1" si="1624"/>
        <v>185</v>
      </c>
      <c r="I3853" t="str">
        <f t="shared" si="1625"/>
        <v>TSLA</v>
      </c>
      <c r="J3853">
        <f t="shared" si="1626"/>
        <v>1822</v>
      </c>
      <c r="K3853">
        <f t="shared" si="1627"/>
        <v>2180</v>
      </c>
      <c r="L3853">
        <f t="shared" si="1628"/>
        <v>2001</v>
      </c>
      <c r="M3853">
        <f t="shared" si="1629"/>
        <v>179</v>
      </c>
      <c r="N3853">
        <f t="shared" si="1633"/>
        <v>358</v>
      </c>
      <c r="O3853">
        <f t="shared" si="1630"/>
        <v>2014</v>
      </c>
      <c r="P3853">
        <f t="shared" si="1631"/>
        <v>7.2625698324022353E-2</v>
      </c>
      <c r="Q3853" t="str">
        <f t="shared" si="1634"/>
        <v>9.53% | 8.24%</v>
      </c>
      <c r="R3853" t="str">
        <f t="shared" si="1632"/>
        <v>BULLISH</v>
      </c>
      <c r="S3853">
        <f t="shared" si="1635"/>
        <v>1</v>
      </c>
    </row>
    <row r="3854" spans="1:19" hidden="1" x14ac:dyDescent="0.25">
      <c r="A3854" s="5" t="str">
        <f t="shared" si="1636"/>
        <v>44068NYXBT</v>
      </c>
      <c r="B3854" s="6" t="s">
        <v>190</v>
      </c>
      <c r="C3854" s="6">
        <v>11416</v>
      </c>
      <c r="D3854" s="6">
        <v>12203</v>
      </c>
      <c r="E3854" s="6">
        <v>11754</v>
      </c>
      <c r="F3854" t="str">
        <f t="shared" si="1622"/>
        <v>TUE</v>
      </c>
      <c r="G3854" s="1">
        <f t="shared" si="1623"/>
        <v>44068</v>
      </c>
      <c r="H3854" s="2">
        <f t="shared" ca="1" si="1624"/>
        <v>185</v>
      </c>
      <c r="I3854" t="str">
        <f t="shared" si="1625"/>
        <v>NYXBT</v>
      </c>
      <c r="J3854">
        <f t="shared" si="1626"/>
        <v>11416</v>
      </c>
      <c r="K3854">
        <f t="shared" si="1627"/>
        <v>12203</v>
      </c>
      <c r="L3854">
        <f t="shared" si="1628"/>
        <v>11809.5</v>
      </c>
      <c r="M3854">
        <f t="shared" si="1629"/>
        <v>393.5</v>
      </c>
      <c r="N3854">
        <f t="shared" si="1633"/>
        <v>787</v>
      </c>
      <c r="O3854">
        <f t="shared" si="1630"/>
        <v>11754</v>
      </c>
      <c r="P3854">
        <f t="shared" si="1631"/>
        <v>-0.14104193138500634</v>
      </c>
      <c r="Q3854" t="str">
        <f t="shared" si="1634"/>
        <v>2.88% | 3.82%</v>
      </c>
      <c r="R3854" t="str">
        <f t="shared" si="1632"/>
        <v>BULLISH</v>
      </c>
      <c r="S3854">
        <f t="shared" si="1635"/>
        <v>1</v>
      </c>
    </row>
    <row r="3855" spans="1:19" hidden="1" x14ac:dyDescent="0.25">
      <c r="A3855" s="5" t="str">
        <f t="shared" si="1636"/>
        <v>44069UST10Y</v>
      </c>
      <c r="B3855" s="6" t="s">
        <v>161</v>
      </c>
      <c r="C3855" s="6">
        <v>0.73</v>
      </c>
      <c r="D3855" s="6">
        <v>0.53</v>
      </c>
      <c r="E3855" s="6">
        <v>0.69</v>
      </c>
      <c r="F3855" t="str">
        <f t="shared" si="1622"/>
        <v>WED</v>
      </c>
      <c r="G3855" s="3">
        <f>DATE(2020,8,26)</f>
        <v>44069</v>
      </c>
      <c r="H3855" s="2">
        <f t="shared" ca="1" si="1624"/>
        <v>184</v>
      </c>
      <c r="I3855" t="str">
        <f t="shared" si="1625"/>
        <v>UST10Y</v>
      </c>
      <c r="J3855">
        <f t="shared" si="1626"/>
        <v>0.73</v>
      </c>
      <c r="K3855">
        <f t="shared" si="1627"/>
        <v>0.53</v>
      </c>
      <c r="L3855">
        <f t="shared" si="1628"/>
        <v>0.63</v>
      </c>
      <c r="M3855">
        <f t="shared" si="1629"/>
        <v>9.999999999999977E-2</v>
      </c>
      <c r="N3855">
        <f t="shared" si="1633"/>
        <v>0.19999999999999996</v>
      </c>
      <c r="O3855">
        <f t="shared" si="1630"/>
        <v>0.69</v>
      </c>
      <c r="P3855">
        <f t="shared" si="1631"/>
        <v>0.60000000000000075</v>
      </c>
      <c r="Q3855" t="str">
        <f t="shared" si="1634"/>
        <v>5.8% | 23.19%</v>
      </c>
      <c r="R3855" t="str">
        <f t="shared" si="1632"/>
        <v>BEARISH</v>
      </c>
      <c r="S3855">
        <f t="shared" si="1635"/>
        <v>-1</v>
      </c>
    </row>
    <row r="3856" spans="1:19" hidden="1" x14ac:dyDescent="0.25">
      <c r="A3856" s="5" t="str">
        <f t="shared" si="1636"/>
        <v>44069UST2Y</v>
      </c>
      <c r="B3856" s="6" t="s">
        <v>162</v>
      </c>
      <c r="C3856" s="6">
        <v>0.17</v>
      </c>
      <c r="D3856" s="6">
        <v>0.11</v>
      </c>
      <c r="E3856" s="6">
        <v>0.15</v>
      </c>
      <c r="F3856" t="str">
        <f t="shared" ref="F3856:F3886" si="1637">UPPER(TEXT(G3856,"ddd"))</f>
        <v>WED</v>
      </c>
      <c r="G3856" s="3">
        <f t="shared" ref="G3856:G3885" si="1638">DATE(2020,8,26)</f>
        <v>44069</v>
      </c>
      <c r="H3856" s="2">
        <f t="shared" ref="H3856:H3886" ca="1" si="1639">TODAY()-G3856</f>
        <v>184</v>
      </c>
      <c r="I3856" t="str">
        <f t="shared" ref="I3856:I3886" si="1640">TRIM(LEFT(B3856,FIND(" ",B3856,1)))</f>
        <v>UST2Y</v>
      </c>
      <c r="J3856">
        <f t="shared" ref="J3856:J3886" si="1641">C3856</f>
        <v>0.17</v>
      </c>
      <c r="K3856">
        <f t="shared" ref="K3856:K3886" si="1642">D3856</f>
        <v>0.11</v>
      </c>
      <c r="L3856">
        <f t="shared" ref="L3856:L3886" si="1643">AVERAGE(J3856:K3856)</f>
        <v>0.14000000000000001</v>
      </c>
      <c r="M3856">
        <f t="shared" ref="M3856:M3886" si="1644">_xlfn.STDEV.P(J3856:K3856)</f>
        <v>3.0000000000000023E-2</v>
      </c>
      <c r="N3856">
        <f t="shared" si="1633"/>
        <v>6.0000000000000012E-2</v>
      </c>
      <c r="O3856">
        <f t="shared" ref="O3856:O3886" si="1645">E3856</f>
        <v>0.15</v>
      </c>
      <c r="P3856">
        <f t="shared" ref="P3856:P3886" si="1646">(O3856-L3856)/M3856</f>
        <v>0.33333333333333243</v>
      </c>
      <c r="Q3856" t="str">
        <f t="shared" si="1634"/>
        <v>13.33% | 26.67%</v>
      </c>
      <c r="R3856" t="str">
        <f t="shared" ref="R3856:R3886" si="1647">MID(B3856,FIND("(",B3856,1)+1,FIND(")",B3856,1)-FIND("(",B3856,1)-1)</f>
        <v>BEARISH</v>
      </c>
      <c r="S3856">
        <f t="shared" si="1635"/>
        <v>-1</v>
      </c>
    </row>
    <row r="3857" spans="1:19" hidden="1" x14ac:dyDescent="0.25">
      <c r="A3857" s="5" t="str">
        <f t="shared" si="1636"/>
        <v>44069SPX</v>
      </c>
      <c r="B3857" s="6" t="s">
        <v>191</v>
      </c>
      <c r="C3857" s="6">
        <v>3347</v>
      </c>
      <c r="D3857" s="6">
        <v>3465</v>
      </c>
      <c r="E3857" s="6">
        <v>3443</v>
      </c>
      <c r="F3857" t="str">
        <f t="shared" si="1637"/>
        <v>WED</v>
      </c>
      <c r="G3857" s="3">
        <f t="shared" si="1638"/>
        <v>44069</v>
      </c>
      <c r="H3857" s="2">
        <f t="shared" ca="1" si="1639"/>
        <v>184</v>
      </c>
      <c r="I3857" t="str">
        <f t="shared" si="1640"/>
        <v>SPX</v>
      </c>
      <c r="J3857">
        <f t="shared" si="1641"/>
        <v>3347</v>
      </c>
      <c r="K3857">
        <f t="shared" si="1642"/>
        <v>3465</v>
      </c>
      <c r="L3857">
        <f t="shared" si="1643"/>
        <v>3406</v>
      </c>
      <c r="M3857">
        <f t="shared" si="1644"/>
        <v>59</v>
      </c>
      <c r="N3857">
        <f t="shared" si="1633"/>
        <v>118</v>
      </c>
      <c r="O3857">
        <f t="shared" si="1645"/>
        <v>3443</v>
      </c>
      <c r="P3857">
        <f t="shared" si="1646"/>
        <v>0.6271186440677966</v>
      </c>
      <c r="Q3857" t="str">
        <f t="shared" si="1634"/>
        <v>2.79% | 0.64%</v>
      </c>
      <c r="R3857" t="str">
        <f t="shared" si="1647"/>
        <v>BULLISH</v>
      </c>
      <c r="S3857">
        <f t="shared" si="1635"/>
        <v>1</v>
      </c>
    </row>
    <row r="3858" spans="1:19" hidden="1" x14ac:dyDescent="0.25">
      <c r="A3858" s="5" t="str">
        <f t="shared" si="1636"/>
        <v>44069RUT</v>
      </c>
      <c r="B3858" s="6" t="s">
        <v>164</v>
      </c>
      <c r="C3858" s="6">
        <v>1540</v>
      </c>
      <c r="D3858" s="6">
        <v>1590</v>
      </c>
      <c r="E3858" s="6">
        <v>1571</v>
      </c>
      <c r="F3858" t="str">
        <f t="shared" si="1637"/>
        <v>WED</v>
      </c>
      <c r="G3858" s="3">
        <f t="shared" si="1638"/>
        <v>44069</v>
      </c>
      <c r="H3858" s="2">
        <f t="shared" ca="1" si="1639"/>
        <v>184</v>
      </c>
      <c r="I3858" t="str">
        <f t="shared" si="1640"/>
        <v>RUT</v>
      </c>
      <c r="J3858">
        <f t="shared" si="1641"/>
        <v>1540</v>
      </c>
      <c r="K3858">
        <f t="shared" si="1642"/>
        <v>1590</v>
      </c>
      <c r="L3858">
        <f t="shared" si="1643"/>
        <v>1565</v>
      </c>
      <c r="M3858">
        <f t="shared" si="1644"/>
        <v>25</v>
      </c>
      <c r="N3858">
        <f t="shared" si="1633"/>
        <v>50</v>
      </c>
      <c r="O3858">
        <f t="shared" si="1645"/>
        <v>1571</v>
      </c>
      <c r="P3858">
        <f t="shared" si="1646"/>
        <v>0.24</v>
      </c>
      <c r="Q3858" t="str">
        <f t="shared" si="1634"/>
        <v>1.97% | 1.21%</v>
      </c>
      <c r="R3858" t="str">
        <f t="shared" si="1647"/>
        <v>BEARISH</v>
      </c>
      <c r="S3858">
        <f t="shared" si="1635"/>
        <v>-1</v>
      </c>
    </row>
    <row r="3859" spans="1:19" hidden="1" x14ac:dyDescent="0.25">
      <c r="A3859" s="5" t="str">
        <f t="shared" si="1636"/>
        <v>44069COMPQ</v>
      </c>
      <c r="B3859" s="6" t="s">
        <v>165</v>
      </c>
      <c r="C3859" s="6">
        <v>10948</v>
      </c>
      <c r="D3859" s="6">
        <v>11513</v>
      </c>
      <c r="E3859" s="6">
        <v>11466</v>
      </c>
      <c r="F3859" t="str">
        <f t="shared" si="1637"/>
        <v>WED</v>
      </c>
      <c r="G3859" s="3">
        <f t="shared" si="1638"/>
        <v>44069</v>
      </c>
      <c r="H3859" s="2">
        <f t="shared" ca="1" si="1639"/>
        <v>184</v>
      </c>
      <c r="I3859" t="str">
        <f t="shared" si="1640"/>
        <v>COMPQ</v>
      </c>
      <c r="J3859">
        <f t="shared" si="1641"/>
        <v>10948</v>
      </c>
      <c r="K3859">
        <f t="shared" si="1642"/>
        <v>11513</v>
      </c>
      <c r="L3859">
        <f t="shared" si="1643"/>
        <v>11230.5</v>
      </c>
      <c r="M3859">
        <f t="shared" si="1644"/>
        <v>282.5</v>
      </c>
      <c r="N3859">
        <f t="shared" si="1633"/>
        <v>565</v>
      </c>
      <c r="O3859">
        <f t="shared" si="1645"/>
        <v>11466</v>
      </c>
      <c r="P3859">
        <f t="shared" si="1646"/>
        <v>0.83362831858407083</v>
      </c>
      <c r="Q3859" t="str">
        <f t="shared" si="1634"/>
        <v>4.52% | 0.41%</v>
      </c>
      <c r="R3859" t="str">
        <f t="shared" si="1647"/>
        <v>BULLISH</v>
      </c>
      <c r="S3859">
        <f t="shared" si="1635"/>
        <v>1</v>
      </c>
    </row>
    <row r="3860" spans="1:19" hidden="1" x14ac:dyDescent="0.25">
      <c r="A3860" s="5" t="str">
        <f t="shared" si="1636"/>
        <v>44069XLK</v>
      </c>
      <c r="B3860" s="6" t="s">
        <v>166</v>
      </c>
      <c r="C3860" s="6">
        <v>112.16</v>
      </c>
      <c r="D3860" s="6">
        <v>120.35</v>
      </c>
      <c r="E3860" s="6">
        <v>119.56</v>
      </c>
      <c r="F3860" t="str">
        <f t="shared" si="1637"/>
        <v>WED</v>
      </c>
      <c r="G3860" s="3">
        <f t="shared" si="1638"/>
        <v>44069</v>
      </c>
      <c r="H3860" s="2">
        <f t="shared" ca="1" si="1639"/>
        <v>184</v>
      </c>
      <c r="I3860" t="str">
        <f t="shared" si="1640"/>
        <v>XLK</v>
      </c>
      <c r="J3860">
        <f t="shared" si="1641"/>
        <v>112.16</v>
      </c>
      <c r="K3860">
        <f t="shared" si="1642"/>
        <v>120.35</v>
      </c>
      <c r="L3860">
        <f t="shared" si="1643"/>
        <v>116.255</v>
      </c>
      <c r="M3860">
        <f t="shared" si="1644"/>
        <v>4.0949999999999989</v>
      </c>
      <c r="N3860">
        <f t="shared" si="1633"/>
        <v>8.1899999999999977</v>
      </c>
      <c r="O3860">
        <f t="shared" si="1645"/>
        <v>119.56</v>
      </c>
      <c r="P3860">
        <f t="shared" si="1646"/>
        <v>0.80708180708180899</v>
      </c>
      <c r="Q3860" t="str">
        <f t="shared" si="1634"/>
        <v>6.19% | 0.66%</v>
      </c>
      <c r="R3860" t="str">
        <f t="shared" si="1647"/>
        <v>BULLISH</v>
      </c>
      <c r="S3860">
        <f t="shared" si="1635"/>
        <v>1</v>
      </c>
    </row>
    <row r="3861" spans="1:19" hidden="1" x14ac:dyDescent="0.25">
      <c r="A3861" s="5" t="str">
        <f t="shared" si="1636"/>
        <v>44069XLRE</v>
      </c>
      <c r="B3861" s="6" t="s">
        <v>167</v>
      </c>
      <c r="C3861" s="6">
        <v>35.35</v>
      </c>
      <c r="D3861" s="6">
        <v>36.54</v>
      </c>
      <c r="E3861" s="6">
        <v>36.06</v>
      </c>
      <c r="F3861" t="str">
        <f t="shared" si="1637"/>
        <v>WED</v>
      </c>
      <c r="G3861" s="3">
        <f t="shared" si="1638"/>
        <v>44069</v>
      </c>
      <c r="H3861" s="2">
        <f t="shared" ca="1" si="1639"/>
        <v>184</v>
      </c>
      <c r="I3861" t="str">
        <f t="shared" si="1640"/>
        <v>XLRE</v>
      </c>
      <c r="J3861">
        <f t="shared" si="1641"/>
        <v>35.35</v>
      </c>
      <c r="K3861">
        <f t="shared" si="1642"/>
        <v>36.54</v>
      </c>
      <c r="L3861">
        <f t="shared" si="1643"/>
        <v>35.945</v>
      </c>
      <c r="M3861">
        <f t="shared" si="1644"/>
        <v>0.59499999999999886</v>
      </c>
      <c r="N3861">
        <f t="shared" si="1633"/>
        <v>1.1899999999999977</v>
      </c>
      <c r="O3861">
        <f t="shared" si="1645"/>
        <v>36.06</v>
      </c>
      <c r="P3861">
        <f t="shared" si="1646"/>
        <v>0.19327731092437347</v>
      </c>
      <c r="Q3861" t="str">
        <f t="shared" si="1634"/>
        <v>1.97% | 1.33%</v>
      </c>
      <c r="R3861" t="str">
        <f t="shared" si="1647"/>
        <v>BULLISH</v>
      </c>
      <c r="S3861">
        <f t="shared" si="1635"/>
        <v>1</v>
      </c>
    </row>
    <row r="3862" spans="1:19" hidden="1" x14ac:dyDescent="0.25">
      <c r="A3862" s="5" t="str">
        <f t="shared" si="1636"/>
        <v>44069XLU</v>
      </c>
      <c r="B3862" s="6" t="s">
        <v>168</v>
      </c>
      <c r="C3862" s="6">
        <v>58.74</v>
      </c>
      <c r="D3862" s="6">
        <v>61.07</v>
      </c>
      <c r="E3862" s="6">
        <v>59.37</v>
      </c>
      <c r="F3862" t="str">
        <f t="shared" si="1637"/>
        <v>WED</v>
      </c>
      <c r="G3862" s="3">
        <f t="shared" si="1638"/>
        <v>44069</v>
      </c>
      <c r="H3862" s="2">
        <f t="shared" ca="1" si="1639"/>
        <v>184</v>
      </c>
      <c r="I3862" t="str">
        <f t="shared" si="1640"/>
        <v>XLU</v>
      </c>
      <c r="J3862">
        <f t="shared" si="1641"/>
        <v>58.74</v>
      </c>
      <c r="K3862">
        <f t="shared" si="1642"/>
        <v>61.07</v>
      </c>
      <c r="L3862">
        <f t="shared" si="1643"/>
        <v>59.905000000000001</v>
      </c>
      <c r="M3862">
        <f t="shared" si="1644"/>
        <v>1.1649999999999991</v>
      </c>
      <c r="N3862">
        <f t="shared" si="1633"/>
        <v>2.3299999999999983</v>
      </c>
      <c r="O3862">
        <f t="shared" si="1645"/>
        <v>59.37</v>
      </c>
      <c r="P3862">
        <f t="shared" si="1646"/>
        <v>-0.4592274678111623</v>
      </c>
      <c r="Q3862" t="str">
        <f t="shared" si="1634"/>
        <v>1.06% | 2.86%</v>
      </c>
      <c r="R3862" t="str">
        <f t="shared" si="1647"/>
        <v>BULLISH</v>
      </c>
      <c r="S3862">
        <f t="shared" si="1635"/>
        <v>1</v>
      </c>
    </row>
    <row r="3863" spans="1:19" hidden="1" x14ac:dyDescent="0.25">
      <c r="A3863" s="5" t="str">
        <f t="shared" si="1636"/>
        <v>44069XLF</v>
      </c>
      <c r="B3863" s="6" t="s">
        <v>169</v>
      </c>
      <c r="C3863" s="6">
        <v>24.04</v>
      </c>
      <c r="D3863" s="6">
        <v>25.43</v>
      </c>
      <c r="E3863" s="6">
        <v>24.96</v>
      </c>
      <c r="F3863" t="str">
        <f t="shared" si="1637"/>
        <v>WED</v>
      </c>
      <c r="G3863" s="3">
        <f t="shared" si="1638"/>
        <v>44069</v>
      </c>
      <c r="H3863" s="2">
        <f t="shared" ca="1" si="1639"/>
        <v>184</v>
      </c>
      <c r="I3863" t="str">
        <f t="shared" si="1640"/>
        <v>XLF</v>
      </c>
      <c r="J3863">
        <f t="shared" si="1641"/>
        <v>24.04</v>
      </c>
      <c r="K3863">
        <f t="shared" si="1642"/>
        <v>25.43</v>
      </c>
      <c r="L3863">
        <f t="shared" si="1643"/>
        <v>24.734999999999999</v>
      </c>
      <c r="M3863">
        <f t="shared" si="1644"/>
        <v>0.69500000000000028</v>
      </c>
      <c r="N3863">
        <f t="shared" si="1633"/>
        <v>1.3900000000000006</v>
      </c>
      <c r="O3863">
        <f t="shared" si="1645"/>
        <v>24.96</v>
      </c>
      <c r="P3863">
        <f t="shared" si="1646"/>
        <v>0.32374100719424653</v>
      </c>
      <c r="Q3863" t="str">
        <f t="shared" si="1634"/>
        <v>3.69% | 1.88%</v>
      </c>
      <c r="R3863" t="str">
        <f t="shared" si="1647"/>
        <v>BEARISH</v>
      </c>
      <c r="S3863">
        <f t="shared" si="1635"/>
        <v>-1</v>
      </c>
    </row>
    <row r="3864" spans="1:19" hidden="1" x14ac:dyDescent="0.25">
      <c r="A3864" s="5" t="str">
        <f t="shared" si="1636"/>
        <v>44069SSEC</v>
      </c>
      <c r="B3864" s="6" t="s">
        <v>170</v>
      </c>
      <c r="C3864" s="6">
        <v>3300</v>
      </c>
      <c r="D3864" s="6">
        <v>3464</v>
      </c>
      <c r="E3864" s="6">
        <v>3329</v>
      </c>
      <c r="F3864" t="str">
        <f t="shared" si="1637"/>
        <v>WED</v>
      </c>
      <c r="G3864" s="3">
        <f t="shared" si="1638"/>
        <v>44069</v>
      </c>
      <c r="H3864" s="2">
        <f t="shared" ca="1" si="1639"/>
        <v>184</v>
      </c>
      <c r="I3864" t="str">
        <f t="shared" si="1640"/>
        <v>SSEC</v>
      </c>
      <c r="J3864">
        <f t="shared" si="1641"/>
        <v>3300</v>
      </c>
      <c r="K3864">
        <f t="shared" si="1642"/>
        <v>3464</v>
      </c>
      <c r="L3864">
        <f t="shared" si="1643"/>
        <v>3382</v>
      </c>
      <c r="M3864">
        <f t="shared" si="1644"/>
        <v>82</v>
      </c>
      <c r="N3864">
        <f t="shared" si="1633"/>
        <v>164</v>
      </c>
      <c r="O3864">
        <f t="shared" si="1645"/>
        <v>3329</v>
      </c>
      <c r="P3864">
        <f t="shared" si="1646"/>
        <v>-0.64634146341463417</v>
      </c>
      <c r="Q3864" t="str">
        <f t="shared" si="1634"/>
        <v>0.87% | 4.06%</v>
      </c>
      <c r="R3864" t="str">
        <f t="shared" si="1647"/>
        <v>BULLISH</v>
      </c>
      <c r="S3864">
        <f t="shared" si="1635"/>
        <v>1</v>
      </c>
    </row>
    <row r="3865" spans="1:19" hidden="1" x14ac:dyDescent="0.25">
      <c r="A3865" s="5" t="str">
        <f t="shared" si="1636"/>
        <v>44069NIKK</v>
      </c>
      <c r="B3865" s="6" t="s">
        <v>201</v>
      </c>
      <c r="C3865" s="6">
        <v>22770</v>
      </c>
      <c r="D3865" s="6">
        <v>23399</v>
      </c>
      <c r="E3865" s="6">
        <v>23290</v>
      </c>
      <c r="F3865" t="str">
        <f t="shared" si="1637"/>
        <v>WED</v>
      </c>
      <c r="G3865" s="3">
        <f t="shared" si="1638"/>
        <v>44069</v>
      </c>
      <c r="H3865" s="2">
        <f t="shared" ca="1" si="1639"/>
        <v>184</v>
      </c>
      <c r="I3865" t="str">
        <f t="shared" si="1640"/>
        <v>NIKK</v>
      </c>
      <c r="J3865">
        <f t="shared" si="1641"/>
        <v>22770</v>
      </c>
      <c r="K3865">
        <f t="shared" si="1642"/>
        <v>23399</v>
      </c>
      <c r="L3865">
        <f t="shared" si="1643"/>
        <v>23084.5</v>
      </c>
      <c r="M3865">
        <f t="shared" si="1644"/>
        <v>314.5</v>
      </c>
      <c r="N3865">
        <f t="shared" si="1633"/>
        <v>629</v>
      </c>
      <c r="O3865">
        <f t="shared" si="1645"/>
        <v>23290</v>
      </c>
      <c r="P3865">
        <f t="shared" si="1646"/>
        <v>0.65341812400635935</v>
      </c>
      <c r="Q3865" t="str">
        <f t="shared" si="1634"/>
        <v>2.23% | 0.47%</v>
      </c>
      <c r="R3865" t="str">
        <f t="shared" si="1647"/>
        <v>BULLISH</v>
      </c>
      <c r="S3865">
        <f t="shared" si="1635"/>
        <v>1</v>
      </c>
    </row>
    <row r="3866" spans="1:19" hidden="1" x14ac:dyDescent="0.25">
      <c r="A3866" s="5" t="str">
        <f t="shared" si="1636"/>
        <v>44069DAX</v>
      </c>
      <c r="B3866" s="6" t="s">
        <v>172</v>
      </c>
      <c r="C3866" s="6">
        <v>12750</v>
      </c>
      <c r="D3866" s="6">
        <v>13156</v>
      </c>
      <c r="E3866" s="6">
        <v>13061</v>
      </c>
      <c r="F3866" t="str">
        <f t="shared" si="1637"/>
        <v>WED</v>
      </c>
      <c r="G3866" s="3">
        <f t="shared" si="1638"/>
        <v>44069</v>
      </c>
      <c r="H3866" s="2">
        <f t="shared" ca="1" si="1639"/>
        <v>184</v>
      </c>
      <c r="I3866" t="str">
        <f t="shared" si="1640"/>
        <v>DAX</v>
      </c>
      <c r="J3866">
        <f t="shared" si="1641"/>
        <v>12750</v>
      </c>
      <c r="K3866">
        <f t="shared" si="1642"/>
        <v>13156</v>
      </c>
      <c r="L3866">
        <f t="shared" si="1643"/>
        <v>12953</v>
      </c>
      <c r="M3866">
        <f t="shared" si="1644"/>
        <v>203</v>
      </c>
      <c r="N3866">
        <f t="shared" si="1633"/>
        <v>406</v>
      </c>
      <c r="O3866">
        <f t="shared" si="1645"/>
        <v>13061</v>
      </c>
      <c r="P3866">
        <f t="shared" si="1646"/>
        <v>0.53201970443349755</v>
      </c>
      <c r="Q3866" t="str">
        <f t="shared" si="1634"/>
        <v>2.38% | 0.73%</v>
      </c>
      <c r="R3866" t="str">
        <f t="shared" si="1647"/>
        <v>BULLISH</v>
      </c>
      <c r="S3866">
        <f t="shared" si="1635"/>
        <v>1</v>
      </c>
    </row>
    <row r="3867" spans="1:19" hidden="1" x14ac:dyDescent="0.25">
      <c r="A3867" s="5" t="str">
        <f t="shared" si="1636"/>
        <v>44069VIX</v>
      </c>
      <c r="B3867" s="6" t="s">
        <v>192</v>
      </c>
      <c r="C3867" s="6">
        <v>21.2</v>
      </c>
      <c r="D3867" s="6">
        <v>27.6</v>
      </c>
      <c r="E3867" s="6">
        <v>22.03</v>
      </c>
      <c r="F3867" t="str">
        <f t="shared" si="1637"/>
        <v>WED</v>
      </c>
      <c r="G3867" s="3">
        <f t="shared" si="1638"/>
        <v>44069</v>
      </c>
      <c r="H3867" s="2">
        <f t="shared" ca="1" si="1639"/>
        <v>184</v>
      </c>
      <c r="I3867" t="str">
        <f t="shared" si="1640"/>
        <v>VIX</v>
      </c>
      <c r="J3867">
        <f t="shared" si="1641"/>
        <v>21.2</v>
      </c>
      <c r="K3867">
        <f t="shared" si="1642"/>
        <v>27.6</v>
      </c>
      <c r="L3867">
        <f t="shared" si="1643"/>
        <v>24.4</v>
      </c>
      <c r="M3867">
        <f t="shared" si="1644"/>
        <v>3.2000000000000193</v>
      </c>
      <c r="N3867">
        <f t="shared" si="1633"/>
        <v>6.4000000000000021</v>
      </c>
      <c r="O3867">
        <f t="shared" si="1645"/>
        <v>22.03</v>
      </c>
      <c r="P3867">
        <f t="shared" si="1646"/>
        <v>-0.74062499999999476</v>
      </c>
      <c r="Q3867" t="str">
        <f t="shared" si="1634"/>
        <v>3.77% | 25.28%</v>
      </c>
      <c r="R3867" t="str">
        <f t="shared" si="1647"/>
        <v>BEARISH</v>
      </c>
      <c r="S3867">
        <f t="shared" si="1635"/>
        <v>-1</v>
      </c>
    </row>
    <row r="3868" spans="1:19" hidden="1" x14ac:dyDescent="0.25">
      <c r="A3868" s="5" t="str">
        <f t="shared" si="1636"/>
        <v>44069USD</v>
      </c>
      <c r="B3868" s="6" t="s">
        <v>174</v>
      </c>
      <c r="C3868" s="6">
        <v>92.27</v>
      </c>
      <c r="D3868" s="6">
        <v>93.86</v>
      </c>
      <c r="E3868" s="6">
        <v>93.05</v>
      </c>
      <c r="F3868" t="str">
        <f t="shared" si="1637"/>
        <v>WED</v>
      </c>
      <c r="G3868" s="3">
        <f t="shared" si="1638"/>
        <v>44069</v>
      </c>
      <c r="H3868" s="2">
        <f t="shared" ca="1" si="1639"/>
        <v>184</v>
      </c>
      <c r="I3868" t="str">
        <f t="shared" si="1640"/>
        <v>USD</v>
      </c>
      <c r="J3868">
        <f t="shared" si="1641"/>
        <v>92.27</v>
      </c>
      <c r="K3868">
        <f t="shared" si="1642"/>
        <v>93.86</v>
      </c>
      <c r="L3868">
        <f t="shared" si="1643"/>
        <v>93.064999999999998</v>
      </c>
      <c r="M3868">
        <f t="shared" si="1644"/>
        <v>0.79500000000000171</v>
      </c>
      <c r="N3868">
        <f t="shared" si="1633"/>
        <v>1.5900000000000034</v>
      </c>
      <c r="O3868">
        <f t="shared" si="1645"/>
        <v>93.05</v>
      </c>
      <c r="P3868">
        <f t="shared" si="1646"/>
        <v>-1.8867924528302563E-2</v>
      </c>
      <c r="Q3868" t="str">
        <f t="shared" si="1634"/>
        <v>0.84% | 0.87%</v>
      </c>
      <c r="R3868" t="str">
        <f t="shared" si="1647"/>
        <v>BEARISH</v>
      </c>
      <c r="S3868">
        <f t="shared" si="1635"/>
        <v>-1</v>
      </c>
    </row>
    <row r="3869" spans="1:19" hidden="1" x14ac:dyDescent="0.25">
      <c r="A3869" s="5" t="str">
        <f t="shared" si="1636"/>
        <v>44069EUR/USD</v>
      </c>
      <c r="B3869" s="6" t="s">
        <v>175</v>
      </c>
      <c r="C3869" s="6">
        <v>1.17</v>
      </c>
      <c r="D3869" s="6">
        <v>1.19</v>
      </c>
      <c r="E3869" s="6">
        <v>1.18</v>
      </c>
      <c r="F3869" t="str">
        <f t="shared" si="1637"/>
        <v>WED</v>
      </c>
      <c r="G3869" s="3">
        <f t="shared" si="1638"/>
        <v>44069</v>
      </c>
      <c r="H3869" s="2">
        <f t="shared" ca="1" si="1639"/>
        <v>184</v>
      </c>
      <c r="I3869" t="str">
        <f t="shared" si="1640"/>
        <v>EUR/USD</v>
      </c>
      <c r="J3869">
        <f t="shared" si="1641"/>
        <v>1.17</v>
      </c>
      <c r="K3869">
        <f t="shared" si="1642"/>
        <v>1.19</v>
      </c>
      <c r="L3869">
        <f t="shared" si="1643"/>
        <v>1.18</v>
      </c>
      <c r="M3869">
        <f t="shared" si="1644"/>
        <v>1.0000000000000009E-2</v>
      </c>
      <c r="N3869">
        <f t="shared" si="1633"/>
        <v>2.0000000000000018E-2</v>
      </c>
      <c r="O3869">
        <f t="shared" si="1645"/>
        <v>1.18</v>
      </c>
      <c r="P3869">
        <f t="shared" si="1646"/>
        <v>0</v>
      </c>
      <c r="Q3869" t="str">
        <f t="shared" si="1634"/>
        <v>0.85% | 0.85%</v>
      </c>
      <c r="R3869" t="str">
        <f t="shared" si="1647"/>
        <v>BULLISH</v>
      </c>
      <c r="S3869">
        <f t="shared" si="1635"/>
        <v>1</v>
      </c>
    </row>
    <row r="3870" spans="1:19" hidden="1" x14ac:dyDescent="0.25">
      <c r="A3870" s="5" t="str">
        <f t="shared" si="1636"/>
        <v>44069USD/JPY</v>
      </c>
      <c r="B3870" s="6" t="s">
        <v>176</v>
      </c>
      <c r="C3870" s="6">
        <v>105.11</v>
      </c>
      <c r="D3870" s="6">
        <v>107.2</v>
      </c>
      <c r="E3870" s="6">
        <v>106.36</v>
      </c>
      <c r="F3870" t="str">
        <f t="shared" si="1637"/>
        <v>WED</v>
      </c>
      <c r="G3870" s="3">
        <f t="shared" si="1638"/>
        <v>44069</v>
      </c>
      <c r="H3870" s="2">
        <f t="shared" ca="1" si="1639"/>
        <v>184</v>
      </c>
      <c r="I3870" t="str">
        <f t="shared" si="1640"/>
        <v>USD/JPY</v>
      </c>
      <c r="J3870">
        <f t="shared" si="1641"/>
        <v>105.11</v>
      </c>
      <c r="K3870">
        <f t="shared" si="1642"/>
        <v>107.2</v>
      </c>
      <c r="L3870">
        <f t="shared" si="1643"/>
        <v>106.155</v>
      </c>
      <c r="M3870">
        <f t="shared" si="1644"/>
        <v>1.0450000000000017</v>
      </c>
      <c r="N3870">
        <f t="shared" si="1633"/>
        <v>2.0900000000000034</v>
      </c>
      <c r="O3870">
        <f t="shared" si="1645"/>
        <v>106.36</v>
      </c>
      <c r="P3870">
        <f t="shared" si="1646"/>
        <v>0.1961722488038258</v>
      </c>
      <c r="Q3870" t="str">
        <f t="shared" si="1634"/>
        <v>1.18% | 0.79%</v>
      </c>
      <c r="R3870" t="str">
        <f t="shared" si="1647"/>
        <v>BEARISH</v>
      </c>
      <c r="S3870">
        <f t="shared" si="1635"/>
        <v>-1</v>
      </c>
    </row>
    <row r="3871" spans="1:19" hidden="1" x14ac:dyDescent="0.25">
      <c r="A3871" s="5" t="str">
        <f t="shared" si="1636"/>
        <v>44069GBP/USD</v>
      </c>
      <c r="B3871" s="6" t="s">
        <v>177</v>
      </c>
      <c r="C3871" s="6">
        <v>1.3</v>
      </c>
      <c r="D3871" s="6">
        <v>1.33</v>
      </c>
      <c r="E3871" s="6">
        <v>1.31</v>
      </c>
      <c r="F3871" t="str">
        <f t="shared" si="1637"/>
        <v>WED</v>
      </c>
      <c r="G3871" s="3">
        <f t="shared" si="1638"/>
        <v>44069</v>
      </c>
      <c r="H3871" s="2">
        <f t="shared" ca="1" si="1639"/>
        <v>184</v>
      </c>
      <c r="I3871" t="str">
        <f t="shared" si="1640"/>
        <v>GBP/USD</v>
      </c>
      <c r="J3871">
        <f t="shared" si="1641"/>
        <v>1.3</v>
      </c>
      <c r="K3871">
        <f t="shared" si="1642"/>
        <v>1.33</v>
      </c>
      <c r="L3871">
        <f t="shared" si="1643"/>
        <v>1.3149999999999999</v>
      </c>
      <c r="M3871">
        <f t="shared" si="1644"/>
        <v>1.5000000000000013E-2</v>
      </c>
      <c r="N3871">
        <f t="shared" si="1633"/>
        <v>3.0000000000000027E-2</v>
      </c>
      <c r="O3871">
        <f t="shared" si="1645"/>
        <v>1.31</v>
      </c>
      <c r="P3871">
        <f t="shared" si="1646"/>
        <v>-0.33333333333332593</v>
      </c>
      <c r="Q3871" t="str">
        <f t="shared" si="1634"/>
        <v>0.76% | 1.53%</v>
      </c>
      <c r="R3871" t="str">
        <f t="shared" si="1647"/>
        <v>BULLISH</v>
      </c>
      <c r="S3871">
        <f t="shared" si="1635"/>
        <v>1</v>
      </c>
    </row>
    <row r="3872" spans="1:19" hidden="1" x14ac:dyDescent="0.25">
      <c r="A3872" s="5" t="str">
        <f t="shared" si="1636"/>
        <v>44069USD/CHF</v>
      </c>
      <c r="B3872" s="6" t="s">
        <v>178</v>
      </c>
      <c r="C3872" s="6">
        <v>0.9</v>
      </c>
      <c r="D3872" s="6">
        <v>0.92</v>
      </c>
      <c r="E3872" s="6">
        <v>0.9</v>
      </c>
      <c r="F3872" t="str">
        <f t="shared" si="1637"/>
        <v>WED</v>
      </c>
      <c r="G3872" s="3">
        <f t="shared" si="1638"/>
        <v>44069</v>
      </c>
      <c r="H3872" s="2">
        <f t="shared" ca="1" si="1639"/>
        <v>184</v>
      </c>
      <c r="I3872" t="str">
        <f t="shared" si="1640"/>
        <v>USD/CHF</v>
      </c>
      <c r="J3872">
        <f t="shared" si="1641"/>
        <v>0.9</v>
      </c>
      <c r="K3872">
        <f t="shared" si="1642"/>
        <v>0.92</v>
      </c>
      <c r="L3872">
        <f t="shared" si="1643"/>
        <v>0.91</v>
      </c>
      <c r="M3872">
        <f t="shared" si="1644"/>
        <v>1.0000000000000009E-2</v>
      </c>
      <c r="N3872">
        <f t="shared" si="1633"/>
        <v>2.0000000000000018E-2</v>
      </c>
      <c r="O3872">
        <f t="shared" si="1645"/>
        <v>0.9</v>
      </c>
      <c r="P3872">
        <f t="shared" si="1646"/>
        <v>-1</v>
      </c>
      <c r="Q3872" t="str">
        <f t="shared" si="1634"/>
        <v>0% | 2.22%</v>
      </c>
      <c r="R3872" t="str">
        <f t="shared" si="1647"/>
        <v>BEARISH</v>
      </c>
      <c r="S3872">
        <f t="shared" si="1635"/>
        <v>-1</v>
      </c>
    </row>
    <row r="3873" spans="1:19" hidden="1" x14ac:dyDescent="0.25">
      <c r="A3873" s="5" t="str">
        <f t="shared" si="1636"/>
        <v>44069WTIC</v>
      </c>
      <c r="B3873" s="6" t="s">
        <v>179</v>
      </c>
      <c r="C3873" s="6">
        <v>41.77</v>
      </c>
      <c r="D3873" s="6">
        <v>43.68</v>
      </c>
      <c r="E3873" s="6">
        <v>43.35</v>
      </c>
      <c r="F3873" t="str">
        <f t="shared" si="1637"/>
        <v>WED</v>
      </c>
      <c r="G3873" s="3">
        <f t="shared" si="1638"/>
        <v>44069</v>
      </c>
      <c r="H3873" s="2">
        <f t="shared" ca="1" si="1639"/>
        <v>184</v>
      </c>
      <c r="I3873" t="str">
        <f t="shared" si="1640"/>
        <v>WTIC</v>
      </c>
      <c r="J3873">
        <f t="shared" si="1641"/>
        <v>41.77</v>
      </c>
      <c r="K3873">
        <f t="shared" si="1642"/>
        <v>43.68</v>
      </c>
      <c r="L3873">
        <f t="shared" si="1643"/>
        <v>42.725000000000001</v>
      </c>
      <c r="M3873">
        <f t="shared" si="1644"/>
        <v>0.95499999999999829</v>
      </c>
      <c r="N3873">
        <f t="shared" si="1633"/>
        <v>1.9099999999999966</v>
      </c>
      <c r="O3873">
        <f t="shared" si="1645"/>
        <v>43.35</v>
      </c>
      <c r="P3873">
        <f t="shared" si="1646"/>
        <v>0.6544502617801059</v>
      </c>
      <c r="Q3873" t="str">
        <f t="shared" si="1634"/>
        <v>3.64% | 0.76%</v>
      </c>
      <c r="R3873" t="str">
        <f t="shared" si="1647"/>
        <v>BULLISH</v>
      </c>
      <c r="S3873">
        <f t="shared" si="1635"/>
        <v>1</v>
      </c>
    </row>
    <row r="3874" spans="1:19" hidden="1" x14ac:dyDescent="0.25">
      <c r="A3874" s="5" t="str">
        <f t="shared" si="1636"/>
        <v>44069NATGAS</v>
      </c>
      <c r="B3874" s="6" t="s">
        <v>180</v>
      </c>
      <c r="C3874" s="6">
        <v>2.2000000000000002</v>
      </c>
      <c r="D3874" s="6">
        <v>2.71</v>
      </c>
      <c r="E3874" s="6">
        <v>2.6</v>
      </c>
      <c r="F3874" t="str">
        <f t="shared" si="1637"/>
        <v>WED</v>
      </c>
      <c r="G3874" s="3">
        <f t="shared" si="1638"/>
        <v>44069</v>
      </c>
      <c r="H3874" s="2">
        <f t="shared" ca="1" si="1639"/>
        <v>184</v>
      </c>
      <c r="I3874" t="str">
        <f t="shared" si="1640"/>
        <v>NATGAS</v>
      </c>
      <c r="J3874">
        <f t="shared" si="1641"/>
        <v>2.2000000000000002</v>
      </c>
      <c r="K3874">
        <f t="shared" si="1642"/>
        <v>2.71</v>
      </c>
      <c r="L3874">
        <f t="shared" si="1643"/>
        <v>2.4550000000000001</v>
      </c>
      <c r="M3874">
        <f t="shared" si="1644"/>
        <v>0.25500000000000067</v>
      </c>
      <c r="N3874">
        <f t="shared" si="1633"/>
        <v>0.50999999999999979</v>
      </c>
      <c r="O3874">
        <f t="shared" si="1645"/>
        <v>2.6</v>
      </c>
      <c r="P3874">
        <f t="shared" si="1646"/>
        <v>0.56862745098039069</v>
      </c>
      <c r="Q3874" t="str">
        <f t="shared" si="1634"/>
        <v>15.38% | 4.23%</v>
      </c>
      <c r="R3874" t="str">
        <f t="shared" si="1647"/>
        <v>BULLISH</v>
      </c>
      <c r="S3874">
        <f t="shared" si="1635"/>
        <v>1</v>
      </c>
    </row>
    <row r="3875" spans="1:19" hidden="1" x14ac:dyDescent="0.25">
      <c r="A3875" s="5" t="str">
        <f t="shared" si="1636"/>
        <v>44069GOLD</v>
      </c>
      <c r="B3875" s="6" t="s">
        <v>181</v>
      </c>
      <c r="C3875" s="6">
        <v>1908</v>
      </c>
      <c r="D3875" s="6">
        <v>2018</v>
      </c>
      <c r="E3875" s="6">
        <v>1923</v>
      </c>
      <c r="F3875" t="str">
        <f t="shared" si="1637"/>
        <v>WED</v>
      </c>
      <c r="G3875" s="3">
        <f t="shared" si="1638"/>
        <v>44069</v>
      </c>
      <c r="H3875" s="2">
        <f t="shared" ca="1" si="1639"/>
        <v>184</v>
      </c>
      <c r="I3875" t="str">
        <f t="shared" si="1640"/>
        <v>GOLD</v>
      </c>
      <c r="J3875">
        <f t="shared" si="1641"/>
        <v>1908</v>
      </c>
      <c r="K3875">
        <f t="shared" si="1642"/>
        <v>2018</v>
      </c>
      <c r="L3875">
        <f t="shared" si="1643"/>
        <v>1963</v>
      </c>
      <c r="M3875">
        <f t="shared" si="1644"/>
        <v>55</v>
      </c>
      <c r="N3875">
        <f t="shared" si="1633"/>
        <v>110</v>
      </c>
      <c r="O3875">
        <f t="shared" si="1645"/>
        <v>1923</v>
      </c>
      <c r="P3875">
        <f t="shared" si="1646"/>
        <v>-0.72727272727272729</v>
      </c>
      <c r="Q3875" t="str">
        <f t="shared" si="1634"/>
        <v>0.78% | 4.94%</v>
      </c>
      <c r="R3875" t="str">
        <f t="shared" si="1647"/>
        <v>BULLISH</v>
      </c>
      <c r="S3875">
        <f t="shared" si="1635"/>
        <v>1</v>
      </c>
    </row>
    <row r="3876" spans="1:19" hidden="1" x14ac:dyDescent="0.25">
      <c r="A3876" s="5" t="str">
        <f t="shared" si="1636"/>
        <v>44069SILVER</v>
      </c>
      <c r="B3876" s="6" t="s">
        <v>199</v>
      </c>
      <c r="C3876" s="6">
        <v>25.4</v>
      </c>
      <c r="D3876" s="6">
        <v>28.47</v>
      </c>
      <c r="E3876" s="6">
        <v>26.27</v>
      </c>
      <c r="F3876" t="str">
        <f t="shared" si="1637"/>
        <v>WED</v>
      </c>
      <c r="G3876" s="3">
        <f t="shared" si="1638"/>
        <v>44069</v>
      </c>
      <c r="H3876" s="2">
        <f t="shared" ca="1" si="1639"/>
        <v>184</v>
      </c>
      <c r="I3876" t="str">
        <f t="shared" si="1640"/>
        <v>SILVER</v>
      </c>
      <c r="J3876">
        <f t="shared" si="1641"/>
        <v>25.4</v>
      </c>
      <c r="K3876">
        <f t="shared" si="1642"/>
        <v>28.47</v>
      </c>
      <c r="L3876">
        <f t="shared" si="1643"/>
        <v>26.934999999999999</v>
      </c>
      <c r="M3876">
        <f t="shared" si="1644"/>
        <v>1.5350000000000001</v>
      </c>
      <c r="N3876">
        <f t="shared" si="1633"/>
        <v>3.0700000000000003</v>
      </c>
      <c r="O3876">
        <f t="shared" si="1645"/>
        <v>26.27</v>
      </c>
      <c r="P3876">
        <f t="shared" si="1646"/>
        <v>-0.43322475570032515</v>
      </c>
      <c r="Q3876" t="str">
        <f t="shared" si="1634"/>
        <v>3.31% | 8.37%</v>
      </c>
      <c r="R3876" t="str">
        <f t="shared" si="1647"/>
        <v>BULLISH</v>
      </c>
      <c r="S3876">
        <f t="shared" si="1635"/>
        <v>1</v>
      </c>
    </row>
    <row r="3877" spans="1:19" hidden="1" x14ac:dyDescent="0.25">
      <c r="A3877" s="5" t="str">
        <f t="shared" si="1636"/>
        <v>44069COPPER</v>
      </c>
      <c r="B3877" s="6" t="s">
        <v>182</v>
      </c>
      <c r="C3877" s="6">
        <v>2.82</v>
      </c>
      <c r="D3877" s="6">
        <v>3.06</v>
      </c>
      <c r="E3877" s="6">
        <v>2.93</v>
      </c>
      <c r="F3877" t="str">
        <f t="shared" si="1637"/>
        <v>WED</v>
      </c>
      <c r="G3877" s="3">
        <f t="shared" si="1638"/>
        <v>44069</v>
      </c>
      <c r="H3877" s="2">
        <f t="shared" ca="1" si="1639"/>
        <v>184</v>
      </c>
      <c r="I3877" t="str">
        <f t="shared" si="1640"/>
        <v>COPPER</v>
      </c>
      <c r="J3877">
        <f t="shared" si="1641"/>
        <v>2.82</v>
      </c>
      <c r="K3877">
        <f t="shared" si="1642"/>
        <v>3.06</v>
      </c>
      <c r="L3877">
        <f t="shared" si="1643"/>
        <v>2.94</v>
      </c>
      <c r="M3877">
        <f t="shared" si="1644"/>
        <v>0.12000000000000011</v>
      </c>
      <c r="N3877">
        <f t="shared" si="1633"/>
        <v>0.24000000000000021</v>
      </c>
      <c r="O3877">
        <f t="shared" si="1645"/>
        <v>2.93</v>
      </c>
      <c r="P3877">
        <f t="shared" si="1646"/>
        <v>-8.3333333333331483E-2</v>
      </c>
      <c r="Q3877" t="str">
        <f t="shared" si="1634"/>
        <v>3.75% | 4.44%</v>
      </c>
      <c r="R3877" t="str">
        <f t="shared" si="1647"/>
        <v>BULLISH</v>
      </c>
      <c r="S3877">
        <f t="shared" si="1635"/>
        <v>1</v>
      </c>
    </row>
    <row r="3878" spans="1:19" hidden="1" x14ac:dyDescent="0.25">
      <c r="A3878" s="5" t="str">
        <f t="shared" si="1636"/>
        <v>44069MSFT</v>
      </c>
      <c r="B3878" s="6" t="s">
        <v>183</v>
      </c>
      <c r="C3878" s="6">
        <v>207</v>
      </c>
      <c r="D3878" s="6">
        <v>217</v>
      </c>
      <c r="E3878" s="6">
        <v>216</v>
      </c>
      <c r="F3878" t="str">
        <f t="shared" si="1637"/>
        <v>WED</v>
      </c>
      <c r="G3878" s="3">
        <f t="shared" si="1638"/>
        <v>44069</v>
      </c>
      <c r="H3878" s="2">
        <f t="shared" ca="1" si="1639"/>
        <v>184</v>
      </c>
      <c r="I3878" t="str">
        <f t="shared" si="1640"/>
        <v>MSFT</v>
      </c>
      <c r="J3878">
        <f t="shared" si="1641"/>
        <v>207</v>
      </c>
      <c r="K3878">
        <f t="shared" si="1642"/>
        <v>217</v>
      </c>
      <c r="L3878">
        <f t="shared" si="1643"/>
        <v>212</v>
      </c>
      <c r="M3878">
        <f t="shared" si="1644"/>
        <v>5</v>
      </c>
      <c r="N3878">
        <f t="shared" si="1633"/>
        <v>10</v>
      </c>
      <c r="O3878">
        <f t="shared" si="1645"/>
        <v>216</v>
      </c>
      <c r="P3878">
        <f t="shared" si="1646"/>
        <v>0.8</v>
      </c>
      <c r="Q3878" t="str">
        <f t="shared" si="1634"/>
        <v>4.17% | 0.46%</v>
      </c>
      <c r="R3878" t="str">
        <f t="shared" si="1647"/>
        <v>BULLISH</v>
      </c>
      <c r="S3878">
        <f t="shared" si="1635"/>
        <v>1</v>
      </c>
    </row>
    <row r="3879" spans="1:19" hidden="1" x14ac:dyDescent="0.25">
      <c r="A3879" s="5" t="str">
        <f t="shared" si="1636"/>
        <v>44069AAPL</v>
      </c>
      <c r="B3879" s="6" t="s">
        <v>184</v>
      </c>
      <c r="C3879" s="6">
        <v>471</v>
      </c>
      <c r="D3879" s="6">
        <v>512</v>
      </c>
      <c r="E3879" s="6">
        <v>499</v>
      </c>
      <c r="F3879" t="str">
        <f t="shared" si="1637"/>
        <v>WED</v>
      </c>
      <c r="G3879" s="3">
        <f t="shared" si="1638"/>
        <v>44069</v>
      </c>
      <c r="H3879" s="2">
        <f t="shared" ca="1" si="1639"/>
        <v>184</v>
      </c>
      <c r="I3879" t="str">
        <f t="shared" si="1640"/>
        <v>AAPL</v>
      </c>
      <c r="J3879">
        <f t="shared" si="1641"/>
        <v>471</v>
      </c>
      <c r="K3879">
        <f t="shared" si="1642"/>
        <v>512</v>
      </c>
      <c r="L3879">
        <f t="shared" si="1643"/>
        <v>491.5</v>
      </c>
      <c r="M3879">
        <f t="shared" si="1644"/>
        <v>20.5</v>
      </c>
      <c r="N3879">
        <f t="shared" si="1633"/>
        <v>41</v>
      </c>
      <c r="O3879">
        <f t="shared" si="1645"/>
        <v>499</v>
      </c>
      <c r="P3879">
        <f t="shared" si="1646"/>
        <v>0.36585365853658536</v>
      </c>
      <c r="Q3879" t="str">
        <f t="shared" si="1634"/>
        <v>5.61% | 2.61%</v>
      </c>
      <c r="R3879" t="str">
        <f t="shared" si="1647"/>
        <v>BULLISH</v>
      </c>
      <c r="S3879">
        <f t="shared" si="1635"/>
        <v>1</v>
      </c>
    </row>
    <row r="3880" spans="1:19" hidden="1" x14ac:dyDescent="0.25">
      <c r="A3880" s="5" t="str">
        <f t="shared" si="1636"/>
        <v>44069AMZN</v>
      </c>
      <c r="B3880" s="6" t="s">
        <v>185</v>
      </c>
      <c r="C3880" s="6">
        <v>3250</v>
      </c>
      <c r="D3880" s="6">
        <v>3399</v>
      </c>
      <c r="E3880" s="6">
        <v>3346</v>
      </c>
      <c r="F3880" t="str">
        <f t="shared" si="1637"/>
        <v>WED</v>
      </c>
      <c r="G3880" s="3">
        <f t="shared" si="1638"/>
        <v>44069</v>
      </c>
      <c r="H3880" s="2">
        <f t="shared" ca="1" si="1639"/>
        <v>184</v>
      </c>
      <c r="I3880" t="str">
        <f t="shared" si="1640"/>
        <v>AMZN</v>
      </c>
      <c r="J3880">
        <f t="shared" si="1641"/>
        <v>3250</v>
      </c>
      <c r="K3880">
        <f t="shared" si="1642"/>
        <v>3399</v>
      </c>
      <c r="L3880">
        <f t="shared" si="1643"/>
        <v>3324.5</v>
      </c>
      <c r="M3880">
        <f t="shared" si="1644"/>
        <v>74.5</v>
      </c>
      <c r="N3880">
        <f t="shared" si="1633"/>
        <v>149</v>
      </c>
      <c r="O3880">
        <f t="shared" si="1645"/>
        <v>3346</v>
      </c>
      <c r="P3880">
        <f t="shared" si="1646"/>
        <v>0.28859060402684567</v>
      </c>
      <c r="Q3880" t="str">
        <f t="shared" si="1634"/>
        <v>2.87% | 1.58%</v>
      </c>
      <c r="R3880" t="str">
        <f t="shared" si="1647"/>
        <v>BULLISH</v>
      </c>
      <c r="S3880">
        <f t="shared" si="1635"/>
        <v>1</v>
      </c>
    </row>
    <row r="3881" spans="1:19" hidden="1" x14ac:dyDescent="0.25">
      <c r="A3881" s="5" t="str">
        <f t="shared" si="1636"/>
        <v>44069FB</v>
      </c>
      <c r="B3881" s="6" t="s">
        <v>186</v>
      </c>
      <c r="C3881" s="6">
        <v>266</v>
      </c>
      <c r="D3881" s="6">
        <v>283</v>
      </c>
      <c r="E3881" s="6">
        <v>280</v>
      </c>
      <c r="F3881" t="str">
        <f t="shared" si="1637"/>
        <v>WED</v>
      </c>
      <c r="G3881" s="3">
        <f t="shared" si="1638"/>
        <v>44069</v>
      </c>
      <c r="H3881" s="2">
        <f t="shared" ca="1" si="1639"/>
        <v>184</v>
      </c>
      <c r="I3881" t="str">
        <f t="shared" si="1640"/>
        <v>FB</v>
      </c>
      <c r="J3881">
        <f t="shared" si="1641"/>
        <v>266</v>
      </c>
      <c r="K3881">
        <f t="shared" si="1642"/>
        <v>283</v>
      </c>
      <c r="L3881">
        <f t="shared" si="1643"/>
        <v>274.5</v>
      </c>
      <c r="M3881">
        <f t="shared" si="1644"/>
        <v>8.5</v>
      </c>
      <c r="N3881">
        <f t="shared" si="1633"/>
        <v>17</v>
      </c>
      <c r="O3881">
        <f t="shared" si="1645"/>
        <v>280</v>
      </c>
      <c r="P3881">
        <f t="shared" si="1646"/>
        <v>0.6470588235294118</v>
      </c>
      <c r="Q3881" t="str">
        <f t="shared" si="1634"/>
        <v>5% | 1.07%</v>
      </c>
      <c r="R3881" t="str">
        <f t="shared" si="1647"/>
        <v>BULLISH</v>
      </c>
      <c r="S3881">
        <f t="shared" si="1635"/>
        <v>1</v>
      </c>
    </row>
    <row r="3882" spans="1:19" hidden="1" x14ac:dyDescent="0.25">
      <c r="A3882" s="5" t="str">
        <f t="shared" si="1636"/>
        <v>44069GOOGL</v>
      </c>
      <c r="B3882" s="6" t="s">
        <v>187</v>
      </c>
      <c r="C3882" s="6">
        <v>1551</v>
      </c>
      <c r="D3882" s="6">
        <v>1621</v>
      </c>
      <c r="E3882" s="6">
        <v>1605</v>
      </c>
      <c r="F3882" t="str">
        <f t="shared" si="1637"/>
        <v>WED</v>
      </c>
      <c r="G3882" s="3">
        <f t="shared" si="1638"/>
        <v>44069</v>
      </c>
      <c r="H3882" s="2">
        <f t="shared" ca="1" si="1639"/>
        <v>184</v>
      </c>
      <c r="I3882" t="str">
        <f t="shared" si="1640"/>
        <v>GOOGL</v>
      </c>
      <c r="J3882">
        <f t="shared" si="1641"/>
        <v>1551</v>
      </c>
      <c r="K3882">
        <f t="shared" si="1642"/>
        <v>1621</v>
      </c>
      <c r="L3882">
        <f t="shared" si="1643"/>
        <v>1586</v>
      </c>
      <c r="M3882">
        <f t="shared" si="1644"/>
        <v>35</v>
      </c>
      <c r="N3882">
        <f t="shared" si="1633"/>
        <v>70</v>
      </c>
      <c r="O3882">
        <f t="shared" si="1645"/>
        <v>1605</v>
      </c>
      <c r="P3882">
        <f t="shared" si="1646"/>
        <v>0.54285714285714282</v>
      </c>
      <c r="Q3882" t="str">
        <f t="shared" si="1634"/>
        <v>3.36% | 1%</v>
      </c>
      <c r="R3882" t="str">
        <f t="shared" si="1647"/>
        <v>BULLISH</v>
      </c>
      <c r="S3882">
        <f t="shared" si="1635"/>
        <v>1</v>
      </c>
    </row>
    <row r="3883" spans="1:19" hidden="1" x14ac:dyDescent="0.25">
      <c r="A3883" s="5" t="str">
        <f t="shared" si="1636"/>
        <v>44069NFLX</v>
      </c>
      <c r="B3883" s="6" t="s">
        <v>194</v>
      </c>
      <c r="C3883" s="6">
        <v>472</v>
      </c>
      <c r="D3883" s="6">
        <v>500</v>
      </c>
      <c r="E3883" s="6">
        <v>490</v>
      </c>
      <c r="F3883" t="str">
        <f t="shared" si="1637"/>
        <v>WED</v>
      </c>
      <c r="G3883" s="3">
        <f t="shared" si="1638"/>
        <v>44069</v>
      </c>
      <c r="H3883" s="2">
        <f t="shared" ca="1" si="1639"/>
        <v>184</v>
      </c>
      <c r="I3883" t="str">
        <f t="shared" si="1640"/>
        <v>NFLX</v>
      </c>
      <c r="J3883">
        <f t="shared" si="1641"/>
        <v>472</v>
      </c>
      <c r="K3883">
        <f t="shared" si="1642"/>
        <v>500</v>
      </c>
      <c r="L3883">
        <f t="shared" si="1643"/>
        <v>486</v>
      </c>
      <c r="M3883">
        <f t="shared" si="1644"/>
        <v>14</v>
      </c>
      <c r="N3883">
        <f t="shared" si="1633"/>
        <v>28</v>
      </c>
      <c r="O3883">
        <f t="shared" si="1645"/>
        <v>490</v>
      </c>
      <c r="P3883">
        <f t="shared" si="1646"/>
        <v>0.2857142857142857</v>
      </c>
      <c r="Q3883" t="str">
        <f t="shared" si="1634"/>
        <v>3.67% | 2.04%</v>
      </c>
      <c r="R3883" t="str">
        <f t="shared" si="1647"/>
        <v>BULLISH</v>
      </c>
      <c r="S3883">
        <f t="shared" si="1635"/>
        <v>1</v>
      </c>
    </row>
    <row r="3884" spans="1:19" x14ac:dyDescent="0.25">
      <c r="A3884" s="5" t="str">
        <f t="shared" si="1636"/>
        <v>44069TSLA</v>
      </c>
      <c r="B3884" s="6" t="s">
        <v>189</v>
      </c>
      <c r="C3884" s="6">
        <v>1875</v>
      </c>
      <c r="D3884" s="6">
        <v>2187</v>
      </c>
      <c r="E3884" s="6">
        <v>2023</v>
      </c>
      <c r="F3884" t="str">
        <f t="shared" si="1637"/>
        <v>WED</v>
      </c>
      <c r="G3884" s="3">
        <f t="shared" si="1638"/>
        <v>44069</v>
      </c>
      <c r="H3884" s="2">
        <f t="shared" ca="1" si="1639"/>
        <v>184</v>
      </c>
      <c r="I3884" t="str">
        <f t="shared" si="1640"/>
        <v>TSLA</v>
      </c>
      <c r="J3884">
        <f t="shared" si="1641"/>
        <v>1875</v>
      </c>
      <c r="K3884">
        <f t="shared" si="1642"/>
        <v>2187</v>
      </c>
      <c r="L3884">
        <f t="shared" si="1643"/>
        <v>2031</v>
      </c>
      <c r="M3884">
        <f t="shared" si="1644"/>
        <v>156</v>
      </c>
      <c r="N3884">
        <f t="shared" si="1633"/>
        <v>312</v>
      </c>
      <c r="O3884">
        <f t="shared" si="1645"/>
        <v>2023</v>
      </c>
      <c r="P3884">
        <f t="shared" si="1646"/>
        <v>-5.128205128205128E-2</v>
      </c>
      <c r="Q3884" t="str">
        <f t="shared" si="1634"/>
        <v>7.32% | 8.11%</v>
      </c>
      <c r="R3884" t="str">
        <f t="shared" si="1647"/>
        <v>BULLISH</v>
      </c>
      <c r="S3884">
        <f t="shared" si="1635"/>
        <v>1</v>
      </c>
    </row>
    <row r="3885" spans="1:19" hidden="1" x14ac:dyDescent="0.25">
      <c r="A3885" s="5" t="str">
        <f t="shared" si="1636"/>
        <v>44069NYXBT</v>
      </c>
      <c r="B3885" s="6" t="s">
        <v>190</v>
      </c>
      <c r="C3885" s="6">
        <v>11295</v>
      </c>
      <c r="D3885" s="6">
        <v>12150</v>
      </c>
      <c r="E3885" s="6">
        <v>11417</v>
      </c>
      <c r="F3885" t="str">
        <f t="shared" si="1637"/>
        <v>WED</v>
      </c>
      <c r="G3885" s="3">
        <f t="shared" si="1638"/>
        <v>44069</v>
      </c>
      <c r="H3885" s="2">
        <f t="shared" ca="1" si="1639"/>
        <v>184</v>
      </c>
      <c r="I3885" t="str">
        <f t="shared" si="1640"/>
        <v>NYXBT</v>
      </c>
      <c r="J3885">
        <f t="shared" si="1641"/>
        <v>11295</v>
      </c>
      <c r="K3885">
        <f t="shared" si="1642"/>
        <v>12150</v>
      </c>
      <c r="L3885">
        <f t="shared" si="1643"/>
        <v>11722.5</v>
      </c>
      <c r="M3885">
        <f t="shared" si="1644"/>
        <v>427.5</v>
      </c>
      <c r="N3885">
        <f t="shared" si="1633"/>
        <v>855</v>
      </c>
      <c r="O3885">
        <f t="shared" si="1645"/>
        <v>11417</v>
      </c>
      <c r="P3885">
        <f t="shared" si="1646"/>
        <v>-0.71461988304093571</v>
      </c>
      <c r="Q3885" t="str">
        <f t="shared" si="1634"/>
        <v>1.07% | 6.42%</v>
      </c>
      <c r="R3885" t="str">
        <f t="shared" si="1647"/>
        <v>BULLISH</v>
      </c>
      <c r="S3885">
        <f t="shared" si="1635"/>
        <v>1</v>
      </c>
    </row>
    <row r="3886" spans="1:19" hidden="1" x14ac:dyDescent="0.25">
      <c r="A3886" s="5" t="str">
        <f t="shared" si="1636"/>
        <v>44070UST10Y</v>
      </c>
      <c r="B3886" s="6" t="s">
        <v>161</v>
      </c>
      <c r="C3886" s="6">
        <v>0.72</v>
      </c>
      <c r="D3886" s="6">
        <v>0.54</v>
      </c>
      <c r="E3886" s="6">
        <v>0.69</v>
      </c>
      <c r="F3886" t="str">
        <f t="shared" si="1637"/>
        <v>THU</v>
      </c>
      <c r="G3886" s="1">
        <f>DATE(2020,8,27)</f>
        <v>44070</v>
      </c>
      <c r="H3886" s="2">
        <f t="shared" ca="1" si="1639"/>
        <v>183</v>
      </c>
      <c r="I3886" t="str">
        <f t="shared" si="1640"/>
        <v>UST10Y</v>
      </c>
      <c r="J3886">
        <f t="shared" si="1641"/>
        <v>0.72</v>
      </c>
      <c r="K3886">
        <f t="shared" si="1642"/>
        <v>0.54</v>
      </c>
      <c r="L3886">
        <f t="shared" si="1643"/>
        <v>0.63</v>
      </c>
      <c r="M3886">
        <f t="shared" si="1644"/>
        <v>8.9999999999999983E-2</v>
      </c>
      <c r="N3886">
        <f t="shared" si="1633"/>
        <v>0.17999999999999994</v>
      </c>
      <c r="O3886">
        <f t="shared" si="1645"/>
        <v>0.69</v>
      </c>
      <c r="P3886">
        <f t="shared" si="1646"/>
        <v>0.66666666666666619</v>
      </c>
      <c r="Q3886" t="str">
        <f t="shared" si="1634"/>
        <v>4.35% | 21.74%</v>
      </c>
      <c r="R3886" t="str">
        <f t="shared" si="1647"/>
        <v>BEARISH</v>
      </c>
      <c r="S3886">
        <f t="shared" si="1635"/>
        <v>-1</v>
      </c>
    </row>
    <row r="3887" spans="1:19" hidden="1" x14ac:dyDescent="0.25">
      <c r="A3887" s="5" t="str">
        <f t="shared" si="1636"/>
        <v>44070UST2Y</v>
      </c>
      <c r="B3887" s="6" t="s">
        <v>162</v>
      </c>
      <c r="C3887" s="6">
        <v>0.16</v>
      </c>
      <c r="D3887" s="6">
        <v>0.12</v>
      </c>
      <c r="E3887" s="6">
        <v>0.16</v>
      </c>
      <c r="F3887" t="str">
        <f t="shared" ref="F3887:F3917" si="1648">UPPER(TEXT(G3887,"ddd"))</f>
        <v>THU</v>
      </c>
      <c r="G3887" s="1">
        <f t="shared" ref="G3887:G3916" si="1649">DATE(2020,8,27)</f>
        <v>44070</v>
      </c>
      <c r="H3887" s="2">
        <f t="shared" ref="H3887:H3917" ca="1" si="1650">TODAY()-G3887</f>
        <v>183</v>
      </c>
      <c r="I3887" t="str">
        <f t="shared" ref="I3887:I3917" si="1651">TRIM(LEFT(B3887,FIND(" ",B3887,1)))</f>
        <v>UST2Y</v>
      </c>
      <c r="J3887">
        <f t="shared" ref="J3887:J3917" si="1652">C3887</f>
        <v>0.16</v>
      </c>
      <c r="K3887">
        <f t="shared" ref="K3887:K3917" si="1653">D3887</f>
        <v>0.12</v>
      </c>
      <c r="L3887">
        <f t="shared" ref="L3887:L3917" si="1654">AVERAGE(J3887:K3887)</f>
        <v>0.14000000000000001</v>
      </c>
      <c r="M3887">
        <f t="shared" ref="M3887:M3917" si="1655">_xlfn.STDEV.P(J3887:K3887)</f>
        <v>1.9999999999999938E-2</v>
      </c>
      <c r="N3887">
        <f t="shared" si="1633"/>
        <v>4.0000000000000008E-2</v>
      </c>
      <c r="O3887">
        <f t="shared" ref="O3887:O3917" si="1656">E3887</f>
        <v>0.16</v>
      </c>
      <c r="P3887">
        <f t="shared" ref="P3887:P3917" si="1657">(O3887-L3887)/M3887</f>
        <v>1.0000000000000027</v>
      </c>
      <c r="Q3887" t="str">
        <f t="shared" si="1634"/>
        <v>0% | 25%</v>
      </c>
      <c r="R3887" t="str">
        <f t="shared" ref="R3887:R3917" si="1658">MID(B3887,FIND("(",B3887,1)+1,FIND(")",B3887,1)-FIND("(",B3887,1)-1)</f>
        <v>BEARISH</v>
      </c>
      <c r="S3887">
        <f t="shared" si="1635"/>
        <v>-1</v>
      </c>
    </row>
    <row r="3888" spans="1:19" hidden="1" x14ac:dyDescent="0.25">
      <c r="A3888" s="5" t="str">
        <f t="shared" si="1636"/>
        <v>44070SPX</v>
      </c>
      <c r="B3888" s="6" t="s">
        <v>191</v>
      </c>
      <c r="C3888" s="6">
        <v>3336</v>
      </c>
      <c r="D3888" s="6">
        <v>3491</v>
      </c>
      <c r="E3888" s="6">
        <v>3478</v>
      </c>
      <c r="F3888" t="str">
        <f t="shared" si="1648"/>
        <v>THU</v>
      </c>
      <c r="G3888" s="1">
        <f t="shared" si="1649"/>
        <v>44070</v>
      </c>
      <c r="H3888" s="2">
        <f t="shared" ca="1" si="1650"/>
        <v>183</v>
      </c>
      <c r="I3888" t="str">
        <f t="shared" si="1651"/>
        <v>SPX</v>
      </c>
      <c r="J3888">
        <f t="shared" si="1652"/>
        <v>3336</v>
      </c>
      <c r="K3888">
        <f t="shared" si="1653"/>
        <v>3491</v>
      </c>
      <c r="L3888">
        <f t="shared" si="1654"/>
        <v>3413.5</v>
      </c>
      <c r="M3888">
        <f t="shared" si="1655"/>
        <v>77.5</v>
      </c>
      <c r="N3888">
        <f t="shared" si="1633"/>
        <v>155</v>
      </c>
      <c r="O3888">
        <f t="shared" si="1656"/>
        <v>3478</v>
      </c>
      <c r="P3888">
        <f t="shared" si="1657"/>
        <v>0.83225806451612905</v>
      </c>
      <c r="Q3888" t="str">
        <f t="shared" si="1634"/>
        <v>4.08% | 0.37%</v>
      </c>
      <c r="R3888" t="str">
        <f t="shared" si="1658"/>
        <v>BULLISH</v>
      </c>
      <c r="S3888">
        <f t="shared" si="1635"/>
        <v>1</v>
      </c>
    </row>
    <row r="3889" spans="1:19" hidden="1" x14ac:dyDescent="0.25">
      <c r="A3889" s="5" t="str">
        <f t="shared" si="1636"/>
        <v>44070RUT</v>
      </c>
      <c r="B3889" s="6" t="s">
        <v>164</v>
      </c>
      <c r="C3889" s="6">
        <v>1539</v>
      </c>
      <c r="D3889" s="6">
        <v>1587</v>
      </c>
      <c r="E3889" s="6">
        <v>1560</v>
      </c>
      <c r="F3889" t="str">
        <f t="shared" si="1648"/>
        <v>THU</v>
      </c>
      <c r="G3889" s="1">
        <f t="shared" si="1649"/>
        <v>44070</v>
      </c>
      <c r="H3889" s="2">
        <f t="shared" ca="1" si="1650"/>
        <v>183</v>
      </c>
      <c r="I3889" t="str">
        <f t="shared" si="1651"/>
        <v>RUT</v>
      </c>
      <c r="J3889">
        <f t="shared" si="1652"/>
        <v>1539</v>
      </c>
      <c r="K3889">
        <f t="shared" si="1653"/>
        <v>1587</v>
      </c>
      <c r="L3889">
        <f t="shared" si="1654"/>
        <v>1563</v>
      </c>
      <c r="M3889">
        <f t="shared" si="1655"/>
        <v>24</v>
      </c>
      <c r="N3889">
        <f t="shared" si="1633"/>
        <v>48</v>
      </c>
      <c r="O3889">
        <f t="shared" si="1656"/>
        <v>1560</v>
      </c>
      <c r="P3889">
        <f t="shared" si="1657"/>
        <v>-0.125</v>
      </c>
      <c r="Q3889" t="str">
        <f t="shared" si="1634"/>
        <v>1.35% | 1.73%</v>
      </c>
      <c r="R3889" t="str">
        <f t="shared" si="1658"/>
        <v>BEARISH</v>
      </c>
      <c r="S3889">
        <f t="shared" si="1635"/>
        <v>-1</v>
      </c>
    </row>
    <row r="3890" spans="1:19" hidden="1" x14ac:dyDescent="0.25">
      <c r="A3890" s="5" t="str">
        <f t="shared" si="1636"/>
        <v>44070COMPQ</v>
      </c>
      <c r="B3890" s="6" t="s">
        <v>165</v>
      </c>
      <c r="C3890" s="6">
        <v>10995</v>
      </c>
      <c r="D3890" s="6">
        <v>11743</v>
      </c>
      <c r="E3890" s="6">
        <v>11665</v>
      </c>
      <c r="F3890" t="str">
        <f t="shared" si="1648"/>
        <v>THU</v>
      </c>
      <c r="G3890" s="1">
        <f t="shared" si="1649"/>
        <v>44070</v>
      </c>
      <c r="H3890" s="2">
        <f t="shared" ca="1" si="1650"/>
        <v>183</v>
      </c>
      <c r="I3890" t="str">
        <f t="shared" si="1651"/>
        <v>COMPQ</v>
      </c>
      <c r="J3890">
        <f t="shared" si="1652"/>
        <v>10995</v>
      </c>
      <c r="K3890">
        <f t="shared" si="1653"/>
        <v>11743</v>
      </c>
      <c r="L3890">
        <f t="shared" si="1654"/>
        <v>11369</v>
      </c>
      <c r="M3890">
        <f t="shared" si="1655"/>
        <v>374</v>
      </c>
      <c r="N3890">
        <f t="shared" si="1633"/>
        <v>748</v>
      </c>
      <c r="O3890">
        <f t="shared" si="1656"/>
        <v>11665</v>
      </c>
      <c r="P3890">
        <f t="shared" si="1657"/>
        <v>0.79144385026737973</v>
      </c>
      <c r="Q3890" t="str">
        <f t="shared" si="1634"/>
        <v>5.74% | 0.67%</v>
      </c>
      <c r="R3890" t="str">
        <f t="shared" si="1658"/>
        <v>BULLISH</v>
      </c>
      <c r="S3890">
        <f t="shared" si="1635"/>
        <v>1</v>
      </c>
    </row>
    <row r="3891" spans="1:19" hidden="1" x14ac:dyDescent="0.25">
      <c r="A3891" s="5" t="str">
        <f t="shared" si="1636"/>
        <v>44070XLK</v>
      </c>
      <c r="B3891" s="6" t="s">
        <v>166</v>
      </c>
      <c r="C3891" s="6">
        <v>113.4</v>
      </c>
      <c r="D3891" s="6">
        <v>122.45</v>
      </c>
      <c r="E3891" s="6">
        <v>121.99</v>
      </c>
      <c r="F3891" t="str">
        <f t="shared" si="1648"/>
        <v>THU</v>
      </c>
      <c r="G3891" s="1">
        <f t="shared" si="1649"/>
        <v>44070</v>
      </c>
      <c r="H3891" s="2">
        <f t="shared" ca="1" si="1650"/>
        <v>183</v>
      </c>
      <c r="I3891" t="str">
        <f t="shared" si="1651"/>
        <v>XLK</v>
      </c>
      <c r="J3891">
        <f t="shared" si="1652"/>
        <v>113.4</v>
      </c>
      <c r="K3891">
        <f t="shared" si="1653"/>
        <v>122.45</v>
      </c>
      <c r="L3891">
        <f t="shared" si="1654"/>
        <v>117.92500000000001</v>
      </c>
      <c r="M3891">
        <f t="shared" si="1655"/>
        <v>4.5249999999999986</v>
      </c>
      <c r="N3891">
        <f t="shared" si="1633"/>
        <v>9.0499999999999972</v>
      </c>
      <c r="O3891">
        <f t="shared" si="1656"/>
        <v>121.99</v>
      </c>
      <c r="P3891">
        <f t="shared" si="1657"/>
        <v>0.89834254143646075</v>
      </c>
      <c r="Q3891" t="str">
        <f t="shared" si="1634"/>
        <v>7.04% | 0.38%</v>
      </c>
      <c r="R3891" t="str">
        <f t="shared" si="1658"/>
        <v>BULLISH</v>
      </c>
      <c r="S3891">
        <f t="shared" si="1635"/>
        <v>1</v>
      </c>
    </row>
    <row r="3892" spans="1:19" hidden="1" x14ac:dyDescent="0.25">
      <c r="A3892" s="5" t="str">
        <f t="shared" si="1636"/>
        <v>44070XLRE</v>
      </c>
      <c r="B3892" s="6" t="s">
        <v>167</v>
      </c>
      <c r="C3892" s="6">
        <v>35.36</v>
      </c>
      <c r="D3892" s="6">
        <v>36.44</v>
      </c>
      <c r="E3892" s="6">
        <v>35.81</v>
      </c>
      <c r="F3892" t="str">
        <f t="shared" si="1648"/>
        <v>THU</v>
      </c>
      <c r="G3892" s="1">
        <f t="shared" si="1649"/>
        <v>44070</v>
      </c>
      <c r="H3892" s="2">
        <f t="shared" ca="1" si="1650"/>
        <v>183</v>
      </c>
      <c r="I3892" t="str">
        <f t="shared" si="1651"/>
        <v>XLRE</v>
      </c>
      <c r="J3892">
        <f t="shared" si="1652"/>
        <v>35.36</v>
      </c>
      <c r="K3892">
        <f t="shared" si="1653"/>
        <v>36.44</v>
      </c>
      <c r="L3892">
        <f t="shared" si="1654"/>
        <v>35.9</v>
      </c>
      <c r="M3892">
        <f t="shared" si="1655"/>
        <v>0.53999999999999915</v>
      </c>
      <c r="N3892">
        <f t="shared" si="1633"/>
        <v>1.0799999999999983</v>
      </c>
      <c r="O3892">
        <f t="shared" si="1656"/>
        <v>35.81</v>
      </c>
      <c r="P3892">
        <f t="shared" si="1657"/>
        <v>-0.16666666666666008</v>
      </c>
      <c r="Q3892" t="str">
        <f t="shared" si="1634"/>
        <v>1.26% | 1.76%</v>
      </c>
      <c r="R3892" t="str">
        <f t="shared" si="1658"/>
        <v>BULLISH</v>
      </c>
      <c r="S3892">
        <f t="shared" si="1635"/>
        <v>1</v>
      </c>
    </row>
    <row r="3893" spans="1:19" hidden="1" x14ac:dyDescent="0.25">
      <c r="A3893" s="5" t="str">
        <f t="shared" si="1636"/>
        <v>44070XLU</v>
      </c>
      <c r="B3893" s="6" t="s">
        <v>168</v>
      </c>
      <c r="C3893" s="6">
        <v>58.59</v>
      </c>
      <c r="D3893" s="6">
        <v>60.85</v>
      </c>
      <c r="E3893" s="6">
        <v>58.71</v>
      </c>
      <c r="F3893" t="str">
        <f t="shared" si="1648"/>
        <v>THU</v>
      </c>
      <c r="G3893" s="1">
        <f t="shared" si="1649"/>
        <v>44070</v>
      </c>
      <c r="H3893" s="2">
        <f t="shared" ca="1" si="1650"/>
        <v>183</v>
      </c>
      <c r="I3893" t="str">
        <f t="shared" si="1651"/>
        <v>XLU</v>
      </c>
      <c r="J3893">
        <f t="shared" si="1652"/>
        <v>58.59</v>
      </c>
      <c r="K3893">
        <f t="shared" si="1653"/>
        <v>60.85</v>
      </c>
      <c r="L3893">
        <f t="shared" si="1654"/>
        <v>59.72</v>
      </c>
      <c r="M3893">
        <f t="shared" si="1655"/>
        <v>1.129999999999999</v>
      </c>
      <c r="N3893">
        <f t="shared" si="1633"/>
        <v>2.259999999999998</v>
      </c>
      <c r="O3893">
        <f t="shared" si="1656"/>
        <v>58.71</v>
      </c>
      <c r="P3893">
        <f t="shared" si="1657"/>
        <v>-0.89380530973451233</v>
      </c>
      <c r="Q3893" t="str">
        <f t="shared" si="1634"/>
        <v>0.2% | 3.65%</v>
      </c>
      <c r="R3893" t="str">
        <f t="shared" si="1658"/>
        <v>BULLISH</v>
      </c>
      <c r="S3893">
        <f t="shared" si="1635"/>
        <v>1</v>
      </c>
    </row>
    <row r="3894" spans="1:19" hidden="1" x14ac:dyDescent="0.25">
      <c r="A3894" s="5" t="str">
        <f t="shared" si="1636"/>
        <v>44070XLF</v>
      </c>
      <c r="B3894" s="6" t="s">
        <v>169</v>
      </c>
      <c r="C3894" s="6">
        <v>24.05</v>
      </c>
      <c r="D3894" s="6">
        <v>25.36</v>
      </c>
      <c r="E3894" s="6">
        <v>24.84</v>
      </c>
      <c r="F3894" t="str">
        <f t="shared" si="1648"/>
        <v>THU</v>
      </c>
      <c r="G3894" s="1">
        <f t="shared" si="1649"/>
        <v>44070</v>
      </c>
      <c r="H3894" s="2">
        <f t="shared" ca="1" si="1650"/>
        <v>183</v>
      </c>
      <c r="I3894" t="str">
        <f t="shared" si="1651"/>
        <v>XLF</v>
      </c>
      <c r="J3894">
        <f t="shared" si="1652"/>
        <v>24.05</v>
      </c>
      <c r="K3894">
        <f t="shared" si="1653"/>
        <v>25.36</v>
      </c>
      <c r="L3894">
        <f t="shared" si="1654"/>
        <v>24.704999999999998</v>
      </c>
      <c r="M3894">
        <f t="shared" si="1655"/>
        <v>0.65499999999999936</v>
      </c>
      <c r="N3894">
        <f t="shared" si="1633"/>
        <v>1.3099999999999987</v>
      </c>
      <c r="O3894">
        <f t="shared" si="1656"/>
        <v>24.84</v>
      </c>
      <c r="P3894">
        <f t="shared" si="1657"/>
        <v>0.20610687022901023</v>
      </c>
      <c r="Q3894" t="str">
        <f t="shared" si="1634"/>
        <v>3.18% | 2.09%</v>
      </c>
      <c r="R3894" t="str">
        <f t="shared" si="1658"/>
        <v>BEARISH</v>
      </c>
      <c r="S3894">
        <f t="shared" si="1635"/>
        <v>-1</v>
      </c>
    </row>
    <row r="3895" spans="1:19" hidden="1" x14ac:dyDescent="0.25">
      <c r="A3895" s="5" t="str">
        <f t="shared" si="1636"/>
        <v>44070SSEC</v>
      </c>
      <c r="B3895" s="6" t="s">
        <v>170</v>
      </c>
      <c r="C3895" s="6">
        <v>3306</v>
      </c>
      <c r="D3895" s="6">
        <v>3465</v>
      </c>
      <c r="E3895" s="6">
        <v>3350</v>
      </c>
      <c r="F3895" t="str">
        <f t="shared" si="1648"/>
        <v>THU</v>
      </c>
      <c r="G3895" s="1">
        <f t="shared" si="1649"/>
        <v>44070</v>
      </c>
      <c r="H3895" s="2">
        <f t="shared" ca="1" si="1650"/>
        <v>183</v>
      </c>
      <c r="I3895" t="str">
        <f t="shared" si="1651"/>
        <v>SSEC</v>
      </c>
      <c r="J3895">
        <f t="shared" si="1652"/>
        <v>3306</v>
      </c>
      <c r="K3895">
        <f t="shared" si="1653"/>
        <v>3465</v>
      </c>
      <c r="L3895">
        <f t="shared" si="1654"/>
        <v>3385.5</v>
      </c>
      <c r="M3895">
        <f t="shared" si="1655"/>
        <v>79.5</v>
      </c>
      <c r="N3895">
        <f t="shared" si="1633"/>
        <v>159</v>
      </c>
      <c r="O3895">
        <f t="shared" si="1656"/>
        <v>3350</v>
      </c>
      <c r="P3895">
        <f t="shared" si="1657"/>
        <v>-0.44654088050314467</v>
      </c>
      <c r="Q3895" t="str">
        <f t="shared" si="1634"/>
        <v>1.31% | 3.43%</v>
      </c>
      <c r="R3895" t="str">
        <f t="shared" si="1658"/>
        <v>BULLISH</v>
      </c>
      <c r="S3895">
        <f t="shared" si="1635"/>
        <v>1</v>
      </c>
    </row>
    <row r="3896" spans="1:19" hidden="1" x14ac:dyDescent="0.25">
      <c r="A3896" s="5" t="str">
        <f t="shared" si="1636"/>
        <v>44070NIKK</v>
      </c>
      <c r="B3896" s="6" t="s">
        <v>201</v>
      </c>
      <c r="C3896" s="6">
        <v>22807</v>
      </c>
      <c r="D3896" s="6">
        <v>23410</v>
      </c>
      <c r="E3896" s="6">
        <v>23208</v>
      </c>
      <c r="F3896" t="str">
        <f t="shared" si="1648"/>
        <v>THU</v>
      </c>
      <c r="G3896" s="1">
        <f t="shared" si="1649"/>
        <v>44070</v>
      </c>
      <c r="H3896" s="2">
        <f t="shared" ca="1" si="1650"/>
        <v>183</v>
      </c>
      <c r="I3896" t="str">
        <f t="shared" si="1651"/>
        <v>NIKK</v>
      </c>
      <c r="J3896">
        <f t="shared" si="1652"/>
        <v>22807</v>
      </c>
      <c r="K3896">
        <f t="shared" si="1653"/>
        <v>23410</v>
      </c>
      <c r="L3896">
        <f t="shared" si="1654"/>
        <v>23108.5</v>
      </c>
      <c r="M3896">
        <f t="shared" si="1655"/>
        <v>301.5</v>
      </c>
      <c r="N3896">
        <f t="shared" si="1633"/>
        <v>603</v>
      </c>
      <c r="O3896">
        <f t="shared" si="1656"/>
        <v>23208</v>
      </c>
      <c r="P3896">
        <f t="shared" si="1657"/>
        <v>0.33001658374792703</v>
      </c>
      <c r="Q3896" t="str">
        <f t="shared" si="1634"/>
        <v>1.73% | 0.87%</v>
      </c>
      <c r="R3896" t="str">
        <f t="shared" si="1658"/>
        <v>BULLISH</v>
      </c>
      <c r="S3896">
        <f t="shared" si="1635"/>
        <v>1</v>
      </c>
    </row>
    <row r="3897" spans="1:19" hidden="1" x14ac:dyDescent="0.25">
      <c r="A3897" s="5" t="str">
        <f t="shared" si="1636"/>
        <v>44070DAX</v>
      </c>
      <c r="B3897" s="6" t="s">
        <v>172</v>
      </c>
      <c r="C3897" s="6">
        <v>12703</v>
      </c>
      <c r="D3897" s="6">
        <v>13201</v>
      </c>
      <c r="E3897" s="6">
        <v>13190</v>
      </c>
      <c r="F3897" t="str">
        <f t="shared" si="1648"/>
        <v>THU</v>
      </c>
      <c r="G3897" s="1">
        <f t="shared" si="1649"/>
        <v>44070</v>
      </c>
      <c r="H3897" s="2">
        <f t="shared" ca="1" si="1650"/>
        <v>183</v>
      </c>
      <c r="I3897" t="str">
        <f t="shared" si="1651"/>
        <v>DAX</v>
      </c>
      <c r="J3897">
        <f t="shared" si="1652"/>
        <v>12703</v>
      </c>
      <c r="K3897">
        <f t="shared" si="1653"/>
        <v>13201</v>
      </c>
      <c r="L3897">
        <f t="shared" si="1654"/>
        <v>12952</v>
      </c>
      <c r="M3897">
        <f t="shared" si="1655"/>
        <v>249</v>
      </c>
      <c r="N3897">
        <f t="shared" si="1633"/>
        <v>498</v>
      </c>
      <c r="O3897">
        <f t="shared" si="1656"/>
        <v>13190</v>
      </c>
      <c r="P3897">
        <f t="shared" si="1657"/>
        <v>0.95582329317269077</v>
      </c>
      <c r="Q3897" t="str">
        <f t="shared" si="1634"/>
        <v>3.69% | 0.08%</v>
      </c>
      <c r="R3897" t="str">
        <f t="shared" si="1658"/>
        <v>BULLISH</v>
      </c>
      <c r="S3897">
        <f t="shared" si="1635"/>
        <v>1</v>
      </c>
    </row>
    <row r="3898" spans="1:19" hidden="1" x14ac:dyDescent="0.25">
      <c r="A3898" s="5" t="str">
        <f t="shared" si="1636"/>
        <v>44070VIX</v>
      </c>
      <c r="B3898" s="6" t="s">
        <v>192</v>
      </c>
      <c r="C3898" s="6">
        <v>21.23</v>
      </c>
      <c r="D3898" s="6">
        <v>27.65</v>
      </c>
      <c r="E3898" s="6">
        <v>23.27</v>
      </c>
      <c r="F3898" t="str">
        <f t="shared" si="1648"/>
        <v>THU</v>
      </c>
      <c r="G3898" s="1">
        <f t="shared" si="1649"/>
        <v>44070</v>
      </c>
      <c r="H3898" s="2">
        <f t="shared" ca="1" si="1650"/>
        <v>183</v>
      </c>
      <c r="I3898" t="str">
        <f t="shared" si="1651"/>
        <v>VIX</v>
      </c>
      <c r="J3898">
        <f t="shared" si="1652"/>
        <v>21.23</v>
      </c>
      <c r="K3898">
        <f t="shared" si="1653"/>
        <v>27.65</v>
      </c>
      <c r="L3898">
        <f t="shared" si="1654"/>
        <v>24.439999999999998</v>
      </c>
      <c r="M3898">
        <f t="shared" si="1655"/>
        <v>3.2100000000000275</v>
      </c>
      <c r="N3898">
        <f t="shared" si="1633"/>
        <v>6.4199999999999982</v>
      </c>
      <c r="O3898">
        <f t="shared" si="1656"/>
        <v>23.27</v>
      </c>
      <c r="P3898">
        <f t="shared" si="1657"/>
        <v>-0.36448598130840754</v>
      </c>
      <c r="Q3898" t="str">
        <f t="shared" si="1634"/>
        <v>8.77% | 18.82%</v>
      </c>
      <c r="R3898" t="str">
        <f t="shared" si="1658"/>
        <v>BEARISH</v>
      </c>
      <c r="S3898">
        <f t="shared" si="1635"/>
        <v>-1</v>
      </c>
    </row>
    <row r="3899" spans="1:19" hidden="1" x14ac:dyDescent="0.25">
      <c r="A3899" s="5" t="str">
        <f t="shared" si="1636"/>
        <v>44070USD</v>
      </c>
      <c r="B3899" s="6" t="s">
        <v>174</v>
      </c>
      <c r="C3899" s="6">
        <v>92.27</v>
      </c>
      <c r="D3899" s="6">
        <v>93.86</v>
      </c>
      <c r="E3899" s="6">
        <v>93.03</v>
      </c>
      <c r="F3899" t="str">
        <f t="shared" si="1648"/>
        <v>THU</v>
      </c>
      <c r="G3899" s="1">
        <f t="shared" si="1649"/>
        <v>44070</v>
      </c>
      <c r="H3899" s="2">
        <f t="shared" ca="1" si="1650"/>
        <v>183</v>
      </c>
      <c r="I3899" t="str">
        <f t="shared" si="1651"/>
        <v>USD</v>
      </c>
      <c r="J3899">
        <f t="shared" si="1652"/>
        <v>92.27</v>
      </c>
      <c r="K3899">
        <f t="shared" si="1653"/>
        <v>93.86</v>
      </c>
      <c r="L3899">
        <f t="shared" si="1654"/>
        <v>93.064999999999998</v>
      </c>
      <c r="M3899">
        <f t="shared" si="1655"/>
        <v>0.79500000000000171</v>
      </c>
      <c r="N3899">
        <f t="shared" si="1633"/>
        <v>1.5900000000000034</v>
      </c>
      <c r="O3899">
        <f t="shared" si="1656"/>
        <v>93.03</v>
      </c>
      <c r="P3899">
        <f t="shared" si="1657"/>
        <v>-4.4025157232700021E-2</v>
      </c>
      <c r="Q3899" t="str">
        <f t="shared" si="1634"/>
        <v>0.82% | 0.89%</v>
      </c>
      <c r="R3899" t="str">
        <f t="shared" si="1658"/>
        <v>BEARISH</v>
      </c>
      <c r="S3899">
        <f t="shared" si="1635"/>
        <v>-1</v>
      </c>
    </row>
    <row r="3900" spans="1:19" hidden="1" x14ac:dyDescent="0.25">
      <c r="A3900" s="5" t="str">
        <f t="shared" si="1636"/>
        <v>44070EUR/USD</v>
      </c>
      <c r="B3900" s="6" t="s">
        <v>175</v>
      </c>
      <c r="C3900" s="6">
        <v>1.17</v>
      </c>
      <c r="D3900" s="6">
        <v>1.19</v>
      </c>
      <c r="E3900" s="6">
        <v>1.18</v>
      </c>
      <c r="F3900" t="str">
        <f t="shared" si="1648"/>
        <v>THU</v>
      </c>
      <c r="G3900" s="1">
        <f t="shared" si="1649"/>
        <v>44070</v>
      </c>
      <c r="H3900" s="2">
        <f t="shared" ca="1" si="1650"/>
        <v>183</v>
      </c>
      <c r="I3900" t="str">
        <f t="shared" si="1651"/>
        <v>EUR/USD</v>
      </c>
      <c r="J3900">
        <f t="shared" si="1652"/>
        <v>1.17</v>
      </c>
      <c r="K3900">
        <f t="shared" si="1653"/>
        <v>1.19</v>
      </c>
      <c r="L3900">
        <f t="shared" si="1654"/>
        <v>1.18</v>
      </c>
      <c r="M3900">
        <f t="shared" si="1655"/>
        <v>1.0000000000000009E-2</v>
      </c>
      <c r="N3900">
        <f t="shared" si="1633"/>
        <v>2.0000000000000018E-2</v>
      </c>
      <c r="O3900">
        <f t="shared" si="1656"/>
        <v>1.18</v>
      </c>
      <c r="P3900">
        <f t="shared" si="1657"/>
        <v>0</v>
      </c>
      <c r="Q3900" t="str">
        <f t="shared" si="1634"/>
        <v>0.85% | 0.85%</v>
      </c>
      <c r="R3900" t="str">
        <f t="shared" si="1658"/>
        <v>BULLISH</v>
      </c>
      <c r="S3900">
        <f t="shared" si="1635"/>
        <v>1</v>
      </c>
    </row>
    <row r="3901" spans="1:19" hidden="1" x14ac:dyDescent="0.25">
      <c r="A3901" s="5" t="str">
        <f t="shared" si="1636"/>
        <v>44070USD/JPY</v>
      </c>
      <c r="B3901" s="6" t="s">
        <v>176</v>
      </c>
      <c r="C3901" s="6">
        <v>105.08</v>
      </c>
      <c r="D3901" s="6">
        <v>107.15</v>
      </c>
      <c r="E3901" s="6">
        <v>106.03</v>
      </c>
      <c r="F3901" t="str">
        <f t="shared" si="1648"/>
        <v>THU</v>
      </c>
      <c r="G3901" s="1">
        <f t="shared" si="1649"/>
        <v>44070</v>
      </c>
      <c r="H3901" s="2">
        <f t="shared" ca="1" si="1650"/>
        <v>183</v>
      </c>
      <c r="I3901" t="str">
        <f t="shared" si="1651"/>
        <v>USD/JPY</v>
      </c>
      <c r="J3901">
        <f t="shared" si="1652"/>
        <v>105.08</v>
      </c>
      <c r="K3901">
        <f t="shared" si="1653"/>
        <v>107.15</v>
      </c>
      <c r="L3901">
        <f t="shared" si="1654"/>
        <v>106.11500000000001</v>
      </c>
      <c r="M3901">
        <f t="shared" si="1655"/>
        <v>1.0350000000000037</v>
      </c>
      <c r="N3901">
        <f t="shared" si="1633"/>
        <v>2.0700000000000074</v>
      </c>
      <c r="O3901">
        <f t="shared" si="1656"/>
        <v>106.03</v>
      </c>
      <c r="P3901">
        <f t="shared" si="1657"/>
        <v>-8.21256038647417E-2</v>
      </c>
      <c r="Q3901" t="str">
        <f t="shared" si="1634"/>
        <v>0.9% | 1.06%</v>
      </c>
      <c r="R3901" t="str">
        <f t="shared" si="1658"/>
        <v>BEARISH</v>
      </c>
      <c r="S3901">
        <f t="shared" si="1635"/>
        <v>-1</v>
      </c>
    </row>
    <row r="3902" spans="1:19" hidden="1" x14ac:dyDescent="0.25">
      <c r="A3902" s="5" t="str">
        <f t="shared" si="1636"/>
        <v>44070GBP/USD</v>
      </c>
      <c r="B3902" s="6" t="s">
        <v>177</v>
      </c>
      <c r="C3902" s="6">
        <v>1.3</v>
      </c>
      <c r="D3902" s="6">
        <v>1.33</v>
      </c>
      <c r="E3902" s="6">
        <v>1.32</v>
      </c>
      <c r="F3902" t="str">
        <f t="shared" si="1648"/>
        <v>THU</v>
      </c>
      <c r="G3902" s="1">
        <f t="shared" si="1649"/>
        <v>44070</v>
      </c>
      <c r="H3902" s="2">
        <f t="shared" ca="1" si="1650"/>
        <v>183</v>
      </c>
      <c r="I3902" t="str">
        <f t="shared" si="1651"/>
        <v>GBP/USD</v>
      </c>
      <c r="J3902">
        <f t="shared" si="1652"/>
        <v>1.3</v>
      </c>
      <c r="K3902">
        <f t="shared" si="1653"/>
        <v>1.33</v>
      </c>
      <c r="L3902">
        <f t="shared" si="1654"/>
        <v>1.3149999999999999</v>
      </c>
      <c r="M3902">
        <f t="shared" si="1655"/>
        <v>1.5000000000000013E-2</v>
      </c>
      <c r="N3902">
        <f t="shared" si="1633"/>
        <v>3.0000000000000027E-2</v>
      </c>
      <c r="O3902">
        <f t="shared" si="1656"/>
        <v>1.32</v>
      </c>
      <c r="P3902">
        <f t="shared" si="1657"/>
        <v>0.33333333333334075</v>
      </c>
      <c r="Q3902" t="str">
        <f t="shared" si="1634"/>
        <v>1.52% | 0.76%</v>
      </c>
      <c r="R3902" t="str">
        <f t="shared" si="1658"/>
        <v>BULLISH</v>
      </c>
      <c r="S3902">
        <f t="shared" si="1635"/>
        <v>1</v>
      </c>
    </row>
    <row r="3903" spans="1:19" hidden="1" x14ac:dyDescent="0.25">
      <c r="A3903" s="5" t="str">
        <f t="shared" si="1636"/>
        <v>44070USD/CHF</v>
      </c>
      <c r="B3903" s="6" t="s">
        <v>178</v>
      </c>
      <c r="C3903" s="6">
        <v>0.9</v>
      </c>
      <c r="D3903" s="6">
        <v>0.92</v>
      </c>
      <c r="E3903" s="6">
        <v>0.9</v>
      </c>
      <c r="F3903" t="str">
        <f t="shared" si="1648"/>
        <v>THU</v>
      </c>
      <c r="G3903" s="1">
        <f t="shared" si="1649"/>
        <v>44070</v>
      </c>
      <c r="H3903" s="2">
        <f t="shared" ca="1" si="1650"/>
        <v>183</v>
      </c>
      <c r="I3903" t="str">
        <f t="shared" si="1651"/>
        <v>USD/CHF</v>
      </c>
      <c r="J3903">
        <f t="shared" si="1652"/>
        <v>0.9</v>
      </c>
      <c r="K3903">
        <f t="shared" si="1653"/>
        <v>0.92</v>
      </c>
      <c r="L3903">
        <f t="shared" si="1654"/>
        <v>0.91</v>
      </c>
      <c r="M3903">
        <f t="shared" si="1655"/>
        <v>1.0000000000000009E-2</v>
      </c>
      <c r="N3903">
        <f t="shared" si="1633"/>
        <v>2.0000000000000018E-2</v>
      </c>
      <c r="O3903">
        <f t="shared" si="1656"/>
        <v>0.9</v>
      </c>
      <c r="P3903">
        <f t="shared" si="1657"/>
        <v>-1</v>
      </c>
      <c r="Q3903" t="str">
        <f t="shared" si="1634"/>
        <v>0% | 2.22%</v>
      </c>
      <c r="R3903" t="str">
        <f t="shared" si="1658"/>
        <v>BEARISH</v>
      </c>
      <c r="S3903">
        <f t="shared" si="1635"/>
        <v>-1</v>
      </c>
    </row>
    <row r="3904" spans="1:19" hidden="1" x14ac:dyDescent="0.25">
      <c r="A3904" s="5" t="str">
        <f t="shared" si="1636"/>
        <v>44070WTIC</v>
      </c>
      <c r="B3904" s="6" t="s">
        <v>179</v>
      </c>
      <c r="C3904" s="6">
        <v>41.88</v>
      </c>
      <c r="D3904" s="6">
        <v>43.82</v>
      </c>
      <c r="E3904" s="6">
        <v>43.39</v>
      </c>
      <c r="F3904" t="str">
        <f t="shared" si="1648"/>
        <v>THU</v>
      </c>
      <c r="G3904" s="1">
        <f t="shared" si="1649"/>
        <v>44070</v>
      </c>
      <c r="H3904" s="2">
        <f t="shared" ca="1" si="1650"/>
        <v>183</v>
      </c>
      <c r="I3904" t="str">
        <f t="shared" si="1651"/>
        <v>WTIC</v>
      </c>
      <c r="J3904">
        <f t="shared" si="1652"/>
        <v>41.88</v>
      </c>
      <c r="K3904">
        <f t="shared" si="1653"/>
        <v>43.82</v>
      </c>
      <c r="L3904">
        <f t="shared" si="1654"/>
        <v>42.85</v>
      </c>
      <c r="M3904">
        <f t="shared" si="1655"/>
        <v>0.96999999999999886</v>
      </c>
      <c r="N3904">
        <f t="shared" si="1633"/>
        <v>1.9399999999999977</v>
      </c>
      <c r="O3904">
        <f t="shared" si="1656"/>
        <v>43.39</v>
      </c>
      <c r="P3904">
        <f t="shared" si="1657"/>
        <v>0.55670103092783485</v>
      </c>
      <c r="Q3904" t="str">
        <f t="shared" si="1634"/>
        <v>3.48% | 0.99%</v>
      </c>
      <c r="R3904" t="str">
        <f t="shared" si="1658"/>
        <v>BULLISH</v>
      </c>
      <c r="S3904">
        <f t="shared" si="1635"/>
        <v>1</v>
      </c>
    </row>
    <row r="3905" spans="1:19" hidden="1" x14ac:dyDescent="0.25">
      <c r="A3905" s="5" t="str">
        <f t="shared" si="1636"/>
        <v>44070NATGAS</v>
      </c>
      <c r="B3905" s="6" t="s">
        <v>180</v>
      </c>
      <c r="C3905" s="6">
        <v>2.23</v>
      </c>
      <c r="D3905" s="6">
        <v>2.7</v>
      </c>
      <c r="E3905" s="6">
        <v>2.57</v>
      </c>
      <c r="F3905" t="str">
        <f t="shared" si="1648"/>
        <v>THU</v>
      </c>
      <c r="G3905" s="1">
        <f t="shared" si="1649"/>
        <v>44070</v>
      </c>
      <c r="H3905" s="2">
        <f t="shared" ca="1" si="1650"/>
        <v>183</v>
      </c>
      <c r="I3905" t="str">
        <f t="shared" si="1651"/>
        <v>NATGAS</v>
      </c>
      <c r="J3905">
        <f t="shared" si="1652"/>
        <v>2.23</v>
      </c>
      <c r="K3905">
        <f t="shared" si="1653"/>
        <v>2.7</v>
      </c>
      <c r="L3905">
        <f t="shared" si="1654"/>
        <v>2.4649999999999999</v>
      </c>
      <c r="M3905">
        <f t="shared" si="1655"/>
        <v>0.2350000000000001</v>
      </c>
      <c r="N3905">
        <f t="shared" si="1633"/>
        <v>0.4700000000000002</v>
      </c>
      <c r="O3905">
        <f t="shared" si="1656"/>
        <v>2.57</v>
      </c>
      <c r="P3905">
        <f t="shared" si="1657"/>
        <v>0.44680851063829763</v>
      </c>
      <c r="Q3905" t="str">
        <f t="shared" si="1634"/>
        <v>13.23% | 5.06%</v>
      </c>
      <c r="R3905" t="str">
        <f t="shared" si="1658"/>
        <v>BULLISH</v>
      </c>
      <c r="S3905">
        <f t="shared" si="1635"/>
        <v>1</v>
      </c>
    </row>
    <row r="3906" spans="1:19" hidden="1" x14ac:dyDescent="0.25">
      <c r="A3906" s="5" t="str">
        <f t="shared" si="1636"/>
        <v>44070GOLD</v>
      </c>
      <c r="B3906" s="6" t="s">
        <v>181</v>
      </c>
      <c r="C3906" s="6">
        <v>1904</v>
      </c>
      <c r="D3906" s="6">
        <v>2016</v>
      </c>
      <c r="E3906" s="6">
        <v>1952</v>
      </c>
      <c r="F3906" t="str">
        <f t="shared" si="1648"/>
        <v>THU</v>
      </c>
      <c r="G3906" s="1">
        <f t="shared" si="1649"/>
        <v>44070</v>
      </c>
      <c r="H3906" s="2">
        <f t="shared" ca="1" si="1650"/>
        <v>183</v>
      </c>
      <c r="I3906" t="str">
        <f t="shared" si="1651"/>
        <v>GOLD</v>
      </c>
      <c r="J3906">
        <f t="shared" si="1652"/>
        <v>1904</v>
      </c>
      <c r="K3906">
        <f t="shared" si="1653"/>
        <v>2016</v>
      </c>
      <c r="L3906">
        <f t="shared" si="1654"/>
        <v>1960</v>
      </c>
      <c r="M3906">
        <f t="shared" si="1655"/>
        <v>56</v>
      </c>
      <c r="N3906">
        <f t="shared" si="1633"/>
        <v>112</v>
      </c>
      <c r="O3906">
        <f t="shared" si="1656"/>
        <v>1952</v>
      </c>
      <c r="P3906">
        <f t="shared" si="1657"/>
        <v>-0.14285714285714285</v>
      </c>
      <c r="Q3906" t="str">
        <f t="shared" si="1634"/>
        <v>2.46% | 3.28%</v>
      </c>
      <c r="R3906" t="str">
        <f t="shared" si="1658"/>
        <v>BULLISH</v>
      </c>
      <c r="S3906">
        <f t="shared" si="1635"/>
        <v>1</v>
      </c>
    </row>
    <row r="3907" spans="1:19" hidden="1" x14ac:dyDescent="0.25">
      <c r="A3907" s="5" t="str">
        <f t="shared" si="1636"/>
        <v>44070SILVER</v>
      </c>
      <c r="B3907" s="6" t="s">
        <v>199</v>
      </c>
      <c r="C3907" s="6">
        <v>25.46</v>
      </c>
      <c r="D3907" s="6">
        <v>28.39</v>
      </c>
      <c r="E3907" s="6">
        <v>27.45</v>
      </c>
      <c r="F3907" t="str">
        <f t="shared" si="1648"/>
        <v>THU</v>
      </c>
      <c r="G3907" s="1">
        <f t="shared" si="1649"/>
        <v>44070</v>
      </c>
      <c r="H3907" s="2">
        <f t="shared" ca="1" si="1650"/>
        <v>183</v>
      </c>
      <c r="I3907" t="str">
        <f t="shared" si="1651"/>
        <v>SILVER</v>
      </c>
      <c r="J3907">
        <f t="shared" si="1652"/>
        <v>25.46</v>
      </c>
      <c r="K3907">
        <f t="shared" si="1653"/>
        <v>28.39</v>
      </c>
      <c r="L3907">
        <f t="shared" si="1654"/>
        <v>26.925000000000001</v>
      </c>
      <c r="M3907">
        <f t="shared" si="1655"/>
        <v>1.4649999999999999</v>
      </c>
      <c r="N3907">
        <f t="shared" ref="N3907:N3970" si="1659">ABS(K3907-J3907)</f>
        <v>2.9299999999999997</v>
      </c>
      <c r="O3907">
        <f t="shared" si="1656"/>
        <v>27.45</v>
      </c>
      <c r="P3907">
        <f t="shared" si="1657"/>
        <v>0.35836177474402636</v>
      </c>
      <c r="Q3907" t="str">
        <f t="shared" ref="Q3907:Q3970" si="1660">ROUND(ABS(100*(O3907-J3907)/O3907),2)&amp;"% | "&amp;ROUND(ABS(100*(K3907-O3907)/O3907),2)&amp;"%"</f>
        <v>7.25% | 3.42%</v>
      </c>
      <c r="R3907" t="str">
        <f t="shared" si="1658"/>
        <v>BULLISH</v>
      </c>
      <c r="S3907">
        <f t="shared" ref="S3907:S3970" si="1661">IF(R3907="BEARISH",-1,IF(R3907="NEUTRAL",0,IF(R3907="BULLISH",1,99)))</f>
        <v>1</v>
      </c>
    </row>
    <row r="3908" spans="1:19" hidden="1" x14ac:dyDescent="0.25">
      <c r="A3908" s="5" t="str">
        <f t="shared" si="1636"/>
        <v>44070COPPER</v>
      </c>
      <c r="B3908" s="6" t="s">
        <v>182</v>
      </c>
      <c r="C3908" s="6">
        <v>2.82</v>
      </c>
      <c r="D3908" s="6">
        <v>3.06</v>
      </c>
      <c r="E3908" s="6">
        <v>2.96</v>
      </c>
      <c r="F3908" t="str">
        <f t="shared" si="1648"/>
        <v>THU</v>
      </c>
      <c r="G3908" s="1">
        <f t="shared" si="1649"/>
        <v>44070</v>
      </c>
      <c r="H3908" s="2">
        <f t="shared" ca="1" si="1650"/>
        <v>183</v>
      </c>
      <c r="I3908" t="str">
        <f t="shared" si="1651"/>
        <v>COPPER</v>
      </c>
      <c r="J3908">
        <f t="shared" si="1652"/>
        <v>2.82</v>
      </c>
      <c r="K3908">
        <f t="shared" si="1653"/>
        <v>3.06</v>
      </c>
      <c r="L3908">
        <f t="shared" si="1654"/>
        <v>2.94</v>
      </c>
      <c r="M3908">
        <f t="shared" si="1655"/>
        <v>0.12000000000000011</v>
      </c>
      <c r="N3908">
        <f t="shared" si="1659"/>
        <v>0.24000000000000021</v>
      </c>
      <c r="O3908">
        <f t="shared" si="1656"/>
        <v>2.96</v>
      </c>
      <c r="P3908">
        <f t="shared" si="1657"/>
        <v>0.16666666666666666</v>
      </c>
      <c r="Q3908" t="str">
        <f t="shared" si="1660"/>
        <v>4.73% | 3.38%</v>
      </c>
      <c r="R3908" t="str">
        <f t="shared" si="1658"/>
        <v>BULLISH</v>
      </c>
      <c r="S3908">
        <f t="shared" si="1661"/>
        <v>1</v>
      </c>
    </row>
    <row r="3909" spans="1:19" hidden="1" x14ac:dyDescent="0.25">
      <c r="A3909" s="5" t="str">
        <f t="shared" ref="A3909:A3972" si="1662">G3909&amp;I3909</f>
        <v>44070MSFT</v>
      </c>
      <c r="B3909" s="6" t="s">
        <v>183</v>
      </c>
      <c r="C3909" s="6">
        <v>210</v>
      </c>
      <c r="D3909" s="6">
        <v>223</v>
      </c>
      <c r="E3909" s="6">
        <v>221</v>
      </c>
      <c r="F3909" t="str">
        <f t="shared" si="1648"/>
        <v>THU</v>
      </c>
      <c r="G3909" s="1">
        <f t="shared" si="1649"/>
        <v>44070</v>
      </c>
      <c r="H3909" s="2">
        <f t="shared" ca="1" si="1650"/>
        <v>183</v>
      </c>
      <c r="I3909" t="str">
        <f t="shared" si="1651"/>
        <v>MSFT</v>
      </c>
      <c r="J3909">
        <f t="shared" si="1652"/>
        <v>210</v>
      </c>
      <c r="K3909">
        <f t="shared" si="1653"/>
        <v>223</v>
      </c>
      <c r="L3909">
        <f t="shared" si="1654"/>
        <v>216.5</v>
      </c>
      <c r="M3909">
        <f t="shared" si="1655"/>
        <v>6.5</v>
      </c>
      <c r="N3909">
        <f t="shared" si="1659"/>
        <v>13</v>
      </c>
      <c r="O3909">
        <f t="shared" si="1656"/>
        <v>221</v>
      </c>
      <c r="P3909">
        <f t="shared" si="1657"/>
        <v>0.69230769230769229</v>
      </c>
      <c r="Q3909" t="str">
        <f t="shared" si="1660"/>
        <v>4.98% | 0.9%</v>
      </c>
      <c r="R3909" t="str">
        <f t="shared" si="1658"/>
        <v>BULLISH</v>
      </c>
      <c r="S3909">
        <f t="shared" si="1661"/>
        <v>1</v>
      </c>
    </row>
    <row r="3910" spans="1:19" hidden="1" x14ac:dyDescent="0.25">
      <c r="A3910" s="5" t="str">
        <f t="shared" si="1662"/>
        <v>44070AAPL</v>
      </c>
      <c r="B3910" s="6" t="s">
        <v>184</v>
      </c>
      <c r="C3910" s="6">
        <v>447</v>
      </c>
      <c r="D3910" s="6">
        <v>518</v>
      </c>
      <c r="E3910" s="6">
        <v>506</v>
      </c>
      <c r="F3910" t="str">
        <f t="shared" si="1648"/>
        <v>THU</v>
      </c>
      <c r="G3910" s="1">
        <f t="shared" si="1649"/>
        <v>44070</v>
      </c>
      <c r="H3910" s="2">
        <f t="shared" ca="1" si="1650"/>
        <v>183</v>
      </c>
      <c r="I3910" t="str">
        <f t="shared" si="1651"/>
        <v>AAPL</v>
      </c>
      <c r="J3910">
        <f t="shared" si="1652"/>
        <v>447</v>
      </c>
      <c r="K3910">
        <f t="shared" si="1653"/>
        <v>518</v>
      </c>
      <c r="L3910">
        <f t="shared" si="1654"/>
        <v>482.5</v>
      </c>
      <c r="M3910">
        <f t="shared" si="1655"/>
        <v>35.5</v>
      </c>
      <c r="N3910">
        <f t="shared" si="1659"/>
        <v>71</v>
      </c>
      <c r="O3910">
        <f t="shared" si="1656"/>
        <v>506</v>
      </c>
      <c r="P3910">
        <f t="shared" si="1657"/>
        <v>0.6619718309859155</v>
      </c>
      <c r="Q3910" t="str">
        <f t="shared" si="1660"/>
        <v>11.66% | 2.37%</v>
      </c>
      <c r="R3910" t="str">
        <f t="shared" si="1658"/>
        <v>BULLISH</v>
      </c>
      <c r="S3910">
        <f t="shared" si="1661"/>
        <v>1</v>
      </c>
    </row>
    <row r="3911" spans="1:19" hidden="1" x14ac:dyDescent="0.25">
      <c r="A3911" s="5" t="str">
        <f t="shared" si="1662"/>
        <v>44070AMZN</v>
      </c>
      <c r="B3911" s="6" t="s">
        <v>185</v>
      </c>
      <c r="C3911" s="6">
        <v>3250</v>
      </c>
      <c r="D3911" s="6">
        <v>3499</v>
      </c>
      <c r="E3911" s="6">
        <v>3441</v>
      </c>
      <c r="F3911" t="str">
        <f t="shared" si="1648"/>
        <v>THU</v>
      </c>
      <c r="G3911" s="1">
        <f t="shared" si="1649"/>
        <v>44070</v>
      </c>
      <c r="H3911" s="2">
        <f t="shared" ca="1" si="1650"/>
        <v>183</v>
      </c>
      <c r="I3911" t="str">
        <f t="shared" si="1651"/>
        <v>AMZN</v>
      </c>
      <c r="J3911">
        <f t="shared" si="1652"/>
        <v>3250</v>
      </c>
      <c r="K3911">
        <f t="shared" si="1653"/>
        <v>3499</v>
      </c>
      <c r="L3911">
        <f t="shared" si="1654"/>
        <v>3374.5</v>
      </c>
      <c r="M3911">
        <f t="shared" si="1655"/>
        <v>124.5</v>
      </c>
      <c r="N3911">
        <f t="shared" si="1659"/>
        <v>249</v>
      </c>
      <c r="O3911">
        <f t="shared" si="1656"/>
        <v>3441</v>
      </c>
      <c r="P3911">
        <f t="shared" si="1657"/>
        <v>0.53413654618473894</v>
      </c>
      <c r="Q3911" t="str">
        <f t="shared" si="1660"/>
        <v>5.55% | 1.69%</v>
      </c>
      <c r="R3911" t="str">
        <f t="shared" si="1658"/>
        <v>BULLISH</v>
      </c>
      <c r="S3911">
        <f t="shared" si="1661"/>
        <v>1</v>
      </c>
    </row>
    <row r="3912" spans="1:19" hidden="1" x14ac:dyDescent="0.25">
      <c r="A3912" s="5" t="str">
        <f t="shared" si="1662"/>
        <v>44070FB</v>
      </c>
      <c r="B3912" s="6" t="s">
        <v>186</v>
      </c>
      <c r="C3912" s="6">
        <v>272</v>
      </c>
      <c r="D3912" s="6">
        <v>310</v>
      </c>
      <c r="E3912" s="6">
        <v>303</v>
      </c>
      <c r="F3912" t="str">
        <f t="shared" si="1648"/>
        <v>THU</v>
      </c>
      <c r="G3912" s="1">
        <f t="shared" si="1649"/>
        <v>44070</v>
      </c>
      <c r="H3912" s="2">
        <f t="shared" ca="1" si="1650"/>
        <v>183</v>
      </c>
      <c r="I3912" t="str">
        <f t="shared" si="1651"/>
        <v>FB</v>
      </c>
      <c r="J3912">
        <f t="shared" si="1652"/>
        <v>272</v>
      </c>
      <c r="K3912">
        <f t="shared" si="1653"/>
        <v>310</v>
      </c>
      <c r="L3912">
        <f t="shared" si="1654"/>
        <v>291</v>
      </c>
      <c r="M3912">
        <f t="shared" si="1655"/>
        <v>19</v>
      </c>
      <c r="N3912">
        <f t="shared" si="1659"/>
        <v>38</v>
      </c>
      <c r="O3912">
        <f t="shared" si="1656"/>
        <v>303</v>
      </c>
      <c r="P3912">
        <f t="shared" si="1657"/>
        <v>0.63157894736842102</v>
      </c>
      <c r="Q3912" t="str">
        <f t="shared" si="1660"/>
        <v>10.23% | 2.31%</v>
      </c>
      <c r="R3912" t="str">
        <f t="shared" si="1658"/>
        <v>BULLISH</v>
      </c>
      <c r="S3912">
        <f t="shared" si="1661"/>
        <v>1</v>
      </c>
    </row>
    <row r="3913" spans="1:19" hidden="1" x14ac:dyDescent="0.25">
      <c r="A3913" s="5" t="str">
        <f t="shared" si="1662"/>
        <v>44070GOOGL</v>
      </c>
      <c r="B3913" s="6" t="s">
        <v>187</v>
      </c>
      <c r="C3913" s="6">
        <v>1568</v>
      </c>
      <c r="D3913" s="6">
        <v>1651</v>
      </c>
      <c r="E3913" s="6">
        <v>1644</v>
      </c>
      <c r="F3913" t="str">
        <f t="shared" si="1648"/>
        <v>THU</v>
      </c>
      <c r="G3913" s="1">
        <f t="shared" si="1649"/>
        <v>44070</v>
      </c>
      <c r="H3913" s="2">
        <f t="shared" ca="1" si="1650"/>
        <v>183</v>
      </c>
      <c r="I3913" t="str">
        <f t="shared" si="1651"/>
        <v>GOOGL</v>
      </c>
      <c r="J3913">
        <f t="shared" si="1652"/>
        <v>1568</v>
      </c>
      <c r="K3913">
        <f t="shared" si="1653"/>
        <v>1651</v>
      </c>
      <c r="L3913">
        <f t="shared" si="1654"/>
        <v>1609.5</v>
      </c>
      <c r="M3913">
        <f t="shared" si="1655"/>
        <v>41.5</v>
      </c>
      <c r="N3913">
        <f t="shared" si="1659"/>
        <v>83</v>
      </c>
      <c r="O3913">
        <f t="shared" si="1656"/>
        <v>1644</v>
      </c>
      <c r="P3913">
        <f t="shared" si="1657"/>
        <v>0.83132530120481929</v>
      </c>
      <c r="Q3913" t="str">
        <f t="shared" si="1660"/>
        <v>4.62% | 0.43%</v>
      </c>
      <c r="R3913" t="str">
        <f t="shared" si="1658"/>
        <v>BULLISH</v>
      </c>
      <c r="S3913">
        <f t="shared" si="1661"/>
        <v>1</v>
      </c>
    </row>
    <row r="3914" spans="1:19" hidden="1" x14ac:dyDescent="0.25">
      <c r="A3914" s="5" t="str">
        <f t="shared" si="1662"/>
        <v>44070NFLX</v>
      </c>
      <c r="B3914" s="6" t="s">
        <v>194</v>
      </c>
      <c r="C3914" s="6">
        <v>492</v>
      </c>
      <c r="D3914" s="6">
        <v>555</v>
      </c>
      <c r="E3914" s="6">
        <v>547</v>
      </c>
      <c r="F3914" t="str">
        <f t="shared" si="1648"/>
        <v>THU</v>
      </c>
      <c r="G3914" s="1">
        <f t="shared" si="1649"/>
        <v>44070</v>
      </c>
      <c r="H3914" s="2">
        <f t="shared" ca="1" si="1650"/>
        <v>183</v>
      </c>
      <c r="I3914" t="str">
        <f t="shared" si="1651"/>
        <v>NFLX</v>
      </c>
      <c r="J3914">
        <f t="shared" si="1652"/>
        <v>492</v>
      </c>
      <c r="K3914">
        <f t="shared" si="1653"/>
        <v>555</v>
      </c>
      <c r="L3914">
        <f t="shared" si="1654"/>
        <v>523.5</v>
      </c>
      <c r="M3914">
        <f t="shared" si="1655"/>
        <v>31.5</v>
      </c>
      <c r="N3914">
        <f t="shared" si="1659"/>
        <v>63</v>
      </c>
      <c r="O3914">
        <f t="shared" si="1656"/>
        <v>547</v>
      </c>
      <c r="P3914">
        <f t="shared" si="1657"/>
        <v>0.74603174603174605</v>
      </c>
      <c r="Q3914" t="str">
        <f t="shared" si="1660"/>
        <v>10.05% | 1.46%</v>
      </c>
      <c r="R3914" t="str">
        <f t="shared" si="1658"/>
        <v>BULLISH</v>
      </c>
      <c r="S3914">
        <f t="shared" si="1661"/>
        <v>1</v>
      </c>
    </row>
    <row r="3915" spans="1:19" x14ac:dyDescent="0.25">
      <c r="A3915" s="5" t="str">
        <f t="shared" si="1662"/>
        <v>44070TSLA</v>
      </c>
      <c r="B3915" s="6" t="s">
        <v>189</v>
      </c>
      <c r="C3915" s="6">
        <v>1913</v>
      </c>
      <c r="D3915" s="6">
        <v>2232</v>
      </c>
      <c r="E3915" s="6">
        <v>2153</v>
      </c>
      <c r="F3915" t="str">
        <f t="shared" si="1648"/>
        <v>THU</v>
      </c>
      <c r="G3915" s="1">
        <f t="shared" si="1649"/>
        <v>44070</v>
      </c>
      <c r="H3915" s="2">
        <f t="shared" ca="1" si="1650"/>
        <v>183</v>
      </c>
      <c r="I3915" t="str">
        <f t="shared" si="1651"/>
        <v>TSLA</v>
      </c>
      <c r="J3915">
        <f t="shared" si="1652"/>
        <v>1913</v>
      </c>
      <c r="K3915">
        <f t="shared" si="1653"/>
        <v>2232</v>
      </c>
      <c r="L3915">
        <f t="shared" si="1654"/>
        <v>2072.5</v>
      </c>
      <c r="M3915">
        <f t="shared" si="1655"/>
        <v>159.5</v>
      </c>
      <c r="N3915">
        <f t="shared" si="1659"/>
        <v>319</v>
      </c>
      <c r="O3915">
        <f t="shared" si="1656"/>
        <v>2153</v>
      </c>
      <c r="P3915">
        <f t="shared" si="1657"/>
        <v>0.50470219435736674</v>
      </c>
      <c r="Q3915" t="str">
        <f t="shared" si="1660"/>
        <v>11.15% | 3.67%</v>
      </c>
      <c r="R3915" t="str">
        <f t="shared" si="1658"/>
        <v>BULLISH</v>
      </c>
      <c r="S3915">
        <f t="shared" si="1661"/>
        <v>1</v>
      </c>
    </row>
    <row r="3916" spans="1:19" hidden="1" x14ac:dyDescent="0.25">
      <c r="A3916" s="5" t="str">
        <f t="shared" si="1662"/>
        <v>44070NYXBT</v>
      </c>
      <c r="B3916" s="6" t="s">
        <v>190</v>
      </c>
      <c r="C3916" s="6">
        <v>11301</v>
      </c>
      <c r="D3916" s="6">
        <v>12187</v>
      </c>
      <c r="E3916" s="6">
        <v>11462</v>
      </c>
      <c r="F3916" t="str">
        <f t="shared" si="1648"/>
        <v>THU</v>
      </c>
      <c r="G3916" s="1">
        <f t="shared" si="1649"/>
        <v>44070</v>
      </c>
      <c r="H3916" s="2">
        <f t="shared" ca="1" si="1650"/>
        <v>183</v>
      </c>
      <c r="I3916" t="str">
        <f t="shared" si="1651"/>
        <v>NYXBT</v>
      </c>
      <c r="J3916">
        <f t="shared" si="1652"/>
        <v>11301</v>
      </c>
      <c r="K3916">
        <f t="shared" si="1653"/>
        <v>12187</v>
      </c>
      <c r="L3916">
        <f t="shared" si="1654"/>
        <v>11744</v>
      </c>
      <c r="M3916">
        <f t="shared" si="1655"/>
        <v>443</v>
      </c>
      <c r="N3916">
        <f t="shared" si="1659"/>
        <v>886</v>
      </c>
      <c r="O3916">
        <f t="shared" si="1656"/>
        <v>11462</v>
      </c>
      <c r="P3916">
        <f t="shared" si="1657"/>
        <v>-0.63656884875846498</v>
      </c>
      <c r="Q3916" t="str">
        <f t="shared" si="1660"/>
        <v>1.4% | 6.33%</v>
      </c>
      <c r="R3916" t="str">
        <f t="shared" si="1658"/>
        <v>BULLISH</v>
      </c>
      <c r="S3916">
        <f t="shared" si="1661"/>
        <v>1</v>
      </c>
    </row>
    <row r="3917" spans="1:19" hidden="1" x14ac:dyDescent="0.25">
      <c r="A3917" s="5" t="str">
        <f t="shared" si="1662"/>
        <v>44071UST10Y</v>
      </c>
      <c r="B3917" s="6" t="s">
        <v>161</v>
      </c>
      <c r="C3917" s="6">
        <v>0.76</v>
      </c>
      <c r="D3917" s="6">
        <v>0.56000000000000005</v>
      </c>
      <c r="E3917" s="6">
        <v>0.74</v>
      </c>
      <c r="F3917" t="str">
        <f t="shared" si="1648"/>
        <v>FRI</v>
      </c>
      <c r="G3917" s="3">
        <f>DATE(2020,8,28)</f>
        <v>44071</v>
      </c>
      <c r="H3917" s="2">
        <f t="shared" ca="1" si="1650"/>
        <v>182</v>
      </c>
      <c r="I3917" t="str">
        <f t="shared" si="1651"/>
        <v>UST10Y</v>
      </c>
      <c r="J3917">
        <f t="shared" si="1652"/>
        <v>0.76</v>
      </c>
      <c r="K3917">
        <f t="shared" si="1653"/>
        <v>0.56000000000000005</v>
      </c>
      <c r="L3917">
        <f t="shared" si="1654"/>
        <v>0.66</v>
      </c>
      <c r="M3917">
        <f t="shared" si="1655"/>
        <v>9.999999999999977E-2</v>
      </c>
      <c r="N3917">
        <f t="shared" si="1659"/>
        <v>0.19999999999999996</v>
      </c>
      <c r="O3917">
        <f t="shared" si="1656"/>
        <v>0.74</v>
      </c>
      <c r="P3917">
        <f t="shared" si="1657"/>
        <v>0.80000000000000149</v>
      </c>
      <c r="Q3917" t="str">
        <f t="shared" si="1660"/>
        <v>2.7% | 24.32%</v>
      </c>
      <c r="R3917" t="str">
        <f t="shared" si="1658"/>
        <v>BEARISH</v>
      </c>
      <c r="S3917">
        <f t="shared" si="1661"/>
        <v>-1</v>
      </c>
    </row>
    <row r="3918" spans="1:19" hidden="1" x14ac:dyDescent="0.25">
      <c r="A3918" s="5" t="str">
        <f t="shared" si="1662"/>
        <v>44071UST2Y</v>
      </c>
      <c r="B3918" s="6" t="s">
        <v>162</v>
      </c>
      <c r="C3918" s="6">
        <v>0.17</v>
      </c>
      <c r="D3918" s="6">
        <v>0.12</v>
      </c>
      <c r="E3918" s="6">
        <v>0.16</v>
      </c>
      <c r="F3918" t="str">
        <f t="shared" ref="F3918:F3948" si="1663">UPPER(TEXT(G3918,"ddd"))</f>
        <v>FRI</v>
      </c>
      <c r="G3918" s="3">
        <f t="shared" ref="G3918:G3947" si="1664">DATE(2020,8,28)</f>
        <v>44071</v>
      </c>
      <c r="H3918" s="2">
        <f t="shared" ref="H3918:H3948" ca="1" si="1665">TODAY()-G3918</f>
        <v>182</v>
      </c>
      <c r="I3918" t="str">
        <f t="shared" ref="I3918:I3948" si="1666">TRIM(LEFT(B3918,FIND(" ",B3918,1)))</f>
        <v>UST2Y</v>
      </c>
      <c r="J3918">
        <f t="shared" ref="J3918:J3948" si="1667">C3918</f>
        <v>0.17</v>
      </c>
      <c r="K3918">
        <f t="shared" ref="K3918:K3948" si="1668">D3918</f>
        <v>0.12</v>
      </c>
      <c r="L3918">
        <f t="shared" ref="L3918:L3948" si="1669">AVERAGE(J3918:K3918)</f>
        <v>0.14500000000000002</v>
      </c>
      <c r="M3918">
        <f t="shared" ref="M3918:M3948" si="1670">_xlfn.STDEV.P(J3918:K3918)</f>
        <v>2.4999999999999942E-2</v>
      </c>
      <c r="N3918">
        <f t="shared" si="1659"/>
        <v>5.0000000000000017E-2</v>
      </c>
      <c r="O3918">
        <f t="shared" ref="O3918:O3948" si="1671">E3918</f>
        <v>0.16</v>
      </c>
      <c r="P3918">
        <f t="shared" ref="P3918:P3948" si="1672">(O3918-L3918)/M3918</f>
        <v>0.60000000000000075</v>
      </c>
      <c r="Q3918" t="str">
        <f t="shared" si="1660"/>
        <v>6.25% | 25%</v>
      </c>
      <c r="R3918" t="str">
        <f t="shared" ref="R3918:R3948" si="1673">MID(B3918,FIND("(",B3918,1)+1,FIND(")",B3918,1)-FIND("(",B3918,1)-1)</f>
        <v>BEARISH</v>
      </c>
      <c r="S3918">
        <f t="shared" si="1661"/>
        <v>-1</v>
      </c>
    </row>
    <row r="3919" spans="1:19" hidden="1" x14ac:dyDescent="0.25">
      <c r="A3919" s="5" t="str">
        <f t="shared" si="1662"/>
        <v>44071SPX</v>
      </c>
      <c r="B3919" s="6" t="s">
        <v>191</v>
      </c>
      <c r="C3919" s="6">
        <v>3348</v>
      </c>
      <c r="D3919" s="6">
        <v>3501</v>
      </c>
      <c r="E3919" s="6">
        <v>3484</v>
      </c>
      <c r="F3919" t="str">
        <f t="shared" si="1663"/>
        <v>FRI</v>
      </c>
      <c r="G3919" s="3">
        <f t="shared" si="1664"/>
        <v>44071</v>
      </c>
      <c r="H3919" s="2">
        <f t="shared" ca="1" si="1665"/>
        <v>182</v>
      </c>
      <c r="I3919" t="str">
        <f t="shared" si="1666"/>
        <v>SPX</v>
      </c>
      <c r="J3919">
        <f t="shared" si="1667"/>
        <v>3348</v>
      </c>
      <c r="K3919">
        <f t="shared" si="1668"/>
        <v>3501</v>
      </c>
      <c r="L3919">
        <f t="shared" si="1669"/>
        <v>3424.5</v>
      </c>
      <c r="M3919">
        <f t="shared" si="1670"/>
        <v>76.5</v>
      </c>
      <c r="N3919">
        <f t="shared" si="1659"/>
        <v>153</v>
      </c>
      <c r="O3919">
        <f t="shared" si="1671"/>
        <v>3484</v>
      </c>
      <c r="P3919">
        <f t="shared" si="1672"/>
        <v>0.77777777777777779</v>
      </c>
      <c r="Q3919" t="str">
        <f t="shared" si="1660"/>
        <v>3.9% | 0.49%</v>
      </c>
      <c r="R3919" t="str">
        <f t="shared" si="1673"/>
        <v>BULLISH</v>
      </c>
      <c r="S3919">
        <f t="shared" si="1661"/>
        <v>1</v>
      </c>
    </row>
    <row r="3920" spans="1:19" hidden="1" x14ac:dyDescent="0.25">
      <c r="A3920" s="5" t="str">
        <f t="shared" si="1662"/>
        <v>44071RUT</v>
      </c>
      <c r="B3920" s="6" t="s">
        <v>164</v>
      </c>
      <c r="C3920" s="6">
        <v>1534</v>
      </c>
      <c r="D3920" s="6">
        <v>1584</v>
      </c>
      <c r="E3920" s="6">
        <v>1564</v>
      </c>
      <c r="F3920" t="str">
        <f t="shared" si="1663"/>
        <v>FRI</v>
      </c>
      <c r="G3920" s="3">
        <f t="shared" si="1664"/>
        <v>44071</v>
      </c>
      <c r="H3920" s="2">
        <f t="shared" ca="1" si="1665"/>
        <v>182</v>
      </c>
      <c r="I3920" t="str">
        <f t="shared" si="1666"/>
        <v>RUT</v>
      </c>
      <c r="J3920">
        <f t="shared" si="1667"/>
        <v>1534</v>
      </c>
      <c r="K3920">
        <f t="shared" si="1668"/>
        <v>1584</v>
      </c>
      <c r="L3920">
        <f t="shared" si="1669"/>
        <v>1559</v>
      </c>
      <c r="M3920">
        <f t="shared" si="1670"/>
        <v>25</v>
      </c>
      <c r="N3920">
        <f t="shared" si="1659"/>
        <v>50</v>
      </c>
      <c r="O3920">
        <f t="shared" si="1671"/>
        <v>1564</v>
      </c>
      <c r="P3920">
        <f t="shared" si="1672"/>
        <v>0.2</v>
      </c>
      <c r="Q3920" t="str">
        <f t="shared" si="1660"/>
        <v>1.92% | 1.28%</v>
      </c>
      <c r="R3920" t="str">
        <f t="shared" si="1673"/>
        <v>BEARISH</v>
      </c>
      <c r="S3920">
        <f t="shared" si="1661"/>
        <v>-1</v>
      </c>
    </row>
    <row r="3921" spans="1:19" hidden="1" x14ac:dyDescent="0.25">
      <c r="A3921" s="5" t="str">
        <f t="shared" si="1662"/>
        <v>44071COMPQ</v>
      </c>
      <c r="B3921" s="6" t="s">
        <v>165</v>
      </c>
      <c r="C3921" s="6">
        <v>11032</v>
      </c>
      <c r="D3921" s="6">
        <v>11735</v>
      </c>
      <c r="E3921" s="6">
        <v>11625</v>
      </c>
      <c r="F3921" t="str">
        <f t="shared" si="1663"/>
        <v>FRI</v>
      </c>
      <c r="G3921" s="3">
        <f t="shared" si="1664"/>
        <v>44071</v>
      </c>
      <c r="H3921" s="2">
        <f t="shared" ca="1" si="1665"/>
        <v>182</v>
      </c>
      <c r="I3921" t="str">
        <f t="shared" si="1666"/>
        <v>COMPQ</v>
      </c>
      <c r="J3921">
        <f t="shared" si="1667"/>
        <v>11032</v>
      </c>
      <c r="K3921">
        <f t="shared" si="1668"/>
        <v>11735</v>
      </c>
      <c r="L3921">
        <f t="shared" si="1669"/>
        <v>11383.5</v>
      </c>
      <c r="M3921">
        <f t="shared" si="1670"/>
        <v>351.5</v>
      </c>
      <c r="N3921">
        <f t="shared" si="1659"/>
        <v>703</v>
      </c>
      <c r="O3921">
        <f t="shared" si="1671"/>
        <v>11625</v>
      </c>
      <c r="P3921">
        <f t="shared" si="1672"/>
        <v>0.68705547652916077</v>
      </c>
      <c r="Q3921" t="str">
        <f t="shared" si="1660"/>
        <v>5.1% | 0.95%</v>
      </c>
      <c r="R3921" t="str">
        <f t="shared" si="1673"/>
        <v>BULLISH</v>
      </c>
      <c r="S3921">
        <f t="shared" si="1661"/>
        <v>1</v>
      </c>
    </row>
    <row r="3922" spans="1:19" hidden="1" x14ac:dyDescent="0.25">
      <c r="A3922" s="5" t="str">
        <f t="shared" si="1662"/>
        <v>44071XLK</v>
      </c>
      <c r="B3922" s="6" t="s">
        <v>166</v>
      </c>
      <c r="C3922" s="6">
        <v>114.22</v>
      </c>
      <c r="D3922" s="6">
        <v>123.64</v>
      </c>
      <c r="E3922" s="6">
        <v>122.09</v>
      </c>
      <c r="F3922" t="str">
        <f t="shared" si="1663"/>
        <v>FRI</v>
      </c>
      <c r="G3922" s="3">
        <f t="shared" si="1664"/>
        <v>44071</v>
      </c>
      <c r="H3922" s="2">
        <f t="shared" ca="1" si="1665"/>
        <v>182</v>
      </c>
      <c r="I3922" t="str">
        <f t="shared" si="1666"/>
        <v>XLK</v>
      </c>
      <c r="J3922">
        <f t="shared" si="1667"/>
        <v>114.22</v>
      </c>
      <c r="K3922">
        <f t="shared" si="1668"/>
        <v>123.64</v>
      </c>
      <c r="L3922">
        <f t="shared" si="1669"/>
        <v>118.93</v>
      </c>
      <c r="M3922">
        <f t="shared" si="1670"/>
        <v>4.7100000000000009</v>
      </c>
      <c r="N3922">
        <f t="shared" si="1659"/>
        <v>9.4200000000000017</v>
      </c>
      <c r="O3922">
        <f t="shared" si="1671"/>
        <v>122.09</v>
      </c>
      <c r="P3922">
        <f t="shared" si="1672"/>
        <v>0.67091295116772742</v>
      </c>
      <c r="Q3922" t="str">
        <f t="shared" si="1660"/>
        <v>6.45% | 1.27%</v>
      </c>
      <c r="R3922" t="str">
        <f t="shared" si="1673"/>
        <v>BULLISH</v>
      </c>
      <c r="S3922">
        <f t="shared" si="1661"/>
        <v>1</v>
      </c>
    </row>
    <row r="3923" spans="1:19" hidden="1" x14ac:dyDescent="0.25">
      <c r="A3923" s="5" t="str">
        <f t="shared" si="1662"/>
        <v>44071XLRE</v>
      </c>
      <c r="B3923" s="6" t="s">
        <v>167</v>
      </c>
      <c r="C3923" s="6">
        <v>35.24</v>
      </c>
      <c r="D3923" s="6">
        <v>36.75</v>
      </c>
      <c r="E3923" s="6">
        <v>36.29</v>
      </c>
      <c r="F3923" t="str">
        <f t="shared" si="1663"/>
        <v>FRI</v>
      </c>
      <c r="G3923" s="3">
        <f t="shared" si="1664"/>
        <v>44071</v>
      </c>
      <c r="H3923" s="2">
        <f t="shared" ca="1" si="1665"/>
        <v>182</v>
      </c>
      <c r="I3923" t="str">
        <f t="shared" si="1666"/>
        <v>XLRE</v>
      </c>
      <c r="J3923">
        <f t="shared" si="1667"/>
        <v>35.24</v>
      </c>
      <c r="K3923">
        <f t="shared" si="1668"/>
        <v>36.75</v>
      </c>
      <c r="L3923">
        <f t="shared" si="1669"/>
        <v>35.995000000000005</v>
      </c>
      <c r="M3923">
        <f t="shared" si="1670"/>
        <v>0.75499999999999901</v>
      </c>
      <c r="N3923">
        <f t="shared" si="1659"/>
        <v>1.509999999999998</v>
      </c>
      <c r="O3923">
        <f t="shared" si="1671"/>
        <v>36.29</v>
      </c>
      <c r="P3923">
        <f t="shared" si="1672"/>
        <v>0.39072847682118539</v>
      </c>
      <c r="Q3923" t="str">
        <f t="shared" si="1660"/>
        <v>2.89% | 1.27%</v>
      </c>
      <c r="R3923" t="str">
        <f t="shared" si="1673"/>
        <v>BULLISH</v>
      </c>
      <c r="S3923">
        <f t="shared" si="1661"/>
        <v>1</v>
      </c>
    </row>
    <row r="3924" spans="1:19" hidden="1" x14ac:dyDescent="0.25">
      <c r="A3924" s="5" t="str">
        <f t="shared" si="1662"/>
        <v>44071XLU</v>
      </c>
      <c r="B3924" s="6" t="s">
        <v>168</v>
      </c>
      <c r="C3924" s="6">
        <v>58.43</v>
      </c>
      <c r="D3924" s="6">
        <v>60.85</v>
      </c>
      <c r="E3924" s="6">
        <v>58.9</v>
      </c>
      <c r="F3924" t="str">
        <f t="shared" si="1663"/>
        <v>FRI</v>
      </c>
      <c r="G3924" s="3">
        <f t="shared" si="1664"/>
        <v>44071</v>
      </c>
      <c r="H3924" s="2">
        <f t="shared" ca="1" si="1665"/>
        <v>182</v>
      </c>
      <c r="I3924" t="str">
        <f t="shared" si="1666"/>
        <v>XLU</v>
      </c>
      <c r="J3924">
        <f t="shared" si="1667"/>
        <v>58.43</v>
      </c>
      <c r="K3924">
        <f t="shared" si="1668"/>
        <v>60.85</v>
      </c>
      <c r="L3924">
        <f t="shared" si="1669"/>
        <v>59.64</v>
      </c>
      <c r="M3924">
        <f t="shared" si="1670"/>
        <v>1.2100000000000009</v>
      </c>
      <c r="N3924">
        <f t="shared" si="1659"/>
        <v>2.4200000000000017</v>
      </c>
      <c r="O3924">
        <f t="shared" si="1671"/>
        <v>58.9</v>
      </c>
      <c r="P3924">
        <f t="shared" si="1672"/>
        <v>-0.61157024793388548</v>
      </c>
      <c r="Q3924" t="str">
        <f t="shared" si="1660"/>
        <v>0.8% | 3.31%</v>
      </c>
      <c r="R3924" t="str">
        <f t="shared" si="1673"/>
        <v>BULLISH</v>
      </c>
      <c r="S3924">
        <f t="shared" si="1661"/>
        <v>1</v>
      </c>
    </row>
    <row r="3925" spans="1:19" hidden="1" x14ac:dyDescent="0.25">
      <c r="A3925" s="5" t="str">
        <f t="shared" si="1662"/>
        <v>44071XLF</v>
      </c>
      <c r="B3925" s="6" t="s">
        <v>169</v>
      </c>
      <c r="C3925" s="6">
        <v>24.12</v>
      </c>
      <c r="D3925" s="6">
        <v>25.4</v>
      </c>
      <c r="E3925" s="6">
        <v>25.26</v>
      </c>
      <c r="F3925" t="str">
        <f t="shared" si="1663"/>
        <v>FRI</v>
      </c>
      <c r="G3925" s="3">
        <f t="shared" si="1664"/>
        <v>44071</v>
      </c>
      <c r="H3925" s="2">
        <f t="shared" ca="1" si="1665"/>
        <v>182</v>
      </c>
      <c r="I3925" t="str">
        <f t="shared" si="1666"/>
        <v>XLF</v>
      </c>
      <c r="J3925">
        <f t="shared" si="1667"/>
        <v>24.12</v>
      </c>
      <c r="K3925">
        <f t="shared" si="1668"/>
        <v>25.4</v>
      </c>
      <c r="L3925">
        <f t="shared" si="1669"/>
        <v>24.759999999999998</v>
      </c>
      <c r="M3925">
        <f t="shared" si="1670"/>
        <v>0.63999999999999879</v>
      </c>
      <c r="N3925">
        <f t="shared" si="1659"/>
        <v>1.2799999999999976</v>
      </c>
      <c r="O3925">
        <f t="shared" si="1671"/>
        <v>25.26</v>
      </c>
      <c r="P3925">
        <f t="shared" si="1672"/>
        <v>0.78125000000000699</v>
      </c>
      <c r="Q3925" t="str">
        <f t="shared" si="1660"/>
        <v>4.51% | 0.55%</v>
      </c>
      <c r="R3925" t="str">
        <f t="shared" si="1673"/>
        <v>BEARISH</v>
      </c>
      <c r="S3925">
        <f t="shared" si="1661"/>
        <v>-1</v>
      </c>
    </row>
    <row r="3926" spans="1:19" hidden="1" x14ac:dyDescent="0.25">
      <c r="A3926" s="5" t="str">
        <f t="shared" si="1662"/>
        <v>44071SSEC</v>
      </c>
      <c r="B3926" s="6" t="s">
        <v>170</v>
      </c>
      <c r="C3926" s="6">
        <v>3301</v>
      </c>
      <c r="D3926" s="6">
        <v>3470</v>
      </c>
      <c r="E3926" s="6">
        <v>3403</v>
      </c>
      <c r="F3926" t="str">
        <f t="shared" si="1663"/>
        <v>FRI</v>
      </c>
      <c r="G3926" s="3">
        <f t="shared" si="1664"/>
        <v>44071</v>
      </c>
      <c r="H3926" s="2">
        <f t="shared" ca="1" si="1665"/>
        <v>182</v>
      </c>
      <c r="I3926" t="str">
        <f t="shared" si="1666"/>
        <v>SSEC</v>
      </c>
      <c r="J3926">
        <f t="shared" si="1667"/>
        <v>3301</v>
      </c>
      <c r="K3926">
        <f t="shared" si="1668"/>
        <v>3470</v>
      </c>
      <c r="L3926">
        <f t="shared" si="1669"/>
        <v>3385.5</v>
      </c>
      <c r="M3926">
        <f t="shared" si="1670"/>
        <v>84.5</v>
      </c>
      <c r="N3926">
        <f t="shared" si="1659"/>
        <v>169</v>
      </c>
      <c r="O3926">
        <f t="shared" si="1671"/>
        <v>3403</v>
      </c>
      <c r="P3926">
        <f t="shared" si="1672"/>
        <v>0.20710059171597633</v>
      </c>
      <c r="Q3926" t="str">
        <f t="shared" si="1660"/>
        <v>3% | 1.97%</v>
      </c>
      <c r="R3926" t="str">
        <f t="shared" si="1673"/>
        <v>BULLISH</v>
      </c>
      <c r="S3926">
        <f t="shared" si="1661"/>
        <v>1</v>
      </c>
    </row>
    <row r="3927" spans="1:19" hidden="1" x14ac:dyDescent="0.25">
      <c r="A3927" s="5" t="str">
        <f t="shared" si="1662"/>
        <v>44071NIKK</v>
      </c>
      <c r="B3927" s="6" t="s">
        <v>171</v>
      </c>
      <c r="C3927" s="6">
        <v>22801</v>
      </c>
      <c r="D3927" s="6">
        <v>23370</v>
      </c>
      <c r="E3927" s="6">
        <v>22882</v>
      </c>
      <c r="F3927" t="str">
        <f t="shared" si="1663"/>
        <v>FRI</v>
      </c>
      <c r="G3927" s="3">
        <f t="shared" si="1664"/>
        <v>44071</v>
      </c>
      <c r="H3927" s="2">
        <f t="shared" ca="1" si="1665"/>
        <v>182</v>
      </c>
      <c r="I3927" t="str">
        <f t="shared" si="1666"/>
        <v>NIKK</v>
      </c>
      <c r="J3927">
        <f t="shared" si="1667"/>
        <v>22801</v>
      </c>
      <c r="K3927">
        <f t="shared" si="1668"/>
        <v>23370</v>
      </c>
      <c r="L3927">
        <f t="shared" si="1669"/>
        <v>23085.5</v>
      </c>
      <c r="M3927">
        <f t="shared" si="1670"/>
        <v>284.5</v>
      </c>
      <c r="N3927">
        <f t="shared" si="1659"/>
        <v>569</v>
      </c>
      <c r="O3927">
        <f t="shared" si="1671"/>
        <v>22882</v>
      </c>
      <c r="P3927">
        <f t="shared" si="1672"/>
        <v>-0.7152899824253075</v>
      </c>
      <c r="Q3927" t="str">
        <f t="shared" si="1660"/>
        <v>0.35% | 2.13%</v>
      </c>
      <c r="R3927" t="str">
        <f t="shared" si="1673"/>
        <v>NEUTRAL</v>
      </c>
      <c r="S3927">
        <f t="shared" si="1661"/>
        <v>0</v>
      </c>
    </row>
    <row r="3928" spans="1:19" hidden="1" x14ac:dyDescent="0.25">
      <c r="A3928" s="5" t="str">
        <f t="shared" si="1662"/>
        <v>44071DAX</v>
      </c>
      <c r="B3928" s="6" t="s">
        <v>172</v>
      </c>
      <c r="C3928" s="6">
        <v>12704</v>
      </c>
      <c r="D3928" s="6">
        <v>13232</v>
      </c>
      <c r="E3928" s="6">
        <v>13096</v>
      </c>
      <c r="F3928" t="str">
        <f t="shared" si="1663"/>
        <v>FRI</v>
      </c>
      <c r="G3928" s="3">
        <f t="shared" si="1664"/>
        <v>44071</v>
      </c>
      <c r="H3928" s="2">
        <f t="shared" ca="1" si="1665"/>
        <v>182</v>
      </c>
      <c r="I3928" t="str">
        <f t="shared" si="1666"/>
        <v>DAX</v>
      </c>
      <c r="J3928">
        <f t="shared" si="1667"/>
        <v>12704</v>
      </c>
      <c r="K3928">
        <f t="shared" si="1668"/>
        <v>13232</v>
      </c>
      <c r="L3928">
        <f t="shared" si="1669"/>
        <v>12968</v>
      </c>
      <c r="M3928">
        <f t="shared" si="1670"/>
        <v>264</v>
      </c>
      <c r="N3928">
        <f t="shared" si="1659"/>
        <v>528</v>
      </c>
      <c r="O3928">
        <f t="shared" si="1671"/>
        <v>13096</v>
      </c>
      <c r="P3928">
        <f t="shared" si="1672"/>
        <v>0.48484848484848486</v>
      </c>
      <c r="Q3928" t="str">
        <f t="shared" si="1660"/>
        <v>2.99% | 1.04%</v>
      </c>
      <c r="R3928" t="str">
        <f t="shared" si="1673"/>
        <v>BULLISH</v>
      </c>
      <c r="S3928">
        <f t="shared" si="1661"/>
        <v>1</v>
      </c>
    </row>
    <row r="3929" spans="1:19" hidden="1" x14ac:dyDescent="0.25">
      <c r="A3929" s="5" t="str">
        <f t="shared" si="1662"/>
        <v>44071VIX</v>
      </c>
      <c r="B3929" s="6" t="s">
        <v>192</v>
      </c>
      <c r="C3929" s="6">
        <v>21.53</v>
      </c>
      <c r="D3929" s="6">
        <v>27.52</v>
      </c>
      <c r="E3929" s="6">
        <v>24.47</v>
      </c>
      <c r="F3929" t="str">
        <f t="shared" si="1663"/>
        <v>FRI</v>
      </c>
      <c r="G3929" s="3">
        <f t="shared" si="1664"/>
        <v>44071</v>
      </c>
      <c r="H3929" s="2">
        <f t="shared" ca="1" si="1665"/>
        <v>182</v>
      </c>
      <c r="I3929" t="str">
        <f t="shared" si="1666"/>
        <v>VIX</v>
      </c>
      <c r="J3929">
        <f t="shared" si="1667"/>
        <v>21.53</v>
      </c>
      <c r="K3929">
        <f t="shared" si="1668"/>
        <v>27.52</v>
      </c>
      <c r="L3929">
        <f t="shared" si="1669"/>
        <v>24.524999999999999</v>
      </c>
      <c r="M3929">
        <f t="shared" si="1670"/>
        <v>2.995000000000013</v>
      </c>
      <c r="N3929">
        <f t="shared" si="1659"/>
        <v>5.9899999999999984</v>
      </c>
      <c r="O3929">
        <f t="shared" si="1671"/>
        <v>24.47</v>
      </c>
      <c r="P3929">
        <f t="shared" si="1672"/>
        <v>-1.8363939899832881E-2</v>
      </c>
      <c r="Q3929" t="str">
        <f t="shared" si="1660"/>
        <v>12.01% | 12.46%</v>
      </c>
      <c r="R3929" t="str">
        <f t="shared" si="1673"/>
        <v>BEARISH</v>
      </c>
      <c r="S3929">
        <f t="shared" si="1661"/>
        <v>-1</v>
      </c>
    </row>
    <row r="3930" spans="1:19" hidden="1" x14ac:dyDescent="0.25">
      <c r="A3930" s="5" t="str">
        <f t="shared" si="1662"/>
        <v>44071USD</v>
      </c>
      <c r="B3930" s="6" t="s">
        <v>174</v>
      </c>
      <c r="C3930" s="6">
        <v>92.08</v>
      </c>
      <c r="D3930" s="6">
        <v>93.51</v>
      </c>
      <c r="E3930" s="6">
        <v>93.01</v>
      </c>
      <c r="F3930" t="str">
        <f t="shared" si="1663"/>
        <v>FRI</v>
      </c>
      <c r="G3930" s="3">
        <f t="shared" si="1664"/>
        <v>44071</v>
      </c>
      <c r="H3930" s="2">
        <f t="shared" ca="1" si="1665"/>
        <v>182</v>
      </c>
      <c r="I3930" t="str">
        <f t="shared" si="1666"/>
        <v>USD</v>
      </c>
      <c r="J3930">
        <f t="shared" si="1667"/>
        <v>92.08</v>
      </c>
      <c r="K3930">
        <f t="shared" si="1668"/>
        <v>93.51</v>
      </c>
      <c r="L3930">
        <f t="shared" si="1669"/>
        <v>92.795000000000002</v>
      </c>
      <c r="M3930">
        <f t="shared" si="1670"/>
        <v>0.71500000000000341</v>
      </c>
      <c r="N3930">
        <f t="shared" si="1659"/>
        <v>1.4300000000000068</v>
      </c>
      <c r="O3930">
        <f t="shared" si="1671"/>
        <v>93.01</v>
      </c>
      <c r="P3930">
        <f t="shared" si="1672"/>
        <v>0.30069930069930406</v>
      </c>
      <c r="Q3930" t="str">
        <f t="shared" si="1660"/>
        <v>1% | 0.54%</v>
      </c>
      <c r="R3930" t="str">
        <f t="shared" si="1673"/>
        <v>BEARISH</v>
      </c>
      <c r="S3930">
        <f t="shared" si="1661"/>
        <v>-1</v>
      </c>
    </row>
    <row r="3931" spans="1:19" hidden="1" x14ac:dyDescent="0.25">
      <c r="A3931" s="5" t="str">
        <f t="shared" si="1662"/>
        <v>44071EUR/USD</v>
      </c>
      <c r="B3931" s="6" t="s">
        <v>175</v>
      </c>
      <c r="C3931" s="6">
        <v>1.18</v>
      </c>
      <c r="D3931" s="6">
        <v>1.2</v>
      </c>
      <c r="E3931" s="6">
        <v>1.18</v>
      </c>
      <c r="F3931" t="str">
        <f t="shared" si="1663"/>
        <v>FRI</v>
      </c>
      <c r="G3931" s="3">
        <f t="shared" si="1664"/>
        <v>44071</v>
      </c>
      <c r="H3931" s="2">
        <f t="shared" ca="1" si="1665"/>
        <v>182</v>
      </c>
      <c r="I3931" t="str">
        <f t="shared" si="1666"/>
        <v>EUR/USD</v>
      </c>
      <c r="J3931">
        <f t="shared" si="1667"/>
        <v>1.18</v>
      </c>
      <c r="K3931">
        <f t="shared" si="1668"/>
        <v>1.2</v>
      </c>
      <c r="L3931">
        <f t="shared" si="1669"/>
        <v>1.19</v>
      </c>
      <c r="M3931">
        <f t="shared" si="1670"/>
        <v>1.0000000000000009E-2</v>
      </c>
      <c r="N3931">
        <f t="shared" si="1659"/>
        <v>2.0000000000000018E-2</v>
      </c>
      <c r="O3931">
        <f t="shared" si="1671"/>
        <v>1.18</v>
      </c>
      <c r="P3931">
        <f t="shared" si="1672"/>
        <v>-1</v>
      </c>
      <c r="Q3931" t="str">
        <f t="shared" si="1660"/>
        <v>0% | 1.69%</v>
      </c>
      <c r="R3931" t="str">
        <f t="shared" si="1673"/>
        <v>BULLISH</v>
      </c>
      <c r="S3931">
        <f t="shared" si="1661"/>
        <v>1</v>
      </c>
    </row>
    <row r="3932" spans="1:19" hidden="1" x14ac:dyDescent="0.25">
      <c r="A3932" s="5" t="str">
        <f t="shared" si="1662"/>
        <v>44071USD/JPY</v>
      </c>
      <c r="B3932" s="6" t="s">
        <v>176</v>
      </c>
      <c r="C3932" s="6">
        <v>104.75</v>
      </c>
      <c r="D3932" s="6">
        <v>106.65</v>
      </c>
      <c r="E3932" s="6">
        <v>106.57</v>
      </c>
      <c r="F3932" t="str">
        <f t="shared" si="1663"/>
        <v>FRI</v>
      </c>
      <c r="G3932" s="3">
        <f t="shared" si="1664"/>
        <v>44071</v>
      </c>
      <c r="H3932" s="2">
        <f t="shared" ca="1" si="1665"/>
        <v>182</v>
      </c>
      <c r="I3932" t="str">
        <f t="shared" si="1666"/>
        <v>USD/JPY</v>
      </c>
      <c r="J3932">
        <f t="shared" si="1667"/>
        <v>104.75</v>
      </c>
      <c r="K3932">
        <f t="shared" si="1668"/>
        <v>106.65</v>
      </c>
      <c r="L3932">
        <f t="shared" si="1669"/>
        <v>105.7</v>
      </c>
      <c r="M3932">
        <f t="shared" si="1670"/>
        <v>0.95000000000000284</v>
      </c>
      <c r="N3932">
        <f t="shared" si="1659"/>
        <v>1.9000000000000057</v>
      </c>
      <c r="O3932">
        <f t="shared" si="1671"/>
        <v>106.57</v>
      </c>
      <c r="P3932">
        <f t="shared" si="1672"/>
        <v>0.91578947368419761</v>
      </c>
      <c r="Q3932" t="str">
        <f t="shared" si="1660"/>
        <v>1.71% | 0.08%</v>
      </c>
      <c r="R3932" t="str">
        <f t="shared" si="1673"/>
        <v>BEARISH</v>
      </c>
      <c r="S3932">
        <f t="shared" si="1661"/>
        <v>-1</v>
      </c>
    </row>
    <row r="3933" spans="1:19" hidden="1" x14ac:dyDescent="0.25">
      <c r="A3933" s="5" t="str">
        <f t="shared" si="1662"/>
        <v>44071GBP/USD</v>
      </c>
      <c r="B3933" s="6" t="s">
        <v>177</v>
      </c>
      <c r="C3933" s="6">
        <v>1.31</v>
      </c>
      <c r="D3933" s="6">
        <v>1.33</v>
      </c>
      <c r="E3933" s="6">
        <v>1.32</v>
      </c>
      <c r="F3933" t="str">
        <f t="shared" si="1663"/>
        <v>FRI</v>
      </c>
      <c r="G3933" s="3">
        <f t="shared" si="1664"/>
        <v>44071</v>
      </c>
      <c r="H3933" s="2">
        <f t="shared" ca="1" si="1665"/>
        <v>182</v>
      </c>
      <c r="I3933" t="str">
        <f t="shared" si="1666"/>
        <v>GBP/USD</v>
      </c>
      <c r="J3933">
        <f t="shared" si="1667"/>
        <v>1.31</v>
      </c>
      <c r="K3933">
        <f t="shared" si="1668"/>
        <v>1.33</v>
      </c>
      <c r="L3933">
        <f t="shared" si="1669"/>
        <v>1.32</v>
      </c>
      <c r="M3933">
        <f t="shared" si="1670"/>
        <v>1.0000000000000009E-2</v>
      </c>
      <c r="N3933">
        <f t="shared" si="1659"/>
        <v>2.0000000000000018E-2</v>
      </c>
      <c r="O3933">
        <f t="shared" si="1671"/>
        <v>1.32</v>
      </c>
      <c r="P3933">
        <f t="shared" si="1672"/>
        <v>0</v>
      </c>
      <c r="Q3933" t="str">
        <f t="shared" si="1660"/>
        <v>0.76% | 0.76%</v>
      </c>
      <c r="R3933" t="str">
        <f t="shared" si="1673"/>
        <v>BULLISH</v>
      </c>
      <c r="S3933">
        <f t="shared" si="1661"/>
        <v>1</v>
      </c>
    </row>
    <row r="3934" spans="1:19" hidden="1" x14ac:dyDescent="0.25">
      <c r="A3934" s="5" t="str">
        <f t="shared" si="1662"/>
        <v>44071USD/CHF</v>
      </c>
      <c r="B3934" s="6" t="s">
        <v>178</v>
      </c>
      <c r="C3934" s="6">
        <v>0.89</v>
      </c>
      <c r="D3934" s="6">
        <v>0.91</v>
      </c>
      <c r="E3934" s="6">
        <v>0.9</v>
      </c>
      <c r="F3934" t="str">
        <f t="shared" si="1663"/>
        <v>FRI</v>
      </c>
      <c r="G3934" s="3">
        <f t="shared" si="1664"/>
        <v>44071</v>
      </c>
      <c r="H3934" s="2">
        <f t="shared" ca="1" si="1665"/>
        <v>182</v>
      </c>
      <c r="I3934" t="str">
        <f t="shared" si="1666"/>
        <v>USD/CHF</v>
      </c>
      <c r="J3934">
        <f t="shared" si="1667"/>
        <v>0.89</v>
      </c>
      <c r="K3934">
        <f t="shared" si="1668"/>
        <v>0.91</v>
      </c>
      <c r="L3934">
        <f t="shared" si="1669"/>
        <v>0.9</v>
      </c>
      <c r="M3934">
        <f t="shared" si="1670"/>
        <v>1.0000000000000009E-2</v>
      </c>
      <c r="N3934">
        <f t="shared" si="1659"/>
        <v>2.0000000000000018E-2</v>
      </c>
      <c r="O3934">
        <f t="shared" si="1671"/>
        <v>0.9</v>
      </c>
      <c r="P3934">
        <f t="shared" si="1672"/>
        <v>0</v>
      </c>
      <c r="Q3934" t="str">
        <f t="shared" si="1660"/>
        <v>1.11% | 1.11%</v>
      </c>
      <c r="R3934" t="str">
        <f t="shared" si="1673"/>
        <v>BEARISH</v>
      </c>
      <c r="S3934">
        <f t="shared" si="1661"/>
        <v>-1</v>
      </c>
    </row>
    <row r="3935" spans="1:19" hidden="1" x14ac:dyDescent="0.25">
      <c r="A3935" s="5" t="str">
        <f t="shared" si="1662"/>
        <v>44071WTIC</v>
      </c>
      <c r="B3935" s="6" t="s">
        <v>179</v>
      </c>
      <c r="C3935" s="6">
        <v>42.03</v>
      </c>
      <c r="D3935" s="6">
        <v>43.7</v>
      </c>
      <c r="E3935" s="6">
        <v>43.04</v>
      </c>
      <c r="F3935" t="str">
        <f t="shared" si="1663"/>
        <v>FRI</v>
      </c>
      <c r="G3935" s="3">
        <f t="shared" si="1664"/>
        <v>44071</v>
      </c>
      <c r="H3935" s="2">
        <f t="shared" ca="1" si="1665"/>
        <v>182</v>
      </c>
      <c r="I3935" t="str">
        <f t="shared" si="1666"/>
        <v>WTIC</v>
      </c>
      <c r="J3935">
        <f t="shared" si="1667"/>
        <v>42.03</v>
      </c>
      <c r="K3935">
        <f t="shared" si="1668"/>
        <v>43.7</v>
      </c>
      <c r="L3935">
        <f t="shared" si="1669"/>
        <v>42.865000000000002</v>
      </c>
      <c r="M3935">
        <f t="shared" si="1670"/>
        <v>0.83500000000000085</v>
      </c>
      <c r="N3935">
        <f t="shared" si="1659"/>
        <v>1.6700000000000017</v>
      </c>
      <c r="O3935">
        <f t="shared" si="1671"/>
        <v>43.04</v>
      </c>
      <c r="P3935">
        <f t="shared" si="1672"/>
        <v>0.20958083832334967</v>
      </c>
      <c r="Q3935" t="str">
        <f t="shared" si="1660"/>
        <v>2.35% | 1.53%</v>
      </c>
      <c r="R3935" t="str">
        <f t="shared" si="1673"/>
        <v>BULLISH</v>
      </c>
      <c r="S3935">
        <f t="shared" si="1661"/>
        <v>1</v>
      </c>
    </row>
    <row r="3936" spans="1:19" hidden="1" x14ac:dyDescent="0.25">
      <c r="A3936" s="5" t="str">
        <f t="shared" si="1662"/>
        <v>44071NATGAS</v>
      </c>
      <c r="B3936" s="6" t="s">
        <v>180</v>
      </c>
      <c r="C3936" s="6">
        <v>2.2799999999999998</v>
      </c>
      <c r="D3936" s="6">
        <v>2.77</v>
      </c>
      <c r="E3936" s="6">
        <v>2.71</v>
      </c>
      <c r="F3936" t="str">
        <f t="shared" si="1663"/>
        <v>FRI</v>
      </c>
      <c r="G3936" s="3">
        <f t="shared" si="1664"/>
        <v>44071</v>
      </c>
      <c r="H3936" s="2">
        <f t="shared" ca="1" si="1665"/>
        <v>182</v>
      </c>
      <c r="I3936" t="str">
        <f t="shared" si="1666"/>
        <v>NATGAS</v>
      </c>
      <c r="J3936">
        <f t="shared" si="1667"/>
        <v>2.2799999999999998</v>
      </c>
      <c r="K3936">
        <f t="shared" si="1668"/>
        <v>2.77</v>
      </c>
      <c r="L3936">
        <f t="shared" si="1669"/>
        <v>2.5249999999999999</v>
      </c>
      <c r="M3936">
        <f t="shared" si="1670"/>
        <v>0.24500000000000011</v>
      </c>
      <c r="N3936">
        <f t="shared" si="1659"/>
        <v>0.49000000000000021</v>
      </c>
      <c r="O3936">
        <f t="shared" si="1671"/>
        <v>2.71</v>
      </c>
      <c r="P3936">
        <f t="shared" si="1672"/>
        <v>0.75510204081632637</v>
      </c>
      <c r="Q3936" t="str">
        <f t="shared" si="1660"/>
        <v>15.87% | 2.21%</v>
      </c>
      <c r="R3936" t="str">
        <f t="shared" si="1673"/>
        <v>BULLISH</v>
      </c>
      <c r="S3936">
        <f t="shared" si="1661"/>
        <v>1</v>
      </c>
    </row>
    <row r="3937" spans="1:19" hidden="1" x14ac:dyDescent="0.25">
      <c r="A3937" s="5" t="str">
        <f t="shared" si="1662"/>
        <v>44071GOLD</v>
      </c>
      <c r="B3937" s="6" t="s">
        <v>181</v>
      </c>
      <c r="C3937" s="6">
        <v>1904</v>
      </c>
      <c r="D3937" s="6">
        <v>2019</v>
      </c>
      <c r="E3937" s="6">
        <v>1932</v>
      </c>
      <c r="F3937" t="str">
        <f t="shared" si="1663"/>
        <v>FRI</v>
      </c>
      <c r="G3937" s="3">
        <f t="shared" si="1664"/>
        <v>44071</v>
      </c>
      <c r="H3937" s="2">
        <f t="shared" ca="1" si="1665"/>
        <v>182</v>
      </c>
      <c r="I3937" t="str">
        <f t="shared" si="1666"/>
        <v>GOLD</v>
      </c>
      <c r="J3937">
        <f t="shared" si="1667"/>
        <v>1904</v>
      </c>
      <c r="K3937">
        <f t="shared" si="1668"/>
        <v>2019</v>
      </c>
      <c r="L3937">
        <f t="shared" si="1669"/>
        <v>1961.5</v>
      </c>
      <c r="M3937">
        <f t="shared" si="1670"/>
        <v>57.5</v>
      </c>
      <c r="N3937">
        <f t="shared" si="1659"/>
        <v>115</v>
      </c>
      <c r="O3937">
        <f t="shared" si="1671"/>
        <v>1932</v>
      </c>
      <c r="P3937">
        <f t="shared" si="1672"/>
        <v>-0.5130434782608696</v>
      </c>
      <c r="Q3937" t="str">
        <f t="shared" si="1660"/>
        <v>1.45% | 4.5%</v>
      </c>
      <c r="R3937" t="str">
        <f t="shared" si="1673"/>
        <v>BULLISH</v>
      </c>
      <c r="S3937">
        <f t="shared" si="1661"/>
        <v>1</v>
      </c>
    </row>
    <row r="3938" spans="1:19" hidden="1" x14ac:dyDescent="0.25">
      <c r="A3938" s="5" t="str">
        <f t="shared" si="1662"/>
        <v>44071SILVER</v>
      </c>
      <c r="B3938" s="6" t="s">
        <v>199</v>
      </c>
      <c r="C3938" s="6">
        <v>25.99</v>
      </c>
      <c r="D3938" s="6">
        <v>28.4</v>
      </c>
      <c r="E3938" s="6">
        <v>27.02</v>
      </c>
      <c r="F3938" t="str">
        <f t="shared" si="1663"/>
        <v>FRI</v>
      </c>
      <c r="G3938" s="3">
        <f t="shared" si="1664"/>
        <v>44071</v>
      </c>
      <c r="H3938" s="2">
        <f t="shared" ca="1" si="1665"/>
        <v>182</v>
      </c>
      <c r="I3938" t="str">
        <f t="shared" si="1666"/>
        <v>SILVER</v>
      </c>
      <c r="J3938">
        <f t="shared" si="1667"/>
        <v>25.99</v>
      </c>
      <c r="K3938">
        <f t="shared" si="1668"/>
        <v>28.4</v>
      </c>
      <c r="L3938">
        <f t="shared" si="1669"/>
        <v>27.195</v>
      </c>
      <c r="M3938">
        <f t="shared" si="1670"/>
        <v>1.2050000000000001</v>
      </c>
      <c r="N3938">
        <f t="shared" si="1659"/>
        <v>2.41</v>
      </c>
      <c r="O3938">
        <f t="shared" si="1671"/>
        <v>27.02</v>
      </c>
      <c r="P3938">
        <f t="shared" si="1672"/>
        <v>-0.14522821576763545</v>
      </c>
      <c r="Q3938" t="str">
        <f t="shared" si="1660"/>
        <v>3.81% | 5.11%</v>
      </c>
      <c r="R3938" t="str">
        <f t="shared" si="1673"/>
        <v>BULLISH</v>
      </c>
      <c r="S3938">
        <f t="shared" si="1661"/>
        <v>1</v>
      </c>
    </row>
    <row r="3939" spans="1:19" hidden="1" x14ac:dyDescent="0.25">
      <c r="A3939" s="5" t="str">
        <f t="shared" si="1662"/>
        <v>44071COPPER</v>
      </c>
      <c r="B3939" s="6" t="s">
        <v>182</v>
      </c>
      <c r="C3939" s="6">
        <v>2.85</v>
      </c>
      <c r="D3939" s="6">
        <v>3.05</v>
      </c>
      <c r="E3939" s="6">
        <v>2.99</v>
      </c>
      <c r="F3939" t="str">
        <f t="shared" si="1663"/>
        <v>FRI</v>
      </c>
      <c r="G3939" s="3">
        <f t="shared" si="1664"/>
        <v>44071</v>
      </c>
      <c r="H3939" s="2">
        <f t="shared" ca="1" si="1665"/>
        <v>182</v>
      </c>
      <c r="I3939" t="str">
        <f t="shared" si="1666"/>
        <v>COPPER</v>
      </c>
      <c r="J3939">
        <f t="shared" si="1667"/>
        <v>2.85</v>
      </c>
      <c r="K3939">
        <f t="shared" si="1668"/>
        <v>3.05</v>
      </c>
      <c r="L3939">
        <f t="shared" si="1669"/>
        <v>2.95</v>
      </c>
      <c r="M3939">
        <f t="shared" si="1670"/>
        <v>9.9999999999999867E-2</v>
      </c>
      <c r="N3939">
        <f t="shared" si="1659"/>
        <v>0.19999999999999973</v>
      </c>
      <c r="O3939">
        <f t="shared" si="1671"/>
        <v>2.99</v>
      </c>
      <c r="P3939">
        <f t="shared" si="1672"/>
        <v>0.40000000000000091</v>
      </c>
      <c r="Q3939" t="str">
        <f t="shared" si="1660"/>
        <v>4.68% | 2.01%</v>
      </c>
      <c r="R3939" t="str">
        <f t="shared" si="1673"/>
        <v>BULLISH</v>
      </c>
      <c r="S3939">
        <f t="shared" si="1661"/>
        <v>1</v>
      </c>
    </row>
    <row r="3940" spans="1:19" hidden="1" x14ac:dyDescent="0.25">
      <c r="A3940" s="5" t="str">
        <f t="shared" si="1662"/>
        <v>44071MSFT</v>
      </c>
      <c r="B3940" s="6" t="s">
        <v>183</v>
      </c>
      <c r="C3940" s="6">
        <v>215</v>
      </c>
      <c r="D3940" s="6">
        <v>229</v>
      </c>
      <c r="E3940" s="6">
        <v>226</v>
      </c>
      <c r="F3940" t="str">
        <f t="shared" si="1663"/>
        <v>FRI</v>
      </c>
      <c r="G3940" s="3">
        <f t="shared" si="1664"/>
        <v>44071</v>
      </c>
      <c r="H3940" s="2">
        <f t="shared" ca="1" si="1665"/>
        <v>182</v>
      </c>
      <c r="I3940" t="str">
        <f t="shared" si="1666"/>
        <v>MSFT</v>
      </c>
      <c r="J3940">
        <f t="shared" si="1667"/>
        <v>215</v>
      </c>
      <c r="K3940">
        <f t="shared" si="1668"/>
        <v>229</v>
      </c>
      <c r="L3940">
        <f t="shared" si="1669"/>
        <v>222</v>
      </c>
      <c r="M3940">
        <f t="shared" si="1670"/>
        <v>7</v>
      </c>
      <c r="N3940">
        <f t="shared" si="1659"/>
        <v>14</v>
      </c>
      <c r="O3940">
        <f t="shared" si="1671"/>
        <v>226</v>
      </c>
      <c r="P3940">
        <f t="shared" si="1672"/>
        <v>0.5714285714285714</v>
      </c>
      <c r="Q3940" t="str">
        <f t="shared" si="1660"/>
        <v>4.87% | 1.33%</v>
      </c>
      <c r="R3940" t="str">
        <f t="shared" si="1673"/>
        <v>BULLISH</v>
      </c>
      <c r="S3940">
        <f t="shared" si="1661"/>
        <v>1</v>
      </c>
    </row>
    <row r="3941" spans="1:19" hidden="1" x14ac:dyDescent="0.25">
      <c r="A3941" s="5" t="str">
        <f t="shared" si="1662"/>
        <v>44071AAPL</v>
      </c>
      <c r="B3941" s="6" t="s">
        <v>184</v>
      </c>
      <c r="C3941" s="6">
        <v>450</v>
      </c>
      <c r="D3941" s="6">
        <v>523</v>
      </c>
      <c r="E3941" s="6">
        <v>500</v>
      </c>
      <c r="F3941" t="str">
        <f t="shared" si="1663"/>
        <v>FRI</v>
      </c>
      <c r="G3941" s="3">
        <f t="shared" si="1664"/>
        <v>44071</v>
      </c>
      <c r="H3941" s="2">
        <f t="shared" ca="1" si="1665"/>
        <v>182</v>
      </c>
      <c r="I3941" t="str">
        <f t="shared" si="1666"/>
        <v>AAPL</v>
      </c>
      <c r="J3941">
        <f t="shared" si="1667"/>
        <v>450</v>
      </c>
      <c r="K3941">
        <f t="shared" si="1668"/>
        <v>523</v>
      </c>
      <c r="L3941">
        <f t="shared" si="1669"/>
        <v>486.5</v>
      </c>
      <c r="M3941">
        <f t="shared" si="1670"/>
        <v>36.5</v>
      </c>
      <c r="N3941">
        <f t="shared" si="1659"/>
        <v>73</v>
      </c>
      <c r="O3941">
        <f t="shared" si="1671"/>
        <v>500</v>
      </c>
      <c r="P3941">
        <f t="shared" si="1672"/>
        <v>0.36986301369863012</v>
      </c>
      <c r="Q3941" t="str">
        <f t="shared" si="1660"/>
        <v>10% | 4.6%</v>
      </c>
      <c r="R3941" t="str">
        <f t="shared" si="1673"/>
        <v>BULLISH</v>
      </c>
      <c r="S3941">
        <f t="shared" si="1661"/>
        <v>1</v>
      </c>
    </row>
    <row r="3942" spans="1:19" hidden="1" x14ac:dyDescent="0.25">
      <c r="A3942" s="5" t="str">
        <f t="shared" si="1662"/>
        <v>44071AMZN</v>
      </c>
      <c r="B3942" s="6" t="s">
        <v>185</v>
      </c>
      <c r="C3942" s="6">
        <v>3304</v>
      </c>
      <c r="D3942" s="6">
        <v>3460</v>
      </c>
      <c r="E3942" s="6">
        <v>3400</v>
      </c>
      <c r="F3942" t="str">
        <f t="shared" si="1663"/>
        <v>FRI</v>
      </c>
      <c r="G3942" s="3">
        <f t="shared" si="1664"/>
        <v>44071</v>
      </c>
      <c r="H3942" s="2">
        <f t="shared" ca="1" si="1665"/>
        <v>182</v>
      </c>
      <c r="I3942" t="str">
        <f t="shared" si="1666"/>
        <v>AMZN</v>
      </c>
      <c r="J3942">
        <f t="shared" si="1667"/>
        <v>3304</v>
      </c>
      <c r="K3942">
        <f t="shared" si="1668"/>
        <v>3460</v>
      </c>
      <c r="L3942">
        <f t="shared" si="1669"/>
        <v>3382</v>
      </c>
      <c r="M3942">
        <f t="shared" si="1670"/>
        <v>78</v>
      </c>
      <c r="N3942">
        <f t="shared" si="1659"/>
        <v>156</v>
      </c>
      <c r="O3942">
        <f t="shared" si="1671"/>
        <v>3400</v>
      </c>
      <c r="P3942">
        <f t="shared" si="1672"/>
        <v>0.23076923076923078</v>
      </c>
      <c r="Q3942" t="str">
        <f t="shared" si="1660"/>
        <v>2.82% | 1.76%</v>
      </c>
      <c r="R3942" t="str">
        <f t="shared" si="1673"/>
        <v>BULLISH</v>
      </c>
      <c r="S3942">
        <f t="shared" si="1661"/>
        <v>1</v>
      </c>
    </row>
    <row r="3943" spans="1:19" hidden="1" x14ac:dyDescent="0.25">
      <c r="A3943" s="5" t="str">
        <f t="shared" si="1662"/>
        <v>44071FB</v>
      </c>
      <c r="B3943" s="6" t="s">
        <v>186</v>
      </c>
      <c r="C3943" s="6">
        <v>274</v>
      </c>
      <c r="D3943" s="6">
        <v>306</v>
      </c>
      <c r="E3943" s="6">
        <v>293</v>
      </c>
      <c r="F3943" t="str">
        <f t="shared" si="1663"/>
        <v>FRI</v>
      </c>
      <c r="G3943" s="3">
        <f t="shared" si="1664"/>
        <v>44071</v>
      </c>
      <c r="H3943" s="2">
        <f t="shared" ca="1" si="1665"/>
        <v>182</v>
      </c>
      <c r="I3943" t="str">
        <f t="shared" si="1666"/>
        <v>FB</v>
      </c>
      <c r="J3943">
        <f t="shared" si="1667"/>
        <v>274</v>
      </c>
      <c r="K3943">
        <f t="shared" si="1668"/>
        <v>306</v>
      </c>
      <c r="L3943">
        <f t="shared" si="1669"/>
        <v>290</v>
      </c>
      <c r="M3943">
        <f t="shared" si="1670"/>
        <v>16</v>
      </c>
      <c r="N3943">
        <f t="shared" si="1659"/>
        <v>32</v>
      </c>
      <c r="O3943">
        <f t="shared" si="1671"/>
        <v>293</v>
      </c>
      <c r="P3943">
        <f t="shared" si="1672"/>
        <v>0.1875</v>
      </c>
      <c r="Q3943" t="str">
        <f t="shared" si="1660"/>
        <v>6.48% | 4.44%</v>
      </c>
      <c r="R3943" t="str">
        <f t="shared" si="1673"/>
        <v>BULLISH</v>
      </c>
      <c r="S3943">
        <f t="shared" si="1661"/>
        <v>1</v>
      </c>
    </row>
    <row r="3944" spans="1:19" hidden="1" x14ac:dyDescent="0.25">
      <c r="A3944" s="5" t="str">
        <f t="shared" si="1662"/>
        <v>44071GOOGL</v>
      </c>
      <c r="B3944" s="6" t="s">
        <v>187</v>
      </c>
      <c r="C3944" s="6">
        <v>1578</v>
      </c>
      <c r="D3944" s="6">
        <v>1658</v>
      </c>
      <c r="E3944" s="6">
        <v>1628</v>
      </c>
      <c r="F3944" t="str">
        <f t="shared" si="1663"/>
        <v>FRI</v>
      </c>
      <c r="G3944" s="3">
        <f t="shared" si="1664"/>
        <v>44071</v>
      </c>
      <c r="H3944" s="2">
        <f t="shared" ca="1" si="1665"/>
        <v>182</v>
      </c>
      <c r="I3944" t="str">
        <f t="shared" si="1666"/>
        <v>GOOGL</v>
      </c>
      <c r="J3944">
        <f t="shared" si="1667"/>
        <v>1578</v>
      </c>
      <c r="K3944">
        <f t="shared" si="1668"/>
        <v>1658</v>
      </c>
      <c r="L3944">
        <f t="shared" si="1669"/>
        <v>1618</v>
      </c>
      <c r="M3944">
        <f t="shared" si="1670"/>
        <v>40</v>
      </c>
      <c r="N3944">
        <f t="shared" si="1659"/>
        <v>80</v>
      </c>
      <c r="O3944">
        <f t="shared" si="1671"/>
        <v>1628</v>
      </c>
      <c r="P3944">
        <f t="shared" si="1672"/>
        <v>0.25</v>
      </c>
      <c r="Q3944" t="str">
        <f t="shared" si="1660"/>
        <v>3.07% | 1.84%</v>
      </c>
      <c r="R3944" t="str">
        <f t="shared" si="1673"/>
        <v>BULLISH</v>
      </c>
      <c r="S3944">
        <f t="shared" si="1661"/>
        <v>1</v>
      </c>
    </row>
    <row r="3945" spans="1:19" hidden="1" x14ac:dyDescent="0.25">
      <c r="A3945" s="5" t="str">
        <f t="shared" si="1662"/>
        <v>44071NFLX</v>
      </c>
      <c r="B3945" s="6" t="s">
        <v>194</v>
      </c>
      <c r="C3945" s="6">
        <v>466</v>
      </c>
      <c r="D3945" s="6">
        <v>543</v>
      </c>
      <c r="E3945" s="6">
        <v>526</v>
      </c>
      <c r="F3945" t="str">
        <f t="shared" si="1663"/>
        <v>FRI</v>
      </c>
      <c r="G3945" s="3">
        <f t="shared" si="1664"/>
        <v>44071</v>
      </c>
      <c r="H3945" s="2">
        <f t="shared" ca="1" si="1665"/>
        <v>182</v>
      </c>
      <c r="I3945" t="str">
        <f t="shared" si="1666"/>
        <v>NFLX</v>
      </c>
      <c r="J3945">
        <f t="shared" si="1667"/>
        <v>466</v>
      </c>
      <c r="K3945">
        <f t="shared" si="1668"/>
        <v>543</v>
      </c>
      <c r="L3945">
        <f t="shared" si="1669"/>
        <v>504.5</v>
      </c>
      <c r="M3945">
        <f t="shared" si="1670"/>
        <v>38.5</v>
      </c>
      <c r="N3945">
        <f t="shared" si="1659"/>
        <v>77</v>
      </c>
      <c r="O3945">
        <f t="shared" si="1671"/>
        <v>526</v>
      </c>
      <c r="P3945">
        <f t="shared" si="1672"/>
        <v>0.55844155844155841</v>
      </c>
      <c r="Q3945" t="str">
        <f t="shared" si="1660"/>
        <v>11.41% | 3.23%</v>
      </c>
      <c r="R3945" t="str">
        <f t="shared" si="1673"/>
        <v>BULLISH</v>
      </c>
      <c r="S3945">
        <f t="shared" si="1661"/>
        <v>1</v>
      </c>
    </row>
    <row r="3946" spans="1:19" x14ac:dyDescent="0.25">
      <c r="A3946" s="5" t="str">
        <f t="shared" si="1662"/>
        <v>44071TSLA</v>
      </c>
      <c r="B3946" s="6" t="s">
        <v>189</v>
      </c>
      <c r="C3946" s="6">
        <v>2001</v>
      </c>
      <c r="D3946" s="6">
        <v>2266</v>
      </c>
      <c r="E3946" s="6">
        <v>2238</v>
      </c>
      <c r="F3946" t="str">
        <f t="shared" si="1663"/>
        <v>FRI</v>
      </c>
      <c r="G3946" s="3">
        <f t="shared" si="1664"/>
        <v>44071</v>
      </c>
      <c r="H3946" s="2">
        <f t="shared" ca="1" si="1665"/>
        <v>182</v>
      </c>
      <c r="I3946" t="str">
        <f t="shared" si="1666"/>
        <v>TSLA</v>
      </c>
      <c r="J3946">
        <f t="shared" si="1667"/>
        <v>2001</v>
      </c>
      <c r="K3946">
        <f t="shared" si="1668"/>
        <v>2266</v>
      </c>
      <c r="L3946">
        <f t="shared" si="1669"/>
        <v>2133.5</v>
      </c>
      <c r="M3946">
        <f t="shared" si="1670"/>
        <v>132.5</v>
      </c>
      <c r="N3946">
        <f t="shared" si="1659"/>
        <v>265</v>
      </c>
      <c r="O3946">
        <f t="shared" si="1671"/>
        <v>2238</v>
      </c>
      <c r="P3946">
        <f t="shared" si="1672"/>
        <v>0.78867924528301891</v>
      </c>
      <c r="Q3946" t="str">
        <f t="shared" si="1660"/>
        <v>10.59% | 1.25%</v>
      </c>
      <c r="R3946" t="str">
        <f t="shared" si="1673"/>
        <v>BULLISH</v>
      </c>
      <c r="S3946">
        <f t="shared" si="1661"/>
        <v>1</v>
      </c>
    </row>
    <row r="3947" spans="1:19" hidden="1" x14ac:dyDescent="0.25">
      <c r="A3947" s="5" t="str">
        <f t="shared" si="1662"/>
        <v>44071NYXBT</v>
      </c>
      <c r="B3947" s="6" t="s">
        <v>190</v>
      </c>
      <c r="C3947" s="6">
        <v>11191</v>
      </c>
      <c r="D3947" s="6">
        <v>12235</v>
      </c>
      <c r="E3947" s="6">
        <v>11315</v>
      </c>
      <c r="F3947" t="str">
        <f t="shared" si="1663"/>
        <v>FRI</v>
      </c>
      <c r="G3947" s="3">
        <f t="shared" si="1664"/>
        <v>44071</v>
      </c>
      <c r="H3947" s="2">
        <f t="shared" ca="1" si="1665"/>
        <v>182</v>
      </c>
      <c r="I3947" t="str">
        <f t="shared" si="1666"/>
        <v>NYXBT</v>
      </c>
      <c r="J3947">
        <f t="shared" si="1667"/>
        <v>11191</v>
      </c>
      <c r="K3947">
        <f t="shared" si="1668"/>
        <v>12235</v>
      </c>
      <c r="L3947">
        <f t="shared" si="1669"/>
        <v>11713</v>
      </c>
      <c r="M3947">
        <f t="shared" si="1670"/>
        <v>522</v>
      </c>
      <c r="N3947">
        <f t="shared" si="1659"/>
        <v>1044</v>
      </c>
      <c r="O3947">
        <f t="shared" si="1671"/>
        <v>11315</v>
      </c>
      <c r="P3947">
        <f t="shared" si="1672"/>
        <v>-0.76245210727969348</v>
      </c>
      <c r="Q3947" t="str">
        <f t="shared" si="1660"/>
        <v>1.1% | 8.13%</v>
      </c>
      <c r="R3947" t="str">
        <f t="shared" si="1673"/>
        <v>BULLISH</v>
      </c>
      <c r="S3947">
        <f t="shared" si="1661"/>
        <v>1</v>
      </c>
    </row>
    <row r="3948" spans="1:19" hidden="1" x14ac:dyDescent="0.25">
      <c r="A3948" s="5" t="str">
        <f t="shared" si="1662"/>
        <v>44074UST10Y</v>
      </c>
      <c r="B3948" s="6" t="s">
        <v>161</v>
      </c>
      <c r="C3948" s="6">
        <v>0.75</v>
      </c>
      <c r="D3948" s="6">
        <v>0.59</v>
      </c>
      <c r="E3948" s="6">
        <v>0.74</v>
      </c>
      <c r="F3948" t="str">
        <f t="shared" si="1663"/>
        <v>MON</v>
      </c>
      <c r="G3948" s="1">
        <f>DATE(2020,8,31)</f>
        <v>44074</v>
      </c>
      <c r="H3948" s="2">
        <f t="shared" ca="1" si="1665"/>
        <v>179</v>
      </c>
      <c r="I3948" t="str">
        <f t="shared" si="1666"/>
        <v>UST10Y</v>
      </c>
      <c r="J3948">
        <f t="shared" si="1667"/>
        <v>0.75</v>
      </c>
      <c r="K3948">
        <f t="shared" si="1668"/>
        <v>0.59</v>
      </c>
      <c r="L3948">
        <f t="shared" si="1669"/>
        <v>0.66999999999999993</v>
      </c>
      <c r="M3948">
        <f t="shared" si="1670"/>
        <v>8.0000000000000446E-2</v>
      </c>
      <c r="N3948">
        <f t="shared" si="1659"/>
        <v>0.16000000000000003</v>
      </c>
      <c r="O3948">
        <f t="shared" si="1671"/>
        <v>0.74</v>
      </c>
      <c r="P3948">
        <f t="shared" si="1672"/>
        <v>0.87499999999999589</v>
      </c>
      <c r="Q3948" t="str">
        <f t="shared" si="1660"/>
        <v>1.35% | 20.27%</v>
      </c>
      <c r="R3948" t="str">
        <f t="shared" si="1673"/>
        <v>BEARISH</v>
      </c>
      <c r="S3948">
        <f t="shared" si="1661"/>
        <v>-1</v>
      </c>
    </row>
    <row r="3949" spans="1:19" hidden="1" x14ac:dyDescent="0.25">
      <c r="A3949" s="5" t="str">
        <f t="shared" si="1662"/>
        <v>44074UST2Y</v>
      </c>
      <c r="B3949" s="6" t="s">
        <v>162</v>
      </c>
      <c r="C3949" s="6">
        <v>0.16</v>
      </c>
      <c r="D3949" s="6">
        <v>0.11</v>
      </c>
      <c r="E3949" s="6">
        <v>0.14000000000000001</v>
      </c>
      <c r="F3949" t="str">
        <f t="shared" ref="F3949:F3979" si="1674">UPPER(TEXT(G3949,"ddd"))</f>
        <v>MON</v>
      </c>
      <c r="G3949" s="1">
        <f t="shared" ref="G3949:G3978" si="1675">DATE(2020,8,31)</f>
        <v>44074</v>
      </c>
      <c r="H3949" s="2">
        <f t="shared" ref="H3949:H3979" ca="1" si="1676">TODAY()-G3949</f>
        <v>179</v>
      </c>
      <c r="I3949" t="str">
        <f t="shared" ref="I3949:I3979" si="1677">TRIM(LEFT(B3949,FIND(" ",B3949,1)))</f>
        <v>UST2Y</v>
      </c>
      <c r="J3949">
        <f t="shared" ref="J3949:J3979" si="1678">C3949</f>
        <v>0.16</v>
      </c>
      <c r="K3949">
        <f t="shared" ref="K3949:K3979" si="1679">D3949</f>
        <v>0.11</v>
      </c>
      <c r="L3949">
        <f t="shared" ref="L3949:L3979" si="1680">AVERAGE(J3949:K3949)</f>
        <v>0.13500000000000001</v>
      </c>
      <c r="M3949">
        <f t="shared" ref="M3949:M3979" si="1681">_xlfn.STDEV.P(J3949:K3949)</f>
        <v>2.4999999999999942E-2</v>
      </c>
      <c r="N3949">
        <f t="shared" si="1659"/>
        <v>0.05</v>
      </c>
      <c r="O3949">
        <f t="shared" ref="O3949:O3979" si="1682">E3949</f>
        <v>0.14000000000000001</v>
      </c>
      <c r="P3949">
        <f t="shared" ref="P3949:P3979" si="1683">(O3949-L3949)/M3949</f>
        <v>0.20000000000000065</v>
      </c>
      <c r="Q3949" t="str">
        <f t="shared" si="1660"/>
        <v>14.29% | 21.43%</v>
      </c>
      <c r="R3949" t="str">
        <f t="shared" ref="R3949:R3979" si="1684">MID(B3949,FIND("(",B3949,1)+1,FIND(")",B3949,1)-FIND("(",B3949,1)-1)</f>
        <v>BEARISH</v>
      </c>
      <c r="S3949">
        <f t="shared" si="1661"/>
        <v>-1</v>
      </c>
    </row>
    <row r="3950" spans="1:19" hidden="1" x14ac:dyDescent="0.25">
      <c r="A3950" s="5" t="str">
        <f t="shared" si="1662"/>
        <v>44074SPX</v>
      </c>
      <c r="B3950" s="6" t="s">
        <v>191</v>
      </c>
      <c r="C3950" s="6">
        <v>3360</v>
      </c>
      <c r="D3950" s="6">
        <v>3527</v>
      </c>
      <c r="E3950" s="6">
        <v>3508</v>
      </c>
      <c r="F3950" t="str">
        <f t="shared" si="1674"/>
        <v>MON</v>
      </c>
      <c r="G3950" s="1">
        <f t="shared" si="1675"/>
        <v>44074</v>
      </c>
      <c r="H3950" s="2">
        <f t="shared" ca="1" si="1676"/>
        <v>179</v>
      </c>
      <c r="I3950" t="str">
        <f t="shared" si="1677"/>
        <v>SPX</v>
      </c>
      <c r="J3950">
        <f t="shared" si="1678"/>
        <v>3360</v>
      </c>
      <c r="K3950">
        <f t="shared" si="1679"/>
        <v>3527</v>
      </c>
      <c r="L3950">
        <f t="shared" si="1680"/>
        <v>3443.5</v>
      </c>
      <c r="M3950">
        <f t="shared" si="1681"/>
        <v>83.5</v>
      </c>
      <c r="N3950">
        <f t="shared" si="1659"/>
        <v>167</v>
      </c>
      <c r="O3950">
        <f t="shared" si="1682"/>
        <v>3508</v>
      </c>
      <c r="P3950">
        <f t="shared" si="1683"/>
        <v>0.77245508982035926</v>
      </c>
      <c r="Q3950" t="str">
        <f t="shared" si="1660"/>
        <v>4.22% | 0.54%</v>
      </c>
      <c r="R3950" t="str">
        <f t="shared" si="1684"/>
        <v>BULLISH</v>
      </c>
      <c r="S3950">
        <f t="shared" si="1661"/>
        <v>1</v>
      </c>
    </row>
    <row r="3951" spans="1:19" hidden="1" x14ac:dyDescent="0.25">
      <c r="A3951" s="5" t="str">
        <f t="shared" si="1662"/>
        <v>44074RUT</v>
      </c>
      <c r="B3951" s="6" t="s">
        <v>164</v>
      </c>
      <c r="C3951" s="6">
        <v>1548</v>
      </c>
      <c r="D3951" s="6">
        <v>1590</v>
      </c>
      <c r="E3951" s="6">
        <v>1578</v>
      </c>
      <c r="F3951" t="str">
        <f t="shared" si="1674"/>
        <v>MON</v>
      </c>
      <c r="G3951" s="1">
        <f t="shared" si="1675"/>
        <v>44074</v>
      </c>
      <c r="H3951" s="2">
        <f t="shared" ca="1" si="1676"/>
        <v>179</v>
      </c>
      <c r="I3951" t="str">
        <f t="shared" si="1677"/>
        <v>RUT</v>
      </c>
      <c r="J3951">
        <f t="shared" si="1678"/>
        <v>1548</v>
      </c>
      <c r="K3951">
        <f t="shared" si="1679"/>
        <v>1590</v>
      </c>
      <c r="L3951">
        <f t="shared" si="1680"/>
        <v>1569</v>
      </c>
      <c r="M3951">
        <f t="shared" si="1681"/>
        <v>21</v>
      </c>
      <c r="N3951">
        <f t="shared" si="1659"/>
        <v>42</v>
      </c>
      <c r="O3951">
        <f t="shared" si="1682"/>
        <v>1578</v>
      </c>
      <c r="P3951">
        <f t="shared" si="1683"/>
        <v>0.42857142857142855</v>
      </c>
      <c r="Q3951" t="str">
        <f t="shared" si="1660"/>
        <v>1.9% | 0.76%</v>
      </c>
      <c r="R3951" t="str">
        <f t="shared" si="1684"/>
        <v>BEARISH</v>
      </c>
      <c r="S3951">
        <f t="shared" si="1661"/>
        <v>-1</v>
      </c>
    </row>
    <row r="3952" spans="1:19" hidden="1" x14ac:dyDescent="0.25">
      <c r="A3952" s="5" t="str">
        <f t="shared" si="1662"/>
        <v>44074COMPQ</v>
      </c>
      <c r="B3952" s="6" t="s">
        <v>165</v>
      </c>
      <c r="C3952" s="6">
        <v>11079</v>
      </c>
      <c r="D3952" s="6">
        <v>11815</v>
      </c>
      <c r="E3952" s="6">
        <v>11695</v>
      </c>
      <c r="F3952" t="str">
        <f t="shared" si="1674"/>
        <v>MON</v>
      </c>
      <c r="G3952" s="1">
        <f t="shared" si="1675"/>
        <v>44074</v>
      </c>
      <c r="H3952" s="2">
        <f t="shared" ca="1" si="1676"/>
        <v>179</v>
      </c>
      <c r="I3952" t="str">
        <f t="shared" si="1677"/>
        <v>COMPQ</v>
      </c>
      <c r="J3952">
        <f t="shared" si="1678"/>
        <v>11079</v>
      </c>
      <c r="K3952">
        <f t="shared" si="1679"/>
        <v>11815</v>
      </c>
      <c r="L3952">
        <f t="shared" si="1680"/>
        <v>11447</v>
      </c>
      <c r="M3952">
        <f t="shared" si="1681"/>
        <v>368</v>
      </c>
      <c r="N3952">
        <f t="shared" si="1659"/>
        <v>736</v>
      </c>
      <c r="O3952">
        <f t="shared" si="1682"/>
        <v>11695</v>
      </c>
      <c r="P3952">
        <f t="shared" si="1683"/>
        <v>0.67391304347826086</v>
      </c>
      <c r="Q3952" t="str">
        <f t="shared" si="1660"/>
        <v>5.27% | 1.03%</v>
      </c>
      <c r="R3952" t="str">
        <f t="shared" si="1684"/>
        <v>BULLISH</v>
      </c>
      <c r="S3952">
        <f t="shared" si="1661"/>
        <v>1</v>
      </c>
    </row>
    <row r="3953" spans="1:19" hidden="1" x14ac:dyDescent="0.25">
      <c r="A3953" s="5" t="str">
        <f t="shared" si="1662"/>
        <v>44074XLK</v>
      </c>
      <c r="B3953" s="6" t="s">
        <v>166</v>
      </c>
      <c r="C3953" s="6">
        <v>114.75</v>
      </c>
      <c r="D3953" s="6">
        <v>124.9</v>
      </c>
      <c r="E3953" s="6">
        <v>123.16</v>
      </c>
      <c r="F3953" t="str">
        <f t="shared" si="1674"/>
        <v>MON</v>
      </c>
      <c r="G3953" s="1">
        <f t="shared" si="1675"/>
        <v>44074</v>
      </c>
      <c r="H3953" s="2">
        <f t="shared" ca="1" si="1676"/>
        <v>179</v>
      </c>
      <c r="I3953" t="str">
        <f t="shared" si="1677"/>
        <v>XLK</v>
      </c>
      <c r="J3953">
        <f t="shared" si="1678"/>
        <v>114.75</v>
      </c>
      <c r="K3953">
        <f t="shared" si="1679"/>
        <v>124.9</v>
      </c>
      <c r="L3953">
        <f t="shared" si="1680"/>
        <v>119.825</v>
      </c>
      <c r="M3953">
        <f t="shared" si="1681"/>
        <v>5.0750000000000028</v>
      </c>
      <c r="N3953">
        <f t="shared" si="1659"/>
        <v>10.150000000000006</v>
      </c>
      <c r="O3953">
        <f t="shared" si="1682"/>
        <v>123.16</v>
      </c>
      <c r="P3953">
        <f t="shared" si="1683"/>
        <v>0.65714285714285559</v>
      </c>
      <c r="Q3953" t="str">
        <f t="shared" si="1660"/>
        <v>6.83% | 1.41%</v>
      </c>
      <c r="R3953" t="str">
        <f t="shared" si="1684"/>
        <v>BULLISH</v>
      </c>
      <c r="S3953">
        <f t="shared" si="1661"/>
        <v>1</v>
      </c>
    </row>
    <row r="3954" spans="1:19" hidden="1" x14ac:dyDescent="0.25">
      <c r="A3954" s="5" t="str">
        <f t="shared" si="1662"/>
        <v>44074XLRE</v>
      </c>
      <c r="B3954" s="6" t="s">
        <v>167</v>
      </c>
      <c r="C3954" s="6">
        <v>35.32</v>
      </c>
      <c r="D3954" s="6">
        <v>36.82</v>
      </c>
      <c r="E3954" s="6">
        <v>36.57</v>
      </c>
      <c r="F3954" t="str">
        <f t="shared" si="1674"/>
        <v>MON</v>
      </c>
      <c r="G3954" s="1">
        <f t="shared" si="1675"/>
        <v>44074</v>
      </c>
      <c r="H3954" s="2">
        <f t="shared" ca="1" si="1676"/>
        <v>179</v>
      </c>
      <c r="I3954" t="str">
        <f t="shared" si="1677"/>
        <v>XLRE</v>
      </c>
      <c r="J3954">
        <f t="shared" si="1678"/>
        <v>35.32</v>
      </c>
      <c r="K3954">
        <f t="shared" si="1679"/>
        <v>36.82</v>
      </c>
      <c r="L3954">
        <f t="shared" si="1680"/>
        <v>36.07</v>
      </c>
      <c r="M3954">
        <f t="shared" si="1681"/>
        <v>0.75</v>
      </c>
      <c r="N3954">
        <f t="shared" si="1659"/>
        <v>1.5</v>
      </c>
      <c r="O3954">
        <f t="shared" si="1682"/>
        <v>36.57</v>
      </c>
      <c r="P3954">
        <f t="shared" si="1683"/>
        <v>0.66666666666666663</v>
      </c>
      <c r="Q3954" t="str">
        <f t="shared" si="1660"/>
        <v>3.42% | 0.68%</v>
      </c>
      <c r="R3954" t="str">
        <f t="shared" si="1684"/>
        <v>BULLISH</v>
      </c>
      <c r="S3954">
        <f t="shared" si="1661"/>
        <v>1</v>
      </c>
    </row>
    <row r="3955" spans="1:19" hidden="1" x14ac:dyDescent="0.25">
      <c r="A3955" s="5" t="str">
        <f t="shared" si="1662"/>
        <v>44074XLU</v>
      </c>
      <c r="B3955" s="6" t="s">
        <v>168</v>
      </c>
      <c r="C3955" s="6">
        <v>58.41</v>
      </c>
      <c r="D3955" s="6">
        <v>60.48</v>
      </c>
      <c r="E3955" s="6">
        <v>59.07</v>
      </c>
      <c r="F3955" t="str">
        <f t="shared" si="1674"/>
        <v>MON</v>
      </c>
      <c r="G3955" s="1">
        <f t="shared" si="1675"/>
        <v>44074</v>
      </c>
      <c r="H3955" s="2">
        <f t="shared" ca="1" si="1676"/>
        <v>179</v>
      </c>
      <c r="I3955" t="str">
        <f t="shared" si="1677"/>
        <v>XLU</v>
      </c>
      <c r="J3955">
        <f t="shared" si="1678"/>
        <v>58.41</v>
      </c>
      <c r="K3955">
        <f t="shared" si="1679"/>
        <v>60.48</v>
      </c>
      <c r="L3955">
        <f t="shared" si="1680"/>
        <v>59.444999999999993</v>
      </c>
      <c r="M3955">
        <f t="shared" si="1681"/>
        <v>1.0350000000000001</v>
      </c>
      <c r="N3955">
        <f t="shared" si="1659"/>
        <v>2.0700000000000003</v>
      </c>
      <c r="O3955">
        <f t="shared" si="1682"/>
        <v>59.07</v>
      </c>
      <c r="P3955">
        <f t="shared" si="1683"/>
        <v>-0.36231884057970321</v>
      </c>
      <c r="Q3955" t="str">
        <f t="shared" si="1660"/>
        <v>1.12% | 2.39%</v>
      </c>
      <c r="R3955" t="str">
        <f t="shared" si="1684"/>
        <v>BULLISH</v>
      </c>
      <c r="S3955">
        <f t="shared" si="1661"/>
        <v>1</v>
      </c>
    </row>
    <row r="3956" spans="1:19" hidden="1" x14ac:dyDescent="0.25">
      <c r="A3956" s="5" t="str">
        <f t="shared" si="1662"/>
        <v>44074XLF</v>
      </c>
      <c r="B3956" s="6" t="s">
        <v>169</v>
      </c>
      <c r="C3956" s="6">
        <v>24.15</v>
      </c>
      <c r="D3956" s="6">
        <v>25.51</v>
      </c>
      <c r="E3956" s="6">
        <v>25.36</v>
      </c>
      <c r="F3956" t="str">
        <f t="shared" si="1674"/>
        <v>MON</v>
      </c>
      <c r="G3956" s="1">
        <f t="shared" si="1675"/>
        <v>44074</v>
      </c>
      <c r="H3956" s="2">
        <f t="shared" ca="1" si="1676"/>
        <v>179</v>
      </c>
      <c r="I3956" t="str">
        <f t="shared" si="1677"/>
        <v>XLF</v>
      </c>
      <c r="J3956">
        <f t="shared" si="1678"/>
        <v>24.15</v>
      </c>
      <c r="K3956">
        <f t="shared" si="1679"/>
        <v>25.51</v>
      </c>
      <c r="L3956">
        <f t="shared" si="1680"/>
        <v>24.83</v>
      </c>
      <c r="M3956">
        <f t="shared" si="1681"/>
        <v>0.68000000000000149</v>
      </c>
      <c r="N3956">
        <f t="shared" si="1659"/>
        <v>1.360000000000003</v>
      </c>
      <c r="O3956">
        <f t="shared" si="1682"/>
        <v>25.36</v>
      </c>
      <c r="P3956">
        <f t="shared" si="1683"/>
        <v>0.77941176470588236</v>
      </c>
      <c r="Q3956" t="str">
        <f t="shared" si="1660"/>
        <v>4.77% | 0.59%</v>
      </c>
      <c r="R3956" t="str">
        <f t="shared" si="1684"/>
        <v>BEARISH</v>
      </c>
      <c r="S3956">
        <f t="shared" si="1661"/>
        <v>-1</v>
      </c>
    </row>
    <row r="3957" spans="1:19" hidden="1" x14ac:dyDescent="0.25">
      <c r="A3957" s="5" t="str">
        <f t="shared" si="1662"/>
        <v>44074SSEC</v>
      </c>
      <c r="B3957" s="6" t="s">
        <v>170</v>
      </c>
      <c r="C3957" s="6">
        <v>3306</v>
      </c>
      <c r="D3957" s="6">
        <v>3449</v>
      </c>
      <c r="E3957" s="6">
        <v>3395</v>
      </c>
      <c r="F3957" t="str">
        <f t="shared" si="1674"/>
        <v>MON</v>
      </c>
      <c r="G3957" s="1">
        <f t="shared" si="1675"/>
        <v>44074</v>
      </c>
      <c r="H3957" s="2">
        <f t="shared" ca="1" si="1676"/>
        <v>179</v>
      </c>
      <c r="I3957" t="str">
        <f t="shared" si="1677"/>
        <v>SSEC</v>
      </c>
      <c r="J3957">
        <f t="shared" si="1678"/>
        <v>3306</v>
      </c>
      <c r="K3957">
        <f t="shared" si="1679"/>
        <v>3449</v>
      </c>
      <c r="L3957">
        <f t="shared" si="1680"/>
        <v>3377.5</v>
      </c>
      <c r="M3957">
        <f t="shared" si="1681"/>
        <v>71.5</v>
      </c>
      <c r="N3957">
        <f t="shared" si="1659"/>
        <v>143</v>
      </c>
      <c r="O3957">
        <f t="shared" si="1682"/>
        <v>3395</v>
      </c>
      <c r="P3957">
        <f t="shared" si="1683"/>
        <v>0.24475524475524477</v>
      </c>
      <c r="Q3957" t="str">
        <f t="shared" si="1660"/>
        <v>2.62% | 1.59%</v>
      </c>
      <c r="R3957" t="str">
        <f t="shared" si="1684"/>
        <v>BULLISH</v>
      </c>
      <c r="S3957">
        <f t="shared" si="1661"/>
        <v>1</v>
      </c>
    </row>
    <row r="3958" spans="1:19" hidden="1" x14ac:dyDescent="0.25">
      <c r="A3958" s="5" t="str">
        <f t="shared" si="1662"/>
        <v>44074NIKK</v>
      </c>
      <c r="B3958" s="6" t="s">
        <v>201</v>
      </c>
      <c r="C3958" s="6">
        <v>22751</v>
      </c>
      <c r="D3958" s="6">
        <v>23380</v>
      </c>
      <c r="E3958" s="6">
        <v>23139</v>
      </c>
      <c r="F3958" t="str">
        <f t="shared" si="1674"/>
        <v>MON</v>
      </c>
      <c r="G3958" s="1">
        <f t="shared" si="1675"/>
        <v>44074</v>
      </c>
      <c r="H3958" s="2">
        <f t="shared" ca="1" si="1676"/>
        <v>179</v>
      </c>
      <c r="I3958" t="str">
        <f t="shared" si="1677"/>
        <v>NIKK</v>
      </c>
      <c r="J3958">
        <f t="shared" si="1678"/>
        <v>22751</v>
      </c>
      <c r="K3958">
        <f t="shared" si="1679"/>
        <v>23380</v>
      </c>
      <c r="L3958">
        <f t="shared" si="1680"/>
        <v>23065.5</v>
      </c>
      <c r="M3958">
        <f t="shared" si="1681"/>
        <v>314.5</v>
      </c>
      <c r="N3958">
        <f t="shared" si="1659"/>
        <v>629</v>
      </c>
      <c r="O3958">
        <f t="shared" si="1682"/>
        <v>23139</v>
      </c>
      <c r="P3958">
        <f t="shared" si="1683"/>
        <v>0.23370429252782193</v>
      </c>
      <c r="Q3958" t="str">
        <f t="shared" si="1660"/>
        <v>1.68% | 1.04%</v>
      </c>
      <c r="R3958" t="str">
        <f t="shared" si="1684"/>
        <v>BULLISH</v>
      </c>
      <c r="S3958">
        <f t="shared" si="1661"/>
        <v>1</v>
      </c>
    </row>
    <row r="3959" spans="1:19" hidden="1" x14ac:dyDescent="0.25">
      <c r="A3959" s="5" t="str">
        <f t="shared" si="1662"/>
        <v>44074DAX</v>
      </c>
      <c r="B3959" s="6" t="s">
        <v>172</v>
      </c>
      <c r="C3959" s="6">
        <v>12867</v>
      </c>
      <c r="D3959" s="6">
        <v>13245</v>
      </c>
      <c r="E3959" s="6">
        <v>13033</v>
      </c>
      <c r="F3959" t="str">
        <f t="shared" si="1674"/>
        <v>MON</v>
      </c>
      <c r="G3959" s="1">
        <f t="shared" si="1675"/>
        <v>44074</v>
      </c>
      <c r="H3959" s="2">
        <f t="shared" ca="1" si="1676"/>
        <v>179</v>
      </c>
      <c r="I3959" t="str">
        <f t="shared" si="1677"/>
        <v>DAX</v>
      </c>
      <c r="J3959">
        <f t="shared" si="1678"/>
        <v>12867</v>
      </c>
      <c r="K3959">
        <f t="shared" si="1679"/>
        <v>13245</v>
      </c>
      <c r="L3959">
        <f t="shared" si="1680"/>
        <v>13056</v>
      </c>
      <c r="M3959">
        <f t="shared" si="1681"/>
        <v>189</v>
      </c>
      <c r="N3959">
        <f t="shared" si="1659"/>
        <v>378</v>
      </c>
      <c r="O3959">
        <f t="shared" si="1682"/>
        <v>13033</v>
      </c>
      <c r="P3959">
        <f t="shared" si="1683"/>
        <v>-0.12169312169312169</v>
      </c>
      <c r="Q3959" t="str">
        <f t="shared" si="1660"/>
        <v>1.27% | 1.63%</v>
      </c>
      <c r="R3959" t="str">
        <f t="shared" si="1684"/>
        <v>BULLISH</v>
      </c>
      <c r="S3959">
        <f t="shared" si="1661"/>
        <v>1</v>
      </c>
    </row>
    <row r="3960" spans="1:19" hidden="1" x14ac:dyDescent="0.25">
      <c r="A3960" s="5" t="str">
        <f t="shared" si="1662"/>
        <v>44074VIX</v>
      </c>
      <c r="B3960" s="6" t="s">
        <v>192</v>
      </c>
      <c r="C3960" s="6">
        <v>21.24</v>
      </c>
      <c r="D3960" s="6">
        <v>27.41</v>
      </c>
      <c r="E3960" s="6">
        <v>22.96</v>
      </c>
      <c r="F3960" t="str">
        <f t="shared" si="1674"/>
        <v>MON</v>
      </c>
      <c r="G3960" s="1">
        <f t="shared" si="1675"/>
        <v>44074</v>
      </c>
      <c r="H3960" s="2">
        <f t="shared" ca="1" si="1676"/>
        <v>179</v>
      </c>
      <c r="I3960" t="str">
        <f t="shared" si="1677"/>
        <v>VIX</v>
      </c>
      <c r="J3960">
        <f t="shared" si="1678"/>
        <v>21.24</v>
      </c>
      <c r="K3960">
        <f t="shared" si="1679"/>
        <v>27.41</v>
      </c>
      <c r="L3960">
        <f t="shared" si="1680"/>
        <v>24.324999999999999</v>
      </c>
      <c r="M3960">
        <f t="shared" si="1681"/>
        <v>3.0849999999999902</v>
      </c>
      <c r="N3960">
        <f t="shared" si="1659"/>
        <v>6.1700000000000017</v>
      </c>
      <c r="O3960">
        <f t="shared" si="1682"/>
        <v>22.96</v>
      </c>
      <c r="P3960">
        <f t="shared" si="1683"/>
        <v>-0.44246353322528453</v>
      </c>
      <c r="Q3960" t="str">
        <f t="shared" si="1660"/>
        <v>7.49% | 19.38%</v>
      </c>
      <c r="R3960" t="str">
        <f t="shared" si="1684"/>
        <v>BEARISH</v>
      </c>
      <c r="S3960">
        <f t="shared" si="1661"/>
        <v>-1</v>
      </c>
    </row>
    <row r="3961" spans="1:19" hidden="1" x14ac:dyDescent="0.25">
      <c r="A3961" s="5" t="str">
        <f t="shared" si="1662"/>
        <v>44074USD</v>
      </c>
      <c r="B3961" s="6" t="s">
        <v>174</v>
      </c>
      <c r="C3961" s="6">
        <v>92.03</v>
      </c>
      <c r="D3961" s="6">
        <v>93.56</v>
      </c>
      <c r="E3961" s="6">
        <v>92.39</v>
      </c>
      <c r="F3961" t="str">
        <f t="shared" si="1674"/>
        <v>MON</v>
      </c>
      <c r="G3961" s="1">
        <f t="shared" si="1675"/>
        <v>44074</v>
      </c>
      <c r="H3961" s="2">
        <f t="shared" ca="1" si="1676"/>
        <v>179</v>
      </c>
      <c r="I3961" t="str">
        <f t="shared" si="1677"/>
        <v>USD</v>
      </c>
      <c r="J3961">
        <f t="shared" si="1678"/>
        <v>92.03</v>
      </c>
      <c r="K3961">
        <f t="shared" si="1679"/>
        <v>93.56</v>
      </c>
      <c r="L3961">
        <f t="shared" si="1680"/>
        <v>92.795000000000002</v>
      </c>
      <c r="M3961">
        <f t="shared" si="1681"/>
        <v>0.76500000000000057</v>
      </c>
      <c r="N3961">
        <f t="shared" si="1659"/>
        <v>1.5300000000000011</v>
      </c>
      <c r="O3961">
        <f t="shared" si="1682"/>
        <v>92.39</v>
      </c>
      <c r="P3961">
        <f t="shared" si="1683"/>
        <v>-0.52941176470588347</v>
      </c>
      <c r="Q3961" t="str">
        <f t="shared" si="1660"/>
        <v>0.39% | 1.27%</v>
      </c>
      <c r="R3961" t="str">
        <f t="shared" si="1684"/>
        <v>BEARISH</v>
      </c>
      <c r="S3961">
        <f t="shared" si="1661"/>
        <v>-1</v>
      </c>
    </row>
    <row r="3962" spans="1:19" hidden="1" x14ac:dyDescent="0.25">
      <c r="A3962" s="5" t="str">
        <f t="shared" si="1662"/>
        <v>44074EUR/USD</v>
      </c>
      <c r="B3962" s="6" t="s">
        <v>175</v>
      </c>
      <c r="C3962" s="6">
        <v>1.18</v>
      </c>
      <c r="D3962" s="6">
        <v>1.2</v>
      </c>
      <c r="E3962" s="6">
        <v>1.19</v>
      </c>
      <c r="F3962" t="str">
        <f t="shared" si="1674"/>
        <v>MON</v>
      </c>
      <c r="G3962" s="1">
        <f t="shared" si="1675"/>
        <v>44074</v>
      </c>
      <c r="H3962" s="2">
        <f t="shared" ca="1" si="1676"/>
        <v>179</v>
      </c>
      <c r="I3962" t="str">
        <f t="shared" si="1677"/>
        <v>EUR/USD</v>
      </c>
      <c r="J3962">
        <f t="shared" si="1678"/>
        <v>1.18</v>
      </c>
      <c r="K3962">
        <f t="shared" si="1679"/>
        <v>1.2</v>
      </c>
      <c r="L3962">
        <f t="shared" si="1680"/>
        <v>1.19</v>
      </c>
      <c r="M3962">
        <f t="shared" si="1681"/>
        <v>1.0000000000000009E-2</v>
      </c>
      <c r="N3962">
        <f t="shared" si="1659"/>
        <v>2.0000000000000018E-2</v>
      </c>
      <c r="O3962">
        <f t="shared" si="1682"/>
        <v>1.19</v>
      </c>
      <c r="P3962">
        <f t="shared" si="1683"/>
        <v>0</v>
      </c>
      <c r="Q3962" t="str">
        <f t="shared" si="1660"/>
        <v>0.84% | 0.84%</v>
      </c>
      <c r="R3962" t="str">
        <f t="shared" si="1684"/>
        <v>BULLISH</v>
      </c>
      <c r="S3962">
        <f t="shared" si="1661"/>
        <v>1</v>
      </c>
    </row>
    <row r="3963" spans="1:19" hidden="1" x14ac:dyDescent="0.25">
      <c r="A3963" s="5" t="str">
        <f t="shared" si="1662"/>
        <v>44074USD/JPY</v>
      </c>
      <c r="B3963" s="6" t="s">
        <v>176</v>
      </c>
      <c r="C3963" s="6">
        <v>104.92</v>
      </c>
      <c r="D3963" s="6">
        <v>106.7</v>
      </c>
      <c r="E3963" s="6">
        <v>105.36</v>
      </c>
      <c r="F3963" t="str">
        <f t="shared" si="1674"/>
        <v>MON</v>
      </c>
      <c r="G3963" s="1">
        <f t="shared" si="1675"/>
        <v>44074</v>
      </c>
      <c r="H3963" s="2">
        <f t="shared" ca="1" si="1676"/>
        <v>179</v>
      </c>
      <c r="I3963" t="str">
        <f t="shared" si="1677"/>
        <v>USD/JPY</v>
      </c>
      <c r="J3963">
        <f t="shared" si="1678"/>
        <v>104.92</v>
      </c>
      <c r="K3963">
        <f t="shared" si="1679"/>
        <v>106.7</v>
      </c>
      <c r="L3963">
        <f t="shared" si="1680"/>
        <v>105.81</v>
      </c>
      <c r="M3963">
        <f t="shared" si="1681"/>
        <v>0.89000000000000057</v>
      </c>
      <c r="N3963">
        <f t="shared" si="1659"/>
        <v>1.7800000000000011</v>
      </c>
      <c r="O3963">
        <f t="shared" si="1682"/>
        <v>105.36</v>
      </c>
      <c r="P3963">
        <f t="shared" si="1683"/>
        <v>-0.50561797752809279</v>
      </c>
      <c r="Q3963" t="str">
        <f t="shared" si="1660"/>
        <v>0.42% | 1.27%</v>
      </c>
      <c r="R3963" t="str">
        <f t="shared" si="1684"/>
        <v>BEARISH</v>
      </c>
      <c r="S3963">
        <f t="shared" si="1661"/>
        <v>-1</v>
      </c>
    </row>
    <row r="3964" spans="1:19" hidden="1" x14ac:dyDescent="0.25">
      <c r="A3964" s="5" t="str">
        <f t="shared" si="1662"/>
        <v>44074GBP/USD</v>
      </c>
      <c r="B3964" s="6" t="s">
        <v>177</v>
      </c>
      <c r="C3964" s="6">
        <v>1.31</v>
      </c>
      <c r="D3964" s="6">
        <v>1.34</v>
      </c>
      <c r="E3964" s="6">
        <v>1.33</v>
      </c>
      <c r="F3964" t="str">
        <f t="shared" si="1674"/>
        <v>MON</v>
      </c>
      <c r="G3964" s="1">
        <f t="shared" si="1675"/>
        <v>44074</v>
      </c>
      <c r="H3964" s="2">
        <f t="shared" ca="1" si="1676"/>
        <v>179</v>
      </c>
      <c r="I3964" t="str">
        <f t="shared" si="1677"/>
        <v>GBP/USD</v>
      </c>
      <c r="J3964">
        <f t="shared" si="1678"/>
        <v>1.31</v>
      </c>
      <c r="K3964">
        <f t="shared" si="1679"/>
        <v>1.34</v>
      </c>
      <c r="L3964">
        <f t="shared" si="1680"/>
        <v>1.3250000000000002</v>
      </c>
      <c r="M3964">
        <f t="shared" si="1681"/>
        <v>1.5000000000000013E-2</v>
      </c>
      <c r="N3964">
        <f t="shared" si="1659"/>
        <v>3.0000000000000027E-2</v>
      </c>
      <c r="O3964">
        <f t="shared" si="1682"/>
        <v>1.33</v>
      </c>
      <c r="P3964">
        <f t="shared" si="1683"/>
        <v>0.33333333333332593</v>
      </c>
      <c r="Q3964" t="str">
        <f t="shared" si="1660"/>
        <v>1.5% | 0.75%</v>
      </c>
      <c r="R3964" t="str">
        <f t="shared" si="1684"/>
        <v>BULLISH</v>
      </c>
      <c r="S3964">
        <f t="shared" si="1661"/>
        <v>1</v>
      </c>
    </row>
    <row r="3965" spans="1:19" hidden="1" x14ac:dyDescent="0.25">
      <c r="A3965" s="5" t="str">
        <f t="shared" si="1662"/>
        <v>44074USD/CHF</v>
      </c>
      <c r="B3965" s="6" t="s">
        <v>178</v>
      </c>
      <c r="C3965" s="6">
        <v>0.89</v>
      </c>
      <c r="D3965" s="6">
        <v>0.91</v>
      </c>
      <c r="E3965" s="6">
        <v>0.9</v>
      </c>
      <c r="F3965" t="str">
        <f t="shared" si="1674"/>
        <v>MON</v>
      </c>
      <c r="G3965" s="1">
        <f t="shared" si="1675"/>
        <v>44074</v>
      </c>
      <c r="H3965" s="2">
        <f t="shared" ca="1" si="1676"/>
        <v>179</v>
      </c>
      <c r="I3965" t="str">
        <f t="shared" si="1677"/>
        <v>USD/CHF</v>
      </c>
      <c r="J3965">
        <f t="shared" si="1678"/>
        <v>0.89</v>
      </c>
      <c r="K3965">
        <f t="shared" si="1679"/>
        <v>0.91</v>
      </c>
      <c r="L3965">
        <f t="shared" si="1680"/>
        <v>0.9</v>
      </c>
      <c r="M3965">
        <f t="shared" si="1681"/>
        <v>1.0000000000000009E-2</v>
      </c>
      <c r="N3965">
        <f t="shared" si="1659"/>
        <v>2.0000000000000018E-2</v>
      </c>
      <c r="O3965">
        <f t="shared" si="1682"/>
        <v>0.9</v>
      </c>
      <c r="P3965">
        <f t="shared" si="1683"/>
        <v>0</v>
      </c>
      <c r="Q3965" t="str">
        <f t="shared" si="1660"/>
        <v>1.11% | 1.11%</v>
      </c>
      <c r="R3965" t="str">
        <f t="shared" si="1684"/>
        <v>BEARISH</v>
      </c>
      <c r="S3965">
        <f t="shared" si="1661"/>
        <v>-1</v>
      </c>
    </row>
    <row r="3966" spans="1:19" hidden="1" x14ac:dyDescent="0.25">
      <c r="A3966" s="5" t="str">
        <f t="shared" si="1662"/>
        <v>44074WTIC</v>
      </c>
      <c r="B3966" s="6" t="s">
        <v>179</v>
      </c>
      <c r="C3966" s="6">
        <v>42.14</v>
      </c>
      <c r="D3966" s="6">
        <v>43.71</v>
      </c>
      <c r="E3966" s="6">
        <v>42.97</v>
      </c>
      <c r="F3966" t="str">
        <f t="shared" si="1674"/>
        <v>MON</v>
      </c>
      <c r="G3966" s="1">
        <f t="shared" si="1675"/>
        <v>44074</v>
      </c>
      <c r="H3966" s="2">
        <f t="shared" ca="1" si="1676"/>
        <v>179</v>
      </c>
      <c r="I3966" t="str">
        <f t="shared" si="1677"/>
        <v>WTIC</v>
      </c>
      <c r="J3966">
        <f t="shared" si="1678"/>
        <v>42.14</v>
      </c>
      <c r="K3966">
        <f t="shared" si="1679"/>
        <v>43.71</v>
      </c>
      <c r="L3966">
        <f t="shared" si="1680"/>
        <v>42.924999999999997</v>
      </c>
      <c r="M3966">
        <f t="shared" si="1681"/>
        <v>0.78500000000000014</v>
      </c>
      <c r="N3966">
        <f t="shared" si="1659"/>
        <v>1.5700000000000003</v>
      </c>
      <c r="O3966">
        <f t="shared" si="1682"/>
        <v>42.97</v>
      </c>
      <c r="P3966">
        <f t="shared" si="1683"/>
        <v>5.7324840764333369E-2</v>
      </c>
      <c r="Q3966" t="str">
        <f t="shared" si="1660"/>
        <v>1.93% | 1.72%</v>
      </c>
      <c r="R3966" t="str">
        <f t="shared" si="1684"/>
        <v>BULLISH</v>
      </c>
      <c r="S3966">
        <f t="shared" si="1661"/>
        <v>1</v>
      </c>
    </row>
    <row r="3967" spans="1:19" hidden="1" x14ac:dyDescent="0.25">
      <c r="A3967" s="5" t="str">
        <f t="shared" si="1662"/>
        <v>44074NATGAS</v>
      </c>
      <c r="B3967" s="6" t="s">
        <v>180</v>
      </c>
      <c r="C3967" s="6">
        <v>2.33</v>
      </c>
      <c r="D3967" s="6">
        <v>2.78</v>
      </c>
      <c r="E3967" s="6">
        <v>2.66</v>
      </c>
      <c r="F3967" t="str">
        <f t="shared" si="1674"/>
        <v>MON</v>
      </c>
      <c r="G3967" s="1">
        <f t="shared" si="1675"/>
        <v>44074</v>
      </c>
      <c r="H3967" s="2">
        <f t="shared" ca="1" si="1676"/>
        <v>179</v>
      </c>
      <c r="I3967" t="str">
        <f t="shared" si="1677"/>
        <v>NATGAS</v>
      </c>
      <c r="J3967">
        <f t="shared" si="1678"/>
        <v>2.33</v>
      </c>
      <c r="K3967">
        <f t="shared" si="1679"/>
        <v>2.78</v>
      </c>
      <c r="L3967">
        <f t="shared" si="1680"/>
        <v>2.5549999999999997</v>
      </c>
      <c r="M3967">
        <f t="shared" si="1681"/>
        <v>0.22499999999999987</v>
      </c>
      <c r="N3967">
        <f t="shared" si="1659"/>
        <v>0.44999999999999973</v>
      </c>
      <c r="O3967">
        <f t="shared" si="1682"/>
        <v>2.66</v>
      </c>
      <c r="P3967">
        <f t="shared" si="1683"/>
        <v>0.46666666666666884</v>
      </c>
      <c r="Q3967" t="str">
        <f t="shared" si="1660"/>
        <v>12.41% | 4.51%</v>
      </c>
      <c r="R3967" t="str">
        <f t="shared" si="1684"/>
        <v>BULLISH</v>
      </c>
      <c r="S3967">
        <f t="shared" si="1661"/>
        <v>1</v>
      </c>
    </row>
    <row r="3968" spans="1:19" hidden="1" x14ac:dyDescent="0.25">
      <c r="A3968" s="5" t="str">
        <f t="shared" si="1662"/>
        <v>44074GOLD</v>
      </c>
      <c r="B3968" s="6" t="s">
        <v>181</v>
      </c>
      <c r="C3968" s="6">
        <v>1905</v>
      </c>
      <c r="D3968" s="6">
        <v>2010</v>
      </c>
      <c r="E3968" s="6">
        <v>1974</v>
      </c>
      <c r="F3968" t="str">
        <f t="shared" si="1674"/>
        <v>MON</v>
      </c>
      <c r="G3968" s="1">
        <f t="shared" si="1675"/>
        <v>44074</v>
      </c>
      <c r="H3968" s="2">
        <f t="shared" ca="1" si="1676"/>
        <v>179</v>
      </c>
      <c r="I3968" t="str">
        <f t="shared" si="1677"/>
        <v>GOLD</v>
      </c>
      <c r="J3968">
        <f t="shared" si="1678"/>
        <v>1905</v>
      </c>
      <c r="K3968">
        <f t="shared" si="1679"/>
        <v>2010</v>
      </c>
      <c r="L3968">
        <f t="shared" si="1680"/>
        <v>1957.5</v>
      </c>
      <c r="M3968">
        <f t="shared" si="1681"/>
        <v>52.5</v>
      </c>
      <c r="N3968">
        <f t="shared" si="1659"/>
        <v>105</v>
      </c>
      <c r="O3968">
        <f t="shared" si="1682"/>
        <v>1974</v>
      </c>
      <c r="P3968">
        <f t="shared" si="1683"/>
        <v>0.31428571428571428</v>
      </c>
      <c r="Q3968" t="str">
        <f t="shared" si="1660"/>
        <v>3.5% | 1.82%</v>
      </c>
      <c r="R3968" t="str">
        <f t="shared" si="1684"/>
        <v>BULLISH</v>
      </c>
      <c r="S3968">
        <f t="shared" si="1661"/>
        <v>1</v>
      </c>
    </row>
    <row r="3969" spans="1:19" hidden="1" x14ac:dyDescent="0.25">
      <c r="A3969" s="5" t="str">
        <f t="shared" si="1662"/>
        <v>44074SILVER</v>
      </c>
      <c r="B3969" s="6" t="s">
        <v>199</v>
      </c>
      <c r="C3969" s="6">
        <v>25.74</v>
      </c>
      <c r="D3969" s="6">
        <v>28.54</v>
      </c>
      <c r="E3969" s="6">
        <v>27.79</v>
      </c>
      <c r="F3969" t="str">
        <f t="shared" si="1674"/>
        <v>MON</v>
      </c>
      <c r="G3969" s="1">
        <f t="shared" si="1675"/>
        <v>44074</v>
      </c>
      <c r="H3969" s="2">
        <f t="shared" ca="1" si="1676"/>
        <v>179</v>
      </c>
      <c r="I3969" t="str">
        <f t="shared" si="1677"/>
        <v>SILVER</v>
      </c>
      <c r="J3969">
        <f t="shared" si="1678"/>
        <v>25.74</v>
      </c>
      <c r="K3969">
        <f t="shared" si="1679"/>
        <v>28.54</v>
      </c>
      <c r="L3969">
        <f t="shared" si="1680"/>
        <v>27.14</v>
      </c>
      <c r="M3969">
        <f t="shared" si="1681"/>
        <v>1.4000000000000004</v>
      </c>
      <c r="N3969">
        <f t="shared" si="1659"/>
        <v>2.8000000000000007</v>
      </c>
      <c r="O3969">
        <f t="shared" si="1682"/>
        <v>27.79</v>
      </c>
      <c r="P3969">
        <f t="shared" si="1683"/>
        <v>0.46428571428571314</v>
      </c>
      <c r="Q3969" t="str">
        <f t="shared" si="1660"/>
        <v>7.38% | 2.7%</v>
      </c>
      <c r="R3969" t="str">
        <f t="shared" si="1684"/>
        <v>BULLISH</v>
      </c>
      <c r="S3969">
        <f t="shared" si="1661"/>
        <v>1</v>
      </c>
    </row>
    <row r="3970" spans="1:19" hidden="1" x14ac:dyDescent="0.25">
      <c r="A3970" s="5" t="str">
        <f t="shared" si="1662"/>
        <v>44074COPPER</v>
      </c>
      <c r="B3970" s="6" t="s">
        <v>182</v>
      </c>
      <c r="C3970" s="6">
        <v>2.91</v>
      </c>
      <c r="D3970" s="6">
        <v>3.06</v>
      </c>
      <c r="E3970" s="6">
        <v>3.02</v>
      </c>
      <c r="F3970" t="str">
        <f t="shared" si="1674"/>
        <v>MON</v>
      </c>
      <c r="G3970" s="1">
        <f t="shared" si="1675"/>
        <v>44074</v>
      </c>
      <c r="H3970" s="2">
        <f t="shared" ca="1" si="1676"/>
        <v>179</v>
      </c>
      <c r="I3970" t="str">
        <f t="shared" si="1677"/>
        <v>COPPER</v>
      </c>
      <c r="J3970">
        <f t="shared" si="1678"/>
        <v>2.91</v>
      </c>
      <c r="K3970">
        <f t="shared" si="1679"/>
        <v>3.06</v>
      </c>
      <c r="L3970">
        <f t="shared" si="1680"/>
        <v>2.9850000000000003</v>
      </c>
      <c r="M3970">
        <f t="shared" si="1681"/>
        <v>7.4999999999999956E-2</v>
      </c>
      <c r="N3970">
        <f t="shared" si="1659"/>
        <v>0.14999999999999991</v>
      </c>
      <c r="O3970">
        <f t="shared" si="1682"/>
        <v>3.02</v>
      </c>
      <c r="P3970">
        <f t="shared" si="1683"/>
        <v>0.4666666666666629</v>
      </c>
      <c r="Q3970" t="str">
        <f t="shared" si="1660"/>
        <v>3.64% | 1.32%</v>
      </c>
      <c r="R3970" t="str">
        <f t="shared" si="1684"/>
        <v>BULLISH</v>
      </c>
      <c r="S3970">
        <f t="shared" si="1661"/>
        <v>1</v>
      </c>
    </row>
    <row r="3971" spans="1:19" hidden="1" x14ac:dyDescent="0.25">
      <c r="A3971" s="5" t="str">
        <f t="shared" si="1662"/>
        <v>44074MSFT</v>
      </c>
      <c r="B3971" s="6" t="s">
        <v>183</v>
      </c>
      <c r="C3971" s="6">
        <v>217</v>
      </c>
      <c r="D3971" s="6">
        <v>231</v>
      </c>
      <c r="E3971" s="6">
        <v>228</v>
      </c>
      <c r="F3971" t="str">
        <f t="shared" si="1674"/>
        <v>MON</v>
      </c>
      <c r="G3971" s="1">
        <f t="shared" si="1675"/>
        <v>44074</v>
      </c>
      <c r="H3971" s="2">
        <f t="shared" ca="1" si="1676"/>
        <v>179</v>
      </c>
      <c r="I3971" t="str">
        <f t="shared" si="1677"/>
        <v>MSFT</v>
      </c>
      <c r="J3971">
        <f t="shared" si="1678"/>
        <v>217</v>
      </c>
      <c r="K3971">
        <f t="shared" si="1679"/>
        <v>231</v>
      </c>
      <c r="L3971">
        <f t="shared" si="1680"/>
        <v>224</v>
      </c>
      <c r="M3971">
        <f t="shared" si="1681"/>
        <v>7</v>
      </c>
      <c r="N3971">
        <f t="shared" ref="N3971:N4034" si="1685">ABS(K3971-J3971)</f>
        <v>14</v>
      </c>
      <c r="O3971">
        <f t="shared" si="1682"/>
        <v>228</v>
      </c>
      <c r="P3971">
        <f t="shared" si="1683"/>
        <v>0.5714285714285714</v>
      </c>
      <c r="Q3971" t="str">
        <f t="shared" ref="Q3971:Q4034" si="1686">ROUND(ABS(100*(O3971-J3971)/O3971),2)&amp;"% | "&amp;ROUND(ABS(100*(K3971-O3971)/O3971),2)&amp;"%"</f>
        <v>4.82% | 1.32%</v>
      </c>
      <c r="R3971" t="str">
        <f t="shared" si="1684"/>
        <v>BULLISH</v>
      </c>
      <c r="S3971">
        <f t="shared" ref="S3971:S4034" si="1687">IF(R3971="BEARISH",-1,IF(R3971="NEUTRAL",0,IF(R3971="BULLISH",1,99)))</f>
        <v>1</v>
      </c>
    </row>
    <row r="3972" spans="1:19" hidden="1" x14ac:dyDescent="0.25">
      <c r="A3972" s="5" t="str">
        <f t="shared" si="1662"/>
        <v>44074AAPL</v>
      </c>
      <c r="B3972" s="6" t="s">
        <v>184</v>
      </c>
      <c r="C3972" s="6">
        <v>454</v>
      </c>
      <c r="D3972" s="6">
        <v>524</v>
      </c>
      <c r="E3972" s="6">
        <v>499</v>
      </c>
      <c r="F3972" t="str">
        <f t="shared" si="1674"/>
        <v>MON</v>
      </c>
      <c r="G3972" s="1">
        <f t="shared" si="1675"/>
        <v>44074</v>
      </c>
      <c r="H3972" s="2">
        <f t="shared" ca="1" si="1676"/>
        <v>179</v>
      </c>
      <c r="I3972" t="str">
        <f t="shared" si="1677"/>
        <v>AAPL</v>
      </c>
      <c r="J3972">
        <f t="shared" si="1678"/>
        <v>454</v>
      </c>
      <c r="K3972">
        <f t="shared" si="1679"/>
        <v>524</v>
      </c>
      <c r="L3972">
        <f t="shared" si="1680"/>
        <v>489</v>
      </c>
      <c r="M3972">
        <f t="shared" si="1681"/>
        <v>35</v>
      </c>
      <c r="N3972">
        <f t="shared" si="1685"/>
        <v>70</v>
      </c>
      <c r="O3972">
        <f t="shared" si="1682"/>
        <v>499</v>
      </c>
      <c r="P3972">
        <f t="shared" si="1683"/>
        <v>0.2857142857142857</v>
      </c>
      <c r="Q3972" t="str">
        <f t="shared" si="1686"/>
        <v>9.02% | 5.01%</v>
      </c>
      <c r="R3972" t="str">
        <f t="shared" si="1684"/>
        <v>BULLISH</v>
      </c>
      <c r="S3972">
        <f t="shared" si="1687"/>
        <v>1</v>
      </c>
    </row>
    <row r="3973" spans="1:19" hidden="1" x14ac:dyDescent="0.25">
      <c r="A3973" s="5" t="str">
        <f t="shared" ref="A3973:A4036" si="1688">G3973&amp;I3973</f>
        <v>44074AMZN</v>
      </c>
      <c r="B3973" s="6" t="s">
        <v>185</v>
      </c>
      <c r="C3973" s="6">
        <v>3225</v>
      </c>
      <c r="D3973" s="6">
        <v>3459</v>
      </c>
      <c r="E3973" s="6">
        <v>3401</v>
      </c>
      <c r="F3973" t="str">
        <f t="shared" si="1674"/>
        <v>MON</v>
      </c>
      <c r="G3973" s="1">
        <f t="shared" si="1675"/>
        <v>44074</v>
      </c>
      <c r="H3973" s="2">
        <f t="shared" ca="1" si="1676"/>
        <v>179</v>
      </c>
      <c r="I3973" t="str">
        <f t="shared" si="1677"/>
        <v>AMZN</v>
      </c>
      <c r="J3973">
        <f t="shared" si="1678"/>
        <v>3225</v>
      </c>
      <c r="K3973">
        <f t="shared" si="1679"/>
        <v>3459</v>
      </c>
      <c r="L3973">
        <f t="shared" si="1680"/>
        <v>3342</v>
      </c>
      <c r="M3973">
        <f t="shared" si="1681"/>
        <v>117</v>
      </c>
      <c r="N3973">
        <f t="shared" si="1685"/>
        <v>234</v>
      </c>
      <c r="O3973">
        <f t="shared" si="1682"/>
        <v>3401</v>
      </c>
      <c r="P3973">
        <f t="shared" si="1683"/>
        <v>0.50427350427350426</v>
      </c>
      <c r="Q3973" t="str">
        <f t="shared" si="1686"/>
        <v>5.17% | 1.71%</v>
      </c>
      <c r="R3973" t="str">
        <f t="shared" si="1684"/>
        <v>BULLISH</v>
      </c>
      <c r="S3973">
        <f t="shared" si="1687"/>
        <v>1</v>
      </c>
    </row>
    <row r="3974" spans="1:19" hidden="1" x14ac:dyDescent="0.25">
      <c r="A3974" s="5" t="str">
        <f t="shared" si="1688"/>
        <v>44074FB</v>
      </c>
      <c r="B3974" s="6" t="s">
        <v>186</v>
      </c>
      <c r="C3974" s="6">
        <v>277</v>
      </c>
      <c r="D3974" s="6">
        <v>308</v>
      </c>
      <c r="E3974" s="6">
        <v>293</v>
      </c>
      <c r="F3974" t="str">
        <f t="shared" si="1674"/>
        <v>MON</v>
      </c>
      <c r="G3974" s="1">
        <f t="shared" si="1675"/>
        <v>44074</v>
      </c>
      <c r="H3974" s="2">
        <f t="shared" ca="1" si="1676"/>
        <v>179</v>
      </c>
      <c r="I3974" t="str">
        <f t="shared" si="1677"/>
        <v>FB</v>
      </c>
      <c r="J3974">
        <f t="shared" si="1678"/>
        <v>277</v>
      </c>
      <c r="K3974">
        <f t="shared" si="1679"/>
        <v>308</v>
      </c>
      <c r="L3974">
        <f t="shared" si="1680"/>
        <v>292.5</v>
      </c>
      <c r="M3974">
        <f t="shared" si="1681"/>
        <v>15.5</v>
      </c>
      <c r="N3974">
        <f t="shared" si="1685"/>
        <v>31</v>
      </c>
      <c r="O3974">
        <f t="shared" si="1682"/>
        <v>293</v>
      </c>
      <c r="P3974">
        <f t="shared" si="1683"/>
        <v>3.2258064516129031E-2</v>
      </c>
      <c r="Q3974" t="str">
        <f t="shared" si="1686"/>
        <v>5.46% | 5.12%</v>
      </c>
      <c r="R3974" t="str">
        <f t="shared" si="1684"/>
        <v>BULLISH</v>
      </c>
      <c r="S3974">
        <f t="shared" si="1687"/>
        <v>1</v>
      </c>
    </row>
    <row r="3975" spans="1:19" hidden="1" x14ac:dyDescent="0.25">
      <c r="A3975" s="5" t="str">
        <f t="shared" si="1688"/>
        <v>44074GOOGL</v>
      </c>
      <c r="B3975" s="6" t="s">
        <v>187</v>
      </c>
      <c r="C3975" s="6">
        <v>1594</v>
      </c>
      <c r="D3975" s="6">
        <v>1665</v>
      </c>
      <c r="E3975" s="6">
        <v>1639</v>
      </c>
      <c r="F3975" t="str">
        <f t="shared" si="1674"/>
        <v>MON</v>
      </c>
      <c r="G3975" s="1">
        <f t="shared" si="1675"/>
        <v>44074</v>
      </c>
      <c r="H3975" s="2">
        <f t="shared" ca="1" si="1676"/>
        <v>179</v>
      </c>
      <c r="I3975" t="str">
        <f t="shared" si="1677"/>
        <v>GOOGL</v>
      </c>
      <c r="J3975">
        <f t="shared" si="1678"/>
        <v>1594</v>
      </c>
      <c r="K3975">
        <f t="shared" si="1679"/>
        <v>1665</v>
      </c>
      <c r="L3975">
        <f t="shared" si="1680"/>
        <v>1629.5</v>
      </c>
      <c r="M3975">
        <f t="shared" si="1681"/>
        <v>35.5</v>
      </c>
      <c r="N3975">
        <f t="shared" si="1685"/>
        <v>71</v>
      </c>
      <c r="O3975">
        <f t="shared" si="1682"/>
        <v>1639</v>
      </c>
      <c r="P3975">
        <f t="shared" si="1683"/>
        <v>0.26760563380281688</v>
      </c>
      <c r="Q3975" t="str">
        <f t="shared" si="1686"/>
        <v>2.75% | 1.59%</v>
      </c>
      <c r="R3975" t="str">
        <f t="shared" si="1684"/>
        <v>BULLISH</v>
      </c>
      <c r="S3975">
        <f t="shared" si="1687"/>
        <v>1</v>
      </c>
    </row>
    <row r="3976" spans="1:19" hidden="1" x14ac:dyDescent="0.25">
      <c r="A3976" s="5" t="str">
        <f t="shared" si="1688"/>
        <v>44074NFLX</v>
      </c>
      <c r="B3976" s="6" t="s">
        <v>194</v>
      </c>
      <c r="C3976" s="6">
        <v>470</v>
      </c>
      <c r="D3976" s="6">
        <v>547</v>
      </c>
      <c r="E3976" s="6">
        <v>523</v>
      </c>
      <c r="F3976" t="str">
        <f t="shared" si="1674"/>
        <v>MON</v>
      </c>
      <c r="G3976" s="1">
        <f t="shared" si="1675"/>
        <v>44074</v>
      </c>
      <c r="H3976" s="2">
        <f t="shared" ca="1" si="1676"/>
        <v>179</v>
      </c>
      <c r="I3976" t="str">
        <f t="shared" si="1677"/>
        <v>NFLX</v>
      </c>
      <c r="J3976">
        <f t="shared" si="1678"/>
        <v>470</v>
      </c>
      <c r="K3976">
        <f t="shared" si="1679"/>
        <v>547</v>
      </c>
      <c r="L3976">
        <f t="shared" si="1680"/>
        <v>508.5</v>
      </c>
      <c r="M3976">
        <f t="shared" si="1681"/>
        <v>38.5</v>
      </c>
      <c r="N3976">
        <f t="shared" si="1685"/>
        <v>77</v>
      </c>
      <c r="O3976">
        <f t="shared" si="1682"/>
        <v>523</v>
      </c>
      <c r="P3976">
        <f t="shared" si="1683"/>
        <v>0.37662337662337664</v>
      </c>
      <c r="Q3976" t="str">
        <f t="shared" si="1686"/>
        <v>10.13% | 4.59%</v>
      </c>
      <c r="R3976" t="str">
        <f t="shared" si="1684"/>
        <v>BULLISH</v>
      </c>
      <c r="S3976">
        <f t="shared" si="1687"/>
        <v>1</v>
      </c>
    </row>
    <row r="3977" spans="1:19" x14ac:dyDescent="0.25">
      <c r="A3977" s="5" t="str">
        <f t="shared" si="1688"/>
        <v>44074TSLA</v>
      </c>
      <c r="B3977" s="6" t="s">
        <v>189</v>
      </c>
      <c r="C3977" s="6">
        <v>2041</v>
      </c>
      <c r="D3977" s="6">
        <v>2297</v>
      </c>
      <c r="E3977" s="6">
        <v>2213</v>
      </c>
      <c r="F3977" t="str">
        <f t="shared" si="1674"/>
        <v>MON</v>
      </c>
      <c r="G3977" s="1">
        <f t="shared" si="1675"/>
        <v>44074</v>
      </c>
      <c r="H3977" s="2">
        <f t="shared" ca="1" si="1676"/>
        <v>179</v>
      </c>
      <c r="I3977" t="str">
        <f t="shared" si="1677"/>
        <v>TSLA</v>
      </c>
      <c r="J3977">
        <f t="shared" si="1678"/>
        <v>2041</v>
      </c>
      <c r="K3977">
        <f t="shared" si="1679"/>
        <v>2297</v>
      </c>
      <c r="L3977">
        <f t="shared" si="1680"/>
        <v>2169</v>
      </c>
      <c r="M3977">
        <f t="shared" si="1681"/>
        <v>128</v>
      </c>
      <c r="N3977">
        <f t="shared" si="1685"/>
        <v>256</v>
      </c>
      <c r="O3977">
        <f t="shared" si="1682"/>
        <v>2213</v>
      </c>
      <c r="P3977">
        <f t="shared" si="1683"/>
        <v>0.34375</v>
      </c>
      <c r="Q3977" t="str">
        <f t="shared" si="1686"/>
        <v>7.77% | 3.8%</v>
      </c>
      <c r="R3977" t="str">
        <f t="shared" si="1684"/>
        <v>BULLISH</v>
      </c>
      <c r="S3977">
        <f t="shared" si="1687"/>
        <v>1</v>
      </c>
    </row>
    <row r="3978" spans="1:19" hidden="1" x14ac:dyDescent="0.25">
      <c r="A3978" s="5" t="str">
        <f t="shared" si="1688"/>
        <v>44074NYXBT</v>
      </c>
      <c r="B3978" s="6" t="s">
        <v>190</v>
      </c>
      <c r="C3978" s="6">
        <v>11192</v>
      </c>
      <c r="D3978" s="6">
        <v>12067</v>
      </c>
      <c r="E3978" s="6">
        <v>11442</v>
      </c>
      <c r="F3978" t="str">
        <f t="shared" si="1674"/>
        <v>MON</v>
      </c>
      <c r="G3978" s="1">
        <f t="shared" si="1675"/>
        <v>44074</v>
      </c>
      <c r="H3978" s="2">
        <f t="shared" ca="1" si="1676"/>
        <v>179</v>
      </c>
      <c r="I3978" t="str">
        <f t="shared" si="1677"/>
        <v>NYXBT</v>
      </c>
      <c r="J3978">
        <f t="shared" si="1678"/>
        <v>11192</v>
      </c>
      <c r="K3978">
        <f t="shared" si="1679"/>
        <v>12067</v>
      </c>
      <c r="L3978">
        <f t="shared" si="1680"/>
        <v>11629.5</v>
      </c>
      <c r="M3978">
        <f t="shared" si="1681"/>
        <v>437.5</v>
      </c>
      <c r="N3978">
        <f t="shared" si="1685"/>
        <v>875</v>
      </c>
      <c r="O3978">
        <f t="shared" si="1682"/>
        <v>11442</v>
      </c>
      <c r="P3978">
        <f t="shared" si="1683"/>
        <v>-0.42857142857142855</v>
      </c>
      <c r="Q3978" t="str">
        <f t="shared" si="1686"/>
        <v>2.18% | 5.46%</v>
      </c>
      <c r="R3978" t="str">
        <f t="shared" si="1684"/>
        <v>BULLISH</v>
      </c>
      <c r="S3978">
        <f t="shared" si="1687"/>
        <v>1</v>
      </c>
    </row>
    <row r="3979" spans="1:19" hidden="1" x14ac:dyDescent="0.25">
      <c r="A3979" s="5" t="str">
        <f t="shared" si="1688"/>
        <v>44075UST10Y</v>
      </c>
      <c r="B3979" s="6" t="s">
        <v>161</v>
      </c>
      <c r="C3979" s="6">
        <v>0.76</v>
      </c>
      <c r="D3979" s="6">
        <v>0.59</v>
      </c>
      <c r="E3979" s="6">
        <v>0.72</v>
      </c>
      <c r="F3979" t="str">
        <f t="shared" si="1674"/>
        <v>TUE</v>
      </c>
      <c r="G3979" s="3">
        <f>DATE(2020,9,1)</f>
        <v>44075</v>
      </c>
      <c r="H3979" s="2">
        <f t="shared" ca="1" si="1676"/>
        <v>178</v>
      </c>
      <c r="I3979" t="str">
        <f t="shared" si="1677"/>
        <v>UST10Y</v>
      </c>
      <c r="J3979">
        <f t="shared" si="1678"/>
        <v>0.76</v>
      </c>
      <c r="K3979">
        <f t="shared" si="1679"/>
        <v>0.59</v>
      </c>
      <c r="L3979">
        <f t="shared" si="1680"/>
        <v>0.67500000000000004</v>
      </c>
      <c r="M3979">
        <f t="shared" si="1681"/>
        <v>8.4999999999999562E-2</v>
      </c>
      <c r="N3979">
        <f t="shared" si="1685"/>
        <v>0.17000000000000004</v>
      </c>
      <c r="O3979">
        <f t="shared" si="1682"/>
        <v>0.72</v>
      </c>
      <c r="P3979">
        <f t="shared" si="1683"/>
        <v>0.52941176470588425</v>
      </c>
      <c r="Q3979" t="str">
        <f t="shared" si="1686"/>
        <v>5.56% | 18.06%</v>
      </c>
      <c r="R3979" t="str">
        <f t="shared" si="1684"/>
        <v>BEARISH</v>
      </c>
      <c r="S3979">
        <f t="shared" si="1687"/>
        <v>-1</v>
      </c>
    </row>
    <row r="3980" spans="1:19" hidden="1" x14ac:dyDescent="0.25">
      <c r="A3980" s="5" t="str">
        <f t="shared" si="1688"/>
        <v>44075UST2Y</v>
      </c>
      <c r="B3980" s="6" t="s">
        <v>162</v>
      </c>
      <c r="C3980" s="6">
        <v>0.16</v>
      </c>
      <c r="D3980" s="6">
        <v>0.11</v>
      </c>
      <c r="E3980" s="6">
        <v>0.14000000000000001</v>
      </c>
      <c r="F3980" t="str">
        <f t="shared" ref="F3980:F4010" si="1689">UPPER(TEXT(G3980,"ddd"))</f>
        <v>TUE</v>
      </c>
      <c r="G3980" s="3">
        <f t="shared" ref="G3980:G4009" si="1690">DATE(2020,9,1)</f>
        <v>44075</v>
      </c>
      <c r="H3980" s="2">
        <f t="shared" ref="H3980:H4010" ca="1" si="1691">TODAY()-G3980</f>
        <v>178</v>
      </c>
      <c r="I3980" t="str">
        <f t="shared" ref="I3980:I4010" si="1692">TRIM(LEFT(B3980,FIND(" ",B3980,1)))</f>
        <v>UST2Y</v>
      </c>
      <c r="J3980">
        <f t="shared" ref="J3980:J4010" si="1693">C3980</f>
        <v>0.16</v>
      </c>
      <c r="K3980">
        <f t="shared" ref="K3980:K4010" si="1694">D3980</f>
        <v>0.11</v>
      </c>
      <c r="L3980">
        <f t="shared" ref="L3980:L4010" si="1695">AVERAGE(J3980:K3980)</f>
        <v>0.13500000000000001</v>
      </c>
      <c r="M3980">
        <f t="shared" ref="M3980:M4010" si="1696">_xlfn.STDEV.P(J3980:K3980)</f>
        <v>2.4999999999999942E-2</v>
      </c>
      <c r="N3980">
        <f t="shared" si="1685"/>
        <v>0.05</v>
      </c>
      <c r="O3980">
        <f t="shared" ref="O3980:O4010" si="1697">E3980</f>
        <v>0.14000000000000001</v>
      </c>
      <c r="P3980">
        <f t="shared" ref="P3980:P4010" si="1698">(O3980-L3980)/M3980</f>
        <v>0.20000000000000065</v>
      </c>
      <c r="Q3980" t="str">
        <f t="shared" si="1686"/>
        <v>14.29% | 21.43%</v>
      </c>
      <c r="R3980" t="str">
        <f t="shared" ref="R3980:R4010" si="1699">MID(B3980,FIND("(",B3980,1)+1,FIND(")",B3980,1)-FIND("(",B3980,1)-1)</f>
        <v>BEARISH</v>
      </c>
      <c r="S3980">
        <f t="shared" si="1687"/>
        <v>-1</v>
      </c>
    </row>
    <row r="3981" spans="1:19" hidden="1" x14ac:dyDescent="0.25">
      <c r="A3981" s="5" t="str">
        <f t="shared" si="1688"/>
        <v>44075SPX</v>
      </c>
      <c r="B3981" s="6" t="s">
        <v>191</v>
      </c>
      <c r="C3981" s="6">
        <v>3370</v>
      </c>
      <c r="D3981" s="6">
        <v>3541</v>
      </c>
      <c r="E3981" s="6">
        <v>3500</v>
      </c>
      <c r="F3981" t="str">
        <f t="shared" si="1689"/>
        <v>TUE</v>
      </c>
      <c r="G3981" s="3">
        <f t="shared" si="1690"/>
        <v>44075</v>
      </c>
      <c r="H3981" s="2">
        <f t="shared" ca="1" si="1691"/>
        <v>178</v>
      </c>
      <c r="I3981" t="str">
        <f t="shared" si="1692"/>
        <v>SPX</v>
      </c>
      <c r="J3981">
        <f t="shared" si="1693"/>
        <v>3370</v>
      </c>
      <c r="K3981">
        <f t="shared" si="1694"/>
        <v>3541</v>
      </c>
      <c r="L3981">
        <f t="shared" si="1695"/>
        <v>3455.5</v>
      </c>
      <c r="M3981">
        <f t="shared" si="1696"/>
        <v>85.5</v>
      </c>
      <c r="N3981">
        <f t="shared" si="1685"/>
        <v>171</v>
      </c>
      <c r="O3981">
        <f t="shared" si="1697"/>
        <v>3500</v>
      </c>
      <c r="P3981">
        <f t="shared" si="1698"/>
        <v>0.52046783625730997</v>
      </c>
      <c r="Q3981" t="str">
        <f t="shared" si="1686"/>
        <v>3.71% | 1.17%</v>
      </c>
      <c r="R3981" t="str">
        <f t="shared" si="1699"/>
        <v>BULLISH</v>
      </c>
      <c r="S3981">
        <f t="shared" si="1687"/>
        <v>1</v>
      </c>
    </row>
    <row r="3982" spans="1:19" hidden="1" x14ac:dyDescent="0.25">
      <c r="A3982" s="5" t="str">
        <f t="shared" si="1688"/>
        <v>44075RUT</v>
      </c>
      <c r="B3982" s="6" t="s">
        <v>164</v>
      </c>
      <c r="C3982" s="6">
        <v>1540</v>
      </c>
      <c r="D3982" s="6">
        <v>1582</v>
      </c>
      <c r="E3982" s="6">
        <v>1561</v>
      </c>
      <c r="F3982" t="str">
        <f t="shared" si="1689"/>
        <v>TUE</v>
      </c>
      <c r="G3982" s="3">
        <f t="shared" si="1690"/>
        <v>44075</v>
      </c>
      <c r="H3982" s="2">
        <f t="shared" ca="1" si="1691"/>
        <v>178</v>
      </c>
      <c r="I3982" t="str">
        <f t="shared" si="1692"/>
        <v>RUT</v>
      </c>
      <c r="J3982">
        <f t="shared" si="1693"/>
        <v>1540</v>
      </c>
      <c r="K3982">
        <f t="shared" si="1694"/>
        <v>1582</v>
      </c>
      <c r="L3982">
        <f t="shared" si="1695"/>
        <v>1561</v>
      </c>
      <c r="M3982">
        <f t="shared" si="1696"/>
        <v>21</v>
      </c>
      <c r="N3982">
        <f t="shared" si="1685"/>
        <v>42</v>
      </c>
      <c r="O3982">
        <f t="shared" si="1697"/>
        <v>1561</v>
      </c>
      <c r="P3982">
        <f t="shared" si="1698"/>
        <v>0</v>
      </c>
      <c r="Q3982" t="str">
        <f t="shared" si="1686"/>
        <v>1.35% | 1.35%</v>
      </c>
      <c r="R3982" t="str">
        <f t="shared" si="1699"/>
        <v>BEARISH</v>
      </c>
      <c r="S3982">
        <f t="shared" si="1687"/>
        <v>-1</v>
      </c>
    </row>
    <row r="3983" spans="1:19" hidden="1" x14ac:dyDescent="0.25">
      <c r="A3983" s="5" t="str">
        <f t="shared" si="1688"/>
        <v>44075COMPQ</v>
      </c>
      <c r="B3983" s="6" t="s">
        <v>165</v>
      </c>
      <c r="C3983" s="6">
        <v>11129</v>
      </c>
      <c r="D3983" s="6">
        <v>11896</v>
      </c>
      <c r="E3983" s="6">
        <v>11775</v>
      </c>
      <c r="F3983" t="str">
        <f t="shared" si="1689"/>
        <v>TUE</v>
      </c>
      <c r="G3983" s="3">
        <f t="shared" si="1690"/>
        <v>44075</v>
      </c>
      <c r="H3983" s="2">
        <f t="shared" ca="1" si="1691"/>
        <v>178</v>
      </c>
      <c r="I3983" t="str">
        <f t="shared" si="1692"/>
        <v>COMPQ</v>
      </c>
      <c r="J3983">
        <f t="shared" si="1693"/>
        <v>11129</v>
      </c>
      <c r="K3983">
        <f t="shared" si="1694"/>
        <v>11896</v>
      </c>
      <c r="L3983">
        <f t="shared" si="1695"/>
        <v>11512.5</v>
      </c>
      <c r="M3983">
        <f t="shared" si="1696"/>
        <v>383.5</v>
      </c>
      <c r="N3983">
        <f t="shared" si="1685"/>
        <v>767</v>
      </c>
      <c r="O3983">
        <f t="shared" si="1697"/>
        <v>11775</v>
      </c>
      <c r="P3983">
        <f t="shared" si="1698"/>
        <v>0.68448500651890487</v>
      </c>
      <c r="Q3983" t="str">
        <f t="shared" si="1686"/>
        <v>5.49% | 1.03%</v>
      </c>
      <c r="R3983" t="str">
        <f t="shared" si="1699"/>
        <v>BULLISH</v>
      </c>
      <c r="S3983">
        <f t="shared" si="1687"/>
        <v>1</v>
      </c>
    </row>
    <row r="3984" spans="1:19" hidden="1" x14ac:dyDescent="0.25">
      <c r="A3984" s="5" t="str">
        <f t="shared" si="1688"/>
        <v>44075XLK</v>
      </c>
      <c r="B3984" s="6" t="s">
        <v>166</v>
      </c>
      <c r="C3984" s="6">
        <v>114.11</v>
      </c>
      <c r="D3984" s="6">
        <v>125.7</v>
      </c>
      <c r="E3984" s="6">
        <v>123.55</v>
      </c>
      <c r="F3984" t="str">
        <f t="shared" si="1689"/>
        <v>TUE</v>
      </c>
      <c r="G3984" s="3">
        <f t="shared" si="1690"/>
        <v>44075</v>
      </c>
      <c r="H3984" s="2">
        <f t="shared" ca="1" si="1691"/>
        <v>178</v>
      </c>
      <c r="I3984" t="str">
        <f t="shared" si="1692"/>
        <v>XLK</v>
      </c>
      <c r="J3984">
        <f t="shared" si="1693"/>
        <v>114.11</v>
      </c>
      <c r="K3984">
        <f t="shared" si="1694"/>
        <v>125.7</v>
      </c>
      <c r="L3984">
        <f t="shared" si="1695"/>
        <v>119.905</v>
      </c>
      <c r="M3984">
        <f t="shared" si="1696"/>
        <v>5.7950000000000017</v>
      </c>
      <c r="N3984">
        <f t="shared" si="1685"/>
        <v>11.590000000000003</v>
      </c>
      <c r="O3984">
        <f t="shared" si="1697"/>
        <v>123.55</v>
      </c>
      <c r="P3984">
        <f t="shared" si="1698"/>
        <v>0.62899050905953324</v>
      </c>
      <c r="Q3984" t="str">
        <f t="shared" si="1686"/>
        <v>7.64% | 1.74%</v>
      </c>
      <c r="R3984" t="str">
        <f t="shared" si="1699"/>
        <v>BULLISH</v>
      </c>
      <c r="S3984">
        <f t="shared" si="1687"/>
        <v>1</v>
      </c>
    </row>
    <row r="3985" spans="1:19" hidden="1" x14ac:dyDescent="0.25">
      <c r="A3985" s="5" t="str">
        <f t="shared" si="1688"/>
        <v>44075XLRE</v>
      </c>
      <c r="B3985" s="6" t="s">
        <v>167</v>
      </c>
      <c r="C3985" s="6">
        <v>35.26</v>
      </c>
      <c r="D3985" s="6">
        <v>36.840000000000003</v>
      </c>
      <c r="E3985" s="6">
        <v>36.25</v>
      </c>
      <c r="F3985" t="str">
        <f t="shared" si="1689"/>
        <v>TUE</v>
      </c>
      <c r="G3985" s="3">
        <f t="shared" si="1690"/>
        <v>44075</v>
      </c>
      <c r="H3985" s="2">
        <f t="shared" ca="1" si="1691"/>
        <v>178</v>
      </c>
      <c r="I3985" t="str">
        <f t="shared" si="1692"/>
        <v>XLRE</v>
      </c>
      <c r="J3985">
        <f t="shared" si="1693"/>
        <v>35.26</v>
      </c>
      <c r="K3985">
        <f t="shared" si="1694"/>
        <v>36.840000000000003</v>
      </c>
      <c r="L3985">
        <f t="shared" si="1695"/>
        <v>36.049999999999997</v>
      </c>
      <c r="M3985">
        <f t="shared" si="1696"/>
        <v>0.7900000000000027</v>
      </c>
      <c r="N3985">
        <f t="shared" si="1685"/>
        <v>1.5800000000000054</v>
      </c>
      <c r="O3985">
        <f t="shared" si="1697"/>
        <v>36.25</v>
      </c>
      <c r="P3985">
        <f t="shared" si="1698"/>
        <v>0.25316455696202805</v>
      </c>
      <c r="Q3985" t="str">
        <f t="shared" si="1686"/>
        <v>2.73% | 1.63%</v>
      </c>
      <c r="R3985" t="str">
        <f t="shared" si="1699"/>
        <v>BULLISH</v>
      </c>
      <c r="S3985">
        <f t="shared" si="1687"/>
        <v>1</v>
      </c>
    </row>
    <row r="3986" spans="1:19" hidden="1" x14ac:dyDescent="0.25">
      <c r="A3986" s="5" t="str">
        <f t="shared" si="1688"/>
        <v>44075XLU</v>
      </c>
      <c r="B3986" s="6" t="s">
        <v>168</v>
      </c>
      <c r="C3986" s="6">
        <v>58.45</v>
      </c>
      <c r="D3986" s="6">
        <v>60.27</v>
      </c>
      <c r="E3986" s="6">
        <v>59.25</v>
      </c>
      <c r="F3986" t="str">
        <f t="shared" si="1689"/>
        <v>TUE</v>
      </c>
      <c r="G3986" s="3">
        <f t="shared" si="1690"/>
        <v>44075</v>
      </c>
      <c r="H3986" s="2">
        <f t="shared" ca="1" si="1691"/>
        <v>178</v>
      </c>
      <c r="I3986" t="str">
        <f t="shared" si="1692"/>
        <v>XLU</v>
      </c>
      <c r="J3986">
        <f t="shared" si="1693"/>
        <v>58.45</v>
      </c>
      <c r="K3986">
        <f t="shared" si="1694"/>
        <v>60.27</v>
      </c>
      <c r="L3986">
        <f t="shared" si="1695"/>
        <v>59.36</v>
      </c>
      <c r="M3986">
        <f t="shared" si="1696"/>
        <v>0.91000000000000014</v>
      </c>
      <c r="N3986">
        <f t="shared" si="1685"/>
        <v>1.8200000000000003</v>
      </c>
      <c r="O3986">
        <f t="shared" si="1697"/>
        <v>59.25</v>
      </c>
      <c r="P3986">
        <f t="shared" si="1698"/>
        <v>-0.12087912087912024</v>
      </c>
      <c r="Q3986" t="str">
        <f t="shared" si="1686"/>
        <v>1.35% | 1.72%</v>
      </c>
      <c r="R3986" t="str">
        <f t="shared" si="1699"/>
        <v>BULLISH</v>
      </c>
      <c r="S3986">
        <f t="shared" si="1687"/>
        <v>1</v>
      </c>
    </row>
    <row r="3987" spans="1:19" hidden="1" x14ac:dyDescent="0.25">
      <c r="A3987" s="5" t="str">
        <f t="shared" si="1688"/>
        <v>44075XLF</v>
      </c>
      <c r="B3987" s="6" t="s">
        <v>169</v>
      </c>
      <c r="C3987" s="6">
        <v>24.12</v>
      </c>
      <c r="D3987" s="6">
        <v>25.55</v>
      </c>
      <c r="E3987" s="6">
        <v>25.06</v>
      </c>
      <c r="F3987" t="str">
        <f t="shared" si="1689"/>
        <v>TUE</v>
      </c>
      <c r="G3987" s="3">
        <f t="shared" si="1690"/>
        <v>44075</v>
      </c>
      <c r="H3987" s="2">
        <f t="shared" ca="1" si="1691"/>
        <v>178</v>
      </c>
      <c r="I3987" t="str">
        <f t="shared" si="1692"/>
        <v>XLF</v>
      </c>
      <c r="J3987">
        <f t="shared" si="1693"/>
        <v>24.12</v>
      </c>
      <c r="K3987">
        <f t="shared" si="1694"/>
        <v>25.55</v>
      </c>
      <c r="L3987">
        <f t="shared" si="1695"/>
        <v>24.835000000000001</v>
      </c>
      <c r="M3987">
        <f t="shared" si="1696"/>
        <v>0.71499999999999986</v>
      </c>
      <c r="N3987">
        <f t="shared" si="1685"/>
        <v>1.4299999999999997</v>
      </c>
      <c r="O3987">
        <f t="shared" si="1697"/>
        <v>25.06</v>
      </c>
      <c r="P3987">
        <f t="shared" si="1698"/>
        <v>0.31468531468531175</v>
      </c>
      <c r="Q3987" t="str">
        <f t="shared" si="1686"/>
        <v>3.75% | 1.96%</v>
      </c>
      <c r="R3987" t="str">
        <f t="shared" si="1699"/>
        <v>BEARISH</v>
      </c>
      <c r="S3987">
        <f t="shared" si="1687"/>
        <v>-1</v>
      </c>
    </row>
    <row r="3988" spans="1:19" hidden="1" x14ac:dyDescent="0.25">
      <c r="A3988" s="5" t="str">
        <f t="shared" si="1688"/>
        <v>44075SSEC</v>
      </c>
      <c r="B3988" s="6" t="s">
        <v>170</v>
      </c>
      <c r="C3988" s="6">
        <v>3318</v>
      </c>
      <c r="D3988" s="6">
        <v>3450</v>
      </c>
      <c r="E3988" s="6">
        <v>3410</v>
      </c>
      <c r="F3988" t="str">
        <f t="shared" si="1689"/>
        <v>TUE</v>
      </c>
      <c r="G3988" s="3">
        <f t="shared" si="1690"/>
        <v>44075</v>
      </c>
      <c r="H3988" s="2">
        <f t="shared" ca="1" si="1691"/>
        <v>178</v>
      </c>
      <c r="I3988" t="str">
        <f t="shared" si="1692"/>
        <v>SSEC</v>
      </c>
      <c r="J3988">
        <f t="shared" si="1693"/>
        <v>3318</v>
      </c>
      <c r="K3988">
        <f t="shared" si="1694"/>
        <v>3450</v>
      </c>
      <c r="L3988">
        <f t="shared" si="1695"/>
        <v>3384</v>
      </c>
      <c r="M3988">
        <f t="shared" si="1696"/>
        <v>66</v>
      </c>
      <c r="N3988">
        <f t="shared" si="1685"/>
        <v>132</v>
      </c>
      <c r="O3988">
        <f t="shared" si="1697"/>
        <v>3410</v>
      </c>
      <c r="P3988">
        <f t="shared" si="1698"/>
        <v>0.39393939393939392</v>
      </c>
      <c r="Q3988" t="str">
        <f t="shared" si="1686"/>
        <v>2.7% | 1.17%</v>
      </c>
      <c r="R3988" t="str">
        <f t="shared" si="1699"/>
        <v>BULLISH</v>
      </c>
      <c r="S3988">
        <f t="shared" si="1687"/>
        <v>1</v>
      </c>
    </row>
    <row r="3989" spans="1:19" hidden="1" x14ac:dyDescent="0.25">
      <c r="A3989" s="5" t="str">
        <f t="shared" si="1688"/>
        <v>44075NIKK</v>
      </c>
      <c r="B3989" s="6" t="s">
        <v>201</v>
      </c>
      <c r="C3989" s="6">
        <v>22761</v>
      </c>
      <c r="D3989" s="6">
        <v>23395</v>
      </c>
      <c r="E3989" s="6">
        <v>23138</v>
      </c>
      <c r="F3989" t="str">
        <f t="shared" si="1689"/>
        <v>TUE</v>
      </c>
      <c r="G3989" s="3">
        <f t="shared" si="1690"/>
        <v>44075</v>
      </c>
      <c r="H3989" s="2">
        <f t="shared" ca="1" si="1691"/>
        <v>178</v>
      </c>
      <c r="I3989" t="str">
        <f t="shared" si="1692"/>
        <v>NIKK</v>
      </c>
      <c r="J3989">
        <f t="shared" si="1693"/>
        <v>22761</v>
      </c>
      <c r="K3989">
        <f t="shared" si="1694"/>
        <v>23395</v>
      </c>
      <c r="L3989">
        <f t="shared" si="1695"/>
        <v>23078</v>
      </c>
      <c r="M3989">
        <f t="shared" si="1696"/>
        <v>317</v>
      </c>
      <c r="N3989">
        <f t="shared" si="1685"/>
        <v>634</v>
      </c>
      <c r="O3989">
        <f t="shared" si="1697"/>
        <v>23138</v>
      </c>
      <c r="P3989">
        <f t="shared" si="1698"/>
        <v>0.1892744479495268</v>
      </c>
      <c r="Q3989" t="str">
        <f t="shared" si="1686"/>
        <v>1.63% | 1.11%</v>
      </c>
      <c r="R3989" t="str">
        <f t="shared" si="1699"/>
        <v>BULLISH</v>
      </c>
      <c r="S3989">
        <f t="shared" si="1687"/>
        <v>1</v>
      </c>
    </row>
    <row r="3990" spans="1:19" hidden="1" x14ac:dyDescent="0.25">
      <c r="A3990" s="5" t="str">
        <f t="shared" si="1688"/>
        <v>44075DAX</v>
      </c>
      <c r="B3990" s="6" t="s">
        <v>172</v>
      </c>
      <c r="C3990" s="6">
        <v>12740</v>
      </c>
      <c r="D3990" s="6">
        <v>13345</v>
      </c>
      <c r="E3990" s="6">
        <v>13033</v>
      </c>
      <c r="F3990" t="str">
        <f t="shared" si="1689"/>
        <v>TUE</v>
      </c>
      <c r="G3990" s="3">
        <f t="shared" si="1690"/>
        <v>44075</v>
      </c>
      <c r="H3990" s="2">
        <f t="shared" ca="1" si="1691"/>
        <v>178</v>
      </c>
      <c r="I3990" t="str">
        <f t="shared" si="1692"/>
        <v>DAX</v>
      </c>
      <c r="J3990">
        <f t="shared" si="1693"/>
        <v>12740</v>
      </c>
      <c r="K3990">
        <f t="shared" si="1694"/>
        <v>13345</v>
      </c>
      <c r="L3990">
        <f t="shared" si="1695"/>
        <v>13042.5</v>
      </c>
      <c r="M3990">
        <f t="shared" si="1696"/>
        <v>302.5</v>
      </c>
      <c r="N3990">
        <f t="shared" si="1685"/>
        <v>605</v>
      </c>
      <c r="O3990">
        <f t="shared" si="1697"/>
        <v>13033</v>
      </c>
      <c r="P3990">
        <f t="shared" si="1698"/>
        <v>-3.1404958677685953E-2</v>
      </c>
      <c r="Q3990" t="str">
        <f t="shared" si="1686"/>
        <v>2.25% | 2.39%</v>
      </c>
      <c r="R3990" t="str">
        <f t="shared" si="1699"/>
        <v>BULLISH</v>
      </c>
      <c r="S3990">
        <f t="shared" si="1687"/>
        <v>1</v>
      </c>
    </row>
    <row r="3991" spans="1:19" hidden="1" x14ac:dyDescent="0.25">
      <c r="A3991" s="5" t="str">
        <f t="shared" si="1688"/>
        <v>44075VIX</v>
      </c>
      <c r="B3991" s="6" t="s">
        <v>192</v>
      </c>
      <c r="C3991" s="6">
        <v>21.79</v>
      </c>
      <c r="D3991" s="6">
        <v>27.44</v>
      </c>
      <c r="E3991" s="6">
        <v>26.41</v>
      </c>
      <c r="F3991" t="str">
        <f t="shared" si="1689"/>
        <v>TUE</v>
      </c>
      <c r="G3991" s="3">
        <f t="shared" si="1690"/>
        <v>44075</v>
      </c>
      <c r="H3991" s="2">
        <f t="shared" ca="1" si="1691"/>
        <v>178</v>
      </c>
      <c r="I3991" t="str">
        <f t="shared" si="1692"/>
        <v>VIX</v>
      </c>
      <c r="J3991">
        <f t="shared" si="1693"/>
        <v>21.79</v>
      </c>
      <c r="K3991">
        <f t="shared" si="1694"/>
        <v>27.44</v>
      </c>
      <c r="L3991">
        <f t="shared" si="1695"/>
        <v>24.615000000000002</v>
      </c>
      <c r="M3991">
        <f t="shared" si="1696"/>
        <v>2.8249999999999855</v>
      </c>
      <c r="N3991">
        <f t="shared" si="1685"/>
        <v>5.6500000000000021</v>
      </c>
      <c r="O3991">
        <f t="shared" si="1697"/>
        <v>26.41</v>
      </c>
      <c r="P3991">
        <f t="shared" si="1698"/>
        <v>0.63539823008849816</v>
      </c>
      <c r="Q3991" t="str">
        <f t="shared" si="1686"/>
        <v>17.49% | 3.9%</v>
      </c>
      <c r="R3991" t="str">
        <f t="shared" si="1699"/>
        <v>BEARISH</v>
      </c>
      <c r="S3991">
        <f t="shared" si="1687"/>
        <v>-1</v>
      </c>
    </row>
    <row r="3992" spans="1:19" hidden="1" x14ac:dyDescent="0.25">
      <c r="A3992" s="5" t="str">
        <f t="shared" si="1688"/>
        <v>44075USD</v>
      </c>
      <c r="B3992" s="6" t="s">
        <v>174</v>
      </c>
      <c r="C3992" s="6">
        <v>91.9</v>
      </c>
      <c r="D3992" s="6">
        <v>93.37</v>
      </c>
      <c r="E3992" s="6">
        <v>92.14</v>
      </c>
      <c r="F3992" t="str">
        <f t="shared" si="1689"/>
        <v>TUE</v>
      </c>
      <c r="G3992" s="3">
        <f t="shared" si="1690"/>
        <v>44075</v>
      </c>
      <c r="H3992" s="2">
        <f t="shared" ca="1" si="1691"/>
        <v>178</v>
      </c>
      <c r="I3992" t="str">
        <f t="shared" si="1692"/>
        <v>USD</v>
      </c>
      <c r="J3992">
        <f t="shared" si="1693"/>
        <v>91.9</v>
      </c>
      <c r="K3992">
        <f t="shared" si="1694"/>
        <v>93.37</v>
      </c>
      <c r="L3992">
        <f t="shared" si="1695"/>
        <v>92.635000000000005</v>
      </c>
      <c r="M3992">
        <f t="shared" si="1696"/>
        <v>0.73499999999999943</v>
      </c>
      <c r="N3992">
        <f t="shared" si="1685"/>
        <v>1.4699999999999989</v>
      </c>
      <c r="O3992">
        <f t="shared" si="1697"/>
        <v>92.14</v>
      </c>
      <c r="P3992">
        <f t="shared" si="1698"/>
        <v>-0.67346938775510878</v>
      </c>
      <c r="Q3992" t="str">
        <f t="shared" si="1686"/>
        <v>0.26% | 1.33%</v>
      </c>
      <c r="R3992" t="str">
        <f t="shared" si="1699"/>
        <v>BEARISH</v>
      </c>
      <c r="S3992">
        <f t="shared" si="1687"/>
        <v>-1</v>
      </c>
    </row>
    <row r="3993" spans="1:19" hidden="1" x14ac:dyDescent="0.25">
      <c r="A3993" s="5" t="str">
        <f t="shared" si="1688"/>
        <v>44075EUR/USD</v>
      </c>
      <c r="B3993" s="6" t="s">
        <v>175</v>
      </c>
      <c r="C3993" s="6">
        <v>1.18</v>
      </c>
      <c r="D3993" s="6">
        <v>1.2</v>
      </c>
      <c r="E3993" s="6">
        <v>1.19</v>
      </c>
      <c r="F3993" t="str">
        <f t="shared" si="1689"/>
        <v>TUE</v>
      </c>
      <c r="G3993" s="3">
        <f t="shared" si="1690"/>
        <v>44075</v>
      </c>
      <c r="H3993" s="2">
        <f t="shared" ca="1" si="1691"/>
        <v>178</v>
      </c>
      <c r="I3993" t="str">
        <f t="shared" si="1692"/>
        <v>EUR/USD</v>
      </c>
      <c r="J3993">
        <f t="shared" si="1693"/>
        <v>1.18</v>
      </c>
      <c r="K3993">
        <f t="shared" si="1694"/>
        <v>1.2</v>
      </c>
      <c r="L3993">
        <f t="shared" si="1695"/>
        <v>1.19</v>
      </c>
      <c r="M3993">
        <f t="shared" si="1696"/>
        <v>1.0000000000000009E-2</v>
      </c>
      <c r="N3993">
        <f t="shared" si="1685"/>
        <v>2.0000000000000018E-2</v>
      </c>
      <c r="O3993">
        <f t="shared" si="1697"/>
        <v>1.19</v>
      </c>
      <c r="P3993">
        <f t="shared" si="1698"/>
        <v>0</v>
      </c>
      <c r="Q3993" t="str">
        <f t="shared" si="1686"/>
        <v>0.84% | 0.84%</v>
      </c>
      <c r="R3993" t="str">
        <f t="shared" si="1699"/>
        <v>BULLISH</v>
      </c>
      <c r="S3993">
        <f t="shared" si="1687"/>
        <v>1</v>
      </c>
    </row>
    <row r="3994" spans="1:19" hidden="1" x14ac:dyDescent="0.25">
      <c r="A3994" s="5" t="str">
        <f t="shared" si="1688"/>
        <v>44075USD/JPY</v>
      </c>
      <c r="B3994" s="6" t="s">
        <v>176</v>
      </c>
      <c r="C3994" s="6">
        <v>105.04</v>
      </c>
      <c r="D3994" s="6">
        <v>106.77</v>
      </c>
      <c r="E3994" s="6">
        <v>105.89</v>
      </c>
      <c r="F3994" t="str">
        <f t="shared" si="1689"/>
        <v>TUE</v>
      </c>
      <c r="G3994" s="3">
        <f t="shared" si="1690"/>
        <v>44075</v>
      </c>
      <c r="H3994" s="2">
        <f t="shared" ca="1" si="1691"/>
        <v>178</v>
      </c>
      <c r="I3994" t="str">
        <f t="shared" si="1692"/>
        <v>USD/JPY</v>
      </c>
      <c r="J3994">
        <f t="shared" si="1693"/>
        <v>105.04</v>
      </c>
      <c r="K3994">
        <f t="shared" si="1694"/>
        <v>106.77</v>
      </c>
      <c r="L3994">
        <f t="shared" si="1695"/>
        <v>105.905</v>
      </c>
      <c r="M3994">
        <f t="shared" si="1696"/>
        <v>0.86499999999999488</v>
      </c>
      <c r="N3994">
        <f t="shared" si="1685"/>
        <v>1.7299999999999898</v>
      </c>
      <c r="O3994">
        <f t="shared" si="1697"/>
        <v>105.89</v>
      </c>
      <c r="P3994">
        <f t="shared" si="1698"/>
        <v>-1.7341040462428504E-2</v>
      </c>
      <c r="Q3994" t="str">
        <f t="shared" si="1686"/>
        <v>0.8% | 0.83%</v>
      </c>
      <c r="R3994" t="str">
        <f t="shared" si="1699"/>
        <v>BEARISH</v>
      </c>
      <c r="S3994">
        <f t="shared" si="1687"/>
        <v>-1</v>
      </c>
    </row>
    <row r="3995" spans="1:19" hidden="1" x14ac:dyDescent="0.25">
      <c r="A3995" s="5" t="str">
        <f t="shared" si="1688"/>
        <v>44075GBP/USD</v>
      </c>
      <c r="B3995" s="6" t="s">
        <v>177</v>
      </c>
      <c r="C3995" s="6">
        <v>1.32</v>
      </c>
      <c r="D3995" s="6">
        <v>1.34</v>
      </c>
      <c r="E3995" s="6">
        <v>1.34</v>
      </c>
      <c r="F3995" t="str">
        <f t="shared" si="1689"/>
        <v>TUE</v>
      </c>
      <c r="G3995" s="3">
        <f t="shared" si="1690"/>
        <v>44075</v>
      </c>
      <c r="H3995" s="2">
        <f t="shared" ca="1" si="1691"/>
        <v>178</v>
      </c>
      <c r="I3995" t="str">
        <f t="shared" si="1692"/>
        <v>GBP/USD</v>
      </c>
      <c r="J3995">
        <f t="shared" si="1693"/>
        <v>1.32</v>
      </c>
      <c r="K3995">
        <f t="shared" si="1694"/>
        <v>1.34</v>
      </c>
      <c r="L3995">
        <f t="shared" si="1695"/>
        <v>1.33</v>
      </c>
      <c r="M3995">
        <f t="shared" si="1696"/>
        <v>1.0000000000000009E-2</v>
      </c>
      <c r="N3995">
        <f t="shared" si="1685"/>
        <v>2.0000000000000018E-2</v>
      </c>
      <c r="O3995">
        <f t="shared" si="1697"/>
        <v>1.34</v>
      </c>
      <c r="P3995">
        <f t="shared" si="1698"/>
        <v>1</v>
      </c>
      <c r="Q3995" t="str">
        <f t="shared" si="1686"/>
        <v>1.49% | 0%</v>
      </c>
      <c r="R3995" t="str">
        <f t="shared" si="1699"/>
        <v>BULLISH</v>
      </c>
      <c r="S3995">
        <f t="shared" si="1687"/>
        <v>1</v>
      </c>
    </row>
    <row r="3996" spans="1:19" hidden="1" x14ac:dyDescent="0.25">
      <c r="A3996" s="5" t="str">
        <f t="shared" si="1688"/>
        <v>44075USD/CHF</v>
      </c>
      <c r="B3996" s="6" t="s">
        <v>178</v>
      </c>
      <c r="C3996" s="6">
        <v>0.89</v>
      </c>
      <c r="D3996" s="6">
        <v>0.91</v>
      </c>
      <c r="E3996" s="6">
        <v>0.9</v>
      </c>
      <c r="F3996" t="str">
        <f t="shared" si="1689"/>
        <v>TUE</v>
      </c>
      <c r="G3996" s="3">
        <f t="shared" si="1690"/>
        <v>44075</v>
      </c>
      <c r="H3996" s="2">
        <f t="shared" ca="1" si="1691"/>
        <v>178</v>
      </c>
      <c r="I3996" t="str">
        <f t="shared" si="1692"/>
        <v>USD/CHF</v>
      </c>
      <c r="J3996">
        <f t="shared" si="1693"/>
        <v>0.89</v>
      </c>
      <c r="K3996">
        <f t="shared" si="1694"/>
        <v>0.91</v>
      </c>
      <c r="L3996">
        <f t="shared" si="1695"/>
        <v>0.9</v>
      </c>
      <c r="M3996">
        <f t="shared" si="1696"/>
        <v>1.0000000000000009E-2</v>
      </c>
      <c r="N3996">
        <f t="shared" si="1685"/>
        <v>2.0000000000000018E-2</v>
      </c>
      <c r="O3996">
        <f t="shared" si="1697"/>
        <v>0.9</v>
      </c>
      <c r="P3996">
        <f t="shared" si="1698"/>
        <v>0</v>
      </c>
      <c r="Q3996" t="str">
        <f t="shared" si="1686"/>
        <v>1.11% | 1.11%</v>
      </c>
      <c r="R3996" t="str">
        <f t="shared" si="1699"/>
        <v>BEARISH</v>
      </c>
      <c r="S3996">
        <f t="shared" si="1687"/>
        <v>-1</v>
      </c>
    </row>
    <row r="3997" spans="1:19" hidden="1" x14ac:dyDescent="0.25">
      <c r="A3997" s="5" t="str">
        <f t="shared" si="1688"/>
        <v>44075WTIC</v>
      </c>
      <c r="B3997" s="6" t="s">
        <v>179</v>
      </c>
      <c r="C3997" s="6">
        <v>42.15</v>
      </c>
      <c r="D3997" s="6">
        <v>43.68</v>
      </c>
      <c r="E3997" s="6">
        <v>42.61</v>
      </c>
      <c r="F3997" t="str">
        <f t="shared" si="1689"/>
        <v>TUE</v>
      </c>
      <c r="G3997" s="3">
        <f t="shared" si="1690"/>
        <v>44075</v>
      </c>
      <c r="H3997" s="2">
        <f t="shared" ca="1" si="1691"/>
        <v>178</v>
      </c>
      <c r="I3997" t="str">
        <f t="shared" si="1692"/>
        <v>WTIC</v>
      </c>
      <c r="J3997">
        <f t="shared" si="1693"/>
        <v>42.15</v>
      </c>
      <c r="K3997">
        <f t="shared" si="1694"/>
        <v>43.68</v>
      </c>
      <c r="L3997">
        <f t="shared" si="1695"/>
        <v>42.914999999999999</v>
      </c>
      <c r="M3997">
        <f t="shared" si="1696"/>
        <v>0.76500000000000057</v>
      </c>
      <c r="N3997">
        <f t="shared" si="1685"/>
        <v>1.5300000000000011</v>
      </c>
      <c r="O3997">
        <f t="shared" si="1697"/>
        <v>42.61</v>
      </c>
      <c r="P3997">
        <f t="shared" si="1698"/>
        <v>-0.39869281045751565</v>
      </c>
      <c r="Q3997" t="str">
        <f t="shared" si="1686"/>
        <v>1.08% | 2.51%</v>
      </c>
      <c r="R3997" t="str">
        <f t="shared" si="1699"/>
        <v>BULLISH</v>
      </c>
      <c r="S3997">
        <f t="shared" si="1687"/>
        <v>1</v>
      </c>
    </row>
    <row r="3998" spans="1:19" hidden="1" x14ac:dyDescent="0.25">
      <c r="A3998" s="5" t="str">
        <f t="shared" si="1688"/>
        <v>44075NATGAS</v>
      </c>
      <c r="B3998" s="6" t="s">
        <v>180</v>
      </c>
      <c r="C3998" s="6">
        <v>2.35</v>
      </c>
      <c r="D3998" s="6">
        <v>2.8</v>
      </c>
      <c r="E3998" s="6">
        <v>2.63</v>
      </c>
      <c r="F3998" t="str">
        <f t="shared" si="1689"/>
        <v>TUE</v>
      </c>
      <c r="G3998" s="3">
        <f t="shared" si="1690"/>
        <v>44075</v>
      </c>
      <c r="H3998" s="2">
        <f t="shared" ca="1" si="1691"/>
        <v>178</v>
      </c>
      <c r="I3998" t="str">
        <f t="shared" si="1692"/>
        <v>NATGAS</v>
      </c>
      <c r="J3998">
        <f t="shared" si="1693"/>
        <v>2.35</v>
      </c>
      <c r="K3998">
        <f t="shared" si="1694"/>
        <v>2.8</v>
      </c>
      <c r="L3998">
        <f t="shared" si="1695"/>
        <v>2.5750000000000002</v>
      </c>
      <c r="M3998">
        <f t="shared" si="1696"/>
        <v>0.22499999999999987</v>
      </c>
      <c r="N3998">
        <f t="shared" si="1685"/>
        <v>0.44999999999999973</v>
      </c>
      <c r="O3998">
        <f t="shared" si="1697"/>
        <v>2.63</v>
      </c>
      <c r="P3998">
        <f t="shared" si="1698"/>
        <v>0.24444444444444333</v>
      </c>
      <c r="Q3998" t="str">
        <f t="shared" si="1686"/>
        <v>10.65% | 6.46%</v>
      </c>
      <c r="R3998" t="str">
        <f t="shared" si="1699"/>
        <v>BULLISH</v>
      </c>
      <c r="S3998">
        <f t="shared" si="1687"/>
        <v>1</v>
      </c>
    </row>
    <row r="3999" spans="1:19" hidden="1" x14ac:dyDescent="0.25">
      <c r="A3999" s="5" t="str">
        <f t="shared" si="1688"/>
        <v>44075GOLD</v>
      </c>
      <c r="B3999" s="6" t="s">
        <v>181</v>
      </c>
      <c r="C3999" s="6">
        <v>1916</v>
      </c>
      <c r="D3999" s="6">
        <v>2009</v>
      </c>
      <c r="E3999" s="6">
        <v>1978</v>
      </c>
      <c r="F3999" t="str">
        <f t="shared" si="1689"/>
        <v>TUE</v>
      </c>
      <c r="G3999" s="3">
        <f t="shared" si="1690"/>
        <v>44075</v>
      </c>
      <c r="H3999" s="2">
        <f t="shared" ca="1" si="1691"/>
        <v>178</v>
      </c>
      <c r="I3999" t="str">
        <f t="shared" si="1692"/>
        <v>GOLD</v>
      </c>
      <c r="J3999">
        <f t="shared" si="1693"/>
        <v>1916</v>
      </c>
      <c r="K3999">
        <f t="shared" si="1694"/>
        <v>2009</v>
      </c>
      <c r="L3999">
        <f t="shared" si="1695"/>
        <v>1962.5</v>
      </c>
      <c r="M3999">
        <f t="shared" si="1696"/>
        <v>46.5</v>
      </c>
      <c r="N3999">
        <f t="shared" si="1685"/>
        <v>93</v>
      </c>
      <c r="O3999">
        <f t="shared" si="1697"/>
        <v>1978</v>
      </c>
      <c r="P3999">
        <f t="shared" si="1698"/>
        <v>0.33333333333333331</v>
      </c>
      <c r="Q3999" t="str">
        <f t="shared" si="1686"/>
        <v>3.13% | 1.57%</v>
      </c>
      <c r="R3999" t="str">
        <f t="shared" si="1699"/>
        <v>BULLISH</v>
      </c>
      <c r="S3999">
        <f t="shared" si="1687"/>
        <v>1</v>
      </c>
    </row>
    <row r="4000" spans="1:19" hidden="1" x14ac:dyDescent="0.25">
      <c r="A4000" s="5" t="str">
        <f t="shared" si="1688"/>
        <v>44075SILVER</v>
      </c>
      <c r="B4000" s="6" t="s">
        <v>199</v>
      </c>
      <c r="C4000" s="6">
        <v>25.93</v>
      </c>
      <c r="D4000" s="6">
        <v>29.52</v>
      </c>
      <c r="E4000" s="6">
        <v>28.59</v>
      </c>
      <c r="F4000" t="str">
        <f t="shared" si="1689"/>
        <v>TUE</v>
      </c>
      <c r="G4000" s="3">
        <f t="shared" si="1690"/>
        <v>44075</v>
      </c>
      <c r="H4000" s="2">
        <f t="shared" ca="1" si="1691"/>
        <v>178</v>
      </c>
      <c r="I4000" t="str">
        <f t="shared" si="1692"/>
        <v>SILVER</v>
      </c>
      <c r="J4000">
        <f t="shared" si="1693"/>
        <v>25.93</v>
      </c>
      <c r="K4000">
        <f t="shared" si="1694"/>
        <v>29.52</v>
      </c>
      <c r="L4000">
        <f t="shared" si="1695"/>
        <v>27.725000000000001</v>
      </c>
      <c r="M4000">
        <f t="shared" si="1696"/>
        <v>1.7949999999999999</v>
      </c>
      <c r="N4000">
        <f t="shared" si="1685"/>
        <v>3.59</v>
      </c>
      <c r="O4000">
        <f t="shared" si="1697"/>
        <v>28.59</v>
      </c>
      <c r="P4000">
        <f t="shared" si="1698"/>
        <v>0.48189415041782646</v>
      </c>
      <c r="Q4000" t="str">
        <f t="shared" si="1686"/>
        <v>9.3% | 3.25%</v>
      </c>
      <c r="R4000" t="str">
        <f t="shared" si="1699"/>
        <v>BULLISH</v>
      </c>
      <c r="S4000">
        <f t="shared" si="1687"/>
        <v>1</v>
      </c>
    </row>
    <row r="4001" spans="1:19" hidden="1" x14ac:dyDescent="0.25">
      <c r="A4001" s="5" t="str">
        <f t="shared" si="1688"/>
        <v>44075COPPER</v>
      </c>
      <c r="B4001" s="6" t="s">
        <v>182</v>
      </c>
      <c r="C4001" s="6">
        <v>2.92</v>
      </c>
      <c r="D4001" s="6">
        <v>3.07</v>
      </c>
      <c r="E4001" s="6">
        <v>3.06</v>
      </c>
      <c r="F4001" t="str">
        <f t="shared" si="1689"/>
        <v>TUE</v>
      </c>
      <c r="G4001" s="3">
        <f t="shared" si="1690"/>
        <v>44075</v>
      </c>
      <c r="H4001" s="2">
        <f t="shared" ca="1" si="1691"/>
        <v>178</v>
      </c>
      <c r="I4001" t="str">
        <f t="shared" si="1692"/>
        <v>COPPER</v>
      </c>
      <c r="J4001">
        <f t="shared" si="1693"/>
        <v>2.92</v>
      </c>
      <c r="K4001">
        <f t="shared" si="1694"/>
        <v>3.07</v>
      </c>
      <c r="L4001">
        <f t="shared" si="1695"/>
        <v>2.9950000000000001</v>
      </c>
      <c r="M4001">
        <f t="shared" si="1696"/>
        <v>7.4999999999999956E-2</v>
      </c>
      <c r="N4001">
        <f t="shared" si="1685"/>
        <v>0.14999999999999991</v>
      </c>
      <c r="O4001">
        <f t="shared" si="1697"/>
        <v>3.06</v>
      </c>
      <c r="P4001">
        <f t="shared" si="1698"/>
        <v>0.86666666666666647</v>
      </c>
      <c r="Q4001" t="str">
        <f t="shared" si="1686"/>
        <v>4.58% | 0.33%</v>
      </c>
      <c r="R4001" t="str">
        <f t="shared" si="1699"/>
        <v>BULLISH</v>
      </c>
      <c r="S4001">
        <f t="shared" si="1687"/>
        <v>1</v>
      </c>
    </row>
    <row r="4002" spans="1:19" hidden="1" x14ac:dyDescent="0.25">
      <c r="A4002" s="5" t="str">
        <f t="shared" si="1688"/>
        <v>44075MSFT</v>
      </c>
      <c r="B4002" s="6" t="s">
        <v>183</v>
      </c>
      <c r="C4002" s="6">
        <v>219</v>
      </c>
      <c r="D4002" s="6">
        <v>232</v>
      </c>
      <c r="E4002" s="6">
        <v>225</v>
      </c>
      <c r="F4002" t="str">
        <f t="shared" si="1689"/>
        <v>TUE</v>
      </c>
      <c r="G4002" s="3">
        <f t="shared" si="1690"/>
        <v>44075</v>
      </c>
      <c r="H4002" s="2">
        <f t="shared" ca="1" si="1691"/>
        <v>178</v>
      </c>
      <c r="I4002" t="str">
        <f t="shared" si="1692"/>
        <v>MSFT</v>
      </c>
      <c r="J4002">
        <f t="shared" si="1693"/>
        <v>219</v>
      </c>
      <c r="K4002">
        <f t="shared" si="1694"/>
        <v>232</v>
      </c>
      <c r="L4002">
        <f t="shared" si="1695"/>
        <v>225.5</v>
      </c>
      <c r="M4002">
        <f t="shared" si="1696"/>
        <v>6.5</v>
      </c>
      <c r="N4002">
        <f t="shared" si="1685"/>
        <v>13</v>
      </c>
      <c r="O4002">
        <f t="shared" si="1697"/>
        <v>225</v>
      </c>
      <c r="P4002">
        <f t="shared" si="1698"/>
        <v>-7.6923076923076927E-2</v>
      </c>
      <c r="Q4002" t="str">
        <f t="shared" si="1686"/>
        <v>2.67% | 3.11%</v>
      </c>
      <c r="R4002" t="str">
        <f t="shared" si="1699"/>
        <v>BULLISH</v>
      </c>
      <c r="S4002">
        <f t="shared" si="1687"/>
        <v>1</v>
      </c>
    </row>
    <row r="4003" spans="1:19" hidden="1" x14ac:dyDescent="0.25">
      <c r="A4003" s="5" t="str">
        <f t="shared" si="1688"/>
        <v>44075AAPL</v>
      </c>
      <c r="B4003" s="6" t="s">
        <v>184</v>
      </c>
      <c r="C4003" s="6">
        <v>116</v>
      </c>
      <c r="D4003" s="6">
        <v>133</v>
      </c>
      <c r="E4003" s="6">
        <v>129</v>
      </c>
      <c r="F4003" t="str">
        <f t="shared" si="1689"/>
        <v>TUE</v>
      </c>
      <c r="G4003" s="3">
        <f t="shared" si="1690"/>
        <v>44075</v>
      </c>
      <c r="H4003" s="2">
        <f t="shared" ca="1" si="1691"/>
        <v>178</v>
      </c>
      <c r="I4003" t="str">
        <f t="shared" si="1692"/>
        <v>AAPL</v>
      </c>
      <c r="J4003">
        <f t="shared" si="1693"/>
        <v>116</v>
      </c>
      <c r="K4003">
        <f t="shared" si="1694"/>
        <v>133</v>
      </c>
      <c r="L4003">
        <f t="shared" si="1695"/>
        <v>124.5</v>
      </c>
      <c r="M4003">
        <f t="shared" si="1696"/>
        <v>8.5</v>
      </c>
      <c r="N4003">
        <f t="shared" si="1685"/>
        <v>17</v>
      </c>
      <c r="O4003">
        <f t="shared" si="1697"/>
        <v>129</v>
      </c>
      <c r="P4003">
        <f t="shared" si="1698"/>
        <v>0.52941176470588236</v>
      </c>
      <c r="Q4003" t="str">
        <f t="shared" si="1686"/>
        <v>10.08% | 3.1%</v>
      </c>
      <c r="R4003" t="str">
        <f t="shared" si="1699"/>
        <v>BULLISH</v>
      </c>
      <c r="S4003">
        <f t="shared" si="1687"/>
        <v>1</v>
      </c>
    </row>
    <row r="4004" spans="1:19" hidden="1" x14ac:dyDescent="0.25">
      <c r="A4004" s="5" t="str">
        <f t="shared" si="1688"/>
        <v>44075AMZN</v>
      </c>
      <c r="B4004" s="6" t="s">
        <v>185</v>
      </c>
      <c r="C4004" s="6">
        <v>3304</v>
      </c>
      <c r="D4004" s="6">
        <v>3498</v>
      </c>
      <c r="E4004" s="6">
        <v>3450</v>
      </c>
      <c r="F4004" t="str">
        <f t="shared" si="1689"/>
        <v>TUE</v>
      </c>
      <c r="G4004" s="3">
        <f t="shared" si="1690"/>
        <v>44075</v>
      </c>
      <c r="H4004" s="2">
        <f t="shared" ca="1" si="1691"/>
        <v>178</v>
      </c>
      <c r="I4004" t="str">
        <f t="shared" si="1692"/>
        <v>AMZN</v>
      </c>
      <c r="J4004">
        <f t="shared" si="1693"/>
        <v>3304</v>
      </c>
      <c r="K4004">
        <f t="shared" si="1694"/>
        <v>3498</v>
      </c>
      <c r="L4004">
        <f t="shared" si="1695"/>
        <v>3401</v>
      </c>
      <c r="M4004">
        <f t="shared" si="1696"/>
        <v>97</v>
      </c>
      <c r="N4004">
        <f t="shared" si="1685"/>
        <v>194</v>
      </c>
      <c r="O4004">
        <f t="shared" si="1697"/>
        <v>3450</v>
      </c>
      <c r="P4004">
        <f t="shared" si="1698"/>
        <v>0.50515463917525771</v>
      </c>
      <c r="Q4004" t="str">
        <f t="shared" si="1686"/>
        <v>4.23% | 1.39%</v>
      </c>
      <c r="R4004" t="str">
        <f t="shared" si="1699"/>
        <v>BULLISH</v>
      </c>
      <c r="S4004">
        <f t="shared" si="1687"/>
        <v>1</v>
      </c>
    </row>
    <row r="4005" spans="1:19" hidden="1" x14ac:dyDescent="0.25">
      <c r="A4005" s="5" t="str">
        <f t="shared" si="1688"/>
        <v>44075FB</v>
      </c>
      <c r="B4005" s="6" t="s">
        <v>186</v>
      </c>
      <c r="C4005" s="6">
        <v>280</v>
      </c>
      <c r="D4005" s="6">
        <v>310</v>
      </c>
      <c r="E4005" s="6">
        <v>293</v>
      </c>
      <c r="F4005" t="str">
        <f t="shared" si="1689"/>
        <v>TUE</v>
      </c>
      <c r="G4005" s="3">
        <f t="shared" si="1690"/>
        <v>44075</v>
      </c>
      <c r="H4005" s="2">
        <f t="shared" ca="1" si="1691"/>
        <v>178</v>
      </c>
      <c r="I4005" t="str">
        <f t="shared" si="1692"/>
        <v>FB</v>
      </c>
      <c r="J4005">
        <f t="shared" si="1693"/>
        <v>280</v>
      </c>
      <c r="K4005">
        <f t="shared" si="1694"/>
        <v>310</v>
      </c>
      <c r="L4005">
        <f t="shared" si="1695"/>
        <v>295</v>
      </c>
      <c r="M4005">
        <f t="shared" si="1696"/>
        <v>15</v>
      </c>
      <c r="N4005">
        <f t="shared" si="1685"/>
        <v>30</v>
      </c>
      <c r="O4005">
        <f t="shared" si="1697"/>
        <v>293</v>
      </c>
      <c r="P4005">
        <f t="shared" si="1698"/>
        <v>-0.13333333333333333</v>
      </c>
      <c r="Q4005" t="str">
        <f t="shared" si="1686"/>
        <v>4.44% | 5.8%</v>
      </c>
      <c r="R4005" t="str">
        <f t="shared" si="1699"/>
        <v>BULLISH</v>
      </c>
      <c r="S4005">
        <f t="shared" si="1687"/>
        <v>1</v>
      </c>
    </row>
    <row r="4006" spans="1:19" hidden="1" x14ac:dyDescent="0.25">
      <c r="A4006" s="5" t="str">
        <f t="shared" si="1688"/>
        <v>44075GOOGL</v>
      </c>
      <c r="B4006" s="6" t="s">
        <v>187</v>
      </c>
      <c r="C4006" s="6">
        <v>1564</v>
      </c>
      <c r="D4006" s="6">
        <v>1678</v>
      </c>
      <c r="E4006" s="6">
        <v>1629</v>
      </c>
      <c r="F4006" t="str">
        <f t="shared" si="1689"/>
        <v>TUE</v>
      </c>
      <c r="G4006" s="3">
        <f t="shared" si="1690"/>
        <v>44075</v>
      </c>
      <c r="H4006" s="2">
        <f t="shared" ca="1" si="1691"/>
        <v>178</v>
      </c>
      <c r="I4006" t="str">
        <f t="shared" si="1692"/>
        <v>GOOGL</v>
      </c>
      <c r="J4006">
        <f t="shared" si="1693"/>
        <v>1564</v>
      </c>
      <c r="K4006">
        <f t="shared" si="1694"/>
        <v>1678</v>
      </c>
      <c r="L4006">
        <f t="shared" si="1695"/>
        <v>1621</v>
      </c>
      <c r="M4006">
        <f t="shared" si="1696"/>
        <v>57</v>
      </c>
      <c r="N4006">
        <f t="shared" si="1685"/>
        <v>114</v>
      </c>
      <c r="O4006">
        <f t="shared" si="1697"/>
        <v>1629</v>
      </c>
      <c r="P4006">
        <f t="shared" si="1698"/>
        <v>0.14035087719298245</v>
      </c>
      <c r="Q4006" t="str">
        <f t="shared" si="1686"/>
        <v>3.99% | 3.01%</v>
      </c>
      <c r="R4006" t="str">
        <f t="shared" si="1699"/>
        <v>BULLISH</v>
      </c>
      <c r="S4006">
        <f t="shared" si="1687"/>
        <v>1</v>
      </c>
    </row>
    <row r="4007" spans="1:19" hidden="1" x14ac:dyDescent="0.25">
      <c r="A4007" s="5" t="str">
        <f t="shared" si="1688"/>
        <v>44075NFLX</v>
      </c>
      <c r="B4007" s="6" t="s">
        <v>194</v>
      </c>
      <c r="C4007" s="6">
        <v>489</v>
      </c>
      <c r="D4007" s="6">
        <v>553</v>
      </c>
      <c r="E4007" s="6">
        <v>529</v>
      </c>
      <c r="F4007" t="str">
        <f t="shared" si="1689"/>
        <v>TUE</v>
      </c>
      <c r="G4007" s="3">
        <f t="shared" si="1690"/>
        <v>44075</v>
      </c>
      <c r="H4007" s="2">
        <f t="shared" ca="1" si="1691"/>
        <v>178</v>
      </c>
      <c r="I4007" t="str">
        <f t="shared" si="1692"/>
        <v>NFLX</v>
      </c>
      <c r="J4007">
        <f t="shared" si="1693"/>
        <v>489</v>
      </c>
      <c r="K4007">
        <f t="shared" si="1694"/>
        <v>553</v>
      </c>
      <c r="L4007">
        <f t="shared" si="1695"/>
        <v>521</v>
      </c>
      <c r="M4007">
        <f t="shared" si="1696"/>
        <v>32</v>
      </c>
      <c r="N4007">
        <f t="shared" si="1685"/>
        <v>64</v>
      </c>
      <c r="O4007">
        <f t="shared" si="1697"/>
        <v>529</v>
      </c>
      <c r="P4007">
        <f t="shared" si="1698"/>
        <v>0.25</v>
      </c>
      <c r="Q4007" t="str">
        <f t="shared" si="1686"/>
        <v>7.56% | 4.54%</v>
      </c>
      <c r="R4007" t="str">
        <f t="shared" si="1699"/>
        <v>BULLISH</v>
      </c>
      <c r="S4007">
        <f t="shared" si="1687"/>
        <v>1</v>
      </c>
    </row>
    <row r="4008" spans="1:19" x14ac:dyDescent="0.25">
      <c r="A4008" s="5" t="str">
        <f t="shared" si="1688"/>
        <v>44075TSLA</v>
      </c>
      <c r="B4008" s="6" t="s">
        <v>189</v>
      </c>
      <c r="C4008" s="6">
        <v>425</v>
      </c>
      <c r="D4008" s="6">
        <v>513</v>
      </c>
      <c r="E4008" s="6">
        <v>498</v>
      </c>
      <c r="F4008" t="str">
        <f t="shared" si="1689"/>
        <v>TUE</v>
      </c>
      <c r="G4008" s="3">
        <f t="shared" si="1690"/>
        <v>44075</v>
      </c>
      <c r="H4008" s="2">
        <f t="shared" ca="1" si="1691"/>
        <v>178</v>
      </c>
      <c r="I4008" t="str">
        <f t="shared" si="1692"/>
        <v>TSLA</v>
      </c>
      <c r="J4008">
        <f t="shared" si="1693"/>
        <v>425</v>
      </c>
      <c r="K4008">
        <f t="shared" si="1694"/>
        <v>513</v>
      </c>
      <c r="L4008">
        <f t="shared" si="1695"/>
        <v>469</v>
      </c>
      <c r="M4008">
        <f t="shared" si="1696"/>
        <v>44</v>
      </c>
      <c r="N4008">
        <f t="shared" si="1685"/>
        <v>88</v>
      </c>
      <c r="O4008">
        <f t="shared" si="1697"/>
        <v>498</v>
      </c>
      <c r="P4008">
        <f t="shared" si="1698"/>
        <v>0.65909090909090906</v>
      </c>
      <c r="Q4008" t="str">
        <f t="shared" si="1686"/>
        <v>14.66% | 3.01%</v>
      </c>
      <c r="R4008" t="str">
        <f t="shared" si="1699"/>
        <v>BULLISH</v>
      </c>
      <c r="S4008">
        <f t="shared" si="1687"/>
        <v>1</v>
      </c>
    </row>
    <row r="4009" spans="1:19" hidden="1" x14ac:dyDescent="0.25">
      <c r="A4009" s="5" t="str">
        <f t="shared" si="1688"/>
        <v>44075NYXBT</v>
      </c>
      <c r="B4009" s="6" t="s">
        <v>190</v>
      </c>
      <c r="C4009" s="6">
        <v>11209</v>
      </c>
      <c r="D4009" s="6">
        <v>12008</v>
      </c>
      <c r="E4009" s="6">
        <v>11726</v>
      </c>
      <c r="F4009" t="str">
        <f t="shared" si="1689"/>
        <v>TUE</v>
      </c>
      <c r="G4009" s="3">
        <f t="shared" si="1690"/>
        <v>44075</v>
      </c>
      <c r="H4009" s="2">
        <f t="shared" ca="1" si="1691"/>
        <v>178</v>
      </c>
      <c r="I4009" t="str">
        <f t="shared" si="1692"/>
        <v>NYXBT</v>
      </c>
      <c r="J4009">
        <f t="shared" si="1693"/>
        <v>11209</v>
      </c>
      <c r="K4009">
        <f t="shared" si="1694"/>
        <v>12008</v>
      </c>
      <c r="L4009">
        <f t="shared" si="1695"/>
        <v>11608.5</v>
      </c>
      <c r="M4009">
        <f t="shared" si="1696"/>
        <v>399.5</v>
      </c>
      <c r="N4009">
        <f t="shared" si="1685"/>
        <v>799</v>
      </c>
      <c r="O4009">
        <f t="shared" si="1697"/>
        <v>11726</v>
      </c>
      <c r="P4009">
        <f t="shared" si="1698"/>
        <v>0.29411764705882354</v>
      </c>
      <c r="Q4009" t="str">
        <f t="shared" si="1686"/>
        <v>4.41% | 2.4%</v>
      </c>
      <c r="R4009" t="str">
        <f t="shared" si="1699"/>
        <v>BULLISH</v>
      </c>
      <c r="S4009">
        <f t="shared" si="1687"/>
        <v>1</v>
      </c>
    </row>
    <row r="4010" spans="1:19" hidden="1" x14ac:dyDescent="0.25">
      <c r="A4010" s="5" t="str">
        <f t="shared" si="1688"/>
        <v>44076UST10Y</v>
      </c>
      <c r="B4010" s="6" t="s">
        <v>161</v>
      </c>
      <c r="C4010" s="6">
        <v>0.76</v>
      </c>
      <c r="D4010" s="6">
        <v>0.59</v>
      </c>
      <c r="E4010" s="6">
        <v>0.68</v>
      </c>
      <c r="F4010" t="str">
        <f t="shared" si="1689"/>
        <v>WED</v>
      </c>
      <c r="G4010" s="1">
        <f>DATE(2020,9,2)</f>
        <v>44076</v>
      </c>
      <c r="H4010" s="2">
        <f t="shared" ca="1" si="1691"/>
        <v>177</v>
      </c>
      <c r="I4010" t="str">
        <f t="shared" si="1692"/>
        <v>UST10Y</v>
      </c>
      <c r="J4010">
        <f t="shared" si="1693"/>
        <v>0.76</v>
      </c>
      <c r="K4010">
        <f t="shared" si="1694"/>
        <v>0.59</v>
      </c>
      <c r="L4010">
        <f t="shared" si="1695"/>
        <v>0.67500000000000004</v>
      </c>
      <c r="M4010">
        <f t="shared" si="1696"/>
        <v>8.4999999999999562E-2</v>
      </c>
      <c r="N4010">
        <f t="shared" si="1685"/>
        <v>0.17000000000000004</v>
      </c>
      <c r="O4010">
        <f t="shared" si="1697"/>
        <v>0.68</v>
      </c>
      <c r="P4010">
        <f t="shared" si="1698"/>
        <v>5.8823529411765059E-2</v>
      </c>
      <c r="Q4010" t="str">
        <f t="shared" si="1686"/>
        <v>11.76% | 13.24%</v>
      </c>
      <c r="R4010" t="str">
        <f t="shared" si="1699"/>
        <v>BEARISH</v>
      </c>
      <c r="S4010">
        <f t="shared" si="1687"/>
        <v>-1</v>
      </c>
    </row>
    <row r="4011" spans="1:19" hidden="1" x14ac:dyDescent="0.25">
      <c r="A4011" s="5" t="str">
        <f t="shared" si="1688"/>
        <v>44076UST2Y</v>
      </c>
      <c r="B4011" s="6" t="s">
        <v>162</v>
      </c>
      <c r="C4011" s="6">
        <v>0.16</v>
      </c>
      <c r="D4011" s="6">
        <v>0.11</v>
      </c>
      <c r="E4011" s="6">
        <v>0.13</v>
      </c>
      <c r="F4011" t="str">
        <f t="shared" ref="F4011:F4041" si="1700">UPPER(TEXT(G4011,"ddd"))</f>
        <v>WED</v>
      </c>
      <c r="G4011" s="1">
        <f t="shared" ref="G4011:G4040" si="1701">DATE(2020,9,2)</f>
        <v>44076</v>
      </c>
      <c r="H4011" s="2">
        <f t="shared" ref="H4011:H4041" ca="1" si="1702">TODAY()-G4011</f>
        <v>177</v>
      </c>
      <c r="I4011" t="str">
        <f t="shared" ref="I4011:I4041" si="1703">TRIM(LEFT(B4011,FIND(" ",B4011,1)))</f>
        <v>UST2Y</v>
      </c>
      <c r="J4011">
        <f t="shared" ref="J4011:J4041" si="1704">C4011</f>
        <v>0.16</v>
      </c>
      <c r="K4011">
        <f t="shared" ref="K4011:K4041" si="1705">D4011</f>
        <v>0.11</v>
      </c>
      <c r="L4011">
        <f t="shared" ref="L4011:L4041" si="1706">AVERAGE(J4011:K4011)</f>
        <v>0.13500000000000001</v>
      </c>
      <c r="M4011">
        <f t="shared" ref="M4011:M4041" si="1707">_xlfn.STDEV.P(J4011:K4011)</f>
        <v>2.4999999999999942E-2</v>
      </c>
      <c r="N4011">
        <f t="shared" si="1685"/>
        <v>0.05</v>
      </c>
      <c r="O4011">
        <f t="shared" ref="O4011:O4041" si="1708">E4011</f>
        <v>0.13</v>
      </c>
      <c r="P4011">
        <f t="shared" ref="P4011:P4041" si="1709">(O4011-L4011)/M4011</f>
        <v>-0.20000000000000065</v>
      </c>
      <c r="Q4011" t="str">
        <f t="shared" si="1686"/>
        <v>23.08% | 15.38%</v>
      </c>
      <c r="R4011" t="str">
        <f t="shared" ref="R4011:R4041" si="1710">MID(B4011,FIND("(",B4011,1)+1,FIND(")",B4011,1)-FIND("(",B4011,1)-1)</f>
        <v>BEARISH</v>
      </c>
      <c r="S4011">
        <f t="shared" si="1687"/>
        <v>-1</v>
      </c>
    </row>
    <row r="4012" spans="1:19" hidden="1" x14ac:dyDescent="0.25">
      <c r="A4012" s="5" t="str">
        <f t="shared" si="1688"/>
        <v>44076SPX</v>
      </c>
      <c r="B4012" s="6" t="s">
        <v>191</v>
      </c>
      <c r="C4012" s="6">
        <v>3381</v>
      </c>
      <c r="D4012" s="6">
        <v>3557</v>
      </c>
      <c r="E4012" s="6">
        <v>3526</v>
      </c>
      <c r="F4012" t="str">
        <f t="shared" si="1700"/>
        <v>WED</v>
      </c>
      <c r="G4012" s="1">
        <f t="shared" si="1701"/>
        <v>44076</v>
      </c>
      <c r="H4012" s="2">
        <f t="shared" ca="1" si="1702"/>
        <v>177</v>
      </c>
      <c r="I4012" t="str">
        <f t="shared" si="1703"/>
        <v>SPX</v>
      </c>
      <c r="J4012">
        <f t="shared" si="1704"/>
        <v>3381</v>
      </c>
      <c r="K4012">
        <f t="shared" si="1705"/>
        <v>3557</v>
      </c>
      <c r="L4012">
        <f t="shared" si="1706"/>
        <v>3469</v>
      </c>
      <c r="M4012">
        <f t="shared" si="1707"/>
        <v>88</v>
      </c>
      <c r="N4012">
        <f t="shared" si="1685"/>
        <v>176</v>
      </c>
      <c r="O4012">
        <f t="shared" si="1708"/>
        <v>3526</v>
      </c>
      <c r="P4012">
        <f t="shared" si="1709"/>
        <v>0.64772727272727271</v>
      </c>
      <c r="Q4012" t="str">
        <f t="shared" si="1686"/>
        <v>4.11% | 0.88%</v>
      </c>
      <c r="R4012" t="str">
        <f t="shared" si="1710"/>
        <v>BULLISH</v>
      </c>
      <c r="S4012">
        <f t="shared" si="1687"/>
        <v>1</v>
      </c>
    </row>
    <row r="4013" spans="1:19" hidden="1" x14ac:dyDescent="0.25">
      <c r="A4013" s="5" t="str">
        <f t="shared" si="1688"/>
        <v>44076RUT</v>
      </c>
      <c r="B4013" s="6" t="s">
        <v>164</v>
      </c>
      <c r="C4013" s="6">
        <v>1543</v>
      </c>
      <c r="D4013" s="6">
        <v>1588</v>
      </c>
      <c r="E4013" s="6">
        <v>1578</v>
      </c>
      <c r="F4013" t="str">
        <f t="shared" si="1700"/>
        <v>WED</v>
      </c>
      <c r="G4013" s="1">
        <f t="shared" si="1701"/>
        <v>44076</v>
      </c>
      <c r="H4013" s="2">
        <f t="shared" ca="1" si="1702"/>
        <v>177</v>
      </c>
      <c r="I4013" t="str">
        <f t="shared" si="1703"/>
        <v>RUT</v>
      </c>
      <c r="J4013">
        <f t="shared" si="1704"/>
        <v>1543</v>
      </c>
      <c r="K4013">
        <f t="shared" si="1705"/>
        <v>1588</v>
      </c>
      <c r="L4013">
        <f t="shared" si="1706"/>
        <v>1565.5</v>
      </c>
      <c r="M4013">
        <f t="shared" si="1707"/>
        <v>22.5</v>
      </c>
      <c r="N4013">
        <f t="shared" si="1685"/>
        <v>45</v>
      </c>
      <c r="O4013">
        <f t="shared" si="1708"/>
        <v>1578</v>
      </c>
      <c r="P4013">
        <f t="shared" si="1709"/>
        <v>0.55555555555555558</v>
      </c>
      <c r="Q4013" t="str">
        <f t="shared" si="1686"/>
        <v>2.22% | 0.63%</v>
      </c>
      <c r="R4013" t="str">
        <f t="shared" si="1710"/>
        <v>BEARISH</v>
      </c>
      <c r="S4013">
        <f t="shared" si="1687"/>
        <v>-1</v>
      </c>
    </row>
    <row r="4014" spans="1:19" hidden="1" x14ac:dyDescent="0.25">
      <c r="A4014" s="5" t="str">
        <f t="shared" si="1688"/>
        <v>44076COMPQ</v>
      </c>
      <c r="B4014" s="6" t="s">
        <v>165</v>
      </c>
      <c r="C4014" s="6">
        <v>11570</v>
      </c>
      <c r="D4014" s="6">
        <v>11999</v>
      </c>
      <c r="E4014" s="6">
        <v>11939</v>
      </c>
      <c r="F4014" t="str">
        <f t="shared" si="1700"/>
        <v>WED</v>
      </c>
      <c r="G4014" s="1">
        <f t="shared" si="1701"/>
        <v>44076</v>
      </c>
      <c r="H4014" s="2">
        <f t="shared" ca="1" si="1702"/>
        <v>177</v>
      </c>
      <c r="I4014" t="str">
        <f t="shared" si="1703"/>
        <v>COMPQ</v>
      </c>
      <c r="J4014">
        <f t="shared" si="1704"/>
        <v>11570</v>
      </c>
      <c r="K4014">
        <f t="shared" si="1705"/>
        <v>11999</v>
      </c>
      <c r="L4014">
        <f t="shared" si="1706"/>
        <v>11784.5</v>
      </c>
      <c r="M4014">
        <f t="shared" si="1707"/>
        <v>214.5</v>
      </c>
      <c r="N4014">
        <f t="shared" si="1685"/>
        <v>429</v>
      </c>
      <c r="O4014">
        <f t="shared" si="1708"/>
        <v>11939</v>
      </c>
      <c r="P4014">
        <f t="shared" si="1709"/>
        <v>0.72027972027972031</v>
      </c>
      <c r="Q4014" t="str">
        <f t="shared" si="1686"/>
        <v>3.09% | 0.5%</v>
      </c>
      <c r="R4014" t="str">
        <f t="shared" si="1710"/>
        <v>BULLISH</v>
      </c>
      <c r="S4014">
        <f t="shared" si="1687"/>
        <v>1</v>
      </c>
    </row>
    <row r="4015" spans="1:19" hidden="1" x14ac:dyDescent="0.25">
      <c r="A4015" s="5" t="str">
        <f t="shared" si="1688"/>
        <v>44076XLK</v>
      </c>
      <c r="B4015" s="6" t="s">
        <v>166</v>
      </c>
      <c r="C4015" s="6">
        <v>116.18</v>
      </c>
      <c r="D4015" s="6">
        <v>126.99</v>
      </c>
      <c r="E4015" s="6">
        <v>125.91</v>
      </c>
      <c r="F4015" t="str">
        <f t="shared" si="1700"/>
        <v>WED</v>
      </c>
      <c r="G4015" s="1">
        <f t="shared" si="1701"/>
        <v>44076</v>
      </c>
      <c r="H4015" s="2">
        <f t="shared" ca="1" si="1702"/>
        <v>177</v>
      </c>
      <c r="I4015" t="str">
        <f t="shared" si="1703"/>
        <v>XLK</v>
      </c>
      <c r="J4015">
        <f t="shared" si="1704"/>
        <v>116.18</v>
      </c>
      <c r="K4015">
        <f t="shared" si="1705"/>
        <v>126.99</v>
      </c>
      <c r="L4015">
        <f t="shared" si="1706"/>
        <v>121.58500000000001</v>
      </c>
      <c r="M4015">
        <f t="shared" si="1707"/>
        <v>5.404999999999994</v>
      </c>
      <c r="N4015">
        <f t="shared" si="1685"/>
        <v>10.809999999999988</v>
      </c>
      <c r="O4015">
        <f t="shared" si="1708"/>
        <v>125.91</v>
      </c>
      <c r="P4015">
        <f t="shared" si="1709"/>
        <v>0.80018501387603946</v>
      </c>
      <c r="Q4015" t="str">
        <f t="shared" si="1686"/>
        <v>7.73% | 0.86%</v>
      </c>
      <c r="R4015" t="str">
        <f t="shared" si="1710"/>
        <v>BULLISH</v>
      </c>
      <c r="S4015">
        <f t="shared" si="1687"/>
        <v>1</v>
      </c>
    </row>
    <row r="4016" spans="1:19" hidden="1" x14ac:dyDescent="0.25">
      <c r="A4016" s="5" t="str">
        <f t="shared" si="1688"/>
        <v>44076XLRE</v>
      </c>
      <c r="B4016" s="6" t="s">
        <v>167</v>
      </c>
      <c r="C4016" s="6">
        <v>35.4</v>
      </c>
      <c r="D4016" s="6">
        <v>36.799999999999997</v>
      </c>
      <c r="E4016" s="6">
        <v>36.19</v>
      </c>
      <c r="F4016" t="str">
        <f t="shared" si="1700"/>
        <v>WED</v>
      </c>
      <c r="G4016" s="1">
        <f t="shared" si="1701"/>
        <v>44076</v>
      </c>
      <c r="H4016" s="2">
        <f t="shared" ca="1" si="1702"/>
        <v>177</v>
      </c>
      <c r="I4016" t="str">
        <f t="shared" si="1703"/>
        <v>XLRE</v>
      </c>
      <c r="J4016">
        <f t="shared" si="1704"/>
        <v>35.4</v>
      </c>
      <c r="K4016">
        <f t="shared" si="1705"/>
        <v>36.799999999999997</v>
      </c>
      <c r="L4016">
        <f t="shared" si="1706"/>
        <v>36.099999999999994</v>
      </c>
      <c r="M4016">
        <f t="shared" si="1707"/>
        <v>0.69999999999999929</v>
      </c>
      <c r="N4016">
        <f t="shared" si="1685"/>
        <v>1.3999999999999986</v>
      </c>
      <c r="O4016">
        <f t="shared" si="1708"/>
        <v>36.19</v>
      </c>
      <c r="P4016">
        <f t="shared" si="1709"/>
        <v>0.12857142857143358</v>
      </c>
      <c r="Q4016" t="str">
        <f t="shared" si="1686"/>
        <v>2.18% | 1.69%</v>
      </c>
      <c r="R4016" t="str">
        <f t="shared" si="1710"/>
        <v>BULLISH</v>
      </c>
      <c r="S4016">
        <f t="shared" si="1687"/>
        <v>1</v>
      </c>
    </row>
    <row r="4017" spans="1:19" hidden="1" x14ac:dyDescent="0.25">
      <c r="A4017" s="5" t="str">
        <f t="shared" si="1688"/>
        <v>44076XLU</v>
      </c>
      <c r="B4017" s="6" t="s">
        <v>168</v>
      </c>
      <c r="C4017" s="6">
        <v>58.29</v>
      </c>
      <c r="D4017" s="6">
        <v>60.16</v>
      </c>
      <c r="E4017" s="6">
        <v>58.57</v>
      </c>
      <c r="F4017" t="str">
        <f t="shared" si="1700"/>
        <v>WED</v>
      </c>
      <c r="G4017" s="1">
        <f t="shared" si="1701"/>
        <v>44076</v>
      </c>
      <c r="H4017" s="2">
        <f t="shared" ca="1" si="1702"/>
        <v>177</v>
      </c>
      <c r="I4017" t="str">
        <f t="shared" si="1703"/>
        <v>XLU</v>
      </c>
      <c r="J4017">
        <f t="shared" si="1704"/>
        <v>58.29</v>
      </c>
      <c r="K4017">
        <f t="shared" si="1705"/>
        <v>60.16</v>
      </c>
      <c r="L4017">
        <f t="shared" si="1706"/>
        <v>59.224999999999994</v>
      </c>
      <c r="M4017">
        <f t="shared" si="1707"/>
        <v>0.93499999999999872</v>
      </c>
      <c r="N4017">
        <f t="shared" si="1685"/>
        <v>1.8699999999999974</v>
      </c>
      <c r="O4017">
        <f t="shared" si="1708"/>
        <v>58.57</v>
      </c>
      <c r="P4017">
        <f t="shared" si="1709"/>
        <v>-0.70053475935828335</v>
      </c>
      <c r="Q4017" t="str">
        <f t="shared" si="1686"/>
        <v>0.48% | 2.71%</v>
      </c>
      <c r="R4017" t="str">
        <f t="shared" si="1710"/>
        <v>BULLISH</v>
      </c>
      <c r="S4017">
        <f t="shared" si="1687"/>
        <v>1</v>
      </c>
    </row>
    <row r="4018" spans="1:19" hidden="1" x14ac:dyDescent="0.25">
      <c r="A4018" s="5" t="str">
        <f t="shared" si="1688"/>
        <v>44076XLF</v>
      </c>
      <c r="B4018" s="6" t="s">
        <v>169</v>
      </c>
      <c r="C4018" s="6">
        <v>24.18</v>
      </c>
      <c r="D4018" s="6">
        <v>25.65</v>
      </c>
      <c r="E4018" s="6">
        <v>25.13</v>
      </c>
      <c r="F4018" t="str">
        <f t="shared" si="1700"/>
        <v>WED</v>
      </c>
      <c r="G4018" s="1">
        <f t="shared" si="1701"/>
        <v>44076</v>
      </c>
      <c r="H4018" s="2">
        <f t="shared" ca="1" si="1702"/>
        <v>177</v>
      </c>
      <c r="I4018" t="str">
        <f t="shared" si="1703"/>
        <v>XLF</v>
      </c>
      <c r="J4018">
        <f t="shared" si="1704"/>
        <v>24.18</v>
      </c>
      <c r="K4018">
        <f t="shared" si="1705"/>
        <v>25.65</v>
      </c>
      <c r="L4018">
        <f t="shared" si="1706"/>
        <v>24.914999999999999</v>
      </c>
      <c r="M4018">
        <f t="shared" si="1707"/>
        <v>0.73499999999999943</v>
      </c>
      <c r="N4018">
        <f t="shared" si="1685"/>
        <v>1.4699999999999989</v>
      </c>
      <c r="O4018">
        <f t="shared" si="1708"/>
        <v>25.13</v>
      </c>
      <c r="P4018">
        <f t="shared" si="1709"/>
        <v>0.29251700680272114</v>
      </c>
      <c r="Q4018" t="str">
        <f t="shared" si="1686"/>
        <v>3.78% | 2.07%</v>
      </c>
      <c r="R4018" t="str">
        <f t="shared" si="1710"/>
        <v>BEARISH</v>
      </c>
      <c r="S4018">
        <f t="shared" si="1687"/>
        <v>-1</v>
      </c>
    </row>
    <row r="4019" spans="1:19" hidden="1" x14ac:dyDescent="0.25">
      <c r="A4019" s="5" t="str">
        <f t="shared" si="1688"/>
        <v>44076SSEC</v>
      </c>
      <c r="B4019" s="6" t="s">
        <v>170</v>
      </c>
      <c r="C4019" s="6">
        <v>3324</v>
      </c>
      <c r="D4019" s="6">
        <v>3436</v>
      </c>
      <c r="E4019" s="6">
        <v>3404</v>
      </c>
      <c r="F4019" t="str">
        <f t="shared" si="1700"/>
        <v>WED</v>
      </c>
      <c r="G4019" s="1">
        <f t="shared" si="1701"/>
        <v>44076</v>
      </c>
      <c r="H4019" s="2">
        <f t="shared" ca="1" si="1702"/>
        <v>177</v>
      </c>
      <c r="I4019" t="str">
        <f t="shared" si="1703"/>
        <v>SSEC</v>
      </c>
      <c r="J4019">
        <f t="shared" si="1704"/>
        <v>3324</v>
      </c>
      <c r="K4019">
        <f t="shared" si="1705"/>
        <v>3436</v>
      </c>
      <c r="L4019">
        <f t="shared" si="1706"/>
        <v>3380</v>
      </c>
      <c r="M4019">
        <f t="shared" si="1707"/>
        <v>56</v>
      </c>
      <c r="N4019">
        <f t="shared" si="1685"/>
        <v>112</v>
      </c>
      <c r="O4019">
        <f t="shared" si="1708"/>
        <v>3404</v>
      </c>
      <c r="P4019">
        <f t="shared" si="1709"/>
        <v>0.42857142857142855</v>
      </c>
      <c r="Q4019" t="str">
        <f t="shared" si="1686"/>
        <v>2.35% | 0.94%</v>
      </c>
      <c r="R4019" t="str">
        <f t="shared" si="1710"/>
        <v>BULLISH</v>
      </c>
      <c r="S4019">
        <f t="shared" si="1687"/>
        <v>1</v>
      </c>
    </row>
    <row r="4020" spans="1:19" hidden="1" x14ac:dyDescent="0.25">
      <c r="A4020" s="5" t="str">
        <f t="shared" si="1688"/>
        <v>44076NIKK</v>
      </c>
      <c r="B4020" s="6" t="s">
        <v>201</v>
      </c>
      <c r="C4020" s="6">
        <v>22765</v>
      </c>
      <c r="D4020" s="6">
        <v>23402</v>
      </c>
      <c r="E4020" s="6">
        <v>23247</v>
      </c>
      <c r="F4020" t="str">
        <f t="shared" si="1700"/>
        <v>WED</v>
      </c>
      <c r="G4020" s="1">
        <f t="shared" si="1701"/>
        <v>44076</v>
      </c>
      <c r="H4020" s="2">
        <f t="shared" ca="1" si="1702"/>
        <v>177</v>
      </c>
      <c r="I4020" t="str">
        <f t="shared" si="1703"/>
        <v>NIKK</v>
      </c>
      <c r="J4020">
        <f t="shared" si="1704"/>
        <v>22765</v>
      </c>
      <c r="K4020">
        <f t="shared" si="1705"/>
        <v>23402</v>
      </c>
      <c r="L4020">
        <f t="shared" si="1706"/>
        <v>23083.5</v>
      </c>
      <c r="M4020">
        <f t="shared" si="1707"/>
        <v>318.5</v>
      </c>
      <c r="N4020">
        <f t="shared" si="1685"/>
        <v>637</v>
      </c>
      <c r="O4020">
        <f t="shared" si="1708"/>
        <v>23247</v>
      </c>
      <c r="P4020">
        <f t="shared" si="1709"/>
        <v>0.5133437990580848</v>
      </c>
      <c r="Q4020" t="str">
        <f t="shared" si="1686"/>
        <v>2.07% | 0.67%</v>
      </c>
      <c r="R4020" t="str">
        <f t="shared" si="1710"/>
        <v>BULLISH</v>
      </c>
      <c r="S4020">
        <f t="shared" si="1687"/>
        <v>1</v>
      </c>
    </row>
    <row r="4021" spans="1:19" hidden="1" x14ac:dyDescent="0.25">
      <c r="A4021" s="5" t="str">
        <f t="shared" si="1688"/>
        <v>44076DAX</v>
      </c>
      <c r="B4021" s="6" t="s">
        <v>172</v>
      </c>
      <c r="C4021" s="6">
        <v>12758</v>
      </c>
      <c r="D4021" s="6">
        <v>13291</v>
      </c>
      <c r="E4021" s="6">
        <v>12974</v>
      </c>
      <c r="F4021" t="str">
        <f t="shared" si="1700"/>
        <v>WED</v>
      </c>
      <c r="G4021" s="1">
        <f t="shared" si="1701"/>
        <v>44076</v>
      </c>
      <c r="H4021" s="2">
        <f t="shared" ca="1" si="1702"/>
        <v>177</v>
      </c>
      <c r="I4021" t="str">
        <f t="shared" si="1703"/>
        <v>DAX</v>
      </c>
      <c r="J4021">
        <f t="shared" si="1704"/>
        <v>12758</v>
      </c>
      <c r="K4021">
        <f t="shared" si="1705"/>
        <v>13291</v>
      </c>
      <c r="L4021">
        <f t="shared" si="1706"/>
        <v>13024.5</v>
      </c>
      <c r="M4021">
        <f t="shared" si="1707"/>
        <v>266.5</v>
      </c>
      <c r="N4021">
        <f t="shared" si="1685"/>
        <v>533</v>
      </c>
      <c r="O4021">
        <f t="shared" si="1708"/>
        <v>12974</v>
      </c>
      <c r="P4021">
        <f t="shared" si="1709"/>
        <v>-0.18949343339587241</v>
      </c>
      <c r="Q4021" t="str">
        <f t="shared" si="1686"/>
        <v>1.66% | 2.44%</v>
      </c>
      <c r="R4021" t="str">
        <f t="shared" si="1710"/>
        <v>BULLISH</v>
      </c>
      <c r="S4021">
        <f t="shared" si="1687"/>
        <v>1</v>
      </c>
    </row>
    <row r="4022" spans="1:19" hidden="1" x14ac:dyDescent="0.25">
      <c r="A4022" s="5" t="str">
        <f t="shared" si="1688"/>
        <v>44076VIX</v>
      </c>
      <c r="B4022" s="6" t="s">
        <v>192</v>
      </c>
      <c r="C4022" s="6">
        <v>22.04</v>
      </c>
      <c r="D4022" s="6">
        <v>28.29</v>
      </c>
      <c r="E4022" s="6">
        <v>26.12</v>
      </c>
      <c r="F4022" t="str">
        <f t="shared" si="1700"/>
        <v>WED</v>
      </c>
      <c r="G4022" s="1">
        <f t="shared" si="1701"/>
        <v>44076</v>
      </c>
      <c r="H4022" s="2">
        <f t="shared" ca="1" si="1702"/>
        <v>177</v>
      </c>
      <c r="I4022" t="str">
        <f t="shared" si="1703"/>
        <v>VIX</v>
      </c>
      <c r="J4022">
        <f t="shared" si="1704"/>
        <v>22.04</v>
      </c>
      <c r="K4022">
        <f t="shared" si="1705"/>
        <v>28.29</v>
      </c>
      <c r="L4022">
        <f t="shared" si="1706"/>
        <v>25.164999999999999</v>
      </c>
      <c r="M4022">
        <f t="shared" si="1707"/>
        <v>3.125</v>
      </c>
      <c r="N4022">
        <f t="shared" si="1685"/>
        <v>6.25</v>
      </c>
      <c r="O4022">
        <f t="shared" si="1708"/>
        <v>26.12</v>
      </c>
      <c r="P4022">
        <f t="shared" si="1709"/>
        <v>0.30560000000000059</v>
      </c>
      <c r="Q4022" t="str">
        <f t="shared" si="1686"/>
        <v>15.62% | 8.31%</v>
      </c>
      <c r="R4022" t="str">
        <f t="shared" si="1710"/>
        <v>BEARISH</v>
      </c>
      <c r="S4022">
        <f t="shared" si="1687"/>
        <v>-1</v>
      </c>
    </row>
    <row r="4023" spans="1:19" hidden="1" x14ac:dyDescent="0.25">
      <c r="A4023" s="5" t="str">
        <f t="shared" si="1688"/>
        <v>44076USD</v>
      </c>
      <c r="B4023" s="6" t="s">
        <v>174</v>
      </c>
      <c r="C4023" s="6">
        <v>91.95</v>
      </c>
      <c r="D4023" s="6">
        <v>93.39</v>
      </c>
      <c r="E4023" s="6">
        <v>92.34</v>
      </c>
      <c r="F4023" t="str">
        <f t="shared" si="1700"/>
        <v>WED</v>
      </c>
      <c r="G4023" s="1">
        <f t="shared" si="1701"/>
        <v>44076</v>
      </c>
      <c r="H4023" s="2">
        <f t="shared" ca="1" si="1702"/>
        <v>177</v>
      </c>
      <c r="I4023" t="str">
        <f t="shared" si="1703"/>
        <v>USD</v>
      </c>
      <c r="J4023">
        <f t="shared" si="1704"/>
        <v>91.95</v>
      </c>
      <c r="K4023">
        <f t="shared" si="1705"/>
        <v>93.39</v>
      </c>
      <c r="L4023">
        <f t="shared" si="1706"/>
        <v>92.67</v>
      </c>
      <c r="M4023">
        <f t="shared" si="1707"/>
        <v>0.71999999999999886</v>
      </c>
      <c r="N4023">
        <f t="shared" si="1685"/>
        <v>1.4399999999999977</v>
      </c>
      <c r="O4023">
        <f t="shared" si="1708"/>
        <v>92.34</v>
      </c>
      <c r="P4023">
        <f t="shared" si="1709"/>
        <v>-0.45833333333333171</v>
      </c>
      <c r="Q4023" t="str">
        <f t="shared" si="1686"/>
        <v>0.42% | 1.14%</v>
      </c>
      <c r="R4023" t="str">
        <f t="shared" si="1710"/>
        <v>BEARISH</v>
      </c>
      <c r="S4023">
        <f t="shared" si="1687"/>
        <v>-1</v>
      </c>
    </row>
    <row r="4024" spans="1:19" hidden="1" x14ac:dyDescent="0.25">
      <c r="A4024" s="5" t="str">
        <f t="shared" si="1688"/>
        <v>44076EUR/USD</v>
      </c>
      <c r="B4024" s="6" t="s">
        <v>175</v>
      </c>
      <c r="C4024" s="6">
        <v>1.18</v>
      </c>
      <c r="D4024" s="6">
        <v>1.2</v>
      </c>
      <c r="E4024" s="6">
        <v>1.19</v>
      </c>
      <c r="F4024" t="str">
        <f t="shared" si="1700"/>
        <v>WED</v>
      </c>
      <c r="G4024" s="1">
        <f t="shared" si="1701"/>
        <v>44076</v>
      </c>
      <c r="H4024" s="2">
        <f t="shared" ca="1" si="1702"/>
        <v>177</v>
      </c>
      <c r="I4024" t="str">
        <f t="shared" si="1703"/>
        <v>EUR/USD</v>
      </c>
      <c r="J4024">
        <f t="shared" si="1704"/>
        <v>1.18</v>
      </c>
      <c r="K4024">
        <f t="shared" si="1705"/>
        <v>1.2</v>
      </c>
      <c r="L4024">
        <f t="shared" si="1706"/>
        <v>1.19</v>
      </c>
      <c r="M4024">
        <f t="shared" si="1707"/>
        <v>1.0000000000000009E-2</v>
      </c>
      <c r="N4024">
        <f t="shared" si="1685"/>
        <v>2.0000000000000018E-2</v>
      </c>
      <c r="O4024">
        <f t="shared" si="1708"/>
        <v>1.19</v>
      </c>
      <c r="P4024">
        <f t="shared" si="1709"/>
        <v>0</v>
      </c>
      <c r="Q4024" t="str">
        <f t="shared" si="1686"/>
        <v>0.84% | 0.84%</v>
      </c>
      <c r="R4024" t="str">
        <f t="shared" si="1710"/>
        <v>BULLISH</v>
      </c>
      <c r="S4024">
        <f t="shared" si="1687"/>
        <v>1</v>
      </c>
    </row>
    <row r="4025" spans="1:19" hidden="1" x14ac:dyDescent="0.25">
      <c r="A4025" s="5" t="str">
        <f t="shared" si="1688"/>
        <v>44076USD/JPY</v>
      </c>
      <c r="B4025" s="6" t="s">
        <v>176</v>
      </c>
      <c r="C4025" s="6">
        <v>105.12</v>
      </c>
      <c r="D4025" s="6">
        <v>106.78</v>
      </c>
      <c r="E4025" s="6">
        <v>105.94</v>
      </c>
      <c r="F4025" t="str">
        <f t="shared" si="1700"/>
        <v>WED</v>
      </c>
      <c r="G4025" s="1">
        <f t="shared" si="1701"/>
        <v>44076</v>
      </c>
      <c r="H4025" s="2">
        <f t="shared" ca="1" si="1702"/>
        <v>177</v>
      </c>
      <c r="I4025" t="str">
        <f t="shared" si="1703"/>
        <v>USD/JPY</v>
      </c>
      <c r="J4025">
        <f t="shared" si="1704"/>
        <v>105.12</v>
      </c>
      <c r="K4025">
        <f t="shared" si="1705"/>
        <v>106.78</v>
      </c>
      <c r="L4025">
        <f t="shared" si="1706"/>
        <v>105.95</v>
      </c>
      <c r="M4025">
        <f t="shared" si="1707"/>
        <v>0.82999999999999829</v>
      </c>
      <c r="N4025">
        <f t="shared" si="1685"/>
        <v>1.6599999999999966</v>
      </c>
      <c r="O4025">
        <f t="shared" si="1708"/>
        <v>105.94</v>
      </c>
      <c r="P4025">
        <f t="shared" si="1709"/>
        <v>-1.2048192771090526E-2</v>
      </c>
      <c r="Q4025" t="str">
        <f t="shared" si="1686"/>
        <v>0.77% | 0.79%</v>
      </c>
      <c r="R4025" t="str">
        <f t="shared" si="1710"/>
        <v>BEARISH</v>
      </c>
      <c r="S4025">
        <f t="shared" si="1687"/>
        <v>-1</v>
      </c>
    </row>
    <row r="4026" spans="1:19" hidden="1" x14ac:dyDescent="0.25">
      <c r="A4026" s="5" t="str">
        <f t="shared" si="1688"/>
        <v>44076GBP/USD</v>
      </c>
      <c r="B4026" s="6" t="s">
        <v>177</v>
      </c>
      <c r="C4026" s="6">
        <v>1.31</v>
      </c>
      <c r="D4026" s="6">
        <v>1.34</v>
      </c>
      <c r="E4026" s="6">
        <v>1.34</v>
      </c>
      <c r="F4026" t="str">
        <f t="shared" si="1700"/>
        <v>WED</v>
      </c>
      <c r="G4026" s="1">
        <f t="shared" si="1701"/>
        <v>44076</v>
      </c>
      <c r="H4026" s="2">
        <f t="shared" ca="1" si="1702"/>
        <v>177</v>
      </c>
      <c r="I4026" t="str">
        <f t="shared" si="1703"/>
        <v>GBP/USD</v>
      </c>
      <c r="J4026">
        <f t="shared" si="1704"/>
        <v>1.31</v>
      </c>
      <c r="K4026">
        <f t="shared" si="1705"/>
        <v>1.34</v>
      </c>
      <c r="L4026">
        <f t="shared" si="1706"/>
        <v>1.3250000000000002</v>
      </c>
      <c r="M4026">
        <f t="shared" si="1707"/>
        <v>1.5000000000000013E-2</v>
      </c>
      <c r="N4026">
        <f t="shared" si="1685"/>
        <v>3.0000000000000027E-2</v>
      </c>
      <c r="O4026">
        <f t="shared" si="1708"/>
        <v>1.34</v>
      </c>
      <c r="P4026">
        <f t="shared" si="1709"/>
        <v>0.99999999999999256</v>
      </c>
      <c r="Q4026" t="str">
        <f t="shared" si="1686"/>
        <v>2.24% | 0%</v>
      </c>
      <c r="R4026" t="str">
        <f t="shared" si="1710"/>
        <v>BULLISH</v>
      </c>
      <c r="S4026">
        <f t="shared" si="1687"/>
        <v>1</v>
      </c>
    </row>
    <row r="4027" spans="1:19" hidden="1" x14ac:dyDescent="0.25">
      <c r="A4027" s="5" t="str">
        <f t="shared" si="1688"/>
        <v>44076USD/CHF</v>
      </c>
      <c r="B4027" s="6" t="s">
        <v>178</v>
      </c>
      <c r="C4027" s="6">
        <v>0.89</v>
      </c>
      <c r="D4027" s="6">
        <v>0.91</v>
      </c>
      <c r="E4027" s="6">
        <v>0.9</v>
      </c>
      <c r="F4027" t="str">
        <f t="shared" si="1700"/>
        <v>WED</v>
      </c>
      <c r="G4027" s="1">
        <f t="shared" si="1701"/>
        <v>44076</v>
      </c>
      <c r="H4027" s="2">
        <f t="shared" ca="1" si="1702"/>
        <v>177</v>
      </c>
      <c r="I4027" t="str">
        <f t="shared" si="1703"/>
        <v>USD/CHF</v>
      </c>
      <c r="J4027">
        <f t="shared" si="1704"/>
        <v>0.89</v>
      </c>
      <c r="K4027">
        <f t="shared" si="1705"/>
        <v>0.91</v>
      </c>
      <c r="L4027">
        <f t="shared" si="1706"/>
        <v>0.9</v>
      </c>
      <c r="M4027">
        <f t="shared" si="1707"/>
        <v>1.0000000000000009E-2</v>
      </c>
      <c r="N4027">
        <f t="shared" si="1685"/>
        <v>2.0000000000000018E-2</v>
      </c>
      <c r="O4027">
        <f t="shared" si="1708"/>
        <v>0.9</v>
      </c>
      <c r="P4027">
        <f t="shared" si="1709"/>
        <v>0</v>
      </c>
      <c r="Q4027" t="str">
        <f t="shared" si="1686"/>
        <v>1.11% | 1.11%</v>
      </c>
      <c r="R4027" t="str">
        <f t="shared" si="1710"/>
        <v>BEARISH</v>
      </c>
      <c r="S4027">
        <f t="shared" si="1687"/>
        <v>-1</v>
      </c>
    </row>
    <row r="4028" spans="1:19" hidden="1" x14ac:dyDescent="0.25">
      <c r="A4028" s="5" t="str">
        <f t="shared" si="1688"/>
        <v>44076WTIC</v>
      </c>
      <c r="B4028" s="6" t="s">
        <v>179</v>
      </c>
      <c r="C4028" s="6">
        <v>42.09</v>
      </c>
      <c r="D4028" s="6">
        <v>43.6</v>
      </c>
      <c r="E4028" s="6">
        <v>42.76</v>
      </c>
      <c r="F4028" t="str">
        <f t="shared" si="1700"/>
        <v>WED</v>
      </c>
      <c r="G4028" s="1">
        <f t="shared" si="1701"/>
        <v>44076</v>
      </c>
      <c r="H4028" s="2">
        <f t="shared" ca="1" si="1702"/>
        <v>177</v>
      </c>
      <c r="I4028" t="str">
        <f t="shared" si="1703"/>
        <v>WTIC</v>
      </c>
      <c r="J4028">
        <f t="shared" si="1704"/>
        <v>42.09</v>
      </c>
      <c r="K4028">
        <f t="shared" si="1705"/>
        <v>43.6</v>
      </c>
      <c r="L4028">
        <f t="shared" si="1706"/>
        <v>42.844999999999999</v>
      </c>
      <c r="M4028">
        <f t="shared" si="1707"/>
        <v>0.75499999999999901</v>
      </c>
      <c r="N4028">
        <f t="shared" si="1685"/>
        <v>1.509999999999998</v>
      </c>
      <c r="O4028">
        <f t="shared" si="1708"/>
        <v>42.76</v>
      </c>
      <c r="P4028">
        <f t="shared" si="1709"/>
        <v>-0.11258278145695493</v>
      </c>
      <c r="Q4028" t="str">
        <f t="shared" si="1686"/>
        <v>1.57% | 1.96%</v>
      </c>
      <c r="R4028" t="str">
        <f t="shared" si="1710"/>
        <v>BULLISH</v>
      </c>
      <c r="S4028">
        <f t="shared" si="1687"/>
        <v>1</v>
      </c>
    </row>
    <row r="4029" spans="1:19" hidden="1" x14ac:dyDescent="0.25">
      <c r="A4029" s="5" t="str">
        <f t="shared" si="1688"/>
        <v>44076NATGAS</v>
      </c>
      <c r="B4029" s="6" t="s">
        <v>180</v>
      </c>
      <c r="C4029" s="6">
        <v>2.36</v>
      </c>
      <c r="D4029" s="6">
        <v>2.78</v>
      </c>
      <c r="E4029" s="6">
        <v>2.5299999999999998</v>
      </c>
      <c r="F4029" t="str">
        <f t="shared" si="1700"/>
        <v>WED</v>
      </c>
      <c r="G4029" s="1">
        <f t="shared" si="1701"/>
        <v>44076</v>
      </c>
      <c r="H4029" s="2">
        <f t="shared" ca="1" si="1702"/>
        <v>177</v>
      </c>
      <c r="I4029" t="str">
        <f t="shared" si="1703"/>
        <v>NATGAS</v>
      </c>
      <c r="J4029">
        <f t="shared" si="1704"/>
        <v>2.36</v>
      </c>
      <c r="K4029">
        <f t="shared" si="1705"/>
        <v>2.78</v>
      </c>
      <c r="L4029">
        <f t="shared" si="1706"/>
        <v>2.57</v>
      </c>
      <c r="M4029">
        <f t="shared" si="1707"/>
        <v>0.20999999999999996</v>
      </c>
      <c r="N4029">
        <f t="shared" si="1685"/>
        <v>0.41999999999999993</v>
      </c>
      <c r="O4029">
        <f t="shared" si="1708"/>
        <v>2.5299999999999998</v>
      </c>
      <c r="P4029">
        <f t="shared" si="1709"/>
        <v>-0.19047619047619069</v>
      </c>
      <c r="Q4029" t="str">
        <f t="shared" si="1686"/>
        <v>6.72% | 9.88%</v>
      </c>
      <c r="R4029" t="str">
        <f t="shared" si="1710"/>
        <v>BULLISH</v>
      </c>
      <c r="S4029">
        <f t="shared" si="1687"/>
        <v>1</v>
      </c>
    </row>
    <row r="4030" spans="1:19" hidden="1" x14ac:dyDescent="0.25">
      <c r="A4030" s="5" t="str">
        <f t="shared" si="1688"/>
        <v>44076GOLD</v>
      </c>
      <c r="B4030" s="6" t="s">
        <v>181</v>
      </c>
      <c r="C4030" s="6">
        <v>1912</v>
      </c>
      <c r="D4030" s="6">
        <v>1996</v>
      </c>
      <c r="E4030" s="6">
        <v>1978</v>
      </c>
      <c r="F4030" t="str">
        <f t="shared" si="1700"/>
        <v>WED</v>
      </c>
      <c r="G4030" s="1">
        <f t="shared" si="1701"/>
        <v>44076</v>
      </c>
      <c r="H4030" s="2">
        <f t="shared" ca="1" si="1702"/>
        <v>177</v>
      </c>
      <c r="I4030" t="str">
        <f t="shared" si="1703"/>
        <v>GOLD</v>
      </c>
      <c r="J4030">
        <f t="shared" si="1704"/>
        <v>1912</v>
      </c>
      <c r="K4030">
        <f t="shared" si="1705"/>
        <v>1996</v>
      </c>
      <c r="L4030">
        <f t="shared" si="1706"/>
        <v>1954</v>
      </c>
      <c r="M4030">
        <f t="shared" si="1707"/>
        <v>42</v>
      </c>
      <c r="N4030">
        <f t="shared" si="1685"/>
        <v>84</v>
      </c>
      <c r="O4030">
        <f t="shared" si="1708"/>
        <v>1978</v>
      </c>
      <c r="P4030">
        <f t="shared" si="1709"/>
        <v>0.5714285714285714</v>
      </c>
      <c r="Q4030" t="str">
        <f t="shared" si="1686"/>
        <v>3.34% | 0.91%</v>
      </c>
      <c r="R4030" t="str">
        <f t="shared" si="1710"/>
        <v>BULLISH</v>
      </c>
      <c r="S4030">
        <f t="shared" si="1687"/>
        <v>1</v>
      </c>
    </row>
    <row r="4031" spans="1:19" hidden="1" x14ac:dyDescent="0.25">
      <c r="A4031" s="5" t="str">
        <f t="shared" si="1688"/>
        <v>44076SILVER</v>
      </c>
      <c r="B4031" s="6" t="s">
        <v>199</v>
      </c>
      <c r="C4031" s="6">
        <v>25.7</v>
      </c>
      <c r="D4031" s="6">
        <v>29.05</v>
      </c>
      <c r="E4031" s="6">
        <v>28.65</v>
      </c>
      <c r="F4031" t="str">
        <f t="shared" si="1700"/>
        <v>WED</v>
      </c>
      <c r="G4031" s="1">
        <f t="shared" si="1701"/>
        <v>44076</v>
      </c>
      <c r="H4031" s="2">
        <f t="shared" ca="1" si="1702"/>
        <v>177</v>
      </c>
      <c r="I4031" t="str">
        <f t="shared" si="1703"/>
        <v>SILVER</v>
      </c>
      <c r="J4031">
        <f t="shared" si="1704"/>
        <v>25.7</v>
      </c>
      <c r="K4031">
        <f t="shared" si="1705"/>
        <v>29.05</v>
      </c>
      <c r="L4031">
        <f t="shared" si="1706"/>
        <v>27.375</v>
      </c>
      <c r="M4031">
        <f t="shared" si="1707"/>
        <v>1.6750000000000007</v>
      </c>
      <c r="N4031">
        <f t="shared" si="1685"/>
        <v>3.3500000000000014</v>
      </c>
      <c r="O4031">
        <f t="shared" si="1708"/>
        <v>28.65</v>
      </c>
      <c r="P4031">
        <f t="shared" si="1709"/>
        <v>0.76119402985074514</v>
      </c>
      <c r="Q4031" t="str">
        <f t="shared" si="1686"/>
        <v>10.3% | 1.4%</v>
      </c>
      <c r="R4031" t="str">
        <f t="shared" si="1710"/>
        <v>BULLISH</v>
      </c>
      <c r="S4031">
        <f t="shared" si="1687"/>
        <v>1</v>
      </c>
    </row>
    <row r="4032" spans="1:19" hidden="1" x14ac:dyDescent="0.25">
      <c r="A4032" s="5" t="str">
        <f t="shared" si="1688"/>
        <v>44076COPPER</v>
      </c>
      <c r="B4032" s="6" t="s">
        <v>182</v>
      </c>
      <c r="C4032" s="6">
        <v>2.93</v>
      </c>
      <c r="D4032" s="6">
        <v>3.07</v>
      </c>
      <c r="E4032" s="6">
        <v>3.03</v>
      </c>
      <c r="F4032" t="str">
        <f t="shared" si="1700"/>
        <v>WED</v>
      </c>
      <c r="G4032" s="1">
        <f t="shared" si="1701"/>
        <v>44076</v>
      </c>
      <c r="H4032" s="2">
        <f t="shared" ca="1" si="1702"/>
        <v>177</v>
      </c>
      <c r="I4032" t="str">
        <f t="shared" si="1703"/>
        <v>COPPER</v>
      </c>
      <c r="J4032">
        <f t="shared" si="1704"/>
        <v>2.93</v>
      </c>
      <c r="K4032">
        <f t="shared" si="1705"/>
        <v>3.07</v>
      </c>
      <c r="L4032">
        <f t="shared" si="1706"/>
        <v>3</v>
      </c>
      <c r="M4032">
        <f t="shared" si="1707"/>
        <v>6.999999999999984E-2</v>
      </c>
      <c r="N4032">
        <f t="shared" si="1685"/>
        <v>0.13999999999999968</v>
      </c>
      <c r="O4032">
        <f t="shared" si="1708"/>
        <v>3.03</v>
      </c>
      <c r="P4032">
        <f t="shared" si="1709"/>
        <v>0.42857142857142677</v>
      </c>
      <c r="Q4032" t="str">
        <f t="shared" si="1686"/>
        <v>3.3% | 1.32%</v>
      </c>
      <c r="R4032" t="str">
        <f t="shared" si="1710"/>
        <v>BULLISH</v>
      </c>
      <c r="S4032">
        <f t="shared" si="1687"/>
        <v>1</v>
      </c>
    </row>
    <row r="4033" spans="1:19" hidden="1" x14ac:dyDescent="0.25">
      <c r="A4033" s="5" t="str">
        <f t="shared" si="1688"/>
        <v>44076MSFT</v>
      </c>
      <c r="B4033" s="6" t="s">
        <v>183</v>
      </c>
      <c r="C4033" s="6">
        <v>221</v>
      </c>
      <c r="D4033" s="6">
        <v>234</v>
      </c>
      <c r="E4033" s="6">
        <v>227</v>
      </c>
      <c r="F4033" t="str">
        <f t="shared" si="1700"/>
        <v>WED</v>
      </c>
      <c r="G4033" s="1">
        <f t="shared" si="1701"/>
        <v>44076</v>
      </c>
      <c r="H4033" s="2">
        <f t="shared" ca="1" si="1702"/>
        <v>177</v>
      </c>
      <c r="I4033" t="str">
        <f t="shared" si="1703"/>
        <v>MSFT</v>
      </c>
      <c r="J4033">
        <f t="shared" si="1704"/>
        <v>221</v>
      </c>
      <c r="K4033">
        <f t="shared" si="1705"/>
        <v>234</v>
      </c>
      <c r="L4033">
        <f t="shared" si="1706"/>
        <v>227.5</v>
      </c>
      <c r="M4033">
        <f t="shared" si="1707"/>
        <v>6.5</v>
      </c>
      <c r="N4033">
        <f t="shared" si="1685"/>
        <v>13</v>
      </c>
      <c r="O4033">
        <f t="shared" si="1708"/>
        <v>227</v>
      </c>
      <c r="P4033">
        <f t="shared" si="1709"/>
        <v>-7.6923076923076927E-2</v>
      </c>
      <c r="Q4033" t="str">
        <f t="shared" si="1686"/>
        <v>2.64% | 3.08%</v>
      </c>
      <c r="R4033" t="str">
        <f t="shared" si="1710"/>
        <v>BULLISH</v>
      </c>
      <c r="S4033">
        <f t="shared" si="1687"/>
        <v>1</v>
      </c>
    </row>
    <row r="4034" spans="1:19" hidden="1" x14ac:dyDescent="0.25">
      <c r="A4034" s="5" t="str">
        <f t="shared" si="1688"/>
        <v>44076AAPL</v>
      </c>
      <c r="B4034" s="6" t="s">
        <v>184</v>
      </c>
      <c r="C4034" s="6">
        <v>118</v>
      </c>
      <c r="D4034" s="6">
        <v>137</v>
      </c>
      <c r="E4034" s="6">
        <v>134</v>
      </c>
      <c r="F4034" t="str">
        <f t="shared" si="1700"/>
        <v>WED</v>
      </c>
      <c r="G4034" s="1">
        <f t="shared" si="1701"/>
        <v>44076</v>
      </c>
      <c r="H4034" s="2">
        <f t="shared" ca="1" si="1702"/>
        <v>177</v>
      </c>
      <c r="I4034" t="str">
        <f t="shared" si="1703"/>
        <v>AAPL</v>
      </c>
      <c r="J4034">
        <f t="shared" si="1704"/>
        <v>118</v>
      </c>
      <c r="K4034">
        <f t="shared" si="1705"/>
        <v>137</v>
      </c>
      <c r="L4034">
        <f t="shared" si="1706"/>
        <v>127.5</v>
      </c>
      <c r="M4034">
        <f t="shared" si="1707"/>
        <v>9.5</v>
      </c>
      <c r="N4034">
        <f t="shared" si="1685"/>
        <v>19</v>
      </c>
      <c r="O4034">
        <f t="shared" si="1708"/>
        <v>134</v>
      </c>
      <c r="P4034">
        <f t="shared" si="1709"/>
        <v>0.68421052631578949</v>
      </c>
      <c r="Q4034" t="str">
        <f t="shared" si="1686"/>
        <v>11.94% | 2.24%</v>
      </c>
      <c r="R4034" t="str">
        <f t="shared" si="1710"/>
        <v>BULLISH</v>
      </c>
      <c r="S4034">
        <f t="shared" si="1687"/>
        <v>1</v>
      </c>
    </row>
    <row r="4035" spans="1:19" hidden="1" x14ac:dyDescent="0.25">
      <c r="A4035" s="5" t="str">
        <f t="shared" si="1688"/>
        <v>44076AMZN</v>
      </c>
      <c r="B4035" s="6" t="s">
        <v>185</v>
      </c>
      <c r="C4035" s="6">
        <v>3371</v>
      </c>
      <c r="D4035" s="6">
        <v>3532</v>
      </c>
      <c r="E4035" s="6">
        <v>3499</v>
      </c>
      <c r="F4035" t="str">
        <f t="shared" si="1700"/>
        <v>WED</v>
      </c>
      <c r="G4035" s="1">
        <f t="shared" si="1701"/>
        <v>44076</v>
      </c>
      <c r="H4035" s="2">
        <f t="shared" ca="1" si="1702"/>
        <v>177</v>
      </c>
      <c r="I4035" t="str">
        <f t="shared" si="1703"/>
        <v>AMZN</v>
      </c>
      <c r="J4035">
        <f t="shared" si="1704"/>
        <v>3371</v>
      </c>
      <c r="K4035">
        <f t="shared" si="1705"/>
        <v>3532</v>
      </c>
      <c r="L4035">
        <f t="shared" si="1706"/>
        <v>3451.5</v>
      </c>
      <c r="M4035">
        <f t="shared" si="1707"/>
        <v>80.5</v>
      </c>
      <c r="N4035">
        <f t="shared" ref="N4035:N4098" si="1711">ABS(K4035-J4035)</f>
        <v>161</v>
      </c>
      <c r="O4035">
        <f t="shared" si="1708"/>
        <v>3499</v>
      </c>
      <c r="P4035">
        <f t="shared" si="1709"/>
        <v>0.59006211180124224</v>
      </c>
      <c r="Q4035" t="str">
        <f t="shared" ref="Q4035:Q4098" si="1712">ROUND(ABS(100*(O4035-J4035)/O4035),2)&amp;"% | "&amp;ROUND(ABS(100*(K4035-O4035)/O4035),2)&amp;"%"</f>
        <v>3.66% | 0.94%</v>
      </c>
      <c r="R4035" t="str">
        <f t="shared" si="1710"/>
        <v>BULLISH</v>
      </c>
      <c r="S4035">
        <f t="shared" ref="S4035:S4098" si="1713">IF(R4035="BEARISH",-1,IF(R4035="NEUTRAL",0,IF(R4035="BULLISH",1,99)))</f>
        <v>1</v>
      </c>
    </row>
    <row r="4036" spans="1:19" hidden="1" x14ac:dyDescent="0.25">
      <c r="A4036" s="5" t="str">
        <f t="shared" si="1688"/>
        <v>44076FB</v>
      </c>
      <c r="B4036" s="6" t="s">
        <v>186</v>
      </c>
      <c r="C4036" s="6">
        <v>281</v>
      </c>
      <c r="D4036" s="6">
        <v>312</v>
      </c>
      <c r="E4036" s="6">
        <v>295</v>
      </c>
      <c r="F4036" t="str">
        <f t="shared" si="1700"/>
        <v>WED</v>
      </c>
      <c r="G4036" s="1">
        <f t="shared" si="1701"/>
        <v>44076</v>
      </c>
      <c r="H4036" s="2">
        <f t="shared" ca="1" si="1702"/>
        <v>177</v>
      </c>
      <c r="I4036" t="str">
        <f t="shared" si="1703"/>
        <v>FB</v>
      </c>
      <c r="J4036">
        <f t="shared" si="1704"/>
        <v>281</v>
      </c>
      <c r="K4036">
        <f t="shared" si="1705"/>
        <v>312</v>
      </c>
      <c r="L4036">
        <f t="shared" si="1706"/>
        <v>296.5</v>
      </c>
      <c r="M4036">
        <f t="shared" si="1707"/>
        <v>15.5</v>
      </c>
      <c r="N4036">
        <f t="shared" si="1711"/>
        <v>31</v>
      </c>
      <c r="O4036">
        <f t="shared" si="1708"/>
        <v>295</v>
      </c>
      <c r="P4036">
        <f t="shared" si="1709"/>
        <v>-9.6774193548387094E-2</v>
      </c>
      <c r="Q4036" t="str">
        <f t="shared" si="1712"/>
        <v>4.75% | 5.76%</v>
      </c>
      <c r="R4036" t="str">
        <f t="shared" si="1710"/>
        <v>BULLISH</v>
      </c>
      <c r="S4036">
        <f t="shared" si="1713"/>
        <v>1</v>
      </c>
    </row>
    <row r="4037" spans="1:19" hidden="1" x14ac:dyDescent="0.25">
      <c r="A4037" s="5" t="str">
        <f t="shared" ref="A4037:A4100" si="1714">G4037&amp;I4037</f>
        <v>44076GOOGL</v>
      </c>
      <c r="B4037" s="6" t="s">
        <v>187</v>
      </c>
      <c r="C4037" s="6">
        <v>1571</v>
      </c>
      <c r="D4037" s="6">
        <v>1675</v>
      </c>
      <c r="E4037" s="6">
        <v>1655</v>
      </c>
      <c r="F4037" t="str">
        <f t="shared" si="1700"/>
        <v>WED</v>
      </c>
      <c r="G4037" s="1">
        <f t="shared" si="1701"/>
        <v>44076</v>
      </c>
      <c r="H4037" s="2">
        <f t="shared" ca="1" si="1702"/>
        <v>177</v>
      </c>
      <c r="I4037" t="str">
        <f t="shared" si="1703"/>
        <v>GOOGL</v>
      </c>
      <c r="J4037">
        <f t="shared" si="1704"/>
        <v>1571</v>
      </c>
      <c r="K4037">
        <f t="shared" si="1705"/>
        <v>1675</v>
      </c>
      <c r="L4037">
        <f t="shared" si="1706"/>
        <v>1623</v>
      </c>
      <c r="M4037">
        <f t="shared" si="1707"/>
        <v>52</v>
      </c>
      <c r="N4037">
        <f t="shared" si="1711"/>
        <v>104</v>
      </c>
      <c r="O4037">
        <f t="shared" si="1708"/>
        <v>1655</v>
      </c>
      <c r="P4037">
        <f t="shared" si="1709"/>
        <v>0.61538461538461542</v>
      </c>
      <c r="Q4037" t="str">
        <f t="shared" si="1712"/>
        <v>5.08% | 1.21%</v>
      </c>
      <c r="R4037" t="str">
        <f t="shared" si="1710"/>
        <v>BULLISH</v>
      </c>
      <c r="S4037">
        <f t="shared" si="1713"/>
        <v>1</v>
      </c>
    </row>
    <row r="4038" spans="1:19" hidden="1" x14ac:dyDescent="0.25">
      <c r="A4038" s="5" t="str">
        <f t="shared" si="1714"/>
        <v>44076NFLX</v>
      </c>
      <c r="B4038" s="6" t="s">
        <v>194</v>
      </c>
      <c r="C4038" s="6">
        <v>503</v>
      </c>
      <c r="D4038" s="6">
        <v>567</v>
      </c>
      <c r="E4038" s="6">
        <v>556</v>
      </c>
      <c r="F4038" t="str">
        <f t="shared" si="1700"/>
        <v>WED</v>
      </c>
      <c r="G4038" s="1">
        <f t="shared" si="1701"/>
        <v>44076</v>
      </c>
      <c r="H4038" s="2">
        <f t="shared" ca="1" si="1702"/>
        <v>177</v>
      </c>
      <c r="I4038" t="str">
        <f t="shared" si="1703"/>
        <v>NFLX</v>
      </c>
      <c r="J4038">
        <f t="shared" si="1704"/>
        <v>503</v>
      </c>
      <c r="K4038">
        <f t="shared" si="1705"/>
        <v>567</v>
      </c>
      <c r="L4038">
        <f t="shared" si="1706"/>
        <v>535</v>
      </c>
      <c r="M4038">
        <f t="shared" si="1707"/>
        <v>32</v>
      </c>
      <c r="N4038">
        <f t="shared" si="1711"/>
        <v>64</v>
      </c>
      <c r="O4038">
        <f t="shared" si="1708"/>
        <v>556</v>
      </c>
      <c r="P4038">
        <f t="shared" si="1709"/>
        <v>0.65625</v>
      </c>
      <c r="Q4038" t="str">
        <f t="shared" si="1712"/>
        <v>9.53% | 1.98%</v>
      </c>
      <c r="R4038" t="str">
        <f t="shared" si="1710"/>
        <v>BULLISH</v>
      </c>
      <c r="S4038">
        <f t="shared" si="1713"/>
        <v>1</v>
      </c>
    </row>
    <row r="4039" spans="1:19" x14ac:dyDescent="0.25">
      <c r="A4039" s="5" t="str">
        <f t="shared" si="1714"/>
        <v>44076TSLA</v>
      </c>
      <c r="B4039" s="6" t="s">
        <v>189</v>
      </c>
      <c r="C4039" s="6">
        <v>433</v>
      </c>
      <c r="D4039" s="6">
        <v>503</v>
      </c>
      <c r="E4039" s="6">
        <v>475</v>
      </c>
      <c r="F4039" t="str">
        <f t="shared" si="1700"/>
        <v>WED</v>
      </c>
      <c r="G4039" s="1">
        <f t="shared" si="1701"/>
        <v>44076</v>
      </c>
      <c r="H4039" s="2">
        <f t="shared" ca="1" si="1702"/>
        <v>177</v>
      </c>
      <c r="I4039" t="str">
        <f t="shared" si="1703"/>
        <v>TSLA</v>
      </c>
      <c r="J4039">
        <f t="shared" si="1704"/>
        <v>433</v>
      </c>
      <c r="K4039">
        <f t="shared" si="1705"/>
        <v>503</v>
      </c>
      <c r="L4039">
        <f t="shared" si="1706"/>
        <v>468</v>
      </c>
      <c r="M4039">
        <f t="shared" si="1707"/>
        <v>35</v>
      </c>
      <c r="N4039">
        <f t="shared" si="1711"/>
        <v>70</v>
      </c>
      <c r="O4039">
        <f t="shared" si="1708"/>
        <v>475</v>
      </c>
      <c r="P4039">
        <f t="shared" si="1709"/>
        <v>0.2</v>
      </c>
      <c r="Q4039" t="str">
        <f t="shared" si="1712"/>
        <v>8.84% | 5.89%</v>
      </c>
      <c r="R4039" t="str">
        <f t="shared" si="1710"/>
        <v>BULLISH</v>
      </c>
      <c r="S4039">
        <f t="shared" si="1713"/>
        <v>1</v>
      </c>
    </row>
    <row r="4040" spans="1:19" hidden="1" x14ac:dyDescent="0.25">
      <c r="A4040" s="5" t="str">
        <f t="shared" si="1714"/>
        <v>44076NYXBT</v>
      </c>
      <c r="B4040" s="6" t="s">
        <v>190</v>
      </c>
      <c r="C4040" s="6">
        <v>11224</v>
      </c>
      <c r="D4040" s="6">
        <v>12021</v>
      </c>
      <c r="E4040" s="6">
        <v>11876</v>
      </c>
      <c r="F4040" t="str">
        <f t="shared" si="1700"/>
        <v>WED</v>
      </c>
      <c r="G4040" s="1">
        <f t="shared" si="1701"/>
        <v>44076</v>
      </c>
      <c r="H4040" s="2">
        <f t="shared" ca="1" si="1702"/>
        <v>177</v>
      </c>
      <c r="I4040" t="str">
        <f t="shared" si="1703"/>
        <v>NYXBT</v>
      </c>
      <c r="J4040">
        <f t="shared" si="1704"/>
        <v>11224</v>
      </c>
      <c r="K4040">
        <f t="shared" si="1705"/>
        <v>12021</v>
      </c>
      <c r="L4040">
        <f t="shared" si="1706"/>
        <v>11622.5</v>
      </c>
      <c r="M4040">
        <f t="shared" si="1707"/>
        <v>398.5</v>
      </c>
      <c r="N4040">
        <f t="shared" si="1711"/>
        <v>797</v>
      </c>
      <c r="O4040">
        <f t="shared" si="1708"/>
        <v>11876</v>
      </c>
      <c r="P4040">
        <f t="shared" si="1709"/>
        <v>0.6361355081555834</v>
      </c>
      <c r="Q4040" t="str">
        <f t="shared" si="1712"/>
        <v>5.49% | 1.22%</v>
      </c>
      <c r="R4040" t="str">
        <f t="shared" si="1710"/>
        <v>BULLISH</v>
      </c>
      <c r="S4040">
        <f t="shared" si="1713"/>
        <v>1</v>
      </c>
    </row>
    <row r="4041" spans="1:19" hidden="1" x14ac:dyDescent="0.25">
      <c r="A4041" s="5" t="str">
        <f t="shared" si="1714"/>
        <v>44077UST10Y</v>
      </c>
      <c r="B4041" s="6" t="s">
        <v>161</v>
      </c>
      <c r="C4041" s="6">
        <v>0.73</v>
      </c>
      <c r="D4041" s="6">
        <v>0.6</v>
      </c>
      <c r="E4041" s="6">
        <v>0.66</v>
      </c>
      <c r="F4041" t="str">
        <f t="shared" si="1700"/>
        <v>THU</v>
      </c>
      <c r="G4041" s="3">
        <f>DATE(2020,9,3)</f>
        <v>44077</v>
      </c>
      <c r="H4041" s="2">
        <f t="shared" ca="1" si="1702"/>
        <v>176</v>
      </c>
      <c r="I4041" t="str">
        <f t="shared" si="1703"/>
        <v>UST10Y</v>
      </c>
      <c r="J4041">
        <f t="shared" si="1704"/>
        <v>0.73</v>
      </c>
      <c r="K4041">
        <f t="shared" si="1705"/>
        <v>0.6</v>
      </c>
      <c r="L4041">
        <f t="shared" si="1706"/>
        <v>0.66500000000000004</v>
      </c>
      <c r="M4041">
        <f t="shared" si="1707"/>
        <v>6.5000000000000002E-2</v>
      </c>
      <c r="N4041">
        <f t="shared" si="1711"/>
        <v>0.13</v>
      </c>
      <c r="O4041">
        <f t="shared" si="1708"/>
        <v>0.66</v>
      </c>
      <c r="P4041">
        <f t="shared" si="1709"/>
        <v>-7.6923076923076983E-2</v>
      </c>
      <c r="Q4041" t="str">
        <f t="shared" si="1712"/>
        <v>10.61% | 9.09%</v>
      </c>
      <c r="R4041" t="str">
        <f t="shared" si="1710"/>
        <v>BEARISH</v>
      </c>
      <c r="S4041">
        <f t="shared" si="1713"/>
        <v>-1</v>
      </c>
    </row>
    <row r="4042" spans="1:19" hidden="1" x14ac:dyDescent="0.25">
      <c r="A4042" s="5" t="str">
        <f t="shared" si="1714"/>
        <v>44077UST2Y</v>
      </c>
      <c r="B4042" s="6" t="s">
        <v>162</v>
      </c>
      <c r="C4042" s="6">
        <v>0.16</v>
      </c>
      <c r="D4042" s="6">
        <v>0.1</v>
      </c>
      <c r="E4042" s="6">
        <v>0.14000000000000001</v>
      </c>
      <c r="F4042" t="str">
        <f t="shared" ref="F4042:F4072" si="1715">UPPER(TEXT(G4042,"ddd"))</f>
        <v>THU</v>
      </c>
      <c r="G4042" s="3">
        <f t="shared" ref="G4042:G4071" si="1716">DATE(2020,9,3)</f>
        <v>44077</v>
      </c>
      <c r="H4042" s="2">
        <f t="shared" ref="H4042:H4072" ca="1" si="1717">TODAY()-G4042</f>
        <v>176</v>
      </c>
      <c r="I4042" t="str">
        <f t="shared" ref="I4042:I4072" si="1718">TRIM(LEFT(B4042,FIND(" ",B4042,1)))</f>
        <v>UST2Y</v>
      </c>
      <c r="J4042">
        <f t="shared" ref="J4042:J4072" si="1719">C4042</f>
        <v>0.16</v>
      </c>
      <c r="K4042">
        <f t="shared" ref="K4042:K4072" si="1720">D4042</f>
        <v>0.1</v>
      </c>
      <c r="L4042">
        <f t="shared" ref="L4042:L4072" si="1721">AVERAGE(J4042:K4042)</f>
        <v>0.13</v>
      </c>
      <c r="M4042">
        <f t="shared" ref="M4042:M4072" si="1722">_xlfn.STDEV.P(J4042:K4042)</f>
        <v>3.0000000000000023E-2</v>
      </c>
      <c r="N4042">
        <f t="shared" si="1711"/>
        <v>0.06</v>
      </c>
      <c r="O4042">
        <f t="shared" ref="O4042:O4072" si="1723">E4042</f>
        <v>0.14000000000000001</v>
      </c>
      <c r="P4042">
        <f t="shared" ref="P4042:P4072" si="1724">(O4042-L4042)/M4042</f>
        <v>0.33333333333333337</v>
      </c>
      <c r="Q4042" t="str">
        <f t="shared" si="1712"/>
        <v>14.29% | 28.57%</v>
      </c>
      <c r="R4042" t="str">
        <f t="shared" ref="R4042:R4072" si="1725">MID(B4042,FIND("(",B4042,1)+1,FIND(")",B4042,1)-FIND("(",B4042,1)-1)</f>
        <v>BEARISH</v>
      </c>
      <c r="S4042">
        <f t="shared" si="1713"/>
        <v>-1</v>
      </c>
    </row>
    <row r="4043" spans="1:19" hidden="1" x14ac:dyDescent="0.25">
      <c r="A4043" s="5" t="str">
        <f t="shared" si="1714"/>
        <v>44077SPX</v>
      </c>
      <c r="B4043" s="6" t="s">
        <v>191</v>
      </c>
      <c r="C4043" s="6">
        <v>3385</v>
      </c>
      <c r="D4043" s="6">
        <v>3602</v>
      </c>
      <c r="E4043" s="6">
        <v>3580</v>
      </c>
      <c r="F4043" t="str">
        <f t="shared" si="1715"/>
        <v>THU</v>
      </c>
      <c r="G4043" s="3">
        <f t="shared" si="1716"/>
        <v>44077</v>
      </c>
      <c r="H4043" s="2">
        <f t="shared" ca="1" si="1717"/>
        <v>176</v>
      </c>
      <c r="I4043" t="str">
        <f t="shared" si="1718"/>
        <v>SPX</v>
      </c>
      <c r="J4043">
        <f t="shared" si="1719"/>
        <v>3385</v>
      </c>
      <c r="K4043">
        <f t="shared" si="1720"/>
        <v>3602</v>
      </c>
      <c r="L4043">
        <f t="shared" si="1721"/>
        <v>3493.5</v>
      </c>
      <c r="M4043">
        <f t="shared" si="1722"/>
        <v>108.5</v>
      </c>
      <c r="N4043">
        <f t="shared" si="1711"/>
        <v>217</v>
      </c>
      <c r="O4043">
        <f t="shared" si="1723"/>
        <v>3580</v>
      </c>
      <c r="P4043">
        <f t="shared" si="1724"/>
        <v>0.79723502304147464</v>
      </c>
      <c r="Q4043" t="str">
        <f t="shared" si="1712"/>
        <v>5.45% | 0.61%</v>
      </c>
      <c r="R4043" t="str">
        <f t="shared" si="1725"/>
        <v>BULLISH</v>
      </c>
      <c r="S4043">
        <f t="shared" si="1713"/>
        <v>1</v>
      </c>
    </row>
    <row r="4044" spans="1:19" hidden="1" x14ac:dyDescent="0.25">
      <c r="A4044" s="5" t="str">
        <f t="shared" si="1714"/>
        <v>44077RUT</v>
      </c>
      <c r="B4044" s="6" t="s">
        <v>164</v>
      </c>
      <c r="C4044" s="6">
        <v>1547</v>
      </c>
      <c r="D4044" s="6">
        <v>1602</v>
      </c>
      <c r="E4044" s="6">
        <v>1592</v>
      </c>
      <c r="F4044" t="str">
        <f t="shared" si="1715"/>
        <v>THU</v>
      </c>
      <c r="G4044" s="3">
        <f t="shared" si="1716"/>
        <v>44077</v>
      </c>
      <c r="H4044" s="2">
        <f t="shared" ca="1" si="1717"/>
        <v>176</v>
      </c>
      <c r="I4044" t="str">
        <f t="shared" si="1718"/>
        <v>RUT</v>
      </c>
      <c r="J4044">
        <f t="shared" si="1719"/>
        <v>1547</v>
      </c>
      <c r="K4044">
        <f t="shared" si="1720"/>
        <v>1602</v>
      </c>
      <c r="L4044">
        <f t="shared" si="1721"/>
        <v>1574.5</v>
      </c>
      <c r="M4044">
        <f t="shared" si="1722"/>
        <v>27.5</v>
      </c>
      <c r="N4044">
        <f t="shared" si="1711"/>
        <v>55</v>
      </c>
      <c r="O4044">
        <f t="shared" si="1723"/>
        <v>1592</v>
      </c>
      <c r="P4044">
        <f t="shared" si="1724"/>
        <v>0.63636363636363635</v>
      </c>
      <c r="Q4044" t="str">
        <f t="shared" si="1712"/>
        <v>2.83% | 0.63%</v>
      </c>
      <c r="R4044" t="str">
        <f t="shared" si="1725"/>
        <v>BEARISH</v>
      </c>
      <c r="S4044">
        <f t="shared" si="1713"/>
        <v>-1</v>
      </c>
    </row>
    <row r="4045" spans="1:19" hidden="1" x14ac:dyDescent="0.25">
      <c r="A4045" s="5" t="str">
        <f t="shared" si="1714"/>
        <v>44077COMPQ</v>
      </c>
      <c r="B4045" s="6" t="s">
        <v>165</v>
      </c>
      <c r="C4045" s="6">
        <v>11693</v>
      </c>
      <c r="D4045" s="6">
        <v>12155</v>
      </c>
      <c r="E4045" s="6">
        <v>12056</v>
      </c>
      <c r="F4045" t="str">
        <f t="shared" si="1715"/>
        <v>THU</v>
      </c>
      <c r="G4045" s="3">
        <f t="shared" si="1716"/>
        <v>44077</v>
      </c>
      <c r="H4045" s="2">
        <f t="shared" ca="1" si="1717"/>
        <v>176</v>
      </c>
      <c r="I4045" t="str">
        <f t="shared" si="1718"/>
        <v>COMPQ</v>
      </c>
      <c r="J4045">
        <f t="shared" si="1719"/>
        <v>11693</v>
      </c>
      <c r="K4045">
        <f t="shared" si="1720"/>
        <v>12155</v>
      </c>
      <c r="L4045">
        <f t="shared" si="1721"/>
        <v>11924</v>
      </c>
      <c r="M4045">
        <f t="shared" si="1722"/>
        <v>231</v>
      </c>
      <c r="N4045">
        <f t="shared" si="1711"/>
        <v>462</v>
      </c>
      <c r="O4045">
        <f t="shared" si="1723"/>
        <v>12056</v>
      </c>
      <c r="P4045">
        <f t="shared" si="1724"/>
        <v>0.5714285714285714</v>
      </c>
      <c r="Q4045" t="str">
        <f t="shared" si="1712"/>
        <v>3.01% | 0.82%</v>
      </c>
      <c r="R4045" t="str">
        <f t="shared" si="1725"/>
        <v>BULLISH</v>
      </c>
      <c r="S4045">
        <f t="shared" si="1713"/>
        <v>1</v>
      </c>
    </row>
    <row r="4046" spans="1:19" hidden="1" x14ac:dyDescent="0.25">
      <c r="A4046" s="5" t="str">
        <f t="shared" si="1714"/>
        <v>44077XLK</v>
      </c>
      <c r="B4046" s="6" t="s">
        <v>166</v>
      </c>
      <c r="C4046" s="6">
        <v>116.94</v>
      </c>
      <c r="D4046" s="6">
        <v>128.13999999999999</v>
      </c>
      <c r="E4046" s="6">
        <v>127.03</v>
      </c>
      <c r="F4046" t="str">
        <f t="shared" si="1715"/>
        <v>THU</v>
      </c>
      <c r="G4046" s="3">
        <f t="shared" si="1716"/>
        <v>44077</v>
      </c>
      <c r="H4046" s="2">
        <f t="shared" ca="1" si="1717"/>
        <v>176</v>
      </c>
      <c r="I4046" t="str">
        <f t="shared" si="1718"/>
        <v>XLK</v>
      </c>
      <c r="J4046">
        <f t="shared" si="1719"/>
        <v>116.94</v>
      </c>
      <c r="K4046">
        <f t="shared" si="1720"/>
        <v>128.13999999999999</v>
      </c>
      <c r="L4046">
        <f t="shared" si="1721"/>
        <v>122.53999999999999</v>
      </c>
      <c r="M4046">
        <f t="shared" si="1722"/>
        <v>5.5999999999999943</v>
      </c>
      <c r="N4046">
        <f t="shared" si="1711"/>
        <v>11.199999999999989</v>
      </c>
      <c r="O4046">
        <f t="shared" si="1723"/>
        <v>127.03</v>
      </c>
      <c r="P4046">
        <f t="shared" si="1724"/>
        <v>0.80178571428571677</v>
      </c>
      <c r="Q4046" t="str">
        <f t="shared" si="1712"/>
        <v>7.94% | 0.87%</v>
      </c>
      <c r="R4046" t="str">
        <f t="shared" si="1725"/>
        <v>BULLISH</v>
      </c>
      <c r="S4046">
        <f t="shared" si="1713"/>
        <v>1</v>
      </c>
    </row>
    <row r="4047" spans="1:19" hidden="1" x14ac:dyDescent="0.25">
      <c r="A4047" s="5" t="str">
        <f t="shared" si="1714"/>
        <v>44077XLRE</v>
      </c>
      <c r="B4047" s="6" t="s">
        <v>167</v>
      </c>
      <c r="C4047" s="6">
        <v>35.5</v>
      </c>
      <c r="D4047" s="6">
        <v>37.43</v>
      </c>
      <c r="E4047" s="6">
        <v>37</v>
      </c>
      <c r="F4047" t="str">
        <f t="shared" si="1715"/>
        <v>THU</v>
      </c>
      <c r="G4047" s="3">
        <f t="shared" si="1716"/>
        <v>44077</v>
      </c>
      <c r="H4047" s="2">
        <f t="shared" ca="1" si="1717"/>
        <v>176</v>
      </c>
      <c r="I4047" t="str">
        <f t="shared" si="1718"/>
        <v>XLRE</v>
      </c>
      <c r="J4047">
        <f t="shared" si="1719"/>
        <v>35.5</v>
      </c>
      <c r="K4047">
        <f t="shared" si="1720"/>
        <v>37.43</v>
      </c>
      <c r="L4047">
        <f t="shared" si="1721"/>
        <v>36.465000000000003</v>
      </c>
      <c r="M4047">
        <f t="shared" si="1722"/>
        <v>0.96499999999999986</v>
      </c>
      <c r="N4047">
        <f t="shared" si="1711"/>
        <v>1.9299999999999997</v>
      </c>
      <c r="O4047">
        <f t="shared" si="1723"/>
        <v>37</v>
      </c>
      <c r="P4047">
        <f t="shared" si="1724"/>
        <v>0.55440414507771674</v>
      </c>
      <c r="Q4047" t="str">
        <f t="shared" si="1712"/>
        <v>4.05% | 1.16%</v>
      </c>
      <c r="R4047" t="str">
        <f t="shared" si="1725"/>
        <v>BULLISH</v>
      </c>
      <c r="S4047">
        <f t="shared" si="1713"/>
        <v>1</v>
      </c>
    </row>
    <row r="4048" spans="1:19" hidden="1" x14ac:dyDescent="0.25">
      <c r="A4048" s="5" t="str">
        <f t="shared" si="1714"/>
        <v>44077XLU</v>
      </c>
      <c r="B4048" s="6" t="s">
        <v>168</v>
      </c>
      <c r="C4048" s="6">
        <v>58.2</v>
      </c>
      <c r="D4048" s="6">
        <v>60.89</v>
      </c>
      <c r="E4048" s="6">
        <v>60.39</v>
      </c>
      <c r="F4048" t="str">
        <f t="shared" si="1715"/>
        <v>THU</v>
      </c>
      <c r="G4048" s="3">
        <f t="shared" si="1716"/>
        <v>44077</v>
      </c>
      <c r="H4048" s="2">
        <f t="shared" ca="1" si="1717"/>
        <v>176</v>
      </c>
      <c r="I4048" t="str">
        <f t="shared" si="1718"/>
        <v>XLU</v>
      </c>
      <c r="J4048">
        <f t="shared" si="1719"/>
        <v>58.2</v>
      </c>
      <c r="K4048">
        <f t="shared" si="1720"/>
        <v>60.89</v>
      </c>
      <c r="L4048">
        <f t="shared" si="1721"/>
        <v>59.545000000000002</v>
      </c>
      <c r="M4048">
        <f t="shared" si="1722"/>
        <v>1.3449999999999989</v>
      </c>
      <c r="N4048">
        <f t="shared" si="1711"/>
        <v>2.6899999999999977</v>
      </c>
      <c r="O4048">
        <f t="shared" si="1723"/>
        <v>60.39</v>
      </c>
      <c r="P4048">
        <f t="shared" si="1724"/>
        <v>0.62825278810408891</v>
      </c>
      <c r="Q4048" t="str">
        <f t="shared" si="1712"/>
        <v>3.63% | 0.83%</v>
      </c>
      <c r="R4048" t="str">
        <f t="shared" si="1725"/>
        <v>BULLISH</v>
      </c>
      <c r="S4048">
        <f t="shared" si="1713"/>
        <v>1</v>
      </c>
    </row>
    <row r="4049" spans="1:19" hidden="1" x14ac:dyDescent="0.25">
      <c r="A4049" s="5" t="str">
        <f t="shared" si="1714"/>
        <v>44077XLF</v>
      </c>
      <c r="B4049" s="6" t="s">
        <v>169</v>
      </c>
      <c r="C4049" s="6">
        <v>24.23</v>
      </c>
      <c r="D4049" s="6">
        <v>25.7</v>
      </c>
      <c r="E4049" s="6">
        <v>25.49</v>
      </c>
      <c r="F4049" t="str">
        <f t="shared" si="1715"/>
        <v>THU</v>
      </c>
      <c r="G4049" s="3">
        <f t="shared" si="1716"/>
        <v>44077</v>
      </c>
      <c r="H4049" s="2">
        <f t="shared" ca="1" si="1717"/>
        <v>176</v>
      </c>
      <c r="I4049" t="str">
        <f t="shared" si="1718"/>
        <v>XLF</v>
      </c>
      <c r="J4049">
        <f t="shared" si="1719"/>
        <v>24.23</v>
      </c>
      <c r="K4049">
        <f t="shared" si="1720"/>
        <v>25.7</v>
      </c>
      <c r="L4049">
        <f t="shared" si="1721"/>
        <v>24.965</v>
      </c>
      <c r="M4049">
        <f t="shared" si="1722"/>
        <v>0.73499999999999943</v>
      </c>
      <c r="N4049">
        <f t="shared" si="1711"/>
        <v>1.4699999999999989</v>
      </c>
      <c r="O4049">
        <f t="shared" si="1723"/>
        <v>25.49</v>
      </c>
      <c r="P4049">
        <f t="shared" si="1724"/>
        <v>0.71428571428571286</v>
      </c>
      <c r="Q4049" t="str">
        <f t="shared" si="1712"/>
        <v>4.94% | 0.82%</v>
      </c>
      <c r="R4049" t="str">
        <f t="shared" si="1725"/>
        <v>BEARISH</v>
      </c>
      <c r="S4049">
        <f t="shared" si="1713"/>
        <v>-1</v>
      </c>
    </row>
    <row r="4050" spans="1:19" hidden="1" x14ac:dyDescent="0.25">
      <c r="A4050" s="5" t="str">
        <f t="shared" si="1714"/>
        <v>44077SSEC</v>
      </c>
      <c r="B4050" s="6" t="s">
        <v>170</v>
      </c>
      <c r="C4050" s="6">
        <v>3325</v>
      </c>
      <c r="D4050" s="6">
        <v>3442</v>
      </c>
      <c r="E4050" s="6">
        <v>3384</v>
      </c>
      <c r="F4050" t="str">
        <f t="shared" si="1715"/>
        <v>THU</v>
      </c>
      <c r="G4050" s="3">
        <f t="shared" si="1716"/>
        <v>44077</v>
      </c>
      <c r="H4050" s="2">
        <f t="shared" ca="1" si="1717"/>
        <v>176</v>
      </c>
      <c r="I4050" t="str">
        <f t="shared" si="1718"/>
        <v>SSEC</v>
      </c>
      <c r="J4050">
        <f t="shared" si="1719"/>
        <v>3325</v>
      </c>
      <c r="K4050">
        <f t="shared" si="1720"/>
        <v>3442</v>
      </c>
      <c r="L4050">
        <f t="shared" si="1721"/>
        <v>3383.5</v>
      </c>
      <c r="M4050">
        <f t="shared" si="1722"/>
        <v>58.5</v>
      </c>
      <c r="N4050">
        <f t="shared" si="1711"/>
        <v>117</v>
      </c>
      <c r="O4050">
        <f t="shared" si="1723"/>
        <v>3384</v>
      </c>
      <c r="P4050">
        <f t="shared" si="1724"/>
        <v>8.5470085470085479E-3</v>
      </c>
      <c r="Q4050" t="str">
        <f t="shared" si="1712"/>
        <v>1.74% | 1.71%</v>
      </c>
      <c r="R4050" t="str">
        <f t="shared" si="1725"/>
        <v>BULLISH</v>
      </c>
      <c r="S4050">
        <f t="shared" si="1713"/>
        <v>1</v>
      </c>
    </row>
    <row r="4051" spans="1:19" hidden="1" x14ac:dyDescent="0.25">
      <c r="A4051" s="5" t="str">
        <f t="shared" si="1714"/>
        <v>44077NIKK</v>
      </c>
      <c r="B4051" s="6" t="s">
        <v>201</v>
      </c>
      <c r="C4051" s="6">
        <v>22835</v>
      </c>
      <c r="D4051" s="6">
        <v>23541</v>
      </c>
      <c r="E4051" s="6">
        <v>23465</v>
      </c>
      <c r="F4051" t="str">
        <f t="shared" si="1715"/>
        <v>THU</v>
      </c>
      <c r="G4051" s="3">
        <f t="shared" si="1716"/>
        <v>44077</v>
      </c>
      <c r="H4051" s="2">
        <f t="shared" ca="1" si="1717"/>
        <v>176</v>
      </c>
      <c r="I4051" t="str">
        <f t="shared" si="1718"/>
        <v>NIKK</v>
      </c>
      <c r="J4051">
        <f t="shared" si="1719"/>
        <v>22835</v>
      </c>
      <c r="K4051">
        <f t="shared" si="1720"/>
        <v>23541</v>
      </c>
      <c r="L4051">
        <f t="shared" si="1721"/>
        <v>23188</v>
      </c>
      <c r="M4051">
        <f t="shared" si="1722"/>
        <v>353</v>
      </c>
      <c r="N4051">
        <f t="shared" si="1711"/>
        <v>706</v>
      </c>
      <c r="O4051">
        <f t="shared" si="1723"/>
        <v>23465</v>
      </c>
      <c r="P4051">
        <f t="shared" si="1724"/>
        <v>0.7847025495750708</v>
      </c>
      <c r="Q4051" t="str">
        <f t="shared" si="1712"/>
        <v>2.68% | 0.32%</v>
      </c>
      <c r="R4051" t="str">
        <f t="shared" si="1725"/>
        <v>BULLISH</v>
      </c>
      <c r="S4051">
        <f t="shared" si="1713"/>
        <v>1</v>
      </c>
    </row>
    <row r="4052" spans="1:19" hidden="1" x14ac:dyDescent="0.25">
      <c r="A4052" s="5" t="str">
        <f t="shared" si="1714"/>
        <v>44077DAX</v>
      </c>
      <c r="B4052" s="6" t="s">
        <v>172</v>
      </c>
      <c r="C4052" s="6">
        <v>12904</v>
      </c>
      <c r="D4052" s="6">
        <v>13488</v>
      </c>
      <c r="E4052" s="6">
        <v>13243</v>
      </c>
      <c r="F4052" t="str">
        <f t="shared" si="1715"/>
        <v>THU</v>
      </c>
      <c r="G4052" s="3">
        <f t="shared" si="1716"/>
        <v>44077</v>
      </c>
      <c r="H4052" s="2">
        <f t="shared" ca="1" si="1717"/>
        <v>176</v>
      </c>
      <c r="I4052" t="str">
        <f t="shared" si="1718"/>
        <v>DAX</v>
      </c>
      <c r="J4052">
        <f t="shared" si="1719"/>
        <v>12904</v>
      </c>
      <c r="K4052">
        <f t="shared" si="1720"/>
        <v>13488</v>
      </c>
      <c r="L4052">
        <f t="shared" si="1721"/>
        <v>13196</v>
      </c>
      <c r="M4052">
        <f t="shared" si="1722"/>
        <v>292</v>
      </c>
      <c r="N4052">
        <f t="shared" si="1711"/>
        <v>584</v>
      </c>
      <c r="O4052">
        <f t="shared" si="1723"/>
        <v>13243</v>
      </c>
      <c r="P4052">
        <f t="shared" si="1724"/>
        <v>0.16095890410958905</v>
      </c>
      <c r="Q4052" t="str">
        <f t="shared" si="1712"/>
        <v>2.56% | 1.85%</v>
      </c>
      <c r="R4052" t="str">
        <f t="shared" si="1725"/>
        <v>BULLISH</v>
      </c>
      <c r="S4052">
        <f t="shared" si="1713"/>
        <v>1</v>
      </c>
    </row>
    <row r="4053" spans="1:19" hidden="1" x14ac:dyDescent="0.25">
      <c r="A4053" s="5" t="str">
        <f t="shared" si="1714"/>
        <v>44077VIX</v>
      </c>
      <c r="B4053" s="6" t="s">
        <v>202</v>
      </c>
      <c r="C4053" s="6">
        <v>23.08</v>
      </c>
      <c r="D4053" s="6">
        <v>28.57</v>
      </c>
      <c r="E4053" s="6">
        <v>26.57</v>
      </c>
      <c r="F4053" t="str">
        <f t="shared" si="1715"/>
        <v>THU</v>
      </c>
      <c r="G4053" s="3">
        <f t="shared" si="1716"/>
        <v>44077</v>
      </c>
      <c r="H4053" s="2">
        <f t="shared" ca="1" si="1717"/>
        <v>176</v>
      </c>
      <c r="I4053" t="str">
        <f t="shared" si="1718"/>
        <v>VIX</v>
      </c>
      <c r="J4053">
        <f t="shared" si="1719"/>
        <v>23.08</v>
      </c>
      <c r="K4053">
        <f t="shared" si="1720"/>
        <v>28.57</v>
      </c>
      <c r="L4053">
        <f t="shared" si="1721"/>
        <v>25.824999999999999</v>
      </c>
      <c r="M4053">
        <f t="shared" si="1722"/>
        <v>2.7450000000000032</v>
      </c>
      <c r="N4053">
        <f t="shared" si="1711"/>
        <v>5.490000000000002</v>
      </c>
      <c r="O4053">
        <f t="shared" si="1723"/>
        <v>26.57</v>
      </c>
      <c r="P4053">
        <f t="shared" si="1724"/>
        <v>0.27140255009107472</v>
      </c>
      <c r="Q4053" t="str">
        <f t="shared" si="1712"/>
        <v>13.14% | 7.53%</v>
      </c>
      <c r="R4053" t="str">
        <f t="shared" si="1725"/>
        <v>BULLISH</v>
      </c>
      <c r="S4053">
        <f t="shared" si="1713"/>
        <v>1</v>
      </c>
    </row>
    <row r="4054" spans="1:19" hidden="1" x14ac:dyDescent="0.25">
      <c r="A4054" s="5" t="str">
        <f t="shared" si="1714"/>
        <v>44077USD</v>
      </c>
      <c r="B4054" s="6" t="s">
        <v>174</v>
      </c>
      <c r="C4054" s="6">
        <v>92</v>
      </c>
      <c r="D4054" s="6">
        <v>93.6</v>
      </c>
      <c r="E4054" s="6">
        <v>92.84</v>
      </c>
      <c r="F4054" t="str">
        <f t="shared" si="1715"/>
        <v>THU</v>
      </c>
      <c r="G4054" s="3">
        <f t="shared" si="1716"/>
        <v>44077</v>
      </c>
      <c r="H4054" s="2">
        <f t="shared" ca="1" si="1717"/>
        <v>176</v>
      </c>
      <c r="I4054" t="str">
        <f t="shared" si="1718"/>
        <v>USD</v>
      </c>
      <c r="J4054">
        <f t="shared" si="1719"/>
        <v>92</v>
      </c>
      <c r="K4054">
        <f t="shared" si="1720"/>
        <v>93.6</v>
      </c>
      <c r="L4054">
        <f t="shared" si="1721"/>
        <v>92.8</v>
      </c>
      <c r="M4054">
        <f t="shared" si="1722"/>
        <v>0.79999999999999716</v>
      </c>
      <c r="N4054">
        <f t="shared" si="1711"/>
        <v>1.5999999999999943</v>
      </c>
      <c r="O4054">
        <f t="shared" si="1723"/>
        <v>92.84</v>
      </c>
      <c r="P4054">
        <f t="shared" si="1724"/>
        <v>5.0000000000007996E-2</v>
      </c>
      <c r="Q4054" t="str">
        <f t="shared" si="1712"/>
        <v>0.9% | 0.82%</v>
      </c>
      <c r="R4054" t="str">
        <f t="shared" si="1725"/>
        <v>BEARISH</v>
      </c>
      <c r="S4054">
        <f t="shared" si="1713"/>
        <v>-1</v>
      </c>
    </row>
    <row r="4055" spans="1:19" hidden="1" x14ac:dyDescent="0.25">
      <c r="A4055" s="5" t="str">
        <f t="shared" si="1714"/>
        <v>44077EUR/USD</v>
      </c>
      <c r="B4055" s="6" t="s">
        <v>175</v>
      </c>
      <c r="C4055" s="6">
        <v>1.17</v>
      </c>
      <c r="D4055" s="6">
        <v>1.2</v>
      </c>
      <c r="E4055" s="6">
        <v>1.18</v>
      </c>
      <c r="F4055" t="str">
        <f t="shared" si="1715"/>
        <v>THU</v>
      </c>
      <c r="G4055" s="3">
        <f t="shared" si="1716"/>
        <v>44077</v>
      </c>
      <c r="H4055" s="2">
        <f t="shared" ca="1" si="1717"/>
        <v>176</v>
      </c>
      <c r="I4055" t="str">
        <f t="shared" si="1718"/>
        <v>EUR/USD</v>
      </c>
      <c r="J4055">
        <f t="shared" si="1719"/>
        <v>1.17</v>
      </c>
      <c r="K4055">
        <f t="shared" si="1720"/>
        <v>1.2</v>
      </c>
      <c r="L4055">
        <f t="shared" si="1721"/>
        <v>1.1850000000000001</v>
      </c>
      <c r="M4055">
        <f t="shared" si="1722"/>
        <v>1.5000000000000013E-2</v>
      </c>
      <c r="N4055">
        <f t="shared" si="1711"/>
        <v>3.0000000000000027E-2</v>
      </c>
      <c r="O4055">
        <f t="shared" si="1723"/>
        <v>1.18</v>
      </c>
      <c r="P4055">
        <f t="shared" si="1724"/>
        <v>-0.33333333333334075</v>
      </c>
      <c r="Q4055" t="str">
        <f t="shared" si="1712"/>
        <v>0.85% | 1.69%</v>
      </c>
      <c r="R4055" t="str">
        <f t="shared" si="1725"/>
        <v>BULLISH</v>
      </c>
      <c r="S4055">
        <f t="shared" si="1713"/>
        <v>1</v>
      </c>
    </row>
    <row r="4056" spans="1:19" hidden="1" x14ac:dyDescent="0.25">
      <c r="A4056" s="5" t="str">
        <f t="shared" si="1714"/>
        <v>44077USD/JPY</v>
      </c>
      <c r="B4056" s="6" t="s">
        <v>176</v>
      </c>
      <c r="C4056" s="6">
        <v>105.27</v>
      </c>
      <c r="D4056" s="6">
        <v>106.75</v>
      </c>
      <c r="E4056" s="6">
        <v>106.18</v>
      </c>
      <c r="F4056" t="str">
        <f t="shared" si="1715"/>
        <v>THU</v>
      </c>
      <c r="G4056" s="3">
        <f t="shared" si="1716"/>
        <v>44077</v>
      </c>
      <c r="H4056" s="2">
        <f t="shared" ca="1" si="1717"/>
        <v>176</v>
      </c>
      <c r="I4056" t="str">
        <f t="shared" si="1718"/>
        <v>USD/JPY</v>
      </c>
      <c r="J4056">
        <f t="shared" si="1719"/>
        <v>105.27</v>
      </c>
      <c r="K4056">
        <f t="shared" si="1720"/>
        <v>106.75</v>
      </c>
      <c r="L4056">
        <f t="shared" si="1721"/>
        <v>106.00999999999999</v>
      </c>
      <c r="M4056">
        <f t="shared" si="1722"/>
        <v>0.74000000000000199</v>
      </c>
      <c r="N4056">
        <f t="shared" si="1711"/>
        <v>1.480000000000004</v>
      </c>
      <c r="O4056">
        <f t="shared" si="1723"/>
        <v>106.18</v>
      </c>
      <c r="P4056">
        <f t="shared" si="1724"/>
        <v>0.22972972972975061</v>
      </c>
      <c r="Q4056" t="str">
        <f t="shared" si="1712"/>
        <v>0.86% | 0.54%</v>
      </c>
      <c r="R4056" t="str">
        <f t="shared" si="1725"/>
        <v>BEARISH</v>
      </c>
      <c r="S4056">
        <f t="shared" si="1713"/>
        <v>-1</v>
      </c>
    </row>
    <row r="4057" spans="1:19" hidden="1" x14ac:dyDescent="0.25">
      <c r="A4057" s="5" t="str">
        <f t="shared" si="1714"/>
        <v>44077GBP/USD</v>
      </c>
      <c r="B4057" s="6" t="s">
        <v>177</v>
      </c>
      <c r="C4057" s="6">
        <v>1.31</v>
      </c>
      <c r="D4057" s="6">
        <v>1.34</v>
      </c>
      <c r="E4057" s="6">
        <v>1.33</v>
      </c>
      <c r="F4057" t="str">
        <f t="shared" si="1715"/>
        <v>THU</v>
      </c>
      <c r="G4057" s="3">
        <f t="shared" si="1716"/>
        <v>44077</v>
      </c>
      <c r="H4057" s="2">
        <f t="shared" ca="1" si="1717"/>
        <v>176</v>
      </c>
      <c r="I4057" t="str">
        <f t="shared" si="1718"/>
        <v>GBP/USD</v>
      </c>
      <c r="J4057">
        <f t="shared" si="1719"/>
        <v>1.31</v>
      </c>
      <c r="K4057">
        <f t="shared" si="1720"/>
        <v>1.34</v>
      </c>
      <c r="L4057">
        <f t="shared" si="1721"/>
        <v>1.3250000000000002</v>
      </c>
      <c r="M4057">
        <f t="shared" si="1722"/>
        <v>1.5000000000000013E-2</v>
      </c>
      <c r="N4057">
        <f t="shared" si="1711"/>
        <v>3.0000000000000027E-2</v>
      </c>
      <c r="O4057">
        <f t="shared" si="1723"/>
        <v>1.33</v>
      </c>
      <c r="P4057">
        <f t="shared" si="1724"/>
        <v>0.33333333333332593</v>
      </c>
      <c r="Q4057" t="str">
        <f t="shared" si="1712"/>
        <v>1.5% | 0.75%</v>
      </c>
      <c r="R4057" t="str">
        <f t="shared" si="1725"/>
        <v>BULLISH</v>
      </c>
      <c r="S4057">
        <f t="shared" si="1713"/>
        <v>1</v>
      </c>
    </row>
    <row r="4058" spans="1:19" hidden="1" x14ac:dyDescent="0.25">
      <c r="A4058" s="5" t="str">
        <f t="shared" si="1714"/>
        <v>44077USD/CHF</v>
      </c>
      <c r="B4058" s="6" t="s">
        <v>178</v>
      </c>
      <c r="C4058" s="6">
        <v>0.89</v>
      </c>
      <c r="D4058" s="6">
        <v>0.91</v>
      </c>
      <c r="E4058" s="6">
        <v>0.91</v>
      </c>
      <c r="F4058" t="str">
        <f t="shared" si="1715"/>
        <v>THU</v>
      </c>
      <c r="G4058" s="3">
        <f t="shared" si="1716"/>
        <v>44077</v>
      </c>
      <c r="H4058" s="2">
        <f t="shared" ca="1" si="1717"/>
        <v>176</v>
      </c>
      <c r="I4058" t="str">
        <f t="shared" si="1718"/>
        <v>USD/CHF</v>
      </c>
      <c r="J4058">
        <f t="shared" si="1719"/>
        <v>0.89</v>
      </c>
      <c r="K4058">
        <f t="shared" si="1720"/>
        <v>0.91</v>
      </c>
      <c r="L4058">
        <f t="shared" si="1721"/>
        <v>0.9</v>
      </c>
      <c r="M4058">
        <f t="shared" si="1722"/>
        <v>1.0000000000000009E-2</v>
      </c>
      <c r="N4058">
        <f t="shared" si="1711"/>
        <v>2.0000000000000018E-2</v>
      </c>
      <c r="O4058">
        <f t="shared" si="1723"/>
        <v>0.91</v>
      </c>
      <c r="P4058">
        <f t="shared" si="1724"/>
        <v>1</v>
      </c>
      <c r="Q4058" t="str">
        <f t="shared" si="1712"/>
        <v>2.2% | 0%</v>
      </c>
      <c r="R4058" t="str">
        <f t="shared" si="1725"/>
        <v>BEARISH</v>
      </c>
      <c r="S4058">
        <f t="shared" si="1713"/>
        <v>-1</v>
      </c>
    </row>
    <row r="4059" spans="1:19" hidden="1" x14ac:dyDescent="0.25">
      <c r="A4059" s="5" t="str">
        <f t="shared" si="1714"/>
        <v>44077WTIC</v>
      </c>
      <c r="B4059" s="6" t="s">
        <v>179</v>
      </c>
      <c r="C4059" s="6">
        <v>40.85</v>
      </c>
      <c r="D4059" s="6">
        <v>43.41</v>
      </c>
      <c r="E4059" s="6">
        <v>41.51</v>
      </c>
      <c r="F4059" t="str">
        <f t="shared" si="1715"/>
        <v>THU</v>
      </c>
      <c r="G4059" s="3">
        <f t="shared" si="1716"/>
        <v>44077</v>
      </c>
      <c r="H4059" s="2">
        <f t="shared" ca="1" si="1717"/>
        <v>176</v>
      </c>
      <c r="I4059" t="str">
        <f t="shared" si="1718"/>
        <v>WTIC</v>
      </c>
      <c r="J4059">
        <f t="shared" si="1719"/>
        <v>40.85</v>
      </c>
      <c r="K4059">
        <f t="shared" si="1720"/>
        <v>43.41</v>
      </c>
      <c r="L4059">
        <f t="shared" si="1721"/>
        <v>42.129999999999995</v>
      </c>
      <c r="M4059">
        <f t="shared" si="1722"/>
        <v>1.2799999999999976</v>
      </c>
      <c r="N4059">
        <f t="shared" si="1711"/>
        <v>2.5599999999999952</v>
      </c>
      <c r="O4059">
        <f t="shared" si="1723"/>
        <v>41.51</v>
      </c>
      <c r="P4059">
        <f t="shared" si="1724"/>
        <v>-0.48437499999999889</v>
      </c>
      <c r="Q4059" t="str">
        <f t="shared" si="1712"/>
        <v>1.59% | 4.58%</v>
      </c>
      <c r="R4059" t="str">
        <f t="shared" si="1725"/>
        <v>BULLISH</v>
      </c>
      <c r="S4059">
        <f t="shared" si="1713"/>
        <v>1</v>
      </c>
    </row>
    <row r="4060" spans="1:19" hidden="1" x14ac:dyDescent="0.25">
      <c r="A4060" s="5" t="str">
        <f t="shared" si="1714"/>
        <v>44077NATGAS</v>
      </c>
      <c r="B4060" s="6" t="s">
        <v>180</v>
      </c>
      <c r="C4060" s="6">
        <v>2.4</v>
      </c>
      <c r="D4060" s="6">
        <v>2.75</v>
      </c>
      <c r="E4060" s="6">
        <v>2.4900000000000002</v>
      </c>
      <c r="F4060" t="str">
        <f t="shared" si="1715"/>
        <v>THU</v>
      </c>
      <c r="G4060" s="3">
        <f t="shared" si="1716"/>
        <v>44077</v>
      </c>
      <c r="H4060" s="2">
        <f t="shared" ca="1" si="1717"/>
        <v>176</v>
      </c>
      <c r="I4060" t="str">
        <f t="shared" si="1718"/>
        <v>NATGAS</v>
      </c>
      <c r="J4060">
        <f t="shared" si="1719"/>
        <v>2.4</v>
      </c>
      <c r="K4060">
        <f t="shared" si="1720"/>
        <v>2.75</v>
      </c>
      <c r="L4060">
        <f t="shared" si="1721"/>
        <v>2.5750000000000002</v>
      </c>
      <c r="M4060">
        <f t="shared" si="1722"/>
        <v>0.17500000000000004</v>
      </c>
      <c r="N4060">
        <f t="shared" si="1711"/>
        <v>0.35000000000000009</v>
      </c>
      <c r="O4060">
        <f t="shared" si="1723"/>
        <v>2.4900000000000002</v>
      </c>
      <c r="P4060">
        <f t="shared" si="1724"/>
        <v>-0.48571428571428538</v>
      </c>
      <c r="Q4060" t="str">
        <f t="shared" si="1712"/>
        <v>3.61% | 10.44%</v>
      </c>
      <c r="R4060" t="str">
        <f t="shared" si="1725"/>
        <v>BULLISH</v>
      </c>
      <c r="S4060">
        <f t="shared" si="1713"/>
        <v>1</v>
      </c>
    </row>
    <row r="4061" spans="1:19" hidden="1" x14ac:dyDescent="0.25">
      <c r="A4061" s="5" t="str">
        <f t="shared" si="1714"/>
        <v>44077GOLD</v>
      </c>
      <c r="B4061" s="6" t="s">
        <v>181</v>
      </c>
      <c r="C4061" s="6">
        <v>1912</v>
      </c>
      <c r="D4061" s="6">
        <v>1993</v>
      </c>
      <c r="E4061" s="6">
        <v>1944</v>
      </c>
      <c r="F4061" t="str">
        <f t="shared" si="1715"/>
        <v>THU</v>
      </c>
      <c r="G4061" s="3">
        <f t="shared" si="1716"/>
        <v>44077</v>
      </c>
      <c r="H4061" s="2">
        <f t="shared" ca="1" si="1717"/>
        <v>176</v>
      </c>
      <c r="I4061" t="str">
        <f t="shared" si="1718"/>
        <v>GOLD</v>
      </c>
      <c r="J4061">
        <f t="shared" si="1719"/>
        <v>1912</v>
      </c>
      <c r="K4061">
        <f t="shared" si="1720"/>
        <v>1993</v>
      </c>
      <c r="L4061">
        <f t="shared" si="1721"/>
        <v>1952.5</v>
      </c>
      <c r="M4061">
        <f t="shared" si="1722"/>
        <v>40.5</v>
      </c>
      <c r="N4061">
        <f t="shared" si="1711"/>
        <v>81</v>
      </c>
      <c r="O4061">
        <f t="shared" si="1723"/>
        <v>1944</v>
      </c>
      <c r="P4061">
        <f t="shared" si="1724"/>
        <v>-0.20987654320987653</v>
      </c>
      <c r="Q4061" t="str">
        <f t="shared" si="1712"/>
        <v>1.65% | 2.52%</v>
      </c>
      <c r="R4061" t="str">
        <f t="shared" si="1725"/>
        <v>BULLISH</v>
      </c>
      <c r="S4061">
        <f t="shared" si="1713"/>
        <v>1</v>
      </c>
    </row>
    <row r="4062" spans="1:19" hidden="1" x14ac:dyDescent="0.25">
      <c r="A4062" s="5" t="str">
        <f t="shared" si="1714"/>
        <v>44077SILVER</v>
      </c>
      <c r="B4062" s="6" t="s">
        <v>199</v>
      </c>
      <c r="C4062" s="6">
        <v>25.71</v>
      </c>
      <c r="D4062" s="6">
        <v>28.99</v>
      </c>
      <c r="E4062" s="6">
        <v>27.4</v>
      </c>
      <c r="F4062" t="str">
        <f t="shared" si="1715"/>
        <v>THU</v>
      </c>
      <c r="G4062" s="3">
        <f t="shared" si="1716"/>
        <v>44077</v>
      </c>
      <c r="H4062" s="2">
        <f t="shared" ca="1" si="1717"/>
        <v>176</v>
      </c>
      <c r="I4062" t="str">
        <f t="shared" si="1718"/>
        <v>SILVER</v>
      </c>
      <c r="J4062">
        <f t="shared" si="1719"/>
        <v>25.71</v>
      </c>
      <c r="K4062">
        <f t="shared" si="1720"/>
        <v>28.99</v>
      </c>
      <c r="L4062">
        <f t="shared" si="1721"/>
        <v>27.35</v>
      </c>
      <c r="M4062">
        <f t="shared" si="1722"/>
        <v>1.6399999999999988</v>
      </c>
      <c r="N4062">
        <f t="shared" si="1711"/>
        <v>3.2799999999999976</v>
      </c>
      <c r="O4062">
        <f t="shared" si="1723"/>
        <v>27.4</v>
      </c>
      <c r="P4062">
        <f t="shared" si="1724"/>
        <v>3.0487804878047069E-2</v>
      </c>
      <c r="Q4062" t="str">
        <f t="shared" si="1712"/>
        <v>6.17% | 5.8%</v>
      </c>
      <c r="R4062" t="str">
        <f t="shared" si="1725"/>
        <v>BULLISH</v>
      </c>
      <c r="S4062">
        <f t="shared" si="1713"/>
        <v>1</v>
      </c>
    </row>
    <row r="4063" spans="1:19" hidden="1" x14ac:dyDescent="0.25">
      <c r="A4063" s="5" t="str">
        <f t="shared" si="1714"/>
        <v>44077COPPER</v>
      </c>
      <c r="B4063" s="6" t="s">
        <v>182</v>
      </c>
      <c r="C4063" s="6">
        <v>2.89</v>
      </c>
      <c r="D4063" s="6">
        <v>3.08</v>
      </c>
      <c r="E4063" s="6">
        <v>3.02</v>
      </c>
      <c r="F4063" t="str">
        <f t="shared" si="1715"/>
        <v>THU</v>
      </c>
      <c r="G4063" s="3">
        <f t="shared" si="1716"/>
        <v>44077</v>
      </c>
      <c r="H4063" s="2">
        <f t="shared" ca="1" si="1717"/>
        <v>176</v>
      </c>
      <c r="I4063" t="str">
        <f t="shared" si="1718"/>
        <v>COPPER</v>
      </c>
      <c r="J4063">
        <f t="shared" si="1719"/>
        <v>2.89</v>
      </c>
      <c r="K4063">
        <f t="shared" si="1720"/>
        <v>3.08</v>
      </c>
      <c r="L4063">
        <f t="shared" si="1721"/>
        <v>2.9850000000000003</v>
      </c>
      <c r="M4063">
        <f t="shared" si="1722"/>
        <v>9.4999999999999973E-2</v>
      </c>
      <c r="N4063">
        <f t="shared" si="1711"/>
        <v>0.18999999999999995</v>
      </c>
      <c r="O4063">
        <f t="shared" si="1723"/>
        <v>3.02</v>
      </c>
      <c r="P4063">
        <f t="shared" si="1724"/>
        <v>0.36842105263157587</v>
      </c>
      <c r="Q4063" t="str">
        <f t="shared" si="1712"/>
        <v>4.3% | 1.99%</v>
      </c>
      <c r="R4063" t="str">
        <f t="shared" si="1725"/>
        <v>BULLISH</v>
      </c>
      <c r="S4063">
        <f t="shared" si="1713"/>
        <v>1</v>
      </c>
    </row>
    <row r="4064" spans="1:19" hidden="1" x14ac:dyDescent="0.25">
      <c r="A4064" s="5" t="str">
        <f t="shared" si="1714"/>
        <v>44077MSFT</v>
      </c>
      <c r="B4064" s="6" t="s">
        <v>183</v>
      </c>
      <c r="C4064" s="6">
        <v>223</v>
      </c>
      <c r="D4064" s="6">
        <v>236</v>
      </c>
      <c r="E4064" s="6">
        <v>231</v>
      </c>
      <c r="F4064" t="str">
        <f t="shared" si="1715"/>
        <v>THU</v>
      </c>
      <c r="G4064" s="3">
        <f t="shared" si="1716"/>
        <v>44077</v>
      </c>
      <c r="H4064" s="2">
        <f t="shared" ca="1" si="1717"/>
        <v>176</v>
      </c>
      <c r="I4064" t="str">
        <f t="shared" si="1718"/>
        <v>MSFT</v>
      </c>
      <c r="J4064">
        <f t="shared" si="1719"/>
        <v>223</v>
      </c>
      <c r="K4064">
        <f t="shared" si="1720"/>
        <v>236</v>
      </c>
      <c r="L4064">
        <f t="shared" si="1721"/>
        <v>229.5</v>
      </c>
      <c r="M4064">
        <f t="shared" si="1722"/>
        <v>6.5</v>
      </c>
      <c r="N4064">
        <f t="shared" si="1711"/>
        <v>13</v>
      </c>
      <c r="O4064">
        <f t="shared" si="1723"/>
        <v>231</v>
      </c>
      <c r="P4064">
        <f t="shared" si="1724"/>
        <v>0.23076923076923078</v>
      </c>
      <c r="Q4064" t="str">
        <f t="shared" si="1712"/>
        <v>3.46% | 2.16%</v>
      </c>
      <c r="R4064" t="str">
        <f t="shared" si="1725"/>
        <v>BULLISH</v>
      </c>
      <c r="S4064">
        <f t="shared" si="1713"/>
        <v>1</v>
      </c>
    </row>
    <row r="4065" spans="1:19" hidden="1" x14ac:dyDescent="0.25">
      <c r="A4065" s="5" t="str">
        <f t="shared" si="1714"/>
        <v>44077AAPL</v>
      </c>
      <c r="B4065" s="6" t="s">
        <v>184</v>
      </c>
      <c r="C4065" s="6">
        <v>120</v>
      </c>
      <c r="D4065" s="6">
        <v>134</v>
      </c>
      <c r="E4065" s="6">
        <v>131</v>
      </c>
      <c r="F4065" t="str">
        <f t="shared" si="1715"/>
        <v>THU</v>
      </c>
      <c r="G4065" s="3">
        <f t="shared" si="1716"/>
        <v>44077</v>
      </c>
      <c r="H4065" s="2">
        <f t="shared" ca="1" si="1717"/>
        <v>176</v>
      </c>
      <c r="I4065" t="str">
        <f t="shared" si="1718"/>
        <v>AAPL</v>
      </c>
      <c r="J4065">
        <f t="shared" si="1719"/>
        <v>120</v>
      </c>
      <c r="K4065">
        <f t="shared" si="1720"/>
        <v>134</v>
      </c>
      <c r="L4065">
        <f t="shared" si="1721"/>
        <v>127</v>
      </c>
      <c r="M4065">
        <f t="shared" si="1722"/>
        <v>7</v>
      </c>
      <c r="N4065">
        <f t="shared" si="1711"/>
        <v>14</v>
      </c>
      <c r="O4065">
        <f t="shared" si="1723"/>
        <v>131</v>
      </c>
      <c r="P4065">
        <f t="shared" si="1724"/>
        <v>0.5714285714285714</v>
      </c>
      <c r="Q4065" t="str">
        <f t="shared" si="1712"/>
        <v>8.4% | 2.29%</v>
      </c>
      <c r="R4065" t="str">
        <f t="shared" si="1725"/>
        <v>BULLISH</v>
      </c>
      <c r="S4065">
        <f t="shared" si="1713"/>
        <v>1</v>
      </c>
    </row>
    <row r="4066" spans="1:19" hidden="1" x14ac:dyDescent="0.25">
      <c r="A4066" s="5" t="str">
        <f t="shared" si="1714"/>
        <v>44077AMZN</v>
      </c>
      <c r="B4066" s="6" t="s">
        <v>185</v>
      </c>
      <c r="C4066" s="6">
        <v>3391</v>
      </c>
      <c r="D4066" s="6">
        <v>3575</v>
      </c>
      <c r="E4066" s="6">
        <v>3531</v>
      </c>
      <c r="F4066" t="str">
        <f t="shared" si="1715"/>
        <v>THU</v>
      </c>
      <c r="G4066" s="3">
        <f t="shared" si="1716"/>
        <v>44077</v>
      </c>
      <c r="H4066" s="2">
        <f t="shared" ca="1" si="1717"/>
        <v>176</v>
      </c>
      <c r="I4066" t="str">
        <f t="shared" si="1718"/>
        <v>AMZN</v>
      </c>
      <c r="J4066">
        <f t="shared" si="1719"/>
        <v>3391</v>
      </c>
      <c r="K4066">
        <f t="shared" si="1720"/>
        <v>3575</v>
      </c>
      <c r="L4066">
        <f t="shared" si="1721"/>
        <v>3483</v>
      </c>
      <c r="M4066">
        <f t="shared" si="1722"/>
        <v>92</v>
      </c>
      <c r="N4066">
        <f t="shared" si="1711"/>
        <v>184</v>
      </c>
      <c r="O4066">
        <f t="shared" si="1723"/>
        <v>3531</v>
      </c>
      <c r="P4066">
        <f t="shared" si="1724"/>
        <v>0.52173913043478259</v>
      </c>
      <c r="Q4066" t="str">
        <f t="shared" si="1712"/>
        <v>3.96% | 1.25%</v>
      </c>
      <c r="R4066" t="str">
        <f t="shared" si="1725"/>
        <v>BULLISH</v>
      </c>
      <c r="S4066">
        <f t="shared" si="1713"/>
        <v>1</v>
      </c>
    </row>
    <row r="4067" spans="1:19" hidden="1" x14ac:dyDescent="0.25">
      <c r="A4067" s="5" t="str">
        <f t="shared" si="1714"/>
        <v>44077FB</v>
      </c>
      <c r="B4067" s="6" t="s">
        <v>186</v>
      </c>
      <c r="C4067" s="6">
        <v>271</v>
      </c>
      <c r="D4067" s="6">
        <v>315</v>
      </c>
      <c r="E4067" s="6">
        <v>302</v>
      </c>
      <c r="F4067" t="str">
        <f t="shared" si="1715"/>
        <v>THU</v>
      </c>
      <c r="G4067" s="3">
        <f t="shared" si="1716"/>
        <v>44077</v>
      </c>
      <c r="H4067" s="2">
        <f t="shared" ca="1" si="1717"/>
        <v>176</v>
      </c>
      <c r="I4067" t="str">
        <f t="shared" si="1718"/>
        <v>FB</v>
      </c>
      <c r="J4067">
        <f t="shared" si="1719"/>
        <v>271</v>
      </c>
      <c r="K4067">
        <f t="shared" si="1720"/>
        <v>315</v>
      </c>
      <c r="L4067">
        <f t="shared" si="1721"/>
        <v>293</v>
      </c>
      <c r="M4067">
        <f t="shared" si="1722"/>
        <v>22</v>
      </c>
      <c r="N4067">
        <f t="shared" si="1711"/>
        <v>44</v>
      </c>
      <c r="O4067">
        <f t="shared" si="1723"/>
        <v>302</v>
      </c>
      <c r="P4067">
        <f t="shared" si="1724"/>
        <v>0.40909090909090912</v>
      </c>
      <c r="Q4067" t="str">
        <f t="shared" si="1712"/>
        <v>10.26% | 4.3%</v>
      </c>
      <c r="R4067" t="str">
        <f t="shared" si="1725"/>
        <v>BULLISH</v>
      </c>
      <c r="S4067">
        <f t="shared" si="1713"/>
        <v>1</v>
      </c>
    </row>
    <row r="4068" spans="1:19" hidden="1" x14ac:dyDescent="0.25">
      <c r="A4068" s="5" t="str">
        <f t="shared" si="1714"/>
        <v>44077GOOGL</v>
      </c>
      <c r="B4068" s="6" t="s">
        <v>187</v>
      </c>
      <c r="C4068" s="6">
        <v>1630</v>
      </c>
      <c r="D4068" s="6">
        <v>1740</v>
      </c>
      <c r="E4068" s="6">
        <v>1717</v>
      </c>
      <c r="F4068" t="str">
        <f t="shared" si="1715"/>
        <v>THU</v>
      </c>
      <c r="G4068" s="3">
        <f t="shared" si="1716"/>
        <v>44077</v>
      </c>
      <c r="H4068" s="2">
        <f t="shared" ca="1" si="1717"/>
        <v>176</v>
      </c>
      <c r="I4068" t="str">
        <f t="shared" si="1718"/>
        <v>GOOGL</v>
      </c>
      <c r="J4068">
        <f t="shared" si="1719"/>
        <v>1630</v>
      </c>
      <c r="K4068">
        <f t="shared" si="1720"/>
        <v>1740</v>
      </c>
      <c r="L4068">
        <f t="shared" si="1721"/>
        <v>1685</v>
      </c>
      <c r="M4068">
        <f t="shared" si="1722"/>
        <v>55</v>
      </c>
      <c r="N4068">
        <f t="shared" si="1711"/>
        <v>110</v>
      </c>
      <c r="O4068">
        <f t="shared" si="1723"/>
        <v>1717</v>
      </c>
      <c r="P4068">
        <f t="shared" si="1724"/>
        <v>0.58181818181818179</v>
      </c>
      <c r="Q4068" t="str">
        <f t="shared" si="1712"/>
        <v>5.07% | 1.34%</v>
      </c>
      <c r="R4068" t="str">
        <f t="shared" si="1725"/>
        <v>BULLISH</v>
      </c>
      <c r="S4068">
        <f t="shared" si="1713"/>
        <v>1</v>
      </c>
    </row>
    <row r="4069" spans="1:19" hidden="1" x14ac:dyDescent="0.25">
      <c r="A4069" s="5" t="str">
        <f t="shared" si="1714"/>
        <v>44077NFLX</v>
      </c>
      <c r="B4069" s="6" t="s">
        <v>194</v>
      </c>
      <c r="C4069" s="6">
        <v>507</v>
      </c>
      <c r="D4069" s="6">
        <v>575</v>
      </c>
      <c r="E4069" s="6">
        <v>552</v>
      </c>
      <c r="F4069" t="str">
        <f t="shared" si="1715"/>
        <v>THU</v>
      </c>
      <c r="G4069" s="3">
        <f t="shared" si="1716"/>
        <v>44077</v>
      </c>
      <c r="H4069" s="2">
        <f t="shared" ca="1" si="1717"/>
        <v>176</v>
      </c>
      <c r="I4069" t="str">
        <f t="shared" si="1718"/>
        <v>NFLX</v>
      </c>
      <c r="J4069">
        <f t="shared" si="1719"/>
        <v>507</v>
      </c>
      <c r="K4069">
        <f t="shared" si="1720"/>
        <v>575</v>
      </c>
      <c r="L4069">
        <f t="shared" si="1721"/>
        <v>541</v>
      </c>
      <c r="M4069">
        <f t="shared" si="1722"/>
        <v>34</v>
      </c>
      <c r="N4069">
        <f t="shared" si="1711"/>
        <v>68</v>
      </c>
      <c r="O4069">
        <f t="shared" si="1723"/>
        <v>552</v>
      </c>
      <c r="P4069">
        <f t="shared" si="1724"/>
        <v>0.3235294117647059</v>
      </c>
      <c r="Q4069" t="str">
        <f t="shared" si="1712"/>
        <v>8.15% | 4.17%</v>
      </c>
      <c r="R4069" t="str">
        <f t="shared" si="1725"/>
        <v>BULLISH</v>
      </c>
      <c r="S4069">
        <f t="shared" si="1713"/>
        <v>1</v>
      </c>
    </row>
    <row r="4070" spans="1:19" x14ac:dyDescent="0.25">
      <c r="A4070" s="5" t="str">
        <f t="shared" si="1714"/>
        <v>44077TSLA</v>
      </c>
      <c r="B4070" s="6" t="s">
        <v>189</v>
      </c>
      <c r="C4070" s="6">
        <v>421</v>
      </c>
      <c r="D4070" s="6">
        <v>501</v>
      </c>
      <c r="E4070" s="6">
        <v>447</v>
      </c>
      <c r="F4070" t="str">
        <f t="shared" si="1715"/>
        <v>THU</v>
      </c>
      <c r="G4070" s="3">
        <f t="shared" si="1716"/>
        <v>44077</v>
      </c>
      <c r="H4070" s="2">
        <f t="shared" ca="1" si="1717"/>
        <v>176</v>
      </c>
      <c r="I4070" t="str">
        <f t="shared" si="1718"/>
        <v>TSLA</v>
      </c>
      <c r="J4070">
        <f t="shared" si="1719"/>
        <v>421</v>
      </c>
      <c r="K4070">
        <f t="shared" si="1720"/>
        <v>501</v>
      </c>
      <c r="L4070">
        <f t="shared" si="1721"/>
        <v>461</v>
      </c>
      <c r="M4070">
        <f t="shared" si="1722"/>
        <v>40</v>
      </c>
      <c r="N4070">
        <f t="shared" si="1711"/>
        <v>80</v>
      </c>
      <c r="O4070">
        <f t="shared" si="1723"/>
        <v>447</v>
      </c>
      <c r="P4070">
        <f t="shared" si="1724"/>
        <v>-0.35</v>
      </c>
      <c r="Q4070" t="str">
        <f t="shared" si="1712"/>
        <v>5.82% | 12.08%</v>
      </c>
      <c r="R4070" t="str">
        <f t="shared" si="1725"/>
        <v>BULLISH</v>
      </c>
      <c r="S4070">
        <f t="shared" si="1713"/>
        <v>1</v>
      </c>
    </row>
    <row r="4071" spans="1:19" hidden="1" x14ac:dyDescent="0.25">
      <c r="A4071" s="5" t="str">
        <f t="shared" si="1714"/>
        <v>44077NYXBT</v>
      </c>
      <c r="B4071" s="6" t="s">
        <v>190</v>
      </c>
      <c r="C4071" s="6">
        <v>11151</v>
      </c>
      <c r="D4071" s="6">
        <v>11968</v>
      </c>
      <c r="E4071" s="6">
        <v>11313</v>
      </c>
      <c r="F4071" t="str">
        <f t="shared" si="1715"/>
        <v>THU</v>
      </c>
      <c r="G4071" s="3">
        <f t="shared" si="1716"/>
        <v>44077</v>
      </c>
      <c r="H4071" s="2">
        <f t="shared" ca="1" si="1717"/>
        <v>176</v>
      </c>
      <c r="I4071" t="str">
        <f t="shared" si="1718"/>
        <v>NYXBT</v>
      </c>
      <c r="J4071">
        <f t="shared" si="1719"/>
        <v>11151</v>
      </c>
      <c r="K4071">
        <f t="shared" si="1720"/>
        <v>11968</v>
      </c>
      <c r="L4071">
        <f t="shared" si="1721"/>
        <v>11559.5</v>
      </c>
      <c r="M4071">
        <f t="shared" si="1722"/>
        <v>408.5</v>
      </c>
      <c r="N4071">
        <f t="shared" si="1711"/>
        <v>817</v>
      </c>
      <c r="O4071">
        <f t="shared" si="1723"/>
        <v>11313</v>
      </c>
      <c r="P4071">
        <f t="shared" si="1724"/>
        <v>-0.60342717258261935</v>
      </c>
      <c r="Q4071" t="str">
        <f t="shared" si="1712"/>
        <v>1.43% | 5.79%</v>
      </c>
      <c r="R4071" t="str">
        <f t="shared" si="1725"/>
        <v>BULLISH</v>
      </c>
      <c r="S4071">
        <f t="shared" si="1713"/>
        <v>1</v>
      </c>
    </row>
    <row r="4072" spans="1:19" hidden="1" x14ac:dyDescent="0.25">
      <c r="A4072" s="5" t="str">
        <f t="shared" si="1714"/>
        <v>44078UST10Y</v>
      </c>
      <c r="B4072" s="6" t="s">
        <v>161</v>
      </c>
      <c r="C4072" s="6">
        <v>0.71</v>
      </c>
      <c r="D4072" s="6">
        <v>0.59</v>
      </c>
      <c r="E4072" s="6">
        <v>0.63</v>
      </c>
      <c r="F4072" t="str">
        <f t="shared" si="1715"/>
        <v>FRI</v>
      </c>
      <c r="G4072" s="1">
        <f>DATE(2020,9,4)</f>
        <v>44078</v>
      </c>
      <c r="H4072" s="2">
        <f t="shared" ca="1" si="1717"/>
        <v>175</v>
      </c>
      <c r="I4072" t="str">
        <f t="shared" si="1718"/>
        <v>UST10Y</v>
      </c>
      <c r="J4072">
        <f t="shared" si="1719"/>
        <v>0.71</v>
      </c>
      <c r="K4072">
        <f t="shared" si="1720"/>
        <v>0.59</v>
      </c>
      <c r="L4072">
        <f t="shared" si="1721"/>
        <v>0.64999999999999991</v>
      </c>
      <c r="M4072">
        <f t="shared" si="1722"/>
        <v>0.06</v>
      </c>
      <c r="N4072">
        <f t="shared" si="1711"/>
        <v>0.12</v>
      </c>
      <c r="O4072">
        <f t="shared" si="1723"/>
        <v>0.63</v>
      </c>
      <c r="P4072">
        <f t="shared" si="1724"/>
        <v>-0.33333333333333182</v>
      </c>
      <c r="Q4072" t="str">
        <f t="shared" si="1712"/>
        <v>12.7% | 6.35%</v>
      </c>
      <c r="R4072" t="str">
        <f t="shared" si="1725"/>
        <v>BEARISH</v>
      </c>
      <c r="S4072">
        <f t="shared" si="1713"/>
        <v>-1</v>
      </c>
    </row>
    <row r="4073" spans="1:19" hidden="1" x14ac:dyDescent="0.25">
      <c r="A4073" s="5" t="str">
        <f t="shared" si="1714"/>
        <v>44078UST2Y</v>
      </c>
      <c r="B4073" s="6" t="s">
        <v>162</v>
      </c>
      <c r="C4073" s="6">
        <v>0.16</v>
      </c>
      <c r="D4073" s="6">
        <v>0.1</v>
      </c>
      <c r="E4073" s="6">
        <v>0.13</v>
      </c>
      <c r="F4073" t="str">
        <f t="shared" ref="F4073:F4103" si="1726">UPPER(TEXT(G4073,"ddd"))</f>
        <v>FRI</v>
      </c>
      <c r="G4073" s="1">
        <f t="shared" ref="G4073:G4102" si="1727">DATE(2020,9,4)</f>
        <v>44078</v>
      </c>
      <c r="H4073" s="2">
        <f t="shared" ref="H4073:H4103" ca="1" si="1728">TODAY()-G4073</f>
        <v>175</v>
      </c>
      <c r="I4073" t="str">
        <f t="shared" ref="I4073:I4103" si="1729">TRIM(LEFT(B4073,FIND(" ",B4073,1)))</f>
        <v>UST2Y</v>
      </c>
      <c r="J4073">
        <f t="shared" ref="J4073:J4103" si="1730">C4073</f>
        <v>0.16</v>
      </c>
      <c r="K4073">
        <f t="shared" ref="K4073:K4103" si="1731">D4073</f>
        <v>0.1</v>
      </c>
      <c r="L4073">
        <f t="shared" ref="L4073:L4103" si="1732">AVERAGE(J4073:K4073)</f>
        <v>0.13</v>
      </c>
      <c r="M4073">
        <f t="shared" ref="M4073:M4103" si="1733">_xlfn.STDEV.P(J4073:K4073)</f>
        <v>3.0000000000000023E-2</v>
      </c>
      <c r="N4073">
        <f t="shared" si="1711"/>
        <v>0.06</v>
      </c>
      <c r="O4073">
        <f t="shared" ref="O4073:O4103" si="1734">E4073</f>
        <v>0.13</v>
      </c>
      <c r="P4073">
        <f t="shared" ref="P4073:P4103" si="1735">(O4073-L4073)/M4073</f>
        <v>0</v>
      </c>
      <c r="Q4073" t="str">
        <f t="shared" si="1712"/>
        <v>23.08% | 23.08%</v>
      </c>
      <c r="R4073" t="str">
        <f t="shared" ref="R4073:R4103" si="1736">MID(B4073,FIND("(",B4073,1)+1,FIND(")",B4073,1)-FIND("(",B4073,1)-1)</f>
        <v>BEARISH</v>
      </c>
      <c r="S4073">
        <f t="shared" si="1713"/>
        <v>-1</v>
      </c>
    </row>
    <row r="4074" spans="1:19" hidden="1" x14ac:dyDescent="0.25">
      <c r="A4074" s="5" t="str">
        <f t="shared" si="1714"/>
        <v>44078SPX</v>
      </c>
      <c r="B4074" s="6" t="s">
        <v>191</v>
      </c>
      <c r="C4074" s="6">
        <v>3399</v>
      </c>
      <c r="D4074" s="6">
        <v>3577</v>
      </c>
      <c r="E4074" s="6">
        <v>3455</v>
      </c>
      <c r="F4074" t="str">
        <f t="shared" si="1726"/>
        <v>FRI</v>
      </c>
      <c r="G4074" s="1">
        <f t="shared" si="1727"/>
        <v>44078</v>
      </c>
      <c r="H4074" s="2">
        <f t="shared" ca="1" si="1728"/>
        <v>175</v>
      </c>
      <c r="I4074" t="str">
        <f t="shared" si="1729"/>
        <v>SPX</v>
      </c>
      <c r="J4074">
        <f t="shared" si="1730"/>
        <v>3399</v>
      </c>
      <c r="K4074">
        <f t="shared" si="1731"/>
        <v>3577</v>
      </c>
      <c r="L4074">
        <f t="shared" si="1732"/>
        <v>3488</v>
      </c>
      <c r="M4074">
        <f t="shared" si="1733"/>
        <v>89</v>
      </c>
      <c r="N4074">
        <f t="shared" si="1711"/>
        <v>178</v>
      </c>
      <c r="O4074">
        <f t="shared" si="1734"/>
        <v>3455</v>
      </c>
      <c r="P4074">
        <f t="shared" si="1735"/>
        <v>-0.3707865168539326</v>
      </c>
      <c r="Q4074" t="str">
        <f t="shared" si="1712"/>
        <v>1.62% | 3.53%</v>
      </c>
      <c r="R4074" t="str">
        <f t="shared" si="1736"/>
        <v>BULLISH</v>
      </c>
      <c r="S4074">
        <f t="shared" si="1713"/>
        <v>1</v>
      </c>
    </row>
    <row r="4075" spans="1:19" hidden="1" x14ac:dyDescent="0.25">
      <c r="A4075" s="5" t="str">
        <f t="shared" si="1714"/>
        <v>44078RUT</v>
      </c>
      <c r="B4075" s="6" t="s">
        <v>164</v>
      </c>
      <c r="C4075" s="6">
        <v>1527</v>
      </c>
      <c r="D4075" s="6">
        <v>1590</v>
      </c>
      <c r="E4075" s="6">
        <v>1544</v>
      </c>
      <c r="F4075" t="str">
        <f t="shared" si="1726"/>
        <v>FRI</v>
      </c>
      <c r="G4075" s="1">
        <f t="shared" si="1727"/>
        <v>44078</v>
      </c>
      <c r="H4075" s="2">
        <f t="shared" ca="1" si="1728"/>
        <v>175</v>
      </c>
      <c r="I4075" t="str">
        <f t="shared" si="1729"/>
        <v>RUT</v>
      </c>
      <c r="J4075">
        <f t="shared" si="1730"/>
        <v>1527</v>
      </c>
      <c r="K4075">
        <f t="shared" si="1731"/>
        <v>1590</v>
      </c>
      <c r="L4075">
        <f t="shared" si="1732"/>
        <v>1558.5</v>
      </c>
      <c r="M4075">
        <f t="shared" si="1733"/>
        <v>31.5</v>
      </c>
      <c r="N4075">
        <f t="shared" si="1711"/>
        <v>63</v>
      </c>
      <c r="O4075">
        <f t="shared" si="1734"/>
        <v>1544</v>
      </c>
      <c r="P4075">
        <f t="shared" si="1735"/>
        <v>-0.46031746031746029</v>
      </c>
      <c r="Q4075" t="str">
        <f t="shared" si="1712"/>
        <v>1.1% | 2.98%</v>
      </c>
      <c r="R4075" t="str">
        <f t="shared" si="1736"/>
        <v>BEARISH</v>
      </c>
      <c r="S4075">
        <f t="shared" si="1713"/>
        <v>-1</v>
      </c>
    </row>
    <row r="4076" spans="1:19" hidden="1" x14ac:dyDescent="0.25">
      <c r="A4076" s="5" t="str">
        <f t="shared" si="1714"/>
        <v>44078COMPQ</v>
      </c>
      <c r="B4076" s="6" t="s">
        <v>165</v>
      </c>
      <c r="C4076" s="6">
        <v>11245</v>
      </c>
      <c r="D4076" s="6">
        <v>12099</v>
      </c>
      <c r="E4076" s="6">
        <v>11458</v>
      </c>
      <c r="F4076" t="str">
        <f t="shared" si="1726"/>
        <v>FRI</v>
      </c>
      <c r="G4076" s="1">
        <f t="shared" si="1727"/>
        <v>44078</v>
      </c>
      <c r="H4076" s="2">
        <f t="shared" ca="1" si="1728"/>
        <v>175</v>
      </c>
      <c r="I4076" t="str">
        <f t="shared" si="1729"/>
        <v>COMPQ</v>
      </c>
      <c r="J4076">
        <f t="shared" si="1730"/>
        <v>11245</v>
      </c>
      <c r="K4076">
        <f t="shared" si="1731"/>
        <v>12099</v>
      </c>
      <c r="L4076">
        <f t="shared" si="1732"/>
        <v>11672</v>
      </c>
      <c r="M4076">
        <f t="shared" si="1733"/>
        <v>427</v>
      </c>
      <c r="N4076">
        <f t="shared" si="1711"/>
        <v>854</v>
      </c>
      <c r="O4076">
        <f t="shared" si="1734"/>
        <v>11458</v>
      </c>
      <c r="P4076">
        <f t="shared" si="1735"/>
        <v>-0.50117096018735363</v>
      </c>
      <c r="Q4076" t="str">
        <f t="shared" si="1712"/>
        <v>1.86% | 5.59%</v>
      </c>
      <c r="R4076" t="str">
        <f t="shared" si="1736"/>
        <v>BULLISH</v>
      </c>
      <c r="S4076">
        <f t="shared" si="1713"/>
        <v>1</v>
      </c>
    </row>
    <row r="4077" spans="1:19" hidden="1" x14ac:dyDescent="0.25">
      <c r="A4077" s="5" t="str">
        <f t="shared" si="1714"/>
        <v>44078XLK</v>
      </c>
      <c r="B4077" s="6" t="s">
        <v>166</v>
      </c>
      <c r="C4077" s="6">
        <v>116.17</v>
      </c>
      <c r="D4077" s="6">
        <v>127.82</v>
      </c>
      <c r="E4077" s="6">
        <v>119.79</v>
      </c>
      <c r="F4077" t="str">
        <f t="shared" si="1726"/>
        <v>FRI</v>
      </c>
      <c r="G4077" s="1">
        <f t="shared" si="1727"/>
        <v>44078</v>
      </c>
      <c r="H4077" s="2">
        <f t="shared" ca="1" si="1728"/>
        <v>175</v>
      </c>
      <c r="I4077" t="str">
        <f t="shared" si="1729"/>
        <v>XLK</v>
      </c>
      <c r="J4077">
        <f t="shared" si="1730"/>
        <v>116.17</v>
      </c>
      <c r="K4077">
        <f t="shared" si="1731"/>
        <v>127.82</v>
      </c>
      <c r="L4077">
        <f t="shared" si="1732"/>
        <v>121.995</v>
      </c>
      <c r="M4077">
        <f t="shared" si="1733"/>
        <v>5.8249999999999957</v>
      </c>
      <c r="N4077">
        <f t="shared" si="1711"/>
        <v>11.649999999999991</v>
      </c>
      <c r="O4077">
        <f t="shared" si="1734"/>
        <v>119.79</v>
      </c>
      <c r="P4077">
        <f t="shared" si="1735"/>
        <v>-0.37854077253218882</v>
      </c>
      <c r="Q4077" t="str">
        <f t="shared" si="1712"/>
        <v>3.02% | 6.7%</v>
      </c>
      <c r="R4077" t="str">
        <f t="shared" si="1736"/>
        <v>BULLISH</v>
      </c>
      <c r="S4077">
        <f t="shared" si="1713"/>
        <v>1</v>
      </c>
    </row>
    <row r="4078" spans="1:19" hidden="1" x14ac:dyDescent="0.25">
      <c r="A4078" s="5" t="str">
        <f t="shared" si="1714"/>
        <v>44078XLRE</v>
      </c>
      <c r="B4078" s="6" t="s">
        <v>167</v>
      </c>
      <c r="C4078" s="6">
        <v>35.380000000000003</v>
      </c>
      <c r="D4078" s="6">
        <v>36.99</v>
      </c>
      <c r="E4078" s="6">
        <v>36.380000000000003</v>
      </c>
      <c r="F4078" t="str">
        <f t="shared" si="1726"/>
        <v>FRI</v>
      </c>
      <c r="G4078" s="1">
        <f t="shared" si="1727"/>
        <v>44078</v>
      </c>
      <c r="H4078" s="2">
        <f t="shared" ca="1" si="1728"/>
        <v>175</v>
      </c>
      <c r="I4078" t="str">
        <f t="shared" si="1729"/>
        <v>XLRE</v>
      </c>
      <c r="J4078">
        <f t="shared" si="1730"/>
        <v>35.380000000000003</v>
      </c>
      <c r="K4078">
        <f t="shared" si="1731"/>
        <v>36.99</v>
      </c>
      <c r="L4078">
        <f t="shared" si="1732"/>
        <v>36.185000000000002</v>
      </c>
      <c r="M4078">
        <f t="shared" si="1733"/>
        <v>0.80499999999999972</v>
      </c>
      <c r="N4078">
        <f t="shared" si="1711"/>
        <v>1.6099999999999994</v>
      </c>
      <c r="O4078">
        <f t="shared" si="1734"/>
        <v>36.380000000000003</v>
      </c>
      <c r="P4078">
        <f t="shared" si="1735"/>
        <v>0.24223602484472093</v>
      </c>
      <c r="Q4078" t="str">
        <f t="shared" si="1712"/>
        <v>2.75% | 1.68%</v>
      </c>
      <c r="R4078" t="str">
        <f t="shared" si="1736"/>
        <v>BULLISH</v>
      </c>
      <c r="S4078">
        <f t="shared" si="1713"/>
        <v>1</v>
      </c>
    </row>
    <row r="4079" spans="1:19" hidden="1" x14ac:dyDescent="0.25">
      <c r="A4079" s="5" t="str">
        <f t="shared" si="1714"/>
        <v>44078XLU</v>
      </c>
      <c r="B4079" s="6" t="s">
        <v>168</v>
      </c>
      <c r="C4079" s="6">
        <v>58.1</v>
      </c>
      <c r="D4079" s="6">
        <v>60.55</v>
      </c>
      <c r="E4079" s="6">
        <v>59.71</v>
      </c>
      <c r="F4079" t="str">
        <f t="shared" si="1726"/>
        <v>FRI</v>
      </c>
      <c r="G4079" s="1">
        <f t="shared" si="1727"/>
        <v>44078</v>
      </c>
      <c r="H4079" s="2">
        <f t="shared" ca="1" si="1728"/>
        <v>175</v>
      </c>
      <c r="I4079" t="str">
        <f t="shared" si="1729"/>
        <v>XLU</v>
      </c>
      <c r="J4079">
        <f t="shared" si="1730"/>
        <v>58.1</v>
      </c>
      <c r="K4079">
        <f t="shared" si="1731"/>
        <v>60.55</v>
      </c>
      <c r="L4079">
        <f t="shared" si="1732"/>
        <v>59.325000000000003</v>
      </c>
      <c r="M4079">
        <f t="shared" si="1733"/>
        <v>1.2249999999999979</v>
      </c>
      <c r="N4079">
        <f t="shared" si="1711"/>
        <v>2.4499999999999957</v>
      </c>
      <c r="O4079">
        <f t="shared" si="1734"/>
        <v>59.71</v>
      </c>
      <c r="P4079">
        <f t="shared" si="1735"/>
        <v>0.31428571428571322</v>
      </c>
      <c r="Q4079" t="str">
        <f t="shared" si="1712"/>
        <v>2.7% | 1.41%</v>
      </c>
      <c r="R4079" t="str">
        <f t="shared" si="1736"/>
        <v>BULLISH</v>
      </c>
      <c r="S4079">
        <f t="shared" si="1713"/>
        <v>1</v>
      </c>
    </row>
    <row r="4080" spans="1:19" hidden="1" x14ac:dyDescent="0.25">
      <c r="A4080" s="5" t="str">
        <f t="shared" si="1714"/>
        <v>44078XLF</v>
      </c>
      <c r="B4080" s="6" t="s">
        <v>169</v>
      </c>
      <c r="C4080" s="6">
        <v>24.25</v>
      </c>
      <c r="D4080" s="6">
        <v>25.55</v>
      </c>
      <c r="E4080" s="6">
        <v>25.1</v>
      </c>
      <c r="F4080" t="str">
        <f t="shared" si="1726"/>
        <v>FRI</v>
      </c>
      <c r="G4080" s="1">
        <f t="shared" si="1727"/>
        <v>44078</v>
      </c>
      <c r="H4080" s="2">
        <f t="shared" ca="1" si="1728"/>
        <v>175</v>
      </c>
      <c r="I4080" t="str">
        <f t="shared" si="1729"/>
        <v>XLF</v>
      </c>
      <c r="J4080">
        <f t="shared" si="1730"/>
        <v>24.25</v>
      </c>
      <c r="K4080">
        <f t="shared" si="1731"/>
        <v>25.55</v>
      </c>
      <c r="L4080">
        <f t="shared" si="1732"/>
        <v>24.9</v>
      </c>
      <c r="M4080">
        <f t="shared" si="1733"/>
        <v>0.65000000000000036</v>
      </c>
      <c r="N4080">
        <f t="shared" si="1711"/>
        <v>1.3000000000000007</v>
      </c>
      <c r="O4080">
        <f t="shared" si="1734"/>
        <v>25.1</v>
      </c>
      <c r="P4080">
        <f t="shared" si="1735"/>
        <v>0.30769230769231187</v>
      </c>
      <c r="Q4080" t="str">
        <f t="shared" si="1712"/>
        <v>3.39% | 1.79%</v>
      </c>
      <c r="R4080" t="str">
        <f t="shared" si="1736"/>
        <v>BEARISH</v>
      </c>
      <c r="S4080">
        <f t="shared" si="1713"/>
        <v>-1</v>
      </c>
    </row>
    <row r="4081" spans="1:19" hidden="1" x14ac:dyDescent="0.25">
      <c r="A4081" s="5" t="str">
        <f t="shared" si="1714"/>
        <v>44078SSEC</v>
      </c>
      <c r="B4081" s="6" t="s">
        <v>170</v>
      </c>
      <c r="C4081" s="6">
        <v>3321</v>
      </c>
      <c r="D4081" s="6">
        <v>3435</v>
      </c>
      <c r="E4081" s="6">
        <v>3355</v>
      </c>
      <c r="F4081" t="str">
        <f t="shared" si="1726"/>
        <v>FRI</v>
      </c>
      <c r="G4081" s="1">
        <f t="shared" si="1727"/>
        <v>44078</v>
      </c>
      <c r="H4081" s="2">
        <f t="shared" ca="1" si="1728"/>
        <v>175</v>
      </c>
      <c r="I4081" t="str">
        <f t="shared" si="1729"/>
        <v>SSEC</v>
      </c>
      <c r="J4081">
        <f t="shared" si="1730"/>
        <v>3321</v>
      </c>
      <c r="K4081">
        <f t="shared" si="1731"/>
        <v>3435</v>
      </c>
      <c r="L4081">
        <f t="shared" si="1732"/>
        <v>3378</v>
      </c>
      <c r="M4081">
        <f t="shared" si="1733"/>
        <v>57</v>
      </c>
      <c r="N4081">
        <f t="shared" si="1711"/>
        <v>114</v>
      </c>
      <c r="O4081">
        <f t="shared" si="1734"/>
        <v>3355</v>
      </c>
      <c r="P4081">
        <f t="shared" si="1735"/>
        <v>-0.40350877192982454</v>
      </c>
      <c r="Q4081" t="str">
        <f t="shared" si="1712"/>
        <v>1.01% | 2.38%</v>
      </c>
      <c r="R4081" t="str">
        <f t="shared" si="1736"/>
        <v>BULLISH</v>
      </c>
      <c r="S4081">
        <f t="shared" si="1713"/>
        <v>1</v>
      </c>
    </row>
    <row r="4082" spans="1:19" hidden="1" x14ac:dyDescent="0.25">
      <c r="A4082" s="5" t="str">
        <f t="shared" si="1714"/>
        <v>44078NIKK</v>
      </c>
      <c r="B4082" s="6" t="s">
        <v>201</v>
      </c>
      <c r="C4082" s="6">
        <v>22856</v>
      </c>
      <c r="D4082" s="6">
        <v>23515</v>
      </c>
      <c r="E4082" s="6">
        <v>23205</v>
      </c>
      <c r="F4082" t="str">
        <f t="shared" si="1726"/>
        <v>FRI</v>
      </c>
      <c r="G4082" s="1">
        <f t="shared" si="1727"/>
        <v>44078</v>
      </c>
      <c r="H4082" s="2">
        <f t="shared" ca="1" si="1728"/>
        <v>175</v>
      </c>
      <c r="I4082" t="str">
        <f t="shared" si="1729"/>
        <v>NIKK</v>
      </c>
      <c r="J4082">
        <f t="shared" si="1730"/>
        <v>22856</v>
      </c>
      <c r="K4082">
        <f t="shared" si="1731"/>
        <v>23515</v>
      </c>
      <c r="L4082">
        <f t="shared" si="1732"/>
        <v>23185.5</v>
      </c>
      <c r="M4082">
        <f t="shared" si="1733"/>
        <v>329.5</v>
      </c>
      <c r="N4082">
        <f t="shared" si="1711"/>
        <v>659</v>
      </c>
      <c r="O4082">
        <f t="shared" si="1734"/>
        <v>23205</v>
      </c>
      <c r="P4082">
        <f t="shared" si="1735"/>
        <v>5.9180576631259481E-2</v>
      </c>
      <c r="Q4082" t="str">
        <f t="shared" si="1712"/>
        <v>1.5% | 1.34%</v>
      </c>
      <c r="R4082" t="str">
        <f t="shared" si="1736"/>
        <v>BULLISH</v>
      </c>
      <c r="S4082">
        <f t="shared" si="1713"/>
        <v>1</v>
      </c>
    </row>
    <row r="4083" spans="1:19" hidden="1" x14ac:dyDescent="0.25">
      <c r="A4083" s="5" t="str">
        <f t="shared" si="1714"/>
        <v>44078DAX</v>
      </c>
      <c r="B4083" s="6" t="s">
        <v>172</v>
      </c>
      <c r="C4083" s="6">
        <v>12806</v>
      </c>
      <c r="D4083" s="6">
        <v>13256</v>
      </c>
      <c r="E4083" s="6">
        <v>13057</v>
      </c>
      <c r="F4083" t="str">
        <f t="shared" si="1726"/>
        <v>FRI</v>
      </c>
      <c r="G4083" s="1">
        <f t="shared" si="1727"/>
        <v>44078</v>
      </c>
      <c r="H4083" s="2">
        <f t="shared" ca="1" si="1728"/>
        <v>175</v>
      </c>
      <c r="I4083" t="str">
        <f t="shared" si="1729"/>
        <v>DAX</v>
      </c>
      <c r="J4083">
        <f t="shared" si="1730"/>
        <v>12806</v>
      </c>
      <c r="K4083">
        <f t="shared" si="1731"/>
        <v>13256</v>
      </c>
      <c r="L4083">
        <f t="shared" si="1732"/>
        <v>13031</v>
      </c>
      <c r="M4083">
        <f t="shared" si="1733"/>
        <v>225</v>
      </c>
      <c r="N4083">
        <f t="shared" si="1711"/>
        <v>450</v>
      </c>
      <c r="O4083">
        <f t="shared" si="1734"/>
        <v>13057</v>
      </c>
      <c r="P4083">
        <f t="shared" si="1735"/>
        <v>0.11555555555555555</v>
      </c>
      <c r="Q4083" t="str">
        <f t="shared" si="1712"/>
        <v>1.92% | 1.52%</v>
      </c>
      <c r="R4083" t="str">
        <f t="shared" si="1736"/>
        <v>BULLISH</v>
      </c>
      <c r="S4083">
        <f t="shared" si="1713"/>
        <v>1</v>
      </c>
    </row>
    <row r="4084" spans="1:19" hidden="1" x14ac:dyDescent="0.25">
      <c r="A4084" s="5" t="str">
        <f t="shared" si="1714"/>
        <v>44078VIX</v>
      </c>
      <c r="B4084" s="6" t="s">
        <v>202</v>
      </c>
      <c r="C4084" s="6">
        <v>24.94</v>
      </c>
      <c r="D4084" s="6">
        <v>35.61</v>
      </c>
      <c r="E4084" s="6">
        <v>33.6</v>
      </c>
      <c r="F4084" t="str">
        <f t="shared" si="1726"/>
        <v>FRI</v>
      </c>
      <c r="G4084" s="1">
        <f t="shared" si="1727"/>
        <v>44078</v>
      </c>
      <c r="H4084" s="2">
        <f t="shared" ca="1" si="1728"/>
        <v>175</v>
      </c>
      <c r="I4084" t="str">
        <f t="shared" si="1729"/>
        <v>VIX</v>
      </c>
      <c r="J4084">
        <f t="shared" si="1730"/>
        <v>24.94</v>
      </c>
      <c r="K4084">
        <f t="shared" si="1731"/>
        <v>35.61</v>
      </c>
      <c r="L4084">
        <f t="shared" si="1732"/>
        <v>30.274999999999999</v>
      </c>
      <c r="M4084">
        <f t="shared" si="1733"/>
        <v>5.3349999999999991</v>
      </c>
      <c r="N4084">
        <f t="shared" si="1711"/>
        <v>10.669999999999998</v>
      </c>
      <c r="O4084">
        <f t="shared" si="1734"/>
        <v>33.6</v>
      </c>
      <c r="P4084">
        <f t="shared" si="1735"/>
        <v>0.62324273664479912</v>
      </c>
      <c r="Q4084" t="str">
        <f t="shared" si="1712"/>
        <v>25.77% | 5.98%</v>
      </c>
      <c r="R4084" t="str">
        <f t="shared" si="1736"/>
        <v>BULLISH</v>
      </c>
      <c r="S4084">
        <f t="shared" si="1713"/>
        <v>1</v>
      </c>
    </row>
    <row r="4085" spans="1:19" hidden="1" x14ac:dyDescent="0.25">
      <c r="A4085" s="5" t="str">
        <f t="shared" si="1714"/>
        <v>44078USD</v>
      </c>
      <c r="B4085" s="6" t="s">
        <v>174</v>
      </c>
      <c r="C4085" s="6">
        <v>92</v>
      </c>
      <c r="D4085" s="6">
        <v>93.31</v>
      </c>
      <c r="E4085" s="6">
        <v>92.74</v>
      </c>
      <c r="F4085" t="str">
        <f t="shared" si="1726"/>
        <v>FRI</v>
      </c>
      <c r="G4085" s="1">
        <f t="shared" si="1727"/>
        <v>44078</v>
      </c>
      <c r="H4085" s="2">
        <f t="shared" ca="1" si="1728"/>
        <v>175</v>
      </c>
      <c r="I4085" t="str">
        <f t="shared" si="1729"/>
        <v>USD</v>
      </c>
      <c r="J4085">
        <f t="shared" si="1730"/>
        <v>92</v>
      </c>
      <c r="K4085">
        <f t="shared" si="1731"/>
        <v>93.31</v>
      </c>
      <c r="L4085">
        <f t="shared" si="1732"/>
        <v>92.655000000000001</v>
      </c>
      <c r="M4085">
        <f t="shared" si="1733"/>
        <v>0.65500000000000114</v>
      </c>
      <c r="N4085">
        <f t="shared" si="1711"/>
        <v>1.3100000000000023</v>
      </c>
      <c r="O4085">
        <f t="shared" si="1734"/>
        <v>92.74</v>
      </c>
      <c r="P4085">
        <f t="shared" si="1735"/>
        <v>0.12977099236640244</v>
      </c>
      <c r="Q4085" t="str">
        <f t="shared" si="1712"/>
        <v>0.8% | 0.61%</v>
      </c>
      <c r="R4085" t="str">
        <f t="shared" si="1736"/>
        <v>BEARISH</v>
      </c>
      <c r="S4085">
        <f t="shared" si="1713"/>
        <v>-1</v>
      </c>
    </row>
    <row r="4086" spans="1:19" hidden="1" x14ac:dyDescent="0.25">
      <c r="A4086" s="5" t="str">
        <f t="shared" si="1714"/>
        <v>44078EUR/USD</v>
      </c>
      <c r="B4086" s="6" t="s">
        <v>175</v>
      </c>
      <c r="C4086" s="6">
        <v>1.17</v>
      </c>
      <c r="D4086" s="6">
        <v>1.2</v>
      </c>
      <c r="E4086" s="6">
        <v>1.18</v>
      </c>
      <c r="F4086" t="str">
        <f t="shared" si="1726"/>
        <v>FRI</v>
      </c>
      <c r="G4086" s="1">
        <f t="shared" si="1727"/>
        <v>44078</v>
      </c>
      <c r="H4086" s="2">
        <f t="shared" ca="1" si="1728"/>
        <v>175</v>
      </c>
      <c r="I4086" t="str">
        <f t="shared" si="1729"/>
        <v>EUR/USD</v>
      </c>
      <c r="J4086">
        <f t="shared" si="1730"/>
        <v>1.17</v>
      </c>
      <c r="K4086">
        <f t="shared" si="1731"/>
        <v>1.2</v>
      </c>
      <c r="L4086">
        <f t="shared" si="1732"/>
        <v>1.1850000000000001</v>
      </c>
      <c r="M4086">
        <f t="shared" si="1733"/>
        <v>1.5000000000000013E-2</v>
      </c>
      <c r="N4086">
        <f t="shared" si="1711"/>
        <v>3.0000000000000027E-2</v>
      </c>
      <c r="O4086">
        <f t="shared" si="1734"/>
        <v>1.18</v>
      </c>
      <c r="P4086">
        <f t="shared" si="1735"/>
        <v>-0.33333333333334075</v>
      </c>
      <c r="Q4086" t="str">
        <f t="shared" si="1712"/>
        <v>0.85% | 1.69%</v>
      </c>
      <c r="R4086" t="str">
        <f t="shared" si="1736"/>
        <v>BULLISH</v>
      </c>
      <c r="S4086">
        <f t="shared" si="1713"/>
        <v>1</v>
      </c>
    </row>
    <row r="4087" spans="1:19" hidden="1" x14ac:dyDescent="0.25">
      <c r="A4087" s="5" t="str">
        <f t="shared" si="1714"/>
        <v>44078USD/JPY</v>
      </c>
      <c r="B4087" s="6" t="s">
        <v>176</v>
      </c>
      <c r="C4087" s="6">
        <v>105.3</v>
      </c>
      <c r="D4087" s="6">
        <v>106.77</v>
      </c>
      <c r="E4087" s="6">
        <v>106.17</v>
      </c>
      <c r="F4087" t="str">
        <f t="shared" si="1726"/>
        <v>FRI</v>
      </c>
      <c r="G4087" s="1">
        <f t="shared" si="1727"/>
        <v>44078</v>
      </c>
      <c r="H4087" s="2">
        <f t="shared" ca="1" si="1728"/>
        <v>175</v>
      </c>
      <c r="I4087" t="str">
        <f t="shared" si="1729"/>
        <v>USD/JPY</v>
      </c>
      <c r="J4087">
        <f t="shared" si="1730"/>
        <v>105.3</v>
      </c>
      <c r="K4087">
        <f t="shared" si="1731"/>
        <v>106.77</v>
      </c>
      <c r="L4087">
        <f t="shared" si="1732"/>
        <v>106.035</v>
      </c>
      <c r="M4087">
        <f t="shared" si="1733"/>
        <v>0.73499999999999943</v>
      </c>
      <c r="N4087">
        <f t="shared" si="1711"/>
        <v>1.4699999999999989</v>
      </c>
      <c r="O4087">
        <f t="shared" si="1734"/>
        <v>106.17</v>
      </c>
      <c r="P4087">
        <f t="shared" si="1735"/>
        <v>0.18367346938776222</v>
      </c>
      <c r="Q4087" t="str">
        <f t="shared" si="1712"/>
        <v>0.82% | 0.57%</v>
      </c>
      <c r="R4087" t="str">
        <f t="shared" si="1736"/>
        <v>BEARISH</v>
      </c>
      <c r="S4087">
        <f t="shared" si="1713"/>
        <v>-1</v>
      </c>
    </row>
    <row r="4088" spans="1:19" hidden="1" x14ac:dyDescent="0.25">
      <c r="A4088" s="5" t="str">
        <f t="shared" si="1714"/>
        <v>44078GBP/USD</v>
      </c>
      <c r="B4088" s="6" t="s">
        <v>177</v>
      </c>
      <c r="C4088" s="6">
        <v>1.31</v>
      </c>
      <c r="D4088" s="6">
        <v>1.34</v>
      </c>
      <c r="E4088" s="6">
        <v>1.33</v>
      </c>
      <c r="F4088" t="str">
        <f t="shared" si="1726"/>
        <v>FRI</v>
      </c>
      <c r="G4088" s="1">
        <f t="shared" si="1727"/>
        <v>44078</v>
      </c>
      <c r="H4088" s="2">
        <f t="shared" ca="1" si="1728"/>
        <v>175</v>
      </c>
      <c r="I4088" t="str">
        <f t="shared" si="1729"/>
        <v>GBP/USD</v>
      </c>
      <c r="J4088">
        <f t="shared" si="1730"/>
        <v>1.31</v>
      </c>
      <c r="K4088">
        <f t="shared" si="1731"/>
        <v>1.34</v>
      </c>
      <c r="L4088">
        <f t="shared" si="1732"/>
        <v>1.3250000000000002</v>
      </c>
      <c r="M4088">
        <f t="shared" si="1733"/>
        <v>1.5000000000000013E-2</v>
      </c>
      <c r="N4088">
        <f t="shared" si="1711"/>
        <v>3.0000000000000027E-2</v>
      </c>
      <c r="O4088">
        <f t="shared" si="1734"/>
        <v>1.33</v>
      </c>
      <c r="P4088">
        <f t="shared" si="1735"/>
        <v>0.33333333333332593</v>
      </c>
      <c r="Q4088" t="str">
        <f t="shared" si="1712"/>
        <v>1.5% | 0.75%</v>
      </c>
      <c r="R4088" t="str">
        <f t="shared" si="1736"/>
        <v>BULLISH</v>
      </c>
      <c r="S4088">
        <f t="shared" si="1713"/>
        <v>1</v>
      </c>
    </row>
    <row r="4089" spans="1:19" hidden="1" x14ac:dyDescent="0.25">
      <c r="A4089" s="5" t="str">
        <f t="shared" si="1714"/>
        <v>44078USD/CHF</v>
      </c>
      <c r="B4089" s="6" t="s">
        <v>178</v>
      </c>
      <c r="C4089" s="6">
        <v>0.89</v>
      </c>
      <c r="D4089" s="6">
        <v>0.91</v>
      </c>
      <c r="E4089" s="6">
        <v>0.9</v>
      </c>
      <c r="F4089" t="str">
        <f t="shared" si="1726"/>
        <v>FRI</v>
      </c>
      <c r="G4089" s="1">
        <f t="shared" si="1727"/>
        <v>44078</v>
      </c>
      <c r="H4089" s="2">
        <f t="shared" ca="1" si="1728"/>
        <v>175</v>
      </c>
      <c r="I4089" t="str">
        <f t="shared" si="1729"/>
        <v>USD/CHF</v>
      </c>
      <c r="J4089">
        <f t="shared" si="1730"/>
        <v>0.89</v>
      </c>
      <c r="K4089">
        <f t="shared" si="1731"/>
        <v>0.91</v>
      </c>
      <c r="L4089">
        <f t="shared" si="1732"/>
        <v>0.9</v>
      </c>
      <c r="M4089">
        <f t="shared" si="1733"/>
        <v>1.0000000000000009E-2</v>
      </c>
      <c r="N4089">
        <f t="shared" si="1711"/>
        <v>2.0000000000000018E-2</v>
      </c>
      <c r="O4089">
        <f t="shared" si="1734"/>
        <v>0.9</v>
      </c>
      <c r="P4089">
        <f t="shared" si="1735"/>
        <v>0</v>
      </c>
      <c r="Q4089" t="str">
        <f t="shared" si="1712"/>
        <v>1.11% | 1.11%</v>
      </c>
      <c r="R4089" t="str">
        <f t="shared" si="1736"/>
        <v>BEARISH</v>
      </c>
      <c r="S4089">
        <f t="shared" si="1713"/>
        <v>-1</v>
      </c>
    </row>
    <row r="4090" spans="1:19" hidden="1" x14ac:dyDescent="0.25">
      <c r="A4090" s="5" t="str">
        <f t="shared" si="1714"/>
        <v>44078WTIC</v>
      </c>
      <c r="B4090" s="6" t="s">
        <v>179</v>
      </c>
      <c r="C4090" s="6">
        <v>40.950000000000003</v>
      </c>
      <c r="D4090" s="6">
        <v>43.9</v>
      </c>
      <c r="E4090" s="6">
        <v>41.37</v>
      </c>
      <c r="F4090" t="str">
        <f t="shared" si="1726"/>
        <v>FRI</v>
      </c>
      <c r="G4090" s="1">
        <f t="shared" si="1727"/>
        <v>44078</v>
      </c>
      <c r="H4090" s="2">
        <f t="shared" ca="1" si="1728"/>
        <v>175</v>
      </c>
      <c r="I4090" t="str">
        <f t="shared" si="1729"/>
        <v>WTIC</v>
      </c>
      <c r="J4090">
        <f t="shared" si="1730"/>
        <v>40.950000000000003</v>
      </c>
      <c r="K4090">
        <f t="shared" si="1731"/>
        <v>43.9</v>
      </c>
      <c r="L4090">
        <f t="shared" si="1732"/>
        <v>42.424999999999997</v>
      </c>
      <c r="M4090">
        <f t="shared" si="1733"/>
        <v>1.4749999999999979</v>
      </c>
      <c r="N4090">
        <f t="shared" si="1711"/>
        <v>2.9499999999999957</v>
      </c>
      <c r="O4090">
        <f t="shared" si="1734"/>
        <v>41.37</v>
      </c>
      <c r="P4090">
        <f t="shared" si="1735"/>
        <v>-0.71525423728813642</v>
      </c>
      <c r="Q4090" t="str">
        <f t="shared" si="1712"/>
        <v>1.02% | 6.12%</v>
      </c>
      <c r="R4090" t="str">
        <f t="shared" si="1736"/>
        <v>BULLISH</v>
      </c>
      <c r="S4090">
        <f t="shared" si="1713"/>
        <v>1</v>
      </c>
    </row>
    <row r="4091" spans="1:19" hidden="1" x14ac:dyDescent="0.25">
      <c r="A4091" s="5" t="str">
        <f t="shared" si="1714"/>
        <v>44078NATGAS</v>
      </c>
      <c r="B4091" s="6" t="s">
        <v>180</v>
      </c>
      <c r="C4091" s="6">
        <v>2.41</v>
      </c>
      <c r="D4091" s="6">
        <v>2.75</v>
      </c>
      <c r="E4091" s="6">
        <v>2.4900000000000002</v>
      </c>
      <c r="F4091" t="str">
        <f t="shared" si="1726"/>
        <v>FRI</v>
      </c>
      <c r="G4091" s="1">
        <f t="shared" si="1727"/>
        <v>44078</v>
      </c>
      <c r="H4091" s="2">
        <f t="shared" ca="1" si="1728"/>
        <v>175</v>
      </c>
      <c r="I4091" t="str">
        <f t="shared" si="1729"/>
        <v>NATGAS</v>
      </c>
      <c r="J4091">
        <f t="shared" si="1730"/>
        <v>2.41</v>
      </c>
      <c r="K4091">
        <f t="shared" si="1731"/>
        <v>2.75</v>
      </c>
      <c r="L4091">
        <f t="shared" si="1732"/>
        <v>2.58</v>
      </c>
      <c r="M4091">
        <f t="shared" si="1733"/>
        <v>0.16999999999999993</v>
      </c>
      <c r="N4091">
        <f t="shared" si="1711"/>
        <v>0.33999999999999986</v>
      </c>
      <c r="O4091">
        <f t="shared" si="1734"/>
        <v>2.4900000000000002</v>
      </c>
      <c r="P4091">
        <f t="shared" si="1735"/>
        <v>-0.52941176470588169</v>
      </c>
      <c r="Q4091" t="str">
        <f t="shared" si="1712"/>
        <v>3.21% | 10.44%</v>
      </c>
      <c r="R4091" t="str">
        <f t="shared" si="1736"/>
        <v>BULLISH</v>
      </c>
      <c r="S4091">
        <f t="shared" si="1713"/>
        <v>1</v>
      </c>
    </row>
    <row r="4092" spans="1:19" hidden="1" x14ac:dyDescent="0.25">
      <c r="A4092" s="5" t="str">
        <f t="shared" si="1714"/>
        <v>44078GOLD</v>
      </c>
      <c r="B4092" s="6" t="s">
        <v>181</v>
      </c>
      <c r="C4092" s="6">
        <v>1912</v>
      </c>
      <c r="D4092" s="6">
        <v>1993</v>
      </c>
      <c r="E4092" s="6">
        <v>1937</v>
      </c>
      <c r="F4092" t="str">
        <f t="shared" si="1726"/>
        <v>FRI</v>
      </c>
      <c r="G4092" s="1">
        <f t="shared" si="1727"/>
        <v>44078</v>
      </c>
      <c r="H4092" s="2">
        <f t="shared" ca="1" si="1728"/>
        <v>175</v>
      </c>
      <c r="I4092" t="str">
        <f t="shared" si="1729"/>
        <v>GOLD</v>
      </c>
      <c r="J4092">
        <f t="shared" si="1730"/>
        <v>1912</v>
      </c>
      <c r="K4092">
        <f t="shared" si="1731"/>
        <v>1993</v>
      </c>
      <c r="L4092">
        <f t="shared" si="1732"/>
        <v>1952.5</v>
      </c>
      <c r="M4092">
        <f t="shared" si="1733"/>
        <v>40.5</v>
      </c>
      <c r="N4092">
        <f t="shared" si="1711"/>
        <v>81</v>
      </c>
      <c r="O4092">
        <f t="shared" si="1734"/>
        <v>1937</v>
      </c>
      <c r="P4092">
        <f t="shared" si="1735"/>
        <v>-0.38271604938271603</v>
      </c>
      <c r="Q4092" t="str">
        <f t="shared" si="1712"/>
        <v>1.29% | 2.89%</v>
      </c>
      <c r="R4092" t="str">
        <f t="shared" si="1736"/>
        <v>BULLISH</v>
      </c>
      <c r="S4092">
        <f t="shared" si="1713"/>
        <v>1</v>
      </c>
    </row>
    <row r="4093" spans="1:19" hidden="1" x14ac:dyDescent="0.25">
      <c r="A4093" s="5" t="str">
        <f t="shared" si="1714"/>
        <v>44078SILVER</v>
      </c>
      <c r="B4093" s="6" t="s">
        <v>199</v>
      </c>
      <c r="C4093" s="6">
        <v>25.75</v>
      </c>
      <c r="D4093" s="6">
        <v>28.99</v>
      </c>
      <c r="E4093" s="6">
        <v>26.88</v>
      </c>
      <c r="F4093" t="str">
        <f t="shared" si="1726"/>
        <v>FRI</v>
      </c>
      <c r="G4093" s="1">
        <f t="shared" si="1727"/>
        <v>44078</v>
      </c>
      <c r="H4093" s="2">
        <f t="shared" ca="1" si="1728"/>
        <v>175</v>
      </c>
      <c r="I4093" t="str">
        <f t="shared" si="1729"/>
        <v>SILVER</v>
      </c>
      <c r="J4093">
        <f t="shared" si="1730"/>
        <v>25.75</v>
      </c>
      <c r="K4093">
        <f t="shared" si="1731"/>
        <v>28.99</v>
      </c>
      <c r="L4093">
        <f t="shared" si="1732"/>
        <v>27.369999999999997</v>
      </c>
      <c r="M4093">
        <f t="shared" si="1733"/>
        <v>1.6199999999999992</v>
      </c>
      <c r="N4093">
        <f t="shared" si="1711"/>
        <v>3.2399999999999984</v>
      </c>
      <c r="O4093">
        <f t="shared" si="1734"/>
        <v>26.88</v>
      </c>
      <c r="P4093">
        <f t="shared" si="1735"/>
        <v>-0.30246913580246831</v>
      </c>
      <c r="Q4093" t="str">
        <f t="shared" si="1712"/>
        <v>4.2% | 7.85%</v>
      </c>
      <c r="R4093" t="str">
        <f t="shared" si="1736"/>
        <v>BULLISH</v>
      </c>
      <c r="S4093">
        <f t="shared" si="1713"/>
        <v>1</v>
      </c>
    </row>
    <row r="4094" spans="1:19" hidden="1" x14ac:dyDescent="0.25">
      <c r="A4094" s="5" t="str">
        <f t="shared" si="1714"/>
        <v>44078COPPER</v>
      </c>
      <c r="B4094" s="6" t="s">
        <v>182</v>
      </c>
      <c r="C4094" s="6">
        <v>2.91</v>
      </c>
      <c r="D4094" s="6">
        <v>3.08</v>
      </c>
      <c r="E4094" s="6">
        <v>2.97</v>
      </c>
      <c r="F4094" t="str">
        <f t="shared" si="1726"/>
        <v>FRI</v>
      </c>
      <c r="G4094" s="1">
        <f t="shared" si="1727"/>
        <v>44078</v>
      </c>
      <c r="H4094" s="2">
        <f t="shared" ca="1" si="1728"/>
        <v>175</v>
      </c>
      <c r="I4094" t="str">
        <f t="shared" si="1729"/>
        <v>COPPER</v>
      </c>
      <c r="J4094">
        <f t="shared" si="1730"/>
        <v>2.91</v>
      </c>
      <c r="K4094">
        <f t="shared" si="1731"/>
        <v>3.08</v>
      </c>
      <c r="L4094">
        <f t="shared" si="1732"/>
        <v>2.9950000000000001</v>
      </c>
      <c r="M4094">
        <f t="shared" si="1733"/>
        <v>8.4999999999999964E-2</v>
      </c>
      <c r="N4094">
        <f t="shared" si="1711"/>
        <v>0.16999999999999993</v>
      </c>
      <c r="O4094">
        <f t="shared" si="1734"/>
        <v>2.97</v>
      </c>
      <c r="P4094">
        <f t="shared" si="1735"/>
        <v>-0.2941176470588226</v>
      </c>
      <c r="Q4094" t="str">
        <f t="shared" si="1712"/>
        <v>2.02% | 3.7%</v>
      </c>
      <c r="R4094" t="str">
        <f t="shared" si="1736"/>
        <v>BULLISH</v>
      </c>
      <c r="S4094">
        <f t="shared" si="1713"/>
        <v>1</v>
      </c>
    </row>
    <row r="4095" spans="1:19" hidden="1" x14ac:dyDescent="0.25">
      <c r="A4095" s="5" t="str">
        <f t="shared" si="1714"/>
        <v>44078MSFT</v>
      </c>
      <c r="B4095" s="6" t="s">
        <v>183</v>
      </c>
      <c r="C4095" s="6">
        <v>210</v>
      </c>
      <c r="D4095" s="6">
        <v>235</v>
      </c>
      <c r="E4095" s="6">
        <v>217</v>
      </c>
      <c r="F4095" t="str">
        <f t="shared" si="1726"/>
        <v>FRI</v>
      </c>
      <c r="G4095" s="1">
        <f t="shared" si="1727"/>
        <v>44078</v>
      </c>
      <c r="H4095" s="2">
        <f t="shared" ca="1" si="1728"/>
        <v>175</v>
      </c>
      <c r="I4095" t="str">
        <f t="shared" si="1729"/>
        <v>MSFT</v>
      </c>
      <c r="J4095">
        <f t="shared" si="1730"/>
        <v>210</v>
      </c>
      <c r="K4095">
        <f t="shared" si="1731"/>
        <v>235</v>
      </c>
      <c r="L4095">
        <f t="shared" si="1732"/>
        <v>222.5</v>
      </c>
      <c r="M4095">
        <f t="shared" si="1733"/>
        <v>12.5</v>
      </c>
      <c r="N4095">
        <f t="shared" si="1711"/>
        <v>25</v>
      </c>
      <c r="O4095">
        <f t="shared" si="1734"/>
        <v>217</v>
      </c>
      <c r="P4095">
        <f t="shared" si="1735"/>
        <v>-0.44</v>
      </c>
      <c r="Q4095" t="str">
        <f t="shared" si="1712"/>
        <v>3.23% | 8.29%</v>
      </c>
      <c r="R4095" t="str">
        <f t="shared" si="1736"/>
        <v>BULLISH</v>
      </c>
      <c r="S4095">
        <f t="shared" si="1713"/>
        <v>1</v>
      </c>
    </row>
    <row r="4096" spans="1:19" hidden="1" x14ac:dyDescent="0.25">
      <c r="A4096" s="5" t="str">
        <f t="shared" si="1714"/>
        <v>44078AAPL</v>
      </c>
      <c r="B4096" s="6" t="s">
        <v>184</v>
      </c>
      <c r="C4096" s="6">
        <v>117</v>
      </c>
      <c r="D4096" s="6">
        <v>134</v>
      </c>
      <c r="E4096" s="6">
        <v>120</v>
      </c>
      <c r="F4096" t="str">
        <f t="shared" si="1726"/>
        <v>FRI</v>
      </c>
      <c r="G4096" s="1">
        <f t="shared" si="1727"/>
        <v>44078</v>
      </c>
      <c r="H4096" s="2">
        <f t="shared" ca="1" si="1728"/>
        <v>175</v>
      </c>
      <c r="I4096" t="str">
        <f t="shared" si="1729"/>
        <v>AAPL</v>
      </c>
      <c r="J4096">
        <f t="shared" si="1730"/>
        <v>117</v>
      </c>
      <c r="K4096">
        <f t="shared" si="1731"/>
        <v>134</v>
      </c>
      <c r="L4096">
        <f t="shared" si="1732"/>
        <v>125.5</v>
      </c>
      <c r="M4096">
        <f t="shared" si="1733"/>
        <v>8.5</v>
      </c>
      <c r="N4096">
        <f t="shared" si="1711"/>
        <v>17</v>
      </c>
      <c r="O4096">
        <f t="shared" si="1734"/>
        <v>120</v>
      </c>
      <c r="P4096">
        <f t="shared" si="1735"/>
        <v>-0.6470588235294118</v>
      </c>
      <c r="Q4096" t="str">
        <f t="shared" si="1712"/>
        <v>2.5% | 11.67%</v>
      </c>
      <c r="R4096" t="str">
        <f t="shared" si="1736"/>
        <v>BULLISH</v>
      </c>
      <c r="S4096">
        <f t="shared" si="1713"/>
        <v>1</v>
      </c>
    </row>
    <row r="4097" spans="1:19" hidden="1" x14ac:dyDescent="0.25">
      <c r="A4097" s="5" t="str">
        <f t="shared" si="1714"/>
        <v>44078AMZN</v>
      </c>
      <c r="B4097" s="6" t="s">
        <v>185</v>
      </c>
      <c r="C4097" s="6">
        <v>3272</v>
      </c>
      <c r="D4097" s="6">
        <v>3551</v>
      </c>
      <c r="E4097" s="6">
        <v>3368</v>
      </c>
      <c r="F4097" t="str">
        <f t="shared" si="1726"/>
        <v>FRI</v>
      </c>
      <c r="G4097" s="1">
        <f t="shared" si="1727"/>
        <v>44078</v>
      </c>
      <c r="H4097" s="2">
        <f t="shared" ca="1" si="1728"/>
        <v>175</v>
      </c>
      <c r="I4097" t="str">
        <f t="shared" si="1729"/>
        <v>AMZN</v>
      </c>
      <c r="J4097">
        <f t="shared" si="1730"/>
        <v>3272</v>
      </c>
      <c r="K4097">
        <f t="shared" si="1731"/>
        <v>3551</v>
      </c>
      <c r="L4097">
        <f t="shared" si="1732"/>
        <v>3411.5</v>
      </c>
      <c r="M4097">
        <f t="shared" si="1733"/>
        <v>139.5</v>
      </c>
      <c r="N4097">
        <f t="shared" si="1711"/>
        <v>279</v>
      </c>
      <c r="O4097">
        <f t="shared" si="1734"/>
        <v>3368</v>
      </c>
      <c r="P4097">
        <f t="shared" si="1735"/>
        <v>-0.31182795698924731</v>
      </c>
      <c r="Q4097" t="str">
        <f t="shared" si="1712"/>
        <v>2.85% | 5.43%</v>
      </c>
      <c r="R4097" t="str">
        <f t="shared" si="1736"/>
        <v>BULLISH</v>
      </c>
      <c r="S4097">
        <f t="shared" si="1713"/>
        <v>1</v>
      </c>
    </row>
    <row r="4098" spans="1:19" hidden="1" x14ac:dyDescent="0.25">
      <c r="A4098" s="5" t="str">
        <f t="shared" si="1714"/>
        <v>44078FB</v>
      </c>
      <c r="B4098" s="6" t="s">
        <v>186</v>
      </c>
      <c r="C4098" s="6">
        <v>271</v>
      </c>
      <c r="D4098" s="6">
        <v>311</v>
      </c>
      <c r="E4098" s="6">
        <v>291</v>
      </c>
      <c r="F4098" t="str">
        <f t="shared" si="1726"/>
        <v>FRI</v>
      </c>
      <c r="G4098" s="1">
        <f t="shared" si="1727"/>
        <v>44078</v>
      </c>
      <c r="H4098" s="2">
        <f t="shared" ca="1" si="1728"/>
        <v>175</v>
      </c>
      <c r="I4098" t="str">
        <f t="shared" si="1729"/>
        <v>FB</v>
      </c>
      <c r="J4098">
        <f t="shared" si="1730"/>
        <v>271</v>
      </c>
      <c r="K4098">
        <f t="shared" si="1731"/>
        <v>311</v>
      </c>
      <c r="L4098">
        <f t="shared" si="1732"/>
        <v>291</v>
      </c>
      <c r="M4098">
        <f t="shared" si="1733"/>
        <v>20</v>
      </c>
      <c r="N4098">
        <f t="shared" si="1711"/>
        <v>40</v>
      </c>
      <c r="O4098">
        <f t="shared" si="1734"/>
        <v>291</v>
      </c>
      <c r="P4098">
        <f t="shared" si="1735"/>
        <v>0</v>
      </c>
      <c r="Q4098" t="str">
        <f t="shared" si="1712"/>
        <v>6.87% | 6.87%</v>
      </c>
      <c r="R4098" t="str">
        <f t="shared" si="1736"/>
        <v>BULLISH</v>
      </c>
      <c r="S4098">
        <f t="shared" si="1713"/>
        <v>1</v>
      </c>
    </row>
    <row r="4099" spans="1:19" hidden="1" x14ac:dyDescent="0.25">
      <c r="A4099" s="5" t="str">
        <f t="shared" si="1714"/>
        <v>44078GOOGL</v>
      </c>
      <c r="B4099" s="6" t="s">
        <v>187</v>
      </c>
      <c r="C4099" s="6">
        <v>1569</v>
      </c>
      <c r="D4099" s="6">
        <v>1716</v>
      </c>
      <c r="E4099" s="6">
        <v>1629</v>
      </c>
      <c r="F4099" t="str">
        <f t="shared" si="1726"/>
        <v>FRI</v>
      </c>
      <c r="G4099" s="1">
        <f t="shared" si="1727"/>
        <v>44078</v>
      </c>
      <c r="H4099" s="2">
        <f t="shared" ca="1" si="1728"/>
        <v>175</v>
      </c>
      <c r="I4099" t="str">
        <f t="shared" si="1729"/>
        <v>GOOGL</v>
      </c>
      <c r="J4099">
        <f t="shared" si="1730"/>
        <v>1569</v>
      </c>
      <c r="K4099">
        <f t="shared" si="1731"/>
        <v>1716</v>
      </c>
      <c r="L4099">
        <f t="shared" si="1732"/>
        <v>1642.5</v>
      </c>
      <c r="M4099">
        <f t="shared" si="1733"/>
        <v>73.5</v>
      </c>
      <c r="N4099">
        <f t="shared" ref="N4099:N4162" si="1737">ABS(K4099-J4099)</f>
        <v>147</v>
      </c>
      <c r="O4099">
        <f t="shared" si="1734"/>
        <v>1629</v>
      </c>
      <c r="P4099">
        <f t="shared" si="1735"/>
        <v>-0.18367346938775511</v>
      </c>
      <c r="Q4099" t="str">
        <f t="shared" ref="Q4099:Q4162" si="1738">ROUND(ABS(100*(O4099-J4099)/O4099),2)&amp;"% | "&amp;ROUND(ABS(100*(K4099-O4099)/O4099),2)&amp;"%"</f>
        <v>3.68% | 5.34%</v>
      </c>
      <c r="R4099" t="str">
        <f t="shared" si="1736"/>
        <v>BULLISH</v>
      </c>
      <c r="S4099">
        <f t="shared" ref="S4099:S4162" si="1739">IF(R4099="BEARISH",-1,IF(R4099="NEUTRAL",0,IF(R4099="BULLISH",1,99)))</f>
        <v>1</v>
      </c>
    </row>
    <row r="4100" spans="1:19" hidden="1" x14ac:dyDescent="0.25">
      <c r="A4100" s="5" t="str">
        <f t="shared" si="1714"/>
        <v>44078NFLX</v>
      </c>
      <c r="B4100" s="6" t="s">
        <v>194</v>
      </c>
      <c r="C4100" s="6">
        <v>479</v>
      </c>
      <c r="D4100" s="6">
        <v>573</v>
      </c>
      <c r="E4100" s="6">
        <v>525</v>
      </c>
      <c r="F4100" t="str">
        <f t="shared" si="1726"/>
        <v>FRI</v>
      </c>
      <c r="G4100" s="1">
        <f t="shared" si="1727"/>
        <v>44078</v>
      </c>
      <c r="H4100" s="2">
        <f t="shared" ca="1" si="1728"/>
        <v>175</v>
      </c>
      <c r="I4100" t="str">
        <f t="shared" si="1729"/>
        <v>NFLX</v>
      </c>
      <c r="J4100">
        <f t="shared" si="1730"/>
        <v>479</v>
      </c>
      <c r="K4100">
        <f t="shared" si="1731"/>
        <v>573</v>
      </c>
      <c r="L4100">
        <f t="shared" si="1732"/>
        <v>526</v>
      </c>
      <c r="M4100">
        <f t="shared" si="1733"/>
        <v>47</v>
      </c>
      <c r="N4100">
        <f t="shared" si="1737"/>
        <v>94</v>
      </c>
      <c r="O4100">
        <f t="shared" si="1734"/>
        <v>525</v>
      </c>
      <c r="P4100">
        <f t="shared" si="1735"/>
        <v>-2.1276595744680851E-2</v>
      </c>
      <c r="Q4100" t="str">
        <f t="shared" si="1738"/>
        <v>8.76% | 9.14%</v>
      </c>
      <c r="R4100" t="str">
        <f t="shared" si="1736"/>
        <v>BULLISH</v>
      </c>
      <c r="S4100">
        <f t="shared" si="1739"/>
        <v>1</v>
      </c>
    </row>
    <row r="4101" spans="1:19" x14ac:dyDescent="0.25">
      <c r="A4101" s="5" t="str">
        <f t="shared" ref="A4101:A4165" si="1740">G4101&amp;I4101</f>
        <v>44078TSLA</v>
      </c>
      <c r="B4101" s="6" t="s">
        <v>189</v>
      </c>
      <c r="C4101" s="6">
        <v>376</v>
      </c>
      <c r="D4101" s="6">
        <v>501</v>
      </c>
      <c r="E4101" s="6">
        <v>407</v>
      </c>
      <c r="F4101" t="str">
        <f t="shared" si="1726"/>
        <v>FRI</v>
      </c>
      <c r="G4101" s="1">
        <f t="shared" si="1727"/>
        <v>44078</v>
      </c>
      <c r="H4101" s="2">
        <f t="shared" ca="1" si="1728"/>
        <v>175</v>
      </c>
      <c r="I4101" t="str">
        <f t="shared" si="1729"/>
        <v>TSLA</v>
      </c>
      <c r="J4101">
        <f t="shared" si="1730"/>
        <v>376</v>
      </c>
      <c r="K4101">
        <f t="shared" si="1731"/>
        <v>501</v>
      </c>
      <c r="L4101">
        <f t="shared" si="1732"/>
        <v>438.5</v>
      </c>
      <c r="M4101">
        <f t="shared" si="1733"/>
        <v>62.5</v>
      </c>
      <c r="N4101">
        <f t="shared" si="1737"/>
        <v>125</v>
      </c>
      <c r="O4101">
        <f t="shared" si="1734"/>
        <v>407</v>
      </c>
      <c r="P4101">
        <f t="shared" si="1735"/>
        <v>-0.504</v>
      </c>
      <c r="Q4101" t="str">
        <f t="shared" si="1738"/>
        <v>7.62% | 23.1%</v>
      </c>
      <c r="R4101" t="str">
        <f t="shared" si="1736"/>
        <v>BULLISH</v>
      </c>
      <c r="S4101">
        <f t="shared" si="1739"/>
        <v>1</v>
      </c>
    </row>
    <row r="4102" spans="1:19" hidden="1" x14ac:dyDescent="0.25">
      <c r="A4102" s="5" t="str">
        <f t="shared" si="1740"/>
        <v>44078NYXBT</v>
      </c>
      <c r="B4102" s="6" t="s">
        <v>190</v>
      </c>
      <c r="C4102" s="6">
        <v>10175</v>
      </c>
      <c r="D4102" s="6">
        <v>12048</v>
      </c>
      <c r="E4102" s="6">
        <v>10849</v>
      </c>
      <c r="F4102" t="str">
        <f t="shared" si="1726"/>
        <v>FRI</v>
      </c>
      <c r="G4102" s="1">
        <f t="shared" si="1727"/>
        <v>44078</v>
      </c>
      <c r="H4102" s="2">
        <f t="shared" ca="1" si="1728"/>
        <v>175</v>
      </c>
      <c r="I4102" t="str">
        <f t="shared" si="1729"/>
        <v>NYXBT</v>
      </c>
      <c r="J4102">
        <f t="shared" si="1730"/>
        <v>10175</v>
      </c>
      <c r="K4102">
        <f t="shared" si="1731"/>
        <v>12048</v>
      </c>
      <c r="L4102">
        <f t="shared" si="1732"/>
        <v>11111.5</v>
      </c>
      <c r="M4102">
        <f t="shared" si="1733"/>
        <v>936.5</v>
      </c>
      <c r="N4102">
        <f t="shared" si="1737"/>
        <v>1873</v>
      </c>
      <c r="O4102">
        <f t="shared" si="1734"/>
        <v>10849</v>
      </c>
      <c r="P4102">
        <f t="shared" si="1735"/>
        <v>-0.28029898558462357</v>
      </c>
      <c r="Q4102" t="str">
        <f t="shared" si="1738"/>
        <v>6.21% | 11.05%</v>
      </c>
      <c r="R4102" t="str">
        <f t="shared" si="1736"/>
        <v>BULLISH</v>
      </c>
      <c r="S4102">
        <f t="shared" si="1739"/>
        <v>1</v>
      </c>
    </row>
    <row r="4103" spans="1:19" hidden="1" x14ac:dyDescent="0.25">
      <c r="A4103" s="5" t="str">
        <f t="shared" si="1740"/>
        <v>44082UST10Y</v>
      </c>
      <c r="B4103" s="6" t="s">
        <v>161</v>
      </c>
      <c r="C4103" s="6">
        <v>0.74</v>
      </c>
      <c r="D4103" s="6">
        <v>0.6</v>
      </c>
      <c r="E4103" s="6">
        <v>0.72</v>
      </c>
      <c r="F4103" t="str">
        <f t="shared" si="1726"/>
        <v>TUE</v>
      </c>
      <c r="G4103" s="3">
        <f>DATE(2020,9,8)</f>
        <v>44082</v>
      </c>
      <c r="H4103" s="2">
        <f t="shared" ca="1" si="1728"/>
        <v>171</v>
      </c>
      <c r="I4103" t="str">
        <f t="shared" si="1729"/>
        <v>UST10Y</v>
      </c>
      <c r="J4103">
        <f t="shared" si="1730"/>
        <v>0.74</v>
      </c>
      <c r="K4103">
        <f t="shared" si="1731"/>
        <v>0.6</v>
      </c>
      <c r="L4103">
        <f t="shared" si="1732"/>
        <v>0.66999999999999993</v>
      </c>
      <c r="M4103">
        <f t="shared" si="1733"/>
        <v>7.0000000000000506E-2</v>
      </c>
      <c r="N4103">
        <f t="shared" si="1737"/>
        <v>0.14000000000000001</v>
      </c>
      <c r="O4103">
        <f t="shared" si="1734"/>
        <v>0.72</v>
      </c>
      <c r="P4103">
        <f t="shared" si="1735"/>
        <v>0.71428571428570975</v>
      </c>
      <c r="Q4103" t="str">
        <f t="shared" si="1738"/>
        <v>2.78% | 16.67%</v>
      </c>
      <c r="R4103" t="str">
        <f t="shared" si="1736"/>
        <v>BEARISH</v>
      </c>
      <c r="S4103">
        <f t="shared" si="1739"/>
        <v>-1</v>
      </c>
    </row>
    <row r="4104" spans="1:19" hidden="1" x14ac:dyDescent="0.25">
      <c r="A4104" s="5" t="str">
        <f t="shared" si="1740"/>
        <v>44082UST2Y</v>
      </c>
      <c r="B4104" s="6" t="s">
        <v>162</v>
      </c>
      <c r="C4104" s="6">
        <v>0.16</v>
      </c>
      <c r="D4104" s="6">
        <v>0.11</v>
      </c>
      <c r="E4104" s="6">
        <v>0.14000000000000001</v>
      </c>
      <c r="F4104" t="str">
        <f t="shared" ref="F4104:F4134" si="1741">UPPER(TEXT(G4104,"ddd"))</f>
        <v>TUE</v>
      </c>
      <c r="G4104" s="3">
        <f t="shared" ref="G4104:G4133" si="1742">DATE(2020,9,8)</f>
        <v>44082</v>
      </c>
      <c r="H4104" s="2">
        <f t="shared" ref="H4104:H4134" ca="1" si="1743">TODAY()-G4104</f>
        <v>171</v>
      </c>
      <c r="I4104" t="str">
        <f t="shared" ref="I4104:I4134" si="1744">TRIM(LEFT(B4104,FIND(" ",B4104,1)))</f>
        <v>UST2Y</v>
      </c>
      <c r="J4104">
        <f t="shared" ref="J4104:J4134" si="1745">C4104</f>
        <v>0.16</v>
      </c>
      <c r="K4104">
        <f t="shared" ref="K4104:K4134" si="1746">D4104</f>
        <v>0.11</v>
      </c>
      <c r="L4104">
        <f t="shared" ref="L4104:L4134" si="1747">AVERAGE(J4104:K4104)</f>
        <v>0.13500000000000001</v>
      </c>
      <c r="M4104">
        <f t="shared" ref="M4104:M4134" si="1748">_xlfn.STDEV.P(J4104:K4104)</f>
        <v>2.4999999999999942E-2</v>
      </c>
      <c r="N4104">
        <f t="shared" si="1737"/>
        <v>0.05</v>
      </c>
      <c r="O4104">
        <f t="shared" ref="O4104:O4134" si="1749">E4104</f>
        <v>0.14000000000000001</v>
      </c>
      <c r="P4104">
        <f t="shared" ref="P4104:P4134" si="1750">(O4104-L4104)/M4104</f>
        <v>0.20000000000000065</v>
      </c>
      <c r="Q4104" t="str">
        <f t="shared" si="1738"/>
        <v>14.29% | 21.43%</v>
      </c>
      <c r="R4104" t="str">
        <f t="shared" ref="R4104:R4134" si="1751">MID(B4104,FIND("(",B4104,1)+1,FIND(")",B4104,1)-FIND("(",B4104,1)-1)</f>
        <v>BEARISH</v>
      </c>
      <c r="S4104">
        <f t="shared" si="1739"/>
        <v>-1</v>
      </c>
    </row>
    <row r="4105" spans="1:19" hidden="1" x14ac:dyDescent="0.25">
      <c r="A4105" s="5" t="str">
        <f t="shared" si="1740"/>
        <v>44082SPX</v>
      </c>
      <c r="B4105" s="6" t="s">
        <v>191</v>
      </c>
      <c r="C4105" s="6">
        <v>3399</v>
      </c>
      <c r="D4105" s="6">
        <v>3576</v>
      </c>
      <c r="E4105" s="6">
        <v>3426</v>
      </c>
      <c r="F4105" t="str">
        <f t="shared" si="1741"/>
        <v>TUE</v>
      </c>
      <c r="G4105" s="3">
        <f t="shared" si="1742"/>
        <v>44082</v>
      </c>
      <c r="H4105" s="2">
        <f t="shared" ca="1" si="1743"/>
        <v>171</v>
      </c>
      <c r="I4105" t="str">
        <f t="shared" si="1744"/>
        <v>SPX</v>
      </c>
      <c r="J4105">
        <f t="shared" si="1745"/>
        <v>3399</v>
      </c>
      <c r="K4105">
        <f t="shared" si="1746"/>
        <v>3576</v>
      </c>
      <c r="L4105">
        <f t="shared" si="1747"/>
        <v>3487.5</v>
      </c>
      <c r="M4105">
        <f t="shared" si="1748"/>
        <v>88.5</v>
      </c>
      <c r="N4105">
        <f t="shared" si="1737"/>
        <v>177</v>
      </c>
      <c r="O4105">
        <f t="shared" si="1749"/>
        <v>3426</v>
      </c>
      <c r="P4105">
        <f t="shared" si="1750"/>
        <v>-0.69491525423728817</v>
      </c>
      <c r="Q4105" t="str">
        <f t="shared" si="1738"/>
        <v>0.79% | 4.38%</v>
      </c>
      <c r="R4105" t="str">
        <f t="shared" si="1751"/>
        <v>BULLISH</v>
      </c>
      <c r="S4105">
        <f t="shared" si="1739"/>
        <v>1</v>
      </c>
    </row>
    <row r="4106" spans="1:19" hidden="1" x14ac:dyDescent="0.25">
      <c r="A4106" s="5" t="str">
        <f t="shared" si="1740"/>
        <v>44082RUT</v>
      </c>
      <c r="B4106" s="6" t="s">
        <v>164</v>
      </c>
      <c r="C4106" s="6">
        <v>1526</v>
      </c>
      <c r="D4106" s="6">
        <v>1566</v>
      </c>
      <c r="E4106" s="6">
        <v>1535</v>
      </c>
      <c r="F4106" t="str">
        <f t="shared" si="1741"/>
        <v>TUE</v>
      </c>
      <c r="G4106" s="3">
        <f t="shared" si="1742"/>
        <v>44082</v>
      </c>
      <c r="H4106" s="2">
        <f t="shared" ca="1" si="1743"/>
        <v>171</v>
      </c>
      <c r="I4106" t="str">
        <f t="shared" si="1744"/>
        <v>RUT</v>
      </c>
      <c r="J4106">
        <f t="shared" si="1745"/>
        <v>1526</v>
      </c>
      <c r="K4106">
        <f t="shared" si="1746"/>
        <v>1566</v>
      </c>
      <c r="L4106">
        <f t="shared" si="1747"/>
        <v>1546</v>
      </c>
      <c r="M4106">
        <f t="shared" si="1748"/>
        <v>20</v>
      </c>
      <c r="N4106">
        <f t="shared" si="1737"/>
        <v>40</v>
      </c>
      <c r="O4106">
        <f t="shared" si="1749"/>
        <v>1535</v>
      </c>
      <c r="P4106">
        <f t="shared" si="1750"/>
        <v>-0.55000000000000004</v>
      </c>
      <c r="Q4106" t="str">
        <f t="shared" si="1738"/>
        <v>0.59% | 2.02%</v>
      </c>
      <c r="R4106" t="str">
        <f t="shared" si="1751"/>
        <v>BEARISH</v>
      </c>
      <c r="S4106">
        <f t="shared" si="1739"/>
        <v>-1</v>
      </c>
    </row>
    <row r="4107" spans="1:19" hidden="1" x14ac:dyDescent="0.25">
      <c r="A4107" s="5" t="str">
        <f t="shared" si="1740"/>
        <v>44082COMPQ</v>
      </c>
      <c r="B4107" s="6" t="s">
        <v>165</v>
      </c>
      <c r="C4107" s="6">
        <v>11209</v>
      </c>
      <c r="D4107" s="6">
        <v>12115</v>
      </c>
      <c r="E4107" s="6">
        <v>11313</v>
      </c>
      <c r="F4107" t="str">
        <f t="shared" si="1741"/>
        <v>TUE</v>
      </c>
      <c r="G4107" s="3">
        <f t="shared" si="1742"/>
        <v>44082</v>
      </c>
      <c r="H4107" s="2">
        <f t="shared" ca="1" si="1743"/>
        <v>171</v>
      </c>
      <c r="I4107" t="str">
        <f t="shared" si="1744"/>
        <v>COMPQ</v>
      </c>
      <c r="J4107">
        <f t="shared" si="1745"/>
        <v>11209</v>
      </c>
      <c r="K4107">
        <f t="shared" si="1746"/>
        <v>12115</v>
      </c>
      <c r="L4107">
        <f t="shared" si="1747"/>
        <v>11662</v>
      </c>
      <c r="M4107">
        <f t="shared" si="1748"/>
        <v>453</v>
      </c>
      <c r="N4107">
        <f t="shared" si="1737"/>
        <v>906</v>
      </c>
      <c r="O4107">
        <f t="shared" si="1749"/>
        <v>11313</v>
      </c>
      <c r="P4107">
        <f t="shared" si="1750"/>
        <v>-0.77041942604856517</v>
      </c>
      <c r="Q4107" t="str">
        <f t="shared" si="1738"/>
        <v>0.92% | 7.09%</v>
      </c>
      <c r="R4107" t="str">
        <f t="shared" si="1751"/>
        <v>BULLISH</v>
      </c>
      <c r="S4107">
        <f t="shared" si="1739"/>
        <v>1</v>
      </c>
    </row>
    <row r="4108" spans="1:19" hidden="1" x14ac:dyDescent="0.25">
      <c r="A4108" s="5" t="str">
        <f t="shared" si="1740"/>
        <v>44082XLK</v>
      </c>
      <c r="B4108" s="6" t="s">
        <v>166</v>
      </c>
      <c r="C4108" s="6">
        <v>116.14</v>
      </c>
      <c r="D4108" s="6">
        <v>127.86</v>
      </c>
      <c r="E4108" s="6">
        <v>118.12</v>
      </c>
      <c r="F4108" t="str">
        <f t="shared" si="1741"/>
        <v>TUE</v>
      </c>
      <c r="G4108" s="3">
        <f t="shared" si="1742"/>
        <v>44082</v>
      </c>
      <c r="H4108" s="2">
        <f t="shared" ca="1" si="1743"/>
        <v>171</v>
      </c>
      <c r="I4108" t="str">
        <f t="shared" si="1744"/>
        <v>XLK</v>
      </c>
      <c r="J4108">
        <f t="shared" si="1745"/>
        <v>116.14</v>
      </c>
      <c r="K4108">
        <f t="shared" si="1746"/>
        <v>127.86</v>
      </c>
      <c r="L4108">
        <f t="shared" si="1747"/>
        <v>122</v>
      </c>
      <c r="M4108">
        <f t="shared" si="1748"/>
        <v>5.8599999999999994</v>
      </c>
      <c r="N4108">
        <f t="shared" si="1737"/>
        <v>11.719999999999999</v>
      </c>
      <c r="O4108">
        <f t="shared" si="1749"/>
        <v>118.12</v>
      </c>
      <c r="P4108">
        <f t="shared" si="1750"/>
        <v>-0.6621160409556307</v>
      </c>
      <c r="Q4108" t="str">
        <f t="shared" si="1738"/>
        <v>1.68% | 8.25%</v>
      </c>
      <c r="R4108" t="str">
        <f t="shared" si="1751"/>
        <v>BULLISH</v>
      </c>
      <c r="S4108">
        <f t="shared" si="1739"/>
        <v>1</v>
      </c>
    </row>
    <row r="4109" spans="1:19" hidden="1" x14ac:dyDescent="0.25">
      <c r="A4109" s="5" t="str">
        <f t="shared" si="1740"/>
        <v>44082XLRE</v>
      </c>
      <c r="B4109" s="6" t="s">
        <v>167</v>
      </c>
      <c r="C4109" s="6">
        <v>35.46</v>
      </c>
      <c r="D4109" s="6">
        <v>36.99</v>
      </c>
      <c r="E4109" s="6">
        <v>36.25</v>
      </c>
      <c r="F4109" t="str">
        <f t="shared" si="1741"/>
        <v>TUE</v>
      </c>
      <c r="G4109" s="3">
        <f t="shared" si="1742"/>
        <v>44082</v>
      </c>
      <c r="H4109" s="2">
        <f t="shared" ca="1" si="1743"/>
        <v>171</v>
      </c>
      <c r="I4109" t="str">
        <f t="shared" si="1744"/>
        <v>XLRE</v>
      </c>
      <c r="J4109">
        <f t="shared" si="1745"/>
        <v>35.46</v>
      </c>
      <c r="K4109">
        <f t="shared" si="1746"/>
        <v>36.99</v>
      </c>
      <c r="L4109">
        <f t="shared" si="1747"/>
        <v>36.225000000000001</v>
      </c>
      <c r="M4109">
        <f t="shared" si="1748"/>
        <v>0.76500000000000057</v>
      </c>
      <c r="N4109">
        <f t="shared" si="1737"/>
        <v>1.5300000000000011</v>
      </c>
      <c r="O4109">
        <f t="shared" si="1749"/>
        <v>36.25</v>
      </c>
      <c r="P4109">
        <f t="shared" si="1750"/>
        <v>3.2679738562089625E-2</v>
      </c>
      <c r="Q4109" t="str">
        <f t="shared" si="1738"/>
        <v>2.18% | 2.04%</v>
      </c>
      <c r="R4109" t="str">
        <f t="shared" si="1751"/>
        <v>BULLISH</v>
      </c>
      <c r="S4109">
        <f t="shared" si="1739"/>
        <v>1</v>
      </c>
    </row>
    <row r="4110" spans="1:19" hidden="1" x14ac:dyDescent="0.25">
      <c r="A4110" s="5" t="str">
        <f t="shared" si="1740"/>
        <v>44082XLU</v>
      </c>
      <c r="B4110" s="6" t="s">
        <v>168</v>
      </c>
      <c r="C4110" s="6">
        <v>58.12</v>
      </c>
      <c r="D4110" s="6">
        <v>60.4</v>
      </c>
      <c r="E4110" s="6">
        <v>59.37</v>
      </c>
      <c r="F4110" t="str">
        <f t="shared" si="1741"/>
        <v>TUE</v>
      </c>
      <c r="G4110" s="3">
        <f t="shared" si="1742"/>
        <v>44082</v>
      </c>
      <c r="H4110" s="2">
        <f t="shared" ca="1" si="1743"/>
        <v>171</v>
      </c>
      <c r="I4110" t="str">
        <f t="shared" si="1744"/>
        <v>XLU</v>
      </c>
      <c r="J4110">
        <f t="shared" si="1745"/>
        <v>58.12</v>
      </c>
      <c r="K4110">
        <f t="shared" si="1746"/>
        <v>60.4</v>
      </c>
      <c r="L4110">
        <f t="shared" si="1747"/>
        <v>59.26</v>
      </c>
      <c r="M4110">
        <f t="shared" si="1748"/>
        <v>1.1400000000000006</v>
      </c>
      <c r="N4110">
        <f t="shared" si="1737"/>
        <v>2.2800000000000011</v>
      </c>
      <c r="O4110">
        <f t="shared" si="1749"/>
        <v>59.37</v>
      </c>
      <c r="P4110">
        <f t="shared" si="1750"/>
        <v>9.6491228070174892E-2</v>
      </c>
      <c r="Q4110" t="str">
        <f t="shared" si="1738"/>
        <v>2.11% | 1.73%</v>
      </c>
      <c r="R4110" t="str">
        <f t="shared" si="1751"/>
        <v>BULLISH</v>
      </c>
      <c r="S4110">
        <f t="shared" si="1739"/>
        <v>1</v>
      </c>
    </row>
    <row r="4111" spans="1:19" hidden="1" x14ac:dyDescent="0.25">
      <c r="A4111" s="5" t="str">
        <f t="shared" si="1740"/>
        <v>44082XLF</v>
      </c>
      <c r="B4111" s="6" t="s">
        <v>169</v>
      </c>
      <c r="C4111" s="6">
        <v>24.27</v>
      </c>
      <c r="D4111" s="6">
        <v>25.55</v>
      </c>
      <c r="E4111" s="6">
        <v>25.29</v>
      </c>
      <c r="F4111" t="str">
        <f t="shared" si="1741"/>
        <v>TUE</v>
      </c>
      <c r="G4111" s="3">
        <f t="shared" si="1742"/>
        <v>44082</v>
      </c>
      <c r="H4111" s="2">
        <f t="shared" ca="1" si="1743"/>
        <v>171</v>
      </c>
      <c r="I4111" t="str">
        <f t="shared" si="1744"/>
        <v>XLF</v>
      </c>
      <c r="J4111">
        <f t="shared" si="1745"/>
        <v>24.27</v>
      </c>
      <c r="K4111">
        <f t="shared" si="1746"/>
        <v>25.55</v>
      </c>
      <c r="L4111">
        <f t="shared" si="1747"/>
        <v>24.91</v>
      </c>
      <c r="M4111">
        <f t="shared" si="1748"/>
        <v>0.64000000000000057</v>
      </c>
      <c r="N4111">
        <f t="shared" si="1737"/>
        <v>1.2800000000000011</v>
      </c>
      <c r="O4111">
        <f t="shared" si="1749"/>
        <v>25.29</v>
      </c>
      <c r="P4111">
        <f t="shared" si="1750"/>
        <v>0.59374999999999789</v>
      </c>
      <c r="Q4111" t="str">
        <f t="shared" si="1738"/>
        <v>4.03% | 1.03%</v>
      </c>
      <c r="R4111" t="str">
        <f t="shared" si="1751"/>
        <v>BEARISH</v>
      </c>
      <c r="S4111">
        <f t="shared" si="1739"/>
        <v>-1</v>
      </c>
    </row>
    <row r="4112" spans="1:19" hidden="1" x14ac:dyDescent="0.25">
      <c r="A4112" s="5" t="str">
        <f t="shared" si="1740"/>
        <v>44082SSEC</v>
      </c>
      <c r="B4112" s="6" t="s">
        <v>170</v>
      </c>
      <c r="C4112" s="6">
        <v>3305</v>
      </c>
      <c r="D4112" s="6">
        <v>3434</v>
      </c>
      <c r="E4112" s="6">
        <v>3316</v>
      </c>
      <c r="F4112" t="str">
        <f t="shared" si="1741"/>
        <v>TUE</v>
      </c>
      <c r="G4112" s="3">
        <f t="shared" si="1742"/>
        <v>44082</v>
      </c>
      <c r="H4112" s="2">
        <f t="shared" ca="1" si="1743"/>
        <v>171</v>
      </c>
      <c r="I4112" t="str">
        <f t="shared" si="1744"/>
        <v>SSEC</v>
      </c>
      <c r="J4112">
        <f t="shared" si="1745"/>
        <v>3305</v>
      </c>
      <c r="K4112">
        <f t="shared" si="1746"/>
        <v>3434</v>
      </c>
      <c r="L4112">
        <f t="shared" si="1747"/>
        <v>3369.5</v>
      </c>
      <c r="M4112">
        <f t="shared" si="1748"/>
        <v>64.5</v>
      </c>
      <c r="N4112">
        <f t="shared" si="1737"/>
        <v>129</v>
      </c>
      <c r="O4112">
        <f t="shared" si="1749"/>
        <v>3316</v>
      </c>
      <c r="P4112">
        <f t="shared" si="1750"/>
        <v>-0.8294573643410853</v>
      </c>
      <c r="Q4112" t="str">
        <f t="shared" si="1738"/>
        <v>0.33% | 3.56%</v>
      </c>
      <c r="R4112" t="str">
        <f t="shared" si="1751"/>
        <v>BULLISH</v>
      </c>
      <c r="S4112">
        <f t="shared" si="1739"/>
        <v>1</v>
      </c>
    </row>
    <row r="4113" spans="1:19" hidden="1" x14ac:dyDescent="0.25">
      <c r="A4113" s="5" t="str">
        <f t="shared" si="1740"/>
        <v>44082NIKK</v>
      </c>
      <c r="B4113" s="6" t="s">
        <v>201</v>
      </c>
      <c r="C4113" s="6">
        <v>22877</v>
      </c>
      <c r="D4113" s="6">
        <v>23503</v>
      </c>
      <c r="E4113" s="6">
        <v>23274</v>
      </c>
      <c r="F4113" t="str">
        <f t="shared" si="1741"/>
        <v>TUE</v>
      </c>
      <c r="G4113" s="3">
        <f t="shared" si="1742"/>
        <v>44082</v>
      </c>
      <c r="H4113" s="2">
        <f t="shared" ca="1" si="1743"/>
        <v>171</v>
      </c>
      <c r="I4113" t="str">
        <f t="shared" si="1744"/>
        <v>NIKK</v>
      </c>
      <c r="J4113">
        <f t="shared" si="1745"/>
        <v>22877</v>
      </c>
      <c r="K4113">
        <f t="shared" si="1746"/>
        <v>23503</v>
      </c>
      <c r="L4113">
        <f t="shared" si="1747"/>
        <v>23190</v>
      </c>
      <c r="M4113">
        <f t="shared" si="1748"/>
        <v>313</v>
      </c>
      <c r="N4113">
        <f t="shared" si="1737"/>
        <v>626</v>
      </c>
      <c r="O4113">
        <f t="shared" si="1749"/>
        <v>23274</v>
      </c>
      <c r="P4113">
        <f t="shared" si="1750"/>
        <v>0.26837060702875398</v>
      </c>
      <c r="Q4113" t="str">
        <f t="shared" si="1738"/>
        <v>1.71% | 0.98%</v>
      </c>
      <c r="R4113" t="str">
        <f t="shared" si="1751"/>
        <v>BULLISH</v>
      </c>
      <c r="S4113">
        <f t="shared" si="1739"/>
        <v>1</v>
      </c>
    </row>
    <row r="4114" spans="1:19" hidden="1" x14ac:dyDescent="0.25">
      <c r="A4114" s="5" t="str">
        <f t="shared" si="1740"/>
        <v>44082DAX</v>
      </c>
      <c r="B4114" s="6" t="s">
        <v>198</v>
      </c>
      <c r="C4114" s="6">
        <v>12809</v>
      </c>
      <c r="D4114" s="6">
        <v>13201</v>
      </c>
      <c r="E4114" s="6">
        <v>12842</v>
      </c>
      <c r="F4114" t="str">
        <f t="shared" si="1741"/>
        <v>TUE</v>
      </c>
      <c r="G4114" s="3">
        <f t="shared" si="1742"/>
        <v>44082</v>
      </c>
      <c r="H4114" s="2">
        <f t="shared" ca="1" si="1743"/>
        <v>171</v>
      </c>
      <c r="I4114" t="str">
        <f t="shared" si="1744"/>
        <v>DAX</v>
      </c>
      <c r="J4114">
        <f t="shared" si="1745"/>
        <v>12809</v>
      </c>
      <c r="K4114">
        <f t="shared" si="1746"/>
        <v>13201</v>
      </c>
      <c r="L4114">
        <f t="shared" si="1747"/>
        <v>13005</v>
      </c>
      <c r="M4114">
        <f t="shared" si="1748"/>
        <v>196</v>
      </c>
      <c r="N4114">
        <f t="shared" si="1737"/>
        <v>392</v>
      </c>
      <c r="O4114">
        <f t="shared" si="1749"/>
        <v>12842</v>
      </c>
      <c r="P4114">
        <f t="shared" si="1750"/>
        <v>-0.83163265306122447</v>
      </c>
      <c r="Q4114" t="str">
        <f t="shared" si="1738"/>
        <v>0.26% | 2.8%</v>
      </c>
      <c r="R4114" t="str">
        <f t="shared" si="1751"/>
        <v>NEUTRAL</v>
      </c>
      <c r="S4114">
        <f t="shared" si="1739"/>
        <v>0</v>
      </c>
    </row>
    <row r="4115" spans="1:19" hidden="1" x14ac:dyDescent="0.25">
      <c r="A4115" s="5" t="str">
        <f t="shared" si="1740"/>
        <v>44082VIX</v>
      </c>
      <c r="B4115" s="6" t="s">
        <v>202</v>
      </c>
      <c r="C4115" s="6">
        <v>24.53</v>
      </c>
      <c r="D4115" s="6">
        <v>36.08</v>
      </c>
      <c r="E4115" s="6">
        <v>30.75</v>
      </c>
      <c r="F4115" t="str">
        <f t="shared" si="1741"/>
        <v>TUE</v>
      </c>
      <c r="G4115" s="3">
        <f t="shared" si="1742"/>
        <v>44082</v>
      </c>
      <c r="H4115" s="2">
        <f t="shared" ca="1" si="1743"/>
        <v>171</v>
      </c>
      <c r="I4115" t="str">
        <f t="shared" si="1744"/>
        <v>VIX</v>
      </c>
      <c r="J4115">
        <f t="shared" si="1745"/>
        <v>24.53</v>
      </c>
      <c r="K4115">
        <f t="shared" si="1746"/>
        <v>36.08</v>
      </c>
      <c r="L4115">
        <f t="shared" si="1747"/>
        <v>30.305</v>
      </c>
      <c r="M4115">
        <f t="shared" si="1748"/>
        <v>5.775000000000003</v>
      </c>
      <c r="N4115">
        <f t="shared" si="1737"/>
        <v>11.549999999999997</v>
      </c>
      <c r="O4115">
        <f t="shared" si="1749"/>
        <v>30.75</v>
      </c>
      <c r="P4115">
        <f t="shared" si="1750"/>
        <v>7.7056277056277059E-2</v>
      </c>
      <c r="Q4115" t="str">
        <f t="shared" si="1738"/>
        <v>20.23% | 17.33%</v>
      </c>
      <c r="R4115" t="str">
        <f t="shared" si="1751"/>
        <v>BULLISH</v>
      </c>
      <c r="S4115">
        <f t="shared" si="1739"/>
        <v>1</v>
      </c>
    </row>
    <row r="4116" spans="1:19" hidden="1" x14ac:dyDescent="0.25">
      <c r="A4116" s="5" t="str">
        <f t="shared" si="1740"/>
        <v>44082USD</v>
      </c>
      <c r="B4116" s="6" t="s">
        <v>174</v>
      </c>
      <c r="C4116" s="6">
        <v>92.03</v>
      </c>
      <c r="D4116" s="6">
        <v>93.33</v>
      </c>
      <c r="E4116" s="6">
        <v>92.71</v>
      </c>
      <c r="F4116" t="str">
        <f t="shared" si="1741"/>
        <v>TUE</v>
      </c>
      <c r="G4116" s="3">
        <f t="shared" si="1742"/>
        <v>44082</v>
      </c>
      <c r="H4116" s="2">
        <f t="shared" ca="1" si="1743"/>
        <v>171</v>
      </c>
      <c r="I4116" t="str">
        <f t="shared" si="1744"/>
        <v>USD</v>
      </c>
      <c r="J4116">
        <f t="shared" si="1745"/>
        <v>92.03</v>
      </c>
      <c r="K4116">
        <f t="shared" si="1746"/>
        <v>93.33</v>
      </c>
      <c r="L4116">
        <f t="shared" si="1747"/>
        <v>92.68</v>
      </c>
      <c r="M4116">
        <f t="shared" si="1748"/>
        <v>0.64999999999999858</v>
      </c>
      <c r="N4116">
        <f t="shared" si="1737"/>
        <v>1.2999999999999972</v>
      </c>
      <c r="O4116">
        <f t="shared" si="1749"/>
        <v>92.71</v>
      </c>
      <c r="P4116">
        <f t="shared" si="1750"/>
        <v>4.6153846153826138E-2</v>
      </c>
      <c r="Q4116" t="str">
        <f t="shared" si="1738"/>
        <v>0.73% | 0.67%</v>
      </c>
      <c r="R4116" t="str">
        <f t="shared" si="1751"/>
        <v>BEARISH</v>
      </c>
      <c r="S4116">
        <f t="shared" si="1739"/>
        <v>-1</v>
      </c>
    </row>
    <row r="4117" spans="1:19" hidden="1" x14ac:dyDescent="0.25">
      <c r="A4117" s="5" t="str">
        <f t="shared" si="1740"/>
        <v>44082EUR/USD</v>
      </c>
      <c r="B4117" s="6" t="s">
        <v>175</v>
      </c>
      <c r="C4117" s="6">
        <v>1.17</v>
      </c>
      <c r="D4117" s="6">
        <v>1.2</v>
      </c>
      <c r="E4117" s="6">
        <v>1.18</v>
      </c>
      <c r="F4117" t="str">
        <f t="shared" si="1741"/>
        <v>TUE</v>
      </c>
      <c r="G4117" s="3">
        <f t="shared" si="1742"/>
        <v>44082</v>
      </c>
      <c r="H4117" s="2">
        <f t="shared" ca="1" si="1743"/>
        <v>171</v>
      </c>
      <c r="I4117" t="str">
        <f t="shared" si="1744"/>
        <v>EUR/USD</v>
      </c>
      <c r="J4117">
        <f t="shared" si="1745"/>
        <v>1.17</v>
      </c>
      <c r="K4117">
        <f t="shared" si="1746"/>
        <v>1.2</v>
      </c>
      <c r="L4117">
        <f t="shared" si="1747"/>
        <v>1.1850000000000001</v>
      </c>
      <c r="M4117">
        <f t="shared" si="1748"/>
        <v>1.5000000000000013E-2</v>
      </c>
      <c r="N4117">
        <f t="shared" si="1737"/>
        <v>3.0000000000000027E-2</v>
      </c>
      <c r="O4117">
        <f t="shared" si="1749"/>
        <v>1.18</v>
      </c>
      <c r="P4117">
        <f t="shared" si="1750"/>
        <v>-0.33333333333334075</v>
      </c>
      <c r="Q4117" t="str">
        <f t="shared" si="1738"/>
        <v>0.85% | 1.69%</v>
      </c>
      <c r="R4117" t="str">
        <f t="shared" si="1751"/>
        <v>BULLISH</v>
      </c>
      <c r="S4117">
        <f t="shared" si="1739"/>
        <v>1</v>
      </c>
    </row>
    <row r="4118" spans="1:19" hidden="1" x14ac:dyDescent="0.25">
      <c r="A4118" s="5" t="str">
        <f t="shared" si="1740"/>
        <v>44082USD/JPY</v>
      </c>
      <c r="B4118" s="6" t="s">
        <v>176</v>
      </c>
      <c r="C4118" s="6">
        <v>105.34</v>
      </c>
      <c r="D4118" s="6">
        <v>106.74</v>
      </c>
      <c r="E4118" s="6">
        <v>106.25</v>
      </c>
      <c r="F4118" t="str">
        <f t="shared" si="1741"/>
        <v>TUE</v>
      </c>
      <c r="G4118" s="3">
        <f t="shared" si="1742"/>
        <v>44082</v>
      </c>
      <c r="H4118" s="2">
        <f t="shared" ca="1" si="1743"/>
        <v>171</v>
      </c>
      <c r="I4118" t="str">
        <f t="shared" si="1744"/>
        <v>USD/JPY</v>
      </c>
      <c r="J4118">
        <f t="shared" si="1745"/>
        <v>105.34</v>
      </c>
      <c r="K4118">
        <f t="shared" si="1746"/>
        <v>106.74</v>
      </c>
      <c r="L4118">
        <f t="shared" si="1747"/>
        <v>106.03999999999999</v>
      </c>
      <c r="M4118">
        <f t="shared" si="1748"/>
        <v>0.69999999999999574</v>
      </c>
      <c r="N4118">
        <f t="shared" si="1737"/>
        <v>1.3999999999999915</v>
      </c>
      <c r="O4118">
        <f t="shared" si="1749"/>
        <v>106.25</v>
      </c>
      <c r="P4118">
        <f t="shared" si="1750"/>
        <v>0.3000000000000132</v>
      </c>
      <c r="Q4118" t="str">
        <f t="shared" si="1738"/>
        <v>0.86% | 0.46%</v>
      </c>
      <c r="R4118" t="str">
        <f t="shared" si="1751"/>
        <v>BEARISH</v>
      </c>
      <c r="S4118">
        <f t="shared" si="1739"/>
        <v>-1</v>
      </c>
    </row>
    <row r="4119" spans="1:19" hidden="1" x14ac:dyDescent="0.25">
      <c r="A4119" s="5" t="str">
        <f t="shared" si="1740"/>
        <v>44082GBP/USD</v>
      </c>
      <c r="B4119" s="6" t="s">
        <v>177</v>
      </c>
      <c r="C4119" s="6">
        <v>1.3</v>
      </c>
      <c r="D4119" s="6">
        <v>1.33</v>
      </c>
      <c r="E4119" s="6">
        <v>1.33</v>
      </c>
      <c r="F4119" t="str">
        <f t="shared" si="1741"/>
        <v>TUE</v>
      </c>
      <c r="G4119" s="3">
        <f t="shared" si="1742"/>
        <v>44082</v>
      </c>
      <c r="H4119" s="2">
        <f t="shared" ca="1" si="1743"/>
        <v>171</v>
      </c>
      <c r="I4119" t="str">
        <f t="shared" si="1744"/>
        <v>GBP/USD</v>
      </c>
      <c r="J4119">
        <f t="shared" si="1745"/>
        <v>1.3</v>
      </c>
      <c r="K4119">
        <f t="shared" si="1746"/>
        <v>1.33</v>
      </c>
      <c r="L4119">
        <f t="shared" si="1747"/>
        <v>1.3149999999999999</v>
      </c>
      <c r="M4119">
        <f t="shared" si="1748"/>
        <v>1.5000000000000013E-2</v>
      </c>
      <c r="N4119">
        <f t="shared" si="1737"/>
        <v>3.0000000000000027E-2</v>
      </c>
      <c r="O4119">
        <f t="shared" si="1749"/>
        <v>1.33</v>
      </c>
      <c r="P4119">
        <f t="shared" si="1750"/>
        <v>1.0000000000000073</v>
      </c>
      <c r="Q4119" t="str">
        <f t="shared" si="1738"/>
        <v>2.26% | 0%</v>
      </c>
      <c r="R4119" t="str">
        <f t="shared" si="1751"/>
        <v>BULLISH</v>
      </c>
      <c r="S4119">
        <f t="shared" si="1739"/>
        <v>1</v>
      </c>
    </row>
    <row r="4120" spans="1:19" hidden="1" x14ac:dyDescent="0.25">
      <c r="A4120" s="5" t="str">
        <f t="shared" si="1740"/>
        <v>44082USD/CHF</v>
      </c>
      <c r="B4120" s="6" t="s">
        <v>178</v>
      </c>
      <c r="C4120" s="6">
        <v>0.89</v>
      </c>
      <c r="D4120" s="6">
        <v>0.91</v>
      </c>
      <c r="E4120" s="6">
        <v>0.91</v>
      </c>
      <c r="F4120" t="str">
        <f t="shared" si="1741"/>
        <v>TUE</v>
      </c>
      <c r="G4120" s="3">
        <f t="shared" si="1742"/>
        <v>44082</v>
      </c>
      <c r="H4120" s="2">
        <f t="shared" ca="1" si="1743"/>
        <v>171</v>
      </c>
      <c r="I4120" t="str">
        <f t="shared" si="1744"/>
        <v>USD/CHF</v>
      </c>
      <c r="J4120">
        <f t="shared" si="1745"/>
        <v>0.89</v>
      </c>
      <c r="K4120">
        <f t="shared" si="1746"/>
        <v>0.91</v>
      </c>
      <c r="L4120">
        <f t="shared" si="1747"/>
        <v>0.9</v>
      </c>
      <c r="M4120">
        <f t="shared" si="1748"/>
        <v>1.0000000000000009E-2</v>
      </c>
      <c r="N4120">
        <f t="shared" si="1737"/>
        <v>2.0000000000000018E-2</v>
      </c>
      <c r="O4120">
        <f t="shared" si="1749"/>
        <v>0.91</v>
      </c>
      <c r="P4120">
        <f t="shared" si="1750"/>
        <v>1</v>
      </c>
      <c r="Q4120" t="str">
        <f t="shared" si="1738"/>
        <v>2.2% | 0%</v>
      </c>
      <c r="R4120" t="str">
        <f t="shared" si="1751"/>
        <v>BEARISH</v>
      </c>
      <c r="S4120">
        <f t="shared" si="1739"/>
        <v>-1</v>
      </c>
    </row>
    <row r="4121" spans="1:19" hidden="1" x14ac:dyDescent="0.25">
      <c r="A4121" s="5" t="str">
        <f t="shared" si="1740"/>
        <v>44082WTIC</v>
      </c>
      <c r="B4121" s="6" t="s">
        <v>179</v>
      </c>
      <c r="C4121" s="6">
        <v>38.229999999999997</v>
      </c>
      <c r="D4121" s="6">
        <v>44.07</v>
      </c>
      <c r="E4121" s="6">
        <v>39.770000000000003</v>
      </c>
      <c r="F4121" t="str">
        <f t="shared" si="1741"/>
        <v>TUE</v>
      </c>
      <c r="G4121" s="3">
        <f t="shared" si="1742"/>
        <v>44082</v>
      </c>
      <c r="H4121" s="2">
        <f t="shared" ca="1" si="1743"/>
        <v>171</v>
      </c>
      <c r="I4121" t="str">
        <f t="shared" si="1744"/>
        <v>WTIC</v>
      </c>
      <c r="J4121">
        <f t="shared" si="1745"/>
        <v>38.229999999999997</v>
      </c>
      <c r="K4121">
        <f t="shared" si="1746"/>
        <v>44.07</v>
      </c>
      <c r="L4121">
        <f t="shared" si="1747"/>
        <v>41.15</v>
      </c>
      <c r="M4121">
        <f t="shared" si="1748"/>
        <v>2.9200000000000017</v>
      </c>
      <c r="N4121">
        <f t="shared" si="1737"/>
        <v>5.8400000000000034</v>
      </c>
      <c r="O4121">
        <f t="shared" si="1749"/>
        <v>39.770000000000003</v>
      </c>
      <c r="P4121">
        <f t="shared" si="1750"/>
        <v>-0.47260273972602557</v>
      </c>
      <c r="Q4121" t="str">
        <f t="shared" si="1738"/>
        <v>3.87% | 10.81%</v>
      </c>
      <c r="R4121" t="str">
        <f t="shared" si="1751"/>
        <v>BULLISH</v>
      </c>
      <c r="S4121">
        <f t="shared" si="1739"/>
        <v>1</v>
      </c>
    </row>
    <row r="4122" spans="1:19" hidden="1" x14ac:dyDescent="0.25">
      <c r="A4122" s="5" t="str">
        <f t="shared" si="1740"/>
        <v>44082NATGAS</v>
      </c>
      <c r="B4122" s="6" t="s">
        <v>180</v>
      </c>
      <c r="C4122" s="6">
        <v>2.38</v>
      </c>
      <c r="D4122" s="6">
        <v>2.74</v>
      </c>
      <c r="E4122" s="6">
        <v>2.59</v>
      </c>
      <c r="F4122" t="str">
        <f t="shared" si="1741"/>
        <v>TUE</v>
      </c>
      <c r="G4122" s="3">
        <f t="shared" si="1742"/>
        <v>44082</v>
      </c>
      <c r="H4122" s="2">
        <f t="shared" ca="1" si="1743"/>
        <v>171</v>
      </c>
      <c r="I4122" t="str">
        <f t="shared" si="1744"/>
        <v>NATGAS</v>
      </c>
      <c r="J4122">
        <f t="shared" si="1745"/>
        <v>2.38</v>
      </c>
      <c r="K4122">
        <f t="shared" si="1746"/>
        <v>2.74</v>
      </c>
      <c r="L4122">
        <f t="shared" si="1747"/>
        <v>2.56</v>
      </c>
      <c r="M4122">
        <f t="shared" si="1748"/>
        <v>0.18000000000000016</v>
      </c>
      <c r="N4122">
        <f t="shared" si="1737"/>
        <v>0.36000000000000032</v>
      </c>
      <c r="O4122">
        <f t="shared" si="1749"/>
        <v>2.59</v>
      </c>
      <c r="P4122">
        <f t="shared" si="1750"/>
        <v>0.16666666666666544</v>
      </c>
      <c r="Q4122" t="str">
        <f t="shared" si="1738"/>
        <v>8.11% | 5.79%</v>
      </c>
      <c r="R4122" t="str">
        <f t="shared" si="1751"/>
        <v>BULLISH</v>
      </c>
      <c r="S4122">
        <f t="shared" si="1739"/>
        <v>1</v>
      </c>
    </row>
    <row r="4123" spans="1:19" hidden="1" x14ac:dyDescent="0.25">
      <c r="A4123" s="5" t="str">
        <f t="shared" si="1740"/>
        <v>44082GOLD</v>
      </c>
      <c r="B4123" s="6" t="s">
        <v>181</v>
      </c>
      <c r="C4123" s="6">
        <v>1910</v>
      </c>
      <c r="D4123" s="6">
        <v>1993</v>
      </c>
      <c r="E4123" s="6">
        <v>1934</v>
      </c>
      <c r="F4123" t="str">
        <f t="shared" si="1741"/>
        <v>TUE</v>
      </c>
      <c r="G4123" s="3">
        <f t="shared" si="1742"/>
        <v>44082</v>
      </c>
      <c r="H4123" s="2">
        <f t="shared" ca="1" si="1743"/>
        <v>171</v>
      </c>
      <c r="I4123" t="str">
        <f t="shared" si="1744"/>
        <v>GOLD</v>
      </c>
      <c r="J4123">
        <f t="shared" si="1745"/>
        <v>1910</v>
      </c>
      <c r="K4123">
        <f t="shared" si="1746"/>
        <v>1993</v>
      </c>
      <c r="L4123">
        <f t="shared" si="1747"/>
        <v>1951.5</v>
      </c>
      <c r="M4123">
        <f t="shared" si="1748"/>
        <v>41.5</v>
      </c>
      <c r="N4123">
        <f t="shared" si="1737"/>
        <v>83</v>
      </c>
      <c r="O4123">
        <f t="shared" si="1749"/>
        <v>1934</v>
      </c>
      <c r="P4123">
        <f t="shared" si="1750"/>
        <v>-0.42168674698795183</v>
      </c>
      <c r="Q4123" t="str">
        <f t="shared" si="1738"/>
        <v>1.24% | 3.05%</v>
      </c>
      <c r="R4123" t="str">
        <f t="shared" si="1751"/>
        <v>BULLISH</v>
      </c>
      <c r="S4123">
        <f t="shared" si="1739"/>
        <v>1</v>
      </c>
    </row>
    <row r="4124" spans="1:19" hidden="1" x14ac:dyDescent="0.25">
      <c r="A4124" s="5" t="str">
        <f t="shared" si="1740"/>
        <v>44082SILVER</v>
      </c>
      <c r="B4124" s="6" t="s">
        <v>199</v>
      </c>
      <c r="C4124" s="6">
        <v>25.85</v>
      </c>
      <c r="D4124" s="6">
        <v>28.96</v>
      </c>
      <c r="E4124" s="6">
        <v>26.71</v>
      </c>
      <c r="F4124" t="str">
        <f t="shared" si="1741"/>
        <v>TUE</v>
      </c>
      <c r="G4124" s="3">
        <f t="shared" si="1742"/>
        <v>44082</v>
      </c>
      <c r="H4124" s="2">
        <f t="shared" ca="1" si="1743"/>
        <v>171</v>
      </c>
      <c r="I4124" t="str">
        <f t="shared" si="1744"/>
        <v>SILVER</v>
      </c>
      <c r="J4124">
        <f t="shared" si="1745"/>
        <v>25.85</v>
      </c>
      <c r="K4124">
        <f t="shared" si="1746"/>
        <v>28.96</v>
      </c>
      <c r="L4124">
        <f t="shared" si="1747"/>
        <v>27.405000000000001</v>
      </c>
      <c r="M4124">
        <f t="shared" si="1748"/>
        <v>1.5549999999999997</v>
      </c>
      <c r="N4124">
        <f t="shared" si="1737"/>
        <v>3.1099999999999994</v>
      </c>
      <c r="O4124">
        <f t="shared" si="1749"/>
        <v>26.71</v>
      </c>
      <c r="P4124">
        <f t="shared" si="1750"/>
        <v>-0.44694533762057903</v>
      </c>
      <c r="Q4124" t="str">
        <f t="shared" si="1738"/>
        <v>3.22% | 8.42%</v>
      </c>
      <c r="R4124" t="str">
        <f t="shared" si="1751"/>
        <v>BULLISH</v>
      </c>
      <c r="S4124">
        <f t="shared" si="1739"/>
        <v>1</v>
      </c>
    </row>
    <row r="4125" spans="1:19" hidden="1" x14ac:dyDescent="0.25">
      <c r="A4125" s="5" t="str">
        <f t="shared" si="1740"/>
        <v>44082COPPER</v>
      </c>
      <c r="B4125" s="6" t="s">
        <v>182</v>
      </c>
      <c r="C4125" s="6">
        <v>2.92</v>
      </c>
      <c r="D4125" s="6">
        <v>3.09</v>
      </c>
      <c r="E4125" s="6">
        <v>3.06</v>
      </c>
      <c r="F4125" t="str">
        <f t="shared" si="1741"/>
        <v>TUE</v>
      </c>
      <c r="G4125" s="3">
        <f t="shared" si="1742"/>
        <v>44082</v>
      </c>
      <c r="H4125" s="2">
        <f t="shared" ca="1" si="1743"/>
        <v>171</v>
      </c>
      <c r="I4125" t="str">
        <f t="shared" si="1744"/>
        <v>COPPER</v>
      </c>
      <c r="J4125">
        <f t="shared" si="1745"/>
        <v>2.92</v>
      </c>
      <c r="K4125">
        <f t="shared" si="1746"/>
        <v>3.09</v>
      </c>
      <c r="L4125">
        <f t="shared" si="1747"/>
        <v>3.0049999999999999</v>
      </c>
      <c r="M4125">
        <f t="shared" si="1748"/>
        <v>8.4999999999999964E-2</v>
      </c>
      <c r="N4125">
        <f t="shared" si="1737"/>
        <v>0.16999999999999993</v>
      </c>
      <c r="O4125">
        <f t="shared" si="1749"/>
        <v>3.06</v>
      </c>
      <c r="P4125">
        <f t="shared" si="1750"/>
        <v>0.64705882352941391</v>
      </c>
      <c r="Q4125" t="str">
        <f t="shared" si="1738"/>
        <v>4.58% | 0.98%</v>
      </c>
      <c r="R4125" t="str">
        <f t="shared" si="1751"/>
        <v>BULLISH</v>
      </c>
      <c r="S4125">
        <f t="shared" si="1739"/>
        <v>1</v>
      </c>
    </row>
    <row r="4126" spans="1:19" hidden="1" x14ac:dyDescent="0.25">
      <c r="A4126" s="5" t="str">
        <f t="shared" si="1740"/>
        <v>44082MSFT</v>
      </c>
      <c r="B4126" s="6" t="s">
        <v>183</v>
      </c>
      <c r="C4126" s="6">
        <v>210</v>
      </c>
      <c r="D4126" s="6">
        <v>233</v>
      </c>
      <c r="E4126" s="6">
        <v>214</v>
      </c>
      <c r="F4126" t="str">
        <f t="shared" si="1741"/>
        <v>TUE</v>
      </c>
      <c r="G4126" s="3">
        <f t="shared" si="1742"/>
        <v>44082</v>
      </c>
      <c r="H4126" s="2">
        <f t="shared" ca="1" si="1743"/>
        <v>171</v>
      </c>
      <c r="I4126" t="str">
        <f t="shared" si="1744"/>
        <v>MSFT</v>
      </c>
      <c r="J4126">
        <f t="shared" si="1745"/>
        <v>210</v>
      </c>
      <c r="K4126">
        <f t="shared" si="1746"/>
        <v>233</v>
      </c>
      <c r="L4126">
        <f t="shared" si="1747"/>
        <v>221.5</v>
      </c>
      <c r="M4126">
        <f t="shared" si="1748"/>
        <v>11.5</v>
      </c>
      <c r="N4126">
        <f t="shared" si="1737"/>
        <v>23</v>
      </c>
      <c r="O4126">
        <f t="shared" si="1749"/>
        <v>214</v>
      </c>
      <c r="P4126">
        <f t="shared" si="1750"/>
        <v>-0.65217391304347827</v>
      </c>
      <c r="Q4126" t="str">
        <f t="shared" si="1738"/>
        <v>1.87% | 8.88%</v>
      </c>
      <c r="R4126" t="str">
        <f t="shared" si="1751"/>
        <v>BULLISH</v>
      </c>
      <c r="S4126">
        <f t="shared" si="1739"/>
        <v>1</v>
      </c>
    </row>
    <row r="4127" spans="1:19" hidden="1" x14ac:dyDescent="0.25">
      <c r="A4127" s="5" t="str">
        <f t="shared" si="1740"/>
        <v>44082AAPL</v>
      </c>
      <c r="B4127" s="6" t="s">
        <v>184</v>
      </c>
      <c r="C4127" s="6">
        <v>116</v>
      </c>
      <c r="D4127" s="6">
        <v>134</v>
      </c>
      <c r="E4127" s="6">
        <v>120</v>
      </c>
      <c r="F4127" t="str">
        <f t="shared" si="1741"/>
        <v>TUE</v>
      </c>
      <c r="G4127" s="3">
        <f t="shared" si="1742"/>
        <v>44082</v>
      </c>
      <c r="H4127" s="2">
        <f t="shared" ca="1" si="1743"/>
        <v>171</v>
      </c>
      <c r="I4127" t="str">
        <f t="shared" si="1744"/>
        <v>AAPL</v>
      </c>
      <c r="J4127">
        <f t="shared" si="1745"/>
        <v>116</v>
      </c>
      <c r="K4127">
        <f t="shared" si="1746"/>
        <v>134</v>
      </c>
      <c r="L4127">
        <f t="shared" si="1747"/>
        <v>125</v>
      </c>
      <c r="M4127">
        <f t="shared" si="1748"/>
        <v>9</v>
      </c>
      <c r="N4127">
        <f t="shared" si="1737"/>
        <v>18</v>
      </c>
      <c r="O4127">
        <f t="shared" si="1749"/>
        <v>120</v>
      </c>
      <c r="P4127">
        <f t="shared" si="1750"/>
        <v>-0.55555555555555558</v>
      </c>
      <c r="Q4127" t="str">
        <f t="shared" si="1738"/>
        <v>3.33% | 11.67%</v>
      </c>
      <c r="R4127" t="str">
        <f t="shared" si="1751"/>
        <v>BULLISH</v>
      </c>
      <c r="S4127">
        <f t="shared" si="1739"/>
        <v>1</v>
      </c>
    </row>
    <row r="4128" spans="1:19" hidden="1" x14ac:dyDescent="0.25">
      <c r="A4128" s="5" t="str">
        <f t="shared" si="1740"/>
        <v>44082AMZN</v>
      </c>
      <c r="B4128" s="6" t="s">
        <v>185</v>
      </c>
      <c r="C4128" s="6">
        <v>3262</v>
      </c>
      <c r="D4128" s="6">
        <v>3553</v>
      </c>
      <c r="E4128" s="6">
        <v>3294</v>
      </c>
      <c r="F4128" t="str">
        <f t="shared" si="1741"/>
        <v>TUE</v>
      </c>
      <c r="G4128" s="3">
        <f t="shared" si="1742"/>
        <v>44082</v>
      </c>
      <c r="H4128" s="2">
        <f t="shared" ca="1" si="1743"/>
        <v>171</v>
      </c>
      <c r="I4128" t="str">
        <f t="shared" si="1744"/>
        <v>AMZN</v>
      </c>
      <c r="J4128">
        <f t="shared" si="1745"/>
        <v>3262</v>
      </c>
      <c r="K4128">
        <f t="shared" si="1746"/>
        <v>3553</v>
      </c>
      <c r="L4128">
        <f t="shared" si="1747"/>
        <v>3407.5</v>
      </c>
      <c r="M4128">
        <f t="shared" si="1748"/>
        <v>145.5</v>
      </c>
      <c r="N4128">
        <f t="shared" si="1737"/>
        <v>291</v>
      </c>
      <c r="O4128">
        <f t="shared" si="1749"/>
        <v>3294</v>
      </c>
      <c r="P4128">
        <f t="shared" si="1750"/>
        <v>-0.78006872852233677</v>
      </c>
      <c r="Q4128" t="str">
        <f t="shared" si="1738"/>
        <v>0.97% | 7.86%</v>
      </c>
      <c r="R4128" t="str">
        <f t="shared" si="1751"/>
        <v>BULLISH</v>
      </c>
      <c r="S4128">
        <f t="shared" si="1739"/>
        <v>1</v>
      </c>
    </row>
    <row r="4129" spans="1:19" hidden="1" x14ac:dyDescent="0.25">
      <c r="A4129" s="5" t="str">
        <f t="shared" si="1740"/>
        <v>44082FB</v>
      </c>
      <c r="B4129" s="6" t="s">
        <v>186</v>
      </c>
      <c r="C4129" s="6">
        <v>272</v>
      </c>
      <c r="D4129" s="6">
        <v>308</v>
      </c>
      <c r="E4129" s="6">
        <v>282</v>
      </c>
      <c r="F4129" t="str">
        <f t="shared" si="1741"/>
        <v>TUE</v>
      </c>
      <c r="G4129" s="3">
        <f t="shared" si="1742"/>
        <v>44082</v>
      </c>
      <c r="H4129" s="2">
        <f t="shared" ca="1" si="1743"/>
        <v>171</v>
      </c>
      <c r="I4129" t="str">
        <f t="shared" si="1744"/>
        <v>FB</v>
      </c>
      <c r="J4129">
        <f t="shared" si="1745"/>
        <v>272</v>
      </c>
      <c r="K4129">
        <f t="shared" si="1746"/>
        <v>308</v>
      </c>
      <c r="L4129">
        <f t="shared" si="1747"/>
        <v>290</v>
      </c>
      <c r="M4129">
        <f t="shared" si="1748"/>
        <v>18</v>
      </c>
      <c r="N4129">
        <f t="shared" si="1737"/>
        <v>36</v>
      </c>
      <c r="O4129">
        <f t="shared" si="1749"/>
        <v>282</v>
      </c>
      <c r="P4129">
        <f t="shared" si="1750"/>
        <v>-0.44444444444444442</v>
      </c>
      <c r="Q4129" t="str">
        <f t="shared" si="1738"/>
        <v>3.55% | 9.22%</v>
      </c>
      <c r="R4129" t="str">
        <f t="shared" si="1751"/>
        <v>BULLISH</v>
      </c>
      <c r="S4129">
        <f t="shared" si="1739"/>
        <v>1</v>
      </c>
    </row>
    <row r="4130" spans="1:19" hidden="1" x14ac:dyDescent="0.25">
      <c r="A4130" s="5" t="str">
        <f t="shared" si="1740"/>
        <v>44082GOOGL</v>
      </c>
      <c r="B4130" s="6" t="s">
        <v>187</v>
      </c>
      <c r="C4130" s="6">
        <v>1546</v>
      </c>
      <c r="D4130" s="6">
        <v>1708</v>
      </c>
      <c r="E4130" s="6">
        <v>1581</v>
      </c>
      <c r="F4130" t="str">
        <f t="shared" si="1741"/>
        <v>TUE</v>
      </c>
      <c r="G4130" s="3">
        <f t="shared" si="1742"/>
        <v>44082</v>
      </c>
      <c r="H4130" s="2">
        <f t="shared" ca="1" si="1743"/>
        <v>171</v>
      </c>
      <c r="I4130" t="str">
        <f t="shared" si="1744"/>
        <v>GOOGL</v>
      </c>
      <c r="J4130">
        <f t="shared" si="1745"/>
        <v>1546</v>
      </c>
      <c r="K4130">
        <f t="shared" si="1746"/>
        <v>1708</v>
      </c>
      <c r="L4130">
        <f t="shared" si="1747"/>
        <v>1627</v>
      </c>
      <c r="M4130">
        <f t="shared" si="1748"/>
        <v>81</v>
      </c>
      <c r="N4130">
        <f t="shared" si="1737"/>
        <v>162</v>
      </c>
      <c r="O4130">
        <f t="shared" si="1749"/>
        <v>1581</v>
      </c>
      <c r="P4130">
        <f t="shared" si="1750"/>
        <v>-0.5679012345679012</v>
      </c>
      <c r="Q4130" t="str">
        <f t="shared" si="1738"/>
        <v>2.21% | 8.03%</v>
      </c>
      <c r="R4130" t="str">
        <f t="shared" si="1751"/>
        <v>BULLISH</v>
      </c>
      <c r="S4130">
        <f t="shared" si="1739"/>
        <v>1</v>
      </c>
    </row>
    <row r="4131" spans="1:19" hidden="1" x14ac:dyDescent="0.25">
      <c r="A4131" s="5" t="str">
        <f t="shared" si="1740"/>
        <v>44082NFLX</v>
      </c>
      <c r="B4131" s="6" t="s">
        <v>194</v>
      </c>
      <c r="C4131" s="6">
        <v>481</v>
      </c>
      <c r="D4131" s="6">
        <v>570</v>
      </c>
      <c r="E4131" s="6">
        <v>516</v>
      </c>
      <c r="F4131" t="str">
        <f t="shared" si="1741"/>
        <v>TUE</v>
      </c>
      <c r="G4131" s="3">
        <f t="shared" si="1742"/>
        <v>44082</v>
      </c>
      <c r="H4131" s="2">
        <f t="shared" ca="1" si="1743"/>
        <v>171</v>
      </c>
      <c r="I4131" t="str">
        <f t="shared" si="1744"/>
        <v>NFLX</v>
      </c>
      <c r="J4131">
        <f t="shared" si="1745"/>
        <v>481</v>
      </c>
      <c r="K4131">
        <f t="shared" si="1746"/>
        <v>570</v>
      </c>
      <c r="L4131">
        <f t="shared" si="1747"/>
        <v>525.5</v>
      </c>
      <c r="M4131">
        <f t="shared" si="1748"/>
        <v>44.5</v>
      </c>
      <c r="N4131">
        <f t="shared" si="1737"/>
        <v>89</v>
      </c>
      <c r="O4131">
        <f t="shared" si="1749"/>
        <v>516</v>
      </c>
      <c r="P4131">
        <f t="shared" si="1750"/>
        <v>-0.21348314606741572</v>
      </c>
      <c r="Q4131" t="str">
        <f t="shared" si="1738"/>
        <v>6.78% | 10.47%</v>
      </c>
      <c r="R4131" t="str">
        <f t="shared" si="1751"/>
        <v>BULLISH</v>
      </c>
      <c r="S4131">
        <f t="shared" si="1739"/>
        <v>1</v>
      </c>
    </row>
    <row r="4132" spans="1:19" x14ac:dyDescent="0.25">
      <c r="A4132" s="5" t="str">
        <f t="shared" si="1740"/>
        <v>44082TSLA</v>
      </c>
      <c r="B4132" s="6" t="s">
        <v>189</v>
      </c>
      <c r="C4132" s="6">
        <v>365</v>
      </c>
      <c r="D4132" s="6">
        <v>495</v>
      </c>
      <c r="E4132" s="6">
        <v>418</v>
      </c>
      <c r="F4132" t="str">
        <f t="shared" si="1741"/>
        <v>TUE</v>
      </c>
      <c r="G4132" s="3">
        <f t="shared" si="1742"/>
        <v>44082</v>
      </c>
      <c r="H4132" s="2">
        <f t="shared" ca="1" si="1743"/>
        <v>171</v>
      </c>
      <c r="I4132" t="str">
        <f t="shared" si="1744"/>
        <v>TSLA</v>
      </c>
      <c r="J4132">
        <f t="shared" si="1745"/>
        <v>365</v>
      </c>
      <c r="K4132">
        <f t="shared" si="1746"/>
        <v>495</v>
      </c>
      <c r="L4132">
        <f t="shared" si="1747"/>
        <v>430</v>
      </c>
      <c r="M4132">
        <f t="shared" si="1748"/>
        <v>65</v>
      </c>
      <c r="N4132">
        <f t="shared" si="1737"/>
        <v>130</v>
      </c>
      <c r="O4132">
        <f t="shared" si="1749"/>
        <v>418</v>
      </c>
      <c r="P4132">
        <f t="shared" si="1750"/>
        <v>-0.18461538461538463</v>
      </c>
      <c r="Q4132" t="str">
        <f t="shared" si="1738"/>
        <v>12.68% | 18.42%</v>
      </c>
      <c r="R4132" t="str">
        <f t="shared" si="1751"/>
        <v>BULLISH</v>
      </c>
      <c r="S4132">
        <f t="shared" si="1739"/>
        <v>1</v>
      </c>
    </row>
    <row r="4133" spans="1:19" hidden="1" x14ac:dyDescent="0.25">
      <c r="A4133" s="5" t="str">
        <f t="shared" si="1740"/>
        <v>44082NYXBT</v>
      </c>
      <c r="B4133" s="6" t="s">
        <v>190</v>
      </c>
      <c r="C4133" s="6">
        <v>10108</v>
      </c>
      <c r="D4133" s="6">
        <v>12206</v>
      </c>
      <c r="E4133" s="6">
        <v>10230</v>
      </c>
      <c r="F4133" t="str">
        <f t="shared" si="1741"/>
        <v>TUE</v>
      </c>
      <c r="G4133" s="3">
        <f t="shared" si="1742"/>
        <v>44082</v>
      </c>
      <c r="H4133" s="2">
        <f t="shared" ca="1" si="1743"/>
        <v>171</v>
      </c>
      <c r="I4133" t="str">
        <f t="shared" si="1744"/>
        <v>NYXBT</v>
      </c>
      <c r="J4133">
        <f t="shared" si="1745"/>
        <v>10108</v>
      </c>
      <c r="K4133">
        <f t="shared" si="1746"/>
        <v>12206</v>
      </c>
      <c r="L4133">
        <f t="shared" si="1747"/>
        <v>11157</v>
      </c>
      <c r="M4133">
        <f t="shared" si="1748"/>
        <v>1049</v>
      </c>
      <c r="N4133">
        <f t="shared" si="1737"/>
        <v>2098</v>
      </c>
      <c r="O4133">
        <f t="shared" si="1749"/>
        <v>10230</v>
      </c>
      <c r="P4133">
        <f t="shared" si="1750"/>
        <v>-0.88369876072449949</v>
      </c>
      <c r="Q4133" t="str">
        <f t="shared" si="1738"/>
        <v>1.19% | 19.32%</v>
      </c>
      <c r="R4133" t="str">
        <f t="shared" si="1751"/>
        <v>BULLISH</v>
      </c>
      <c r="S4133">
        <f t="shared" si="1739"/>
        <v>1</v>
      </c>
    </row>
    <row r="4134" spans="1:19" hidden="1" x14ac:dyDescent="0.25">
      <c r="A4134" s="5" t="str">
        <f t="shared" si="1740"/>
        <v>44083UST10Y</v>
      </c>
      <c r="B4134" s="6" t="s">
        <v>161</v>
      </c>
      <c r="C4134" s="6">
        <v>0.74</v>
      </c>
      <c r="D4134" s="6">
        <v>0.61</v>
      </c>
      <c r="E4134" s="6">
        <v>0.69</v>
      </c>
      <c r="F4134" t="str">
        <f t="shared" si="1741"/>
        <v>WED</v>
      </c>
      <c r="G4134" s="1">
        <f>DATE(2020,9,9)</f>
        <v>44083</v>
      </c>
      <c r="H4134" s="2">
        <f t="shared" ca="1" si="1743"/>
        <v>170</v>
      </c>
      <c r="I4134" t="str">
        <f t="shared" si="1744"/>
        <v>UST10Y</v>
      </c>
      <c r="J4134">
        <f t="shared" si="1745"/>
        <v>0.74</v>
      </c>
      <c r="K4134">
        <f t="shared" si="1746"/>
        <v>0.61</v>
      </c>
      <c r="L4134">
        <f t="shared" si="1747"/>
        <v>0.67500000000000004</v>
      </c>
      <c r="M4134">
        <f t="shared" si="1748"/>
        <v>6.5000000000000002E-2</v>
      </c>
      <c r="N4134">
        <f t="shared" si="1737"/>
        <v>0.13</v>
      </c>
      <c r="O4134">
        <f t="shared" si="1749"/>
        <v>0.69</v>
      </c>
      <c r="P4134">
        <f t="shared" si="1750"/>
        <v>0.23076923076922926</v>
      </c>
      <c r="Q4134" t="str">
        <f t="shared" si="1738"/>
        <v>7.25% | 11.59%</v>
      </c>
      <c r="R4134" t="str">
        <f t="shared" si="1751"/>
        <v>BEARISH</v>
      </c>
      <c r="S4134">
        <f t="shared" si="1739"/>
        <v>-1</v>
      </c>
    </row>
    <row r="4135" spans="1:19" hidden="1" x14ac:dyDescent="0.25">
      <c r="A4135" s="5" t="str">
        <f t="shared" si="1740"/>
        <v>44083UST2Y</v>
      </c>
      <c r="B4135" s="6" t="s">
        <v>162</v>
      </c>
      <c r="C4135" s="6">
        <v>0.16</v>
      </c>
      <c r="D4135" s="6">
        <v>0.11</v>
      </c>
      <c r="E4135" s="6">
        <v>0.14000000000000001</v>
      </c>
      <c r="F4135" t="str">
        <f t="shared" ref="F4135:F4165" si="1752">UPPER(TEXT(G4135,"ddd"))</f>
        <v>WED</v>
      </c>
      <c r="G4135" s="1">
        <f t="shared" ref="G4135:G4164" si="1753">DATE(2020,9,9)</f>
        <v>44083</v>
      </c>
      <c r="H4135" s="2">
        <f t="shared" ref="H4135:H4165" ca="1" si="1754">TODAY()-G4135</f>
        <v>170</v>
      </c>
      <c r="I4135" t="str">
        <f t="shared" ref="I4135:I4165" si="1755">TRIM(LEFT(B4135,FIND(" ",B4135,1)))</f>
        <v>UST2Y</v>
      </c>
      <c r="J4135">
        <f t="shared" ref="J4135:J4165" si="1756">C4135</f>
        <v>0.16</v>
      </c>
      <c r="K4135">
        <f t="shared" ref="K4135:K4165" si="1757">D4135</f>
        <v>0.11</v>
      </c>
      <c r="L4135">
        <f t="shared" ref="L4135:L4165" si="1758">AVERAGE(J4135:K4135)</f>
        <v>0.13500000000000001</v>
      </c>
      <c r="M4135">
        <f t="shared" ref="M4135:M4165" si="1759">_xlfn.STDEV.P(J4135:K4135)</f>
        <v>2.4999999999999942E-2</v>
      </c>
      <c r="N4135">
        <f t="shared" si="1737"/>
        <v>0.05</v>
      </c>
      <c r="O4135">
        <f t="shared" ref="O4135:O4165" si="1760">E4135</f>
        <v>0.14000000000000001</v>
      </c>
      <c r="P4135">
        <f t="shared" ref="P4135:P4165" si="1761">(O4135-L4135)/M4135</f>
        <v>0.20000000000000065</v>
      </c>
      <c r="Q4135" t="str">
        <f t="shared" si="1738"/>
        <v>14.29% | 21.43%</v>
      </c>
      <c r="R4135" t="str">
        <f t="shared" ref="R4135:R4165" si="1762">MID(B4135,FIND("(",B4135,1)+1,FIND(")",B4135,1)-FIND("(",B4135,1)-1)</f>
        <v>BEARISH</v>
      </c>
      <c r="S4135">
        <f t="shared" si="1739"/>
        <v>-1</v>
      </c>
    </row>
    <row r="4136" spans="1:19" hidden="1" x14ac:dyDescent="0.25">
      <c r="A4136" s="5" t="str">
        <f t="shared" si="1740"/>
        <v>44083SPX</v>
      </c>
      <c r="B4136" s="6" t="s">
        <v>163</v>
      </c>
      <c r="C4136" s="6">
        <v>3299</v>
      </c>
      <c r="D4136" s="6">
        <v>3510</v>
      </c>
      <c r="E4136" s="6">
        <v>3331</v>
      </c>
      <c r="F4136" t="str">
        <f t="shared" si="1752"/>
        <v>WED</v>
      </c>
      <c r="G4136" s="1">
        <f t="shared" si="1753"/>
        <v>44083</v>
      </c>
      <c r="H4136" s="2">
        <f t="shared" ca="1" si="1754"/>
        <v>170</v>
      </c>
      <c r="I4136" t="str">
        <f t="shared" si="1755"/>
        <v>SPX</v>
      </c>
      <c r="J4136">
        <f t="shared" si="1756"/>
        <v>3299</v>
      </c>
      <c r="K4136">
        <f t="shared" si="1757"/>
        <v>3510</v>
      </c>
      <c r="L4136">
        <f t="shared" si="1758"/>
        <v>3404.5</v>
      </c>
      <c r="M4136">
        <f t="shared" si="1759"/>
        <v>105.5</v>
      </c>
      <c r="N4136">
        <f t="shared" si="1737"/>
        <v>211</v>
      </c>
      <c r="O4136">
        <f t="shared" si="1760"/>
        <v>3331</v>
      </c>
      <c r="P4136">
        <f t="shared" si="1761"/>
        <v>-0.69668246445497628</v>
      </c>
      <c r="Q4136" t="str">
        <f t="shared" si="1738"/>
        <v>0.96% | 5.37%</v>
      </c>
      <c r="R4136" t="str">
        <f t="shared" si="1762"/>
        <v>NEUTRAL</v>
      </c>
      <c r="S4136">
        <f t="shared" si="1739"/>
        <v>0</v>
      </c>
    </row>
    <row r="4137" spans="1:19" hidden="1" x14ac:dyDescent="0.25">
      <c r="A4137" s="5" t="str">
        <f t="shared" si="1740"/>
        <v>44083RUT</v>
      </c>
      <c r="B4137" s="6" t="s">
        <v>164</v>
      </c>
      <c r="C4137" s="6">
        <v>1493</v>
      </c>
      <c r="D4137" s="6">
        <v>1545</v>
      </c>
      <c r="E4137" s="6">
        <v>1504</v>
      </c>
      <c r="F4137" t="str">
        <f t="shared" si="1752"/>
        <v>WED</v>
      </c>
      <c r="G4137" s="1">
        <f t="shared" si="1753"/>
        <v>44083</v>
      </c>
      <c r="H4137" s="2">
        <f t="shared" ca="1" si="1754"/>
        <v>170</v>
      </c>
      <c r="I4137" t="str">
        <f t="shared" si="1755"/>
        <v>RUT</v>
      </c>
      <c r="J4137">
        <f t="shared" si="1756"/>
        <v>1493</v>
      </c>
      <c r="K4137">
        <f t="shared" si="1757"/>
        <v>1545</v>
      </c>
      <c r="L4137">
        <f t="shared" si="1758"/>
        <v>1519</v>
      </c>
      <c r="M4137">
        <f t="shared" si="1759"/>
        <v>26</v>
      </c>
      <c r="N4137">
        <f t="shared" si="1737"/>
        <v>52</v>
      </c>
      <c r="O4137">
        <f t="shared" si="1760"/>
        <v>1504</v>
      </c>
      <c r="P4137">
        <f t="shared" si="1761"/>
        <v>-0.57692307692307687</v>
      </c>
      <c r="Q4137" t="str">
        <f t="shared" si="1738"/>
        <v>0.73% | 2.73%</v>
      </c>
      <c r="R4137" t="str">
        <f t="shared" si="1762"/>
        <v>BEARISH</v>
      </c>
      <c r="S4137">
        <f t="shared" si="1739"/>
        <v>-1</v>
      </c>
    </row>
    <row r="4138" spans="1:19" hidden="1" x14ac:dyDescent="0.25">
      <c r="A4138" s="5" t="str">
        <f t="shared" si="1740"/>
        <v>44083COMPQ</v>
      </c>
      <c r="B4138" s="6" t="s">
        <v>165</v>
      </c>
      <c r="C4138" s="6">
        <v>10685</v>
      </c>
      <c r="D4138" s="6">
        <v>11728</v>
      </c>
      <c r="E4138" s="6">
        <v>10847</v>
      </c>
      <c r="F4138" t="str">
        <f t="shared" si="1752"/>
        <v>WED</v>
      </c>
      <c r="G4138" s="1">
        <f t="shared" si="1753"/>
        <v>44083</v>
      </c>
      <c r="H4138" s="2">
        <f t="shared" ca="1" si="1754"/>
        <v>170</v>
      </c>
      <c r="I4138" t="str">
        <f t="shared" si="1755"/>
        <v>COMPQ</v>
      </c>
      <c r="J4138">
        <f t="shared" si="1756"/>
        <v>10685</v>
      </c>
      <c r="K4138">
        <f t="shared" si="1757"/>
        <v>11728</v>
      </c>
      <c r="L4138">
        <f t="shared" si="1758"/>
        <v>11206.5</v>
      </c>
      <c r="M4138">
        <f t="shared" si="1759"/>
        <v>521.5</v>
      </c>
      <c r="N4138">
        <f t="shared" si="1737"/>
        <v>1043</v>
      </c>
      <c r="O4138">
        <f t="shared" si="1760"/>
        <v>10847</v>
      </c>
      <c r="P4138">
        <f t="shared" si="1761"/>
        <v>-0.68935762224352826</v>
      </c>
      <c r="Q4138" t="str">
        <f t="shared" si="1738"/>
        <v>1.49% | 8.12%</v>
      </c>
      <c r="R4138" t="str">
        <f t="shared" si="1762"/>
        <v>BULLISH</v>
      </c>
      <c r="S4138">
        <f t="shared" si="1739"/>
        <v>1</v>
      </c>
    </row>
    <row r="4139" spans="1:19" hidden="1" x14ac:dyDescent="0.25">
      <c r="A4139" s="5" t="str">
        <f t="shared" si="1740"/>
        <v>44083XLK</v>
      </c>
      <c r="B4139" s="6" t="s">
        <v>203</v>
      </c>
      <c r="C4139" s="6">
        <v>110.82</v>
      </c>
      <c r="D4139" s="6">
        <v>121.7</v>
      </c>
      <c r="E4139" s="6">
        <v>112.78</v>
      </c>
      <c r="F4139" t="str">
        <f t="shared" si="1752"/>
        <v>WED</v>
      </c>
      <c r="G4139" s="1">
        <f t="shared" si="1753"/>
        <v>44083</v>
      </c>
      <c r="H4139" s="2">
        <f t="shared" ca="1" si="1754"/>
        <v>170</v>
      </c>
      <c r="I4139" t="str">
        <f t="shared" si="1755"/>
        <v>XLK</v>
      </c>
      <c r="J4139">
        <f t="shared" si="1756"/>
        <v>110.82</v>
      </c>
      <c r="K4139">
        <f t="shared" si="1757"/>
        <v>121.7</v>
      </c>
      <c r="L4139">
        <f t="shared" si="1758"/>
        <v>116.25999999999999</v>
      </c>
      <c r="M4139">
        <f t="shared" si="1759"/>
        <v>5.4400000000000048</v>
      </c>
      <c r="N4139">
        <f t="shared" si="1737"/>
        <v>10.88000000000001</v>
      </c>
      <c r="O4139">
        <f t="shared" si="1760"/>
        <v>112.78</v>
      </c>
      <c r="P4139">
        <f t="shared" si="1761"/>
        <v>-0.63970588235293868</v>
      </c>
      <c r="Q4139" t="str">
        <f t="shared" si="1738"/>
        <v>1.74% | 7.91%</v>
      </c>
      <c r="R4139" t="str">
        <f t="shared" si="1762"/>
        <v>NEUTRAL</v>
      </c>
      <c r="S4139">
        <f t="shared" si="1739"/>
        <v>0</v>
      </c>
    </row>
    <row r="4140" spans="1:19" hidden="1" x14ac:dyDescent="0.25">
      <c r="A4140" s="5" t="str">
        <f t="shared" si="1740"/>
        <v>44083XLRE</v>
      </c>
      <c r="B4140" s="6" t="s">
        <v>167</v>
      </c>
      <c r="C4140" s="6">
        <v>35.409999999999997</v>
      </c>
      <c r="D4140" s="6">
        <v>36.979999999999997</v>
      </c>
      <c r="E4140" s="6">
        <v>35.79</v>
      </c>
      <c r="F4140" t="str">
        <f t="shared" si="1752"/>
        <v>WED</v>
      </c>
      <c r="G4140" s="1">
        <f t="shared" si="1753"/>
        <v>44083</v>
      </c>
      <c r="H4140" s="2">
        <f t="shared" ca="1" si="1754"/>
        <v>170</v>
      </c>
      <c r="I4140" t="str">
        <f t="shared" si="1755"/>
        <v>XLRE</v>
      </c>
      <c r="J4140">
        <f t="shared" si="1756"/>
        <v>35.409999999999997</v>
      </c>
      <c r="K4140">
        <f t="shared" si="1757"/>
        <v>36.979999999999997</v>
      </c>
      <c r="L4140">
        <f t="shared" si="1758"/>
        <v>36.194999999999993</v>
      </c>
      <c r="M4140">
        <f t="shared" si="1759"/>
        <v>0.78500000000000014</v>
      </c>
      <c r="N4140">
        <f t="shared" si="1737"/>
        <v>1.5700000000000003</v>
      </c>
      <c r="O4140">
        <f t="shared" si="1760"/>
        <v>35.79</v>
      </c>
      <c r="P4140">
        <f t="shared" si="1761"/>
        <v>-0.51592356687897323</v>
      </c>
      <c r="Q4140" t="str">
        <f t="shared" si="1738"/>
        <v>1.06% | 3.32%</v>
      </c>
      <c r="R4140" t="str">
        <f t="shared" si="1762"/>
        <v>BULLISH</v>
      </c>
      <c r="S4140">
        <f t="shared" si="1739"/>
        <v>1</v>
      </c>
    </row>
    <row r="4141" spans="1:19" hidden="1" x14ac:dyDescent="0.25">
      <c r="A4141" s="5" t="str">
        <f t="shared" si="1740"/>
        <v>44083XLU</v>
      </c>
      <c r="B4141" s="6" t="s">
        <v>204</v>
      </c>
      <c r="C4141" s="6">
        <v>58.02</v>
      </c>
      <c r="D4141" s="6">
        <v>60.37</v>
      </c>
      <c r="E4141" s="6">
        <v>59.04</v>
      </c>
      <c r="F4141" t="str">
        <f t="shared" si="1752"/>
        <v>WED</v>
      </c>
      <c r="G4141" s="1">
        <f t="shared" si="1753"/>
        <v>44083</v>
      </c>
      <c r="H4141" s="2">
        <f t="shared" ca="1" si="1754"/>
        <v>170</v>
      </c>
      <c r="I4141" t="str">
        <f t="shared" si="1755"/>
        <v>XLU</v>
      </c>
      <c r="J4141">
        <f t="shared" si="1756"/>
        <v>58.02</v>
      </c>
      <c r="K4141">
        <f t="shared" si="1757"/>
        <v>60.37</v>
      </c>
      <c r="L4141">
        <f t="shared" si="1758"/>
        <v>59.195</v>
      </c>
      <c r="M4141">
        <f t="shared" si="1759"/>
        <v>1.1749999999999972</v>
      </c>
      <c r="N4141">
        <f t="shared" si="1737"/>
        <v>2.3499999999999943</v>
      </c>
      <c r="O4141">
        <f t="shared" si="1760"/>
        <v>59.04</v>
      </c>
      <c r="P4141">
        <f t="shared" si="1761"/>
        <v>-0.13191489361702255</v>
      </c>
      <c r="Q4141" t="str">
        <f t="shared" si="1738"/>
        <v>1.73% | 2.25%</v>
      </c>
      <c r="R4141" t="str">
        <f t="shared" si="1762"/>
        <v>NEUTRAL</v>
      </c>
      <c r="S4141">
        <f t="shared" si="1739"/>
        <v>0</v>
      </c>
    </row>
    <row r="4142" spans="1:19" hidden="1" x14ac:dyDescent="0.25">
      <c r="A4142" s="5" t="str">
        <f t="shared" si="1740"/>
        <v>44083XLF</v>
      </c>
      <c r="B4142" s="6" t="s">
        <v>169</v>
      </c>
      <c r="C4142" s="6">
        <v>24.26</v>
      </c>
      <c r="D4142" s="6">
        <v>25.53</v>
      </c>
      <c r="E4142" s="6">
        <v>24.64</v>
      </c>
      <c r="F4142" t="str">
        <f t="shared" si="1752"/>
        <v>WED</v>
      </c>
      <c r="G4142" s="1">
        <f t="shared" si="1753"/>
        <v>44083</v>
      </c>
      <c r="H4142" s="2">
        <f t="shared" ca="1" si="1754"/>
        <v>170</v>
      </c>
      <c r="I4142" t="str">
        <f t="shared" si="1755"/>
        <v>XLF</v>
      </c>
      <c r="J4142">
        <f t="shared" si="1756"/>
        <v>24.26</v>
      </c>
      <c r="K4142">
        <f t="shared" si="1757"/>
        <v>25.53</v>
      </c>
      <c r="L4142">
        <f t="shared" si="1758"/>
        <v>24.895000000000003</v>
      </c>
      <c r="M4142">
        <f t="shared" si="1759"/>
        <v>0.63499999999999979</v>
      </c>
      <c r="N4142">
        <f t="shared" si="1737"/>
        <v>1.2699999999999996</v>
      </c>
      <c r="O4142">
        <f t="shared" si="1760"/>
        <v>24.64</v>
      </c>
      <c r="P4142">
        <f t="shared" si="1761"/>
        <v>-0.40157480314961047</v>
      </c>
      <c r="Q4142" t="str">
        <f t="shared" si="1738"/>
        <v>1.54% | 3.61%</v>
      </c>
      <c r="R4142" t="str">
        <f t="shared" si="1762"/>
        <v>BEARISH</v>
      </c>
      <c r="S4142">
        <f t="shared" si="1739"/>
        <v>-1</v>
      </c>
    </row>
    <row r="4143" spans="1:19" hidden="1" x14ac:dyDescent="0.25">
      <c r="A4143" s="5" t="str">
        <f t="shared" si="1740"/>
        <v>44083SSEC</v>
      </c>
      <c r="B4143" s="6" t="s">
        <v>170</v>
      </c>
      <c r="C4143" s="6">
        <v>3219</v>
      </c>
      <c r="D4143" s="6">
        <v>3451</v>
      </c>
      <c r="E4143" s="6">
        <v>3254</v>
      </c>
      <c r="F4143" t="str">
        <f t="shared" si="1752"/>
        <v>WED</v>
      </c>
      <c r="G4143" s="1">
        <f t="shared" si="1753"/>
        <v>44083</v>
      </c>
      <c r="H4143" s="2">
        <f t="shared" ca="1" si="1754"/>
        <v>170</v>
      </c>
      <c r="I4143" t="str">
        <f t="shared" si="1755"/>
        <v>SSEC</v>
      </c>
      <c r="J4143">
        <f t="shared" si="1756"/>
        <v>3219</v>
      </c>
      <c r="K4143">
        <f t="shared" si="1757"/>
        <v>3451</v>
      </c>
      <c r="L4143">
        <f t="shared" si="1758"/>
        <v>3335</v>
      </c>
      <c r="M4143">
        <f t="shared" si="1759"/>
        <v>116</v>
      </c>
      <c r="N4143">
        <f t="shared" si="1737"/>
        <v>232</v>
      </c>
      <c r="O4143">
        <f t="shared" si="1760"/>
        <v>3254</v>
      </c>
      <c r="P4143">
        <f t="shared" si="1761"/>
        <v>-0.69827586206896552</v>
      </c>
      <c r="Q4143" t="str">
        <f t="shared" si="1738"/>
        <v>1.08% | 6.05%</v>
      </c>
      <c r="R4143" t="str">
        <f t="shared" si="1762"/>
        <v>BULLISH</v>
      </c>
      <c r="S4143">
        <f t="shared" si="1739"/>
        <v>1</v>
      </c>
    </row>
    <row r="4144" spans="1:19" hidden="1" x14ac:dyDescent="0.25">
      <c r="A4144" s="5" t="str">
        <f t="shared" si="1740"/>
        <v>44083NIKK</v>
      </c>
      <c r="B4144" s="6" t="s">
        <v>201</v>
      </c>
      <c r="C4144" s="6">
        <v>22868</v>
      </c>
      <c r="D4144" s="6">
        <v>23476</v>
      </c>
      <c r="E4144" s="6">
        <v>23032</v>
      </c>
      <c r="F4144" t="str">
        <f t="shared" si="1752"/>
        <v>WED</v>
      </c>
      <c r="G4144" s="1">
        <f t="shared" si="1753"/>
        <v>44083</v>
      </c>
      <c r="H4144" s="2">
        <f t="shared" ca="1" si="1754"/>
        <v>170</v>
      </c>
      <c r="I4144" t="str">
        <f t="shared" si="1755"/>
        <v>NIKK</v>
      </c>
      <c r="J4144">
        <f t="shared" si="1756"/>
        <v>22868</v>
      </c>
      <c r="K4144">
        <f t="shared" si="1757"/>
        <v>23476</v>
      </c>
      <c r="L4144">
        <f t="shared" si="1758"/>
        <v>23172</v>
      </c>
      <c r="M4144">
        <f t="shared" si="1759"/>
        <v>304</v>
      </c>
      <c r="N4144">
        <f t="shared" si="1737"/>
        <v>608</v>
      </c>
      <c r="O4144">
        <f t="shared" si="1760"/>
        <v>23032</v>
      </c>
      <c r="P4144">
        <f t="shared" si="1761"/>
        <v>-0.46052631578947367</v>
      </c>
      <c r="Q4144" t="str">
        <f t="shared" si="1738"/>
        <v>0.71% | 1.93%</v>
      </c>
      <c r="R4144" t="str">
        <f t="shared" si="1762"/>
        <v>BULLISH</v>
      </c>
      <c r="S4144">
        <f t="shared" si="1739"/>
        <v>1</v>
      </c>
    </row>
    <row r="4145" spans="1:19" hidden="1" x14ac:dyDescent="0.25">
      <c r="A4145" s="5" t="str">
        <f t="shared" si="1740"/>
        <v>44083DAX</v>
      </c>
      <c r="B4145" s="6" t="s">
        <v>198</v>
      </c>
      <c r="C4145" s="6">
        <v>12783</v>
      </c>
      <c r="D4145" s="6">
        <v>13254</v>
      </c>
      <c r="E4145" s="6">
        <v>12968</v>
      </c>
      <c r="F4145" t="str">
        <f t="shared" si="1752"/>
        <v>WED</v>
      </c>
      <c r="G4145" s="1">
        <f t="shared" si="1753"/>
        <v>44083</v>
      </c>
      <c r="H4145" s="2">
        <f t="shared" ca="1" si="1754"/>
        <v>170</v>
      </c>
      <c r="I4145" t="str">
        <f t="shared" si="1755"/>
        <v>DAX</v>
      </c>
      <c r="J4145">
        <f t="shared" si="1756"/>
        <v>12783</v>
      </c>
      <c r="K4145">
        <f t="shared" si="1757"/>
        <v>13254</v>
      </c>
      <c r="L4145">
        <f t="shared" si="1758"/>
        <v>13018.5</v>
      </c>
      <c r="M4145">
        <f t="shared" si="1759"/>
        <v>235.5</v>
      </c>
      <c r="N4145">
        <f t="shared" si="1737"/>
        <v>471</v>
      </c>
      <c r="O4145">
        <f t="shared" si="1760"/>
        <v>12968</v>
      </c>
      <c r="P4145">
        <f t="shared" si="1761"/>
        <v>-0.21443736730360935</v>
      </c>
      <c r="Q4145" t="str">
        <f t="shared" si="1738"/>
        <v>1.43% | 2.21%</v>
      </c>
      <c r="R4145" t="str">
        <f t="shared" si="1762"/>
        <v>NEUTRAL</v>
      </c>
      <c r="S4145">
        <f t="shared" si="1739"/>
        <v>0</v>
      </c>
    </row>
    <row r="4146" spans="1:19" hidden="1" x14ac:dyDescent="0.25">
      <c r="A4146" s="5" t="str">
        <f t="shared" si="1740"/>
        <v>44083VIX</v>
      </c>
      <c r="B4146" s="6" t="s">
        <v>202</v>
      </c>
      <c r="C4146" s="6">
        <v>25.79</v>
      </c>
      <c r="D4146" s="6">
        <v>35.43</v>
      </c>
      <c r="E4146" s="6">
        <v>31.46</v>
      </c>
      <c r="F4146" t="str">
        <f t="shared" si="1752"/>
        <v>WED</v>
      </c>
      <c r="G4146" s="1">
        <f t="shared" si="1753"/>
        <v>44083</v>
      </c>
      <c r="H4146" s="2">
        <f t="shared" ca="1" si="1754"/>
        <v>170</v>
      </c>
      <c r="I4146" t="str">
        <f t="shared" si="1755"/>
        <v>VIX</v>
      </c>
      <c r="J4146">
        <f t="shared" si="1756"/>
        <v>25.79</v>
      </c>
      <c r="K4146">
        <f t="shared" si="1757"/>
        <v>35.43</v>
      </c>
      <c r="L4146">
        <f t="shared" si="1758"/>
        <v>30.61</v>
      </c>
      <c r="M4146">
        <f t="shared" si="1759"/>
        <v>4.8199999999999985</v>
      </c>
      <c r="N4146">
        <f t="shared" si="1737"/>
        <v>9.64</v>
      </c>
      <c r="O4146">
        <f t="shared" si="1760"/>
        <v>31.46</v>
      </c>
      <c r="P4146">
        <f t="shared" si="1761"/>
        <v>0.17634854771784267</v>
      </c>
      <c r="Q4146" t="str">
        <f t="shared" si="1738"/>
        <v>18.02% | 12.62%</v>
      </c>
      <c r="R4146" t="str">
        <f t="shared" si="1762"/>
        <v>BULLISH</v>
      </c>
      <c r="S4146">
        <f t="shared" si="1739"/>
        <v>1</v>
      </c>
    </row>
    <row r="4147" spans="1:19" hidden="1" x14ac:dyDescent="0.25">
      <c r="A4147" s="5" t="str">
        <f t="shared" si="1740"/>
        <v>44083USD</v>
      </c>
      <c r="B4147" s="6" t="s">
        <v>174</v>
      </c>
      <c r="C4147" s="6">
        <v>91.95</v>
      </c>
      <c r="D4147" s="6">
        <v>93.59</v>
      </c>
      <c r="E4147" s="6">
        <v>93.43</v>
      </c>
      <c r="F4147" t="str">
        <f t="shared" si="1752"/>
        <v>WED</v>
      </c>
      <c r="G4147" s="1">
        <f t="shared" si="1753"/>
        <v>44083</v>
      </c>
      <c r="H4147" s="2">
        <f t="shared" ca="1" si="1754"/>
        <v>170</v>
      </c>
      <c r="I4147" t="str">
        <f t="shared" si="1755"/>
        <v>USD</v>
      </c>
      <c r="J4147">
        <f t="shared" si="1756"/>
        <v>91.95</v>
      </c>
      <c r="K4147">
        <f t="shared" si="1757"/>
        <v>93.59</v>
      </c>
      <c r="L4147">
        <f t="shared" si="1758"/>
        <v>92.77000000000001</v>
      </c>
      <c r="M4147">
        <f t="shared" si="1759"/>
        <v>0.82000000000000028</v>
      </c>
      <c r="N4147">
        <f t="shared" si="1737"/>
        <v>1.6400000000000006</v>
      </c>
      <c r="O4147">
        <f t="shared" si="1760"/>
        <v>93.43</v>
      </c>
      <c r="P4147">
        <f t="shared" si="1761"/>
        <v>0.80487804878048341</v>
      </c>
      <c r="Q4147" t="str">
        <f t="shared" si="1738"/>
        <v>1.58% | 0.17%</v>
      </c>
      <c r="R4147" t="str">
        <f t="shared" si="1762"/>
        <v>BEARISH</v>
      </c>
      <c r="S4147">
        <f t="shared" si="1739"/>
        <v>-1</v>
      </c>
    </row>
    <row r="4148" spans="1:19" hidden="1" x14ac:dyDescent="0.25">
      <c r="A4148" s="5" t="str">
        <f t="shared" si="1740"/>
        <v>44083EUR/USD</v>
      </c>
      <c r="B4148" s="6" t="s">
        <v>175</v>
      </c>
      <c r="C4148" s="6">
        <v>1.17</v>
      </c>
      <c r="D4148" s="6">
        <v>1.19</v>
      </c>
      <c r="E4148" s="6">
        <v>1.17</v>
      </c>
      <c r="F4148" t="str">
        <f t="shared" si="1752"/>
        <v>WED</v>
      </c>
      <c r="G4148" s="1">
        <f t="shared" si="1753"/>
        <v>44083</v>
      </c>
      <c r="H4148" s="2">
        <f t="shared" ca="1" si="1754"/>
        <v>170</v>
      </c>
      <c r="I4148" t="str">
        <f t="shared" si="1755"/>
        <v>EUR/USD</v>
      </c>
      <c r="J4148">
        <f t="shared" si="1756"/>
        <v>1.17</v>
      </c>
      <c r="K4148">
        <f t="shared" si="1757"/>
        <v>1.19</v>
      </c>
      <c r="L4148">
        <f t="shared" si="1758"/>
        <v>1.18</v>
      </c>
      <c r="M4148">
        <f t="shared" si="1759"/>
        <v>1.0000000000000009E-2</v>
      </c>
      <c r="N4148">
        <f t="shared" si="1737"/>
        <v>2.0000000000000018E-2</v>
      </c>
      <c r="O4148">
        <f t="shared" si="1760"/>
        <v>1.17</v>
      </c>
      <c r="P4148">
        <f t="shared" si="1761"/>
        <v>-1</v>
      </c>
      <c r="Q4148" t="str">
        <f t="shared" si="1738"/>
        <v>0% | 1.71%</v>
      </c>
      <c r="R4148" t="str">
        <f t="shared" si="1762"/>
        <v>BULLISH</v>
      </c>
      <c r="S4148">
        <f t="shared" si="1739"/>
        <v>1</v>
      </c>
    </row>
    <row r="4149" spans="1:19" hidden="1" x14ac:dyDescent="0.25">
      <c r="A4149" s="5" t="str">
        <f t="shared" si="1740"/>
        <v>44083USD/JPY</v>
      </c>
      <c r="B4149" s="6" t="s">
        <v>176</v>
      </c>
      <c r="C4149" s="6">
        <v>105.33</v>
      </c>
      <c r="D4149" s="6">
        <v>106.7</v>
      </c>
      <c r="E4149" s="6">
        <v>106.03</v>
      </c>
      <c r="F4149" t="str">
        <f t="shared" si="1752"/>
        <v>WED</v>
      </c>
      <c r="G4149" s="1">
        <f t="shared" si="1753"/>
        <v>44083</v>
      </c>
      <c r="H4149" s="2">
        <f t="shared" ca="1" si="1754"/>
        <v>170</v>
      </c>
      <c r="I4149" t="str">
        <f t="shared" si="1755"/>
        <v>USD/JPY</v>
      </c>
      <c r="J4149">
        <f t="shared" si="1756"/>
        <v>105.33</v>
      </c>
      <c r="K4149">
        <f t="shared" si="1757"/>
        <v>106.7</v>
      </c>
      <c r="L4149">
        <f t="shared" si="1758"/>
        <v>106.015</v>
      </c>
      <c r="M4149">
        <f t="shared" si="1759"/>
        <v>0.68500000000000227</v>
      </c>
      <c r="N4149">
        <f t="shared" si="1737"/>
        <v>1.3700000000000045</v>
      </c>
      <c r="O4149">
        <f t="shared" si="1760"/>
        <v>106.03</v>
      </c>
      <c r="P4149">
        <f t="shared" si="1761"/>
        <v>2.189781021897886E-2</v>
      </c>
      <c r="Q4149" t="str">
        <f t="shared" si="1738"/>
        <v>0.66% | 0.63%</v>
      </c>
      <c r="R4149" t="str">
        <f t="shared" si="1762"/>
        <v>BEARISH</v>
      </c>
      <c r="S4149">
        <f t="shared" si="1739"/>
        <v>-1</v>
      </c>
    </row>
    <row r="4150" spans="1:19" hidden="1" x14ac:dyDescent="0.25">
      <c r="A4150" s="5" t="str">
        <f t="shared" si="1740"/>
        <v>44083GBP/USD</v>
      </c>
      <c r="B4150" s="6" t="s">
        <v>177</v>
      </c>
      <c r="C4150" s="6">
        <v>1.29</v>
      </c>
      <c r="D4150" s="6">
        <v>1.33</v>
      </c>
      <c r="E4150" s="6">
        <v>1.3</v>
      </c>
      <c r="F4150" t="str">
        <f t="shared" si="1752"/>
        <v>WED</v>
      </c>
      <c r="G4150" s="1">
        <f t="shared" si="1753"/>
        <v>44083</v>
      </c>
      <c r="H4150" s="2">
        <f t="shared" ca="1" si="1754"/>
        <v>170</v>
      </c>
      <c r="I4150" t="str">
        <f t="shared" si="1755"/>
        <v>GBP/USD</v>
      </c>
      <c r="J4150">
        <f t="shared" si="1756"/>
        <v>1.29</v>
      </c>
      <c r="K4150">
        <f t="shared" si="1757"/>
        <v>1.33</v>
      </c>
      <c r="L4150">
        <f t="shared" si="1758"/>
        <v>1.31</v>
      </c>
      <c r="M4150">
        <f t="shared" si="1759"/>
        <v>2.0000000000000018E-2</v>
      </c>
      <c r="N4150">
        <f t="shared" si="1737"/>
        <v>4.0000000000000036E-2</v>
      </c>
      <c r="O4150">
        <f t="shared" si="1760"/>
        <v>1.3</v>
      </c>
      <c r="P4150">
        <f t="shared" si="1761"/>
        <v>-0.5</v>
      </c>
      <c r="Q4150" t="str">
        <f t="shared" si="1738"/>
        <v>0.77% | 2.31%</v>
      </c>
      <c r="R4150" t="str">
        <f t="shared" si="1762"/>
        <v>BULLISH</v>
      </c>
      <c r="S4150">
        <f t="shared" si="1739"/>
        <v>1</v>
      </c>
    </row>
    <row r="4151" spans="1:19" hidden="1" x14ac:dyDescent="0.25">
      <c r="A4151" s="5" t="str">
        <f t="shared" si="1740"/>
        <v>44083USD/CHF</v>
      </c>
      <c r="B4151" s="6" t="s">
        <v>178</v>
      </c>
      <c r="C4151" s="6">
        <v>0.89</v>
      </c>
      <c r="D4151" s="6">
        <v>0.91</v>
      </c>
      <c r="E4151" s="6">
        <v>0.91</v>
      </c>
      <c r="F4151" t="str">
        <f t="shared" si="1752"/>
        <v>WED</v>
      </c>
      <c r="G4151" s="1">
        <f t="shared" si="1753"/>
        <v>44083</v>
      </c>
      <c r="H4151" s="2">
        <f t="shared" ca="1" si="1754"/>
        <v>170</v>
      </c>
      <c r="I4151" t="str">
        <f t="shared" si="1755"/>
        <v>USD/CHF</v>
      </c>
      <c r="J4151">
        <f t="shared" si="1756"/>
        <v>0.89</v>
      </c>
      <c r="K4151">
        <f t="shared" si="1757"/>
        <v>0.91</v>
      </c>
      <c r="L4151">
        <f t="shared" si="1758"/>
        <v>0.9</v>
      </c>
      <c r="M4151">
        <f t="shared" si="1759"/>
        <v>1.0000000000000009E-2</v>
      </c>
      <c r="N4151">
        <f t="shared" si="1737"/>
        <v>2.0000000000000018E-2</v>
      </c>
      <c r="O4151">
        <f t="shared" si="1760"/>
        <v>0.91</v>
      </c>
      <c r="P4151">
        <f t="shared" si="1761"/>
        <v>1</v>
      </c>
      <c r="Q4151" t="str">
        <f t="shared" si="1738"/>
        <v>2.2% | 0%</v>
      </c>
      <c r="R4151" t="str">
        <f t="shared" si="1762"/>
        <v>BEARISH</v>
      </c>
      <c r="S4151">
        <f t="shared" si="1739"/>
        <v>-1</v>
      </c>
    </row>
    <row r="4152" spans="1:19" hidden="1" x14ac:dyDescent="0.25">
      <c r="A4152" s="5" t="str">
        <f t="shared" si="1740"/>
        <v>44083WTIC</v>
      </c>
      <c r="B4152" s="6" t="s">
        <v>205</v>
      </c>
      <c r="C4152" s="6">
        <v>36.56</v>
      </c>
      <c r="D4152" s="6">
        <v>39.56</v>
      </c>
      <c r="E4152" s="6">
        <v>36.76</v>
      </c>
      <c r="F4152" t="str">
        <f t="shared" si="1752"/>
        <v>WED</v>
      </c>
      <c r="G4152" s="1">
        <f t="shared" si="1753"/>
        <v>44083</v>
      </c>
      <c r="H4152" s="2">
        <f t="shared" ca="1" si="1754"/>
        <v>170</v>
      </c>
      <c r="I4152" t="str">
        <f t="shared" si="1755"/>
        <v>WTIC</v>
      </c>
      <c r="J4152">
        <f t="shared" si="1756"/>
        <v>36.56</v>
      </c>
      <c r="K4152">
        <f t="shared" si="1757"/>
        <v>39.56</v>
      </c>
      <c r="L4152">
        <f t="shared" si="1758"/>
        <v>38.06</v>
      </c>
      <c r="M4152">
        <f t="shared" si="1759"/>
        <v>1.5</v>
      </c>
      <c r="N4152">
        <f t="shared" si="1737"/>
        <v>3</v>
      </c>
      <c r="O4152">
        <f t="shared" si="1760"/>
        <v>36.76</v>
      </c>
      <c r="P4152">
        <f t="shared" si="1761"/>
        <v>-0.86666666666666947</v>
      </c>
      <c r="Q4152" t="str">
        <f t="shared" si="1738"/>
        <v>0.54% | 7.62%</v>
      </c>
      <c r="R4152" t="str">
        <f t="shared" si="1762"/>
        <v>NEUTRAL</v>
      </c>
      <c r="S4152">
        <f t="shared" si="1739"/>
        <v>0</v>
      </c>
    </row>
    <row r="4153" spans="1:19" hidden="1" x14ac:dyDescent="0.25">
      <c r="A4153" s="5" t="str">
        <f t="shared" si="1740"/>
        <v>44083NATGAS</v>
      </c>
      <c r="B4153" s="6" t="s">
        <v>180</v>
      </c>
      <c r="C4153" s="6">
        <v>2.35</v>
      </c>
      <c r="D4153" s="6">
        <v>2.75</v>
      </c>
      <c r="E4153" s="6">
        <v>2.4</v>
      </c>
      <c r="F4153" t="str">
        <f t="shared" si="1752"/>
        <v>WED</v>
      </c>
      <c r="G4153" s="1">
        <f t="shared" si="1753"/>
        <v>44083</v>
      </c>
      <c r="H4153" s="2">
        <f t="shared" ca="1" si="1754"/>
        <v>170</v>
      </c>
      <c r="I4153" t="str">
        <f t="shared" si="1755"/>
        <v>NATGAS</v>
      </c>
      <c r="J4153">
        <f t="shared" si="1756"/>
        <v>2.35</v>
      </c>
      <c r="K4153">
        <f t="shared" si="1757"/>
        <v>2.75</v>
      </c>
      <c r="L4153">
        <f t="shared" si="1758"/>
        <v>2.5499999999999998</v>
      </c>
      <c r="M4153">
        <f t="shared" si="1759"/>
        <v>0.19999999999999996</v>
      </c>
      <c r="N4153">
        <f t="shared" si="1737"/>
        <v>0.39999999999999991</v>
      </c>
      <c r="O4153">
        <f t="shared" si="1760"/>
        <v>2.4</v>
      </c>
      <c r="P4153">
        <f t="shared" si="1761"/>
        <v>-0.74999999999999967</v>
      </c>
      <c r="Q4153" t="str">
        <f t="shared" si="1738"/>
        <v>2.08% | 14.58%</v>
      </c>
      <c r="R4153" t="str">
        <f t="shared" si="1762"/>
        <v>BULLISH</v>
      </c>
      <c r="S4153">
        <f t="shared" si="1739"/>
        <v>1</v>
      </c>
    </row>
    <row r="4154" spans="1:19" hidden="1" x14ac:dyDescent="0.25">
      <c r="A4154" s="5" t="str">
        <f t="shared" si="1740"/>
        <v>44083GOLD</v>
      </c>
      <c r="B4154" s="6" t="s">
        <v>181</v>
      </c>
      <c r="C4154" s="6">
        <v>1915</v>
      </c>
      <c r="D4154" s="6">
        <v>1991</v>
      </c>
      <c r="E4154" s="6">
        <v>1943</v>
      </c>
      <c r="F4154" t="str">
        <f t="shared" si="1752"/>
        <v>WED</v>
      </c>
      <c r="G4154" s="1">
        <f t="shared" si="1753"/>
        <v>44083</v>
      </c>
      <c r="H4154" s="2">
        <f t="shared" ca="1" si="1754"/>
        <v>170</v>
      </c>
      <c r="I4154" t="str">
        <f t="shared" si="1755"/>
        <v>GOLD</v>
      </c>
      <c r="J4154">
        <f t="shared" si="1756"/>
        <v>1915</v>
      </c>
      <c r="K4154">
        <f t="shared" si="1757"/>
        <v>1991</v>
      </c>
      <c r="L4154">
        <f t="shared" si="1758"/>
        <v>1953</v>
      </c>
      <c r="M4154">
        <f t="shared" si="1759"/>
        <v>38</v>
      </c>
      <c r="N4154">
        <f t="shared" si="1737"/>
        <v>76</v>
      </c>
      <c r="O4154">
        <f t="shared" si="1760"/>
        <v>1943</v>
      </c>
      <c r="P4154">
        <f t="shared" si="1761"/>
        <v>-0.26315789473684209</v>
      </c>
      <c r="Q4154" t="str">
        <f t="shared" si="1738"/>
        <v>1.44% | 2.47%</v>
      </c>
      <c r="R4154" t="str">
        <f t="shared" si="1762"/>
        <v>BULLISH</v>
      </c>
      <c r="S4154">
        <f t="shared" si="1739"/>
        <v>1</v>
      </c>
    </row>
    <row r="4155" spans="1:19" hidden="1" x14ac:dyDescent="0.25">
      <c r="A4155" s="5" t="str">
        <f t="shared" si="1740"/>
        <v>44083SILVER</v>
      </c>
      <c r="B4155" s="6" t="s">
        <v>199</v>
      </c>
      <c r="C4155" s="6">
        <v>25.05</v>
      </c>
      <c r="D4155" s="6">
        <v>28.95</v>
      </c>
      <c r="E4155" s="6">
        <v>26.99</v>
      </c>
      <c r="F4155" t="str">
        <f t="shared" si="1752"/>
        <v>WED</v>
      </c>
      <c r="G4155" s="1">
        <f t="shared" si="1753"/>
        <v>44083</v>
      </c>
      <c r="H4155" s="2">
        <f t="shared" ca="1" si="1754"/>
        <v>170</v>
      </c>
      <c r="I4155" t="str">
        <f t="shared" si="1755"/>
        <v>SILVER</v>
      </c>
      <c r="J4155">
        <f t="shared" si="1756"/>
        <v>25.05</v>
      </c>
      <c r="K4155">
        <f t="shared" si="1757"/>
        <v>28.95</v>
      </c>
      <c r="L4155">
        <f t="shared" si="1758"/>
        <v>27</v>
      </c>
      <c r="M4155">
        <f t="shared" si="1759"/>
        <v>1.9499999999999993</v>
      </c>
      <c r="N4155">
        <f t="shared" si="1737"/>
        <v>3.8999999999999986</v>
      </c>
      <c r="O4155">
        <f t="shared" si="1760"/>
        <v>26.99</v>
      </c>
      <c r="P4155">
        <f t="shared" si="1761"/>
        <v>-5.1282051282059314E-3</v>
      </c>
      <c r="Q4155" t="str">
        <f t="shared" si="1738"/>
        <v>7.19% | 7.26%</v>
      </c>
      <c r="R4155" t="str">
        <f t="shared" si="1762"/>
        <v>BULLISH</v>
      </c>
      <c r="S4155">
        <f t="shared" si="1739"/>
        <v>1</v>
      </c>
    </row>
    <row r="4156" spans="1:19" hidden="1" x14ac:dyDescent="0.25">
      <c r="A4156" s="5" t="str">
        <f t="shared" si="1740"/>
        <v>44083COPPER</v>
      </c>
      <c r="B4156" s="6" t="s">
        <v>182</v>
      </c>
      <c r="C4156" s="6">
        <v>2.93</v>
      </c>
      <c r="D4156" s="6">
        <v>3.08</v>
      </c>
      <c r="E4156" s="6">
        <v>3.03</v>
      </c>
      <c r="F4156" t="str">
        <f t="shared" si="1752"/>
        <v>WED</v>
      </c>
      <c r="G4156" s="1">
        <f t="shared" si="1753"/>
        <v>44083</v>
      </c>
      <c r="H4156" s="2">
        <f t="shared" ca="1" si="1754"/>
        <v>170</v>
      </c>
      <c r="I4156" t="str">
        <f t="shared" si="1755"/>
        <v>COPPER</v>
      </c>
      <c r="J4156">
        <f t="shared" si="1756"/>
        <v>2.93</v>
      </c>
      <c r="K4156">
        <f t="shared" si="1757"/>
        <v>3.08</v>
      </c>
      <c r="L4156">
        <f t="shared" si="1758"/>
        <v>3.0049999999999999</v>
      </c>
      <c r="M4156">
        <f t="shared" si="1759"/>
        <v>7.4999999999999956E-2</v>
      </c>
      <c r="N4156">
        <f t="shared" si="1737"/>
        <v>0.14999999999999991</v>
      </c>
      <c r="O4156">
        <f t="shared" si="1760"/>
        <v>3.03</v>
      </c>
      <c r="P4156">
        <f t="shared" si="1761"/>
        <v>0.33333333333333237</v>
      </c>
      <c r="Q4156" t="str">
        <f t="shared" si="1738"/>
        <v>3.3% | 1.65%</v>
      </c>
      <c r="R4156" t="str">
        <f t="shared" si="1762"/>
        <v>BULLISH</v>
      </c>
      <c r="S4156">
        <f t="shared" si="1739"/>
        <v>1</v>
      </c>
    </row>
    <row r="4157" spans="1:19" hidden="1" x14ac:dyDescent="0.25">
      <c r="A4157" s="5" t="str">
        <f t="shared" si="1740"/>
        <v>44083MSFT</v>
      </c>
      <c r="B4157" s="6" t="s">
        <v>206</v>
      </c>
      <c r="C4157" s="6">
        <v>198</v>
      </c>
      <c r="D4157" s="6">
        <v>221</v>
      </c>
      <c r="E4157" s="6">
        <v>202</v>
      </c>
      <c r="F4157" t="str">
        <f t="shared" si="1752"/>
        <v>WED</v>
      </c>
      <c r="G4157" s="1">
        <f t="shared" si="1753"/>
        <v>44083</v>
      </c>
      <c r="H4157" s="2">
        <f t="shared" ca="1" si="1754"/>
        <v>170</v>
      </c>
      <c r="I4157" t="str">
        <f t="shared" si="1755"/>
        <v>MSFT</v>
      </c>
      <c r="J4157">
        <f t="shared" si="1756"/>
        <v>198</v>
      </c>
      <c r="K4157">
        <f t="shared" si="1757"/>
        <v>221</v>
      </c>
      <c r="L4157">
        <f t="shared" si="1758"/>
        <v>209.5</v>
      </c>
      <c r="M4157">
        <f t="shared" si="1759"/>
        <v>11.5</v>
      </c>
      <c r="N4157">
        <f t="shared" si="1737"/>
        <v>23</v>
      </c>
      <c r="O4157">
        <f t="shared" si="1760"/>
        <v>202</v>
      </c>
      <c r="P4157">
        <f t="shared" si="1761"/>
        <v>-0.65217391304347827</v>
      </c>
      <c r="Q4157" t="str">
        <f t="shared" si="1738"/>
        <v>1.98% | 9.41%</v>
      </c>
      <c r="R4157" t="str">
        <f t="shared" si="1762"/>
        <v>NEUTRAL</v>
      </c>
      <c r="S4157">
        <f t="shared" si="1739"/>
        <v>0</v>
      </c>
    </row>
    <row r="4158" spans="1:19" hidden="1" x14ac:dyDescent="0.25">
      <c r="A4158" s="5" t="str">
        <f t="shared" si="1740"/>
        <v>44083AAPL</v>
      </c>
      <c r="B4158" s="6" t="s">
        <v>207</v>
      </c>
      <c r="C4158" s="6">
        <v>110</v>
      </c>
      <c r="D4158" s="6">
        <v>125</v>
      </c>
      <c r="E4158" s="6">
        <v>112</v>
      </c>
      <c r="F4158" t="str">
        <f t="shared" si="1752"/>
        <v>WED</v>
      </c>
      <c r="G4158" s="1">
        <f t="shared" si="1753"/>
        <v>44083</v>
      </c>
      <c r="H4158" s="2">
        <f t="shared" ca="1" si="1754"/>
        <v>170</v>
      </c>
      <c r="I4158" t="str">
        <f t="shared" si="1755"/>
        <v>AAPL</v>
      </c>
      <c r="J4158">
        <f t="shared" si="1756"/>
        <v>110</v>
      </c>
      <c r="K4158">
        <f t="shared" si="1757"/>
        <v>125</v>
      </c>
      <c r="L4158">
        <f t="shared" si="1758"/>
        <v>117.5</v>
      </c>
      <c r="M4158">
        <f t="shared" si="1759"/>
        <v>7.5</v>
      </c>
      <c r="N4158">
        <f t="shared" si="1737"/>
        <v>15</v>
      </c>
      <c r="O4158">
        <f t="shared" si="1760"/>
        <v>112</v>
      </c>
      <c r="P4158">
        <f t="shared" si="1761"/>
        <v>-0.73333333333333328</v>
      </c>
      <c r="Q4158" t="str">
        <f t="shared" si="1738"/>
        <v>1.79% | 11.61%</v>
      </c>
      <c r="R4158" t="str">
        <f t="shared" si="1762"/>
        <v>NEUTRAL</v>
      </c>
      <c r="S4158">
        <f t="shared" si="1739"/>
        <v>0</v>
      </c>
    </row>
    <row r="4159" spans="1:19" hidden="1" x14ac:dyDescent="0.25">
      <c r="A4159" s="5" t="str">
        <f t="shared" si="1740"/>
        <v>44083AMZN</v>
      </c>
      <c r="B4159" s="6" t="s">
        <v>185</v>
      </c>
      <c r="C4159" s="6">
        <v>3089</v>
      </c>
      <c r="D4159" s="6">
        <v>3542</v>
      </c>
      <c r="E4159" s="6">
        <v>3149</v>
      </c>
      <c r="F4159" t="str">
        <f t="shared" si="1752"/>
        <v>WED</v>
      </c>
      <c r="G4159" s="1">
        <f t="shared" si="1753"/>
        <v>44083</v>
      </c>
      <c r="H4159" s="2">
        <f t="shared" ca="1" si="1754"/>
        <v>170</v>
      </c>
      <c r="I4159" t="str">
        <f t="shared" si="1755"/>
        <v>AMZN</v>
      </c>
      <c r="J4159">
        <f t="shared" si="1756"/>
        <v>3089</v>
      </c>
      <c r="K4159">
        <f t="shared" si="1757"/>
        <v>3542</v>
      </c>
      <c r="L4159">
        <f t="shared" si="1758"/>
        <v>3315.5</v>
      </c>
      <c r="M4159">
        <f t="shared" si="1759"/>
        <v>226.5</v>
      </c>
      <c r="N4159">
        <f t="shared" si="1737"/>
        <v>453</v>
      </c>
      <c r="O4159">
        <f t="shared" si="1760"/>
        <v>3149</v>
      </c>
      <c r="P4159">
        <f t="shared" si="1761"/>
        <v>-0.73509933774834435</v>
      </c>
      <c r="Q4159" t="str">
        <f t="shared" si="1738"/>
        <v>1.91% | 12.48%</v>
      </c>
      <c r="R4159" t="str">
        <f t="shared" si="1762"/>
        <v>BULLISH</v>
      </c>
      <c r="S4159">
        <f t="shared" si="1739"/>
        <v>1</v>
      </c>
    </row>
    <row r="4160" spans="1:19" hidden="1" x14ac:dyDescent="0.25">
      <c r="A4160" s="5" t="str">
        <f t="shared" si="1740"/>
        <v>44083FB</v>
      </c>
      <c r="B4160" s="6" t="s">
        <v>186</v>
      </c>
      <c r="C4160" s="6">
        <v>265</v>
      </c>
      <c r="D4160" s="6">
        <v>308</v>
      </c>
      <c r="E4160" s="6">
        <v>271</v>
      </c>
      <c r="F4160" t="str">
        <f t="shared" si="1752"/>
        <v>WED</v>
      </c>
      <c r="G4160" s="1">
        <f t="shared" si="1753"/>
        <v>44083</v>
      </c>
      <c r="H4160" s="2">
        <f t="shared" ca="1" si="1754"/>
        <v>170</v>
      </c>
      <c r="I4160" t="str">
        <f t="shared" si="1755"/>
        <v>FB</v>
      </c>
      <c r="J4160">
        <f t="shared" si="1756"/>
        <v>265</v>
      </c>
      <c r="K4160">
        <f t="shared" si="1757"/>
        <v>308</v>
      </c>
      <c r="L4160">
        <f t="shared" si="1758"/>
        <v>286.5</v>
      </c>
      <c r="M4160">
        <f t="shared" si="1759"/>
        <v>21.5</v>
      </c>
      <c r="N4160">
        <f t="shared" si="1737"/>
        <v>43</v>
      </c>
      <c r="O4160">
        <f t="shared" si="1760"/>
        <v>271</v>
      </c>
      <c r="P4160">
        <f t="shared" si="1761"/>
        <v>-0.72093023255813948</v>
      </c>
      <c r="Q4160" t="str">
        <f t="shared" si="1738"/>
        <v>2.21% | 13.65%</v>
      </c>
      <c r="R4160" t="str">
        <f t="shared" si="1762"/>
        <v>BULLISH</v>
      </c>
      <c r="S4160">
        <f t="shared" si="1739"/>
        <v>1</v>
      </c>
    </row>
    <row r="4161" spans="1:19" hidden="1" x14ac:dyDescent="0.25">
      <c r="A4161" s="5" t="str">
        <f t="shared" si="1740"/>
        <v>44083GOOGL</v>
      </c>
      <c r="B4161" s="6" t="s">
        <v>208</v>
      </c>
      <c r="C4161" s="6">
        <v>1495</v>
      </c>
      <c r="D4161" s="6">
        <v>1628</v>
      </c>
      <c r="E4161" s="6">
        <v>1523</v>
      </c>
      <c r="F4161" t="str">
        <f t="shared" si="1752"/>
        <v>WED</v>
      </c>
      <c r="G4161" s="1">
        <f t="shared" si="1753"/>
        <v>44083</v>
      </c>
      <c r="H4161" s="2">
        <f t="shared" ca="1" si="1754"/>
        <v>170</v>
      </c>
      <c r="I4161" t="str">
        <f t="shared" si="1755"/>
        <v>GOOGL</v>
      </c>
      <c r="J4161">
        <f t="shared" si="1756"/>
        <v>1495</v>
      </c>
      <c r="K4161">
        <f t="shared" si="1757"/>
        <v>1628</v>
      </c>
      <c r="L4161">
        <f t="shared" si="1758"/>
        <v>1561.5</v>
      </c>
      <c r="M4161">
        <f t="shared" si="1759"/>
        <v>66.5</v>
      </c>
      <c r="N4161">
        <f t="shared" si="1737"/>
        <v>133</v>
      </c>
      <c r="O4161">
        <f t="shared" si="1760"/>
        <v>1523</v>
      </c>
      <c r="P4161">
        <f t="shared" si="1761"/>
        <v>-0.57894736842105265</v>
      </c>
      <c r="Q4161" t="str">
        <f t="shared" si="1738"/>
        <v>1.84% | 6.89%</v>
      </c>
      <c r="R4161" t="str">
        <f t="shared" si="1762"/>
        <v>NEUTRAL</v>
      </c>
      <c r="S4161">
        <f t="shared" si="1739"/>
        <v>0</v>
      </c>
    </row>
    <row r="4162" spans="1:19" hidden="1" x14ac:dyDescent="0.25">
      <c r="A4162" s="5" t="str">
        <f t="shared" si="1740"/>
        <v>44083NFLX</v>
      </c>
      <c r="B4162" s="6" t="s">
        <v>194</v>
      </c>
      <c r="C4162" s="6">
        <v>482</v>
      </c>
      <c r="D4162" s="6">
        <v>565</v>
      </c>
      <c r="E4162" s="6">
        <v>507</v>
      </c>
      <c r="F4162" t="str">
        <f t="shared" si="1752"/>
        <v>WED</v>
      </c>
      <c r="G4162" s="1">
        <f t="shared" si="1753"/>
        <v>44083</v>
      </c>
      <c r="H4162" s="2">
        <f t="shared" ca="1" si="1754"/>
        <v>170</v>
      </c>
      <c r="I4162" t="str">
        <f t="shared" si="1755"/>
        <v>NFLX</v>
      </c>
      <c r="J4162">
        <f t="shared" si="1756"/>
        <v>482</v>
      </c>
      <c r="K4162">
        <f t="shared" si="1757"/>
        <v>565</v>
      </c>
      <c r="L4162">
        <f t="shared" si="1758"/>
        <v>523.5</v>
      </c>
      <c r="M4162">
        <f t="shared" si="1759"/>
        <v>41.5</v>
      </c>
      <c r="N4162">
        <f t="shared" si="1737"/>
        <v>83</v>
      </c>
      <c r="O4162">
        <f t="shared" si="1760"/>
        <v>507</v>
      </c>
      <c r="P4162">
        <f t="shared" si="1761"/>
        <v>-0.39759036144578314</v>
      </c>
      <c r="Q4162" t="str">
        <f t="shared" si="1738"/>
        <v>4.93% | 11.44%</v>
      </c>
      <c r="R4162" t="str">
        <f t="shared" si="1762"/>
        <v>BULLISH</v>
      </c>
      <c r="S4162">
        <f t="shared" si="1739"/>
        <v>1</v>
      </c>
    </row>
    <row r="4163" spans="1:19" x14ac:dyDescent="0.25">
      <c r="A4163" s="5" t="str">
        <f t="shared" si="1740"/>
        <v>44083TSLA</v>
      </c>
      <c r="B4163" s="6" t="s">
        <v>209</v>
      </c>
      <c r="C4163" s="6">
        <v>305</v>
      </c>
      <c r="D4163" s="6">
        <v>430</v>
      </c>
      <c r="E4163" s="6">
        <v>330</v>
      </c>
      <c r="F4163" t="str">
        <f t="shared" si="1752"/>
        <v>WED</v>
      </c>
      <c r="G4163" s="1">
        <f t="shared" si="1753"/>
        <v>44083</v>
      </c>
      <c r="H4163" s="2">
        <f t="shared" ca="1" si="1754"/>
        <v>170</v>
      </c>
      <c r="I4163" t="str">
        <f t="shared" si="1755"/>
        <v>TSLA</v>
      </c>
      <c r="J4163">
        <f t="shared" si="1756"/>
        <v>305</v>
      </c>
      <c r="K4163">
        <f t="shared" si="1757"/>
        <v>430</v>
      </c>
      <c r="L4163">
        <f t="shared" si="1758"/>
        <v>367.5</v>
      </c>
      <c r="M4163">
        <f t="shared" si="1759"/>
        <v>62.5</v>
      </c>
      <c r="N4163">
        <f t="shared" ref="N4163:N4226" si="1763">ABS(K4163-J4163)</f>
        <v>125</v>
      </c>
      <c r="O4163">
        <f t="shared" si="1760"/>
        <v>330</v>
      </c>
      <c r="P4163">
        <f t="shared" si="1761"/>
        <v>-0.6</v>
      </c>
      <c r="Q4163" t="str">
        <f t="shared" ref="Q4163:Q4226" si="1764">ROUND(ABS(100*(O4163-J4163)/O4163),2)&amp;"% | "&amp;ROUND(ABS(100*(K4163-O4163)/O4163),2)&amp;"%"</f>
        <v>7.58% | 30.3%</v>
      </c>
      <c r="R4163" t="str">
        <f t="shared" si="1762"/>
        <v>NEUTRAL</v>
      </c>
      <c r="S4163">
        <f t="shared" ref="S4163:S4226" si="1765">IF(R4163="BEARISH",-1,IF(R4163="NEUTRAL",0,IF(R4163="BULLISH",1,99)))</f>
        <v>0</v>
      </c>
    </row>
    <row r="4164" spans="1:19" hidden="1" x14ac:dyDescent="0.25">
      <c r="A4164" s="5" t="str">
        <f t="shared" si="1740"/>
        <v>44083NYXBT</v>
      </c>
      <c r="B4164" s="6" t="s">
        <v>210</v>
      </c>
      <c r="C4164" s="6">
        <v>9910</v>
      </c>
      <c r="D4164" s="6">
        <v>11157</v>
      </c>
      <c r="E4164" s="6">
        <v>10108</v>
      </c>
      <c r="F4164" t="str">
        <f t="shared" si="1752"/>
        <v>WED</v>
      </c>
      <c r="G4164" s="1">
        <f t="shared" si="1753"/>
        <v>44083</v>
      </c>
      <c r="H4164" s="2">
        <f t="shared" ca="1" si="1754"/>
        <v>170</v>
      </c>
      <c r="I4164" t="str">
        <f t="shared" si="1755"/>
        <v>NYXBT</v>
      </c>
      <c r="J4164">
        <f t="shared" si="1756"/>
        <v>9910</v>
      </c>
      <c r="K4164">
        <f t="shared" si="1757"/>
        <v>11157</v>
      </c>
      <c r="L4164">
        <f t="shared" si="1758"/>
        <v>10533.5</v>
      </c>
      <c r="M4164">
        <f t="shared" si="1759"/>
        <v>623.5</v>
      </c>
      <c r="N4164">
        <f t="shared" si="1763"/>
        <v>1247</v>
      </c>
      <c r="O4164">
        <f t="shared" si="1760"/>
        <v>10108</v>
      </c>
      <c r="P4164">
        <f t="shared" si="1761"/>
        <v>-0.6824378508420208</v>
      </c>
      <c r="Q4164" t="str">
        <f t="shared" si="1764"/>
        <v>1.96% | 10.38%</v>
      </c>
      <c r="R4164" t="str">
        <f t="shared" si="1762"/>
        <v>NEUTRAL</v>
      </c>
      <c r="S4164">
        <f t="shared" si="1765"/>
        <v>0</v>
      </c>
    </row>
    <row r="4165" spans="1:19" hidden="1" x14ac:dyDescent="0.25">
      <c r="A4165" s="5" t="str">
        <f t="shared" si="1740"/>
        <v>44084UST10Y</v>
      </c>
      <c r="B4165" s="6" t="s">
        <v>161</v>
      </c>
      <c r="C4165" s="6">
        <v>0.74</v>
      </c>
      <c r="D4165" s="6">
        <v>0.6</v>
      </c>
      <c r="E4165" s="6">
        <v>0.71</v>
      </c>
      <c r="F4165" t="str">
        <f t="shared" si="1752"/>
        <v>THU</v>
      </c>
      <c r="G4165" s="3">
        <f>DATE(2020,9,10)</f>
        <v>44084</v>
      </c>
      <c r="H4165" s="2">
        <f t="shared" ca="1" si="1754"/>
        <v>169</v>
      </c>
      <c r="I4165" t="str">
        <f t="shared" si="1755"/>
        <v>UST10Y</v>
      </c>
      <c r="J4165">
        <f t="shared" si="1756"/>
        <v>0.74</v>
      </c>
      <c r="K4165">
        <f t="shared" si="1757"/>
        <v>0.6</v>
      </c>
      <c r="L4165">
        <f t="shared" si="1758"/>
        <v>0.66999999999999993</v>
      </c>
      <c r="M4165">
        <f t="shared" si="1759"/>
        <v>7.0000000000000506E-2</v>
      </c>
      <c r="N4165">
        <f t="shared" si="1763"/>
        <v>0.14000000000000001</v>
      </c>
      <c r="O4165">
        <f t="shared" si="1760"/>
        <v>0.71</v>
      </c>
      <c r="P4165">
        <f t="shared" si="1761"/>
        <v>0.57142857142856784</v>
      </c>
      <c r="Q4165" t="str">
        <f t="shared" si="1764"/>
        <v>4.23% | 15.49%</v>
      </c>
      <c r="R4165" t="str">
        <f t="shared" si="1762"/>
        <v>BEARISH</v>
      </c>
      <c r="S4165">
        <f t="shared" si="1765"/>
        <v>-1</v>
      </c>
    </row>
    <row r="4166" spans="1:19" hidden="1" x14ac:dyDescent="0.25">
      <c r="A4166" s="5" t="str">
        <f t="shared" ref="A4166:A4229" si="1766">G4166&amp;I4166</f>
        <v>44084UST2Y</v>
      </c>
      <c r="B4166" s="6" t="s">
        <v>162</v>
      </c>
      <c r="C4166" s="6">
        <v>0.16</v>
      </c>
      <c r="D4166" s="6">
        <v>0.12</v>
      </c>
      <c r="E4166" s="6">
        <v>0.14000000000000001</v>
      </c>
      <c r="F4166" t="str">
        <f t="shared" ref="F4166:F4196" si="1767">UPPER(TEXT(G4166,"ddd"))</f>
        <v>THU</v>
      </c>
      <c r="G4166" s="3">
        <f t="shared" ref="G4166:G4195" si="1768">DATE(2020,9,10)</f>
        <v>44084</v>
      </c>
      <c r="H4166" s="2">
        <f t="shared" ref="H4166:H4196" ca="1" si="1769">TODAY()-G4166</f>
        <v>169</v>
      </c>
      <c r="I4166" t="str">
        <f t="shared" ref="I4166:I4196" si="1770">TRIM(LEFT(B4166,FIND(" ",B4166,1)))</f>
        <v>UST2Y</v>
      </c>
      <c r="J4166">
        <f t="shared" ref="J4166:J4196" si="1771">C4166</f>
        <v>0.16</v>
      </c>
      <c r="K4166">
        <f t="shared" ref="K4166:K4196" si="1772">D4166</f>
        <v>0.12</v>
      </c>
      <c r="L4166">
        <f t="shared" ref="L4166:L4196" si="1773">AVERAGE(J4166:K4166)</f>
        <v>0.14000000000000001</v>
      </c>
      <c r="M4166">
        <f t="shared" ref="M4166:M4196" si="1774">_xlfn.STDEV.P(J4166:K4166)</f>
        <v>1.9999999999999938E-2</v>
      </c>
      <c r="N4166">
        <f t="shared" si="1763"/>
        <v>4.0000000000000008E-2</v>
      </c>
      <c r="O4166">
        <f t="shared" ref="O4166:O4196" si="1775">E4166</f>
        <v>0.14000000000000001</v>
      </c>
      <c r="P4166">
        <f t="shared" ref="P4166:P4196" si="1776">(O4166-L4166)/M4166</f>
        <v>0</v>
      </c>
      <c r="Q4166" t="str">
        <f t="shared" si="1764"/>
        <v>14.29% | 14.29%</v>
      </c>
      <c r="R4166" t="str">
        <f t="shared" ref="R4166:R4196" si="1777">MID(B4166,FIND("(",B4166,1)+1,FIND(")",B4166,1)-FIND("(",B4166,1)-1)</f>
        <v>BEARISH</v>
      </c>
      <c r="S4166">
        <f t="shared" si="1765"/>
        <v>-1</v>
      </c>
    </row>
    <row r="4167" spans="1:19" hidden="1" x14ac:dyDescent="0.25">
      <c r="A4167" s="5" t="str">
        <f t="shared" si="1766"/>
        <v>44084SPX</v>
      </c>
      <c r="B4167" s="6" t="s">
        <v>211</v>
      </c>
      <c r="C4167" s="6">
        <v>3317</v>
      </c>
      <c r="D4167" s="6">
        <v>3467</v>
      </c>
      <c r="E4167" s="6">
        <v>3398</v>
      </c>
      <c r="F4167" t="str">
        <f t="shared" si="1767"/>
        <v>THU</v>
      </c>
      <c r="G4167" s="3">
        <f t="shared" si="1768"/>
        <v>44084</v>
      </c>
      <c r="H4167" s="2">
        <f t="shared" ca="1" si="1769"/>
        <v>169</v>
      </c>
      <c r="I4167" t="str">
        <f t="shared" si="1770"/>
        <v>SPX</v>
      </c>
      <c r="J4167">
        <f t="shared" si="1771"/>
        <v>3317</v>
      </c>
      <c r="K4167">
        <f t="shared" si="1772"/>
        <v>3467</v>
      </c>
      <c r="L4167">
        <f t="shared" si="1773"/>
        <v>3392</v>
      </c>
      <c r="M4167">
        <f t="shared" si="1774"/>
        <v>75</v>
      </c>
      <c r="N4167">
        <f t="shared" si="1763"/>
        <v>150</v>
      </c>
      <c r="O4167">
        <f t="shared" si="1775"/>
        <v>3398</v>
      </c>
      <c r="P4167">
        <f t="shared" si="1776"/>
        <v>0.08</v>
      </c>
      <c r="Q4167" t="str">
        <f t="shared" si="1764"/>
        <v>2.38% | 2.03%</v>
      </c>
      <c r="R4167" t="str">
        <f t="shared" si="1777"/>
        <v>BEARISH</v>
      </c>
      <c r="S4167">
        <f t="shared" si="1765"/>
        <v>-1</v>
      </c>
    </row>
    <row r="4168" spans="1:19" hidden="1" x14ac:dyDescent="0.25">
      <c r="A4168" s="5" t="str">
        <f t="shared" si="1766"/>
        <v>44084RUT</v>
      </c>
      <c r="B4168" s="6" t="s">
        <v>164</v>
      </c>
      <c r="C4168" s="6">
        <v>1493</v>
      </c>
      <c r="D4168" s="6">
        <v>1551</v>
      </c>
      <c r="E4168" s="6">
        <v>1526</v>
      </c>
      <c r="F4168" t="str">
        <f t="shared" si="1767"/>
        <v>THU</v>
      </c>
      <c r="G4168" s="3">
        <f t="shared" si="1768"/>
        <v>44084</v>
      </c>
      <c r="H4168" s="2">
        <f t="shared" ca="1" si="1769"/>
        <v>169</v>
      </c>
      <c r="I4168" t="str">
        <f t="shared" si="1770"/>
        <v>RUT</v>
      </c>
      <c r="J4168">
        <f t="shared" si="1771"/>
        <v>1493</v>
      </c>
      <c r="K4168">
        <f t="shared" si="1772"/>
        <v>1551</v>
      </c>
      <c r="L4168">
        <f t="shared" si="1773"/>
        <v>1522</v>
      </c>
      <c r="M4168">
        <f t="shared" si="1774"/>
        <v>29</v>
      </c>
      <c r="N4168">
        <f t="shared" si="1763"/>
        <v>58</v>
      </c>
      <c r="O4168">
        <f t="shared" si="1775"/>
        <v>1526</v>
      </c>
      <c r="P4168">
        <f t="shared" si="1776"/>
        <v>0.13793103448275862</v>
      </c>
      <c r="Q4168" t="str">
        <f t="shared" si="1764"/>
        <v>2.16% | 1.64%</v>
      </c>
      <c r="R4168" t="str">
        <f t="shared" si="1777"/>
        <v>BEARISH</v>
      </c>
      <c r="S4168">
        <f t="shared" si="1765"/>
        <v>-1</v>
      </c>
    </row>
    <row r="4169" spans="1:19" hidden="1" x14ac:dyDescent="0.25">
      <c r="A4169" s="5" t="str">
        <f t="shared" si="1766"/>
        <v>44084COMPQ</v>
      </c>
      <c r="B4169" s="6" t="s">
        <v>212</v>
      </c>
      <c r="C4169" s="6">
        <v>10706</v>
      </c>
      <c r="D4169" s="6">
        <v>11539</v>
      </c>
      <c r="E4169" s="6">
        <v>11141</v>
      </c>
      <c r="F4169" t="str">
        <f t="shared" si="1767"/>
        <v>THU</v>
      </c>
      <c r="G4169" s="3">
        <f t="shared" si="1768"/>
        <v>44084</v>
      </c>
      <c r="H4169" s="2">
        <f t="shared" ca="1" si="1769"/>
        <v>169</v>
      </c>
      <c r="I4169" t="str">
        <f t="shared" si="1770"/>
        <v>COMPQ</v>
      </c>
      <c r="J4169">
        <f t="shared" si="1771"/>
        <v>10706</v>
      </c>
      <c r="K4169">
        <f t="shared" si="1772"/>
        <v>11539</v>
      </c>
      <c r="L4169">
        <f t="shared" si="1773"/>
        <v>11122.5</v>
      </c>
      <c r="M4169">
        <f t="shared" si="1774"/>
        <v>416.5</v>
      </c>
      <c r="N4169">
        <f t="shared" si="1763"/>
        <v>833</v>
      </c>
      <c r="O4169">
        <f t="shared" si="1775"/>
        <v>11141</v>
      </c>
      <c r="P4169">
        <f t="shared" si="1776"/>
        <v>4.441776710684274E-2</v>
      </c>
      <c r="Q4169" t="str">
        <f t="shared" si="1764"/>
        <v>3.9% | 3.57%</v>
      </c>
      <c r="R4169" t="str">
        <f t="shared" si="1777"/>
        <v>NEUTRAL</v>
      </c>
      <c r="S4169">
        <f t="shared" si="1765"/>
        <v>0</v>
      </c>
    </row>
    <row r="4170" spans="1:19" hidden="1" x14ac:dyDescent="0.25">
      <c r="A4170" s="5" t="str">
        <f t="shared" si="1766"/>
        <v>44084XLK</v>
      </c>
      <c r="B4170" s="6" t="s">
        <v>203</v>
      </c>
      <c r="C4170" s="6">
        <v>111.08</v>
      </c>
      <c r="D4170" s="6">
        <v>120.98</v>
      </c>
      <c r="E4170" s="6">
        <v>116.46</v>
      </c>
      <c r="F4170" t="str">
        <f t="shared" si="1767"/>
        <v>THU</v>
      </c>
      <c r="G4170" s="3">
        <f t="shared" si="1768"/>
        <v>44084</v>
      </c>
      <c r="H4170" s="2">
        <f t="shared" ca="1" si="1769"/>
        <v>169</v>
      </c>
      <c r="I4170" t="str">
        <f t="shared" si="1770"/>
        <v>XLK</v>
      </c>
      <c r="J4170">
        <f t="shared" si="1771"/>
        <v>111.08</v>
      </c>
      <c r="K4170">
        <f t="shared" si="1772"/>
        <v>120.98</v>
      </c>
      <c r="L4170">
        <f t="shared" si="1773"/>
        <v>116.03</v>
      </c>
      <c r="M4170">
        <f t="shared" si="1774"/>
        <v>4.9500000000000028</v>
      </c>
      <c r="N4170">
        <f t="shared" si="1763"/>
        <v>9.9000000000000057</v>
      </c>
      <c r="O4170">
        <f t="shared" si="1775"/>
        <v>116.46</v>
      </c>
      <c r="P4170">
        <f t="shared" si="1776"/>
        <v>8.6868686868685333E-2</v>
      </c>
      <c r="Q4170" t="str">
        <f t="shared" si="1764"/>
        <v>4.62% | 3.88%</v>
      </c>
      <c r="R4170" t="str">
        <f t="shared" si="1777"/>
        <v>NEUTRAL</v>
      </c>
      <c r="S4170">
        <f t="shared" si="1765"/>
        <v>0</v>
      </c>
    </row>
    <row r="4171" spans="1:19" hidden="1" x14ac:dyDescent="0.25">
      <c r="A4171" s="5" t="str">
        <f t="shared" si="1766"/>
        <v>44084XLRE</v>
      </c>
      <c r="B4171" s="6" t="s">
        <v>167</v>
      </c>
      <c r="C4171" s="6">
        <v>35.61</v>
      </c>
      <c r="D4171" s="6">
        <v>36.99</v>
      </c>
      <c r="E4171" s="6">
        <v>36.18</v>
      </c>
      <c r="F4171" t="str">
        <f t="shared" si="1767"/>
        <v>THU</v>
      </c>
      <c r="G4171" s="3">
        <f t="shared" si="1768"/>
        <v>44084</v>
      </c>
      <c r="H4171" s="2">
        <f t="shared" ca="1" si="1769"/>
        <v>169</v>
      </c>
      <c r="I4171" t="str">
        <f t="shared" si="1770"/>
        <v>XLRE</v>
      </c>
      <c r="J4171">
        <f t="shared" si="1771"/>
        <v>35.61</v>
      </c>
      <c r="K4171">
        <f t="shared" si="1772"/>
        <v>36.99</v>
      </c>
      <c r="L4171">
        <f t="shared" si="1773"/>
        <v>36.299999999999997</v>
      </c>
      <c r="M4171">
        <f t="shared" si="1774"/>
        <v>0.69000000000000128</v>
      </c>
      <c r="N4171">
        <f t="shared" si="1763"/>
        <v>1.3800000000000026</v>
      </c>
      <c r="O4171">
        <f t="shared" si="1775"/>
        <v>36.18</v>
      </c>
      <c r="P4171">
        <f t="shared" si="1776"/>
        <v>-0.17391304347825684</v>
      </c>
      <c r="Q4171" t="str">
        <f t="shared" si="1764"/>
        <v>1.58% | 2.24%</v>
      </c>
      <c r="R4171" t="str">
        <f t="shared" si="1777"/>
        <v>BULLISH</v>
      </c>
      <c r="S4171">
        <f t="shared" si="1765"/>
        <v>1</v>
      </c>
    </row>
    <row r="4172" spans="1:19" hidden="1" x14ac:dyDescent="0.25">
      <c r="A4172" s="5" t="str">
        <f t="shared" si="1766"/>
        <v>44084XLU</v>
      </c>
      <c r="B4172" s="6" t="s">
        <v>168</v>
      </c>
      <c r="C4172" s="6">
        <v>58.11</v>
      </c>
      <c r="D4172" s="6">
        <v>60.49</v>
      </c>
      <c r="E4172" s="6">
        <v>59.82</v>
      </c>
      <c r="F4172" t="str">
        <f t="shared" si="1767"/>
        <v>THU</v>
      </c>
      <c r="G4172" s="3">
        <f t="shared" si="1768"/>
        <v>44084</v>
      </c>
      <c r="H4172" s="2">
        <f t="shared" ca="1" si="1769"/>
        <v>169</v>
      </c>
      <c r="I4172" t="str">
        <f t="shared" si="1770"/>
        <v>XLU</v>
      </c>
      <c r="J4172">
        <f t="shared" si="1771"/>
        <v>58.11</v>
      </c>
      <c r="K4172">
        <f t="shared" si="1772"/>
        <v>60.49</v>
      </c>
      <c r="L4172">
        <f t="shared" si="1773"/>
        <v>59.3</v>
      </c>
      <c r="M4172">
        <f t="shared" si="1774"/>
        <v>1.1900000000000013</v>
      </c>
      <c r="N4172">
        <f t="shared" si="1763"/>
        <v>2.3800000000000026</v>
      </c>
      <c r="O4172">
        <f t="shared" si="1775"/>
        <v>59.82</v>
      </c>
      <c r="P4172">
        <f t="shared" si="1776"/>
        <v>0.43697478991596855</v>
      </c>
      <c r="Q4172" t="str">
        <f t="shared" si="1764"/>
        <v>2.86% | 1.12%</v>
      </c>
      <c r="R4172" t="str">
        <f t="shared" si="1777"/>
        <v>BULLISH</v>
      </c>
      <c r="S4172">
        <f t="shared" si="1765"/>
        <v>1</v>
      </c>
    </row>
    <row r="4173" spans="1:19" hidden="1" x14ac:dyDescent="0.25">
      <c r="A4173" s="5" t="str">
        <f t="shared" si="1766"/>
        <v>44084XLF</v>
      </c>
      <c r="B4173" s="6" t="s">
        <v>169</v>
      </c>
      <c r="C4173" s="6">
        <v>24.3</v>
      </c>
      <c r="D4173" s="6">
        <v>25.63</v>
      </c>
      <c r="E4173" s="6">
        <v>24.89</v>
      </c>
      <c r="F4173" t="str">
        <f t="shared" si="1767"/>
        <v>THU</v>
      </c>
      <c r="G4173" s="3">
        <f t="shared" si="1768"/>
        <v>44084</v>
      </c>
      <c r="H4173" s="2">
        <f t="shared" ca="1" si="1769"/>
        <v>169</v>
      </c>
      <c r="I4173" t="str">
        <f t="shared" si="1770"/>
        <v>XLF</v>
      </c>
      <c r="J4173">
        <f t="shared" si="1771"/>
        <v>24.3</v>
      </c>
      <c r="K4173">
        <f t="shared" si="1772"/>
        <v>25.63</v>
      </c>
      <c r="L4173">
        <f t="shared" si="1773"/>
        <v>24.965</v>
      </c>
      <c r="M4173">
        <f t="shared" si="1774"/>
        <v>0.66499999999999915</v>
      </c>
      <c r="N4173">
        <f t="shared" si="1763"/>
        <v>1.3299999999999983</v>
      </c>
      <c r="O4173">
        <f t="shared" si="1775"/>
        <v>24.89</v>
      </c>
      <c r="P4173">
        <f t="shared" si="1776"/>
        <v>-0.11278195488721712</v>
      </c>
      <c r="Q4173" t="str">
        <f t="shared" si="1764"/>
        <v>2.37% | 2.97%</v>
      </c>
      <c r="R4173" t="str">
        <f t="shared" si="1777"/>
        <v>BEARISH</v>
      </c>
      <c r="S4173">
        <f t="shared" si="1765"/>
        <v>-1</v>
      </c>
    </row>
    <row r="4174" spans="1:19" hidden="1" x14ac:dyDescent="0.25">
      <c r="A4174" s="5" t="str">
        <f t="shared" si="1766"/>
        <v>44084SSEC</v>
      </c>
      <c r="B4174" s="6" t="s">
        <v>170</v>
      </c>
      <c r="C4174" s="6">
        <v>3206</v>
      </c>
      <c r="D4174" s="6">
        <v>3456</v>
      </c>
      <c r="E4174" s="6">
        <v>3234</v>
      </c>
      <c r="F4174" t="str">
        <f t="shared" si="1767"/>
        <v>THU</v>
      </c>
      <c r="G4174" s="3">
        <f t="shared" si="1768"/>
        <v>44084</v>
      </c>
      <c r="H4174" s="2">
        <f t="shared" ca="1" si="1769"/>
        <v>169</v>
      </c>
      <c r="I4174" t="str">
        <f t="shared" si="1770"/>
        <v>SSEC</v>
      </c>
      <c r="J4174">
        <f t="shared" si="1771"/>
        <v>3206</v>
      </c>
      <c r="K4174">
        <f t="shared" si="1772"/>
        <v>3456</v>
      </c>
      <c r="L4174">
        <f t="shared" si="1773"/>
        <v>3331</v>
      </c>
      <c r="M4174">
        <f t="shared" si="1774"/>
        <v>125</v>
      </c>
      <c r="N4174">
        <f t="shared" si="1763"/>
        <v>250</v>
      </c>
      <c r="O4174">
        <f t="shared" si="1775"/>
        <v>3234</v>
      </c>
      <c r="P4174">
        <f t="shared" si="1776"/>
        <v>-0.77600000000000002</v>
      </c>
      <c r="Q4174" t="str">
        <f t="shared" si="1764"/>
        <v>0.87% | 6.86%</v>
      </c>
      <c r="R4174" t="str">
        <f t="shared" si="1777"/>
        <v>BULLISH</v>
      </c>
      <c r="S4174">
        <f t="shared" si="1765"/>
        <v>1</v>
      </c>
    </row>
    <row r="4175" spans="1:19" hidden="1" x14ac:dyDescent="0.25">
      <c r="A4175" s="5" t="str">
        <f t="shared" si="1766"/>
        <v>44084NIKK</v>
      </c>
      <c r="B4175" s="6" t="s">
        <v>201</v>
      </c>
      <c r="C4175" s="6">
        <v>22804</v>
      </c>
      <c r="D4175" s="6">
        <v>23467</v>
      </c>
      <c r="E4175" s="6">
        <v>23235</v>
      </c>
      <c r="F4175" t="str">
        <f t="shared" si="1767"/>
        <v>THU</v>
      </c>
      <c r="G4175" s="3">
        <f t="shared" si="1768"/>
        <v>44084</v>
      </c>
      <c r="H4175" s="2">
        <f t="shared" ca="1" si="1769"/>
        <v>169</v>
      </c>
      <c r="I4175" t="str">
        <f t="shared" si="1770"/>
        <v>NIKK</v>
      </c>
      <c r="J4175">
        <f t="shared" si="1771"/>
        <v>22804</v>
      </c>
      <c r="K4175">
        <f t="shared" si="1772"/>
        <v>23467</v>
      </c>
      <c r="L4175">
        <f t="shared" si="1773"/>
        <v>23135.5</v>
      </c>
      <c r="M4175">
        <f t="shared" si="1774"/>
        <v>331.5</v>
      </c>
      <c r="N4175">
        <f t="shared" si="1763"/>
        <v>663</v>
      </c>
      <c r="O4175">
        <f t="shared" si="1775"/>
        <v>23235</v>
      </c>
      <c r="P4175">
        <f t="shared" si="1776"/>
        <v>0.30015082956259426</v>
      </c>
      <c r="Q4175" t="str">
        <f t="shared" si="1764"/>
        <v>1.85% | 1%</v>
      </c>
      <c r="R4175" t="str">
        <f t="shared" si="1777"/>
        <v>BULLISH</v>
      </c>
      <c r="S4175">
        <f t="shared" si="1765"/>
        <v>1</v>
      </c>
    </row>
    <row r="4176" spans="1:19" hidden="1" x14ac:dyDescent="0.25">
      <c r="A4176" s="5" t="str">
        <f t="shared" si="1766"/>
        <v>44084DAX</v>
      </c>
      <c r="B4176" s="6" t="s">
        <v>172</v>
      </c>
      <c r="C4176" s="6">
        <v>12784</v>
      </c>
      <c r="D4176" s="6">
        <v>13290</v>
      </c>
      <c r="E4176" s="6">
        <v>13237</v>
      </c>
      <c r="F4176" t="str">
        <f t="shared" si="1767"/>
        <v>THU</v>
      </c>
      <c r="G4176" s="3">
        <f t="shared" si="1768"/>
        <v>44084</v>
      </c>
      <c r="H4176" s="2">
        <f t="shared" ca="1" si="1769"/>
        <v>169</v>
      </c>
      <c r="I4176" t="str">
        <f t="shared" si="1770"/>
        <v>DAX</v>
      </c>
      <c r="J4176">
        <f t="shared" si="1771"/>
        <v>12784</v>
      </c>
      <c r="K4176">
        <f t="shared" si="1772"/>
        <v>13290</v>
      </c>
      <c r="L4176">
        <f t="shared" si="1773"/>
        <v>13037</v>
      </c>
      <c r="M4176">
        <f t="shared" si="1774"/>
        <v>253</v>
      </c>
      <c r="N4176">
        <f t="shared" si="1763"/>
        <v>506</v>
      </c>
      <c r="O4176">
        <f t="shared" si="1775"/>
        <v>13237</v>
      </c>
      <c r="P4176">
        <f t="shared" si="1776"/>
        <v>0.79051383399209485</v>
      </c>
      <c r="Q4176" t="str">
        <f t="shared" si="1764"/>
        <v>3.42% | 0.4%</v>
      </c>
      <c r="R4176" t="str">
        <f t="shared" si="1777"/>
        <v>BULLISH</v>
      </c>
      <c r="S4176">
        <f t="shared" si="1765"/>
        <v>1</v>
      </c>
    </row>
    <row r="4177" spans="1:19" hidden="1" x14ac:dyDescent="0.25">
      <c r="A4177" s="5" t="str">
        <f t="shared" si="1766"/>
        <v>44084VIX</v>
      </c>
      <c r="B4177" s="6" t="s">
        <v>202</v>
      </c>
      <c r="C4177" s="6">
        <v>26.01</v>
      </c>
      <c r="D4177" s="6">
        <v>35.49</v>
      </c>
      <c r="E4177" s="6">
        <v>28.81</v>
      </c>
      <c r="F4177" t="str">
        <f t="shared" si="1767"/>
        <v>THU</v>
      </c>
      <c r="G4177" s="3">
        <f t="shared" si="1768"/>
        <v>44084</v>
      </c>
      <c r="H4177" s="2">
        <f t="shared" ca="1" si="1769"/>
        <v>169</v>
      </c>
      <c r="I4177" t="str">
        <f t="shared" si="1770"/>
        <v>VIX</v>
      </c>
      <c r="J4177">
        <f t="shared" si="1771"/>
        <v>26.01</v>
      </c>
      <c r="K4177">
        <f t="shared" si="1772"/>
        <v>35.49</v>
      </c>
      <c r="L4177">
        <f t="shared" si="1773"/>
        <v>30.75</v>
      </c>
      <c r="M4177">
        <f t="shared" si="1774"/>
        <v>4.7400000000000189</v>
      </c>
      <c r="N4177">
        <f t="shared" si="1763"/>
        <v>9.48</v>
      </c>
      <c r="O4177">
        <f t="shared" si="1775"/>
        <v>28.81</v>
      </c>
      <c r="P4177">
        <f t="shared" si="1776"/>
        <v>-0.40928270042193959</v>
      </c>
      <c r="Q4177" t="str">
        <f t="shared" si="1764"/>
        <v>9.72% | 23.19%</v>
      </c>
      <c r="R4177" t="str">
        <f t="shared" si="1777"/>
        <v>BULLISH</v>
      </c>
      <c r="S4177">
        <f t="shared" si="1765"/>
        <v>1</v>
      </c>
    </row>
    <row r="4178" spans="1:19" hidden="1" x14ac:dyDescent="0.25">
      <c r="A4178" s="5" t="str">
        <f t="shared" si="1766"/>
        <v>44084USD</v>
      </c>
      <c r="B4178" s="6" t="s">
        <v>174</v>
      </c>
      <c r="C4178" s="6">
        <v>91.92</v>
      </c>
      <c r="D4178" s="6">
        <v>93.59</v>
      </c>
      <c r="E4178" s="6">
        <v>93.24</v>
      </c>
      <c r="F4178" t="str">
        <f t="shared" si="1767"/>
        <v>THU</v>
      </c>
      <c r="G4178" s="3">
        <f t="shared" si="1768"/>
        <v>44084</v>
      </c>
      <c r="H4178" s="2">
        <f t="shared" ca="1" si="1769"/>
        <v>169</v>
      </c>
      <c r="I4178" t="str">
        <f t="shared" si="1770"/>
        <v>USD</v>
      </c>
      <c r="J4178">
        <f t="shared" si="1771"/>
        <v>91.92</v>
      </c>
      <c r="K4178">
        <f t="shared" si="1772"/>
        <v>93.59</v>
      </c>
      <c r="L4178">
        <f t="shared" si="1773"/>
        <v>92.754999999999995</v>
      </c>
      <c r="M4178">
        <f t="shared" si="1774"/>
        <v>0.83500000000000085</v>
      </c>
      <c r="N4178">
        <f t="shared" si="1763"/>
        <v>1.6700000000000017</v>
      </c>
      <c r="O4178">
        <f t="shared" si="1775"/>
        <v>93.24</v>
      </c>
      <c r="P4178">
        <f t="shared" si="1776"/>
        <v>0.58083832335329211</v>
      </c>
      <c r="Q4178" t="str">
        <f t="shared" si="1764"/>
        <v>1.42% | 0.38%</v>
      </c>
      <c r="R4178" t="str">
        <f t="shared" si="1777"/>
        <v>BEARISH</v>
      </c>
      <c r="S4178">
        <f t="shared" si="1765"/>
        <v>-1</v>
      </c>
    </row>
    <row r="4179" spans="1:19" hidden="1" x14ac:dyDescent="0.25">
      <c r="A4179" s="5" t="str">
        <f t="shared" si="1766"/>
        <v>44084EUR/USD</v>
      </c>
      <c r="B4179" s="6" t="s">
        <v>175</v>
      </c>
      <c r="C4179" s="6">
        <v>1.17</v>
      </c>
      <c r="D4179" s="6">
        <v>1.19</v>
      </c>
      <c r="E4179" s="6">
        <v>1.18</v>
      </c>
      <c r="F4179" t="str">
        <f t="shared" si="1767"/>
        <v>THU</v>
      </c>
      <c r="G4179" s="3">
        <f t="shared" si="1768"/>
        <v>44084</v>
      </c>
      <c r="H4179" s="2">
        <f t="shared" ca="1" si="1769"/>
        <v>169</v>
      </c>
      <c r="I4179" t="str">
        <f t="shared" si="1770"/>
        <v>EUR/USD</v>
      </c>
      <c r="J4179">
        <f t="shared" si="1771"/>
        <v>1.17</v>
      </c>
      <c r="K4179">
        <f t="shared" si="1772"/>
        <v>1.19</v>
      </c>
      <c r="L4179">
        <f t="shared" si="1773"/>
        <v>1.18</v>
      </c>
      <c r="M4179">
        <f t="shared" si="1774"/>
        <v>1.0000000000000009E-2</v>
      </c>
      <c r="N4179">
        <f t="shared" si="1763"/>
        <v>2.0000000000000018E-2</v>
      </c>
      <c r="O4179">
        <f t="shared" si="1775"/>
        <v>1.18</v>
      </c>
      <c r="P4179">
        <f t="shared" si="1776"/>
        <v>0</v>
      </c>
      <c r="Q4179" t="str">
        <f t="shared" si="1764"/>
        <v>0.85% | 0.85%</v>
      </c>
      <c r="R4179" t="str">
        <f t="shared" si="1777"/>
        <v>BULLISH</v>
      </c>
      <c r="S4179">
        <f t="shared" si="1765"/>
        <v>1</v>
      </c>
    </row>
    <row r="4180" spans="1:19" hidden="1" x14ac:dyDescent="0.25">
      <c r="A4180" s="5" t="str">
        <f t="shared" si="1766"/>
        <v>44084USD/JPY</v>
      </c>
      <c r="B4180" s="6" t="s">
        <v>176</v>
      </c>
      <c r="C4180" s="6">
        <v>105.3</v>
      </c>
      <c r="D4180" s="6">
        <v>106.7</v>
      </c>
      <c r="E4180" s="6">
        <v>106.17</v>
      </c>
      <c r="F4180" t="str">
        <f t="shared" si="1767"/>
        <v>THU</v>
      </c>
      <c r="G4180" s="3">
        <f t="shared" si="1768"/>
        <v>44084</v>
      </c>
      <c r="H4180" s="2">
        <f t="shared" ca="1" si="1769"/>
        <v>169</v>
      </c>
      <c r="I4180" t="str">
        <f t="shared" si="1770"/>
        <v>USD/JPY</v>
      </c>
      <c r="J4180">
        <f t="shared" si="1771"/>
        <v>105.3</v>
      </c>
      <c r="K4180">
        <f t="shared" si="1772"/>
        <v>106.7</v>
      </c>
      <c r="L4180">
        <f t="shared" si="1773"/>
        <v>106</v>
      </c>
      <c r="M4180">
        <f t="shared" si="1774"/>
        <v>0.70000000000000284</v>
      </c>
      <c r="N4180">
        <f t="shared" si="1763"/>
        <v>1.4000000000000057</v>
      </c>
      <c r="O4180">
        <f t="shared" si="1775"/>
        <v>106.17</v>
      </c>
      <c r="P4180">
        <f t="shared" si="1776"/>
        <v>0.2428571428571443</v>
      </c>
      <c r="Q4180" t="str">
        <f t="shared" si="1764"/>
        <v>0.82% | 0.5%</v>
      </c>
      <c r="R4180" t="str">
        <f t="shared" si="1777"/>
        <v>BEARISH</v>
      </c>
      <c r="S4180">
        <f t="shared" si="1765"/>
        <v>-1</v>
      </c>
    </row>
    <row r="4181" spans="1:19" hidden="1" x14ac:dyDescent="0.25">
      <c r="A4181" s="5" t="str">
        <f t="shared" si="1766"/>
        <v>44084GBP/USD</v>
      </c>
      <c r="B4181" s="6" t="s">
        <v>177</v>
      </c>
      <c r="C4181" s="6">
        <v>1.29</v>
      </c>
      <c r="D4181" s="6">
        <v>1.33</v>
      </c>
      <c r="E4181" s="6">
        <v>1.3</v>
      </c>
      <c r="F4181" t="str">
        <f t="shared" si="1767"/>
        <v>THU</v>
      </c>
      <c r="G4181" s="3">
        <f t="shared" si="1768"/>
        <v>44084</v>
      </c>
      <c r="H4181" s="2">
        <f t="shared" ca="1" si="1769"/>
        <v>169</v>
      </c>
      <c r="I4181" t="str">
        <f t="shared" si="1770"/>
        <v>GBP/USD</v>
      </c>
      <c r="J4181">
        <f t="shared" si="1771"/>
        <v>1.29</v>
      </c>
      <c r="K4181">
        <f t="shared" si="1772"/>
        <v>1.33</v>
      </c>
      <c r="L4181">
        <f t="shared" si="1773"/>
        <v>1.31</v>
      </c>
      <c r="M4181">
        <f t="shared" si="1774"/>
        <v>2.0000000000000018E-2</v>
      </c>
      <c r="N4181">
        <f t="shared" si="1763"/>
        <v>4.0000000000000036E-2</v>
      </c>
      <c r="O4181">
        <f t="shared" si="1775"/>
        <v>1.3</v>
      </c>
      <c r="P4181">
        <f t="shared" si="1776"/>
        <v>-0.5</v>
      </c>
      <c r="Q4181" t="str">
        <f t="shared" si="1764"/>
        <v>0.77% | 2.31%</v>
      </c>
      <c r="R4181" t="str">
        <f t="shared" si="1777"/>
        <v>BULLISH</v>
      </c>
      <c r="S4181">
        <f t="shared" si="1765"/>
        <v>1</v>
      </c>
    </row>
    <row r="4182" spans="1:19" hidden="1" x14ac:dyDescent="0.25">
      <c r="A4182" s="5" t="str">
        <f t="shared" si="1766"/>
        <v>44084USD/CHF</v>
      </c>
      <c r="B4182" s="6" t="s">
        <v>178</v>
      </c>
      <c r="C4182" s="6">
        <v>0.89</v>
      </c>
      <c r="D4182" s="6">
        <v>0.91</v>
      </c>
      <c r="E4182" s="6">
        <v>0.91</v>
      </c>
      <c r="F4182" t="str">
        <f t="shared" si="1767"/>
        <v>THU</v>
      </c>
      <c r="G4182" s="3">
        <f t="shared" si="1768"/>
        <v>44084</v>
      </c>
      <c r="H4182" s="2">
        <f t="shared" ca="1" si="1769"/>
        <v>169</v>
      </c>
      <c r="I4182" t="str">
        <f t="shared" si="1770"/>
        <v>USD/CHF</v>
      </c>
      <c r="J4182">
        <f t="shared" si="1771"/>
        <v>0.89</v>
      </c>
      <c r="K4182">
        <f t="shared" si="1772"/>
        <v>0.91</v>
      </c>
      <c r="L4182">
        <f t="shared" si="1773"/>
        <v>0.9</v>
      </c>
      <c r="M4182">
        <f t="shared" si="1774"/>
        <v>1.0000000000000009E-2</v>
      </c>
      <c r="N4182">
        <f t="shared" si="1763"/>
        <v>2.0000000000000018E-2</v>
      </c>
      <c r="O4182">
        <f t="shared" si="1775"/>
        <v>0.91</v>
      </c>
      <c r="P4182">
        <f t="shared" si="1776"/>
        <v>1</v>
      </c>
      <c r="Q4182" t="str">
        <f t="shared" si="1764"/>
        <v>2.2% | 0%</v>
      </c>
      <c r="R4182" t="str">
        <f t="shared" si="1777"/>
        <v>BEARISH</v>
      </c>
      <c r="S4182">
        <f t="shared" si="1765"/>
        <v>-1</v>
      </c>
    </row>
    <row r="4183" spans="1:19" hidden="1" x14ac:dyDescent="0.25">
      <c r="A4183" s="5" t="str">
        <f t="shared" si="1766"/>
        <v>44084WTIC</v>
      </c>
      <c r="B4183" s="6" t="s">
        <v>205</v>
      </c>
      <c r="C4183" s="6">
        <v>36.450000000000003</v>
      </c>
      <c r="D4183" s="6">
        <v>41.26</v>
      </c>
      <c r="E4183" s="6">
        <v>38.049999999999997</v>
      </c>
      <c r="F4183" t="str">
        <f t="shared" si="1767"/>
        <v>THU</v>
      </c>
      <c r="G4183" s="3">
        <f t="shared" si="1768"/>
        <v>44084</v>
      </c>
      <c r="H4183" s="2">
        <f t="shared" ca="1" si="1769"/>
        <v>169</v>
      </c>
      <c r="I4183" t="str">
        <f t="shared" si="1770"/>
        <v>WTIC</v>
      </c>
      <c r="J4183">
        <f t="shared" si="1771"/>
        <v>36.450000000000003</v>
      </c>
      <c r="K4183">
        <f t="shared" si="1772"/>
        <v>41.26</v>
      </c>
      <c r="L4183">
        <f t="shared" si="1773"/>
        <v>38.855000000000004</v>
      </c>
      <c r="M4183">
        <f t="shared" si="1774"/>
        <v>2.4049999999999976</v>
      </c>
      <c r="N4183">
        <f t="shared" si="1763"/>
        <v>4.8099999999999952</v>
      </c>
      <c r="O4183">
        <f t="shared" si="1775"/>
        <v>38.049999999999997</v>
      </c>
      <c r="P4183">
        <f t="shared" si="1776"/>
        <v>-0.3347193347193379</v>
      </c>
      <c r="Q4183" t="str">
        <f t="shared" si="1764"/>
        <v>4.2% | 8.44%</v>
      </c>
      <c r="R4183" t="str">
        <f t="shared" si="1777"/>
        <v>NEUTRAL</v>
      </c>
      <c r="S4183">
        <f t="shared" si="1765"/>
        <v>0</v>
      </c>
    </row>
    <row r="4184" spans="1:19" hidden="1" x14ac:dyDescent="0.25">
      <c r="A4184" s="5" t="str">
        <f t="shared" si="1766"/>
        <v>44084NATGAS</v>
      </c>
      <c r="B4184" s="6" t="s">
        <v>180</v>
      </c>
      <c r="C4184" s="6">
        <v>2.3199999999999998</v>
      </c>
      <c r="D4184" s="6">
        <v>2.74</v>
      </c>
      <c r="E4184" s="6">
        <v>2.41</v>
      </c>
      <c r="F4184" t="str">
        <f t="shared" si="1767"/>
        <v>THU</v>
      </c>
      <c r="G4184" s="3">
        <f t="shared" si="1768"/>
        <v>44084</v>
      </c>
      <c r="H4184" s="2">
        <f t="shared" ca="1" si="1769"/>
        <v>169</v>
      </c>
      <c r="I4184" t="str">
        <f t="shared" si="1770"/>
        <v>NATGAS</v>
      </c>
      <c r="J4184">
        <f t="shared" si="1771"/>
        <v>2.3199999999999998</v>
      </c>
      <c r="K4184">
        <f t="shared" si="1772"/>
        <v>2.74</v>
      </c>
      <c r="L4184">
        <f t="shared" si="1773"/>
        <v>2.5300000000000002</v>
      </c>
      <c r="M4184">
        <f t="shared" si="1774"/>
        <v>0.21000000000000019</v>
      </c>
      <c r="N4184">
        <f t="shared" si="1763"/>
        <v>0.42000000000000037</v>
      </c>
      <c r="O4184">
        <f t="shared" si="1775"/>
        <v>2.41</v>
      </c>
      <c r="P4184">
        <f t="shared" si="1776"/>
        <v>-0.5714285714285714</v>
      </c>
      <c r="Q4184" t="str">
        <f t="shared" si="1764"/>
        <v>3.73% | 13.69%</v>
      </c>
      <c r="R4184" t="str">
        <f t="shared" si="1777"/>
        <v>BULLISH</v>
      </c>
      <c r="S4184">
        <f t="shared" si="1765"/>
        <v>1</v>
      </c>
    </row>
    <row r="4185" spans="1:19" hidden="1" x14ac:dyDescent="0.25">
      <c r="A4185" s="5" t="str">
        <f t="shared" si="1766"/>
        <v>44084GOLD</v>
      </c>
      <c r="B4185" s="6" t="s">
        <v>181</v>
      </c>
      <c r="C4185" s="6">
        <v>1917</v>
      </c>
      <c r="D4185" s="6">
        <v>1999</v>
      </c>
      <c r="E4185" s="6">
        <v>1954</v>
      </c>
      <c r="F4185" t="str">
        <f t="shared" si="1767"/>
        <v>THU</v>
      </c>
      <c r="G4185" s="3">
        <f t="shared" si="1768"/>
        <v>44084</v>
      </c>
      <c r="H4185" s="2">
        <f t="shared" ca="1" si="1769"/>
        <v>169</v>
      </c>
      <c r="I4185" t="str">
        <f t="shared" si="1770"/>
        <v>GOLD</v>
      </c>
      <c r="J4185">
        <f t="shared" si="1771"/>
        <v>1917</v>
      </c>
      <c r="K4185">
        <f t="shared" si="1772"/>
        <v>1999</v>
      </c>
      <c r="L4185">
        <f t="shared" si="1773"/>
        <v>1958</v>
      </c>
      <c r="M4185">
        <f t="shared" si="1774"/>
        <v>41</v>
      </c>
      <c r="N4185">
        <f t="shared" si="1763"/>
        <v>82</v>
      </c>
      <c r="O4185">
        <f t="shared" si="1775"/>
        <v>1954</v>
      </c>
      <c r="P4185">
        <f t="shared" si="1776"/>
        <v>-9.7560975609756101E-2</v>
      </c>
      <c r="Q4185" t="str">
        <f t="shared" si="1764"/>
        <v>1.89% | 2.3%</v>
      </c>
      <c r="R4185" t="str">
        <f t="shared" si="1777"/>
        <v>BULLISH</v>
      </c>
      <c r="S4185">
        <f t="shared" si="1765"/>
        <v>1</v>
      </c>
    </row>
    <row r="4186" spans="1:19" hidden="1" x14ac:dyDescent="0.25">
      <c r="A4186" s="5" t="str">
        <f t="shared" si="1766"/>
        <v>44084SILVER</v>
      </c>
      <c r="B4186" s="6" t="s">
        <v>199</v>
      </c>
      <c r="C4186" s="6">
        <v>26.01</v>
      </c>
      <c r="D4186" s="6">
        <v>28.93</v>
      </c>
      <c r="E4186" s="6">
        <v>27.08</v>
      </c>
      <c r="F4186" t="str">
        <f t="shared" si="1767"/>
        <v>THU</v>
      </c>
      <c r="G4186" s="3">
        <f t="shared" si="1768"/>
        <v>44084</v>
      </c>
      <c r="H4186" s="2">
        <f t="shared" ca="1" si="1769"/>
        <v>169</v>
      </c>
      <c r="I4186" t="str">
        <f t="shared" si="1770"/>
        <v>SILVER</v>
      </c>
      <c r="J4186">
        <f t="shared" si="1771"/>
        <v>26.01</v>
      </c>
      <c r="K4186">
        <f t="shared" si="1772"/>
        <v>28.93</v>
      </c>
      <c r="L4186">
        <f t="shared" si="1773"/>
        <v>27.47</v>
      </c>
      <c r="M4186">
        <f t="shared" si="1774"/>
        <v>1.4599999999999991</v>
      </c>
      <c r="N4186">
        <f t="shared" si="1763"/>
        <v>2.9199999999999982</v>
      </c>
      <c r="O4186">
        <f t="shared" si="1775"/>
        <v>27.08</v>
      </c>
      <c r="P4186">
        <f t="shared" si="1776"/>
        <v>-0.26712328767123344</v>
      </c>
      <c r="Q4186" t="str">
        <f t="shared" si="1764"/>
        <v>3.95% | 6.83%</v>
      </c>
      <c r="R4186" t="str">
        <f t="shared" si="1777"/>
        <v>BULLISH</v>
      </c>
      <c r="S4186">
        <f t="shared" si="1765"/>
        <v>1</v>
      </c>
    </row>
    <row r="4187" spans="1:19" hidden="1" x14ac:dyDescent="0.25">
      <c r="A4187" s="5" t="str">
        <f t="shared" si="1766"/>
        <v>44084COPPER</v>
      </c>
      <c r="B4187" s="6" t="s">
        <v>182</v>
      </c>
      <c r="C4187" s="6">
        <v>2.95</v>
      </c>
      <c r="D4187" s="6">
        <v>3.09</v>
      </c>
      <c r="E4187" s="6">
        <v>3.05</v>
      </c>
      <c r="F4187" t="str">
        <f t="shared" si="1767"/>
        <v>THU</v>
      </c>
      <c r="G4187" s="3">
        <f t="shared" si="1768"/>
        <v>44084</v>
      </c>
      <c r="H4187" s="2">
        <f t="shared" ca="1" si="1769"/>
        <v>169</v>
      </c>
      <c r="I4187" t="str">
        <f t="shared" si="1770"/>
        <v>COPPER</v>
      </c>
      <c r="J4187">
        <f t="shared" si="1771"/>
        <v>2.95</v>
      </c>
      <c r="K4187">
        <f t="shared" si="1772"/>
        <v>3.09</v>
      </c>
      <c r="L4187">
        <f t="shared" si="1773"/>
        <v>3.02</v>
      </c>
      <c r="M4187">
        <f t="shared" si="1774"/>
        <v>6.999999999999984E-2</v>
      </c>
      <c r="N4187">
        <f t="shared" si="1763"/>
        <v>0.13999999999999968</v>
      </c>
      <c r="O4187">
        <f t="shared" si="1775"/>
        <v>3.05</v>
      </c>
      <c r="P4187">
        <f t="shared" si="1776"/>
        <v>0.42857142857142677</v>
      </c>
      <c r="Q4187" t="str">
        <f t="shared" si="1764"/>
        <v>3.28% | 1.31%</v>
      </c>
      <c r="R4187" t="str">
        <f t="shared" si="1777"/>
        <v>BULLISH</v>
      </c>
      <c r="S4187">
        <f t="shared" si="1765"/>
        <v>1</v>
      </c>
    </row>
    <row r="4188" spans="1:19" hidden="1" x14ac:dyDescent="0.25">
      <c r="A4188" s="5" t="str">
        <f t="shared" si="1766"/>
        <v>44084MSFT</v>
      </c>
      <c r="B4188" s="6" t="s">
        <v>206</v>
      </c>
      <c r="C4188" s="6">
        <v>199</v>
      </c>
      <c r="D4188" s="6">
        <v>216</v>
      </c>
      <c r="E4188" s="6">
        <v>211</v>
      </c>
      <c r="F4188" t="str">
        <f t="shared" si="1767"/>
        <v>THU</v>
      </c>
      <c r="G4188" s="3">
        <f t="shared" si="1768"/>
        <v>44084</v>
      </c>
      <c r="H4188" s="2">
        <f t="shared" ca="1" si="1769"/>
        <v>169</v>
      </c>
      <c r="I4188" t="str">
        <f t="shared" si="1770"/>
        <v>MSFT</v>
      </c>
      <c r="J4188">
        <f t="shared" si="1771"/>
        <v>199</v>
      </c>
      <c r="K4188">
        <f t="shared" si="1772"/>
        <v>216</v>
      </c>
      <c r="L4188">
        <f t="shared" si="1773"/>
        <v>207.5</v>
      </c>
      <c r="M4188">
        <f t="shared" si="1774"/>
        <v>8.5</v>
      </c>
      <c r="N4188">
        <f t="shared" si="1763"/>
        <v>17</v>
      </c>
      <c r="O4188">
        <f t="shared" si="1775"/>
        <v>211</v>
      </c>
      <c r="P4188">
        <f t="shared" si="1776"/>
        <v>0.41176470588235292</v>
      </c>
      <c r="Q4188" t="str">
        <f t="shared" si="1764"/>
        <v>5.69% | 2.37%</v>
      </c>
      <c r="R4188" t="str">
        <f t="shared" si="1777"/>
        <v>NEUTRAL</v>
      </c>
      <c r="S4188">
        <f t="shared" si="1765"/>
        <v>0</v>
      </c>
    </row>
    <row r="4189" spans="1:19" hidden="1" x14ac:dyDescent="0.25">
      <c r="A4189" s="5" t="str">
        <f t="shared" si="1766"/>
        <v>44084AAPL</v>
      </c>
      <c r="B4189" s="6" t="s">
        <v>207</v>
      </c>
      <c r="C4189" s="6">
        <v>110</v>
      </c>
      <c r="D4189" s="6">
        <v>124</v>
      </c>
      <c r="E4189" s="6">
        <v>117</v>
      </c>
      <c r="F4189" t="str">
        <f t="shared" si="1767"/>
        <v>THU</v>
      </c>
      <c r="G4189" s="3">
        <f t="shared" si="1768"/>
        <v>44084</v>
      </c>
      <c r="H4189" s="2">
        <f t="shared" ca="1" si="1769"/>
        <v>169</v>
      </c>
      <c r="I4189" t="str">
        <f t="shared" si="1770"/>
        <v>AAPL</v>
      </c>
      <c r="J4189">
        <f t="shared" si="1771"/>
        <v>110</v>
      </c>
      <c r="K4189">
        <f t="shared" si="1772"/>
        <v>124</v>
      </c>
      <c r="L4189">
        <f t="shared" si="1773"/>
        <v>117</v>
      </c>
      <c r="M4189">
        <f t="shared" si="1774"/>
        <v>7</v>
      </c>
      <c r="N4189">
        <f t="shared" si="1763"/>
        <v>14</v>
      </c>
      <c r="O4189">
        <f t="shared" si="1775"/>
        <v>117</v>
      </c>
      <c r="P4189">
        <f t="shared" si="1776"/>
        <v>0</v>
      </c>
      <c r="Q4189" t="str">
        <f t="shared" si="1764"/>
        <v>5.98% | 5.98%</v>
      </c>
      <c r="R4189" t="str">
        <f t="shared" si="1777"/>
        <v>NEUTRAL</v>
      </c>
      <c r="S4189">
        <f t="shared" si="1765"/>
        <v>0</v>
      </c>
    </row>
    <row r="4190" spans="1:19" hidden="1" x14ac:dyDescent="0.25">
      <c r="A4190" s="5" t="str">
        <f t="shared" si="1766"/>
        <v>44084AMZN</v>
      </c>
      <c r="B4190" s="6" t="s">
        <v>185</v>
      </c>
      <c r="C4190" s="6">
        <v>3127</v>
      </c>
      <c r="D4190" s="6">
        <v>3550</v>
      </c>
      <c r="E4190" s="6">
        <v>3268</v>
      </c>
      <c r="F4190" t="str">
        <f t="shared" si="1767"/>
        <v>THU</v>
      </c>
      <c r="G4190" s="3">
        <f t="shared" si="1768"/>
        <v>44084</v>
      </c>
      <c r="H4190" s="2">
        <f t="shared" ca="1" si="1769"/>
        <v>169</v>
      </c>
      <c r="I4190" t="str">
        <f t="shared" si="1770"/>
        <v>AMZN</v>
      </c>
      <c r="J4190">
        <f t="shared" si="1771"/>
        <v>3127</v>
      </c>
      <c r="K4190">
        <f t="shared" si="1772"/>
        <v>3550</v>
      </c>
      <c r="L4190">
        <f t="shared" si="1773"/>
        <v>3338.5</v>
      </c>
      <c r="M4190">
        <f t="shared" si="1774"/>
        <v>211.5</v>
      </c>
      <c r="N4190">
        <f t="shared" si="1763"/>
        <v>423</v>
      </c>
      <c r="O4190">
        <f t="shared" si="1775"/>
        <v>3268</v>
      </c>
      <c r="P4190">
        <f t="shared" si="1776"/>
        <v>-0.33333333333333331</v>
      </c>
      <c r="Q4190" t="str">
        <f t="shared" si="1764"/>
        <v>4.31% | 8.63%</v>
      </c>
      <c r="R4190" t="str">
        <f t="shared" si="1777"/>
        <v>BULLISH</v>
      </c>
      <c r="S4190">
        <f t="shared" si="1765"/>
        <v>1</v>
      </c>
    </row>
    <row r="4191" spans="1:19" hidden="1" x14ac:dyDescent="0.25">
      <c r="A4191" s="5" t="str">
        <f t="shared" si="1766"/>
        <v>44084FB</v>
      </c>
      <c r="B4191" s="6" t="s">
        <v>186</v>
      </c>
      <c r="C4191" s="6">
        <v>266</v>
      </c>
      <c r="D4191" s="6">
        <v>305</v>
      </c>
      <c r="E4191" s="6">
        <v>273</v>
      </c>
      <c r="F4191" t="str">
        <f t="shared" si="1767"/>
        <v>THU</v>
      </c>
      <c r="G4191" s="3">
        <f t="shared" si="1768"/>
        <v>44084</v>
      </c>
      <c r="H4191" s="2">
        <f t="shared" ca="1" si="1769"/>
        <v>169</v>
      </c>
      <c r="I4191" t="str">
        <f t="shared" si="1770"/>
        <v>FB</v>
      </c>
      <c r="J4191">
        <f t="shared" si="1771"/>
        <v>266</v>
      </c>
      <c r="K4191">
        <f t="shared" si="1772"/>
        <v>305</v>
      </c>
      <c r="L4191">
        <f t="shared" si="1773"/>
        <v>285.5</v>
      </c>
      <c r="M4191">
        <f t="shared" si="1774"/>
        <v>19.5</v>
      </c>
      <c r="N4191">
        <f t="shared" si="1763"/>
        <v>39</v>
      </c>
      <c r="O4191">
        <f t="shared" si="1775"/>
        <v>273</v>
      </c>
      <c r="P4191">
        <f t="shared" si="1776"/>
        <v>-0.64102564102564108</v>
      </c>
      <c r="Q4191" t="str">
        <f t="shared" si="1764"/>
        <v>2.56% | 11.72%</v>
      </c>
      <c r="R4191" t="str">
        <f t="shared" si="1777"/>
        <v>BULLISH</v>
      </c>
      <c r="S4191">
        <f t="shared" si="1765"/>
        <v>1</v>
      </c>
    </row>
    <row r="4192" spans="1:19" hidden="1" x14ac:dyDescent="0.25">
      <c r="A4192" s="5" t="str">
        <f t="shared" si="1766"/>
        <v>44084GOOGL</v>
      </c>
      <c r="B4192" s="6" t="s">
        <v>208</v>
      </c>
      <c r="C4192" s="6">
        <v>1496</v>
      </c>
      <c r="D4192" s="6">
        <v>1618</v>
      </c>
      <c r="E4192" s="6">
        <v>1547</v>
      </c>
      <c r="F4192" t="str">
        <f t="shared" si="1767"/>
        <v>THU</v>
      </c>
      <c r="G4192" s="3">
        <f t="shared" si="1768"/>
        <v>44084</v>
      </c>
      <c r="H4192" s="2">
        <f t="shared" ca="1" si="1769"/>
        <v>169</v>
      </c>
      <c r="I4192" t="str">
        <f t="shared" si="1770"/>
        <v>GOOGL</v>
      </c>
      <c r="J4192">
        <f t="shared" si="1771"/>
        <v>1496</v>
      </c>
      <c r="K4192">
        <f t="shared" si="1772"/>
        <v>1618</v>
      </c>
      <c r="L4192">
        <f t="shared" si="1773"/>
        <v>1557</v>
      </c>
      <c r="M4192">
        <f t="shared" si="1774"/>
        <v>61</v>
      </c>
      <c r="N4192">
        <f t="shared" si="1763"/>
        <v>122</v>
      </c>
      <c r="O4192">
        <f t="shared" si="1775"/>
        <v>1547</v>
      </c>
      <c r="P4192">
        <f t="shared" si="1776"/>
        <v>-0.16393442622950818</v>
      </c>
      <c r="Q4192" t="str">
        <f t="shared" si="1764"/>
        <v>3.3% | 4.59%</v>
      </c>
      <c r="R4192" t="str">
        <f t="shared" si="1777"/>
        <v>NEUTRAL</v>
      </c>
      <c r="S4192">
        <f t="shared" si="1765"/>
        <v>0</v>
      </c>
    </row>
    <row r="4193" spans="1:19" hidden="1" x14ac:dyDescent="0.25">
      <c r="A4193" s="5" t="str">
        <f t="shared" si="1766"/>
        <v>44084NFLX</v>
      </c>
      <c r="B4193" s="6" t="s">
        <v>194</v>
      </c>
      <c r="C4193" s="6">
        <v>489</v>
      </c>
      <c r="D4193" s="6">
        <v>562</v>
      </c>
      <c r="E4193" s="6">
        <v>500</v>
      </c>
      <c r="F4193" t="str">
        <f t="shared" si="1767"/>
        <v>THU</v>
      </c>
      <c r="G4193" s="3">
        <f t="shared" si="1768"/>
        <v>44084</v>
      </c>
      <c r="H4193" s="2">
        <f t="shared" ca="1" si="1769"/>
        <v>169</v>
      </c>
      <c r="I4193" t="str">
        <f t="shared" si="1770"/>
        <v>NFLX</v>
      </c>
      <c r="J4193">
        <f t="shared" si="1771"/>
        <v>489</v>
      </c>
      <c r="K4193">
        <f t="shared" si="1772"/>
        <v>562</v>
      </c>
      <c r="L4193">
        <f t="shared" si="1773"/>
        <v>525.5</v>
      </c>
      <c r="M4193">
        <f t="shared" si="1774"/>
        <v>36.5</v>
      </c>
      <c r="N4193">
        <f t="shared" si="1763"/>
        <v>73</v>
      </c>
      <c r="O4193">
        <f t="shared" si="1775"/>
        <v>500</v>
      </c>
      <c r="P4193">
        <f t="shared" si="1776"/>
        <v>-0.69863013698630139</v>
      </c>
      <c r="Q4193" t="str">
        <f t="shared" si="1764"/>
        <v>2.2% | 12.4%</v>
      </c>
      <c r="R4193" t="str">
        <f t="shared" si="1777"/>
        <v>BULLISH</v>
      </c>
      <c r="S4193">
        <f t="shared" si="1765"/>
        <v>1</v>
      </c>
    </row>
    <row r="4194" spans="1:19" x14ac:dyDescent="0.25">
      <c r="A4194" s="5" t="str">
        <f t="shared" si="1766"/>
        <v>44084TSLA</v>
      </c>
      <c r="B4194" s="6" t="s">
        <v>209</v>
      </c>
      <c r="C4194" s="6">
        <v>299</v>
      </c>
      <c r="D4194" s="6">
        <v>424</v>
      </c>
      <c r="E4194" s="6">
        <v>366</v>
      </c>
      <c r="F4194" t="str">
        <f t="shared" si="1767"/>
        <v>THU</v>
      </c>
      <c r="G4194" s="3">
        <f t="shared" si="1768"/>
        <v>44084</v>
      </c>
      <c r="H4194" s="2">
        <f t="shared" ca="1" si="1769"/>
        <v>169</v>
      </c>
      <c r="I4194" t="str">
        <f t="shared" si="1770"/>
        <v>TSLA</v>
      </c>
      <c r="J4194">
        <f t="shared" si="1771"/>
        <v>299</v>
      </c>
      <c r="K4194">
        <f t="shared" si="1772"/>
        <v>424</v>
      </c>
      <c r="L4194">
        <f t="shared" si="1773"/>
        <v>361.5</v>
      </c>
      <c r="M4194">
        <f t="shared" si="1774"/>
        <v>62.5</v>
      </c>
      <c r="N4194">
        <f t="shared" si="1763"/>
        <v>125</v>
      </c>
      <c r="O4194">
        <f t="shared" si="1775"/>
        <v>366</v>
      </c>
      <c r="P4194">
        <f t="shared" si="1776"/>
        <v>7.1999999999999995E-2</v>
      </c>
      <c r="Q4194" t="str">
        <f t="shared" si="1764"/>
        <v>18.31% | 15.85%</v>
      </c>
      <c r="R4194" t="str">
        <f t="shared" si="1777"/>
        <v>NEUTRAL</v>
      </c>
      <c r="S4194">
        <f t="shared" si="1765"/>
        <v>0</v>
      </c>
    </row>
    <row r="4195" spans="1:19" hidden="1" x14ac:dyDescent="0.25">
      <c r="A4195" s="5" t="str">
        <f t="shared" si="1766"/>
        <v>44084NYXBT</v>
      </c>
      <c r="B4195" s="6" t="s">
        <v>210</v>
      </c>
      <c r="C4195" s="6">
        <v>9713</v>
      </c>
      <c r="D4195" s="6">
        <v>11047</v>
      </c>
      <c r="E4195" s="6">
        <v>10241</v>
      </c>
      <c r="F4195" t="str">
        <f t="shared" si="1767"/>
        <v>THU</v>
      </c>
      <c r="G4195" s="3">
        <f t="shared" si="1768"/>
        <v>44084</v>
      </c>
      <c r="H4195" s="2">
        <f t="shared" ca="1" si="1769"/>
        <v>169</v>
      </c>
      <c r="I4195" t="str">
        <f t="shared" si="1770"/>
        <v>NYXBT</v>
      </c>
      <c r="J4195">
        <f t="shared" si="1771"/>
        <v>9713</v>
      </c>
      <c r="K4195">
        <f t="shared" si="1772"/>
        <v>11047</v>
      </c>
      <c r="L4195">
        <f t="shared" si="1773"/>
        <v>10380</v>
      </c>
      <c r="M4195">
        <f t="shared" si="1774"/>
        <v>667</v>
      </c>
      <c r="N4195">
        <f t="shared" si="1763"/>
        <v>1334</v>
      </c>
      <c r="O4195">
        <f t="shared" si="1775"/>
        <v>10241</v>
      </c>
      <c r="P4195">
        <f t="shared" si="1776"/>
        <v>-0.20839580209895053</v>
      </c>
      <c r="Q4195" t="str">
        <f t="shared" si="1764"/>
        <v>5.16% | 7.87%</v>
      </c>
      <c r="R4195" t="str">
        <f t="shared" si="1777"/>
        <v>NEUTRAL</v>
      </c>
      <c r="S4195">
        <f t="shared" si="1765"/>
        <v>0</v>
      </c>
    </row>
    <row r="4196" spans="1:19" hidden="1" x14ac:dyDescent="0.25">
      <c r="A4196" s="5" t="str">
        <f t="shared" si="1766"/>
        <v>44085UST10Y</v>
      </c>
      <c r="B4196" s="6" t="s">
        <v>161</v>
      </c>
      <c r="C4196" s="6">
        <v>0.74</v>
      </c>
      <c r="D4196" s="6">
        <v>0.6</v>
      </c>
      <c r="E4196" s="6">
        <v>0.68</v>
      </c>
      <c r="F4196" t="str">
        <f t="shared" si="1767"/>
        <v>FRI</v>
      </c>
      <c r="G4196" s="1">
        <f>DATE(2020,9,11)</f>
        <v>44085</v>
      </c>
      <c r="H4196" s="2">
        <f t="shared" ca="1" si="1769"/>
        <v>168</v>
      </c>
      <c r="I4196" t="str">
        <f t="shared" si="1770"/>
        <v>UST10Y</v>
      </c>
      <c r="J4196">
        <f t="shared" si="1771"/>
        <v>0.74</v>
      </c>
      <c r="K4196">
        <f t="shared" si="1772"/>
        <v>0.6</v>
      </c>
      <c r="L4196">
        <f t="shared" si="1773"/>
        <v>0.66999999999999993</v>
      </c>
      <c r="M4196">
        <f t="shared" si="1774"/>
        <v>7.0000000000000506E-2</v>
      </c>
      <c r="N4196">
        <f t="shared" si="1763"/>
        <v>0.14000000000000001</v>
      </c>
      <c r="O4196">
        <f t="shared" si="1775"/>
        <v>0.68</v>
      </c>
      <c r="P4196">
        <f t="shared" si="1776"/>
        <v>0.14285714285714354</v>
      </c>
      <c r="Q4196" t="str">
        <f t="shared" si="1764"/>
        <v>8.82% | 11.76%</v>
      </c>
      <c r="R4196" t="str">
        <f t="shared" si="1777"/>
        <v>BEARISH</v>
      </c>
      <c r="S4196">
        <f t="shared" si="1765"/>
        <v>-1</v>
      </c>
    </row>
    <row r="4197" spans="1:19" hidden="1" x14ac:dyDescent="0.25">
      <c r="A4197" s="5" t="str">
        <f t="shared" si="1766"/>
        <v>44085UST2Y</v>
      </c>
      <c r="B4197" s="6" t="s">
        <v>162</v>
      </c>
      <c r="C4197" s="6">
        <v>0.16</v>
      </c>
      <c r="D4197" s="6">
        <v>0.12</v>
      </c>
      <c r="E4197" s="6">
        <v>0.14000000000000001</v>
      </c>
      <c r="F4197" t="str">
        <f t="shared" ref="F4197:F4227" si="1778">UPPER(TEXT(G4197,"ddd"))</f>
        <v>FRI</v>
      </c>
      <c r="G4197" s="1">
        <f t="shared" ref="G4197:G4226" si="1779">DATE(2020,9,11)</f>
        <v>44085</v>
      </c>
      <c r="H4197" s="2">
        <f t="shared" ref="H4197:H4227" ca="1" si="1780">TODAY()-G4197</f>
        <v>168</v>
      </c>
      <c r="I4197" t="str">
        <f t="shared" ref="I4197:I4227" si="1781">TRIM(LEFT(B4197,FIND(" ",B4197,1)))</f>
        <v>UST2Y</v>
      </c>
      <c r="J4197">
        <f t="shared" ref="J4197:J4227" si="1782">C4197</f>
        <v>0.16</v>
      </c>
      <c r="K4197">
        <f t="shared" ref="K4197:K4227" si="1783">D4197</f>
        <v>0.12</v>
      </c>
      <c r="L4197">
        <f t="shared" ref="L4197:L4227" si="1784">AVERAGE(J4197:K4197)</f>
        <v>0.14000000000000001</v>
      </c>
      <c r="M4197">
        <f t="shared" ref="M4197:M4227" si="1785">_xlfn.STDEV.P(J4197:K4197)</f>
        <v>1.9999999999999938E-2</v>
      </c>
      <c r="N4197">
        <f t="shared" si="1763"/>
        <v>4.0000000000000008E-2</v>
      </c>
      <c r="O4197">
        <f t="shared" ref="O4197:O4227" si="1786">E4197</f>
        <v>0.14000000000000001</v>
      </c>
      <c r="P4197">
        <f t="shared" ref="P4197:P4227" si="1787">(O4197-L4197)/M4197</f>
        <v>0</v>
      </c>
      <c r="Q4197" t="str">
        <f t="shared" si="1764"/>
        <v>14.29% | 14.29%</v>
      </c>
      <c r="R4197" t="str">
        <f t="shared" ref="R4197:R4227" si="1788">MID(B4197,FIND("(",B4197,1)+1,FIND(")",B4197,1)-FIND("(",B4197,1)-1)</f>
        <v>BEARISH</v>
      </c>
      <c r="S4197">
        <f t="shared" si="1765"/>
        <v>-1</v>
      </c>
    </row>
    <row r="4198" spans="1:19" hidden="1" x14ac:dyDescent="0.25">
      <c r="A4198" s="5" t="str">
        <f t="shared" si="1766"/>
        <v>44085SPX</v>
      </c>
      <c r="B4198" s="6" t="s">
        <v>211</v>
      </c>
      <c r="C4198" s="6">
        <v>3271</v>
      </c>
      <c r="D4198" s="6">
        <v>3461</v>
      </c>
      <c r="E4198" s="6">
        <v>3339</v>
      </c>
      <c r="F4198" t="str">
        <f t="shared" si="1778"/>
        <v>FRI</v>
      </c>
      <c r="G4198" s="1">
        <f t="shared" si="1779"/>
        <v>44085</v>
      </c>
      <c r="H4198" s="2">
        <f t="shared" ca="1" si="1780"/>
        <v>168</v>
      </c>
      <c r="I4198" t="str">
        <f t="shared" si="1781"/>
        <v>SPX</v>
      </c>
      <c r="J4198">
        <f t="shared" si="1782"/>
        <v>3271</v>
      </c>
      <c r="K4198">
        <f t="shared" si="1783"/>
        <v>3461</v>
      </c>
      <c r="L4198">
        <f t="shared" si="1784"/>
        <v>3366</v>
      </c>
      <c r="M4198">
        <f t="shared" si="1785"/>
        <v>95</v>
      </c>
      <c r="N4198">
        <f t="shared" si="1763"/>
        <v>190</v>
      </c>
      <c r="O4198">
        <f t="shared" si="1786"/>
        <v>3339</v>
      </c>
      <c r="P4198">
        <f t="shared" si="1787"/>
        <v>-0.28421052631578947</v>
      </c>
      <c r="Q4198" t="str">
        <f t="shared" si="1764"/>
        <v>2.04% | 3.65%</v>
      </c>
      <c r="R4198" t="str">
        <f t="shared" si="1788"/>
        <v>BEARISH</v>
      </c>
      <c r="S4198">
        <f t="shared" si="1765"/>
        <v>-1</v>
      </c>
    </row>
    <row r="4199" spans="1:19" hidden="1" x14ac:dyDescent="0.25">
      <c r="A4199" s="5" t="str">
        <f t="shared" si="1766"/>
        <v>44085RUT</v>
      </c>
      <c r="B4199" s="6" t="s">
        <v>164</v>
      </c>
      <c r="C4199" s="6">
        <v>1475</v>
      </c>
      <c r="D4199" s="6">
        <v>1550</v>
      </c>
      <c r="E4199" s="6">
        <v>1507</v>
      </c>
      <c r="F4199" t="str">
        <f t="shared" si="1778"/>
        <v>FRI</v>
      </c>
      <c r="G4199" s="1">
        <f t="shared" si="1779"/>
        <v>44085</v>
      </c>
      <c r="H4199" s="2">
        <f t="shared" ca="1" si="1780"/>
        <v>168</v>
      </c>
      <c r="I4199" t="str">
        <f t="shared" si="1781"/>
        <v>RUT</v>
      </c>
      <c r="J4199">
        <f t="shared" si="1782"/>
        <v>1475</v>
      </c>
      <c r="K4199">
        <f t="shared" si="1783"/>
        <v>1550</v>
      </c>
      <c r="L4199">
        <f t="shared" si="1784"/>
        <v>1512.5</v>
      </c>
      <c r="M4199">
        <f t="shared" si="1785"/>
        <v>37.5</v>
      </c>
      <c r="N4199">
        <f t="shared" si="1763"/>
        <v>75</v>
      </c>
      <c r="O4199">
        <f t="shared" si="1786"/>
        <v>1507</v>
      </c>
      <c r="P4199">
        <f t="shared" si="1787"/>
        <v>-0.14666666666666667</v>
      </c>
      <c r="Q4199" t="str">
        <f t="shared" si="1764"/>
        <v>2.12% | 2.85%</v>
      </c>
      <c r="R4199" t="str">
        <f t="shared" si="1788"/>
        <v>BEARISH</v>
      </c>
      <c r="S4199">
        <f t="shared" si="1765"/>
        <v>-1</v>
      </c>
    </row>
    <row r="4200" spans="1:19" hidden="1" x14ac:dyDescent="0.25">
      <c r="A4200" s="5" t="str">
        <f t="shared" si="1766"/>
        <v>44085COMPQ</v>
      </c>
      <c r="B4200" s="6" t="s">
        <v>212</v>
      </c>
      <c r="C4200" s="6">
        <v>10513</v>
      </c>
      <c r="D4200" s="6">
        <v>11470</v>
      </c>
      <c r="E4200" s="6">
        <v>10919</v>
      </c>
      <c r="F4200" t="str">
        <f t="shared" si="1778"/>
        <v>FRI</v>
      </c>
      <c r="G4200" s="1">
        <f t="shared" si="1779"/>
        <v>44085</v>
      </c>
      <c r="H4200" s="2">
        <f t="shared" ca="1" si="1780"/>
        <v>168</v>
      </c>
      <c r="I4200" t="str">
        <f t="shared" si="1781"/>
        <v>COMPQ</v>
      </c>
      <c r="J4200">
        <f t="shared" si="1782"/>
        <v>10513</v>
      </c>
      <c r="K4200">
        <f t="shared" si="1783"/>
        <v>11470</v>
      </c>
      <c r="L4200">
        <f t="shared" si="1784"/>
        <v>10991.5</v>
      </c>
      <c r="M4200">
        <f t="shared" si="1785"/>
        <v>478.5</v>
      </c>
      <c r="N4200">
        <f t="shared" si="1763"/>
        <v>957</v>
      </c>
      <c r="O4200">
        <f t="shared" si="1786"/>
        <v>10919</v>
      </c>
      <c r="P4200">
        <f t="shared" si="1787"/>
        <v>-0.15151515151515152</v>
      </c>
      <c r="Q4200" t="str">
        <f t="shared" si="1764"/>
        <v>3.72% | 5.05%</v>
      </c>
      <c r="R4200" t="str">
        <f t="shared" si="1788"/>
        <v>NEUTRAL</v>
      </c>
      <c r="S4200">
        <f t="shared" si="1765"/>
        <v>0</v>
      </c>
    </row>
    <row r="4201" spans="1:19" hidden="1" x14ac:dyDescent="0.25">
      <c r="A4201" s="5" t="str">
        <f t="shared" si="1766"/>
        <v>44085XLK</v>
      </c>
      <c r="B4201" s="6" t="s">
        <v>203</v>
      </c>
      <c r="C4201" s="6">
        <v>109.34</v>
      </c>
      <c r="D4201" s="6">
        <v>120.17</v>
      </c>
      <c r="E4201" s="6">
        <v>113.83</v>
      </c>
      <c r="F4201" t="str">
        <f t="shared" si="1778"/>
        <v>FRI</v>
      </c>
      <c r="G4201" s="1">
        <f t="shared" si="1779"/>
        <v>44085</v>
      </c>
      <c r="H4201" s="2">
        <f t="shared" ca="1" si="1780"/>
        <v>168</v>
      </c>
      <c r="I4201" t="str">
        <f t="shared" si="1781"/>
        <v>XLK</v>
      </c>
      <c r="J4201">
        <f t="shared" si="1782"/>
        <v>109.34</v>
      </c>
      <c r="K4201">
        <f t="shared" si="1783"/>
        <v>120.17</v>
      </c>
      <c r="L4201">
        <f t="shared" si="1784"/>
        <v>114.755</v>
      </c>
      <c r="M4201">
        <f t="shared" si="1785"/>
        <v>5.4149999999999991</v>
      </c>
      <c r="N4201">
        <f t="shared" si="1763"/>
        <v>10.829999999999998</v>
      </c>
      <c r="O4201">
        <f t="shared" si="1786"/>
        <v>113.83</v>
      </c>
      <c r="P4201">
        <f t="shared" si="1787"/>
        <v>-0.17082179132040579</v>
      </c>
      <c r="Q4201" t="str">
        <f t="shared" si="1764"/>
        <v>3.94% | 5.57%</v>
      </c>
      <c r="R4201" t="str">
        <f t="shared" si="1788"/>
        <v>NEUTRAL</v>
      </c>
      <c r="S4201">
        <f t="shared" si="1765"/>
        <v>0</v>
      </c>
    </row>
    <row r="4202" spans="1:19" hidden="1" x14ac:dyDescent="0.25">
      <c r="A4202" s="5" t="str">
        <f t="shared" si="1766"/>
        <v>44085XLRE</v>
      </c>
      <c r="B4202" s="6" t="s">
        <v>167</v>
      </c>
      <c r="C4202" s="6">
        <v>35.14</v>
      </c>
      <c r="D4202" s="6">
        <v>36.75</v>
      </c>
      <c r="E4202" s="6">
        <v>35.67</v>
      </c>
      <c r="F4202" t="str">
        <f t="shared" si="1778"/>
        <v>FRI</v>
      </c>
      <c r="G4202" s="1">
        <f t="shared" si="1779"/>
        <v>44085</v>
      </c>
      <c r="H4202" s="2">
        <f t="shared" ca="1" si="1780"/>
        <v>168</v>
      </c>
      <c r="I4202" t="str">
        <f t="shared" si="1781"/>
        <v>XLRE</v>
      </c>
      <c r="J4202">
        <f t="shared" si="1782"/>
        <v>35.14</v>
      </c>
      <c r="K4202">
        <f t="shared" si="1783"/>
        <v>36.75</v>
      </c>
      <c r="L4202">
        <f t="shared" si="1784"/>
        <v>35.945</v>
      </c>
      <c r="M4202">
        <f t="shared" si="1785"/>
        <v>0.80499999999999972</v>
      </c>
      <c r="N4202">
        <f t="shared" si="1763"/>
        <v>1.6099999999999994</v>
      </c>
      <c r="O4202">
        <f t="shared" si="1786"/>
        <v>35.67</v>
      </c>
      <c r="P4202">
        <f t="shared" si="1787"/>
        <v>-0.34161490683229651</v>
      </c>
      <c r="Q4202" t="str">
        <f t="shared" si="1764"/>
        <v>1.49% | 3.03%</v>
      </c>
      <c r="R4202" t="str">
        <f t="shared" si="1788"/>
        <v>BULLISH</v>
      </c>
      <c r="S4202">
        <f t="shared" si="1765"/>
        <v>1</v>
      </c>
    </row>
    <row r="4203" spans="1:19" hidden="1" x14ac:dyDescent="0.25">
      <c r="A4203" s="5" t="str">
        <f t="shared" si="1766"/>
        <v>44085XLU</v>
      </c>
      <c r="B4203" s="6" t="s">
        <v>168</v>
      </c>
      <c r="C4203" s="6">
        <v>58.07</v>
      </c>
      <c r="D4203" s="6">
        <v>60.48</v>
      </c>
      <c r="E4203" s="6">
        <v>58.79</v>
      </c>
      <c r="F4203" t="str">
        <f t="shared" si="1778"/>
        <v>FRI</v>
      </c>
      <c r="G4203" s="1">
        <f t="shared" si="1779"/>
        <v>44085</v>
      </c>
      <c r="H4203" s="2">
        <f t="shared" ca="1" si="1780"/>
        <v>168</v>
      </c>
      <c r="I4203" t="str">
        <f t="shared" si="1781"/>
        <v>XLU</v>
      </c>
      <c r="J4203">
        <f t="shared" si="1782"/>
        <v>58.07</v>
      </c>
      <c r="K4203">
        <f t="shared" si="1783"/>
        <v>60.48</v>
      </c>
      <c r="L4203">
        <f t="shared" si="1784"/>
        <v>59.274999999999999</v>
      </c>
      <c r="M4203">
        <f t="shared" si="1785"/>
        <v>1.2049999999999983</v>
      </c>
      <c r="N4203">
        <f t="shared" si="1763"/>
        <v>2.4099999999999966</v>
      </c>
      <c r="O4203">
        <f t="shared" si="1786"/>
        <v>58.79</v>
      </c>
      <c r="P4203">
        <f t="shared" si="1787"/>
        <v>-0.40248962655601672</v>
      </c>
      <c r="Q4203" t="str">
        <f t="shared" si="1764"/>
        <v>1.22% | 2.87%</v>
      </c>
      <c r="R4203" t="str">
        <f t="shared" si="1788"/>
        <v>BULLISH</v>
      </c>
      <c r="S4203">
        <f t="shared" si="1765"/>
        <v>1</v>
      </c>
    </row>
    <row r="4204" spans="1:19" hidden="1" x14ac:dyDescent="0.25">
      <c r="A4204" s="5" t="str">
        <f t="shared" si="1766"/>
        <v>44085XLF</v>
      </c>
      <c r="B4204" s="6" t="s">
        <v>169</v>
      </c>
      <c r="C4204" s="6">
        <v>24.3</v>
      </c>
      <c r="D4204" s="6">
        <v>25.63</v>
      </c>
      <c r="E4204" s="6">
        <v>24.54</v>
      </c>
      <c r="F4204" t="str">
        <f t="shared" si="1778"/>
        <v>FRI</v>
      </c>
      <c r="G4204" s="1">
        <f t="shared" si="1779"/>
        <v>44085</v>
      </c>
      <c r="H4204" s="2">
        <f t="shared" ca="1" si="1780"/>
        <v>168</v>
      </c>
      <c r="I4204" t="str">
        <f t="shared" si="1781"/>
        <v>XLF</v>
      </c>
      <c r="J4204">
        <f t="shared" si="1782"/>
        <v>24.3</v>
      </c>
      <c r="K4204">
        <f t="shared" si="1783"/>
        <v>25.63</v>
      </c>
      <c r="L4204">
        <f t="shared" si="1784"/>
        <v>24.965</v>
      </c>
      <c r="M4204">
        <f t="shared" si="1785"/>
        <v>0.66499999999999915</v>
      </c>
      <c r="N4204">
        <f t="shared" si="1763"/>
        <v>1.3299999999999983</v>
      </c>
      <c r="O4204">
        <f t="shared" si="1786"/>
        <v>24.54</v>
      </c>
      <c r="P4204">
        <f t="shared" si="1787"/>
        <v>-0.63909774436090416</v>
      </c>
      <c r="Q4204" t="str">
        <f t="shared" si="1764"/>
        <v>0.98% | 4.44%</v>
      </c>
      <c r="R4204" t="str">
        <f t="shared" si="1788"/>
        <v>BEARISH</v>
      </c>
      <c r="S4204">
        <f t="shared" si="1765"/>
        <v>-1</v>
      </c>
    </row>
    <row r="4205" spans="1:19" hidden="1" x14ac:dyDescent="0.25">
      <c r="A4205" s="5" t="str">
        <f t="shared" si="1766"/>
        <v>44085SSEC</v>
      </c>
      <c r="B4205" s="6" t="s">
        <v>170</v>
      </c>
      <c r="C4205" s="6">
        <v>3201</v>
      </c>
      <c r="D4205" s="6">
        <v>3450</v>
      </c>
      <c r="E4205" s="6">
        <v>3260</v>
      </c>
      <c r="F4205" t="str">
        <f t="shared" si="1778"/>
        <v>FRI</v>
      </c>
      <c r="G4205" s="1">
        <f t="shared" si="1779"/>
        <v>44085</v>
      </c>
      <c r="H4205" s="2">
        <f t="shared" ca="1" si="1780"/>
        <v>168</v>
      </c>
      <c r="I4205" t="str">
        <f t="shared" si="1781"/>
        <v>SSEC</v>
      </c>
      <c r="J4205">
        <f t="shared" si="1782"/>
        <v>3201</v>
      </c>
      <c r="K4205">
        <f t="shared" si="1783"/>
        <v>3450</v>
      </c>
      <c r="L4205">
        <f t="shared" si="1784"/>
        <v>3325.5</v>
      </c>
      <c r="M4205">
        <f t="shared" si="1785"/>
        <v>124.5</v>
      </c>
      <c r="N4205">
        <f t="shared" si="1763"/>
        <v>249</v>
      </c>
      <c r="O4205">
        <f t="shared" si="1786"/>
        <v>3260</v>
      </c>
      <c r="P4205">
        <f t="shared" si="1787"/>
        <v>-0.52610441767068272</v>
      </c>
      <c r="Q4205" t="str">
        <f t="shared" si="1764"/>
        <v>1.81% | 5.83%</v>
      </c>
      <c r="R4205" t="str">
        <f t="shared" si="1788"/>
        <v>BULLISH</v>
      </c>
      <c r="S4205">
        <f t="shared" si="1765"/>
        <v>1</v>
      </c>
    </row>
    <row r="4206" spans="1:19" hidden="1" x14ac:dyDescent="0.25">
      <c r="A4206" s="5" t="str">
        <f t="shared" si="1766"/>
        <v>44085NIKK</v>
      </c>
      <c r="B4206" s="6" t="s">
        <v>201</v>
      </c>
      <c r="C4206" s="6">
        <v>22865</v>
      </c>
      <c r="D4206" s="6">
        <v>23465</v>
      </c>
      <c r="E4206" s="6">
        <v>23406</v>
      </c>
      <c r="F4206" t="str">
        <f t="shared" si="1778"/>
        <v>FRI</v>
      </c>
      <c r="G4206" s="1">
        <f t="shared" si="1779"/>
        <v>44085</v>
      </c>
      <c r="H4206" s="2">
        <f t="shared" ca="1" si="1780"/>
        <v>168</v>
      </c>
      <c r="I4206" t="str">
        <f t="shared" si="1781"/>
        <v>NIKK</v>
      </c>
      <c r="J4206">
        <f t="shared" si="1782"/>
        <v>22865</v>
      </c>
      <c r="K4206">
        <f t="shared" si="1783"/>
        <v>23465</v>
      </c>
      <c r="L4206">
        <f t="shared" si="1784"/>
        <v>23165</v>
      </c>
      <c r="M4206">
        <f t="shared" si="1785"/>
        <v>300</v>
      </c>
      <c r="N4206">
        <f t="shared" si="1763"/>
        <v>600</v>
      </c>
      <c r="O4206">
        <f t="shared" si="1786"/>
        <v>23406</v>
      </c>
      <c r="P4206">
        <f t="shared" si="1787"/>
        <v>0.80333333333333334</v>
      </c>
      <c r="Q4206" t="str">
        <f t="shared" si="1764"/>
        <v>2.31% | 0.25%</v>
      </c>
      <c r="R4206" t="str">
        <f t="shared" si="1788"/>
        <v>BULLISH</v>
      </c>
      <c r="S4206">
        <f t="shared" si="1765"/>
        <v>1</v>
      </c>
    </row>
    <row r="4207" spans="1:19" hidden="1" x14ac:dyDescent="0.25">
      <c r="A4207" s="5" t="str">
        <f t="shared" si="1766"/>
        <v>44085DAX</v>
      </c>
      <c r="B4207" s="6" t="s">
        <v>172</v>
      </c>
      <c r="C4207" s="6">
        <v>12714</v>
      </c>
      <c r="D4207" s="6">
        <v>13333</v>
      </c>
      <c r="E4207" s="6">
        <v>13202</v>
      </c>
      <c r="F4207" t="str">
        <f t="shared" si="1778"/>
        <v>FRI</v>
      </c>
      <c r="G4207" s="1">
        <f t="shared" si="1779"/>
        <v>44085</v>
      </c>
      <c r="H4207" s="2">
        <f t="shared" ca="1" si="1780"/>
        <v>168</v>
      </c>
      <c r="I4207" t="str">
        <f t="shared" si="1781"/>
        <v>DAX</v>
      </c>
      <c r="J4207">
        <f t="shared" si="1782"/>
        <v>12714</v>
      </c>
      <c r="K4207">
        <f t="shared" si="1783"/>
        <v>13333</v>
      </c>
      <c r="L4207">
        <f t="shared" si="1784"/>
        <v>13023.5</v>
      </c>
      <c r="M4207">
        <f t="shared" si="1785"/>
        <v>309.5</v>
      </c>
      <c r="N4207">
        <f t="shared" si="1763"/>
        <v>619</v>
      </c>
      <c r="O4207">
        <f t="shared" si="1786"/>
        <v>13202</v>
      </c>
      <c r="P4207">
        <f t="shared" si="1787"/>
        <v>0.57673667205169632</v>
      </c>
      <c r="Q4207" t="str">
        <f t="shared" si="1764"/>
        <v>3.7% | 0.99%</v>
      </c>
      <c r="R4207" t="str">
        <f t="shared" si="1788"/>
        <v>BULLISH</v>
      </c>
      <c r="S4207">
        <f t="shared" si="1765"/>
        <v>1</v>
      </c>
    </row>
    <row r="4208" spans="1:19" hidden="1" x14ac:dyDescent="0.25">
      <c r="A4208" s="5" t="str">
        <f t="shared" si="1766"/>
        <v>44085VIX</v>
      </c>
      <c r="B4208" s="6" t="s">
        <v>202</v>
      </c>
      <c r="C4208" s="6">
        <v>26.07</v>
      </c>
      <c r="D4208" s="6">
        <v>35.659999999999997</v>
      </c>
      <c r="E4208" s="6">
        <v>29.71</v>
      </c>
      <c r="F4208" t="str">
        <f t="shared" si="1778"/>
        <v>FRI</v>
      </c>
      <c r="G4208" s="1">
        <f t="shared" si="1779"/>
        <v>44085</v>
      </c>
      <c r="H4208" s="2">
        <f t="shared" ca="1" si="1780"/>
        <v>168</v>
      </c>
      <c r="I4208" t="str">
        <f t="shared" si="1781"/>
        <v>VIX</v>
      </c>
      <c r="J4208">
        <f t="shared" si="1782"/>
        <v>26.07</v>
      </c>
      <c r="K4208">
        <f t="shared" si="1783"/>
        <v>35.659999999999997</v>
      </c>
      <c r="L4208">
        <f t="shared" si="1784"/>
        <v>30.864999999999998</v>
      </c>
      <c r="M4208">
        <f t="shared" si="1785"/>
        <v>4.7950000000000017</v>
      </c>
      <c r="N4208">
        <f t="shared" si="1763"/>
        <v>9.5899999999999963</v>
      </c>
      <c r="O4208">
        <f t="shared" si="1786"/>
        <v>29.71</v>
      </c>
      <c r="P4208">
        <f t="shared" si="1787"/>
        <v>-0.24087591240875852</v>
      </c>
      <c r="Q4208" t="str">
        <f t="shared" si="1764"/>
        <v>12.25% | 20.03%</v>
      </c>
      <c r="R4208" t="str">
        <f t="shared" si="1788"/>
        <v>BULLISH</v>
      </c>
      <c r="S4208">
        <f t="shared" si="1765"/>
        <v>1</v>
      </c>
    </row>
    <row r="4209" spans="1:19" hidden="1" x14ac:dyDescent="0.25">
      <c r="A4209" s="5" t="str">
        <f t="shared" si="1766"/>
        <v>44085USD</v>
      </c>
      <c r="B4209" s="6" t="s">
        <v>174</v>
      </c>
      <c r="C4209" s="6">
        <v>91.9</v>
      </c>
      <c r="D4209" s="6">
        <v>93.55</v>
      </c>
      <c r="E4209" s="6">
        <v>93.32</v>
      </c>
      <c r="F4209" t="str">
        <f t="shared" si="1778"/>
        <v>FRI</v>
      </c>
      <c r="G4209" s="1">
        <f t="shared" si="1779"/>
        <v>44085</v>
      </c>
      <c r="H4209" s="2">
        <f t="shared" ca="1" si="1780"/>
        <v>168</v>
      </c>
      <c r="I4209" t="str">
        <f t="shared" si="1781"/>
        <v>USD</v>
      </c>
      <c r="J4209">
        <f t="shared" si="1782"/>
        <v>91.9</v>
      </c>
      <c r="K4209">
        <f t="shared" si="1783"/>
        <v>93.55</v>
      </c>
      <c r="L4209">
        <f t="shared" si="1784"/>
        <v>92.724999999999994</v>
      </c>
      <c r="M4209">
        <f t="shared" si="1785"/>
        <v>0.82499999999999574</v>
      </c>
      <c r="N4209">
        <f t="shared" si="1763"/>
        <v>1.6499999999999915</v>
      </c>
      <c r="O4209">
        <f t="shared" si="1786"/>
        <v>93.32</v>
      </c>
      <c r="P4209">
        <f t="shared" si="1787"/>
        <v>0.72121212121212352</v>
      </c>
      <c r="Q4209" t="str">
        <f t="shared" si="1764"/>
        <v>1.52% | 0.25%</v>
      </c>
      <c r="R4209" t="str">
        <f t="shared" si="1788"/>
        <v>BEARISH</v>
      </c>
      <c r="S4209">
        <f t="shared" si="1765"/>
        <v>-1</v>
      </c>
    </row>
    <row r="4210" spans="1:19" hidden="1" x14ac:dyDescent="0.25">
      <c r="A4210" s="5" t="str">
        <f t="shared" si="1766"/>
        <v>44085EUR/USD</v>
      </c>
      <c r="B4210" s="6" t="s">
        <v>175</v>
      </c>
      <c r="C4210" s="6">
        <v>1.17</v>
      </c>
      <c r="D4210" s="6">
        <v>1.19</v>
      </c>
      <c r="E4210" s="6">
        <v>1.18</v>
      </c>
      <c r="F4210" t="str">
        <f t="shared" si="1778"/>
        <v>FRI</v>
      </c>
      <c r="G4210" s="1">
        <f t="shared" si="1779"/>
        <v>44085</v>
      </c>
      <c r="H4210" s="2">
        <f t="shared" ca="1" si="1780"/>
        <v>168</v>
      </c>
      <c r="I4210" t="str">
        <f t="shared" si="1781"/>
        <v>EUR/USD</v>
      </c>
      <c r="J4210">
        <f t="shared" si="1782"/>
        <v>1.17</v>
      </c>
      <c r="K4210">
        <f t="shared" si="1783"/>
        <v>1.19</v>
      </c>
      <c r="L4210">
        <f t="shared" si="1784"/>
        <v>1.18</v>
      </c>
      <c r="M4210">
        <f t="shared" si="1785"/>
        <v>1.0000000000000009E-2</v>
      </c>
      <c r="N4210">
        <f t="shared" si="1763"/>
        <v>2.0000000000000018E-2</v>
      </c>
      <c r="O4210">
        <f t="shared" si="1786"/>
        <v>1.18</v>
      </c>
      <c r="P4210">
        <f t="shared" si="1787"/>
        <v>0</v>
      </c>
      <c r="Q4210" t="str">
        <f t="shared" si="1764"/>
        <v>0.85% | 0.85%</v>
      </c>
      <c r="R4210" t="str">
        <f t="shared" si="1788"/>
        <v>BULLISH</v>
      </c>
      <c r="S4210">
        <f t="shared" si="1765"/>
        <v>1</v>
      </c>
    </row>
    <row r="4211" spans="1:19" hidden="1" x14ac:dyDescent="0.25">
      <c r="A4211" s="5" t="str">
        <f t="shared" si="1766"/>
        <v>44085USD/JPY</v>
      </c>
      <c r="B4211" s="6" t="s">
        <v>176</v>
      </c>
      <c r="C4211" s="6">
        <v>105.31</v>
      </c>
      <c r="D4211" s="6">
        <v>106.8</v>
      </c>
      <c r="E4211" s="6">
        <v>106.11</v>
      </c>
      <c r="F4211" t="str">
        <f t="shared" si="1778"/>
        <v>FRI</v>
      </c>
      <c r="G4211" s="1">
        <f t="shared" si="1779"/>
        <v>44085</v>
      </c>
      <c r="H4211" s="2">
        <f t="shared" ca="1" si="1780"/>
        <v>168</v>
      </c>
      <c r="I4211" t="str">
        <f t="shared" si="1781"/>
        <v>USD/JPY</v>
      </c>
      <c r="J4211">
        <f t="shared" si="1782"/>
        <v>105.31</v>
      </c>
      <c r="K4211">
        <f t="shared" si="1783"/>
        <v>106.8</v>
      </c>
      <c r="L4211">
        <f t="shared" si="1784"/>
        <v>106.05500000000001</v>
      </c>
      <c r="M4211">
        <f t="shared" si="1785"/>
        <v>0.74499999999999733</v>
      </c>
      <c r="N4211">
        <f t="shared" si="1763"/>
        <v>1.4899999999999949</v>
      </c>
      <c r="O4211">
        <f t="shared" si="1786"/>
        <v>106.11</v>
      </c>
      <c r="P4211">
        <f t="shared" si="1787"/>
        <v>7.3825503355695044E-2</v>
      </c>
      <c r="Q4211" t="str">
        <f t="shared" si="1764"/>
        <v>0.75% | 0.65%</v>
      </c>
      <c r="R4211" t="str">
        <f t="shared" si="1788"/>
        <v>BEARISH</v>
      </c>
      <c r="S4211">
        <f t="shared" si="1765"/>
        <v>-1</v>
      </c>
    </row>
    <row r="4212" spans="1:19" hidden="1" x14ac:dyDescent="0.25">
      <c r="A4212" s="5" t="str">
        <f t="shared" si="1766"/>
        <v>44085GBP/USD</v>
      </c>
      <c r="B4212" s="6" t="s">
        <v>177</v>
      </c>
      <c r="C4212" s="6">
        <v>1.28</v>
      </c>
      <c r="D4212" s="6">
        <v>1.33</v>
      </c>
      <c r="E4212" s="6">
        <v>1.28</v>
      </c>
      <c r="F4212" t="str">
        <f t="shared" si="1778"/>
        <v>FRI</v>
      </c>
      <c r="G4212" s="1">
        <f t="shared" si="1779"/>
        <v>44085</v>
      </c>
      <c r="H4212" s="2">
        <f t="shared" ca="1" si="1780"/>
        <v>168</v>
      </c>
      <c r="I4212" t="str">
        <f t="shared" si="1781"/>
        <v>GBP/USD</v>
      </c>
      <c r="J4212">
        <f t="shared" si="1782"/>
        <v>1.28</v>
      </c>
      <c r="K4212">
        <f t="shared" si="1783"/>
        <v>1.33</v>
      </c>
      <c r="L4212">
        <f t="shared" si="1784"/>
        <v>1.3050000000000002</v>
      </c>
      <c r="M4212">
        <f t="shared" si="1785"/>
        <v>2.5000000000000022E-2</v>
      </c>
      <c r="N4212">
        <f t="shared" si="1763"/>
        <v>5.0000000000000044E-2</v>
      </c>
      <c r="O4212">
        <f t="shared" si="1786"/>
        <v>1.28</v>
      </c>
      <c r="P4212">
        <f t="shared" si="1787"/>
        <v>-1.0000000000000044</v>
      </c>
      <c r="Q4212" t="str">
        <f t="shared" si="1764"/>
        <v>0% | 3.91%</v>
      </c>
      <c r="R4212" t="str">
        <f t="shared" si="1788"/>
        <v>BULLISH</v>
      </c>
      <c r="S4212">
        <f t="shared" si="1765"/>
        <v>1</v>
      </c>
    </row>
    <row r="4213" spans="1:19" hidden="1" x14ac:dyDescent="0.25">
      <c r="A4213" s="5" t="str">
        <f t="shared" si="1766"/>
        <v>44085USD/CHF</v>
      </c>
      <c r="B4213" s="6" t="s">
        <v>178</v>
      </c>
      <c r="C4213" s="6">
        <v>0.89</v>
      </c>
      <c r="D4213" s="6">
        <v>0.91</v>
      </c>
      <c r="E4213" s="6">
        <v>0.91</v>
      </c>
      <c r="F4213" t="str">
        <f t="shared" si="1778"/>
        <v>FRI</v>
      </c>
      <c r="G4213" s="1">
        <f t="shared" si="1779"/>
        <v>44085</v>
      </c>
      <c r="H4213" s="2">
        <f t="shared" ca="1" si="1780"/>
        <v>168</v>
      </c>
      <c r="I4213" t="str">
        <f t="shared" si="1781"/>
        <v>USD/CHF</v>
      </c>
      <c r="J4213">
        <f t="shared" si="1782"/>
        <v>0.89</v>
      </c>
      <c r="K4213">
        <f t="shared" si="1783"/>
        <v>0.91</v>
      </c>
      <c r="L4213">
        <f t="shared" si="1784"/>
        <v>0.9</v>
      </c>
      <c r="M4213">
        <f t="shared" si="1785"/>
        <v>1.0000000000000009E-2</v>
      </c>
      <c r="N4213">
        <f t="shared" si="1763"/>
        <v>2.0000000000000018E-2</v>
      </c>
      <c r="O4213">
        <f t="shared" si="1786"/>
        <v>0.91</v>
      </c>
      <c r="P4213">
        <f t="shared" si="1787"/>
        <v>1</v>
      </c>
      <c r="Q4213" t="str">
        <f t="shared" si="1764"/>
        <v>2.2% | 0%</v>
      </c>
      <c r="R4213" t="str">
        <f t="shared" si="1788"/>
        <v>BEARISH</v>
      </c>
      <c r="S4213">
        <f t="shared" si="1765"/>
        <v>-1</v>
      </c>
    </row>
    <row r="4214" spans="1:19" hidden="1" x14ac:dyDescent="0.25">
      <c r="A4214" s="5" t="str">
        <f t="shared" si="1766"/>
        <v>44085WTIC</v>
      </c>
      <c r="B4214" s="6" t="s">
        <v>205</v>
      </c>
      <c r="C4214" s="6">
        <v>35.630000000000003</v>
      </c>
      <c r="D4214" s="6">
        <v>40.99</v>
      </c>
      <c r="E4214" s="6">
        <v>37.299999999999997</v>
      </c>
      <c r="F4214" t="str">
        <f t="shared" si="1778"/>
        <v>FRI</v>
      </c>
      <c r="G4214" s="1">
        <f t="shared" si="1779"/>
        <v>44085</v>
      </c>
      <c r="H4214" s="2">
        <f t="shared" ca="1" si="1780"/>
        <v>168</v>
      </c>
      <c r="I4214" t="str">
        <f t="shared" si="1781"/>
        <v>WTIC</v>
      </c>
      <c r="J4214">
        <f t="shared" si="1782"/>
        <v>35.630000000000003</v>
      </c>
      <c r="K4214">
        <f t="shared" si="1783"/>
        <v>40.99</v>
      </c>
      <c r="L4214">
        <f t="shared" si="1784"/>
        <v>38.31</v>
      </c>
      <c r="M4214">
        <f t="shared" si="1785"/>
        <v>2.6799999999999997</v>
      </c>
      <c r="N4214">
        <f t="shared" si="1763"/>
        <v>5.3599999999999994</v>
      </c>
      <c r="O4214">
        <f t="shared" si="1786"/>
        <v>37.299999999999997</v>
      </c>
      <c r="P4214">
        <f t="shared" si="1787"/>
        <v>-0.37686567164179302</v>
      </c>
      <c r="Q4214" t="str">
        <f t="shared" si="1764"/>
        <v>4.48% | 9.89%</v>
      </c>
      <c r="R4214" t="str">
        <f t="shared" si="1788"/>
        <v>NEUTRAL</v>
      </c>
      <c r="S4214">
        <f t="shared" si="1765"/>
        <v>0</v>
      </c>
    </row>
    <row r="4215" spans="1:19" hidden="1" x14ac:dyDescent="0.25">
      <c r="A4215" s="5" t="str">
        <f t="shared" si="1766"/>
        <v>44085NATGAS</v>
      </c>
      <c r="B4215" s="6" t="s">
        <v>180</v>
      </c>
      <c r="C4215" s="6">
        <v>2.2999999999999998</v>
      </c>
      <c r="D4215" s="6">
        <v>2.75</v>
      </c>
      <c r="E4215" s="6">
        <v>2.3199999999999998</v>
      </c>
      <c r="F4215" t="str">
        <f t="shared" si="1778"/>
        <v>FRI</v>
      </c>
      <c r="G4215" s="1">
        <f t="shared" si="1779"/>
        <v>44085</v>
      </c>
      <c r="H4215" s="2">
        <f t="shared" ca="1" si="1780"/>
        <v>168</v>
      </c>
      <c r="I4215" t="str">
        <f t="shared" si="1781"/>
        <v>NATGAS</v>
      </c>
      <c r="J4215">
        <f t="shared" si="1782"/>
        <v>2.2999999999999998</v>
      </c>
      <c r="K4215">
        <f t="shared" si="1783"/>
        <v>2.75</v>
      </c>
      <c r="L4215">
        <f t="shared" si="1784"/>
        <v>2.5249999999999999</v>
      </c>
      <c r="M4215">
        <f t="shared" si="1785"/>
        <v>0.22500000000000009</v>
      </c>
      <c r="N4215">
        <f t="shared" si="1763"/>
        <v>0.45000000000000018</v>
      </c>
      <c r="O4215">
        <f t="shared" si="1786"/>
        <v>2.3199999999999998</v>
      </c>
      <c r="P4215">
        <f t="shared" si="1787"/>
        <v>-0.91111111111111109</v>
      </c>
      <c r="Q4215" t="str">
        <f t="shared" si="1764"/>
        <v>0.86% | 18.53%</v>
      </c>
      <c r="R4215" t="str">
        <f t="shared" si="1788"/>
        <v>BULLISH</v>
      </c>
      <c r="S4215">
        <f t="shared" si="1765"/>
        <v>1</v>
      </c>
    </row>
    <row r="4216" spans="1:19" hidden="1" x14ac:dyDescent="0.25">
      <c r="A4216" s="5" t="str">
        <f t="shared" si="1766"/>
        <v>44085GOLD</v>
      </c>
      <c r="B4216" s="6" t="s">
        <v>181</v>
      </c>
      <c r="C4216" s="6">
        <v>1919</v>
      </c>
      <c r="D4216" s="6">
        <v>1999</v>
      </c>
      <c r="E4216" s="6">
        <v>1964</v>
      </c>
      <c r="F4216" t="str">
        <f t="shared" si="1778"/>
        <v>FRI</v>
      </c>
      <c r="G4216" s="1">
        <f t="shared" si="1779"/>
        <v>44085</v>
      </c>
      <c r="H4216" s="2">
        <f t="shared" ca="1" si="1780"/>
        <v>168</v>
      </c>
      <c r="I4216" t="str">
        <f t="shared" si="1781"/>
        <v>GOLD</v>
      </c>
      <c r="J4216">
        <f t="shared" si="1782"/>
        <v>1919</v>
      </c>
      <c r="K4216">
        <f t="shared" si="1783"/>
        <v>1999</v>
      </c>
      <c r="L4216">
        <f t="shared" si="1784"/>
        <v>1959</v>
      </c>
      <c r="M4216">
        <f t="shared" si="1785"/>
        <v>40</v>
      </c>
      <c r="N4216">
        <f t="shared" si="1763"/>
        <v>80</v>
      </c>
      <c r="O4216">
        <f t="shared" si="1786"/>
        <v>1964</v>
      </c>
      <c r="P4216">
        <f t="shared" si="1787"/>
        <v>0.125</v>
      </c>
      <c r="Q4216" t="str">
        <f t="shared" si="1764"/>
        <v>2.29% | 1.78%</v>
      </c>
      <c r="R4216" t="str">
        <f t="shared" si="1788"/>
        <v>BULLISH</v>
      </c>
      <c r="S4216">
        <f t="shared" si="1765"/>
        <v>1</v>
      </c>
    </row>
    <row r="4217" spans="1:19" hidden="1" x14ac:dyDescent="0.25">
      <c r="A4217" s="5" t="str">
        <f t="shared" si="1766"/>
        <v>44085SILVER</v>
      </c>
      <c r="B4217" s="6" t="s">
        <v>199</v>
      </c>
      <c r="C4217" s="6">
        <v>26.02</v>
      </c>
      <c r="D4217" s="6">
        <v>28.99</v>
      </c>
      <c r="E4217" s="6">
        <v>27.29</v>
      </c>
      <c r="F4217" t="str">
        <f t="shared" si="1778"/>
        <v>FRI</v>
      </c>
      <c r="G4217" s="1">
        <f t="shared" si="1779"/>
        <v>44085</v>
      </c>
      <c r="H4217" s="2">
        <f t="shared" ca="1" si="1780"/>
        <v>168</v>
      </c>
      <c r="I4217" t="str">
        <f t="shared" si="1781"/>
        <v>SILVER</v>
      </c>
      <c r="J4217">
        <f t="shared" si="1782"/>
        <v>26.02</v>
      </c>
      <c r="K4217">
        <f t="shared" si="1783"/>
        <v>28.99</v>
      </c>
      <c r="L4217">
        <f t="shared" si="1784"/>
        <v>27.504999999999999</v>
      </c>
      <c r="M4217">
        <f t="shared" si="1785"/>
        <v>1.4849999999999994</v>
      </c>
      <c r="N4217">
        <f t="shared" si="1763"/>
        <v>2.9699999999999989</v>
      </c>
      <c r="O4217">
        <f t="shared" si="1786"/>
        <v>27.29</v>
      </c>
      <c r="P4217">
        <f t="shared" si="1787"/>
        <v>-0.14478114478114473</v>
      </c>
      <c r="Q4217" t="str">
        <f t="shared" si="1764"/>
        <v>4.65% | 6.23%</v>
      </c>
      <c r="R4217" t="str">
        <f t="shared" si="1788"/>
        <v>BULLISH</v>
      </c>
      <c r="S4217">
        <f t="shared" si="1765"/>
        <v>1</v>
      </c>
    </row>
    <row r="4218" spans="1:19" hidden="1" x14ac:dyDescent="0.25">
      <c r="A4218" s="5" t="str">
        <f t="shared" si="1766"/>
        <v>44085COPPER</v>
      </c>
      <c r="B4218" s="6" t="s">
        <v>182</v>
      </c>
      <c r="C4218" s="6">
        <v>2.96</v>
      </c>
      <c r="D4218" s="6">
        <v>3.09</v>
      </c>
      <c r="E4218" s="6">
        <v>3</v>
      </c>
      <c r="F4218" t="str">
        <f t="shared" si="1778"/>
        <v>FRI</v>
      </c>
      <c r="G4218" s="1">
        <f t="shared" si="1779"/>
        <v>44085</v>
      </c>
      <c r="H4218" s="2">
        <f t="shared" ca="1" si="1780"/>
        <v>168</v>
      </c>
      <c r="I4218" t="str">
        <f t="shared" si="1781"/>
        <v>COPPER</v>
      </c>
      <c r="J4218">
        <f t="shared" si="1782"/>
        <v>2.96</v>
      </c>
      <c r="K4218">
        <f t="shared" si="1783"/>
        <v>3.09</v>
      </c>
      <c r="L4218">
        <f t="shared" si="1784"/>
        <v>3.0249999999999999</v>
      </c>
      <c r="M4218">
        <f t="shared" si="1785"/>
        <v>6.4999999999999947E-2</v>
      </c>
      <c r="N4218">
        <f t="shared" si="1763"/>
        <v>0.12999999999999989</v>
      </c>
      <c r="O4218">
        <f t="shared" si="1786"/>
        <v>3</v>
      </c>
      <c r="P4218">
        <f t="shared" si="1787"/>
        <v>-0.38461538461538358</v>
      </c>
      <c r="Q4218" t="str">
        <f t="shared" si="1764"/>
        <v>1.33% | 3%</v>
      </c>
      <c r="R4218" t="str">
        <f t="shared" si="1788"/>
        <v>BULLISH</v>
      </c>
      <c r="S4218">
        <f t="shared" si="1765"/>
        <v>1</v>
      </c>
    </row>
    <row r="4219" spans="1:19" hidden="1" x14ac:dyDescent="0.25">
      <c r="A4219" s="5" t="str">
        <f t="shared" si="1766"/>
        <v>44085MSFT</v>
      </c>
      <c r="B4219" s="6" t="s">
        <v>206</v>
      </c>
      <c r="C4219" s="6">
        <v>197</v>
      </c>
      <c r="D4219" s="6">
        <v>217</v>
      </c>
      <c r="E4219" s="6">
        <v>205</v>
      </c>
      <c r="F4219" t="str">
        <f t="shared" si="1778"/>
        <v>FRI</v>
      </c>
      <c r="G4219" s="1">
        <f t="shared" si="1779"/>
        <v>44085</v>
      </c>
      <c r="H4219" s="2">
        <f t="shared" ca="1" si="1780"/>
        <v>168</v>
      </c>
      <c r="I4219" t="str">
        <f t="shared" si="1781"/>
        <v>MSFT</v>
      </c>
      <c r="J4219">
        <f t="shared" si="1782"/>
        <v>197</v>
      </c>
      <c r="K4219">
        <f t="shared" si="1783"/>
        <v>217</v>
      </c>
      <c r="L4219">
        <f t="shared" si="1784"/>
        <v>207</v>
      </c>
      <c r="M4219">
        <f t="shared" si="1785"/>
        <v>10</v>
      </c>
      <c r="N4219">
        <f t="shared" si="1763"/>
        <v>20</v>
      </c>
      <c r="O4219">
        <f t="shared" si="1786"/>
        <v>205</v>
      </c>
      <c r="P4219">
        <f t="shared" si="1787"/>
        <v>-0.2</v>
      </c>
      <c r="Q4219" t="str">
        <f t="shared" si="1764"/>
        <v>3.9% | 5.85%</v>
      </c>
      <c r="R4219" t="str">
        <f t="shared" si="1788"/>
        <v>NEUTRAL</v>
      </c>
      <c r="S4219">
        <f t="shared" si="1765"/>
        <v>0</v>
      </c>
    </row>
    <row r="4220" spans="1:19" hidden="1" x14ac:dyDescent="0.25">
      <c r="A4220" s="5" t="str">
        <f t="shared" si="1766"/>
        <v>44085AAPL</v>
      </c>
      <c r="B4220" s="6" t="s">
        <v>207</v>
      </c>
      <c r="C4220" s="6">
        <v>107</v>
      </c>
      <c r="D4220" s="6">
        <v>123</v>
      </c>
      <c r="E4220" s="6">
        <v>113</v>
      </c>
      <c r="F4220" t="str">
        <f t="shared" si="1778"/>
        <v>FRI</v>
      </c>
      <c r="G4220" s="1">
        <f t="shared" si="1779"/>
        <v>44085</v>
      </c>
      <c r="H4220" s="2">
        <f t="shared" ca="1" si="1780"/>
        <v>168</v>
      </c>
      <c r="I4220" t="str">
        <f t="shared" si="1781"/>
        <v>AAPL</v>
      </c>
      <c r="J4220">
        <f t="shared" si="1782"/>
        <v>107</v>
      </c>
      <c r="K4220">
        <f t="shared" si="1783"/>
        <v>123</v>
      </c>
      <c r="L4220">
        <f t="shared" si="1784"/>
        <v>115</v>
      </c>
      <c r="M4220">
        <f t="shared" si="1785"/>
        <v>8</v>
      </c>
      <c r="N4220">
        <f t="shared" si="1763"/>
        <v>16</v>
      </c>
      <c r="O4220">
        <f t="shared" si="1786"/>
        <v>113</v>
      </c>
      <c r="P4220">
        <f t="shared" si="1787"/>
        <v>-0.25</v>
      </c>
      <c r="Q4220" t="str">
        <f t="shared" si="1764"/>
        <v>5.31% | 8.85%</v>
      </c>
      <c r="R4220" t="str">
        <f t="shared" si="1788"/>
        <v>NEUTRAL</v>
      </c>
      <c r="S4220">
        <f t="shared" si="1765"/>
        <v>0</v>
      </c>
    </row>
    <row r="4221" spans="1:19" hidden="1" x14ac:dyDescent="0.25">
      <c r="A4221" s="5" t="str">
        <f t="shared" si="1766"/>
        <v>44085AMZN</v>
      </c>
      <c r="B4221" s="6" t="s">
        <v>185</v>
      </c>
      <c r="C4221" s="6">
        <v>3098</v>
      </c>
      <c r="D4221" s="6">
        <v>3550</v>
      </c>
      <c r="E4221" s="6">
        <v>3175</v>
      </c>
      <c r="F4221" t="str">
        <f t="shared" si="1778"/>
        <v>FRI</v>
      </c>
      <c r="G4221" s="1">
        <f t="shared" si="1779"/>
        <v>44085</v>
      </c>
      <c r="H4221" s="2">
        <f t="shared" ca="1" si="1780"/>
        <v>168</v>
      </c>
      <c r="I4221" t="str">
        <f t="shared" si="1781"/>
        <v>AMZN</v>
      </c>
      <c r="J4221">
        <f t="shared" si="1782"/>
        <v>3098</v>
      </c>
      <c r="K4221">
        <f t="shared" si="1783"/>
        <v>3550</v>
      </c>
      <c r="L4221">
        <f t="shared" si="1784"/>
        <v>3324</v>
      </c>
      <c r="M4221">
        <f t="shared" si="1785"/>
        <v>226</v>
      </c>
      <c r="N4221">
        <f t="shared" si="1763"/>
        <v>452</v>
      </c>
      <c r="O4221">
        <f t="shared" si="1786"/>
        <v>3175</v>
      </c>
      <c r="P4221">
        <f t="shared" si="1787"/>
        <v>-0.65929203539823011</v>
      </c>
      <c r="Q4221" t="str">
        <f t="shared" si="1764"/>
        <v>2.43% | 11.81%</v>
      </c>
      <c r="R4221" t="str">
        <f t="shared" si="1788"/>
        <v>BULLISH</v>
      </c>
      <c r="S4221">
        <f t="shared" si="1765"/>
        <v>1</v>
      </c>
    </row>
    <row r="4222" spans="1:19" hidden="1" x14ac:dyDescent="0.25">
      <c r="A4222" s="5" t="str">
        <f t="shared" si="1766"/>
        <v>44085FB</v>
      </c>
      <c r="B4222" s="6" t="s">
        <v>186</v>
      </c>
      <c r="C4222" s="6">
        <v>261</v>
      </c>
      <c r="D4222" s="6">
        <v>295</v>
      </c>
      <c r="E4222" s="6">
        <v>268</v>
      </c>
      <c r="F4222" t="str">
        <f t="shared" si="1778"/>
        <v>FRI</v>
      </c>
      <c r="G4222" s="1">
        <f t="shared" si="1779"/>
        <v>44085</v>
      </c>
      <c r="H4222" s="2">
        <f t="shared" ca="1" si="1780"/>
        <v>168</v>
      </c>
      <c r="I4222" t="str">
        <f t="shared" si="1781"/>
        <v>FB</v>
      </c>
      <c r="J4222">
        <f t="shared" si="1782"/>
        <v>261</v>
      </c>
      <c r="K4222">
        <f t="shared" si="1783"/>
        <v>295</v>
      </c>
      <c r="L4222">
        <f t="shared" si="1784"/>
        <v>278</v>
      </c>
      <c r="M4222">
        <f t="shared" si="1785"/>
        <v>17</v>
      </c>
      <c r="N4222">
        <f t="shared" si="1763"/>
        <v>34</v>
      </c>
      <c r="O4222">
        <f t="shared" si="1786"/>
        <v>268</v>
      </c>
      <c r="P4222">
        <f t="shared" si="1787"/>
        <v>-0.58823529411764708</v>
      </c>
      <c r="Q4222" t="str">
        <f t="shared" si="1764"/>
        <v>2.61% | 10.07%</v>
      </c>
      <c r="R4222" t="str">
        <f t="shared" si="1788"/>
        <v>BULLISH</v>
      </c>
      <c r="S4222">
        <f t="shared" si="1765"/>
        <v>1</v>
      </c>
    </row>
    <row r="4223" spans="1:19" hidden="1" x14ac:dyDescent="0.25">
      <c r="A4223" s="5" t="str">
        <f t="shared" si="1766"/>
        <v>44085GOOGL</v>
      </c>
      <c r="B4223" s="6" t="s">
        <v>208</v>
      </c>
      <c r="C4223" s="6">
        <v>1480</v>
      </c>
      <c r="D4223" s="6">
        <v>1606</v>
      </c>
      <c r="E4223" s="6">
        <v>1526</v>
      </c>
      <c r="F4223" t="str">
        <f t="shared" si="1778"/>
        <v>FRI</v>
      </c>
      <c r="G4223" s="1">
        <f t="shared" si="1779"/>
        <v>44085</v>
      </c>
      <c r="H4223" s="2">
        <f t="shared" ca="1" si="1780"/>
        <v>168</v>
      </c>
      <c r="I4223" t="str">
        <f t="shared" si="1781"/>
        <v>GOOGL</v>
      </c>
      <c r="J4223">
        <f t="shared" si="1782"/>
        <v>1480</v>
      </c>
      <c r="K4223">
        <f t="shared" si="1783"/>
        <v>1606</v>
      </c>
      <c r="L4223">
        <f t="shared" si="1784"/>
        <v>1543</v>
      </c>
      <c r="M4223">
        <f t="shared" si="1785"/>
        <v>63</v>
      </c>
      <c r="N4223">
        <f t="shared" si="1763"/>
        <v>126</v>
      </c>
      <c r="O4223">
        <f t="shared" si="1786"/>
        <v>1526</v>
      </c>
      <c r="P4223">
        <f t="shared" si="1787"/>
        <v>-0.26984126984126983</v>
      </c>
      <c r="Q4223" t="str">
        <f t="shared" si="1764"/>
        <v>3.01% | 5.24%</v>
      </c>
      <c r="R4223" t="str">
        <f t="shared" si="1788"/>
        <v>NEUTRAL</v>
      </c>
      <c r="S4223">
        <f t="shared" si="1765"/>
        <v>0</v>
      </c>
    </row>
    <row r="4224" spans="1:19" hidden="1" x14ac:dyDescent="0.25">
      <c r="A4224" s="5" t="str">
        <f t="shared" si="1766"/>
        <v>44085NFLX</v>
      </c>
      <c r="B4224" s="6" t="s">
        <v>213</v>
      </c>
      <c r="C4224" s="6">
        <v>471</v>
      </c>
      <c r="D4224" s="6">
        <v>522</v>
      </c>
      <c r="E4224" s="6">
        <v>480</v>
      </c>
      <c r="F4224" t="str">
        <f t="shared" si="1778"/>
        <v>FRI</v>
      </c>
      <c r="G4224" s="1">
        <f t="shared" si="1779"/>
        <v>44085</v>
      </c>
      <c r="H4224" s="2">
        <f t="shared" ca="1" si="1780"/>
        <v>168</v>
      </c>
      <c r="I4224" t="str">
        <f t="shared" si="1781"/>
        <v>NFLX</v>
      </c>
      <c r="J4224">
        <f t="shared" si="1782"/>
        <v>471</v>
      </c>
      <c r="K4224">
        <f t="shared" si="1783"/>
        <v>522</v>
      </c>
      <c r="L4224">
        <f t="shared" si="1784"/>
        <v>496.5</v>
      </c>
      <c r="M4224">
        <f t="shared" si="1785"/>
        <v>25.5</v>
      </c>
      <c r="N4224">
        <f t="shared" si="1763"/>
        <v>51</v>
      </c>
      <c r="O4224">
        <f t="shared" si="1786"/>
        <v>480</v>
      </c>
      <c r="P4224">
        <f t="shared" si="1787"/>
        <v>-0.6470588235294118</v>
      </c>
      <c r="Q4224" t="str">
        <f t="shared" si="1764"/>
        <v>1.88% | 8.75%</v>
      </c>
      <c r="R4224" t="str">
        <f t="shared" si="1788"/>
        <v>BEARISH</v>
      </c>
      <c r="S4224">
        <f t="shared" si="1765"/>
        <v>-1</v>
      </c>
    </row>
    <row r="4225" spans="1:19" x14ac:dyDescent="0.25">
      <c r="A4225" s="5" t="str">
        <f t="shared" si="1766"/>
        <v>44085TSLA</v>
      </c>
      <c r="B4225" s="6" t="s">
        <v>209</v>
      </c>
      <c r="C4225" s="6">
        <v>297</v>
      </c>
      <c r="D4225" s="6">
        <v>418</v>
      </c>
      <c r="E4225" s="6">
        <v>371</v>
      </c>
      <c r="F4225" t="str">
        <f t="shared" si="1778"/>
        <v>FRI</v>
      </c>
      <c r="G4225" s="1">
        <f t="shared" si="1779"/>
        <v>44085</v>
      </c>
      <c r="H4225" s="2">
        <f t="shared" ca="1" si="1780"/>
        <v>168</v>
      </c>
      <c r="I4225" t="str">
        <f t="shared" si="1781"/>
        <v>TSLA</v>
      </c>
      <c r="J4225">
        <f t="shared" si="1782"/>
        <v>297</v>
      </c>
      <c r="K4225">
        <f t="shared" si="1783"/>
        <v>418</v>
      </c>
      <c r="L4225">
        <f t="shared" si="1784"/>
        <v>357.5</v>
      </c>
      <c r="M4225">
        <f t="shared" si="1785"/>
        <v>60.5</v>
      </c>
      <c r="N4225">
        <f t="shared" si="1763"/>
        <v>121</v>
      </c>
      <c r="O4225">
        <f t="shared" si="1786"/>
        <v>371</v>
      </c>
      <c r="P4225">
        <f t="shared" si="1787"/>
        <v>0.2231404958677686</v>
      </c>
      <c r="Q4225" t="str">
        <f t="shared" si="1764"/>
        <v>19.95% | 12.67%</v>
      </c>
      <c r="R4225" t="str">
        <f t="shared" si="1788"/>
        <v>NEUTRAL</v>
      </c>
      <c r="S4225">
        <f t="shared" si="1765"/>
        <v>0</v>
      </c>
    </row>
    <row r="4226" spans="1:19" hidden="1" x14ac:dyDescent="0.25">
      <c r="A4226" s="5" t="str">
        <f t="shared" si="1766"/>
        <v>44085NYXBT</v>
      </c>
      <c r="B4226" s="6" t="s">
        <v>210</v>
      </c>
      <c r="C4226" s="6">
        <v>9601</v>
      </c>
      <c r="D4226" s="6">
        <v>11009</v>
      </c>
      <c r="E4226" s="6">
        <v>10412</v>
      </c>
      <c r="F4226" t="str">
        <f t="shared" si="1778"/>
        <v>FRI</v>
      </c>
      <c r="G4226" s="1">
        <f t="shared" si="1779"/>
        <v>44085</v>
      </c>
      <c r="H4226" s="2">
        <f t="shared" ca="1" si="1780"/>
        <v>168</v>
      </c>
      <c r="I4226" t="str">
        <f t="shared" si="1781"/>
        <v>NYXBT</v>
      </c>
      <c r="J4226">
        <f t="shared" si="1782"/>
        <v>9601</v>
      </c>
      <c r="K4226">
        <f t="shared" si="1783"/>
        <v>11009</v>
      </c>
      <c r="L4226">
        <f t="shared" si="1784"/>
        <v>10305</v>
      </c>
      <c r="M4226">
        <f t="shared" si="1785"/>
        <v>704</v>
      </c>
      <c r="N4226">
        <f t="shared" si="1763"/>
        <v>1408</v>
      </c>
      <c r="O4226">
        <f t="shared" si="1786"/>
        <v>10412</v>
      </c>
      <c r="P4226">
        <f t="shared" si="1787"/>
        <v>0.15198863636363635</v>
      </c>
      <c r="Q4226" t="str">
        <f t="shared" si="1764"/>
        <v>7.79% | 5.73%</v>
      </c>
      <c r="R4226" t="str">
        <f t="shared" si="1788"/>
        <v>NEUTRAL</v>
      </c>
      <c r="S4226">
        <f t="shared" si="1765"/>
        <v>0</v>
      </c>
    </row>
    <row r="4227" spans="1:19" hidden="1" x14ac:dyDescent="0.25">
      <c r="A4227" s="5" t="str">
        <f t="shared" si="1766"/>
        <v>44088UST10Y</v>
      </c>
      <c r="B4227" s="6" t="s">
        <v>161</v>
      </c>
      <c r="C4227" s="6">
        <v>0.73</v>
      </c>
      <c r="D4227" s="6">
        <v>0.6</v>
      </c>
      <c r="E4227" s="6">
        <v>0.67</v>
      </c>
      <c r="F4227" t="str">
        <f t="shared" si="1778"/>
        <v>MON</v>
      </c>
      <c r="G4227" s="3">
        <f>DATE(2020,9,14)</f>
        <v>44088</v>
      </c>
      <c r="H4227" s="2">
        <f t="shared" ca="1" si="1780"/>
        <v>165</v>
      </c>
      <c r="I4227" t="str">
        <f t="shared" si="1781"/>
        <v>UST10Y</v>
      </c>
      <c r="J4227">
        <f t="shared" si="1782"/>
        <v>0.73</v>
      </c>
      <c r="K4227">
        <f t="shared" si="1783"/>
        <v>0.6</v>
      </c>
      <c r="L4227">
        <f t="shared" si="1784"/>
        <v>0.66500000000000004</v>
      </c>
      <c r="M4227">
        <f t="shared" si="1785"/>
        <v>6.5000000000000002E-2</v>
      </c>
      <c r="N4227">
        <f t="shared" ref="N4227:N4290" si="1789">ABS(K4227-J4227)</f>
        <v>0.13</v>
      </c>
      <c r="O4227">
        <f t="shared" si="1786"/>
        <v>0.67</v>
      </c>
      <c r="P4227">
        <f t="shared" si="1787"/>
        <v>7.6923076923076983E-2</v>
      </c>
      <c r="Q4227" t="str">
        <f t="shared" ref="Q4227:Q4290" si="1790">ROUND(ABS(100*(O4227-J4227)/O4227),2)&amp;"% | "&amp;ROUND(ABS(100*(K4227-O4227)/O4227),2)&amp;"%"</f>
        <v>8.96% | 10.45%</v>
      </c>
      <c r="R4227" t="str">
        <f t="shared" si="1788"/>
        <v>BEARISH</v>
      </c>
      <c r="S4227">
        <f t="shared" ref="S4227:S4290" si="1791">IF(R4227="BEARISH",-1,IF(R4227="NEUTRAL",0,IF(R4227="BULLISH",1,99)))</f>
        <v>-1</v>
      </c>
    </row>
    <row r="4228" spans="1:19" hidden="1" x14ac:dyDescent="0.25">
      <c r="A4228" s="5" t="str">
        <f t="shared" si="1766"/>
        <v>44088UST2Y</v>
      </c>
      <c r="B4228" s="6" t="s">
        <v>162</v>
      </c>
      <c r="C4228" s="6">
        <v>0.16</v>
      </c>
      <c r="D4228" s="6">
        <v>0.11</v>
      </c>
      <c r="E4228" s="6">
        <v>0.13</v>
      </c>
      <c r="F4228" t="str">
        <f t="shared" ref="F4228:F4258" si="1792">UPPER(TEXT(G4228,"ddd"))</f>
        <v>MON</v>
      </c>
      <c r="G4228" s="3">
        <f t="shared" ref="G4228:G4257" si="1793">DATE(2020,9,14)</f>
        <v>44088</v>
      </c>
      <c r="H4228" s="2">
        <f t="shared" ref="H4228:H4258" ca="1" si="1794">TODAY()-G4228</f>
        <v>165</v>
      </c>
      <c r="I4228" t="str">
        <f t="shared" ref="I4228:I4258" si="1795">TRIM(LEFT(B4228,FIND(" ",B4228,1)))</f>
        <v>UST2Y</v>
      </c>
      <c r="J4228">
        <f t="shared" ref="J4228:J4258" si="1796">C4228</f>
        <v>0.16</v>
      </c>
      <c r="K4228">
        <f t="shared" ref="K4228:K4258" si="1797">D4228</f>
        <v>0.11</v>
      </c>
      <c r="L4228">
        <f t="shared" ref="L4228:L4258" si="1798">AVERAGE(J4228:K4228)</f>
        <v>0.13500000000000001</v>
      </c>
      <c r="M4228">
        <f t="shared" ref="M4228:M4258" si="1799">_xlfn.STDEV.P(J4228:K4228)</f>
        <v>2.4999999999999942E-2</v>
      </c>
      <c r="N4228">
        <f t="shared" si="1789"/>
        <v>0.05</v>
      </c>
      <c r="O4228">
        <f t="shared" ref="O4228:O4258" si="1800">E4228</f>
        <v>0.13</v>
      </c>
      <c r="P4228">
        <f t="shared" ref="P4228:P4258" si="1801">(O4228-L4228)/M4228</f>
        <v>-0.20000000000000065</v>
      </c>
      <c r="Q4228" t="str">
        <f t="shared" si="1790"/>
        <v>23.08% | 15.38%</v>
      </c>
      <c r="R4228" t="str">
        <f t="shared" ref="R4228:R4258" si="1802">MID(B4228,FIND("(",B4228,1)+1,FIND(")",B4228,1)-FIND("(",B4228,1)-1)</f>
        <v>BEARISH</v>
      </c>
      <c r="S4228">
        <f t="shared" si="1791"/>
        <v>-1</v>
      </c>
    </row>
    <row r="4229" spans="1:19" hidden="1" x14ac:dyDescent="0.25">
      <c r="A4229" s="5" t="str">
        <f t="shared" si="1766"/>
        <v>44088SPX</v>
      </c>
      <c r="B4229" s="6" t="s">
        <v>211</v>
      </c>
      <c r="C4229" s="6">
        <v>3248</v>
      </c>
      <c r="D4229" s="6">
        <v>3435</v>
      </c>
      <c r="E4229" s="6">
        <v>3340</v>
      </c>
      <c r="F4229" t="str">
        <f t="shared" si="1792"/>
        <v>MON</v>
      </c>
      <c r="G4229" s="3">
        <f t="shared" si="1793"/>
        <v>44088</v>
      </c>
      <c r="H4229" s="2">
        <f t="shared" ca="1" si="1794"/>
        <v>165</v>
      </c>
      <c r="I4229" t="str">
        <f t="shared" si="1795"/>
        <v>SPX</v>
      </c>
      <c r="J4229">
        <f t="shared" si="1796"/>
        <v>3248</v>
      </c>
      <c r="K4229">
        <f t="shared" si="1797"/>
        <v>3435</v>
      </c>
      <c r="L4229">
        <f t="shared" si="1798"/>
        <v>3341.5</v>
      </c>
      <c r="M4229">
        <f t="shared" si="1799"/>
        <v>93.5</v>
      </c>
      <c r="N4229">
        <f t="shared" si="1789"/>
        <v>187</v>
      </c>
      <c r="O4229">
        <f t="shared" si="1800"/>
        <v>3340</v>
      </c>
      <c r="P4229">
        <f t="shared" si="1801"/>
        <v>-1.6042780748663103E-2</v>
      </c>
      <c r="Q4229" t="str">
        <f t="shared" si="1790"/>
        <v>2.75% | 2.84%</v>
      </c>
      <c r="R4229" t="str">
        <f t="shared" si="1802"/>
        <v>BEARISH</v>
      </c>
      <c r="S4229">
        <f t="shared" si="1791"/>
        <v>-1</v>
      </c>
    </row>
    <row r="4230" spans="1:19" hidden="1" x14ac:dyDescent="0.25">
      <c r="A4230" s="5" t="str">
        <f t="shared" ref="A4230:A4293" si="1803">G4230&amp;I4230</f>
        <v>44088RUT</v>
      </c>
      <c r="B4230" s="6" t="s">
        <v>164</v>
      </c>
      <c r="C4230" s="6">
        <v>1470</v>
      </c>
      <c r="D4230" s="6">
        <v>1537</v>
      </c>
      <c r="E4230" s="6">
        <v>1497</v>
      </c>
      <c r="F4230" t="str">
        <f t="shared" si="1792"/>
        <v>MON</v>
      </c>
      <c r="G4230" s="3">
        <f t="shared" si="1793"/>
        <v>44088</v>
      </c>
      <c r="H4230" s="2">
        <f t="shared" ca="1" si="1794"/>
        <v>165</v>
      </c>
      <c r="I4230" t="str">
        <f t="shared" si="1795"/>
        <v>RUT</v>
      </c>
      <c r="J4230">
        <f t="shared" si="1796"/>
        <v>1470</v>
      </c>
      <c r="K4230">
        <f t="shared" si="1797"/>
        <v>1537</v>
      </c>
      <c r="L4230">
        <f t="shared" si="1798"/>
        <v>1503.5</v>
      </c>
      <c r="M4230">
        <f t="shared" si="1799"/>
        <v>33.5</v>
      </c>
      <c r="N4230">
        <f t="shared" si="1789"/>
        <v>67</v>
      </c>
      <c r="O4230">
        <f t="shared" si="1800"/>
        <v>1497</v>
      </c>
      <c r="P4230">
        <f t="shared" si="1801"/>
        <v>-0.19402985074626866</v>
      </c>
      <c r="Q4230" t="str">
        <f t="shared" si="1790"/>
        <v>1.8% | 2.67%</v>
      </c>
      <c r="R4230" t="str">
        <f t="shared" si="1802"/>
        <v>BEARISH</v>
      </c>
      <c r="S4230">
        <f t="shared" si="1791"/>
        <v>-1</v>
      </c>
    </row>
    <row r="4231" spans="1:19" hidden="1" x14ac:dyDescent="0.25">
      <c r="A4231" s="5" t="str">
        <f t="shared" si="1803"/>
        <v>44088COMPQ</v>
      </c>
      <c r="B4231" s="6" t="s">
        <v>212</v>
      </c>
      <c r="C4231" s="6">
        <v>10471</v>
      </c>
      <c r="D4231" s="6">
        <v>11377</v>
      </c>
      <c r="E4231" s="6">
        <v>10853</v>
      </c>
      <c r="F4231" t="str">
        <f t="shared" si="1792"/>
        <v>MON</v>
      </c>
      <c r="G4231" s="3">
        <f t="shared" si="1793"/>
        <v>44088</v>
      </c>
      <c r="H4231" s="2">
        <f t="shared" ca="1" si="1794"/>
        <v>165</v>
      </c>
      <c r="I4231" t="str">
        <f t="shared" si="1795"/>
        <v>COMPQ</v>
      </c>
      <c r="J4231">
        <f t="shared" si="1796"/>
        <v>10471</v>
      </c>
      <c r="K4231">
        <f t="shared" si="1797"/>
        <v>11377</v>
      </c>
      <c r="L4231">
        <f t="shared" si="1798"/>
        <v>10924</v>
      </c>
      <c r="M4231">
        <f t="shared" si="1799"/>
        <v>453</v>
      </c>
      <c r="N4231">
        <f t="shared" si="1789"/>
        <v>906</v>
      </c>
      <c r="O4231">
        <f t="shared" si="1800"/>
        <v>10853</v>
      </c>
      <c r="P4231">
        <f t="shared" si="1801"/>
        <v>-0.15673289183222958</v>
      </c>
      <c r="Q4231" t="str">
        <f t="shared" si="1790"/>
        <v>3.52% | 4.83%</v>
      </c>
      <c r="R4231" t="str">
        <f t="shared" si="1802"/>
        <v>NEUTRAL</v>
      </c>
      <c r="S4231">
        <f t="shared" si="1791"/>
        <v>0</v>
      </c>
    </row>
    <row r="4232" spans="1:19" hidden="1" x14ac:dyDescent="0.25">
      <c r="A4232" s="5" t="str">
        <f t="shared" si="1803"/>
        <v>44088XLK</v>
      </c>
      <c r="B4232" s="6" t="s">
        <v>203</v>
      </c>
      <c r="C4232" s="6">
        <v>108.35</v>
      </c>
      <c r="D4232" s="6">
        <v>119.04</v>
      </c>
      <c r="E4232" s="6">
        <v>112.96</v>
      </c>
      <c r="F4232" t="str">
        <f t="shared" si="1792"/>
        <v>MON</v>
      </c>
      <c r="G4232" s="3">
        <f t="shared" si="1793"/>
        <v>44088</v>
      </c>
      <c r="H4232" s="2">
        <f t="shared" ca="1" si="1794"/>
        <v>165</v>
      </c>
      <c r="I4232" t="str">
        <f t="shared" si="1795"/>
        <v>XLK</v>
      </c>
      <c r="J4232">
        <f t="shared" si="1796"/>
        <v>108.35</v>
      </c>
      <c r="K4232">
        <f t="shared" si="1797"/>
        <v>119.04</v>
      </c>
      <c r="L4232">
        <f t="shared" si="1798"/>
        <v>113.69499999999999</v>
      </c>
      <c r="M4232">
        <f t="shared" si="1799"/>
        <v>5.345000000000006</v>
      </c>
      <c r="N4232">
        <f t="shared" si="1789"/>
        <v>10.690000000000012</v>
      </c>
      <c r="O4232">
        <f t="shared" si="1800"/>
        <v>112.96</v>
      </c>
      <c r="P4232">
        <f t="shared" si="1801"/>
        <v>-0.13751169317118778</v>
      </c>
      <c r="Q4232" t="str">
        <f t="shared" si="1790"/>
        <v>4.08% | 5.38%</v>
      </c>
      <c r="R4232" t="str">
        <f t="shared" si="1802"/>
        <v>NEUTRAL</v>
      </c>
      <c r="S4232">
        <f t="shared" si="1791"/>
        <v>0</v>
      </c>
    </row>
    <row r="4233" spans="1:19" hidden="1" x14ac:dyDescent="0.25">
      <c r="A4233" s="5" t="str">
        <f t="shared" si="1803"/>
        <v>44088XLRE</v>
      </c>
      <c r="B4233" s="6" t="s">
        <v>167</v>
      </c>
      <c r="C4233" s="6">
        <v>35.119999999999997</v>
      </c>
      <c r="D4233" s="6">
        <v>36.99</v>
      </c>
      <c r="E4233" s="6">
        <v>35.549999999999997</v>
      </c>
      <c r="F4233" t="str">
        <f t="shared" si="1792"/>
        <v>MON</v>
      </c>
      <c r="G4233" s="3">
        <f t="shared" si="1793"/>
        <v>44088</v>
      </c>
      <c r="H4233" s="2">
        <f t="shared" ca="1" si="1794"/>
        <v>165</v>
      </c>
      <c r="I4233" t="str">
        <f t="shared" si="1795"/>
        <v>XLRE</v>
      </c>
      <c r="J4233">
        <f t="shared" si="1796"/>
        <v>35.119999999999997</v>
      </c>
      <c r="K4233">
        <f t="shared" si="1797"/>
        <v>36.99</v>
      </c>
      <c r="L4233">
        <f t="shared" si="1798"/>
        <v>36.055</v>
      </c>
      <c r="M4233">
        <f t="shared" si="1799"/>
        <v>0.93500000000000227</v>
      </c>
      <c r="N4233">
        <f t="shared" si="1789"/>
        <v>1.8700000000000045</v>
      </c>
      <c r="O4233">
        <f t="shared" si="1800"/>
        <v>35.549999999999997</v>
      </c>
      <c r="P4233">
        <f t="shared" si="1801"/>
        <v>-0.54010695187165914</v>
      </c>
      <c r="Q4233" t="str">
        <f t="shared" si="1790"/>
        <v>1.21% | 4.05%</v>
      </c>
      <c r="R4233" t="str">
        <f t="shared" si="1802"/>
        <v>BULLISH</v>
      </c>
      <c r="S4233">
        <f t="shared" si="1791"/>
        <v>1</v>
      </c>
    </row>
    <row r="4234" spans="1:19" hidden="1" x14ac:dyDescent="0.25">
      <c r="A4234" s="5" t="str">
        <f t="shared" si="1803"/>
        <v>44088XLU</v>
      </c>
      <c r="B4234" s="6" t="s">
        <v>168</v>
      </c>
      <c r="C4234" s="6">
        <v>58.14</v>
      </c>
      <c r="D4234" s="6">
        <v>60.5</v>
      </c>
      <c r="E4234" s="6">
        <v>58.93</v>
      </c>
      <c r="F4234" t="str">
        <f t="shared" si="1792"/>
        <v>MON</v>
      </c>
      <c r="G4234" s="3">
        <f t="shared" si="1793"/>
        <v>44088</v>
      </c>
      <c r="H4234" s="2">
        <f t="shared" ca="1" si="1794"/>
        <v>165</v>
      </c>
      <c r="I4234" t="str">
        <f t="shared" si="1795"/>
        <v>XLU</v>
      </c>
      <c r="J4234">
        <f t="shared" si="1796"/>
        <v>58.14</v>
      </c>
      <c r="K4234">
        <f t="shared" si="1797"/>
        <v>60.5</v>
      </c>
      <c r="L4234">
        <f t="shared" si="1798"/>
        <v>59.32</v>
      </c>
      <c r="M4234">
        <f t="shared" si="1799"/>
        <v>1.1799999999999997</v>
      </c>
      <c r="N4234">
        <f t="shared" si="1789"/>
        <v>2.3599999999999994</v>
      </c>
      <c r="O4234">
        <f t="shared" si="1800"/>
        <v>58.93</v>
      </c>
      <c r="P4234">
        <f t="shared" si="1801"/>
        <v>-0.33050847457627175</v>
      </c>
      <c r="Q4234" t="str">
        <f t="shared" si="1790"/>
        <v>1.34% | 2.66%</v>
      </c>
      <c r="R4234" t="str">
        <f t="shared" si="1802"/>
        <v>BULLISH</v>
      </c>
      <c r="S4234">
        <f t="shared" si="1791"/>
        <v>1</v>
      </c>
    </row>
    <row r="4235" spans="1:19" hidden="1" x14ac:dyDescent="0.25">
      <c r="A4235" s="5" t="str">
        <f t="shared" si="1803"/>
        <v>44088XLF</v>
      </c>
      <c r="B4235" s="6" t="s">
        <v>169</v>
      </c>
      <c r="C4235" s="6">
        <v>24.3</v>
      </c>
      <c r="D4235" s="6">
        <v>25.45</v>
      </c>
      <c r="E4235" s="6">
        <v>24.71</v>
      </c>
      <c r="F4235" t="str">
        <f t="shared" si="1792"/>
        <v>MON</v>
      </c>
      <c r="G4235" s="3">
        <f t="shared" si="1793"/>
        <v>44088</v>
      </c>
      <c r="H4235" s="2">
        <f t="shared" ca="1" si="1794"/>
        <v>165</v>
      </c>
      <c r="I4235" t="str">
        <f t="shared" si="1795"/>
        <v>XLF</v>
      </c>
      <c r="J4235">
        <f t="shared" si="1796"/>
        <v>24.3</v>
      </c>
      <c r="K4235">
        <f t="shared" si="1797"/>
        <v>25.45</v>
      </c>
      <c r="L4235">
        <f t="shared" si="1798"/>
        <v>24.875</v>
      </c>
      <c r="M4235">
        <f t="shared" si="1799"/>
        <v>0.57499999999999929</v>
      </c>
      <c r="N4235">
        <f t="shared" si="1789"/>
        <v>1.1499999999999986</v>
      </c>
      <c r="O4235">
        <f t="shared" si="1800"/>
        <v>24.71</v>
      </c>
      <c r="P4235">
        <f t="shared" si="1801"/>
        <v>-0.28695652173912933</v>
      </c>
      <c r="Q4235" t="str">
        <f t="shared" si="1790"/>
        <v>1.66% | 2.99%</v>
      </c>
      <c r="R4235" t="str">
        <f t="shared" si="1802"/>
        <v>BEARISH</v>
      </c>
      <c r="S4235">
        <f t="shared" si="1791"/>
        <v>-1</v>
      </c>
    </row>
    <row r="4236" spans="1:19" hidden="1" x14ac:dyDescent="0.25">
      <c r="A4236" s="5" t="str">
        <f t="shared" si="1803"/>
        <v>44088SSEC</v>
      </c>
      <c r="B4236" s="6" t="s">
        <v>170</v>
      </c>
      <c r="C4236" s="6">
        <v>3195</v>
      </c>
      <c r="D4236" s="6">
        <v>3450</v>
      </c>
      <c r="E4236" s="6">
        <v>3278</v>
      </c>
      <c r="F4236" t="str">
        <f t="shared" si="1792"/>
        <v>MON</v>
      </c>
      <c r="G4236" s="3">
        <f t="shared" si="1793"/>
        <v>44088</v>
      </c>
      <c r="H4236" s="2">
        <f t="shared" ca="1" si="1794"/>
        <v>165</v>
      </c>
      <c r="I4236" t="str">
        <f t="shared" si="1795"/>
        <v>SSEC</v>
      </c>
      <c r="J4236">
        <f t="shared" si="1796"/>
        <v>3195</v>
      </c>
      <c r="K4236">
        <f t="shared" si="1797"/>
        <v>3450</v>
      </c>
      <c r="L4236">
        <f t="shared" si="1798"/>
        <v>3322.5</v>
      </c>
      <c r="M4236">
        <f t="shared" si="1799"/>
        <v>127.5</v>
      </c>
      <c r="N4236">
        <f t="shared" si="1789"/>
        <v>255</v>
      </c>
      <c r="O4236">
        <f t="shared" si="1800"/>
        <v>3278</v>
      </c>
      <c r="P4236">
        <f t="shared" si="1801"/>
        <v>-0.34901960784313724</v>
      </c>
      <c r="Q4236" t="str">
        <f t="shared" si="1790"/>
        <v>2.53% | 5.25%</v>
      </c>
      <c r="R4236" t="str">
        <f t="shared" si="1802"/>
        <v>BULLISH</v>
      </c>
      <c r="S4236">
        <f t="shared" si="1791"/>
        <v>1</v>
      </c>
    </row>
    <row r="4237" spans="1:19" hidden="1" x14ac:dyDescent="0.25">
      <c r="A4237" s="5" t="str">
        <f t="shared" si="1803"/>
        <v>44088NIKK</v>
      </c>
      <c r="B4237" s="6" t="s">
        <v>201</v>
      </c>
      <c r="C4237" s="6">
        <v>22970</v>
      </c>
      <c r="D4237" s="6">
        <v>23596</v>
      </c>
      <c r="E4237" s="6">
        <v>23559</v>
      </c>
      <c r="F4237" t="str">
        <f t="shared" si="1792"/>
        <v>MON</v>
      </c>
      <c r="G4237" s="3">
        <f t="shared" si="1793"/>
        <v>44088</v>
      </c>
      <c r="H4237" s="2">
        <f t="shared" ca="1" si="1794"/>
        <v>165</v>
      </c>
      <c r="I4237" t="str">
        <f t="shared" si="1795"/>
        <v>NIKK</v>
      </c>
      <c r="J4237">
        <f t="shared" si="1796"/>
        <v>22970</v>
      </c>
      <c r="K4237">
        <f t="shared" si="1797"/>
        <v>23596</v>
      </c>
      <c r="L4237">
        <f t="shared" si="1798"/>
        <v>23283</v>
      </c>
      <c r="M4237">
        <f t="shared" si="1799"/>
        <v>313</v>
      </c>
      <c r="N4237">
        <f t="shared" si="1789"/>
        <v>626</v>
      </c>
      <c r="O4237">
        <f t="shared" si="1800"/>
        <v>23559</v>
      </c>
      <c r="P4237">
        <f t="shared" si="1801"/>
        <v>0.88178913738019171</v>
      </c>
      <c r="Q4237" t="str">
        <f t="shared" si="1790"/>
        <v>2.5% | 0.16%</v>
      </c>
      <c r="R4237" t="str">
        <f t="shared" si="1802"/>
        <v>BULLISH</v>
      </c>
      <c r="S4237">
        <f t="shared" si="1791"/>
        <v>1</v>
      </c>
    </row>
    <row r="4238" spans="1:19" hidden="1" x14ac:dyDescent="0.25">
      <c r="A4238" s="5" t="str">
        <f t="shared" si="1803"/>
        <v>44088DAX</v>
      </c>
      <c r="B4238" s="6" t="s">
        <v>172</v>
      </c>
      <c r="C4238" s="6">
        <v>12814</v>
      </c>
      <c r="D4238" s="6">
        <v>13369</v>
      </c>
      <c r="E4238" s="6">
        <v>13202</v>
      </c>
      <c r="F4238" t="str">
        <f t="shared" si="1792"/>
        <v>MON</v>
      </c>
      <c r="G4238" s="3">
        <f t="shared" si="1793"/>
        <v>44088</v>
      </c>
      <c r="H4238" s="2">
        <f t="shared" ca="1" si="1794"/>
        <v>165</v>
      </c>
      <c r="I4238" t="str">
        <f t="shared" si="1795"/>
        <v>DAX</v>
      </c>
      <c r="J4238">
        <f t="shared" si="1796"/>
        <v>12814</v>
      </c>
      <c r="K4238">
        <f t="shared" si="1797"/>
        <v>13369</v>
      </c>
      <c r="L4238">
        <f t="shared" si="1798"/>
        <v>13091.5</v>
      </c>
      <c r="M4238">
        <f t="shared" si="1799"/>
        <v>277.5</v>
      </c>
      <c r="N4238">
        <f t="shared" si="1789"/>
        <v>555</v>
      </c>
      <c r="O4238">
        <f t="shared" si="1800"/>
        <v>13202</v>
      </c>
      <c r="P4238">
        <f t="shared" si="1801"/>
        <v>0.39819819819819818</v>
      </c>
      <c r="Q4238" t="str">
        <f t="shared" si="1790"/>
        <v>2.94% | 1.26%</v>
      </c>
      <c r="R4238" t="str">
        <f t="shared" si="1802"/>
        <v>BULLISH</v>
      </c>
      <c r="S4238">
        <f t="shared" si="1791"/>
        <v>1</v>
      </c>
    </row>
    <row r="4239" spans="1:19" hidden="1" x14ac:dyDescent="0.25">
      <c r="A4239" s="5" t="str">
        <f t="shared" si="1803"/>
        <v>44088VIX</v>
      </c>
      <c r="B4239" s="6" t="s">
        <v>202</v>
      </c>
      <c r="C4239" s="6">
        <v>25.09</v>
      </c>
      <c r="D4239" s="6">
        <v>34.92</v>
      </c>
      <c r="E4239" s="6">
        <v>26.87</v>
      </c>
      <c r="F4239" t="str">
        <f t="shared" si="1792"/>
        <v>MON</v>
      </c>
      <c r="G4239" s="3">
        <f t="shared" si="1793"/>
        <v>44088</v>
      </c>
      <c r="H4239" s="2">
        <f t="shared" ca="1" si="1794"/>
        <v>165</v>
      </c>
      <c r="I4239" t="str">
        <f t="shared" si="1795"/>
        <v>VIX</v>
      </c>
      <c r="J4239">
        <f t="shared" si="1796"/>
        <v>25.09</v>
      </c>
      <c r="K4239">
        <f t="shared" si="1797"/>
        <v>34.92</v>
      </c>
      <c r="L4239">
        <f t="shared" si="1798"/>
        <v>30.005000000000003</v>
      </c>
      <c r="M4239">
        <f t="shared" si="1799"/>
        <v>4.914999999999992</v>
      </c>
      <c r="N4239">
        <f t="shared" si="1789"/>
        <v>9.8300000000000018</v>
      </c>
      <c r="O4239">
        <f t="shared" si="1800"/>
        <v>26.87</v>
      </c>
      <c r="P4239">
        <f t="shared" si="1801"/>
        <v>-0.6378433367243147</v>
      </c>
      <c r="Q4239" t="str">
        <f t="shared" si="1790"/>
        <v>6.62% | 29.96%</v>
      </c>
      <c r="R4239" t="str">
        <f t="shared" si="1802"/>
        <v>BULLISH</v>
      </c>
      <c r="S4239">
        <f t="shared" si="1791"/>
        <v>1</v>
      </c>
    </row>
    <row r="4240" spans="1:19" hidden="1" x14ac:dyDescent="0.25">
      <c r="A4240" s="5" t="str">
        <f t="shared" si="1803"/>
        <v>44088USD</v>
      </c>
      <c r="B4240" s="6" t="s">
        <v>174</v>
      </c>
      <c r="C4240" s="6">
        <v>91.99</v>
      </c>
      <c r="D4240" s="6">
        <v>93.79</v>
      </c>
      <c r="E4240" s="6">
        <v>93.34</v>
      </c>
      <c r="F4240" t="str">
        <f t="shared" si="1792"/>
        <v>MON</v>
      </c>
      <c r="G4240" s="3">
        <f t="shared" si="1793"/>
        <v>44088</v>
      </c>
      <c r="H4240" s="2">
        <f t="shared" ca="1" si="1794"/>
        <v>165</v>
      </c>
      <c r="I4240" t="str">
        <f t="shared" si="1795"/>
        <v>USD</v>
      </c>
      <c r="J4240">
        <f t="shared" si="1796"/>
        <v>91.99</v>
      </c>
      <c r="K4240">
        <f t="shared" si="1797"/>
        <v>93.79</v>
      </c>
      <c r="L4240">
        <f t="shared" si="1798"/>
        <v>92.89</v>
      </c>
      <c r="M4240">
        <f t="shared" si="1799"/>
        <v>0.90000000000000568</v>
      </c>
      <c r="N4240">
        <f t="shared" si="1789"/>
        <v>1.8000000000000114</v>
      </c>
      <c r="O4240">
        <f t="shared" si="1800"/>
        <v>93.34</v>
      </c>
      <c r="P4240">
        <f t="shared" si="1801"/>
        <v>0.5</v>
      </c>
      <c r="Q4240" t="str">
        <f t="shared" si="1790"/>
        <v>1.45% | 0.48%</v>
      </c>
      <c r="R4240" t="str">
        <f t="shared" si="1802"/>
        <v>BEARISH</v>
      </c>
      <c r="S4240">
        <f t="shared" si="1791"/>
        <v>-1</v>
      </c>
    </row>
    <row r="4241" spans="1:19" hidden="1" x14ac:dyDescent="0.25">
      <c r="A4241" s="5" t="str">
        <f t="shared" si="1803"/>
        <v>44088EUR/USD</v>
      </c>
      <c r="B4241" s="6" t="s">
        <v>175</v>
      </c>
      <c r="C4241" s="6">
        <v>1.17</v>
      </c>
      <c r="D4241" s="6">
        <v>1.19</v>
      </c>
      <c r="E4241" s="6">
        <v>1.18</v>
      </c>
      <c r="F4241" t="str">
        <f t="shared" si="1792"/>
        <v>MON</v>
      </c>
      <c r="G4241" s="3">
        <f t="shared" si="1793"/>
        <v>44088</v>
      </c>
      <c r="H4241" s="2">
        <f t="shared" ca="1" si="1794"/>
        <v>165</v>
      </c>
      <c r="I4241" t="str">
        <f t="shared" si="1795"/>
        <v>EUR/USD</v>
      </c>
      <c r="J4241">
        <f t="shared" si="1796"/>
        <v>1.17</v>
      </c>
      <c r="K4241">
        <f t="shared" si="1797"/>
        <v>1.19</v>
      </c>
      <c r="L4241">
        <f t="shared" si="1798"/>
        <v>1.18</v>
      </c>
      <c r="M4241">
        <f t="shared" si="1799"/>
        <v>1.0000000000000009E-2</v>
      </c>
      <c r="N4241">
        <f t="shared" si="1789"/>
        <v>2.0000000000000018E-2</v>
      </c>
      <c r="O4241">
        <f t="shared" si="1800"/>
        <v>1.18</v>
      </c>
      <c r="P4241">
        <f t="shared" si="1801"/>
        <v>0</v>
      </c>
      <c r="Q4241" t="str">
        <f t="shared" si="1790"/>
        <v>0.85% | 0.85%</v>
      </c>
      <c r="R4241" t="str">
        <f t="shared" si="1802"/>
        <v>BULLISH</v>
      </c>
      <c r="S4241">
        <f t="shared" si="1791"/>
        <v>1</v>
      </c>
    </row>
    <row r="4242" spans="1:19" hidden="1" x14ac:dyDescent="0.25">
      <c r="A4242" s="5" t="str">
        <f t="shared" si="1803"/>
        <v>44088USD/JPY</v>
      </c>
      <c r="B4242" s="6" t="s">
        <v>176</v>
      </c>
      <c r="C4242" s="6">
        <v>105.37</v>
      </c>
      <c r="D4242" s="6">
        <v>106.62</v>
      </c>
      <c r="E4242" s="6">
        <v>106.1</v>
      </c>
      <c r="F4242" t="str">
        <f t="shared" si="1792"/>
        <v>MON</v>
      </c>
      <c r="G4242" s="3">
        <f t="shared" si="1793"/>
        <v>44088</v>
      </c>
      <c r="H4242" s="2">
        <f t="shared" ca="1" si="1794"/>
        <v>165</v>
      </c>
      <c r="I4242" t="str">
        <f t="shared" si="1795"/>
        <v>USD/JPY</v>
      </c>
      <c r="J4242">
        <f t="shared" si="1796"/>
        <v>105.37</v>
      </c>
      <c r="K4242">
        <f t="shared" si="1797"/>
        <v>106.62</v>
      </c>
      <c r="L4242">
        <f t="shared" si="1798"/>
        <v>105.995</v>
      </c>
      <c r="M4242">
        <f t="shared" si="1799"/>
        <v>0.625</v>
      </c>
      <c r="N4242">
        <f t="shared" si="1789"/>
        <v>1.25</v>
      </c>
      <c r="O4242">
        <f t="shared" si="1800"/>
        <v>106.1</v>
      </c>
      <c r="P4242">
        <f t="shared" si="1801"/>
        <v>0.16799999999998363</v>
      </c>
      <c r="Q4242" t="str">
        <f t="shared" si="1790"/>
        <v>0.69% | 0.49%</v>
      </c>
      <c r="R4242" t="str">
        <f t="shared" si="1802"/>
        <v>BEARISH</v>
      </c>
      <c r="S4242">
        <f t="shared" si="1791"/>
        <v>-1</v>
      </c>
    </row>
    <row r="4243" spans="1:19" hidden="1" x14ac:dyDescent="0.25">
      <c r="A4243" s="5" t="str">
        <f t="shared" si="1803"/>
        <v>44088GBP/USD</v>
      </c>
      <c r="B4243" s="6" t="s">
        <v>214</v>
      </c>
      <c r="C4243" s="6">
        <v>1.26</v>
      </c>
      <c r="D4243" s="6">
        <v>1.31</v>
      </c>
      <c r="E4243" s="6">
        <v>1.28</v>
      </c>
      <c r="F4243" t="str">
        <f t="shared" si="1792"/>
        <v>MON</v>
      </c>
      <c r="G4243" s="3">
        <f t="shared" si="1793"/>
        <v>44088</v>
      </c>
      <c r="H4243" s="2">
        <f t="shared" ca="1" si="1794"/>
        <v>165</v>
      </c>
      <c r="I4243" t="str">
        <f t="shared" si="1795"/>
        <v>GBP/USD</v>
      </c>
      <c r="J4243">
        <f t="shared" si="1796"/>
        <v>1.26</v>
      </c>
      <c r="K4243">
        <f t="shared" si="1797"/>
        <v>1.31</v>
      </c>
      <c r="L4243">
        <f t="shared" si="1798"/>
        <v>1.2850000000000001</v>
      </c>
      <c r="M4243">
        <f t="shared" si="1799"/>
        <v>2.5000000000000022E-2</v>
      </c>
      <c r="N4243">
        <f t="shared" si="1789"/>
        <v>5.0000000000000044E-2</v>
      </c>
      <c r="O4243">
        <f t="shared" si="1800"/>
        <v>1.28</v>
      </c>
      <c r="P4243">
        <f t="shared" si="1801"/>
        <v>-0.20000000000000445</v>
      </c>
      <c r="Q4243" t="str">
        <f t="shared" si="1790"/>
        <v>1.56% | 2.34%</v>
      </c>
      <c r="R4243" t="str">
        <f t="shared" si="1802"/>
        <v>NEUTRAL</v>
      </c>
      <c r="S4243">
        <f t="shared" si="1791"/>
        <v>0</v>
      </c>
    </row>
    <row r="4244" spans="1:19" hidden="1" x14ac:dyDescent="0.25">
      <c r="A4244" s="5" t="str">
        <f t="shared" si="1803"/>
        <v>44088USD/CHF</v>
      </c>
      <c r="B4244" s="6" t="s">
        <v>178</v>
      </c>
      <c r="C4244" s="6">
        <v>0.89</v>
      </c>
      <c r="D4244" s="6">
        <v>0.91</v>
      </c>
      <c r="E4244" s="6">
        <v>0.9</v>
      </c>
      <c r="F4244" t="str">
        <f t="shared" si="1792"/>
        <v>MON</v>
      </c>
      <c r="G4244" s="3">
        <f t="shared" si="1793"/>
        <v>44088</v>
      </c>
      <c r="H4244" s="2">
        <f t="shared" ca="1" si="1794"/>
        <v>165</v>
      </c>
      <c r="I4244" t="str">
        <f t="shared" si="1795"/>
        <v>USD/CHF</v>
      </c>
      <c r="J4244">
        <f t="shared" si="1796"/>
        <v>0.89</v>
      </c>
      <c r="K4244">
        <f t="shared" si="1797"/>
        <v>0.91</v>
      </c>
      <c r="L4244">
        <f t="shared" si="1798"/>
        <v>0.9</v>
      </c>
      <c r="M4244">
        <f t="shared" si="1799"/>
        <v>1.0000000000000009E-2</v>
      </c>
      <c r="N4244">
        <f t="shared" si="1789"/>
        <v>2.0000000000000018E-2</v>
      </c>
      <c r="O4244">
        <f t="shared" si="1800"/>
        <v>0.9</v>
      </c>
      <c r="P4244">
        <f t="shared" si="1801"/>
        <v>0</v>
      </c>
      <c r="Q4244" t="str">
        <f t="shared" si="1790"/>
        <v>1.11% | 1.11%</v>
      </c>
      <c r="R4244" t="str">
        <f t="shared" si="1802"/>
        <v>BEARISH</v>
      </c>
      <c r="S4244">
        <f t="shared" si="1791"/>
        <v>-1</v>
      </c>
    </row>
    <row r="4245" spans="1:19" hidden="1" x14ac:dyDescent="0.25">
      <c r="A4245" s="5" t="str">
        <f t="shared" si="1803"/>
        <v>44088WTIC</v>
      </c>
      <c r="B4245" s="6" t="s">
        <v>215</v>
      </c>
      <c r="C4245" s="6">
        <v>35.06</v>
      </c>
      <c r="D4245" s="6">
        <v>39.72</v>
      </c>
      <c r="E4245" s="6">
        <v>37.33</v>
      </c>
      <c r="F4245" t="str">
        <f t="shared" si="1792"/>
        <v>MON</v>
      </c>
      <c r="G4245" s="3">
        <f t="shared" si="1793"/>
        <v>44088</v>
      </c>
      <c r="H4245" s="2">
        <f t="shared" ca="1" si="1794"/>
        <v>165</v>
      </c>
      <c r="I4245" t="str">
        <f t="shared" si="1795"/>
        <v>WTIC</v>
      </c>
      <c r="J4245">
        <f t="shared" si="1796"/>
        <v>35.06</v>
      </c>
      <c r="K4245">
        <f t="shared" si="1797"/>
        <v>39.72</v>
      </c>
      <c r="L4245">
        <f t="shared" si="1798"/>
        <v>37.39</v>
      </c>
      <c r="M4245">
        <f t="shared" si="1799"/>
        <v>2.3299999999999983</v>
      </c>
      <c r="N4245">
        <f t="shared" si="1789"/>
        <v>4.6599999999999966</v>
      </c>
      <c r="O4245">
        <f t="shared" si="1800"/>
        <v>37.33</v>
      </c>
      <c r="P4245">
        <f t="shared" si="1801"/>
        <v>-2.5751072961374386E-2</v>
      </c>
      <c r="Q4245" t="str">
        <f t="shared" si="1790"/>
        <v>6.08% | 6.4%</v>
      </c>
      <c r="R4245" t="str">
        <f t="shared" si="1802"/>
        <v>BEARISH</v>
      </c>
      <c r="S4245">
        <f t="shared" si="1791"/>
        <v>-1</v>
      </c>
    </row>
    <row r="4246" spans="1:19" hidden="1" x14ac:dyDescent="0.25">
      <c r="A4246" s="5" t="str">
        <f t="shared" si="1803"/>
        <v>44088NATGAS</v>
      </c>
      <c r="B4246" s="6" t="s">
        <v>180</v>
      </c>
      <c r="C4246" s="6">
        <v>2.2200000000000002</v>
      </c>
      <c r="D4246" s="6">
        <v>2.7</v>
      </c>
      <c r="E4246" s="6">
        <v>2.27</v>
      </c>
      <c r="F4246" t="str">
        <f t="shared" si="1792"/>
        <v>MON</v>
      </c>
      <c r="G4246" s="3">
        <f t="shared" si="1793"/>
        <v>44088</v>
      </c>
      <c r="H4246" s="2">
        <f t="shared" ca="1" si="1794"/>
        <v>165</v>
      </c>
      <c r="I4246" t="str">
        <f t="shared" si="1795"/>
        <v>NATGAS</v>
      </c>
      <c r="J4246">
        <f t="shared" si="1796"/>
        <v>2.2200000000000002</v>
      </c>
      <c r="K4246">
        <f t="shared" si="1797"/>
        <v>2.7</v>
      </c>
      <c r="L4246">
        <f t="shared" si="1798"/>
        <v>2.46</v>
      </c>
      <c r="M4246">
        <f t="shared" si="1799"/>
        <v>0.24</v>
      </c>
      <c r="N4246">
        <f t="shared" si="1789"/>
        <v>0.48</v>
      </c>
      <c r="O4246">
        <f t="shared" si="1800"/>
        <v>2.27</v>
      </c>
      <c r="P4246">
        <f t="shared" si="1801"/>
        <v>-0.79166666666666652</v>
      </c>
      <c r="Q4246" t="str">
        <f t="shared" si="1790"/>
        <v>2.2% | 18.94%</v>
      </c>
      <c r="R4246" t="str">
        <f t="shared" si="1802"/>
        <v>BULLISH</v>
      </c>
      <c r="S4246">
        <f t="shared" si="1791"/>
        <v>1</v>
      </c>
    </row>
    <row r="4247" spans="1:19" hidden="1" x14ac:dyDescent="0.25">
      <c r="A4247" s="5" t="str">
        <f t="shared" si="1803"/>
        <v>44088GOLD</v>
      </c>
      <c r="B4247" s="6" t="s">
        <v>181</v>
      </c>
      <c r="C4247" s="6">
        <v>1920</v>
      </c>
      <c r="D4247" s="6">
        <v>1991</v>
      </c>
      <c r="E4247" s="6">
        <v>1947</v>
      </c>
      <c r="F4247" t="str">
        <f t="shared" si="1792"/>
        <v>MON</v>
      </c>
      <c r="G4247" s="3">
        <f t="shared" si="1793"/>
        <v>44088</v>
      </c>
      <c r="H4247" s="2">
        <f t="shared" ca="1" si="1794"/>
        <v>165</v>
      </c>
      <c r="I4247" t="str">
        <f t="shared" si="1795"/>
        <v>GOLD</v>
      </c>
      <c r="J4247">
        <f t="shared" si="1796"/>
        <v>1920</v>
      </c>
      <c r="K4247">
        <f t="shared" si="1797"/>
        <v>1991</v>
      </c>
      <c r="L4247">
        <f t="shared" si="1798"/>
        <v>1955.5</v>
      </c>
      <c r="M4247">
        <f t="shared" si="1799"/>
        <v>35.5</v>
      </c>
      <c r="N4247">
        <f t="shared" si="1789"/>
        <v>71</v>
      </c>
      <c r="O4247">
        <f t="shared" si="1800"/>
        <v>1947</v>
      </c>
      <c r="P4247">
        <f t="shared" si="1801"/>
        <v>-0.23943661971830985</v>
      </c>
      <c r="Q4247" t="str">
        <f t="shared" si="1790"/>
        <v>1.39% | 2.26%</v>
      </c>
      <c r="R4247" t="str">
        <f t="shared" si="1802"/>
        <v>BULLISH</v>
      </c>
      <c r="S4247">
        <f t="shared" si="1791"/>
        <v>1</v>
      </c>
    </row>
    <row r="4248" spans="1:19" hidden="1" x14ac:dyDescent="0.25">
      <c r="A4248" s="5" t="str">
        <f t="shared" si="1803"/>
        <v>44088SILVER</v>
      </c>
      <c r="B4248" s="6" t="s">
        <v>199</v>
      </c>
      <c r="C4248" s="6">
        <v>26.01</v>
      </c>
      <c r="D4248" s="6">
        <v>28.96</v>
      </c>
      <c r="E4248" s="6">
        <v>26.86</v>
      </c>
      <c r="F4248" t="str">
        <f t="shared" si="1792"/>
        <v>MON</v>
      </c>
      <c r="G4248" s="3">
        <f t="shared" si="1793"/>
        <v>44088</v>
      </c>
      <c r="H4248" s="2">
        <f t="shared" ca="1" si="1794"/>
        <v>165</v>
      </c>
      <c r="I4248" t="str">
        <f t="shared" si="1795"/>
        <v>SILVER</v>
      </c>
      <c r="J4248">
        <f t="shared" si="1796"/>
        <v>26.01</v>
      </c>
      <c r="K4248">
        <f t="shared" si="1797"/>
        <v>28.96</v>
      </c>
      <c r="L4248">
        <f t="shared" si="1798"/>
        <v>27.484999999999999</v>
      </c>
      <c r="M4248">
        <f t="shared" si="1799"/>
        <v>1.4749999999999996</v>
      </c>
      <c r="N4248">
        <f t="shared" si="1789"/>
        <v>2.9499999999999993</v>
      </c>
      <c r="O4248">
        <f t="shared" si="1800"/>
        <v>26.86</v>
      </c>
      <c r="P4248">
        <f t="shared" si="1801"/>
        <v>-0.42372881355932213</v>
      </c>
      <c r="Q4248" t="str">
        <f t="shared" si="1790"/>
        <v>3.16% | 7.82%</v>
      </c>
      <c r="R4248" t="str">
        <f t="shared" si="1802"/>
        <v>BULLISH</v>
      </c>
      <c r="S4248">
        <f t="shared" si="1791"/>
        <v>1</v>
      </c>
    </row>
    <row r="4249" spans="1:19" hidden="1" x14ac:dyDescent="0.25">
      <c r="A4249" s="5" t="str">
        <f t="shared" si="1803"/>
        <v>44088COPPER</v>
      </c>
      <c r="B4249" s="6" t="s">
        <v>182</v>
      </c>
      <c r="C4249" s="6">
        <v>2.97</v>
      </c>
      <c r="D4249" s="6">
        <v>3.09</v>
      </c>
      <c r="E4249" s="6">
        <v>3.04</v>
      </c>
      <c r="F4249" t="str">
        <f t="shared" si="1792"/>
        <v>MON</v>
      </c>
      <c r="G4249" s="3">
        <f t="shared" si="1793"/>
        <v>44088</v>
      </c>
      <c r="H4249" s="2">
        <f t="shared" ca="1" si="1794"/>
        <v>165</v>
      </c>
      <c r="I4249" t="str">
        <f t="shared" si="1795"/>
        <v>COPPER</v>
      </c>
      <c r="J4249">
        <f t="shared" si="1796"/>
        <v>2.97</v>
      </c>
      <c r="K4249">
        <f t="shared" si="1797"/>
        <v>3.09</v>
      </c>
      <c r="L4249">
        <f t="shared" si="1798"/>
        <v>3.0300000000000002</v>
      </c>
      <c r="M4249">
        <f t="shared" si="1799"/>
        <v>5.9999999999999831E-2</v>
      </c>
      <c r="N4249">
        <f t="shared" si="1789"/>
        <v>0.11999999999999966</v>
      </c>
      <c r="O4249">
        <f t="shared" si="1800"/>
        <v>3.04</v>
      </c>
      <c r="P4249">
        <f t="shared" si="1801"/>
        <v>0.16666666666666358</v>
      </c>
      <c r="Q4249" t="str">
        <f t="shared" si="1790"/>
        <v>2.3% | 1.64%</v>
      </c>
      <c r="R4249" t="str">
        <f t="shared" si="1802"/>
        <v>BULLISH</v>
      </c>
      <c r="S4249">
        <f t="shared" si="1791"/>
        <v>1</v>
      </c>
    </row>
    <row r="4250" spans="1:19" hidden="1" x14ac:dyDescent="0.25">
      <c r="A4250" s="5" t="str">
        <f t="shared" si="1803"/>
        <v>44088MSFT</v>
      </c>
      <c r="B4250" s="6" t="s">
        <v>206</v>
      </c>
      <c r="C4250" s="6">
        <v>195</v>
      </c>
      <c r="D4250" s="6">
        <v>216</v>
      </c>
      <c r="E4250" s="6">
        <v>204</v>
      </c>
      <c r="F4250" t="str">
        <f t="shared" si="1792"/>
        <v>MON</v>
      </c>
      <c r="G4250" s="3">
        <f t="shared" si="1793"/>
        <v>44088</v>
      </c>
      <c r="H4250" s="2">
        <f t="shared" ca="1" si="1794"/>
        <v>165</v>
      </c>
      <c r="I4250" t="str">
        <f t="shared" si="1795"/>
        <v>MSFT</v>
      </c>
      <c r="J4250">
        <f t="shared" si="1796"/>
        <v>195</v>
      </c>
      <c r="K4250">
        <f t="shared" si="1797"/>
        <v>216</v>
      </c>
      <c r="L4250">
        <f t="shared" si="1798"/>
        <v>205.5</v>
      </c>
      <c r="M4250">
        <f t="shared" si="1799"/>
        <v>10.5</v>
      </c>
      <c r="N4250">
        <f t="shared" si="1789"/>
        <v>21</v>
      </c>
      <c r="O4250">
        <f t="shared" si="1800"/>
        <v>204</v>
      </c>
      <c r="P4250">
        <f t="shared" si="1801"/>
        <v>-0.14285714285714285</v>
      </c>
      <c r="Q4250" t="str">
        <f t="shared" si="1790"/>
        <v>4.41% | 5.88%</v>
      </c>
      <c r="R4250" t="str">
        <f t="shared" si="1802"/>
        <v>NEUTRAL</v>
      </c>
      <c r="S4250">
        <f t="shared" si="1791"/>
        <v>0</v>
      </c>
    </row>
    <row r="4251" spans="1:19" hidden="1" x14ac:dyDescent="0.25">
      <c r="A4251" s="5" t="str">
        <f t="shared" si="1803"/>
        <v>44088AAPL</v>
      </c>
      <c r="B4251" s="6" t="s">
        <v>207</v>
      </c>
      <c r="C4251" s="6">
        <v>102</v>
      </c>
      <c r="D4251" s="6">
        <v>122</v>
      </c>
      <c r="E4251" s="6">
        <v>112</v>
      </c>
      <c r="F4251" t="str">
        <f t="shared" si="1792"/>
        <v>MON</v>
      </c>
      <c r="G4251" s="3">
        <f t="shared" si="1793"/>
        <v>44088</v>
      </c>
      <c r="H4251" s="2">
        <f t="shared" ca="1" si="1794"/>
        <v>165</v>
      </c>
      <c r="I4251" t="str">
        <f t="shared" si="1795"/>
        <v>AAPL</v>
      </c>
      <c r="J4251">
        <f t="shared" si="1796"/>
        <v>102</v>
      </c>
      <c r="K4251">
        <f t="shared" si="1797"/>
        <v>122</v>
      </c>
      <c r="L4251">
        <f t="shared" si="1798"/>
        <v>112</v>
      </c>
      <c r="M4251">
        <f t="shared" si="1799"/>
        <v>10</v>
      </c>
      <c r="N4251">
        <f t="shared" si="1789"/>
        <v>20</v>
      </c>
      <c r="O4251">
        <f t="shared" si="1800"/>
        <v>112</v>
      </c>
      <c r="P4251">
        <f t="shared" si="1801"/>
        <v>0</v>
      </c>
      <c r="Q4251" t="str">
        <f t="shared" si="1790"/>
        <v>8.93% | 8.93%</v>
      </c>
      <c r="R4251" t="str">
        <f t="shared" si="1802"/>
        <v>NEUTRAL</v>
      </c>
      <c r="S4251">
        <f t="shared" si="1791"/>
        <v>0</v>
      </c>
    </row>
    <row r="4252" spans="1:19" hidden="1" x14ac:dyDescent="0.25">
      <c r="A4252" s="5" t="str">
        <f t="shared" si="1803"/>
        <v>44088AMZN</v>
      </c>
      <c r="B4252" s="6" t="s">
        <v>185</v>
      </c>
      <c r="C4252" s="6">
        <v>3005</v>
      </c>
      <c r="D4252" s="6">
        <v>3327</v>
      </c>
      <c r="E4252" s="6">
        <v>3116</v>
      </c>
      <c r="F4252" t="str">
        <f t="shared" si="1792"/>
        <v>MON</v>
      </c>
      <c r="G4252" s="3">
        <f t="shared" si="1793"/>
        <v>44088</v>
      </c>
      <c r="H4252" s="2">
        <f t="shared" ca="1" si="1794"/>
        <v>165</v>
      </c>
      <c r="I4252" t="str">
        <f t="shared" si="1795"/>
        <v>AMZN</v>
      </c>
      <c r="J4252">
        <f t="shared" si="1796"/>
        <v>3005</v>
      </c>
      <c r="K4252">
        <f t="shared" si="1797"/>
        <v>3327</v>
      </c>
      <c r="L4252">
        <f t="shared" si="1798"/>
        <v>3166</v>
      </c>
      <c r="M4252">
        <f t="shared" si="1799"/>
        <v>161</v>
      </c>
      <c r="N4252">
        <f t="shared" si="1789"/>
        <v>322</v>
      </c>
      <c r="O4252">
        <f t="shared" si="1800"/>
        <v>3116</v>
      </c>
      <c r="P4252">
        <f t="shared" si="1801"/>
        <v>-0.3105590062111801</v>
      </c>
      <c r="Q4252" t="str">
        <f t="shared" si="1790"/>
        <v>3.56% | 6.77%</v>
      </c>
      <c r="R4252" t="str">
        <f t="shared" si="1802"/>
        <v>BULLISH</v>
      </c>
      <c r="S4252">
        <f t="shared" si="1791"/>
        <v>1</v>
      </c>
    </row>
    <row r="4253" spans="1:19" hidden="1" x14ac:dyDescent="0.25">
      <c r="A4253" s="5" t="str">
        <f t="shared" si="1803"/>
        <v>44088FB</v>
      </c>
      <c r="B4253" s="6" t="s">
        <v>186</v>
      </c>
      <c r="C4253" s="6">
        <v>256</v>
      </c>
      <c r="D4253" s="6">
        <v>285</v>
      </c>
      <c r="E4253" s="6">
        <v>266</v>
      </c>
      <c r="F4253" t="str">
        <f t="shared" si="1792"/>
        <v>MON</v>
      </c>
      <c r="G4253" s="3">
        <f t="shared" si="1793"/>
        <v>44088</v>
      </c>
      <c r="H4253" s="2">
        <f t="shared" ca="1" si="1794"/>
        <v>165</v>
      </c>
      <c r="I4253" t="str">
        <f t="shared" si="1795"/>
        <v>FB</v>
      </c>
      <c r="J4253">
        <f t="shared" si="1796"/>
        <v>256</v>
      </c>
      <c r="K4253">
        <f t="shared" si="1797"/>
        <v>285</v>
      </c>
      <c r="L4253">
        <f t="shared" si="1798"/>
        <v>270.5</v>
      </c>
      <c r="M4253">
        <f t="shared" si="1799"/>
        <v>14.5</v>
      </c>
      <c r="N4253">
        <f t="shared" si="1789"/>
        <v>29</v>
      </c>
      <c r="O4253">
        <f t="shared" si="1800"/>
        <v>266</v>
      </c>
      <c r="P4253">
        <f t="shared" si="1801"/>
        <v>-0.31034482758620691</v>
      </c>
      <c r="Q4253" t="str">
        <f t="shared" si="1790"/>
        <v>3.76% | 7.14%</v>
      </c>
      <c r="R4253" t="str">
        <f t="shared" si="1802"/>
        <v>BULLISH</v>
      </c>
      <c r="S4253">
        <f t="shared" si="1791"/>
        <v>1</v>
      </c>
    </row>
    <row r="4254" spans="1:19" hidden="1" x14ac:dyDescent="0.25">
      <c r="A4254" s="5" t="str">
        <f t="shared" si="1803"/>
        <v>44088GOOGL</v>
      </c>
      <c r="B4254" s="6" t="s">
        <v>208</v>
      </c>
      <c r="C4254" s="6">
        <v>1450</v>
      </c>
      <c r="D4254" s="6">
        <v>1594</v>
      </c>
      <c r="E4254" s="6">
        <v>1515</v>
      </c>
      <c r="F4254" t="str">
        <f t="shared" si="1792"/>
        <v>MON</v>
      </c>
      <c r="G4254" s="3">
        <f t="shared" si="1793"/>
        <v>44088</v>
      </c>
      <c r="H4254" s="2">
        <f t="shared" ca="1" si="1794"/>
        <v>165</v>
      </c>
      <c r="I4254" t="str">
        <f t="shared" si="1795"/>
        <v>GOOGL</v>
      </c>
      <c r="J4254">
        <f t="shared" si="1796"/>
        <v>1450</v>
      </c>
      <c r="K4254">
        <f t="shared" si="1797"/>
        <v>1594</v>
      </c>
      <c r="L4254">
        <f t="shared" si="1798"/>
        <v>1522</v>
      </c>
      <c r="M4254">
        <f t="shared" si="1799"/>
        <v>72</v>
      </c>
      <c r="N4254">
        <f t="shared" si="1789"/>
        <v>144</v>
      </c>
      <c r="O4254">
        <f t="shared" si="1800"/>
        <v>1515</v>
      </c>
      <c r="P4254">
        <f t="shared" si="1801"/>
        <v>-9.7222222222222224E-2</v>
      </c>
      <c r="Q4254" t="str">
        <f t="shared" si="1790"/>
        <v>4.29% | 5.21%</v>
      </c>
      <c r="R4254" t="str">
        <f t="shared" si="1802"/>
        <v>NEUTRAL</v>
      </c>
      <c r="S4254">
        <f t="shared" si="1791"/>
        <v>0</v>
      </c>
    </row>
    <row r="4255" spans="1:19" hidden="1" x14ac:dyDescent="0.25">
      <c r="A4255" s="5" t="str">
        <f t="shared" si="1803"/>
        <v>44088NFLX</v>
      </c>
      <c r="B4255" s="6" t="s">
        <v>213</v>
      </c>
      <c r="C4255" s="6">
        <v>466</v>
      </c>
      <c r="D4255" s="6">
        <v>519</v>
      </c>
      <c r="E4255" s="6">
        <v>482</v>
      </c>
      <c r="F4255" t="str">
        <f t="shared" si="1792"/>
        <v>MON</v>
      </c>
      <c r="G4255" s="3">
        <f t="shared" si="1793"/>
        <v>44088</v>
      </c>
      <c r="H4255" s="2">
        <f t="shared" ca="1" si="1794"/>
        <v>165</v>
      </c>
      <c r="I4255" t="str">
        <f t="shared" si="1795"/>
        <v>NFLX</v>
      </c>
      <c r="J4255">
        <f t="shared" si="1796"/>
        <v>466</v>
      </c>
      <c r="K4255">
        <f t="shared" si="1797"/>
        <v>519</v>
      </c>
      <c r="L4255">
        <f t="shared" si="1798"/>
        <v>492.5</v>
      </c>
      <c r="M4255">
        <f t="shared" si="1799"/>
        <v>26.5</v>
      </c>
      <c r="N4255">
        <f t="shared" si="1789"/>
        <v>53</v>
      </c>
      <c r="O4255">
        <f t="shared" si="1800"/>
        <v>482</v>
      </c>
      <c r="P4255">
        <f t="shared" si="1801"/>
        <v>-0.39622641509433965</v>
      </c>
      <c r="Q4255" t="str">
        <f t="shared" si="1790"/>
        <v>3.32% | 7.68%</v>
      </c>
      <c r="R4255" t="str">
        <f t="shared" si="1802"/>
        <v>BEARISH</v>
      </c>
      <c r="S4255">
        <f t="shared" si="1791"/>
        <v>-1</v>
      </c>
    </row>
    <row r="4256" spans="1:19" x14ac:dyDescent="0.25">
      <c r="A4256" s="5" t="str">
        <f t="shared" si="1803"/>
        <v>44088TSLA</v>
      </c>
      <c r="B4256" s="6" t="s">
        <v>209</v>
      </c>
      <c r="C4256" s="6">
        <v>299</v>
      </c>
      <c r="D4256" s="6">
        <v>419</v>
      </c>
      <c r="E4256" s="6">
        <v>372</v>
      </c>
      <c r="F4256" t="str">
        <f t="shared" si="1792"/>
        <v>MON</v>
      </c>
      <c r="G4256" s="3">
        <f t="shared" si="1793"/>
        <v>44088</v>
      </c>
      <c r="H4256" s="2">
        <f t="shared" ca="1" si="1794"/>
        <v>165</v>
      </c>
      <c r="I4256" t="str">
        <f t="shared" si="1795"/>
        <v>TSLA</v>
      </c>
      <c r="J4256">
        <f t="shared" si="1796"/>
        <v>299</v>
      </c>
      <c r="K4256">
        <f t="shared" si="1797"/>
        <v>419</v>
      </c>
      <c r="L4256">
        <f t="shared" si="1798"/>
        <v>359</v>
      </c>
      <c r="M4256">
        <f t="shared" si="1799"/>
        <v>60</v>
      </c>
      <c r="N4256">
        <f t="shared" si="1789"/>
        <v>120</v>
      </c>
      <c r="O4256">
        <f t="shared" si="1800"/>
        <v>372</v>
      </c>
      <c r="P4256">
        <f t="shared" si="1801"/>
        <v>0.21666666666666667</v>
      </c>
      <c r="Q4256" t="str">
        <f t="shared" si="1790"/>
        <v>19.62% | 12.63%</v>
      </c>
      <c r="R4256" t="str">
        <f t="shared" si="1802"/>
        <v>NEUTRAL</v>
      </c>
      <c r="S4256">
        <f t="shared" si="1791"/>
        <v>0</v>
      </c>
    </row>
    <row r="4257" spans="1:19" hidden="1" x14ac:dyDescent="0.25">
      <c r="A4257" s="5" t="str">
        <f t="shared" si="1803"/>
        <v>44088NYXBT</v>
      </c>
      <c r="B4257" s="6" t="s">
        <v>210</v>
      </c>
      <c r="C4257" s="6">
        <v>9495</v>
      </c>
      <c r="D4257" s="6">
        <v>10953</v>
      </c>
      <c r="E4257" s="6">
        <v>10295</v>
      </c>
      <c r="F4257" t="str">
        <f t="shared" si="1792"/>
        <v>MON</v>
      </c>
      <c r="G4257" s="3">
        <f t="shared" si="1793"/>
        <v>44088</v>
      </c>
      <c r="H4257" s="2">
        <f t="shared" ca="1" si="1794"/>
        <v>165</v>
      </c>
      <c r="I4257" t="str">
        <f t="shared" si="1795"/>
        <v>NYXBT</v>
      </c>
      <c r="J4257">
        <f t="shared" si="1796"/>
        <v>9495</v>
      </c>
      <c r="K4257">
        <f t="shared" si="1797"/>
        <v>10953</v>
      </c>
      <c r="L4257">
        <f t="shared" si="1798"/>
        <v>10224</v>
      </c>
      <c r="M4257">
        <f t="shared" si="1799"/>
        <v>729</v>
      </c>
      <c r="N4257">
        <f t="shared" si="1789"/>
        <v>1458</v>
      </c>
      <c r="O4257">
        <f t="shared" si="1800"/>
        <v>10295</v>
      </c>
      <c r="P4257">
        <f t="shared" si="1801"/>
        <v>9.7393689986282575E-2</v>
      </c>
      <c r="Q4257" t="str">
        <f t="shared" si="1790"/>
        <v>7.77% | 6.39%</v>
      </c>
      <c r="R4257" t="str">
        <f t="shared" si="1802"/>
        <v>NEUTRAL</v>
      </c>
      <c r="S4257">
        <f t="shared" si="1791"/>
        <v>0</v>
      </c>
    </row>
    <row r="4258" spans="1:19" hidden="1" x14ac:dyDescent="0.25">
      <c r="A4258" s="5" t="str">
        <f t="shared" si="1803"/>
        <v>44089UST10Y</v>
      </c>
      <c r="B4258" s="6" t="s">
        <v>161</v>
      </c>
      <c r="C4258" s="6">
        <v>0.73</v>
      </c>
      <c r="D4258" s="6">
        <v>0.61</v>
      </c>
      <c r="E4258" s="6">
        <v>0.68</v>
      </c>
      <c r="F4258" t="str">
        <f t="shared" si="1792"/>
        <v>TUE</v>
      </c>
      <c r="G4258" s="1">
        <f>DATE(2020,9,15)</f>
        <v>44089</v>
      </c>
      <c r="H4258" s="2">
        <f t="shared" ca="1" si="1794"/>
        <v>164</v>
      </c>
      <c r="I4258" t="str">
        <f t="shared" si="1795"/>
        <v>UST10Y</v>
      </c>
      <c r="J4258">
        <f t="shared" si="1796"/>
        <v>0.73</v>
      </c>
      <c r="K4258">
        <f t="shared" si="1797"/>
        <v>0.61</v>
      </c>
      <c r="L4258">
        <f t="shared" si="1798"/>
        <v>0.66999999999999993</v>
      </c>
      <c r="M4258">
        <f t="shared" si="1799"/>
        <v>0.06</v>
      </c>
      <c r="N4258">
        <f t="shared" si="1789"/>
        <v>0.12</v>
      </c>
      <c r="O4258">
        <f t="shared" si="1800"/>
        <v>0.68</v>
      </c>
      <c r="P4258">
        <f t="shared" si="1801"/>
        <v>0.16666666666666868</v>
      </c>
      <c r="Q4258" t="str">
        <f t="shared" si="1790"/>
        <v>7.35% | 10.29%</v>
      </c>
      <c r="R4258" t="str">
        <f t="shared" si="1802"/>
        <v>BEARISH</v>
      </c>
      <c r="S4258">
        <f t="shared" si="1791"/>
        <v>-1</v>
      </c>
    </row>
    <row r="4259" spans="1:19" hidden="1" x14ac:dyDescent="0.25">
      <c r="A4259" s="5" t="str">
        <f t="shared" si="1803"/>
        <v>44089UST2Y</v>
      </c>
      <c r="B4259" s="6" t="s">
        <v>162</v>
      </c>
      <c r="C4259" s="6">
        <v>0.16</v>
      </c>
      <c r="D4259" s="6">
        <v>0.11</v>
      </c>
      <c r="E4259" s="6">
        <v>0.14000000000000001</v>
      </c>
      <c r="F4259" t="str">
        <f t="shared" ref="F4259:F4289" si="1804">UPPER(TEXT(G4259,"ddd"))</f>
        <v>TUE</v>
      </c>
      <c r="G4259" s="1">
        <f t="shared" ref="G4259:G4288" si="1805">DATE(2020,9,15)</f>
        <v>44089</v>
      </c>
      <c r="H4259" s="2">
        <f t="shared" ref="H4259:H4289" ca="1" si="1806">TODAY()-G4259</f>
        <v>164</v>
      </c>
      <c r="I4259" t="str">
        <f t="shared" ref="I4259:I4289" si="1807">TRIM(LEFT(B4259,FIND(" ",B4259,1)))</f>
        <v>UST2Y</v>
      </c>
      <c r="J4259">
        <f t="shared" ref="J4259:J4289" si="1808">C4259</f>
        <v>0.16</v>
      </c>
      <c r="K4259">
        <f t="shared" ref="K4259:K4289" si="1809">D4259</f>
        <v>0.11</v>
      </c>
      <c r="L4259">
        <f t="shared" ref="L4259:L4289" si="1810">AVERAGE(J4259:K4259)</f>
        <v>0.13500000000000001</v>
      </c>
      <c r="M4259">
        <f t="shared" ref="M4259:M4289" si="1811">_xlfn.STDEV.P(J4259:K4259)</f>
        <v>2.4999999999999942E-2</v>
      </c>
      <c r="N4259">
        <f t="shared" si="1789"/>
        <v>0.05</v>
      </c>
      <c r="O4259">
        <f t="shared" ref="O4259:O4289" si="1812">E4259</f>
        <v>0.14000000000000001</v>
      </c>
      <c r="P4259">
        <f t="shared" ref="P4259:P4289" si="1813">(O4259-L4259)/M4259</f>
        <v>0.20000000000000065</v>
      </c>
      <c r="Q4259" t="str">
        <f t="shared" si="1790"/>
        <v>14.29% | 21.43%</v>
      </c>
      <c r="R4259" t="str">
        <f t="shared" ref="R4259:R4289" si="1814">MID(B4259,FIND("(",B4259,1)+1,FIND(")",B4259,1)-FIND("(",B4259,1)-1)</f>
        <v>BEARISH</v>
      </c>
      <c r="S4259">
        <f t="shared" si="1791"/>
        <v>-1</v>
      </c>
    </row>
    <row r="4260" spans="1:19" hidden="1" x14ac:dyDescent="0.25">
      <c r="A4260" s="5" t="str">
        <f t="shared" si="1803"/>
        <v>44089SPX</v>
      </c>
      <c r="B4260" s="6" t="s">
        <v>211</v>
      </c>
      <c r="C4260" s="6">
        <v>3251</v>
      </c>
      <c r="D4260" s="6">
        <v>3430</v>
      </c>
      <c r="E4260" s="6">
        <v>3383</v>
      </c>
      <c r="F4260" t="str">
        <f t="shared" si="1804"/>
        <v>TUE</v>
      </c>
      <c r="G4260" s="1">
        <f t="shared" si="1805"/>
        <v>44089</v>
      </c>
      <c r="H4260" s="2">
        <f t="shared" ca="1" si="1806"/>
        <v>164</v>
      </c>
      <c r="I4260" t="str">
        <f t="shared" si="1807"/>
        <v>SPX</v>
      </c>
      <c r="J4260">
        <f t="shared" si="1808"/>
        <v>3251</v>
      </c>
      <c r="K4260">
        <f t="shared" si="1809"/>
        <v>3430</v>
      </c>
      <c r="L4260">
        <f t="shared" si="1810"/>
        <v>3340.5</v>
      </c>
      <c r="M4260">
        <f t="shared" si="1811"/>
        <v>89.5</v>
      </c>
      <c r="N4260">
        <f t="shared" si="1789"/>
        <v>179</v>
      </c>
      <c r="O4260">
        <f t="shared" si="1812"/>
        <v>3383</v>
      </c>
      <c r="P4260">
        <f t="shared" si="1813"/>
        <v>0.47486033519553073</v>
      </c>
      <c r="Q4260" t="str">
        <f t="shared" si="1790"/>
        <v>3.9% | 1.39%</v>
      </c>
      <c r="R4260" t="str">
        <f t="shared" si="1814"/>
        <v>BEARISH</v>
      </c>
      <c r="S4260">
        <f t="shared" si="1791"/>
        <v>-1</v>
      </c>
    </row>
    <row r="4261" spans="1:19" hidden="1" x14ac:dyDescent="0.25">
      <c r="A4261" s="5" t="str">
        <f t="shared" si="1803"/>
        <v>44089RUT</v>
      </c>
      <c r="B4261" s="6" t="s">
        <v>164</v>
      </c>
      <c r="C4261" s="6">
        <v>1473</v>
      </c>
      <c r="D4261" s="6">
        <v>1547</v>
      </c>
      <c r="E4261" s="6">
        <v>1536</v>
      </c>
      <c r="F4261" t="str">
        <f t="shared" si="1804"/>
        <v>TUE</v>
      </c>
      <c r="G4261" s="1">
        <f t="shared" si="1805"/>
        <v>44089</v>
      </c>
      <c r="H4261" s="2">
        <f t="shared" ca="1" si="1806"/>
        <v>164</v>
      </c>
      <c r="I4261" t="str">
        <f t="shared" si="1807"/>
        <v>RUT</v>
      </c>
      <c r="J4261">
        <f t="shared" si="1808"/>
        <v>1473</v>
      </c>
      <c r="K4261">
        <f t="shared" si="1809"/>
        <v>1547</v>
      </c>
      <c r="L4261">
        <f t="shared" si="1810"/>
        <v>1510</v>
      </c>
      <c r="M4261">
        <f t="shared" si="1811"/>
        <v>37</v>
      </c>
      <c r="N4261">
        <f t="shared" si="1789"/>
        <v>74</v>
      </c>
      <c r="O4261">
        <f t="shared" si="1812"/>
        <v>1536</v>
      </c>
      <c r="P4261">
        <f t="shared" si="1813"/>
        <v>0.70270270270270274</v>
      </c>
      <c r="Q4261" t="str">
        <f t="shared" si="1790"/>
        <v>4.1% | 0.72%</v>
      </c>
      <c r="R4261" t="str">
        <f t="shared" si="1814"/>
        <v>BEARISH</v>
      </c>
      <c r="S4261">
        <f t="shared" si="1791"/>
        <v>-1</v>
      </c>
    </row>
    <row r="4262" spans="1:19" hidden="1" x14ac:dyDescent="0.25">
      <c r="A4262" s="5" t="str">
        <f t="shared" si="1803"/>
        <v>44089COMPQ</v>
      </c>
      <c r="B4262" s="6" t="s">
        <v>212</v>
      </c>
      <c r="C4262" s="6">
        <v>10424</v>
      </c>
      <c r="D4262" s="6">
        <v>11297</v>
      </c>
      <c r="E4262" s="6">
        <v>11056</v>
      </c>
      <c r="F4262" t="str">
        <f t="shared" si="1804"/>
        <v>TUE</v>
      </c>
      <c r="G4262" s="1">
        <f t="shared" si="1805"/>
        <v>44089</v>
      </c>
      <c r="H4262" s="2">
        <f t="shared" ca="1" si="1806"/>
        <v>164</v>
      </c>
      <c r="I4262" t="str">
        <f t="shared" si="1807"/>
        <v>COMPQ</v>
      </c>
      <c r="J4262">
        <f t="shared" si="1808"/>
        <v>10424</v>
      </c>
      <c r="K4262">
        <f t="shared" si="1809"/>
        <v>11297</v>
      </c>
      <c r="L4262">
        <f t="shared" si="1810"/>
        <v>10860.5</v>
      </c>
      <c r="M4262">
        <f t="shared" si="1811"/>
        <v>436.5</v>
      </c>
      <c r="N4262">
        <f t="shared" si="1789"/>
        <v>873</v>
      </c>
      <c r="O4262">
        <f t="shared" si="1812"/>
        <v>11056</v>
      </c>
      <c r="P4262">
        <f t="shared" si="1813"/>
        <v>0.44788087056128295</v>
      </c>
      <c r="Q4262" t="str">
        <f t="shared" si="1790"/>
        <v>5.72% | 2.18%</v>
      </c>
      <c r="R4262" t="str">
        <f t="shared" si="1814"/>
        <v>NEUTRAL</v>
      </c>
      <c r="S4262">
        <f t="shared" si="1791"/>
        <v>0</v>
      </c>
    </row>
    <row r="4263" spans="1:19" hidden="1" x14ac:dyDescent="0.25">
      <c r="A4263" s="5" t="str">
        <f t="shared" si="1803"/>
        <v>44089XLK</v>
      </c>
      <c r="B4263" s="6" t="s">
        <v>203</v>
      </c>
      <c r="C4263" s="6">
        <v>107.89</v>
      </c>
      <c r="D4263" s="6">
        <v>119.02</v>
      </c>
      <c r="E4263" s="6">
        <v>115.33</v>
      </c>
      <c r="F4263" t="str">
        <f t="shared" si="1804"/>
        <v>TUE</v>
      </c>
      <c r="G4263" s="1">
        <f t="shared" si="1805"/>
        <v>44089</v>
      </c>
      <c r="H4263" s="2">
        <f t="shared" ca="1" si="1806"/>
        <v>164</v>
      </c>
      <c r="I4263" t="str">
        <f t="shared" si="1807"/>
        <v>XLK</v>
      </c>
      <c r="J4263">
        <f t="shared" si="1808"/>
        <v>107.89</v>
      </c>
      <c r="K4263">
        <f t="shared" si="1809"/>
        <v>119.02</v>
      </c>
      <c r="L4263">
        <f t="shared" si="1810"/>
        <v>113.455</v>
      </c>
      <c r="M4263">
        <f t="shared" si="1811"/>
        <v>5.5649999999999977</v>
      </c>
      <c r="N4263">
        <f t="shared" si="1789"/>
        <v>11.129999999999995</v>
      </c>
      <c r="O4263">
        <f t="shared" si="1812"/>
        <v>115.33</v>
      </c>
      <c r="P4263">
        <f t="shared" si="1813"/>
        <v>0.33692722371967671</v>
      </c>
      <c r="Q4263" t="str">
        <f t="shared" si="1790"/>
        <v>6.45% | 3.2%</v>
      </c>
      <c r="R4263" t="str">
        <f t="shared" si="1814"/>
        <v>NEUTRAL</v>
      </c>
      <c r="S4263">
        <f t="shared" si="1791"/>
        <v>0</v>
      </c>
    </row>
    <row r="4264" spans="1:19" hidden="1" x14ac:dyDescent="0.25">
      <c r="A4264" s="5" t="str">
        <f t="shared" si="1803"/>
        <v>44089XLRE</v>
      </c>
      <c r="B4264" s="6" t="s">
        <v>167</v>
      </c>
      <c r="C4264" s="6">
        <v>35.22</v>
      </c>
      <c r="D4264" s="6">
        <v>37.119999999999997</v>
      </c>
      <c r="E4264" s="6">
        <v>36.42</v>
      </c>
      <c r="F4264" t="str">
        <f t="shared" si="1804"/>
        <v>TUE</v>
      </c>
      <c r="G4264" s="1">
        <f t="shared" si="1805"/>
        <v>44089</v>
      </c>
      <c r="H4264" s="2">
        <f t="shared" ca="1" si="1806"/>
        <v>164</v>
      </c>
      <c r="I4264" t="str">
        <f t="shared" si="1807"/>
        <v>XLRE</v>
      </c>
      <c r="J4264">
        <f t="shared" si="1808"/>
        <v>35.22</v>
      </c>
      <c r="K4264">
        <f t="shared" si="1809"/>
        <v>37.119999999999997</v>
      </c>
      <c r="L4264">
        <f t="shared" si="1810"/>
        <v>36.17</v>
      </c>
      <c r="M4264">
        <f t="shared" si="1811"/>
        <v>0.94999999999999929</v>
      </c>
      <c r="N4264">
        <f t="shared" si="1789"/>
        <v>1.8999999999999986</v>
      </c>
      <c r="O4264">
        <f t="shared" si="1812"/>
        <v>36.42</v>
      </c>
      <c r="P4264">
        <f t="shared" si="1813"/>
        <v>0.26315789473684231</v>
      </c>
      <c r="Q4264" t="str">
        <f t="shared" si="1790"/>
        <v>3.29% | 1.92%</v>
      </c>
      <c r="R4264" t="str">
        <f t="shared" si="1814"/>
        <v>BULLISH</v>
      </c>
      <c r="S4264">
        <f t="shared" si="1791"/>
        <v>1</v>
      </c>
    </row>
    <row r="4265" spans="1:19" hidden="1" x14ac:dyDescent="0.25">
      <c r="A4265" s="5" t="str">
        <f t="shared" si="1803"/>
        <v>44089XLU</v>
      </c>
      <c r="B4265" s="6" t="s">
        <v>168</v>
      </c>
      <c r="C4265" s="6">
        <v>58.16</v>
      </c>
      <c r="D4265" s="6">
        <v>60.58</v>
      </c>
      <c r="E4265" s="6">
        <v>59.74</v>
      </c>
      <c r="F4265" t="str">
        <f t="shared" si="1804"/>
        <v>TUE</v>
      </c>
      <c r="G4265" s="1">
        <f t="shared" si="1805"/>
        <v>44089</v>
      </c>
      <c r="H4265" s="2">
        <f t="shared" ca="1" si="1806"/>
        <v>164</v>
      </c>
      <c r="I4265" t="str">
        <f t="shared" si="1807"/>
        <v>XLU</v>
      </c>
      <c r="J4265">
        <f t="shared" si="1808"/>
        <v>58.16</v>
      </c>
      <c r="K4265">
        <f t="shared" si="1809"/>
        <v>60.58</v>
      </c>
      <c r="L4265">
        <f t="shared" si="1810"/>
        <v>59.37</v>
      </c>
      <c r="M4265">
        <f t="shared" si="1811"/>
        <v>1.2100000000000009</v>
      </c>
      <c r="N4265">
        <f t="shared" si="1789"/>
        <v>2.4200000000000017</v>
      </c>
      <c r="O4265">
        <f t="shared" si="1812"/>
        <v>59.74</v>
      </c>
      <c r="P4265">
        <f t="shared" si="1813"/>
        <v>0.30578512396694568</v>
      </c>
      <c r="Q4265" t="str">
        <f t="shared" si="1790"/>
        <v>2.64% | 1.41%</v>
      </c>
      <c r="R4265" t="str">
        <f t="shared" si="1814"/>
        <v>BULLISH</v>
      </c>
      <c r="S4265">
        <f t="shared" si="1791"/>
        <v>1</v>
      </c>
    </row>
    <row r="4266" spans="1:19" hidden="1" x14ac:dyDescent="0.25">
      <c r="A4266" s="5" t="str">
        <f t="shared" si="1803"/>
        <v>44089XLF</v>
      </c>
      <c r="B4266" s="6" t="s">
        <v>169</v>
      </c>
      <c r="C4266" s="6">
        <v>24.3</v>
      </c>
      <c r="D4266" s="6">
        <v>25.55</v>
      </c>
      <c r="E4266" s="6">
        <v>25.05</v>
      </c>
      <c r="F4266" t="str">
        <f t="shared" si="1804"/>
        <v>TUE</v>
      </c>
      <c r="G4266" s="1">
        <f t="shared" si="1805"/>
        <v>44089</v>
      </c>
      <c r="H4266" s="2">
        <f t="shared" ca="1" si="1806"/>
        <v>164</v>
      </c>
      <c r="I4266" t="str">
        <f t="shared" si="1807"/>
        <v>XLF</v>
      </c>
      <c r="J4266">
        <f t="shared" si="1808"/>
        <v>24.3</v>
      </c>
      <c r="K4266">
        <f t="shared" si="1809"/>
        <v>25.55</v>
      </c>
      <c r="L4266">
        <f t="shared" si="1810"/>
        <v>24.925000000000001</v>
      </c>
      <c r="M4266">
        <f t="shared" si="1811"/>
        <v>0.625</v>
      </c>
      <c r="N4266">
        <f t="shared" si="1789"/>
        <v>1.25</v>
      </c>
      <c r="O4266">
        <f t="shared" si="1812"/>
        <v>25.05</v>
      </c>
      <c r="P4266">
        <f t="shared" si="1813"/>
        <v>0.2</v>
      </c>
      <c r="Q4266" t="str">
        <f t="shared" si="1790"/>
        <v>2.99% | 2%</v>
      </c>
      <c r="R4266" t="str">
        <f t="shared" si="1814"/>
        <v>BEARISH</v>
      </c>
      <c r="S4266">
        <f t="shared" si="1791"/>
        <v>-1</v>
      </c>
    </row>
    <row r="4267" spans="1:19" hidden="1" x14ac:dyDescent="0.25">
      <c r="A4267" s="5" t="str">
        <f t="shared" si="1803"/>
        <v>44089SSEC</v>
      </c>
      <c r="B4267" s="6" t="s">
        <v>170</v>
      </c>
      <c r="C4267" s="6">
        <v>3195</v>
      </c>
      <c r="D4267" s="6">
        <v>3430</v>
      </c>
      <c r="E4267" s="6">
        <v>3295</v>
      </c>
      <c r="F4267" t="str">
        <f t="shared" si="1804"/>
        <v>TUE</v>
      </c>
      <c r="G4267" s="1">
        <f t="shared" si="1805"/>
        <v>44089</v>
      </c>
      <c r="H4267" s="2">
        <f t="shared" ca="1" si="1806"/>
        <v>164</v>
      </c>
      <c r="I4267" t="str">
        <f t="shared" si="1807"/>
        <v>SSEC</v>
      </c>
      <c r="J4267">
        <f t="shared" si="1808"/>
        <v>3195</v>
      </c>
      <c r="K4267">
        <f t="shared" si="1809"/>
        <v>3430</v>
      </c>
      <c r="L4267">
        <f t="shared" si="1810"/>
        <v>3312.5</v>
      </c>
      <c r="M4267">
        <f t="shared" si="1811"/>
        <v>117.5</v>
      </c>
      <c r="N4267">
        <f t="shared" si="1789"/>
        <v>235</v>
      </c>
      <c r="O4267">
        <f t="shared" si="1812"/>
        <v>3295</v>
      </c>
      <c r="P4267">
        <f t="shared" si="1813"/>
        <v>-0.14893617021276595</v>
      </c>
      <c r="Q4267" t="str">
        <f t="shared" si="1790"/>
        <v>3.03% | 4.1%</v>
      </c>
      <c r="R4267" t="str">
        <f t="shared" si="1814"/>
        <v>BULLISH</v>
      </c>
      <c r="S4267">
        <f t="shared" si="1791"/>
        <v>1</v>
      </c>
    </row>
    <row r="4268" spans="1:19" hidden="1" x14ac:dyDescent="0.25">
      <c r="A4268" s="5" t="str">
        <f t="shared" si="1803"/>
        <v>44089NIKK</v>
      </c>
      <c r="B4268" s="6" t="s">
        <v>201</v>
      </c>
      <c r="C4268" s="6">
        <v>22966</v>
      </c>
      <c r="D4268" s="6">
        <v>23612</v>
      </c>
      <c r="E4268" s="6">
        <v>23454</v>
      </c>
      <c r="F4268" t="str">
        <f t="shared" si="1804"/>
        <v>TUE</v>
      </c>
      <c r="G4268" s="1">
        <f t="shared" si="1805"/>
        <v>44089</v>
      </c>
      <c r="H4268" s="2">
        <f t="shared" ca="1" si="1806"/>
        <v>164</v>
      </c>
      <c r="I4268" t="str">
        <f t="shared" si="1807"/>
        <v>NIKK</v>
      </c>
      <c r="J4268">
        <f t="shared" si="1808"/>
        <v>22966</v>
      </c>
      <c r="K4268">
        <f t="shared" si="1809"/>
        <v>23612</v>
      </c>
      <c r="L4268">
        <f t="shared" si="1810"/>
        <v>23289</v>
      </c>
      <c r="M4268">
        <f t="shared" si="1811"/>
        <v>323</v>
      </c>
      <c r="N4268">
        <f t="shared" si="1789"/>
        <v>646</v>
      </c>
      <c r="O4268">
        <f t="shared" si="1812"/>
        <v>23454</v>
      </c>
      <c r="P4268">
        <f t="shared" si="1813"/>
        <v>0.51083591331269351</v>
      </c>
      <c r="Q4268" t="str">
        <f t="shared" si="1790"/>
        <v>2.08% | 0.67%</v>
      </c>
      <c r="R4268" t="str">
        <f t="shared" si="1814"/>
        <v>BULLISH</v>
      </c>
      <c r="S4268">
        <f t="shared" si="1791"/>
        <v>1</v>
      </c>
    </row>
    <row r="4269" spans="1:19" hidden="1" x14ac:dyDescent="0.25">
      <c r="A4269" s="5" t="str">
        <f t="shared" si="1803"/>
        <v>44089DAX</v>
      </c>
      <c r="B4269" s="6" t="s">
        <v>172</v>
      </c>
      <c r="C4269" s="6">
        <v>12816</v>
      </c>
      <c r="D4269" s="6">
        <v>13378</v>
      </c>
      <c r="E4269" s="6">
        <v>13193</v>
      </c>
      <c r="F4269" t="str">
        <f t="shared" si="1804"/>
        <v>TUE</v>
      </c>
      <c r="G4269" s="1">
        <f t="shared" si="1805"/>
        <v>44089</v>
      </c>
      <c r="H4269" s="2">
        <f t="shared" ca="1" si="1806"/>
        <v>164</v>
      </c>
      <c r="I4269" t="str">
        <f t="shared" si="1807"/>
        <v>DAX</v>
      </c>
      <c r="J4269">
        <f t="shared" si="1808"/>
        <v>12816</v>
      </c>
      <c r="K4269">
        <f t="shared" si="1809"/>
        <v>13378</v>
      </c>
      <c r="L4269">
        <f t="shared" si="1810"/>
        <v>13097</v>
      </c>
      <c r="M4269">
        <f t="shared" si="1811"/>
        <v>281</v>
      </c>
      <c r="N4269">
        <f t="shared" si="1789"/>
        <v>562</v>
      </c>
      <c r="O4269">
        <f t="shared" si="1812"/>
        <v>13193</v>
      </c>
      <c r="P4269">
        <f t="shared" si="1813"/>
        <v>0.34163701067615659</v>
      </c>
      <c r="Q4269" t="str">
        <f t="shared" si="1790"/>
        <v>2.86% | 1.4%</v>
      </c>
      <c r="R4269" t="str">
        <f t="shared" si="1814"/>
        <v>BULLISH</v>
      </c>
      <c r="S4269">
        <f t="shared" si="1791"/>
        <v>1</v>
      </c>
    </row>
    <row r="4270" spans="1:19" hidden="1" x14ac:dyDescent="0.25">
      <c r="A4270" s="5" t="str">
        <f t="shared" si="1803"/>
        <v>44089VIX</v>
      </c>
      <c r="B4270" s="6" t="s">
        <v>202</v>
      </c>
      <c r="C4270" s="6">
        <v>24.21</v>
      </c>
      <c r="D4270" s="6">
        <v>34.090000000000003</v>
      </c>
      <c r="E4270" s="6">
        <v>25.85</v>
      </c>
      <c r="F4270" t="str">
        <f t="shared" si="1804"/>
        <v>TUE</v>
      </c>
      <c r="G4270" s="1">
        <f t="shared" si="1805"/>
        <v>44089</v>
      </c>
      <c r="H4270" s="2">
        <f t="shared" ca="1" si="1806"/>
        <v>164</v>
      </c>
      <c r="I4270" t="str">
        <f t="shared" si="1807"/>
        <v>VIX</v>
      </c>
      <c r="J4270">
        <f t="shared" si="1808"/>
        <v>24.21</v>
      </c>
      <c r="K4270">
        <f t="shared" si="1809"/>
        <v>34.090000000000003</v>
      </c>
      <c r="L4270">
        <f t="shared" si="1810"/>
        <v>29.150000000000002</v>
      </c>
      <c r="M4270">
        <f t="shared" si="1811"/>
        <v>4.9399999999999986</v>
      </c>
      <c r="N4270">
        <f t="shared" si="1789"/>
        <v>9.8800000000000026</v>
      </c>
      <c r="O4270">
        <f t="shared" si="1812"/>
        <v>25.85</v>
      </c>
      <c r="P4270">
        <f t="shared" si="1813"/>
        <v>-0.66801619433198411</v>
      </c>
      <c r="Q4270" t="str">
        <f t="shared" si="1790"/>
        <v>6.34% | 31.88%</v>
      </c>
      <c r="R4270" t="str">
        <f t="shared" si="1814"/>
        <v>BULLISH</v>
      </c>
      <c r="S4270">
        <f t="shared" si="1791"/>
        <v>1</v>
      </c>
    </row>
    <row r="4271" spans="1:19" hidden="1" x14ac:dyDescent="0.25">
      <c r="A4271" s="5" t="str">
        <f t="shared" si="1803"/>
        <v>44089USD</v>
      </c>
      <c r="B4271" s="6" t="s">
        <v>174</v>
      </c>
      <c r="C4271" s="6">
        <v>92.21</v>
      </c>
      <c r="D4271" s="6">
        <v>93.79</v>
      </c>
      <c r="E4271" s="6">
        <v>93.06</v>
      </c>
      <c r="F4271" t="str">
        <f t="shared" si="1804"/>
        <v>TUE</v>
      </c>
      <c r="G4271" s="1">
        <f t="shared" si="1805"/>
        <v>44089</v>
      </c>
      <c r="H4271" s="2">
        <f t="shared" ca="1" si="1806"/>
        <v>164</v>
      </c>
      <c r="I4271" t="str">
        <f t="shared" si="1807"/>
        <v>USD</v>
      </c>
      <c r="J4271">
        <f t="shared" si="1808"/>
        <v>92.21</v>
      </c>
      <c r="K4271">
        <f t="shared" si="1809"/>
        <v>93.79</v>
      </c>
      <c r="L4271">
        <f t="shared" si="1810"/>
        <v>93</v>
      </c>
      <c r="M4271">
        <f t="shared" si="1811"/>
        <v>0.79000000000000625</v>
      </c>
      <c r="N4271">
        <f t="shared" si="1789"/>
        <v>1.5800000000000125</v>
      </c>
      <c r="O4271">
        <f t="shared" si="1812"/>
        <v>93.06</v>
      </c>
      <c r="P4271">
        <f t="shared" si="1813"/>
        <v>7.5949367088609873E-2</v>
      </c>
      <c r="Q4271" t="str">
        <f t="shared" si="1790"/>
        <v>0.91% | 0.78%</v>
      </c>
      <c r="R4271" t="str">
        <f t="shared" si="1814"/>
        <v>BEARISH</v>
      </c>
      <c r="S4271">
        <f t="shared" si="1791"/>
        <v>-1</v>
      </c>
    </row>
    <row r="4272" spans="1:19" hidden="1" x14ac:dyDescent="0.25">
      <c r="A4272" s="5" t="str">
        <f t="shared" si="1803"/>
        <v>44089EUR/USD</v>
      </c>
      <c r="B4272" s="6" t="s">
        <v>175</v>
      </c>
      <c r="C4272" s="6">
        <v>1.17</v>
      </c>
      <c r="D4272" s="6">
        <v>1.19</v>
      </c>
      <c r="E4272" s="6">
        <v>1.18</v>
      </c>
      <c r="F4272" t="str">
        <f t="shared" si="1804"/>
        <v>TUE</v>
      </c>
      <c r="G4272" s="1">
        <f t="shared" si="1805"/>
        <v>44089</v>
      </c>
      <c r="H4272" s="2">
        <f t="shared" ca="1" si="1806"/>
        <v>164</v>
      </c>
      <c r="I4272" t="str">
        <f t="shared" si="1807"/>
        <v>EUR/USD</v>
      </c>
      <c r="J4272">
        <f t="shared" si="1808"/>
        <v>1.17</v>
      </c>
      <c r="K4272">
        <f t="shared" si="1809"/>
        <v>1.19</v>
      </c>
      <c r="L4272">
        <f t="shared" si="1810"/>
        <v>1.18</v>
      </c>
      <c r="M4272">
        <f t="shared" si="1811"/>
        <v>1.0000000000000009E-2</v>
      </c>
      <c r="N4272">
        <f t="shared" si="1789"/>
        <v>2.0000000000000018E-2</v>
      </c>
      <c r="O4272">
        <f t="shared" si="1812"/>
        <v>1.18</v>
      </c>
      <c r="P4272">
        <f t="shared" si="1813"/>
        <v>0</v>
      </c>
      <c r="Q4272" t="str">
        <f t="shared" si="1790"/>
        <v>0.85% | 0.85%</v>
      </c>
      <c r="R4272" t="str">
        <f t="shared" si="1814"/>
        <v>BULLISH</v>
      </c>
      <c r="S4272">
        <f t="shared" si="1791"/>
        <v>1</v>
      </c>
    </row>
    <row r="4273" spans="1:19" hidden="1" x14ac:dyDescent="0.25">
      <c r="A4273" s="5" t="str">
        <f t="shared" si="1803"/>
        <v>44089USD/JPY</v>
      </c>
      <c r="B4273" s="6" t="s">
        <v>176</v>
      </c>
      <c r="C4273" s="6">
        <v>105.31</v>
      </c>
      <c r="D4273" s="6">
        <v>106.63</v>
      </c>
      <c r="E4273" s="6">
        <v>105.7</v>
      </c>
      <c r="F4273" t="str">
        <f t="shared" si="1804"/>
        <v>TUE</v>
      </c>
      <c r="G4273" s="1">
        <f t="shared" si="1805"/>
        <v>44089</v>
      </c>
      <c r="H4273" s="2">
        <f t="shared" ca="1" si="1806"/>
        <v>164</v>
      </c>
      <c r="I4273" t="str">
        <f t="shared" si="1807"/>
        <v>USD/JPY</v>
      </c>
      <c r="J4273">
        <f t="shared" si="1808"/>
        <v>105.31</v>
      </c>
      <c r="K4273">
        <f t="shared" si="1809"/>
        <v>106.63</v>
      </c>
      <c r="L4273">
        <f t="shared" si="1810"/>
        <v>105.97</v>
      </c>
      <c r="M4273">
        <f t="shared" si="1811"/>
        <v>0.65999999999999659</v>
      </c>
      <c r="N4273">
        <f t="shared" si="1789"/>
        <v>1.3199999999999932</v>
      </c>
      <c r="O4273">
        <f t="shared" si="1812"/>
        <v>105.7</v>
      </c>
      <c r="P4273">
        <f t="shared" si="1813"/>
        <v>-0.40909090909090517</v>
      </c>
      <c r="Q4273" t="str">
        <f t="shared" si="1790"/>
        <v>0.37% | 0.88%</v>
      </c>
      <c r="R4273" t="str">
        <f t="shared" si="1814"/>
        <v>BEARISH</v>
      </c>
      <c r="S4273">
        <f t="shared" si="1791"/>
        <v>-1</v>
      </c>
    </row>
    <row r="4274" spans="1:19" hidden="1" x14ac:dyDescent="0.25">
      <c r="A4274" s="5" t="str">
        <f t="shared" si="1803"/>
        <v>44089GBP/USD</v>
      </c>
      <c r="B4274" s="6" t="s">
        <v>214</v>
      </c>
      <c r="C4274" s="6">
        <v>1.26</v>
      </c>
      <c r="D4274" s="6">
        <v>1.31</v>
      </c>
      <c r="E4274" s="6">
        <v>1.29</v>
      </c>
      <c r="F4274" t="str">
        <f t="shared" si="1804"/>
        <v>TUE</v>
      </c>
      <c r="G4274" s="1">
        <f t="shared" si="1805"/>
        <v>44089</v>
      </c>
      <c r="H4274" s="2">
        <f t="shared" ca="1" si="1806"/>
        <v>164</v>
      </c>
      <c r="I4274" t="str">
        <f t="shared" si="1807"/>
        <v>GBP/USD</v>
      </c>
      <c r="J4274">
        <f t="shared" si="1808"/>
        <v>1.26</v>
      </c>
      <c r="K4274">
        <f t="shared" si="1809"/>
        <v>1.31</v>
      </c>
      <c r="L4274">
        <f t="shared" si="1810"/>
        <v>1.2850000000000001</v>
      </c>
      <c r="M4274">
        <f t="shared" si="1811"/>
        <v>2.5000000000000022E-2</v>
      </c>
      <c r="N4274">
        <f t="shared" si="1789"/>
        <v>5.0000000000000044E-2</v>
      </c>
      <c r="O4274">
        <f t="shared" si="1812"/>
        <v>1.29</v>
      </c>
      <c r="P4274">
        <f t="shared" si="1813"/>
        <v>0.19999999999999557</v>
      </c>
      <c r="Q4274" t="str">
        <f t="shared" si="1790"/>
        <v>2.33% | 1.55%</v>
      </c>
      <c r="R4274" t="str">
        <f t="shared" si="1814"/>
        <v>NEUTRAL</v>
      </c>
      <c r="S4274">
        <f t="shared" si="1791"/>
        <v>0</v>
      </c>
    </row>
    <row r="4275" spans="1:19" hidden="1" x14ac:dyDescent="0.25">
      <c r="A4275" s="5" t="str">
        <f t="shared" si="1803"/>
        <v>44089USD/CHF</v>
      </c>
      <c r="B4275" s="6" t="s">
        <v>178</v>
      </c>
      <c r="C4275" s="6">
        <v>0.89</v>
      </c>
      <c r="D4275" s="6">
        <v>0.91</v>
      </c>
      <c r="E4275" s="6">
        <v>0.9</v>
      </c>
      <c r="F4275" t="str">
        <f t="shared" si="1804"/>
        <v>TUE</v>
      </c>
      <c r="G4275" s="1">
        <f t="shared" si="1805"/>
        <v>44089</v>
      </c>
      <c r="H4275" s="2">
        <f t="shared" ca="1" si="1806"/>
        <v>164</v>
      </c>
      <c r="I4275" t="str">
        <f t="shared" si="1807"/>
        <v>USD/CHF</v>
      </c>
      <c r="J4275">
        <f t="shared" si="1808"/>
        <v>0.89</v>
      </c>
      <c r="K4275">
        <f t="shared" si="1809"/>
        <v>0.91</v>
      </c>
      <c r="L4275">
        <f t="shared" si="1810"/>
        <v>0.9</v>
      </c>
      <c r="M4275">
        <f t="shared" si="1811"/>
        <v>1.0000000000000009E-2</v>
      </c>
      <c r="N4275">
        <f t="shared" si="1789"/>
        <v>2.0000000000000018E-2</v>
      </c>
      <c r="O4275">
        <f t="shared" si="1812"/>
        <v>0.9</v>
      </c>
      <c r="P4275">
        <f t="shared" si="1813"/>
        <v>0</v>
      </c>
      <c r="Q4275" t="str">
        <f t="shared" si="1790"/>
        <v>1.11% | 1.11%</v>
      </c>
      <c r="R4275" t="str">
        <f t="shared" si="1814"/>
        <v>BEARISH</v>
      </c>
      <c r="S4275">
        <f t="shared" si="1791"/>
        <v>-1</v>
      </c>
    </row>
    <row r="4276" spans="1:19" hidden="1" x14ac:dyDescent="0.25">
      <c r="A4276" s="5" t="str">
        <f t="shared" si="1803"/>
        <v>44089WTIC</v>
      </c>
      <c r="B4276" s="6" t="s">
        <v>215</v>
      </c>
      <c r="C4276" s="6">
        <v>34.75</v>
      </c>
      <c r="D4276" s="6">
        <v>39.47</v>
      </c>
      <c r="E4276" s="6">
        <v>37.26</v>
      </c>
      <c r="F4276" t="str">
        <f t="shared" si="1804"/>
        <v>TUE</v>
      </c>
      <c r="G4276" s="1">
        <f t="shared" si="1805"/>
        <v>44089</v>
      </c>
      <c r="H4276" s="2">
        <f t="shared" ca="1" si="1806"/>
        <v>164</v>
      </c>
      <c r="I4276" t="str">
        <f t="shared" si="1807"/>
        <v>WTIC</v>
      </c>
      <c r="J4276">
        <f t="shared" si="1808"/>
        <v>34.75</v>
      </c>
      <c r="K4276">
        <f t="shared" si="1809"/>
        <v>39.47</v>
      </c>
      <c r="L4276">
        <f t="shared" si="1810"/>
        <v>37.11</v>
      </c>
      <c r="M4276">
        <f t="shared" si="1811"/>
        <v>2.3599999999999994</v>
      </c>
      <c r="N4276">
        <f t="shared" si="1789"/>
        <v>4.7199999999999989</v>
      </c>
      <c r="O4276">
        <f t="shared" si="1812"/>
        <v>37.26</v>
      </c>
      <c r="P4276">
        <f t="shared" si="1813"/>
        <v>6.3559322033897719E-2</v>
      </c>
      <c r="Q4276" t="str">
        <f t="shared" si="1790"/>
        <v>6.74% | 5.93%</v>
      </c>
      <c r="R4276" t="str">
        <f t="shared" si="1814"/>
        <v>BEARISH</v>
      </c>
      <c r="S4276">
        <f t="shared" si="1791"/>
        <v>-1</v>
      </c>
    </row>
    <row r="4277" spans="1:19" hidden="1" x14ac:dyDescent="0.25">
      <c r="A4277" s="5" t="str">
        <f t="shared" si="1803"/>
        <v>44089NATGAS</v>
      </c>
      <c r="B4277" s="6" t="s">
        <v>180</v>
      </c>
      <c r="C4277" s="6">
        <v>2.21</v>
      </c>
      <c r="D4277" s="6">
        <v>2.65</v>
      </c>
      <c r="E4277" s="6">
        <v>2.31</v>
      </c>
      <c r="F4277" t="str">
        <f t="shared" si="1804"/>
        <v>TUE</v>
      </c>
      <c r="G4277" s="1">
        <f t="shared" si="1805"/>
        <v>44089</v>
      </c>
      <c r="H4277" s="2">
        <f t="shared" ca="1" si="1806"/>
        <v>164</v>
      </c>
      <c r="I4277" t="str">
        <f t="shared" si="1807"/>
        <v>NATGAS</v>
      </c>
      <c r="J4277">
        <f t="shared" si="1808"/>
        <v>2.21</v>
      </c>
      <c r="K4277">
        <f t="shared" si="1809"/>
        <v>2.65</v>
      </c>
      <c r="L4277">
        <f t="shared" si="1810"/>
        <v>2.4299999999999997</v>
      </c>
      <c r="M4277">
        <f t="shared" si="1811"/>
        <v>0.21999999999999997</v>
      </c>
      <c r="N4277">
        <f t="shared" si="1789"/>
        <v>0.43999999999999995</v>
      </c>
      <c r="O4277">
        <f t="shared" si="1812"/>
        <v>2.31</v>
      </c>
      <c r="P4277">
        <f t="shared" si="1813"/>
        <v>-0.54545454545454397</v>
      </c>
      <c r="Q4277" t="str">
        <f t="shared" si="1790"/>
        <v>4.33% | 14.72%</v>
      </c>
      <c r="R4277" t="str">
        <f t="shared" si="1814"/>
        <v>BULLISH</v>
      </c>
      <c r="S4277">
        <f t="shared" si="1791"/>
        <v>1</v>
      </c>
    </row>
    <row r="4278" spans="1:19" hidden="1" x14ac:dyDescent="0.25">
      <c r="A4278" s="5" t="str">
        <f t="shared" si="1803"/>
        <v>44089GOLD</v>
      </c>
      <c r="B4278" s="6" t="s">
        <v>181</v>
      </c>
      <c r="C4278" s="6">
        <v>1923</v>
      </c>
      <c r="D4278" s="6">
        <v>1989</v>
      </c>
      <c r="E4278" s="6">
        <v>1963</v>
      </c>
      <c r="F4278" t="str">
        <f t="shared" si="1804"/>
        <v>TUE</v>
      </c>
      <c r="G4278" s="1">
        <f t="shared" si="1805"/>
        <v>44089</v>
      </c>
      <c r="H4278" s="2">
        <f t="shared" ca="1" si="1806"/>
        <v>164</v>
      </c>
      <c r="I4278" t="str">
        <f t="shared" si="1807"/>
        <v>GOLD</v>
      </c>
      <c r="J4278">
        <f t="shared" si="1808"/>
        <v>1923</v>
      </c>
      <c r="K4278">
        <f t="shared" si="1809"/>
        <v>1989</v>
      </c>
      <c r="L4278">
        <f t="shared" si="1810"/>
        <v>1956</v>
      </c>
      <c r="M4278">
        <f t="shared" si="1811"/>
        <v>33</v>
      </c>
      <c r="N4278">
        <f t="shared" si="1789"/>
        <v>66</v>
      </c>
      <c r="O4278">
        <f t="shared" si="1812"/>
        <v>1963</v>
      </c>
      <c r="P4278">
        <f t="shared" si="1813"/>
        <v>0.21212121212121213</v>
      </c>
      <c r="Q4278" t="str">
        <f t="shared" si="1790"/>
        <v>2.04% | 1.32%</v>
      </c>
      <c r="R4278" t="str">
        <f t="shared" si="1814"/>
        <v>BULLISH</v>
      </c>
      <c r="S4278">
        <f t="shared" si="1791"/>
        <v>1</v>
      </c>
    </row>
    <row r="4279" spans="1:19" hidden="1" x14ac:dyDescent="0.25">
      <c r="A4279" s="5" t="str">
        <f t="shared" si="1803"/>
        <v>44089SILVER</v>
      </c>
      <c r="B4279" s="6" t="s">
        <v>199</v>
      </c>
      <c r="C4279" s="6">
        <v>26.06</v>
      </c>
      <c r="D4279" s="6">
        <v>28.63</v>
      </c>
      <c r="E4279" s="6">
        <v>27.35</v>
      </c>
      <c r="F4279" t="str">
        <f t="shared" si="1804"/>
        <v>TUE</v>
      </c>
      <c r="G4279" s="1">
        <f t="shared" si="1805"/>
        <v>44089</v>
      </c>
      <c r="H4279" s="2">
        <f t="shared" ca="1" si="1806"/>
        <v>164</v>
      </c>
      <c r="I4279" t="str">
        <f t="shared" si="1807"/>
        <v>SILVER</v>
      </c>
      <c r="J4279">
        <f t="shared" si="1808"/>
        <v>26.06</v>
      </c>
      <c r="K4279">
        <f t="shared" si="1809"/>
        <v>28.63</v>
      </c>
      <c r="L4279">
        <f t="shared" si="1810"/>
        <v>27.344999999999999</v>
      </c>
      <c r="M4279">
        <f t="shared" si="1811"/>
        <v>1.2850000000000001</v>
      </c>
      <c r="N4279">
        <f t="shared" si="1789"/>
        <v>2.5700000000000003</v>
      </c>
      <c r="O4279">
        <f t="shared" si="1812"/>
        <v>27.35</v>
      </c>
      <c r="P4279">
        <f t="shared" si="1813"/>
        <v>3.8910505836595778E-3</v>
      </c>
      <c r="Q4279" t="str">
        <f t="shared" si="1790"/>
        <v>4.72% | 4.68%</v>
      </c>
      <c r="R4279" t="str">
        <f t="shared" si="1814"/>
        <v>BULLISH</v>
      </c>
      <c r="S4279">
        <f t="shared" si="1791"/>
        <v>1</v>
      </c>
    </row>
    <row r="4280" spans="1:19" hidden="1" x14ac:dyDescent="0.25">
      <c r="A4280" s="5" t="str">
        <f t="shared" si="1803"/>
        <v>44089COPPER</v>
      </c>
      <c r="B4280" s="6" t="s">
        <v>182</v>
      </c>
      <c r="C4280" s="6">
        <v>2.97</v>
      </c>
      <c r="D4280" s="6">
        <v>3.09</v>
      </c>
      <c r="E4280" s="6">
        <v>3.07</v>
      </c>
      <c r="F4280" t="str">
        <f t="shared" si="1804"/>
        <v>TUE</v>
      </c>
      <c r="G4280" s="1">
        <f t="shared" si="1805"/>
        <v>44089</v>
      </c>
      <c r="H4280" s="2">
        <f t="shared" ca="1" si="1806"/>
        <v>164</v>
      </c>
      <c r="I4280" t="str">
        <f t="shared" si="1807"/>
        <v>COPPER</v>
      </c>
      <c r="J4280">
        <f t="shared" si="1808"/>
        <v>2.97</v>
      </c>
      <c r="K4280">
        <f t="shared" si="1809"/>
        <v>3.09</v>
      </c>
      <c r="L4280">
        <f t="shared" si="1810"/>
        <v>3.0300000000000002</v>
      </c>
      <c r="M4280">
        <f t="shared" si="1811"/>
        <v>5.9999999999999831E-2</v>
      </c>
      <c r="N4280">
        <f t="shared" si="1789"/>
        <v>0.11999999999999966</v>
      </c>
      <c r="O4280">
        <f t="shared" si="1812"/>
        <v>3.07</v>
      </c>
      <c r="P4280">
        <f t="shared" si="1813"/>
        <v>0.66666666666666174</v>
      </c>
      <c r="Q4280" t="str">
        <f t="shared" si="1790"/>
        <v>3.26% | 0.65%</v>
      </c>
      <c r="R4280" t="str">
        <f t="shared" si="1814"/>
        <v>BULLISH</v>
      </c>
      <c r="S4280">
        <f t="shared" si="1791"/>
        <v>1</v>
      </c>
    </row>
    <row r="4281" spans="1:19" hidden="1" x14ac:dyDescent="0.25">
      <c r="A4281" s="5" t="str">
        <f t="shared" si="1803"/>
        <v>44089MSFT</v>
      </c>
      <c r="B4281" s="6" t="s">
        <v>206</v>
      </c>
      <c r="C4281" s="6">
        <v>192</v>
      </c>
      <c r="D4281" s="6">
        <v>215</v>
      </c>
      <c r="E4281" s="6">
        <v>205</v>
      </c>
      <c r="F4281" t="str">
        <f t="shared" si="1804"/>
        <v>TUE</v>
      </c>
      <c r="G4281" s="1">
        <f t="shared" si="1805"/>
        <v>44089</v>
      </c>
      <c r="H4281" s="2">
        <f t="shared" ca="1" si="1806"/>
        <v>164</v>
      </c>
      <c r="I4281" t="str">
        <f t="shared" si="1807"/>
        <v>MSFT</v>
      </c>
      <c r="J4281">
        <f t="shared" si="1808"/>
        <v>192</v>
      </c>
      <c r="K4281">
        <f t="shared" si="1809"/>
        <v>215</v>
      </c>
      <c r="L4281">
        <f t="shared" si="1810"/>
        <v>203.5</v>
      </c>
      <c r="M4281">
        <f t="shared" si="1811"/>
        <v>11.5</v>
      </c>
      <c r="N4281">
        <f t="shared" si="1789"/>
        <v>23</v>
      </c>
      <c r="O4281">
        <f t="shared" si="1812"/>
        <v>205</v>
      </c>
      <c r="P4281">
        <f t="shared" si="1813"/>
        <v>0.13043478260869565</v>
      </c>
      <c r="Q4281" t="str">
        <f t="shared" si="1790"/>
        <v>6.34% | 4.88%</v>
      </c>
      <c r="R4281" t="str">
        <f t="shared" si="1814"/>
        <v>NEUTRAL</v>
      </c>
      <c r="S4281">
        <f t="shared" si="1791"/>
        <v>0</v>
      </c>
    </row>
    <row r="4282" spans="1:19" hidden="1" x14ac:dyDescent="0.25">
      <c r="A4282" s="5" t="str">
        <f t="shared" si="1803"/>
        <v>44089AAPL</v>
      </c>
      <c r="B4282" s="6" t="s">
        <v>207</v>
      </c>
      <c r="C4282" s="6">
        <v>103</v>
      </c>
      <c r="D4282" s="6">
        <v>121</v>
      </c>
      <c r="E4282" s="6">
        <v>115</v>
      </c>
      <c r="F4282" t="str">
        <f t="shared" si="1804"/>
        <v>TUE</v>
      </c>
      <c r="G4282" s="1">
        <f t="shared" si="1805"/>
        <v>44089</v>
      </c>
      <c r="H4282" s="2">
        <f t="shared" ca="1" si="1806"/>
        <v>164</v>
      </c>
      <c r="I4282" t="str">
        <f t="shared" si="1807"/>
        <v>AAPL</v>
      </c>
      <c r="J4282">
        <f t="shared" si="1808"/>
        <v>103</v>
      </c>
      <c r="K4282">
        <f t="shared" si="1809"/>
        <v>121</v>
      </c>
      <c r="L4282">
        <f t="shared" si="1810"/>
        <v>112</v>
      </c>
      <c r="M4282">
        <f t="shared" si="1811"/>
        <v>9</v>
      </c>
      <c r="N4282">
        <f t="shared" si="1789"/>
        <v>18</v>
      </c>
      <c r="O4282">
        <f t="shared" si="1812"/>
        <v>115</v>
      </c>
      <c r="P4282">
        <f t="shared" si="1813"/>
        <v>0.33333333333333331</v>
      </c>
      <c r="Q4282" t="str">
        <f t="shared" si="1790"/>
        <v>10.43% | 5.22%</v>
      </c>
      <c r="R4282" t="str">
        <f t="shared" si="1814"/>
        <v>NEUTRAL</v>
      </c>
      <c r="S4282">
        <f t="shared" si="1791"/>
        <v>0</v>
      </c>
    </row>
    <row r="4283" spans="1:19" hidden="1" x14ac:dyDescent="0.25">
      <c r="A4283" s="5" t="str">
        <f t="shared" si="1803"/>
        <v>44089AMZN</v>
      </c>
      <c r="B4283" s="6" t="s">
        <v>216</v>
      </c>
      <c r="C4283" s="6">
        <v>2976</v>
      </c>
      <c r="D4283" s="6">
        <v>3298</v>
      </c>
      <c r="E4283" s="6">
        <v>3102</v>
      </c>
      <c r="F4283" t="str">
        <f t="shared" si="1804"/>
        <v>TUE</v>
      </c>
      <c r="G4283" s="1">
        <f t="shared" si="1805"/>
        <v>44089</v>
      </c>
      <c r="H4283" s="2">
        <f t="shared" ca="1" si="1806"/>
        <v>164</v>
      </c>
      <c r="I4283" t="str">
        <f t="shared" si="1807"/>
        <v>AMZN</v>
      </c>
      <c r="J4283">
        <f t="shared" si="1808"/>
        <v>2976</v>
      </c>
      <c r="K4283">
        <f t="shared" si="1809"/>
        <v>3298</v>
      </c>
      <c r="L4283">
        <f t="shared" si="1810"/>
        <v>3137</v>
      </c>
      <c r="M4283">
        <f t="shared" si="1811"/>
        <v>161</v>
      </c>
      <c r="N4283">
        <f t="shared" si="1789"/>
        <v>322</v>
      </c>
      <c r="O4283">
        <f t="shared" si="1812"/>
        <v>3102</v>
      </c>
      <c r="P4283">
        <f t="shared" si="1813"/>
        <v>-0.21739130434782608</v>
      </c>
      <c r="Q4283" t="str">
        <f t="shared" si="1790"/>
        <v>4.06% | 6.32%</v>
      </c>
      <c r="R4283" t="str">
        <f t="shared" si="1814"/>
        <v>NEUTRAL</v>
      </c>
      <c r="S4283">
        <f t="shared" si="1791"/>
        <v>0</v>
      </c>
    </row>
    <row r="4284" spans="1:19" hidden="1" x14ac:dyDescent="0.25">
      <c r="A4284" s="5" t="str">
        <f t="shared" si="1803"/>
        <v>44089FB</v>
      </c>
      <c r="B4284" s="6" t="s">
        <v>186</v>
      </c>
      <c r="C4284" s="6">
        <v>254</v>
      </c>
      <c r="D4284" s="6">
        <v>281</v>
      </c>
      <c r="E4284" s="6">
        <v>266</v>
      </c>
      <c r="F4284" t="str">
        <f t="shared" si="1804"/>
        <v>TUE</v>
      </c>
      <c r="G4284" s="1">
        <f t="shared" si="1805"/>
        <v>44089</v>
      </c>
      <c r="H4284" s="2">
        <f t="shared" ca="1" si="1806"/>
        <v>164</v>
      </c>
      <c r="I4284" t="str">
        <f t="shared" si="1807"/>
        <v>FB</v>
      </c>
      <c r="J4284">
        <f t="shared" si="1808"/>
        <v>254</v>
      </c>
      <c r="K4284">
        <f t="shared" si="1809"/>
        <v>281</v>
      </c>
      <c r="L4284">
        <f t="shared" si="1810"/>
        <v>267.5</v>
      </c>
      <c r="M4284">
        <f t="shared" si="1811"/>
        <v>13.5</v>
      </c>
      <c r="N4284">
        <f t="shared" si="1789"/>
        <v>27</v>
      </c>
      <c r="O4284">
        <f t="shared" si="1812"/>
        <v>266</v>
      </c>
      <c r="P4284">
        <f t="shared" si="1813"/>
        <v>-0.1111111111111111</v>
      </c>
      <c r="Q4284" t="str">
        <f t="shared" si="1790"/>
        <v>4.51% | 5.64%</v>
      </c>
      <c r="R4284" t="str">
        <f t="shared" si="1814"/>
        <v>BULLISH</v>
      </c>
      <c r="S4284">
        <f t="shared" si="1791"/>
        <v>1</v>
      </c>
    </row>
    <row r="4285" spans="1:19" hidden="1" x14ac:dyDescent="0.25">
      <c r="A4285" s="5" t="str">
        <f t="shared" si="1803"/>
        <v>44089GOOGL</v>
      </c>
      <c r="B4285" s="6" t="s">
        <v>208</v>
      </c>
      <c r="C4285" s="6">
        <v>1429</v>
      </c>
      <c r="D4285" s="6">
        <v>1588</v>
      </c>
      <c r="E4285" s="6">
        <v>1508</v>
      </c>
      <c r="F4285" t="str">
        <f t="shared" si="1804"/>
        <v>TUE</v>
      </c>
      <c r="G4285" s="1">
        <f t="shared" si="1805"/>
        <v>44089</v>
      </c>
      <c r="H4285" s="2">
        <f t="shared" ca="1" si="1806"/>
        <v>164</v>
      </c>
      <c r="I4285" t="str">
        <f t="shared" si="1807"/>
        <v>GOOGL</v>
      </c>
      <c r="J4285">
        <f t="shared" si="1808"/>
        <v>1429</v>
      </c>
      <c r="K4285">
        <f t="shared" si="1809"/>
        <v>1588</v>
      </c>
      <c r="L4285">
        <f t="shared" si="1810"/>
        <v>1508.5</v>
      </c>
      <c r="M4285">
        <f t="shared" si="1811"/>
        <v>79.5</v>
      </c>
      <c r="N4285">
        <f t="shared" si="1789"/>
        <v>159</v>
      </c>
      <c r="O4285">
        <f t="shared" si="1812"/>
        <v>1508</v>
      </c>
      <c r="P4285">
        <f t="shared" si="1813"/>
        <v>-6.2893081761006293E-3</v>
      </c>
      <c r="Q4285" t="str">
        <f t="shared" si="1790"/>
        <v>5.24% | 5.31%</v>
      </c>
      <c r="R4285" t="str">
        <f t="shared" si="1814"/>
        <v>NEUTRAL</v>
      </c>
      <c r="S4285">
        <f t="shared" si="1791"/>
        <v>0</v>
      </c>
    </row>
    <row r="4286" spans="1:19" hidden="1" x14ac:dyDescent="0.25">
      <c r="A4286" s="5" t="str">
        <f t="shared" si="1803"/>
        <v>44089NFLX</v>
      </c>
      <c r="B4286" s="6" t="s">
        <v>213</v>
      </c>
      <c r="C4286" s="6">
        <v>453</v>
      </c>
      <c r="D4286" s="6">
        <v>511</v>
      </c>
      <c r="E4286" s="6">
        <v>476</v>
      </c>
      <c r="F4286" t="str">
        <f t="shared" si="1804"/>
        <v>TUE</v>
      </c>
      <c r="G4286" s="1">
        <f t="shared" si="1805"/>
        <v>44089</v>
      </c>
      <c r="H4286" s="2">
        <f t="shared" ca="1" si="1806"/>
        <v>164</v>
      </c>
      <c r="I4286" t="str">
        <f t="shared" si="1807"/>
        <v>NFLX</v>
      </c>
      <c r="J4286">
        <f t="shared" si="1808"/>
        <v>453</v>
      </c>
      <c r="K4286">
        <f t="shared" si="1809"/>
        <v>511</v>
      </c>
      <c r="L4286">
        <f t="shared" si="1810"/>
        <v>482</v>
      </c>
      <c r="M4286">
        <f t="shared" si="1811"/>
        <v>29</v>
      </c>
      <c r="N4286">
        <f t="shared" si="1789"/>
        <v>58</v>
      </c>
      <c r="O4286">
        <f t="shared" si="1812"/>
        <v>476</v>
      </c>
      <c r="P4286">
        <f t="shared" si="1813"/>
        <v>-0.20689655172413793</v>
      </c>
      <c r="Q4286" t="str">
        <f t="shared" si="1790"/>
        <v>4.83% | 7.35%</v>
      </c>
      <c r="R4286" t="str">
        <f t="shared" si="1814"/>
        <v>BEARISH</v>
      </c>
      <c r="S4286">
        <f t="shared" si="1791"/>
        <v>-1</v>
      </c>
    </row>
    <row r="4287" spans="1:19" x14ac:dyDescent="0.25">
      <c r="A4287" s="5" t="str">
        <f t="shared" si="1803"/>
        <v>44089TSLA</v>
      </c>
      <c r="B4287" s="6" t="s">
        <v>189</v>
      </c>
      <c r="C4287" s="6">
        <v>311</v>
      </c>
      <c r="D4287" s="6">
        <v>486</v>
      </c>
      <c r="E4287" s="6">
        <v>419</v>
      </c>
      <c r="F4287" t="str">
        <f t="shared" si="1804"/>
        <v>TUE</v>
      </c>
      <c r="G4287" s="1">
        <f t="shared" si="1805"/>
        <v>44089</v>
      </c>
      <c r="H4287" s="2">
        <f t="shared" ca="1" si="1806"/>
        <v>164</v>
      </c>
      <c r="I4287" t="str">
        <f t="shared" si="1807"/>
        <v>TSLA</v>
      </c>
      <c r="J4287">
        <f t="shared" si="1808"/>
        <v>311</v>
      </c>
      <c r="K4287">
        <f t="shared" si="1809"/>
        <v>486</v>
      </c>
      <c r="L4287">
        <f t="shared" si="1810"/>
        <v>398.5</v>
      </c>
      <c r="M4287">
        <f t="shared" si="1811"/>
        <v>87.5</v>
      </c>
      <c r="N4287">
        <f t="shared" si="1789"/>
        <v>175</v>
      </c>
      <c r="O4287">
        <f t="shared" si="1812"/>
        <v>419</v>
      </c>
      <c r="P4287">
        <f t="shared" si="1813"/>
        <v>0.23428571428571429</v>
      </c>
      <c r="Q4287" t="str">
        <f t="shared" si="1790"/>
        <v>25.78% | 15.99%</v>
      </c>
      <c r="R4287" t="str">
        <f t="shared" si="1814"/>
        <v>BULLISH</v>
      </c>
      <c r="S4287">
        <f t="shared" si="1791"/>
        <v>1</v>
      </c>
    </row>
    <row r="4288" spans="1:19" hidden="1" x14ac:dyDescent="0.25">
      <c r="A4288" s="5" t="str">
        <f t="shared" si="1803"/>
        <v>44089NYXBT</v>
      </c>
      <c r="B4288" s="6" t="s">
        <v>210</v>
      </c>
      <c r="C4288" s="6">
        <v>9567</v>
      </c>
      <c r="D4288" s="6">
        <v>10922</v>
      </c>
      <c r="E4288" s="6">
        <v>10644</v>
      </c>
      <c r="F4288" t="str">
        <f t="shared" si="1804"/>
        <v>TUE</v>
      </c>
      <c r="G4288" s="1">
        <f t="shared" si="1805"/>
        <v>44089</v>
      </c>
      <c r="H4288" s="2">
        <f t="shared" ca="1" si="1806"/>
        <v>164</v>
      </c>
      <c r="I4288" t="str">
        <f t="shared" si="1807"/>
        <v>NYXBT</v>
      </c>
      <c r="J4288">
        <f t="shared" si="1808"/>
        <v>9567</v>
      </c>
      <c r="K4288">
        <f t="shared" si="1809"/>
        <v>10922</v>
      </c>
      <c r="L4288">
        <f t="shared" si="1810"/>
        <v>10244.5</v>
      </c>
      <c r="M4288">
        <f t="shared" si="1811"/>
        <v>677.5</v>
      </c>
      <c r="N4288">
        <f t="shared" si="1789"/>
        <v>1355</v>
      </c>
      <c r="O4288">
        <f t="shared" si="1812"/>
        <v>10644</v>
      </c>
      <c r="P4288">
        <f t="shared" si="1813"/>
        <v>0.5896678966789668</v>
      </c>
      <c r="Q4288" t="str">
        <f t="shared" si="1790"/>
        <v>10.12% | 2.61%</v>
      </c>
      <c r="R4288" t="str">
        <f t="shared" si="1814"/>
        <v>NEUTRAL</v>
      </c>
      <c r="S4288">
        <f t="shared" si="1791"/>
        <v>0</v>
      </c>
    </row>
    <row r="4289" spans="1:19" hidden="1" x14ac:dyDescent="0.25">
      <c r="A4289" s="5" t="str">
        <f t="shared" si="1803"/>
        <v>44090UST10Y</v>
      </c>
      <c r="B4289" s="6" t="s">
        <v>161</v>
      </c>
      <c r="C4289" s="6">
        <v>0.73</v>
      </c>
      <c r="D4289" s="6">
        <v>0.61</v>
      </c>
      <c r="E4289" s="6">
        <v>0.68</v>
      </c>
      <c r="F4289" t="str">
        <f t="shared" si="1804"/>
        <v>WED</v>
      </c>
      <c r="G4289" s="3">
        <f>DATE(2020,9,16)</f>
        <v>44090</v>
      </c>
      <c r="H4289" s="2">
        <f t="shared" ca="1" si="1806"/>
        <v>163</v>
      </c>
      <c r="I4289" t="str">
        <f t="shared" si="1807"/>
        <v>UST10Y</v>
      </c>
      <c r="J4289">
        <f t="shared" si="1808"/>
        <v>0.73</v>
      </c>
      <c r="K4289">
        <f t="shared" si="1809"/>
        <v>0.61</v>
      </c>
      <c r="L4289">
        <f t="shared" si="1810"/>
        <v>0.66999999999999993</v>
      </c>
      <c r="M4289">
        <f t="shared" si="1811"/>
        <v>0.06</v>
      </c>
      <c r="N4289">
        <f t="shared" si="1789"/>
        <v>0.12</v>
      </c>
      <c r="O4289">
        <f t="shared" si="1812"/>
        <v>0.68</v>
      </c>
      <c r="P4289">
        <f t="shared" si="1813"/>
        <v>0.16666666666666868</v>
      </c>
      <c r="Q4289" t="str">
        <f t="shared" si="1790"/>
        <v>7.35% | 10.29%</v>
      </c>
      <c r="R4289" t="str">
        <f t="shared" si="1814"/>
        <v>BEARISH</v>
      </c>
      <c r="S4289">
        <f t="shared" si="1791"/>
        <v>-1</v>
      </c>
    </row>
    <row r="4290" spans="1:19" hidden="1" x14ac:dyDescent="0.25">
      <c r="A4290" s="5" t="str">
        <f t="shared" si="1803"/>
        <v>44090UST2Y</v>
      </c>
      <c r="B4290" s="6" t="s">
        <v>162</v>
      </c>
      <c r="C4290" s="6">
        <v>0.16</v>
      </c>
      <c r="D4290" s="6">
        <v>0.11</v>
      </c>
      <c r="E4290" s="6">
        <v>0.14000000000000001</v>
      </c>
      <c r="F4290" t="str">
        <f t="shared" ref="F4290:F4320" si="1815">UPPER(TEXT(G4290,"ddd"))</f>
        <v>WED</v>
      </c>
      <c r="G4290" s="3">
        <f t="shared" ref="G4290:G4319" si="1816">DATE(2020,9,16)</f>
        <v>44090</v>
      </c>
      <c r="H4290" s="2">
        <f t="shared" ref="H4290:H4320" ca="1" si="1817">TODAY()-G4290</f>
        <v>163</v>
      </c>
      <c r="I4290" t="str">
        <f t="shared" ref="I4290:I4320" si="1818">TRIM(LEFT(B4290,FIND(" ",B4290,1)))</f>
        <v>UST2Y</v>
      </c>
      <c r="J4290">
        <f t="shared" ref="J4290:J4320" si="1819">C4290</f>
        <v>0.16</v>
      </c>
      <c r="K4290">
        <f t="shared" ref="K4290:K4320" si="1820">D4290</f>
        <v>0.11</v>
      </c>
      <c r="L4290">
        <f t="shared" ref="L4290:L4320" si="1821">AVERAGE(J4290:K4290)</f>
        <v>0.13500000000000001</v>
      </c>
      <c r="M4290">
        <f t="shared" ref="M4290:M4320" si="1822">_xlfn.STDEV.P(J4290:K4290)</f>
        <v>2.4999999999999942E-2</v>
      </c>
      <c r="N4290">
        <f t="shared" si="1789"/>
        <v>0.05</v>
      </c>
      <c r="O4290">
        <f t="shared" ref="O4290:O4320" si="1823">E4290</f>
        <v>0.14000000000000001</v>
      </c>
      <c r="P4290">
        <f t="shared" ref="P4290:P4320" si="1824">(O4290-L4290)/M4290</f>
        <v>0.20000000000000065</v>
      </c>
      <c r="Q4290" t="str">
        <f t="shared" si="1790"/>
        <v>14.29% | 21.43%</v>
      </c>
      <c r="R4290" t="str">
        <f t="shared" ref="R4290:R4320" si="1825">MID(B4290,FIND("(",B4290,1)+1,FIND(")",B4290,1)-FIND("(",B4290,1)-1)</f>
        <v>BEARISH</v>
      </c>
      <c r="S4290">
        <f t="shared" si="1791"/>
        <v>-1</v>
      </c>
    </row>
    <row r="4291" spans="1:19" hidden="1" x14ac:dyDescent="0.25">
      <c r="A4291" s="5" t="str">
        <f t="shared" si="1803"/>
        <v>44090SPX</v>
      </c>
      <c r="B4291" s="6" t="s">
        <v>211</v>
      </c>
      <c r="C4291" s="6">
        <v>3255</v>
      </c>
      <c r="D4291" s="6">
        <v>3426</v>
      </c>
      <c r="E4291" s="6">
        <v>3401</v>
      </c>
      <c r="F4291" t="str">
        <f t="shared" si="1815"/>
        <v>WED</v>
      </c>
      <c r="G4291" s="3">
        <f t="shared" si="1816"/>
        <v>44090</v>
      </c>
      <c r="H4291" s="2">
        <f t="shared" ca="1" si="1817"/>
        <v>163</v>
      </c>
      <c r="I4291" t="str">
        <f t="shared" si="1818"/>
        <v>SPX</v>
      </c>
      <c r="J4291">
        <f t="shared" si="1819"/>
        <v>3255</v>
      </c>
      <c r="K4291">
        <f t="shared" si="1820"/>
        <v>3426</v>
      </c>
      <c r="L4291">
        <f t="shared" si="1821"/>
        <v>3340.5</v>
      </c>
      <c r="M4291">
        <f t="shared" si="1822"/>
        <v>85.5</v>
      </c>
      <c r="N4291">
        <f t="shared" ref="N4291:N4354" si="1826">ABS(K4291-J4291)</f>
        <v>171</v>
      </c>
      <c r="O4291">
        <f t="shared" si="1823"/>
        <v>3401</v>
      </c>
      <c r="P4291">
        <f t="shared" si="1824"/>
        <v>0.70760233918128657</v>
      </c>
      <c r="Q4291" t="str">
        <f t="shared" ref="Q4291:Q4354" si="1827">ROUND(ABS(100*(O4291-J4291)/O4291),2)&amp;"% | "&amp;ROUND(ABS(100*(K4291-O4291)/O4291),2)&amp;"%"</f>
        <v>4.29% | 0.74%</v>
      </c>
      <c r="R4291" t="str">
        <f t="shared" si="1825"/>
        <v>BEARISH</v>
      </c>
      <c r="S4291">
        <f t="shared" ref="S4291:S4354" si="1828">IF(R4291="BEARISH",-1,IF(R4291="NEUTRAL",0,IF(R4291="BULLISH",1,99)))</f>
        <v>-1</v>
      </c>
    </row>
    <row r="4292" spans="1:19" hidden="1" x14ac:dyDescent="0.25">
      <c r="A4292" s="5" t="str">
        <f t="shared" si="1803"/>
        <v>44090RUT</v>
      </c>
      <c r="B4292" s="6" t="s">
        <v>164</v>
      </c>
      <c r="C4292" s="6">
        <v>1478</v>
      </c>
      <c r="D4292" s="6">
        <v>1558</v>
      </c>
      <c r="E4292" s="6">
        <v>1538</v>
      </c>
      <c r="F4292" t="str">
        <f t="shared" si="1815"/>
        <v>WED</v>
      </c>
      <c r="G4292" s="3">
        <f t="shared" si="1816"/>
        <v>44090</v>
      </c>
      <c r="H4292" s="2">
        <f t="shared" ca="1" si="1817"/>
        <v>163</v>
      </c>
      <c r="I4292" t="str">
        <f t="shared" si="1818"/>
        <v>RUT</v>
      </c>
      <c r="J4292">
        <f t="shared" si="1819"/>
        <v>1478</v>
      </c>
      <c r="K4292">
        <f t="shared" si="1820"/>
        <v>1558</v>
      </c>
      <c r="L4292">
        <f t="shared" si="1821"/>
        <v>1518</v>
      </c>
      <c r="M4292">
        <f t="shared" si="1822"/>
        <v>40</v>
      </c>
      <c r="N4292">
        <f t="shared" si="1826"/>
        <v>80</v>
      </c>
      <c r="O4292">
        <f t="shared" si="1823"/>
        <v>1538</v>
      </c>
      <c r="P4292">
        <f t="shared" si="1824"/>
        <v>0.5</v>
      </c>
      <c r="Q4292" t="str">
        <f t="shared" si="1827"/>
        <v>3.9% | 1.3%</v>
      </c>
      <c r="R4292" t="str">
        <f t="shared" si="1825"/>
        <v>BEARISH</v>
      </c>
      <c r="S4292">
        <f t="shared" si="1828"/>
        <v>-1</v>
      </c>
    </row>
    <row r="4293" spans="1:19" hidden="1" x14ac:dyDescent="0.25">
      <c r="A4293" s="5" t="str">
        <f t="shared" si="1803"/>
        <v>44090COMPQ</v>
      </c>
      <c r="B4293" s="6" t="s">
        <v>212</v>
      </c>
      <c r="C4293" s="6">
        <v>10496</v>
      </c>
      <c r="D4293" s="6">
        <v>11311</v>
      </c>
      <c r="E4293" s="6">
        <v>11190</v>
      </c>
      <c r="F4293" t="str">
        <f t="shared" si="1815"/>
        <v>WED</v>
      </c>
      <c r="G4293" s="3">
        <f t="shared" si="1816"/>
        <v>44090</v>
      </c>
      <c r="H4293" s="2">
        <f t="shared" ca="1" si="1817"/>
        <v>163</v>
      </c>
      <c r="I4293" t="str">
        <f t="shared" si="1818"/>
        <v>COMPQ</v>
      </c>
      <c r="J4293">
        <f t="shared" si="1819"/>
        <v>10496</v>
      </c>
      <c r="K4293">
        <f t="shared" si="1820"/>
        <v>11311</v>
      </c>
      <c r="L4293">
        <f t="shared" si="1821"/>
        <v>10903.5</v>
      </c>
      <c r="M4293">
        <f t="shared" si="1822"/>
        <v>407.5</v>
      </c>
      <c r="N4293">
        <f t="shared" si="1826"/>
        <v>815</v>
      </c>
      <c r="O4293">
        <f t="shared" si="1823"/>
        <v>11190</v>
      </c>
      <c r="P4293">
        <f t="shared" si="1824"/>
        <v>0.70306748466257674</v>
      </c>
      <c r="Q4293" t="str">
        <f t="shared" si="1827"/>
        <v>6.2% | 1.08%</v>
      </c>
      <c r="R4293" t="str">
        <f t="shared" si="1825"/>
        <v>NEUTRAL</v>
      </c>
      <c r="S4293">
        <f t="shared" si="1828"/>
        <v>0</v>
      </c>
    </row>
    <row r="4294" spans="1:19" hidden="1" x14ac:dyDescent="0.25">
      <c r="A4294" s="5" t="str">
        <f t="shared" ref="A4294:A4357" si="1829">G4294&amp;I4294</f>
        <v>44090XLK</v>
      </c>
      <c r="B4294" s="6" t="s">
        <v>203</v>
      </c>
      <c r="C4294" s="6">
        <v>108.22</v>
      </c>
      <c r="D4294" s="6">
        <v>118.84</v>
      </c>
      <c r="E4294" s="6">
        <v>116.47</v>
      </c>
      <c r="F4294" t="str">
        <f t="shared" si="1815"/>
        <v>WED</v>
      </c>
      <c r="G4294" s="3">
        <f t="shared" si="1816"/>
        <v>44090</v>
      </c>
      <c r="H4294" s="2">
        <f t="shared" ca="1" si="1817"/>
        <v>163</v>
      </c>
      <c r="I4294" t="str">
        <f t="shared" si="1818"/>
        <v>XLK</v>
      </c>
      <c r="J4294">
        <f t="shared" si="1819"/>
        <v>108.22</v>
      </c>
      <c r="K4294">
        <f t="shared" si="1820"/>
        <v>118.84</v>
      </c>
      <c r="L4294">
        <f t="shared" si="1821"/>
        <v>113.53</v>
      </c>
      <c r="M4294">
        <f t="shared" si="1822"/>
        <v>5.3100000000000023</v>
      </c>
      <c r="N4294">
        <f t="shared" si="1826"/>
        <v>10.620000000000005</v>
      </c>
      <c r="O4294">
        <f t="shared" si="1823"/>
        <v>116.47</v>
      </c>
      <c r="P4294">
        <f t="shared" si="1824"/>
        <v>0.55367231638418013</v>
      </c>
      <c r="Q4294" t="str">
        <f t="shared" si="1827"/>
        <v>7.08% | 2.03%</v>
      </c>
      <c r="R4294" t="str">
        <f t="shared" si="1825"/>
        <v>NEUTRAL</v>
      </c>
      <c r="S4294">
        <f t="shared" si="1828"/>
        <v>0</v>
      </c>
    </row>
    <row r="4295" spans="1:19" hidden="1" x14ac:dyDescent="0.25">
      <c r="A4295" s="5" t="str">
        <f t="shared" si="1829"/>
        <v>44090XLRE</v>
      </c>
      <c r="B4295" s="6" t="s">
        <v>167</v>
      </c>
      <c r="C4295" s="6">
        <v>35.24</v>
      </c>
      <c r="D4295" s="6">
        <v>37.4</v>
      </c>
      <c r="E4295" s="6">
        <v>36.9</v>
      </c>
      <c r="F4295" t="str">
        <f t="shared" si="1815"/>
        <v>WED</v>
      </c>
      <c r="G4295" s="3">
        <f t="shared" si="1816"/>
        <v>44090</v>
      </c>
      <c r="H4295" s="2">
        <f t="shared" ca="1" si="1817"/>
        <v>163</v>
      </c>
      <c r="I4295" t="str">
        <f t="shared" si="1818"/>
        <v>XLRE</v>
      </c>
      <c r="J4295">
        <f t="shared" si="1819"/>
        <v>35.24</v>
      </c>
      <c r="K4295">
        <f t="shared" si="1820"/>
        <v>37.4</v>
      </c>
      <c r="L4295">
        <f t="shared" si="1821"/>
        <v>36.32</v>
      </c>
      <c r="M4295">
        <f t="shared" si="1822"/>
        <v>1.0799999999999983</v>
      </c>
      <c r="N4295">
        <f t="shared" si="1826"/>
        <v>2.1599999999999966</v>
      </c>
      <c r="O4295">
        <f t="shared" si="1823"/>
        <v>36.9</v>
      </c>
      <c r="P4295">
        <f t="shared" si="1824"/>
        <v>0.53703703703703631</v>
      </c>
      <c r="Q4295" t="str">
        <f t="shared" si="1827"/>
        <v>4.5% | 1.36%</v>
      </c>
      <c r="R4295" t="str">
        <f t="shared" si="1825"/>
        <v>BULLISH</v>
      </c>
      <c r="S4295">
        <f t="shared" si="1828"/>
        <v>1</v>
      </c>
    </row>
    <row r="4296" spans="1:19" hidden="1" x14ac:dyDescent="0.25">
      <c r="A4296" s="5" t="str">
        <f t="shared" si="1829"/>
        <v>44090XLU</v>
      </c>
      <c r="B4296" s="6" t="s">
        <v>168</v>
      </c>
      <c r="C4296" s="6">
        <v>58.21</v>
      </c>
      <c r="D4296" s="6">
        <v>60.79</v>
      </c>
      <c r="E4296" s="6">
        <v>60.14</v>
      </c>
      <c r="F4296" t="str">
        <f t="shared" si="1815"/>
        <v>WED</v>
      </c>
      <c r="G4296" s="3">
        <f t="shared" si="1816"/>
        <v>44090</v>
      </c>
      <c r="H4296" s="2">
        <f t="shared" ca="1" si="1817"/>
        <v>163</v>
      </c>
      <c r="I4296" t="str">
        <f t="shared" si="1818"/>
        <v>XLU</v>
      </c>
      <c r="J4296">
        <f t="shared" si="1819"/>
        <v>58.21</v>
      </c>
      <c r="K4296">
        <f t="shared" si="1820"/>
        <v>60.79</v>
      </c>
      <c r="L4296">
        <f t="shared" si="1821"/>
        <v>59.5</v>
      </c>
      <c r="M4296">
        <f t="shared" si="1822"/>
        <v>1.2899999999999991</v>
      </c>
      <c r="N4296">
        <f t="shared" si="1826"/>
        <v>2.5799999999999983</v>
      </c>
      <c r="O4296">
        <f t="shared" si="1823"/>
        <v>60.14</v>
      </c>
      <c r="P4296">
        <f t="shared" si="1824"/>
        <v>0.49612403100775271</v>
      </c>
      <c r="Q4296" t="str">
        <f t="shared" si="1827"/>
        <v>3.21% | 1.08%</v>
      </c>
      <c r="R4296" t="str">
        <f t="shared" si="1825"/>
        <v>BULLISH</v>
      </c>
      <c r="S4296">
        <f t="shared" si="1828"/>
        <v>1</v>
      </c>
    </row>
    <row r="4297" spans="1:19" hidden="1" x14ac:dyDescent="0.25">
      <c r="A4297" s="5" t="str">
        <f t="shared" si="1829"/>
        <v>44090XLF</v>
      </c>
      <c r="B4297" s="6" t="s">
        <v>169</v>
      </c>
      <c r="C4297" s="6">
        <v>24.24</v>
      </c>
      <c r="D4297" s="6">
        <v>25.53</v>
      </c>
      <c r="E4297" s="6">
        <v>24.71</v>
      </c>
      <c r="F4297" t="str">
        <f t="shared" si="1815"/>
        <v>WED</v>
      </c>
      <c r="G4297" s="3">
        <f t="shared" si="1816"/>
        <v>44090</v>
      </c>
      <c r="H4297" s="2">
        <f t="shared" ca="1" si="1817"/>
        <v>163</v>
      </c>
      <c r="I4297" t="str">
        <f t="shared" si="1818"/>
        <v>XLF</v>
      </c>
      <c r="J4297">
        <f t="shared" si="1819"/>
        <v>24.24</v>
      </c>
      <c r="K4297">
        <f t="shared" si="1820"/>
        <v>25.53</v>
      </c>
      <c r="L4297">
        <f t="shared" si="1821"/>
        <v>24.884999999999998</v>
      </c>
      <c r="M4297">
        <f t="shared" si="1822"/>
        <v>0.64500000000000135</v>
      </c>
      <c r="N4297">
        <f t="shared" si="1826"/>
        <v>1.2900000000000027</v>
      </c>
      <c r="O4297">
        <f t="shared" si="1823"/>
        <v>24.71</v>
      </c>
      <c r="P4297">
        <f t="shared" si="1824"/>
        <v>-0.27131782945735938</v>
      </c>
      <c r="Q4297" t="str">
        <f t="shared" si="1827"/>
        <v>1.9% | 3.32%</v>
      </c>
      <c r="R4297" t="str">
        <f t="shared" si="1825"/>
        <v>BEARISH</v>
      </c>
      <c r="S4297">
        <f t="shared" si="1828"/>
        <v>-1</v>
      </c>
    </row>
    <row r="4298" spans="1:19" hidden="1" x14ac:dyDescent="0.25">
      <c r="A4298" s="5" t="str">
        <f t="shared" si="1829"/>
        <v>44090SSEC</v>
      </c>
      <c r="B4298" s="6" t="s">
        <v>170</v>
      </c>
      <c r="C4298" s="6">
        <v>3203</v>
      </c>
      <c r="D4298" s="6">
        <v>3398</v>
      </c>
      <c r="E4298" s="6">
        <v>3283</v>
      </c>
      <c r="F4298" t="str">
        <f t="shared" si="1815"/>
        <v>WED</v>
      </c>
      <c r="G4298" s="3">
        <f t="shared" si="1816"/>
        <v>44090</v>
      </c>
      <c r="H4298" s="2">
        <f t="shared" ca="1" si="1817"/>
        <v>163</v>
      </c>
      <c r="I4298" t="str">
        <f t="shared" si="1818"/>
        <v>SSEC</v>
      </c>
      <c r="J4298">
        <f t="shared" si="1819"/>
        <v>3203</v>
      </c>
      <c r="K4298">
        <f t="shared" si="1820"/>
        <v>3398</v>
      </c>
      <c r="L4298">
        <f t="shared" si="1821"/>
        <v>3300.5</v>
      </c>
      <c r="M4298">
        <f t="shared" si="1822"/>
        <v>97.5</v>
      </c>
      <c r="N4298">
        <f t="shared" si="1826"/>
        <v>195</v>
      </c>
      <c r="O4298">
        <f t="shared" si="1823"/>
        <v>3283</v>
      </c>
      <c r="P4298">
        <f t="shared" si="1824"/>
        <v>-0.17948717948717949</v>
      </c>
      <c r="Q4298" t="str">
        <f t="shared" si="1827"/>
        <v>2.44% | 3.5%</v>
      </c>
      <c r="R4298" t="str">
        <f t="shared" si="1825"/>
        <v>BULLISH</v>
      </c>
      <c r="S4298">
        <f t="shared" si="1828"/>
        <v>1</v>
      </c>
    </row>
    <row r="4299" spans="1:19" hidden="1" x14ac:dyDescent="0.25">
      <c r="A4299" s="5" t="str">
        <f t="shared" si="1829"/>
        <v>44090NIKK</v>
      </c>
      <c r="B4299" s="6" t="s">
        <v>201</v>
      </c>
      <c r="C4299" s="6">
        <v>22865</v>
      </c>
      <c r="D4299" s="6">
        <v>23645</v>
      </c>
      <c r="E4299" s="6">
        <v>23475</v>
      </c>
      <c r="F4299" t="str">
        <f t="shared" si="1815"/>
        <v>WED</v>
      </c>
      <c r="G4299" s="3">
        <f t="shared" si="1816"/>
        <v>44090</v>
      </c>
      <c r="H4299" s="2">
        <f t="shared" ca="1" si="1817"/>
        <v>163</v>
      </c>
      <c r="I4299" t="str">
        <f t="shared" si="1818"/>
        <v>NIKK</v>
      </c>
      <c r="J4299">
        <f t="shared" si="1819"/>
        <v>22865</v>
      </c>
      <c r="K4299">
        <f t="shared" si="1820"/>
        <v>23645</v>
      </c>
      <c r="L4299">
        <f t="shared" si="1821"/>
        <v>23255</v>
      </c>
      <c r="M4299">
        <f t="shared" si="1822"/>
        <v>390</v>
      </c>
      <c r="N4299">
        <f t="shared" si="1826"/>
        <v>780</v>
      </c>
      <c r="O4299">
        <f t="shared" si="1823"/>
        <v>23475</v>
      </c>
      <c r="P4299">
        <f t="shared" si="1824"/>
        <v>0.5641025641025641</v>
      </c>
      <c r="Q4299" t="str">
        <f t="shared" si="1827"/>
        <v>2.6% | 0.72%</v>
      </c>
      <c r="R4299" t="str">
        <f t="shared" si="1825"/>
        <v>BULLISH</v>
      </c>
      <c r="S4299">
        <f t="shared" si="1828"/>
        <v>1</v>
      </c>
    </row>
    <row r="4300" spans="1:19" hidden="1" x14ac:dyDescent="0.25">
      <c r="A4300" s="5" t="str">
        <f t="shared" si="1829"/>
        <v>44090DAX</v>
      </c>
      <c r="B4300" s="6" t="s">
        <v>172</v>
      </c>
      <c r="C4300" s="6">
        <v>12838</v>
      </c>
      <c r="D4300" s="6">
        <v>13378</v>
      </c>
      <c r="E4300" s="6">
        <v>13217</v>
      </c>
      <c r="F4300" t="str">
        <f t="shared" si="1815"/>
        <v>WED</v>
      </c>
      <c r="G4300" s="3">
        <f t="shared" si="1816"/>
        <v>44090</v>
      </c>
      <c r="H4300" s="2">
        <f t="shared" ca="1" si="1817"/>
        <v>163</v>
      </c>
      <c r="I4300" t="str">
        <f t="shared" si="1818"/>
        <v>DAX</v>
      </c>
      <c r="J4300">
        <f t="shared" si="1819"/>
        <v>12838</v>
      </c>
      <c r="K4300">
        <f t="shared" si="1820"/>
        <v>13378</v>
      </c>
      <c r="L4300">
        <f t="shared" si="1821"/>
        <v>13108</v>
      </c>
      <c r="M4300">
        <f t="shared" si="1822"/>
        <v>270</v>
      </c>
      <c r="N4300">
        <f t="shared" si="1826"/>
        <v>540</v>
      </c>
      <c r="O4300">
        <f t="shared" si="1823"/>
        <v>13217</v>
      </c>
      <c r="P4300">
        <f t="shared" si="1824"/>
        <v>0.40370370370370373</v>
      </c>
      <c r="Q4300" t="str">
        <f t="shared" si="1827"/>
        <v>2.87% | 1.22%</v>
      </c>
      <c r="R4300" t="str">
        <f t="shared" si="1825"/>
        <v>BULLISH</v>
      </c>
      <c r="S4300">
        <f t="shared" si="1828"/>
        <v>1</v>
      </c>
    </row>
    <row r="4301" spans="1:19" hidden="1" x14ac:dyDescent="0.25">
      <c r="A4301" s="5" t="str">
        <f t="shared" si="1829"/>
        <v>44090VIX</v>
      </c>
      <c r="B4301" s="6" t="s">
        <v>202</v>
      </c>
      <c r="C4301" s="6">
        <v>24.99</v>
      </c>
      <c r="D4301" s="6">
        <v>33.79</v>
      </c>
      <c r="E4301" s="6">
        <v>25.59</v>
      </c>
      <c r="F4301" t="str">
        <f t="shared" si="1815"/>
        <v>WED</v>
      </c>
      <c r="G4301" s="3">
        <f t="shared" si="1816"/>
        <v>44090</v>
      </c>
      <c r="H4301" s="2">
        <f t="shared" ca="1" si="1817"/>
        <v>163</v>
      </c>
      <c r="I4301" t="str">
        <f t="shared" si="1818"/>
        <v>VIX</v>
      </c>
      <c r="J4301">
        <f t="shared" si="1819"/>
        <v>24.99</v>
      </c>
      <c r="K4301">
        <f t="shared" si="1820"/>
        <v>33.79</v>
      </c>
      <c r="L4301">
        <f t="shared" si="1821"/>
        <v>29.39</v>
      </c>
      <c r="M4301">
        <f t="shared" si="1822"/>
        <v>4.3999999999999888</v>
      </c>
      <c r="N4301">
        <f t="shared" si="1826"/>
        <v>8.8000000000000007</v>
      </c>
      <c r="O4301">
        <f t="shared" si="1823"/>
        <v>25.59</v>
      </c>
      <c r="P4301">
        <f t="shared" si="1824"/>
        <v>-0.86363636363636598</v>
      </c>
      <c r="Q4301" t="str">
        <f t="shared" si="1827"/>
        <v>2.34% | 32.04%</v>
      </c>
      <c r="R4301" t="str">
        <f t="shared" si="1825"/>
        <v>BULLISH</v>
      </c>
      <c r="S4301">
        <f t="shared" si="1828"/>
        <v>1</v>
      </c>
    </row>
    <row r="4302" spans="1:19" hidden="1" x14ac:dyDescent="0.25">
      <c r="A4302" s="5" t="str">
        <f t="shared" si="1829"/>
        <v>44090USD</v>
      </c>
      <c r="B4302" s="6" t="s">
        <v>174</v>
      </c>
      <c r="C4302" s="6">
        <v>92.37</v>
      </c>
      <c r="D4302" s="6">
        <v>93.8</v>
      </c>
      <c r="E4302" s="6">
        <v>93.08</v>
      </c>
      <c r="F4302" t="str">
        <f t="shared" si="1815"/>
        <v>WED</v>
      </c>
      <c r="G4302" s="3">
        <f t="shared" si="1816"/>
        <v>44090</v>
      </c>
      <c r="H4302" s="2">
        <f t="shared" ca="1" si="1817"/>
        <v>163</v>
      </c>
      <c r="I4302" t="str">
        <f t="shared" si="1818"/>
        <v>USD</v>
      </c>
      <c r="J4302">
        <f t="shared" si="1819"/>
        <v>92.37</v>
      </c>
      <c r="K4302">
        <f t="shared" si="1820"/>
        <v>93.8</v>
      </c>
      <c r="L4302">
        <f t="shared" si="1821"/>
        <v>93.085000000000008</v>
      </c>
      <c r="M4302">
        <f t="shared" si="1822"/>
        <v>0.71499999999999631</v>
      </c>
      <c r="N4302">
        <f t="shared" si="1826"/>
        <v>1.4299999999999926</v>
      </c>
      <c r="O4302">
        <f t="shared" si="1823"/>
        <v>93.08</v>
      </c>
      <c r="P4302">
        <f t="shared" si="1824"/>
        <v>-6.9930069930205447E-3</v>
      </c>
      <c r="Q4302" t="str">
        <f t="shared" si="1827"/>
        <v>0.76% | 0.77%</v>
      </c>
      <c r="R4302" t="str">
        <f t="shared" si="1825"/>
        <v>BEARISH</v>
      </c>
      <c r="S4302">
        <f t="shared" si="1828"/>
        <v>-1</v>
      </c>
    </row>
    <row r="4303" spans="1:19" hidden="1" x14ac:dyDescent="0.25">
      <c r="A4303" s="5" t="str">
        <f t="shared" si="1829"/>
        <v>44090EUR/USD</v>
      </c>
      <c r="B4303" s="6" t="s">
        <v>175</v>
      </c>
      <c r="C4303" s="6">
        <v>1.17</v>
      </c>
      <c r="D4303" s="6">
        <v>1.19</v>
      </c>
      <c r="E4303" s="6">
        <v>1.18</v>
      </c>
      <c r="F4303" t="str">
        <f t="shared" si="1815"/>
        <v>WED</v>
      </c>
      <c r="G4303" s="3">
        <f t="shared" si="1816"/>
        <v>44090</v>
      </c>
      <c r="H4303" s="2">
        <f t="shared" ca="1" si="1817"/>
        <v>163</v>
      </c>
      <c r="I4303" t="str">
        <f t="shared" si="1818"/>
        <v>EUR/USD</v>
      </c>
      <c r="J4303">
        <f t="shared" si="1819"/>
        <v>1.17</v>
      </c>
      <c r="K4303">
        <f t="shared" si="1820"/>
        <v>1.19</v>
      </c>
      <c r="L4303">
        <f t="shared" si="1821"/>
        <v>1.18</v>
      </c>
      <c r="M4303">
        <f t="shared" si="1822"/>
        <v>1.0000000000000009E-2</v>
      </c>
      <c r="N4303">
        <f t="shared" si="1826"/>
        <v>2.0000000000000018E-2</v>
      </c>
      <c r="O4303">
        <f t="shared" si="1823"/>
        <v>1.18</v>
      </c>
      <c r="P4303">
        <f t="shared" si="1824"/>
        <v>0</v>
      </c>
      <c r="Q4303" t="str">
        <f t="shared" si="1827"/>
        <v>0.85% | 0.85%</v>
      </c>
      <c r="R4303" t="str">
        <f t="shared" si="1825"/>
        <v>BULLISH</v>
      </c>
      <c r="S4303">
        <f t="shared" si="1828"/>
        <v>1</v>
      </c>
    </row>
    <row r="4304" spans="1:19" hidden="1" x14ac:dyDescent="0.25">
      <c r="A4304" s="5" t="str">
        <f t="shared" si="1829"/>
        <v>44090USD/JPY</v>
      </c>
      <c r="B4304" s="6" t="s">
        <v>176</v>
      </c>
      <c r="C4304" s="6">
        <v>105.06</v>
      </c>
      <c r="D4304" s="6">
        <v>106.55</v>
      </c>
      <c r="E4304" s="6">
        <v>105.46</v>
      </c>
      <c r="F4304" t="str">
        <f t="shared" si="1815"/>
        <v>WED</v>
      </c>
      <c r="G4304" s="3">
        <f t="shared" si="1816"/>
        <v>44090</v>
      </c>
      <c r="H4304" s="2">
        <f t="shared" ca="1" si="1817"/>
        <v>163</v>
      </c>
      <c r="I4304" t="str">
        <f t="shared" si="1818"/>
        <v>USD/JPY</v>
      </c>
      <c r="J4304">
        <f t="shared" si="1819"/>
        <v>105.06</v>
      </c>
      <c r="K4304">
        <f t="shared" si="1820"/>
        <v>106.55</v>
      </c>
      <c r="L4304">
        <f t="shared" si="1821"/>
        <v>105.80500000000001</v>
      </c>
      <c r="M4304">
        <f t="shared" si="1822"/>
        <v>0.74499999999999733</v>
      </c>
      <c r="N4304">
        <f t="shared" si="1826"/>
        <v>1.4899999999999949</v>
      </c>
      <c r="O4304">
        <f t="shared" si="1823"/>
        <v>105.46</v>
      </c>
      <c r="P4304">
        <f t="shared" si="1824"/>
        <v>-0.46308724832216686</v>
      </c>
      <c r="Q4304" t="str">
        <f t="shared" si="1827"/>
        <v>0.38% | 1.03%</v>
      </c>
      <c r="R4304" t="str">
        <f t="shared" si="1825"/>
        <v>BEARISH</v>
      </c>
      <c r="S4304">
        <f t="shared" si="1828"/>
        <v>-1</v>
      </c>
    </row>
    <row r="4305" spans="1:19" hidden="1" x14ac:dyDescent="0.25">
      <c r="A4305" s="5" t="str">
        <f t="shared" si="1829"/>
        <v>44090GBP/USD</v>
      </c>
      <c r="B4305" s="6" t="s">
        <v>214</v>
      </c>
      <c r="C4305" s="6">
        <v>1.26</v>
      </c>
      <c r="D4305" s="6">
        <v>1.3</v>
      </c>
      <c r="E4305" s="6">
        <v>1.29</v>
      </c>
      <c r="F4305" t="str">
        <f t="shared" si="1815"/>
        <v>WED</v>
      </c>
      <c r="G4305" s="3">
        <f t="shared" si="1816"/>
        <v>44090</v>
      </c>
      <c r="H4305" s="2">
        <f t="shared" ca="1" si="1817"/>
        <v>163</v>
      </c>
      <c r="I4305" t="str">
        <f t="shared" si="1818"/>
        <v>GBP/USD</v>
      </c>
      <c r="J4305">
        <f t="shared" si="1819"/>
        <v>1.26</v>
      </c>
      <c r="K4305">
        <f t="shared" si="1820"/>
        <v>1.3</v>
      </c>
      <c r="L4305">
        <f t="shared" si="1821"/>
        <v>1.28</v>
      </c>
      <c r="M4305">
        <f t="shared" si="1822"/>
        <v>2.0000000000000018E-2</v>
      </c>
      <c r="N4305">
        <f t="shared" si="1826"/>
        <v>4.0000000000000036E-2</v>
      </c>
      <c r="O4305">
        <f t="shared" si="1823"/>
        <v>1.29</v>
      </c>
      <c r="P4305">
        <f t="shared" si="1824"/>
        <v>0.5</v>
      </c>
      <c r="Q4305" t="str">
        <f t="shared" si="1827"/>
        <v>2.33% | 0.78%</v>
      </c>
      <c r="R4305" t="str">
        <f t="shared" si="1825"/>
        <v>NEUTRAL</v>
      </c>
      <c r="S4305">
        <f t="shared" si="1828"/>
        <v>0</v>
      </c>
    </row>
    <row r="4306" spans="1:19" hidden="1" x14ac:dyDescent="0.25">
      <c r="A4306" s="5" t="str">
        <f t="shared" si="1829"/>
        <v>44090USD/CHF</v>
      </c>
      <c r="B4306" s="6" t="s">
        <v>178</v>
      </c>
      <c r="C4306" s="6">
        <v>0.89</v>
      </c>
      <c r="D4306" s="6">
        <v>0.91</v>
      </c>
      <c r="E4306" s="6">
        <v>0.9</v>
      </c>
      <c r="F4306" t="str">
        <f t="shared" si="1815"/>
        <v>WED</v>
      </c>
      <c r="G4306" s="3">
        <f t="shared" si="1816"/>
        <v>44090</v>
      </c>
      <c r="H4306" s="2">
        <f t="shared" ca="1" si="1817"/>
        <v>163</v>
      </c>
      <c r="I4306" t="str">
        <f t="shared" si="1818"/>
        <v>USD/CHF</v>
      </c>
      <c r="J4306">
        <f t="shared" si="1819"/>
        <v>0.89</v>
      </c>
      <c r="K4306">
        <f t="shared" si="1820"/>
        <v>0.91</v>
      </c>
      <c r="L4306">
        <f t="shared" si="1821"/>
        <v>0.9</v>
      </c>
      <c r="M4306">
        <f t="shared" si="1822"/>
        <v>1.0000000000000009E-2</v>
      </c>
      <c r="N4306">
        <f t="shared" si="1826"/>
        <v>2.0000000000000018E-2</v>
      </c>
      <c r="O4306">
        <f t="shared" si="1823"/>
        <v>0.9</v>
      </c>
      <c r="P4306">
        <f t="shared" si="1824"/>
        <v>0</v>
      </c>
      <c r="Q4306" t="str">
        <f t="shared" si="1827"/>
        <v>1.11% | 1.11%</v>
      </c>
      <c r="R4306" t="str">
        <f t="shared" si="1825"/>
        <v>BEARISH</v>
      </c>
      <c r="S4306">
        <f t="shared" si="1828"/>
        <v>-1</v>
      </c>
    </row>
    <row r="4307" spans="1:19" hidden="1" x14ac:dyDescent="0.25">
      <c r="A4307" s="5" t="str">
        <f t="shared" si="1829"/>
        <v>44090WTIC</v>
      </c>
      <c r="B4307" s="6" t="s">
        <v>215</v>
      </c>
      <c r="C4307" s="6">
        <v>35.020000000000003</v>
      </c>
      <c r="D4307" s="6">
        <v>40.32</v>
      </c>
      <c r="E4307" s="6">
        <v>38.28</v>
      </c>
      <c r="F4307" t="str">
        <f t="shared" si="1815"/>
        <v>WED</v>
      </c>
      <c r="G4307" s="3">
        <f t="shared" si="1816"/>
        <v>44090</v>
      </c>
      <c r="H4307" s="2">
        <f t="shared" ca="1" si="1817"/>
        <v>163</v>
      </c>
      <c r="I4307" t="str">
        <f t="shared" si="1818"/>
        <v>WTIC</v>
      </c>
      <c r="J4307">
        <f t="shared" si="1819"/>
        <v>35.020000000000003</v>
      </c>
      <c r="K4307">
        <f t="shared" si="1820"/>
        <v>40.32</v>
      </c>
      <c r="L4307">
        <f t="shared" si="1821"/>
        <v>37.67</v>
      </c>
      <c r="M4307">
        <f t="shared" si="1822"/>
        <v>2.6499999999999986</v>
      </c>
      <c r="N4307">
        <f t="shared" si="1826"/>
        <v>5.2999999999999972</v>
      </c>
      <c r="O4307">
        <f t="shared" si="1823"/>
        <v>38.28</v>
      </c>
      <c r="P4307">
        <f t="shared" si="1824"/>
        <v>0.23018867924528294</v>
      </c>
      <c r="Q4307" t="str">
        <f t="shared" si="1827"/>
        <v>8.52% | 5.33%</v>
      </c>
      <c r="R4307" t="str">
        <f t="shared" si="1825"/>
        <v>BEARISH</v>
      </c>
      <c r="S4307">
        <f t="shared" si="1828"/>
        <v>-1</v>
      </c>
    </row>
    <row r="4308" spans="1:19" hidden="1" x14ac:dyDescent="0.25">
      <c r="A4308" s="5" t="str">
        <f t="shared" si="1829"/>
        <v>44090NATGAS</v>
      </c>
      <c r="B4308" s="6" t="s">
        <v>180</v>
      </c>
      <c r="C4308" s="6">
        <v>2.2000000000000002</v>
      </c>
      <c r="D4308" s="6">
        <v>2.62</v>
      </c>
      <c r="E4308" s="6">
        <v>2.36</v>
      </c>
      <c r="F4308" t="str">
        <f t="shared" si="1815"/>
        <v>WED</v>
      </c>
      <c r="G4308" s="3">
        <f t="shared" si="1816"/>
        <v>44090</v>
      </c>
      <c r="H4308" s="2">
        <f t="shared" ca="1" si="1817"/>
        <v>163</v>
      </c>
      <c r="I4308" t="str">
        <f t="shared" si="1818"/>
        <v>NATGAS</v>
      </c>
      <c r="J4308">
        <f t="shared" si="1819"/>
        <v>2.2000000000000002</v>
      </c>
      <c r="K4308">
        <f t="shared" si="1820"/>
        <v>2.62</v>
      </c>
      <c r="L4308">
        <f t="shared" si="1821"/>
        <v>2.41</v>
      </c>
      <c r="M4308">
        <f t="shared" si="1822"/>
        <v>0.20999999999999996</v>
      </c>
      <c r="N4308">
        <f t="shared" si="1826"/>
        <v>0.41999999999999993</v>
      </c>
      <c r="O4308">
        <f t="shared" si="1823"/>
        <v>2.36</v>
      </c>
      <c r="P4308">
        <f t="shared" si="1824"/>
        <v>-0.23809523809523941</v>
      </c>
      <c r="Q4308" t="str">
        <f t="shared" si="1827"/>
        <v>6.78% | 11.02%</v>
      </c>
      <c r="R4308" t="str">
        <f t="shared" si="1825"/>
        <v>BULLISH</v>
      </c>
      <c r="S4308">
        <f t="shared" si="1828"/>
        <v>1</v>
      </c>
    </row>
    <row r="4309" spans="1:19" hidden="1" x14ac:dyDescent="0.25">
      <c r="A4309" s="5" t="str">
        <f t="shared" si="1829"/>
        <v>44090GOLD</v>
      </c>
      <c r="B4309" s="6" t="s">
        <v>181</v>
      </c>
      <c r="C4309" s="6">
        <v>1926</v>
      </c>
      <c r="D4309" s="6">
        <v>1983</v>
      </c>
      <c r="E4309" s="6">
        <v>1966</v>
      </c>
      <c r="F4309" t="str">
        <f t="shared" si="1815"/>
        <v>WED</v>
      </c>
      <c r="G4309" s="3">
        <f t="shared" si="1816"/>
        <v>44090</v>
      </c>
      <c r="H4309" s="2">
        <f t="shared" ca="1" si="1817"/>
        <v>163</v>
      </c>
      <c r="I4309" t="str">
        <f t="shared" si="1818"/>
        <v>GOLD</v>
      </c>
      <c r="J4309">
        <f t="shared" si="1819"/>
        <v>1926</v>
      </c>
      <c r="K4309">
        <f t="shared" si="1820"/>
        <v>1983</v>
      </c>
      <c r="L4309">
        <f t="shared" si="1821"/>
        <v>1954.5</v>
      </c>
      <c r="M4309">
        <f t="shared" si="1822"/>
        <v>28.5</v>
      </c>
      <c r="N4309">
        <f t="shared" si="1826"/>
        <v>57</v>
      </c>
      <c r="O4309">
        <f t="shared" si="1823"/>
        <v>1966</v>
      </c>
      <c r="P4309">
        <f t="shared" si="1824"/>
        <v>0.40350877192982454</v>
      </c>
      <c r="Q4309" t="str">
        <f t="shared" si="1827"/>
        <v>2.03% | 0.86%</v>
      </c>
      <c r="R4309" t="str">
        <f t="shared" si="1825"/>
        <v>BULLISH</v>
      </c>
      <c r="S4309">
        <f t="shared" si="1828"/>
        <v>1</v>
      </c>
    </row>
    <row r="4310" spans="1:19" hidden="1" x14ac:dyDescent="0.25">
      <c r="A4310" s="5" t="str">
        <f t="shared" si="1829"/>
        <v>44090SILVER</v>
      </c>
      <c r="B4310" s="6" t="s">
        <v>199</v>
      </c>
      <c r="C4310" s="6">
        <v>26.16</v>
      </c>
      <c r="D4310" s="6">
        <v>28.23</v>
      </c>
      <c r="E4310" s="6">
        <v>27.46</v>
      </c>
      <c r="F4310" t="str">
        <f t="shared" si="1815"/>
        <v>WED</v>
      </c>
      <c r="G4310" s="3">
        <f t="shared" si="1816"/>
        <v>44090</v>
      </c>
      <c r="H4310" s="2">
        <f t="shared" ca="1" si="1817"/>
        <v>163</v>
      </c>
      <c r="I4310" t="str">
        <f t="shared" si="1818"/>
        <v>SILVER</v>
      </c>
      <c r="J4310">
        <f t="shared" si="1819"/>
        <v>26.16</v>
      </c>
      <c r="K4310">
        <f t="shared" si="1820"/>
        <v>28.23</v>
      </c>
      <c r="L4310">
        <f t="shared" si="1821"/>
        <v>27.195</v>
      </c>
      <c r="M4310">
        <f t="shared" si="1822"/>
        <v>1.0350000000000001</v>
      </c>
      <c r="N4310">
        <f t="shared" si="1826"/>
        <v>2.0700000000000003</v>
      </c>
      <c r="O4310">
        <f t="shared" si="1823"/>
        <v>27.46</v>
      </c>
      <c r="P4310">
        <f t="shared" si="1824"/>
        <v>0.2560386473429957</v>
      </c>
      <c r="Q4310" t="str">
        <f t="shared" si="1827"/>
        <v>4.73% | 2.8%</v>
      </c>
      <c r="R4310" t="str">
        <f t="shared" si="1825"/>
        <v>BULLISH</v>
      </c>
      <c r="S4310">
        <f t="shared" si="1828"/>
        <v>1</v>
      </c>
    </row>
    <row r="4311" spans="1:19" hidden="1" x14ac:dyDescent="0.25">
      <c r="A4311" s="5" t="str">
        <f t="shared" si="1829"/>
        <v>44090COPPER</v>
      </c>
      <c r="B4311" s="6" t="s">
        <v>182</v>
      </c>
      <c r="C4311" s="6">
        <v>2.97</v>
      </c>
      <c r="D4311" s="6">
        <v>3.09</v>
      </c>
      <c r="E4311" s="6">
        <v>3.06</v>
      </c>
      <c r="F4311" t="str">
        <f t="shared" si="1815"/>
        <v>WED</v>
      </c>
      <c r="G4311" s="3">
        <f t="shared" si="1816"/>
        <v>44090</v>
      </c>
      <c r="H4311" s="2">
        <f t="shared" ca="1" si="1817"/>
        <v>163</v>
      </c>
      <c r="I4311" t="str">
        <f t="shared" si="1818"/>
        <v>COPPER</v>
      </c>
      <c r="J4311">
        <f t="shared" si="1819"/>
        <v>2.97</v>
      </c>
      <c r="K4311">
        <f t="shared" si="1820"/>
        <v>3.09</v>
      </c>
      <c r="L4311">
        <f t="shared" si="1821"/>
        <v>3.0300000000000002</v>
      </c>
      <c r="M4311">
        <f t="shared" si="1822"/>
        <v>5.9999999999999831E-2</v>
      </c>
      <c r="N4311">
        <f t="shared" si="1826"/>
        <v>0.11999999999999966</v>
      </c>
      <c r="O4311">
        <f t="shared" si="1823"/>
        <v>3.06</v>
      </c>
      <c r="P4311">
        <f t="shared" si="1824"/>
        <v>0.49999999999999817</v>
      </c>
      <c r="Q4311" t="str">
        <f t="shared" si="1827"/>
        <v>2.94% | 0.98%</v>
      </c>
      <c r="R4311" t="str">
        <f t="shared" si="1825"/>
        <v>BULLISH</v>
      </c>
      <c r="S4311">
        <f t="shared" si="1828"/>
        <v>1</v>
      </c>
    </row>
    <row r="4312" spans="1:19" hidden="1" x14ac:dyDescent="0.25">
      <c r="A4312" s="5" t="str">
        <f t="shared" si="1829"/>
        <v>44090MSFT</v>
      </c>
      <c r="B4312" s="6" t="s">
        <v>206</v>
      </c>
      <c r="C4312" s="6">
        <v>193</v>
      </c>
      <c r="D4312" s="6">
        <v>214</v>
      </c>
      <c r="E4312" s="6">
        <v>208</v>
      </c>
      <c r="F4312" t="str">
        <f t="shared" si="1815"/>
        <v>WED</v>
      </c>
      <c r="G4312" s="3">
        <f t="shared" si="1816"/>
        <v>44090</v>
      </c>
      <c r="H4312" s="2">
        <f t="shared" ca="1" si="1817"/>
        <v>163</v>
      </c>
      <c r="I4312" t="str">
        <f t="shared" si="1818"/>
        <v>MSFT</v>
      </c>
      <c r="J4312">
        <f t="shared" si="1819"/>
        <v>193</v>
      </c>
      <c r="K4312">
        <f t="shared" si="1820"/>
        <v>214</v>
      </c>
      <c r="L4312">
        <f t="shared" si="1821"/>
        <v>203.5</v>
      </c>
      <c r="M4312">
        <f t="shared" si="1822"/>
        <v>10.5</v>
      </c>
      <c r="N4312">
        <f t="shared" si="1826"/>
        <v>21</v>
      </c>
      <c r="O4312">
        <f t="shared" si="1823"/>
        <v>208</v>
      </c>
      <c r="P4312">
        <f t="shared" si="1824"/>
        <v>0.42857142857142855</v>
      </c>
      <c r="Q4312" t="str">
        <f t="shared" si="1827"/>
        <v>7.21% | 2.88%</v>
      </c>
      <c r="R4312" t="str">
        <f t="shared" si="1825"/>
        <v>NEUTRAL</v>
      </c>
      <c r="S4312">
        <f t="shared" si="1828"/>
        <v>0</v>
      </c>
    </row>
    <row r="4313" spans="1:19" hidden="1" x14ac:dyDescent="0.25">
      <c r="A4313" s="5" t="str">
        <f t="shared" si="1829"/>
        <v>44090AAPL</v>
      </c>
      <c r="B4313" s="6" t="s">
        <v>207</v>
      </c>
      <c r="C4313" s="6">
        <v>104</v>
      </c>
      <c r="D4313" s="6">
        <v>119</v>
      </c>
      <c r="E4313" s="6">
        <v>115</v>
      </c>
      <c r="F4313" t="str">
        <f t="shared" si="1815"/>
        <v>WED</v>
      </c>
      <c r="G4313" s="3">
        <f t="shared" si="1816"/>
        <v>44090</v>
      </c>
      <c r="H4313" s="2">
        <f t="shared" ca="1" si="1817"/>
        <v>163</v>
      </c>
      <c r="I4313" t="str">
        <f t="shared" si="1818"/>
        <v>AAPL</v>
      </c>
      <c r="J4313">
        <f t="shared" si="1819"/>
        <v>104</v>
      </c>
      <c r="K4313">
        <f t="shared" si="1820"/>
        <v>119</v>
      </c>
      <c r="L4313">
        <f t="shared" si="1821"/>
        <v>111.5</v>
      </c>
      <c r="M4313">
        <f t="shared" si="1822"/>
        <v>7.5</v>
      </c>
      <c r="N4313">
        <f t="shared" si="1826"/>
        <v>15</v>
      </c>
      <c r="O4313">
        <f t="shared" si="1823"/>
        <v>115</v>
      </c>
      <c r="P4313">
        <f t="shared" si="1824"/>
        <v>0.46666666666666667</v>
      </c>
      <c r="Q4313" t="str">
        <f t="shared" si="1827"/>
        <v>9.57% | 3.48%</v>
      </c>
      <c r="R4313" t="str">
        <f t="shared" si="1825"/>
        <v>NEUTRAL</v>
      </c>
      <c r="S4313">
        <f t="shared" si="1828"/>
        <v>0</v>
      </c>
    </row>
    <row r="4314" spans="1:19" hidden="1" x14ac:dyDescent="0.25">
      <c r="A4314" s="5" t="str">
        <f t="shared" si="1829"/>
        <v>44090AMZN</v>
      </c>
      <c r="B4314" s="6" t="s">
        <v>185</v>
      </c>
      <c r="C4314" s="6">
        <v>2981</v>
      </c>
      <c r="D4314" s="6">
        <v>3405</v>
      </c>
      <c r="E4314" s="6">
        <v>3156</v>
      </c>
      <c r="F4314" t="str">
        <f t="shared" si="1815"/>
        <v>WED</v>
      </c>
      <c r="G4314" s="3">
        <f t="shared" si="1816"/>
        <v>44090</v>
      </c>
      <c r="H4314" s="2">
        <f t="shared" ca="1" si="1817"/>
        <v>163</v>
      </c>
      <c r="I4314" t="str">
        <f t="shared" si="1818"/>
        <v>AMZN</v>
      </c>
      <c r="J4314">
        <f t="shared" si="1819"/>
        <v>2981</v>
      </c>
      <c r="K4314">
        <f t="shared" si="1820"/>
        <v>3405</v>
      </c>
      <c r="L4314">
        <f t="shared" si="1821"/>
        <v>3193</v>
      </c>
      <c r="M4314">
        <f t="shared" si="1822"/>
        <v>212</v>
      </c>
      <c r="N4314">
        <f t="shared" si="1826"/>
        <v>424</v>
      </c>
      <c r="O4314">
        <f t="shared" si="1823"/>
        <v>3156</v>
      </c>
      <c r="P4314">
        <f t="shared" si="1824"/>
        <v>-0.17452830188679244</v>
      </c>
      <c r="Q4314" t="str">
        <f t="shared" si="1827"/>
        <v>5.54% | 7.89%</v>
      </c>
      <c r="R4314" t="str">
        <f t="shared" si="1825"/>
        <v>BULLISH</v>
      </c>
      <c r="S4314">
        <f t="shared" si="1828"/>
        <v>1</v>
      </c>
    </row>
    <row r="4315" spans="1:19" hidden="1" x14ac:dyDescent="0.25">
      <c r="A4315" s="5" t="str">
        <f t="shared" si="1829"/>
        <v>44090FB</v>
      </c>
      <c r="B4315" s="6" t="s">
        <v>186</v>
      </c>
      <c r="C4315" s="6">
        <v>251</v>
      </c>
      <c r="D4315" s="6">
        <v>280</v>
      </c>
      <c r="E4315" s="6">
        <v>272</v>
      </c>
      <c r="F4315" t="str">
        <f t="shared" si="1815"/>
        <v>WED</v>
      </c>
      <c r="G4315" s="3">
        <f t="shared" si="1816"/>
        <v>44090</v>
      </c>
      <c r="H4315" s="2">
        <f t="shared" ca="1" si="1817"/>
        <v>163</v>
      </c>
      <c r="I4315" t="str">
        <f t="shared" si="1818"/>
        <v>FB</v>
      </c>
      <c r="J4315">
        <f t="shared" si="1819"/>
        <v>251</v>
      </c>
      <c r="K4315">
        <f t="shared" si="1820"/>
        <v>280</v>
      </c>
      <c r="L4315">
        <f t="shared" si="1821"/>
        <v>265.5</v>
      </c>
      <c r="M4315">
        <f t="shared" si="1822"/>
        <v>14.5</v>
      </c>
      <c r="N4315">
        <f t="shared" si="1826"/>
        <v>29</v>
      </c>
      <c r="O4315">
        <f t="shared" si="1823"/>
        <v>272</v>
      </c>
      <c r="P4315">
        <f t="shared" si="1824"/>
        <v>0.44827586206896552</v>
      </c>
      <c r="Q4315" t="str">
        <f t="shared" si="1827"/>
        <v>7.72% | 2.94%</v>
      </c>
      <c r="R4315" t="str">
        <f t="shared" si="1825"/>
        <v>BULLISH</v>
      </c>
      <c r="S4315">
        <f t="shared" si="1828"/>
        <v>1</v>
      </c>
    </row>
    <row r="4316" spans="1:19" hidden="1" x14ac:dyDescent="0.25">
      <c r="A4316" s="5" t="str">
        <f t="shared" si="1829"/>
        <v>44090GOOGL</v>
      </c>
      <c r="B4316" s="6" t="s">
        <v>208</v>
      </c>
      <c r="C4316" s="6">
        <v>1431</v>
      </c>
      <c r="D4316" s="6">
        <v>1575</v>
      </c>
      <c r="E4316" s="6">
        <v>1535</v>
      </c>
      <c r="F4316" t="str">
        <f t="shared" si="1815"/>
        <v>WED</v>
      </c>
      <c r="G4316" s="3">
        <f t="shared" si="1816"/>
        <v>44090</v>
      </c>
      <c r="H4316" s="2">
        <f t="shared" ca="1" si="1817"/>
        <v>163</v>
      </c>
      <c r="I4316" t="str">
        <f t="shared" si="1818"/>
        <v>GOOGL</v>
      </c>
      <c r="J4316">
        <f t="shared" si="1819"/>
        <v>1431</v>
      </c>
      <c r="K4316">
        <f t="shared" si="1820"/>
        <v>1575</v>
      </c>
      <c r="L4316">
        <f t="shared" si="1821"/>
        <v>1503</v>
      </c>
      <c r="M4316">
        <f t="shared" si="1822"/>
        <v>72</v>
      </c>
      <c r="N4316">
        <f t="shared" si="1826"/>
        <v>144</v>
      </c>
      <c r="O4316">
        <f t="shared" si="1823"/>
        <v>1535</v>
      </c>
      <c r="P4316">
        <f t="shared" si="1824"/>
        <v>0.44444444444444442</v>
      </c>
      <c r="Q4316" t="str">
        <f t="shared" si="1827"/>
        <v>6.78% | 2.61%</v>
      </c>
      <c r="R4316" t="str">
        <f t="shared" si="1825"/>
        <v>NEUTRAL</v>
      </c>
      <c r="S4316">
        <f t="shared" si="1828"/>
        <v>0</v>
      </c>
    </row>
    <row r="4317" spans="1:19" hidden="1" x14ac:dyDescent="0.25">
      <c r="A4317" s="5" t="str">
        <f t="shared" si="1829"/>
        <v>44090NFLX</v>
      </c>
      <c r="B4317" s="6" t="s">
        <v>188</v>
      </c>
      <c r="C4317" s="6">
        <v>456</v>
      </c>
      <c r="D4317" s="6">
        <v>509</v>
      </c>
      <c r="E4317" s="6">
        <v>495</v>
      </c>
      <c r="F4317" t="str">
        <f t="shared" si="1815"/>
        <v>WED</v>
      </c>
      <c r="G4317" s="3">
        <f t="shared" si="1816"/>
        <v>44090</v>
      </c>
      <c r="H4317" s="2">
        <f t="shared" ca="1" si="1817"/>
        <v>163</v>
      </c>
      <c r="I4317" t="str">
        <f t="shared" si="1818"/>
        <v>NFLX</v>
      </c>
      <c r="J4317">
        <f t="shared" si="1819"/>
        <v>456</v>
      </c>
      <c r="K4317">
        <f t="shared" si="1820"/>
        <v>509</v>
      </c>
      <c r="L4317">
        <f t="shared" si="1821"/>
        <v>482.5</v>
      </c>
      <c r="M4317">
        <f t="shared" si="1822"/>
        <v>26.5</v>
      </c>
      <c r="N4317">
        <f t="shared" si="1826"/>
        <v>53</v>
      </c>
      <c r="O4317">
        <f t="shared" si="1823"/>
        <v>495</v>
      </c>
      <c r="P4317">
        <f t="shared" si="1824"/>
        <v>0.47169811320754718</v>
      </c>
      <c r="Q4317" t="str">
        <f t="shared" si="1827"/>
        <v>7.88% | 2.83%</v>
      </c>
      <c r="R4317" t="str">
        <f t="shared" si="1825"/>
        <v>NEUTRAL</v>
      </c>
      <c r="S4317">
        <f t="shared" si="1828"/>
        <v>0</v>
      </c>
    </row>
    <row r="4318" spans="1:19" x14ac:dyDescent="0.25">
      <c r="A4318" s="5" t="str">
        <f t="shared" si="1829"/>
        <v>44090TSLA</v>
      </c>
      <c r="B4318" s="6" t="s">
        <v>189</v>
      </c>
      <c r="C4318" s="6">
        <v>319</v>
      </c>
      <c r="D4318" s="6">
        <v>476</v>
      </c>
      <c r="E4318" s="6">
        <v>449</v>
      </c>
      <c r="F4318" t="str">
        <f t="shared" si="1815"/>
        <v>WED</v>
      </c>
      <c r="G4318" s="3">
        <f t="shared" si="1816"/>
        <v>44090</v>
      </c>
      <c r="H4318" s="2">
        <f t="shared" ca="1" si="1817"/>
        <v>163</v>
      </c>
      <c r="I4318" t="str">
        <f t="shared" si="1818"/>
        <v>TSLA</v>
      </c>
      <c r="J4318">
        <f t="shared" si="1819"/>
        <v>319</v>
      </c>
      <c r="K4318">
        <f t="shared" si="1820"/>
        <v>476</v>
      </c>
      <c r="L4318">
        <f t="shared" si="1821"/>
        <v>397.5</v>
      </c>
      <c r="M4318">
        <f t="shared" si="1822"/>
        <v>78.5</v>
      </c>
      <c r="N4318">
        <f t="shared" si="1826"/>
        <v>157</v>
      </c>
      <c r="O4318">
        <f t="shared" si="1823"/>
        <v>449</v>
      </c>
      <c r="P4318">
        <f t="shared" si="1824"/>
        <v>0.6560509554140127</v>
      </c>
      <c r="Q4318" t="str">
        <f t="shared" si="1827"/>
        <v>28.95% | 6.01%</v>
      </c>
      <c r="R4318" t="str">
        <f t="shared" si="1825"/>
        <v>BULLISH</v>
      </c>
      <c r="S4318">
        <f t="shared" si="1828"/>
        <v>1</v>
      </c>
    </row>
    <row r="4319" spans="1:19" hidden="1" x14ac:dyDescent="0.25">
      <c r="A4319" s="5" t="str">
        <f t="shared" si="1829"/>
        <v>44090NYXBT</v>
      </c>
      <c r="B4319" s="6" t="s">
        <v>190</v>
      </c>
      <c r="C4319" s="6">
        <v>9800</v>
      </c>
      <c r="D4319" s="6">
        <v>11292</v>
      </c>
      <c r="E4319" s="6">
        <v>10808</v>
      </c>
      <c r="F4319" t="str">
        <f t="shared" si="1815"/>
        <v>WED</v>
      </c>
      <c r="G4319" s="3">
        <f t="shared" si="1816"/>
        <v>44090</v>
      </c>
      <c r="H4319" s="2">
        <f t="shared" ca="1" si="1817"/>
        <v>163</v>
      </c>
      <c r="I4319" t="str">
        <f t="shared" si="1818"/>
        <v>NYXBT</v>
      </c>
      <c r="J4319">
        <f t="shared" si="1819"/>
        <v>9800</v>
      </c>
      <c r="K4319">
        <f t="shared" si="1820"/>
        <v>11292</v>
      </c>
      <c r="L4319">
        <f t="shared" si="1821"/>
        <v>10546</v>
      </c>
      <c r="M4319">
        <f t="shared" si="1822"/>
        <v>746</v>
      </c>
      <c r="N4319">
        <f t="shared" si="1826"/>
        <v>1492</v>
      </c>
      <c r="O4319">
        <f t="shared" si="1823"/>
        <v>10808</v>
      </c>
      <c r="P4319">
        <f t="shared" si="1824"/>
        <v>0.3512064343163539</v>
      </c>
      <c r="Q4319" t="str">
        <f t="shared" si="1827"/>
        <v>9.33% | 4.48%</v>
      </c>
      <c r="R4319" t="str">
        <f t="shared" si="1825"/>
        <v>BULLISH</v>
      </c>
      <c r="S4319">
        <f t="shared" si="1828"/>
        <v>1</v>
      </c>
    </row>
    <row r="4320" spans="1:19" hidden="1" x14ac:dyDescent="0.25">
      <c r="A4320" s="5" t="str">
        <f t="shared" si="1829"/>
        <v>44091UST10Y</v>
      </c>
      <c r="B4320" s="6" t="s">
        <v>161</v>
      </c>
      <c r="C4320" s="6">
        <v>0.72</v>
      </c>
      <c r="D4320" s="6">
        <v>0.61</v>
      </c>
      <c r="E4320" s="6">
        <v>0.69</v>
      </c>
      <c r="F4320" t="str">
        <f t="shared" si="1815"/>
        <v>THU</v>
      </c>
      <c r="G4320" s="1">
        <f>DATE(2020,9,17)</f>
        <v>44091</v>
      </c>
      <c r="H4320" s="2">
        <f t="shared" ca="1" si="1817"/>
        <v>162</v>
      </c>
      <c r="I4320" t="str">
        <f t="shared" si="1818"/>
        <v>UST10Y</v>
      </c>
      <c r="J4320">
        <f t="shared" si="1819"/>
        <v>0.72</v>
      </c>
      <c r="K4320">
        <f t="shared" si="1820"/>
        <v>0.61</v>
      </c>
      <c r="L4320">
        <f t="shared" si="1821"/>
        <v>0.66500000000000004</v>
      </c>
      <c r="M4320">
        <f t="shared" si="1822"/>
        <v>5.4999999999999993E-2</v>
      </c>
      <c r="N4320">
        <f t="shared" si="1826"/>
        <v>0.10999999999999999</v>
      </c>
      <c r="O4320">
        <f t="shared" si="1823"/>
        <v>0.69</v>
      </c>
      <c r="P4320">
        <f t="shared" si="1824"/>
        <v>0.45454545454545298</v>
      </c>
      <c r="Q4320" t="str">
        <f t="shared" si="1827"/>
        <v>4.35% | 11.59%</v>
      </c>
      <c r="R4320" t="str">
        <f t="shared" si="1825"/>
        <v>BEARISH</v>
      </c>
      <c r="S4320">
        <f t="shared" si="1828"/>
        <v>-1</v>
      </c>
    </row>
    <row r="4321" spans="1:19" hidden="1" x14ac:dyDescent="0.25">
      <c r="A4321" s="5" t="str">
        <f t="shared" si="1829"/>
        <v>44091UST2Y</v>
      </c>
      <c r="B4321" s="6" t="s">
        <v>162</v>
      </c>
      <c r="C4321" s="6">
        <v>0.15</v>
      </c>
      <c r="D4321" s="6">
        <v>0.11</v>
      </c>
      <c r="E4321" s="6">
        <v>0.14000000000000001</v>
      </c>
      <c r="F4321" t="str">
        <f t="shared" ref="F4321:F4351" si="1830">UPPER(TEXT(G4321,"ddd"))</f>
        <v>THU</v>
      </c>
      <c r="G4321" s="1">
        <f t="shared" ref="G4321:G4350" si="1831">DATE(2020,9,17)</f>
        <v>44091</v>
      </c>
      <c r="H4321" s="2">
        <f t="shared" ref="H4321:H4351" ca="1" si="1832">TODAY()-G4321</f>
        <v>162</v>
      </c>
      <c r="I4321" t="str">
        <f t="shared" ref="I4321:I4351" si="1833">TRIM(LEFT(B4321,FIND(" ",B4321,1)))</f>
        <v>UST2Y</v>
      </c>
      <c r="J4321">
        <f t="shared" ref="J4321:J4351" si="1834">C4321</f>
        <v>0.15</v>
      </c>
      <c r="K4321">
        <f t="shared" ref="K4321:K4351" si="1835">D4321</f>
        <v>0.11</v>
      </c>
      <c r="L4321">
        <f t="shared" ref="L4321:L4351" si="1836">AVERAGE(J4321:K4321)</f>
        <v>0.13</v>
      </c>
      <c r="M4321">
        <f t="shared" ref="M4321:M4351" si="1837">_xlfn.STDEV.P(J4321:K4321)</f>
        <v>1.9999999999999938E-2</v>
      </c>
      <c r="N4321">
        <f t="shared" si="1826"/>
        <v>3.9999999999999994E-2</v>
      </c>
      <c r="O4321">
        <f t="shared" ref="O4321:O4351" si="1838">E4321</f>
        <v>0.14000000000000001</v>
      </c>
      <c r="P4321">
        <f t="shared" ref="P4321:P4351" si="1839">(O4321-L4321)/M4321</f>
        <v>0.500000000000002</v>
      </c>
      <c r="Q4321" t="str">
        <f t="shared" si="1827"/>
        <v>7.14% | 21.43%</v>
      </c>
      <c r="R4321" t="str">
        <f t="shared" ref="R4321:R4351" si="1840">MID(B4321,FIND("(",B4321,1)+1,FIND(")",B4321,1)-FIND("(",B4321,1)-1)</f>
        <v>BEARISH</v>
      </c>
      <c r="S4321">
        <f t="shared" si="1828"/>
        <v>-1</v>
      </c>
    </row>
    <row r="4322" spans="1:19" hidden="1" x14ac:dyDescent="0.25">
      <c r="A4322" s="5" t="str">
        <f t="shared" si="1829"/>
        <v>44091SPX</v>
      </c>
      <c r="B4322" s="6" t="s">
        <v>211</v>
      </c>
      <c r="C4322" s="6">
        <v>3259</v>
      </c>
      <c r="D4322" s="6">
        <v>3425</v>
      </c>
      <c r="E4322" s="6">
        <v>3385</v>
      </c>
      <c r="F4322" t="str">
        <f t="shared" si="1830"/>
        <v>THU</v>
      </c>
      <c r="G4322" s="1">
        <f t="shared" si="1831"/>
        <v>44091</v>
      </c>
      <c r="H4322" s="2">
        <f t="shared" ca="1" si="1832"/>
        <v>162</v>
      </c>
      <c r="I4322" t="str">
        <f t="shared" si="1833"/>
        <v>SPX</v>
      </c>
      <c r="J4322">
        <f t="shared" si="1834"/>
        <v>3259</v>
      </c>
      <c r="K4322">
        <f t="shared" si="1835"/>
        <v>3425</v>
      </c>
      <c r="L4322">
        <f t="shared" si="1836"/>
        <v>3342</v>
      </c>
      <c r="M4322">
        <f t="shared" si="1837"/>
        <v>83</v>
      </c>
      <c r="N4322">
        <f t="shared" si="1826"/>
        <v>166</v>
      </c>
      <c r="O4322">
        <f t="shared" si="1838"/>
        <v>3385</v>
      </c>
      <c r="P4322">
        <f t="shared" si="1839"/>
        <v>0.51807228915662651</v>
      </c>
      <c r="Q4322" t="str">
        <f t="shared" si="1827"/>
        <v>3.72% | 1.18%</v>
      </c>
      <c r="R4322" t="str">
        <f t="shared" si="1840"/>
        <v>BEARISH</v>
      </c>
      <c r="S4322">
        <f t="shared" si="1828"/>
        <v>-1</v>
      </c>
    </row>
    <row r="4323" spans="1:19" hidden="1" x14ac:dyDescent="0.25">
      <c r="A4323" s="5" t="str">
        <f t="shared" si="1829"/>
        <v>44091RUT</v>
      </c>
      <c r="B4323" s="6" t="s">
        <v>164</v>
      </c>
      <c r="C4323" s="6">
        <v>1492</v>
      </c>
      <c r="D4323" s="6">
        <v>1562</v>
      </c>
      <c r="E4323" s="6">
        <v>1552</v>
      </c>
      <c r="F4323" t="str">
        <f t="shared" si="1830"/>
        <v>THU</v>
      </c>
      <c r="G4323" s="1">
        <f t="shared" si="1831"/>
        <v>44091</v>
      </c>
      <c r="H4323" s="2">
        <f t="shared" ca="1" si="1832"/>
        <v>162</v>
      </c>
      <c r="I4323" t="str">
        <f t="shared" si="1833"/>
        <v>RUT</v>
      </c>
      <c r="J4323">
        <f t="shared" si="1834"/>
        <v>1492</v>
      </c>
      <c r="K4323">
        <f t="shared" si="1835"/>
        <v>1562</v>
      </c>
      <c r="L4323">
        <f t="shared" si="1836"/>
        <v>1527</v>
      </c>
      <c r="M4323">
        <f t="shared" si="1837"/>
        <v>35</v>
      </c>
      <c r="N4323">
        <f t="shared" si="1826"/>
        <v>70</v>
      </c>
      <c r="O4323">
        <f t="shared" si="1838"/>
        <v>1552</v>
      </c>
      <c r="P4323">
        <f t="shared" si="1839"/>
        <v>0.7142857142857143</v>
      </c>
      <c r="Q4323" t="str">
        <f t="shared" si="1827"/>
        <v>3.87% | 0.64%</v>
      </c>
      <c r="R4323" t="str">
        <f t="shared" si="1840"/>
        <v>BEARISH</v>
      </c>
      <c r="S4323">
        <f t="shared" si="1828"/>
        <v>-1</v>
      </c>
    </row>
    <row r="4324" spans="1:19" hidden="1" x14ac:dyDescent="0.25">
      <c r="A4324" s="5" t="str">
        <f t="shared" si="1829"/>
        <v>44091COMPQ</v>
      </c>
      <c r="B4324" s="6" t="s">
        <v>217</v>
      </c>
      <c r="C4324" s="6">
        <v>10571</v>
      </c>
      <c r="D4324" s="6">
        <v>11485</v>
      </c>
      <c r="E4324" s="6">
        <v>11050</v>
      </c>
      <c r="F4324" t="str">
        <f t="shared" si="1830"/>
        <v>THU</v>
      </c>
      <c r="G4324" s="1">
        <f t="shared" si="1831"/>
        <v>44091</v>
      </c>
      <c r="H4324" s="2">
        <f t="shared" ca="1" si="1832"/>
        <v>162</v>
      </c>
      <c r="I4324" t="str">
        <f t="shared" si="1833"/>
        <v>COMPQ</v>
      </c>
      <c r="J4324">
        <f t="shared" si="1834"/>
        <v>10571</v>
      </c>
      <c r="K4324">
        <f t="shared" si="1835"/>
        <v>11485</v>
      </c>
      <c r="L4324">
        <f t="shared" si="1836"/>
        <v>11028</v>
      </c>
      <c r="M4324">
        <f t="shared" si="1837"/>
        <v>457</v>
      </c>
      <c r="N4324">
        <f t="shared" si="1826"/>
        <v>914</v>
      </c>
      <c r="O4324">
        <f t="shared" si="1838"/>
        <v>11050</v>
      </c>
      <c r="P4324">
        <f t="shared" si="1839"/>
        <v>4.8140043763676151E-2</v>
      </c>
      <c r="Q4324" t="str">
        <f t="shared" si="1827"/>
        <v>4.33% | 3.94%</v>
      </c>
      <c r="R4324" t="str">
        <f t="shared" si="1840"/>
        <v>BEARISH</v>
      </c>
      <c r="S4324">
        <f t="shared" si="1828"/>
        <v>-1</v>
      </c>
    </row>
    <row r="4325" spans="1:19" hidden="1" x14ac:dyDescent="0.25">
      <c r="A4325" s="5" t="str">
        <f t="shared" si="1829"/>
        <v>44091XLK</v>
      </c>
      <c r="B4325" s="6" t="s">
        <v>218</v>
      </c>
      <c r="C4325" s="6">
        <v>109.01</v>
      </c>
      <c r="D4325" s="6">
        <v>118.8</v>
      </c>
      <c r="E4325" s="6">
        <v>114.67</v>
      </c>
      <c r="F4325" t="str">
        <f t="shared" si="1830"/>
        <v>THU</v>
      </c>
      <c r="G4325" s="1">
        <f t="shared" si="1831"/>
        <v>44091</v>
      </c>
      <c r="H4325" s="2">
        <f t="shared" ca="1" si="1832"/>
        <v>162</v>
      </c>
      <c r="I4325" t="str">
        <f t="shared" si="1833"/>
        <v>XLK</v>
      </c>
      <c r="J4325">
        <f t="shared" si="1834"/>
        <v>109.01</v>
      </c>
      <c r="K4325">
        <f t="shared" si="1835"/>
        <v>118.8</v>
      </c>
      <c r="L4325">
        <f t="shared" si="1836"/>
        <v>113.905</v>
      </c>
      <c r="M4325">
        <f t="shared" si="1837"/>
        <v>4.894999999999996</v>
      </c>
      <c r="N4325">
        <f t="shared" si="1826"/>
        <v>9.789999999999992</v>
      </c>
      <c r="O4325">
        <f t="shared" si="1838"/>
        <v>114.67</v>
      </c>
      <c r="P4325">
        <f t="shared" si="1839"/>
        <v>0.15628192032686439</v>
      </c>
      <c r="Q4325" t="str">
        <f t="shared" si="1827"/>
        <v>4.94% | 3.6%</v>
      </c>
      <c r="R4325" t="str">
        <f t="shared" si="1840"/>
        <v>BEARISH</v>
      </c>
      <c r="S4325">
        <f t="shared" si="1828"/>
        <v>-1</v>
      </c>
    </row>
    <row r="4326" spans="1:19" hidden="1" x14ac:dyDescent="0.25">
      <c r="A4326" s="5" t="str">
        <f t="shared" si="1829"/>
        <v>44091XLRE</v>
      </c>
      <c r="B4326" s="6" t="s">
        <v>167</v>
      </c>
      <c r="C4326" s="6">
        <v>35.340000000000003</v>
      </c>
      <c r="D4326" s="6">
        <v>37.47</v>
      </c>
      <c r="E4326" s="6">
        <v>37.14</v>
      </c>
      <c r="F4326" t="str">
        <f t="shared" si="1830"/>
        <v>THU</v>
      </c>
      <c r="G4326" s="1">
        <f t="shared" si="1831"/>
        <v>44091</v>
      </c>
      <c r="H4326" s="2">
        <f t="shared" ca="1" si="1832"/>
        <v>162</v>
      </c>
      <c r="I4326" t="str">
        <f t="shared" si="1833"/>
        <v>XLRE</v>
      </c>
      <c r="J4326">
        <f t="shared" si="1834"/>
        <v>35.340000000000003</v>
      </c>
      <c r="K4326">
        <f t="shared" si="1835"/>
        <v>37.47</v>
      </c>
      <c r="L4326">
        <f t="shared" si="1836"/>
        <v>36.405000000000001</v>
      </c>
      <c r="M4326">
        <f t="shared" si="1837"/>
        <v>1.0649999999999977</v>
      </c>
      <c r="N4326">
        <f t="shared" si="1826"/>
        <v>2.1299999999999955</v>
      </c>
      <c r="O4326">
        <f t="shared" si="1838"/>
        <v>37.14</v>
      </c>
      <c r="P4326">
        <f t="shared" si="1839"/>
        <v>0.6901408450704235</v>
      </c>
      <c r="Q4326" t="str">
        <f t="shared" si="1827"/>
        <v>4.85% | 0.89%</v>
      </c>
      <c r="R4326" t="str">
        <f t="shared" si="1840"/>
        <v>BULLISH</v>
      </c>
      <c r="S4326">
        <f t="shared" si="1828"/>
        <v>1</v>
      </c>
    </row>
    <row r="4327" spans="1:19" hidden="1" x14ac:dyDescent="0.25">
      <c r="A4327" s="5" t="str">
        <f t="shared" si="1829"/>
        <v>44091XLU</v>
      </c>
      <c r="B4327" s="6" t="s">
        <v>168</v>
      </c>
      <c r="C4327" s="6">
        <v>58.27</v>
      </c>
      <c r="D4327" s="6">
        <v>60.65</v>
      </c>
      <c r="E4327" s="6">
        <v>60.06</v>
      </c>
      <c r="F4327" t="str">
        <f t="shared" si="1830"/>
        <v>THU</v>
      </c>
      <c r="G4327" s="1">
        <f t="shared" si="1831"/>
        <v>44091</v>
      </c>
      <c r="H4327" s="2">
        <f t="shared" ca="1" si="1832"/>
        <v>162</v>
      </c>
      <c r="I4327" t="str">
        <f t="shared" si="1833"/>
        <v>XLU</v>
      </c>
      <c r="J4327">
        <f t="shared" si="1834"/>
        <v>58.27</v>
      </c>
      <c r="K4327">
        <f t="shared" si="1835"/>
        <v>60.65</v>
      </c>
      <c r="L4327">
        <f t="shared" si="1836"/>
        <v>59.46</v>
      </c>
      <c r="M4327">
        <f t="shared" si="1837"/>
        <v>1.1899999999999977</v>
      </c>
      <c r="N4327">
        <f t="shared" si="1826"/>
        <v>2.3799999999999955</v>
      </c>
      <c r="O4327">
        <f t="shared" si="1838"/>
        <v>60.06</v>
      </c>
      <c r="P4327">
        <f t="shared" si="1839"/>
        <v>0.50420168067227111</v>
      </c>
      <c r="Q4327" t="str">
        <f t="shared" si="1827"/>
        <v>2.98% | 0.98%</v>
      </c>
      <c r="R4327" t="str">
        <f t="shared" si="1840"/>
        <v>BULLISH</v>
      </c>
      <c r="S4327">
        <f t="shared" si="1828"/>
        <v>1</v>
      </c>
    </row>
    <row r="4328" spans="1:19" hidden="1" x14ac:dyDescent="0.25">
      <c r="A4328" s="5" t="str">
        <f t="shared" si="1829"/>
        <v>44091XLF</v>
      </c>
      <c r="B4328" s="6" t="s">
        <v>169</v>
      </c>
      <c r="C4328" s="6">
        <v>24.26</v>
      </c>
      <c r="D4328" s="6">
        <v>25.45</v>
      </c>
      <c r="E4328" s="6">
        <v>24.99</v>
      </c>
      <c r="F4328" t="str">
        <f t="shared" si="1830"/>
        <v>THU</v>
      </c>
      <c r="G4328" s="1">
        <f t="shared" si="1831"/>
        <v>44091</v>
      </c>
      <c r="H4328" s="2">
        <f t="shared" ca="1" si="1832"/>
        <v>162</v>
      </c>
      <c r="I4328" t="str">
        <f t="shared" si="1833"/>
        <v>XLF</v>
      </c>
      <c r="J4328">
        <f t="shared" si="1834"/>
        <v>24.26</v>
      </c>
      <c r="K4328">
        <f t="shared" si="1835"/>
        <v>25.45</v>
      </c>
      <c r="L4328">
        <f t="shared" si="1836"/>
        <v>24.855</v>
      </c>
      <c r="M4328">
        <f t="shared" si="1837"/>
        <v>0.59499999999999886</v>
      </c>
      <c r="N4328">
        <f t="shared" si="1826"/>
        <v>1.1899999999999977</v>
      </c>
      <c r="O4328">
        <f t="shared" si="1838"/>
        <v>24.99</v>
      </c>
      <c r="P4328">
        <f t="shared" si="1839"/>
        <v>0.22689075630251809</v>
      </c>
      <c r="Q4328" t="str">
        <f t="shared" si="1827"/>
        <v>2.92% | 1.84%</v>
      </c>
      <c r="R4328" t="str">
        <f t="shared" si="1840"/>
        <v>BEARISH</v>
      </c>
      <c r="S4328">
        <f t="shared" si="1828"/>
        <v>-1</v>
      </c>
    </row>
    <row r="4329" spans="1:19" hidden="1" x14ac:dyDescent="0.25">
      <c r="A4329" s="5" t="str">
        <f t="shared" si="1829"/>
        <v>44091SSEC</v>
      </c>
      <c r="B4329" s="6" t="s">
        <v>170</v>
      </c>
      <c r="C4329" s="6">
        <v>3207</v>
      </c>
      <c r="D4329" s="6">
        <v>3370</v>
      </c>
      <c r="E4329" s="6">
        <v>3270</v>
      </c>
      <c r="F4329" t="str">
        <f t="shared" si="1830"/>
        <v>THU</v>
      </c>
      <c r="G4329" s="1">
        <f t="shared" si="1831"/>
        <v>44091</v>
      </c>
      <c r="H4329" s="2">
        <f t="shared" ca="1" si="1832"/>
        <v>162</v>
      </c>
      <c r="I4329" t="str">
        <f t="shared" si="1833"/>
        <v>SSEC</v>
      </c>
      <c r="J4329">
        <f t="shared" si="1834"/>
        <v>3207</v>
      </c>
      <c r="K4329">
        <f t="shared" si="1835"/>
        <v>3370</v>
      </c>
      <c r="L4329">
        <f t="shared" si="1836"/>
        <v>3288.5</v>
      </c>
      <c r="M4329">
        <f t="shared" si="1837"/>
        <v>81.5</v>
      </c>
      <c r="N4329">
        <f t="shared" si="1826"/>
        <v>163</v>
      </c>
      <c r="O4329">
        <f t="shared" si="1838"/>
        <v>3270</v>
      </c>
      <c r="P4329">
        <f t="shared" si="1839"/>
        <v>-0.22699386503067484</v>
      </c>
      <c r="Q4329" t="str">
        <f t="shared" si="1827"/>
        <v>1.93% | 3.06%</v>
      </c>
      <c r="R4329" t="str">
        <f t="shared" si="1840"/>
        <v>BULLISH</v>
      </c>
      <c r="S4329">
        <f t="shared" si="1828"/>
        <v>1</v>
      </c>
    </row>
    <row r="4330" spans="1:19" hidden="1" x14ac:dyDescent="0.25">
      <c r="A4330" s="5" t="str">
        <f t="shared" si="1829"/>
        <v>44091NIKK</v>
      </c>
      <c r="B4330" s="6" t="s">
        <v>201</v>
      </c>
      <c r="C4330" s="6">
        <v>22902</v>
      </c>
      <c r="D4330" s="6">
        <v>23655</v>
      </c>
      <c r="E4330" s="6">
        <v>23319</v>
      </c>
      <c r="F4330" t="str">
        <f t="shared" si="1830"/>
        <v>THU</v>
      </c>
      <c r="G4330" s="1">
        <f t="shared" si="1831"/>
        <v>44091</v>
      </c>
      <c r="H4330" s="2">
        <f t="shared" ca="1" si="1832"/>
        <v>162</v>
      </c>
      <c r="I4330" t="str">
        <f t="shared" si="1833"/>
        <v>NIKK</v>
      </c>
      <c r="J4330">
        <f t="shared" si="1834"/>
        <v>22902</v>
      </c>
      <c r="K4330">
        <f t="shared" si="1835"/>
        <v>23655</v>
      </c>
      <c r="L4330">
        <f t="shared" si="1836"/>
        <v>23278.5</v>
      </c>
      <c r="M4330">
        <f t="shared" si="1837"/>
        <v>376.5</v>
      </c>
      <c r="N4330">
        <f t="shared" si="1826"/>
        <v>753</v>
      </c>
      <c r="O4330">
        <f t="shared" si="1838"/>
        <v>23319</v>
      </c>
      <c r="P4330">
        <f t="shared" si="1839"/>
        <v>0.10756972111553785</v>
      </c>
      <c r="Q4330" t="str">
        <f t="shared" si="1827"/>
        <v>1.79% | 1.44%</v>
      </c>
      <c r="R4330" t="str">
        <f t="shared" si="1840"/>
        <v>BULLISH</v>
      </c>
      <c r="S4330">
        <f t="shared" si="1828"/>
        <v>1</v>
      </c>
    </row>
    <row r="4331" spans="1:19" hidden="1" x14ac:dyDescent="0.25">
      <c r="A4331" s="5" t="str">
        <f t="shared" si="1829"/>
        <v>44091DAX</v>
      </c>
      <c r="B4331" s="6" t="s">
        <v>172</v>
      </c>
      <c r="C4331" s="6">
        <v>12809</v>
      </c>
      <c r="D4331" s="6">
        <v>13351</v>
      </c>
      <c r="E4331" s="6">
        <v>13255</v>
      </c>
      <c r="F4331" t="str">
        <f t="shared" si="1830"/>
        <v>THU</v>
      </c>
      <c r="G4331" s="1">
        <f t="shared" si="1831"/>
        <v>44091</v>
      </c>
      <c r="H4331" s="2">
        <f t="shared" ca="1" si="1832"/>
        <v>162</v>
      </c>
      <c r="I4331" t="str">
        <f t="shared" si="1833"/>
        <v>DAX</v>
      </c>
      <c r="J4331">
        <f t="shared" si="1834"/>
        <v>12809</v>
      </c>
      <c r="K4331">
        <f t="shared" si="1835"/>
        <v>13351</v>
      </c>
      <c r="L4331">
        <f t="shared" si="1836"/>
        <v>13080</v>
      </c>
      <c r="M4331">
        <f t="shared" si="1837"/>
        <v>271</v>
      </c>
      <c r="N4331">
        <f t="shared" si="1826"/>
        <v>542</v>
      </c>
      <c r="O4331">
        <f t="shared" si="1838"/>
        <v>13255</v>
      </c>
      <c r="P4331">
        <f t="shared" si="1839"/>
        <v>0.64575645756457567</v>
      </c>
      <c r="Q4331" t="str">
        <f t="shared" si="1827"/>
        <v>3.36% | 0.72%</v>
      </c>
      <c r="R4331" t="str">
        <f t="shared" si="1840"/>
        <v>BULLISH</v>
      </c>
      <c r="S4331">
        <f t="shared" si="1828"/>
        <v>1</v>
      </c>
    </row>
    <row r="4332" spans="1:19" hidden="1" x14ac:dyDescent="0.25">
      <c r="A4332" s="5" t="str">
        <f t="shared" si="1829"/>
        <v>44091VIX</v>
      </c>
      <c r="B4332" s="6" t="s">
        <v>202</v>
      </c>
      <c r="C4332" s="6">
        <v>25.45</v>
      </c>
      <c r="D4332" s="6">
        <v>34.130000000000003</v>
      </c>
      <c r="E4332" s="6">
        <v>26.04</v>
      </c>
      <c r="F4332" t="str">
        <f t="shared" si="1830"/>
        <v>THU</v>
      </c>
      <c r="G4332" s="1">
        <f t="shared" si="1831"/>
        <v>44091</v>
      </c>
      <c r="H4332" s="2">
        <f t="shared" ca="1" si="1832"/>
        <v>162</v>
      </c>
      <c r="I4332" t="str">
        <f t="shared" si="1833"/>
        <v>VIX</v>
      </c>
      <c r="J4332">
        <f t="shared" si="1834"/>
        <v>25.45</v>
      </c>
      <c r="K4332">
        <f t="shared" si="1835"/>
        <v>34.130000000000003</v>
      </c>
      <c r="L4332">
        <f t="shared" si="1836"/>
        <v>29.79</v>
      </c>
      <c r="M4332">
        <f t="shared" si="1837"/>
        <v>4.3400000000000132</v>
      </c>
      <c r="N4332">
        <f t="shared" si="1826"/>
        <v>8.6800000000000033</v>
      </c>
      <c r="O4332">
        <f t="shared" si="1838"/>
        <v>26.04</v>
      </c>
      <c r="P4332">
        <f t="shared" si="1839"/>
        <v>-0.86405529953916793</v>
      </c>
      <c r="Q4332" t="str">
        <f t="shared" si="1827"/>
        <v>2.27% | 31.07%</v>
      </c>
      <c r="R4332" t="str">
        <f t="shared" si="1840"/>
        <v>BULLISH</v>
      </c>
      <c r="S4332">
        <f t="shared" si="1828"/>
        <v>1</v>
      </c>
    </row>
    <row r="4333" spans="1:19" hidden="1" x14ac:dyDescent="0.25">
      <c r="A4333" s="5" t="str">
        <f t="shared" si="1829"/>
        <v>44091USD</v>
      </c>
      <c r="B4333" s="6" t="s">
        <v>174</v>
      </c>
      <c r="C4333" s="6">
        <v>92.5</v>
      </c>
      <c r="D4333" s="6">
        <v>93.81</v>
      </c>
      <c r="E4333" s="6">
        <v>93.23</v>
      </c>
      <c r="F4333" t="str">
        <f t="shared" si="1830"/>
        <v>THU</v>
      </c>
      <c r="G4333" s="1">
        <f t="shared" si="1831"/>
        <v>44091</v>
      </c>
      <c r="H4333" s="2">
        <f t="shared" ca="1" si="1832"/>
        <v>162</v>
      </c>
      <c r="I4333" t="str">
        <f t="shared" si="1833"/>
        <v>USD</v>
      </c>
      <c r="J4333">
        <f t="shared" si="1834"/>
        <v>92.5</v>
      </c>
      <c r="K4333">
        <f t="shared" si="1835"/>
        <v>93.81</v>
      </c>
      <c r="L4333">
        <f t="shared" si="1836"/>
        <v>93.155000000000001</v>
      </c>
      <c r="M4333">
        <f t="shared" si="1837"/>
        <v>0.65500000000000114</v>
      </c>
      <c r="N4333">
        <f t="shared" si="1826"/>
        <v>1.3100000000000023</v>
      </c>
      <c r="O4333">
        <f t="shared" si="1838"/>
        <v>93.23</v>
      </c>
      <c r="P4333">
        <f t="shared" si="1839"/>
        <v>0.11450381679389728</v>
      </c>
      <c r="Q4333" t="str">
        <f t="shared" si="1827"/>
        <v>0.78% | 0.62%</v>
      </c>
      <c r="R4333" t="str">
        <f t="shared" si="1840"/>
        <v>BEARISH</v>
      </c>
      <c r="S4333">
        <f t="shared" si="1828"/>
        <v>-1</v>
      </c>
    </row>
    <row r="4334" spans="1:19" hidden="1" x14ac:dyDescent="0.25">
      <c r="A4334" s="5" t="str">
        <f t="shared" si="1829"/>
        <v>44091EUR/USD</v>
      </c>
      <c r="B4334" s="6" t="s">
        <v>175</v>
      </c>
      <c r="C4334" s="6">
        <v>1.17</v>
      </c>
      <c r="D4334" s="6">
        <v>1.19</v>
      </c>
      <c r="E4334" s="6">
        <v>1.18</v>
      </c>
      <c r="F4334" t="str">
        <f t="shared" si="1830"/>
        <v>THU</v>
      </c>
      <c r="G4334" s="1">
        <f t="shared" si="1831"/>
        <v>44091</v>
      </c>
      <c r="H4334" s="2">
        <f t="shared" ca="1" si="1832"/>
        <v>162</v>
      </c>
      <c r="I4334" t="str">
        <f t="shared" si="1833"/>
        <v>EUR/USD</v>
      </c>
      <c r="J4334">
        <f t="shared" si="1834"/>
        <v>1.17</v>
      </c>
      <c r="K4334">
        <f t="shared" si="1835"/>
        <v>1.19</v>
      </c>
      <c r="L4334">
        <f t="shared" si="1836"/>
        <v>1.18</v>
      </c>
      <c r="M4334">
        <f t="shared" si="1837"/>
        <v>1.0000000000000009E-2</v>
      </c>
      <c r="N4334">
        <f t="shared" si="1826"/>
        <v>2.0000000000000018E-2</v>
      </c>
      <c r="O4334">
        <f t="shared" si="1838"/>
        <v>1.18</v>
      </c>
      <c r="P4334">
        <f t="shared" si="1839"/>
        <v>0</v>
      </c>
      <c r="Q4334" t="str">
        <f t="shared" si="1827"/>
        <v>0.85% | 0.85%</v>
      </c>
      <c r="R4334" t="str">
        <f t="shared" si="1840"/>
        <v>BULLISH</v>
      </c>
      <c r="S4334">
        <f t="shared" si="1828"/>
        <v>1</v>
      </c>
    </row>
    <row r="4335" spans="1:19" hidden="1" x14ac:dyDescent="0.25">
      <c r="A4335" s="5" t="str">
        <f t="shared" si="1829"/>
        <v>44091USD/JPY</v>
      </c>
      <c r="B4335" s="6" t="s">
        <v>176</v>
      </c>
      <c r="C4335" s="6">
        <v>104.8</v>
      </c>
      <c r="D4335" s="6">
        <v>106.51</v>
      </c>
      <c r="E4335" s="6">
        <v>105.03</v>
      </c>
      <c r="F4335" t="str">
        <f t="shared" si="1830"/>
        <v>THU</v>
      </c>
      <c r="G4335" s="1">
        <f t="shared" si="1831"/>
        <v>44091</v>
      </c>
      <c r="H4335" s="2">
        <f t="shared" ca="1" si="1832"/>
        <v>162</v>
      </c>
      <c r="I4335" t="str">
        <f t="shared" si="1833"/>
        <v>USD/JPY</v>
      </c>
      <c r="J4335">
        <f t="shared" si="1834"/>
        <v>104.8</v>
      </c>
      <c r="K4335">
        <f t="shared" si="1835"/>
        <v>106.51</v>
      </c>
      <c r="L4335">
        <f t="shared" si="1836"/>
        <v>105.655</v>
      </c>
      <c r="M4335">
        <f t="shared" si="1837"/>
        <v>0.85500000000000398</v>
      </c>
      <c r="N4335">
        <f t="shared" si="1826"/>
        <v>1.710000000000008</v>
      </c>
      <c r="O4335">
        <f t="shared" si="1838"/>
        <v>105.03</v>
      </c>
      <c r="P4335">
        <f t="shared" si="1839"/>
        <v>-0.7309941520467802</v>
      </c>
      <c r="Q4335" t="str">
        <f t="shared" si="1827"/>
        <v>0.22% | 1.41%</v>
      </c>
      <c r="R4335" t="str">
        <f t="shared" si="1840"/>
        <v>BEARISH</v>
      </c>
      <c r="S4335">
        <f t="shared" si="1828"/>
        <v>-1</v>
      </c>
    </row>
    <row r="4336" spans="1:19" hidden="1" x14ac:dyDescent="0.25">
      <c r="A4336" s="5" t="str">
        <f t="shared" si="1829"/>
        <v>44091GBP/USD</v>
      </c>
      <c r="B4336" s="6" t="s">
        <v>214</v>
      </c>
      <c r="C4336" s="6">
        <v>1.26</v>
      </c>
      <c r="D4336" s="6">
        <v>1.3</v>
      </c>
      <c r="E4336" s="6">
        <v>1.3</v>
      </c>
      <c r="F4336" t="str">
        <f t="shared" si="1830"/>
        <v>THU</v>
      </c>
      <c r="G4336" s="1">
        <f t="shared" si="1831"/>
        <v>44091</v>
      </c>
      <c r="H4336" s="2">
        <f t="shared" ca="1" si="1832"/>
        <v>162</v>
      </c>
      <c r="I4336" t="str">
        <f t="shared" si="1833"/>
        <v>GBP/USD</v>
      </c>
      <c r="J4336">
        <f t="shared" si="1834"/>
        <v>1.26</v>
      </c>
      <c r="K4336">
        <f t="shared" si="1835"/>
        <v>1.3</v>
      </c>
      <c r="L4336">
        <f t="shared" si="1836"/>
        <v>1.28</v>
      </c>
      <c r="M4336">
        <f t="shared" si="1837"/>
        <v>2.0000000000000018E-2</v>
      </c>
      <c r="N4336">
        <f t="shared" si="1826"/>
        <v>4.0000000000000036E-2</v>
      </c>
      <c r="O4336">
        <f t="shared" si="1838"/>
        <v>1.3</v>
      </c>
      <c r="P4336">
        <f t="shared" si="1839"/>
        <v>1</v>
      </c>
      <c r="Q4336" t="str">
        <f t="shared" si="1827"/>
        <v>3.08% | 0%</v>
      </c>
      <c r="R4336" t="str">
        <f t="shared" si="1840"/>
        <v>NEUTRAL</v>
      </c>
      <c r="S4336">
        <f t="shared" si="1828"/>
        <v>0</v>
      </c>
    </row>
    <row r="4337" spans="1:19" hidden="1" x14ac:dyDescent="0.25">
      <c r="A4337" s="5" t="str">
        <f t="shared" si="1829"/>
        <v>44091USD/CHF</v>
      </c>
      <c r="B4337" s="6" t="s">
        <v>178</v>
      </c>
      <c r="C4337" s="6">
        <v>0.89</v>
      </c>
      <c r="D4337" s="6">
        <v>0.91</v>
      </c>
      <c r="E4337" s="6">
        <v>0.91</v>
      </c>
      <c r="F4337" t="str">
        <f t="shared" si="1830"/>
        <v>THU</v>
      </c>
      <c r="G4337" s="1">
        <f t="shared" si="1831"/>
        <v>44091</v>
      </c>
      <c r="H4337" s="2">
        <f t="shared" ca="1" si="1832"/>
        <v>162</v>
      </c>
      <c r="I4337" t="str">
        <f t="shared" si="1833"/>
        <v>USD/CHF</v>
      </c>
      <c r="J4337">
        <f t="shared" si="1834"/>
        <v>0.89</v>
      </c>
      <c r="K4337">
        <f t="shared" si="1835"/>
        <v>0.91</v>
      </c>
      <c r="L4337">
        <f t="shared" si="1836"/>
        <v>0.9</v>
      </c>
      <c r="M4337">
        <f t="shared" si="1837"/>
        <v>1.0000000000000009E-2</v>
      </c>
      <c r="N4337">
        <f t="shared" si="1826"/>
        <v>2.0000000000000018E-2</v>
      </c>
      <c r="O4337">
        <f t="shared" si="1838"/>
        <v>0.91</v>
      </c>
      <c r="P4337">
        <f t="shared" si="1839"/>
        <v>1</v>
      </c>
      <c r="Q4337" t="str">
        <f t="shared" si="1827"/>
        <v>2.2% | 0%</v>
      </c>
      <c r="R4337" t="str">
        <f t="shared" si="1840"/>
        <v>BEARISH</v>
      </c>
      <c r="S4337">
        <f t="shared" si="1828"/>
        <v>-1</v>
      </c>
    </row>
    <row r="4338" spans="1:19" hidden="1" x14ac:dyDescent="0.25">
      <c r="A4338" s="5" t="str">
        <f t="shared" si="1829"/>
        <v>44091WTIC</v>
      </c>
      <c r="B4338" s="6" t="s">
        <v>215</v>
      </c>
      <c r="C4338" s="6">
        <v>35.28</v>
      </c>
      <c r="D4338" s="6">
        <v>40.4</v>
      </c>
      <c r="E4338" s="6">
        <v>40.159999999999997</v>
      </c>
      <c r="F4338" t="str">
        <f t="shared" si="1830"/>
        <v>THU</v>
      </c>
      <c r="G4338" s="1">
        <f t="shared" si="1831"/>
        <v>44091</v>
      </c>
      <c r="H4338" s="2">
        <f t="shared" ca="1" si="1832"/>
        <v>162</v>
      </c>
      <c r="I4338" t="str">
        <f t="shared" si="1833"/>
        <v>WTIC</v>
      </c>
      <c r="J4338">
        <f t="shared" si="1834"/>
        <v>35.28</v>
      </c>
      <c r="K4338">
        <f t="shared" si="1835"/>
        <v>40.4</v>
      </c>
      <c r="L4338">
        <f t="shared" si="1836"/>
        <v>37.840000000000003</v>
      </c>
      <c r="M4338">
        <f t="shared" si="1837"/>
        <v>2.5599999999999987</v>
      </c>
      <c r="N4338">
        <f t="shared" si="1826"/>
        <v>5.1199999999999974</v>
      </c>
      <c r="O4338">
        <f t="shared" si="1838"/>
        <v>40.159999999999997</v>
      </c>
      <c r="P4338">
        <f t="shared" si="1839"/>
        <v>0.90624999999999778</v>
      </c>
      <c r="Q4338" t="str">
        <f t="shared" si="1827"/>
        <v>12.15% | 0.6%</v>
      </c>
      <c r="R4338" t="str">
        <f t="shared" si="1840"/>
        <v>BEARISH</v>
      </c>
      <c r="S4338">
        <f t="shared" si="1828"/>
        <v>-1</v>
      </c>
    </row>
    <row r="4339" spans="1:19" hidden="1" x14ac:dyDescent="0.25">
      <c r="A4339" s="5" t="str">
        <f t="shared" si="1829"/>
        <v>44091NATGAS</v>
      </c>
      <c r="B4339" s="6" t="s">
        <v>180</v>
      </c>
      <c r="C4339" s="6">
        <v>2.19</v>
      </c>
      <c r="D4339" s="6">
        <v>2.6</v>
      </c>
      <c r="E4339" s="6">
        <v>2.27</v>
      </c>
      <c r="F4339" t="str">
        <f t="shared" si="1830"/>
        <v>THU</v>
      </c>
      <c r="G4339" s="1">
        <f t="shared" si="1831"/>
        <v>44091</v>
      </c>
      <c r="H4339" s="2">
        <f t="shared" ca="1" si="1832"/>
        <v>162</v>
      </c>
      <c r="I4339" t="str">
        <f t="shared" si="1833"/>
        <v>NATGAS</v>
      </c>
      <c r="J4339">
        <f t="shared" si="1834"/>
        <v>2.19</v>
      </c>
      <c r="K4339">
        <f t="shared" si="1835"/>
        <v>2.6</v>
      </c>
      <c r="L4339">
        <f t="shared" si="1836"/>
        <v>2.395</v>
      </c>
      <c r="M4339">
        <f t="shared" si="1837"/>
        <v>0.20500000000000007</v>
      </c>
      <c r="N4339">
        <f t="shared" si="1826"/>
        <v>0.41000000000000014</v>
      </c>
      <c r="O4339">
        <f t="shared" si="1838"/>
        <v>2.27</v>
      </c>
      <c r="P4339">
        <f t="shared" si="1839"/>
        <v>-0.60975609756097537</v>
      </c>
      <c r="Q4339" t="str">
        <f t="shared" si="1827"/>
        <v>3.52% | 14.54%</v>
      </c>
      <c r="R4339" t="str">
        <f t="shared" si="1840"/>
        <v>BULLISH</v>
      </c>
      <c r="S4339">
        <f t="shared" si="1828"/>
        <v>1</v>
      </c>
    </row>
    <row r="4340" spans="1:19" hidden="1" x14ac:dyDescent="0.25">
      <c r="A4340" s="5" t="str">
        <f t="shared" si="1829"/>
        <v>44091GOLD</v>
      </c>
      <c r="B4340" s="6" t="s">
        <v>181</v>
      </c>
      <c r="C4340" s="6">
        <v>1927</v>
      </c>
      <c r="D4340" s="6">
        <v>1981</v>
      </c>
      <c r="E4340" s="6">
        <v>1970</v>
      </c>
      <c r="F4340" t="str">
        <f t="shared" si="1830"/>
        <v>THU</v>
      </c>
      <c r="G4340" s="1">
        <f t="shared" si="1831"/>
        <v>44091</v>
      </c>
      <c r="H4340" s="2">
        <f t="shared" ca="1" si="1832"/>
        <v>162</v>
      </c>
      <c r="I4340" t="str">
        <f t="shared" si="1833"/>
        <v>GOLD</v>
      </c>
      <c r="J4340">
        <f t="shared" si="1834"/>
        <v>1927</v>
      </c>
      <c r="K4340">
        <f t="shared" si="1835"/>
        <v>1981</v>
      </c>
      <c r="L4340">
        <f t="shared" si="1836"/>
        <v>1954</v>
      </c>
      <c r="M4340">
        <f t="shared" si="1837"/>
        <v>27</v>
      </c>
      <c r="N4340">
        <f t="shared" si="1826"/>
        <v>54</v>
      </c>
      <c r="O4340">
        <f t="shared" si="1838"/>
        <v>1970</v>
      </c>
      <c r="P4340">
        <f t="shared" si="1839"/>
        <v>0.59259259259259256</v>
      </c>
      <c r="Q4340" t="str">
        <f t="shared" si="1827"/>
        <v>2.18% | 0.56%</v>
      </c>
      <c r="R4340" t="str">
        <f t="shared" si="1840"/>
        <v>BULLISH</v>
      </c>
      <c r="S4340">
        <f t="shared" si="1828"/>
        <v>1</v>
      </c>
    </row>
    <row r="4341" spans="1:19" hidden="1" x14ac:dyDescent="0.25">
      <c r="A4341" s="5" t="str">
        <f t="shared" si="1829"/>
        <v>44091SILVER</v>
      </c>
      <c r="B4341" s="6" t="s">
        <v>199</v>
      </c>
      <c r="C4341" s="6">
        <v>26.19</v>
      </c>
      <c r="D4341" s="6">
        <v>27.96</v>
      </c>
      <c r="E4341" s="6">
        <v>27.48</v>
      </c>
      <c r="F4341" t="str">
        <f t="shared" si="1830"/>
        <v>THU</v>
      </c>
      <c r="G4341" s="1">
        <f t="shared" si="1831"/>
        <v>44091</v>
      </c>
      <c r="H4341" s="2">
        <f t="shared" ca="1" si="1832"/>
        <v>162</v>
      </c>
      <c r="I4341" t="str">
        <f t="shared" si="1833"/>
        <v>SILVER</v>
      </c>
      <c r="J4341">
        <f t="shared" si="1834"/>
        <v>26.19</v>
      </c>
      <c r="K4341">
        <f t="shared" si="1835"/>
        <v>27.96</v>
      </c>
      <c r="L4341">
        <f t="shared" si="1836"/>
        <v>27.075000000000003</v>
      </c>
      <c r="M4341">
        <f t="shared" si="1837"/>
        <v>0.88499999999999979</v>
      </c>
      <c r="N4341">
        <f t="shared" si="1826"/>
        <v>1.7699999999999996</v>
      </c>
      <c r="O4341">
        <f t="shared" si="1838"/>
        <v>27.48</v>
      </c>
      <c r="P4341">
        <f t="shared" si="1839"/>
        <v>0.45762711864406519</v>
      </c>
      <c r="Q4341" t="str">
        <f t="shared" si="1827"/>
        <v>4.69% | 1.75%</v>
      </c>
      <c r="R4341" t="str">
        <f t="shared" si="1840"/>
        <v>BULLISH</v>
      </c>
      <c r="S4341">
        <f t="shared" si="1828"/>
        <v>1</v>
      </c>
    </row>
    <row r="4342" spans="1:19" hidden="1" x14ac:dyDescent="0.25">
      <c r="A4342" s="5" t="str">
        <f t="shared" si="1829"/>
        <v>44091COPPER</v>
      </c>
      <c r="B4342" s="6" t="s">
        <v>182</v>
      </c>
      <c r="C4342" s="6">
        <v>2.96</v>
      </c>
      <c r="D4342" s="6">
        <v>3.08</v>
      </c>
      <c r="E4342" s="6">
        <v>3.06</v>
      </c>
      <c r="F4342" t="str">
        <f t="shared" si="1830"/>
        <v>THU</v>
      </c>
      <c r="G4342" s="1">
        <f t="shared" si="1831"/>
        <v>44091</v>
      </c>
      <c r="H4342" s="2">
        <f t="shared" ca="1" si="1832"/>
        <v>162</v>
      </c>
      <c r="I4342" t="str">
        <f t="shared" si="1833"/>
        <v>COPPER</v>
      </c>
      <c r="J4342">
        <f t="shared" si="1834"/>
        <v>2.96</v>
      </c>
      <c r="K4342">
        <f t="shared" si="1835"/>
        <v>3.08</v>
      </c>
      <c r="L4342">
        <f t="shared" si="1836"/>
        <v>3.02</v>
      </c>
      <c r="M4342">
        <f t="shared" si="1837"/>
        <v>6.0000000000000053E-2</v>
      </c>
      <c r="N4342">
        <f t="shared" si="1826"/>
        <v>0.12000000000000011</v>
      </c>
      <c r="O4342">
        <f t="shared" si="1838"/>
        <v>3.06</v>
      </c>
      <c r="P4342">
        <f t="shared" si="1839"/>
        <v>0.66666666666666663</v>
      </c>
      <c r="Q4342" t="str">
        <f t="shared" si="1827"/>
        <v>3.27% | 0.65%</v>
      </c>
      <c r="R4342" t="str">
        <f t="shared" si="1840"/>
        <v>BULLISH</v>
      </c>
      <c r="S4342">
        <f t="shared" si="1828"/>
        <v>1</v>
      </c>
    </row>
    <row r="4343" spans="1:19" hidden="1" x14ac:dyDescent="0.25">
      <c r="A4343" s="5" t="str">
        <f t="shared" si="1829"/>
        <v>44091MSFT</v>
      </c>
      <c r="B4343" s="6" t="s">
        <v>219</v>
      </c>
      <c r="C4343" s="6">
        <v>196</v>
      </c>
      <c r="D4343" s="6">
        <v>212</v>
      </c>
      <c r="E4343" s="6">
        <v>205</v>
      </c>
      <c r="F4343" t="str">
        <f t="shared" si="1830"/>
        <v>THU</v>
      </c>
      <c r="G4343" s="1">
        <f t="shared" si="1831"/>
        <v>44091</v>
      </c>
      <c r="H4343" s="2">
        <f t="shared" ca="1" si="1832"/>
        <v>162</v>
      </c>
      <c r="I4343" t="str">
        <f t="shared" si="1833"/>
        <v>MSFT</v>
      </c>
      <c r="J4343">
        <f t="shared" si="1834"/>
        <v>196</v>
      </c>
      <c r="K4343">
        <f t="shared" si="1835"/>
        <v>212</v>
      </c>
      <c r="L4343">
        <f t="shared" si="1836"/>
        <v>204</v>
      </c>
      <c r="M4343">
        <f t="shared" si="1837"/>
        <v>8</v>
      </c>
      <c r="N4343">
        <f t="shared" si="1826"/>
        <v>16</v>
      </c>
      <c r="O4343">
        <f t="shared" si="1838"/>
        <v>205</v>
      </c>
      <c r="P4343">
        <f t="shared" si="1839"/>
        <v>0.125</v>
      </c>
      <c r="Q4343" t="str">
        <f t="shared" si="1827"/>
        <v>4.39% | 3.41%</v>
      </c>
      <c r="R4343" t="str">
        <f t="shared" si="1840"/>
        <v>BEARISH</v>
      </c>
      <c r="S4343">
        <f t="shared" si="1828"/>
        <v>-1</v>
      </c>
    </row>
    <row r="4344" spans="1:19" hidden="1" x14ac:dyDescent="0.25">
      <c r="A4344" s="5" t="str">
        <f t="shared" si="1829"/>
        <v>44091AAPL</v>
      </c>
      <c r="B4344" s="6" t="s">
        <v>220</v>
      </c>
      <c r="C4344" s="6">
        <v>103</v>
      </c>
      <c r="D4344" s="6">
        <v>117</v>
      </c>
      <c r="E4344" s="6">
        <v>112</v>
      </c>
      <c r="F4344" t="str">
        <f t="shared" si="1830"/>
        <v>THU</v>
      </c>
      <c r="G4344" s="1">
        <f t="shared" si="1831"/>
        <v>44091</v>
      </c>
      <c r="H4344" s="2">
        <f t="shared" ca="1" si="1832"/>
        <v>162</v>
      </c>
      <c r="I4344" t="str">
        <f t="shared" si="1833"/>
        <v>AAPL</v>
      </c>
      <c r="J4344">
        <f t="shared" si="1834"/>
        <v>103</v>
      </c>
      <c r="K4344">
        <f t="shared" si="1835"/>
        <v>117</v>
      </c>
      <c r="L4344">
        <f t="shared" si="1836"/>
        <v>110</v>
      </c>
      <c r="M4344">
        <f t="shared" si="1837"/>
        <v>7</v>
      </c>
      <c r="N4344">
        <f t="shared" si="1826"/>
        <v>14</v>
      </c>
      <c r="O4344">
        <f t="shared" si="1838"/>
        <v>112</v>
      </c>
      <c r="P4344">
        <f t="shared" si="1839"/>
        <v>0.2857142857142857</v>
      </c>
      <c r="Q4344" t="str">
        <f t="shared" si="1827"/>
        <v>8.04% | 4.46%</v>
      </c>
      <c r="R4344" t="str">
        <f t="shared" si="1840"/>
        <v>BEARISH</v>
      </c>
      <c r="S4344">
        <f t="shared" si="1828"/>
        <v>-1</v>
      </c>
    </row>
    <row r="4345" spans="1:19" hidden="1" x14ac:dyDescent="0.25">
      <c r="A4345" s="5" t="str">
        <f t="shared" si="1829"/>
        <v>44091AMZN</v>
      </c>
      <c r="B4345" s="6" t="s">
        <v>185</v>
      </c>
      <c r="C4345" s="6">
        <v>2981</v>
      </c>
      <c r="D4345" s="6">
        <v>3376</v>
      </c>
      <c r="E4345" s="6">
        <v>3078</v>
      </c>
      <c r="F4345" t="str">
        <f t="shared" si="1830"/>
        <v>THU</v>
      </c>
      <c r="G4345" s="1">
        <f t="shared" si="1831"/>
        <v>44091</v>
      </c>
      <c r="H4345" s="2">
        <f t="shared" ca="1" si="1832"/>
        <v>162</v>
      </c>
      <c r="I4345" t="str">
        <f t="shared" si="1833"/>
        <v>AMZN</v>
      </c>
      <c r="J4345">
        <f t="shared" si="1834"/>
        <v>2981</v>
      </c>
      <c r="K4345">
        <f t="shared" si="1835"/>
        <v>3376</v>
      </c>
      <c r="L4345">
        <f t="shared" si="1836"/>
        <v>3178.5</v>
      </c>
      <c r="M4345">
        <f t="shared" si="1837"/>
        <v>197.5</v>
      </c>
      <c r="N4345">
        <f t="shared" si="1826"/>
        <v>395</v>
      </c>
      <c r="O4345">
        <f t="shared" si="1838"/>
        <v>3078</v>
      </c>
      <c r="P4345">
        <f t="shared" si="1839"/>
        <v>-0.50886075949367093</v>
      </c>
      <c r="Q4345" t="str">
        <f t="shared" si="1827"/>
        <v>3.15% | 9.68%</v>
      </c>
      <c r="R4345" t="str">
        <f t="shared" si="1840"/>
        <v>BULLISH</v>
      </c>
      <c r="S4345">
        <f t="shared" si="1828"/>
        <v>1</v>
      </c>
    </row>
    <row r="4346" spans="1:19" hidden="1" x14ac:dyDescent="0.25">
      <c r="A4346" s="5" t="str">
        <f t="shared" si="1829"/>
        <v>44091FB</v>
      </c>
      <c r="B4346" s="6" t="s">
        <v>186</v>
      </c>
      <c r="C4346" s="6">
        <v>251</v>
      </c>
      <c r="D4346" s="6">
        <v>273</v>
      </c>
      <c r="E4346" s="6">
        <v>263</v>
      </c>
      <c r="F4346" t="str">
        <f t="shared" si="1830"/>
        <v>THU</v>
      </c>
      <c r="G4346" s="1">
        <f t="shared" si="1831"/>
        <v>44091</v>
      </c>
      <c r="H4346" s="2">
        <f t="shared" ca="1" si="1832"/>
        <v>162</v>
      </c>
      <c r="I4346" t="str">
        <f t="shared" si="1833"/>
        <v>FB</v>
      </c>
      <c r="J4346">
        <f t="shared" si="1834"/>
        <v>251</v>
      </c>
      <c r="K4346">
        <f t="shared" si="1835"/>
        <v>273</v>
      </c>
      <c r="L4346">
        <f t="shared" si="1836"/>
        <v>262</v>
      </c>
      <c r="M4346">
        <f t="shared" si="1837"/>
        <v>11</v>
      </c>
      <c r="N4346">
        <f t="shared" si="1826"/>
        <v>22</v>
      </c>
      <c r="O4346">
        <f t="shared" si="1838"/>
        <v>263</v>
      </c>
      <c r="P4346">
        <f t="shared" si="1839"/>
        <v>9.0909090909090912E-2</v>
      </c>
      <c r="Q4346" t="str">
        <f t="shared" si="1827"/>
        <v>4.56% | 3.8%</v>
      </c>
      <c r="R4346" t="str">
        <f t="shared" si="1840"/>
        <v>BULLISH</v>
      </c>
      <c r="S4346">
        <f t="shared" si="1828"/>
        <v>1</v>
      </c>
    </row>
    <row r="4347" spans="1:19" hidden="1" x14ac:dyDescent="0.25">
      <c r="A4347" s="5" t="str">
        <f t="shared" si="1829"/>
        <v>44091GOOGL</v>
      </c>
      <c r="B4347" s="6" t="s">
        <v>221</v>
      </c>
      <c r="C4347" s="6">
        <v>1457</v>
      </c>
      <c r="D4347" s="6">
        <v>1565</v>
      </c>
      <c r="E4347" s="6">
        <v>1512</v>
      </c>
      <c r="F4347" t="str">
        <f t="shared" si="1830"/>
        <v>THU</v>
      </c>
      <c r="G4347" s="1">
        <f t="shared" si="1831"/>
        <v>44091</v>
      </c>
      <c r="H4347" s="2">
        <f t="shared" ca="1" si="1832"/>
        <v>162</v>
      </c>
      <c r="I4347" t="str">
        <f t="shared" si="1833"/>
        <v>GOOGL</v>
      </c>
      <c r="J4347">
        <f t="shared" si="1834"/>
        <v>1457</v>
      </c>
      <c r="K4347">
        <f t="shared" si="1835"/>
        <v>1565</v>
      </c>
      <c r="L4347">
        <f t="shared" si="1836"/>
        <v>1511</v>
      </c>
      <c r="M4347">
        <f t="shared" si="1837"/>
        <v>54</v>
      </c>
      <c r="N4347">
        <f t="shared" si="1826"/>
        <v>108</v>
      </c>
      <c r="O4347">
        <f t="shared" si="1838"/>
        <v>1512</v>
      </c>
      <c r="P4347">
        <f t="shared" si="1839"/>
        <v>1.8518518518518517E-2</v>
      </c>
      <c r="Q4347" t="str">
        <f t="shared" si="1827"/>
        <v>3.64% | 3.51%</v>
      </c>
      <c r="R4347" t="str">
        <f t="shared" si="1840"/>
        <v>BEARISH</v>
      </c>
      <c r="S4347">
        <f t="shared" si="1828"/>
        <v>-1</v>
      </c>
    </row>
    <row r="4348" spans="1:19" hidden="1" x14ac:dyDescent="0.25">
      <c r="A4348" s="5" t="str">
        <f t="shared" si="1829"/>
        <v>44091NFLX</v>
      </c>
      <c r="B4348" s="6" t="s">
        <v>213</v>
      </c>
      <c r="C4348" s="6">
        <v>457</v>
      </c>
      <c r="D4348" s="6">
        <v>502</v>
      </c>
      <c r="E4348" s="6">
        <v>483</v>
      </c>
      <c r="F4348" t="str">
        <f t="shared" si="1830"/>
        <v>THU</v>
      </c>
      <c r="G4348" s="1">
        <f t="shared" si="1831"/>
        <v>44091</v>
      </c>
      <c r="H4348" s="2">
        <f t="shared" ca="1" si="1832"/>
        <v>162</v>
      </c>
      <c r="I4348" t="str">
        <f t="shared" si="1833"/>
        <v>NFLX</v>
      </c>
      <c r="J4348">
        <f t="shared" si="1834"/>
        <v>457</v>
      </c>
      <c r="K4348">
        <f t="shared" si="1835"/>
        <v>502</v>
      </c>
      <c r="L4348">
        <f t="shared" si="1836"/>
        <v>479.5</v>
      </c>
      <c r="M4348">
        <f t="shared" si="1837"/>
        <v>22.5</v>
      </c>
      <c r="N4348">
        <f t="shared" si="1826"/>
        <v>45</v>
      </c>
      <c r="O4348">
        <f t="shared" si="1838"/>
        <v>483</v>
      </c>
      <c r="P4348">
        <f t="shared" si="1839"/>
        <v>0.15555555555555556</v>
      </c>
      <c r="Q4348" t="str">
        <f t="shared" si="1827"/>
        <v>5.38% | 3.93%</v>
      </c>
      <c r="R4348" t="str">
        <f t="shared" si="1840"/>
        <v>BEARISH</v>
      </c>
      <c r="S4348">
        <f t="shared" si="1828"/>
        <v>-1</v>
      </c>
    </row>
    <row r="4349" spans="1:19" x14ac:dyDescent="0.25">
      <c r="A4349" s="5" t="str">
        <f t="shared" si="1829"/>
        <v>44091TSLA</v>
      </c>
      <c r="B4349" s="6" t="s">
        <v>189</v>
      </c>
      <c r="C4349" s="6">
        <v>320</v>
      </c>
      <c r="D4349" s="6">
        <v>472</v>
      </c>
      <c r="E4349" s="6">
        <v>441</v>
      </c>
      <c r="F4349" t="str">
        <f t="shared" si="1830"/>
        <v>THU</v>
      </c>
      <c r="G4349" s="1">
        <f t="shared" si="1831"/>
        <v>44091</v>
      </c>
      <c r="H4349" s="2">
        <f t="shared" ca="1" si="1832"/>
        <v>162</v>
      </c>
      <c r="I4349" t="str">
        <f t="shared" si="1833"/>
        <v>TSLA</v>
      </c>
      <c r="J4349">
        <f t="shared" si="1834"/>
        <v>320</v>
      </c>
      <c r="K4349">
        <f t="shared" si="1835"/>
        <v>472</v>
      </c>
      <c r="L4349">
        <f t="shared" si="1836"/>
        <v>396</v>
      </c>
      <c r="M4349">
        <f t="shared" si="1837"/>
        <v>76</v>
      </c>
      <c r="N4349">
        <f t="shared" si="1826"/>
        <v>152</v>
      </c>
      <c r="O4349">
        <f t="shared" si="1838"/>
        <v>441</v>
      </c>
      <c r="P4349">
        <f t="shared" si="1839"/>
        <v>0.59210526315789469</v>
      </c>
      <c r="Q4349" t="str">
        <f t="shared" si="1827"/>
        <v>27.44% | 7.03%</v>
      </c>
      <c r="R4349" t="str">
        <f t="shared" si="1840"/>
        <v>BULLISH</v>
      </c>
      <c r="S4349">
        <f t="shared" si="1828"/>
        <v>1</v>
      </c>
    </row>
    <row r="4350" spans="1:19" hidden="1" x14ac:dyDescent="0.25">
      <c r="A4350" s="5" t="str">
        <f t="shared" si="1829"/>
        <v>44091NYXBT</v>
      </c>
      <c r="B4350" s="6" t="s">
        <v>190</v>
      </c>
      <c r="C4350" s="6">
        <v>9917</v>
      </c>
      <c r="D4350" s="6">
        <v>11097</v>
      </c>
      <c r="E4350" s="6">
        <v>10887</v>
      </c>
      <c r="F4350" t="str">
        <f t="shared" si="1830"/>
        <v>THU</v>
      </c>
      <c r="G4350" s="1">
        <f t="shared" si="1831"/>
        <v>44091</v>
      </c>
      <c r="H4350" s="2">
        <f t="shared" ca="1" si="1832"/>
        <v>162</v>
      </c>
      <c r="I4350" t="str">
        <f t="shared" si="1833"/>
        <v>NYXBT</v>
      </c>
      <c r="J4350">
        <f t="shared" si="1834"/>
        <v>9917</v>
      </c>
      <c r="K4350">
        <f t="shared" si="1835"/>
        <v>11097</v>
      </c>
      <c r="L4350">
        <f t="shared" si="1836"/>
        <v>10507</v>
      </c>
      <c r="M4350">
        <f t="shared" si="1837"/>
        <v>590</v>
      </c>
      <c r="N4350">
        <f t="shared" si="1826"/>
        <v>1180</v>
      </c>
      <c r="O4350">
        <f t="shared" si="1838"/>
        <v>10887</v>
      </c>
      <c r="P4350">
        <f t="shared" si="1839"/>
        <v>0.64406779661016944</v>
      </c>
      <c r="Q4350" t="str">
        <f t="shared" si="1827"/>
        <v>8.91% | 1.93%</v>
      </c>
      <c r="R4350" t="str">
        <f t="shared" si="1840"/>
        <v>BULLISH</v>
      </c>
      <c r="S4350">
        <f t="shared" si="1828"/>
        <v>1</v>
      </c>
    </row>
    <row r="4351" spans="1:19" hidden="1" x14ac:dyDescent="0.25">
      <c r="A4351" s="5" t="str">
        <f t="shared" si="1829"/>
        <v>44092UST10Y</v>
      </c>
      <c r="B4351" s="6" t="s">
        <v>161</v>
      </c>
      <c r="C4351" s="6">
        <v>0.72</v>
      </c>
      <c r="D4351" s="6">
        <v>0.62</v>
      </c>
      <c r="E4351" s="6">
        <v>0.69</v>
      </c>
      <c r="F4351" t="str">
        <f t="shared" si="1830"/>
        <v>FRI</v>
      </c>
      <c r="G4351" s="3">
        <f>DATE(2020,9,18)</f>
        <v>44092</v>
      </c>
      <c r="H4351" s="2">
        <f t="shared" ca="1" si="1832"/>
        <v>161</v>
      </c>
      <c r="I4351" t="str">
        <f t="shared" si="1833"/>
        <v>UST10Y</v>
      </c>
      <c r="J4351">
        <f t="shared" si="1834"/>
        <v>0.72</v>
      </c>
      <c r="K4351">
        <f t="shared" si="1835"/>
        <v>0.62</v>
      </c>
      <c r="L4351">
        <f t="shared" si="1836"/>
        <v>0.66999999999999993</v>
      </c>
      <c r="M4351">
        <f t="shared" si="1837"/>
        <v>4.9999999999999989E-2</v>
      </c>
      <c r="N4351">
        <f t="shared" si="1826"/>
        <v>9.9999999999999978E-2</v>
      </c>
      <c r="O4351">
        <f t="shared" si="1838"/>
        <v>0.69</v>
      </c>
      <c r="P4351">
        <f t="shared" si="1839"/>
        <v>0.40000000000000047</v>
      </c>
      <c r="Q4351" t="str">
        <f t="shared" si="1827"/>
        <v>4.35% | 10.14%</v>
      </c>
      <c r="R4351" t="str">
        <f t="shared" si="1840"/>
        <v>BEARISH</v>
      </c>
      <c r="S4351">
        <f t="shared" si="1828"/>
        <v>-1</v>
      </c>
    </row>
    <row r="4352" spans="1:19" hidden="1" x14ac:dyDescent="0.25">
      <c r="A4352" s="5" t="str">
        <f t="shared" si="1829"/>
        <v>44092UST2Y</v>
      </c>
      <c r="B4352" s="6" t="s">
        <v>162</v>
      </c>
      <c r="C4352" s="6">
        <v>0.15</v>
      </c>
      <c r="D4352" s="6">
        <v>0.1</v>
      </c>
      <c r="E4352" s="6">
        <v>0.13</v>
      </c>
      <c r="F4352" t="str">
        <f t="shared" ref="F4352:F4382" si="1841">UPPER(TEXT(G4352,"ddd"))</f>
        <v>FRI</v>
      </c>
      <c r="G4352" s="3">
        <f t="shared" ref="G4352:G4381" si="1842">DATE(2020,9,18)</f>
        <v>44092</v>
      </c>
      <c r="H4352" s="2">
        <f t="shared" ref="H4352:H4382" ca="1" si="1843">TODAY()-G4352</f>
        <v>161</v>
      </c>
      <c r="I4352" t="str">
        <f t="shared" ref="I4352:I4382" si="1844">TRIM(LEFT(B4352,FIND(" ",B4352,1)))</f>
        <v>UST2Y</v>
      </c>
      <c r="J4352">
        <f t="shared" ref="J4352:J4382" si="1845">C4352</f>
        <v>0.15</v>
      </c>
      <c r="K4352">
        <f t="shared" ref="K4352:K4382" si="1846">D4352</f>
        <v>0.1</v>
      </c>
      <c r="L4352">
        <f t="shared" ref="L4352:L4382" si="1847">AVERAGE(J4352:K4352)</f>
        <v>0.125</v>
      </c>
      <c r="M4352">
        <f t="shared" ref="M4352:M4382" si="1848">_xlfn.STDEV.P(J4352:K4352)</f>
        <v>2.5000000000000012E-2</v>
      </c>
      <c r="N4352">
        <f t="shared" si="1826"/>
        <v>4.9999999999999989E-2</v>
      </c>
      <c r="O4352">
        <f t="shared" ref="O4352:O4382" si="1849">E4352</f>
        <v>0.13</v>
      </c>
      <c r="P4352">
        <f t="shared" ref="P4352:P4382" si="1850">(O4352-L4352)/M4352</f>
        <v>0.20000000000000009</v>
      </c>
      <c r="Q4352" t="str">
        <f t="shared" si="1827"/>
        <v>15.38% | 23.08%</v>
      </c>
      <c r="R4352" t="str">
        <f t="shared" ref="R4352:R4382" si="1851">MID(B4352,FIND("(",B4352,1)+1,FIND(")",B4352,1)-FIND("(",B4352,1)-1)</f>
        <v>BEARISH</v>
      </c>
      <c r="S4352">
        <f t="shared" si="1828"/>
        <v>-1</v>
      </c>
    </row>
    <row r="4353" spans="1:19" hidden="1" x14ac:dyDescent="0.25">
      <c r="A4353" s="5" t="str">
        <f t="shared" si="1829"/>
        <v>44092SPX</v>
      </c>
      <c r="B4353" s="6" t="s">
        <v>211</v>
      </c>
      <c r="C4353" s="6">
        <v>3260</v>
      </c>
      <c r="D4353" s="6">
        <v>3419</v>
      </c>
      <c r="E4353" s="6">
        <v>3357</v>
      </c>
      <c r="F4353" t="str">
        <f t="shared" si="1841"/>
        <v>FRI</v>
      </c>
      <c r="G4353" s="3">
        <f t="shared" si="1842"/>
        <v>44092</v>
      </c>
      <c r="H4353" s="2">
        <f t="shared" ca="1" si="1843"/>
        <v>161</v>
      </c>
      <c r="I4353" t="str">
        <f t="shared" si="1844"/>
        <v>SPX</v>
      </c>
      <c r="J4353">
        <f t="shared" si="1845"/>
        <v>3260</v>
      </c>
      <c r="K4353">
        <f t="shared" si="1846"/>
        <v>3419</v>
      </c>
      <c r="L4353">
        <f t="shared" si="1847"/>
        <v>3339.5</v>
      </c>
      <c r="M4353">
        <f t="shared" si="1848"/>
        <v>79.5</v>
      </c>
      <c r="N4353">
        <f t="shared" si="1826"/>
        <v>159</v>
      </c>
      <c r="O4353">
        <f t="shared" si="1849"/>
        <v>3357</v>
      </c>
      <c r="P4353">
        <f t="shared" si="1850"/>
        <v>0.22012578616352202</v>
      </c>
      <c r="Q4353" t="str">
        <f t="shared" si="1827"/>
        <v>2.89% | 1.85%</v>
      </c>
      <c r="R4353" t="str">
        <f t="shared" si="1851"/>
        <v>BEARISH</v>
      </c>
      <c r="S4353">
        <f t="shared" si="1828"/>
        <v>-1</v>
      </c>
    </row>
    <row r="4354" spans="1:19" hidden="1" x14ac:dyDescent="0.25">
      <c r="A4354" s="5" t="str">
        <f t="shared" si="1829"/>
        <v>44092RUT</v>
      </c>
      <c r="B4354" s="6" t="s">
        <v>164</v>
      </c>
      <c r="C4354" s="6">
        <v>1489</v>
      </c>
      <c r="D4354" s="6">
        <v>1553</v>
      </c>
      <c r="E4354" s="6">
        <v>1542</v>
      </c>
      <c r="F4354" t="str">
        <f t="shared" si="1841"/>
        <v>FRI</v>
      </c>
      <c r="G4354" s="3">
        <f t="shared" si="1842"/>
        <v>44092</v>
      </c>
      <c r="H4354" s="2">
        <f t="shared" ca="1" si="1843"/>
        <v>161</v>
      </c>
      <c r="I4354" t="str">
        <f t="shared" si="1844"/>
        <v>RUT</v>
      </c>
      <c r="J4354">
        <f t="shared" si="1845"/>
        <v>1489</v>
      </c>
      <c r="K4354">
        <f t="shared" si="1846"/>
        <v>1553</v>
      </c>
      <c r="L4354">
        <f t="shared" si="1847"/>
        <v>1521</v>
      </c>
      <c r="M4354">
        <f t="shared" si="1848"/>
        <v>32</v>
      </c>
      <c r="N4354">
        <f t="shared" si="1826"/>
        <v>64</v>
      </c>
      <c r="O4354">
        <f t="shared" si="1849"/>
        <v>1542</v>
      </c>
      <c r="P4354">
        <f t="shared" si="1850"/>
        <v>0.65625</v>
      </c>
      <c r="Q4354" t="str">
        <f t="shared" si="1827"/>
        <v>3.44% | 0.71%</v>
      </c>
      <c r="R4354" t="str">
        <f t="shared" si="1851"/>
        <v>BEARISH</v>
      </c>
      <c r="S4354">
        <f t="shared" si="1828"/>
        <v>-1</v>
      </c>
    </row>
    <row r="4355" spans="1:19" hidden="1" x14ac:dyDescent="0.25">
      <c r="A4355" s="5" t="str">
        <f t="shared" si="1829"/>
        <v>44092COMPQ</v>
      </c>
      <c r="B4355" s="6" t="s">
        <v>217</v>
      </c>
      <c r="C4355" s="6">
        <v>10571</v>
      </c>
      <c r="D4355" s="6">
        <v>11336</v>
      </c>
      <c r="E4355" s="6">
        <v>10910</v>
      </c>
      <c r="F4355" t="str">
        <f t="shared" si="1841"/>
        <v>FRI</v>
      </c>
      <c r="G4355" s="3">
        <f t="shared" si="1842"/>
        <v>44092</v>
      </c>
      <c r="H4355" s="2">
        <f t="shared" ca="1" si="1843"/>
        <v>161</v>
      </c>
      <c r="I4355" t="str">
        <f t="shared" si="1844"/>
        <v>COMPQ</v>
      </c>
      <c r="J4355">
        <f t="shared" si="1845"/>
        <v>10571</v>
      </c>
      <c r="K4355">
        <f t="shared" si="1846"/>
        <v>11336</v>
      </c>
      <c r="L4355">
        <f t="shared" si="1847"/>
        <v>10953.5</v>
      </c>
      <c r="M4355">
        <f t="shared" si="1848"/>
        <v>382.5</v>
      </c>
      <c r="N4355">
        <f t="shared" ref="N4355:N4418" si="1852">ABS(K4355-J4355)</f>
        <v>765</v>
      </c>
      <c r="O4355">
        <f t="shared" si="1849"/>
        <v>10910</v>
      </c>
      <c r="P4355">
        <f t="shared" si="1850"/>
        <v>-0.11372549019607843</v>
      </c>
      <c r="Q4355" t="str">
        <f t="shared" ref="Q4355:Q4418" si="1853">ROUND(ABS(100*(O4355-J4355)/O4355),2)&amp;"% | "&amp;ROUND(ABS(100*(K4355-O4355)/O4355),2)&amp;"%"</f>
        <v>3.11% | 3.9%</v>
      </c>
      <c r="R4355" t="str">
        <f t="shared" si="1851"/>
        <v>BEARISH</v>
      </c>
      <c r="S4355">
        <f t="shared" ref="S4355:S4418" si="1854">IF(R4355="BEARISH",-1,IF(R4355="NEUTRAL",0,IF(R4355="BULLISH",1,99)))</f>
        <v>-1</v>
      </c>
    </row>
    <row r="4356" spans="1:19" hidden="1" x14ac:dyDescent="0.25">
      <c r="A4356" s="5" t="str">
        <f t="shared" si="1829"/>
        <v>44092XLK</v>
      </c>
      <c r="B4356" s="6" t="s">
        <v>218</v>
      </c>
      <c r="C4356" s="6">
        <v>110.21</v>
      </c>
      <c r="D4356" s="6">
        <v>118.4</v>
      </c>
      <c r="E4356" s="6">
        <v>113.72</v>
      </c>
      <c r="F4356" t="str">
        <f t="shared" si="1841"/>
        <v>FRI</v>
      </c>
      <c r="G4356" s="3">
        <f t="shared" si="1842"/>
        <v>44092</v>
      </c>
      <c r="H4356" s="2">
        <f t="shared" ca="1" si="1843"/>
        <v>161</v>
      </c>
      <c r="I4356" t="str">
        <f t="shared" si="1844"/>
        <v>XLK</v>
      </c>
      <c r="J4356">
        <f t="shared" si="1845"/>
        <v>110.21</v>
      </c>
      <c r="K4356">
        <f t="shared" si="1846"/>
        <v>118.4</v>
      </c>
      <c r="L4356">
        <f t="shared" si="1847"/>
        <v>114.30500000000001</v>
      </c>
      <c r="M4356">
        <f t="shared" si="1848"/>
        <v>4.095000000000006</v>
      </c>
      <c r="N4356">
        <f t="shared" si="1852"/>
        <v>8.1900000000000119</v>
      </c>
      <c r="O4356">
        <f t="shared" si="1849"/>
        <v>113.72</v>
      </c>
      <c r="P4356">
        <f t="shared" si="1850"/>
        <v>-0.1428571428571446</v>
      </c>
      <c r="Q4356" t="str">
        <f t="shared" si="1853"/>
        <v>3.09% | 4.12%</v>
      </c>
      <c r="R4356" t="str">
        <f t="shared" si="1851"/>
        <v>BEARISH</v>
      </c>
      <c r="S4356">
        <f t="shared" si="1854"/>
        <v>-1</v>
      </c>
    </row>
    <row r="4357" spans="1:19" hidden="1" x14ac:dyDescent="0.25">
      <c r="A4357" s="5" t="str">
        <f t="shared" si="1829"/>
        <v>44092XLRE</v>
      </c>
      <c r="B4357" s="6" t="s">
        <v>167</v>
      </c>
      <c r="C4357" s="6">
        <v>35.25</v>
      </c>
      <c r="D4357" s="6">
        <v>37.36</v>
      </c>
      <c r="E4357" s="6">
        <v>36.32</v>
      </c>
      <c r="F4357" t="str">
        <f t="shared" si="1841"/>
        <v>FRI</v>
      </c>
      <c r="G4357" s="3">
        <f t="shared" si="1842"/>
        <v>44092</v>
      </c>
      <c r="H4357" s="2">
        <f t="shared" ca="1" si="1843"/>
        <v>161</v>
      </c>
      <c r="I4357" t="str">
        <f t="shared" si="1844"/>
        <v>XLRE</v>
      </c>
      <c r="J4357">
        <f t="shared" si="1845"/>
        <v>35.25</v>
      </c>
      <c r="K4357">
        <f t="shared" si="1846"/>
        <v>37.36</v>
      </c>
      <c r="L4357">
        <f t="shared" si="1847"/>
        <v>36.305</v>
      </c>
      <c r="M4357">
        <f t="shared" si="1848"/>
        <v>1.0549999999999997</v>
      </c>
      <c r="N4357">
        <f t="shared" si="1852"/>
        <v>2.1099999999999994</v>
      </c>
      <c r="O4357">
        <f t="shared" si="1849"/>
        <v>36.32</v>
      </c>
      <c r="P4357">
        <f t="shared" si="1850"/>
        <v>1.4218009478673528E-2</v>
      </c>
      <c r="Q4357" t="str">
        <f t="shared" si="1853"/>
        <v>2.95% | 2.86%</v>
      </c>
      <c r="R4357" t="str">
        <f t="shared" si="1851"/>
        <v>BULLISH</v>
      </c>
      <c r="S4357">
        <f t="shared" si="1854"/>
        <v>1</v>
      </c>
    </row>
    <row r="4358" spans="1:19" hidden="1" x14ac:dyDescent="0.25">
      <c r="A4358" s="5" t="str">
        <f t="shared" ref="A4358:A4421" si="1855">G4358&amp;I4358</f>
        <v>44092XLU</v>
      </c>
      <c r="B4358" s="6" t="s">
        <v>168</v>
      </c>
      <c r="C4358" s="6">
        <v>58.37</v>
      </c>
      <c r="D4358" s="6">
        <v>60.53</v>
      </c>
      <c r="E4358" s="6">
        <v>59.57</v>
      </c>
      <c r="F4358" t="str">
        <f t="shared" si="1841"/>
        <v>FRI</v>
      </c>
      <c r="G4358" s="3">
        <f t="shared" si="1842"/>
        <v>44092</v>
      </c>
      <c r="H4358" s="2">
        <f t="shared" ca="1" si="1843"/>
        <v>161</v>
      </c>
      <c r="I4358" t="str">
        <f t="shared" si="1844"/>
        <v>XLU</v>
      </c>
      <c r="J4358">
        <f t="shared" si="1845"/>
        <v>58.37</v>
      </c>
      <c r="K4358">
        <f t="shared" si="1846"/>
        <v>60.53</v>
      </c>
      <c r="L4358">
        <f t="shared" si="1847"/>
        <v>59.45</v>
      </c>
      <c r="M4358">
        <f t="shared" si="1848"/>
        <v>1.0800000000000018</v>
      </c>
      <c r="N4358">
        <f t="shared" si="1852"/>
        <v>2.1600000000000037</v>
      </c>
      <c r="O4358">
        <f t="shared" si="1849"/>
        <v>59.57</v>
      </c>
      <c r="P4358">
        <f t="shared" si="1850"/>
        <v>0.11111111111110855</v>
      </c>
      <c r="Q4358" t="str">
        <f t="shared" si="1853"/>
        <v>2.01% | 1.61%</v>
      </c>
      <c r="R4358" t="str">
        <f t="shared" si="1851"/>
        <v>BULLISH</v>
      </c>
      <c r="S4358">
        <f t="shared" si="1854"/>
        <v>1</v>
      </c>
    </row>
    <row r="4359" spans="1:19" hidden="1" x14ac:dyDescent="0.25">
      <c r="A4359" s="5" t="str">
        <f t="shared" si="1855"/>
        <v>44092XLF</v>
      </c>
      <c r="B4359" s="6" t="s">
        <v>169</v>
      </c>
      <c r="C4359" s="6">
        <v>24.27</v>
      </c>
      <c r="D4359" s="6">
        <v>25.3</v>
      </c>
      <c r="E4359" s="6">
        <v>24.73</v>
      </c>
      <c r="F4359" t="str">
        <f t="shared" si="1841"/>
        <v>FRI</v>
      </c>
      <c r="G4359" s="3">
        <f t="shared" si="1842"/>
        <v>44092</v>
      </c>
      <c r="H4359" s="2">
        <f t="shared" ca="1" si="1843"/>
        <v>161</v>
      </c>
      <c r="I4359" t="str">
        <f t="shared" si="1844"/>
        <v>XLF</v>
      </c>
      <c r="J4359">
        <f t="shared" si="1845"/>
        <v>24.27</v>
      </c>
      <c r="K4359">
        <f t="shared" si="1846"/>
        <v>25.3</v>
      </c>
      <c r="L4359">
        <f t="shared" si="1847"/>
        <v>24.785</v>
      </c>
      <c r="M4359">
        <f t="shared" si="1848"/>
        <v>0.51500000000000057</v>
      </c>
      <c r="N4359">
        <f t="shared" si="1852"/>
        <v>1.0300000000000011</v>
      </c>
      <c r="O4359">
        <f t="shared" si="1849"/>
        <v>24.73</v>
      </c>
      <c r="P4359">
        <f t="shared" si="1850"/>
        <v>-0.1067961165048537</v>
      </c>
      <c r="Q4359" t="str">
        <f t="shared" si="1853"/>
        <v>1.86% | 2.3%</v>
      </c>
      <c r="R4359" t="str">
        <f t="shared" si="1851"/>
        <v>BEARISH</v>
      </c>
      <c r="S4359">
        <f t="shared" si="1854"/>
        <v>-1</v>
      </c>
    </row>
    <row r="4360" spans="1:19" hidden="1" x14ac:dyDescent="0.25">
      <c r="A4360" s="5" t="str">
        <f t="shared" si="1855"/>
        <v>44092SSEC</v>
      </c>
      <c r="B4360" s="6" t="s">
        <v>170</v>
      </c>
      <c r="C4360" s="6">
        <v>3220</v>
      </c>
      <c r="D4360" s="6">
        <v>3371</v>
      </c>
      <c r="E4360" s="6">
        <v>3338</v>
      </c>
      <c r="F4360" t="str">
        <f t="shared" si="1841"/>
        <v>FRI</v>
      </c>
      <c r="G4360" s="3">
        <f t="shared" si="1842"/>
        <v>44092</v>
      </c>
      <c r="H4360" s="2">
        <f t="shared" ca="1" si="1843"/>
        <v>161</v>
      </c>
      <c r="I4360" t="str">
        <f t="shared" si="1844"/>
        <v>SSEC</v>
      </c>
      <c r="J4360">
        <f t="shared" si="1845"/>
        <v>3220</v>
      </c>
      <c r="K4360">
        <f t="shared" si="1846"/>
        <v>3371</v>
      </c>
      <c r="L4360">
        <f t="shared" si="1847"/>
        <v>3295.5</v>
      </c>
      <c r="M4360">
        <f t="shared" si="1848"/>
        <v>75.5</v>
      </c>
      <c r="N4360">
        <f t="shared" si="1852"/>
        <v>151</v>
      </c>
      <c r="O4360">
        <f t="shared" si="1849"/>
        <v>3338</v>
      </c>
      <c r="P4360">
        <f t="shared" si="1850"/>
        <v>0.5629139072847682</v>
      </c>
      <c r="Q4360" t="str">
        <f t="shared" si="1853"/>
        <v>3.54% | 0.99%</v>
      </c>
      <c r="R4360" t="str">
        <f t="shared" si="1851"/>
        <v>BULLISH</v>
      </c>
      <c r="S4360">
        <f t="shared" si="1854"/>
        <v>1</v>
      </c>
    </row>
    <row r="4361" spans="1:19" hidden="1" x14ac:dyDescent="0.25">
      <c r="A4361" s="5" t="str">
        <f t="shared" si="1855"/>
        <v>44092NIKK</v>
      </c>
      <c r="B4361" s="6" t="s">
        <v>201</v>
      </c>
      <c r="C4361" s="6">
        <v>22971</v>
      </c>
      <c r="D4361" s="6">
        <v>23645</v>
      </c>
      <c r="E4361" s="6">
        <v>23360</v>
      </c>
      <c r="F4361" t="str">
        <f t="shared" si="1841"/>
        <v>FRI</v>
      </c>
      <c r="G4361" s="3">
        <f t="shared" si="1842"/>
        <v>44092</v>
      </c>
      <c r="H4361" s="2">
        <f t="shared" ca="1" si="1843"/>
        <v>161</v>
      </c>
      <c r="I4361" t="str">
        <f t="shared" si="1844"/>
        <v>NIKK</v>
      </c>
      <c r="J4361">
        <f t="shared" si="1845"/>
        <v>22971</v>
      </c>
      <c r="K4361">
        <f t="shared" si="1846"/>
        <v>23645</v>
      </c>
      <c r="L4361">
        <f t="shared" si="1847"/>
        <v>23308</v>
      </c>
      <c r="M4361">
        <f t="shared" si="1848"/>
        <v>337</v>
      </c>
      <c r="N4361">
        <f t="shared" si="1852"/>
        <v>674</v>
      </c>
      <c r="O4361">
        <f t="shared" si="1849"/>
        <v>23360</v>
      </c>
      <c r="P4361">
        <f t="shared" si="1850"/>
        <v>0.1543026706231454</v>
      </c>
      <c r="Q4361" t="str">
        <f t="shared" si="1853"/>
        <v>1.67% | 1.22%</v>
      </c>
      <c r="R4361" t="str">
        <f t="shared" si="1851"/>
        <v>BULLISH</v>
      </c>
      <c r="S4361">
        <f t="shared" si="1854"/>
        <v>1</v>
      </c>
    </row>
    <row r="4362" spans="1:19" hidden="1" x14ac:dyDescent="0.25">
      <c r="A4362" s="5" t="str">
        <f t="shared" si="1855"/>
        <v>44092DAX</v>
      </c>
      <c r="B4362" s="6" t="s">
        <v>172</v>
      </c>
      <c r="C4362" s="6">
        <v>13001</v>
      </c>
      <c r="D4362" s="6">
        <v>13354</v>
      </c>
      <c r="E4362" s="6">
        <v>13208</v>
      </c>
      <c r="F4362" t="str">
        <f t="shared" si="1841"/>
        <v>FRI</v>
      </c>
      <c r="G4362" s="3">
        <f t="shared" si="1842"/>
        <v>44092</v>
      </c>
      <c r="H4362" s="2">
        <f t="shared" ca="1" si="1843"/>
        <v>161</v>
      </c>
      <c r="I4362" t="str">
        <f t="shared" si="1844"/>
        <v>DAX</v>
      </c>
      <c r="J4362">
        <f t="shared" si="1845"/>
        <v>13001</v>
      </c>
      <c r="K4362">
        <f t="shared" si="1846"/>
        <v>13354</v>
      </c>
      <c r="L4362">
        <f t="shared" si="1847"/>
        <v>13177.5</v>
      </c>
      <c r="M4362">
        <f t="shared" si="1848"/>
        <v>176.5</v>
      </c>
      <c r="N4362">
        <f t="shared" si="1852"/>
        <v>353</v>
      </c>
      <c r="O4362">
        <f t="shared" si="1849"/>
        <v>13208</v>
      </c>
      <c r="P4362">
        <f t="shared" si="1850"/>
        <v>0.17280453257790368</v>
      </c>
      <c r="Q4362" t="str">
        <f t="shared" si="1853"/>
        <v>1.57% | 1.11%</v>
      </c>
      <c r="R4362" t="str">
        <f t="shared" si="1851"/>
        <v>BULLISH</v>
      </c>
      <c r="S4362">
        <f t="shared" si="1854"/>
        <v>1</v>
      </c>
    </row>
    <row r="4363" spans="1:19" hidden="1" x14ac:dyDescent="0.25">
      <c r="A4363" s="5" t="str">
        <f t="shared" si="1855"/>
        <v>44092VIX</v>
      </c>
      <c r="B4363" s="6" t="s">
        <v>202</v>
      </c>
      <c r="C4363" s="6">
        <v>25.02</v>
      </c>
      <c r="D4363" s="6">
        <v>33.22</v>
      </c>
      <c r="E4363" s="6">
        <v>26.46</v>
      </c>
      <c r="F4363" t="str">
        <f t="shared" si="1841"/>
        <v>FRI</v>
      </c>
      <c r="G4363" s="3">
        <f t="shared" si="1842"/>
        <v>44092</v>
      </c>
      <c r="H4363" s="2">
        <f t="shared" ca="1" si="1843"/>
        <v>161</v>
      </c>
      <c r="I4363" t="str">
        <f t="shared" si="1844"/>
        <v>VIX</v>
      </c>
      <c r="J4363">
        <f t="shared" si="1845"/>
        <v>25.02</v>
      </c>
      <c r="K4363">
        <f t="shared" si="1846"/>
        <v>33.22</v>
      </c>
      <c r="L4363">
        <f t="shared" si="1847"/>
        <v>29.119999999999997</v>
      </c>
      <c r="M4363">
        <f t="shared" si="1848"/>
        <v>4.100000000000021</v>
      </c>
      <c r="N4363">
        <f t="shared" si="1852"/>
        <v>8.1999999999999993</v>
      </c>
      <c r="O4363">
        <f t="shared" si="1849"/>
        <v>26.46</v>
      </c>
      <c r="P4363">
        <f t="shared" si="1850"/>
        <v>-0.64878048780487385</v>
      </c>
      <c r="Q4363" t="str">
        <f t="shared" si="1853"/>
        <v>5.44% | 25.55%</v>
      </c>
      <c r="R4363" t="str">
        <f t="shared" si="1851"/>
        <v>BULLISH</v>
      </c>
      <c r="S4363">
        <f t="shared" si="1854"/>
        <v>1</v>
      </c>
    </row>
    <row r="4364" spans="1:19" hidden="1" x14ac:dyDescent="0.25">
      <c r="A4364" s="5" t="str">
        <f t="shared" si="1855"/>
        <v>44092USD</v>
      </c>
      <c r="B4364" s="6" t="s">
        <v>174</v>
      </c>
      <c r="C4364" s="6">
        <v>92.53</v>
      </c>
      <c r="D4364" s="6">
        <v>93.77</v>
      </c>
      <c r="E4364" s="6">
        <v>92.97</v>
      </c>
      <c r="F4364" t="str">
        <f t="shared" si="1841"/>
        <v>FRI</v>
      </c>
      <c r="G4364" s="3">
        <f t="shared" si="1842"/>
        <v>44092</v>
      </c>
      <c r="H4364" s="2">
        <f t="shared" ca="1" si="1843"/>
        <v>161</v>
      </c>
      <c r="I4364" t="str">
        <f t="shared" si="1844"/>
        <v>USD</v>
      </c>
      <c r="J4364">
        <f t="shared" si="1845"/>
        <v>92.53</v>
      </c>
      <c r="K4364">
        <f t="shared" si="1846"/>
        <v>93.77</v>
      </c>
      <c r="L4364">
        <f t="shared" si="1847"/>
        <v>93.15</v>
      </c>
      <c r="M4364">
        <f t="shared" si="1848"/>
        <v>0.61999999999999744</v>
      </c>
      <c r="N4364">
        <f t="shared" si="1852"/>
        <v>1.2399999999999949</v>
      </c>
      <c r="O4364">
        <f t="shared" si="1849"/>
        <v>92.97</v>
      </c>
      <c r="P4364">
        <f t="shared" si="1850"/>
        <v>-0.29032258064517347</v>
      </c>
      <c r="Q4364" t="str">
        <f t="shared" si="1853"/>
        <v>0.47% | 0.86%</v>
      </c>
      <c r="R4364" t="str">
        <f t="shared" si="1851"/>
        <v>BEARISH</v>
      </c>
      <c r="S4364">
        <f t="shared" si="1854"/>
        <v>-1</v>
      </c>
    </row>
    <row r="4365" spans="1:19" hidden="1" x14ac:dyDescent="0.25">
      <c r="A4365" s="5" t="str">
        <f t="shared" si="1855"/>
        <v>44092EUR/USD</v>
      </c>
      <c r="B4365" s="6" t="s">
        <v>175</v>
      </c>
      <c r="C4365" s="6">
        <v>1.17</v>
      </c>
      <c r="D4365" s="6">
        <v>1.19</v>
      </c>
      <c r="E4365" s="6">
        <v>1.18</v>
      </c>
      <c r="F4365" t="str">
        <f t="shared" si="1841"/>
        <v>FRI</v>
      </c>
      <c r="G4365" s="3">
        <f t="shared" si="1842"/>
        <v>44092</v>
      </c>
      <c r="H4365" s="2">
        <f t="shared" ca="1" si="1843"/>
        <v>161</v>
      </c>
      <c r="I4365" t="str">
        <f t="shared" si="1844"/>
        <v>EUR/USD</v>
      </c>
      <c r="J4365">
        <f t="shared" si="1845"/>
        <v>1.17</v>
      </c>
      <c r="K4365">
        <f t="shared" si="1846"/>
        <v>1.19</v>
      </c>
      <c r="L4365">
        <f t="shared" si="1847"/>
        <v>1.18</v>
      </c>
      <c r="M4365">
        <f t="shared" si="1848"/>
        <v>1.0000000000000009E-2</v>
      </c>
      <c r="N4365">
        <f t="shared" si="1852"/>
        <v>2.0000000000000018E-2</v>
      </c>
      <c r="O4365">
        <f t="shared" si="1849"/>
        <v>1.18</v>
      </c>
      <c r="P4365">
        <f t="shared" si="1850"/>
        <v>0</v>
      </c>
      <c r="Q4365" t="str">
        <f t="shared" si="1853"/>
        <v>0.85% | 0.85%</v>
      </c>
      <c r="R4365" t="str">
        <f t="shared" si="1851"/>
        <v>BULLISH</v>
      </c>
      <c r="S4365">
        <f t="shared" si="1854"/>
        <v>1</v>
      </c>
    </row>
    <row r="4366" spans="1:19" hidden="1" x14ac:dyDescent="0.25">
      <c r="A4366" s="5" t="str">
        <f t="shared" si="1855"/>
        <v>44092USD/JPY</v>
      </c>
      <c r="B4366" s="6" t="s">
        <v>176</v>
      </c>
      <c r="C4366" s="6">
        <v>104.21</v>
      </c>
      <c r="D4366" s="6">
        <v>105.99</v>
      </c>
      <c r="E4366" s="6">
        <v>104.7</v>
      </c>
      <c r="F4366" t="str">
        <f t="shared" si="1841"/>
        <v>FRI</v>
      </c>
      <c r="G4366" s="3">
        <f t="shared" si="1842"/>
        <v>44092</v>
      </c>
      <c r="H4366" s="2">
        <f t="shared" ca="1" si="1843"/>
        <v>161</v>
      </c>
      <c r="I4366" t="str">
        <f t="shared" si="1844"/>
        <v>USD/JPY</v>
      </c>
      <c r="J4366">
        <f t="shared" si="1845"/>
        <v>104.21</v>
      </c>
      <c r="K4366">
        <f t="shared" si="1846"/>
        <v>105.99</v>
      </c>
      <c r="L4366">
        <f t="shared" si="1847"/>
        <v>105.1</v>
      </c>
      <c r="M4366">
        <f t="shared" si="1848"/>
        <v>0.89000000000000057</v>
      </c>
      <c r="N4366">
        <f t="shared" si="1852"/>
        <v>1.7800000000000011</v>
      </c>
      <c r="O4366">
        <f t="shared" si="1849"/>
        <v>104.7</v>
      </c>
      <c r="P4366">
        <f t="shared" si="1850"/>
        <v>-0.44943820224718112</v>
      </c>
      <c r="Q4366" t="str">
        <f t="shared" si="1853"/>
        <v>0.47% | 1.23%</v>
      </c>
      <c r="R4366" t="str">
        <f t="shared" si="1851"/>
        <v>BEARISH</v>
      </c>
      <c r="S4366">
        <f t="shared" si="1854"/>
        <v>-1</v>
      </c>
    </row>
    <row r="4367" spans="1:19" hidden="1" x14ac:dyDescent="0.25">
      <c r="A4367" s="5" t="str">
        <f t="shared" si="1855"/>
        <v>44092GBP/USD</v>
      </c>
      <c r="B4367" s="6" t="s">
        <v>214</v>
      </c>
      <c r="C4367" s="6">
        <v>1.26</v>
      </c>
      <c r="D4367" s="6">
        <v>1.31</v>
      </c>
      <c r="E4367" s="6">
        <v>1.3</v>
      </c>
      <c r="F4367" t="str">
        <f t="shared" si="1841"/>
        <v>FRI</v>
      </c>
      <c r="G4367" s="3">
        <f t="shared" si="1842"/>
        <v>44092</v>
      </c>
      <c r="H4367" s="2">
        <f t="shared" ca="1" si="1843"/>
        <v>161</v>
      </c>
      <c r="I4367" t="str">
        <f t="shared" si="1844"/>
        <v>GBP/USD</v>
      </c>
      <c r="J4367">
        <f t="shared" si="1845"/>
        <v>1.26</v>
      </c>
      <c r="K4367">
        <f t="shared" si="1846"/>
        <v>1.31</v>
      </c>
      <c r="L4367">
        <f t="shared" si="1847"/>
        <v>1.2850000000000001</v>
      </c>
      <c r="M4367">
        <f t="shared" si="1848"/>
        <v>2.5000000000000022E-2</v>
      </c>
      <c r="N4367">
        <f t="shared" si="1852"/>
        <v>5.0000000000000044E-2</v>
      </c>
      <c r="O4367">
        <f t="shared" si="1849"/>
        <v>1.3</v>
      </c>
      <c r="P4367">
        <f t="shared" si="1850"/>
        <v>0.59999999999999554</v>
      </c>
      <c r="Q4367" t="str">
        <f t="shared" si="1853"/>
        <v>3.08% | 0.77%</v>
      </c>
      <c r="R4367" t="str">
        <f t="shared" si="1851"/>
        <v>NEUTRAL</v>
      </c>
      <c r="S4367">
        <f t="shared" si="1854"/>
        <v>0</v>
      </c>
    </row>
    <row r="4368" spans="1:19" hidden="1" x14ac:dyDescent="0.25">
      <c r="A4368" s="5" t="str">
        <f t="shared" si="1855"/>
        <v>44092USD/CHF</v>
      </c>
      <c r="B4368" s="6" t="s">
        <v>178</v>
      </c>
      <c r="C4368" s="6">
        <v>0.89</v>
      </c>
      <c r="D4368" s="6">
        <v>0.91</v>
      </c>
      <c r="E4368" s="6">
        <v>0.9</v>
      </c>
      <c r="F4368" t="str">
        <f t="shared" si="1841"/>
        <v>FRI</v>
      </c>
      <c r="G4368" s="3">
        <f t="shared" si="1842"/>
        <v>44092</v>
      </c>
      <c r="H4368" s="2">
        <f t="shared" ca="1" si="1843"/>
        <v>161</v>
      </c>
      <c r="I4368" t="str">
        <f t="shared" si="1844"/>
        <v>USD/CHF</v>
      </c>
      <c r="J4368">
        <f t="shared" si="1845"/>
        <v>0.89</v>
      </c>
      <c r="K4368">
        <f t="shared" si="1846"/>
        <v>0.91</v>
      </c>
      <c r="L4368">
        <f t="shared" si="1847"/>
        <v>0.9</v>
      </c>
      <c r="M4368">
        <f t="shared" si="1848"/>
        <v>1.0000000000000009E-2</v>
      </c>
      <c r="N4368">
        <f t="shared" si="1852"/>
        <v>2.0000000000000018E-2</v>
      </c>
      <c r="O4368">
        <f t="shared" si="1849"/>
        <v>0.9</v>
      </c>
      <c r="P4368">
        <f t="shared" si="1850"/>
        <v>0</v>
      </c>
      <c r="Q4368" t="str">
        <f t="shared" si="1853"/>
        <v>1.11% | 1.11%</v>
      </c>
      <c r="R4368" t="str">
        <f t="shared" si="1851"/>
        <v>BEARISH</v>
      </c>
      <c r="S4368">
        <f t="shared" si="1854"/>
        <v>-1</v>
      </c>
    </row>
    <row r="4369" spans="1:19" hidden="1" x14ac:dyDescent="0.25">
      <c r="A4369" s="5" t="str">
        <f t="shared" si="1855"/>
        <v>44092WTIC</v>
      </c>
      <c r="B4369" s="6" t="s">
        <v>205</v>
      </c>
      <c r="C4369" s="6">
        <v>35.159999999999997</v>
      </c>
      <c r="D4369" s="6">
        <v>41.46</v>
      </c>
      <c r="E4369" s="6">
        <v>40.97</v>
      </c>
      <c r="F4369" t="str">
        <f t="shared" si="1841"/>
        <v>FRI</v>
      </c>
      <c r="G4369" s="3">
        <f t="shared" si="1842"/>
        <v>44092</v>
      </c>
      <c r="H4369" s="2">
        <f t="shared" ca="1" si="1843"/>
        <v>161</v>
      </c>
      <c r="I4369" t="str">
        <f t="shared" si="1844"/>
        <v>WTIC</v>
      </c>
      <c r="J4369">
        <f t="shared" si="1845"/>
        <v>35.159999999999997</v>
      </c>
      <c r="K4369">
        <f t="shared" si="1846"/>
        <v>41.46</v>
      </c>
      <c r="L4369">
        <f t="shared" si="1847"/>
        <v>38.31</v>
      </c>
      <c r="M4369">
        <f t="shared" si="1848"/>
        <v>3.1500000000000021</v>
      </c>
      <c r="N4369">
        <f t="shared" si="1852"/>
        <v>6.3000000000000043</v>
      </c>
      <c r="O4369">
        <f t="shared" si="1849"/>
        <v>40.97</v>
      </c>
      <c r="P4369">
        <f t="shared" si="1850"/>
        <v>0.84444444444444278</v>
      </c>
      <c r="Q4369" t="str">
        <f t="shared" si="1853"/>
        <v>14.18% | 1.2%</v>
      </c>
      <c r="R4369" t="str">
        <f t="shared" si="1851"/>
        <v>NEUTRAL</v>
      </c>
      <c r="S4369">
        <f t="shared" si="1854"/>
        <v>0</v>
      </c>
    </row>
    <row r="4370" spans="1:19" hidden="1" x14ac:dyDescent="0.25">
      <c r="A4370" s="5" t="str">
        <f t="shared" si="1855"/>
        <v>44092NATGAS</v>
      </c>
      <c r="B4370" s="6" t="s">
        <v>222</v>
      </c>
      <c r="C4370" s="6">
        <v>1.99</v>
      </c>
      <c r="D4370" s="6">
        <v>2.33</v>
      </c>
      <c r="E4370" s="6">
        <v>2.04</v>
      </c>
      <c r="F4370" t="str">
        <f t="shared" si="1841"/>
        <v>FRI</v>
      </c>
      <c r="G4370" s="3">
        <f t="shared" si="1842"/>
        <v>44092</v>
      </c>
      <c r="H4370" s="2">
        <f t="shared" ca="1" si="1843"/>
        <v>161</v>
      </c>
      <c r="I4370" t="str">
        <f t="shared" si="1844"/>
        <v>NATGAS</v>
      </c>
      <c r="J4370">
        <f t="shared" si="1845"/>
        <v>1.99</v>
      </c>
      <c r="K4370">
        <f t="shared" si="1846"/>
        <v>2.33</v>
      </c>
      <c r="L4370">
        <f t="shared" si="1847"/>
        <v>2.16</v>
      </c>
      <c r="M4370">
        <f t="shared" si="1848"/>
        <v>0.17000000000000004</v>
      </c>
      <c r="N4370">
        <f t="shared" si="1852"/>
        <v>0.34000000000000008</v>
      </c>
      <c r="O4370">
        <f t="shared" si="1849"/>
        <v>2.04</v>
      </c>
      <c r="P4370">
        <f t="shared" si="1850"/>
        <v>-0.70588235294117696</v>
      </c>
      <c r="Q4370" t="str">
        <f t="shared" si="1853"/>
        <v>2.45% | 14.22%</v>
      </c>
      <c r="R4370" t="str">
        <f t="shared" si="1851"/>
        <v>BEARISH</v>
      </c>
      <c r="S4370">
        <f t="shared" si="1854"/>
        <v>-1</v>
      </c>
    </row>
    <row r="4371" spans="1:19" hidden="1" x14ac:dyDescent="0.25">
      <c r="A4371" s="5" t="str">
        <f t="shared" si="1855"/>
        <v>44092GOLD</v>
      </c>
      <c r="B4371" s="6" t="s">
        <v>181</v>
      </c>
      <c r="C4371" s="6">
        <v>1930</v>
      </c>
      <c r="D4371" s="6">
        <v>1980</v>
      </c>
      <c r="E4371" s="6">
        <v>1949</v>
      </c>
      <c r="F4371" t="str">
        <f t="shared" si="1841"/>
        <v>FRI</v>
      </c>
      <c r="G4371" s="3">
        <f t="shared" si="1842"/>
        <v>44092</v>
      </c>
      <c r="H4371" s="2">
        <f t="shared" ca="1" si="1843"/>
        <v>161</v>
      </c>
      <c r="I4371" t="str">
        <f t="shared" si="1844"/>
        <v>GOLD</v>
      </c>
      <c r="J4371">
        <f t="shared" si="1845"/>
        <v>1930</v>
      </c>
      <c r="K4371">
        <f t="shared" si="1846"/>
        <v>1980</v>
      </c>
      <c r="L4371">
        <f t="shared" si="1847"/>
        <v>1955</v>
      </c>
      <c r="M4371">
        <f t="shared" si="1848"/>
        <v>25</v>
      </c>
      <c r="N4371">
        <f t="shared" si="1852"/>
        <v>50</v>
      </c>
      <c r="O4371">
        <f t="shared" si="1849"/>
        <v>1949</v>
      </c>
      <c r="P4371">
        <f t="shared" si="1850"/>
        <v>-0.24</v>
      </c>
      <c r="Q4371" t="str">
        <f t="shared" si="1853"/>
        <v>0.97% | 1.59%</v>
      </c>
      <c r="R4371" t="str">
        <f t="shared" si="1851"/>
        <v>BULLISH</v>
      </c>
      <c r="S4371">
        <f t="shared" si="1854"/>
        <v>1</v>
      </c>
    </row>
    <row r="4372" spans="1:19" hidden="1" x14ac:dyDescent="0.25">
      <c r="A4372" s="5" t="str">
        <f t="shared" si="1855"/>
        <v>44092SILVER</v>
      </c>
      <c r="B4372" s="6" t="s">
        <v>199</v>
      </c>
      <c r="C4372" s="6">
        <v>26.34</v>
      </c>
      <c r="D4372" s="6">
        <v>27.85</v>
      </c>
      <c r="E4372" s="6">
        <v>27.1</v>
      </c>
      <c r="F4372" t="str">
        <f t="shared" si="1841"/>
        <v>FRI</v>
      </c>
      <c r="G4372" s="3">
        <f t="shared" si="1842"/>
        <v>44092</v>
      </c>
      <c r="H4372" s="2">
        <f t="shared" ca="1" si="1843"/>
        <v>161</v>
      </c>
      <c r="I4372" t="str">
        <f t="shared" si="1844"/>
        <v>SILVER</v>
      </c>
      <c r="J4372">
        <f t="shared" si="1845"/>
        <v>26.34</v>
      </c>
      <c r="K4372">
        <f t="shared" si="1846"/>
        <v>27.85</v>
      </c>
      <c r="L4372">
        <f t="shared" si="1847"/>
        <v>27.094999999999999</v>
      </c>
      <c r="M4372">
        <f t="shared" si="1848"/>
        <v>0.75500000000000078</v>
      </c>
      <c r="N4372">
        <f t="shared" si="1852"/>
        <v>1.5100000000000016</v>
      </c>
      <c r="O4372">
        <f t="shared" si="1849"/>
        <v>27.1</v>
      </c>
      <c r="P4372">
        <f t="shared" si="1850"/>
        <v>6.6225165562947717E-3</v>
      </c>
      <c r="Q4372" t="str">
        <f t="shared" si="1853"/>
        <v>2.8% | 2.77%</v>
      </c>
      <c r="R4372" t="str">
        <f t="shared" si="1851"/>
        <v>BULLISH</v>
      </c>
      <c r="S4372">
        <f t="shared" si="1854"/>
        <v>1</v>
      </c>
    </row>
    <row r="4373" spans="1:19" hidden="1" x14ac:dyDescent="0.25">
      <c r="A4373" s="5" t="str">
        <f t="shared" si="1855"/>
        <v>44092COPPER</v>
      </c>
      <c r="B4373" s="6" t="s">
        <v>182</v>
      </c>
      <c r="C4373" s="6">
        <v>2.98</v>
      </c>
      <c r="D4373" s="6">
        <v>3.1</v>
      </c>
      <c r="E4373" s="6">
        <v>3.07</v>
      </c>
      <c r="F4373" t="str">
        <f t="shared" si="1841"/>
        <v>FRI</v>
      </c>
      <c r="G4373" s="3">
        <f t="shared" si="1842"/>
        <v>44092</v>
      </c>
      <c r="H4373" s="2">
        <f t="shared" ca="1" si="1843"/>
        <v>161</v>
      </c>
      <c r="I4373" t="str">
        <f t="shared" si="1844"/>
        <v>COPPER</v>
      </c>
      <c r="J4373">
        <f t="shared" si="1845"/>
        <v>2.98</v>
      </c>
      <c r="K4373">
        <f t="shared" si="1846"/>
        <v>3.1</v>
      </c>
      <c r="L4373">
        <f t="shared" si="1847"/>
        <v>3.04</v>
      </c>
      <c r="M4373">
        <f t="shared" si="1848"/>
        <v>6.0000000000000053E-2</v>
      </c>
      <c r="N4373">
        <f t="shared" si="1852"/>
        <v>0.12000000000000011</v>
      </c>
      <c r="O4373">
        <f t="shared" si="1849"/>
        <v>3.07</v>
      </c>
      <c r="P4373">
        <f t="shared" si="1850"/>
        <v>0.49999999999999628</v>
      </c>
      <c r="Q4373" t="str">
        <f t="shared" si="1853"/>
        <v>2.93% | 0.98%</v>
      </c>
      <c r="R4373" t="str">
        <f t="shared" si="1851"/>
        <v>BULLISH</v>
      </c>
      <c r="S4373">
        <f t="shared" si="1854"/>
        <v>1</v>
      </c>
    </row>
    <row r="4374" spans="1:19" hidden="1" x14ac:dyDescent="0.25">
      <c r="A4374" s="5" t="str">
        <f t="shared" si="1855"/>
        <v>44092MSFT</v>
      </c>
      <c r="B4374" s="6" t="s">
        <v>219</v>
      </c>
      <c r="C4374" s="6">
        <v>197</v>
      </c>
      <c r="D4374" s="6">
        <v>211</v>
      </c>
      <c r="E4374" s="6">
        <v>202</v>
      </c>
      <c r="F4374" t="str">
        <f t="shared" si="1841"/>
        <v>FRI</v>
      </c>
      <c r="G4374" s="3">
        <f t="shared" si="1842"/>
        <v>44092</v>
      </c>
      <c r="H4374" s="2">
        <f t="shared" ca="1" si="1843"/>
        <v>161</v>
      </c>
      <c r="I4374" t="str">
        <f t="shared" si="1844"/>
        <v>MSFT</v>
      </c>
      <c r="J4374">
        <f t="shared" si="1845"/>
        <v>197</v>
      </c>
      <c r="K4374">
        <f t="shared" si="1846"/>
        <v>211</v>
      </c>
      <c r="L4374">
        <f t="shared" si="1847"/>
        <v>204</v>
      </c>
      <c r="M4374">
        <f t="shared" si="1848"/>
        <v>7</v>
      </c>
      <c r="N4374">
        <f t="shared" si="1852"/>
        <v>14</v>
      </c>
      <c r="O4374">
        <f t="shared" si="1849"/>
        <v>202</v>
      </c>
      <c r="P4374">
        <f t="shared" si="1850"/>
        <v>-0.2857142857142857</v>
      </c>
      <c r="Q4374" t="str">
        <f t="shared" si="1853"/>
        <v>2.48% | 4.46%</v>
      </c>
      <c r="R4374" t="str">
        <f t="shared" si="1851"/>
        <v>BEARISH</v>
      </c>
      <c r="S4374">
        <f t="shared" si="1854"/>
        <v>-1</v>
      </c>
    </row>
    <row r="4375" spans="1:19" hidden="1" x14ac:dyDescent="0.25">
      <c r="A4375" s="5" t="str">
        <f t="shared" si="1855"/>
        <v>44092AAPL</v>
      </c>
      <c r="B4375" s="6" t="s">
        <v>220</v>
      </c>
      <c r="C4375" s="6">
        <v>103</v>
      </c>
      <c r="D4375" s="6">
        <v>116</v>
      </c>
      <c r="E4375" s="6">
        <v>110</v>
      </c>
      <c r="F4375" t="str">
        <f t="shared" si="1841"/>
        <v>FRI</v>
      </c>
      <c r="G4375" s="3">
        <f t="shared" si="1842"/>
        <v>44092</v>
      </c>
      <c r="H4375" s="2">
        <f t="shared" ca="1" si="1843"/>
        <v>161</v>
      </c>
      <c r="I4375" t="str">
        <f t="shared" si="1844"/>
        <v>AAPL</v>
      </c>
      <c r="J4375">
        <f t="shared" si="1845"/>
        <v>103</v>
      </c>
      <c r="K4375">
        <f t="shared" si="1846"/>
        <v>116</v>
      </c>
      <c r="L4375">
        <f t="shared" si="1847"/>
        <v>109.5</v>
      </c>
      <c r="M4375">
        <f t="shared" si="1848"/>
        <v>6.5</v>
      </c>
      <c r="N4375">
        <f t="shared" si="1852"/>
        <v>13</v>
      </c>
      <c r="O4375">
        <f t="shared" si="1849"/>
        <v>110</v>
      </c>
      <c r="P4375">
        <f t="shared" si="1850"/>
        <v>7.6923076923076927E-2</v>
      </c>
      <c r="Q4375" t="str">
        <f t="shared" si="1853"/>
        <v>6.36% | 5.45%</v>
      </c>
      <c r="R4375" t="str">
        <f t="shared" si="1851"/>
        <v>BEARISH</v>
      </c>
      <c r="S4375">
        <f t="shared" si="1854"/>
        <v>-1</v>
      </c>
    </row>
    <row r="4376" spans="1:19" hidden="1" x14ac:dyDescent="0.25">
      <c r="A4376" s="5" t="str">
        <f t="shared" si="1855"/>
        <v>44092AMZN</v>
      </c>
      <c r="B4376" s="6" t="s">
        <v>216</v>
      </c>
      <c r="C4376" s="6">
        <v>2973</v>
      </c>
      <c r="D4376" s="6">
        <v>3207</v>
      </c>
      <c r="E4376" s="6">
        <v>3008</v>
      </c>
      <c r="F4376" t="str">
        <f t="shared" si="1841"/>
        <v>FRI</v>
      </c>
      <c r="G4376" s="3">
        <f t="shared" si="1842"/>
        <v>44092</v>
      </c>
      <c r="H4376" s="2">
        <f t="shared" ca="1" si="1843"/>
        <v>161</v>
      </c>
      <c r="I4376" t="str">
        <f t="shared" si="1844"/>
        <v>AMZN</v>
      </c>
      <c r="J4376">
        <f t="shared" si="1845"/>
        <v>2973</v>
      </c>
      <c r="K4376">
        <f t="shared" si="1846"/>
        <v>3207</v>
      </c>
      <c r="L4376">
        <f t="shared" si="1847"/>
        <v>3090</v>
      </c>
      <c r="M4376">
        <f t="shared" si="1848"/>
        <v>117</v>
      </c>
      <c r="N4376">
        <f t="shared" si="1852"/>
        <v>234</v>
      </c>
      <c r="O4376">
        <f t="shared" si="1849"/>
        <v>3008</v>
      </c>
      <c r="P4376">
        <f t="shared" si="1850"/>
        <v>-0.70085470085470081</v>
      </c>
      <c r="Q4376" t="str">
        <f t="shared" si="1853"/>
        <v>1.16% | 6.62%</v>
      </c>
      <c r="R4376" t="str">
        <f t="shared" si="1851"/>
        <v>NEUTRAL</v>
      </c>
      <c r="S4376">
        <f t="shared" si="1854"/>
        <v>0</v>
      </c>
    </row>
    <row r="4377" spans="1:19" hidden="1" x14ac:dyDescent="0.25">
      <c r="A4377" s="5" t="str">
        <f t="shared" si="1855"/>
        <v>44092FB</v>
      </c>
      <c r="B4377" s="6" t="s">
        <v>223</v>
      </c>
      <c r="C4377" s="6">
        <v>250</v>
      </c>
      <c r="D4377" s="6">
        <v>271</v>
      </c>
      <c r="E4377" s="6">
        <v>254</v>
      </c>
      <c r="F4377" t="str">
        <f t="shared" si="1841"/>
        <v>FRI</v>
      </c>
      <c r="G4377" s="3">
        <f t="shared" si="1842"/>
        <v>44092</v>
      </c>
      <c r="H4377" s="2">
        <f t="shared" ca="1" si="1843"/>
        <v>161</v>
      </c>
      <c r="I4377" t="str">
        <f t="shared" si="1844"/>
        <v>FB</v>
      </c>
      <c r="J4377">
        <f t="shared" si="1845"/>
        <v>250</v>
      </c>
      <c r="K4377">
        <f t="shared" si="1846"/>
        <v>271</v>
      </c>
      <c r="L4377">
        <f t="shared" si="1847"/>
        <v>260.5</v>
      </c>
      <c r="M4377">
        <f t="shared" si="1848"/>
        <v>10.5</v>
      </c>
      <c r="N4377">
        <f t="shared" si="1852"/>
        <v>21</v>
      </c>
      <c r="O4377">
        <f t="shared" si="1849"/>
        <v>254</v>
      </c>
      <c r="P4377">
        <f t="shared" si="1850"/>
        <v>-0.61904761904761907</v>
      </c>
      <c r="Q4377" t="str">
        <f t="shared" si="1853"/>
        <v>1.57% | 6.69%</v>
      </c>
      <c r="R4377" t="str">
        <f t="shared" si="1851"/>
        <v>NEUTRAL</v>
      </c>
      <c r="S4377">
        <f t="shared" si="1854"/>
        <v>0</v>
      </c>
    </row>
    <row r="4378" spans="1:19" hidden="1" x14ac:dyDescent="0.25">
      <c r="A4378" s="5" t="str">
        <f t="shared" si="1855"/>
        <v>44092GOOGL</v>
      </c>
      <c r="B4378" s="6" t="s">
        <v>221</v>
      </c>
      <c r="C4378" s="6">
        <v>1446</v>
      </c>
      <c r="D4378" s="6">
        <v>1566</v>
      </c>
      <c r="E4378" s="6">
        <v>1487</v>
      </c>
      <c r="F4378" t="str">
        <f t="shared" si="1841"/>
        <v>FRI</v>
      </c>
      <c r="G4378" s="3">
        <f t="shared" si="1842"/>
        <v>44092</v>
      </c>
      <c r="H4378" s="2">
        <f t="shared" ca="1" si="1843"/>
        <v>161</v>
      </c>
      <c r="I4378" t="str">
        <f t="shared" si="1844"/>
        <v>GOOGL</v>
      </c>
      <c r="J4378">
        <f t="shared" si="1845"/>
        <v>1446</v>
      </c>
      <c r="K4378">
        <f t="shared" si="1846"/>
        <v>1566</v>
      </c>
      <c r="L4378">
        <f t="shared" si="1847"/>
        <v>1506</v>
      </c>
      <c r="M4378">
        <f t="shared" si="1848"/>
        <v>60</v>
      </c>
      <c r="N4378">
        <f t="shared" si="1852"/>
        <v>120</v>
      </c>
      <c r="O4378">
        <f t="shared" si="1849"/>
        <v>1487</v>
      </c>
      <c r="P4378">
        <f t="shared" si="1850"/>
        <v>-0.31666666666666665</v>
      </c>
      <c r="Q4378" t="str">
        <f t="shared" si="1853"/>
        <v>2.76% | 5.31%</v>
      </c>
      <c r="R4378" t="str">
        <f t="shared" si="1851"/>
        <v>BEARISH</v>
      </c>
      <c r="S4378">
        <f t="shared" si="1854"/>
        <v>-1</v>
      </c>
    </row>
    <row r="4379" spans="1:19" hidden="1" x14ac:dyDescent="0.25">
      <c r="A4379" s="5" t="str">
        <f t="shared" si="1855"/>
        <v>44092NFLX</v>
      </c>
      <c r="B4379" s="6" t="s">
        <v>213</v>
      </c>
      <c r="C4379" s="6">
        <v>451</v>
      </c>
      <c r="D4379" s="6">
        <v>497</v>
      </c>
      <c r="E4379" s="6">
        <v>470</v>
      </c>
      <c r="F4379" t="str">
        <f t="shared" si="1841"/>
        <v>FRI</v>
      </c>
      <c r="G4379" s="3">
        <f t="shared" si="1842"/>
        <v>44092</v>
      </c>
      <c r="H4379" s="2">
        <f t="shared" ca="1" si="1843"/>
        <v>161</v>
      </c>
      <c r="I4379" t="str">
        <f t="shared" si="1844"/>
        <v>NFLX</v>
      </c>
      <c r="J4379">
        <f t="shared" si="1845"/>
        <v>451</v>
      </c>
      <c r="K4379">
        <f t="shared" si="1846"/>
        <v>497</v>
      </c>
      <c r="L4379">
        <f t="shared" si="1847"/>
        <v>474</v>
      </c>
      <c r="M4379">
        <f t="shared" si="1848"/>
        <v>23</v>
      </c>
      <c r="N4379">
        <f t="shared" si="1852"/>
        <v>46</v>
      </c>
      <c r="O4379">
        <f t="shared" si="1849"/>
        <v>470</v>
      </c>
      <c r="P4379">
        <f t="shared" si="1850"/>
        <v>-0.17391304347826086</v>
      </c>
      <c r="Q4379" t="str">
        <f t="shared" si="1853"/>
        <v>4.04% | 5.74%</v>
      </c>
      <c r="R4379" t="str">
        <f t="shared" si="1851"/>
        <v>BEARISH</v>
      </c>
      <c r="S4379">
        <f t="shared" si="1854"/>
        <v>-1</v>
      </c>
    </row>
    <row r="4380" spans="1:19" x14ac:dyDescent="0.25">
      <c r="A4380" s="5" t="str">
        <f t="shared" si="1855"/>
        <v>44092TSLA</v>
      </c>
      <c r="B4380" s="6" t="s">
        <v>189</v>
      </c>
      <c r="C4380" s="6">
        <v>322</v>
      </c>
      <c r="D4380" s="6">
        <v>476</v>
      </c>
      <c r="E4380" s="6">
        <v>423</v>
      </c>
      <c r="F4380" t="str">
        <f t="shared" si="1841"/>
        <v>FRI</v>
      </c>
      <c r="G4380" s="3">
        <f t="shared" si="1842"/>
        <v>44092</v>
      </c>
      <c r="H4380" s="2">
        <f t="shared" ca="1" si="1843"/>
        <v>161</v>
      </c>
      <c r="I4380" t="str">
        <f t="shared" si="1844"/>
        <v>TSLA</v>
      </c>
      <c r="J4380">
        <f t="shared" si="1845"/>
        <v>322</v>
      </c>
      <c r="K4380">
        <f t="shared" si="1846"/>
        <v>476</v>
      </c>
      <c r="L4380">
        <f t="shared" si="1847"/>
        <v>399</v>
      </c>
      <c r="M4380">
        <f t="shared" si="1848"/>
        <v>77</v>
      </c>
      <c r="N4380">
        <f t="shared" si="1852"/>
        <v>154</v>
      </c>
      <c r="O4380">
        <f t="shared" si="1849"/>
        <v>423</v>
      </c>
      <c r="P4380">
        <f t="shared" si="1850"/>
        <v>0.31168831168831168</v>
      </c>
      <c r="Q4380" t="str">
        <f t="shared" si="1853"/>
        <v>23.88% | 12.53%</v>
      </c>
      <c r="R4380" t="str">
        <f t="shared" si="1851"/>
        <v>BULLISH</v>
      </c>
      <c r="S4380">
        <f t="shared" si="1854"/>
        <v>1</v>
      </c>
    </row>
    <row r="4381" spans="1:19" hidden="1" x14ac:dyDescent="0.25">
      <c r="A4381" s="5" t="str">
        <f t="shared" si="1855"/>
        <v>44092NYXBT</v>
      </c>
      <c r="B4381" s="6" t="s">
        <v>190</v>
      </c>
      <c r="C4381" s="6">
        <v>9920</v>
      </c>
      <c r="D4381" s="6">
        <v>11071</v>
      </c>
      <c r="E4381" s="6">
        <v>10832</v>
      </c>
      <c r="F4381" t="str">
        <f t="shared" si="1841"/>
        <v>FRI</v>
      </c>
      <c r="G4381" s="3">
        <f t="shared" si="1842"/>
        <v>44092</v>
      </c>
      <c r="H4381" s="2">
        <f t="shared" ca="1" si="1843"/>
        <v>161</v>
      </c>
      <c r="I4381" t="str">
        <f t="shared" si="1844"/>
        <v>NYXBT</v>
      </c>
      <c r="J4381">
        <f t="shared" si="1845"/>
        <v>9920</v>
      </c>
      <c r="K4381">
        <f t="shared" si="1846"/>
        <v>11071</v>
      </c>
      <c r="L4381">
        <f t="shared" si="1847"/>
        <v>10495.5</v>
      </c>
      <c r="M4381">
        <f t="shared" si="1848"/>
        <v>575.5</v>
      </c>
      <c r="N4381">
        <f t="shared" si="1852"/>
        <v>1151</v>
      </c>
      <c r="O4381">
        <f t="shared" si="1849"/>
        <v>10832</v>
      </c>
      <c r="P4381">
        <f t="shared" si="1850"/>
        <v>0.58470894874022594</v>
      </c>
      <c r="Q4381" t="str">
        <f t="shared" si="1853"/>
        <v>8.42% | 2.21%</v>
      </c>
      <c r="R4381" t="str">
        <f t="shared" si="1851"/>
        <v>BULLISH</v>
      </c>
      <c r="S4381">
        <f t="shared" si="1854"/>
        <v>1</v>
      </c>
    </row>
    <row r="4382" spans="1:19" hidden="1" x14ac:dyDescent="0.25">
      <c r="A4382" s="5" t="str">
        <f t="shared" si="1855"/>
        <v>44095UST10Y</v>
      </c>
      <c r="B4382" s="6" t="s">
        <v>161</v>
      </c>
      <c r="C4382" s="6">
        <v>0.71</v>
      </c>
      <c r="D4382" s="6">
        <v>0.63</v>
      </c>
      <c r="E4382" s="6">
        <v>0.7</v>
      </c>
      <c r="F4382" t="str">
        <f t="shared" si="1841"/>
        <v>MON</v>
      </c>
      <c r="G4382" s="1">
        <f>DATE(2020,9,21)</f>
        <v>44095</v>
      </c>
      <c r="H4382" s="2">
        <f t="shared" ca="1" si="1843"/>
        <v>158</v>
      </c>
      <c r="I4382" t="str">
        <f t="shared" si="1844"/>
        <v>UST10Y</v>
      </c>
      <c r="J4382">
        <f t="shared" si="1845"/>
        <v>0.71</v>
      </c>
      <c r="K4382">
        <f t="shared" si="1846"/>
        <v>0.63</v>
      </c>
      <c r="L4382">
        <f t="shared" si="1847"/>
        <v>0.66999999999999993</v>
      </c>
      <c r="M4382">
        <f t="shared" si="1848"/>
        <v>3.999999999999998E-2</v>
      </c>
      <c r="N4382">
        <f t="shared" si="1852"/>
        <v>7.999999999999996E-2</v>
      </c>
      <c r="O4382">
        <f t="shared" si="1849"/>
        <v>0.7</v>
      </c>
      <c r="P4382">
        <f t="shared" si="1850"/>
        <v>0.750000000000001</v>
      </c>
      <c r="Q4382" t="str">
        <f t="shared" si="1853"/>
        <v>1.43% | 10%</v>
      </c>
      <c r="R4382" t="str">
        <f t="shared" si="1851"/>
        <v>BEARISH</v>
      </c>
      <c r="S4382">
        <f t="shared" si="1854"/>
        <v>-1</v>
      </c>
    </row>
    <row r="4383" spans="1:19" hidden="1" x14ac:dyDescent="0.25">
      <c r="A4383" s="5" t="str">
        <f t="shared" si="1855"/>
        <v>44095UST2Y</v>
      </c>
      <c r="B4383" s="6" t="s">
        <v>162</v>
      </c>
      <c r="C4383" s="6">
        <v>0.15</v>
      </c>
      <c r="D4383" s="6">
        <v>0.1</v>
      </c>
      <c r="E4383" s="6">
        <v>0.14000000000000001</v>
      </c>
      <c r="F4383" t="str">
        <f t="shared" ref="F4383:F4413" si="1856">UPPER(TEXT(G4383,"ddd"))</f>
        <v>MON</v>
      </c>
      <c r="G4383" s="1">
        <f t="shared" ref="G4383:G4412" si="1857">DATE(2020,9,21)</f>
        <v>44095</v>
      </c>
      <c r="H4383" s="2">
        <f t="shared" ref="H4383:H4413" ca="1" si="1858">TODAY()-G4383</f>
        <v>158</v>
      </c>
      <c r="I4383" t="str">
        <f t="shared" ref="I4383:I4413" si="1859">TRIM(LEFT(B4383,FIND(" ",B4383,1)))</f>
        <v>UST2Y</v>
      </c>
      <c r="J4383">
        <f t="shared" ref="J4383:J4413" si="1860">C4383</f>
        <v>0.15</v>
      </c>
      <c r="K4383">
        <f t="shared" ref="K4383:K4413" si="1861">D4383</f>
        <v>0.1</v>
      </c>
      <c r="L4383">
        <f t="shared" ref="L4383:L4413" si="1862">AVERAGE(J4383:K4383)</f>
        <v>0.125</v>
      </c>
      <c r="M4383">
        <f t="shared" ref="M4383:M4413" si="1863">_xlfn.STDEV.P(J4383:K4383)</f>
        <v>2.5000000000000012E-2</v>
      </c>
      <c r="N4383">
        <f t="shared" si="1852"/>
        <v>4.9999999999999989E-2</v>
      </c>
      <c r="O4383">
        <f t="shared" ref="O4383:O4413" si="1864">E4383</f>
        <v>0.14000000000000001</v>
      </c>
      <c r="P4383">
        <f t="shared" ref="P4383:P4413" si="1865">(O4383-L4383)/M4383</f>
        <v>0.6000000000000002</v>
      </c>
      <c r="Q4383" t="str">
        <f t="shared" si="1853"/>
        <v>7.14% | 28.57%</v>
      </c>
      <c r="R4383" t="str">
        <f t="shared" ref="R4383:R4413" si="1866">MID(B4383,FIND("(",B4383,1)+1,FIND(")",B4383,1)-FIND("(",B4383,1)-1)</f>
        <v>BEARISH</v>
      </c>
      <c r="S4383">
        <f t="shared" si="1854"/>
        <v>-1</v>
      </c>
    </row>
    <row r="4384" spans="1:19" hidden="1" x14ac:dyDescent="0.25">
      <c r="A4384" s="5" t="str">
        <f t="shared" si="1855"/>
        <v>44095SPX</v>
      </c>
      <c r="B4384" s="6" t="s">
        <v>211</v>
      </c>
      <c r="C4384" s="6">
        <v>3263</v>
      </c>
      <c r="D4384" s="6">
        <v>3409</v>
      </c>
      <c r="E4384" s="6">
        <v>3319</v>
      </c>
      <c r="F4384" t="str">
        <f t="shared" si="1856"/>
        <v>MON</v>
      </c>
      <c r="G4384" s="1">
        <f t="shared" si="1857"/>
        <v>44095</v>
      </c>
      <c r="H4384" s="2">
        <f t="shared" ca="1" si="1858"/>
        <v>158</v>
      </c>
      <c r="I4384" t="str">
        <f t="shared" si="1859"/>
        <v>SPX</v>
      </c>
      <c r="J4384">
        <f t="shared" si="1860"/>
        <v>3263</v>
      </c>
      <c r="K4384">
        <f t="shared" si="1861"/>
        <v>3409</v>
      </c>
      <c r="L4384">
        <f t="shared" si="1862"/>
        <v>3336</v>
      </c>
      <c r="M4384">
        <f t="shared" si="1863"/>
        <v>73</v>
      </c>
      <c r="N4384">
        <f t="shared" si="1852"/>
        <v>146</v>
      </c>
      <c r="O4384">
        <f t="shared" si="1864"/>
        <v>3319</v>
      </c>
      <c r="P4384">
        <f t="shared" si="1865"/>
        <v>-0.23287671232876711</v>
      </c>
      <c r="Q4384" t="str">
        <f t="shared" si="1853"/>
        <v>1.69% | 2.71%</v>
      </c>
      <c r="R4384" t="str">
        <f t="shared" si="1866"/>
        <v>BEARISH</v>
      </c>
      <c r="S4384">
        <f t="shared" si="1854"/>
        <v>-1</v>
      </c>
    </row>
    <row r="4385" spans="1:19" hidden="1" x14ac:dyDescent="0.25">
      <c r="A4385" s="5" t="str">
        <f t="shared" si="1855"/>
        <v>44095RUT</v>
      </c>
      <c r="B4385" s="6" t="s">
        <v>164</v>
      </c>
      <c r="C4385" s="6">
        <v>1485</v>
      </c>
      <c r="D4385" s="6">
        <v>1557</v>
      </c>
      <c r="E4385" s="6">
        <v>1536</v>
      </c>
      <c r="F4385" t="str">
        <f t="shared" si="1856"/>
        <v>MON</v>
      </c>
      <c r="G4385" s="1">
        <f t="shared" si="1857"/>
        <v>44095</v>
      </c>
      <c r="H4385" s="2">
        <f t="shared" ca="1" si="1858"/>
        <v>158</v>
      </c>
      <c r="I4385" t="str">
        <f t="shared" si="1859"/>
        <v>RUT</v>
      </c>
      <c r="J4385">
        <f t="shared" si="1860"/>
        <v>1485</v>
      </c>
      <c r="K4385">
        <f t="shared" si="1861"/>
        <v>1557</v>
      </c>
      <c r="L4385">
        <f t="shared" si="1862"/>
        <v>1521</v>
      </c>
      <c r="M4385">
        <f t="shared" si="1863"/>
        <v>36</v>
      </c>
      <c r="N4385">
        <f t="shared" si="1852"/>
        <v>72</v>
      </c>
      <c r="O4385">
        <f t="shared" si="1864"/>
        <v>1536</v>
      </c>
      <c r="P4385">
        <f t="shared" si="1865"/>
        <v>0.41666666666666669</v>
      </c>
      <c r="Q4385" t="str">
        <f t="shared" si="1853"/>
        <v>3.32% | 1.37%</v>
      </c>
      <c r="R4385" t="str">
        <f t="shared" si="1866"/>
        <v>BEARISH</v>
      </c>
      <c r="S4385">
        <f t="shared" si="1854"/>
        <v>-1</v>
      </c>
    </row>
    <row r="4386" spans="1:19" hidden="1" x14ac:dyDescent="0.25">
      <c r="A4386" s="5" t="str">
        <f t="shared" si="1855"/>
        <v>44095COMPQ</v>
      </c>
      <c r="B4386" s="6" t="s">
        <v>217</v>
      </c>
      <c r="C4386" s="6">
        <v>10585</v>
      </c>
      <c r="D4386" s="6">
        <v>11239</v>
      </c>
      <c r="E4386" s="6">
        <v>10793</v>
      </c>
      <c r="F4386" t="str">
        <f t="shared" si="1856"/>
        <v>MON</v>
      </c>
      <c r="G4386" s="1">
        <f t="shared" si="1857"/>
        <v>44095</v>
      </c>
      <c r="H4386" s="2">
        <f t="shared" ca="1" si="1858"/>
        <v>158</v>
      </c>
      <c r="I4386" t="str">
        <f t="shared" si="1859"/>
        <v>COMPQ</v>
      </c>
      <c r="J4386">
        <f t="shared" si="1860"/>
        <v>10585</v>
      </c>
      <c r="K4386">
        <f t="shared" si="1861"/>
        <v>11239</v>
      </c>
      <c r="L4386">
        <f t="shared" si="1862"/>
        <v>10912</v>
      </c>
      <c r="M4386">
        <f t="shared" si="1863"/>
        <v>327</v>
      </c>
      <c r="N4386">
        <f t="shared" si="1852"/>
        <v>654</v>
      </c>
      <c r="O4386">
        <f t="shared" si="1864"/>
        <v>10793</v>
      </c>
      <c r="P4386">
        <f t="shared" si="1865"/>
        <v>-0.36391437308868502</v>
      </c>
      <c r="Q4386" t="str">
        <f t="shared" si="1853"/>
        <v>1.93% | 4.13%</v>
      </c>
      <c r="R4386" t="str">
        <f t="shared" si="1866"/>
        <v>BEARISH</v>
      </c>
      <c r="S4386">
        <f t="shared" si="1854"/>
        <v>-1</v>
      </c>
    </row>
    <row r="4387" spans="1:19" hidden="1" x14ac:dyDescent="0.25">
      <c r="A4387" s="5" t="str">
        <f t="shared" si="1855"/>
        <v>44095XLK</v>
      </c>
      <c r="B4387" s="6" t="s">
        <v>218</v>
      </c>
      <c r="C4387" s="6">
        <v>109.57</v>
      </c>
      <c r="D4387" s="6">
        <v>117.22</v>
      </c>
      <c r="E4387" s="6">
        <v>111.76</v>
      </c>
      <c r="F4387" t="str">
        <f t="shared" si="1856"/>
        <v>MON</v>
      </c>
      <c r="G4387" s="1">
        <f t="shared" si="1857"/>
        <v>44095</v>
      </c>
      <c r="H4387" s="2">
        <f t="shared" ca="1" si="1858"/>
        <v>158</v>
      </c>
      <c r="I4387" t="str">
        <f t="shared" si="1859"/>
        <v>XLK</v>
      </c>
      <c r="J4387">
        <f t="shared" si="1860"/>
        <v>109.57</v>
      </c>
      <c r="K4387">
        <f t="shared" si="1861"/>
        <v>117.22</v>
      </c>
      <c r="L4387">
        <f t="shared" si="1862"/>
        <v>113.395</v>
      </c>
      <c r="M4387">
        <f t="shared" si="1863"/>
        <v>3.8250000000000028</v>
      </c>
      <c r="N4387">
        <f t="shared" si="1852"/>
        <v>7.6500000000000057</v>
      </c>
      <c r="O4387">
        <f t="shared" si="1864"/>
        <v>111.76</v>
      </c>
      <c r="P4387">
        <f t="shared" si="1865"/>
        <v>-0.42745098039215418</v>
      </c>
      <c r="Q4387" t="str">
        <f t="shared" si="1853"/>
        <v>1.96% | 4.89%</v>
      </c>
      <c r="R4387" t="str">
        <f t="shared" si="1866"/>
        <v>BEARISH</v>
      </c>
      <c r="S4387">
        <f t="shared" si="1854"/>
        <v>-1</v>
      </c>
    </row>
    <row r="4388" spans="1:19" hidden="1" x14ac:dyDescent="0.25">
      <c r="A4388" s="5" t="str">
        <f t="shared" si="1855"/>
        <v>44095XLRE</v>
      </c>
      <c r="B4388" s="6" t="s">
        <v>167</v>
      </c>
      <c r="C4388" s="6">
        <v>35.01</v>
      </c>
      <c r="D4388" s="6">
        <v>37.270000000000003</v>
      </c>
      <c r="E4388" s="6">
        <v>35.6</v>
      </c>
      <c r="F4388" t="str">
        <f t="shared" si="1856"/>
        <v>MON</v>
      </c>
      <c r="G4388" s="1">
        <f t="shared" si="1857"/>
        <v>44095</v>
      </c>
      <c r="H4388" s="2">
        <f t="shared" ca="1" si="1858"/>
        <v>158</v>
      </c>
      <c r="I4388" t="str">
        <f t="shared" si="1859"/>
        <v>XLRE</v>
      </c>
      <c r="J4388">
        <f t="shared" si="1860"/>
        <v>35.01</v>
      </c>
      <c r="K4388">
        <f t="shared" si="1861"/>
        <v>37.270000000000003</v>
      </c>
      <c r="L4388">
        <f t="shared" si="1862"/>
        <v>36.14</v>
      </c>
      <c r="M4388">
        <f t="shared" si="1863"/>
        <v>1.1300000000000026</v>
      </c>
      <c r="N4388">
        <f t="shared" si="1852"/>
        <v>2.2600000000000051</v>
      </c>
      <c r="O4388">
        <f t="shared" si="1864"/>
        <v>35.6</v>
      </c>
      <c r="P4388">
        <f t="shared" si="1865"/>
        <v>-0.47787610619468845</v>
      </c>
      <c r="Q4388" t="str">
        <f t="shared" si="1853"/>
        <v>1.66% | 4.69%</v>
      </c>
      <c r="R4388" t="str">
        <f t="shared" si="1866"/>
        <v>BULLISH</v>
      </c>
      <c r="S4388">
        <f t="shared" si="1854"/>
        <v>1</v>
      </c>
    </row>
    <row r="4389" spans="1:19" hidden="1" x14ac:dyDescent="0.25">
      <c r="A4389" s="5" t="str">
        <f t="shared" si="1855"/>
        <v>44095XLU</v>
      </c>
      <c r="B4389" s="6" t="s">
        <v>168</v>
      </c>
      <c r="C4389" s="6">
        <v>58.09</v>
      </c>
      <c r="D4389" s="6">
        <v>60.55</v>
      </c>
      <c r="E4389" s="6">
        <v>58.52</v>
      </c>
      <c r="F4389" t="str">
        <f t="shared" si="1856"/>
        <v>MON</v>
      </c>
      <c r="G4389" s="1">
        <f t="shared" si="1857"/>
        <v>44095</v>
      </c>
      <c r="H4389" s="2">
        <f t="shared" ca="1" si="1858"/>
        <v>158</v>
      </c>
      <c r="I4389" t="str">
        <f t="shared" si="1859"/>
        <v>XLU</v>
      </c>
      <c r="J4389">
        <f t="shared" si="1860"/>
        <v>58.09</v>
      </c>
      <c r="K4389">
        <f t="shared" si="1861"/>
        <v>60.55</v>
      </c>
      <c r="L4389">
        <f t="shared" si="1862"/>
        <v>59.32</v>
      </c>
      <c r="M4389">
        <f t="shared" si="1863"/>
        <v>1.2299999999999969</v>
      </c>
      <c r="N4389">
        <f t="shared" si="1852"/>
        <v>2.4599999999999937</v>
      </c>
      <c r="O4389">
        <f t="shared" si="1864"/>
        <v>58.52</v>
      </c>
      <c r="P4389">
        <f t="shared" si="1865"/>
        <v>-0.65040650406503997</v>
      </c>
      <c r="Q4389" t="str">
        <f t="shared" si="1853"/>
        <v>0.73% | 3.47%</v>
      </c>
      <c r="R4389" t="str">
        <f t="shared" si="1866"/>
        <v>BULLISH</v>
      </c>
      <c r="S4389">
        <f t="shared" si="1854"/>
        <v>1</v>
      </c>
    </row>
    <row r="4390" spans="1:19" hidden="1" x14ac:dyDescent="0.25">
      <c r="A4390" s="5" t="str">
        <f t="shared" si="1855"/>
        <v>44095XLF</v>
      </c>
      <c r="B4390" s="6" t="s">
        <v>169</v>
      </c>
      <c r="C4390" s="6">
        <v>24.27</v>
      </c>
      <c r="D4390" s="6">
        <v>25.19</v>
      </c>
      <c r="E4390" s="6">
        <v>24.68</v>
      </c>
      <c r="F4390" t="str">
        <f t="shared" si="1856"/>
        <v>MON</v>
      </c>
      <c r="G4390" s="1">
        <f t="shared" si="1857"/>
        <v>44095</v>
      </c>
      <c r="H4390" s="2">
        <f t="shared" ca="1" si="1858"/>
        <v>158</v>
      </c>
      <c r="I4390" t="str">
        <f t="shared" si="1859"/>
        <v>XLF</v>
      </c>
      <c r="J4390">
        <f t="shared" si="1860"/>
        <v>24.27</v>
      </c>
      <c r="K4390">
        <f t="shared" si="1861"/>
        <v>25.19</v>
      </c>
      <c r="L4390">
        <f t="shared" si="1862"/>
        <v>24.73</v>
      </c>
      <c r="M4390">
        <f t="shared" si="1863"/>
        <v>0.46000000000000085</v>
      </c>
      <c r="N4390">
        <f t="shared" si="1852"/>
        <v>0.92000000000000171</v>
      </c>
      <c r="O4390">
        <f t="shared" si="1864"/>
        <v>24.68</v>
      </c>
      <c r="P4390">
        <f t="shared" si="1865"/>
        <v>-0.10869565217391439</v>
      </c>
      <c r="Q4390" t="str">
        <f t="shared" si="1853"/>
        <v>1.66% | 2.07%</v>
      </c>
      <c r="R4390" t="str">
        <f t="shared" si="1866"/>
        <v>BEARISH</v>
      </c>
      <c r="S4390">
        <f t="shared" si="1854"/>
        <v>-1</v>
      </c>
    </row>
    <row r="4391" spans="1:19" hidden="1" x14ac:dyDescent="0.25">
      <c r="A4391" s="5" t="str">
        <f t="shared" si="1855"/>
        <v>44095SSEC</v>
      </c>
      <c r="B4391" s="6" t="s">
        <v>170</v>
      </c>
      <c r="C4391" s="6">
        <v>3215</v>
      </c>
      <c r="D4391" s="6">
        <v>3361</v>
      </c>
      <c r="E4391" s="6">
        <v>3316</v>
      </c>
      <c r="F4391" t="str">
        <f t="shared" si="1856"/>
        <v>MON</v>
      </c>
      <c r="G4391" s="1">
        <f t="shared" si="1857"/>
        <v>44095</v>
      </c>
      <c r="H4391" s="2">
        <f t="shared" ca="1" si="1858"/>
        <v>158</v>
      </c>
      <c r="I4391" t="str">
        <f t="shared" si="1859"/>
        <v>SSEC</v>
      </c>
      <c r="J4391">
        <f t="shared" si="1860"/>
        <v>3215</v>
      </c>
      <c r="K4391">
        <f t="shared" si="1861"/>
        <v>3361</v>
      </c>
      <c r="L4391">
        <f t="shared" si="1862"/>
        <v>3288</v>
      </c>
      <c r="M4391">
        <f t="shared" si="1863"/>
        <v>73</v>
      </c>
      <c r="N4391">
        <f t="shared" si="1852"/>
        <v>146</v>
      </c>
      <c r="O4391">
        <f t="shared" si="1864"/>
        <v>3316</v>
      </c>
      <c r="P4391">
        <f t="shared" si="1865"/>
        <v>0.38356164383561642</v>
      </c>
      <c r="Q4391" t="str">
        <f t="shared" si="1853"/>
        <v>3.05% | 1.36%</v>
      </c>
      <c r="R4391" t="str">
        <f t="shared" si="1866"/>
        <v>BULLISH</v>
      </c>
      <c r="S4391">
        <f t="shared" si="1854"/>
        <v>1</v>
      </c>
    </row>
    <row r="4392" spans="1:19" hidden="1" x14ac:dyDescent="0.25">
      <c r="A4392" s="5" t="str">
        <f t="shared" si="1855"/>
        <v>44095NIKK</v>
      </c>
      <c r="B4392" s="6" t="s">
        <v>201</v>
      </c>
      <c r="C4392" s="6">
        <v>22971</v>
      </c>
      <c r="D4392" s="6">
        <v>23645</v>
      </c>
      <c r="E4392" s="6">
        <v>23360</v>
      </c>
      <c r="F4392" t="str">
        <f t="shared" si="1856"/>
        <v>MON</v>
      </c>
      <c r="G4392" s="1">
        <f t="shared" si="1857"/>
        <v>44095</v>
      </c>
      <c r="H4392" s="2">
        <f t="shared" ca="1" si="1858"/>
        <v>158</v>
      </c>
      <c r="I4392" t="str">
        <f t="shared" si="1859"/>
        <v>NIKK</v>
      </c>
      <c r="J4392">
        <f t="shared" si="1860"/>
        <v>22971</v>
      </c>
      <c r="K4392">
        <f t="shared" si="1861"/>
        <v>23645</v>
      </c>
      <c r="L4392">
        <f t="shared" si="1862"/>
        <v>23308</v>
      </c>
      <c r="M4392">
        <f t="shared" si="1863"/>
        <v>337</v>
      </c>
      <c r="N4392">
        <f t="shared" si="1852"/>
        <v>674</v>
      </c>
      <c r="O4392">
        <f t="shared" si="1864"/>
        <v>23360</v>
      </c>
      <c r="P4392">
        <f t="shared" si="1865"/>
        <v>0.1543026706231454</v>
      </c>
      <c r="Q4392" t="str">
        <f t="shared" si="1853"/>
        <v>1.67% | 1.22%</v>
      </c>
      <c r="R4392" t="str">
        <f t="shared" si="1866"/>
        <v>BULLISH</v>
      </c>
      <c r="S4392">
        <f t="shared" si="1854"/>
        <v>1</v>
      </c>
    </row>
    <row r="4393" spans="1:19" hidden="1" x14ac:dyDescent="0.25">
      <c r="A4393" s="5" t="str">
        <f t="shared" si="1855"/>
        <v>44095DAX</v>
      </c>
      <c r="B4393" s="6" t="s">
        <v>172</v>
      </c>
      <c r="C4393" s="6">
        <v>12629</v>
      </c>
      <c r="D4393" s="6">
        <v>13251</v>
      </c>
      <c r="E4393" s="6">
        <v>13116</v>
      </c>
      <c r="F4393" t="str">
        <f t="shared" si="1856"/>
        <v>MON</v>
      </c>
      <c r="G4393" s="1">
        <f t="shared" si="1857"/>
        <v>44095</v>
      </c>
      <c r="H4393" s="2">
        <f t="shared" ca="1" si="1858"/>
        <v>158</v>
      </c>
      <c r="I4393" t="str">
        <f t="shared" si="1859"/>
        <v>DAX</v>
      </c>
      <c r="J4393">
        <f t="shared" si="1860"/>
        <v>12629</v>
      </c>
      <c r="K4393">
        <f t="shared" si="1861"/>
        <v>13251</v>
      </c>
      <c r="L4393">
        <f t="shared" si="1862"/>
        <v>12940</v>
      </c>
      <c r="M4393">
        <f t="shared" si="1863"/>
        <v>311</v>
      </c>
      <c r="N4393">
        <f t="shared" si="1852"/>
        <v>622</v>
      </c>
      <c r="O4393">
        <f t="shared" si="1864"/>
        <v>13116</v>
      </c>
      <c r="P4393">
        <f t="shared" si="1865"/>
        <v>0.56591639871382637</v>
      </c>
      <c r="Q4393" t="str">
        <f t="shared" si="1853"/>
        <v>3.71% | 1.03%</v>
      </c>
      <c r="R4393" t="str">
        <f t="shared" si="1866"/>
        <v>BULLISH</v>
      </c>
      <c r="S4393">
        <f t="shared" si="1854"/>
        <v>1</v>
      </c>
    </row>
    <row r="4394" spans="1:19" hidden="1" x14ac:dyDescent="0.25">
      <c r="A4394" s="5" t="str">
        <f t="shared" si="1855"/>
        <v>44095VIX</v>
      </c>
      <c r="B4394" s="6" t="s">
        <v>202</v>
      </c>
      <c r="C4394" s="6">
        <v>24.59</v>
      </c>
      <c r="D4394" s="6">
        <v>32.340000000000003</v>
      </c>
      <c r="E4394" s="6">
        <v>25.83</v>
      </c>
      <c r="F4394" t="str">
        <f t="shared" si="1856"/>
        <v>MON</v>
      </c>
      <c r="G4394" s="1">
        <f t="shared" si="1857"/>
        <v>44095</v>
      </c>
      <c r="H4394" s="2">
        <f t="shared" ca="1" si="1858"/>
        <v>158</v>
      </c>
      <c r="I4394" t="str">
        <f t="shared" si="1859"/>
        <v>VIX</v>
      </c>
      <c r="J4394">
        <f t="shared" si="1860"/>
        <v>24.59</v>
      </c>
      <c r="K4394">
        <f t="shared" si="1861"/>
        <v>32.340000000000003</v>
      </c>
      <c r="L4394">
        <f t="shared" si="1862"/>
        <v>28.465000000000003</v>
      </c>
      <c r="M4394">
        <f t="shared" si="1863"/>
        <v>3.8749999999999853</v>
      </c>
      <c r="N4394">
        <f t="shared" si="1852"/>
        <v>7.7500000000000036</v>
      </c>
      <c r="O4394">
        <f t="shared" si="1864"/>
        <v>25.83</v>
      </c>
      <c r="P4394">
        <f t="shared" si="1865"/>
        <v>-0.68000000000000393</v>
      </c>
      <c r="Q4394" t="str">
        <f t="shared" si="1853"/>
        <v>4.8% | 25.2%</v>
      </c>
      <c r="R4394" t="str">
        <f t="shared" si="1866"/>
        <v>BULLISH</v>
      </c>
      <c r="S4394">
        <f t="shared" si="1854"/>
        <v>1</v>
      </c>
    </row>
    <row r="4395" spans="1:19" hidden="1" x14ac:dyDescent="0.25">
      <c r="A4395" s="5" t="str">
        <f t="shared" si="1855"/>
        <v>44095USD</v>
      </c>
      <c r="B4395" s="6" t="s">
        <v>174</v>
      </c>
      <c r="C4395" s="6">
        <v>92.66</v>
      </c>
      <c r="D4395" s="6">
        <v>93.7</v>
      </c>
      <c r="E4395" s="6">
        <v>92.95</v>
      </c>
      <c r="F4395" t="str">
        <f t="shared" si="1856"/>
        <v>MON</v>
      </c>
      <c r="G4395" s="1">
        <f t="shared" si="1857"/>
        <v>44095</v>
      </c>
      <c r="H4395" s="2">
        <f t="shared" ca="1" si="1858"/>
        <v>158</v>
      </c>
      <c r="I4395" t="str">
        <f t="shared" si="1859"/>
        <v>USD</v>
      </c>
      <c r="J4395">
        <f t="shared" si="1860"/>
        <v>92.66</v>
      </c>
      <c r="K4395">
        <f t="shared" si="1861"/>
        <v>93.7</v>
      </c>
      <c r="L4395">
        <f t="shared" si="1862"/>
        <v>93.18</v>
      </c>
      <c r="M4395">
        <f t="shared" si="1863"/>
        <v>0.52000000000000313</v>
      </c>
      <c r="N4395">
        <f t="shared" si="1852"/>
        <v>1.0400000000000063</v>
      </c>
      <c r="O4395">
        <f t="shared" si="1864"/>
        <v>92.95</v>
      </c>
      <c r="P4395">
        <f t="shared" si="1865"/>
        <v>-0.44230769230769729</v>
      </c>
      <c r="Q4395" t="str">
        <f t="shared" si="1853"/>
        <v>0.31% | 0.81%</v>
      </c>
      <c r="R4395" t="str">
        <f t="shared" si="1866"/>
        <v>BEARISH</v>
      </c>
      <c r="S4395">
        <f t="shared" si="1854"/>
        <v>-1</v>
      </c>
    </row>
    <row r="4396" spans="1:19" hidden="1" x14ac:dyDescent="0.25">
      <c r="A4396" s="5" t="str">
        <f t="shared" si="1855"/>
        <v>44095EUR/USD</v>
      </c>
      <c r="B4396" s="6" t="s">
        <v>175</v>
      </c>
      <c r="C4396" s="6">
        <v>1.17</v>
      </c>
      <c r="D4396" s="6">
        <v>1.19</v>
      </c>
      <c r="E4396" s="6">
        <v>1.18</v>
      </c>
      <c r="F4396" t="str">
        <f t="shared" si="1856"/>
        <v>MON</v>
      </c>
      <c r="G4396" s="1">
        <f t="shared" si="1857"/>
        <v>44095</v>
      </c>
      <c r="H4396" s="2">
        <f t="shared" ca="1" si="1858"/>
        <v>158</v>
      </c>
      <c r="I4396" t="str">
        <f t="shared" si="1859"/>
        <v>EUR/USD</v>
      </c>
      <c r="J4396">
        <f t="shared" si="1860"/>
        <v>1.17</v>
      </c>
      <c r="K4396">
        <f t="shared" si="1861"/>
        <v>1.19</v>
      </c>
      <c r="L4396">
        <f t="shared" si="1862"/>
        <v>1.18</v>
      </c>
      <c r="M4396">
        <f t="shared" si="1863"/>
        <v>1.0000000000000009E-2</v>
      </c>
      <c r="N4396">
        <f t="shared" si="1852"/>
        <v>2.0000000000000018E-2</v>
      </c>
      <c r="O4396">
        <f t="shared" si="1864"/>
        <v>1.18</v>
      </c>
      <c r="P4396">
        <f t="shared" si="1865"/>
        <v>0</v>
      </c>
      <c r="Q4396" t="str">
        <f t="shared" si="1853"/>
        <v>0.85% | 0.85%</v>
      </c>
      <c r="R4396" t="str">
        <f t="shared" si="1866"/>
        <v>BULLISH</v>
      </c>
      <c r="S4396">
        <f t="shared" si="1854"/>
        <v>1</v>
      </c>
    </row>
    <row r="4397" spans="1:19" hidden="1" x14ac:dyDescent="0.25">
      <c r="A4397" s="5" t="str">
        <f t="shared" si="1855"/>
        <v>44095USD/JPY</v>
      </c>
      <c r="B4397" s="6" t="s">
        <v>176</v>
      </c>
      <c r="C4397" s="6">
        <v>104.05</v>
      </c>
      <c r="D4397" s="6">
        <v>105.8</v>
      </c>
      <c r="E4397" s="6">
        <v>104.57</v>
      </c>
      <c r="F4397" t="str">
        <f t="shared" si="1856"/>
        <v>MON</v>
      </c>
      <c r="G4397" s="1">
        <f t="shared" si="1857"/>
        <v>44095</v>
      </c>
      <c r="H4397" s="2">
        <f t="shared" ca="1" si="1858"/>
        <v>158</v>
      </c>
      <c r="I4397" t="str">
        <f t="shared" si="1859"/>
        <v>USD/JPY</v>
      </c>
      <c r="J4397">
        <f t="shared" si="1860"/>
        <v>104.05</v>
      </c>
      <c r="K4397">
        <f t="shared" si="1861"/>
        <v>105.8</v>
      </c>
      <c r="L4397">
        <f t="shared" si="1862"/>
        <v>104.925</v>
      </c>
      <c r="M4397">
        <f t="shared" si="1863"/>
        <v>0.875</v>
      </c>
      <c r="N4397">
        <f t="shared" si="1852"/>
        <v>1.75</v>
      </c>
      <c r="O4397">
        <f t="shared" si="1864"/>
        <v>104.57</v>
      </c>
      <c r="P4397">
        <f t="shared" si="1865"/>
        <v>-0.40571428571429025</v>
      </c>
      <c r="Q4397" t="str">
        <f t="shared" si="1853"/>
        <v>0.5% | 1.18%</v>
      </c>
      <c r="R4397" t="str">
        <f t="shared" si="1866"/>
        <v>BEARISH</v>
      </c>
      <c r="S4397">
        <f t="shared" si="1854"/>
        <v>-1</v>
      </c>
    </row>
    <row r="4398" spans="1:19" hidden="1" x14ac:dyDescent="0.25">
      <c r="A4398" s="5" t="str">
        <f t="shared" si="1855"/>
        <v>44095GBP/USD</v>
      </c>
      <c r="B4398" s="6" t="s">
        <v>214</v>
      </c>
      <c r="C4398" s="6">
        <v>1.26</v>
      </c>
      <c r="D4398" s="6">
        <v>1.3</v>
      </c>
      <c r="E4398" s="6">
        <v>1.29</v>
      </c>
      <c r="F4398" t="str">
        <f t="shared" si="1856"/>
        <v>MON</v>
      </c>
      <c r="G4398" s="1">
        <f t="shared" si="1857"/>
        <v>44095</v>
      </c>
      <c r="H4398" s="2">
        <f t="shared" ca="1" si="1858"/>
        <v>158</v>
      </c>
      <c r="I4398" t="str">
        <f t="shared" si="1859"/>
        <v>GBP/USD</v>
      </c>
      <c r="J4398">
        <f t="shared" si="1860"/>
        <v>1.26</v>
      </c>
      <c r="K4398">
        <f t="shared" si="1861"/>
        <v>1.3</v>
      </c>
      <c r="L4398">
        <f t="shared" si="1862"/>
        <v>1.28</v>
      </c>
      <c r="M4398">
        <f t="shared" si="1863"/>
        <v>2.0000000000000018E-2</v>
      </c>
      <c r="N4398">
        <f t="shared" si="1852"/>
        <v>4.0000000000000036E-2</v>
      </c>
      <c r="O4398">
        <f t="shared" si="1864"/>
        <v>1.29</v>
      </c>
      <c r="P4398">
        <f t="shared" si="1865"/>
        <v>0.5</v>
      </c>
      <c r="Q4398" t="str">
        <f t="shared" si="1853"/>
        <v>2.33% | 0.78%</v>
      </c>
      <c r="R4398" t="str">
        <f t="shared" si="1866"/>
        <v>NEUTRAL</v>
      </c>
      <c r="S4398">
        <f t="shared" si="1854"/>
        <v>0</v>
      </c>
    </row>
    <row r="4399" spans="1:19" hidden="1" x14ac:dyDescent="0.25">
      <c r="A4399" s="5" t="str">
        <f t="shared" si="1855"/>
        <v>44095USD/CHF</v>
      </c>
      <c r="B4399" s="6" t="s">
        <v>178</v>
      </c>
      <c r="C4399" s="6">
        <v>0.9</v>
      </c>
      <c r="D4399" s="6">
        <v>0.92</v>
      </c>
      <c r="E4399" s="6">
        <v>0.91</v>
      </c>
      <c r="F4399" t="str">
        <f t="shared" si="1856"/>
        <v>MON</v>
      </c>
      <c r="G4399" s="1">
        <f t="shared" si="1857"/>
        <v>44095</v>
      </c>
      <c r="H4399" s="2">
        <f t="shared" ca="1" si="1858"/>
        <v>158</v>
      </c>
      <c r="I4399" t="str">
        <f t="shared" si="1859"/>
        <v>USD/CHF</v>
      </c>
      <c r="J4399">
        <f t="shared" si="1860"/>
        <v>0.9</v>
      </c>
      <c r="K4399">
        <f t="shared" si="1861"/>
        <v>0.92</v>
      </c>
      <c r="L4399">
        <f t="shared" si="1862"/>
        <v>0.91</v>
      </c>
      <c r="M4399">
        <f t="shared" si="1863"/>
        <v>1.0000000000000009E-2</v>
      </c>
      <c r="N4399">
        <f t="shared" si="1852"/>
        <v>2.0000000000000018E-2</v>
      </c>
      <c r="O4399">
        <f t="shared" si="1864"/>
        <v>0.91</v>
      </c>
      <c r="P4399">
        <f t="shared" si="1865"/>
        <v>0</v>
      </c>
      <c r="Q4399" t="str">
        <f t="shared" si="1853"/>
        <v>1.1% | 1.1%</v>
      </c>
      <c r="R4399" t="str">
        <f t="shared" si="1866"/>
        <v>BEARISH</v>
      </c>
      <c r="S4399">
        <f t="shared" si="1854"/>
        <v>-1</v>
      </c>
    </row>
    <row r="4400" spans="1:19" hidden="1" x14ac:dyDescent="0.25">
      <c r="A4400" s="5" t="str">
        <f t="shared" si="1855"/>
        <v>44095WTIC</v>
      </c>
      <c r="B4400" s="6" t="s">
        <v>215</v>
      </c>
      <c r="C4400" s="6">
        <v>35.21</v>
      </c>
      <c r="D4400" s="6">
        <v>41.59</v>
      </c>
      <c r="E4400" s="6">
        <v>41.32</v>
      </c>
      <c r="F4400" t="str">
        <f t="shared" si="1856"/>
        <v>MON</v>
      </c>
      <c r="G4400" s="1">
        <f t="shared" si="1857"/>
        <v>44095</v>
      </c>
      <c r="H4400" s="2">
        <f t="shared" ca="1" si="1858"/>
        <v>158</v>
      </c>
      <c r="I4400" t="str">
        <f t="shared" si="1859"/>
        <v>WTIC</v>
      </c>
      <c r="J4400">
        <f t="shared" si="1860"/>
        <v>35.21</v>
      </c>
      <c r="K4400">
        <f t="shared" si="1861"/>
        <v>41.59</v>
      </c>
      <c r="L4400">
        <f t="shared" si="1862"/>
        <v>38.400000000000006</v>
      </c>
      <c r="M4400">
        <f t="shared" si="1863"/>
        <v>3.1900000000000013</v>
      </c>
      <c r="N4400">
        <f t="shared" si="1852"/>
        <v>6.3800000000000026</v>
      </c>
      <c r="O4400">
        <f t="shared" si="1864"/>
        <v>41.32</v>
      </c>
      <c r="P4400">
        <f t="shared" si="1865"/>
        <v>0.91536050156739601</v>
      </c>
      <c r="Q4400" t="str">
        <f t="shared" si="1853"/>
        <v>14.79% | 0.65%</v>
      </c>
      <c r="R4400" t="str">
        <f t="shared" si="1866"/>
        <v>BEARISH</v>
      </c>
      <c r="S4400">
        <f t="shared" si="1854"/>
        <v>-1</v>
      </c>
    </row>
    <row r="4401" spans="1:19" hidden="1" x14ac:dyDescent="0.25">
      <c r="A4401" s="5" t="str">
        <f t="shared" si="1855"/>
        <v>44095NATGAS</v>
      </c>
      <c r="B4401" s="6" t="s">
        <v>222</v>
      </c>
      <c r="C4401" s="6">
        <v>1.91</v>
      </c>
      <c r="D4401" s="6">
        <v>2.31</v>
      </c>
      <c r="E4401" s="6">
        <v>2.0499999999999998</v>
      </c>
      <c r="F4401" t="str">
        <f t="shared" si="1856"/>
        <v>MON</v>
      </c>
      <c r="G4401" s="1">
        <f t="shared" si="1857"/>
        <v>44095</v>
      </c>
      <c r="H4401" s="2">
        <f t="shared" ca="1" si="1858"/>
        <v>158</v>
      </c>
      <c r="I4401" t="str">
        <f t="shared" si="1859"/>
        <v>NATGAS</v>
      </c>
      <c r="J4401">
        <f t="shared" si="1860"/>
        <v>1.91</v>
      </c>
      <c r="K4401">
        <f t="shared" si="1861"/>
        <v>2.31</v>
      </c>
      <c r="L4401">
        <f t="shared" si="1862"/>
        <v>2.11</v>
      </c>
      <c r="M4401">
        <f t="shared" si="1863"/>
        <v>0.20000000000000007</v>
      </c>
      <c r="N4401">
        <f t="shared" si="1852"/>
        <v>0.40000000000000013</v>
      </c>
      <c r="O4401">
        <f t="shared" si="1864"/>
        <v>2.0499999999999998</v>
      </c>
      <c r="P4401">
        <f t="shared" si="1865"/>
        <v>-0.30000000000000016</v>
      </c>
      <c r="Q4401" t="str">
        <f t="shared" si="1853"/>
        <v>6.83% | 12.68%</v>
      </c>
      <c r="R4401" t="str">
        <f t="shared" si="1866"/>
        <v>BEARISH</v>
      </c>
      <c r="S4401">
        <f t="shared" si="1854"/>
        <v>-1</v>
      </c>
    </row>
    <row r="4402" spans="1:19" hidden="1" x14ac:dyDescent="0.25">
      <c r="A4402" s="5" t="str">
        <f t="shared" si="1855"/>
        <v>44095GOLD</v>
      </c>
      <c r="B4402" s="6" t="s">
        <v>181</v>
      </c>
      <c r="C4402" s="6">
        <v>1930</v>
      </c>
      <c r="D4402" s="6">
        <v>1979</v>
      </c>
      <c r="E4402" s="6">
        <v>1962</v>
      </c>
      <c r="F4402" t="str">
        <f t="shared" si="1856"/>
        <v>MON</v>
      </c>
      <c r="G4402" s="1">
        <f t="shared" si="1857"/>
        <v>44095</v>
      </c>
      <c r="H4402" s="2">
        <f t="shared" ca="1" si="1858"/>
        <v>158</v>
      </c>
      <c r="I4402" t="str">
        <f t="shared" si="1859"/>
        <v>GOLD</v>
      </c>
      <c r="J4402">
        <f t="shared" si="1860"/>
        <v>1930</v>
      </c>
      <c r="K4402">
        <f t="shared" si="1861"/>
        <v>1979</v>
      </c>
      <c r="L4402">
        <f t="shared" si="1862"/>
        <v>1954.5</v>
      </c>
      <c r="M4402">
        <f t="shared" si="1863"/>
        <v>24.5</v>
      </c>
      <c r="N4402">
        <f t="shared" si="1852"/>
        <v>49</v>
      </c>
      <c r="O4402">
        <f t="shared" si="1864"/>
        <v>1962</v>
      </c>
      <c r="P4402">
        <f t="shared" si="1865"/>
        <v>0.30612244897959184</v>
      </c>
      <c r="Q4402" t="str">
        <f t="shared" si="1853"/>
        <v>1.63% | 0.87%</v>
      </c>
      <c r="R4402" t="str">
        <f t="shared" si="1866"/>
        <v>BULLISH</v>
      </c>
      <c r="S4402">
        <f t="shared" si="1854"/>
        <v>1</v>
      </c>
    </row>
    <row r="4403" spans="1:19" hidden="1" x14ac:dyDescent="0.25">
      <c r="A4403" s="5" t="str">
        <f t="shared" si="1855"/>
        <v>44095SILVER</v>
      </c>
      <c r="B4403" s="6" t="s">
        <v>199</v>
      </c>
      <c r="C4403" s="6">
        <v>26.29</v>
      </c>
      <c r="D4403" s="6">
        <v>27.8</v>
      </c>
      <c r="E4403" s="6">
        <v>27.13</v>
      </c>
      <c r="F4403" t="str">
        <f t="shared" si="1856"/>
        <v>MON</v>
      </c>
      <c r="G4403" s="1">
        <f t="shared" si="1857"/>
        <v>44095</v>
      </c>
      <c r="H4403" s="2">
        <f t="shared" ca="1" si="1858"/>
        <v>158</v>
      </c>
      <c r="I4403" t="str">
        <f t="shared" si="1859"/>
        <v>SILVER</v>
      </c>
      <c r="J4403">
        <f t="shared" si="1860"/>
        <v>26.29</v>
      </c>
      <c r="K4403">
        <f t="shared" si="1861"/>
        <v>27.8</v>
      </c>
      <c r="L4403">
        <f t="shared" si="1862"/>
        <v>27.045000000000002</v>
      </c>
      <c r="M4403">
        <f t="shared" si="1863"/>
        <v>0.75500000000000078</v>
      </c>
      <c r="N4403">
        <f t="shared" si="1852"/>
        <v>1.5100000000000016</v>
      </c>
      <c r="O4403">
        <f t="shared" si="1864"/>
        <v>27.13</v>
      </c>
      <c r="P4403">
        <f t="shared" si="1865"/>
        <v>0.11258278145694994</v>
      </c>
      <c r="Q4403" t="str">
        <f t="shared" si="1853"/>
        <v>3.1% | 2.47%</v>
      </c>
      <c r="R4403" t="str">
        <f t="shared" si="1866"/>
        <v>BULLISH</v>
      </c>
      <c r="S4403">
        <f t="shared" si="1854"/>
        <v>1</v>
      </c>
    </row>
    <row r="4404" spans="1:19" hidden="1" x14ac:dyDescent="0.25">
      <c r="A4404" s="5" t="str">
        <f t="shared" si="1855"/>
        <v>44095COPPER</v>
      </c>
      <c r="B4404" s="6" t="s">
        <v>182</v>
      </c>
      <c r="C4404" s="6">
        <v>2.98</v>
      </c>
      <c r="D4404" s="6">
        <v>3.11</v>
      </c>
      <c r="E4404" s="6">
        <v>3.12</v>
      </c>
      <c r="F4404" t="str">
        <f t="shared" si="1856"/>
        <v>MON</v>
      </c>
      <c r="G4404" s="1">
        <f t="shared" si="1857"/>
        <v>44095</v>
      </c>
      <c r="H4404" s="2">
        <f t="shared" ca="1" si="1858"/>
        <v>158</v>
      </c>
      <c r="I4404" t="str">
        <f t="shared" si="1859"/>
        <v>COPPER</v>
      </c>
      <c r="J4404">
        <f t="shared" si="1860"/>
        <v>2.98</v>
      </c>
      <c r="K4404">
        <f t="shared" si="1861"/>
        <v>3.11</v>
      </c>
      <c r="L4404">
        <f t="shared" si="1862"/>
        <v>3.0449999999999999</v>
      </c>
      <c r="M4404">
        <f t="shared" si="1863"/>
        <v>6.4999999999999947E-2</v>
      </c>
      <c r="N4404">
        <f t="shared" si="1852"/>
        <v>0.12999999999999989</v>
      </c>
      <c r="O4404">
        <f t="shared" si="1864"/>
        <v>3.12</v>
      </c>
      <c r="P4404">
        <f t="shared" si="1865"/>
        <v>1.1538461538461575</v>
      </c>
      <c r="Q4404" t="str">
        <f t="shared" si="1853"/>
        <v>4.49% | 0.32%</v>
      </c>
      <c r="R4404" t="str">
        <f t="shared" si="1866"/>
        <v>BULLISH</v>
      </c>
      <c r="S4404">
        <f t="shared" si="1854"/>
        <v>1</v>
      </c>
    </row>
    <row r="4405" spans="1:19" hidden="1" x14ac:dyDescent="0.25">
      <c r="A4405" s="5" t="str">
        <f t="shared" si="1855"/>
        <v>44095MSFT</v>
      </c>
      <c r="B4405" s="6" t="s">
        <v>219</v>
      </c>
      <c r="C4405" s="6">
        <v>196</v>
      </c>
      <c r="D4405" s="6">
        <v>210</v>
      </c>
      <c r="E4405" s="6">
        <v>200</v>
      </c>
      <c r="F4405" t="str">
        <f t="shared" si="1856"/>
        <v>MON</v>
      </c>
      <c r="G4405" s="1">
        <f t="shared" si="1857"/>
        <v>44095</v>
      </c>
      <c r="H4405" s="2">
        <f t="shared" ca="1" si="1858"/>
        <v>158</v>
      </c>
      <c r="I4405" t="str">
        <f t="shared" si="1859"/>
        <v>MSFT</v>
      </c>
      <c r="J4405">
        <f t="shared" si="1860"/>
        <v>196</v>
      </c>
      <c r="K4405">
        <f t="shared" si="1861"/>
        <v>210</v>
      </c>
      <c r="L4405">
        <f t="shared" si="1862"/>
        <v>203</v>
      </c>
      <c r="M4405">
        <f t="shared" si="1863"/>
        <v>7</v>
      </c>
      <c r="N4405">
        <f t="shared" si="1852"/>
        <v>14</v>
      </c>
      <c r="O4405">
        <f t="shared" si="1864"/>
        <v>200</v>
      </c>
      <c r="P4405">
        <f t="shared" si="1865"/>
        <v>-0.42857142857142855</v>
      </c>
      <c r="Q4405" t="str">
        <f t="shared" si="1853"/>
        <v>2% | 5%</v>
      </c>
      <c r="R4405" t="str">
        <f t="shared" si="1866"/>
        <v>BEARISH</v>
      </c>
      <c r="S4405">
        <f t="shared" si="1854"/>
        <v>-1</v>
      </c>
    </row>
    <row r="4406" spans="1:19" hidden="1" x14ac:dyDescent="0.25">
      <c r="A4406" s="5" t="str">
        <f t="shared" si="1855"/>
        <v>44095AAPL</v>
      </c>
      <c r="B4406" s="6" t="s">
        <v>220</v>
      </c>
      <c r="C4406" s="6">
        <v>103</v>
      </c>
      <c r="D4406" s="6">
        <v>115</v>
      </c>
      <c r="E4406" s="6">
        <v>106</v>
      </c>
      <c r="F4406" t="str">
        <f t="shared" si="1856"/>
        <v>MON</v>
      </c>
      <c r="G4406" s="1">
        <f t="shared" si="1857"/>
        <v>44095</v>
      </c>
      <c r="H4406" s="2">
        <f t="shared" ca="1" si="1858"/>
        <v>158</v>
      </c>
      <c r="I4406" t="str">
        <f t="shared" si="1859"/>
        <v>AAPL</v>
      </c>
      <c r="J4406">
        <f t="shared" si="1860"/>
        <v>103</v>
      </c>
      <c r="K4406">
        <f t="shared" si="1861"/>
        <v>115</v>
      </c>
      <c r="L4406">
        <f t="shared" si="1862"/>
        <v>109</v>
      </c>
      <c r="M4406">
        <f t="shared" si="1863"/>
        <v>6</v>
      </c>
      <c r="N4406">
        <f t="shared" si="1852"/>
        <v>12</v>
      </c>
      <c r="O4406">
        <f t="shared" si="1864"/>
        <v>106</v>
      </c>
      <c r="P4406">
        <f t="shared" si="1865"/>
        <v>-0.5</v>
      </c>
      <c r="Q4406" t="str">
        <f t="shared" si="1853"/>
        <v>2.83% | 8.49%</v>
      </c>
      <c r="R4406" t="str">
        <f t="shared" si="1866"/>
        <v>BEARISH</v>
      </c>
      <c r="S4406">
        <f t="shared" si="1854"/>
        <v>-1</v>
      </c>
    </row>
    <row r="4407" spans="1:19" hidden="1" x14ac:dyDescent="0.25">
      <c r="A4407" s="5" t="str">
        <f t="shared" si="1855"/>
        <v>44095AMZN</v>
      </c>
      <c r="B4407" s="6" t="s">
        <v>224</v>
      </c>
      <c r="C4407" s="6">
        <v>2917</v>
      </c>
      <c r="D4407" s="6">
        <v>3189</v>
      </c>
      <c r="E4407" s="6">
        <v>2954</v>
      </c>
      <c r="F4407" t="str">
        <f t="shared" si="1856"/>
        <v>MON</v>
      </c>
      <c r="G4407" s="1">
        <f t="shared" si="1857"/>
        <v>44095</v>
      </c>
      <c r="H4407" s="2">
        <f t="shared" ca="1" si="1858"/>
        <v>158</v>
      </c>
      <c r="I4407" t="str">
        <f t="shared" si="1859"/>
        <v>AMZN</v>
      </c>
      <c r="J4407">
        <f t="shared" si="1860"/>
        <v>2917</v>
      </c>
      <c r="K4407">
        <f t="shared" si="1861"/>
        <v>3189</v>
      </c>
      <c r="L4407">
        <f t="shared" si="1862"/>
        <v>3053</v>
      </c>
      <c r="M4407">
        <f t="shared" si="1863"/>
        <v>136</v>
      </c>
      <c r="N4407">
        <f t="shared" si="1852"/>
        <v>272</v>
      </c>
      <c r="O4407">
        <f t="shared" si="1864"/>
        <v>2954</v>
      </c>
      <c r="P4407">
        <f t="shared" si="1865"/>
        <v>-0.7279411764705882</v>
      </c>
      <c r="Q4407" t="str">
        <f t="shared" si="1853"/>
        <v>1.25% | 7.96%</v>
      </c>
      <c r="R4407" t="str">
        <f t="shared" si="1866"/>
        <v>BEARISH</v>
      </c>
      <c r="S4407">
        <f t="shared" si="1854"/>
        <v>-1</v>
      </c>
    </row>
    <row r="4408" spans="1:19" hidden="1" x14ac:dyDescent="0.25">
      <c r="A4408" s="5" t="str">
        <f t="shared" si="1855"/>
        <v>44095FB</v>
      </c>
      <c r="B4408" s="6" t="s">
        <v>223</v>
      </c>
      <c r="C4408" s="6">
        <v>248</v>
      </c>
      <c r="D4408" s="6">
        <v>269</v>
      </c>
      <c r="E4408" s="6">
        <v>252</v>
      </c>
      <c r="F4408" t="str">
        <f t="shared" si="1856"/>
        <v>MON</v>
      </c>
      <c r="G4408" s="1">
        <f t="shared" si="1857"/>
        <v>44095</v>
      </c>
      <c r="H4408" s="2">
        <f t="shared" ca="1" si="1858"/>
        <v>158</v>
      </c>
      <c r="I4408" t="str">
        <f t="shared" si="1859"/>
        <v>FB</v>
      </c>
      <c r="J4408">
        <f t="shared" si="1860"/>
        <v>248</v>
      </c>
      <c r="K4408">
        <f t="shared" si="1861"/>
        <v>269</v>
      </c>
      <c r="L4408">
        <f t="shared" si="1862"/>
        <v>258.5</v>
      </c>
      <c r="M4408">
        <f t="shared" si="1863"/>
        <v>10.5</v>
      </c>
      <c r="N4408">
        <f t="shared" si="1852"/>
        <v>21</v>
      </c>
      <c r="O4408">
        <f t="shared" si="1864"/>
        <v>252</v>
      </c>
      <c r="P4408">
        <f t="shared" si="1865"/>
        <v>-0.61904761904761907</v>
      </c>
      <c r="Q4408" t="str">
        <f t="shared" si="1853"/>
        <v>1.59% | 6.75%</v>
      </c>
      <c r="R4408" t="str">
        <f t="shared" si="1866"/>
        <v>NEUTRAL</v>
      </c>
      <c r="S4408">
        <f t="shared" si="1854"/>
        <v>0</v>
      </c>
    </row>
    <row r="4409" spans="1:19" hidden="1" x14ac:dyDescent="0.25">
      <c r="A4409" s="5" t="str">
        <f t="shared" si="1855"/>
        <v>44095GOOGL</v>
      </c>
      <c r="B4409" s="6" t="s">
        <v>221</v>
      </c>
      <c r="C4409" s="6">
        <v>1423</v>
      </c>
      <c r="D4409" s="6">
        <v>1532</v>
      </c>
      <c r="E4409" s="6">
        <v>1451</v>
      </c>
      <c r="F4409" t="str">
        <f t="shared" si="1856"/>
        <v>MON</v>
      </c>
      <c r="G4409" s="1">
        <f t="shared" si="1857"/>
        <v>44095</v>
      </c>
      <c r="H4409" s="2">
        <f t="shared" ca="1" si="1858"/>
        <v>158</v>
      </c>
      <c r="I4409" t="str">
        <f t="shared" si="1859"/>
        <v>GOOGL</v>
      </c>
      <c r="J4409">
        <f t="shared" si="1860"/>
        <v>1423</v>
      </c>
      <c r="K4409">
        <f t="shared" si="1861"/>
        <v>1532</v>
      </c>
      <c r="L4409">
        <f t="shared" si="1862"/>
        <v>1477.5</v>
      </c>
      <c r="M4409">
        <f t="shared" si="1863"/>
        <v>54.5</v>
      </c>
      <c r="N4409">
        <f t="shared" si="1852"/>
        <v>109</v>
      </c>
      <c r="O4409">
        <f t="shared" si="1864"/>
        <v>1451</v>
      </c>
      <c r="P4409">
        <f t="shared" si="1865"/>
        <v>-0.48623853211009177</v>
      </c>
      <c r="Q4409" t="str">
        <f t="shared" si="1853"/>
        <v>1.93% | 5.58%</v>
      </c>
      <c r="R4409" t="str">
        <f t="shared" si="1866"/>
        <v>BEARISH</v>
      </c>
      <c r="S4409">
        <f t="shared" si="1854"/>
        <v>-1</v>
      </c>
    </row>
    <row r="4410" spans="1:19" hidden="1" x14ac:dyDescent="0.25">
      <c r="A4410" s="5" t="str">
        <f t="shared" si="1855"/>
        <v>44095NFLX</v>
      </c>
      <c r="B4410" s="6" t="s">
        <v>213</v>
      </c>
      <c r="C4410" s="6">
        <v>451</v>
      </c>
      <c r="D4410" s="6">
        <v>497</v>
      </c>
      <c r="E4410" s="6">
        <v>469</v>
      </c>
      <c r="F4410" t="str">
        <f t="shared" si="1856"/>
        <v>MON</v>
      </c>
      <c r="G4410" s="1">
        <f t="shared" si="1857"/>
        <v>44095</v>
      </c>
      <c r="H4410" s="2">
        <f t="shared" ca="1" si="1858"/>
        <v>158</v>
      </c>
      <c r="I4410" t="str">
        <f t="shared" si="1859"/>
        <v>NFLX</v>
      </c>
      <c r="J4410">
        <f t="shared" si="1860"/>
        <v>451</v>
      </c>
      <c r="K4410">
        <f t="shared" si="1861"/>
        <v>497</v>
      </c>
      <c r="L4410">
        <f t="shared" si="1862"/>
        <v>474</v>
      </c>
      <c r="M4410">
        <f t="shared" si="1863"/>
        <v>23</v>
      </c>
      <c r="N4410">
        <f t="shared" si="1852"/>
        <v>46</v>
      </c>
      <c r="O4410">
        <f t="shared" si="1864"/>
        <v>469</v>
      </c>
      <c r="P4410">
        <f t="shared" si="1865"/>
        <v>-0.21739130434782608</v>
      </c>
      <c r="Q4410" t="str">
        <f t="shared" si="1853"/>
        <v>3.84% | 5.97%</v>
      </c>
      <c r="R4410" t="str">
        <f t="shared" si="1866"/>
        <v>BEARISH</v>
      </c>
      <c r="S4410">
        <f t="shared" si="1854"/>
        <v>-1</v>
      </c>
    </row>
    <row r="4411" spans="1:19" x14ac:dyDescent="0.25">
      <c r="A4411" s="5" t="str">
        <f t="shared" si="1855"/>
        <v>44095TSLA</v>
      </c>
      <c r="B4411" s="6" t="s">
        <v>189</v>
      </c>
      <c r="C4411" s="6">
        <v>320</v>
      </c>
      <c r="D4411" s="6">
        <v>483</v>
      </c>
      <c r="E4411" s="6">
        <v>442</v>
      </c>
      <c r="F4411" t="str">
        <f t="shared" si="1856"/>
        <v>MON</v>
      </c>
      <c r="G4411" s="1">
        <f t="shared" si="1857"/>
        <v>44095</v>
      </c>
      <c r="H4411" s="2">
        <f t="shared" ca="1" si="1858"/>
        <v>158</v>
      </c>
      <c r="I4411" t="str">
        <f t="shared" si="1859"/>
        <v>TSLA</v>
      </c>
      <c r="J4411">
        <f t="shared" si="1860"/>
        <v>320</v>
      </c>
      <c r="K4411">
        <f t="shared" si="1861"/>
        <v>483</v>
      </c>
      <c r="L4411">
        <f t="shared" si="1862"/>
        <v>401.5</v>
      </c>
      <c r="M4411">
        <f t="shared" si="1863"/>
        <v>81.5</v>
      </c>
      <c r="N4411">
        <f t="shared" si="1852"/>
        <v>163</v>
      </c>
      <c r="O4411">
        <f t="shared" si="1864"/>
        <v>442</v>
      </c>
      <c r="P4411">
        <f t="shared" si="1865"/>
        <v>0.49693251533742333</v>
      </c>
      <c r="Q4411" t="str">
        <f t="shared" si="1853"/>
        <v>27.6% | 9.28%</v>
      </c>
      <c r="R4411" t="str">
        <f t="shared" si="1866"/>
        <v>BULLISH</v>
      </c>
      <c r="S4411">
        <f t="shared" si="1854"/>
        <v>1</v>
      </c>
    </row>
    <row r="4412" spans="1:19" hidden="1" x14ac:dyDescent="0.25">
      <c r="A4412" s="5" t="str">
        <f t="shared" si="1855"/>
        <v>44095NYXBT</v>
      </c>
      <c r="B4412" s="6" t="s">
        <v>190</v>
      </c>
      <c r="C4412" s="6">
        <v>9971</v>
      </c>
      <c r="D4412" s="6">
        <v>11169</v>
      </c>
      <c r="E4412" s="6">
        <v>10943</v>
      </c>
      <c r="F4412" t="str">
        <f t="shared" si="1856"/>
        <v>MON</v>
      </c>
      <c r="G4412" s="1">
        <f t="shared" si="1857"/>
        <v>44095</v>
      </c>
      <c r="H4412" s="2">
        <f t="shared" ca="1" si="1858"/>
        <v>158</v>
      </c>
      <c r="I4412" t="str">
        <f t="shared" si="1859"/>
        <v>NYXBT</v>
      </c>
      <c r="J4412">
        <f t="shared" si="1860"/>
        <v>9971</v>
      </c>
      <c r="K4412">
        <f t="shared" si="1861"/>
        <v>11169</v>
      </c>
      <c r="L4412">
        <f t="shared" si="1862"/>
        <v>10570</v>
      </c>
      <c r="M4412">
        <f t="shared" si="1863"/>
        <v>599</v>
      </c>
      <c r="N4412">
        <f t="shared" si="1852"/>
        <v>1198</v>
      </c>
      <c r="O4412">
        <f t="shared" si="1864"/>
        <v>10943</v>
      </c>
      <c r="P4412">
        <f t="shared" si="1865"/>
        <v>0.62270450751252082</v>
      </c>
      <c r="Q4412" t="str">
        <f t="shared" si="1853"/>
        <v>8.88% | 2.07%</v>
      </c>
      <c r="R4412" t="str">
        <f t="shared" si="1866"/>
        <v>BULLISH</v>
      </c>
      <c r="S4412">
        <f t="shared" si="1854"/>
        <v>1</v>
      </c>
    </row>
    <row r="4413" spans="1:19" hidden="1" x14ac:dyDescent="0.25">
      <c r="A4413" s="5" t="str">
        <f t="shared" si="1855"/>
        <v>44096UST10Y</v>
      </c>
      <c r="B4413" s="6" t="s">
        <v>161</v>
      </c>
      <c r="C4413" s="6">
        <v>0.71</v>
      </c>
      <c r="D4413" s="6">
        <v>0.63</v>
      </c>
      <c r="E4413" s="6">
        <v>0.68</v>
      </c>
      <c r="F4413" t="str">
        <f t="shared" si="1856"/>
        <v>TUE</v>
      </c>
      <c r="G4413" s="3">
        <f>DATE(2020,9,22)</f>
        <v>44096</v>
      </c>
      <c r="H4413" s="2">
        <f t="shared" ca="1" si="1858"/>
        <v>157</v>
      </c>
      <c r="I4413" t="str">
        <f t="shared" si="1859"/>
        <v>UST10Y</v>
      </c>
      <c r="J4413">
        <f t="shared" si="1860"/>
        <v>0.71</v>
      </c>
      <c r="K4413">
        <f t="shared" si="1861"/>
        <v>0.63</v>
      </c>
      <c r="L4413">
        <f t="shared" si="1862"/>
        <v>0.66999999999999993</v>
      </c>
      <c r="M4413">
        <f t="shared" si="1863"/>
        <v>3.999999999999998E-2</v>
      </c>
      <c r="N4413">
        <f t="shared" si="1852"/>
        <v>7.999999999999996E-2</v>
      </c>
      <c r="O4413">
        <f t="shared" si="1864"/>
        <v>0.68</v>
      </c>
      <c r="P4413">
        <f t="shared" si="1865"/>
        <v>0.25000000000000311</v>
      </c>
      <c r="Q4413" t="str">
        <f t="shared" si="1853"/>
        <v>4.41% | 7.35%</v>
      </c>
      <c r="R4413" t="str">
        <f t="shared" si="1866"/>
        <v>BEARISH</v>
      </c>
      <c r="S4413">
        <f t="shared" si="1854"/>
        <v>-1</v>
      </c>
    </row>
    <row r="4414" spans="1:19" hidden="1" x14ac:dyDescent="0.25">
      <c r="A4414" s="5" t="str">
        <f t="shared" si="1855"/>
        <v>44096UST2Y</v>
      </c>
      <c r="B4414" s="6" t="s">
        <v>162</v>
      </c>
      <c r="C4414" s="6">
        <v>0.15</v>
      </c>
      <c r="D4414" s="6">
        <v>0.11</v>
      </c>
      <c r="E4414" s="6">
        <v>0.14000000000000001</v>
      </c>
      <c r="F4414" t="str">
        <f t="shared" ref="F4414:F4444" si="1867">UPPER(TEXT(G4414,"ddd"))</f>
        <v>TUE</v>
      </c>
      <c r="G4414" s="3">
        <f t="shared" ref="G4414:G4443" si="1868">DATE(2020,9,22)</f>
        <v>44096</v>
      </c>
      <c r="H4414" s="2">
        <f t="shared" ref="H4414:H4444" ca="1" si="1869">TODAY()-G4414</f>
        <v>157</v>
      </c>
      <c r="I4414" t="str">
        <f t="shared" ref="I4414:I4444" si="1870">TRIM(LEFT(B4414,FIND(" ",B4414,1)))</f>
        <v>UST2Y</v>
      </c>
      <c r="J4414">
        <f t="shared" ref="J4414:J4444" si="1871">C4414</f>
        <v>0.15</v>
      </c>
      <c r="K4414">
        <f t="shared" ref="K4414:K4444" si="1872">D4414</f>
        <v>0.11</v>
      </c>
      <c r="L4414">
        <f t="shared" ref="L4414:L4444" si="1873">AVERAGE(J4414:K4414)</f>
        <v>0.13</v>
      </c>
      <c r="M4414">
        <f t="shared" ref="M4414:M4444" si="1874">_xlfn.STDEV.P(J4414:K4414)</f>
        <v>1.9999999999999938E-2</v>
      </c>
      <c r="N4414">
        <f t="shared" si="1852"/>
        <v>3.9999999999999994E-2</v>
      </c>
      <c r="O4414">
        <f t="shared" ref="O4414:O4444" si="1875">E4414</f>
        <v>0.14000000000000001</v>
      </c>
      <c r="P4414">
        <f t="shared" ref="P4414:P4444" si="1876">(O4414-L4414)/M4414</f>
        <v>0.500000000000002</v>
      </c>
      <c r="Q4414" t="str">
        <f t="shared" si="1853"/>
        <v>7.14% | 21.43%</v>
      </c>
      <c r="R4414" t="str">
        <f t="shared" ref="R4414:R4444" si="1877">MID(B4414,FIND("(",B4414,1)+1,FIND(")",B4414,1)-FIND("(",B4414,1)-1)</f>
        <v>BEARISH</v>
      </c>
      <c r="S4414">
        <f t="shared" si="1854"/>
        <v>-1</v>
      </c>
    </row>
    <row r="4415" spans="1:19" hidden="1" x14ac:dyDescent="0.25">
      <c r="A4415" s="5" t="str">
        <f t="shared" si="1855"/>
        <v>44096SPX</v>
      </c>
      <c r="B4415" s="6" t="s">
        <v>211</v>
      </c>
      <c r="C4415" s="6">
        <v>3247</v>
      </c>
      <c r="D4415" s="6">
        <v>3382</v>
      </c>
      <c r="E4415" s="6">
        <v>3281</v>
      </c>
      <c r="F4415" t="str">
        <f t="shared" si="1867"/>
        <v>TUE</v>
      </c>
      <c r="G4415" s="3">
        <f t="shared" si="1868"/>
        <v>44096</v>
      </c>
      <c r="H4415" s="2">
        <f t="shared" ca="1" si="1869"/>
        <v>157</v>
      </c>
      <c r="I4415" t="str">
        <f t="shared" si="1870"/>
        <v>SPX</v>
      </c>
      <c r="J4415">
        <f t="shared" si="1871"/>
        <v>3247</v>
      </c>
      <c r="K4415">
        <f t="shared" si="1872"/>
        <v>3382</v>
      </c>
      <c r="L4415">
        <f t="shared" si="1873"/>
        <v>3314.5</v>
      </c>
      <c r="M4415">
        <f t="shared" si="1874"/>
        <v>67.5</v>
      </c>
      <c r="N4415">
        <f t="shared" si="1852"/>
        <v>135</v>
      </c>
      <c r="O4415">
        <f t="shared" si="1875"/>
        <v>3281</v>
      </c>
      <c r="P4415">
        <f t="shared" si="1876"/>
        <v>-0.49629629629629629</v>
      </c>
      <c r="Q4415" t="str">
        <f t="shared" si="1853"/>
        <v>1.04% | 3.08%</v>
      </c>
      <c r="R4415" t="str">
        <f t="shared" si="1877"/>
        <v>BEARISH</v>
      </c>
      <c r="S4415">
        <f t="shared" si="1854"/>
        <v>-1</v>
      </c>
    </row>
    <row r="4416" spans="1:19" hidden="1" x14ac:dyDescent="0.25">
      <c r="A4416" s="5" t="str">
        <f t="shared" si="1855"/>
        <v>44096RUT</v>
      </c>
      <c r="B4416" s="6" t="s">
        <v>164</v>
      </c>
      <c r="C4416" s="6">
        <v>1475</v>
      </c>
      <c r="D4416" s="6">
        <v>1534</v>
      </c>
      <c r="E4416" s="6">
        <v>1485</v>
      </c>
      <c r="F4416" t="str">
        <f t="shared" si="1867"/>
        <v>TUE</v>
      </c>
      <c r="G4416" s="3">
        <f t="shared" si="1868"/>
        <v>44096</v>
      </c>
      <c r="H4416" s="2">
        <f t="shared" ca="1" si="1869"/>
        <v>157</v>
      </c>
      <c r="I4416" t="str">
        <f t="shared" si="1870"/>
        <v>RUT</v>
      </c>
      <c r="J4416">
        <f t="shared" si="1871"/>
        <v>1475</v>
      </c>
      <c r="K4416">
        <f t="shared" si="1872"/>
        <v>1534</v>
      </c>
      <c r="L4416">
        <f t="shared" si="1873"/>
        <v>1504.5</v>
      </c>
      <c r="M4416">
        <f t="shared" si="1874"/>
        <v>29.5</v>
      </c>
      <c r="N4416">
        <f t="shared" si="1852"/>
        <v>59</v>
      </c>
      <c r="O4416">
        <f t="shared" si="1875"/>
        <v>1485</v>
      </c>
      <c r="P4416">
        <f t="shared" si="1876"/>
        <v>-0.66101694915254239</v>
      </c>
      <c r="Q4416" t="str">
        <f t="shared" si="1853"/>
        <v>0.67% | 3.3%</v>
      </c>
      <c r="R4416" t="str">
        <f t="shared" si="1877"/>
        <v>BEARISH</v>
      </c>
      <c r="S4416">
        <f t="shared" si="1854"/>
        <v>-1</v>
      </c>
    </row>
    <row r="4417" spans="1:19" hidden="1" x14ac:dyDescent="0.25">
      <c r="A4417" s="5" t="str">
        <f t="shared" si="1855"/>
        <v>44096COMPQ</v>
      </c>
      <c r="B4417" s="6" t="s">
        <v>217</v>
      </c>
      <c r="C4417" s="6">
        <v>10579</v>
      </c>
      <c r="D4417" s="6">
        <v>11099</v>
      </c>
      <c r="E4417" s="6">
        <v>10778</v>
      </c>
      <c r="F4417" t="str">
        <f t="shared" si="1867"/>
        <v>TUE</v>
      </c>
      <c r="G4417" s="3">
        <f t="shared" si="1868"/>
        <v>44096</v>
      </c>
      <c r="H4417" s="2">
        <f t="shared" ca="1" si="1869"/>
        <v>157</v>
      </c>
      <c r="I4417" t="str">
        <f t="shared" si="1870"/>
        <v>COMPQ</v>
      </c>
      <c r="J4417">
        <f t="shared" si="1871"/>
        <v>10579</v>
      </c>
      <c r="K4417">
        <f t="shared" si="1872"/>
        <v>11099</v>
      </c>
      <c r="L4417">
        <f t="shared" si="1873"/>
        <v>10839</v>
      </c>
      <c r="M4417">
        <f t="shared" si="1874"/>
        <v>260</v>
      </c>
      <c r="N4417">
        <f t="shared" si="1852"/>
        <v>520</v>
      </c>
      <c r="O4417">
        <f t="shared" si="1875"/>
        <v>10778</v>
      </c>
      <c r="P4417">
        <f t="shared" si="1876"/>
        <v>-0.23461538461538461</v>
      </c>
      <c r="Q4417" t="str">
        <f t="shared" si="1853"/>
        <v>1.85% | 2.98%</v>
      </c>
      <c r="R4417" t="str">
        <f t="shared" si="1877"/>
        <v>BEARISH</v>
      </c>
      <c r="S4417">
        <f t="shared" si="1854"/>
        <v>-1</v>
      </c>
    </row>
    <row r="4418" spans="1:19" hidden="1" x14ac:dyDescent="0.25">
      <c r="A4418" s="5" t="str">
        <f t="shared" si="1855"/>
        <v>44096XLK</v>
      </c>
      <c r="B4418" s="6" t="s">
        <v>203</v>
      </c>
      <c r="C4418" s="6">
        <v>110.44</v>
      </c>
      <c r="D4418" s="6">
        <v>117.27</v>
      </c>
      <c r="E4418" s="6">
        <v>112.44</v>
      </c>
      <c r="F4418" t="str">
        <f t="shared" si="1867"/>
        <v>TUE</v>
      </c>
      <c r="G4418" s="3">
        <f t="shared" si="1868"/>
        <v>44096</v>
      </c>
      <c r="H4418" s="2">
        <f t="shared" ca="1" si="1869"/>
        <v>157</v>
      </c>
      <c r="I4418" t="str">
        <f t="shared" si="1870"/>
        <v>XLK</v>
      </c>
      <c r="J4418">
        <f t="shared" si="1871"/>
        <v>110.44</v>
      </c>
      <c r="K4418">
        <f t="shared" si="1872"/>
        <v>117.27</v>
      </c>
      <c r="L4418">
        <f t="shared" si="1873"/>
        <v>113.85499999999999</v>
      </c>
      <c r="M4418">
        <f t="shared" si="1874"/>
        <v>3.4149999999999991</v>
      </c>
      <c r="N4418">
        <f t="shared" si="1852"/>
        <v>6.8299999999999983</v>
      </c>
      <c r="O4418">
        <f t="shared" si="1875"/>
        <v>112.44</v>
      </c>
      <c r="P4418">
        <f t="shared" si="1876"/>
        <v>-0.41434846266471226</v>
      </c>
      <c r="Q4418" t="str">
        <f t="shared" si="1853"/>
        <v>1.78% | 4.3%</v>
      </c>
      <c r="R4418" t="str">
        <f t="shared" si="1877"/>
        <v>NEUTRAL</v>
      </c>
      <c r="S4418">
        <f t="shared" si="1854"/>
        <v>0</v>
      </c>
    </row>
    <row r="4419" spans="1:19" hidden="1" x14ac:dyDescent="0.25">
      <c r="A4419" s="5" t="str">
        <f t="shared" si="1855"/>
        <v>44096XLRE</v>
      </c>
      <c r="B4419" s="6" t="s">
        <v>167</v>
      </c>
      <c r="C4419" s="6">
        <v>34.25</v>
      </c>
      <c r="D4419" s="6">
        <v>37.29</v>
      </c>
      <c r="E4419" s="6">
        <v>34.44</v>
      </c>
      <c r="F4419" t="str">
        <f t="shared" si="1867"/>
        <v>TUE</v>
      </c>
      <c r="G4419" s="3">
        <f t="shared" si="1868"/>
        <v>44096</v>
      </c>
      <c r="H4419" s="2">
        <f t="shared" ca="1" si="1869"/>
        <v>157</v>
      </c>
      <c r="I4419" t="str">
        <f t="shared" si="1870"/>
        <v>XLRE</v>
      </c>
      <c r="J4419">
        <f t="shared" si="1871"/>
        <v>34.25</v>
      </c>
      <c r="K4419">
        <f t="shared" si="1872"/>
        <v>37.29</v>
      </c>
      <c r="L4419">
        <f t="shared" si="1873"/>
        <v>35.769999999999996</v>
      </c>
      <c r="M4419">
        <f t="shared" si="1874"/>
        <v>1.5199999999999996</v>
      </c>
      <c r="N4419">
        <f t="shared" ref="N4419:N4482" si="1878">ABS(K4419-J4419)</f>
        <v>3.0399999999999991</v>
      </c>
      <c r="O4419">
        <f t="shared" si="1875"/>
        <v>34.44</v>
      </c>
      <c r="P4419">
        <f t="shared" si="1876"/>
        <v>-0.87499999999999911</v>
      </c>
      <c r="Q4419" t="str">
        <f t="shared" ref="Q4419:Q4482" si="1879">ROUND(ABS(100*(O4419-J4419)/O4419),2)&amp;"% | "&amp;ROUND(ABS(100*(K4419-O4419)/O4419),2)&amp;"%"</f>
        <v>0.55% | 8.28%</v>
      </c>
      <c r="R4419" t="str">
        <f t="shared" si="1877"/>
        <v>BULLISH</v>
      </c>
      <c r="S4419">
        <f t="shared" ref="S4419:S4482" si="1880">IF(R4419="BEARISH",-1,IF(R4419="NEUTRAL",0,IF(R4419="BULLISH",1,99)))</f>
        <v>1</v>
      </c>
    </row>
    <row r="4420" spans="1:19" hidden="1" x14ac:dyDescent="0.25">
      <c r="A4420" s="5" t="str">
        <f t="shared" si="1855"/>
        <v>44096XLU</v>
      </c>
      <c r="B4420" s="6" t="s">
        <v>168</v>
      </c>
      <c r="C4420" s="6">
        <v>57.4</v>
      </c>
      <c r="D4420" s="6">
        <v>60.24</v>
      </c>
      <c r="E4420" s="6">
        <v>57.66</v>
      </c>
      <c r="F4420" t="str">
        <f t="shared" si="1867"/>
        <v>TUE</v>
      </c>
      <c r="G4420" s="3">
        <f t="shared" si="1868"/>
        <v>44096</v>
      </c>
      <c r="H4420" s="2">
        <f t="shared" ca="1" si="1869"/>
        <v>157</v>
      </c>
      <c r="I4420" t="str">
        <f t="shared" si="1870"/>
        <v>XLU</v>
      </c>
      <c r="J4420">
        <f t="shared" si="1871"/>
        <v>57.4</v>
      </c>
      <c r="K4420">
        <f t="shared" si="1872"/>
        <v>60.24</v>
      </c>
      <c r="L4420">
        <f t="shared" si="1873"/>
        <v>58.82</v>
      </c>
      <c r="M4420">
        <f t="shared" si="1874"/>
        <v>1.4200000000000017</v>
      </c>
      <c r="N4420">
        <f t="shared" si="1878"/>
        <v>2.8400000000000034</v>
      </c>
      <c r="O4420">
        <f t="shared" si="1875"/>
        <v>57.66</v>
      </c>
      <c r="P4420">
        <f t="shared" si="1876"/>
        <v>-0.8169014084507058</v>
      </c>
      <c r="Q4420" t="str">
        <f t="shared" si="1879"/>
        <v>0.45% | 4.47%</v>
      </c>
      <c r="R4420" t="str">
        <f t="shared" si="1877"/>
        <v>BULLISH</v>
      </c>
      <c r="S4420">
        <f t="shared" si="1880"/>
        <v>1</v>
      </c>
    </row>
    <row r="4421" spans="1:19" hidden="1" x14ac:dyDescent="0.25">
      <c r="A4421" s="5" t="str">
        <f t="shared" si="1855"/>
        <v>44096XLF</v>
      </c>
      <c r="B4421" s="6" t="s">
        <v>169</v>
      </c>
      <c r="C4421" s="6">
        <v>23.75</v>
      </c>
      <c r="D4421" s="6">
        <v>24.9</v>
      </c>
      <c r="E4421" s="6">
        <v>23.93</v>
      </c>
      <c r="F4421" t="str">
        <f t="shared" si="1867"/>
        <v>TUE</v>
      </c>
      <c r="G4421" s="3">
        <f t="shared" si="1868"/>
        <v>44096</v>
      </c>
      <c r="H4421" s="2">
        <f t="shared" ca="1" si="1869"/>
        <v>157</v>
      </c>
      <c r="I4421" t="str">
        <f t="shared" si="1870"/>
        <v>XLF</v>
      </c>
      <c r="J4421">
        <f t="shared" si="1871"/>
        <v>23.75</v>
      </c>
      <c r="K4421">
        <f t="shared" si="1872"/>
        <v>24.9</v>
      </c>
      <c r="L4421">
        <f t="shared" si="1873"/>
        <v>24.324999999999999</v>
      </c>
      <c r="M4421">
        <f t="shared" si="1874"/>
        <v>0.57499999999999929</v>
      </c>
      <c r="N4421">
        <f t="shared" si="1878"/>
        <v>1.1499999999999986</v>
      </c>
      <c r="O4421">
        <f t="shared" si="1875"/>
        <v>23.93</v>
      </c>
      <c r="P4421">
        <f t="shared" si="1876"/>
        <v>-0.68695652173913058</v>
      </c>
      <c r="Q4421" t="str">
        <f t="shared" si="1879"/>
        <v>0.75% | 4.05%</v>
      </c>
      <c r="R4421" t="str">
        <f t="shared" si="1877"/>
        <v>BEARISH</v>
      </c>
      <c r="S4421">
        <f t="shared" si="1880"/>
        <v>-1</v>
      </c>
    </row>
    <row r="4422" spans="1:19" hidden="1" x14ac:dyDescent="0.25">
      <c r="A4422" s="5" t="str">
        <f t="shared" ref="A4422:A4485" si="1881">G4422&amp;I4422</f>
        <v>44096SSEC</v>
      </c>
      <c r="B4422" s="6" t="s">
        <v>170</v>
      </c>
      <c r="C4422" s="6">
        <v>3211</v>
      </c>
      <c r="D4422" s="6">
        <v>3351</v>
      </c>
      <c r="E4422" s="6">
        <v>3274</v>
      </c>
      <c r="F4422" t="str">
        <f t="shared" si="1867"/>
        <v>TUE</v>
      </c>
      <c r="G4422" s="3">
        <f t="shared" si="1868"/>
        <v>44096</v>
      </c>
      <c r="H4422" s="2">
        <f t="shared" ca="1" si="1869"/>
        <v>157</v>
      </c>
      <c r="I4422" t="str">
        <f t="shared" si="1870"/>
        <v>SSEC</v>
      </c>
      <c r="J4422">
        <f t="shared" si="1871"/>
        <v>3211</v>
      </c>
      <c r="K4422">
        <f t="shared" si="1872"/>
        <v>3351</v>
      </c>
      <c r="L4422">
        <f t="shared" si="1873"/>
        <v>3281</v>
      </c>
      <c r="M4422">
        <f t="shared" si="1874"/>
        <v>70</v>
      </c>
      <c r="N4422">
        <f t="shared" si="1878"/>
        <v>140</v>
      </c>
      <c r="O4422">
        <f t="shared" si="1875"/>
        <v>3274</v>
      </c>
      <c r="P4422">
        <f t="shared" si="1876"/>
        <v>-0.1</v>
      </c>
      <c r="Q4422" t="str">
        <f t="shared" si="1879"/>
        <v>1.92% | 2.35%</v>
      </c>
      <c r="R4422" t="str">
        <f t="shared" si="1877"/>
        <v>BULLISH</v>
      </c>
      <c r="S4422">
        <f t="shared" si="1880"/>
        <v>1</v>
      </c>
    </row>
    <row r="4423" spans="1:19" hidden="1" x14ac:dyDescent="0.25">
      <c r="A4423" s="5" t="str">
        <f t="shared" si="1881"/>
        <v>44096NIKK</v>
      </c>
      <c r="B4423" s="6" t="s">
        <v>201</v>
      </c>
      <c r="C4423" s="6">
        <v>22971</v>
      </c>
      <c r="D4423" s="6">
        <v>23645</v>
      </c>
      <c r="E4423" s="6">
        <v>23360</v>
      </c>
      <c r="F4423" t="str">
        <f t="shared" si="1867"/>
        <v>TUE</v>
      </c>
      <c r="G4423" s="3">
        <f t="shared" si="1868"/>
        <v>44096</v>
      </c>
      <c r="H4423" s="2">
        <f t="shared" ca="1" si="1869"/>
        <v>157</v>
      </c>
      <c r="I4423" t="str">
        <f t="shared" si="1870"/>
        <v>NIKK</v>
      </c>
      <c r="J4423">
        <f t="shared" si="1871"/>
        <v>22971</v>
      </c>
      <c r="K4423">
        <f t="shared" si="1872"/>
        <v>23645</v>
      </c>
      <c r="L4423">
        <f t="shared" si="1873"/>
        <v>23308</v>
      </c>
      <c r="M4423">
        <f t="shared" si="1874"/>
        <v>337</v>
      </c>
      <c r="N4423">
        <f t="shared" si="1878"/>
        <v>674</v>
      </c>
      <c r="O4423">
        <f t="shared" si="1875"/>
        <v>23360</v>
      </c>
      <c r="P4423">
        <f t="shared" si="1876"/>
        <v>0.1543026706231454</v>
      </c>
      <c r="Q4423" t="str">
        <f t="shared" si="1879"/>
        <v>1.67% | 1.22%</v>
      </c>
      <c r="R4423" t="str">
        <f t="shared" si="1877"/>
        <v>BULLISH</v>
      </c>
      <c r="S4423">
        <f t="shared" si="1880"/>
        <v>1</v>
      </c>
    </row>
    <row r="4424" spans="1:19" hidden="1" x14ac:dyDescent="0.25">
      <c r="A4424" s="5" t="str">
        <f t="shared" si="1881"/>
        <v>44096DAX</v>
      </c>
      <c r="B4424" s="6" t="s">
        <v>198</v>
      </c>
      <c r="C4424" s="6">
        <v>12508</v>
      </c>
      <c r="D4424" s="6">
        <v>13014</v>
      </c>
      <c r="E4424" s="6">
        <v>12542</v>
      </c>
      <c r="F4424" t="str">
        <f t="shared" si="1867"/>
        <v>TUE</v>
      </c>
      <c r="G4424" s="3">
        <f t="shared" si="1868"/>
        <v>44096</v>
      </c>
      <c r="H4424" s="2">
        <f t="shared" ca="1" si="1869"/>
        <v>157</v>
      </c>
      <c r="I4424" t="str">
        <f t="shared" si="1870"/>
        <v>DAX</v>
      </c>
      <c r="J4424">
        <f t="shared" si="1871"/>
        <v>12508</v>
      </c>
      <c r="K4424">
        <f t="shared" si="1872"/>
        <v>13014</v>
      </c>
      <c r="L4424">
        <f t="shared" si="1873"/>
        <v>12761</v>
      </c>
      <c r="M4424">
        <f t="shared" si="1874"/>
        <v>253</v>
      </c>
      <c r="N4424">
        <f t="shared" si="1878"/>
        <v>506</v>
      </c>
      <c r="O4424">
        <f t="shared" si="1875"/>
        <v>12542</v>
      </c>
      <c r="P4424">
        <f t="shared" si="1876"/>
        <v>-0.86561264822134387</v>
      </c>
      <c r="Q4424" t="str">
        <f t="shared" si="1879"/>
        <v>0.27% | 3.76%</v>
      </c>
      <c r="R4424" t="str">
        <f t="shared" si="1877"/>
        <v>NEUTRAL</v>
      </c>
      <c r="S4424">
        <f t="shared" si="1880"/>
        <v>0</v>
      </c>
    </row>
    <row r="4425" spans="1:19" hidden="1" x14ac:dyDescent="0.25">
      <c r="A4425" s="5" t="str">
        <f t="shared" si="1881"/>
        <v>44096VIX</v>
      </c>
      <c r="B4425" s="6" t="s">
        <v>202</v>
      </c>
      <c r="C4425" s="6">
        <v>24.22</v>
      </c>
      <c r="D4425" s="6">
        <v>30.75</v>
      </c>
      <c r="E4425" s="6">
        <v>27.78</v>
      </c>
      <c r="F4425" t="str">
        <f t="shared" si="1867"/>
        <v>TUE</v>
      </c>
      <c r="G4425" s="3">
        <f t="shared" si="1868"/>
        <v>44096</v>
      </c>
      <c r="H4425" s="2">
        <f t="shared" ca="1" si="1869"/>
        <v>157</v>
      </c>
      <c r="I4425" t="str">
        <f t="shared" si="1870"/>
        <v>VIX</v>
      </c>
      <c r="J4425">
        <f t="shared" si="1871"/>
        <v>24.22</v>
      </c>
      <c r="K4425">
        <f t="shared" si="1872"/>
        <v>30.75</v>
      </c>
      <c r="L4425">
        <f t="shared" si="1873"/>
        <v>27.484999999999999</v>
      </c>
      <c r="M4425">
        <f t="shared" si="1874"/>
        <v>3.2650000000000126</v>
      </c>
      <c r="N4425">
        <f t="shared" si="1878"/>
        <v>6.5300000000000011</v>
      </c>
      <c r="O4425">
        <f t="shared" si="1875"/>
        <v>27.78</v>
      </c>
      <c r="P4425">
        <f t="shared" si="1876"/>
        <v>9.0352220520673987E-2</v>
      </c>
      <c r="Q4425" t="str">
        <f t="shared" si="1879"/>
        <v>12.81% | 10.69%</v>
      </c>
      <c r="R4425" t="str">
        <f t="shared" si="1877"/>
        <v>BULLISH</v>
      </c>
      <c r="S4425">
        <f t="shared" si="1880"/>
        <v>1</v>
      </c>
    </row>
    <row r="4426" spans="1:19" hidden="1" x14ac:dyDescent="0.25">
      <c r="A4426" s="5" t="str">
        <f t="shared" si="1881"/>
        <v>44096USD</v>
      </c>
      <c r="B4426" s="6" t="s">
        <v>174</v>
      </c>
      <c r="C4426" s="6">
        <v>92.71</v>
      </c>
      <c r="D4426" s="6">
        <v>93.98</v>
      </c>
      <c r="E4426" s="6">
        <v>93.68</v>
      </c>
      <c r="F4426" t="str">
        <f t="shared" si="1867"/>
        <v>TUE</v>
      </c>
      <c r="G4426" s="3">
        <f t="shared" si="1868"/>
        <v>44096</v>
      </c>
      <c r="H4426" s="2">
        <f t="shared" ca="1" si="1869"/>
        <v>157</v>
      </c>
      <c r="I4426" t="str">
        <f t="shared" si="1870"/>
        <v>USD</v>
      </c>
      <c r="J4426">
        <f t="shared" si="1871"/>
        <v>92.71</v>
      </c>
      <c r="K4426">
        <f t="shared" si="1872"/>
        <v>93.98</v>
      </c>
      <c r="L4426">
        <f t="shared" si="1873"/>
        <v>93.344999999999999</v>
      </c>
      <c r="M4426">
        <f t="shared" si="1874"/>
        <v>0.63500000000000512</v>
      </c>
      <c r="N4426">
        <f t="shared" si="1878"/>
        <v>1.2700000000000102</v>
      </c>
      <c r="O4426">
        <f t="shared" si="1875"/>
        <v>93.68</v>
      </c>
      <c r="P4426">
        <f t="shared" si="1876"/>
        <v>0.52755905511811851</v>
      </c>
      <c r="Q4426" t="str">
        <f t="shared" si="1879"/>
        <v>1.04% | 0.32%</v>
      </c>
      <c r="R4426" t="str">
        <f t="shared" si="1877"/>
        <v>BEARISH</v>
      </c>
      <c r="S4426">
        <f t="shared" si="1880"/>
        <v>-1</v>
      </c>
    </row>
    <row r="4427" spans="1:19" hidden="1" x14ac:dyDescent="0.25">
      <c r="A4427" s="5" t="str">
        <f t="shared" si="1881"/>
        <v>44096EUR/USD</v>
      </c>
      <c r="B4427" s="6" t="s">
        <v>175</v>
      </c>
      <c r="C4427" s="6">
        <v>1.17</v>
      </c>
      <c r="D4427" s="6">
        <v>1.19</v>
      </c>
      <c r="E4427" s="6">
        <v>1.17</v>
      </c>
      <c r="F4427" t="str">
        <f t="shared" si="1867"/>
        <v>TUE</v>
      </c>
      <c r="G4427" s="3">
        <f t="shared" si="1868"/>
        <v>44096</v>
      </c>
      <c r="H4427" s="2">
        <f t="shared" ca="1" si="1869"/>
        <v>157</v>
      </c>
      <c r="I4427" t="str">
        <f t="shared" si="1870"/>
        <v>EUR/USD</v>
      </c>
      <c r="J4427">
        <f t="shared" si="1871"/>
        <v>1.17</v>
      </c>
      <c r="K4427">
        <f t="shared" si="1872"/>
        <v>1.19</v>
      </c>
      <c r="L4427">
        <f t="shared" si="1873"/>
        <v>1.18</v>
      </c>
      <c r="M4427">
        <f t="shared" si="1874"/>
        <v>1.0000000000000009E-2</v>
      </c>
      <c r="N4427">
        <f t="shared" si="1878"/>
        <v>2.0000000000000018E-2</v>
      </c>
      <c r="O4427">
        <f t="shared" si="1875"/>
        <v>1.17</v>
      </c>
      <c r="P4427">
        <f t="shared" si="1876"/>
        <v>-1</v>
      </c>
      <c r="Q4427" t="str">
        <f t="shared" si="1879"/>
        <v>0% | 1.71%</v>
      </c>
      <c r="R4427" t="str">
        <f t="shared" si="1877"/>
        <v>BULLISH</v>
      </c>
      <c r="S4427">
        <f t="shared" si="1880"/>
        <v>1</v>
      </c>
    </row>
    <row r="4428" spans="1:19" hidden="1" x14ac:dyDescent="0.25">
      <c r="A4428" s="5" t="str">
        <f t="shared" si="1881"/>
        <v>44096USD/JPY</v>
      </c>
      <c r="B4428" s="6" t="s">
        <v>176</v>
      </c>
      <c r="C4428" s="6">
        <v>104.02</v>
      </c>
      <c r="D4428" s="6">
        <v>105.81</v>
      </c>
      <c r="E4428" s="6">
        <v>104.68</v>
      </c>
      <c r="F4428" t="str">
        <f t="shared" si="1867"/>
        <v>TUE</v>
      </c>
      <c r="G4428" s="3">
        <f t="shared" si="1868"/>
        <v>44096</v>
      </c>
      <c r="H4428" s="2">
        <f t="shared" ca="1" si="1869"/>
        <v>157</v>
      </c>
      <c r="I4428" t="str">
        <f t="shared" si="1870"/>
        <v>USD/JPY</v>
      </c>
      <c r="J4428">
        <f t="shared" si="1871"/>
        <v>104.02</v>
      </c>
      <c r="K4428">
        <f t="shared" si="1872"/>
        <v>105.81</v>
      </c>
      <c r="L4428">
        <f t="shared" si="1873"/>
        <v>104.91499999999999</v>
      </c>
      <c r="M4428">
        <f t="shared" si="1874"/>
        <v>0.89500000000000313</v>
      </c>
      <c r="N4428">
        <f t="shared" si="1878"/>
        <v>1.7900000000000063</v>
      </c>
      <c r="O4428">
        <f t="shared" si="1875"/>
        <v>104.68</v>
      </c>
      <c r="P4428">
        <f t="shared" si="1876"/>
        <v>-0.26256983240221721</v>
      </c>
      <c r="Q4428" t="str">
        <f t="shared" si="1879"/>
        <v>0.63% | 1.08%</v>
      </c>
      <c r="R4428" t="str">
        <f t="shared" si="1877"/>
        <v>BEARISH</v>
      </c>
      <c r="S4428">
        <f t="shared" si="1880"/>
        <v>-1</v>
      </c>
    </row>
    <row r="4429" spans="1:19" hidden="1" x14ac:dyDescent="0.25">
      <c r="A4429" s="5" t="str">
        <f t="shared" si="1881"/>
        <v>44096GBP/USD</v>
      </c>
      <c r="B4429" s="6" t="s">
        <v>214</v>
      </c>
      <c r="C4429" s="6">
        <v>1.27</v>
      </c>
      <c r="D4429" s="6">
        <v>1.3</v>
      </c>
      <c r="E4429" s="6">
        <v>1.28</v>
      </c>
      <c r="F4429" t="str">
        <f t="shared" si="1867"/>
        <v>TUE</v>
      </c>
      <c r="G4429" s="3">
        <f t="shared" si="1868"/>
        <v>44096</v>
      </c>
      <c r="H4429" s="2">
        <f t="shared" ca="1" si="1869"/>
        <v>157</v>
      </c>
      <c r="I4429" t="str">
        <f t="shared" si="1870"/>
        <v>GBP/USD</v>
      </c>
      <c r="J4429">
        <f t="shared" si="1871"/>
        <v>1.27</v>
      </c>
      <c r="K4429">
        <f t="shared" si="1872"/>
        <v>1.3</v>
      </c>
      <c r="L4429">
        <f t="shared" si="1873"/>
        <v>1.2850000000000001</v>
      </c>
      <c r="M4429">
        <f t="shared" si="1874"/>
        <v>1.5000000000000013E-2</v>
      </c>
      <c r="N4429">
        <f t="shared" si="1878"/>
        <v>3.0000000000000027E-2</v>
      </c>
      <c r="O4429">
        <f t="shared" si="1875"/>
        <v>1.28</v>
      </c>
      <c r="P4429">
        <f t="shared" si="1876"/>
        <v>-0.33333333333334075</v>
      </c>
      <c r="Q4429" t="str">
        <f t="shared" si="1879"/>
        <v>0.78% | 1.56%</v>
      </c>
      <c r="R4429" t="str">
        <f t="shared" si="1877"/>
        <v>NEUTRAL</v>
      </c>
      <c r="S4429">
        <f t="shared" si="1880"/>
        <v>0</v>
      </c>
    </row>
    <row r="4430" spans="1:19" hidden="1" x14ac:dyDescent="0.25">
      <c r="A4430" s="5" t="str">
        <f t="shared" si="1881"/>
        <v>44096USD/CHF</v>
      </c>
      <c r="B4430" s="6" t="s">
        <v>178</v>
      </c>
      <c r="C4430" s="6">
        <v>0.9</v>
      </c>
      <c r="D4430" s="6">
        <v>0.92</v>
      </c>
      <c r="E4430" s="6">
        <v>0.91</v>
      </c>
      <c r="F4430" t="str">
        <f t="shared" si="1867"/>
        <v>TUE</v>
      </c>
      <c r="G4430" s="3">
        <f t="shared" si="1868"/>
        <v>44096</v>
      </c>
      <c r="H4430" s="2">
        <f t="shared" ca="1" si="1869"/>
        <v>157</v>
      </c>
      <c r="I4430" t="str">
        <f t="shared" si="1870"/>
        <v>USD/CHF</v>
      </c>
      <c r="J4430">
        <f t="shared" si="1871"/>
        <v>0.9</v>
      </c>
      <c r="K4430">
        <f t="shared" si="1872"/>
        <v>0.92</v>
      </c>
      <c r="L4430">
        <f t="shared" si="1873"/>
        <v>0.91</v>
      </c>
      <c r="M4430">
        <f t="shared" si="1874"/>
        <v>1.0000000000000009E-2</v>
      </c>
      <c r="N4430">
        <f t="shared" si="1878"/>
        <v>2.0000000000000018E-2</v>
      </c>
      <c r="O4430">
        <f t="shared" si="1875"/>
        <v>0.91</v>
      </c>
      <c r="P4430">
        <f t="shared" si="1876"/>
        <v>0</v>
      </c>
      <c r="Q4430" t="str">
        <f t="shared" si="1879"/>
        <v>1.1% | 1.1%</v>
      </c>
      <c r="R4430" t="str">
        <f t="shared" si="1877"/>
        <v>BEARISH</v>
      </c>
      <c r="S4430">
        <f t="shared" si="1880"/>
        <v>-1</v>
      </c>
    </row>
    <row r="4431" spans="1:19" hidden="1" x14ac:dyDescent="0.25">
      <c r="A4431" s="5" t="str">
        <f t="shared" si="1881"/>
        <v>44096WTIC</v>
      </c>
      <c r="B4431" s="6" t="s">
        <v>215</v>
      </c>
      <c r="C4431" s="6">
        <v>35.76</v>
      </c>
      <c r="D4431" s="6">
        <v>41.86</v>
      </c>
      <c r="E4431" s="6">
        <v>39.54</v>
      </c>
      <c r="F4431" t="str">
        <f t="shared" si="1867"/>
        <v>TUE</v>
      </c>
      <c r="G4431" s="3">
        <f t="shared" si="1868"/>
        <v>44096</v>
      </c>
      <c r="H4431" s="2">
        <f t="shared" ca="1" si="1869"/>
        <v>157</v>
      </c>
      <c r="I4431" t="str">
        <f t="shared" si="1870"/>
        <v>WTIC</v>
      </c>
      <c r="J4431">
        <f t="shared" si="1871"/>
        <v>35.76</v>
      </c>
      <c r="K4431">
        <f t="shared" si="1872"/>
        <v>41.86</v>
      </c>
      <c r="L4431">
        <f t="shared" si="1873"/>
        <v>38.81</v>
      </c>
      <c r="M4431">
        <f t="shared" si="1874"/>
        <v>3.0500000000000007</v>
      </c>
      <c r="N4431">
        <f t="shared" si="1878"/>
        <v>6.1000000000000014</v>
      </c>
      <c r="O4431">
        <f t="shared" si="1875"/>
        <v>39.54</v>
      </c>
      <c r="P4431">
        <f t="shared" si="1876"/>
        <v>0.23934426229508088</v>
      </c>
      <c r="Q4431" t="str">
        <f t="shared" si="1879"/>
        <v>9.56% | 5.87%</v>
      </c>
      <c r="R4431" t="str">
        <f t="shared" si="1877"/>
        <v>BEARISH</v>
      </c>
      <c r="S4431">
        <f t="shared" si="1880"/>
        <v>-1</v>
      </c>
    </row>
    <row r="4432" spans="1:19" hidden="1" x14ac:dyDescent="0.25">
      <c r="A4432" s="5" t="str">
        <f t="shared" si="1881"/>
        <v>44096NATGAS</v>
      </c>
      <c r="B4432" s="6" t="s">
        <v>222</v>
      </c>
      <c r="C4432" s="6">
        <v>1.75</v>
      </c>
      <c r="D4432" s="6">
        <v>2.27</v>
      </c>
      <c r="E4432" s="6">
        <v>1.84</v>
      </c>
      <c r="F4432" t="str">
        <f t="shared" si="1867"/>
        <v>TUE</v>
      </c>
      <c r="G4432" s="3">
        <f t="shared" si="1868"/>
        <v>44096</v>
      </c>
      <c r="H4432" s="2">
        <f t="shared" ca="1" si="1869"/>
        <v>157</v>
      </c>
      <c r="I4432" t="str">
        <f t="shared" si="1870"/>
        <v>NATGAS</v>
      </c>
      <c r="J4432">
        <f t="shared" si="1871"/>
        <v>1.75</v>
      </c>
      <c r="K4432">
        <f t="shared" si="1872"/>
        <v>2.27</v>
      </c>
      <c r="L4432">
        <f t="shared" si="1873"/>
        <v>2.0099999999999998</v>
      </c>
      <c r="M4432">
        <f t="shared" si="1874"/>
        <v>0.26000000000000106</v>
      </c>
      <c r="N4432">
        <f t="shared" si="1878"/>
        <v>0.52</v>
      </c>
      <c r="O4432">
        <f t="shared" si="1875"/>
        <v>1.84</v>
      </c>
      <c r="P4432">
        <f t="shared" si="1876"/>
        <v>-0.65384615384615008</v>
      </c>
      <c r="Q4432" t="str">
        <f t="shared" si="1879"/>
        <v>4.89% | 23.37%</v>
      </c>
      <c r="R4432" t="str">
        <f t="shared" si="1877"/>
        <v>BEARISH</v>
      </c>
      <c r="S4432">
        <f t="shared" si="1880"/>
        <v>-1</v>
      </c>
    </row>
    <row r="4433" spans="1:19" hidden="1" x14ac:dyDescent="0.25">
      <c r="A4433" s="5" t="str">
        <f t="shared" si="1881"/>
        <v>44096GOLD</v>
      </c>
      <c r="B4433" s="6" t="s">
        <v>181</v>
      </c>
      <c r="C4433" s="6">
        <v>1896</v>
      </c>
      <c r="D4433" s="6">
        <v>1985</v>
      </c>
      <c r="E4433" s="6">
        <v>1910</v>
      </c>
      <c r="F4433" t="str">
        <f t="shared" si="1867"/>
        <v>TUE</v>
      </c>
      <c r="G4433" s="3">
        <f t="shared" si="1868"/>
        <v>44096</v>
      </c>
      <c r="H4433" s="2">
        <f t="shared" ca="1" si="1869"/>
        <v>157</v>
      </c>
      <c r="I4433" t="str">
        <f t="shared" si="1870"/>
        <v>GOLD</v>
      </c>
      <c r="J4433">
        <f t="shared" si="1871"/>
        <v>1896</v>
      </c>
      <c r="K4433">
        <f t="shared" si="1872"/>
        <v>1985</v>
      </c>
      <c r="L4433">
        <f t="shared" si="1873"/>
        <v>1940.5</v>
      </c>
      <c r="M4433">
        <f t="shared" si="1874"/>
        <v>44.5</v>
      </c>
      <c r="N4433">
        <f t="shared" si="1878"/>
        <v>89</v>
      </c>
      <c r="O4433">
        <f t="shared" si="1875"/>
        <v>1910</v>
      </c>
      <c r="P4433">
        <f t="shared" si="1876"/>
        <v>-0.6853932584269663</v>
      </c>
      <c r="Q4433" t="str">
        <f t="shared" si="1879"/>
        <v>0.73% | 3.93%</v>
      </c>
      <c r="R4433" t="str">
        <f t="shared" si="1877"/>
        <v>BULLISH</v>
      </c>
      <c r="S4433">
        <f t="shared" si="1880"/>
        <v>1</v>
      </c>
    </row>
    <row r="4434" spans="1:19" hidden="1" x14ac:dyDescent="0.25">
      <c r="A4434" s="5" t="str">
        <f t="shared" si="1881"/>
        <v>44096SILVER</v>
      </c>
      <c r="B4434" s="6" t="s">
        <v>199</v>
      </c>
      <c r="C4434" s="6">
        <v>23.57</v>
      </c>
      <c r="D4434" s="6">
        <v>28.18</v>
      </c>
      <c r="E4434" s="6">
        <v>24.39</v>
      </c>
      <c r="F4434" t="str">
        <f t="shared" si="1867"/>
        <v>TUE</v>
      </c>
      <c r="G4434" s="3">
        <f t="shared" si="1868"/>
        <v>44096</v>
      </c>
      <c r="H4434" s="2">
        <f t="shared" ca="1" si="1869"/>
        <v>157</v>
      </c>
      <c r="I4434" t="str">
        <f t="shared" si="1870"/>
        <v>SILVER</v>
      </c>
      <c r="J4434">
        <f t="shared" si="1871"/>
        <v>23.57</v>
      </c>
      <c r="K4434">
        <f t="shared" si="1872"/>
        <v>28.18</v>
      </c>
      <c r="L4434">
        <f t="shared" si="1873"/>
        <v>25.875</v>
      </c>
      <c r="M4434">
        <f t="shared" si="1874"/>
        <v>2.3049999999999997</v>
      </c>
      <c r="N4434">
        <f t="shared" si="1878"/>
        <v>4.6099999999999994</v>
      </c>
      <c r="O4434">
        <f t="shared" si="1875"/>
        <v>24.39</v>
      </c>
      <c r="P4434">
        <f t="shared" si="1876"/>
        <v>-0.6442516268980476</v>
      </c>
      <c r="Q4434" t="str">
        <f t="shared" si="1879"/>
        <v>3.36% | 15.54%</v>
      </c>
      <c r="R4434" t="str">
        <f t="shared" si="1877"/>
        <v>BULLISH</v>
      </c>
      <c r="S4434">
        <f t="shared" si="1880"/>
        <v>1</v>
      </c>
    </row>
    <row r="4435" spans="1:19" hidden="1" x14ac:dyDescent="0.25">
      <c r="A4435" s="5" t="str">
        <f t="shared" si="1881"/>
        <v>44096COPPER</v>
      </c>
      <c r="B4435" s="6" t="s">
        <v>182</v>
      </c>
      <c r="C4435" s="6">
        <v>2.99</v>
      </c>
      <c r="D4435" s="6">
        <v>3.12</v>
      </c>
      <c r="E4435" s="6">
        <v>3.03</v>
      </c>
      <c r="F4435" t="str">
        <f t="shared" si="1867"/>
        <v>TUE</v>
      </c>
      <c r="G4435" s="3">
        <f t="shared" si="1868"/>
        <v>44096</v>
      </c>
      <c r="H4435" s="2">
        <f t="shared" ca="1" si="1869"/>
        <v>157</v>
      </c>
      <c r="I4435" t="str">
        <f t="shared" si="1870"/>
        <v>COPPER</v>
      </c>
      <c r="J4435">
        <f t="shared" si="1871"/>
        <v>2.99</v>
      </c>
      <c r="K4435">
        <f t="shared" si="1872"/>
        <v>3.12</v>
      </c>
      <c r="L4435">
        <f t="shared" si="1873"/>
        <v>3.0550000000000002</v>
      </c>
      <c r="M4435">
        <f t="shared" si="1874"/>
        <v>6.4999999999999947E-2</v>
      </c>
      <c r="N4435">
        <f t="shared" si="1878"/>
        <v>0.12999999999999989</v>
      </c>
      <c r="O4435">
        <f t="shared" si="1875"/>
        <v>3.03</v>
      </c>
      <c r="P4435">
        <f t="shared" si="1876"/>
        <v>-0.38461538461539041</v>
      </c>
      <c r="Q4435" t="str">
        <f t="shared" si="1879"/>
        <v>1.32% | 2.97%</v>
      </c>
      <c r="R4435" t="str">
        <f t="shared" si="1877"/>
        <v>BULLISH</v>
      </c>
      <c r="S4435">
        <f t="shared" si="1880"/>
        <v>1</v>
      </c>
    </row>
    <row r="4436" spans="1:19" hidden="1" x14ac:dyDescent="0.25">
      <c r="A4436" s="5" t="str">
        <f t="shared" si="1881"/>
        <v>44096MSFT</v>
      </c>
      <c r="B4436" s="6" t="s">
        <v>206</v>
      </c>
      <c r="C4436" s="6">
        <v>197</v>
      </c>
      <c r="D4436" s="6">
        <v>212</v>
      </c>
      <c r="E4436" s="6">
        <v>202</v>
      </c>
      <c r="F4436" t="str">
        <f t="shared" si="1867"/>
        <v>TUE</v>
      </c>
      <c r="G4436" s="3">
        <f t="shared" si="1868"/>
        <v>44096</v>
      </c>
      <c r="H4436" s="2">
        <f t="shared" ca="1" si="1869"/>
        <v>157</v>
      </c>
      <c r="I4436" t="str">
        <f t="shared" si="1870"/>
        <v>MSFT</v>
      </c>
      <c r="J4436">
        <f t="shared" si="1871"/>
        <v>197</v>
      </c>
      <c r="K4436">
        <f t="shared" si="1872"/>
        <v>212</v>
      </c>
      <c r="L4436">
        <f t="shared" si="1873"/>
        <v>204.5</v>
      </c>
      <c r="M4436">
        <f t="shared" si="1874"/>
        <v>7.5</v>
      </c>
      <c r="N4436">
        <f t="shared" si="1878"/>
        <v>15</v>
      </c>
      <c r="O4436">
        <f t="shared" si="1875"/>
        <v>202</v>
      </c>
      <c r="P4436">
        <f t="shared" si="1876"/>
        <v>-0.33333333333333331</v>
      </c>
      <c r="Q4436" t="str">
        <f t="shared" si="1879"/>
        <v>2.48% | 4.95%</v>
      </c>
      <c r="R4436" t="str">
        <f t="shared" si="1877"/>
        <v>NEUTRAL</v>
      </c>
      <c r="S4436">
        <f t="shared" si="1880"/>
        <v>0</v>
      </c>
    </row>
    <row r="4437" spans="1:19" hidden="1" x14ac:dyDescent="0.25">
      <c r="A4437" s="5" t="str">
        <f t="shared" si="1881"/>
        <v>44096AAPL</v>
      </c>
      <c r="B4437" s="6" t="s">
        <v>184</v>
      </c>
      <c r="C4437" s="6">
        <v>105</v>
      </c>
      <c r="D4437" s="6">
        <v>120</v>
      </c>
      <c r="E4437" s="6">
        <v>110</v>
      </c>
      <c r="F4437" t="str">
        <f t="shared" si="1867"/>
        <v>TUE</v>
      </c>
      <c r="G4437" s="3">
        <f t="shared" si="1868"/>
        <v>44096</v>
      </c>
      <c r="H4437" s="2">
        <f t="shared" ca="1" si="1869"/>
        <v>157</v>
      </c>
      <c r="I4437" t="str">
        <f t="shared" si="1870"/>
        <v>AAPL</v>
      </c>
      <c r="J4437">
        <f t="shared" si="1871"/>
        <v>105</v>
      </c>
      <c r="K4437">
        <f t="shared" si="1872"/>
        <v>120</v>
      </c>
      <c r="L4437">
        <f t="shared" si="1873"/>
        <v>112.5</v>
      </c>
      <c r="M4437">
        <f t="shared" si="1874"/>
        <v>7.5</v>
      </c>
      <c r="N4437">
        <f t="shared" si="1878"/>
        <v>15</v>
      </c>
      <c r="O4437">
        <f t="shared" si="1875"/>
        <v>110</v>
      </c>
      <c r="P4437">
        <f t="shared" si="1876"/>
        <v>-0.33333333333333331</v>
      </c>
      <c r="Q4437" t="str">
        <f t="shared" si="1879"/>
        <v>4.55% | 9.09%</v>
      </c>
      <c r="R4437" t="str">
        <f t="shared" si="1877"/>
        <v>BULLISH</v>
      </c>
      <c r="S4437">
        <f t="shared" si="1880"/>
        <v>1</v>
      </c>
    </row>
    <row r="4438" spans="1:19" hidden="1" x14ac:dyDescent="0.25">
      <c r="A4438" s="5" t="str">
        <f t="shared" si="1881"/>
        <v>44096AMZN</v>
      </c>
      <c r="B4438" s="6" t="s">
        <v>224</v>
      </c>
      <c r="C4438" s="6">
        <v>2875</v>
      </c>
      <c r="D4438" s="6">
        <v>3173</v>
      </c>
      <c r="E4438" s="6">
        <v>2960</v>
      </c>
      <c r="F4438" t="str">
        <f t="shared" si="1867"/>
        <v>TUE</v>
      </c>
      <c r="G4438" s="3">
        <f t="shared" si="1868"/>
        <v>44096</v>
      </c>
      <c r="H4438" s="2">
        <f t="shared" ca="1" si="1869"/>
        <v>157</v>
      </c>
      <c r="I4438" t="str">
        <f t="shared" si="1870"/>
        <v>AMZN</v>
      </c>
      <c r="J4438">
        <f t="shared" si="1871"/>
        <v>2875</v>
      </c>
      <c r="K4438">
        <f t="shared" si="1872"/>
        <v>3173</v>
      </c>
      <c r="L4438">
        <f t="shared" si="1873"/>
        <v>3024</v>
      </c>
      <c r="M4438">
        <f t="shared" si="1874"/>
        <v>149</v>
      </c>
      <c r="N4438">
        <f t="shared" si="1878"/>
        <v>298</v>
      </c>
      <c r="O4438">
        <f t="shared" si="1875"/>
        <v>2960</v>
      </c>
      <c r="P4438">
        <f t="shared" si="1876"/>
        <v>-0.42953020134228187</v>
      </c>
      <c r="Q4438" t="str">
        <f t="shared" si="1879"/>
        <v>2.87% | 7.2%</v>
      </c>
      <c r="R4438" t="str">
        <f t="shared" si="1877"/>
        <v>BEARISH</v>
      </c>
      <c r="S4438">
        <f t="shared" si="1880"/>
        <v>-1</v>
      </c>
    </row>
    <row r="4439" spans="1:19" hidden="1" x14ac:dyDescent="0.25">
      <c r="A4439" s="5" t="str">
        <f t="shared" si="1881"/>
        <v>44096FB</v>
      </c>
      <c r="B4439" s="6" t="s">
        <v>223</v>
      </c>
      <c r="C4439" s="6">
        <v>244</v>
      </c>
      <c r="D4439" s="6">
        <v>268</v>
      </c>
      <c r="E4439" s="6">
        <v>248</v>
      </c>
      <c r="F4439" t="str">
        <f t="shared" si="1867"/>
        <v>TUE</v>
      </c>
      <c r="G4439" s="3">
        <f t="shared" si="1868"/>
        <v>44096</v>
      </c>
      <c r="H4439" s="2">
        <f t="shared" ca="1" si="1869"/>
        <v>157</v>
      </c>
      <c r="I4439" t="str">
        <f t="shared" si="1870"/>
        <v>FB</v>
      </c>
      <c r="J4439">
        <f t="shared" si="1871"/>
        <v>244</v>
      </c>
      <c r="K4439">
        <f t="shared" si="1872"/>
        <v>268</v>
      </c>
      <c r="L4439">
        <f t="shared" si="1873"/>
        <v>256</v>
      </c>
      <c r="M4439">
        <f t="shared" si="1874"/>
        <v>12</v>
      </c>
      <c r="N4439">
        <f t="shared" si="1878"/>
        <v>24</v>
      </c>
      <c r="O4439">
        <f t="shared" si="1875"/>
        <v>248</v>
      </c>
      <c r="P4439">
        <f t="shared" si="1876"/>
        <v>-0.66666666666666663</v>
      </c>
      <c r="Q4439" t="str">
        <f t="shared" si="1879"/>
        <v>1.61% | 8.06%</v>
      </c>
      <c r="R4439" t="str">
        <f t="shared" si="1877"/>
        <v>NEUTRAL</v>
      </c>
      <c r="S4439">
        <f t="shared" si="1880"/>
        <v>0</v>
      </c>
    </row>
    <row r="4440" spans="1:19" hidden="1" x14ac:dyDescent="0.25">
      <c r="A4440" s="5" t="str">
        <f t="shared" si="1881"/>
        <v>44096GOOGL</v>
      </c>
      <c r="B4440" s="6" t="s">
        <v>221</v>
      </c>
      <c r="C4440" s="6">
        <v>1418</v>
      </c>
      <c r="D4440" s="6">
        <v>1535</v>
      </c>
      <c r="E4440" s="6">
        <v>1430</v>
      </c>
      <c r="F4440" t="str">
        <f t="shared" si="1867"/>
        <v>TUE</v>
      </c>
      <c r="G4440" s="3">
        <f t="shared" si="1868"/>
        <v>44096</v>
      </c>
      <c r="H4440" s="2">
        <f t="shared" ca="1" si="1869"/>
        <v>157</v>
      </c>
      <c r="I4440" t="str">
        <f t="shared" si="1870"/>
        <v>GOOGL</v>
      </c>
      <c r="J4440">
        <f t="shared" si="1871"/>
        <v>1418</v>
      </c>
      <c r="K4440">
        <f t="shared" si="1872"/>
        <v>1535</v>
      </c>
      <c r="L4440">
        <f t="shared" si="1873"/>
        <v>1476.5</v>
      </c>
      <c r="M4440">
        <f t="shared" si="1874"/>
        <v>58.5</v>
      </c>
      <c r="N4440">
        <f t="shared" si="1878"/>
        <v>117</v>
      </c>
      <c r="O4440">
        <f t="shared" si="1875"/>
        <v>1430</v>
      </c>
      <c r="P4440">
        <f t="shared" si="1876"/>
        <v>-0.79487179487179482</v>
      </c>
      <c r="Q4440" t="str">
        <f t="shared" si="1879"/>
        <v>0.84% | 7.34%</v>
      </c>
      <c r="R4440" t="str">
        <f t="shared" si="1877"/>
        <v>BEARISH</v>
      </c>
      <c r="S4440">
        <f t="shared" si="1880"/>
        <v>-1</v>
      </c>
    </row>
    <row r="4441" spans="1:19" hidden="1" x14ac:dyDescent="0.25">
      <c r="A4441" s="5" t="str">
        <f t="shared" si="1881"/>
        <v>44096NFLX</v>
      </c>
      <c r="B4441" s="6" t="s">
        <v>213</v>
      </c>
      <c r="C4441" s="6">
        <v>458</v>
      </c>
      <c r="D4441" s="6">
        <v>505</v>
      </c>
      <c r="E4441" s="6">
        <v>487</v>
      </c>
      <c r="F4441" t="str">
        <f t="shared" si="1867"/>
        <v>TUE</v>
      </c>
      <c r="G4441" s="3">
        <f t="shared" si="1868"/>
        <v>44096</v>
      </c>
      <c r="H4441" s="2">
        <f t="shared" ca="1" si="1869"/>
        <v>157</v>
      </c>
      <c r="I4441" t="str">
        <f t="shared" si="1870"/>
        <v>NFLX</v>
      </c>
      <c r="J4441">
        <f t="shared" si="1871"/>
        <v>458</v>
      </c>
      <c r="K4441">
        <f t="shared" si="1872"/>
        <v>505</v>
      </c>
      <c r="L4441">
        <f t="shared" si="1873"/>
        <v>481.5</v>
      </c>
      <c r="M4441">
        <f t="shared" si="1874"/>
        <v>23.5</v>
      </c>
      <c r="N4441">
        <f t="shared" si="1878"/>
        <v>47</v>
      </c>
      <c r="O4441">
        <f t="shared" si="1875"/>
        <v>487</v>
      </c>
      <c r="P4441">
        <f t="shared" si="1876"/>
        <v>0.23404255319148937</v>
      </c>
      <c r="Q4441" t="str">
        <f t="shared" si="1879"/>
        <v>5.95% | 3.7%</v>
      </c>
      <c r="R4441" t="str">
        <f t="shared" si="1877"/>
        <v>BEARISH</v>
      </c>
      <c r="S4441">
        <f t="shared" si="1880"/>
        <v>-1</v>
      </c>
    </row>
    <row r="4442" spans="1:19" x14ac:dyDescent="0.25">
      <c r="A4442" s="5" t="str">
        <f t="shared" si="1881"/>
        <v>44096TSLA</v>
      </c>
      <c r="B4442" s="6" t="s">
        <v>189</v>
      </c>
      <c r="C4442" s="6">
        <v>348</v>
      </c>
      <c r="D4442" s="6">
        <v>484</v>
      </c>
      <c r="E4442" s="6">
        <v>449</v>
      </c>
      <c r="F4442" t="str">
        <f t="shared" si="1867"/>
        <v>TUE</v>
      </c>
      <c r="G4442" s="3">
        <f t="shared" si="1868"/>
        <v>44096</v>
      </c>
      <c r="H4442" s="2">
        <f t="shared" ca="1" si="1869"/>
        <v>157</v>
      </c>
      <c r="I4442" t="str">
        <f t="shared" si="1870"/>
        <v>TSLA</v>
      </c>
      <c r="J4442">
        <f t="shared" si="1871"/>
        <v>348</v>
      </c>
      <c r="K4442">
        <f t="shared" si="1872"/>
        <v>484</v>
      </c>
      <c r="L4442">
        <f t="shared" si="1873"/>
        <v>416</v>
      </c>
      <c r="M4442">
        <f t="shared" si="1874"/>
        <v>68</v>
      </c>
      <c r="N4442">
        <f t="shared" si="1878"/>
        <v>136</v>
      </c>
      <c r="O4442">
        <f t="shared" si="1875"/>
        <v>449</v>
      </c>
      <c r="P4442">
        <f t="shared" si="1876"/>
        <v>0.48529411764705882</v>
      </c>
      <c r="Q4442" t="str">
        <f t="shared" si="1879"/>
        <v>22.49% | 7.8%</v>
      </c>
      <c r="R4442" t="str">
        <f t="shared" si="1877"/>
        <v>BULLISH</v>
      </c>
      <c r="S4442">
        <f t="shared" si="1880"/>
        <v>1</v>
      </c>
    </row>
    <row r="4443" spans="1:19" hidden="1" x14ac:dyDescent="0.25">
      <c r="A4443" s="5" t="str">
        <f t="shared" si="1881"/>
        <v>44096NYXBT</v>
      </c>
      <c r="B4443" s="6" t="s">
        <v>190</v>
      </c>
      <c r="C4443" s="6">
        <v>10072</v>
      </c>
      <c r="D4443" s="6">
        <v>11142</v>
      </c>
      <c r="E4443" s="6">
        <v>10399</v>
      </c>
      <c r="F4443" t="str">
        <f t="shared" si="1867"/>
        <v>TUE</v>
      </c>
      <c r="G4443" s="3">
        <f t="shared" si="1868"/>
        <v>44096</v>
      </c>
      <c r="H4443" s="2">
        <f t="shared" ca="1" si="1869"/>
        <v>157</v>
      </c>
      <c r="I4443" t="str">
        <f t="shared" si="1870"/>
        <v>NYXBT</v>
      </c>
      <c r="J4443">
        <f t="shared" si="1871"/>
        <v>10072</v>
      </c>
      <c r="K4443">
        <f t="shared" si="1872"/>
        <v>11142</v>
      </c>
      <c r="L4443">
        <f t="shared" si="1873"/>
        <v>10607</v>
      </c>
      <c r="M4443">
        <f t="shared" si="1874"/>
        <v>535</v>
      </c>
      <c r="N4443">
        <f t="shared" si="1878"/>
        <v>1070</v>
      </c>
      <c r="O4443">
        <f t="shared" si="1875"/>
        <v>10399</v>
      </c>
      <c r="P4443">
        <f t="shared" si="1876"/>
        <v>-0.38878504672897196</v>
      </c>
      <c r="Q4443" t="str">
        <f t="shared" si="1879"/>
        <v>3.14% | 7.14%</v>
      </c>
      <c r="R4443" t="str">
        <f t="shared" si="1877"/>
        <v>BULLISH</v>
      </c>
      <c r="S4443">
        <f t="shared" si="1880"/>
        <v>1</v>
      </c>
    </row>
    <row r="4444" spans="1:19" hidden="1" x14ac:dyDescent="0.25">
      <c r="A4444" s="5" t="str">
        <f t="shared" si="1881"/>
        <v>44097UST10Y</v>
      </c>
      <c r="B4444" s="6" t="s">
        <v>161</v>
      </c>
      <c r="C4444" s="6">
        <v>0.7</v>
      </c>
      <c r="D4444" s="6">
        <v>0.63</v>
      </c>
      <c r="E4444" s="6">
        <v>0.68</v>
      </c>
      <c r="F4444" t="str">
        <f t="shared" si="1867"/>
        <v>WED</v>
      </c>
      <c r="G4444" s="1">
        <f>DATE(2020,9,23)</f>
        <v>44097</v>
      </c>
      <c r="H4444" s="2">
        <f t="shared" ca="1" si="1869"/>
        <v>156</v>
      </c>
      <c r="I4444" t="str">
        <f t="shared" si="1870"/>
        <v>UST10Y</v>
      </c>
      <c r="J4444">
        <f t="shared" si="1871"/>
        <v>0.7</v>
      </c>
      <c r="K4444">
        <f t="shared" si="1872"/>
        <v>0.63</v>
      </c>
      <c r="L4444">
        <f t="shared" si="1873"/>
        <v>0.66500000000000004</v>
      </c>
      <c r="M4444">
        <f t="shared" si="1874"/>
        <v>3.4999999999999976E-2</v>
      </c>
      <c r="N4444">
        <f t="shared" si="1878"/>
        <v>6.9999999999999951E-2</v>
      </c>
      <c r="O4444">
        <f t="shared" si="1875"/>
        <v>0.68</v>
      </c>
      <c r="P4444">
        <f t="shared" si="1876"/>
        <v>0.42857142857142927</v>
      </c>
      <c r="Q4444" t="str">
        <f t="shared" si="1879"/>
        <v>2.94% | 7.35%</v>
      </c>
      <c r="R4444" t="str">
        <f t="shared" si="1877"/>
        <v>BEARISH</v>
      </c>
      <c r="S4444">
        <f t="shared" si="1880"/>
        <v>-1</v>
      </c>
    </row>
    <row r="4445" spans="1:19" hidden="1" x14ac:dyDescent="0.25">
      <c r="A4445" s="5" t="str">
        <f t="shared" si="1881"/>
        <v>44097UST2Y</v>
      </c>
      <c r="B4445" s="6" t="s">
        <v>162</v>
      </c>
      <c r="C4445" s="6">
        <v>0.15</v>
      </c>
      <c r="D4445" s="6">
        <v>0.1</v>
      </c>
      <c r="E4445" s="6">
        <v>0.13</v>
      </c>
      <c r="F4445" t="str">
        <f t="shared" ref="F4445:F4475" si="1882">UPPER(TEXT(G4445,"ddd"))</f>
        <v>WED</v>
      </c>
      <c r="G4445" s="1">
        <f t="shared" ref="G4445:G4474" si="1883">DATE(2020,9,23)</f>
        <v>44097</v>
      </c>
      <c r="H4445" s="2">
        <f t="shared" ref="H4445:H4475" ca="1" si="1884">TODAY()-G4445</f>
        <v>156</v>
      </c>
      <c r="I4445" t="str">
        <f t="shared" ref="I4445:I4475" si="1885">TRIM(LEFT(B4445,FIND(" ",B4445,1)))</f>
        <v>UST2Y</v>
      </c>
      <c r="J4445">
        <f t="shared" ref="J4445:J4475" si="1886">C4445</f>
        <v>0.15</v>
      </c>
      <c r="K4445">
        <f t="shared" ref="K4445:K4475" si="1887">D4445</f>
        <v>0.1</v>
      </c>
      <c r="L4445">
        <f t="shared" ref="L4445:L4475" si="1888">AVERAGE(J4445:K4445)</f>
        <v>0.125</v>
      </c>
      <c r="M4445">
        <f t="shared" ref="M4445:M4475" si="1889">_xlfn.STDEV.P(J4445:K4445)</f>
        <v>2.5000000000000012E-2</v>
      </c>
      <c r="N4445">
        <f t="shared" si="1878"/>
        <v>4.9999999999999989E-2</v>
      </c>
      <c r="O4445">
        <f t="shared" ref="O4445:O4475" si="1890">E4445</f>
        <v>0.13</v>
      </c>
      <c r="P4445">
        <f t="shared" ref="P4445:P4475" si="1891">(O4445-L4445)/M4445</f>
        <v>0.20000000000000009</v>
      </c>
      <c r="Q4445" t="str">
        <f t="shared" si="1879"/>
        <v>15.38% | 23.08%</v>
      </c>
      <c r="R4445" t="str">
        <f t="shared" ref="R4445:R4475" si="1892">MID(B4445,FIND("(",B4445,1)+1,FIND(")",B4445,1)-FIND("(",B4445,1)-1)</f>
        <v>BEARISH</v>
      </c>
      <c r="S4445">
        <f t="shared" si="1880"/>
        <v>-1</v>
      </c>
    </row>
    <row r="4446" spans="1:19" hidden="1" x14ac:dyDescent="0.25">
      <c r="A4446" s="5" t="str">
        <f t="shared" si="1881"/>
        <v>44097SPX</v>
      </c>
      <c r="B4446" s="6" t="s">
        <v>191</v>
      </c>
      <c r="C4446" s="6">
        <v>3263</v>
      </c>
      <c r="D4446" s="6">
        <v>3421</v>
      </c>
      <c r="E4446" s="6">
        <v>3315</v>
      </c>
      <c r="F4446" t="str">
        <f t="shared" si="1882"/>
        <v>WED</v>
      </c>
      <c r="G4446" s="1">
        <f t="shared" si="1883"/>
        <v>44097</v>
      </c>
      <c r="H4446" s="2">
        <f t="shared" ca="1" si="1884"/>
        <v>156</v>
      </c>
      <c r="I4446" t="str">
        <f t="shared" si="1885"/>
        <v>SPX</v>
      </c>
      <c r="J4446">
        <f t="shared" si="1886"/>
        <v>3263</v>
      </c>
      <c r="K4446">
        <f t="shared" si="1887"/>
        <v>3421</v>
      </c>
      <c r="L4446">
        <f t="shared" si="1888"/>
        <v>3342</v>
      </c>
      <c r="M4446">
        <f t="shared" si="1889"/>
        <v>79</v>
      </c>
      <c r="N4446">
        <f t="shared" si="1878"/>
        <v>158</v>
      </c>
      <c r="O4446">
        <f t="shared" si="1890"/>
        <v>3315</v>
      </c>
      <c r="P4446">
        <f t="shared" si="1891"/>
        <v>-0.34177215189873417</v>
      </c>
      <c r="Q4446" t="str">
        <f t="shared" si="1879"/>
        <v>1.57% | 3.2%</v>
      </c>
      <c r="R4446" t="str">
        <f t="shared" si="1892"/>
        <v>BULLISH</v>
      </c>
      <c r="S4446">
        <f t="shared" si="1880"/>
        <v>1</v>
      </c>
    </row>
    <row r="4447" spans="1:19" hidden="1" x14ac:dyDescent="0.25">
      <c r="A4447" s="5" t="str">
        <f t="shared" si="1881"/>
        <v>44097RUT</v>
      </c>
      <c r="B4447" s="6" t="s">
        <v>164</v>
      </c>
      <c r="C4447" s="6">
        <v>1490</v>
      </c>
      <c r="D4447" s="6">
        <v>1531</v>
      </c>
      <c r="E4447" s="6">
        <v>1496</v>
      </c>
      <c r="F4447" t="str">
        <f t="shared" si="1882"/>
        <v>WED</v>
      </c>
      <c r="G4447" s="1">
        <f t="shared" si="1883"/>
        <v>44097</v>
      </c>
      <c r="H4447" s="2">
        <f t="shared" ca="1" si="1884"/>
        <v>156</v>
      </c>
      <c r="I4447" t="str">
        <f t="shared" si="1885"/>
        <v>RUT</v>
      </c>
      <c r="J4447">
        <f t="shared" si="1886"/>
        <v>1490</v>
      </c>
      <c r="K4447">
        <f t="shared" si="1887"/>
        <v>1531</v>
      </c>
      <c r="L4447">
        <f t="shared" si="1888"/>
        <v>1510.5</v>
      </c>
      <c r="M4447">
        <f t="shared" si="1889"/>
        <v>20.5</v>
      </c>
      <c r="N4447">
        <f t="shared" si="1878"/>
        <v>41</v>
      </c>
      <c r="O4447">
        <f t="shared" si="1890"/>
        <v>1496</v>
      </c>
      <c r="P4447">
        <f t="shared" si="1891"/>
        <v>-0.70731707317073167</v>
      </c>
      <c r="Q4447" t="str">
        <f t="shared" si="1879"/>
        <v>0.4% | 2.34%</v>
      </c>
      <c r="R4447" t="str">
        <f t="shared" si="1892"/>
        <v>BEARISH</v>
      </c>
      <c r="S4447">
        <f t="shared" si="1880"/>
        <v>-1</v>
      </c>
    </row>
    <row r="4448" spans="1:19" hidden="1" x14ac:dyDescent="0.25">
      <c r="A4448" s="5" t="str">
        <f t="shared" si="1881"/>
        <v>44097COMPQ</v>
      </c>
      <c r="B4448" s="6" t="s">
        <v>212</v>
      </c>
      <c r="C4448" s="6">
        <v>10595</v>
      </c>
      <c r="D4448" s="6">
        <v>11201</v>
      </c>
      <c r="E4448" s="6">
        <v>10963</v>
      </c>
      <c r="F4448" t="str">
        <f t="shared" si="1882"/>
        <v>WED</v>
      </c>
      <c r="G4448" s="1">
        <f t="shared" si="1883"/>
        <v>44097</v>
      </c>
      <c r="H4448" s="2">
        <f t="shared" ca="1" si="1884"/>
        <v>156</v>
      </c>
      <c r="I4448" t="str">
        <f t="shared" si="1885"/>
        <v>COMPQ</v>
      </c>
      <c r="J4448">
        <f t="shared" si="1886"/>
        <v>10595</v>
      </c>
      <c r="K4448">
        <f t="shared" si="1887"/>
        <v>11201</v>
      </c>
      <c r="L4448">
        <f t="shared" si="1888"/>
        <v>10898</v>
      </c>
      <c r="M4448">
        <f t="shared" si="1889"/>
        <v>303</v>
      </c>
      <c r="N4448">
        <f t="shared" si="1878"/>
        <v>606</v>
      </c>
      <c r="O4448">
        <f t="shared" si="1890"/>
        <v>10963</v>
      </c>
      <c r="P4448">
        <f t="shared" si="1891"/>
        <v>0.21452145214521451</v>
      </c>
      <c r="Q4448" t="str">
        <f t="shared" si="1879"/>
        <v>3.36% | 2.17%</v>
      </c>
      <c r="R4448" t="str">
        <f t="shared" si="1892"/>
        <v>NEUTRAL</v>
      </c>
      <c r="S4448">
        <f t="shared" si="1880"/>
        <v>0</v>
      </c>
    </row>
    <row r="4449" spans="1:19" hidden="1" x14ac:dyDescent="0.25">
      <c r="A4449" s="5" t="str">
        <f t="shared" si="1881"/>
        <v>44097XLK</v>
      </c>
      <c r="B4449" s="6" t="s">
        <v>203</v>
      </c>
      <c r="C4449" s="6">
        <v>110.76</v>
      </c>
      <c r="D4449" s="6">
        <v>117.01</v>
      </c>
      <c r="E4449" s="6">
        <v>114.22</v>
      </c>
      <c r="F4449" t="str">
        <f t="shared" si="1882"/>
        <v>WED</v>
      </c>
      <c r="G4449" s="1">
        <f t="shared" si="1883"/>
        <v>44097</v>
      </c>
      <c r="H4449" s="2">
        <f t="shared" ca="1" si="1884"/>
        <v>156</v>
      </c>
      <c r="I4449" t="str">
        <f t="shared" si="1885"/>
        <v>XLK</v>
      </c>
      <c r="J4449">
        <f t="shared" si="1886"/>
        <v>110.76</v>
      </c>
      <c r="K4449">
        <f t="shared" si="1887"/>
        <v>117.01</v>
      </c>
      <c r="L4449">
        <f t="shared" si="1888"/>
        <v>113.88500000000001</v>
      </c>
      <c r="M4449">
        <f t="shared" si="1889"/>
        <v>3.125</v>
      </c>
      <c r="N4449">
        <f t="shared" si="1878"/>
        <v>6.25</v>
      </c>
      <c r="O4449">
        <f t="shared" si="1890"/>
        <v>114.22</v>
      </c>
      <c r="P4449">
        <f t="shared" si="1891"/>
        <v>0.10719999999999801</v>
      </c>
      <c r="Q4449" t="str">
        <f t="shared" si="1879"/>
        <v>3.03% | 2.44%</v>
      </c>
      <c r="R4449" t="str">
        <f t="shared" si="1892"/>
        <v>NEUTRAL</v>
      </c>
      <c r="S4449">
        <f t="shared" si="1880"/>
        <v>0</v>
      </c>
    </row>
    <row r="4450" spans="1:19" hidden="1" x14ac:dyDescent="0.25">
      <c r="A4450" s="5" t="str">
        <f t="shared" si="1881"/>
        <v>44097XLRE</v>
      </c>
      <c r="B4450" s="6" t="s">
        <v>167</v>
      </c>
      <c r="C4450" s="6">
        <v>34.200000000000003</v>
      </c>
      <c r="D4450" s="6">
        <v>37.369999999999997</v>
      </c>
      <c r="E4450" s="6">
        <v>34.85</v>
      </c>
      <c r="F4450" t="str">
        <f t="shared" si="1882"/>
        <v>WED</v>
      </c>
      <c r="G4450" s="1">
        <f t="shared" si="1883"/>
        <v>44097</v>
      </c>
      <c r="H4450" s="2">
        <f t="shared" ca="1" si="1884"/>
        <v>156</v>
      </c>
      <c r="I4450" t="str">
        <f t="shared" si="1885"/>
        <v>XLRE</v>
      </c>
      <c r="J4450">
        <f t="shared" si="1886"/>
        <v>34.200000000000003</v>
      </c>
      <c r="K4450">
        <f t="shared" si="1887"/>
        <v>37.369999999999997</v>
      </c>
      <c r="L4450">
        <f t="shared" si="1888"/>
        <v>35.784999999999997</v>
      </c>
      <c r="M4450">
        <f t="shared" si="1889"/>
        <v>1.5849999999999973</v>
      </c>
      <c r="N4450">
        <f t="shared" si="1878"/>
        <v>3.1699999999999946</v>
      </c>
      <c r="O4450">
        <f t="shared" si="1890"/>
        <v>34.85</v>
      </c>
      <c r="P4450">
        <f t="shared" si="1891"/>
        <v>-0.58990536277602323</v>
      </c>
      <c r="Q4450" t="str">
        <f t="shared" si="1879"/>
        <v>1.87% | 7.23%</v>
      </c>
      <c r="R4450" t="str">
        <f t="shared" si="1892"/>
        <v>BULLISH</v>
      </c>
      <c r="S4450">
        <f t="shared" si="1880"/>
        <v>1</v>
      </c>
    </row>
    <row r="4451" spans="1:19" hidden="1" x14ac:dyDescent="0.25">
      <c r="A4451" s="5" t="str">
        <f t="shared" si="1881"/>
        <v>44097XLU</v>
      </c>
      <c r="B4451" s="6" t="s">
        <v>168</v>
      </c>
      <c r="C4451" s="6">
        <v>57.38</v>
      </c>
      <c r="D4451" s="6">
        <v>60.12</v>
      </c>
      <c r="E4451" s="6">
        <v>58.02</v>
      </c>
      <c r="F4451" t="str">
        <f t="shared" si="1882"/>
        <v>WED</v>
      </c>
      <c r="G4451" s="1">
        <f t="shared" si="1883"/>
        <v>44097</v>
      </c>
      <c r="H4451" s="2">
        <f t="shared" ca="1" si="1884"/>
        <v>156</v>
      </c>
      <c r="I4451" t="str">
        <f t="shared" si="1885"/>
        <v>XLU</v>
      </c>
      <c r="J4451">
        <f t="shared" si="1886"/>
        <v>57.38</v>
      </c>
      <c r="K4451">
        <f t="shared" si="1887"/>
        <v>60.12</v>
      </c>
      <c r="L4451">
        <f t="shared" si="1888"/>
        <v>58.75</v>
      </c>
      <c r="M4451">
        <f t="shared" si="1889"/>
        <v>1.3699999999999974</v>
      </c>
      <c r="N4451">
        <f t="shared" si="1878"/>
        <v>2.7399999999999949</v>
      </c>
      <c r="O4451">
        <f t="shared" si="1890"/>
        <v>58.02</v>
      </c>
      <c r="P4451">
        <f t="shared" si="1891"/>
        <v>-0.53284671532846584</v>
      </c>
      <c r="Q4451" t="str">
        <f t="shared" si="1879"/>
        <v>1.1% | 3.62%</v>
      </c>
      <c r="R4451" t="str">
        <f t="shared" si="1892"/>
        <v>BULLISH</v>
      </c>
      <c r="S4451">
        <f t="shared" si="1880"/>
        <v>1</v>
      </c>
    </row>
    <row r="4452" spans="1:19" hidden="1" x14ac:dyDescent="0.25">
      <c r="A4452" s="5" t="str">
        <f t="shared" si="1881"/>
        <v>44097XLF</v>
      </c>
      <c r="B4452" s="6" t="s">
        <v>169</v>
      </c>
      <c r="C4452" s="6">
        <v>23.6</v>
      </c>
      <c r="D4452" s="6">
        <v>24.84</v>
      </c>
      <c r="E4452" s="6">
        <v>23.73</v>
      </c>
      <c r="F4452" t="str">
        <f t="shared" si="1882"/>
        <v>WED</v>
      </c>
      <c r="G4452" s="1">
        <f t="shared" si="1883"/>
        <v>44097</v>
      </c>
      <c r="H4452" s="2">
        <f t="shared" ca="1" si="1884"/>
        <v>156</v>
      </c>
      <c r="I4452" t="str">
        <f t="shared" si="1885"/>
        <v>XLF</v>
      </c>
      <c r="J4452">
        <f t="shared" si="1886"/>
        <v>23.6</v>
      </c>
      <c r="K4452">
        <f t="shared" si="1887"/>
        <v>24.84</v>
      </c>
      <c r="L4452">
        <f t="shared" si="1888"/>
        <v>24.22</v>
      </c>
      <c r="M4452">
        <f t="shared" si="1889"/>
        <v>0.61999999999999922</v>
      </c>
      <c r="N4452">
        <f t="shared" si="1878"/>
        <v>1.2399999999999984</v>
      </c>
      <c r="O4452">
        <f t="shared" si="1890"/>
        <v>23.73</v>
      </c>
      <c r="P4452">
        <f t="shared" si="1891"/>
        <v>-0.79032258064515981</v>
      </c>
      <c r="Q4452" t="str">
        <f t="shared" si="1879"/>
        <v>0.55% | 4.68%</v>
      </c>
      <c r="R4452" t="str">
        <f t="shared" si="1892"/>
        <v>BEARISH</v>
      </c>
      <c r="S4452">
        <f t="shared" si="1880"/>
        <v>-1</v>
      </c>
    </row>
    <row r="4453" spans="1:19" hidden="1" x14ac:dyDescent="0.25">
      <c r="A4453" s="5" t="str">
        <f t="shared" si="1881"/>
        <v>44097SSEC</v>
      </c>
      <c r="B4453" s="6" t="s">
        <v>170</v>
      </c>
      <c r="C4453" s="6">
        <v>3220</v>
      </c>
      <c r="D4453" s="6">
        <v>3351</v>
      </c>
      <c r="E4453" s="6">
        <v>3279</v>
      </c>
      <c r="F4453" t="str">
        <f t="shared" si="1882"/>
        <v>WED</v>
      </c>
      <c r="G4453" s="1">
        <f t="shared" si="1883"/>
        <v>44097</v>
      </c>
      <c r="H4453" s="2">
        <f t="shared" ca="1" si="1884"/>
        <v>156</v>
      </c>
      <c r="I4453" t="str">
        <f t="shared" si="1885"/>
        <v>SSEC</v>
      </c>
      <c r="J4453">
        <f t="shared" si="1886"/>
        <v>3220</v>
      </c>
      <c r="K4453">
        <f t="shared" si="1887"/>
        <v>3351</v>
      </c>
      <c r="L4453">
        <f t="shared" si="1888"/>
        <v>3285.5</v>
      </c>
      <c r="M4453">
        <f t="shared" si="1889"/>
        <v>65.5</v>
      </c>
      <c r="N4453">
        <f t="shared" si="1878"/>
        <v>131</v>
      </c>
      <c r="O4453">
        <f t="shared" si="1890"/>
        <v>3279</v>
      </c>
      <c r="P4453">
        <f t="shared" si="1891"/>
        <v>-9.9236641221374045E-2</v>
      </c>
      <c r="Q4453" t="str">
        <f t="shared" si="1879"/>
        <v>1.8% | 2.2%</v>
      </c>
      <c r="R4453" t="str">
        <f t="shared" si="1892"/>
        <v>BULLISH</v>
      </c>
      <c r="S4453">
        <f t="shared" si="1880"/>
        <v>1</v>
      </c>
    </row>
    <row r="4454" spans="1:19" hidden="1" x14ac:dyDescent="0.25">
      <c r="A4454" s="5" t="str">
        <f t="shared" si="1881"/>
        <v>44097NIKK</v>
      </c>
      <c r="B4454" s="6" t="s">
        <v>201</v>
      </c>
      <c r="C4454" s="6">
        <v>23042</v>
      </c>
      <c r="D4454" s="6">
        <v>23650</v>
      </c>
      <c r="E4454" s="6">
        <v>23346</v>
      </c>
      <c r="F4454" t="str">
        <f t="shared" si="1882"/>
        <v>WED</v>
      </c>
      <c r="G4454" s="1">
        <f t="shared" si="1883"/>
        <v>44097</v>
      </c>
      <c r="H4454" s="2">
        <f t="shared" ca="1" si="1884"/>
        <v>156</v>
      </c>
      <c r="I4454" t="str">
        <f t="shared" si="1885"/>
        <v>NIKK</v>
      </c>
      <c r="J4454">
        <f t="shared" si="1886"/>
        <v>23042</v>
      </c>
      <c r="K4454">
        <f t="shared" si="1887"/>
        <v>23650</v>
      </c>
      <c r="L4454">
        <f t="shared" si="1888"/>
        <v>23346</v>
      </c>
      <c r="M4454">
        <f t="shared" si="1889"/>
        <v>304</v>
      </c>
      <c r="N4454">
        <f t="shared" si="1878"/>
        <v>608</v>
      </c>
      <c r="O4454">
        <f t="shared" si="1890"/>
        <v>23346</v>
      </c>
      <c r="P4454">
        <f t="shared" si="1891"/>
        <v>0</v>
      </c>
      <c r="Q4454" t="str">
        <f t="shared" si="1879"/>
        <v>1.3% | 1.3%</v>
      </c>
      <c r="R4454" t="str">
        <f t="shared" si="1892"/>
        <v>BULLISH</v>
      </c>
      <c r="S4454">
        <f t="shared" si="1880"/>
        <v>1</v>
      </c>
    </row>
    <row r="4455" spans="1:19" hidden="1" x14ac:dyDescent="0.25">
      <c r="A4455" s="5" t="str">
        <f t="shared" si="1881"/>
        <v>44097DAX</v>
      </c>
      <c r="B4455" s="6" t="s">
        <v>172</v>
      </c>
      <c r="C4455" s="6">
        <v>12509</v>
      </c>
      <c r="D4455" s="6">
        <v>12993</v>
      </c>
      <c r="E4455" s="6">
        <v>12594</v>
      </c>
      <c r="F4455" t="str">
        <f t="shared" si="1882"/>
        <v>WED</v>
      </c>
      <c r="G4455" s="1">
        <f t="shared" si="1883"/>
        <v>44097</v>
      </c>
      <c r="H4455" s="2">
        <f t="shared" ca="1" si="1884"/>
        <v>156</v>
      </c>
      <c r="I4455" t="str">
        <f t="shared" si="1885"/>
        <v>DAX</v>
      </c>
      <c r="J4455">
        <f t="shared" si="1886"/>
        <v>12509</v>
      </c>
      <c r="K4455">
        <f t="shared" si="1887"/>
        <v>12993</v>
      </c>
      <c r="L4455">
        <f t="shared" si="1888"/>
        <v>12751</v>
      </c>
      <c r="M4455">
        <f t="shared" si="1889"/>
        <v>242</v>
      </c>
      <c r="N4455">
        <f t="shared" si="1878"/>
        <v>484</v>
      </c>
      <c r="O4455">
        <f t="shared" si="1890"/>
        <v>12594</v>
      </c>
      <c r="P4455">
        <f t="shared" si="1891"/>
        <v>-0.64876033057851235</v>
      </c>
      <c r="Q4455" t="str">
        <f t="shared" si="1879"/>
        <v>0.67% | 3.17%</v>
      </c>
      <c r="R4455" t="str">
        <f t="shared" si="1892"/>
        <v>BULLISH</v>
      </c>
      <c r="S4455">
        <f t="shared" si="1880"/>
        <v>1</v>
      </c>
    </row>
    <row r="4456" spans="1:19" hidden="1" x14ac:dyDescent="0.25">
      <c r="A4456" s="5" t="str">
        <f t="shared" si="1881"/>
        <v>44097VIX</v>
      </c>
      <c r="B4456" s="6" t="s">
        <v>202</v>
      </c>
      <c r="C4456" s="6">
        <v>24.23</v>
      </c>
      <c r="D4456" s="6">
        <v>30.22</v>
      </c>
      <c r="E4456" s="6">
        <v>26.86</v>
      </c>
      <c r="F4456" t="str">
        <f t="shared" si="1882"/>
        <v>WED</v>
      </c>
      <c r="G4456" s="1">
        <f t="shared" si="1883"/>
        <v>44097</v>
      </c>
      <c r="H4456" s="2">
        <f t="shared" ca="1" si="1884"/>
        <v>156</v>
      </c>
      <c r="I4456" t="str">
        <f t="shared" si="1885"/>
        <v>VIX</v>
      </c>
      <c r="J4456">
        <f t="shared" si="1886"/>
        <v>24.23</v>
      </c>
      <c r="K4456">
        <f t="shared" si="1887"/>
        <v>30.22</v>
      </c>
      <c r="L4456">
        <f t="shared" si="1888"/>
        <v>27.225000000000001</v>
      </c>
      <c r="M4456">
        <f t="shared" si="1889"/>
        <v>2.9949999999999939</v>
      </c>
      <c r="N4456">
        <f t="shared" si="1878"/>
        <v>5.9899999999999984</v>
      </c>
      <c r="O4456">
        <f t="shared" si="1890"/>
        <v>26.86</v>
      </c>
      <c r="P4456">
        <f t="shared" si="1891"/>
        <v>-0.12186978297162028</v>
      </c>
      <c r="Q4456" t="str">
        <f t="shared" si="1879"/>
        <v>9.79% | 12.51%</v>
      </c>
      <c r="R4456" t="str">
        <f t="shared" si="1892"/>
        <v>BULLISH</v>
      </c>
      <c r="S4456">
        <f t="shared" si="1880"/>
        <v>1</v>
      </c>
    </row>
    <row r="4457" spans="1:19" hidden="1" x14ac:dyDescent="0.25">
      <c r="A4457" s="5" t="str">
        <f t="shared" si="1881"/>
        <v>44097USD</v>
      </c>
      <c r="B4457" s="6" t="s">
        <v>174</v>
      </c>
      <c r="C4457" s="6">
        <v>92.69</v>
      </c>
      <c r="D4457" s="6">
        <v>94.24</v>
      </c>
      <c r="E4457" s="6">
        <v>94.02</v>
      </c>
      <c r="F4457" t="str">
        <f t="shared" si="1882"/>
        <v>WED</v>
      </c>
      <c r="G4457" s="1">
        <f t="shared" si="1883"/>
        <v>44097</v>
      </c>
      <c r="H4457" s="2">
        <f t="shared" ca="1" si="1884"/>
        <v>156</v>
      </c>
      <c r="I4457" t="str">
        <f t="shared" si="1885"/>
        <v>USD</v>
      </c>
      <c r="J4457">
        <f t="shared" si="1886"/>
        <v>92.69</v>
      </c>
      <c r="K4457">
        <f t="shared" si="1887"/>
        <v>94.24</v>
      </c>
      <c r="L4457">
        <f t="shared" si="1888"/>
        <v>93.465000000000003</v>
      </c>
      <c r="M4457">
        <f t="shared" si="1889"/>
        <v>0.77499999999999858</v>
      </c>
      <c r="N4457">
        <f t="shared" si="1878"/>
        <v>1.5499999999999972</v>
      </c>
      <c r="O4457">
        <f t="shared" si="1890"/>
        <v>94.02</v>
      </c>
      <c r="P4457">
        <f t="shared" si="1891"/>
        <v>0.71612903225805624</v>
      </c>
      <c r="Q4457" t="str">
        <f t="shared" si="1879"/>
        <v>1.41% | 0.23%</v>
      </c>
      <c r="R4457" t="str">
        <f t="shared" si="1892"/>
        <v>BEARISH</v>
      </c>
      <c r="S4457">
        <f t="shared" si="1880"/>
        <v>-1</v>
      </c>
    </row>
    <row r="4458" spans="1:19" hidden="1" x14ac:dyDescent="0.25">
      <c r="A4458" s="5" t="str">
        <f t="shared" si="1881"/>
        <v>44097EUR/USD</v>
      </c>
      <c r="B4458" s="6" t="s">
        <v>175</v>
      </c>
      <c r="C4458" s="6">
        <v>1.17</v>
      </c>
      <c r="D4458" s="6">
        <v>1.19</v>
      </c>
      <c r="E4458" s="6">
        <v>1.17</v>
      </c>
      <c r="F4458" t="str">
        <f t="shared" si="1882"/>
        <v>WED</v>
      </c>
      <c r="G4458" s="1">
        <f t="shared" si="1883"/>
        <v>44097</v>
      </c>
      <c r="H4458" s="2">
        <f t="shared" ca="1" si="1884"/>
        <v>156</v>
      </c>
      <c r="I4458" t="str">
        <f t="shared" si="1885"/>
        <v>EUR/USD</v>
      </c>
      <c r="J4458">
        <f t="shared" si="1886"/>
        <v>1.17</v>
      </c>
      <c r="K4458">
        <f t="shared" si="1887"/>
        <v>1.19</v>
      </c>
      <c r="L4458">
        <f t="shared" si="1888"/>
        <v>1.18</v>
      </c>
      <c r="M4458">
        <f t="shared" si="1889"/>
        <v>1.0000000000000009E-2</v>
      </c>
      <c r="N4458">
        <f t="shared" si="1878"/>
        <v>2.0000000000000018E-2</v>
      </c>
      <c r="O4458">
        <f t="shared" si="1890"/>
        <v>1.17</v>
      </c>
      <c r="P4458">
        <f t="shared" si="1891"/>
        <v>-1</v>
      </c>
      <c r="Q4458" t="str">
        <f t="shared" si="1879"/>
        <v>0% | 1.71%</v>
      </c>
      <c r="R4458" t="str">
        <f t="shared" si="1892"/>
        <v>BULLISH</v>
      </c>
      <c r="S4458">
        <f t="shared" si="1880"/>
        <v>1</v>
      </c>
    </row>
    <row r="4459" spans="1:19" hidden="1" x14ac:dyDescent="0.25">
      <c r="A4459" s="5" t="str">
        <f t="shared" si="1881"/>
        <v>44097USD/JPY</v>
      </c>
      <c r="B4459" s="6" t="s">
        <v>176</v>
      </c>
      <c r="C4459" s="6">
        <v>104.01</v>
      </c>
      <c r="D4459" s="6">
        <v>105.66</v>
      </c>
      <c r="E4459" s="6">
        <v>104.94</v>
      </c>
      <c r="F4459" t="str">
        <f t="shared" si="1882"/>
        <v>WED</v>
      </c>
      <c r="G4459" s="1">
        <f t="shared" si="1883"/>
        <v>44097</v>
      </c>
      <c r="H4459" s="2">
        <f t="shared" ca="1" si="1884"/>
        <v>156</v>
      </c>
      <c r="I4459" t="str">
        <f t="shared" si="1885"/>
        <v>USD/JPY</v>
      </c>
      <c r="J4459">
        <f t="shared" si="1886"/>
        <v>104.01</v>
      </c>
      <c r="K4459">
        <f t="shared" si="1887"/>
        <v>105.66</v>
      </c>
      <c r="L4459">
        <f t="shared" si="1888"/>
        <v>104.83500000000001</v>
      </c>
      <c r="M4459">
        <f t="shared" si="1889"/>
        <v>0.82499999999999574</v>
      </c>
      <c r="N4459">
        <f t="shared" si="1878"/>
        <v>1.6499999999999915</v>
      </c>
      <c r="O4459">
        <f t="shared" si="1890"/>
        <v>104.94</v>
      </c>
      <c r="P4459">
        <f t="shared" si="1891"/>
        <v>0.12727272727271552</v>
      </c>
      <c r="Q4459" t="str">
        <f t="shared" si="1879"/>
        <v>0.89% | 0.69%</v>
      </c>
      <c r="R4459" t="str">
        <f t="shared" si="1892"/>
        <v>BEARISH</v>
      </c>
      <c r="S4459">
        <f t="shared" si="1880"/>
        <v>-1</v>
      </c>
    </row>
    <row r="4460" spans="1:19" hidden="1" x14ac:dyDescent="0.25">
      <c r="A4460" s="5" t="str">
        <f t="shared" si="1881"/>
        <v>44097GBP/USD</v>
      </c>
      <c r="B4460" s="6" t="s">
        <v>214</v>
      </c>
      <c r="C4460" s="6">
        <v>1.26</v>
      </c>
      <c r="D4460" s="6">
        <v>1.3</v>
      </c>
      <c r="E4460" s="6">
        <v>1.27</v>
      </c>
      <c r="F4460" t="str">
        <f t="shared" si="1882"/>
        <v>WED</v>
      </c>
      <c r="G4460" s="1">
        <f t="shared" si="1883"/>
        <v>44097</v>
      </c>
      <c r="H4460" s="2">
        <f t="shared" ca="1" si="1884"/>
        <v>156</v>
      </c>
      <c r="I4460" t="str">
        <f t="shared" si="1885"/>
        <v>GBP/USD</v>
      </c>
      <c r="J4460">
        <f t="shared" si="1886"/>
        <v>1.26</v>
      </c>
      <c r="K4460">
        <f t="shared" si="1887"/>
        <v>1.3</v>
      </c>
      <c r="L4460">
        <f t="shared" si="1888"/>
        <v>1.28</v>
      </c>
      <c r="M4460">
        <f t="shared" si="1889"/>
        <v>2.0000000000000018E-2</v>
      </c>
      <c r="N4460">
        <f t="shared" si="1878"/>
        <v>4.0000000000000036E-2</v>
      </c>
      <c r="O4460">
        <f t="shared" si="1890"/>
        <v>1.27</v>
      </c>
      <c r="P4460">
        <f t="shared" si="1891"/>
        <v>-0.5</v>
      </c>
      <c r="Q4460" t="str">
        <f t="shared" si="1879"/>
        <v>0.79% | 2.36%</v>
      </c>
      <c r="R4460" t="str">
        <f t="shared" si="1892"/>
        <v>NEUTRAL</v>
      </c>
      <c r="S4460">
        <f t="shared" si="1880"/>
        <v>0</v>
      </c>
    </row>
    <row r="4461" spans="1:19" hidden="1" x14ac:dyDescent="0.25">
      <c r="A4461" s="5" t="str">
        <f t="shared" si="1881"/>
        <v>44097USD/CHF</v>
      </c>
      <c r="B4461" s="6" t="s">
        <v>178</v>
      </c>
      <c r="C4461" s="6">
        <v>0.9</v>
      </c>
      <c r="D4461" s="6">
        <v>0.92</v>
      </c>
      <c r="E4461" s="6">
        <v>0.92</v>
      </c>
      <c r="F4461" t="str">
        <f t="shared" si="1882"/>
        <v>WED</v>
      </c>
      <c r="G4461" s="1">
        <f t="shared" si="1883"/>
        <v>44097</v>
      </c>
      <c r="H4461" s="2">
        <f t="shared" ca="1" si="1884"/>
        <v>156</v>
      </c>
      <c r="I4461" t="str">
        <f t="shared" si="1885"/>
        <v>USD/CHF</v>
      </c>
      <c r="J4461">
        <f t="shared" si="1886"/>
        <v>0.9</v>
      </c>
      <c r="K4461">
        <f t="shared" si="1887"/>
        <v>0.92</v>
      </c>
      <c r="L4461">
        <f t="shared" si="1888"/>
        <v>0.91</v>
      </c>
      <c r="M4461">
        <f t="shared" si="1889"/>
        <v>1.0000000000000009E-2</v>
      </c>
      <c r="N4461">
        <f t="shared" si="1878"/>
        <v>2.0000000000000018E-2</v>
      </c>
      <c r="O4461">
        <f t="shared" si="1890"/>
        <v>0.92</v>
      </c>
      <c r="P4461">
        <f t="shared" si="1891"/>
        <v>1</v>
      </c>
      <c r="Q4461" t="str">
        <f t="shared" si="1879"/>
        <v>2.17% | 0%</v>
      </c>
      <c r="R4461" t="str">
        <f t="shared" si="1892"/>
        <v>BEARISH</v>
      </c>
      <c r="S4461">
        <f t="shared" si="1880"/>
        <v>-1</v>
      </c>
    </row>
    <row r="4462" spans="1:19" hidden="1" x14ac:dyDescent="0.25">
      <c r="A4462" s="5" t="str">
        <f t="shared" si="1881"/>
        <v>44097WTIC</v>
      </c>
      <c r="B4462" s="6" t="s">
        <v>205</v>
      </c>
      <c r="C4462" s="6">
        <v>36.18</v>
      </c>
      <c r="D4462" s="6">
        <v>42.04</v>
      </c>
      <c r="E4462" s="6">
        <v>39.799999999999997</v>
      </c>
      <c r="F4462" t="str">
        <f t="shared" si="1882"/>
        <v>WED</v>
      </c>
      <c r="G4462" s="1">
        <f t="shared" si="1883"/>
        <v>44097</v>
      </c>
      <c r="H4462" s="2">
        <f t="shared" ca="1" si="1884"/>
        <v>156</v>
      </c>
      <c r="I4462" t="str">
        <f t="shared" si="1885"/>
        <v>WTIC</v>
      </c>
      <c r="J4462">
        <f t="shared" si="1886"/>
        <v>36.18</v>
      </c>
      <c r="K4462">
        <f t="shared" si="1887"/>
        <v>42.04</v>
      </c>
      <c r="L4462">
        <f t="shared" si="1888"/>
        <v>39.11</v>
      </c>
      <c r="M4462">
        <f t="shared" si="1889"/>
        <v>2.9299999999999997</v>
      </c>
      <c r="N4462">
        <f t="shared" si="1878"/>
        <v>5.8599999999999994</v>
      </c>
      <c r="O4462">
        <f t="shared" si="1890"/>
        <v>39.799999999999997</v>
      </c>
      <c r="P4462">
        <f t="shared" si="1891"/>
        <v>0.23549488054607434</v>
      </c>
      <c r="Q4462" t="str">
        <f t="shared" si="1879"/>
        <v>9.1% | 5.63%</v>
      </c>
      <c r="R4462" t="str">
        <f t="shared" si="1892"/>
        <v>NEUTRAL</v>
      </c>
      <c r="S4462">
        <f t="shared" si="1880"/>
        <v>0</v>
      </c>
    </row>
    <row r="4463" spans="1:19" hidden="1" x14ac:dyDescent="0.25">
      <c r="A4463" s="5" t="str">
        <f t="shared" si="1881"/>
        <v>44097NATGAS</v>
      </c>
      <c r="B4463" s="6" t="s">
        <v>222</v>
      </c>
      <c r="C4463" s="6">
        <v>1.74</v>
      </c>
      <c r="D4463" s="6">
        <v>2.2599999999999998</v>
      </c>
      <c r="E4463" s="6">
        <v>1.83</v>
      </c>
      <c r="F4463" t="str">
        <f t="shared" si="1882"/>
        <v>WED</v>
      </c>
      <c r="G4463" s="1">
        <f t="shared" si="1883"/>
        <v>44097</v>
      </c>
      <c r="H4463" s="2">
        <f t="shared" ca="1" si="1884"/>
        <v>156</v>
      </c>
      <c r="I4463" t="str">
        <f t="shared" si="1885"/>
        <v>NATGAS</v>
      </c>
      <c r="J4463">
        <f t="shared" si="1886"/>
        <v>1.74</v>
      </c>
      <c r="K4463">
        <f t="shared" si="1887"/>
        <v>2.2599999999999998</v>
      </c>
      <c r="L4463">
        <f t="shared" si="1888"/>
        <v>2</v>
      </c>
      <c r="M4463">
        <f t="shared" si="1889"/>
        <v>0.25999999999999934</v>
      </c>
      <c r="N4463">
        <f t="shared" si="1878"/>
        <v>0.5199999999999998</v>
      </c>
      <c r="O4463">
        <f t="shared" si="1890"/>
        <v>1.83</v>
      </c>
      <c r="P4463">
        <f t="shared" si="1891"/>
        <v>-0.65384615384615519</v>
      </c>
      <c r="Q4463" t="str">
        <f t="shared" si="1879"/>
        <v>4.92% | 23.5%</v>
      </c>
      <c r="R4463" t="str">
        <f t="shared" si="1892"/>
        <v>BEARISH</v>
      </c>
      <c r="S4463">
        <f t="shared" si="1880"/>
        <v>-1</v>
      </c>
    </row>
    <row r="4464" spans="1:19" hidden="1" x14ac:dyDescent="0.25">
      <c r="A4464" s="5" t="str">
        <f t="shared" si="1881"/>
        <v>44097GOLD</v>
      </c>
      <c r="B4464" s="6" t="s">
        <v>181</v>
      </c>
      <c r="C4464" s="6">
        <v>1881</v>
      </c>
      <c r="D4464" s="6">
        <v>1996</v>
      </c>
      <c r="E4464" s="6">
        <v>1907</v>
      </c>
      <c r="F4464" t="str">
        <f t="shared" si="1882"/>
        <v>WED</v>
      </c>
      <c r="G4464" s="1">
        <f t="shared" si="1883"/>
        <v>44097</v>
      </c>
      <c r="H4464" s="2">
        <f t="shared" ca="1" si="1884"/>
        <v>156</v>
      </c>
      <c r="I4464" t="str">
        <f t="shared" si="1885"/>
        <v>GOLD</v>
      </c>
      <c r="J4464">
        <f t="shared" si="1886"/>
        <v>1881</v>
      </c>
      <c r="K4464">
        <f t="shared" si="1887"/>
        <v>1996</v>
      </c>
      <c r="L4464">
        <f t="shared" si="1888"/>
        <v>1938.5</v>
      </c>
      <c r="M4464">
        <f t="shared" si="1889"/>
        <v>57.5</v>
      </c>
      <c r="N4464">
        <f t="shared" si="1878"/>
        <v>115</v>
      </c>
      <c r="O4464">
        <f t="shared" si="1890"/>
        <v>1907</v>
      </c>
      <c r="P4464">
        <f t="shared" si="1891"/>
        <v>-0.54782608695652169</v>
      </c>
      <c r="Q4464" t="str">
        <f t="shared" si="1879"/>
        <v>1.36% | 4.67%</v>
      </c>
      <c r="R4464" t="str">
        <f t="shared" si="1892"/>
        <v>BULLISH</v>
      </c>
      <c r="S4464">
        <f t="shared" si="1880"/>
        <v>1</v>
      </c>
    </row>
    <row r="4465" spans="1:19" hidden="1" x14ac:dyDescent="0.25">
      <c r="A4465" s="5" t="str">
        <f t="shared" si="1881"/>
        <v>44097SILVER</v>
      </c>
      <c r="B4465" s="6" t="s">
        <v>199</v>
      </c>
      <c r="C4465" s="6">
        <v>23.4</v>
      </c>
      <c r="D4465" s="6">
        <v>28.86</v>
      </c>
      <c r="E4465" s="6">
        <v>24.52</v>
      </c>
      <c r="F4465" t="str">
        <f t="shared" si="1882"/>
        <v>WED</v>
      </c>
      <c r="G4465" s="1">
        <f t="shared" si="1883"/>
        <v>44097</v>
      </c>
      <c r="H4465" s="2">
        <f t="shared" ca="1" si="1884"/>
        <v>156</v>
      </c>
      <c r="I4465" t="str">
        <f t="shared" si="1885"/>
        <v>SILVER</v>
      </c>
      <c r="J4465">
        <f t="shared" si="1886"/>
        <v>23.4</v>
      </c>
      <c r="K4465">
        <f t="shared" si="1887"/>
        <v>28.86</v>
      </c>
      <c r="L4465">
        <f t="shared" si="1888"/>
        <v>26.13</v>
      </c>
      <c r="M4465">
        <f t="shared" si="1889"/>
        <v>2.73</v>
      </c>
      <c r="N4465">
        <f t="shared" si="1878"/>
        <v>5.4600000000000009</v>
      </c>
      <c r="O4465">
        <f t="shared" si="1890"/>
        <v>24.52</v>
      </c>
      <c r="P4465">
        <f t="shared" si="1891"/>
        <v>-0.58974358974358954</v>
      </c>
      <c r="Q4465" t="str">
        <f t="shared" si="1879"/>
        <v>4.57% | 17.7%</v>
      </c>
      <c r="R4465" t="str">
        <f t="shared" si="1892"/>
        <v>BULLISH</v>
      </c>
      <c r="S4465">
        <f t="shared" si="1880"/>
        <v>1</v>
      </c>
    </row>
    <row r="4466" spans="1:19" hidden="1" x14ac:dyDescent="0.25">
      <c r="A4466" s="5" t="str">
        <f t="shared" si="1881"/>
        <v>44097COPPER</v>
      </c>
      <c r="B4466" s="6" t="s">
        <v>182</v>
      </c>
      <c r="C4466" s="6">
        <v>2.98</v>
      </c>
      <c r="D4466" s="6">
        <v>3.11</v>
      </c>
      <c r="E4466" s="6">
        <v>3.06</v>
      </c>
      <c r="F4466" t="str">
        <f t="shared" si="1882"/>
        <v>WED</v>
      </c>
      <c r="G4466" s="1">
        <f t="shared" si="1883"/>
        <v>44097</v>
      </c>
      <c r="H4466" s="2">
        <f t="shared" ca="1" si="1884"/>
        <v>156</v>
      </c>
      <c r="I4466" t="str">
        <f t="shared" si="1885"/>
        <v>COPPER</v>
      </c>
      <c r="J4466">
        <f t="shared" si="1886"/>
        <v>2.98</v>
      </c>
      <c r="K4466">
        <f t="shared" si="1887"/>
        <v>3.11</v>
      </c>
      <c r="L4466">
        <f t="shared" si="1888"/>
        <v>3.0449999999999999</v>
      </c>
      <c r="M4466">
        <f t="shared" si="1889"/>
        <v>6.4999999999999947E-2</v>
      </c>
      <c r="N4466">
        <f t="shared" si="1878"/>
        <v>0.12999999999999989</v>
      </c>
      <c r="O4466">
        <f t="shared" si="1890"/>
        <v>3.06</v>
      </c>
      <c r="P4466">
        <f t="shared" si="1891"/>
        <v>0.23076923076923286</v>
      </c>
      <c r="Q4466" t="str">
        <f t="shared" si="1879"/>
        <v>2.61% | 1.63%</v>
      </c>
      <c r="R4466" t="str">
        <f t="shared" si="1892"/>
        <v>BULLISH</v>
      </c>
      <c r="S4466">
        <f t="shared" si="1880"/>
        <v>1</v>
      </c>
    </row>
    <row r="4467" spans="1:19" hidden="1" x14ac:dyDescent="0.25">
      <c r="A4467" s="5" t="str">
        <f t="shared" si="1881"/>
        <v>44097MSFT</v>
      </c>
      <c r="B4467" s="6" t="s">
        <v>206</v>
      </c>
      <c r="C4467" s="6">
        <v>198</v>
      </c>
      <c r="D4467" s="6">
        <v>212</v>
      </c>
      <c r="E4467" s="6">
        <v>207</v>
      </c>
      <c r="F4467" t="str">
        <f t="shared" si="1882"/>
        <v>WED</v>
      </c>
      <c r="G4467" s="1">
        <f t="shared" si="1883"/>
        <v>44097</v>
      </c>
      <c r="H4467" s="2">
        <f t="shared" ca="1" si="1884"/>
        <v>156</v>
      </c>
      <c r="I4467" t="str">
        <f t="shared" si="1885"/>
        <v>MSFT</v>
      </c>
      <c r="J4467">
        <f t="shared" si="1886"/>
        <v>198</v>
      </c>
      <c r="K4467">
        <f t="shared" si="1887"/>
        <v>212</v>
      </c>
      <c r="L4467">
        <f t="shared" si="1888"/>
        <v>205</v>
      </c>
      <c r="M4467">
        <f t="shared" si="1889"/>
        <v>7</v>
      </c>
      <c r="N4467">
        <f t="shared" si="1878"/>
        <v>14</v>
      </c>
      <c r="O4467">
        <f t="shared" si="1890"/>
        <v>207</v>
      </c>
      <c r="P4467">
        <f t="shared" si="1891"/>
        <v>0.2857142857142857</v>
      </c>
      <c r="Q4467" t="str">
        <f t="shared" si="1879"/>
        <v>4.35% | 2.42%</v>
      </c>
      <c r="R4467" t="str">
        <f t="shared" si="1892"/>
        <v>NEUTRAL</v>
      </c>
      <c r="S4467">
        <f t="shared" si="1880"/>
        <v>0</v>
      </c>
    </row>
    <row r="4468" spans="1:19" hidden="1" x14ac:dyDescent="0.25">
      <c r="A4468" s="5" t="str">
        <f t="shared" si="1881"/>
        <v>44097AAPL</v>
      </c>
      <c r="B4468" s="6" t="s">
        <v>184</v>
      </c>
      <c r="C4468" s="6">
        <v>106</v>
      </c>
      <c r="D4468" s="6">
        <v>118</v>
      </c>
      <c r="E4468" s="6">
        <v>111</v>
      </c>
      <c r="F4468" t="str">
        <f t="shared" si="1882"/>
        <v>WED</v>
      </c>
      <c r="G4468" s="1">
        <f t="shared" si="1883"/>
        <v>44097</v>
      </c>
      <c r="H4468" s="2">
        <f t="shared" ca="1" si="1884"/>
        <v>156</v>
      </c>
      <c r="I4468" t="str">
        <f t="shared" si="1885"/>
        <v>AAPL</v>
      </c>
      <c r="J4468">
        <f t="shared" si="1886"/>
        <v>106</v>
      </c>
      <c r="K4468">
        <f t="shared" si="1887"/>
        <v>118</v>
      </c>
      <c r="L4468">
        <f t="shared" si="1888"/>
        <v>112</v>
      </c>
      <c r="M4468">
        <f t="shared" si="1889"/>
        <v>6</v>
      </c>
      <c r="N4468">
        <f t="shared" si="1878"/>
        <v>12</v>
      </c>
      <c r="O4468">
        <f t="shared" si="1890"/>
        <v>111</v>
      </c>
      <c r="P4468">
        <f t="shared" si="1891"/>
        <v>-0.16666666666666666</v>
      </c>
      <c r="Q4468" t="str">
        <f t="shared" si="1879"/>
        <v>4.5% | 6.31%</v>
      </c>
      <c r="R4468" t="str">
        <f t="shared" si="1892"/>
        <v>BULLISH</v>
      </c>
      <c r="S4468">
        <f t="shared" si="1880"/>
        <v>1</v>
      </c>
    </row>
    <row r="4469" spans="1:19" hidden="1" x14ac:dyDescent="0.25">
      <c r="A4469" s="5" t="str">
        <f t="shared" si="1881"/>
        <v>44097AMZN</v>
      </c>
      <c r="B4469" s="6" t="s">
        <v>185</v>
      </c>
      <c r="C4469" s="6">
        <v>2910</v>
      </c>
      <c r="D4469" s="6">
        <v>3240</v>
      </c>
      <c r="E4469" s="6">
        <v>3128</v>
      </c>
      <c r="F4469" t="str">
        <f t="shared" si="1882"/>
        <v>WED</v>
      </c>
      <c r="G4469" s="1">
        <f t="shared" si="1883"/>
        <v>44097</v>
      </c>
      <c r="H4469" s="2">
        <f t="shared" ca="1" si="1884"/>
        <v>156</v>
      </c>
      <c r="I4469" t="str">
        <f t="shared" si="1885"/>
        <v>AMZN</v>
      </c>
      <c r="J4469">
        <f t="shared" si="1886"/>
        <v>2910</v>
      </c>
      <c r="K4469">
        <f t="shared" si="1887"/>
        <v>3240</v>
      </c>
      <c r="L4469">
        <f t="shared" si="1888"/>
        <v>3075</v>
      </c>
      <c r="M4469">
        <f t="shared" si="1889"/>
        <v>165</v>
      </c>
      <c r="N4469">
        <f t="shared" si="1878"/>
        <v>330</v>
      </c>
      <c r="O4469">
        <f t="shared" si="1890"/>
        <v>3128</v>
      </c>
      <c r="P4469">
        <f t="shared" si="1891"/>
        <v>0.32121212121212123</v>
      </c>
      <c r="Q4469" t="str">
        <f t="shared" si="1879"/>
        <v>6.97% | 3.58%</v>
      </c>
      <c r="R4469" t="str">
        <f t="shared" si="1892"/>
        <v>BULLISH</v>
      </c>
      <c r="S4469">
        <f t="shared" si="1880"/>
        <v>1</v>
      </c>
    </row>
    <row r="4470" spans="1:19" hidden="1" x14ac:dyDescent="0.25">
      <c r="A4470" s="5" t="str">
        <f t="shared" si="1881"/>
        <v>44097FB</v>
      </c>
      <c r="B4470" s="6" t="s">
        <v>223</v>
      </c>
      <c r="C4470" s="6">
        <v>244</v>
      </c>
      <c r="D4470" s="6">
        <v>274</v>
      </c>
      <c r="E4470" s="6">
        <v>254</v>
      </c>
      <c r="F4470" t="str">
        <f t="shared" si="1882"/>
        <v>WED</v>
      </c>
      <c r="G4470" s="1">
        <f t="shared" si="1883"/>
        <v>44097</v>
      </c>
      <c r="H4470" s="2">
        <f t="shared" ca="1" si="1884"/>
        <v>156</v>
      </c>
      <c r="I4470" t="str">
        <f t="shared" si="1885"/>
        <v>FB</v>
      </c>
      <c r="J4470">
        <f t="shared" si="1886"/>
        <v>244</v>
      </c>
      <c r="K4470">
        <f t="shared" si="1887"/>
        <v>274</v>
      </c>
      <c r="L4470">
        <f t="shared" si="1888"/>
        <v>259</v>
      </c>
      <c r="M4470">
        <f t="shared" si="1889"/>
        <v>15</v>
      </c>
      <c r="N4470">
        <f t="shared" si="1878"/>
        <v>30</v>
      </c>
      <c r="O4470">
        <f t="shared" si="1890"/>
        <v>254</v>
      </c>
      <c r="P4470">
        <f t="shared" si="1891"/>
        <v>-0.33333333333333331</v>
      </c>
      <c r="Q4470" t="str">
        <f t="shared" si="1879"/>
        <v>3.94% | 7.87%</v>
      </c>
      <c r="R4470" t="str">
        <f t="shared" si="1892"/>
        <v>NEUTRAL</v>
      </c>
      <c r="S4470">
        <f t="shared" si="1880"/>
        <v>0</v>
      </c>
    </row>
    <row r="4471" spans="1:19" hidden="1" x14ac:dyDescent="0.25">
      <c r="A4471" s="5" t="str">
        <f t="shared" si="1881"/>
        <v>44097GOOGL</v>
      </c>
      <c r="B4471" s="6" t="s">
        <v>221</v>
      </c>
      <c r="C4471" s="6">
        <v>1412</v>
      </c>
      <c r="D4471" s="6">
        <v>1530</v>
      </c>
      <c r="E4471" s="6">
        <v>1459</v>
      </c>
      <c r="F4471" t="str">
        <f t="shared" si="1882"/>
        <v>WED</v>
      </c>
      <c r="G4471" s="1">
        <f t="shared" si="1883"/>
        <v>44097</v>
      </c>
      <c r="H4471" s="2">
        <f t="shared" ca="1" si="1884"/>
        <v>156</v>
      </c>
      <c r="I4471" t="str">
        <f t="shared" si="1885"/>
        <v>GOOGL</v>
      </c>
      <c r="J4471">
        <f t="shared" si="1886"/>
        <v>1412</v>
      </c>
      <c r="K4471">
        <f t="shared" si="1887"/>
        <v>1530</v>
      </c>
      <c r="L4471">
        <f t="shared" si="1888"/>
        <v>1471</v>
      </c>
      <c r="M4471">
        <f t="shared" si="1889"/>
        <v>59</v>
      </c>
      <c r="N4471">
        <f t="shared" si="1878"/>
        <v>118</v>
      </c>
      <c r="O4471">
        <f t="shared" si="1890"/>
        <v>1459</v>
      </c>
      <c r="P4471">
        <f t="shared" si="1891"/>
        <v>-0.20338983050847459</v>
      </c>
      <c r="Q4471" t="str">
        <f t="shared" si="1879"/>
        <v>3.22% | 4.87%</v>
      </c>
      <c r="R4471" t="str">
        <f t="shared" si="1892"/>
        <v>BEARISH</v>
      </c>
      <c r="S4471">
        <f t="shared" si="1880"/>
        <v>-1</v>
      </c>
    </row>
    <row r="4472" spans="1:19" hidden="1" x14ac:dyDescent="0.25">
      <c r="A4472" s="5" t="str">
        <f t="shared" si="1881"/>
        <v>44097NFLX</v>
      </c>
      <c r="B4472" s="6" t="s">
        <v>213</v>
      </c>
      <c r="C4472" s="6">
        <v>461</v>
      </c>
      <c r="D4472" s="6">
        <v>503</v>
      </c>
      <c r="E4472" s="6">
        <v>491</v>
      </c>
      <c r="F4472" t="str">
        <f t="shared" si="1882"/>
        <v>WED</v>
      </c>
      <c r="G4472" s="1">
        <f t="shared" si="1883"/>
        <v>44097</v>
      </c>
      <c r="H4472" s="2">
        <f t="shared" ca="1" si="1884"/>
        <v>156</v>
      </c>
      <c r="I4472" t="str">
        <f t="shared" si="1885"/>
        <v>NFLX</v>
      </c>
      <c r="J4472">
        <f t="shared" si="1886"/>
        <v>461</v>
      </c>
      <c r="K4472">
        <f t="shared" si="1887"/>
        <v>503</v>
      </c>
      <c r="L4472">
        <f t="shared" si="1888"/>
        <v>482</v>
      </c>
      <c r="M4472">
        <f t="shared" si="1889"/>
        <v>21</v>
      </c>
      <c r="N4472">
        <f t="shared" si="1878"/>
        <v>42</v>
      </c>
      <c r="O4472">
        <f t="shared" si="1890"/>
        <v>491</v>
      </c>
      <c r="P4472">
        <f t="shared" si="1891"/>
        <v>0.42857142857142855</v>
      </c>
      <c r="Q4472" t="str">
        <f t="shared" si="1879"/>
        <v>6.11% | 2.44%</v>
      </c>
      <c r="R4472" t="str">
        <f t="shared" si="1892"/>
        <v>BEARISH</v>
      </c>
      <c r="S4472">
        <f t="shared" si="1880"/>
        <v>-1</v>
      </c>
    </row>
    <row r="4473" spans="1:19" x14ac:dyDescent="0.25">
      <c r="A4473" s="5" t="str">
        <f t="shared" si="1881"/>
        <v>44097TSLA</v>
      </c>
      <c r="B4473" s="6" t="s">
        <v>189</v>
      </c>
      <c r="C4473" s="6">
        <v>360</v>
      </c>
      <c r="D4473" s="6">
        <v>481</v>
      </c>
      <c r="E4473" s="6">
        <v>424</v>
      </c>
      <c r="F4473" t="str">
        <f t="shared" si="1882"/>
        <v>WED</v>
      </c>
      <c r="G4473" s="1">
        <f t="shared" si="1883"/>
        <v>44097</v>
      </c>
      <c r="H4473" s="2">
        <f t="shared" ca="1" si="1884"/>
        <v>156</v>
      </c>
      <c r="I4473" t="str">
        <f t="shared" si="1885"/>
        <v>TSLA</v>
      </c>
      <c r="J4473">
        <f t="shared" si="1886"/>
        <v>360</v>
      </c>
      <c r="K4473">
        <f t="shared" si="1887"/>
        <v>481</v>
      </c>
      <c r="L4473">
        <f t="shared" si="1888"/>
        <v>420.5</v>
      </c>
      <c r="M4473">
        <f t="shared" si="1889"/>
        <v>60.5</v>
      </c>
      <c r="N4473">
        <f t="shared" si="1878"/>
        <v>121</v>
      </c>
      <c r="O4473">
        <f t="shared" si="1890"/>
        <v>424</v>
      </c>
      <c r="P4473">
        <f t="shared" si="1891"/>
        <v>5.7851239669421489E-2</v>
      </c>
      <c r="Q4473" t="str">
        <f t="shared" si="1879"/>
        <v>15.09% | 13.44%</v>
      </c>
      <c r="R4473" t="str">
        <f t="shared" si="1892"/>
        <v>BULLISH</v>
      </c>
      <c r="S4473">
        <f t="shared" si="1880"/>
        <v>1</v>
      </c>
    </row>
    <row r="4474" spans="1:19" hidden="1" x14ac:dyDescent="0.25">
      <c r="A4474" s="5" t="str">
        <f t="shared" si="1881"/>
        <v>44097NYXBT</v>
      </c>
      <c r="B4474" s="6" t="s">
        <v>190</v>
      </c>
      <c r="C4474" s="6">
        <v>10102</v>
      </c>
      <c r="D4474" s="6">
        <v>11193</v>
      </c>
      <c r="E4474" s="6">
        <v>10468</v>
      </c>
      <c r="F4474" t="str">
        <f t="shared" si="1882"/>
        <v>WED</v>
      </c>
      <c r="G4474" s="1">
        <f t="shared" si="1883"/>
        <v>44097</v>
      </c>
      <c r="H4474" s="2">
        <f t="shared" ca="1" si="1884"/>
        <v>156</v>
      </c>
      <c r="I4474" t="str">
        <f t="shared" si="1885"/>
        <v>NYXBT</v>
      </c>
      <c r="J4474">
        <f t="shared" si="1886"/>
        <v>10102</v>
      </c>
      <c r="K4474">
        <f t="shared" si="1887"/>
        <v>11193</v>
      </c>
      <c r="L4474">
        <f t="shared" si="1888"/>
        <v>10647.5</v>
      </c>
      <c r="M4474">
        <f t="shared" si="1889"/>
        <v>545.5</v>
      </c>
      <c r="N4474">
        <f t="shared" si="1878"/>
        <v>1091</v>
      </c>
      <c r="O4474">
        <f t="shared" si="1890"/>
        <v>10468</v>
      </c>
      <c r="P4474">
        <f t="shared" si="1891"/>
        <v>-0.3290559120073327</v>
      </c>
      <c r="Q4474" t="str">
        <f t="shared" si="1879"/>
        <v>3.5% | 6.93%</v>
      </c>
      <c r="R4474" t="str">
        <f t="shared" si="1892"/>
        <v>BULLISH</v>
      </c>
      <c r="S4474">
        <f t="shared" si="1880"/>
        <v>1</v>
      </c>
    </row>
    <row r="4475" spans="1:19" hidden="1" x14ac:dyDescent="0.25">
      <c r="A4475" s="5" t="str">
        <f t="shared" si="1881"/>
        <v>44098UST10Y</v>
      </c>
      <c r="B4475" s="6" t="s">
        <v>161</v>
      </c>
      <c r="C4475" s="6">
        <v>0.7</v>
      </c>
      <c r="D4475" s="6">
        <v>0.63</v>
      </c>
      <c r="E4475" s="6">
        <v>0.68</v>
      </c>
      <c r="F4475" t="str">
        <f t="shared" si="1882"/>
        <v>THU</v>
      </c>
      <c r="G4475" s="3">
        <f>DATE(2020,9,24)</f>
        <v>44098</v>
      </c>
      <c r="H4475" s="2">
        <f t="shared" ca="1" si="1884"/>
        <v>155</v>
      </c>
      <c r="I4475" t="str">
        <f t="shared" si="1885"/>
        <v>UST10Y</v>
      </c>
      <c r="J4475">
        <f t="shared" si="1886"/>
        <v>0.7</v>
      </c>
      <c r="K4475">
        <f t="shared" si="1887"/>
        <v>0.63</v>
      </c>
      <c r="L4475">
        <f t="shared" si="1888"/>
        <v>0.66500000000000004</v>
      </c>
      <c r="M4475">
        <f t="shared" si="1889"/>
        <v>3.4999999999999976E-2</v>
      </c>
      <c r="N4475">
        <f t="shared" si="1878"/>
        <v>6.9999999999999951E-2</v>
      </c>
      <c r="O4475">
        <f t="shared" si="1890"/>
        <v>0.68</v>
      </c>
      <c r="P4475">
        <f t="shared" si="1891"/>
        <v>0.42857142857142927</v>
      </c>
      <c r="Q4475" t="str">
        <f t="shared" si="1879"/>
        <v>2.94% | 7.35%</v>
      </c>
      <c r="R4475" t="str">
        <f t="shared" si="1892"/>
        <v>BEARISH</v>
      </c>
      <c r="S4475">
        <f t="shared" si="1880"/>
        <v>-1</v>
      </c>
    </row>
    <row r="4476" spans="1:19" hidden="1" x14ac:dyDescent="0.25">
      <c r="A4476" s="5" t="str">
        <f t="shared" si="1881"/>
        <v>44098UST2Y</v>
      </c>
      <c r="B4476" s="6" t="s">
        <v>162</v>
      </c>
      <c r="C4476" s="6">
        <v>0.15</v>
      </c>
      <c r="D4476" s="6">
        <v>0.1</v>
      </c>
      <c r="E4476" s="6">
        <v>0.14000000000000001</v>
      </c>
      <c r="F4476" t="str">
        <f t="shared" ref="F4476:F4506" si="1893">UPPER(TEXT(G4476,"ddd"))</f>
        <v>THU</v>
      </c>
      <c r="G4476" s="3">
        <f t="shared" ref="G4476:G4505" si="1894">DATE(2020,9,24)</f>
        <v>44098</v>
      </c>
      <c r="H4476" s="2">
        <f t="shared" ref="H4476:H4506" ca="1" si="1895">TODAY()-G4476</f>
        <v>155</v>
      </c>
      <c r="I4476" t="str">
        <f t="shared" ref="I4476:I4506" si="1896">TRIM(LEFT(B4476,FIND(" ",B4476,1)))</f>
        <v>UST2Y</v>
      </c>
      <c r="J4476">
        <f t="shared" ref="J4476:J4506" si="1897">C4476</f>
        <v>0.15</v>
      </c>
      <c r="K4476">
        <f t="shared" ref="K4476:K4506" si="1898">D4476</f>
        <v>0.1</v>
      </c>
      <c r="L4476">
        <f t="shared" ref="L4476:L4506" si="1899">AVERAGE(J4476:K4476)</f>
        <v>0.125</v>
      </c>
      <c r="M4476">
        <f t="shared" ref="M4476:M4506" si="1900">_xlfn.STDEV.P(J4476:K4476)</f>
        <v>2.5000000000000012E-2</v>
      </c>
      <c r="N4476">
        <f t="shared" si="1878"/>
        <v>4.9999999999999989E-2</v>
      </c>
      <c r="O4476">
        <f t="shared" ref="O4476:O4506" si="1901">E4476</f>
        <v>0.14000000000000001</v>
      </c>
      <c r="P4476">
        <f t="shared" ref="P4476:P4506" si="1902">(O4476-L4476)/M4476</f>
        <v>0.6000000000000002</v>
      </c>
      <c r="Q4476" t="str">
        <f t="shared" si="1879"/>
        <v>7.14% | 28.57%</v>
      </c>
      <c r="R4476" t="str">
        <f t="shared" ref="R4476:R4506" si="1903">MID(B4476,FIND("(",B4476,1)+1,FIND(")",B4476,1)-FIND("(",B4476,1)-1)</f>
        <v>BEARISH</v>
      </c>
      <c r="S4476">
        <f t="shared" si="1880"/>
        <v>-1</v>
      </c>
    </row>
    <row r="4477" spans="1:19" hidden="1" x14ac:dyDescent="0.25">
      <c r="A4477" s="5" t="str">
        <f t="shared" si="1881"/>
        <v>44098SPX</v>
      </c>
      <c r="B4477" s="6" t="s">
        <v>211</v>
      </c>
      <c r="C4477" s="6">
        <v>3213</v>
      </c>
      <c r="D4477" s="6">
        <v>3352</v>
      </c>
      <c r="E4477" s="6">
        <v>3236</v>
      </c>
      <c r="F4477" t="str">
        <f t="shared" si="1893"/>
        <v>THU</v>
      </c>
      <c r="G4477" s="3">
        <f t="shared" si="1894"/>
        <v>44098</v>
      </c>
      <c r="H4477" s="2">
        <f t="shared" ca="1" si="1895"/>
        <v>155</v>
      </c>
      <c r="I4477" t="str">
        <f t="shared" si="1896"/>
        <v>SPX</v>
      </c>
      <c r="J4477">
        <f t="shared" si="1897"/>
        <v>3213</v>
      </c>
      <c r="K4477">
        <f t="shared" si="1898"/>
        <v>3352</v>
      </c>
      <c r="L4477">
        <f t="shared" si="1899"/>
        <v>3282.5</v>
      </c>
      <c r="M4477">
        <f t="shared" si="1900"/>
        <v>69.5</v>
      </c>
      <c r="N4477">
        <f t="shared" si="1878"/>
        <v>139</v>
      </c>
      <c r="O4477">
        <f t="shared" si="1901"/>
        <v>3236</v>
      </c>
      <c r="P4477">
        <f t="shared" si="1902"/>
        <v>-0.6690647482014388</v>
      </c>
      <c r="Q4477" t="str">
        <f t="shared" si="1879"/>
        <v>0.71% | 3.58%</v>
      </c>
      <c r="R4477" t="str">
        <f t="shared" si="1903"/>
        <v>BEARISH</v>
      </c>
      <c r="S4477">
        <f t="shared" si="1880"/>
        <v>-1</v>
      </c>
    </row>
    <row r="4478" spans="1:19" hidden="1" x14ac:dyDescent="0.25">
      <c r="A4478" s="5" t="str">
        <f t="shared" si="1881"/>
        <v>44098RUT</v>
      </c>
      <c r="B4478" s="6" t="s">
        <v>164</v>
      </c>
      <c r="C4478" s="6">
        <v>1440</v>
      </c>
      <c r="D4478" s="6">
        <v>1512</v>
      </c>
      <c r="E4478" s="6">
        <v>1451</v>
      </c>
      <c r="F4478" t="str">
        <f t="shared" si="1893"/>
        <v>THU</v>
      </c>
      <c r="G4478" s="3">
        <f t="shared" si="1894"/>
        <v>44098</v>
      </c>
      <c r="H4478" s="2">
        <f t="shared" ca="1" si="1895"/>
        <v>155</v>
      </c>
      <c r="I4478" t="str">
        <f t="shared" si="1896"/>
        <v>RUT</v>
      </c>
      <c r="J4478">
        <f t="shared" si="1897"/>
        <v>1440</v>
      </c>
      <c r="K4478">
        <f t="shared" si="1898"/>
        <v>1512</v>
      </c>
      <c r="L4478">
        <f t="shared" si="1899"/>
        <v>1476</v>
      </c>
      <c r="M4478">
        <f t="shared" si="1900"/>
        <v>36</v>
      </c>
      <c r="N4478">
        <f t="shared" si="1878"/>
        <v>72</v>
      </c>
      <c r="O4478">
        <f t="shared" si="1901"/>
        <v>1451</v>
      </c>
      <c r="P4478">
        <f t="shared" si="1902"/>
        <v>-0.69444444444444442</v>
      </c>
      <c r="Q4478" t="str">
        <f t="shared" si="1879"/>
        <v>0.76% | 4.2%</v>
      </c>
      <c r="R4478" t="str">
        <f t="shared" si="1903"/>
        <v>BEARISH</v>
      </c>
      <c r="S4478">
        <f t="shared" si="1880"/>
        <v>-1</v>
      </c>
    </row>
    <row r="4479" spans="1:19" hidden="1" x14ac:dyDescent="0.25">
      <c r="A4479" s="5" t="str">
        <f t="shared" si="1881"/>
        <v>44098COMPQ</v>
      </c>
      <c r="B4479" s="6" t="s">
        <v>217</v>
      </c>
      <c r="C4479" s="6">
        <v>10520</v>
      </c>
      <c r="D4479" s="6">
        <v>11056</v>
      </c>
      <c r="E4479" s="6">
        <v>10632</v>
      </c>
      <c r="F4479" t="str">
        <f t="shared" si="1893"/>
        <v>THU</v>
      </c>
      <c r="G4479" s="3">
        <f t="shared" si="1894"/>
        <v>44098</v>
      </c>
      <c r="H4479" s="2">
        <f t="shared" ca="1" si="1895"/>
        <v>155</v>
      </c>
      <c r="I4479" t="str">
        <f t="shared" si="1896"/>
        <v>COMPQ</v>
      </c>
      <c r="J4479">
        <f t="shared" si="1897"/>
        <v>10520</v>
      </c>
      <c r="K4479">
        <f t="shared" si="1898"/>
        <v>11056</v>
      </c>
      <c r="L4479">
        <f t="shared" si="1899"/>
        <v>10788</v>
      </c>
      <c r="M4479">
        <f t="shared" si="1900"/>
        <v>268</v>
      </c>
      <c r="N4479">
        <f t="shared" si="1878"/>
        <v>536</v>
      </c>
      <c r="O4479">
        <f t="shared" si="1901"/>
        <v>10632</v>
      </c>
      <c r="P4479">
        <f t="shared" si="1902"/>
        <v>-0.58208955223880599</v>
      </c>
      <c r="Q4479" t="str">
        <f t="shared" si="1879"/>
        <v>1.05% | 3.99%</v>
      </c>
      <c r="R4479" t="str">
        <f t="shared" si="1903"/>
        <v>BEARISH</v>
      </c>
      <c r="S4479">
        <f t="shared" si="1880"/>
        <v>-1</v>
      </c>
    </row>
    <row r="4480" spans="1:19" hidden="1" x14ac:dyDescent="0.25">
      <c r="A4480" s="5" t="str">
        <f t="shared" si="1881"/>
        <v>44098XLK</v>
      </c>
      <c r="B4480" s="6" t="s">
        <v>203</v>
      </c>
      <c r="C4480" s="6">
        <v>109.16</v>
      </c>
      <c r="D4480" s="6">
        <v>116.54</v>
      </c>
      <c r="E4480" s="6">
        <v>110.66</v>
      </c>
      <c r="F4480" t="str">
        <f t="shared" si="1893"/>
        <v>THU</v>
      </c>
      <c r="G4480" s="3">
        <f t="shared" si="1894"/>
        <v>44098</v>
      </c>
      <c r="H4480" s="2">
        <f t="shared" ca="1" si="1895"/>
        <v>155</v>
      </c>
      <c r="I4480" t="str">
        <f t="shared" si="1896"/>
        <v>XLK</v>
      </c>
      <c r="J4480">
        <f t="shared" si="1897"/>
        <v>109.16</v>
      </c>
      <c r="K4480">
        <f t="shared" si="1898"/>
        <v>116.54</v>
      </c>
      <c r="L4480">
        <f t="shared" si="1899"/>
        <v>112.85</v>
      </c>
      <c r="M4480">
        <f t="shared" si="1900"/>
        <v>3.6900000000000048</v>
      </c>
      <c r="N4480">
        <f t="shared" si="1878"/>
        <v>7.3800000000000097</v>
      </c>
      <c r="O4480">
        <f t="shared" si="1901"/>
        <v>110.66</v>
      </c>
      <c r="P4480">
        <f t="shared" si="1902"/>
        <v>-0.59349593495934816</v>
      </c>
      <c r="Q4480" t="str">
        <f t="shared" si="1879"/>
        <v>1.36% | 5.31%</v>
      </c>
      <c r="R4480" t="str">
        <f t="shared" si="1903"/>
        <v>NEUTRAL</v>
      </c>
      <c r="S4480">
        <f t="shared" si="1880"/>
        <v>0</v>
      </c>
    </row>
    <row r="4481" spans="1:19" hidden="1" x14ac:dyDescent="0.25">
      <c r="A4481" s="5" t="str">
        <f t="shared" si="1881"/>
        <v>44098XLRE</v>
      </c>
      <c r="B4481" s="6" t="s">
        <v>225</v>
      </c>
      <c r="C4481" s="6">
        <v>33.28</v>
      </c>
      <c r="D4481" s="6">
        <v>35.590000000000003</v>
      </c>
      <c r="E4481" s="6">
        <v>33.85</v>
      </c>
      <c r="F4481" t="str">
        <f t="shared" si="1893"/>
        <v>THU</v>
      </c>
      <c r="G4481" s="3">
        <f t="shared" si="1894"/>
        <v>44098</v>
      </c>
      <c r="H4481" s="2">
        <f t="shared" ca="1" si="1895"/>
        <v>155</v>
      </c>
      <c r="I4481" t="str">
        <f t="shared" si="1896"/>
        <v>XLRE</v>
      </c>
      <c r="J4481">
        <f t="shared" si="1897"/>
        <v>33.28</v>
      </c>
      <c r="K4481">
        <f t="shared" si="1898"/>
        <v>35.590000000000003</v>
      </c>
      <c r="L4481">
        <f t="shared" si="1899"/>
        <v>34.435000000000002</v>
      </c>
      <c r="M4481">
        <f t="shared" si="1900"/>
        <v>1.1550000000000011</v>
      </c>
      <c r="N4481">
        <f t="shared" si="1878"/>
        <v>2.3100000000000023</v>
      </c>
      <c r="O4481">
        <f t="shared" si="1901"/>
        <v>33.85</v>
      </c>
      <c r="P4481">
        <f t="shared" si="1902"/>
        <v>-0.50649350649350677</v>
      </c>
      <c r="Q4481" t="str">
        <f t="shared" si="1879"/>
        <v>1.68% | 5.14%</v>
      </c>
      <c r="R4481" t="str">
        <f t="shared" si="1903"/>
        <v>BEARISH</v>
      </c>
      <c r="S4481">
        <f t="shared" si="1880"/>
        <v>-1</v>
      </c>
    </row>
    <row r="4482" spans="1:19" hidden="1" x14ac:dyDescent="0.25">
      <c r="A4482" s="5" t="str">
        <f t="shared" si="1881"/>
        <v>44098XLU</v>
      </c>
      <c r="B4482" s="6" t="s">
        <v>226</v>
      </c>
      <c r="C4482" s="6">
        <v>56.26</v>
      </c>
      <c r="D4482" s="6">
        <v>58.92</v>
      </c>
      <c r="E4482" s="6">
        <v>57.13</v>
      </c>
      <c r="F4482" t="str">
        <f t="shared" si="1893"/>
        <v>THU</v>
      </c>
      <c r="G4482" s="3">
        <f t="shared" si="1894"/>
        <v>44098</v>
      </c>
      <c r="H4482" s="2">
        <f t="shared" ca="1" si="1895"/>
        <v>155</v>
      </c>
      <c r="I4482" t="str">
        <f t="shared" si="1896"/>
        <v>XLU</v>
      </c>
      <c r="J4482">
        <f t="shared" si="1897"/>
        <v>56.26</v>
      </c>
      <c r="K4482">
        <f t="shared" si="1898"/>
        <v>58.92</v>
      </c>
      <c r="L4482">
        <f t="shared" si="1899"/>
        <v>57.59</v>
      </c>
      <c r="M4482">
        <f t="shared" si="1900"/>
        <v>1.3300000000000018</v>
      </c>
      <c r="N4482">
        <f t="shared" si="1878"/>
        <v>2.6600000000000037</v>
      </c>
      <c r="O4482">
        <f t="shared" si="1901"/>
        <v>57.13</v>
      </c>
      <c r="P4482">
        <f t="shared" si="1902"/>
        <v>-0.34586466165413549</v>
      </c>
      <c r="Q4482" t="str">
        <f t="shared" si="1879"/>
        <v>1.52% | 3.13%</v>
      </c>
      <c r="R4482" t="str">
        <f t="shared" si="1903"/>
        <v>BEARISH</v>
      </c>
      <c r="S4482">
        <f t="shared" si="1880"/>
        <v>-1</v>
      </c>
    </row>
    <row r="4483" spans="1:19" hidden="1" x14ac:dyDescent="0.25">
      <c r="A4483" s="5" t="str">
        <f t="shared" si="1881"/>
        <v>44098XLF</v>
      </c>
      <c r="B4483" s="6" t="s">
        <v>169</v>
      </c>
      <c r="C4483" s="6">
        <v>22.64</v>
      </c>
      <c r="D4483" s="6">
        <v>24.43</v>
      </c>
      <c r="E4483" s="6">
        <v>23.2</v>
      </c>
      <c r="F4483" t="str">
        <f t="shared" si="1893"/>
        <v>THU</v>
      </c>
      <c r="G4483" s="3">
        <f t="shared" si="1894"/>
        <v>44098</v>
      </c>
      <c r="H4483" s="2">
        <f t="shared" ca="1" si="1895"/>
        <v>155</v>
      </c>
      <c r="I4483" t="str">
        <f t="shared" si="1896"/>
        <v>XLF</v>
      </c>
      <c r="J4483">
        <f t="shared" si="1897"/>
        <v>22.64</v>
      </c>
      <c r="K4483">
        <f t="shared" si="1898"/>
        <v>24.43</v>
      </c>
      <c r="L4483">
        <f t="shared" si="1899"/>
        <v>23.535</v>
      </c>
      <c r="M4483">
        <f t="shared" si="1900"/>
        <v>0.89499999999999957</v>
      </c>
      <c r="N4483">
        <f t="shared" ref="N4483:N4546" si="1904">ABS(K4483-J4483)</f>
        <v>1.7899999999999991</v>
      </c>
      <c r="O4483">
        <f t="shared" si="1901"/>
        <v>23.2</v>
      </c>
      <c r="P4483">
        <f t="shared" si="1902"/>
        <v>-0.37430167597765474</v>
      </c>
      <c r="Q4483" t="str">
        <f t="shared" ref="Q4483:Q4546" si="1905">ROUND(ABS(100*(O4483-J4483)/O4483),2)&amp;"% | "&amp;ROUND(ABS(100*(K4483-O4483)/O4483),2)&amp;"%"</f>
        <v>2.41% | 5.3%</v>
      </c>
      <c r="R4483" t="str">
        <f t="shared" si="1903"/>
        <v>BEARISH</v>
      </c>
      <c r="S4483">
        <f t="shared" ref="S4483:S4546" si="1906">IF(R4483="BEARISH",-1,IF(R4483="NEUTRAL",0,IF(R4483="BULLISH",1,99)))</f>
        <v>-1</v>
      </c>
    </row>
    <row r="4484" spans="1:19" hidden="1" x14ac:dyDescent="0.25">
      <c r="A4484" s="5" t="str">
        <f t="shared" si="1881"/>
        <v>44098SSEC</v>
      </c>
      <c r="B4484" s="6" t="s">
        <v>170</v>
      </c>
      <c r="C4484" s="6">
        <v>3203</v>
      </c>
      <c r="D4484" s="6">
        <v>3338</v>
      </c>
      <c r="E4484" s="6">
        <v>3223</v>
      </c>
      <c r="F4484" t="str">
        <f t="shared" si="1893"/>
        <v>THU</v>
      </c>
      <c r="G4484" s="3">
        <f t="shared" si="1894"/>
        <v>44098</v>
      </c>
      <c r="H4484" s="2">
        <f t="shared" ca="1" si="1895"/>
        <v>155</v>
      </c>
      <c r="I4484" t="str">
        <f t="shared" si="1896"/>
        <v>SSEC</v>
      </c>
      <c r="J4484">
        <f t="shared" si="1897"/>
        <v>3203</v>
      </c>
      <c r="K4484">
        <f t="shared" si="1898"/>
        <v>3338</v>
      </c>
      <c r="L4484">
        <f t="shared" si="1899"/>
        <v>3270.5</v>
      </c>
      <c r="M4484">
        <f t="shared" si="1900"/>
        <v>67.5</v>
      </c>
      <c r="N4484">
        <f t="shared" si="1904"/>
        <v>135</v>
      </c>
      <c r="O4484">
        <f t="shared" si="1901"/>
        <v>3223</v>
      </c>
      <c r="P4484">
        <f t="shared" si="1902"/>
        <v>-0.70370370370370372</v>
      </c>
      <c r="Q4484" t="str">
        <f t="shared" si="1905"/>
        <v>0.62% | 3.57%</v>
      </c>
      <c r="R4484" t="str">
        <f t="shared" si="1903"/>
        <v>BULLISH</v>
      </c>
      <c r="S4484">
        <f t="shared" si="1906"/>
        <v>1</v>
      </c>
    </row>
    <row r="4485" spans="1:19" hidden="1" x14ac:dyDescent="0.25">
      <c r="A4485" s="5" t="str">
        <f t="shared" si="1881"/>
        <v>44098NIKK</v>
      </c>
      <c r="B4485" s="6" t="s">
        <v>201</v>
      </c>
      <c r="C4485" s="6">
        <v>23005</v>
      </c>
      <c r="D4485" s="6">
        <v>23645</v>
      </c>
      <c r="E4485" s="6">
        <v>23087</v>
      </c>
      <c r="F4485" t="str">
        <f t="shared" si="1893"/>
        <v>THU</v>
      </c>
      <c r="G4485" s="3">
        <f t="shared" si="1894"/>
        <v>44098</v>
      </c>
      <c r="H4485" s="2">
        <f t="shared" ca="1" si="1895"/>
        <v>155</v>
      </c>
      <c r="I4485" t="str">
        <f t="shared" si="1896"/>
        <v>NIKK</v>
      </c>
      <c r="J4485">
        <f t="shared" si="1897"/>
        <v>23005</v>
      </c>
      <c r="K4485">
        <f t="shared" si="1898"/>
        <v>23645</v>
      </c>
      <c r="L4485">
        <f t="shared" si="1899"/>
        <v>23325</v>
      </c>
      <c r="M4485">
        <f t="shared" si="1900"/>
        <v>320</v>
      </c>
      <c r="N4485">
        <f t="shared" si="1904"/>
        <v>640</v>
      </c>
      <c r="O4485">
        <f t="shared" si="1901"/>
        <v>23087</v>
      </c>
      <c r="P4485">
        <f t="shared" si="1902"/>
        <v>-0.74375000000000002</v>
      </c>
      <c r="Q4485" t="str">
        <f t="shared" si="1905"/>
        <v>0.36% | 2.42%</v>
      </c>
      <c r="R4485" t="str">
        <f t="shared" si="1903"/>
        <v>BULLISH</v>
      </c>
      <c r="S4485">
        <f t="shared" si="1906"/>
        <v>1</v>
      </c>
    </row>
    <row r="4486" spans="1:19" hidden="1" x14ac:dyDescent="0.25">
      <c r="A4486" s="5" t="str">
        <f t="shared" ref="A4486:A4549" si="1907">G4486&amp;I4486</f>
        <v>44098DAX</v>
      </c>
      <c r="B4486" s="6" t="s">
        <v>227</v>
      </c>
      <c r="C4486" s="6">
        <v>12409</v>
      </c>
      <c r="D4486" s="6">
        <v>12949</v>
      </c>
      <c r="E4486" s="6">
        <v>12642</v>
      </c>
      <c r="F4486" t="str">
        <f t="shared" si="1893"/>
        <v>THU</v>
      </c>
      <c r="G4486" s="3">
        <f t="shared" si="1894"/>
        <v>44098</v>
      </c>
      <c r="H4486" s="2">
        <f t="shared" ca="1" si="1895"/>
        <v>155</v>
      </c>
      <c r="I4486" t="str">
        <f t="shared" si="1896"/>
        <v>DAX</v>
      </c>
      <c r="J4486">
        <f t="shared" si="1897"/>
        <v>12409</v>
      </c>
      <c r="K4486">
        <f t="shared" si="1898"/>
        <v>12949</v>
      </c>
      <c r="L4486">
        <f t="shared" si="1899"/>
        <v>12679</v>
      </c>
      <c r="M4486">
        <f t="shared" si="1900"/>
        <v>270</v>
      </c>
      <c r="N4486">
        <f t="shared" si="1904"/>
        <v>540</v>
      </c>
      <c r="O4486">
        <f t="shared" si="1901"/>
        <v>12642</v>
      </c>
      <c r="P4486">
        <f t="shared" si="1902"/>
        <v>-0.13703703703703704</v>
      </c>
      <c r="Q4486" t="str">
        <f t="shared" si="1905"/>
        <v>1.84% | 2.43%</v>
      </c>
      <c r="R4486" t="str">
        <f t="shared" si="1903"/>
        <v>BEARISH</v>
      </c>
      <c r="S4486">
        <f t="shared" si="1906"/>
        <v>-1</v>
      </c>
    </row>
    <row r="4487" spans="1:19" hidden="1" x14ac:dyDescent="0.25">
      <c r="A4487" s="5" t="str">
        <f t="shared" si="1907"/>
        <v>44098VIX</v>
      </c>
      <c r="B4487" s="6" t="s">
        <v>202</v>
      </c>
      <c r="C4487" s="6">
        <v>24.67</v>
      </c>
      <c r="D4487" s="6">
        <v>30.15</v>
      </c>
      <c r="E4487" s="6">
        <v>28.58</v>
      </c>
      <c r="F4487" t="str">
        <f t="shared" si="1893"/>
        <v>THU</v>
      </c>
      <c r="G4487" s="3">
        <f t="shared" si="1894"/>
        <v>44098</v>
      </c>
      <c r="H4487" s="2">
        <f t="shared" ca="1" si="1895"/>
        <v>155</v>
      </c>
      <c r="I4487" t="str">
        <f t="shared" si="1896"/>
        <v>VIX</v>
      </c>
      <c r="J4487">
        <f t="shared" si="1897"/>
        <v>24.67</v>
      </c>
      <c r="K4487">
        <f t="shared" si="1898"/>
        <v>30.15</v>
      </c>
      <c r="L4487">
        <f t="shared" si="1899"/>
        <v>27.41</v>
      </c>
      <c r="M4487">
        <f t="shared" si="1900"/>
        <v>2.7399999999999984</v>
      </c>
      <c r="N4487">
        <f t="shared" si="1904"/>
        <v>5.4799999999999969</v>
      </c>
      <c r="O4487">
        <f t="shared" si="1901"/>
        <v>28.58</v>
      </c>
      <c r="P4487">
        <f t="shared" si="1902"/>
        <v>0.42700729927007258</v>
      </c>
      <c r="Q4487" t="str">
        <f t="shared" si="1905"/>
        <v>13.68% | 5.49%</v>
      </c>
      <c r="R4487" t="str">
        <f t="shared" si="1903"/>
        <v>BULLISH</v>
      </c>
      <c r="S4487">
        <f t="shared" si="1906"/>
        <v>1</v>
      </c>
    </row>
    <row r="4488" spans="1:19" hidden="1" x14ac:dyDescent="0.25">
      <c r="A4488" s="5" t="str">
        <f t="shared" si="1907"/>
        <v>44098USD</v>
      </c>
      <c r="B4488" s="6" t="s">
        <v>174</v>
      </c>
      <c r="C4488" s="6">
        <v>92.42</v>
      </c>
      <c r="D4488" s="6">
        <v>94.71</v>
      </c>
      <c r="E4488" s="6">
        <v>94.44</v>
      </c>
      <c r="F4488" t="str">
        <f t="shared" si="1893"/>
        <v>THU</v>
      </c>
      <c r="G4488" s="3">
        <f t="shared" si="1894"/>
        <v>44098</v>
      </c>
      <c r="H4488" s="2">
        <f t="shared" ca="1" si="1895"/>
        <v>155</v>
      </c>
      <c r="I4488" t="str">
        <f t="shared" si="1896"/>
        <v>USD</v>
      </c>
      <c r="J4488">
        <f t="shared" si="1897"/>
        <v>92.42</v>
      </c>
      <c r="K4488">
        <f t="shared" si="1898"/>
        <v>94.71</v>
      </c>
      <c r="L4488">
        <f t="shared" si="1899"/>
        <v>93.564999999999998</v>
      </c>
      <c r="M4488">
        <f t="shared" si="1900"/>
        <v>1.144999999999996</v>
      </c>
      <c r="N4488">
        <f t="shared" si="1904"/>
        <v>2.289999999999992</v>
      </c>
      <c r="O4488">
        <f t="shared" si="1901"/>
        <v>94.44</v>
      </c>
      <c r="P4488">
        <f t="shared" si="1902"/>
        <v>0.76419213973799394</v>
      </c>
      <c r="Q4488" t="str">
        <f t="shared" si="1905"/>
        <v>2.14% | 0.29%</v>
      </c>
      <c r="R4488" t="str">
        <f t="shared" si="1903"/>
        <v>BEARISH</v>
      </c>
      <c r="S4488">
        <f t="shared" si="1906"/>
        <v>-1</v>
      </c>
    </row>
    <row r="4489" spans="1:19" hidden="1" x14ac:dyDescent="0.25">
      <c r="A4489" s="5" t="str">
        <f t="shared" si="1907"/>
        <v>44098EUR/USD</v>
      </c>
      <c r="B4489" s="6" t="s">
        <v>175</v>
      </c>
      <c r="C4489" s="6">
        <v>1.1599999999999999</v>
      </c>
      <c r="D4489" s="6">
        <v>1.19</v>
      </c>
      <c r="E4489" s="6">
        <v>1.1599999999999999</v>
      </c>
      <c r="F4489" t="str">
        <f t="shared" si="1893"/>
        <v>THU</v>
      </c>
      <c r="G4489" s="3">
        <f t="shared" si="1894"/>
        <v>44098</v>
      </c>
      <c r="H4489" s="2">
        <f t="shared" ca="1" si="1895"/>
        <v>155</v>
      </c>
      <c r="I4489" t="str">
        <f t="shared" si="1896"/>
        <v>EUR/USD</v>
      </c>
      <c r="J4489">
        <f t="shared" si="1897"/>
        <v>1.1599999999999999</v>
      </c>
      <c r="K4489">
        <f t="shared" si="1898"/>
        <v>1.19</v>
      </c>
      <c r="L4489">
        <f t="shared" si="1899"/>
        <v>1.1749999999999998</v>
      </c>
      <c r="M4489">
        <f t="shared" si="1900"/>
        <v>1.5000000000000013E-2</v>
      </c>
      <c r="N4489">
        <f t="shared" si="1904"/>
        <v>3.0000000000000027E-2</v>
      </c>
      <c r="O4489">
        <f t="shared" si="1901"/>
        <v>1.1599999999999999</v>
      </c>
      <c r="P4489">
        <f t="shared" si="1902"/>
        <v>-0.99999999999999256</v>
      </c>
      <c r="Q4489" t="str">
        <f t="shared" si="1905"/>
        <v>0% | 2.59%</v>
      </c>
      <c r="R4489" t="str">
        <f t="shared" si="1903"/>
        <v>BULLISH</v>
      </c>
      <c r="S4489">
        <f t="shared" si="1906"/>
        <v>1</v>
      </c>
    </row>
    <row r="4490" spans="1:19" hidden="1" x14ac:dyDescent="0.25">
      <c r="A4490" s="5" t="str">
        <f t="shared" si="1907"/>
        <v>44098USD/JPY</v>
      </c>
      <c r="B4490" s="6" t="s">
        <v>176</v>
      </c>
      <c r="C4490" s="6">
        <v>104.09</v>
      </c>
      <c r="D4490" s="6">
        <v>106.15</v>
      </c>
      <c r="E4490" s="6">
        <v>105.39</v>
      </c>
      <c r="F4490" t="str">
        <f t="shared" si="1893"/>
        <v>THU</v>
      </c>
      <c r="G4490" s="3">
        <f t="shared" si="1894"/>
        <v>44098</v>
      </c>
      <c r="H4490" s="2">
        <f t="shared" ca="1" si="1895"/>
        <v>155</v>
      </c>
      <c r="I4490" t="str">
        <f t="shared" si="1896"/>
        <v>USD/JPY</v>
      </c>
      <c r="J4490">
        <f t="shared" si="1897"/>
        <v>104.09</v>
      </c>
      <c r="K4490">
        <f t="shared" si="1898"/>
        <v>106.15</v>
      </c>
      <c r="L4490">
        <f t="shared" si="1899"/>
        <v>105.12</v>
      </c>
      <c r="M4490">
        <f t="shared" si="1900"/>
        <v>1.0300000000000011</v>
      </c>
      <c r="N4490">
        <f t="shared" si="1904"/>
        <v>2.0600000000000023</v>
      </c>
      <c r="O4490">
        <f t="shared" si="1901"/>
        <v>105.39</v>
      </c>
      <c r="P4490">
        <f t="shared" si="1902"/>
        <v>0.26213592233009292</v>
      </c>
      <c r="Q4490" t="str">
        <f t="shared" si="1905"/>
        <v>1.23% | 0.72%</v>
      </c>
      <c r="R4490" t="str">
        <f t="shared" si="1903"/>
        <v>BEARISH</v>
      </c>
      <c r="S4490">
        <f t="shared" si="1906"/>
        <v>-1</v>
      </c>
    </row>
    <row r="4491" spans="1:19" hidden="1" x14ac:dyDescent="0.25">
      <c r="A4491" s="5" t="str">
        <f t="shared" si="1907"/>
        <v>44098GBP/USD</v>
      </c>
      <c r="B4491" s="6" t="s">
        <v>228</v>
      </c>
      <c r="C4491" s="6">
        <v>1.26</v>
      </c>
      <c r="D4491" s="6">
        <v>1.29</v>
      </c>
      <c r="E4491" s="6">
        <v>1.27</v>
      </c>
      <c r="F4491" t="str">
        <f t="shared" si="1893"/>
        <v>THU</v>
      </c>
      <c r="G4491" s="3">
        <f t="shared" si="1894"/>
        <v>44098</v>
      </c>
      <c r="H4491" s="2">
        <f t="shared" ca="1" si="1895"/>
        <v>155</v>
      </c>
      <c r="I4491" t="str">
        <f t="shared" si="1896"/>
        <v>GBP/USD</v>
      </c>
      <c r="J4491">
        <f t="shared" si="1897"/>
        <v>1.26</v>
      </c>
      <c r="K4491">
        <f t="shared" si="1898"/>
        <v>1.29</v>
      </c>
      <c r="L4491">
        <f t="shared" si="1899"/>
        <v>1.2749999999999999</v>
      </c>
      <c r="M4491">
        <f t="shared" si="1900"/>
        <v>1.5000000000000013E-2</v>
      </c>
      <c r="N4491">
        <f t="shared" si="1904"/>
        <v>3.0000000000000027E-2</v>
      </c>
      <c r="O4491">
        <f t="shared" si="1901"/>
        <v>1.27</v>
      </c>
      <c r="P4491">
        <f t="shared" si="1902"/>
        <v>-0.33333333333332593</v>
      </c>
      <c r="Q4491" t="str">
        <f t="shared" si="1905"/>
        <v>0.79% | 1.57%</v>
      </c>
      <c r="R4491" t="str">
        <f t="shared" si="1903"/>
        <v>BEARISH</v>
      </c>
      <c r="S4491">
        <f t="shared" si="1906"/>
        <v>-1</v>
      </c>
    </row>
    <row r="4492" spans="1:19" hidden="1" x14ac:dyDescent="0.25">
      <c r="A4492" s="5" t="str">
        <f t="shared" si="1907"/>
        <v>44098USD/CHF</v>
      </c>
      <c r="B4492" s="6" t="s">
        <v>178</v>
      </c>
      <c r="C4492" s="6">
        <v>0.9</v>
      </c>
      <c r="D4492" s="6">
        <v>0.92</v>
      </c>
      <c r="E4492" s="6">
        <v>0.92</v>
      </c>
      <c r="F4492" t="str">
        <f t="shared" si="1893"/>
        <v>THU</v>
      </c>
      <c r="G4492" s="3">
        <f t="shared" si="1894"/>
        <v>44098</v>
      </c>
      <c r="H4492" s="2">
        <f t="shared" ca="1" si="1895"/>
        <v>155</v>
      </c>
      <c r="I4492" t="str">
        <f t="shared" si="1896"/>
        <v>USD/CHF</v>
      </c>
      <c r="J4492">
        <f t="shared" si="1897"/>
        <v>0.9</v>
      </c>
      <c r="K4492">
        <f t="shared" si="1898"/>
        <v>0.92</v>
      </c>
      <c r="L4492">
        <f t="shared" si="1899"/>
        <v>0.91</v>
      </c>
      <c r="M4492">
        <f t="shared" si="1900"/>
        <v>1.0000000000000009E-2</v>
      </c>
      <c r="N4492">
        <f t="shared" si="1904"/>
        <v>2.0000000000000018E-2</v>
      </c>
      <c r="O4492">
        <f t="shared" si="1901"/>
        <v>0.92</v>
      </c>
      <c r="P4492">
        <f t="shared" si="1902"/>
        <v>1</v>
      </c>
      <c r="Q4492" t="str">
        <f t="shared" si="1905"/>
        <v>2.17% | 0%</v>
      </c>
      <c r="R4492" t="str">
        <f t="shared" si="1903"/>
        <v>BEARISH</v>
      </c>
      <c r="S4492">
        <f t="shared" si="1906"/>
        <v>-1</v>
      </c>
    </row>
    <row r="4493" spans="1:19" hidden="1" x14ac:dyDescent="0.25">
      <c r="A4493" s="5" t="str">
        <f t="shared" si="1907"/>
        <v>44098WTIC</v>
      </c>
      <c r="B4493" s="6" t="s">
        <v>215</v>
      </c>
      <c r="C4493" s="6">
        <v>36.43</v>
      </c>
      <c r="D4493" s="6">
        <v>40.89</v>
      </c>
      <c r="E4493" s="6">
        <v>39.93</v>
      </c>
      <c r="F4493" t="str">
        <f t="shared" si="1893"/>
        <v>THU</v>
      </c>
      <c r="G4493" s="3">
        <f t="shared" si="1894"/>
        <v>44098</v>
      </c>
      <c r="H4493" s="2">
        <f t="shared" ca="1" si="1895"/>
        <v>155</v>
      </c>
      <c r="I4493" t="str">
        <f t="shared" si="1896"/>
        <v>WTIC</v>
      </c>
      <c r="J4493">
        <f t="shared" si="1897"/>
        <v>36.43</v>
      </c>
      <c r="K4493">
        <f t="shared" si="1898"/>
        <v>40.89</v>
      </c>
      <c r="L4493">
        <f t="shared" si="1899"/>
        <v>38.659999999999997</v>
      </c>
      <c r="M4493">
        <f t="shared" si="1900"/>
        <v>2.2300000000000004</v>
      </c>
      <c r="N4493">
        <f t="shared" si="1904"/>
        <v>4.4600000000000009</v>
      </c>
      <c r="O4493">
        <f t="shared" si="1901"/>
        <v>39.93</v>
      </c>
      <c r="P4493">
        <f t="shared" si="1902"/>
        <v>0.56950672645740041</v>
      </c>
      <c r="Q4493" t="str">
        <f t="shared" si="1905"/>
        <v>8.77% | 2.4%</v>
      </c>
      <c r="R4493" t="str">
        <f t="shared" si="1903"/>
        <v>BEARISH</v>
      </c>
      <c r="S4493">
        <f t="shared" si="1906"/>
        <v>-1</v>
      </c>
    </row>
    <row r="4494" spans="1:19" hidden="1" x14ac:dyDescent="0.25">
      <c r="A4494" s="5" t="str">
        <f t="shared" si="1907"/>
        <v>44098NATGAS</v>
      </c>
      <c r="B4494" s="6" t="s">
        <v>180</v>
      </c>
      <c r="C4494" s="6">
        <v>1.74</v>
      </c>
      <c r="D4494" s="6">
        <v>2.75</v>
      </c>
      <c r="E4494" s="6">
        <v>2.2200000000000002</v>
      </c>
      <c r="F4494" t="str">
        <f t="shared" si="1893"/>
        <v>THU</v>
      </c>
      <c r="G4494" s="3">
        <f t="shared" si="1894"/>
        <v>44098</v>
      </c>
      <c r="H4494" s="2">
        <f t="shared" ca="1" si="1895"/>
        <v>155</v>
      </c>
      <c r="I4494" t="str">
        <f t="shared" si="1896"/>
        <v>NATGAS</v>
      </c>
      <c r="J4494">
        <f t="shared" si="1897"/>
        <v>1.74</v>
      </c>
      <c r="K4494">
        <f t="shared" si="1898"/>
        <v>2.75</v>
      </c>
      <c r="L4494">
        <f t="shared" si="1899"/>
        <v>2.2450000000000001</v>
      </c>
      <c r="M4494">
        <f t="shared" si="1900"/>
        <v>0.50499999999999901</v>
      </c>
      <c r="N4494">
        <f t="shared" si="1904"/>
        <v>1.01</v>
      </c>
      <c r="O4494">
        <f t="shared" si="1901"/>
        <v>2.2200000000000002</v>
      </c>
      <c r="P4494">
        <f t="shared" si="1902"/>
        <v>-4.9504950495049424E-2</v>
      </c>
      <c r="Q4494" t="str">
        <f t="shared" si="1905"/>
        <v>21.62% | 23.87%</v>
      </c>
      <c r="R4494" t="str">
        <f t="shared" si="1903"/>
        <v>BULLISH</v>
      </c>
      <c r="S4494">
        <f t="shared" si="1906"/>
        <v>1</v>
      </c>
    </row>
    <row r="4495" spans="1:19" hidden="1" x14ac:dyDescent="0.25">
      <c r="A4495" s="5" t="str">
        <f t="shared" si="1907"/>
        <v>44098GOLD</v>
      </c>
      <c r="B4495" s="6" t="s">
        <v>181</v>
      </c>
      <c r="C4495" s="6">
        <v>1851</v>
      </c>
      <c r="D4495" s="6">
        <v>2001</v>
      </c>
      <c r="E4495" s="6">
        <v>1868</v>
      </c>
      <c r="F4495" t="str">
        <f t="shared" si="1893"/>
        <v>THU</v>
      </c>
      <c r="G4495" s="3">
        <f t="shared" si="1894"/>
        <v>44098</v>
      </c>
      <c r="H4495" s="2">
        <f t="shared" ca="1" si="1895"/>
        <v>155</v>
      </c>
      <c r="I4495" t="str">
        <f t="shared" si="1896"/>
        <v>GOLD</v>
      </c>
      <c r="J4495">
        <f t="shared" si="1897"/>
        <v>1851</v>
      </c>
      <c r="K4495">
        <f t="shared" si="1898"/>
        <v>2001</v>
      </c>
      <c r="L4495">
        <f t="shared" si="1899"/>
        <v>1926</v>
      </c>
      <c r="M4495">
        <f t="shared" si="1900"/>
        <v>75</v>
      </c>
      <c r="N4495">
        <f t="shared" si="1904"/>
        <v>150</v>
      </c>
      <c r="O4495">
        <f t="shared" si="1901"/>
        <v>1868</v>
      </c>
      <c r="P4495">
        <f t="shared" si="1902"/>
        <v>-0.77333333333333332</v>
      </c>
      <c r="Q4495" t="str">
        <f t="shared" si="1905"/>
        <v>0.91% | 7.12%</v>
      </c>
      <c r="R4495" t="str">
        <f t="shared" si="1903"/>
        <v>BULLISH</v>
      </c>
      <c r="S4495">
        <f t="shared" si="1906"/>
        <v>1</v>
      </c>
    </row>
    <row r="4496" spans="1:19" hidden="1" x14ac:dyDescent="0.25">
      <c r="A4496" s="5" t="str">
        <f t="shared" si="1907"/>
        <v>44098SILVER</v>
      </c>
      <c r="B4496" s="6" t="s">
        <v>229</v>
      </c>
      <c r="C4496" s="6">
        <v>21.99</v>
      </c>
      <c r="D4496" s="6">
        <v>26.2</v>
      </c>
      <c r="E4496" s="6">
        <v>23.1</v>
      </c>
      <c r="F4496" t="str">
        <f t="shared" si="1893"/>
        <v>THU</v>
      </c>
      <c r="G4496" s="3">
        <f t="shared" si="1894"/>
        <v>44098</v>
      </c>
      <c r="H4496" s="2">
        <f t="shared" ca="1" si="1895"/>
        <v>155</v>
      </c>
      <c r="I4496" t="str">
        <f t="shared" si="1896"/>
        <v>SILVER</v>
      </c>
      <c r="J4496">
        <f t="shared" si="1897"/>
        <v>21.99</v>
      </c>
      <c r="K4496">
        <f t="shared" si="1898"/>
        <v>26.2</v>
      </c>
      <c r="L4496">
        <f t="shared" si="1899"/>
        <v>24.094999999999999</v>
      </c>
      <c r="M4496">
        <f t="shared" si="1900"/>
        <v>2.1050000000000004</v>
      </c>
      <c r="N4496">
        <f t="shared" si="1904"/>
        <v>4.2100000000000009</v>
      </c>
      <c r="O4496">
        <f t="shared" si="1901"/>
        <v>23.1</v>
      </c>
      <c r="P4496">
        <f t="shared" si="1902"/>
        <v>-0.47268408551068752</v>
      </c>
      <c r="Q4496" t="str">
        <f t="shared" si="1905"/>
        <v>4.81% | 13.42%</v>
      </c>
      <c r="R4496" t="str">
        <f t="shared" si="1903"/>
        <v>BEARISH</v>
      </c>
      <c r="S4496">
        <f t="shared" si="1906"/>
        <v>-1</v>
      </c>
    </row>
    <row r="4497" spans="1:19" hidden="1" x14ac:dyDescent="0.25">
      <c r="A4497" s="5" t="str">
        <f t="shared" si="1907"/>
        <v>44098COPPER</v>
      </c>
      <c r="B4497" s="6" t="s">
        <v>182</v>
      </c>
      <c r="C4497" s="6">
        <v>2.94</v>
      </c>
      <c r="D4497" s="6">
        <v>3.11</v>
      </c>
      <c r="E4497" s="6">
        <v>2.99</v>
      </c>
      <c r="F4497" t="str">
        <f t="shared" si="1893"/>
        <v>THU</v>
      </c>
      <c r="G4497" s="3">
        <f t="shared" si="1894"/>
        <v>44098</v>
      </c>
      <c r="H4497" s="2">
        <f t="shared" ca="1" si="1895"/>
        <v>155</v>
      </c>
      <c r="I4497" t="str">
        <f t="shared" si="1896"/>
        <v>COPPER</v>
      </c>
      <c r="J4497">
        <f t="shared" si="1897"/>
        <v>2.94</v>
      </c>
      <c r="K4497">
        <f t="shared" si="1898"/>
        <v>3.11</v>
      </c>
      <c r="L4497">
        <f t="shared" si="1899"/>
        <v>3.0249999999999999</v>
      </c>
      <c r="M4497">
        <f t="shared" si="1900"/>
        <v>8.4999999999999964E-2</v>
      </c>
      <c r="N4497">
        <f t="shared" si="1904"/>
        <v>0.16999999999999993</v>
      </c>
      <c r="O4497">
        <f t="shared" si="1901"/>
        <v>2.99</v>
      </c>
      <c r="P4497">
        <f t="shared" si="1902"/>
        <v>-0.41176470588234954</v>
      </c>
      <c r="Q4497" t="str">
        <f t="shared" si="1905"/>
        <v>1.67% | 4.01%</v>
      </c>
      <c r="R4497" t="str">
        <f t="shared" si="1903"/>
        <v>BULLISH</v>
      </c>
      <c r="S4497">
        <f t="shared" si="1906"/>
        <v>1</v>
      </c>
    </row>
    <row r="4498" spans="1:19" hidden="1" x14ac:dyDescent="0.25">
      <c r="A4498" s="5" t="str">
        <f t="shared" si="1907"/>
        <v>44098MSFT</v>
      </c>
      <c r="B4498" s="6" t="s">
        <v>219</v>
      </c>
      <c r="C4498" s="6">
        <v>196</v>
      </c>
      <c r="D4498" s="6">
        <v>209</v>
      </c>
      <c r="E4498" s="6">
        <v>200</v>
      </c>
      <c r="F4498" t="str">
        <f t="shared" si="1893"/>
        <v>THU</v>
      </c>
      <c r="G4498" s="3">
        <f t="shared" si="1894"/>
        <v>44098</v>
      </c>
      <c r="H4498" s="2">
        <f t="shared" ca="1" si="1895"/>
        <v>155</v>
      </c>
      <c r="I4498" t="str">
        <f t="shared" si="1896"/>
        <v>MSFT</v>
      </c>
      <c r="J4498">
        <f t="shared" si="1897"/>
        <v>196</v>
      </c>
      <c r="K4498">
        <f t="shared" si="1898"/>
        <v>209</v>
      </c>
      <c r="L4498">
        <f t="shared" si="1899"/>
        <v>202.5</v>
      </c>
      <c r="M4498">
        <f t="shared" si="1900"/>
        <v>6.5</v>
      </c>
      <c r="N4498">
        <f t="shared" si="1904"/>
        <v>13</v>
      </c>
      <c r="O4498">
        <f t="shared" si="1901"/>
        <v>200</v>
      </c>
      <c r="P4498">
        <f t="shared" si="1902"/>
        <v>-0.38461538461538464</v>
      </c>
      <c r="Q4498" t="str">
        <f t="shared" si="1905"/>
        <v>2% | 4.5%</v>
      </c>
      <c r="R4498" t="str">
        <f t="shared" si="1903"/>
        <v>BEARISH</v>
      </c>
      <c r="S4498">
        <f t="shared" si="1906"/>
        <v>-1</v>
      </c>
    </row>
    <row r="4499" spans="1:19" hidden="1" x14ac:dyDescent="0.25">
      <c r="A4499" s="5" t="str">
        <f t="shared" si="1907"/>
        <v>44098AAPL</v>
      </c>
      <c r="B4499" s="6" t="s">
        <v>207</v>
      </c>
      <c r="C4499" s="6">
        <v>104</v>
      </c>
      <c r="D4499" s="6">
        <v>115</v>
      </c>
      <c r="E4499" s="6">
        <v>107</v>
      </c>
      <c r="F4499" t="str">
        <f t="shared" si="1893"/>
        <v>THU</v>
      </c>
      <c r="G4499" s="3">
        <f t="shared" si="1894"/>
        <v>44098</v>
      </c>
      <c r="H4499" s="2">
        <f t="shared" ca="1" si="1895"/>
        <v>155</v>
      </c>
      <c r="I4499" t="str">
        <f t="shared" si="1896"/>
        <v>AAPL</v>
      </c>
      <c r="J4499">
        <f t="shared" si="1897"/>
        <v>104</v>
      </c>
      <c r="K4499">
        <f t="shared" si="1898"/>
        <v>115</v>
      </c>
      <c r="L4499">
        <f t="shared" si="1899"/>
        <v>109.5</v>
      </c>
      <c r="M4499">
        <f t="shared" si="1900"/>
        <v>5.5</v>
      </c>
      <c r="N4499">
        <f t="shared" si="1904"/>
        <v>11</v>
      </c>
      <c r="O4499">
        <f t="shared" si="1901"/>
        <v>107</v>
      </c>
      <c r="P4499">
        <f t="shared" si="1902"/>
        <v>-0.45454545454545453</v>
      </c>
      <c r="Q4499" t="str">
        <f t="shared" si="1905"/>
        <v>2.8% | 7.48%</v>
      </c>
      <c r="R4499" t="str">
        <f t="shared" si="1903"/>
        <v>NEUTRAL</v>
      </c>
      <c r="S4499">
        <f t="shared" si="1906"/>
        <v>0</v>
      </c>
    </row>
    <row r="4500" spans="1:19" hidden="1" x14ac:dyDescent="0.25">
      <c r="A4500" s="5" t="str">
        <f t="shared" si="1907"/>
        <v>44098AMZN</v>
      </c>
      <c r="B4500" s="6" t="s">
        <v>216</v>
      </c>
      <c r="C4500" s="6">
        <v>2906</v>
      </c>
      <c r="D4500" s="6">
        <v>3200</v>
      </c>
      <c r="E4500" s="6">
        <v>2999</v>
      </c>
      <c r="F4500" t="str">
        <f t="shared" si="1893"/>
        <v>THU</v>
      </c>
      <c r="G4500" s="3">
        <f t="shared" si="1894"/>
        <v>44098</v>
      </c>
      <c r="H4500" s="2">
        <f t="shared" ca="1" si="1895"/>
        <v>155</v>
      </c>
      <c r="I4500" t="str">
        <f t="shared" si="1896"/>
        <v>AMZN</v>
      </c>
      <c r="J4500">
        <f t="shared" si="1897"/>
        <v>2906</v>
      </c>
      <c r="K4500">
        <f t="shared" si="1898"/>
        <v>3200</v>
      </c>
      <c r="L4500">
        <f t="shared" si="1899"/>
        <v>3053</v>
      </c>
      <c r="M4500">
        <f t="shared" si="1900"/>
        <v>147</v>
      </c>
      <c r="N4500">
        <f t="shared" si="1904"/>
        <v>294</v>
      </c>
      <c r="O4500">
        <f t="shared" si="1901"/>
        <v>2999</v>
      </c>
      <c r="P4500">
        <f t="shared" si="1902"/>
        <v>-0.36734693877551022</v>
      </c>
      <c r="Q4500" t="str">
        <f t="shared" si="1905"/>
        <v>3.1% | 6.7%</v>
      </c>
      <c r="R4500" t="str">
        <f t="shared" si="1903"/>
        <v>NEUTRAL</v>
      </c>
      <c r="S4500">
        <f t="shared" si="1906"/>
        <v>0</v>
      </c>
    </row>
    <row r="4501" spans="1:19" hidden="1" x14ac:dyDescent="0.25">
      <c r="A4501" s="5" t="str">
        <f t="shared" si="1907"/>
        <v>44098FB</v>
      </c>
      <c r="B4501" s="6" t="s">
        <v>230</v>
      </c>
      <c r="C4501" s="6">
        <v>239</v>
      </c>
      <c r="D4501" s="6">
        <v>266</v>
      </c>
      <c r="E4501" s="6">
        <v>249</v>
      </c>
      <c r="F4501" t="str">
        <f t="shared" si="1893"/>
        <v>THU</v>
      </c>
      <c r="G4501" s="3">
        <f t="shared" si="1894"/>
        <v>44098</v>
      </c>
      <c r="H4501" s="2">
        <f t="shared" ca="1" si="1895"/>
        <v>155</v>
      </c>
      <c r="I4501" t="str">
        <f t="shared" si="1896"/>
        <v>FB</v>
      </c>
      <c r="J4501">
        <f t="shared" si="1897"/>
        <v>239</v>
      </c>
      <c r="K4501">
        <f t="shared" si="1898"/>
        <v>266</v>
      </c>
      <c r="L4501">
        <f t="shared" si="1899"/>
        <v>252.5</v>
      </c>
      <c r="M4501">
        <f t="shared" si="1900"/>
        <v>13.5</v>
      </c>
      <c r="N4501">
        <f t="shared" si="1904"/>
        <v>27</v>
      </c>
      <c r="O4501">
        <f t="shared" si="1901"/>
        <v>249</v>
      </c>
      <c r="P4501">
        <f t="shared" si="1902"/>
        <v>-0.25925925925925924</v>
      </c>
      <c r="Q4501" t="str">
        <f t="shared" si="1905"/>
        <v>4.02% | 6.83%</v>
      </c>
      <c r="R4501" t="str">
        <f t="shared" si="1903"/>
        <v>BEARISH</v>
      </c>
      <c r="S4501">
        <f t="shared" si="1906"/>
        <v>-1</v>
      </c>
    </row>
    <row r="4502" spans="1:19" hidden="1" x14ac:dyDescent="0.25">
      <c r="A4502" s="5" t="str">
        <f t="shared" si="1907"/>
        <v>44098GOOGL</v>
      </c>
      <c r="B4502" s="6" t="s">
        <v>221</v>
      </c>
      <c r="C4502" s="6">
        <v>1387</v>
      </c>
      <c r="D4502" s="6">
        <v>1520</v>
      </c>
      <c r="E4502" s="6">
        <v>1409</v>
      </c>
      <c r="F4502" t="str">
        <f t="shared" si="1893"/>
        <v>THU</v>
      </c>
      <c r="G4502" s="3">
        <f t="shared" si="1894"/>
        <v>44098</v>
      </c>
      <c r="H4502" s="2">
        <f t="shared" ca="1" si="1895"/>
        <v>155</v>
      </c>
      <c r="I4502" t="str">
        <f t="shared" si="1896"/>
        <v>GOOGL</v>
      </c>
      <c r="J4502">
        <f t="shared" si="1897"/>
        <v>1387</v>
      </c>
      <c r="K4502">
        <f t="shared" si="1898"/>
        <v>1520</v>
      </c>
      <c r="L4502">
        <f t="shared" si="1899"/>
        <v>1453.5</v>
      </c>
      <c r="M4502">
        <f t="shared" si="1900"/>
        <v>66.5</v>
      </c>
      <c r="N4502">
        <f t="shared" si="1904"/>
        <v>133</v>
      </c>
      <c r="O4502">
        <f t="shared" si="1901"/>
        <v>1409</v>
      </c>
      <c r="P4502">
        <f t="shared" si="1902"/>
        <v>-0.66917293233082709</v>
      </c>
      <c r="Q4502" t="str">
        <f t="shared" si="1905"/>
        <v>1.56% | 7.88%</v>
      </c>
      <c r="R4502" t="str">
        <f t="shared" si="1903"/>
        <v>BEARISH</v>
      </c>
      <c r="S4502">
        <f t="shared" si="1906"/>
        <v>-1</v>
      </c>
    </row>
    <row r="4503" spans="1:19" hidden="1" x14ac:dyDescent="0.25">
      <c r="A4503" s="5" t="str">
        <f t="shared" si="1907"/>
        <v>44098NFLX</v>
      </c>
      <c r="B4503" s="6" t="s">
        <v>213</v>
      </c>
      <c r="C4503" s="6">
        <v>452</v>
      </c>
      <c r="D4503" s="6">
        <v>494</v>
      </c>
      <c r="E4503" s="6">
        <v>470</v>
      </c>
      <c r="F4503" t="str">
        <f t="shared" si="1893"/>
        <v>THU</v>
      </c>
      <c r="G4503" s="3">
        <f t="shared" si="1894"/>
        <v>44098</v>
      </c>
      <c r="H4503" s="2">
        <f t="shared" ca="1" si="1895"/>
        <v>155</v>
      </c>
      <c r="I4503" t="str">
        <f t="shared" si="1896"/>
        <v>NFLX</v>
      </c>
      <c r="J4503">
        <f t="shared" si="1897"/>
        <v>452</v>
      </c>
      <c r="K4503">
        <f t="shared" si="1898"/>
        <v>494</v>
      </c>
      <c r="L4503">
        <f t="shared" si="1899"/>
        <v>473</v>
      </c>
      <c r="M4503">
        <f t="shared" si="1900"/>
        <v>21</v>
      </c>
      <c r="N4503">
        <f t="shared" si="1904"/>
        <v>42</v>
      </c>
      <c r="O4503">
        <f t="shared" si="1901"/>
        <v>470</v>
      </c>
      <c r="P4503">
        <f t="shared" si="1902"/>
        <v>-0.14285714285714285</v>
      </c>
      <c r="Q4503" t="str">
        <f t="shared" si="1905"/>
        <v>3.83% | 5.11%</v>
      </c>
      <c r="R4503" t="str">
        <f t="shared" si="1903"/>
        <v>BEARISH</v>
      </c>
      <c r="S4503">
        <f t="shared" si="1906"/>
        <v>-1</v>
      </c>
    </row>
    <row r="4504" spans="1:19" x14ac:dyDescent="0.25">
      <c r="A4504" s="5" t="str">
        <f t="shared" si="1907"/>
        <v>44098TSLA</v>
      </c>
      <c r="B4504" s="6" t="s">
        <v>209</v>
      </c>
      <c r="C4504" s="6">
        <v>358</v>
      </c>
      <c r="D4504" s="6">
        <v>477</v>
      </c>
      <c r="E4504" s="6">
        <v>380</v>
      </c>
      <c r="F4504" t="str">
        <f t="shared" si="1893"/>
        <v>THU</v>
      </c>
      <c r="G4504" s="3">
        <f t="shared" si="1894"/>
        <v>44098</v>
      </c>
      <c r="H4504" s="2">
        <f t="shared" ca="1" si="1895"/>
        <v>155</v>
      </c>
      <c r="I4504" t="str">
        <f t="shared" si="1896"/>
        <v>TSLA</v>
      </c>
      <c r="J4504">
        <f t="shared" si="1897"/>
        <v>358</v>
      </c>
      <c r="K4504">
        <f t="shared" si="1898"/>
        <v>477</v>
      </c>
      <c r="L4504">
        <f t="shared" si="1899"/>
        <v>417.5</v>
      </c>
      <c r="M4504">
        <f t="shared" si="1900"/>
        <v>59.5</v>
      </c>
      <c r="N4504">
        <f t="shared" si="1904"/>
        <v>119</v>
      </c>
      <c r="O4504">
        <f t="shared" si="1901"/>
        <v>380</v>
      </c>
      <c r="P4504">
        <f t="shared" si="1902"/>
        <v>-0.63025210084033612</v>
      </c>
      <c r="Q4504" t="str">
        <f t="shared" si="1905"/>
        <v>5.79% | 25.53%</v>
      </c>
      <c r="R4504" t="str">
        <f t="shared" si="1903"/>
        <v>NEUTRAL</v>
      </c>
      <c r="S4504">
        <f t="shared" si="1906"/>
        <v>0</v>
      </c>
    </row>
    <row r="4505" spans="1:19" hidden="1" x14ac:dyDescent="0.25">
      <c r="A4505" s="5" t="str">
        <f t="shared" si="1907"/>
        <v>44098NYXBT</v>
      </c>
      <c r="B4505" s="6" t="s">
        <v>190</v>
      </c>
      <c r="C4505" s="6">
        <v>10173</v>
      </c>
      <c r="D4505" s="6">
        <v>11097</v>
      </c>
      <c r="E4505" s="6">
        <v>10482</v>
      </c>
      <c r="F4505" t="str">
        <f t="shared" si="1893"/>
        <v>THU</v>
      </c>
      <c r="G4505" s="3">
        <f t="shared" si="1894"/>
        <v>44098</v>
      </c>
      <c r="H4505" s="2">
        <f t="shared" ca="1" si="1895"/>
        <v>155</v>
      </c>
      <c r="I4505" t="str">
        <f t="shared" si="1896"/>
        <v>NYXBT</v>
      </c>
      <c r="J4505">
        <f t="shared" si="1897"/>
        <v>10173</v>
      </c>
      <c r="K4505">
        <f t="shared" si="1898"/>
        <v>11097</v>
      </c>
      <c r="L4505">
        <f t="shared" si="1899"/>
        <v>10635</v>
      </c>
      <c r="M4505">
        <f t="shared" si="1900"/>
        <v>462</v>
      </c>
      <c r="N4505">
        <f t="shared" si="1904"/>
        <v>924</v>
      </c>
      <c r="O4505">
        <f t="shared" si="1901"/>
        <v>10482</v>
      </c>
      <c r="P4505">
        <f t="shared" si="1902"/>
        <v>-0.33116883116883117</v>
      </c>
      <c r="Q4505" t="str">
        <f t="shared" si="1905"/>
        <v>2.95% | 5.87%</v>
      </c>
      <c r="R4505" t="str">
        <f t="shared" si="1903"/>
        <v>BULLISH</v>
      </c>
      <c r="S4505">
        <f t="shared" si="1906"/>
        <v>1</v>
      </c>
    </row>
    <row r="4506" spans="1:19" hidden="1" x14ac:dyDescent="0.25">
      <c r="A4506" s="5" t="str">
        <f t="shared" si="1907"/>
        <v>44099UST10Y</v>
      </c>
      <c r="B4506" s="6" t="s">
        <v>161</v>
      </c>
      <c r="C4506" s="6">
        <v>0.7</v>
      </c>
      <c r="D4506" s="6">
        <v>0.64</v>
      </c>
      <c r="E4506" s="6">
        <v>0.67</v>
      </c>
      <c r="F4506" t="str">
        <f t="shared" si="1893"/>
        <v>FRI</v>
      </c>
      <c r="G4506" s="1">
        <f>DATE(2020,9,25)</f>
        <v>44099</v>
      </c>
      <c r="H4506" s="2">
        <f t="shared" ca="1" si="1895"/>
        <v>154</v>
      </c>
      <c r="I4506" t="str">
        <f t="shared" si="1896"/>
        <v>UST10Y</v>
      </c>
      <c r="J4506">
        <f t="shared" si="1897"/>
        <v>0.7</v>
      </c>
      <c r="K4506">
        <f t="shared" si="1898"/>
        <v>0.64</v>
      </c>
      <c r="L4506">
        <f t="shared" si="1899"/>
        <v>0.66999999999999993</v>
      </c>
      <c r="M4506">
        <f t="shared" si="1900"/>
        <v>2.9999999999999971E-2</v>
      </c>
      <c r="N4506">
        <f t="shared" si="1904"/>
        <v>5.9999999999999942E-2</v>
      </c>
      <c r="O4506">
        <f t="shared" si="1901"/>
        <v>0.67</v>
      </c>
      <c r="P4506">
        <f t="shared" si="1902"/>
        <v>3.7007434154171919E-15</v>
      </c>
      <c r="Q4506" t="str">
        <f t="shared" si="1905"/>
        <v>4.48% | 4.48%</v>
      </c>
      <c r="R4506" t="str">
        <f t="shared" si="1903"/>
        <v>BEARISH</v>
      </c>
      <c r="S4506">
        <f t="shared" si="1906"/>
        <v>-1</v>
      </c>
    </row>
    <row r="4507" spans="1:19" hidden="1" x14ac:dyDescent="0.25">
      <c r="A4507" s="5" t="str">
        <f t="shared" si="1907"/>
        <v>44099UST2Y</v>
      </c>
      <c r="B4507" s="6" t="s">
        <v>162</v>
      </c>
      <c r="C4507" s="6">
        <v>0.15</v>
      </c>
      <c r="D4507" s="6">
        <v>0.1</v>
      </c>
      <c r="E4507" s="6">
        <v>0.14000000000000001</v>
      </c>
      <c r="F4507" t="str">
        <f t="shared" ref="F4507:F4537" si="1908">UPPER(TEXT(G4507,"ddd"))</f>
        <v>FRI</v>
      </c>
      <c r="G4507" s="1">
        <f t="shared" ref="G4507:G4536" si="1909">DATE(2020,9,25)</f>
        <v>44099</v>
      </c>
      <c r="H4507" s="2">
        <f t="shared" ref="H4507:H4537" ca="1" si="1910">TODAY()-G4507</f>
        <v>154</v>
      </c>
      <c r="I4507" t="str">
        <f t="shared" ref="I4507:I4537" si="1911">TRIM(LEFT(B4507,FIND(" ",B4507,1)))</f>
        <v>UST2Y</v>
      </c>
      <c r="J4507">
        <f t="shared" ref="J4507:J4537" si="1912">C4507</f>
        <v>0.15</v>
      </c>
      <c r="K4507">
        <f t="shared" ref="K4507:K4537" si="1913">D4507</f>
        <v>0.1</v>
      </c>
      <c r="L4507">
        <f t="shared" ref="L4507:L4537" si="1914">AVERAGE(J4507:K4507)</f>
        <v>0.125</v>
      </c>
      <c r="M4507">
        <f t="shared" ref="M4507:M4537" si="1915">_xlfn.STDEV.P(J4507:K4507)</f>
        <v>2.5000000000000012E-2</v>
      </c>
      <c r="N4507">
        <f t="shared" si="1904"/>
        <v>4.9999999999999989E-2</v>
      </c>
      <c r="O4507">
        <f t="shared" ref="O4507:O4537" si="1916">E4507</f>
        <v>0.14000000000000001</v>
      </c>
      <c r="P4507">
        <f t="shared" ref="P4507:P4537" si="1917">(O4507-L4507)/M4507</f>
        <v>0.6000000000000002</v>
      </c>
      <c r="Q4507" t="str">
        <f t="shared" si="1905"/>
        <v>7.14% | 28.57%</v>
      </c>
      <c r="R4507" t="str">
        <f t="shared" ref="R4507:R4537" si="1918">MID(B4507,FIND("(",B4507,1)+1,FIND(")",B4507,1)-FIND("(",B4507,1)-1)</f>
        <v>BEARISH</v>
      </c>
      <c r="S4507">
        <f t="shared" si="1906"/>
        <v>-1</v>
      </c>
    </row>
    <row r="4508" spans="1:19" hidden="1" x14ac:dyDescent="0.25">
      <c r="A4508" s="5" t="str">
        <f t="shared" si="1907"/>
        <v>44099SPX</v>
      </c>
      <c r="B4508" s="6" t="s">
        <v>211</v>
      </c>
      <c r="C4508" s="6">
        <v>3201</v>
      </c>
      <c r="D4508" s="6">
        <v>3353</v>
      </c>
      <c r="E4508" s="6">
        <v>3246</v>
      </c>
      <c r="F4508" t="str">
        <f t="shared" si="1908"/>
        <v>FRI</v>
      </c>
      <c r="G4508" s="1">
        <f t="shared" si="1909"/>
        <v>44099</v>
      </c>
      <c r="H4508" s="2">
        <f t="shared" ca="1" si="1910"/>
        <v>154</v>
      </c>
      <c r="I4508" t="str">
        <f t="shared" si="1911"/>
        <v>SPX</v>
      </c>
      <c r="J4508">
        <f t="shared" si="1912"/>
        <v>3201</v>
      </c>
      <c r="K4508">
        <f t="shared" si="1913"/>
        <v>3353</v>
      </c>
      <c r="L4508">
        <f t="shared" si="1914"/>
        <v>3277</v>
      </c>
      <c r="M4508">
        <f t="shared" si="1915"/>
        <v>76</v>
      </c>
      <c r="N4508">
        <f t="shared" si="1904"/>
        <v>152</v>
      </c>
      <c r="O4508">
        <f t="shared" si="1916"/>
        <v>3246</v>
      </c>
      <c r="P4508">
        <f t="shared" si="1917"/>
        <v>-0.40789473684210525</v>
      </c>
      <c r="Q4508" t="str">
        <f t="shared" si="1905"/>
        <v>1.39% | 3.3%</v>
      </c>
      <c r="R4508" t="str">
        <f t="shared" si="1918"/>
        <v>BEARISH</v>
      </c>
      <c r="S4508">
        <f t="shared" si="1906"/>
        <v>-1</v>
      </c>
    </row>
    <row r="4509" spans="1:19" hidden="1" x14ac:dyDescent="0.25">
      <c r="A4509" s="5" t="str">
        <f t="shared" si="1907"/>
        <v>44099RUT</v>
      </c>
      <c r="B4509" s="6" t="s">
        <v>164</v>
      </c>
      <c r="C4509" s="6">
        <v>1434</v>
      </c>
      <c r="D4509" s="6">
        <v>1512</v>
      </c>
      <c r="E4509" s="6">
        <v>1451</v>
      </c>
      <c r="F4509" t="str">
        <f t="shared" si="1908"/>
        <v>FRI</v>
      </c>
      <c r="G4509" s="1">
        <f t="shared" si="1909"/>
        <v>44099</v>
      </c>
      <c r="H4509" s="2">
        <f t="shared" ca="1" si="1910"/>
        <v>154</v>
      </c>
      <c r="I4509" t="str">
        <f t="shared" si="1911"/>
        <v>RUT</v>
      </c>
      <c r="J4509">
        <f t="shared" si="1912"/>
        <v>1434</v>
      </c>
      <c r="K4509">
        <f t="shared" si="1913"/>
        <v>1512</v>
      </c>
      <c r="L4509">
        <f t="shared" si="1914"/>
        <v>1473</v>
      </c>
      <c r="M4509">
        <f t="shared" si="1915"/>
        <v>39</v>
      </c>
      <c r="N4509">
        <f t="shared" si="1904"/>
        <v>78</v>
      </c>
      <c r="O4509">
        <f t="shared" si="1916"/>
        <v>1451</v>
      </c>
      <c r="P4509">
        <f t="shared" si="1917"/>
        <v>-0.5641025641025641</v>
      </c>
      <c r="Q4509" t="str">
        <f t="shared" si="1905"/>
        <v>1.17% | 4.2%</v>
      </c>
      <c r="R4509" t="str">
        <f t="shared" si="1918"/>
        <v>BEARISH</v>
      </c>
      <c r="S4509">
        <f t="shared" si="1906"/>
        <v>-1</v>
      </c>
    </row>
    <row r="4510" spans="1:19" hidden="1" x14ac:dyDescent="0.25">
      <c r="A4510" s="5" t="str">
        <f t="shared" si="1907"/>
        <v>44099COMPQ</v>
      </c>
      <c r="B4510" s="6" t="s">
        <v>217</v>
      </c>
      <c r="C4510" s="6">
        <v>10508</v>
      </c>
      <c r="D4510" s="6">
        <v>11038</v>
      </c>
      <c r="E4510" s="6">
        <v>10672</v>
      </c>
      <c r="F4510" t="str">
        <f t="shared" si="1908"/>
        <v>FRI</v>
      </c>
      <c r="G4510" s="1">
        <f t="shared" si="1909"/>
        <v>44099</v>
      </c>
      <c r="H4510" s="2">
        <f t="shared" ca="1" si="1910"/>
        <v>154</v>
      </c>
      <c r="I4510" t="str">
        <f t="shared" si="1911"/>
        <v>COMPQ</v>
      </c>
      <c r="J4510">
        <f t="shared" si="1912"/>
        <v>10508</v>
      </c>
      <c r="K4510">
        <f t="shared" si="1913"/>
        <v>11038</v>
      </c>
      <c r="L4510">
        <f t="shared" si="1914"/>
        <v>10773</v>
      </c>
      <c r="M4510">
        <f t="shared" si="1915"/>
        <v>265</v>
      </c>
      <c r="N4510">
        <f t="shared" si="1904"/>
        <v>530</v>
      </c>
      <c r="O4510">
        <f t="shared" si="1916"/>
        <v>10672</v>
      </c>
      <c r="P4510">
        <f t="shared" si="1917"/>
        <v>-0.38113207547169814</v>
      </c>
      <c r="Q4510" t="str">
        <f t="shared" si="1905"/>
        <v>1.54% | 3.43%</v>
      </c>
      <c r="R4510" t="str">
        <f t="shared" si="1918"/>
        <v>BEARISH</v>
      </c>
      <c r="S4510">
        <f t="shared" si="1906"/>
        <v>-1</v>
      </c>
    </row>
    <row r="4511" spans="1:19" hidden="1" x14ac:dyDescent="0.25">
      <c r="A4511" s="5" t="str">
        <f t="shared" si="1907"/>
        <v>44099XLK</v>
      </c>
      <c r="B4511" s="6" t="s">
        <v>203</v>
      </c>
      <c r="C4511" s="6">
        <v>109.28</v>
      </c>
      <c r="D4511" s="6">
        <v>116.85</v>
      </c>
      <c r="E4511" s="6">
        <v>111.28</v>
      </c>
      <c r="F4511" t="str">
        <f t="shared" si="1908"/>
        <v>FRI</v>
      </c>
      <c r="G4511" s="1">
        <f t="shared" si="1909"/>
        <v>44099</v>
      </c>
      <c r="H4511" s="2">
        <f t="shared" ca="1" si="1910"/>
        <v>154</v>
      </c>
      <c r="I4511" t="str">
        <f t="shared" si="1911"/>
        <v>XLK</v>
      </c>
      <c r="J4511">
        <f t="shared" si="1912"/>
        <v>109.28</v>
      </c>
      <c r="K4511">
        <f t="shared" si="1913"/>
        <v>116.85</v>
      </c>
      <c r="L4511">
        <f t="shared" si="1914"/>
        <v>113.065</v>
      </c>
      <c r="M4511">
        <f t="shared" si="1915"/>
        <v>3.7849999999999966</v>
      </c>
      <c r="N4511">
        <f t="shared" si="1904"/>
        <v>7.5699999999999932</v>
      </c>
      <c r="O4511">
        <f t="shared" si="1916"/>
        <v>111.28</v>
      </c>
      <c r="P4511">
        <f t="shared" si="1917"/>
        <v>-0.47159841479524389</v>
      </c>
      <c r="Q4511" t="str">
        <f t="shared" si="1905"/>
        <v>1.8% | 5.01%</v>
      </c>
      <c r="R4511" t="str">
        <f t="shared" si="1918"/>
        <v>NEUTRAL</v>
      </c>
      <c r="S4511">
        <f t="shared" si="1906"/>
        <v>0</v>
      </c>
    </row>
    <row r="4512" spans="1:19" hidden="1" x14ac:dyDescent="0.25">
      <c r="A4512" s="5" t="str">
        <f t="shared" si="1907"/>
        <v>44099XLRE</v>
      </c>
      <c r="B4512" s="6" t="s">
        <v>225</v>
      </c>
      <c r="C4512" s="6">
        <v>33.21</v>
      </c>
      <c r="D4512" s="6">
        <v>35.479999999999997</v>
      </c>
      <c r="E4512" s="6">
        <v>34.01</v>
      </c>
      <c r="F4512" t="str">
        <f t="shared" si="1908"/>
        <v>FRI</v>
      </c>
      <c r="G4512" s="1">
        <f t="shared" si="1909"/>
        <v>44099</v>
      </c>
      <c r="H4512" s="2">
        <f t="shared" ca="1" si="1910"/>
        <v>154</v>
      </c>
      <c r="I4512" t="str">
        <f t="shared" si="1911"/>
        <v>XLRE</v>
      </c>
      <c r="J4512">
        <f t="shared" si="1912"/>
        <v>33.21</v>
      </c>
      <c r="K4512">
        <f t="shared" si="1913"/>
        <v>35.479999999999997</v>
      </c>
      <c r="L4512">
        <f t="shared" si="1914"/>
        <v>34.344999999999999</v>
      </c>
      <c r="M4512">
        <f t="shared" si="1915"/>
        <v>1.134999999999998</v>
      </c>
      <c r="N4512">
        <f t="shared" si="1904"/>
        <v>2.269999999999996</v>
      </c>
      <c r="O4512">
        <f t="shared" si="1916"/>
        <v>34.01</v>
      </c>
      <c r="P4512">
        <f t="shared" si="1917"/>
        <v>-0.29515418502202773</v>
      </c>
      <c r="Q4512" t="str">
        <f t="shared" si="1905"/>
        <v>2.35% | 4.32%</v>
      </c>
      <c r="R4512" t="str">
        <f t="shared" si="1918"/>
        <v>BEARISH</v>
      </c>
      <c r="S4512">
        <f t="shared" si="1906"/>
        <v>-1</v>
      </c>
    </row>
    <row r="4513" spans="1:19" hidden="1" x14ac:dyDescent="0.25">
      <c r="A4513" s="5" t="str">
        <f t="shared" si="1907"/>
        <v>44099XLU</v>
      </c>
      <c r="B4513" s="6" t="s">
        <v>204</v>
      </c>
      <c r="C4513" s="6">
        <v>56.42</v>
      </c>
      <c r="D4513" s="6">
        <v>60.02</v>
      </c>
      <c r="E4513" s="6">
        <v>57.77</v>
      </c>
      <c r="F4513" t="str">
        <f t="shared" si="1908"/>
        <v>FRI</v>
      </c>
      <c r="G4513" s="1">
        <f t="shared" si="1909"/>
        <v>44099</v>
      </c>
      <c r="H4513" s="2">
        <f t="shared" ca="1" si="1910"/>
        <v>154</v>
      </c>
      <c r="I4513" t="str">
        <f t="shared" si="1911"/>
        <v>XLU</v>
      </c>
      <c r="J4513">
        <f t="shared" si="1912"/>
        <v>56.42</v>
      </c>
      <c r="K4513">
        <f t="shared" si="1913"/>
        <v>60.02</v>
      </c>
      <c r="L4513">
        <f t="shared" si="1914"/>
        <v>58.22</v>
      </c>
      <c r="M4513">
        <f t="shared" si="1915"/>
        <v>1.8000000000000007</v>
      </c>
      <c r="N4513">
        <f t="shared" si="1904"/>
        <v>3.6000000000000014</v>
      </c>
      <c r="O4513">
        <f t="shared" si="1916"/>
        <v>57.77</v>
      </c>
      <c r="P4513">
        <f t="shared" si="1917"/>
        <v>-0.24999999999999753</v>
      </c>
      <c r="Q4513" t="str">
        <f t="shared" si="1905"/>
        <v>2.34% | 3.89%</v>
      </c>
      <c r="R4513" t="str">
        <f t="shared" si="1918"/>
        <v>NEUTRAL</v>
      </c>
      <c r="S4513">
        <f t="shared" si="1906"/>
        <v>0</v>
      </c>
    </row>
    <row r="4514" spans="1:19" hidden="1" x14ac:dyDescent="0.25">
      <c r="A4514" s="5" t="str">
        <f t="shared" si="1907"/>
        <v>44099XLF</v>
      </c>
      <c r="B4514" s="6" t="s">
        <v>169</v>
      </c>
      <c r="C4514" s="6">
        <v>22.62</v>
      </c>
      <c r="D4514" s="6">
        <v>24.38</v>
      </c>
      <c r="E4514" s="6">
        <v>23.25</v>
      </c>
      <c r="F4514" t="str">
        <f t="shared" si="1908"/>
        <v>FRI</v>
      </c>
      <c r="G4514" s="1">
        <f t="shared" si="1909"/>
        <v>44099</v>
      </c>
      <c r="H4514" s="2">
        <f t="shared" ca="1" si="1910"/>
        <v>154</v>
      </c>
      <c r="I4514" t="str">
        <f t="shared" si="1911"/>
        <v>XLF</v>
      </c>
      <c r="J4514">
        <f t="shared" si="1912"/>
        <v>22.62</v>
      </c>
      <c r="K4514">
        <f t="shared" si="1913"/>
        <v>24.38</v>
      </c>
      <c r="L4514">
        <f t="shared" si="1914"/>
        <v>23.5</v>
      </c>
      <c r="M4514">
        <f t="shared" si="1915"/>
        <v>0.87999999999999901</v>
      </c>
      <c r="N4514">
        <f t="shared" si="1904"/>
        <v>1.759999999999998</v>
      </c>
      <c r="O4514">
        <f t="shared" si="1916"/>
        <v>23.25</v>
      </c>
      <c r="P4514">
        <f t="shared" si="1917"/>
        <v>-0.28409090909090939</v>
      </c>
      <c r="Q4514" t="str">
        <f t="shared" si="1905"/>
        <v>2.71% | 4.86%</v>
      </c>
      <c r="R4514" t="str">
        <f t="shared" si="1918"/>
        <v>BEARISH</v>
      </c>
      <c r="S4514">
        <f t="shared" si="1906"/>
        <v>-1</v>
      </c>
    </row>
    <row r="4515" spans="1:19" hidden="1" x14ac:dyDescent="0.25">
      <c r="A4515" s="5" t="str">
        <f t="shared" si="1907"/>
        <v>44099SSEC</v>
      </c>
      <c r="B4515" s="6" t="s">
        <v>170</v>
      </c>
      <c r="C4515" s="6">
        <v>3204</v>
      </c>
      <c r="D4515" s="6">
        <v>3354</v>
      </c>
      <c r="E4515" s="6">
        <v>3219</v>
      </c>
      <c r="F4515" t="str">
        <f t="shared" si="1908"/>
        <v>FRI</v>
      </c>
      <c r="G4515" s="1">
        <f t="shared" si="1909"/>
        <v>44099</v>
      </c>
      <c r="H4515" s="2">
        <f t="shared" ca="1" si="1910"/>
        <v>154</v>
      </c>
      <c r="I4515" t="str">
        <f t="shared" si="1911"/>
        <v>SSEC</v>
      </c>
      <c r="J4515">
        <f t="shared" si="1912"/>
        <v>3204</v>
      </c>
      <c r="K4515">
        <f t="shared" si="1913"/>
        <v>3354</v>
      </c>
      <c r="L4515">
        <f t="shared" si="1914"/>
        <v>3279</v>
      </c>
      <c r="M4515">
        <f t="shared" si="1915"/>
        <v>75</v>
      </c>
      <c r="N4515">
        <f t="shared" si="1904"/>
        <v>150</v>
      </c>
      <c r="O4515">
        <f t="shared" si="1916"/>
        <v>3219</v>
      </c>
      <c r="P4515">
        <f t="shared" si="1917"/>
        <v>-0.8</v>
      </c>
      <c r="Q4515" t="str">
        <f t="shared" si="1905"/>
        <v>0.47% | 4.19%</v>
      </c>
      <c r="R4515" t="str">
        <f t="shared" si="1918"/>
        <v>BULLISH</v>
      </c>
      <c r="S4515">
        <f t="shared" si="1906"/>
        <v>1</v>
      </c>
    </row>
    <row r="4516" spans="1:19" hidden="1" x14ac:dyDescent="0.25">
      <c r="A4516" s="5" t="str">
        <f t="shared" si="1907"/>
        <v>44099NIKK</v>
      </c>
      <c r="B4516" s="6" t="s">
        <v>201</v>
      </c>
      <c r="C4516" s="6">
        <v>23047</v>
      </c>
      <c r="D4516" s="6">
        <v>23643</v>
      </c>
      <c r="E4516" s="6">
        <v>23204</v>
      </c>
      <c r="F4516" t="str">
        <f t="shared" si="1908"/>
        <v>FRI</v>
      </c>
      <c r="G4516" s="1">
        <f t="shared" si="1909"/>
        <v>44099</v>
      </c>
      <c r="H4516" s="2">
        <f t="shared" ca="1" si="1910"/>
        <v>154</v>
      </c>
      <c r="I4516" t="str">
        <f t="shared" si="1911"/>
        <v>NIKK</v>
      </c>
      <c r="J4516">
        <f t="shared" si="1912"/>
        <v>23047</v>
      </c>
      <c r="K4516">
        <f t="shared" si="1913"/>
        <v>23643</v>
      </c>
      <c r="L4516">
        <f t="shared" si="1914"/>
        <v>23345</v>
      </c>
      <c r="M4516">
        <f t="shared" si="1915"/>
        <v>298</v>
      </c>
      <c r="N4516">
        <f t="shared" si="1904"/>
        <v>596</v>
      </c>
      <c r="O4516">
        <f t="shared" si="1916"/>
        <v>23204</v>
      </c>
      <c r="P4516">
        <f t="shared" si="1917"/>
        <v>-0.47315436241610737</v>
      </c>
      <c r="Q4516" t="str">
        <f t="shared" si="1905"/>
        <v>0.68% | 1.89%</v>
      </c>
      <c r="R4516" t="str">
        <f t="shared" si="1918"/>
        <v>BULLISH</v>
      </c>
      <c r="S4516">
        <f t="shared" si="1906"/>
        <v>1</v>
      </c>
    </row>
    <row r="4517" spans="1:19" hidden="1" x14ac:dyDescent="0.25">
      <c r="A4517" s="5" t="str">
        <f t="shared" si="1907"/>
        <v>44099DAX</v>
      </c>
      <c r="B4517" s="6" t="s">
        <v>227</v>
      </c>
      <c r="C4517" s="6">
        <v>12307</v>
      </c>
      <c r="D4517" s="6">
        <v>12933</v>
      </c>
      <c r="E4517" s="6">
        <v>12606</v>
      </c>
      <c r="F4517" t="str">
        <f t="shared" si="1908"/>
        <v>FRI</v>
      </c>
      <c r="G4517" s="1">
        <f t="shared" si="1909"/>
        <v>44099</v>
      </c>
      <c r="H4517" s="2">
        <f t="shared" ca="1" si="1910"/>
        <v>154</v>
      </c>
      <c r="I4517" t="str">
        <f t="shared" si="1911"/>
        <v>DAX</v>
      </c>
      <c r="J4517">
        <f t="shared" si="1912"/>
        <v>12307</v>
      </c>
      <c r="K4517">
        <f t="shared" si="1913"/>
        <v>12933</v>
      </c>
      <c r="L4517">
        <f t="shared" si="1914"/>
        <v>12620</v>
      </c>
      <c r="M4517">
        <f t="shared" si="1915"/>
        <v>313</v>
      </c>
      <c r="N4517">
        <f t="shared" si="1904"/>
        <v>626</v>
      </c>
      <c r="O4517">
        <f t="shared" si="1916"/>
        <v>12606</v>
      </c>
      <c r="P4517">
        <f t="shared" si="1917"/>
        <v>-4.472843450479233E-2</v>
      </c>
      <c r="Q4517" t="str">
        <f t="shared" si="1905"/>
        <v>2.37% | 2.59%</v>
      </c>
      <c r="R4517" t="str">
        <f t="shared" si="1918"/>
        <v>BEARISH</v>
      </c>
      <c r="S4517">
        <f t="shared" si="1906"/>
        <v>-1</v>
      </c>
    </row>
    <row r="4518" spans="1:19" hidden="1" x14ac:dyDescent="0.25">
      <c r="A4518" s="5" t="str">
        <f t="shared" si="1907"/>
        <v>44099VIX</v>
      </c>
      <c r="B4518" s="6" t="s">
        <v>202</v>
      </c>
      <c r="C4518" s="6">
        <v>24.6</v>
      </c>
      <c r="D4518" s="6">
        <v>30.05</v>
      </c>
      <c r="E4518" s="6">
        <v>28.51</v>
      </c>
      <c r="F4518" t="str">
        <f t="shared" si="1908"/>
        <v>FRI</v>
      </c>
      <c r="G4518" s="1">
        <f t="shared" si="1909"/>
        <v>44099</v>
      </c>
      <c r="H4518" s="2">
        <f t="shared" ca="1" si="1910"/>
        <v>154</v>
      </c>
      <c r="I4518" t="str">
        <f t="shared" si="1911"/>
        <v>VIX</v>
      </c>
      <c r="J4518">
        <f t="shared" si="1912"/>
        <v>24.6</v>
      </c>
      <c r="K4518">
        <f t="shared" si="1913"/>
        <v>30.05</v>
      </c>
      <c r="L4518">
        <f t="shared" si="1914"/>
        <v>27.325000000000003</v>
      </c>
      <c r="M4518">
        <f t="shared" si="1915"/>
        <v>2.7249999999999996</v>
      </c>
      <c r="N4518">
        <f t="shared" si="1904"/>
        <v>5.4499999999999993</v>
      </c>
      <c r="O4518">
        <f t="shared" si="1916"/>
        <v>28.51</v>
      </c>
      <c r="P4518">
        <f t="shared" si="1917"/>
        <v>0.4348623853211005</v>
      </c>
      <c r="Q4518" t="str">
        <f t="shared" si="1905"/>
        <v>13.71% | 5.4%</v>
      </c>
      <c r="R4518" t="str">
        <f t="shared" si="1918"/>
        <v>BULLISH</v>
      </c>
      <c r="S4518">
        <f t="shared" si="1906"/>
        <v>1</v>
      </c>
    </row>
    <row r="4519" spans="1:19" hidden="1" x14ac:dyDescent="0.25">
      <c r="A4519" s="5" t="str">
        <f t="shared" si="1907"/>
        <v>44099USD</v>
      </c>
      <c r="B4519" s="6" t="s">
        <v>174</v>
      </c>
      <c r="C4519" s="6">
        <v>92.28</v>
      </c>
      <c r="D4519" s="6">
        <v>94.81</v>
      </c>
      <c r="E4519" s="6">
        <v>94.39</v>
      </c>
      <c r="F4519" t="str">
        <f t="shared" si="1908"/>
        <v>FRI</v>
      </c>
      <c r="G4519" s="1">
        <f t="shared" si="1909"/>
        <v>44099</v>
      </c>
      <c r="H4519" s="2">
        <f t="shared" ca="1" si="1910"/>
        <v>154</v>
      </c>
      <c r="I4519" t="str">
        <f t="shared" si="1911"/>
        <v>USD</v>
      </c>
      <c r="J4519">
        <f t="shared" si="1912"/>
        <v>92.28</v>
      </c>
      <c r="K4519">
        <f t="shared" si="1913"/>
        <v>94.81</v>
      </c>
      <c r="L4519">
        <f t="shared" si="1914"/>
        <v>93.545000000000002</v>
      </c>
      <c r="M4519">
        <f t="shared" si="1915"/>
        <v>1.2650000000000006</v>
      </c>
      <c r="N4519">
        <f t="shared" si="1904"/>
        <v>2.5300000000000011</v>
      </c>
      <c r="O4519">
        <f t="shared" si="1916"/>
        <v>94.39</v>
      </c>
      <c r="P4519">
        <f t="shared" si="1917"/>
        <v>0.66798418972331897</v>
      </c>
      <c r="Q4519" t="str">
        <f t="shared" si="1905"/>
        <v>2.24% | 0.44%</v>
      </c>
      <c r="R4519" t="str">
        <f t="shared" si="1918"/>
        <v>BEARISH</v>
      </c>
      <c r="S4519">
        <f t="shared" si="1906"/>
        <v>-1</v>
      </c>
    </row>
    <row r="4520" spans="1:19" hidden="1" x14ac:dyDescent="0.25">
      <c r="A4520" s="5" t="str">
        <f t="shared" si="1907"/>
        <v>44099EUR/USD</v>
      </c>
      <c r="B4520" s="6" t="s">
        <v>175</v>
      </c>
      <c r="C4520" s="6">
        <v>1.1599999999999999</v>
      </c>
      <c r="D4520" s="6">
        <v>1.19</v>
      </c>
      <c r="E4520" s="6">
        <v>1.1599999999999999</v>
      </c>
      <c r="F4520" t="str">
        <f t="shared" si="1908"/>
        <v>FRI</v>
      </c>
      <c r="G4520" s="1">
        <f t="shared" si="1909"/>
        <v>44099</v>
      </c>
      <c r="H4520" s="2">
        <f t="shared" ca="1" si="1910"/>
        <v>154</v>
      </c>
      <c r="I4520" t="str">
        <f t="shared" si="1911"/>
        <v>EUR/USD</v>
      </c>
      <c r="J4520">
        <f t="shared" si="1912"/>
        <v>1.1599999999999999</v>
      </c>
      <c r="K4520">
        <f t="shared" si="1913"/>
        <v>1.19</v>
      </c>
      <c r="L4520">
        <f t="shared" si="1914"/>
        <v>1.1749999999999998</v>
      </c>
      <c r="M4520">
        <f t="shared" si="1915"/>
        <v>1.5000000000000013E-2</v>
      </c>
      <c r="N4520">
        <f t="shared" si="1904"/>
        <v>3.0000000000000027E-2</v>
      </c>
      <c r="O4520">
        <f t="shared" si="1916"/>
        <v>1.1599999999999999</v>
      </c>
      <c r="P4520">
        <f t="shared" si="1917"/>
        <v>-0.99999999999999256</v>
      </c>
      <c r="Q4520" t="str">
        <f t="shared" si="1905"/>
        <v>0% | 2.59%</v>
      </c>
      <c r="R4520" t="str">
        <f t="shared" si="1918"/>
        <v>BULLISH</v>
      </c>
      <c r="S4520">
        <f t="shared" si="1906"/>
        <v>1</v>
      </c>
    </row>
    <row r="4521" spans="1:19" hidden="1" x14ac:dyDescent="0.25">
      <c r="A4521" s="5" t="str">
        <f t="shared" si="1907"/>
        <v>44099USD/JPY</v>
      </c>
      <c r="B4521" s="6" t="s">
        <v>176</v>
      </c>
      <c r="C4521" s="6">
        <v>104.13</v>
      </c>
      <c r="D4521" s="6">
        <v>105.97</v>
      </c>
      <c r="E4521" s="6">
        <v>105.42</v>
      </c>
      <c r="F4521" t="str">
        <f t="shared" si="1908"/>
        <v>FRI</v>
      </c>
      <c r="G4521" s="1">
        <f t="shared" si="1909"/>
        <v>44099</v>
      </c>
      <c r="H4521" s="2">
        <f t="shared" ca="1" si="1910"/>
        <v>154</v>
      </c>
      <c r="I4521" t="str">
        <f t="shared" si="1911"/>
        <v>USD/JPY</v>
      </c>
      <c r="J4521">
        <f t="shared" si="1912"/>
        <v>104.13</v>
      </c>
      <c r="K4521">
        <f t="shared" si="1913"/>
        <v>105.97</v>
      </c>
      <c r="L4521">
        <f t="shared" si="1914"/>
        <v>105.05</v>
      </c>
      <c r="M4521">
        <f t="shared" si="1915"/>
        <v>0.92000000000000171</v>
      </c>
      <c r="N4521">
        <f t="shared" si="1904"/>
        <v>1.8400000000000034</v>
      </c>
      <c r="O4521">
        <f t="shared" si="1916"/>
        <v>105.42</v>
      </c>
      <c r="P4521">
        <f t="shared" si="1917"/>
        <v>0.40217391304348243</v>
      </c>
      <c r="Q4521" t="str">
        <f t="shared" si="1905"/>
        <v>1.22% | 0.52%</v>
      </c>
      <c r="R4521" t="str">
        <f t="shared" si="1918"/>
        <v>BEARISH</v>
      </c>
      <c r="S4521">
        <f t="shared" si="1906"/>
        <v>-1</v>
      </c>
    </row>
    <row r="4522" spans="1:19" hidden="1" x14ac:dyDescent="0.25">
      <c r="A4522" s="5" t="str">
        <f t="shared" si="1907"/>
        <v>44099GBP/USD</v>
      </c>
      <c r="B4522" s="6" t="s">
        <v>228</v>
      </c>
      <c r="C4522" s="6">
        <v>1.26</v>
      </c>
      <c r="D4522" s="6">
        <v>1.29</v>
      </c>
      <c r="E4522" s="6">
        <v>1.27</v>
      </c>
      <c r="F4522" t="str">
        <f t="shared" si="1908"/>
        <v>FRI</v>
      </c>
      <c r="G4522" s="1">
        <f t="shared" si="1909"/>
        <v>44099</v>
      </c>
      <c r="H4522" s="2">
        <f t="shared" ca="1" si="1910"/>
        <v>154</v>
      </c>
      <c r="I4522" t="str">
        <f t="shared" si="1911"/>
        <v>GBP/USD</v>
      </c>
      <c r="J4522">
        <f t="shared" si="1912"/>
        <v>1.26</v>
      </c>
      <c r="K4522">
        <f t="shared" si="1913"/>
        <v>1.29</v>
      </c>
      <c r="L4522">
        <f t="shared" si="1914"/>
        <v>1.2749999999999999</v>
      </c>
      <c r="M4522">
        <f t="shared" si="1915"/>
        <v>1.5000000000000013E-2</v>
      </c>
      <c r="N4522">
        <f t="shared" si="1904"/>
        <v>3.0000000000000027E-2</v>
      </c>
      <c r="O4522">
        <f t="shared" si="1916"/>
        <v>1.27</v>
      </c>
      <c r="P4522">
        <f t="shared" si="1917"/>
        <v>-0.33333333333332593</v>
      </c>
      <c r="Q4522" t="str">
        <f t="shared" si="1905"/>
        <v>0.79% | 1.57%</v>
      </c>
      <c r="R4522" t="str">
        <f t="shared" si="1918"/>
        <v>BEARISH</v>
      </c>
      <c r="S4522">
        <f t="shared" si="1906"/>
        <v>-1</v>
      </c>
    </row>
    <row r="4523" spans="1:19" hidden="1" x14ac:dyDescent="0.25">
      <c r="A4523" s="5" t="str">
        <f t="shared" si="1907"/>
        <v>44099USD/CHF</v>
      </c>
      <c r="B4523" s="6" t="s">
        <v>178</v>
      </c>
      <c r="C4523" s="6">
        <v>0.9</v>
      </c>
      <c r="D4523" s="6">
        <v>0.93</v>
      </c>
      <c r="E4523" s="6">
        <v>0.92</v>
      </c>
      <c r="F4523" t="str">
        <f t="shared" si="1908"/>
        <v>FRI</v>
      </c>
      <c r="G4523" s="1">
        <f t="shared" si="1909"/>
        <v>44099</v>
      </c>
      <c r="H4523" s="2">
        <f t="shared" ca="1" si="1910"/>
        <v>154</v>
      </c>
      <c r="I4523" t="str">
        <f t="shared" si="1911"/>
        <v>USD/CHF</v>
      </c>
      <c r="J4523">
        <f t="shared" si="1912"/>
        <v>0.9</v>
      </c>
      <c r="K4523">
        <f t="shared" si="1913"/>
        <v>0.93</v>
      </c>
      <c r="L4523">
        <f t="shared" si="1914"/>
        <v>0.91500000000000004</v>
      </c>
      <c r="M4523">
        <f t="shared" si="1915"/>
        <v>1.5000000000000013E-2</v>
      </c>
      <c r="N4523">
        <f t="shared" si="1904"/>
        <v>3.0000000000000027E-2</v>
      </c>
      <c r="O4523">
        <f t="shared" si="1916"/>
        <v>0.92</v>
      </c>
      <c r="P4523">
        <f t="shared" si="1917"/>
        <v>0.33333333333333331</v>
      </c>
      <c r="Q4523" t="str">
        <f t="shared" si="1905"/>
        <v>2.17% | 1.09%</v>
      </c>
      <c r="R4523" t="str">
        <f t="shared" si="1918"/>
        <v>BEARISH</v>
      </c>
      <c r="S4523">
        <f t="shared" si="1906"/>
        <v>-1</v>
      </c>
    </row>
    <row r="4524" spans="1:19" hidden="1" x14ac:dyDescent="0.25">
      <c r="A4524" s="5" t="str">
        <f t="shared" si="1907"/>
        <v>44099WTIC</v>
      </c>
      <c r="B4524" s="6" t="s">
        <v>205</v>
      </c>
      <c r="C4524" s="6">
        <v>37.36</v>
      </c>
      <c r="D4524" s="6">
        <v>42.22</v>
      </c>
      <c r="E4524" s="6">
        <v>40.31</v>
      </c>
      <c r="F4524" t="str">
        <f t="shared" si="1908"/>
        <v>FRI</v>
      </c>
      <c r="G4524" s="1">
        <f t="shared" si="1909"/>
        <v>44099</v>
      </c>
      <c r="H4524" s="2">
        <f t="shared" ca="1" si="1910"/>
        <v>154</v>
      </c>
      <c r="I4524" t="str">
        <f t="shared" si="1911"/>
        <v>WTIC</v>
      </c>
      <c r="J4524">
        <f t="shared" si="1912"/>
        <v>37.36</v>
      </c>
      <c r="K4524">
        <f t="shared" si="1913"/>
        <v>42.22</v>
      </c>
      <c r="L4524">
        <f t="shared" si="1914"/>
        <v>39.79</v>
      </c>
      <c r="M4524">
        <f t="shared" si="1915"/>
        <v>2.4299999999999997</v>
      </c>
      <c r="N4524">
        <f t="shared" si="1904"/>
        <v>4.8599999999999994</v>
      </c>
      <c r="O4524">
        <f t="shared" si="1916"/>
        <v>40.31</v>
      </c>
      <c r="P4524">
        <f t="shared" si="1917"/>
        <v>0.2139917695473264</v>
      </c>
      <c r="Q4524" t="str">
        <f t="shared" si="1905"/>
        <v>7.32% | 4.74%</v>
      </c>
      <c r="R4524" t="str">
        <f t="shared" si="1918"/>
        <v>NEUTRAL</v>
      </c>
      <c r="S4524">
        <f t="shared" si="1906"/>
        <v>0</v>
      </c>
    </row>
    <row r="4525" spans="1:19" hidden="1" x14ac:dyDescent="0.25">
      <c r="A4525" s="5" t="str">
        <f t="shared" si="1907"/>
        <v>44099NATGAS</v>
      </c>
      <c r="B4525" s="6" t="s">
        <v>180</v>
      </c>
      <c r="C4525" s="6">
        <v>1.86</v>
      </c>
      <c r="D4525" s="6">
        <v>2.99</v>
      </c>
      <c r="E4525" s="6">
        <v>2.9</v>
      </c>
      <c r="F4525" t="str">
        <f t="shared" si="1908"/>
        <v>FRI</v>
      </c>
      <c r="G4525" s="1">
        <f t="shared" si="1909"/>
        <v>44099</v>
      </c>
      <c r="H4525" s="2">
        <f t="shared" ca="1" si="1910"/>
        <v>154</v>
      </c>
      <c r="I4525" t="str">
        <f t="shared" si="1911"/>
        <v>NATGAS</v>
      </c>
      <c r="J4525">
        <f t="shared" si="1912"/>
        <v>1.86</v>
      </c>
      <c r="K4525">
        <f t="shared" si="1913"/>
        <v>2.99</v>
      </c>
      <c r="L4525">
        <f t="shared" si="1914"/>
        <v>2.4250000000000003</v>
      </c>
      <c r="M4525">
        <f t="shared" si="1915"/>
        <v>0.5649999999999995</v>
      </c>
      <c r="N4525">
        <f t="shared" si="1904"/>
        <v>1.1300000000000001</v>
      </c>
      <c r="O4525">
        <f t="shared" si="1916"/>
        <v>2.9</v>
      </c>
      <c r="P4525">
        <f t="shared" si="1917"/>
        <v>0.84070796460177</v>
      </c>
      <c r="Q4525" t="str">
        <f t="shared" si="1905"/>
        <v>35.86% | 3.1%</v>
      </c>
      <c r="R4525" t="str">
        <f t="shared" si="1918"/>
        <v>BULLISH</v>
      </c>
      <c r="S4525">
        <f t="shared" si="1906"/>
        <v>1</v>
      </c>
    </row>
    <row r="4526" spans="1:19" hidden="1" x14ac:dyDescent="0.25">
      <c r="A4526" s="5" t="str">
        <f t="shared" si="1907"/>
        <v>44099GOLD</v>
      </c>
      <c r="B4526" s="6" t="s">
        <v>181</v>
      </c>
      <c r="C4526" s="6">
        <v>1853</v>
      </c>
      <c r="D4526" s="6">
        <v>2004</v>
      </c>
      <c r="E4526" s="6">
        <v>1876</v>
      </c>
      <c r="F4526" t="str">
        <f t="shared" si="1908"/>
        <v>FRI</v>
      </c>
      <c r="G4526" s="1">
        <f t="shared" si="1909"/>
        <v>44099</v>
      </c>
      <c r="H4526" s="2">
        <f t="shared" ca="1" si="1910"/>
        <v>154</v>
      </c>
      <c r="I4526" t="str">
        <f t="shared" si="1911"/>
        <v>GOLD</v>
      </c>
      <c r="J4526">
        <f t="shared" si="1912"/>
        <v>1853</v>
      </c>
      <c r="K4526">
        <f t="shared" si="1913"/>
        <v>2004</v>
      </c>
      <c r="L4526">
        <f t="shared" si="1914"/>
        <v>1928.5</v>
      </c>
      <c r="M4526">
        <f t="shared" si="1915"/>
        <v>75.5</v>
      </c>
      <c r="N4526">
        <f t="shared" si="1904"/>
        <v>151</v>
      </c>
      <c r="O4526">
        <f t="shared" si="1916"/>
        <v>1876</v>
      </c>
      <c r="P4526">
        <f t="shared" si="1917"/>
        <v>-0.69536423841059603</v>
      </c>
      <c r="Q4526" t="str">
        <f t="shared" si="1905"/>
        <v>1.23% | 6.82%</v>
      </c>
      <c r="R4526" t="str">
        <f t="shared" si="1918"/>
        <v>BULLISH</v>
      </c>
      <c r="S4526">
        <f t="shared" si="1906"/>
        <v>1</v>
      </c>
    </row>
    <row r="4527" spans="1:19" hidden="1" x14ac:dyDescent="0.25">
      <c r="A4527" s="5" t="str">
        <f t="shared" si="1907"/>
        <v>44099SILVER</v>
      </c>
      <c r="B4527" s="6" t="s">
        <v>231</v>
      </c>
      <c r="C4527" s="6">
        <v>22.05</v>
      </c>
      <c r="D4527" s="6">
        <v>29.14</v>
      </c>
      <c r="E4527" s="6">
        <v>23.2</v>
      </c>
      <c r="F4527" t="str">
        <f t="shared" si="1908"/>
        <v>FRI</v>
      </c>
      <c r="G4527" s="1">
        <f t="shared" si="1909"/>
        <v>44099</v>
      </c>
      <c r="H4527" s="2">
        <f t="shared" ca="1" si="1910"/>
        <v>154</v>
      </c>
      <c r="I4527" t="str">
        <f t="shared" si="1911"/>
        <v>SILVER</v>
      </c>
      <c r="J4527">
        <f t="shared" si="1912"/>
        <v>22.05</v>
      </c>
      <c r="K4527">
        <f t="shared" si="1913"/>
        <v>29.14</v>
      </c>
      <c r="L4527">
        <f t="shared" si="1914"/>
        <v>25.594999999999999</v>
      </c>
      <c r="M4527">
        <f t="shared" si="1915"/>
        <v>3.5450000000000084</v>
      </c>
      <c r="N4527">
        <f t="shared" si="1904"/>
        <v>7.09</v>
      </c>
      <c r="O4527">
        <f t="shared" si="1916"/>
        <v>23.2</v>
      </c>
      <c r="P4527">
        <f t="shared" si="1917"/>
        <v>-0.67559943582510407</v>
      </c>
      <c r="Q4527" t="str">
        <f t="shared" si="1905"/>
        <v>4.96% | 25.6%</v>
      </c>
      <c r="R4527" t="str">
        <f t="shared" si="1918"/>
        <v>NEUTRAL</v>
      </c>
      <c r="S4527">
        <f t="shared" si="1906"/>
        <v>0</v>
      </c>
    </row>
    <row r="4528" spans="1:19" hidden="1" x14ac:dyDescent="0.25">
      <c r="A4528" s="5" t="str">
        <f t="shared" si="1907"/>
        <v>44099COPPER</v>
      </c>
      <c r="B4528" s="6" t="s">
        <v>182</v>
      </c>
      <c r="C4528" s="6">
        <v>2.94</v>
      </c>
      <c r="D4528" s="6">
        <v>3.12</v>
      </c>
      <c r="E4528" s="6">
        <v>2.97</v>
      </c>
      <c r="F4528" t="str">
        <f t="shared" si="1908"/>
        <v>FRI</v>
      </c>
      <c r="G4528" s="1">
        <f t="shared" si="1909"/>
        <v>44099</v>
      </c>
      <c r="H4528" s="2">
        <f t="shared" ca="1" si="1910"/>
        <v>154</v>
      </c>
      <c r="I4528" t="str">
        <f t="shared" si="1911"/>
        <v>COPPER</v>
      </c>
      <c r="J4528">
        <f t="shared" si="1912"/>
        <v>2.94</v>
      </c>
      <c r="K4528">
        <f t="shared" si="1913"/>
        <v>3.12</v>
      </c>
      <c r="L4528">
        <f t="shared" si="1914"/>
        <v>3.0300000000000002</v>
      </c>
      <c r="M4528">
        <f t="shared" si="1915"/>
        <v>9.000000000000008E-2</v>
      </c>
      <c r="N4528">
        <f t="shared" si="1904"/>
        <v>0.18000000000000016</v>
      </c>
      <c r="O4528">
        <f t="shared" si="1916"/>
        <v>2.97</v>
      </c>
      <c r="P4528">
        <f t="shared" si="1917"/>
        <v>-0.66666666666666663</v>
      </c>
      <c r="Q4528" t="str">
        <f t="shared" si="1905"/>
        <v>1.01% | 5.05%</v>
      </c>
      <c r="R4528" t="str">
        <f t="shared" si="1918"/>
        <v>BULLISH</v>
      </c>
      <c r="S4528">
        <f t="shared" si="1906"/>
        <v>1</v>
      </c>
    </row>
    <row r="4529" spans="1:19" hidden="1" x14ac:dyDescent="0.25">
      <c r="A4529" s="5" t="str">
        <f t="shared" si="1907"/>
        <v>44099MSFT</v>
      </c>
      <c r="B4529" s="6" t="s">
        <v>219</v>
      </c>
      <c r="C4529" s="6">
        <v>197</v>
      </c>
      <c r="D4529" s="6">
        <v>210</v>
      </c>
      <c r="E4529" s="6">
        <v>203</v>
      </c>
      <c r="F4529" t="str">
        <f t="shared" si="1908"/>
        <v>FRI</v>
      </c>
      <c r="G4529" s="1">
        <f t="shared" si="1909"/>
        <v>44099</v>
      </c>
      <c r="H4529" s="2">
        <f t="shared" ca="1" si="1910"/>
        <v>154</v>
      </c>
      <c r="I4529" t="str">
        <f t="shared" si="1911"/>
        <v>MSFT</v>
      </c>
      <c r="J4529">
        <f t="shared" si="1912"/>
        <v>197</v>
      </c>
      <c r="K4529">
        <f t="shared" si="1913"/>
        <v>210</v>
      </c>
      <c r="L4529">
        <f t="shared" si="1914"/>
        <v>203.5</v>
      </c>
      <c r="M4529">
        <f t="shared" si="1915"/>
        <v>6.5</v>
      </c>
      <c r="N4529">
        <f t="shared" si="1904"/>
        <v>13</v>
      </c>
      <c r="O4529">
        <f t="shared" si="1916"/>
        <v>203</v>
      </c>
      <c r="P4529">
        <f t="shared" si="1917"/>
        <v>-7.6923076923076927E-2</v>
      </c>
      <c r="Q4529" t="str">
        <f t="shared" si="1905"/>
        <v>2.96% | 3.45%</v>
      </c>
      <c r="R4529" t="str">
        <f t="shared" si="1918"/>
        <v>BEARISH</v>
      </c>
      <c r="S4529">
        <f t="shared" si="1906"/>
        <v>-1</v>
      </c>
    </row>
    <row r="4530" spans="1:19" hidden="1" x14ac:dyDescent="0.25">
      <c r="A4530" s="5" t="str">
        <f t="shared" si="1907"/>
        <v>44099AAPL</v>
      </c>
      <c r="B4530" s="6" t="s">
        <v>207</v>
      </c>
      <c r="C4530" s="6">
        <v>104</v>
      </c>
      <c r="D4530" s="6">
        <v>117</v>
      </c>
      <c r="E4530" s="6">
        <v>108</v>
      </c>
      <c r="F4530" t="str">
        <f t="shared" si="1908"/>
        <v>FRI</v>
      </c>
      <c r="G4530" s="1">
        <f t="shared" si="1909"/>
        <v>44099</v>
      </c>
      <c r="H4530" s="2">
        <f t="shared" ca="1" si="1910"/>
        <v>154</v>
      </c>
      <c r="I4530" t="str">
        <f t="shared" si="1911"/>
        <v>AAPL</v>
      </c>
      <c r="J4530">
        <f t="shared" si="1912"/>
        <v>104</v>
      </c>
      <c r="K4530">
        <f t="shared" si="1913"/>
        <v>117</v>
      </c>
      <c r="L4530">
        <f t="shared" si="1914"/>
        <v>110.5</v>
      </c>
      <c r="M4530">
        <f t="shared" si="1915"/>
        <v>6.5</v>
      </c>
      <c r="N4530">
        <f t="shared" si="1904"/>
        <v>13</v>
      </c>
      <c r="O4530">
        <f t="shared" si="1916"/>
        <v>108</v>
      </c>
      <c r="P4530">
        <f t="shared" si="1917"/>
        <v>-0.38461538461538464</v>
      </c>
      <c r="Q4530" t="str">
        <f t="shared" si="1905"/>
        <v>3.7% | 8.33%</v>
      </c>
      <c r="R4530" t="str">
        <f t="shared" si="1918"/>
        <v>NEUTRAL</v>
      </c>
      <c r="S4530">
        <f t="shared" si="1906"/>
        <v>0</v>
      </c>
    </row>
    <row r="4531" spans="1:19" hidden="1" x14ac:dyDescent="0.25">
      <c r="A4531" s="5" t="str">
        <f t="shared" si="1907"/>
        <v>44099AMZN</v>
      </c>
      <c r="B4531" s="6" t="s">
        <v>216</v>
      </c>
      <c r="C4531" s="6">
        <v>2906</v>
      </c>
      <c r="D4531" s="6">
        <v>3193</v>
      </c>
      <c r="E4531" s="6">
        <v>3019</v>
      </c>
      <c r="F4531" t="str">
        <f t="shared" si="1908"/>
        <v>FRI</v>
      </c>
      <c r="G4531" s="1">
        <f t="shared" si="1909"/>
        <v>44099</v>
      </c>
      <c r="H4531" s="2">
        <f t="shared" ca="1" si="1910"/>
        <v>154</v>
      </c>
      <c r="I4531" t="str">
        <f t="shared" si="1911"/>
        <v>AMZN</v>
      </c>
      <c r="J4531">
        <f t="shared" si="1912"/>
        <v>2906</v>
      </c>
      <c r="K4531">
        <f t="shared" si="1913"/>
        <v>3193</v>
      </c>
      <c r="L4531">
        <f t="shared" si="1914"/>
        <v>3049.5</v>
      </c>
      <c r="M4531">
        <f t="shared" si="1915"/>
        <v>143.5</v>
      </c>
      <c r="N4531">
        <f t="shared" si="1904"/>
        <v>287</v>
      </c>
      <c r="O4531">
        <f t="shared" si="1916"/>
        <v>3019</v>
      </c>
      <c r="P4531">
        <f t="shared" si="1917"/>
        <v>-0.21254355400696864</v>
      </c>
      <c r="Q4531" t="str">
        <f t="shared" si="1905"/>
        <v>3.74% | 5.76%</v>
      </c>
      <c r="R4531" t="str">
        <f t="shared" si="1918"/>
        <v>NEUTRAL</v>
      </c>
      <c r="S4531">
        <f t="shared" si="1906"/>
        <v>0</v>
      </c>
    </row>
    <row r="4532" spans="1:19" hidden="1" x14ac:dyDescent="0.25">
      <c r="A4532" s="5" t="str">
        <f t="shared" si="1907"/>
        <v>44099FB</v>
      </c>
      <c r="B4532" s="6" t="s">
        <v>230</v>
      </c>
      <c r="C4532" s="6">
        <v>239</v>
      </c>
      <c r="D4532" s="6">
        <v>272</v>
      </c>
      <c r="E4532" s="6">
        <v>249</v>
      </c>
      <c r="F4532" t="str">
        <f t="shared" si="1908"/>
        <v>FRI</v>
      </c>
      <c r="G4532" s="1">
        <f t="shared" si="1909"/>
        <v>44099</v>
      </c>
      <c r="H4532" s="2">
        <f t="shared" ca="1" si="1910"/>
        <v>154</v>
      </c>
      <c r="I4532" t="str">
        <f t="shared" si="1911"/>
        <v>FB</v>
      </c>
      <c r="J4532">
        <f t="shared" si="1912"/>
        <v>239</v>
      </c>
      <c r="K4532">
        <f t="shared" si="1913"/>
        <v>272</v>
      </c>
      <c r="L4532">
        <f t="shared" si="1914"/>
        <v>255.5</v>
      </c>
      <c r="M4532">
        <f t="shared" si="1915"/>
        <v>16.5</v>
      </c>
      <c r="N4532">
        <f t="shared" si="1904"/>
        <v>33</v>
      </c>
      <c r="O4532">
        <f t="shared" si="1916"/>
        <v>249</v>
      </c>
      <c r="P4532">
        <f t="shared" si="1917"/>
        <v>-0.39393939393939392</v>
      </c>
      <c r="Q4532" t="str">
        <f t="shared" si="1905"/>
        <v>4.02% | 9.24%</v>
      </c>
      <c r="R4532" t="str">
        <f t="shared" si="1918"/>
        <v>BEARISH</v>
      </c>
      <c r="S4532">
        <f t="shared" si="1906"/>
        <v>-1</v>
      </c>
    </row>
    <row r="4533" spans="1:19" hidden="1" x14ac:dyDescent="0.25">
      <c r="A4533" s="5" t="str">
        <f t="shared" si="1907"/>
        <v>44099GOOGL</v>
      </c>
      <c r="B4533" s="6" t="s">
        <v>221</v>
      </c>
      <c r="C4533" s="6">
        <v>1374</v>
      </c>
      <c r="D4533" s="6">
        <v>1515</v>
      </c>
      <c r="E4533" s="6">
        <v>1422</v>
      </c>
      <c r="F4533" t="str">
        <f t="shared" si="1908"/>
        <v>FRI</v>
      </c>
      <c r="G4533" s="1">
        <f t="shared" si="1909"/>
        <v>44099</v>
      </c>
      <c r="H4533" s="2">
        <f t="shared" ca="1" si="1910"/>
        <v>154</v>
      </c>
      <c r="I4533" t="str">
        <f t="shared" si="1911"/>
        <v>GOOGL</v>
      </c>
      <c r="J4533">
        <f t="shared" si="1912"/>
        <v>1374</v>
      </c>
      <c r="K4533">
        <f t="shared" si="1913"/>
        <v>1515</v>
      </c>
      <c r="L4533">
        <f t="shared" si="1914"/>
        <v>1444.5</v>
      </c>
      <c r="M4533">
        <f t="shared" si="1915"/>
        <v>70.5</v>
      </c>
      <c r="N4533">
        <f t="shared" si="1904"/>
        <v>141</v>
      </c>
      <c r="O4533">
        <f t="shared" si="1916"/>
        <v>1422</v>
      </c>
      <c r="P4533">
        <f t="shared" si="1917"/>
        <v>-0.31914893617021278</v>
      </c>
      <c r="Q4533" t="str">
        <f t="shared" si="1905"/>
        <v>3.38% | 6.54%</v>
      </c>
      <c r="R4533" t="str">
        <f t="shared" si="1918"/>
        <v>BEARISH</v>
      </c>
      <c r="S4533">
        <f t="shared" si="1906"/>
        <v>-1</v>
      </c>
    </row>
    <row r="4534" spans="1:19" hidden="1" x14ac:dyDescent="0.25">
      <c r="A4534" s="5" t="str">
        <f t="shared" si="1907"/>
        <v>44099NFLX</v>
      </c>
      <c r="B4534" s="6" t="s">
        <v>213</v>
      </c>
      <c r="C4534" s="6">
        <v>453</v>
      </c>
      <c r="D4534" s="6">
        <v>499</v>
      </c>
      <c r="E4534" s="6">
        <v>473</v>
      </c>
      <c r="F4534" t="str">
        <f t="shared" si="1908"/>
        <v>FRI</v>
      </c>
      <c r="G4534" s="1">
        <f t="shared" si="1909"/>
        <v>44099</v>
      </c>
      <c r="H4534" s="2">
        <f t="shared" ca="1" si="1910"/>
        <v>154</v>
      </c>
      <c r="I4534" t="str">
        <f t="shared" si="1911"/>
        <v>NFLX</v>
      </c>
      <c r="J4534">
        <f t="shared" si="1912"/>
        <v>453</v>
      </c>
      <c r="K4534">
        <f t="shared" si="1913"/>
        <v>499</v>
      </c>
      <c r="L4534">
        <f t="shared" si="1914"/>
        <v>476</v>
      </c>
      <c r="M4534">
        <f t="shared" si="1915"/>
        <v>23</v>
      </c>
      <c r="N4534">
        <f t="shared" si="1904"/>
        <v>46</v>
      </c>
      <c r="O4534">
        <f t="shared" si="1916"/>
        <v>473</v>
      </c>
      <c r="P4534">
        <f t="shared" si="1917"/>
        <v>-0.13043478260869565</v>
      </c>
      <c r="Q4534" t="str">
        <f t="shared" si="1905"/>
        <v>4.23% | 5.5%</v>
      </c>
      <c r="R4534" t="str">
        <f t="shared" si="1918"/>
        <v>BEARISH</v>
      </c>
      <c r="S4534">
        <f t="shared" si="1906"/>
        <v>-1</v>
      </c>
    </row>
    <row r="4535" spans="1:19" x14ac:dyDescent="0.25">
      <c r="A4535" s="5" t="str">
        <f t="shared" si="1907"/>
        <v>44099TSLA</v>
      </c>
      <c r="B4535" s="6" t="s">
        <v>209</v>
      </c>
      <c r="C4535" s="6">
        <v>366</v>
      </c>
      <c r="D4535" s="6">
        <v>473</v>
      </c>
      <c r="E4535" s="6">
        <v>387</v>
      </c>
      <c r="F4535" t="str">
        <f t="shared" si="1908"/>
        <v>FRI</v>
      </c>
      <c r="G4535" s="1">
        <f t="shared" si="1909"/>
        <v>44099</v>
      </c>
      <c r="H4535" s="2">
        <f t="shared" ca="1" si="1910"/>
        <v>154</v>
      </c>
      <c r="I4535" t="str">
        <f t="shared" si="1911"/>
        <v>TSLA</v>
      </c>
      <c r="J4535">
        <f t="shared" si="1912"/>
        <v>366</v>
      </c>
      <c r="K4535">
        <f t="shared" si="1913"/>
        <v>473</v>
      </c>
      <c r="L4535">
        <f t="shared" si="1914"/>
        <v>419.5</v>
      </c>
      <c r="M4535">
        <f t="shared" si="1915"/>
        <v>53.5</v>
      </c>
      <c r="N4535">
        <f t="shared" si="1904"/>
        <v>107</v>
      </c>
      <c r="O4535">
        <f t="shared" si="1916"/>
        <v>387</v>
      </c>
      <c r="P4535">
        <f t="shared" si="1917"/>
        <v>-0.60747663551401865</v>
      </c>
      <c r="Q4535" t="str">
        <f t="shared" si="1905"/>
        <v>5.43% | 22.22%</v>
      </c>
      <c r="R4535" t="str">
        <f t="shared" si="1918"/>
        <v>NEUTRAL</v>
      </c>
      <c r="S4535">
        <f t="shared" si="1906"/>
        <v>0</v>
      </c>
    </row>
    <row r="4536" spans="1:19" hidden="1" x14ac:dyDescent="0.25">
      <c r="A4536" s="5" t="str">
        <f t="shared" si="1907"/>
        <v>44099NYXBT</v>
      </c>
      <c r="B4536" s="6" t="s">
        <v>190</v>
      </c>
      <c r="C4536" s="6">
        <v>10218</v>
      </c>
      <c r="D4536" s="6">
        <v>11090</v>
      </c>
      <c r="E4536" s="6">
        <v>10377</v>
      </c>
      <c r="F4536" t="str">
        <f t="shared" si="1908"/>
        <v>FRI</v>
      </c>
      <c r="G4536" s="1">
        <f t="shared" si="1909"/>
        <v>44099</v>
      </c>
      <c r="H4536" s="2">
        <f t="shared" ca="1" si="1910"/>
        <v>154</v>
      </c>
      <c r="I4536" t="str">
        <f t="shared" si="1911"/>
        <v>NYXBT</v>
      </c>
      <c r="J4536">
        <f t="shared" si="1912"/>
        <v>10218</v>
      </c>
      <c r="K4536">
        <f t="shared" si="1913"/>
        <v>11090</v>
      </c>
      <c r="L4536">
        <f t="shared" si="1914"/>
        <v>10654</v>
      </c>
      <c r="M4536">
        <f t="shared" si="1915"/>
        <v>436</v>
      </c>
      <c r="N4536">
        <f t="shared" si="1904"/>
        <v>872</v>
      </c>
      <c r="O4536">
        <f t="shared" si="1916"/>
        <v>10377</v>
      </c>
      <c r="P4536">
        <f t="shared" si="1917"/>
        <v>-0.63532110091743121</v>
      </c>
      <c r="Q4536" t="str">
        <f t="shared" si="1905"/>
        <v>1.53% | 6.87%</v>
      </c>
      <c r="R4536" t="str">
        <f t="shared" si="1918"/>
        <v>BULLISH</v>
      </c>
      <c r="S4536">
        <f t="shared" si="1906"/>
        <v>1</v>
      </c>
    </row>
    <row r="4537" spans="1:19" hidden="1" x14ac:dyDescent="0.25">
      <c r="A4537" s="5" t="str">
        <f t="shared" si="1907"/>
        <v>44102UST10Y</v>
      </c>
      <c r="B4537" s="6" t="s">
        <v>161</v>
      </c>
      <c r="C4537" s="6">
        <v>0.7</v>
      </c>
      <c r="D4537" s="6">
        <v>0.64</v>
      </c>
      <c r="E4537" s="6">
        <v>0.66</v>
      </c>
      <c r="F4537" t="str">
        <f t="shared" si="1908"/>
        <v>MON</v>
      </c>
      <c r="G4537" s="3">
        <f>DATE(2020,9,28)</f>
        <v>44102</v>
      </c>
      <c r="H4537" s="2">
        <f t="shared" ca="1" si="1910"/>
        <v>151</v>
      </c>
      <c r="I4537" t="str">
        <f t="shared" si="1911"/>
        <v>UST10Y</v>
      </c>
      <c r="J4537">
        <f t="shared" si="1912"/>
        <v>0.7</v>
      </c>
      <c r="K4537">
        <f t="shared" si="1913"/>
        <v>0.64</v>
      </c>
      <c r="L4537">
        <f t="shared" si="1914"/>
        <v>0.66999999999999993</v>
      </c>
      <c r="M4537">
        <f t="shared" si="1915"/>
        <v>2.9999999999999971E-2</v>
      </c>
      <c r="N4537">
        <f t="shared" si="1904"/>
        <v>5.9999999999999942E-2</v>
      </c>
      <c r="O4537">
        <f t="shared" si="1916"/>
        <v>0.66</v>
      </c>
      <c r="P4537">
        <f t="shared" si="1917"/>
        <v>-0.33333333333333026</v>
      </c>
      <c r="Q4537" t="str">
        <f t="shared" si="1905"/>
        <v>6.06% | 3.03%</v>
      </c>
      <c r="R4537" t="str">
        <f t="shared" si="1918"/>
        <v>BEARISH</v>
      </c>
      <c r="S4537">
        <f t="shared" si="1906"/>
        <v>-1</v>
      </c>
    </row>
    <row r="4538" spans="1:19" hidden="1" x14ac:dyDescent="0.25">
      <c r="A4538" s="5" t="str">
        <f t="shared" si="1907"/>
        <v>44102UST2Y</v>
      </c>
      <c r="B4538" s="6" t="s">
        <v>162</v>
      </c>
      <c r="C4538" s="6">
        <v>0.15</v>
      </c>
      <c r="D4538" s="6">
        <v>0.1</v>
      </c>
      <c r="E4538" s="6">
        <v>0.12</v>
      </c>
      <c r="F4538" t="str">
        <f t="shared" ref="F4538:F4568" si="1919">UPPER(TEXT(G4538,"ddd"))</f>
        <v>MON</v>
      </c>
      <c r="G4538" s="3">
        <f t="shared" ref="G4538:G4567" si="1920">DATE(2020,9,28)</f>
        <v>44102</v>
      </c>
      <c r="H4538" s="2">
        <f t="shared" ref="H4538:H4568" ca="1" si="1921">TODAY()-G4538</f>
        <v>151</v>
      </c>
      <c r="I4538" t="str">
        <f t="shared" ref="I4538:I4568" si="1922">TRIM(LEFT(B4538,FIND(" ",B4538,1)))</f>
        <v>UST2Y</v>
      </c>
      <c r="J4538">
        <f t="shared" ref="J4538:J4568" si="1923">C4538</f>
        <v>0.15</v>
      </c>
      <c r="K4538">
        <f t="shared" ref="K4538:K4568" si="1924">D4538</f>
        <v>0.1</v>
      </c>
      <c r="L4538">
        <f t="shared" ref="L4538:L4568" si="1925">AVERAGE(J4538:K4538)</f>
        <v>0.125</v>
      </c>
      <c r="M4538">
        <f t="shared" ref="M4538:M4568" si="1926">_xlfn.STDEV.P(J4538:K4538)</f>
        <v>2.5000000000000012E-2</v>
      </c>
      <c r="N4538">
        <f t="shared" si="1904"/>
        <v>4.9999999999999989E-2</v>
      </c>
      <c r="O4538">
        <f t="shared" ref="O4538:O4568" si="1927">E4538</f>
        <v>0.12</v>
      </c>
      <c r="P4538">
        <f t="shared" ref="P4538:P4568" si="1928">(O4538-L4538)/M4538</f>
        <v>-0.20000000000000009</v>
      </c>
      <c r="Q4538" t="str">
        <f t="shared" si="1905"/>
        <v>25% | 16.67%</v>
      </c>
      <c r="R4538" t="str">
        <f t="shared" ref="R4538:R4568" si="1929">MID(B4538,FIND("(",B4538,1)+1,FIND(")",B4538,1)-FIND("(",B4538,1)-1)</f>
        <v>BEARISH</v>
      </c>
      <c r="S4538">
        <f t="shared" si="1906"/>
        <v>-1</v>
      </c>
    </row>
    <row r="4539" spans="1:19" hidden="1" x14ac:dyDescent="0.25">
      <c r="A4539" s="5" t="str">
        <f t="shared" si="1907"/>
        <v>44102SPX</v>
      </c>
      <c r="B4539" s="6" t="s">
        <v>163</v>
      </c>
      <c r="C4539" s="6">
        <v>3205</v>
      </c>
      <c r="D4539" s="6">
        <v>3349</v>
      </c>
      <c r="E4539" s="6">
        <v>3298</v>
      </c>
      <c r="F4539" t="str">
        <f t="shared" si="1919"/>
        <v>MON</v>
      </c>
      <c r="G4539" s="3">
        <f t="shared" si="1920"/>
        <v>44102</v>
      </c>
      <c r="H4539" s="2">
        <f t="shared" ca="1" si="1921"/>
        <v>151</v>
      </c>
      <c r="I4539" t="str">
        <f t="shared" si="1922"/>
        <v>SPX</v>
      </c>
      <c r="J4539">
        <f t="shared" si="1923"/>
        <v>3205</v>
      </c>
      <c r="K4539">
        <f t="shared" si="1924"/>
        <v>3349</v>
      </c>
      <c r="L4539">
        <f t="shared" si="1925"/>
        <v>3277</v>
      </c>
      <c r="M4539">
        <f t="shared" si="1926"/>
        <v>72</v>
      </c>
      <c r="N4539">
        <f t="shared" si="1904"/>
        <v>144</v>
      </c>
      <c r="O4539">
        <f t="shared" si="1927"/>
        <v>3298</v>
      </c>
      <c r="P4539">
        <f t="shared" si="1928"/>
        <v>0.29166666666666669</v>
      </c>
      <c r="Q4539" t="str">
        <f t="shared" si="1905"/>
        <v>2.82% | 1.55%</v>
      </c>
      <c r="R4539" t="str">
        <f t="shared" si="1929"/>
        <v>NEUTRAL</v>
      </c>
      <c r="S4539">
        <f t="shared" si="1906"/>
        <v>0</v>
      </c>
    </row>
    <row r="4540" spans="1:19" hidden="1" x14ac:dyDescent="0.25">
      <c r="A4540" s="5" t="str">
        <f t="shared" si="1907"/>
        <v>44102RUT</v>
      </c>
      <c r="B4540" s="6" t="s">
        <v>164</v>
      </c>
      <c r="C4540" s="6">
        <v>1424</v>
      </c>
      <c r="D4540" s="6">
        <v>1514</v>
      </c>
      <c r="E4540" s="6">
        <v>1474</v>
      </c>
      <c r="F4540" t="str">
        <f t="shared" si="1919"/>
        <v>MON</v>
      </c>
      <c r="G4540" s="3">
        <f t="shared" si="1920"/>
        <v>44102</v>
      </c>
      <c r="H4540" s="2">
        <f t="shared" ca="1" si="1921"/>
        <v>151</v>
      </c>
      <c r="I4540" t="str">
        <f t="shared" si="1922"/>
        <v>RUT</v>
      </c>
      <c r="J4540">
        <f t="shared" si="1923"/>
        <v>1424</v>
      </c>
      <c r="K4540">
        <f t="shared" si="1924"/>
        <v>1514</v>
      </c>
      <c r="L4540">
        <f t="shared" si="1925"/>
        <v>1469</v>
      </c>
      <c r="M4540">
        <f t="shared" si="1926"/>
        <v>45</v>
      </c>
      <c r="N4540">
        <f t="shared" si="1904"/>
        <v>90</v>
      </c>
      <c r="O4540">
        <f t="shared" si="1927"/>
        <v>1474</v>
      </c>
      <c r="P4540">
        <f t="shared" si="1928"/>
        <v>0.1111111111111111</v>
      </c>
      <c r="Q4540" t="str">
        <f t="shared" si="1905"/>
        <v>3.39% | 2.71%</v>
      </c>
      <c r="R4540" t="str">
        <f t="shared" si="1929"/>
        <v>BEARISH</v>
      </c>
      <c r="S4540">
        <f t="shared" si="1906"/>
        <v>-1</v>
      </c>
    </row>
    <row r="4541" spans="1:19" hidden="1" x14ac:dyDescent="0.25">
      <c r="A4541" s="5" t="str">
        <f t="shared" si="1907"/>
        <v>44102COMPQ</v>
      </c>
      <c r="B4541" s="6" t="s">
        <v>217</v>
      </c>
      <c r="C4541" s="6">
        <v>10520</v>
      </c>
      <c r="D4541" s="6">
        <v>11214</v>
      </c>
      <c r="E4541" s="6">
        <v>10913</v>
      </c>
      <c r="F4541" t="str">
        <f t="shared" si="1919"/>
        <v>MON</v>
      </c>
      <c r="G4541" s="3">
        <f t="shared" si="1920"/>
        <v>44102</v>
      </c>
      <c r="H4541" s="2">
        <f t="shared" ca="1" si="1921"/>
        <v>151</v>
      </c>
      <c r="I4541" t="str">
        <f t="shared" si="1922"/>
        <v>COMPQ</v>
      </c>
      <c r="J4541">
        <f t="shared" si="1923"/>
        <v>10520</v>
      </c>
      <c r="K4541">
        <f t="shared" si="1924"/>
        <v>11214</v>
      </c>
      <c r="L4541">
        <f t="shared" si="1925"/>
        <v>10867</v>
      </c>
      <c r="M4541">
        <f t="shared" si="1926"/>
        <v>347</v>
      </c>
      <c r="N4541">
        <f t="shared" si="1904"/>
        <v>694</v>
      </c>
      <c r="O4541">
        <f t="shared" si="1927"/>
        <v>10913</v>
      </c>
      <c r="P4541">
        <f t="shared" si="1928"/>
        <v>0.13256484149855907</v>
      </c>
      <c r="Q4541" t="str">
        <f t="shared" si="1905"/>
        <v>3.6% | 2.76%</v>
      </c>
      <c r="R4541" t="str">
        <f t="shared" si="1929"/>
        <v>BEARISH</v>
      </c>
      <c r="S4541">
        <f t="shared" si="1906"/>
        <v>-1</v>
      </c>
    </row>
    <row r="4542" spans="1:19" hidden="1" x14ac:dyDescent="0.25">
      <c r="A4542" s="5" t="str">
        <f t="shared" si="1907"/>
        <v>44102XLK</v>
      </c>
      <c r="B4542" s="6" t="s">
        <v>203</v>
      </c>
      <c r="C4542" s="6">
        <v>109.41</v>
      </c>
      <c r="D4542" s="6">
        <v>116.82</v>
      </c>
      <c r="E4542" s="6">
        <v>113.94</v>
      </c>
      <c r="F4542" t="str">
        <f t="shared" si="1919"/>
        <v>MON</v>
      </c>
      <c r="G4542" s="3">
        <f t="shared" si="1920"/>
        <v>44102</v>
      </c>
      <c r="H4542" s="2">
        <f t="shared" ca="1" si="1921"/>
        <v>151</v>
      </c>
      <c r="I4542" t="str">
        <f t="shared" si="1922"/>
        <v>XLK</v>
      </c>
      <c r="J4542">
        <f t="shared" si="1923"/>
        <v>109.41</v>
      </c>
      <c r="K4542">
        <f t="shared" si="1924"/>
        <v>116.82</v>
      </c>
      <c r="L4542">
        <f t="shared" si="1925"/>
        <v>113.11499999999999</v>
      </c>
      <c r="M4542">
        <f t="shared" si="1926"/>
        <v>3.7049999999999983</v>
      </c>
      <c r="N4542">
        <f t="shared" si="1904"/>
        <v>7.4099999999999966</v>
      </c>
      <c r="O4542">
        <f t="shared" si="1927"/>
        <v>113.94</v>
      </c>
      <c r="P4542">
        <f t="shared" si="1928"/>
        <v>0.22267206477732882</v>
      </c>
      <c r="Q4542" t="str">
        <f t="shared" si="1905"/>
        <v>3.98% | 2.53%</v>
      </c>
      <c r="R4542" t="str">
        <f t="shared" si="1929"/>
        <v>NEUTRAL</v>
      </c>
      <c r="S4542">
        <f t="shared" si="1906"/>
        <v>0</v>
      </c>
    </row>
    <row r="4543" spans="1:19" hidden="1" x14ac:dyDescent="0.25">
      <c r="A4543" s="5" t="str">
        <f t="shared" si="1907"/>
        <v>44102XLRE</v>
      </c>
      <c r="B4543" s="6" t="s">
        <v>225</v>
      </c>
      <c r="C4543" s="6">
        <v>33.28</v>
      </c>
      <c r="D4543" s="6">
        <v>35.520000000000003</v>
      </c>
      <c r="E4543" s="6">
        <v>34.67</v>
      </c>
      <c r="F4543" t="str">
        <f t="shared" si="1919"/>
        <v>MON</v>
      </c>
      <c r="G4543" s="3">
        <f t="shared" si="1920"/>
        <v>44102</v>
      </c>
      <c r="H4543" s="2">
        <f t="shared" ca="1" si="1921"/>
        <v>151</v>
      </c>
      <c r="I4543" t="str">
        <f t="shared" si="1922"/>
        <v>XLRE</v>
      </c>
      <c r="J4543">
        <f t="shared" si="1923"/>
        <v>33.28</v>
      </c>
      <c r="K4543">
        <f t="shared" si="1924"/>
        <v>35.520000000000003</v>
      </c>
      <c r="L4543">
        <f t="shared" si="1925"/>
        <v>34.400000000000006</v>
      </c>
      <c r="M4543">
        <f t="shared" si="1926"/>
        <v>1.120000000000001</v>
      </c>
      <c r="N4543">
        <f t="shared" si="1904"/>
        <v>2.240000000000002</v>
      </c>
      <c r="O4543">
        <f t="shared" si="1927"/>
        <v>34.67</v>
      </c>
      <c r="P4543">
        <f t="shared" si="1928"/>
        <v>0.2410714285714248</v>
      </c>
      <c r="Q4543" t="str">
        <f t="shared" si="1905"/>
        <v>4.01% | 2.45%</v>
      </c>
      <c r="R4543" t="str">
        <f t="shared" si="1929"/>
        <v>BEARISH</v>
      </c>
      <c r="S4543">
        <f t="shared" si="1906"/>
        <v>-1</v>
      </c>
    </row>
    <row r="4544" spans="1:19" hidden="1" x14ac:dyDescent="0.25">
      <c r="A4544" s="5" t="str">
        <f t="shared" si="1907"/>
        <v>44102XLU</v>
      </c>
      <c r="B4544" s="6" t="s">
        <v>168</v>
      </c>
      <c r="C4544" s="6">
        <v>56.53</v>
      </c>
      <c r="D4544" s="6">
        <v>60.16</v>
      </c>
      <c r="E4544" s="6">
        <v>58.72</v>
      </c>
      <c r="F4544" t="str">
        <f t="shared" si="1919"/>
        <v>MON</v>
      </c>
      <c r="G4544" s="3">
        <f t="shared" si="1920"/>
        <v>44102</v>
      </c>
      <c r="H4544" s="2">
        <f t="shared" ca="1" si="1921"/>
        <v>151</v>
      </c>
      <c r="I4544" t="str">
        <f t="shared" si="1922"/>
        <v>XLU</v>
      </c>
      <c r="J4544">
        <f t="shared" si="1923"/>
        <v>56.53</v>
      </c>
      <c r="K4544">
        <f t="shared" si="1924"/>
        <v>60.16</v>
      </c>
      <c r="L4544">
        <f t="shared" si="1925"/>
        <v>58.344999999999999</v>
      </c>
      <c r="M4544">
        <f t="shared" si="1926"/>
        <v>1.8149999999999977</v>
      </c>
      <c r="N4544">
        <f t="shared" si="1904"/>
        <v>3.6299999999999955</v>
      </c>
      <c r="O4544">
        <f t="shared" si="1927"/>
        <v>58.72</v>
      </c>
      <c r="P4544">
        <f t="shared" si="1928"/>
        <v>0.20661157024793414</v>
      </c>
      <c r="Q4544" t="str">
        <f t="shared" si="1905"/>
        <v>3.73% | 2.45%</v>
      </c>
      <c r="R4544" t="str">
        <f t="shared" si="1929"/>
        <v>BULLISH</v>
      </c>
      <c r="S4544">
        <f t="shared" si="1906"/>
        <v>1</v>
      </c>
    </row>
    <row r="4545" spans="1:19" hidden="1" x14ac:dyDescent="0.25">
      <c r="A4545" s="5" t="str">
        <f t="shared" si="1907"/>
        <v>44102XLF</v>
      </c>
      <c r="B4545" s="6" t="s">
        <v>169</v>
      </c>
      <c r="C4545" s="6">
        <v>22.61</v>
      </c>
      <c r="D4545" s="6">
        <v>24.31</v>
      </c>
      <c r="E4545" s="6">
        <v>23.49</v>
      </c>
      <c r="F4545" t="str">
        <f t="shared" si="1919"/>
        <v>MON</v>
      </c>
      <c r="G4545" s="3">
        <f t="shared" si="1920"/>
        <v>44102</v>
      </c>
      <c r="H4545" s="2">
        <f t="shared" ca="1" si="1921"/>
        <v>151</v>
      </c>
      <c r="I4545" t="str">
        <f t="shared" si="1922"/>
        <v>XLF</v>
      </c>
      <c r="J4545">
        <f t="shared" si="1923"/>
        <v>22.61</v>
      </c>
      <c r="K4545">
        <f t="shared" si="1924"/>
        <v>24.31</v>
      </c>
      <c r="L4545">
        <f t="shared" si="1925"/>
        <v>23.46</v>
      </c>
      <c r="M4545">
        <f t="shared" si="1926"/>
        <v>0.84999999999999964</v>
      </c>
      <c r="N4545">
        <f t="shared" si="1904"/>
        <v>1.6999999999999993</v>
      </c>
      <c r="O4545">
        <f t="shared" si="1927"/>
        <v>23.49</v>
      </c>
      <c r="P4545">
        <f t="shared" si="1928"/>
        <v>3.5294117647055999E-2</v>
      </c>
      <c r="Q4545" t="str">
        <f t="shared" si="1905"/>
        <v>3.75% | 3.49%</v>
      </c>
      <c r="R4545" t="str">
        <f t="shared" si="1929"/>
        <v>BEARISH</v>
      </c>
      <c r="S4545">
        <f t="shared" si="1906"/>
        <v>-1</v>
      </c>
    </row>
    <row r="4546" spans="1:19" hidden="1" x14ac:dyDescent="0.25">
      <c r="A4546" s="5" t="str">
        <f t="shared" si="1907"/>
        <v>44102SSEC</v>
      </c>
      <c r="B4546" s="6" t="s">
        <v>170</v>
      </c>
      <c r="C4546" s="6">
        <v>3200</v>
      </c>
      <c r="D4546" s="6">
        <v>3360</v>
      </c>
      <c r="E4546" s="6">
        <v>3217</v>
      </c>
      <c r="F4546" t="str">
        <f t="shared" si="1919"/>
        <v>MON</v>
      </c>
      <c r="G4546" s="3">
        <f t="shared" si="1920"/>
        <v>44102</v>
      </c>
      <c r="H4546" s="2">
        <f t="shared" ca="1" si="1921"/>
        <v>151</v>
      </c>
      <c r="I4546" t="str">
        <f t="shared" si="1922"/>
        <v>SSEC</v>
      </c>
      <c r="J4546">
        <f t="shared" si="1923"/>
        <v>3200</v>
      </c>
      <c r="K4546">
        <f t="shared" si="1924"/>
        <v>3360</v>
      </c>
      <c r="L4546">
        <f t="shared" si="1925"/>
        <v>3280</v>
      </c>
      <c r="M4546">
        <f t="shared" si="1926"/>
        <v>80</v>
      </c>
      <c r="N4546">
        <f t="shared" si="1904"/>
        <v>160</v>
      </c>
      <c r="O4546">
        <f t="shared" si="1927"/>
        <v>3217</v>
      </c>
      <c r="P4546">
        <f t="shared" si="1928"/>
        <v>-0.78749999999999998</v>
      </c>
      <c r="Q4546" t="str">
        <f t="shared" si="1905"/>
        <v>0.53% | 4.45%</v>
      </c>
      <c r="R4546" t="str">
        <f t="shared" si="1929"/>
        <v>BULLISH</v>
      </c>
      <c r="S4546">
        <f t="shared" si="1906"/>
        <v>1</v>
      </c>
    </row>
    <row r="4547" spans="1:19" hidden="1" x14ac:dyDescent="0.25">
      <c r="A4547" s="5" t="str">
        <f t="shared" si="1907"/>
        <v>44102NIKK</v>
      </c>
      <c r="B4547" s="6" t="s">
        <v>201</v>
      </c>
      <c r="C4547" s="6">
        <v>23077</v>
      </c>
      <c r="D4547" s="6">
        <v>23630</v>
      </c>
      <c r="E4547" s="6">
        <v>23511</v>
      </c>
      <c r="F4547" t="str">
        <f t="shared" si="1919"/>
        <v>MON</v>
      </c>
      <c r="G4547" s="3">
        <f t="shared" si="1920"/>
        <v>44102</v>
      </c>
      <c r="H4547" s="2">
        <f t="shared" ca="1" si="1921"/>
        <v>151</v>
      </c>
      <c r="I4547" t="str">
        <f t="shared" si="1922"/>
        <v>NIKK</v>
      </c>
      <c r="J4547">
        <f t="shared" si="1923"/>
        <v>23077</v>
      </c>
      <c r="K4547">
        <f t="shared" si="1924"/>
        <v>23630</v>
      </c>
      <c r="L4547">
        <f t="shared" si="1925"/>
        <v>23353.5</v>
      </c>
      <c r="M4547">
        <f t="shared" si="1926"/>
        <v>276.5</v>
      </c>
      <c r="N4547">
        <f t="shared" ref="N4547:N4610" si="1930">ABS(K4547-J4547)</f>
        <v>553</v>
      </c>
      <c r="O4547">
        <f t="shared" si="1927"/>
        <v>23511</v>
      </c>
      <c r="P4547">
        <f t="shared" si="1928"/>
        <v>0.569620253164557</v>
      </c>
      <c r="Q4547" t="str">
        <f t="shared" ref="Q4547:Q4610" si="1931">ROUND(ABS(100*(O4547-J4547)/O4547),2)&amp;"% | "&amp;ROUND(ABS(100*(K4547-O4547)/O4547),2)&amp;"%"</f>
        <v>1.85% | 0.51%</v>
      </c>
      <c r="R4547" t="str">
        <f t="shared" si="1929"/>
        <v>BULLISH</v>
      </c>
      <c r="S4547">
        <f t="shared" ref="S4547:S4610" si="1932">IF(R4547="BEARISH",-1,IF(R4547="NEUTRAL",0,IF(R4547="BULLISH",1,99)))</f>
        <v>1</v>
      </c>
    </row>
    <row r="4548" spans="1:19" hidden="1" x14ac:dyDescent="0.25">
      <c r="A4548" s="5" t="str">
        <f t="shared" si="1907"/>
        <v>44102DAX</v>
      </c>
      <c r="B4548" s="6" t="s">
        <v>198</v>
      </c>
      <c r="C4548" s="6">
        <v>12225</v>
      </c>
      <c r="D4548" s="6">
        <v>12901</v>
      </c>
      <c r="E4548" s="6">
        <v>12469</v>
      </c>
      <c r="F4548" t="str">
        <f t="shared" si="1919"/>
        <v>MON</v>
      </c>
      <c r="G4548" s="3">
        <f t="shared" si="1920"/>
        <v>44102</v>
      </c>
      <c r="H4548" s="2">
        <f t="shared" ca="1" si="1921"/>
        <v>151</v>
      </c>
      <c r="I4548" t="str">
        <f t="shared" si="1922"/>
        <v>DAX</v>
      </c>
      <c r="J4548">
        <f t="shared" si="1923"/>
        <v>12225</v>
      </c>
      <c r="K4548">
        <f t="shared" si="1924"/>
        <v>12901</v>
      </c>
      <c r="L4548">
        <f t="shared" si="1925"/>
        <v>12563</v>
      </c>
      <c r="M4548">
        <f t="shared" si="1926"/>
        <v>338</v>
      </c>
      <c r="N4548">
        <f t="shared" si="1930"/>
        <v>676</v>
      </c>
      <c r="O4548">
        <f t="shared" si="1927"/>
        <v>12469</v>
      </c>
      <c r="P4548">
        <f t="shared" si="1928"/>
        <v>-0.27810650887573962</v>
      </c>
      <c r="Q4548" t="str">
        <f t="shared" si="1931"/>
        <v>1.96% | 3.46%</v>
      </c>
      <c r="R4548" t="str">
        <f t="shared" si="1929"/>
        <v>NEUTRAL</v>
      </c>
      <c r="S4548">
        <f t="shared" si="1932"/>
        <v>0</v>
      </c>
    </row>
    <row r="4549" spans="1:19" hidden="1" x14ac:dyDescent="0.25">
      <c r="A4549" s="5" t="str">
        <f t="shared" si="1907"/>
        <v>44102VIX</v>
      </c>
      <c r="B4549" s="6" t="s">
        <v>202</v>
      </c>
      <c r="C4549" s="6">
        <v>24.66</v>
      </c>
      <c r="D4549" s="6">
        <v>30.03</v>
      </c>
      <c r="E4549" s="6">
        <v>26.38</v>
      </c>
      <c r="F4549" t="str">
        <f t="shared" si="1919"/>
        <v>MON</v>
      </c>
      <c r="G4549" s="3">
        <f t="shared" si="1920"/>
        <v>44102</v>
      </c>
      <c r="H4549" s="2">
        <f t="shared" ca="1" si="1921"/>
        <v>151</v>
      </c>
      <c r="I4549" t="str">
        <f t="shared" si="1922"/>
        <v>VIX</v>
      </c>
      <c r="J4549">
        <f t="shared" si="1923"/>
        <v>24.66</v>
      </c>
      <c r="K4549">
        <f t="shared" si="1924"/>
        <v>30.03</v>
      </c>
      <c r="L4549">
        <f t="shared" si="1925"/>
        <v>27.344999999999999</v>
      </c>
      <c r="M4549">
        <f t="shared" si="1926"/>
        <v>2.6850000000000005</v>
      </c>
      <c r="N4549">
        <f t="shared" si="1930"/>
        <v>5.370000000000001</v>
      </c>
      <c r="O4549">
        <f t="shared" si="1927"/>
        <v>26.38</v>
      </c>
      <c r="P4549">
        <f t="shared" si="1928"/>
        <v>-0.35940409683426433</v>
      </c>
      <c r="Q4549" t="str">
        <f t="shared" si="1931"/>
        <v>6.52% | 13.84%</v>
      </c>
      <c r="R4549" t="str">
        <f t="shared" si="1929"/>
        <v>BULLISH</v>
      </c>
      <c r="S4549">
        <f t="shared" si="1932"/>
        <v>1</v>
      </c>
    </row>
    <row r="4550" spans="1:19" hidden="1" x14ac:dyDescent="0.25">
      <c r="A4550" s="5" t="str">
        <f t="shared" ref="A4550:A4613" si="1933">G4550&amp;I4550</f>
        <v>44102USD</v>
      </c>
      <c r="B4550" s="6" t="s">
        <v>174</v>
      </c>
      <c r="C4550" s="6">
        <v>92.35</v>
      </c>
      <c r="D4550" s="6">
        <v>95.04</v>
      </c>
      <c r="E4550" s="6">
        <v>94.68</v>
      </c>
      <c r="F4550" t="str">
        <f t="shared" si="1919"/>
        <v>MON</v>
      </c>
      <c r="G4550" s="3">
        <f t="shared" si="1920"/>
        <v>44102</v>
      </c>
      <c r="H4550" s="2">
        <f t="shared" ca="1" si="1921"/>
        <v>151</v>
      </c>
      <c r="I4550" t="str">
        <f t="shared" si="1922"/>
        <v>USD</v>
      </c>
      <c r="J4550">
        <f t="shared" si="1923"/>
        <v>92.35</v>
      </c>
      <c r="K4550">
        <f t="shared" si="1924"/>
        <v>95.04</v>
      </c>
      <c r="L4550">
        <f t="shared" si="1925"/>
        <v>93.694999999999993</v>
      </c>
      <c r="M4550">
        <f t="shared" si="1926"/>
        <v>1.345000000000006</v>
      </c>
      <c r="N4550">
        <f t="shared" si="1930"/>
        <v>2.6900000000000119</v>
      </c>
      <c r="O4550">
        <f t="shared" si="1927"/>
        <v>94.68</v>
      </c>
      <c r="P4550">
        <f t="shared" si="1928"/>
        <v>0.73234200743495115</v>
      </c>
      <c r="Q4550" t="str">
        <f t="shared" si="1931"/>
        <v>2.46% | 0.38%</v>
      </c>
      <c r="R4550" t="str">
        <f t="shared" si="1929"/>
        <v>BEARISH</v>
      </c>
      <c r="S4550">
        <f t="shared" si="1932"/>
        <v>-1</v>
      </c>
    </row>
    <row r="4551" spans="1:19" hidden="1" x14ac:dyDescent="0.25">
      <c r="A4551" s="5" t="str">
        <f t="shared" si="1933"/>
        <v>44102EUR/USD</v>
      </c>
      <c r="B4551" s="6" t="s">
        <v>175</v>
      </c>
      <c r="C4551" s="6">
        <v>1.1599999999999999</v>
      </c>
      <c r="D4551" s="6">
        <v>1.19</v>
      </c>
      <c r="E4551" s="6">
        <v>1.1599999999999999</v>
      </c>
      <c r="F4551" t="str">
        <f t="shared" si="1919"/>
        <v>MON</v>
      </c>
      <c r="G4551" s="3">
        <f t="shared" si="1920"/>
        <v>44102</v>
      </c>
      <c r="H4551" s="2">
        <f t="shared" ca="1" si="1921"/>
        <v>151</v>
      </c>
      <c r="I4551" t="str">
        <f t="shared" si="1922"/>
        <v>EUR/USD</v>
      </c>
      <c r="J4551">
        <f t="shared" si="1923"/>
        <v>1.1599999999999999</v>
      </c>
      <c r="K4551">
        <f t="shared" si="1924"/>
        <v>1.19</v>
      </c>
      <c r="L4551">
        <f t="shared" si="1925"/>
        <v>1.1749999999999998</v>
      </c>
      <c r="M4551">
        <f t="shared" si="1926"/>
        <v>1.5000000000000013E-2</v>
      </c>
      <c r="N4551">
        <f t="shared" si="1930"/>
        <v>3.0000000000000027E-2</v>
      </c>
      <c r="O4551">
        <f t="shared" si="1927"/>
        <v>1.1599999999999999</v>
      </c>
      <c r="P4551">
        <f t="shared" si="1928"/>
        <v>-0.99999999999999256</v>
      </c>
      <c r="Q4551" t="str">
        <f t="shared" si="1931"/>
        <v>0% | 2.59%</v>
      </c>
      <c r="R4551" t="str">
        <f t="shared" si="1929"/>
        <v>BULLISH</v>
      </c>
      <c r="S4551">
        <f t="shared" si="1932"/>
        <v>1</v>
      </c>
    </row>
    <row r="4552" spans="1:19" hidden="1" x14ac:dyDescent="0.25">
      <c r="A4552" s="5" t="str">
        <f t="shared" si="1933"/>
        <v>44102USD/JPY</v>
      </c>
      <c r="B4552" s="6" t="s">
        <v>176</v>
      </c>
      <c r="C4552" s="6">
        <v>104.25</v>
      </c>
      <c r="D4552" s="6">
        <v>105.92</v>
      </c>
      <c r="E4552" s="6">
        <v>105.6</v>
      </c>
      <c r="F4552" t="str">
        <f t="shared" si="1919"/>
        <v>MON</v>
      </c>
      <c r="G4552" s="3">
        <f t="shared" si="1920"/>
        <v>44102</v>
      </c>
      <c r="H4552" s="2">
        <f t="shared" ca="1" si="1921"/>
        <v>151</v>
      </c>
      <c r="I4552" t="str">
        <f t="shared" si="1922"/>
        <v>USD/JPY</v>
      </c>
      <c r="J4552">
        <f t="shared" si="1923"/>
        <v>104.25</v>
      </c>
      <c r="K4552">
        <f t="shared" si="1924"/>
        <v>105.92</v>
      </c>
      <c r="L4552">
        <f t="shared" si="1925"/>
        <v>105.08500000000001</v>
      </c>
      <c r="M4552">
        <f t="shared" si="1926"/>
        <v>0.83500000000000085</v>
      </c>
      <c r="N4552">
        <f t="shared" si="1930"/>
        <v>1.6700000000000017</v>
      </c>
      <c r="O4552">
        <f t="shared" si="1927"/>
        <v>105.6</v>
      </c>
      <c r="P4552">
        <f t="shared" si="1928"/>
        <v>0.61676646706585125</v>
      </c>
      <c r="Q4552" t="str">
        <f t="shared" si="1931"/>
        <v>1.28% | 0.3%</v>
      </c>
      <c r="R4552" t="str">
        <f t="shared" si="1929"/>
        <v>BEARISH</v>
      </c>
      <c r="S4552">
        <f t="shared" si="1932"/>
        <v>-1</v>
      </c>
    </row>
    <row r="4553" spans="1:19" hidden="1" x14ac:dyDescent="0.25">
      <c r="A4553" s="5" t="str">
        <f t="shared" si="1933"/>
        <v>44102GBP/USD</v>
      </c>
      <c r="B4553" s="6" t="s">
        <v>214</v>
      </c>
      <c r="C4553" s="6">
        <v>1.26</v>
      </c>
      <c r="D4553" s="6">
        <v>1.3</v>
      </c>
      <c r="E4553" s="6">
        <v>1.27</v>
      </c>
      <c r="F4553" t="str">
        <f t="shared" si="1919"/>
        <v>MON</v>
      </c>
      <c r="G4553" s="3">
        <f t="shared" si="1920"/>
        <v>44102</v>
      </c>
      <c r="H4553" s="2">
        <f t="shared" ca="1" si="1921"/>
        <v>151</v>
      </c>
      <c r="I4553" t="str">
        <f t="shared" si="1922"/>
        <v>GBP/USD</v>
      </c>
      <c r="J4553">
        <f t="shared" si="1923"/>
        <v>1.26</v>
      </c>
      <c r="K4553">
        <f t="shared" si="1924"/>
        <v>1.3</v>
      </c>
      <c r="L4553">
        <f t="shared" si="1925"/>
        <v>1.28</v>
      </c>
      <c r="M4553">
        <f t="shared" si="1926"/>
        <v>2.0000000000000018E-2</v>
      </c>
      <c r="N4553">
        <f t="shared" si="1930"/>
        <v>4.0000000000000036E-2</v>
      </c>
      <c r="O4553">
        <f t="shared" si="1927"/>
        <v>1.27</v>
      </c>
      <c r="P4553">
        <f t="shared" si="1928"/>
        <v>-0.5</v>
      </c>
      <c r="Q4553" t="str">
        <f t="shared" si="1931"/>
        <v>0.79% | 2.36%</v>
      </c>
      <c r="R4553" t="str">
        <f t="shared" si="1929"/>
        <v>NEUTRAL</v>
      </c>
      <c r="S4553">
        <f t="shared" si="1932"/>
        <v>0</v>
      </c>
    </row>
    <row r="4554" spans="1:19" hidden="1" x14ac:dyDescent="0.25">
      <c r="A4554" s="5" t="str">
        <f t="shared" si="1933"/>
        <v>44102USD/CHF</v>
      </c>
      <c r="B4554" s="6" t="s">
        <v>178</v>
      </c>
      <c r="C4554" s="6">
        <v>0.9</v>
      </c>
      <c r="D4554" s="6">
        <v>0.93</v>
      </c>
      <c r="E4554" s="6">
        <v>0.92</v>
      </c>
      <c r="F4554" t="str">
        <f t="shared" si="1919"/>
        <v>MON</v>
      </c>
      <c r="G4554" s="3">
        <f t="shared" si="1920"/>
        <v>44102</v>
      </c>
      <c r="H4554" s="2">
        <f t="shared" ca="1" si="1921"/>
        <v>151</v>
      </c>
      <c r="I4554" t="str">
        <f t="shared" si="1922"/>
        <v>USD/CHF</v>
      </c>
      <c r="J4554">
        <f t="shared" si="1923"/>
        <v>0.9</v>
      </c>
      <c r="K4554">
        <f t="shared" si="1924"/>
        <v>0.93</v>
      </c>
      <c r="L4554">
        <f t="shared" si="1925"/>
        <v>0.91500000000000004</v>
      </c>
      <c r="M4554">
        <f t="shared" si="1926"/>
        <v>1.5000000000000013E-2</v>
      </c>
      <c r="N4554">
        <f t="shared" si="1930"/>
        <v>3.0000000000000027E-2</v>
      </c>
      <c r="O4554">
        <f t="shared" si="1927"/>
        <v>0.92</v>
      </c>
      <c r="P4554">
        <f t="shared" si="1928"/>
        <v>0.33333333333333331</v>
      </c>
      <c r="Q4554" t="str">
        <f t="shared" si="1931"/>
        <v>2.17% | 1.09%</v>
      </c>
      <c r="R4554" t="str">
        <f t="shared" si="1929"/>
        <v>BEARISH</v>
      </c>
      <c r="S4554">
        <f t="shared" si="1932"/>
        <v>-1</v>
      </c>
    </row>
    <row r="4555" spans="1:19" hidden="1" x14ac:dyDescent="0.25">
      <c r="A4555" s="5" t="str">
        <f t="shared" si="1933"/>
        <v>44102WTIC</v>
      </c>
      <c r="B4555" s="6" t="s">
        <v>205</v>
      </c>
      <c r="C4555" s="6">
        <v>38.119999999999997</v>
      </c>
      <c r="D4555" s="6">
        <v>41.68</v>
      </c>
      <c r="E4555" s="6">
        <v>40.25</v>
      </c>
      <c r="F4555" t="str">
        <f t="shared" si="1919"/>
        <v>MON</v>
      </c>
      <c r="G4555" s="3">
        <f t="shared" si="1920"/>
        <v>44102</v>
      </c>
      <c r="H4555" s="2">
        <f t="shared" ca="1" si="1921"/>
        <v>151</v>
      </c>
      <c r="I4555" t="str">
        <f t="shared" si="1922"/>
        <v>WTIC</v>
      </c>
      <c r="J4555">
        <f t="shared" si="1923"/>
        <v>38.119999999999997</v>
      </c>
      <c r="K4555">
        <f t="shared" si="1924"/>
        <v>41.68</v>
      </c>
      <c r="L4555">
        <f t="shared" si="1925"/>
        <v>39.9</v>
      </c>
      <c r="M4555">
        <f t="shared" si="1926"/>
        <v>1.7800000000000011</v>
      </c>
      <c r="N4555">
        <f t="shared" si="1930"/>
        <v>3.5600000000000023</v>
      </c>
      <c r="O4555">
        <f t="shared" si="1927"/>
        <v>40.25</v>
      </c>
      <c r="P4555">
        <f t="shared" si="1928"/>
        <v>0.19662921348314674</v>
      </c>
      <c r="Q4555" t="str">
        <f t="shared" si="1931"/>
        <v>5.29% | 3.55%</v>
      </c>
      <c r="R4555" t="str">
        <f t="shared" si="1929"/>
        <v>NEUTRAL</v>
      </c>
      <c r="S4555">
        <f t="shared" si="1932"/>
        <v>0</v>
      </c>
    </row>
    <row r="4556" spans="1:19" hidden="1" x14ac:dyDescent="0.25">
      <c r="A4556" s="5" t="str">
        <f t="shared" si="1933"/>
        <v>44102NATGAS</v>
      </c>
      <c r="B4556" s="6" t="s">
        <v>180</v>
      </c>
      <c r="C4556" s="6">
        <v>1.89</v>
      </c>
      <c r="D4556" s="6">
        <v>2.9</v>
      </c>
      <c r="E4556" s="6">
        <v>2.81</v>
      </c>
      <c r="F4556" t="str">
        <f t="shared" si="1919"/>
        <v>MON</v>
      </c>
      <c r="G4556" s="3">
        <f t="shared" si="1920"/>
        <v>44102</v>
      </c>
      <c r="H4556" s="2">
        <f t="shared" ca="1" si="1921"/>
        <v>151</v>
      </c>
      <c r="I4556" t="str">
        <f t="shared" si="1922"/>
        <v>NATGAS</v>
      </c>
      <c r="J4556">
        <f t="shared" si="1923"/>
        <v>1.89</v>
      </c>
      <c r="K4556">
        <f t="shared" si="1924"/>
        <v>2.9</v>
      </c>
      <c r="L4556">
        <f t="shared" si="1925"/>
        <v>2.395</v>
      </c>
      <c r="M4556">
        <f t="shared" si="1926"/>
        <v>0.50499999999999978</v>
      </c>
      <c r="N4556">
        <f t="shared" si="1930"/>
        <v>1.01</v>
      </c>
      <c r="O4556">
        <f t="shared" si="1927"/>
        <v>2.81</v>
      </c>
      <c r="P4556">
        <f t="shared" si="1928"/>
        <v>0.82178217821782218</v>
      </c>
      <c r="Q4556" t="str">
        <f t="shared" si="1931"/>
        <v>32.74% | 3.2%</v>
      </c>
      <c r="R4556" t="str">
        <f t="shared" si="1929"/>
        <v>BULLISH</v>
      </c>
      <c r="S4556">
        <f t="shared" si="1932"/>
        <v>1</v>
      </c>
    </row>
    <row r="4557" spans="1:19" hidden="1" x14ac:dyDescent="0.25">
      <c r="A4557" s="5" t="str">
        <f t="shared" si="1933"/>
        <v>44102GOLD</v>
      </c>
      <c r="B4557" s="6" t="s">
        <v>181</v>
      </c>
      <c r="C4557" s="6">
        <v>1837</v>
      </c>
      <c r="D4557" s="6">
        <v>2002</v>
      </c>
      <c r="E4557" s="6">
        <v>1866</v>
      </c>
      <c r="F4557" t="str">
        <f t="shared" si="1919"/>
        <v>MON</v>
      </c>
      <c r="G4557" s="3">
        <f t="shared" si="1920"/>
        <v>44102</v>
      </c>
      <c r="H4557" s="2">
        <f t="shared" ca="1" si="1921"/>
        <v>151</v>
      </c>
      <c r="I4557" t="str">
        <f t="shared" si="1922"/>
        <v>GOLD</v>
      </c>
      <c r="J4557">
        <f t="shared" si="1923"/>
        <v>1837</v>
      </c>
      <c r="K4557">
        <f t="shared" si="1924"/>
        <v>2002</v>
      </c>
      <c r="L4557">
        <f t="shared" si="1925"/>
        <v>1919.5</v>
      </c>
      <c r="M4557">
        <f t="shared" si="1926"/>
        <v>82.5</v>
      </c>
      <c r="N4557">
        <f t="shared" si="1930"/>
        <v>165</v>
      </c>
      <c r="O4557">
        <f t="shared" si="1927"/>
        <v>1866</v>
      </c>
      <c r="P4557">
        <f t="shared" si="1928"/>
        <v>-0.64848484848484844</v>
      </c>
      <c r="Q4557" t="str">
        <f t="shared" si="1931"/>
        <v>1.55% | 7.29%</v>
      </c>
      <c r="R4557" t="str">
        <f t="shared" si="1929"/>
        <v>BULLISH</v>
      </c>
      <c r="S4557">
        <f t="shared" si="1932"/>
        <v>1</v>
      </c>
    </row>
    <row r="4558" spans="1:19" hidden="1" x14ac:dyDescent="0.25">
      <c r="A4558" s="5" t="str">
        <f t="shared" si="1933"/>
        <v>44102SILVER</v>
      </c>
      <c r="B4558" s="6" t="s">
        <v>231</v>
      </c>
      <c r="C4558" s="6">
        <v>21.43</v>
      </c>
      <c r="D4558" s="6">
        <v>28.99</v>
      </c>
      <c r="E4558" s="6">
        <v>23.09</v>
      </c>
      <c r="F4558" t="str">
        <f t="shared" si="1919"/>
        <v>MON</v>
      </c>
      <c r="G4558" s="3">
        <f t="shared" si="1920"/>
        <v>44102</v>
      </c>
      <c r="H4558" s="2">
        <f t="shared" ca="1" si="1921"/>
        <v>151</v>
      </c>
      <c r="I4558" t="str">
        <f t="shared" si="1922"/>
        <v>SILVER</v>
      </c>
      <c r="J4558">
        <f t="shared" si="1923"/>
        <v>21.43</v>
      </c>
      <c r="K4558">
        <f t="shared" si="1924"/>
        <v>28.99</v>
      </c>
      <c r="L4558">
        <f t="shared" si="1925"/>
        <v>25.21</v>
      </c>
      <c r="M4558">
        <f t="shared" si="1926"/>
        <v>3.7799999999999883</v>
      </c>
      <c r="N4558">
        <f t="shared" si="1930"/>
        <v>7.5599999999999987</v>
      </c>
      <c r="O4558">
        <f t="shared" si="1927"/>
        <v>23.09</v>
      </c>
      <c r="P4558">
        <f t="shared" si="1928"/>
        <v>-0.56084656084656281</v>
      </c>
      <c r="Q4558" t="str">
        <f t="shared" si="1931"/>
        <v>7.19% | 25.55%</v>
      </c>
      <c r="R4558" t="str">
        <f t="shared" si="1929"/>
        <v>NEUTRAL</v>
      </c>
      <c r="S4558">
        <f t="shared" si="1932"/>
        <v>0</v>
      </c>
    </row>
    <row r="4559" spans="1:19" hidden="1" x14ac:dyDescent="0.25">
      <c r="A4559" s="5" t="str">
        <f t="shared" si="1933"/>
        <v>44102COPPER</v>
      </c>
      <c r="B4559" s="6" t="s">
        <v>182</v>
      </c>
      <c r="C4559" s="6">
        <v>2.93</v>
      </c>
      <c r="D4559" s="6">
        <v>3.12</v>
      </c>
      <c r="E4559" s="6">
        <v>2.97</v>
      </c>
      <c r="F4559" t="str">
        <f t="shared" si="1919"/>
        <v>MON</v>
      </c>
      <c r="G4559" s="3">
        <f t="shared" si="1920"/>
        <v>44102</v>
      </c>
      <c r="H4559" s="2">
        <f t="shared" ca="1" si="1921"/>
        <v>151</v>
      </c>
      <c r="I4559" t="str">
        <f t="shared" si="1922"/>
        <v>COPPER</v>
      </c>
      <c r="J4559">
        <f t="shared" si="1923"/>
        <v>2.93</v>
      </c>
      <c r="K4559">
        <f t="shared" si="1924"/>
        <v>3.12</v>
      </c>
      <c r="L4559">
        <f t="shared" si="1925"/>
        <v>3.0250000000000004</v>
      </c>
      <c r="M4559">
        <f t="shared" si="1926"/>
        <v>9.4999999999999973E-2</v>
      </c>
      <c r="N4559">
        <f t="shared" si="1930"/>
        <v>0.18999999999999995</v>
      </c>
      <c r="O4559">
        <f t="shared" si="1927"/>
        <v>2.97</v>
      </c>
      <c r="P4559">
        <f t="shared" si="1928"/>
        <v>-0.57894736842105443</v>
      </c>
      <c r="Q4559" t="str">
        <f t="shared" si="1931"/>
        <v>1.35% | 5.05%</v>
      </c>
      <c r="R4559" t="str">
        <f t="shared" si="1929"/>
        <v>BULLISH</v>
      </c>
      <c r="S4559">
        <f t="shared" si="1932"/>
        <v>1</v>
      </c>
    </row>
    <row r="4560" spans="1:19" hidden="1" x14ac:dyDescent="0.25">
      <c r="A4560" s="5" t="str">
        <f t="shared" si="1933"/>
        <v>44102MSFT</v>
      </c>
      <c r="B4560" s="6" t="s">
        <v>206</v>
      </c>
      <c r="C4560" s="6">
        <v>198</v>
      </c>
      <c r="D4560" s="6">
        <v>212</v>
      </c>
      <c r="E4560" s="6">
        <v>207</v>
      </c>
      <c r="F4560" t="str">
        <f t="shared" si="1919"/>
        <v>MON</v>
      </c>
      <c r="G4560" s="3">
        <f t="shared" si="1920"/>
        <v>44102</v>
      </c>
      <c r="H4560" s="2">
        <f t="shared" ca="1" si="1921"/>
        <v>151</v>
      </c>
      <c r="I4560" t="str">
        <f t="shared" si="1922"/>
        <v>MSFT</v>
      </c>
      <c r="J4560">
        <f t="shared" si="1923"/>
        <v>198</v>
      </c>
      <c r="K4560">
        <f t="shared" si="1924"/>
        <v>212</v>
      </c>
      <c r="L4560">
        <f t="shared" si="1925"/>
        <v>205</v>
      </c>
      <c r="M4560">
        <f t="shared" si="1926"/>
        <v>7</v>
      </c>
      <c r="N4560">
        <f t="shared" si="1930"/>
        <v>14</v>
      </c>
      <c r="O4560">
        <f t="shared" si="1927"/>
        <v>207</v>
      </c>
      <c r="P4560">
        <f t="shared" si="1928"/>
        <v>0.2857142857142857</v>
      </c>
      <c r="Q4560" t="str">
        <f t="shared" si="1931"/>
        <v>4.35% | 2.42%</v>
      </c>
      <c r="R4560" t="str">
        <f t="shared" si="1929"/>
        <v>NEUTRAL</v>
      </c>
      <c r="S4560">
        <f t="shared" si="1932"/>
        <v>0</v>
      </c>
    </row>
    <row r="4561" spans="1:19" hidden="1" x14ac:dyDescent="0.25">
      <c r="A4561" s="5" t="str">
        <f t="shared" si="1933"/>
        <v>44102AAPL</v>
      </c>
      <c r="B4561" s="6" t="s">
        <v>207</v>
      </c>
      <c r="C4561" s="6">
        <v>105</v>
      </c>
      <c r="D4561" s="6">
        <v>116</v>
      </c>
      <c r="E4561" s="6">
        <v>112</v>
      </c>
      <c r="F4561" t="str">
        <f t="shared" si="1919"/>
        <v>MON</v>
      </c>
      <c r="G4561" s="3">
        <f t="shared" si="1920"/>
        <v>44102</v>
      </c>
      <c r="H4561" s="2">
        <f t="shared" ca="1" si="1921"/>
        <v>151</v>
      </c>
      <c r="I4561" t="str">
        <f t="shared" si="1922"/>
        <v>AAPL</v>
      </c>
      <c r="J4561">
        <f t="shared" si="1923"/>
        <v>105</v>
      </c>
      <c r="K4561">
        <f t="shared" si="1924"/>
        <v>116</v>
      </c>
      <c r="L4561">
        <f t="shared" si="1925"/>
        <v>110.5</v>
      </c>
      <c r="M4561">
        <f t="shared" si="1926"/>
        <v>5.5</v>
      </c>
      <c r="N4561">
        <f t="shared" si="1930"/>
        <v>11</v>
      </c>
      <c r="O4561">
        <f t="shared" si="1927"/>
        <v>112</v>
      </c>
      <c r="P4561">
        <f t="shared" si="1928"/>
        <v>0.27272727272727271</v>
      </c>
      <c r="Q4561" t="str">
        <f t="shared" si="1931"/>
        <v>6.25% | 3.57%</v>
      </c>
      <c r="R4561" t="str">
        <f t="shared" si="1929"/>
        <v>NEUTRAL</v>
      </c>
      <c r="S4561">
        <f t="shared" si="1932"/>
        <v>0</v>
      </c>
    </row>
    <row r="4562" spans="1:19" hidden="1" x14ac:dyDescent="0.25">
      <c r="A4562" s="5" t="str">
        <f t="shared" si="1933"/>
        <v>44102AMZN</v>
      </c>
      <c r="B4562" s="6" t="s">
        <v>185</v>
      </c>
      <c r="C4562" s="6">
        <v>2906</v>
      </c>
      <c r="D4562" s="6">
        <v>3191</v>
      </c>
      <c r="E4562" s="6">
        <v>3095</v>
      </c>
      <c r="F4562" t="str">
        <f t="shared" si="1919"/>
        <v>MON</v>
      </c>
      <c r="G4562" s="3">
        <f t="shared" si="1920"/>
        <v>44102</v>
      </c>
      <c r="H4562" s="2">
        <f t="shared" ca="1" si="1921"/>
        <v>151</v>
      </c>
      <c r="I4562" t="str">
        <f t="shared" si="1922"/>
        <v>AMZN</v>
      </c>
      <c r="J4562">
        <f t="shared" si="1923"/>
        <v>2906</v>
      </c>
      <c r="K4562">
        <f t="shared" si="1924"/>
        <v>3191</v>
      </c>
      <c r="L4562">
        <f t="shared" si="1925"/>
        <v>3048.5</v>
      </c>
      <c r="M4562">
        <f t="shared" si="1926"/>
        <v>142.5</v>
      </c>
      <c r="N4562">
        <f t="shared" si="1930"/>
        <v>285</v>
      </c>
      <c r="O4562">
        <f t="shared" si="1927"/>
        <v>3095</v>
      </c>
      <c r="P4562">
        <f t="shared" si="1928"/>
        <v>0.32631578947368423</v>
      </c>
      <c r="Q4562" t="str">
        <f t="shared" si="1931"/>
        <v>6.11% | 3.1%</v>
      </c>
      <c r="R4562" t="str">
        <f t="shared" si="1929"/>
        <v>BULLISH</v>
      </c>
      <c r="S4562">
        <f t="shared" si="1932"/>
        <v>1</v>
      </c>
    </row>
    <row r="4563" spans="1:19" hidden="1" x14ac:dyDescent="0.25">
      <c r="A4563" s="5" t="str">
        <f t="shared" si="1933"/>
        <v>44102FB</v>
      </c>
      <c r="B4563" s="6" t="s">
        <v>230</v>
      </c>
      <c r="C4563" s="6">
        <v>239</v>
      </c>
      <c r="D4563" s="6">
        <v>271</v>
      </c>
      <c r="E4563" s="6">
        <v>254</v>
      </c>
      <c r="F4563" t="str">
        <f t="shared" si="1919"/>
        <v>MON</v>
      </c>
      <c r="G4563" s="3">
        <f t="shared" si="1920"/>
        <v>44102</v>
      </c>
      <c r="H4563" s="2">
        <f t="shared" ca="1" si="1921"/>
        <v>151</v>
      </c>
      <c r="I4563" t="str">
        <f t="shared" si="1922"/>
        <v>FB</v>
      </c>
      <c r="J4563">
        <f t="shared" si="1923"/>
        <v>239</v>
      </c>
      <c r="K4563">
        <f t="shared" si="1924"/>
        <v>271</v>
      </c>
      <c r="L4563">
        <f t="shared" si="1925"/>
        <v>255</v>
      </c>
      <c r="M4563">
        <f t="shared" si="1926"/>
        <v>16</v>
      </c>
      <c r="N4563">
        <f t="shared" si="1930"/>
        <v>32</v>
      </c>
      <c r="O4563">
        <f t="shared" si="1927"/>
        <v>254</v>
      </c>
      <c r="P4563">
        <f t="shared" si="1928"/>
        <v>-6.25E-2</v>
      </c>
      <c r="Q4563" t="str">
        <f t="shared" si="1931"/>
        <v>5.91% | 6.69%</v>
      </c>
      <c r="R4563" t="str">
        <f t="shared" si="1929"/>
        <v>BEARISH</v>
      </c>
      <c r="S4563">
        <f t="shared" si="1932"/>
        <v>-1</v>
      </c>
    </row>
    <row r="4564" spans="1:19" hidden="1" x14ac:dyDescent="0.25">
      <c r="A4564" s="5" t="str">
        <f t="shared" si="1933"/>
        <v>44102GOOGL</v>
      </c>
      <c r="B4564" s="6" t="s">
        <v>221</v>
      </c>
      <c r="C4564" s="6">
        <v>1375</v>
      </c>
      <c r="D4564" s="6">
        <v>1510</v>
      </c>
      <c r="E4564" s="6">
        <v>1439</v>
      </c>
      <c r="F4564" t="str">
        <f t="shared" si="1919"/>
        <v>MON</v>
      </c>
      <c r="G4564" s="3">
        <f t="shared" si="1920"/>
        <v>44102</v>
      </c>
      <c r="H4564" s="2">
        <f t="shared" ca="1" si="1921"/>
        <v>151</v>
      </c>
      <c r="I4564" t="str">
        <f t="shared" si="1922"/>
        <v>GOOGL</v>
      </c>
      <c r="J4564">
        <f t="shared" si="1923"/>
        <v>1375</v>
      </c>
      <c r="K4564">
        <f t="shared" si="1924"/>
        <v>1510</v>
      </c>
      <c r="L4564">
        <f t="shared" si="1925"/>
        <v>1442.5</v>
      </c>
      <c r="M4564">
        <f t="shared" si="1926"/>
        <v>67.5</v>
      </c>
      <c r="N4564">
        <f t="shared" si="1930"/>
        <v>135</v>
      </c>
      <c r="O4564">
        <f t="shared" si="1927"/>
        <v>1439</v>
      </c>
      <c r="P4564">
        <f t="shared" si="1928"/>
        <v>-5.185185185185185E-2</v>
      </c>
      <c r="Q4564" t="str">
        <f t="shared" si="1931"/>
        <v>4.45% | 4.93%</v>
      </c>
      <c r="R4564" t="str">
        <f t="shared" si="1929"/>
        <v>BEARISH</v>
      </c>
      <c r="S4564">
        <f t="shared" si="1932"/>
        <v>-1</v>
      </c>
    </row>
    <row r="4565" spans="1:19" hidden="1" x14ac:dyDescent="0.25">
      <c r="A4565" s="5" t="str">
        <f t="shared" si="1933"/>
        <v>44102NFLX</v>
      </c>
      <c r="B4565" s="6" t="s">
        <v>213</v>
      </c>
      <c r="C4565" s="6">
        <v>459</v>
      </c>
      <c r="D4565" s="6">
        <v>499</v>
      </c>
      <c r="E4565" s="6">
        <v>482</v>
      </c>
      <c r="F4565" t="str">
        <f t="shared" si="1919"/>
        <v>MON</v>
      </c>
      <c r="G4565" s="3">
        <f t="shared" si="1920"/>
        <v>44102</v>
      </c>
      <c r="H4565" s="2">
        <f t="shared" ca="1" si="1921"/>
        <v>151</v>
      </c>
      <c r="I4565" t="str">
        <f t="shared" si="1922"/>
        <v>NFLX</v>
      </c>
      <c r="J4565">
        <f t="shared" si="1923"/>
        <v>459</v>
      </c>
      <c r="K4565">
        <f t="shared" si="1924"/>
        <v>499</v>
      </c>
      <c r="L4565">
        <f t="shared" si="1925"/>
        <v>479</v>
      </c>
      <c r="M4565">
        <f t="shared" si="1926"/>
        <v>20</v>
      </c>
      <c r="N4565">
        <f t="shared" si="1930"/>
        <v>40</v>
      </c>
      <c r="O4565">
        <f t="shared" si="1927"/>
        <v>482</v>
      </c>
      <c r="P4565">
        <f t="shared" si="1928"/>
        <v>0.15</v>
      </c>
      <c r="Q4565" t="str">
        <f t="shared" si="1931"/>
        <v>4.77% | 3.53%</v>
      </c>
      <c r="R4565" t="str">
        <f t="shared" si="1929"/>
        <v>BEARISH</v>
      </c>
      <c r="S4565">
        <f t="shared" si="1932"/>
        <v>-1</v>
      </c>
    </row>
    <row r="4566" spans="1:19" x14ac:dyDescent="0.25">
      <c r="A4566" s="5" t="str">
        <f t="shared" si="1933"/>
        <v>44102TSLA</v>
      </c>
      <c r="B4566" s="6" t="s">
        <v>209</v>
      </c>
      <c r="C4566" s="6">
        <v>369</v>
      </c>
      <c r="D4566" s="6">
        <v>473</v>
      </c>
      <c r="E4566" s="6">
        <v>407</v>
      </c>
      <c r="F4566" t="str">
        <f t="shared" si="1919"/>
        <v>MON</v>
      </c>
      <c r="G4566" s="3">
        <f t="shared" si="1920"/>
        <v>44102</v>
      </c>
      <c r="H4566" s="2">
        <f t="shared" ca="1" si="1921"/>
        <v>151</v>
      </c>
      <c r="I4566" t="str">
        <f t="shared" si="1922"/>
        <v>TSLA</v>
      </c>
      <c r="J4566">
        <f t="shared" si="1923"/>
        <v>369</v>
      </c>
      <c r="K4566">
        <f t="shared" si="1924"/>
        <v>473</v>
      </c>
      <c r="L4566">
        <f t="shared" si="1925"/>
        <v>421</v>
      </c>
      <c r="M4566">
        <f t="shared" si="1926"/>
        <v>52</v>
      </c>
      <c r="N4566">
        <f t="shared" si="1930"/>
        <v>104</v>
      </c>
      <c r="O4566">
        <f t="shared" si="1927"/>
        <v>407</v>
      </c>
      <c r="P4566">
        <f t="shared" si="1928"/>
        <v>-0.26923076923076922</v>
      </c>
      <c r="Q4566" t="str">
        <f t="shared" si="1931"/>
        <v>9.34% | 16.22%</v>
      </c>
      <c r="R4566" t="str">
        <f t="shared" si="1929"/>
        <v>NEUTRAL</v>
      </c>
      <c r="S4566">
        <f t="shared" si="1932"/>
        <v>0</v>
      </c>
    </row>
    <row r="4567" spans="1:19" hidden="1" x14ac:dyDescent="0.25">
      <c r="A4567" s="5" t="str">
        <f t="shared" si="1933"/>
        <v>44102NYXBT</v>
      </c>
      <c r="B4567" s="6" t="s">
        <v>190</v>
      </c>
      <c r="C4567" s="6">
        <v>10215</v>
      </c>
      <c r="D4567" s="6">
        <v>11088</v>
      </c>
      <c r="E4567" s="6">
        <v>10619</v>
      </c>
      <c r="F4567" t="str">
        <f t="shared" si="1919"/>
        <v>MON</v>
      </c>
      <c r="G4567" s="3">
        <f t="shared" si="1920"/>
        <v>44102</v>
      </c>
      <c r="H4567" s="2">
        <f t="shared" ca="1" si="1921"/>
        <v>151</v>
      </c>
      <c r="I4567" t="str">
        <f t="shared" si="1922"/>
        <v>NYXBT</v>
      </c>
      <c r="J4567">
        <f t="shared" si="1923"/>
        <v>10215</v>
      </c>
      <c r="K4567">
        <f t="shared" si="1924"/>
        <v>11088</v>
      </c>
      <c r="L4567">
        <f t="shared" si="1925"/>
        <v>10651.5</v>
      </c>
      <c r="M4567">
        <f t="shared" si="1926"/>
        <v>436.5</v>
      </c>
      <c r="N4567">
        <f t="shared" si="1930"/>
        <v>873</v>
      </c>
      <c r="O4567">
        <f t="shared" si="1927"/>
        <v>10619</v>
      </c>
      <c r="P4567">
        <f t="shared" si="1928"/>
        <v>-7.4455899198167239E-2</v>
      </c>
      <c r="Q4567" t="str">
        <f t="shared" si="1931"/>
        <v>3.8% | 4.42%</v>
      </c>
      <c r="R4567" t="str">
        <f t="shared" si="1929"/>
        <v>BULLISH</v>
      </c>
      <c r="S4567">
        <f t="shared" si="1932"/>
        <v>1</v>
      </c>
    </row>
    <row r="4568" spans="1:19" hidden="1" x14ac:dyDescent="0.25">
      <c r="A4568" s="5" t="str">
        <f t="shared" si="1933"/>
        <v>44103UST10Y</v>
      </c>
      <c r="B4568" s="6" t="s">
        <v>161</v>
      </c>
      <c r="C4568" s="6">
        <v>0.69</v>
      </c>
      <c r="D4568" s="6">
        <v>0.63</v>
      </c>
      <c r="E4568" s="6">
        <v>0.67</v>
      </c>
      <c r="F4568" t="str">
        <f t="shared" si="1919"/>
        <v>TUE</v>
      </c>
      <c r="G4568" s="1">
        <f>DATE(2020,9,29)</f>
        <v>44103</v>
      </c>
      <c r="H4568" s="2">
        <f t="shared" ca="1" si="1921"/>
        <v>150</v>
      </c>
      <c r="I4568" t="str">
        <f t="shared" si="1922"/>
        <v>UST10Y</v>
      </c>
      <c r="J4568">
        <f t="shared" si="1923"/>
        <v>0.69</v>
      </c>
      <c r="K4568">
        <f t="shared" si="1924"/>
        <v>0.63</v>
      </c>
      <c r="L4568">
        <f t="shared" si="1925"/>
        <v>0.65999999999999992</v>
      </c>
      <c r="M4568">
        <f t="shared" si="1926"/>
        <v>2.9999999999999971E-2</v>
      </c>
      <c r="N4568">
        <f t="shared" si="1930"/>
        <v>5.9999999999999942E-2</v>
      </c>
      <c r="O4568">
        <f t="shared" si="1927"/>
        <v>0.67</v>
      </c>
      <c r="P4568">
        <f t="shared" si="1928"/>
        <v>0.33333333333333764</v>
      </c>
      <c r="Q4568" t="str">
        <f t="shared" si="1931"/>
        <v>2.99% | 5.97%</v>
      </c>
      <c r="R4568" t="str">
        <f t="shared" si="1929"/>
        <v>BEARISH</v>
      </c>
      <c r="S4568">
        <f t="shared" si="1932"/>
        <v>-1</v>
      </c>
    </row>
    <row r="4569" spans="1:19" hidden="1" x14ac:dyDescent="0.25">
      <c r="A4569" s="5" t="str">
        <f t="shared" si="1933"/>
        <v>44103UST2Y</v>
      </c>
      <c r="B4569" s="6" t="s">
        <v>162</v>
      </c>
      <c r="C4569" s="6">
        <v>0.15</v>
      </c>
      <c r="D4569" s="6">
        <v>0.1</v>
      </c>
      <c r="E4569" s="6">
        <v>0.14000000000000001</v>
      </c>
      <c r="F4569" t="str">
        <f t="shared" ref="F4569:F4599" si="1934">UPPER(TEXT(G4569,"ddd"))</f>
        <v>TUE</v>
      </c>
      <c r="G4569" s="1">
        <f t="shared" ref="G4569:G4598" si="1935">DATE(2020,9,29)</f>
        <v>44103</v>
      </c>
      <c r="H4569" s="2">
        <f t="shared" ref="H4569:H4599" ca="1" si="1936">TODAY()-G4569</f>
        <v>150</v>
      </c>
      <c r="I4569" t="str">
        <f t="shared" ref="I4569:I4599" si="1937">TRIM(LEFT(B4569,FIND(" ",B4569,1)))</f>
        <v>UST2Y</v>
      </c>
      <c r="J4569">
        <f t="shared" ref="J4569:J4599" si="1938">C4569</f>
        <v>0.15</v>
      </c>
      <c r="K4569">
        <f t="shared" ref="K4569:K4599" si="1939">D4569</f>
        <v>0.1</v>
      </c>
      <c r="L4569">
        <f t="shared" ref="L4569:L4599" si="1940">AVERAGE(J4569:K4569)</f>
        <v>0.125</v>
      </c>
      <c r="M4569">
        <f t="shared" ref="M4569:M4599" si="1941">_xlfn.STDEV.P(J4569:K4569)</f>
        <v>2.5000000000000012E-2</v>
      </c>
      <c r="N4569">
        <f t="shared" si="1930"/>
        <v>4.9999999999999989E-2</v>
      </c>
      <c r="O4569">
        <f t="shared" ref="O4569:O4599" si="1942">E4569</f>
        <v>0.14000000000000001</v>
      </c>
      <c r="P4569">
        <f t="shared" ref="P4569:P4599" si="1943">(O4569-L4569)/M4569</f>
        <v>0.6000000000000002</v>
      </c>
      <c r="Q4569" t="str">
        <f t="shared" si="1931"/>
        <v>7.14% | 28.57%</v>
      </c>
      <c r="R4569" t="str">
        <f t="shared" ref="R4569:R4599" si="1944">MID(B4569,FIND("(",B4569,1)+1,FIND(")",B4569,1)-FIND("(",B4569,1)-1)</f>
        <v>BEARISH</v>
      </c>
      <c r="S4569">
        <f t="shared" si="1932"/>
        <v>-1</v>
      </c>
    </row>
    <row r="4570" spans="1:19" hidden="1" x14ac:dyDescent="0.25">
      <c r="A4570" s="5" t="str">
        <f t="shared" si="1933"/>
        <v>44103SPX</v>
      </c>
      <c r="B4570" s="6" t="s">
        <v>211</v>
      </c>
      <c r="C4570" s="6">
        <v>3214</v>
      </c>
      <c r="D4570" s="6">
        <v>3386</v>
      </c>
      <c r="E4570" s="6">
        <v>3351</v>
      </c>
      <c r="F4570" t="str">
        <f t="shared" si="1934"/>
        <v>TUE</v>
      </c>
      <c r="G4570" s="1">
        <f t="shared" si="1935"/>
        <v>44103</v>
      </c>
      <c r="H4570" s="2">
        <f t="shared" ca="1" si="1936"/>
        <v>150</v>
      </c>
      <c r="I4570" t="str">
        <f t="shared" si="1937"/>
        <v>SPX</v>
      </c>
      <c r="J4570">
        <f t="shared" si="1938"/>
        <v>3214</v>
      </c>
      <c r="K4570">
        <f t="shared" si="1939"/>
        <v>3386</v>
      </c>
      <c r="L4570">
        <f t="shared" si="1940"/>
        <v>3300</v>
      </c>
      <c r="M4570">
        <f t="shared" si="1941"/>
        <v>86</v>
      </c>
      <c r="N4570">
        <f t="shared" si="1930"/>
        <v>172</v>
      </c>
      <c r="O4570">
        <f t="shared" si="1942"/>
        <v>3351</v>
      </c>
      <c r="P4570">
        <f t="shared" si="1943"/>
        <v>0.59302325581395354</v>
      </c>
      <c r="Q4570" t="str">
        <f t="shared" si="1931"/>
        <v>4.09% | 1.04%</v>
      </c>
      <c r="R4570" t="str">
        <f t="shared" si="1944"/>
        <v>BEARISH</v>
      </c>
      <c r="S4570">
        <f t="shared" si="1932"/>
        <v>-1</v>
      </c>
    </row>
    <row r="4571" spans="1:19" hidden="1" x14ac:dyDescent="0.25">
      <c r="A4571" s="5" t="str">
        <f t="shared" si="1933"/>
        <v>44103RUT</v>
      </c>
      <c r="B4571" s="6" t="s">
        <v>164</v>
      </c>
      <c r="C4571" s="6">
        <v>1425</v>
      </c>
      <c r="D4571" s="6">
        <v>1528</v>
      </c>
      <c r="E4571" s="6">
        <v>1510</v>
      </c>
      <c r="F4571" t="str">
        <f t="shared" si="1934"/>
        <v>TUE</v>
      </c>
      <c r="G4571" s="1">
        <f t="shared" si="1935"/>
        <v>44103</v>
      </c>
      <c r="H4571" s="2">
        <f t="shared" ca="1" si="1936"/>
        <v>150</v>
      </c>
      <c r="I4571" t="str">
        <f t="shared" si="1937"/>
        <v>RUT</v>
      </c>
      <c r="J4571">
        <f t="shared" si="1938"/>
        <v>1425</v>
      </c>
      <c r="K4571">
        <f t="shared" si="1939"/>
        <v>1528</v>
      </c>
      <c r="L4571">
        <f t="shared" si="1940"/>
        <v>1476.5</v>
      </c>
      <c r="M4571">
        <f t="shared" si="1941"/>
        <v>51.5</v>
      </c>
      <c r="N4571">
        <f t="shared" si="1930"/>
        <v>103</v>
      </c>
      <c r="O4571">
        <f t="shared" si="1942"/>
        <v>1510</v>
      </c>
      <c r="P4571">
        <f t="shared" si="1943"/>
        <v>0.65048543689320393</v>
      </c>
      <c r="Q4571" t="str">
        <f t="shared" si="1931"/>
        <v>5.63% | 1.19%</v>
      </c>
      <c r="R4571" t="str">
        <f t="shared" si="1944"/>
        <v>BEARISH</v>
      </c>
      <c r="S4571">
        <f t="shared" si="1932"/>
        <v>-1</v>
      </c>
    </row>
    <row r="4572" spans="1:19" hidden="1" x14ac:dyDescent="0.25">
      <c r="A4572" s="5" t="str">
        <f t="shared" si="1933"/>
        <v>44103COMPQ</v>
      </c>
      <c r="B4572" s="6" t="s">
        <v>217</v>
      </c>
      <c r="C4572" s="6">
        <v>10551</v>
      </c>
      <c r="D4572" s="6">
        <v>11189</v>
      </c>
      <c r="E4572" s="6">
        <v>11117</v>
      </c>
      <c r="F4572" t="str">
        <f t="shared" si="1934"/>
        <v>TUE</v>
      </c>
      <c r="G4572" s="1">
        <f t="shared" si="1935"/>
        <v>44103</v>
      </c>
      <c r="H4572" s="2">
        <f t="shared" ca="1" si="1936"/>
        <v>150</v>
      </c>
      <c r="I4572" t="str">
        <f t="shared" si="1937"/>
        <v>COMPQ</v>
      </c>
      <c r="J4572">
        <f t="shared" si="1938"/>
        <v>10551</v>
      </c>
      <c r="K4572">
        <f t="shared" si="1939"/>
        <v>11189</v>
      </c>
      <c r="L4572">
        <f t="shared" si="1940"/>
        <v>10870</v>
      </c>
      <c r="M4572">
        <f t="shared" si="1941"/>
        <v>319</v>
      </c>
      <c r="N4572">
        <f t="shared" si="1930"/>
        <v>638</v>
      </c>
      <c r="O4572">
        <f t="shared" si="1942"/>
        <v>11117</v>
      </c>
      <c r="P4572">
        <f t="shared" si="1943"/>
        <v>0.77429467084639503</v>
      </c>
      <c r="Q4572" t="str">
        <f t="shared" si="1931"/>
        <v>5.09% | 0.65%</v>
      </c>
      <c r="R4572" t="str">
        <f t="shared" si="1944"/>
        <v>BEARISH</v>
      </c>
      <c r="S4572">
        <f t="shared" si="1932"/>
        <v>-1</v>
      </c>
    </row>
    <row r="4573" spans="1:19" hidden="1" x14ac:dyDescent="0.25">
      <c r="A4573" s="5" t="str">
        <f t="shared" si="1933"/>
        <v>44103XLK</v>
      </c>
      <c r="B4573" s="6" t="s">
        <v>203</v>
      </c>
      <c r="C4573" s="6">
        <v>109.67</v>
      </c>
      <c r="D4573" s="6">
        <v>116.76</v>
      </c>
      <c r="E4573" s="6">
        <v>116.12</v>
      </c>
      <c r="F4573" t="str">
        <f t="shared" si="1934"/>
        <v>TUE</v>
      </c>
      <c r="G4573" s="1">
        <f t="shared" si="1935"/>
        <v>44103</v>
      </c>
      <c r="H4573" s="2">
        <f t="shared" ca="1" si="1936"/>
        <v>150</v>
      </c>
      <c r="I4573" t="str">
        <f t="shared" si="1937"/>
        <v>XLK</v>
      </c>
      <c r="J4573">
        <f t="shared" si="1938"/>
        <v>109.67</v>
      </c>
      <c r="K4573">
        <f t="shared" si="1939"/>
        <v>116.76</v>
      </c>
      <c r="L4573">
        <f t="shared" si="1940"/>
        <v>113.215</v>
      </c>
      <c r="M4573">
        <f t="shared" si="1941"/>
        <v>3.5450000000000017</v>
      </c>
      <c r="N4573">
        <f t="shared" si="1930"/>
        <v>7.0900000000000034</v>
      </c>
      <c r="O4573">
        <f t="shared" si="1942"/>
        <v>116.12</v>
      </c>
      <c r="P4573">
        <f t="shared" si="1943"/>
        <v>0.8194640338504936</v>
      </c>
      <c r="Q4573" t="str">
        <f t="shared" si="1931"/>
        <v>5.55% | 0.55%</v>
      </c>
      <c r="R4573" t="str">
        <f t="shared" si="1944"/>
        <v>NEUTRAL</v>
      </c>
      <c r="S4573">
        <f t="shared" si="1932"/>
        <v>0</v>
      </c>
    </row>
    <row r="4574" spans="1:19" hidden="1" x14ac:dyDescent="0.25">
      <c r="A4574" s="5" t="str">
        <f t="shared" si="1933"/>
        <v>44103XLRE</v>
      </c>
      <c r="B4574" s="6" t="s">
        <v>232</v>
      </c>
      <c r="C4574" s="6">
        <v>33.200000000000003</v>
      </c>
      <c r="D4574" s="6">
        <v>36.22</v>
      </c>
      <c r="E4574" s="6">
        <v>35.270000000000003</v>
      </c>
      <c r="F4574" t="str">
        <f t="shared" si="1934"/>
        <v>TUE</v>
      </c>
      <c r="G4574" s="1">
        <f t="shared" si="1935"/>
        <v>44103</v>
      </c>
      <c r="H4574" s="2">
        <f t="shared" ca="1" si="1936"/>
        <v>150</v>
      </c>
      <c r="I4574" t="str">
        <f t="shared" si="1937"/>
        <v>XLRE</v>
      </c>
      <c r="J4574">
        <f t="shared" si="1938"/>
        <v>33.200000000000003</v>
      </c>
      <c r="K4574">
        <f t="shared" si="1939"/>
        <v>36.22</v>
      </c>
      <c r="L4574">
        <f t="shared" si="1940"/>
        <v>34.71</v>
      </c>
      <c r="M4574">
        <f t="shared" si="1941"/>
        <v>1.509999999999998</v>
      </c>
      <c r="N4574">
        <f t="shared" si="1930"/>
        <v>3.019999999999996</v>
      </c>
      <c r="O4574">
        <f t="shared" si="1942"/>
        <v>35.270000000000003</v>
      </c>
      <c r="P4574">
        <f t="shared" si="1943"/>
        <v>0.37086092715231989</v>
      </c>
      <c r="Q4574" t="str">
        <f t="shared" si="1931"/>
        <v>5.87% | 2.69%</v>
      </c>
      <c r="R4574" t="str">
        <f t="shared" si="1944"/>
        <v>NEUTRAL</v>
      </c>
      <c r="S4574">
        <f t="shared" si="1932"/>
        <v>0</v>
      </c>
    </row>
    <row r="4575" spans="1:19" hidden="1" x14ac:dyDescent="0.25">
      <c r="A4575" s="5" t="str">
        <f t="shared" si="1933"/>
        <v>44103XLU</v>
      </c>
      <c r="B4575" s="6" t="s">
        <v>168</v>
      </c>
      <c r="C4575" s="6">
        <v>56.64</v>
      </c>
      <c r="D4575" s="6">
        <v>59.98</v>
      </c>
      <c r="E4575" s="6">
        <v>58.87</v>
      </c>
      <c r="F4575" t="str">
        <f t="shared" si="1934"/>
        <v>TUE</v>
      </c>
      <c r="G4575" s="1">
        <f t="shared" si="1935"/>
        <v>44103</v>
      </c>
      <c r="H4575" s="2">
        <f t="shared" ca="1" si="1936"/>
        <v>150</v>
      </c>
      <c r="I4575" t="str">
        <f t="shared" si="1937"/>
        <v>XLU</v>
      </c>
      <c r="J4575">
        <f t="shared" si="1938"/>
        <v>56.64</v>
      </c>
      <c r="K4575">
        <f t="shared" si="1939"/>
        <v>59.98</v>
      </c>
      <c r="L4575">
        <f t="shared" si="1940"/>
        <v>58.31</v>
      </c>
      <c r="M4575">
        <f t="shared" si="1941"/>
        <v>1.6699999999999982</v>
      </c>
      <c r="N4575">
        <f t="shared" si="1930"/>
        <v>3.3399999999999963</v>
      </c>
      <c r="O4575">
        <f t="shared" si="1942"/>
        <v>58.87</v>
      </c>
      <c r="P4575">
        <f t="shared" si="1943"/>
        <v>0.33532934131736275</v>
      </c>
      <c r="Q4575" t="str">
        <f t="shared" si="1931"/>
        <v>3.79% | 1.89%</v>
      </c>
      <c r="R4575" t="str">
        <f t="shared" si="1944"/>
        <v>BULLISH</v>
      </c>
      <c r="S4575">
        <f t="shared" si="1932"/>
        <v>1</v>
      </c>
    </row>
    <row r="4576" spans="1:19" hidden="1" x14ac:dyDescent="0.25">
      <c r="A4576" s="5" t="str">
        <f t="shared" si="1933"/>
        <v>44103XLF</v>
      </c>
      <c r="B4576" s="6" t="s">
        <v>169</v>
      </c>
      <c r="C4576" s="6">
        <v>22.62</v>
      </c>
      <c r="D4576" s="6">
        <v>24.28</v>
      </c>
      <c r="E4576" s="6">
        <v>24.05</v>
      </c>
      <c r="F4576" t="str">
        <f t="shared" si="1934"/>
        <v>TUE</v>
      </c>
      <c r="G4576" s="1">
        <f t="shared" si="1935"/>
        <v>44103</v>
      </c>
      <c r="H4576" s="2">
        <f t="shared" ca="1" si="1936"/>
        <v>150</v>
      </c>
      <c r="I4576" t="str">
        <f t="shared" si="1937"/>
        <v>XLF</v>
      </c>
      <c r="J4576">
        <f t="shared" si="1938"/>
        <v>22.62</v>
      </c>
      <c r="K4576">
        <f t="shared" si="1939"/>
        <v>24.28</v>
      </c>
      <c r="L4576">
        <f t="shared" si="1940"/>
        <v>23.450000000000003</v>
      </c>
      <c r="M4576">
        <f t="shared" si="1941"/>
        <v>0.83000000000000007</v>
      </c>
      <c r="N4576">
        <f t="shared" si="1930"/>
        <v>1.6600000000000001</v>
      </c>
      <c r="O4576">
        <f t="shared" si="1942"/>
        <v>24.05</v>
      </c>
      <c r="P4576">
        <f t="shared" si="1943"/>
        <v>0.72289156626505757</v>
      </c>
      <c r="Q4576" t="str">
        <f t="shared" si="1931"/>
        <v>5.95% | 0.96%</v>
      </c>
      <c r="R4576" t="str">
        <f t="shared" si="1944"/>
        <v>BEARISH</v>
      </c>
      <c r="S4576">
        <f t="shared" si="1932"/>
        <v>-1</v>
      </c>
    </row>
    <row r="4577" spans="1:19" hidden="1" x14ac:dyDescent="0.25">
      <c r="A4577" s="5" t="str">
        <f t="shared" si="1933"/>
        <v>44103SSEC</v>
      </c>
      <c r="B4577" s="6" t="s">
        <v>170</v>
      </c>
      <c r="C4577" s="6">
        <v>3190</v>
      </c>
      <c r="D4577" s="6">
        <v>3350</v>
      </c>
      <c r="E4577" s="6">
        <v>3224</v>
      </c>
      <c r="F4577" t="str">
        <f t="shared" si="1934"/>
        <v>TUE</v>
      </c>
      <c r="G4577" s="1">
        <f t="shared" si="1935"/>
        <v>44103</v>
      </c>
      <c r="H4577" s="2">
        <f t="shared" ca="1" si="1936"/>
        <v>150</v>
      </c>
      <c r="I4577" t="str">
        <f t="shared" si="1937"/>
        <v>SSEC</v>
      </c>
      <c r="J4577">
        <f t="shared" si="1938"/>
        <v>3190</v>
      </c>
      <c r="K4577">
        <f t="shared" si="1939"/>
        <v>3350</v>
      </c>
      <c r="L4577">
        <f t="shared" si="1940"/>
        <v>3270</v>
      </c>
      <c r="M4577">
        <f t="shared" si="1941"/>
        <v>80</v>
      </c>
      <c r="N4577">
        <f t="shared" si="1930"/>
        <v>160</v>
      </c>
      <c r="O4577">
        <f t="shared" si="1942"/>
        <v>3224</v>
      </c>
      <c r="P4577">
        <f t="shared" si="1943"/>
        <v>-0.57499999999999996</v>
      </c>
      <c r="Q4577" t="str">
        <f t="shared" si="1931"/>
        <v>1.05% | 3.91%</v>
      </c>
      <c r="R4577" t="str">
        <f t="shared" si="1944"/>
        <v>BULLISH</v>
      </c>
      <c r="S4577">
        <f t="shared" si="1932"/>
        <v>1</v>
      </c>
    </row>
    <row r="4578" spans="1:19" hidden="1" x14ac:dyDescent="0.25">
      <c r="A4578" s="5" t="str">
        <f t="shared" si="1933"/>
        <v>44103NIKK</v>
      </c>
      <c r="B4578" s="6" t="s">
        <v>201</v>
      </c>
      <c r="C4578" s="6">
        <v>23062</v>
      </c>
      <c r="D4578" s="6">
        <v>23660</v>
      </c>
      <c r="E4578" s="6">
        <v>23539</v>
      </c>
      <c r="F4578" t="str">
        <f t="shared" si="1934"/>
        <v>TUE</v>
      </c>
      <c r="G4578" s="1">
        <f t="shared" si="1935"/>
        <v>44103</v>
      </c>
      <c r="H4578" s="2">
        <f t="shared" ca="1" si="1936"/>
        <v>150</v>
      </c>
      <c r="I4578" t="str">
        <f t="shared" si="1937"/>
        <v>NIKK</v>
      </c>
      <c r="J4578">
        <f t="shared" si="1938"/>
        <v>23062</v>
      </c>
      <c r="K4578">
        <f t="shared" si="1939"/>
        <v>23660</v>
      </c>
      <c r="L4578">
        <f t="shared" si="1940"/>
        <v>23361</v>
      </c>
      <c r="M4578">
        <f t="shared" si="1941"/>
        <v>299</v>
      </c>
      <c r="N4578">
        <f t="shared" si="1930"/>
        <v>598</v>
      </c>
      <c r="O4578">
        <f t="shared" si="1942"/>
        <v>23539</v>
      </c>
      <c r="P4578">
        <f t="shared" si="1943"/>
        <v>0.59531772575250841</v>
      </c>
      <c r="Q4578" t="str">
        <f t="shared" si="1931"/>
        <v>2.03% | 0.51%</v>
      </c>
      <c r="R4578" t="str">
        <f t="shared" si="1944"/>
        <v>BULLISH</v>
      </c>
      <c r="S4578">
        <f t="shared" si="1932"/>
        <v>1</v>
      </c>
    </row>
    <row r="4579" spans="1:19" hidden="1" x14ac:dyDescent="0.25">
      <c r="A4579" s="5" t="str">
        <f t="shared" si="1933"/>
        <v>44103DAX</v>
      </c>
      <c r="B4579" s="6" t="s">
        <v>227</v>
      </c>
      <c r="C4579" s="6">
        <v>12211</v>
      </c>
      <c r="D4579" s="6">
        <v>12998</v>
      </c>
      <c r="E4579" s="6">
        <v>12870</v>
      </c>
      <c r="F4579" t="str">
        <f t="shared" si="1934"/>
        <v>TUE</v>
      </c>
      <c r="G4579" s="1">
        <f t="shared" si="1935"/>
        <v>44103</v>
      </c>
      <c r="H4579" s="2">
        <f t="shared" ca="1" si="1936"/>
        <v>150</v>
      </c>
      <c r="I4579" t="str">
        <f t="shared" si="1937"/>
        <v>DAX</v>
      </c>
      <c r="J4579">
        <f t="shared" si="1938"/>
        <v>12211</v>
      </c>
      <c r="K4579">
        <f t="shared" si="1939"/>
        <v>12998</v>
      </c>
      <c r="L4579">
        <f t="shared" si="1940"/>
        <v>12604.5</v>
      </c>
      <c r="M4579">
        <f t="shared" si="1941"/>
        <v>393.5</v>
      </c>
      <c r="N4579">
        <f t="shared" si="1930"/>
        <v>787</v>
      </c>
      <c r="O4579">
        <f t="shared" si="1942"/>
        <v>12870</v>
      </c>
      <c r="P4579">
        <f t="shared" si="1943"/>
        <v>0.67471410419313849</v>
      </c>
      <c r="Q4579" t="str">
        <f t="shared" si="1931"/>
        <v>5.12% | 0.99%</v>
      </c>
      <c r="R4579" t="str">
        <f t="shared" si="1944"/>
        <v>BEARISH</v>
      </c>
      <c r="S4579">
        <f t="shared" si="1932"/>
        <v>-1</v>
      </c>
    </row>
    <row r="4580" spans="1:19" hidden="1" x14ac:dyDescent="0.25">
      <c r="A4580" s="5" t="str">
        <f t="shared" si="1933"/>
        <v>44103VIX</v>
      </c>
      <c r="B4580" s="6" t="s">
        <v>202</v>
      </c>
      <c r="C4580" s="6">
        <v>24.76</v>
      </c>
      <c r="D4580" s="6">
        <v>29.96</v>
      </c>
      <c r="E4580" s="6">
        <v>26.19</v>
      </c>
      <c r="F4580" t="str">
        <f t="shared" si="1934"/>
        <v>TUE</v>
      </c>
      <c r="G4580" s="1">
        <f t="shared" si="1935"/>
        <v>44103</v>
      </c>
      <c r="H4580" s="2">
        <f t="shared" ca="1" si="1936"/>
        <v>150</v>
      </c>
      <c r="I4580" t="str">
        <f t="shared" si="1937"/>
        <v>VIX</v>
      </c>
      <c r="J4580">
        <f t="shared" si="1938"/>
        <v>24.76</v>
      </c>
      <c r="K4580">
        <f t="shared" si="1939"/>
        <v>29.96</v>
      </c>
      <c r="L4580">
        <f t="shared" si="1940"/>
        <v>27.36</v>
      </c>
      <c r="M4580">
        <f t="shared" si="1941"/>
        <v>2.5999999999999996</v>
      </c>
      <c r="N4580">
        <f t="shared" si="1930"/>
        <v>5.1999999999999993</v>
      </c>
      <c r="O4580">
        <f t="shared" si="1942"/>
        <v>26.19</v>
      </c>
      <c r="P4580">
        <f t="shared" si="1943"/>
        <v>-0.44999999999999934</v>
      </c>
      <c r="Q4580" t="str">
        <f t="shared" si="1931"/>
        <v>5.46% | 14.39%</v>
      </c>
      <c r="R4580" t="str">
        <f t="shared" si="1944"/>
        <v>BULLISH</v>
      </c>
      <c r="S4580">
        <f t="shared" si="1932"/>
        <v>1</v>
      </c>
    </row>
    <row r="4581" spans="1:19" hidden="1" x14ac:dyDescent="0.25">
      <c r="A4581" s="5" t="str">
        <f t="shared" si="1933"/>
        <v>44103USD</v>
      </c>
      <c r="B4581" s="6" t="s">
        <v>174</v>
      </c>
      <c r="C4581" s="6">
        <v>92.49</v>
      </c>
      <c r="D4581" s="6">
        <v>95.12</v>
      </c>
      <c r="E4581" s="6">
        <v>94.3</v>
      </c>
      <c r="F4581" t="str">
        <f t="shared" si="1934"/>
        <v>TUE</v>
      </c>
      <c r="G4581" s="1">
        <f t="shared" si="1935"/>
        <v>44103</v>
      </c>
      <c r="H4581" s="2">
        <f t="shared" ca="1" si="1936"/>
        <v>150</v>
      </c>
      <c r="I4581" t="str">
        <f t="shared" si="1937"/>
        <v>USD</v>
      </c>
      <c r="J4581">
        <f t="shared" si="1938"/>
        <v>92.49</v>
      </c>
      <c r="K4581">
        <f t="shared" si="1939"/>
        <v>95.12</v>
      </c>
      <c r="L4581">
        <f t="shared" si="1940"/>
        <v>93.805000000000007</v>
      </c>
      <c r="M4581">
        <f t="shared" si="1941"/>
        <v>1.3150000000000048</v>
      </c>
      <c r="N4581">
        <f t="shared" si="1930"/>
        <v>2.6300000000000097</v>
      </c>
      <c r="O4581">
        <f t="shared" si="1942"/>
        <v>94.3</v>
      </c>
      <c r="P4581">
        <f t="shared" si="1943"/>
        <v>0.37642585551329927</v>
      </c>
      <c r="Q4581" t="str">
        <f t="shared" si="1931"/>
        <v>1.92% | 0.87%</v>
      </c>
      <c r="R4581" t="str">
        <f t="shared" si="1944"/>
        <v>BEARISH</v>
      </c>
      <c r="S4581">
        <f t="shared" si="1932"/>
        <v>-1</v>
      </c>
    </row>
    <row r="4582" spans="1:19" hidden="1" x14ac:dyDescent="0.25">
      <c r="A4582" s="5" t="str">
        <f t="shared" si="1933"/>
        <v>44103EUR/USD</v>
      </c>
      <c r="B4582" s="6" t="s">
        <v>175</v>
      </c>
      <c r="C4582" s="6">
        <v>1.1599999999999999</v>
      </c>
      <c r="D4582" s="6">
        <v>1.19</v>
      </c>
      <c r="E4582" s="6">
        <v>1.1599999999999999</v>
      </c>
      <c r="F4582" t="str">
        <f t="shared" si="1934"/>
        <v>TUE</v>
      </c>
      <c r="G4582" s="1">
        <f t="shared" si="1935"/>
        <v>44103</v>
      </c>
      <c r="H4582" s="2">
        <f t="shared" ca="1" si="1936"/>
        <v>150</v>
      </c>
      <c r="I4582" t="str">
        <f t="shared" si="1937"/>
        <v>EUR/USD</v>
      </c>
      <c r="J4582">
        <f t="shared" si="1938"/>
        <v>1.1599999999999999</v>
      </c>
      <c r="K4582">
        <f t="shared" si="1939"/>
        <v>1.19</v>
      </c>
      <c r="L4582">
        <f t="shared" si="1940"/>
        <v>1.1749999999999998</v>
      </c>
      <c r="M4582">
        <f t="shared" si="1941"/>
        <v>1.5000000000000013E-2</v>
      </c>
      <c r="N4582">
        <f t="shared" si="1930"/>
        <v>3.0000000000000027E-2</v>
      </c>
      <c r="O4582">
        <f t="shared" si="1942"/>
        <v>1.1599999999999999</v>
      </c>
      <c r="P4582">
        <f t="shared" si="1943"/>
        <v>-0.99999999999999256</v>
      </c>
      <c r="Q4582" t="str">
        <f t="shared" si="1931"/>
        <v>0% | 2.59%</v>
      </c>
      <c r="R4582" t="str">
        <f t="shared" si="1944"/>
        <v>BULLISH</v>
      </c>
      <c r="S4582">
        <f t="shared" si="1932"/>
        <v>1</v>
      </c>
    </row>
    <row r="4583" spans="1:19" hidden="1" x14ac:dyDescent="0.25">
      <c r="A4583" s="5" t="str">
        <f t="shared" si="1933"/>
        <v>44103USD/JPY</v>
      </c>
      <c r="B4583" s="6" t="s">
        <v>176</v>
      </c>
      <c r="C4583" s="6">
        <v>104.24</v>
      </c>
      <c r="D4583" s="6">
        <v>105.91</v>
      </c>
      <c r="E4583" s="6">
        <v>105.54</v>
      </c>
      <c r="F4583" t="str">
        <f t="shared" si="1934"/>
        <v>TUE</v>
      </c>
      <c r="G4583" s="1">
        <f t="shared" si="1935"/>
        <v>44103</v>
      </c>
      <c r="H4583" s="2">
        <f t="shared" ca="1" si="1936"/>
        <v>150</v>
      </c>
      <c r="I4583" t="str">
        <f t="shared" si="1937"/>
        <v>USD/JPY</v>
      </c>
      <c r="J4583">
        <f t="shared" si="1938"/>
        <v>104.24</v>
      </c>
      <c r="K4583">
        <f t="shared" si="1939"/>
        <v>105.91</v>
      </c>
      <c r="L4583">
        <f t="shared" si="1940"/>
        <v>105.07499999999999</v>
      </c>
      <c r="M4583">
        <f t="shared" si="1941"/>
        <v>0.83500000000000085</v>
      </c>
      <c r="N4583">
        <f t="shared" si="1930"/>
        <v>1.6700000000000017</v>
      </c>
      <c r="O4583">
        <f t="shared" si="1942"/>
        <v>105.54</v>
      </c>
      <c r="P4583">
        <f t="shared" si="1943"/>
        <v>0.55688622754493067</v>
      </c>
      <c r="Q4583" t="str">
        <f t="shared" si="1931"/>
        <v>1.23% | 0.35%</v>
      </c>
      <c r="R4583" t="str">
        <f t="shared" si="1944"/>
        <v>BEARISH</v>
      </c>
      <c r="S4583">
        <f t="shared" si="1932"/>
        <v>-1</v>
      </c>
    </row>
    <row r="4584" spans="1:19" hidden="1" x14ac:dyDescent="0.25">
      <c r="A4584" s="5" t="str">
        <f t="shared" si="1933"/>
        <v>44103GBP/USD</v>
      </c>
      <c r="B4584" s="6" t="s">
        <v>214</v>
      </c>
      <c r="C4584" s="6">
        <v>1.26</v>
      </c>
      <c r="D4584" s="6">
        <v>1.3</v>
      </c>
      <c r="E4584" s="6">
        <v>1.28</v>
      </c>
      <c r="F4584" t="str">
        <f t="shared" si="1934"/>
        <v>TUE</v>
      </c>
      <c r="G4584" s="1">
        <f t="shared" si="1935"/>
        <v>44103</v>
      </c>
      <c r="H4584" s="2">
        <f t="shared" ca="1" si="1936"/>
        <v>150</v>
      </c>
      <c r="I4584" t="str">
        <f t="shared" si="1937"/>
        <v>GBP/USD</v>
      </c>
      <c r="J4584">
        <f t="shared" si="1938"/>
        <v>1.26</v>
      </c>
      <c r="K4584">
        <f t="shared" si="1939"/>
        <v>1.3</v>
      </c>
      <c r="L4584">
        <f t="shared" si="1940"/>
        <v>1.28</v>
      </c>
      <c r="M4584">
        <f t="shared" si="1941"/>
        <v>2.0000000000000018E-2</v>
      </c>
      <c r="N4584">
        <f t="shared" si="1930"/>
        <v>4.0000000000000036E-2</v>
      </c>
      <c r="O4584">
        <f t="shared" si="1942"/>
        <v>1.28</v>
      </c>
      <c r="P4584">
        <f t="shared" si="1943"/>
        <v>0</v>
      </c>
      <c r="Q4584" t="str">
        <f t="shared" si="1931"/>
        <v>1.56% | 1.56%</v>
      </c>
      <c r="R4584" t="str">
        <f t="shared" si="1944"/>
        <v>NEUTRAL</v>
      </c>
      <c r="S4584">
        <f t="shared" si="1932"/>
        <v>0</v>
      </c>
    </row>
    <row r="4585" spans="1:19" hidden="1" x14ac:dyDescent="0.25">
      <c r="A4585" s="5" t="str">
        <f t="shared" si="1933"/>
        <v>44103USD/CHF</v>
      </c>
      <c r="B4585" s="6" t="s">
        <v>178</v>
      </c>
      <c r="C4585" s="6">
        <v>0.9</v>
      </c>
      <c r="D4585" s="6">
        <v>0.93</v>
      </c>
      <c r="E4585" s="6">
        <v>0.92</v>
      </c>
      <c r="F4585" t="str">
        <f t="shared" si="1934"/>
        <v>TUE</v>
      </c>
      <c r="G4585" s="1">
        <f t="shared" si="1935"/>
        <v>44103</v>
      </c>
      <c r="H4585" s="2">
        <f t="shared" ca="1" si="1936"/>
        <v>150</v>
      </c>
      <c r="I4585" t="str">
        <f t="shared" si="1937"/>
        <v>USD/CHF</v>
      </c>
      <c r="J4585">
        <f t="shared" si="1938"/>
        <v>0.9</v>
      </c>
      <c r="K4585">
        <f t="shared" si="1939"/>
        <v>0.93</v>
      </c>
      <c r="L4585">
        <f t="shared" si="1940"/>
        <v>0.91500000000000004</v>
      </c>
      <c r="M4585">
        <f t="shared" si="1941"/>
        <v>1.5000000000000013E-2</v>
      </c>
      <c r="N4585">
        <f t="shared" si="1930"/>
        <v>3.0000000000000027E-2</v>
      </c>
      <c r="O4585">
        <f t="shared" si="1942"/>
        <v>0.92</v>
      </c>
      <c r="P4585">
        <f t="shared" si="1943"/>
        <v>0.33333333333333331</v>
      </c>
      <c r="Q4585" t="str">
        <f t="shared" si="1931"/>
        <v>2.17% | 1.09%</v>
      </c>
      <c r="R4585" t="str">
        <f t="shared" si="1944"/>
        <v>BEARISH</v>
      </c>
      <c r="S4585">
        <f t="shared" si="1932"/>
        <v>-1</v>
      </c>
    </row>
    <row r="4586" spans="1:19" hidden="1" x14ac:dyDescent="0.25">
      <c r="A4586" s="5" t="str">
        <f t="shared" si="1933"/>
        <v>44103WTIC</v>
      </c>
      <c r="B4586" s="6" t="s">
        <v>205</v>
      </c>
      <c r="C4586" s="6">
        <v>38.25</v>
      </c>
      <c r="D4586" s="6">
        <v>41.4</v>
      </c>
      <c r="E4586" s="6">
        <v>40.6</v>
      </c>
      <c r="F4586" t="str">
        <f t="shared" si="1934"/>
        <v>TUE</v>
      </c>
      <c r="G4586" s="1">
        <f t="shared" si="1935"/>
        <v>44103</v>
      </c>
      <c r="H4586" s="2">
        <f t="shared" ca="1" si="1936"/>
        <v>150</v>
      </c>
      <c r="I4586" t="str">
        <f t="shared" si="1937"/>
        <v>WTIC</v>
      </c>
      <c r="J4586">
        <f t="shared" si="1938"/>
        <v>38.25</v>
      </c>
      <c r="K4586">
        <f t="shared" si="1939"/>
        <v>41.4</v>
      </c>
      <c r="L4586">
        <f t="shared" si="1940"/>
        <v>39.825000000000003</v>
      </c>
      <c r="M4586">
        <f t="shared" si="1941"/>
        <v>1.5749999999999993</v>
      </c>
      <c r="N4586">
        <f t="shared" si="1930"/>
        <v>3.1499999999999986</v>
      </c>
      <c r="O4586">
        <f t="shared" si="1942"/>
        <v>40.6</v>
      </c>
      <c r="P4586">
        <f t="shared" si="1943"/>
        <v>0.49206349206349137</v>
      </c>
      <c r="Q4586" t="str">
        <f t="shared" si="1931"/>
        <v>5.79% | 1.97%</v>
      </c>
      <c r="R4586" t="str">
        <f t="shared" si="1944"/>
        <v>NEUTRAL</v>
      </c>
      <c r="S4586">
        <f t="shared" si="1932"/>
        <v>0</v>
      </c>
    </row>
    <row r="4587" spans="1:19" hidden="1" x14ac:dyDescent="0.25">
      <c r="A4587" s="5" t="str">
        <f t="shared" si="1933"/>
        <v>44103NATGAS</v>
      </c>
      <c r="B4587" s="6" t="s">
        <v>180</v>
      </c>
      <c r="C4587" s="6">
        <v>1.9</v>
      </c>
      <c r="D4587" s="6">
        <v>2.93</v>
      </c>
      <c r="E4587" s="6">
        <v>2.8</v>
      </c>
      <c r="F4587" t="str">
        <f t="shared" si="1934"/>
        <v>TUE</v>
      </c>
      <c r="G4587" s="1">
        <f t="shared" si="1935"/>
        <v>44103</v>
      </c>
      <c r="H4587" s="2">
        <f t="shared" ca="1" si="1936"/>
        <v>150</v>
      </c>
      <c r="I4587" t="str">
        <f t="shared" si="1937"/>
        <v>NATGAS</v>
      </c>
      <c r="J4587">
        <f t="shared" si="1938"/>
        <v>1.9</v>
      </c>
      <c r="K4587">
        <f t="shared" si="1939"/>
        <v>2.93</v>
      </c>
      <c r="L4587">
        <f t="shared" si="1940"/>
        <v>2.415</v>
      </c>
      <c r="M4587">
        <f t="shared" si="1941"/>
        <v>0.51500000000000001</v>
      </c>
      <c r="N4587">
        <f t="shared" si="1930"/>
        <v>1.0300000000000002</v>
      </c>
      <c r="O4587">
        <f t="shared" si="1942"/>
        <v>2.8</v>
      </c>
      <c r="P4587">
        <f t="shared" si="1943"/>
        <v>0.74757281553398014</v>
      </c>
      <c r="Q4587" t="str">
        <f t="shared" si="1931"/>
        <v>32.14% | 4.64%</v>
      </c>
      <c r="R4587" t="str">
        <f t="shared" si="1944"/>
        <v>BULLISH</v>
      </c>
      <c r="S4587">
        <f t="shared" si="1932"/>
        <v>1</v>
      </c>
    </row>
    <row r="4588" spans="1:19" hidden="1" x14ac:dyDescent="0.25">
      <c r="A4588" s="5" t="str">
        <f t="shared" si="1933"/>
        <v>44103GOLD</v>
      </c>
      <c r="B4588" s="6" t="s">
        <v>181</v>
      </c>
      <c r="C4588" s="6">
        <v>1832</v>
      </c>
      <c r="D4588" s="6">
        <v>1990</v>
      </c>
      <c r="E4588" s="6">
        <v>1882</v>
      </c>
      <c r="F4588" t="str">
        <f t="shared" si="1934"/>
        <v>TUE</v>
      </c>
      <c r="G4588" s="1">
        <f t="shared" si="1935"/>
        <v>44103</v>
      </c>
      <c r="H4588" s="2">
        <f t="shared" ca="1" si="1936"/>
        <v>150</v>
      </c>
      <c r="I4588" t="str">
        <f t="shared" si="1937"/>
        <v>GOLD</v>
      </c>
      <c r="J4588">
        <f t="shared" si="1938"/>
        <v>1832</v>
      </c>
      <c r="K4588">
        <f t="shared" si="1939"/>
        <v>1990</v>
      </c>
      <c r="L4588">
        <f t="shared" si="1940"/>
        <v>1911</v>
      </c>
      <c r="M4588">
        <f t="shared" si="1941"/>
        <v>79</v>
      </c>
      <c r="N4588">
        <f t="shared" si="1930"/>
        <v>158</v>
      </c>
      <c r="O4588">
        <f t="shared" si="1942"/>
        <v>1882</v>
      </c>
      <c r="P4588">
        <f t="shared" si="1943"/>
        <v>-0.36708860759493672</v>
      </c>
      <c r="Q4588" t="str">
        <f t="shared" si="1931"/>
        <v>2.66% | 5.74%</v>
      </c>
      <c r="R4588" t="str">
        <f t="shared" si="1944"/>
        <v>BULLISH</v>
      </c>
      <c r="S4588">
        <f t="shared" si="1932"/>
        <v>1</v>
      </c>
    </row>
    <row r="4589" spans="1:19" hidden="1" x14ac:dyDescent="0.25">
      <c r="A4589" s="5" t="str">
        <f t="shared" si="1933"/>
        <v>44103SILVER</v>
      </c>
      <c r="B4589" s="6" t="s">
        <v>231</v>
      </c>
      <c r="C4589" s="6">
        <v>21.4</v>
      </c>
      <c r="D4589" s="6">
        <v>28.39</v>
      </c>
      <c r="E4589" s="6">
        <v>23.6</v>
      </c>
      <c r="F4589" t="str">
        <f t="shared" si="1934"/>
        <v>TUE</v>
      </c>
      <c r="G4589" s="1">
        <f t="shared" si="1935"/>
        <v>44103</v>
      </c>
      <c r="H4589" s="2">
        <f t="shared" ca="1" si="1936"/>
        <v>150</v>
      </c>
      <c r="I4589" t="str">
        <f t="shared" si="1937"/>
        <v>SILVER</v>
      </c>
      <c r="J4589">
        <f t="shared" si="1938"/>
        <v>21.4</v>
      </c>
      <c r="K4589">
        <f t="shared" si="1939"/>
        <v>28.39</v>
      </c>
      <c r="L4589">
        <f t="shared" si="1940"/>
        <v>24.895</v>
      </c>
      <c r="M4589">
        <f t="shared" si="1941"/>
        <v>3.4949999999999957</v>
      </c>
      <c r="N4589">
        <f t="shared" si="1930"/>
        <v>6.990000000000002</v>
      </c>
      <c r="O4589">
        <f t="shared" si="1942"/>
        <v>23.6</v>
      </c>
      <c r="P4589">
        <f t="shared" si="1943"/>
        <v>-0.37052932761087259</v>
      </c>
      <c r="Q4589" t="str">
        <f t="shared" si="1931"/>
        <v>9.32% | 20.3%</v>
      </c>
      <c r="R4589" t="str">
        <f t="shared" si="1944"/>
        <v>NEUTRAL</v>
      </c>
      <c r="S4589">
        <f t="shared" si="1932"/>
        <v>0</v>
      </c>
    </row>
    <row r="4590" spans="1:19" hidden="1" x14ac:dyDescent="0.25">
      <c r="A4590" s="5" t="str">
        <f t="shared" si="1933"/>
        <v>44103COPPER</v>
      </c>
      <c r="B4590" s="6" t="s">
        <v>182</v>
      </c>
      <c r="C4590" s="6">
        <v>2.92</v>
      </c>
      <c r="D4590" s="6">
        <v>3.12</v>
      </c>
      <c r="E4590" s="6">
        <v>2.99</v>
      </c>
      <c r="F4590" t="str">
        <f t="shared" si="1934"/>
        <v>TUE</v>
      </c>
      <c r="G4590" s="1">
        <f t="shared" si="1935"/>
        <v>44103</v>
      </c>
      <c r="H4590" s="2">
        <f t="shared" ca="1" si="1936"/>
        <v>150</v>
      </c>
      <c r="I4590" t="str">
        <f t="shared" si="1937"/>
        <v>COPPER</v>
      </c>
      <c r="J4590">
        <f t="shared" si="1938"/>
        <v>2.92</v>
      </c>
      <c r="K4590">
        <f t="shared" si="1939"/>
        <v>3.12</v>
      </c>
      <c r="L4590">
        <f t="shared" si="1940"/>
        <v>3.02</v>
      </c>
      <c r="M4590">
        <f t="shared" si="1941"/>
        <v>0.10000000000000009</v>
      </c>
      <c r="N4590">
        <f t="shared" si="1930"/>
        <v>0.20000000000000018</v>
      </c>
      <c r="O4590">
        <f t="shared" si="1942"/>
        <v>2.99</v>
      </c>
      <c r="P4590">
        <f t="shared" si="1943"/>
        <v>-0.29999999999999777</v>
      </c>
      <c r="Q4590" t="str">
        <f t="shared" si="1931"/>
        <v>2.34% | 4.35%</v>
      </c>
      <c r="R4590" t="str">
        <f t="shared" si="1944"/>
        <v>BULLISH</v>
      </c>
      <c r="S4590">
        <f t="shared" si="1932"/>
        <v>1</v>
      </c>
    </row>
    <row r="4591" spans="1:19" hidden="1" x14ac:dyDescent="0.25">
      <c r="A4591" s="5" t="str">
        <f t="shared" si="1933"/>
        <v>44103MSFT</v>
      </c>
      <c r="B4591" s="6" t="s">
        <v>206</v>
      </c>
      <c r="C4591" s="6">
        <v>198</v>
      </c>
      <c r="D4591" s="6">
        <v>212</v>
      </c>
      <c r="E4591" s="6">
        <v>209</v>
      </c>
      <c r="F4591" t="str">
        <f t="shared" si="1934"/>
        <v>TUE</v>
      </c>
      <c r="G4591" s="1">
        <f t="shared" si="1935"/>
        <v>44103</v>
      </c>
      <c r="H4591" s="2">
        <f t="shared" ca="1" si="1936"/>
        <v>150</v>
      </c>
      <c r="I4591" t="str">
        <f t="shared" si="1937"/>
        <v>MSFT</v>
      </c>
      <c r="J4591">
        <f t="shared" si="1938"/>
        <v>198</v>
      </c>
      <c r="K4591">
        <f t="shared" si="1939"/>
        <v>212</v>
      </c>
      <c r="L4591">
        <f t="shared" si="1940"/>
        <v>205</v>
      </c>
      <c r="M4591">
        <f t="shared" si="1941"/>
        <v>7</v>
      </c>
      <c r="N4591">
        <f t="shared" si="1930"/>
        <v>14</v>
      </c>
      <c r="O4591">
        <f t="shared" si="1942"/>
        <v>209</v>
      </c>
      <c r="P4591">
        <f t="shared" si="1943"/>
        <v>0.5714285714285714</v>
      </c>
      <c r="Q4591" t="str">
        <f t="shared" si="1931"/>
        <v>5.26% | 1.44%</v>
      </c>
      <c r="R4591" t="str">
        <f t="shared" si="1944"/>
        <v>NEUTRAL</v>
      </c>
      <c r="S4591">
        <f t="shared" si="1932"/>
        <v>0</v>
      </c>
    </row>
    <row r="4592" spans="1:19" hidden="1" x14ac:dyDescent="0.25">
      <c r="A4592" s="5" t="str">
        <f t="shared" si="1933"/>
        <v>44103AAPL</v>
      </c>
      <c r="B4592" s="6" t="s">
        <v>207</v>
      </c>
      <c r="C4592" s="6">
        <v>104</v>
      </c>
      <c r="D4592" s="6">
        <v>116</v>
      </c>
      <c r="E4592" s="6">
        <v>114</v>
      </c>
      <c r="F4592" t="str">
        <f t="shared" si="1934"/>
        <v>TUE</v>
      </c>
      <c r="G4592" s="1">
        <f t="shared" si="1935"/>
        <v>44103</v>
      </c>
      <c r="H4592" s="2">
        <f t="shared" ca="1" si="1936"/>
        <v>150</v>
      </c>
      <c r="I4592" t="str">
        <f t="shared" si="1937"/>
        <v>AAPL</v>
      </c>
      <c r="J4592">
        <f t="shared" si="1938"/>
        <v>104</v>
      </c>
      <c r="K4592">
        <f t="shared" si="1939"/>
        <v>116</v>
      </c>
      <c r="L4592">
        <f t="shared" si="1940"/>
        <v>110</v>
      </c>
      <c r="M4592">
        <f t="shared" si="1941"/>
        <v>6</v>
      </c>
      <c r="N4592">
        <f t="shared" si="1930"/>
        <v>12</v>
      </c>
      <c r="O4592">
        <f t="shared" si="1942"/>
        <v>114</v>
      </c>
      <c r="P4592">
        <f t="shared" si="1943"/>
        <v>0.66666666666666663</v>
      </c>
      <c r="Q4592" t="str">
        <f t="shared" si="1931"/>
        <v>8.77% | 1.75%</v>
      </c>
      <c r="R4592" t="str">
        <f t="shared" si="1944"/>
        <v>NEUTRAL</v>
      </c>
      <c r="S4592">
        <f t="shared" si="1932"/>
        <v>0</v>
      </c>
    </row>
    <row r="4593" spans="1:19" hidden="1" x14ac:dyDescent="0.25">
      <c r="A4593" s="5" t="str">
        <f t="shared" si="1933"/>
        <v>44103AMZN</v>
      </c>
      <c r="B4593" s="6" t="s">
        <v>185</v>
      </c>
      <c r="C4593" s="6">
        <v>2903</v>
      </c>
      <c r="D4593" s="6">
        <v>3199</v>
      </c>
      <c r="E4593" s="6">
        <v>3174</v>
      </c>
      <c r="F4593" t="str">
        <f t="shared" si="1934"/>
        <v>TUE</v>
      </c>
      <c r="G4593" s="1">
        <f t="shared" si="1935"/>
        <v>44103</v>
      </c>
      <c r="H4593" s="2">
        <f t="shared" ca="1" si="1936"/>
        <v>150</v>
      </c>
      <c r="I4593" t="str">
        <f t="shared" si="1937"/>
        <v>AMZN</v>
      </c>
      <c r="J4593">
        <f t="shared" si="1938"/>
        <v>2903</v>
      </c>
      <c r="K4593">
        <f t="shared" si="1939"/>
        <v>3199</v>
      </c>
      <c r="L4593">
        <f t="shared" si="1940"/>
        <v>3051</v>
      </c>
      <c r="M4593">
        <f t="shared" si="1941"/>
        <v>148</v>
      </c>
      <c r="N4593">
        <f t="shared" si="1930"/>
        <v>296</v>
      </c>
      <c r="O4593">
        <f t="shared" si="1942"/>
        <v>3174</v>
      </c>
      <c r="P4593">
        <f t="shared" si="1943"/>
        <v>0.83108108108108103</v>
      </c>
      <c r="Q4593" t="str">
        <f t="shared" si="1931"/>
        <v>8.54% | 0.79%</v>
      </c>
      <c r="R4593" t="str">
        <f t="shared" si="1944"/>
        <v>BULLISH</v>
      </c>
      <c r="S4593">
        <f t="shared" si="1932"/>
        <v>1</v>
      </c>
    </row>
    <row r="4594" spans="1:19" hidden="1" x14ac:dyDescent="0.25">
      <c r="A4594" s="5" t="str">
        <f t="shared" si="1933"/>
        <v>44103FB</v>
      </c>
      <c r="B4594" s="6" t="s">
        <v>230</v>
      </c>
      <c r="C4594" s="6">
        <v>241</v>
      </c>
      <c r="D4594" s="6">
        <v>265</v>
      </c>
      <c r="E4594" s="6">
        <v>256</v>
      </c>
      <c r="F4594" t="str">
        <f t="shared" si="1934"/>
        <v>TUE</v>
      </c>
      <c r="G4594" s="1">
        <f t="shared" si="1935"/>
        <v>44103</v>
      </c>
      <c r="H4594" s="2">
        <f t="shared" ca="1" si="1936"/>
        <v>150</v>
      </c>
      <c r="I4594" t="str">
        <f t="shared" si="1937"/>
        <v>FB</v>
      </c>
      <c r="J4594">
        <f t="shared" si="1938"/>
        <v>241</v>
      </c>
      <c r="K4594">
        <f t="shared" si="1939"/>
        <v>265</v>
      </c>
      <c r="L4594">
        <f t="shared" si="1940"/>
        <v>253</v>
      </c>
      <c r="M4594">
        <f t="shared" si="1941"/>
        <v>12</v>
      </c>
      <c r="N4594">
        <f t="shared" si="1930"/>
        <v>24</v>
      </c>
      <c r="O4594">
        <f t="shared" si="1942"/>
        <v>256</v>
      </c>
      <c r="P4594">
        <f t="shared" si="1943"/>
        <v>0.25</v>
      </c>
      <c r="Q4594" t="str">
        <f t="shared" si="1931"/>
        <v>5.86% | 3.52%</v>
      </c>
      <c r="R4594" t="str">
        <f t="shared" si="1944"/>
        <v>BEARISH</v>
      </c>
      <c r="S4594">
        <f t="shared" si="1932"/>
        <v>-1</v>
      </c>
    </row>
    <row r="4595" spans="1:19" hidden="1" x14ac:dyDescent="0.25">
      <c r="A4595" s="5" t="str">
        <f t="shared" si="1933"/>
        <v>44103GOOGL</v>
      </c>
      <c r="B4595" s="6" t="s">
        <v>221</v>
      </c>
      <c r="C4595" s="6">
        <v>1381</v>
      </c>
      <c r="D4595" s="6">
        <v>1505</v>
      </c>
      <c r="E4595" s="6">
        <v>1458</v>
      </c>
      <c r="F4595" t="str">
        <f t="shared" si="1934"/>
        <v>TUE</v>
      </c>
      <c r="G4595" s="1">
        <f t="shared" si="1935"/>
        <v>44103</v>
      </c>
      <c r="H4595" s="2">
        <f t="shared" ca="1" si="1936"/>
        <v>150</v>
      </c>
      <c r="I4595" t="str">
        <f t="shared" si="1937"/>
        <v>GOOGL</v>
      </c>
      <c r="J4595">
        <f t="shared" si="1938"/>
        <v>1381</v>
      </c>
      <c r="K4595">
        <f t="shared" si="1939"/>
        <v>1505</v>
      </c>
      <c r="L4595">
        <f t="shared" si="1940"/>
        <v>1443</v>
      </c>
      <c r="M4595">
        <f t="shared" si="1941"/>
        <v>62</v>
      </c>
      <c r="N4595">
        <f t="shared" si="1930"/>
        <v>124</v>
      </c>
      <c r="O4595">
        <f t="shared" si="1942"/>
        <v>1458</v>
      </c>
      <c r="P4595">
        <f t="shared" si="1943"/>
        <v>0.24193548387096775</v>
      </c>
      <c r="Q4595" t="str">
        <f t="shared" si="1931"/>
        <v>5.28% | 3.22%</v>
      </c>
      <c r="R4595" t="str">
        <f t="shared" si="1944"/>
        <v>BEARISH</v>
      </c>
      <c r="S4595">
        <f t="shared" si="1932"/>
        <v>-1</v>
      </c>
    </row>
    <row r="4596" spans="1:19" hidden="1" x14ac:dyDescent="0.25">
      <c r="A4596" s="5" t="str">
        <f t="shared" si="1933"/>
        <v>44103NFLX</v>
      </c>
      <c r="B4596" s="6" t="s">
        <v>213</v>
      </c>
      <c r="C4596" s="6">
        <v>453</v>
      </c>
      <c r="D4596" s="6">
        <v>498</v>
      </c>
      <c r="E4596" s="6">
        <v>490</v>
      </c>
      <c r="F4596" t="str">
        <f t="shared" si="1934"/>
        <v>TUE</v>
      </c>
      <c r="G4596" s="1">
        <f t="shared" si="1935"/>
        <v>44103</v>
      </c>
      <c r="H4596" s="2">
        <f t="shared" ca="1" si="1936"/>
        <v>150</v>
      </c>
      <c r="I4596" t="str">
        <f t="shared" si="1937"/>
        <v>NFLX</v>
      </c>
      <c r="J4596">
        <f t="shared" si="1938"/>
        <v>453</v>
      </c>
      <c r="K4596">
        <f t="shared" si="1939"/>
        <v>498</v>
      </c>
      <c r="L4596">
        <f t="shared" si="1940"/>
        <v>475.5</v>
      </c>
      <c r="M4596">
        <f t="shared" si="1941"/>
        <v>22.5</v>
      </c>
      <c r="N4596">
        <f t="shared" si="1930"/>
        <v>45</v>
      </c>
      <c r="O4596">
        <f t="shared" si="1942"/>
        <v>490</v>
      </c>
      <c r="P4596">
        <f t="shared" si="1943"/>
        <v>0.64444444444444449</v>
      </c>
      <c r="Q4596" t="str">
        <f t="shared" si="1931"/>
        <v>7.55% | 1.63%</v>
      </c>
      <c r="R4596" t="str">
        <f t="shared" si="1944"/>
        <v>BEARISH</v>
      </c>
      <c r="S4596">
        <f t="shared" si="1932"/>
        <v>-1</v>
      </c>
    </row>
    <row r="4597" spans="1:19" x14ac:dyDescent="0.25">
      <c r="A4597" s="5" t="str">
        <f t="shared" si="1933"/>
        <v>44103TSLA</v>
      </c>
      <c r="B4597" s="6" t="s">
        <v>209</v>
      </c>
      <c r="C4597" s="6">
        <v>372</v>
      </c>
      <c r="D4597" s="6">
        <v>466</v>
      </c>
      <c r="E4597" s="6">
        <v>421</v>
      </c>
      <c r="F4597" t="str">
        <f t="shared" si="1934"/>
        <v>TUE</v>
      </c>
      <c r="G4597" s="1">
        <f t="shared" si="1935"/>
        <v>44103</v>
      </c>
      <c r="H4597" s="2">
        <f t="shared" ca="1" si="1936"/>
        <v>150</v>
      </c>
      <c r="I4597" t="str">
        <f t="shared" si="1937"/>
        <v>TSLA</v>
      </c>
      <c r="J4597">
        <f t="shared" si="1938"/>
        <v>372</v>
      </c>
      <c r="K4597">
        <f t="shared" si="1939"/>
        <v>466</v>
      </c>
      <c r="L4597">
        <f t="shared" si="1940"/>
        <v>419</v>
      </c>
      <c r="M4597">
        <f t="shared" si="1941"/>
        <v>47</v>
      </c>
      <c r="N4597">
        <f t="shared" si="1930"/>
        <v>94</v>
      </c>
      <c r="O4597">
        <f t="shared" si="1942"/>
        <v>421</v>
      </c>
      <c r="P4597">
        <f t="shared" si="1943"/>
        <v>4.2553191489361701E-2</v>
      </c>
      <c r="Q4597" t="str">
        <f t="shared" si="1931"/>
        <v>11.64% | 10.69%</v>
      </c>
      <c r="R4597" t="str">
        <f t="shared" si="1944"/>
        <v>NEUTRAL</v>
      </c>
      <c r="S4597">
        <f t="shared" si="1932"/>
        <v>0</v>
      </c>
    </row>
    <row r="4598" spans="1:19" hidden="1" x14ac:dyDescent="0.25">
      <c r="A4598" s="5" t="str">
        <f t="shared" si="1933"/>
        <v>44103NYXBT</v>
      </c>
      <c r="B4598" s="6" t="s">
        <v>190</v>
      </c>
      <c r="C4598" s="6">
        <v>10208</v>
      </c>
      <c r="D4598" s="6">
        <v>11092</v>
      </c>
      <c r="E4598" s="6">
        <v>10880</v>
      </c>
      <c r="F4598" t="str">
        <f t="shared" si="1934"/>
        <v>TUE</v>
      </c>
      <c r="G4598" s="1">
        <f t="shared" si="1935"/>
        <v>44103</v>
      </c>
      <c r="H4598" s="2">
        <f t="shared" ca="1" si="1936"/>
        <v>150</v>
      </c>
      <c r="I4598" t="str">
        <f t="shared" si="1937"/>
        <v>NYXBT</v>
      </c>
      <c r="J4598">
        <f t="shared" si="1938"/>
        <v>10208</v>
      </c>
      <c r="K4598">
        <f t="shared" si="1939"/>
        <v>11092</v>
      </c>
      <c r="L4598">
        <f t="shared" si="1940"/>
        <v>10650</v>
      </c>
      <c r="M4598">
        <f t="shared" si="1941"/>
        <v>442</v>
      </c>
      <c r="N4598">
        <f t="shared" si="1930"/>
        <v>884</v>
      </c>
      <c r="O4598">
        <f t="shared" si="1942"/>
        <v>10880</v>
      </c>
      <c r="P4598">
        <f t="shared" si="1943"/>
        <v>0.52036199095022628</v>
      </c>
      <c r="Q4598" t="str">
        <f t="shared" si="1931"/>
        <v>6.18% | 1.95%</v>
      </c>
      <c r="R4598" t="str">
        <f t="shared" si="1944"/>
        <v>BULLISH</v>
      </c>
      <c r="S4598">
        <f t="shared" si="1932"/>
        <v>1</v>
      </c>
    </row>
    <row r="4599" spans="1:19" hidden="1" x14ac:dyDescent="0.25">
      <c r="A4599" s="5" t="str">
        <f t="shared" si="1933"/>
        <v>44104UST10Y</v>
      </c>
      <c r="B4599" s="6" t="s">
        <v>161</v>
      </c>
      <c r="C4599" s="6">
        <v>0.69</v>
      </c>
      <c r="D4599" s="6">
        <v>0.62</v>
      </c>
      <c r="E4599" s="6">
        <v>0.66</v>
      </c>
      <c r="F4599" t="str">
        <f t="shared" si="1934"/>
        <v>WED</v>
      </c>
      <c r="G4599" s="3">
        <f>DATE(2020,9,30)</f>
        <v>44104</v>
      </c>
      <c r="H4599" s="2">
        <f t="shared" ca="1" si="1936"/>
        <v>149</v>
      </c>
      <c r="I4599" t="str">
        <f t="shared" si="1937"/>
        <v>UST10Y</v>
      </c>
      <c r="J4599">
        <f t="shared" si="1938"/>
        <v>0.69</v>
      </c>
      <c r="K4599">
        <f t="shared" si="1939"/>
        <v>0.62</v>
      </c>
      <c r="L4599">
        <f t="shared" si="1940"/>
        <v>0.65500000000000003</v>
      </c>
      <c r="M4599">
        <f t="shared" si="1941"/>
        <v>3.4999999999999976E-2</v>
      </c>
      <c r="N4599">
        <f t="shared" si="1930"/>
        <v>6.9999999999999951E-2</v>
      </c>
      <c r="O4599">
        <f t="shared" si="1942"/>
        <v>0.66</v>
      </c>
      <c r="P4599">
        <f t="shared" si="1943"/>
        <v>0.14285714285714307</v>
      </c>
      <c r="Q4599" t="str">
        <f t="shared" si="1931"/>
        <v>4.55% | 6.06%</v>
      </c>
      <c r="R4599" t="str">
        <f t="shared" si="1944"/>
        <v>BEARISH</v>
      </c>
      <c r="S4599">
        <f t="shared" si="1932"/>
        <v>-1</v>
      </c>
    </row>
    <row r="4600" spans="1:19" hidden="1" x14ac:dyDescent="0.25">
      <c r="A4600" s="5" t="str">
        <f t="shared" si="1933"/>
        <v>44104UST2Y</v>
      </c>
      <c r="B4600" s="6" t="s">
        <v>162</v>
      </c>
      <c r="C4600" s="6">
        <v>0.14000000000000001</v>
      </c>
      <c r="D4600" s="6">
        <v>0.1</v>
      </c>
      <c r="E4600" s="6">
        <v>0.11</v>
      </c>
      <c r="F4600" t="str">
        <f t="shared" ref="F4600:F4630" si="1945">UPPER(TEXT(G4600,"ddd"))</f>
        <v>WED</v>
      </c>
      <c r="G4600" s="3">
        <f t="shared" ref="G4600:G4629" si="1946">DATE(2020,9,30)</f>
        <v>44104</v>
      </c>
      <c r="H4600" s="2">
        <f t="shared" ref="H4600:H4630" ca="1" si="1947">TODAY()-G4600</f>
        <v>149</v>
      </c>
      <c r="I4600" t="str">
        <f t="shared" ref="I4600:I4630" si="1948">TRIM(LEFT(B4600,FIND(" ",B4600,1)))</f>
        <v>UST2Y</v>
      </c>
      <c r="J4600">
        <f t="shared" ref="J4600:J4630" si="1949">C4600</f>
        <v>0.14000000000000001</v>
      </c>
      <c r="K4600">
        <f t="shared" ref="K4600:K4630" si="1950">D4600</f>
        <v>0.1</v>
      </c>
      <c r="L4600">
        <f t="shared" ref="L4600:L4630" si="1951">AVERAGE(J4600:K4600)</f>
        <v>0.12000000000000001</v>
      </c>
      <c r="M4600">
        <f t="shared" ref="M4600:M4630" si="1952">_xlfn.STDEV.P(J4600:K4600)</f>
        <v>1.9999999999999983E-2</v>
      </c>
      <c r="N4600">
        <f t="shared" si="1930"/>
        <v>4.0000000000000008E-2</v>
      </c>
      <c r="O4600">
        <f t="shared" ref="O4600:O4630" si="1953">E4600</f>
        <v>0.11</v>
      </c>
      <c r="P4600">
        <f t="shared" ref="P4600:P4630" si="1954">(O4600-L4600)/M4600</f>
        <v>-0.50000000000000089</v>
      </c>
      <c r="Q4600" t="str">
        <f t="shared" si="1931"/>
        <v>27.27% | 9.09%</v>
      </c>
      <c r="R4600" t="str">
        <f t="shared" ref="R4600:R4630" si="1955">MID(B4600,FIND("(",B4600,1)+1,FIND(")",B4600,1)-FIND("(",B4600,1)-1)</f>
        <v>BEARISH</v>
      </c>
      <c r="S4600">
        <f t="shared" si="1932"/>
        <v>-1</v>
      </c>
    </row>
    <row r="4601" spans="1:19" hidden="1" x14ac:dyDescent="0.25">
      <c r="A4601" s="5" t="str">
        <f t="shared" si="1933"/>
        <v>44104SPX</v>
      </c>
      <c r="B4601" s="6" t="s">
        <v>211</v>
      </c>
      <c r="C4601" s="6">
        <v>3218</v>
      </c>
      <c r="D4601" s="6">
        <v>3385</v>
      </c>
      <c r="E4601" s="6">
        <v>3335</v>
      </c>
      <c r="F4601" t="str">
        <f t="shared" si="1945"/>
        <v>WED</v>
      </c>
      <c r="G4601" s="3">
        <f t="shared" si="1946"/>
        <v>44104</v>
      </c>
      <c r="H4601" s="2">
        <f t="shared" ca="1" si="1947"/>
        <v>149</v>
      </c>
      <c r="I4601" t="str">
        <f t="shared" si="1948"/>
        <v>SPX</v>
      </c>
      <c r="J4601">
        <f t="shared" si="1949"/>
        <v>3218</v>
      </c>
      <c r="K4601">
        <f t="shared" si="1950"/>
        <v>3385</v>
      </c>
      <c r="L4601">
        <f t="shared" si="1951"/>
        <v>3301.5</v>
      </c>
      <c r="M4601">
        <f t="shared" si="1952"/>
        <v>83.5</v>
      </c>
      <c r="N4601">
        <f t="shared" si="1930"/>
        <v>167</v>
      </c>
      <c r="O4601">
        <f t="shared" si="1953"/>
        <v>3335</v>
      </c>
      <c r="P4601">
        <f t="shared" si="1954"/>
        <v>0.40119760479041916</v>
      </c>
      <c r="Q4601" t="str">
        <f t="shared" si="1931"/>
        <v>3.51% | 1.5%</v>
      </c>
      <c r="R4601" t="str">
        <f t="shared" si="1955"/>
        <v>BEARISH</v>
      </c>
      <c r="S4601">
        <f t="shared" si="1932"/>
        <v>-1</v>
      </c>
    </row>
    <row r="4602" spans="1:19" hidden="1" x14ac:dyDescent="0.25">
      <c r="A4602" s="5" t="str">
        <f t="shared" si="1933"/>
        <v>44104RUT</v>
      </c>
      <c r="B4602" s="6" t="s">
        <v>164</v>
      </c>
      <c r="C4602" s="6">
        <v>1433</v>
      </c>
      <c r="D4602" s="6">
        <v>1519</v>
      </c>
      <c r="E4602" s="6">
        <v>1504</v>
      </c>
      <c r="F4602" t="str">
        <f t="shared" si="1945"/>
        <v>WED</v>
      </c>
      <c r="G4602" s="3">
        <f t="shared" si="1946"/>
        <v>44104</v>
      </c>
      <c r="H4602" s="2">
        <f t="shared" ca="1" si="1947"/>
        <v>149</v>
      </c>
      <c r="I4602" t="str">
        <f t="shared" si="1948"/>
        <v>RUT</v>
      </c>
      <c r="J4602">
        <f t="shared" si="1949"/>
        <v>1433</v>
      </c>
      <c r="K4602">
        <f t="shared" si="1950"/>
        <v>1519</v>
      </c>
      <c r="L4602">
        <f t="shared" si="1951"/>
        <v>1476</v>
      </c>
      <c r="M4602">
        <f t="shared" si="1952"/>
        <v>43</v>
      </c>
      <c r="N4602">
        <f t="shared" si="1930"/>
        <v>86</v>
      </c>
      <c r="O4602">
        <f t="shared" si="1953"/>
        <v>1504</v>
      </c>
      <c r="P4602">
        <f t="shared" si="1954"/>
        <v>0.65116279069767447</v>
      </c>
      <c r="Q4602" t="str">
        <f t="shared" si="1931"/>
        <v>4.72% | 1%</v>
      </c>
      <c r="R4602" t="str">
        <f t="shared" si="1955"/>
        <v>BEARISH</v>
      </c>
      <c r="S4602">
        <f t="shared" si="1932"/>
        <v>-1</v>
      </c>
    </row>
    <row r="4603" spans="1:19" hidden="1" x14ac:dyDescent="0.25">
      <c r="A4603" s="5" t="str">
        <f t="shared" si="1933"/>
        <v>44104COMPQ</v>
      </c>
      <c r="B4603" s="6" t="s">
        <v>217</v>
      </c>
      <c r="C4603" s="6">
        <v>10545</v>
      </c>
      <c r="D4603" s="6">
        <v>11199</v>
      </c>
      <c r="E4603" s="6">
        <v>11085</v>
      </c>
      <c r="F4603" t="str">
        <f t="shared" si="1945"/>
        <v>WED</v>
      </c>
      <c r="G4603" s="3">
        <f t="shared" si="1946"/>
        <v>44104</v>
      </c>
      <c r="H4603" s="2">
        <f t="shared" ca="1" si="1947"/>
        <v>149</v>
      </c>
      <c r="I4603" t="str">
        <f t="shared" si="1948"/>
        <v>COMPQ</v>
      </c>
      <c r="J4603">
        <f t="shared" si="1949"/>
        <v>10545</v>
      </c>
      <c r="K4603">
        <f t="shared" si="1950"/>
        <v>11199</v>
      </c>
      <c r="L4603">
        <f t="shared" si="1951"/>
        <v>10872</v>
      </c>
      <c r="M4603">
        <f t="shared" si="1952"/>
        <v>327</v>
      </c>
      <c r="N4603">
        <f t="shared" si="1930"/>
        <v>654</v>
      </c>
      <c r="O4603">
        <f t="shared" si="1953"/>
        <v>11085</v>
      </c>
      <c r="P4603">
        <f t="shared" si="1954"/>
        <v>0.65137614678899081</v>
      </c>
      <c r="Q4603" t="str">
        <f t="shared" si="1931"/>
        <v>4.87% | 1.03%</v>
      </c>
      <c r="R4603" t="str">
        <f t="shared" si="1955"/>
        <v>BEARISH</v>
      </c>
      <c r="S4603">
        <f t="shared" si="1932"/>
        <v>-1</v>
      </c>
    </row>
    <row r="4604" spans="1:19" hidden="1" x14ac:dyDescent="0.25">
      <c r="A4604" s="5" t="str">
        <f t="shared" si="1933"/>
        <v>44104XLK</v>
      </c>
      <c r="B4604" s="6" t="s">
        <v>218</v>
      </c>
      <c r="C4604" s="6">
        <v>109.51</v>
      </c>
      <c r="D4604" s="6">
        <v>116.95</v>
      </c>
      <c r="E4604" s="6">
        <v>115.73</v>
      </c>
      <c r="F4604" t="str">
        <f t="shared" si="1945"/>
        <v>WED</v>
      </c>
      <c r="G4604" s="3">
        <f t="shared" si="1946"/>
        <v>44104</v>
      </c>
      <c r="H4604" s="2">
        <f t="shared" ca="1" si="1947"/>
        <v>149</v>
      </c>
      <c r="I4604" t="str">
        <f t="shared" si="1948"/>
        <v>XLK</v>
      </c>
      <c r="J4604">
        <f t="shared" si="1949"/>
        <v>109.51</v>
      </c>
      <c r="K4604">
        <f t="shared" si="1950"/>
        <v>116.95</v>
      </c>
      <c r="L4604">
        <f t="shared" si="1951"/>
        <v>113.23</v>
      </c>
      <c r="M4604">
        <f t="shared" si="1952"/>
        <v>3.7199999999999989</v>
      </c>
      <c r="N4604">
        <f t="shared" si="1930"/>
        <v>7.4399999999999977</v>
      </c>
      <c r="O4604">
        <f t="shared" si="1953"/>
        <v>115.73</v>
      </c>
      <c r="P4604">
        <f t="shared" si="1954"/>
        <v>0.67204301075268835</v>
      </c>
      <c r="Q4604" t="str">
        <f t="shared" si="1931"/>
        <v>5.37% | 1.05%</v>
      </c>
      <c r="R4604" t="str">
        <f t="shared" si="1955"/>
        <v>BEARISH</v>
      </c>
      <c r="S4604">
        <f t="shared" si="1932"/>
        <v>-1</v>
      </c>
    </row>
    <row r="4605" spans="1:19" hidden="1" x14ac:dyDescent="0.25">
      <c r="A4605" s="5" t="str">
        <f t="shared" si="1933"/>
        <v>44104XLRE</v>
      </c>
      <c r="B4605" s="6" t="s">
        <v>232</v>
      </c>
      <c r="C4605" s="6">
        <v>33.5</v>
      </c>
      <c r="D4605" s="6">
        <v>36.200000000000003</v>
      </c>
      <c r="E4605" s="6">
        <v>35.090000000000003</v>
      </c>
      <c r="F4605" t="str">
        <f t="shared" si="1945"/>
        <v>WED</v>
      </c>
      <c r="G4605" s="3">
        <f t="shared" si="1946"/>
        <v>44104</v>
      </c>
      <c r="H4605" s="2">
        <f t="shared" ca="1" si="1947"/>
        <v>149</v>
      </c>
      <c r="I4605" t="str">
        <f t="shared" si="1948"/>
        <v>XLRE</v>
      </c>
      <c r="J4605">
        <f t="shared" si="1949"/>
        <v>33.5</v>
      </c>
      <c r="K4605">
        <f t="shared" si="1950"/>
        <v>36.200000000000003</v>
      </c>
      <c r="L4605">
        <f t="shared" si="1951"/>
        <v>34.85</v>
      </c>
      <c r="M4605">
        <f t="shared" si="1952"/>
        <v>1.3500000000000014</v>
      </c>
      <c r="N4605">
        <f t="shared" si="1930"/>
        <v>2.7000000000000028</v>
      </c>
      <c r="O4605">
        <f t="shared" si="1953"/>
        <v>35.090000000000003</v>
      </c>
      <c r="P4605">
        <f t="shared" si="1954"/>
        <v>0.17777777777777906</v>
      </c>
      <c r="Q4605" t="str">
        <f t="shared" si="1931"/>
        <v>4.53% | 3.16%</v>
      </c>
      <c r="R4605" t="str">
        <f t="shared" si="1955"/>
        <v>NEUTRAL</v>
      </c>
      <c r="S4605">
        <f t="shared" si="1932"/>
        <v>0</v>
      </c>
    </row>
    <row r="4606" spans="1:19" hidden="1" x14ac:dyDescent="0.25">
      <c r="A4606" s="5" t="str">
        <f t="shared" si="1933"/>
        <v>44104XLU</v>
      </c>
      <c r="B4606" s="6" t="s">
        <v>168</v>
      </c>
      <c r="C4606" s="6">
        <v>56.68</v>
      </c>
      <c r="D4606" s="6">
        <v>59.55</v>
      </c>
      <c r="E4606" s="6">
        <v>58.85</v>
      </c>
      <c r="F4606" t="str">
        <f t="shared" si="1945"/>
        <v>WED</v>
      </c>
      <c r="G4606" s="3">
        <f t="shared" si="1946"/>
        <v>44104</v>
      </c>
      <c r="H4606" s="2">
        <f t="shared" ca="1" si="1947"/>
        <v>149</v>
      </c>
      <c r="I4606" t="str">
        <f t="shared" si="1948"/>
        <v>XLU</v>
      </c>
      <c r="J4606">
        <f t="shared" si="1949"/>
        <v>56.68</v>
      </c>
      <c r="K4606">
        <f t="shared" si="1950"/>
        <v>59.55</v>
      </c>
      <c r="L4606">
        <f t="shared" si="1951"/>
        <v>58.114999999999995</v>
      </c>
      <c r="M4606">
        <f t="shared" si="1952"/>
        <v>1.4349999999999987</v>
      </c>
      <c r="N4606">
        <f t="shared" si="1930"/>
        <v>2.8699999999999974</v>
      </c>
      <c r="O4606">
        <f t="shared" si="1953"/>
        <v>58.85</v>
      </c>
      <c r="P4606">
        <f t="shared" si="1954"/>
        <v>0.51219512195122452</v>
      </c>
      <c r="Q4606" t="str">
        <f t="shared" si="1931"/>
        <v>3.69% | 1.19%</v>
      </c>
      <c r="R4606" t="str">
        <f t="shared" si="1955"/>
        <v>BULLISH</v>
      </c>
      <c r="S4606">
        <f t="shared" si="1932"/>
        <v>1</v>
      </c>
    </row>
    <row r="4607" spans="1:19" hidden="1" x14ac:dyDescent="0.25">
      <c r="A4607" s="5" t="str">
        <f t="shared" si="1933"/>
        <v>44104XLF</v>
      </c>
      <c r="B4607" s="6" t="s">
        <v>169</v>
      </c>
      <c r="C4607" s="6">
        <v>22.69</v>
      </c>
      <c r="D4607" s="6">
        <v>24.34</v>
      </c>
      <c r="E4607" s="6">
        <v>23.75</v>
      </c>
      <c r="F4607" t="str">
        <f t="shared" si="1945"/>
        <v>WED</v>
      </c>
      <c r="G4607" s="3">
        <f t="shared" si="1946"/>
        <v>44104</v>
      </c>
      <c r="H4607" s="2">
        <f t="shared" ca="1" si="1947"/>
        <v>149</v>
      </c>
      <c r="I4607" t="str">
        <f t="shared" si="1948"/>
        <v>XLF</v>
      </c>
      <c r="J4607">
        <f t="shared" si="1949"/>
        <v>22.69</v>
      </c>
      <c r="K4607">
        <f t="shared" si="1950"/>
        <v>24.34</v>
      </c>
      <c r="L4607">
        <f t="shared" si="1951"/>
        <v>23.515000000000001</v>
      </c>
      <c r="M4607">
        <f t="shared" si="1952"/>
        <v>0.82499999999999929</v>
      </c>
      <c r="N4607">
        <f t="shared" si="1930"/>
        <v>1.6499999999999986</v>
      </c>
      <c r="O4607">
        <f t="shared" si="1953"/>
        <v>23.75</v>
      </c>
      <c r="P4607">
        <f t="shared" si="1954"/>
        <v>0.28484848484848441</v>
      </c>
      <c r="Q4607" t="str">
        <f t="shared" si="1931"/>
        <v>4.46% | 2.48%</v>
      </c>
      <c r="R4607" t="str">
        <f t="shared" si="1955"/>
        <v>BEARISH</v>
      </c>
      <c r="S4607">
        <f t="shared" si="1932"/>
        <v>-1</v>
      </c>
    </row>
    <row r="4608" spans="1:19" hidden="1" x14ac:dyDescent="0.25">
      <c r="A4608" s="5" t="str">
        <f t="shared" si="1933"/>
        <v>44104SSEC</v>
      </c>
      <c r="B4608" s="6" t="s">
        <v>170</v>
      </c>
      <c r="C4608" s="6">
        <v>3168</v>
      </c>
      <c r="D4608" s="6">
        <v>3348</v>
      </c>
      <c r="E4608" s="6">
        <v>3218</v>
      </c>
      <c r="F4608" t="str">
        <f t="shared" si="1945"/>
        <v>WED</v>
      </c>
      <c r="G4608" s="3">
        <f t="shared" si="1946"/>
        <v>44104</v>
      </c>
      <c r="H4608" s="2">
        <f t="shared" ca="1" si="1947"/>
        <v>149</v>
      </c>
      <c r="I4608" t="str">
        <f t="shared" si="1948"/>
        <v>SSEC</v>
      </c>
      <c r="J4608">
        <f t="shared" si="1949"/>
        <v>3168</v>
      </c>
      <c r="K4608">
        <f t="shared" si="1950"/>
        <v>3348</v>
      </c>
      <c r="L4608">
        <f t="shared" si="1951"/>
        <v>3258</v>
      </c>
      <c r="M4608">
        <f t="shared" si="1952"/>
        <v>90</v>
      </c>
      <c r="N4608">
        <f t="shared" si="1930"/>
        <v>180</v>
      </c>
      <c r="O4608">
        <f t="shared" si="1953"/>
        <v>3218</v>
      </c>
      <c r="P4608">
        <f t="shared" si="1954"/>
        <v>-0.44444444444444442</v>
      </c>
      <c r="Q4608" t="str">
        <f t="shared" si="1931"/>
        <v>1.55% | 4.04%</v>
      </c>
      <c r="R4608" t="str">
        <f t="shared" si="1955"/>
        <v>BULLISH</v>
      </c>
      <c r="S4608">
        <f t="shared" si="1932"/>
        <v>1</v>
      </c>
    </row>
    <row r="4609" spans="1:19" hidden="1" x14ac:dyDescent="0.25">
      <c r="A4609" s="5" t="str">
        <f t="shared" si="1933"/>
        <v>44104NIKK</v>
      </c>
      <c r="B4609" s="6" t="s">
        <v>201</v>
      </c>
      <c r="C4609" s="6">
        <v>23076</v>
      </c>
      <c r="D4609" s="6">
        <v>23644</v>
      </c>
      <c r="E4609" s="6">
        <v>23185</v>
      </c>
      <c r="F4609" t="str">
        <f t="shared" si="1945"/>
        <v>WED</v>
      </c>
      <c r="G4609" s="3">
        <f t="shared" si="1946"/>
        <v>44104</v>
      </c>
      <c r="H4609" s="2">
        <f t="shared" ca="1" si="1947"/>
        <v>149</v>
      </c>
      <c r="I4609" t="str">
        <f t="shared" si="1948"/>
        <v>NIKK</v>
      </c>
      <c r="J4609">
        <f t="shared" si="1949"/>
        <v>23076</v>
      </c>
      <c r="K4609">
        <f t="shared" si="1950"/>
        <v>23644</v>
      </c>
      <c r="L4609">
        <f t="shared" si="1951"/>
        <v>23360</v>
      </c>
      <c r="M4609">
        <f t="shared" si="1952"/>
        <v>284</v>
      </c>
      <c r="N4609">
        <f t="shared" si="1930"/>
        <v>568</v>
      </c>
      <c r="O4609">
        <f t="shared" si="1953"/>
        <v>23185</v>
      </c>
      <c r="P4609">
        <f t="shared" si="1954"/>
        <v>-0.61619718309859151</v>
      </c>
      <c r="Q4609" t="str">
        <f t="shared" si="1931"/>
        <v>0.47% | 1.98%</v>
      </c>
      <c r="R4609" t="str">
        <f t="shared" si="1955"/>
        <v>BULLISH</v>
      </c>
      <c r="S4609">
        <f t="shared" si="1932"/>
        <v>1</v>
      </c>
    </row>
    <row r="4610" spans="1:19" hidden="1" x14ac:dyDescent="0.25">
      <c r="A4610" s="5" t="str">
        <f t="shared" si="1933"/>
        <v>44104DAX</v>
      </c>
      <c r="B4610" s="6" t="s">
        <v>227</v>
      </c>
      <c r="C4610" s="6">
        <v>12253</v>
      </c>
      <c r="D4610" s="6">
        <v>12915</v>
      </c>
      <c r="E4610" s="6">
        <v>12825</v>
      </c>
      <c r="F4610" t="str">
        <f t="shared" si="1945"/>
        <v>WED</v>
      </c>
      <c r="G4610" s="3">
        <f t="shared" si="1946"/>
        <v>44104</v>
      </c>
      <c r="H4610" s="2">
        <f t="shared" ca="1" si="1947"/>
        <v>149</v>
      </c>
      <c r="I4610" t="str">
        <f t="shared" si="1948"/>
        <v>DAX</v>
      </c>
      <c r="J4610">
        <f t="shared" si="1949"/>
        <v>12253</v>
      </c>
      <c r="K4610">
        <f t="shared" si="1950"/>
        <v>12915</v>
      </c>
      <c r="L4610">
        <f t="shared" si="1951"/>
        <v>12584</v>
      </c>
      <c r="M4610">
        <f t="shared" si="1952"/>
        <v>331</v>
      </c>
      <c r="N4610">
        <f t="shared" si="1930"/>
        <v>662</v>
      </c>
      <c r="O4610">
        <f t="shared" si="1953"/>
        <v>12825</v>
      </c>
      <c r="P4610">
        <f t="shared" si="1954"/>
        <v>0.72809667673716016</v>
      </c>
      <c r="Q4610" t="str">
        <f t="shared" si="1931"/>
        <v>4.46% | 0.7%</v>
      </c>
      <c r="R4610" t="str">
        <f t="shared" si="1955"/>
        <v>BEARISH</v>
      </c>
      <c r="S4610">
        <f t="shared" si="1932"/>
        <v>-1</v>
      </c>
    </row>
    <row r="4611" spans="1:19" hidden="1" x14ac:dyDescent="0.25">
      <c r="A4611" s="5" t="str">
        <f t="shared" si="1933"/>
        <v>44104VIX</v>
      </c>
      <c r="B4611" s="6" t="s">
        <v>202</v>
      </c>
      <c r="C4611" s="6">
        <v>25</v>
      </c>
      <c r="D4611" s="6">
        <v>29.94</v>
      </c>
      <c r="E4611" s="6">
        <v>26.27</v>
      </c>
      <c r="F4611" t="str">
        <f t="shared" si="1945"/>
        <v>WED</v>
      </c>
      <c r="G4611" s="3">
        <f t="shared" si="1946"/>
        <v>44104</v>
      </c>
      <c r="H4611" s="2">
        <f t="shared" ca="1" si="1947"/>
        <v>149</v>
      </c>
      <c r="I4611" t="str">
        <f t="shared" si="1948"/>
        <v>VIX</v>
      </c>
      <c r="J4611">
        <f t="shared" si="1949"/>
        <v>25</v>
      </c>
      <c r="K4611">
        <f t="shared" si="1950"/>
        <v>29.94</v>
      </c>
      <c r="L4611">
        <f t="shared" si="1951"/>
        <v>27.47</v>
      </c>
      <c r="M4611">
        <f t="shared" si="1952"/>
        <v>2.4700000000000006</v>
      </c>
      <c r="N4611">
        <f t="shared" ref="N4611:N4674" si="1956">ABS(K4611-J4611)</f>
        <v>4.9400000000000013</v>
      </c>
      <c r="O4611">
        <f t="shared" si="1953"/>
        <v>26.27</v>
      </c>
      <c r="P4611">
        <f t="shared" si="1954"/>
        <v>-0.48582995951416963</v>
      </c>
      <c r="Q4611" t="str">
        <f t="shared" ref="Q4611:Q4674" si="1957">ROUND(ABS(100*(O4611-J4611)/O4611),2)&amp;"% | "&amp;ROUND(ABS(100*(K4611-O4611)/O4611),2)&amp;"%"</f>
        <v>4.83% | 13.97%</v>
      </c>
      <c r="R4611" t="str">
        <f t="shared" si="1955"/>
        <v>BULLISH</v>
      </c>
      <c r="S4611">
        <f t="shared" ref="S4611:S4674" si="1958">IF(R4611="BEARISH",-1,IF(R4611="NEUTRAL",0,IF(R4611="BULLISH",1,99)))</f>
        <v>1</v>
      </c>
    </row>
    <row r="4612" spans="1:19" hidden="1" x14ac:dyDescent="0.25">
      <c r="A4612" s="5" t="str">
        <f t="shared" si="1933"/>
        <v>44104USD</v>
      </c>
      <c r="B4612" s="6" t="s">
        <v>174</v>
      </c>
      <c r="C4612" s="6">
        <v>92.65</v>
      </c>
      <c r="D4612" s="6">
        <v>95.13</v>
      </c>
      <c r="E4612" s="6">
        <v>93.93</v>
      </c>
      <c r="F4612" t="str">
        <f t="shared" si="1945"/>
        <v>WED</v>
      </c>
      <c r="G4612" s="3">
        <f t="shared" si="1946"/>
        <v>44104</v>
      </c>
      <c r="H4612" s="2">
        <f t="shared" ca="1" si="1947"/>
        <v>149</v>
      </c>
      <c r="I4612" t="str">
        <f t="shared" si="1948"/>
        <v>USD</v>
      </c>
      <c r="J4612">
        <f t="shared" si="1949"/>
        <v>92.65</v>
      </c>
      <c r="K4612">
        <f t="shared" si="1950"/>
        <v>95.13</v>
      </c>
      <c r="L4612">
        <f t="shared" si="1951"/>
        <v>93.89</v>
      </c>
      <c r="M4612">
        <f t="shared" si="1952"/>
        <v>1.2399999999999949</v>
      </c>
      <c r="N4612">
        <f t="shared" si="1956"/>
        <v>2.4799999999999898</v>
      </c>
      <c r="O4612">
        <f t="shared" si="1953"/>
        <v>93.93</v>
      </c>
      <c r="P4612">
        <f t="shared" si="1954"/>
        <v>3.2258064516134208E-2</v>
      </c>
      <c r="Q4612" t="str">
        <f t="shared" si="1957"/>
        <v>1.36% | 1.28%</v>
      </c>
      <c r="R4612" t="str">
        <f t="shared" si="1955"/>
        <v>BEARISH</v>
      </c>
      <c r="S4612">
        <f t="shared" si="1958"/>
        <v>-1</v>
      </c>
    </row>
    <row r="4613" spans="1:19" hidden="1" x14ac:dyDescent="0.25">
      <c r="A4613" s="5" t="str">
        <f t="shared" si="1933"/>
        <v>44104EUR/USD</v>
      </c>
      <c r="B4613" s="6" t="s">
        <v>175</v>
      </c>
      <c r="C4613" s="6">
        <v>1.1499999999999999</v>
      </c>
      <c r="D4613" s="6">
        <v>1.18</v>
      </c>
      <c r="E4613" s="6">
        <v>1.17</v>
      </c>
      <c r="F4613" t="str">
        <f t="shared" si="1945"/>
        <v>WED</v>
      </c>
      <c r="G4613" s="3">
        <f t="shared" si="1946"/>
        <v>44104</v>
      </c>
      <c r="H4613" s="2">
        <f t="shared" ca="1" si="1947"/>
        <v>149</v>
      </c>
      <c r="I4613" t="str">
        <f t="shared" si="1948"/>
        <v>EUR/USD</v>
      </c>
      <c r="J4613">
        <f t="shared" si="1949"/>
        <v>1.1499999999999999</v>
      </c>
      <c r="K4613">
        <f t="shared" si="1950"/>
        <v>1.18</v>
      </c>
      <c r="L4613">
        <f t="shared" si="1951"/>
        <v>1.165</v>
      </c>
      <c r="M4613">
        <f t="shared" si="1952"/>
        <v>1.5000000000000013E-2</v>
      </c>
      <c r="N4613">
        <f t="shared" si="1956"/>
        <v>3.0000000000000027E-2</v>
      </c>
      <c r="O4613">
        <f t="shared" si="1953"/>
        <v>1.17</v>
      </c>
      <c r="P4613">
        <f t="shared" si="1954"/>
        <v>0.33333333333332593</v>
      </c>
      <c r="Q4613" t="str">
        <f t="shared" si="1957"/>
        <v>1.71% | 0.85%</v>
      </c>
      <c r="R4613" t="str">
        <f t="shared" si="1955"/>
        <v>BULLISH</v>
      </c>
      <c r="S4613">
        <f t="shared" si="1958"/>
        <v>1</v>
      </c>
    </row>
    <row r="4614" spans="1:19" hidden="1" x14ac:dyDescent="0.25">
      <c r="A4614" s="5" t="str">
        <f t="shared" ref="A4614:A4677" si="1959">G4614&amp;I4614</f>
        <v>44104USD/JPY</v>
      </c>
      <c r="B4614" s="6" t="s">
        <v>176</v>
      </c>
      <c r="C4614" s="6">
        <v>104.24</v>
      </c>
      <c r="D4614" s="6">
        <v>106.1</v>
      </c>
      <c r="E4614" s="6">
        <v>105.67</v>
      </c>
      <c r="F4614" t="str">
        <f t="shared" si="1945"/>
        <v>WED</v>
      </c>
      <c r="G4614" s="3">
        <f t="shared" si="1946"/>
        <v>44104</v>
      </c>
      <c r="H4614" s="2">
        <f t="shared" ca="1" si="1947"/>
        <v>149</v>
      </c>
      <c r="I4614" t="str">
        <f t="shared" si="1948"/>
        <v>USD/JPY</v>
      </c>
      <c r="J4614">
        <f t="shared" si="1949"/>
        <v>104.24</v>
      </c>
      <c r="K4614">
        <f t="shared" si="1950"/>
        <v>106.1</v>
      </c>
      <c r="L4614">
        <f t="shared" si="1951"/>
        <v>105.16999999999999</v>
      </c>
      <c r="M4614">
        <f t="shared" si="1952"/>
        <v>0.92999999999999972</v>
      </c>
      <c r="N4614">
        <f t="shared" si="1956"/>
        <v>1.8599999999999994</v>
      </c>
      <c r="O4614">
        <f t="shared" si="1953"/>
        <v>105.67</v>
      </c>
      <c r="P4614">
        <f t="shared" si="1954"/>
        <v>0.53763440860216594</v>
      </c>
      <c r="Q4614" t="str">
        <f t="shared" si="1957"/>
        <v>1.35% | 0.41%</v>
      </c>
      <c r="R4614" t="str">
        <f t="shared" si="1955"/>
        <v>BEARISH</v>
      </c>
      <c r="S4614">
        <f t="shared" si="1958"/>
        <v>-1</v>
      </c>
    </row>
    <row r="4615" spans="1:19" hidden="1" x14ac:dyDescent="0.25">
      <c r="A4615" s="5" t="str">
        <f t="shared" si="1959"/>
        <v>44104GBP/USD</v>
      </c>
      <c r="B4615" s="6" t="s">
        <v>214</v>
      </c>
      <c r="C4615" s="6">
        <v>1.26</v>
      </c>
      <c r="D4615" s="6">
        <v>1.29</v>
      </c>
      <c r="E4615" s="6">
        <v>1.28</v>
      </c>
      <c r="F4615" t="str">
        <f t="shared" si="1945"/>
        <v>WED</v>
      </c>
      <c r="G4615" s="3">
        <f t="shared" si="1946"/>
        <v>44104</v>
      </c>
      <c r="H4615" s="2">
        <f t="shared" ca="1" si="1947"/>
        <v>149</v>
      </c>
      <c r="I4615" t="str">
        <f t="shared" si="1948"/>
        <v>GBP/USD</v>
      </c>
      <c r="J4615">
        <f t="shared" si="1949"/>
        <v>1.26</v>
      </c>
      <c r="K4615">
        <f t="shared" si="1950"/>
        <v>1.29</v>
      </c>
      <c r="L4615">
        <f t="shared" si="1951"/>
        <v>1.2749999999999999</v>
      </c>
      <c r="M4615">
        <f t="shared" si="1952"/>
        <v>1.5000000000000013E-2</v>
      </c>
      <c r="N4615">
        <f t="shared" si="1956"/>
        <v>3.0000000000000027E-2</v>
      </c>
      <c r="O4615">
        <f t="shared" si="1953"/>
        <v>1.28</v>
      </c>
      <c r="P4615">
        <f t="shared" si="1954"/>
        <v>0.33333333333334075</v>
      </c>
      <c r="Q4615" t="str">
        <f t="shared" si="1957"/>
        <v>1.56% | 0.78%</v>
      </c>
      <c r="R4615" t="str">
        <f t="shared" si="1955"/>
        <v>NEUTRAL</v>
      </c>
      <c r="S4615">
        <f t="shared" si="1958"/>
        <v>0</v>
      </c>
    </row>
    <row r="4616" spans="1:19" hidden="1" x14ac:dyDescent="0.25">
      <c r="A4616" s="5" t="str">
        <f t="shared" si="1959"/>
        <v>44104USD/CHF</v>
      </c>
      <c r="B4616" s="6" t="s">
        <v>178</v>
      </c>
      <c r="C4616" s="6">
        <v>0.9</v>
      </c>
      <c r="D4616" s="6">
        <v>0.93</v>
      </c>
      <c r="E4616" s="6">
        <v>0.91</v>
      </c>
      <c r="F4616" t="str">
        <f t="shared" si="1945"/>
        <v>WED</v>
      </c>
      <c r="G4616" s="3">
        <f t="shared" si="1946"/>
        <v>44104</v>
      </c>
      <c r="H4616" s="2">
        <f t="shared" ca="1" si="1947"/>
        <v>149</v>
      </c>
      <c r="I4616" t="str">
        <f t="shared" si="1948"/>
        <v>USD/CHF</v>
      </c>
      <c r="J4616">
        <f t="shared" si="1949"/>
        <v>0.9</v>
      </c>
      <c r="K4616">
        <f t="shared" si="1950"/>
        <v>0.93</v>
      </c>
      <c r="L4616">
        <f t="shared" si="1951"/>
        <v>0.91500000000000004</v>
      </c>
      <c r="M4616">
        <f t="shared" si="1952"/>
        <v>1.5000000000000013E-2</v>
      </c>
      <c r="N4616">
        <f t="shared" si="1956"/>
        <v>3.0000000000000027E-2</v>
      </c>
      <c r="O4616">
        <f t="shared" si="1953"/>
        <v>0.91</v>
      </c>
      <c r="P4616">
        <f t="shared" si="1954"/>
        <v>-0.33333333333333331</v>
      </c>
      <c r="Q4616" t="str">
        <f t="shared" si="1957"/>
        <v>1.1% | 2.2%</v>
      </c>
      <c r="R4616" t="str">
        <f t="shared" si="1955"/>
        <v>BEARISH</v>
      </c>
      <c r="S4616">
        <f t="shared" si="1958"/>
        <v>-1</v>
      </c>
    </row>
    <row r="4617" spans="1:19" hidden="1" x14ac:dyDescent="0.25">
      <c r="A4617" s="5" t="str">
        <f t="shared" si="1959"/>
        <v>44104WTIC</v>
      </c>
      <c r="B4617" s="6" t="s">
        <v>215</v>
      </c>
      <c r="C4617" s="6">
        <v>37.97</v>
      </c>
      <c r="D4617" s="6">
        <v>41.37</v>
      </c>
      <c r="E4617" s="6">
        <v>39.29</v>
      </c>
      <c r="F4617" t="str">
        <f t="shared" si="1945"/>
        <v>WED</v>
      </c>
      <c r="G4617" s="3">
        <f t="shared" si="1946"/>
        <v>44104</v>
      </c>
      <c r="H4617" s="2">
        <f t="shared" ca="1" si="1947"/>
        <v>149</v>
      </c>
      <c r="I4617" t="str">
        <f t="shared" si="1948"/>
        <v>WTIC</v>
      </c>
      <c r="J4617">
        <f t="shared" si="1949"/>
        <v>37.97</v>
      </c>
      <c r="K4617">
        <f t="shared" si="1950"/>
        <v>41.37</v>
      </c>
      <c r="L4617">
        <f t="shared" si="1951"/>
        <v>39.67</v>
      </c>
      <c r="M4617">
        <f t="shared" si="1952"/>
        <v>1.6999999999999993</v>
      </c>
      <c r="N4617">
        <f t="shared" si="1956"/>
        <v>3.3999999999999986</v>
      </c>
      <c r="O4617">
        <f t="shared" si="1953"/>
        <v>39.29</v>
      </c>
      <c r="P4617">
        <f t="shared" si="1954"/>
        <v>-0.22352941176470748</v>
      </c>
      <c r="Q4617" t="str">
        <f t="shared" si="1957"/>
        <v>3.36% | 5.29%</v>
      </c>
      <c r="R4617" t="str">
        <f t="shared" si="1955"/>
        <v>BEARISH</v>
      </c>
      <c r="S4617">
        <f t="shared" si="1958"/>
        <v>-1</v>
      </c>
    </row>
    <row r="4618" spans="1:19" hidden="1" x14ac:dyDescent="0.25">
      <c r="A4618" s="5" t="str">
        <f t="shared" si="1959"/>
        <v>44104NATGAS</v>
      </c>
      <c r="B4618" s="6" t="s">
        <v>180</v>
      </c>
      <c r="C4618" s="6">
        <v>1.75</v>
      </c>
      <c r="D4618" s="6">
        <v>2.9</v>
      </c>
      <c r="E4618" s="6">
        <v>2.56</v>
      </c>
      <c r="F4618" t="str">
        <f t="shared" si="1945"/>
        <v>WED</v>
      </c>
      <c r="G4618" s="3">
        <f t="shared" si="1946"/>
        <v>44104</v>
      </c>
      <c r="H4618" s="2">
        <f t="shared" ca="1" si="1947"/>
        <v>149</v>
      </c>
      <c r="I4618" t="str">
        <f t="shared" si="1948"/>
        <v>NATGAS</v>
      </c>
      <c r="J4618">
        <f t="shared" si="1949"/>
        <v>1.75</v>
      </c>
      <c r="K4618">
        <f t="shared" si="1950"/>
        <v>2.9</v>
      </c>
      <c r="L4618">
        <f t="shared" si="1951"/>
        <v>2.3250000000000002</v>
      </c>
      <c r="M4618">
        <f t="shared" si="1952"/>
        <v>0.57499999999999962</v>
      </c>
      <c r="N4618">
        <f t="shared" si="1956"/>
        <v>1.1499999999999999</v>
      </c>
      <c r="O4618">
        <f t="shared" si="1953"/>
        <v>2.56</v>
      </c>
      <c r="P4618">
        <f t="shared" si="1954"/>
        <v>0.40869565217391307</v>
      </c>
      <c r="Q4618" t="str">
        <f t="shared" si="1957"/>
        <v>31.64% | 13.28%</v>
      </c>
      <c r="R4618" t="str">
        <f t="shared" si="1955"/>
        <v>BULLISH</v>
      </c>
      <c r="S4618">
        <f t="shared" si="1958"/>
        <v>1</v>
      </c>
    </row>
    <row r="4619" spans="1:19" hidden="1" x14ac:dyDescent="0.25">
      <c r="A4619" s="5" t="str">
        <f t="shared" si="1959"/>
        <v>44104GOLD</v>
      </c>
      <c r="B4619" s="6" t="s">
        <v>181</v>
      </c>
      <c r="C4619" s="6">
        <v>1836</v>
      </c>
      <c r="D4619" s="6">
        <v>1977</v>
      </c>
      <c r="E4619" s="6">
        <v>1903</v>
      </c>
      <c r="F4619" t="str">
        <f t="shared" si="1945"/>
        <v>WED</v>
      </c>
      <c r="G4619" s="3">
        <f t="shared" si="1946"/>
        <v>44104</v>
      </c>
      <c r="H4619" s="2">
        <f t="shared" ca="1" si="1947"/>
        <v>149</v>
      </c>
      <c r="I4619" t="str">
        <f t="shared" si="1948"/>
        <v>GOLD</v>
      </c>
      <c r="J4619">
        <f t="shared" si="1949"/>
        <v>1836</v>
      </c>
      <c r="K4619">
        <f t="shared" si="1950"/>
        <v>1977</v>
      </c>
      <c r="L4619">
        <f t="shared" si="1951"/>
        <v>1906.5</v>
      </c>
      <c r="M4619">
        <f t="shared" si="1952"/>
        <v>70.5</v>
      </c>
      <c r="N4619">
        <f t="shared" si="1956"/>
        <v>141</v>
      </c>
      <c r="O4619">
        <f t="shared" si="1953"/>
        <v>1903</v>
      </c>
      <c r="P4619">
        <f t="shared" si="1954"/>
        <v>-4.9645390070921988E-2</v>
      </c>
      <c r="Q4619" t="str">
        <f t="shared" si="1957"/>
        <v>3.52% | 3.89%</v>
      </c>
      <c r="R4619" t="str">
        <f t="shared" si="1955"/>
        <v>BULLISH</v>
      </c>
      <c r="S4619">
        <f t="shared" si="1958"/>
        <v>1</v>
      </c>
    </row>
    <row r="4620" spans="1:19" hidden="1" x14ac:dyDescent="0.25">
      <c r="A4620" s="5" t="str">
        <f t="shared" si="1959"/>
        <v>44104SILVER</v>
      </c>
      <c r="B4620" s="6" t="s">
        <v>229</v>
      </c>
      <c r="C4620" s="6">
        <v>21.5</v>
      </c>
      <c r="D4620" s="6">
        <v>27.4</v>
      </c>
      <c r="E4620" s="6">
        <v>24.44</v>
      </c>
      <c r="F4620" t="str">
        <f t="shared" si="1945"/>
        <v>WED</v>
      </c>
      <c r="G4620" s="3">
        <f t="shared" si="1946"/>
        <v>44104</v>
      </c>
      <c r="H4620" s="2">
        <f t="shared" ca="1" si="1947"/>
        <v>149</v>
      </c>
      <c r="I4620" t="str">
        <f t="shared" si="1948"/>
        <v>SILVER</v>
      </c>
      <c r="J4620">
        <f t="shared" si="1949"/>
        <v>21.5</v>
      </c>
      <c r="K4620">
        <f t="shared" si="1950"/>
        <v>27.4</v>
      </c>
      <c r="L4620">
        <f t="shared" si="1951"/>
        <v>24.45</v>
      </c>
      <c r="M4620">
        <f t="shared" si="1952"/>
        <v>2.9499999999999784</v>
      </c>
      <c r="N4620">
        <f t="shared" si="1956"/>
        <v>5.8999999999999986</v>
      </c>
      <c r="O4620">
        <f t="shared" si="1953"/>
        <v>24.44</v>
      </c>
      <c r="P4620">
        <f t="shared" si="1954"/>
        <v>-3.3898305084739265E-3</v>
      </c>
      <c r="Q4620" t="str">
        <f t="shared" si="1957"/>
        <v>12.03% | 12.11%</v>
      </c>
      <c r="R4620" t="str">
        <f t="shared" si="1955"/>
        <v>BEARISH</v>
      </c>
      <c r="S4620">
        <f t="shared" si="1958"/>
        <v>-1</v>
      </c>
    </row>
    <row r="4621" spans="1:19" hidden="1" x14ac:dyDescent="0.25">
      <c r="A4621" s="5" t="str">
        <f t="shared" si="1959"/>
        <v>44104COPPER</v>
      </c>
      <c r="B4621" s="6" t="s">
        <v>182</v>
      </c>
      <c r="C4621" s="6">
        <v>2.91</v>
      </c>
      <c r="D4621" s="6">
        <v>3.11</v>
      </c>
      <c r="E4621" s="6">
        <v>2.99</v>
      </c>
      <c r="F4621" t="str">
        <f t="shared" si="1945"/>
        <v>WED</v>
      </c>
      <c r="G4621" s="3">
        <f t="shared" si="1946"/>
        <v>44104</v>
      </c>
      <c r="H4621" s="2">
        <f t="shared" ca="1" si="1947"/>
        <v>149</v>
      </c>
      <c r="I4621" t="str">
        <f t="shared" si="1948"/>
        <v>COPPER</v>
      </c>
      <c r="J4621">
        <f t="shared" si="1949"/>
        <v>2.91</v>
      </c>
      <c r="K4621">
        <f t="shared" si="1950"/>
        <v>3.11</v>
      </c>
      <c r="L4621">
        <f t="shared" si="1951"/>
        <v>3.01</v>
      </c>
      <c r="M4621">
        <f t="shared" si="1952"/>
        <v>9.9999999999999867E-2</v>
      </c>
      <c r="N4621">
        <f t="shared" si="1956"/>
        <v>0.19999999999999973</v>
      </c>
      <c r="O4621">
        <f t="shared" si="1953"/>
        <v>2.99</v>
      </c>
      <c r="P4621">
        <f t="shared" si="1954"/>
        <v>-0.19999999999999601</v>
      </c>
      <c r="Q4621" t="str">
        <f t="shared" si="1957"/>
        <v>2.68% | 4.01%</v>
      </c>
      <c r="R4621" t="str">
        <f t="shared" si="1955"/>
        <v>BULLISH</v>
      </c>
      <c r="S4621">
        <f t="shared" si="1958"/>
        <v>1</v>
      </c>
    </row>
    <row r="4622" spans="1:19" hidden="1" x14ac:dyDescent="0.25">
      <c r="A4622" s="5" t="str">
        <f t="shared" si="1959"/>
        <v>44104MSFT</v>
      </c>
      <c r="B4622" s="6" t="s">
        <v>206</v>
      </c>
      <c r="C4622" s="6">
        <v>197</v>
      </c>
      <c r="D4622" s="6">
        <v>210</v>
      </c>
      <c r="E4622" s="6">
        <v>207</v>
      </c>
      <c r="F4622" t="str">
        <f t="shared" si="1945"/>
        <v>WED</v>
      </c>
      <c r="G4622" s="3">
        <f t="shared" si="1946"/>
        <v>44104</v>
      </c>
      <c r="H4622" s="2">
        <f t="shared" ca="1" si="1947"/>
        <v>149</v>
      </c>
      <c r="I4622" t="str">
        <f t="shared" si="1948"/>
        <v>MSFT</v>
      </c>
      <c r="J4622">
        <f t="shared" si="1949"/>
        <v>197</v>
      </c>
      <c r="K4622">
        <f t="shared" si="1950"/>
        <v>210</v>
      </c>
      <c r="L4622">
        <f t="shared" si="1951"/>
        <v>203.5</v>
      </c>
      <c r="M4622">
        <f t="shared" si="1952"/>
        <v>6.5</v>
      </c>
      <c r="N4622">
        <f t="shared" si="1956"/>
        <v>13</v>
      </c>
      <c r="O4622">
        <f t="shared" si="1953"/>
        <v>207</v>
      </c>
      <c r="P4622">
        <f t="shared" si="1954"/>
        <v>0.53846153846153844</v>
      </c>
      <c r="Q4622" t="str">
        <f t="shared" si="1957"/>
        <v>4.83% | 1.45%</v>
      </c>
      <c r="R4622" t="str">
        <f t="shared" si="1955"/>
        <v>NEUTRAL</v>
      </c>
      <c r="S4622">
        <f t="shared" si="1958"/>
        <v>0</v>
      </c>
    </row>
    <row r="4623" spans="1:19" hidden="1" x14ac:dyDescent="0.25">
      <c r="A4623" s="5" t="str">
        <f t="shared" si="1959"/>
        <v>44104AAPL</v>
      </c>
      <c r="B4623" s="6" t="s">
        <v>207</v>
      </c>
      <c r="C4623" s="6">
        <v>104</v>
      </c>
      <c r="D4623" s="6">
        <v>116</v>
      </c>
      <c r="E4623" s="6">
        <v>114</v>
      </c>
      <c r="F4623" t="str">
        <f t="shared" si="1945"/>
        <v>WED</v>
      </c>
      <c r="G4623" s="3">
        <f t="shared" si="1946"/>
        <v>44104</v>
      </c>
      <c r="H4623" s="2">
        <f t="shared" ca="1" si="1947"/>
        <v>149</v>
      </c>
      <c r="I4623" t="str">
        <f t="shared" si="1948"/>
        <v>AAPL</v>
      </c>
      <c r="J4623">
        <f t="shared" si="1949"/>
        <v>104</v>
      </c>
      <c r="K4623">
        <f t="shared" si="1950"/>
        <v>116</v>
      </c>
      <c r="L4623">
        <f t="shared" si="1951"/>
        <v>110</v>
      </c>
      <c r="M4623">
        <f t="shared" si="1952"/>
        <v>6</v>
      </c>
      <c r="N4623">
        <f t="shared" si="1956"/>
        <v>12</v>
      </c>
      <c r="O4623">
        <f t="shared" si="1953"/>
        <v>114</v>
      </c>
      <c r="P4623">
        <f t="shared" si="1954"/>
        <v>0.66666666666666663</v>
      </c>
      <c r="Q4623" t="str">
        <f t="shared" si="1957"/>
        <v>8.77% | 1.75%</v>
      </c>
      <c r="R4623" t="str">
        <f t="shared" si="1955"/>
        <v>NEUTRAL</v>
      </c>
      <c r="S4623">
        <f t="shared" si="1958"/>
        <v>0</v>
      </c>
    </row>
    <row r="4624" spans="1:19" hidden="1" x14ac:dyDescent="0.25">
      <c r="A4624" s="5" t="str">
        <f t="shared" si="1959"/>
        <v>44104AMZN</v>
      </c>
      <c r="B4624" s="6" t="s">
        <v>185</v>
      </c>
      <c r="C4624" s="6">
        <v>2888</v>
      </c>
      <c r="D4624" s="6">
        <v>3211</v>
      </c>
      <c r="E4624" s="6">
        <v>3144</v>
      </c>
      <c r="F4624" t="str">
        <f t="shared" si="1945"/>
        <v>WED</v>
      </c>
      <c r="G4624" s="3">
        <f t="shared" si="1946"/>
        <v>44104</v>
      </c>
      <c r="H4624" s="2">
        <f t="shared" ca="1" si="1947"/>
        <v>149</v>
      </c>
      <c r="I4624" t="str">
        <f t="shared" si="1948"/>
        <v>AMZN</v>
      </c>
      <c r="J4624">
        <f t="shared" si="1949"/>
        <v>2888</v>
      </c>
      <c r="K4624">
        <f t="shared" si="1950"/>
        <v>3211</v>
      </c>
      <c r="L4624">
        <f t="shared" si="1951"/>
        <v>3049.5</v>
      </c>
      <c r="M4624">
        <f t="shared" si="1952"/>
        <v>161.5</v>
      </c>
      <c r="N4624">
        <f t="shared" si="1956"/>
        <v>323</v>
      </c>
      <c r="O4624">
        <f t="shared" si="1953"/>
        <v>3144</v>
      </c>
      <c r="P4624">
        <f t="shared" si="1954"/>
        <v>0.5851393188854489</v>
      </c>
      <c r="Q4624" t="str">
        <f t="shared" si="1957"/>
        <v>8.14% | 2.13%</v>
      </c>
      <c r="R4624" t="str">
        <f t="shared" si="1955"/>
        <v>BULLISH</v>
      </c>
      <c r="S4624">
        <f t="shared" si="1958"/>
        <v>1</v>
      </c>
    </row>
    <row r="4625" spans="1:19" hidden="1" x14ac:dyDescent="0.25">
      <c r="A4625" s="5" t="str">
        <f t="shared" si="1959"/>
        <v>44104FB</v>
      </c>
      <c r="B4625" s="6" t="s">
        <v>230</v>
      </c>
      <c r="C4625" s="6">
        <v>242</v>
      </c>
      <c r="D4625" s="6">
        <v>263</v>
      </c>
      <c r="E4625" s="6">
        <v>261</v>
      </c>
      <c r="F4625" t="str">
        <f t="shared" si="1945"/>
        <v>WED</v>
      </c>
      <c r="G4625" s="3">
        <f t="shared" si="1946"/>
        <v>44104</v>
      </c>
      <c r="H4625" s="2">
        <f t="shared" ca="1" si="1947"/>
        <v>149</v>
      </c>
      <c r="I4625" t="str">
        <f t="shared" si="1948"/>
        <v>FB</v>
      </c>
      <c r="J4625">
        <f t="shared" si="1949"/>
        <v>242</v>
      </c>
      <c r="K4625">
        <f t="shared" si="1950"/>
        <v>263</v>
      </c>
      <c r="L4625">
        <f t="shared" si="1951"/>
        <v>252.5</v>
      </c>
      <c r="M4625">
        <f t="shared" si="1952"/>
        <v>10.5</v>
      </c>
      <c r="N4625">
        <f t="shared" si="1956"/>
        <v>21</v>
      </c>
      <c r="O4625">
        <f t="shared" si="1953"/>
        <v>261</v>
      </c>
      <c r="P4625">
        <f t="shared" si="1954"/>
        <v>0.80952380952380953</v>
      </c>
      <c r="Q4625" t="str">
        <f t="shared" si="1957"/>
        <v>7.28% | 0.77%</v>
      </c>
      <c r="R4625" t="str">
        <f t="shared" si="1955"/>
        <v>BEARISH</v>
      </c>
      <c r="S4625">
        <f t="shared" si="1958"/>
        <v>-1</v>
      </c>
    </row>
    <row r="4626" spans="1:19" hidden="1" x14ac:dyDescent="0.25">
      <c r="A4626" s="5" t="str">
        <f t="shared" si="1959"/>
        <v>44104GOOGL</v>
      </c>
      <c r="B4626" s="6" t="s">
        <v>221</v>
      </c>
      <c r="C4626" s="6">
        <v>1391</v>
      </c>
      <c r="D4626" s="6">
        <v>1495</v>
      </c>
      <c r="E4626" s="6">
        <v>1466</v>
      </c>
      <c r="F4626" t="str">
        <f t="shared" si="1945"/>
        <v>WED</v>
      </c>
      <c r="G4626" s="3">
        <f t="shared" si="1946"/>
        <v>44104</v>
      </c>
      <c r="H4626" s="2">
        <f t="shared" ca="1" si="1947"/>
        <v>149</v>
      </c>
      <c r="I4626" t="str">
        <f t="shared" si="1948"/>
        <v>GOOGL</v>
      </c>
      <c r="J4626">
        <f t="shared" si="1949"/>
        <v>1391</v>
      </c>
      <c r="K4626">
        <f t="shared" si="1950"/>
        <v>1495</v>
      </c>
      <c r="L4626">
        <f t="shared" si="1951"/>
        <v>1443</v>
      </c>
      <c r="M4626">
        <f t="shared" si="1952"/>
        <v>52</v>
      </c>
      <c r="N4626">
        <f t="shared" si="1956"/>
        <v>104</v>
      </c>
      <c r="O4626">
        <f t="shared" si="1953"/>
        <v>1466</v>
      </c>
      <c r="P4626">
        <f t="shared" si="1954"/>
        <v>0.44230769230769229</v>
      </c>
      <c r="Q4626" t="str">
        <f t="shared" si="1957"/>
        <v>5.12% | 1.98%</v>
      </c>
      <c r="R4626" t="str">
        <f t="shared" si="1955"/>
        <v>BEARISH</v>
      </c>
      <c r="S4626">
        <f t="shared" si="1958"/>
        <v>-1</v>
      </c>
    </row>
    <row r="4627" spans="1:19" hidden="1" x14ac:dyDescent="0.25">
      <c r="A4627" s="5" t="str">
        <f t="shared" si="1959"/>
        <v>44104NFLX</v>
      </c>
      <c r="B4627" s="6" t="s">
        <v>213</v>
      </c>
      <c r="C4627" s="6">
        <v>459</v>
      </c>
      <c r="D4627" s="6">
        <v>498</v>
      </c>
      <c r="E4627" s="6">
        <v>493</v>
      </c>
      <c r="F4627" t="str">
        <f t="shared" si="1945"/>
        <v>WED</v>
      </c>
      <c r="G4627" s="3">
        <f t="shared" si="1946"/>
        <v>44104</v>
      </c>
      <c r="H4627" s="2">
        <f t="shared" ca="1" si="1947"/>
        <v>149</v>
      </c>
      <c r="I4627" t="str">
        <f t="shared" si="1948"/>
        <v>NFLX</v>
      </c>
      <c r="J4627">
        <f t="shared" si="1949"/>
        <v>459</v>
      </c>
      <c r="K4627">
        <f t="shared" si="1950"/>
        <v>498</v>
      </c>
      <c r="L4627">
        <f t="shared" si="1951"/>
        <v>478.5</v>
      </c>
      <c r="M4627">
        <f t="shared" si="1952"/>
        <v>19.5</v>
      </c>
      <c r="N4627">
        <f t="shared" si="1956"/>
        <v>39</v>
      </c>
      <c r="O4627">
        <f t="shared" si="1953"/>
        <v>493</v>
      </c>
      <c r="P4627">
        <f t="shared" si="1954"/>
        <v>0.74358974358974361</v>
      </c>
      <c r="Q4627" t="str">
        <f t="shared" si="1957"/>
        <v>6.9% | 1.01%</v>
      </c>
      <c r="R4627" t="str">
        <f t="shared" si="1955"/>
        <v>BEARISH</v>
      </c>
      <c r="S4627">
        <f t="shared" si="1958"/>
        <v>-1</v>
      </c>
    </row>
    <row r="4628" spans="1:19" x14ac:dyDescent="0.25">
      <c r="A4628" s="5" t="str">
        <f t="shared" si="1959"/>
        <v>44104TSLA</v>
      </c>
      <c r="B4628" s="6" t="s">
        <v>209</v>
      </c>
      <c r="C4628" s="6">
        <v>371</v>
      </c>
      <c r="D4628" s="6">
        <v>460</v>
      </c>
      <c r="E4628" s="6">
        <v>419</v>
      </c>
      <c r="F4628" t="str">
        <f t="shared" si="1945"/>
        <v>WED</v>
      </c>
      <c r="G4628" s="3">
        <f t="shared" si="1946"/>
        <v>44104</v>
      </c>
      <c r="H4628" s="2">
        <f t="shared" ca="1" si="1947"/>
        <v>149</v>
      </c>
      <c r="I4628" t="str">
        <f t="shared" si="1948"/>
        <v>TSLA</v>
      </c>
      <c r="J4628">
        <f t="shared" si="1949"/>
        <v>371</v>
      </c>
      <c r="K4628">
        <f t="shared" si="1950"/>
        <v>460</v>
      </c>
      <c r="L4628">
        <f t="shared" si="1951"/>
        <v>415.5</v>
      </c>
      <c r="M4628">
        <f t="shared" si="1952"/>
        <v>44.5</v>
      </c>
      <c r="N4628">
        <f t="shared" si="1956"/>
        <v>89</v>
      </c>
      <c r="O4628">
        <f t="shared" si="1953"/>
        <v>419</v>
      </c>
      <c r="P4628">
        <f t="shared" si="1954"/>
        <v>7.8651685393258425E-2</v>
      </c>
      <c r="Q4628" t="str">
        <f t="shared" si="1957"/>
        <v>11.46% | 9.79%</v>
      </c>
      <c r="R4628" t="str">
        <f t="shared" si="1955"/>
        <v>NEUTRAL</v>
      </c>
      <c r="S4628">
        <f t="shared" si="1958"/>
        <v>0</v>
      </c>
    </row>
    <row r="4629" spans="1:19" hidden="1" x14ac:dyDescent="0.25">
      <c r="A4629" s="5" t="str">
        <f t="shared" si="1959"/>
        <v>44104NYXBT</v>
      </c>
      <c r="B4629" s="6" t="s">
        <v>190</v>
      </c>
      <c r="C4629" s="6">
        <v>10218</v>
      </c>
      <c r="D4629" s="6">
        <v>11052</v>
      </c>
      <c r="E4629" s="6">
        <v>10753</v>
      </c>
      <c r="F4629" t="str">
        <f t="shared" si="1945"/>
        <v>WED</v>
      </c>
      <c r="G4629" s="3">
        <f t="shared" si="1946"/>
        <v>44104</v>
      </c>
      <c r="H4629" s="2">
        <f t="shared" ca="1" si="1947"/>
        <v>149</v>
      </c>
      <c r="I4629" t="str">
        <f t="shared" si="1948"/>
        <v>NYXBT</v>
      </c>
      <c r="J4629">
        <f t="shared" si="1949"/>
        <v>10218</v>
      </c>
      <c r="K4629">
        <f t="shared" si="1950"/>
        <v>11052</v>
      </c>
      <c r="L4629">
        <f t="shared" si="1951"/>
        <v>10635</v>
      </c>
      <c r="M4629">
        <f t="shared" si="1952"/>
        <v>417</v>
      </c>
      <c r="N4629">
        <f t="shared" si="1956"/>
        <v>834</v>
      </c>
      <c r="O4629">
        <f t="shared" si="1953"/>
        <v>10753</v>
      </c>
      <c r="P4629">
        <f t="shared" si="1954"/>
        <v>0.28297362110311752</v>
      </c>
      <c r="Q4629" t="str">
        <f t="shared" si="1957"/>
        <v>4.98% | 2.78%</v>
      </c>
      <c r="R4629" t="str">
        <f t="shared" si="1955"/>
        <v>BULLISH</v>
      </c>
      <c r="S4629">
        <f t="shared" si="1958"/>
        <v>1</v>
      </c>
    </row>
    <row r="4630" spans="1:19" hidden="1" x14ac:dyDescent="0.25">
      <c r="A4630" s="5" t="str">
        <f t="shared" si="1959"/>
        <v>44105UST10Y</v>
      </c>
      <c r="B4630" s="6" t="s">
        <v>161</v>
      </c>
      <c r="C4630" s="6">
        <v>0.71</v>
      </c>
      <c r="D4630" s="6">
        <v>0.63</v>
      </c>
      <c r="E4630" s="6">
        <v>0.69</v>
      </c>
      <c r="F4630" t="str">
        <f t="shared" si="1945"/>
        <v>THU</v>
      </c>
      <c r="G4630" s="1">
        <f>DATE(2020,10,1)</f>
        <v>44105</v>
      </c>
      <c r="H4630" s="2">
        <f t="shared" ca="1" si="1947"/>
        <v>148</v>
      </c>
      <c r="I4630" t="str">
        <f t="shared" si="1948"/>
        <v>UST10Y</v>
      </c>
      <c r="J4630">
        <f t="shared" si="1949"/>
        <v>0.71</v>
      </c>
      <c r="K4630">
        <f t="shared" si="1950"/>
        <v>0.63</v>
      </c>
      <c r="L4630">
        <f t="shared" si="1951"/>
        <v>0.66999999999999993</v>
      </c>
      <c r="M4630">
        <f t="shared" si="1952"/>
        <v>3.999999999999998E-2</v>
      </c>
      <c r="N4630">
        <f t="shared" si="1956"/>
        <v>7.999999999999996E-2</v>
      </c>
      <c r="O4630">
        <f t="shared" si="1953"/>
        <v>0.69</v>
      </c>
      <c r="P4630">
        <f t="shared" si="1954"/>
        <v>0.50000000000000067</v>
      </c>
      <c r="Q4630" t="str">
        <f t="shared" si="1957"/>
        <v>2.9% | 8.7%</v>
      </c>
      <c r="R4630" t="str">
        <f t="shared" si="1955"/>
        <v>BEARISH</v>
      </c>
      <c r="S4630">
        <f t="shared" si="1958"/>
        <v>-1</v>
      </c>
    </row>
    <row r="4631" spans="1:19" hidden="1" x14ac:dyDescent="0.25">
      <c r="A4631" s="5" t="str">
        <f t="shared" si="1959"/>
        <v>44105UST2Y</v>
      </c>
      <c r="B4631" s="6" t="s">
        <v>162</v>
      </c>
      <c r="C4631" s="6">
        <v>0.15</v>
      </c>
      <c r="D4631" s="6">
        <v>0.1</v>
      </c>
      <c r="E4631" s="6">
        <v>0.13</v>
      </c>
      <c r="F4631" t="str">
        <f t="shared" ref="F4631:F4661" si="1960">UPPER(TEXT(G4631,"ddd"))</f>
        <v>THU</v>
      </c>
      <c r="G4631" s="1">
        <f t="shared" ref="G4631:G4660" si="1961">DATE(2020,10,1)</f>
        <v>44105</v>
      </c>
      <c r="H4631" s="2">
        <f t="shared" ref="H4631:H4661" ca="1" si="1962">TODAY()-G4631</f>
        <v>148</v>
      </c>
      <c r="I4631" t="str">
        <f t="shared" ref="I4631:I4661" si="1963">TRIM(LEFT(B4631,FIND(" ",B4631,1)))</f>
        <v>UST2Y</v>
      </c>
      <c r="J4631">
        <f t="shared" ref="J4631:J4661" si="1964">C4631</f>
        <v>0.15</v>
      </c>
      <c r="K4631">
        <f t="shared" ref="K4631:K4661" si="1965">D4631</f>
        <v>0.1</v>
      </c>
      <c r="L4631">
        <f t="shared" ref="L4631:L4661" si="1966">AVERAGE(J4631:K4631)</f>
        <v>0.125</v>
      </c>
      <c r="M4631">
        <f t="shared" ref="M4631:M4661" si="1967">_xlfn.STDEV.P(J4631:K4631)</f>
        <v>2.5000000000000012E-2</v>
      </c>
      <c r="N4631">
        <f t="shared" si="1956"/>
        <v>4.9999999999999989E-2</v>
      </c>
      <c r="O4631">
        <f t="shared" ref="O4631:O4661" si="1968">E4631</f>
        <v>0.13</v>
      </c>
      <c r="P4631">
        <f t="shared" ref="P4631:P4661" si="1969">(O4631-L4631)/M4631</f>
        <v>0.20000000000000009</v>
      </c>
      <c r="Q4631" t="str">
        <f t="shared" si="1957"/>
        <v>15.38% | 23.08%</v>
      </c>
      <c r="R4631" t="str">
        <f t="shared" ref="R4631:R4661" si="1970">MID(B4631,FIND("(",B4631,1)+1,FIND(")",B4631,1)-FIND("(",B4631,1)-1)</f>
        <v>BEARISH</v>
      </c>
      <c r="S4631">
        <f t="shared" si="1958"/>
        <v>-1</v>
      </c>
    </row>
    <row r="4632" spans="1:19" hidden="1" x14ac:dyDescent="0.25">
      <c r="A4632" s="5" t="str">
        <f t="shared" si="1959"/>
        <v>44105SPX</v>
      </c>
      <c r="B4632" s="6" t="s">
        <v>211</v>
      </c>
      <c r="C4632" s="6">
        <v>3212</v>
      </c>
      <c r="D4632" s="6">
        <v>3389</v>
      </c>
      <c r="E4632" s="6">
        <v>3363</v>
      </c>
      <c r="F4632" t="str">
        <f t="shared" si="1960"/>
        <v>THU</v>
      </c>
      <c r="G4632" s="1">
        <f t="shared" si="1961"/>
        <v>44105</v>
      </c>
      <c r="H4632" s="2">
        <f t="shared" ca="1" si="1962"/>
        <v>148</v>
      </c>
      <c r="I4632" t="str">
        <f t="shared" si="1963"/>
        <v>SPX</v>
      </c>
      <c r="J4632">
        <f t="shared" si="1964"/>
        <v>3212</v>
      </c>
      <c r="K4632">
        <f t="shared" si="1965"/>
        <v>3389</v>
      </c>
      <c r="L4632">
        <f t="shared" si="1966"/>
        <v>3300.5</v>
      </c>
      <c r="M4632">
        <f t="shared" si="1967"/>
        <v>88.5</v>
      </c>
      <c r="N4632">
        <f t="shared" si="1956"/>
        <v>177</v>
      </c>
      <c r="O4632">
        <f t="shared" si="1968"/>
        <v>3363</v>
      </c>
      <c r="P4632">
        <f t="shared" si="1969"/>
        <v>0.70621468926553677</v>
      </c>
      <c r="Q4632" t="str">
        <f t="shared" si="1957"/>
        <v>4.49% | 0.77%</v>
      </c>
      <c r="R4632" t="str">
        <f t="shared" si="1970"/>
        <v>BEARISH</v>
      </c>
      <c r="S4632">
        <f t="shared" si="1958"/>
        <v>-1</v>
      </c>
    </row>
    <row r="4633" spans="1:19" hidden="1" x14ac:dyDescent="0.25">
      <c r="A4633" s="5" t="str">
        <f t="shared" si="1959"/>
        <v>44105RUT</v>
      </c>
      <c r="B4633" s="6" t="s">
        <v>164</v>
      </c>
      <c r="C4633" s="6">
        <v>1435</v>
      </c>
      <c r="D4633" s="6">
        <v>1542</v>
      </c>
      <c r="E4633" s="6">
        <v>1507</v>
      </c>
      <c r="F4633" t="str">
        <f t="shared" si="1960"/>
        <v>THU</v>
      </c>
      <c r="G4633" s="1">
        <f t="shared" si="1961"/>
        <v>44105</v>
      </c>
      <c r="H4633" s="2">
        <f t="shared" ca="1" si="1962"/>
        <v>148</v>
      </c>
      <c r="I4633" t="str">
        <f t="shared" si="1963"/>
        <v>RUT</v>
      </c>
      <c r="J4633">
        <f t="shared" si="1964"/>
        <v>1435</v>
      </c>
      <c r="K4633">
        <f t="shared" si="1965"/>
        <v>1542</v>
      </c>
      <c r="L4633">
        <f t="shared" si="1966"/>
        <v>1488.5</v>
      </c>
      <c r="M4633">
        <f t="shared" si="1967"/>
        <v>53.5</v>
      </c>
      <c r="N4633">
        <f t="shared" si="1956"/>
        <v>107</v>
      </c>
      <c r="O4633">
        <f t="shared" si="1968"/>
        <v>1507</v>
      </c>
      <c r="P4633">
        <f t="shared" si="1969"/>
        <v>0.34579439252336447</v>
      </c>
      <c r="Q4633" t="str">
        <f t="shared" si="1957"/>
        <v>4.78% | 2.32%</v>
      </c>
      <c r="R4633" t="str">
        <f t="shared" si="1970"/>
        <v>BEARISH</v>
      </c>
      <c r="S4633">
        <f t="shared" si="1958"/>
        <v>-1</v>
      </c>
    </row>
    <row r="4634" spans="1:19" hidden="1" x14ac:dyDescent="0.25">
      <c r="A4634" s="5" t="str">
        <f t="shared" si="1959"/>
        <v>44105COMPQ</v>
      </c>
      <c r="B4634" s="6" t="s">
        <v>217</v>
      </c>
      <c r="C4634" s="6">
        <v>10513</v>
      </c>
      <c r="D4634" s="6">
        <v>11281</v>
      </c>
      <c r="E4634" s="6">
        <v>11167</v>
      </c>
      <c r="F4634" t="str">
        <f t="shared" si="1960"/>
        <v>THU</v>
      </c>
      <c r="G4634" s="1">
        <f t="shared" si="1961"/>
        <v>44105</v>
      </c>
      <c r="H4634" s="2">
        <f t="shared" ca="1" si="1962"/>
        <v>148</v>
      </c>
      <c r="I4634" t="str">
        <f t="shared" si="1963"/>
        <v>COMPQ</v>
      </c>
      <c r="J4634">
        <f t="shared" si="1964"/>
        <v>10513</v>
      </c>
      <c r="K4634">
        <f t="shared" si="1965"/>
        <v>11281</v>
      </c>
      <c r="L4634">
        <f t="shared" si="1966"/>
        <v>10897</v>
      </c>
      <c r="M4634">
        <f t="shared" si="1967"/>
        <v>384</v>
      </c>
      <c r="N4634">
        <f t="shared" si="1956"/>
        <v>768</v>
      </c>
      <c r="O4634">
        <f t="shared" si="1968"/>
        <v>11167</v>
      </c>
      <c r="P4634">
        <f t="shared" si="1969"/>
        <v>0.703125</v>
      </c>
      <c r="Q4634" t="str">
        <f t="shared" si="1957"/>
        <v>5.86% | 1.02%</v>
      </c>
      <c r="R4634" t="str">
        <f t="shared" si="1970"/>
        <v>BEARISH</v>
      </c>
      <c r="S4634">
        <f t="shared" si="1958"/>
        <v>-1</v>
      </c>
    </row>
    <row r="4635" spans="1:19" hidden="1" x14ac:dyDescent="0.25">
      <c r="A4635" s="5" t="str">
        <f t="shared" si="1959"/>
        <v>44105XLK</v>
      </c>
      <c r="B4635" s="6" t="s">
        <v>203</v>
      </c>
      <c r="C4635" s="6">
        <v>109.27</v>
      </c>
      <c r="D4635" s="6">
        <v>117.9</v>
      </c>
      <c r="E4635" s="6">
        <v>116.7</v>
      </c>
      <c r="F4635" t="str">
        <f t="shared" si="1960"/>
        <v>THU</v>
      </c>
      <c r="G4635" s="1">
        <f t="shared" si="1961"/>
        <v>44105</v>
      </c>
      <c r="H4635" s="2">
        <f t="shared" ca="1" si="1962"/>
        <v>148</v>
      </c>
      <c r="I4635" t="str">
        <f t="shared" si="1963"/>
        <v>XLK</v>
      </c>
      <c r="J4635">
        <f t="shared" si="1964"/>
        <v>109.27</v>
      </c>
      <c r="K4635">
        <f t="shared" si="1965"/>
        <v>117.9</v>
      </c>
      <c r="L4635">
        <f t="shared" si="1966"/>
        <v>113.58500000000001</v>
      </c>
      <c r="M4635">
        <f t="shared" si="1967"/>
        <v>4.3150000000000048</v>
      </c>
      <c r="N4635">
        <f t="shared" si="1956"/>
        <v>8.6300000000000097</v>
      </c>
      <c r="O4635">
        <f t="shared" si="1968"/>
        <v>116.7</v>
      </c>
      <c r="P4635">
        <f t="shared" si="1969"/>
        <v>0.72190034762456345</v>
      </c>
      <c r="Q4635" t="str">
        <f t="shared" si="1957"/>
        <v>6.37% | 1.03%</v>
      </c>
      <c r="R4635" t="str">
        <f t="shared" si="1970"/>
        <v>NEUTRAL</v>
      </c>
      <c r="S4635">
        <f t="shared" si="1958"/>
        <v>0</v>
      </c>
    </row>
    <row r="4636" spans="1:19" hidden="1" x14ac:dyDescent="0.25">
      <c r="A4636" s="5" t="str">
        <f t="shared" si="1959"/>
        <v>44105XLRE</v>
      </c>
      <c r="B4636" s="6" t="s">
        <v>232</v>
      </c>
      <c r="C4636" s="6">
        <v>33.6</v>
      </c>
      <c r="D4636" s="6">
        <v>35.92</v>
      </c>
      <c r="E4636" s="6">
        <v>35.270000000000003</v>
      </c>
      <c r="F4636" t="str">
        <f t="shared" si="1960"/>
        <v>THU</v>
      </c>
      <c r="G4636" s="1">
        <f t="shared" si="1961"/>
        <v>44105</v>
      </c>
      <c r="H4636" s="2">
        <f t="shared" ca="1" si="1962"/>
        <v>148</v>
      </c>
      <c r="I4636" t="str">
        <f t="shared" si="1963"/>
        <v>XLRE</v>
      </c>
      <c r="J4636">
        <f t="shared" si="1964"/>
        <v>33.6</v>
      </c>
      <c r="K4636">
        <f t="shared" si="1965"/>
        <v>35.92</v>
      </c>
      <c r="L4636">
        <f t="shared" si="1966"/>
        <v>34.760000000000005</v>
      </c>
      <c r="M4636">
        <f t="shared" si="1967"/>
        <v>1.1600000000000001</v>
      </c>
      <c r="N4636">
        <f t="shared" si="1956"/>
        <v>2.3200000000000003</v>
      </c>
      <c r="O4636">
        <f t="shared" si="1968"/>
        <v>35.270000000000003</v>
      </c>
      <c r="P4636">
        <f t="shared" si="1969"/>
        <v>0.43965517241379132</v>
      </c>
      <c r="Q4636" t="str">
        <f t="shared" si="1957"/>
        <v>4.73% | 1.84%</v>
      </c>
      <c r="R4636" t="str">
        <f t="shared" si="1970"/>
        <v>NEUTRAL</v>
      </c>
      <c r="S4636">
        <f t="shared" si="1958"/>
        <v>0</v>
      </c>
    </row>
    <row r="4637" spans="1:19" hidden="1" x14ac:dyDescent="0.25">
      <c r="A4637" s="5" t="str">
        <f t="shared" si="1959"/>
        <v>44105XLU</v>
      </c>
      <c r="B4637" s="6" t="s">
        <v>168</v>
      </c>
      <c r="C4637" s="6">
        <v>56.9</v>
      </c>
      <c r="D4637" s="6">
        <v>59.73</v>
      </c>
      <c r="E4637" s="6">
        <v>59.38</v>
      </c>
      <c r="F4637" t="str">
        <f t="shared" si="1960"/>
        <v>THU</v>
      </c>
      <c r="G4637" s="1">
        <f t="shared" si="1961"/>
        <v>44105</v>
      </c>
      <c r="H4637" s="2">
        <f t="shared" ca="1" si="1962"/>
        <v>148</v>
      </c>
      <c r="I4637" t="str">
        <f t="shared" si="1963"/>
        <v>XLU</v>
      </c>
      <c r="J4637">
        <f t="shared" si="1964"/>
        <v>56.9</v>
      </c>
      <c r="K4637">
        <f t="shared" si="1965"/>
        <v>59.73</v>
      </c>
      <c r="L4637">
        <f t="shared" si="1966"/>
        <v>58.314999999999998</v>
      </c>
      <c r="M4637">
        <f t="shared" si="1967"/>
        <v>1.4149999999999991</v>
      </c>
      <c r="N4637">
        <f t="shared" si="1956"/>
        <v>2.8299999999999983</v>
      </c>
      <c r="O4637">
        <f t="shared" si="1968"/>
        <v>59.38</v>
      </c>
      <c r="P4637">
        <f t="shared" si="1969"/>
        <v>0.75265017667844913</v>
      </c>
      <c r="Q4637" t="str">
        <f t="shared" si="1957"/>
        <v>4.18% | 0.59%</v>
      </c>
      <c r="R4637" t="str">
        <f t="shared" si="1970"/>
        <v>BULLISH</v>
      </c>
      <c r="S4637">
        <f t="shared" si="1958"/>
        <v>1</v>
      </c>
    </row>
    <row r="4638" spans="1:19" hidden="1" x14ac:dyDescent="0.25">
      <c r="A4638" s="5" t="str">
        <f t="shared" si="1959"/>
        <v>44105XLF</v>
      </c>
      <c r="B4638" s="6" t="s">
        <v>169</v>
      </c>
      <c r="C4638" s="6">
        <v>22.77</v>
      </c>
      <c r="D4638" s="6">
        <v>24.6</v>
      </c>
      <c r="E4638" s="6">
        <v>24.07</v>
      </c>
      <c r="F4638" t="str">
        <f t="shared" si="1960"/>
        <v>THU</v>
      </c>
      <c r="G4638" s="1">
        <f t="shared" si="1961"/>
        <v>44105</v>
      </c>
      <c r="H4638" s="2">
        <f t="shared" ca="1" si="1962"/>
        <v>148</v>
      </c>
      <c r="I4638" t="str">
        <f t="shared" si="1963"/>
        <v>XLF</v>
      </c>
      <c r="J4638">
        <f t="shared" si="1964"/>
        <v>22.77</v>
      </c>
      <c r="K4638">
        <f t="shared" si="1965"/>
        <v>24.6</v>
      </c>
      <c r="L4638">
        <f t="shared" si="1966"/>
        <v>23.685000000000002</v>
      </c>
      <c r="M4638">
        <f t="shared" si="1967"/>
        <v>0.91500000000000092</v>
      </c>
      <c r="N4638">
        <f t="shared" si="1956"/>
        <v>1.8300000000000018</v>
      </c>
      <c r="O4638">
        <f t="shared" si="1968"/>
        <v>24.07</v>
      </c>
      <c r="P4638">
        <f t="shared" si="1969"/>
        <v>0.42076502732240179</v>
      </c>
      <c r="Q4638" t="str">
        <f t="shared" si="1957"/>
        <v>5.4% | 2.2%</v>
      </c>
      <c r="R4638" t="str">
        <f t="shared" si="1970"/>
        <v>BEARISH</v>
      </c>
      <c r="S4638">
        <f t="shared" si="1958"/>
        <v>-1</v>
      </c>
    </row>
    <row r="4639" spans="1:19" hidden="1" x14ac:dyDescent="0.25">
      <c r="A4639" s="5" t="str">
        <f t="shared" si="1959"/>
        <v>44105SSEC</v>
      </c>
      <c r="B4639" s="6" t="s">
        <v>170</v>
      </c>
      <c r="C4639" s="6">
        <v>3168</v>
      </c>
      <c r="D4639" s="6">
        <v>3348</v>
      </c>
      <c r="E4639" s="6">
        <v>3218</v>
      </c>
      <c r="F4639" t="str">
        <f t="shared" si="1960"/>
        <v>THU</v>
      </c>
      <c r="G4639" s="1">
        <f t="shared" si="1961"/>
        <v>44105</v>
      </c>
      <c r="H4639" s="2">
        <f t="shared" ca="1" si="1962"/>
        <v>148</v>
      </c>
      <c r="I4639" t="str">
        <f t="shared" si="1963"/>
        <v>SSEC</v>
      </c>
      <c r="J4639">
        <f t="shared" si="1964"/>
        <v>3168</v>
      </c>
      <c r="K4639">
        <f t="shared" si="1965"/>
        <v>3348</v>
      </c>
      <c r="L4639">
        <f t="shared" si="1966"/>
        <v>3258</v>
      </c>
      <c r="M4639">
        <f t="shared" si="1967"/>
        <v>90</v>
      </c>
      <c r="N4639">
        <f t="shared" si="1956"/>
        <v>180</v>
      </c>
      <c r="O4639">
        <f t="shared" si="1968"/>
        <v>3218</v>
      </c>
      <c r="P4639">
        <f t="shared" si="1969"/>
        <v>-0.44444444444444442</v>
      </c>
      <c r="Q4639" t="str">
        <f t="shared" si="1957"/>
        <v>1.55% | 4.04%</v>
      </c>
      <c r="R4639" t="str">
        <f t="shared" si="1970"/>
        <v>BULLISH</v>
      </c>
      <c r="S4639">
        <f t="shared" si="1958"/>
        <v>1</v>
      </c>
    </row>
    <row r="4640" spans="1:19" hidden="1" x14ac:dyDescent="0.25">
      <c r="A4640" s="5" t="str">
        <f t="shared" si="1959"/>
        <v>44105NIKK</v>
      </c>
      <c r="B4640" s="6" t="s">
        <v>171</v>
      </c>
      <c r="C4640" s="6">
        <v>23012</v>
      </c>
      <c r="D4640" s="6">
        <v>23620</v>
      </c>
      <c r="E4640" s="6">
        <v>23184</v>
      </c>
      <c r="F4640" t="str">
        <f t="shared" si="1960"/>
        <v>THU</v>
      </c>
      <c r="G4640" s="1">
        <f t="shared" si="1961"/>
        <v>44105</v>
      </c>
      <c r="H4640" s="2">
        <f t="shared" ca="1" si="1962"/>
        <v>148</v>
      </c>
      <c r="I4640" t="str">
        <f t="shared" si="1963"/>
        <v>NIKK</v>
      </c>
      <c r="J4640">
        <f t="shared" si="1964"/>
        <v>23012</v>
      </c>
      <c r="K4640">
        <f t="shared" si="1965"/>
        <v>23620</v>
      </c>
      <c r="L4640">
        <f t="shared" si="1966"/>
        <v>23316</v>
      </c>
      <c r="M4640">
        <f t="shared" si="1967"/>
        <v>304</v>
      </c>
      <c r="N4640">
        <f t="shared" si="1956"/>
        <v>608</v>
      </c>
      <c r="O4640">
        <f t="shared" si="1968"/>
        <v>23184</v>
      </c>
      <c r="P4640">
        <f t="shared" si="1969"/>
        <v>-0.43421052631578949</v>
      </c>
      <c r="Q4640" t="str">
        <f t="shared" si="1957"/>
        <v>0.74% | 1.88%</v>
      </c>
      <c r="R4640" t="str">
        <f t="shared" si="1970"/>
        <v>NEUTRAL</v>
      </c>
      <c r="S4640">
        <f t="shared" si="1958"/>
        <v>0</v>
      </c>
    </row>
    <row r="4641" spans="1:19" hidden="1" x14ac:dyDescent="0.25">
      <c r="A4641" s="5" t="str">
        <f t="shared" si="1959"/>
        <v>44105DAX</v>
      </c>
      <c r="B4641" s="6" t="s">
        <v>227</v>
      </c>
      <c r="C4641" s="6">
        <v>12296</v>
      </c>
      <c r="D4641" s="6">
        <v>12894</v>
      </c>
      <c r="E4641" s="6">
        <v>12760</v>
      </c>
      <c r="F4641" t="str">
        <f t="shared" si="1960"/>
        <v>THU</v>
      </c>
      <c r="G4641" s="1">
        <f t="shared" si="1961"/>
        <v>44105</v>
      </c>
      <c r="H4641" s="2">
        <f t="shared" ca="1" si="1962"/>
        <v>148</v>
      </c>
      <c r="I4641" t="str">
        <f t="shared" si="1963"/>
        <v>DAX</v>
      </c>
      <c r="J4641">
        <f t="shared" si="1964"/>
        <v>12296</v>
      </c>
      <c r="K4641">
        <f t="shared" si="1965"/>
        <v>12894</v>
      </c>
      <c r="L4641">
        <f t="shared" si="1966"/>
        <v>12595</v>
      </c>
      <c r="M4641">
        <f t="shared" si="1967"/>
        <v>299</v>
      </c>
      <c r="N4641">
        <f t="shared" si="1956"/>
        <v>598</v>
      </c>
      <c r="O4641">
        <f t="shared" si="1968"/>
        <v>12760</v>
      </c>
      <c r="P4641">
        <f t="shared" si="1969"/>
        <v>0.55183946488294311</v>
      </c>
      <c r="Q4641" t="str">
        <f t="shared" si="1957"/>
        <v>3.64% | 1.05%</v>
      </c>
      <c r="R4641" t="str">
        <f t="shared" si="1970"/>
        <v>BEARISH</v>
      </c>
      <c r="S4641">
        <f t="shared" si="1958"/>
        <v>-1</v>
      </c>
    </row>
    <row r="4642" spans="1:19" hidden="1" x14ac:dyDescent="0.25">
      <c r="A4642" s="5" t="str">
        <f t="shared" si="1959"/>
        <v>44105VIX</v>
      </c>
      <c r="B4642" s="6" t="s">
        <v>202</v>
      </c>
      <c r="C4642" s="6">
        <v>24.99</v>
      </c>
      <c r="D4642" s="6">
        <v>29.95</v>
      </c>
      <c r="E4642" s="6">
        <v>26.37</v>
      </c>
      <c r="F4642" t="str">
        <f t="shared" si="1960"/>
        <v>THU</v>
      </c>
      <c r="G4642" s="1">
        <f t="shared" si="1961"/>
        <v>44105</v>
      </c>
      <c r="H4642" s="2">
        <f t="shared" ca="1" si="1962"/>
        <v>148</v>
      </c>
      <c r="I4642" t="str">
        <f t="shared" si="1963"/>
        <v>VIX</v>
      </c>
      <c r="J4642">
        <f t="shared" si="1964"/>
        <v>24.99</v>
      </c>
      <c r="K4642">
        <f t="shared" si="1965"/>
        <v>29.95</v>
      </c>
      <c r="L4642">
        <f t="shared" si="1966"/>
        <v>27.47</v>
      </c>
      <c r="M4642">
        <f t="shared" si="1967"/>
        <v>2.4800000000000004</v>
      </c>
      <c r="N4642">
        <f t="shared" si="1956"/>
        <v>4.9600000000000009</v>
      </c>
      <c r="O4642">
        <f t="shared" si="1968"/>
        <v>26.37</v>
      </c>
      <c r="P4642">
        <f t="shared" si="1969"/>
        <v>-0.44354838709677324</v>
      </c>
      <c r="Q4642" t="str">
        <f t="shared" si="1957"/>
        <v>5.23% | 13.58%</v>
      </c>
      <c r="R4642" t="str">
        <f t="shared" si="1970"/>
        <v>BULLISH</v>
      </c>
      <c r="S4642">
        <f t="shared" si="1958"/>
        <v>1</v>
      </c>
    </row>
    <row r="4643" spans="1:19" hidden="1" x14ac:dyDescent="0.25">
      <c r="A4643" s="5" t="str">
        <f t="shared" si="1959"/>
        <v>44105USD</v>
      </c>
      <c r="B4643" s="6" t="s">
        <v>174</v>
      </c>
      <c r="C4643" s="6">
        <v>93.01</v>
      </c>
      <c r="D4643" s="6">
        <v>95.1</v>
      </c>
      <c r="E4643" s="6">
        <v>93.93</v>
      </c>
      <c r="F4643" t="str">
        <f t="shared" si="1960"/>
        <v>THU</v>
      </c>
      <c r="G4643" s="1">
        <f t="shared" si="1961"/>
        <v>44105</v>
      </c>
      <c r="H4643" s="2">
        <f t="shared" ca="1" si="1962"/>
        <v>148</v>
      </c>
      <c r="I4643" t="str">
        <f t="shared" si="1963"/>
        <v>USD</v>
      </c>
      <c r="J4643">
        <f t="shared" si="1964"/>
        <v>93.01</v>
      </c>
      <c r="K4643">
        <f t="shared" si="1965"/>
        <v>95.1</v>
      </c>
      <c r="L4643">
        <f t="shared" si="1966"/>
        <v>94.055000000000007</v>
      </c>
      <c r="M4643">
        <f t="shared" si="1967"/>
        <v>1.0449999999999946</v>
      </c>
      <c r="N4643">
        <f t="shared" si="1956"/>
        <v>2.0899999999999892</v>
      </c>
      <c r="O4643">
        <f t="shared" si="1968"/>
        <v>93.93</v>
      </c>
      <c r="P4643">
        <f t="shared" si="1969"/>
        <v>-0.1196172248803834</v>
      </c>
      <c r="Q4643" t="str">
        <f t="shared" si="1957"/>
        <v>0.98% | 1.25%</v>
      </c>
      <c r="R4643" t="str">
        <f t="shared" si="1970"/>
        <v>BEARISH</v>
      </c>
      <c r="S4643">
        <f t="shared" si="1958"/>
        <v>-1</v>
      </c>
    </row>
    <row r="4644" spans="1:19" hidden="1" x14ac:dyDescent="0.25">
      <c r="A4644" s="5" t="str">
        <f t="shared" si="1959"/>
        <v>44105EUR/USD</v>
      </c>
      <c r="B4644" s="6" t="s">
        <v>175</v>
      </c>
      <c r="C4644" s="6">
        <v>1.1499999999999999</v>
      </c>
      <c r="D4644" s="6">
        <v>1.18</v>
      </c>
      <c r="E4644" s="6">
        <v>1.17</v>
      </c>
      <c r="F4644" t="str">
        <f t="shared" si="1960"/>
        <v>THU</v>
      </c>
      <c r="G4644" s="1">
        <f t="shared" si="1961"/>
        <v>44105</v>
      </c>
      <c r="H4644" s="2">
        <f t="shared" ca="1" si="1962"/>
        <v>148</v>
      </c>
      <c r="I4644" t="str">
        <f t="shared" si="1963"/>
        <v>EUR/USD</v>
      </c>
      <c r="J4644">
        <f t="shared" si="1964"/>
        <v>1.1499999999999999</v>
      </c>
      <c r="K4644">
        <f t="shared" si="1965"/>
        <v>1.18</v>
      </c>
      <c r="L4644">
        <f t="shared" si="1966"/>
        <v>1.165</v>
      </c>
      <c r="M4644">
        <f t="shared" si="1967"/>
        <v>1.5000000000000013E-2</v>
      </c>
      <c r="N4644">
        <f t="shared" si="1956"/>
        <v>3.0000000000000027E-2</v>
      </c>
      <c r="O4644">
        <f t="shared" si="1968"/>
        <v>1.17</v>
      </c>
      <c r="P4644">
        <f t="shared" si="1969"/>
        <v>0.33333333333332593</v>
      </c>
      <c r="Q4644" t="str">
        <f t="shared" si="1957"/>
        <v>1.71% | 0.85%</v>
      </c>
      <c r="R4644" t="str">
        <f t="shared" si="1970"/>
        <v>BULLISH</v>
      </c>
      <c r="S4644">
        <f t="shared" si="1958"/>
        <v>1</v>
      </c>
    </row>
    <row r="4645" spans="1:19" hidden="1" x14ac:dyDescent="0.25">
      <c r="A4645" s="5" t="str">
        <f t="shared" si="1959"/>
        <v>44105USD/JPY</v>
      </c>
      <c r="B4645" s="6" t="s">
        <v>176</v>
      </c>
      <c r="C4645" s="6">
        <v>104.28</v>
      </c>
      <c r="D4645" s="6">
        <v>106.05</v>
      </c>
      <c r="E4645" s="6">
        <v>105.44</v>
      </c>
      <c r="F4645" t="str">
        <f t="shared" si="1960"/>
        <v>THU</v>
      </c>
      <c r="G4645" s="1">
        <f t="shared" si="1961"/>
        <v>44105</v>
      </c>
      <c r="H4645" s="2">
        <f t="shared" ca="1" si="1962"/>
        <v>148</v>
      </c>
      <c r="I4645" t="str">
        <f t="shared" si="1963"/>
        <v>USD/JPY</v>
      </c>
      <c r="J4645">
        <f t="shared" si="1964"/>
        <v>104.28</v>
      </c>
      <c r="K4645">
        <f t="shared" si="1965"/>
        <v>106.05</v>
      </c>
      <c r="L4645">
        <f t="shared" si="1966"/>
        <v>105.16499999999999</v>
      </c>
      <c r="M4645">
        <f t="shared" si="1967"/>
        <v>0.88499999999999801</v>
      </c>
      <c r="N4645">
        <f t="shared" si="1956"/>
        <v>1.769999999999996</v>
      </c>
      <c r="O4645">
        <f t="shared" si="1968"/>
        <v>105.44</v>
      </c>
      <c r="P4645">
        <f t="shared" si="1969"/>
        <v>0.31073446327684329</v>
      </c>
      <c r="Q4645" t="str">
        <f t="shared" si="1957"/>
        <v>1.1% | 0.58%</v>
      </c>
      <c r="R4645" t="str">
        <f t="shared" si="1970"/>
        <v>BEARISH</v>
      </c>
      <c r="S4645">
        <f t="shared" si="1958"/>
        <v>-1</v>
      </c>
    </row>
    <row r="4646" spans="1:19" hidden="1" x14ac:dyDescent="0.25">
      <c r="A4646" s="5" t="str">
        <f t="shared" si="1959"/>
        <v>44105GBP/USD</v>
      </c>
      <c r="B4646" s="6" t="s">
        <v>228</v>
      </c>
      <c r="C4646" s="6">
        <v>1.26</v>
      </c>
      <c r="D4646" s="6">
        <v>1.29</v>
      </c>
      <c r="E4646" s="6">
        <v>1.29</v>
      </c>
      <c r="F4646" t="str">
        <f t="shared" si="1960"/>
        <v>THU</v>
      </c>
      <c r="G4646" s="1">
        <f t="shared" si="1961"/>
        <v>44105</v>
      </c>
      <c r="H4646" s="2">
        <f t="shared" ca="1" si="1962"/>
        <v>148</v>
      </c>
      <c r="I4646" t="str">
        <f t="shared" si="1963"/>
        <v>GBP/USD</v>
      </c>
      <c r="J4646">
        <f t="shared" si="1964"/>
        <v>1.26</v>
      </c>
      <c r="K4646">
        <f t="shared" si="1965"/>
        <v>1.29</v>
      </c>
      <c r="L4646">
        <f t="shared" si="1966"/>
        <v>1.2749999999999999</v>
      </c>
      <c r="M4646">
        <f t="shared" si="1967"/>
        <v>1.5000000000000013E-2</v>
      </c>
      <c r="N4646">
        <f t="shared" si="1956"/>
        <v>3.0000000000000027E-2</v>
      </c>
      <c r="O4646">
        <f t="shared" si="1968"/>
        <v>1.29</v>
      </c>
      <c r="P4646">
        <f t="shared" si="1969"/>
        <v>1.0000000000000073</v>
      </c>
      <c r="Q4646" t="str">
        <f t="shared" si="1957"/>
        <v>2.33% | 0%</v>
      </c>
      <c r="R4646" t="str">
        <f t="shared" si="1970"/>
        <v>BEARISH</v>
      </c>
      <c r="S4646">
        <f t="shared" si="1958"/>
        <v>-1</v>
      </c>
    </row>
    <row r="4647" spans="1:19" hidden="1" x14ac:dyDescent="0.25">
      <c r="A4647" s="5" t="str">
        <f t="shared" si="1959"/>
        <v>44105USD/CHF</v>
      </c>
      <c r="B4647" s="6" t="s">
        <v>178</v>
      </c>
      <c r="C4647" s="6">
        <v>0.9</v>
      </c>
      <c r="D4647" s="6">
        <v>0.93</v>
      </c>
      <c r="E4647" s="6">
        <v>0.92</v>
      </c>
      <c r="F4647" t="str">
        <f t="shared" si="1960"/>
        <v>THU</v>
      </c>
      <c r="G4647" s="1">
        <f t="shared" si="1961"/>
        <v>44105</v>
      </c>
      <c r="H4647" s="2">
        <f t="shared" ca="1" si="1962"/>
        <v>148</v>
      </c>
      <c r="I4647" t="str">
        <f t="shared" si="1963"/>
        <v>USD/CHF</v>
      </c>
      <c r="J4647">
        <f t="shared" si="1964"/>
        <v>0.9</v>
      </c>
      <c r="K4647">
        <f t="shared" si="1965"/>
        <v>0.93</v>
      </c>
      <c r="L4647">
        <f t="shared" si="1966"/>
        <v>0.91500000000000004</v>
      </c>
      <c r="M4647">
        <f t="shared" si="1967"/>
        <v>1.5000000000000013E-2</v>
      </c>
      <c r="N4647">
        <f t="shared" si="1956"/>
        <v>3.0000000000000027E-2</v>
      </c>
      <c r="O4647">
        <f t="shared" si="1968"/>
        <v>0.92</v>
      </c>
      <c r="P4647">
        <f t="shared" si="1969"/>
        <v>0.33333333333333331</v>
      </c>
      <c r="Q4647" t="str">
        <f t="shared" si="1957"/>
        <v>2.17% | 1.09%</v>
      </c>
      <c r="R4647" t="str">
        <f t="shared" si="1970"/>
        <v>BEARISH</v>
      </c>
      <c r="S4647">
        <f t="shared" si="1958"/>
        <v>-1</v>
      </c>
    </row>
    <row r="4648" spans="1:19" hidden="1" x14ac:dyDescent="0.25">
      <c r="A4648" s="5" t="str">
        <f t="shared" si="1959"/>
        <v>44105WTIC</v>
      </c>
      <c r="B4648" s="6" t="s">
        <v>215</v>
      </c>
      <c r="C4648" s="6">
        <v>38.01</v>
      </c>
      <c r="D4648" s="6">
        <v>41.17</v>
      </c>
      <c r="E4648" s="6">
        <v>40.22</v>
      </c>
      <c r="F4648" t="str">
        <f t="shared" si="1960"/>
        <v>THU</v>
      </c>
      <c r="G4648" s="1">
        <f t="shared" si="1961"/>
        <v>44105</v>
      </c>
      <c r="H4648" s="2">
        <f t="shared" ca="1" si="1962"/>
        <v>148</v>
      </c>
      <c r="I4648" t="str">
        <f t="shared" si="1963"/>
        <v>WTIC</v>
      </c>
      <c r="J4648">
        <f t="shared" si="1964"/>
        <v>38.01</v>
      </c>
      <c r="K4648">
        <f t="shared" si="1965"/>
        <v>41.17</v>
      </c>
      <c r="L4648">
        <f t="shared" si="1966"/>
        <v>39.590000000000003</v>
      </c>
      <c r="M4648">
        <f t="shared" si="1967"/>
        <v>1.5800000000000018</v>
      </c>
      <c r="N4648">
        <f t="shared" si="1956"/>
        <v>3.1600000000000037</v>
      </c>
      <c r="O4648">
        <f t="shared" si="1968"/>
        <v>40.22</v>
      </c>
      <c r="P4648">
        <f t="shared" si="1969"/>
        <v>0.3987341772151865</v>
      </c>
      <c r="Q4648" t="str">
        <f t="shared" si="1957"/>
        <v>5.49% | 2.36%</v>
      </c>
      <c r="R4648" t="str">
        <f t="shared" si="1970"/>
        <v>BEARISH</v>
      </c>
      <c r="S4648">
        <f t="shared" si="1958"/>
        <v>-1</v>
      </c>
    </row>
    <row r="4649" spans="1:19" hidden="1" x14ac:dyDescent="0.25">
      <c r="A4649" s="5" t="str">
        <f t="shared" si="1959"/>
        <v>44105NATGAS</v>
      </c>
      <c r="B4649" s="6" t="s">
        <v>180</v>
      </c>
      <c r="C4649" s="6">
        <v>1.86</v>
      </c>
      <c r="D4649" s="6">
        <v>2.89</v>
      </c>
      <c r="E4649" s="6">
        <v>2.5299999999999998</v>
      </c>
      <c r="F4649" t="str">
        <f t="shared" si="1960"/>
        <v>THU</v>
      </c>
      <c r="G4649" s="1">
        <f t="shared" si="1961"/>
        <v>44105</v>
      </c>
      <c r="H4649" s="2">
        <f t="shared" ca="1" si="1962"/>
        <v>148</v>
      </c>
      <c r="I4649" t="str">
        <f t="shared" si="1963"/>
        <v>NATGAS</v>
      </c>
      <c r="J4649">
        <f t="shared" si="1964"/>
        <v>1.86</v>
      </c>
      <c r="K4649">
        <f t="shared" si="1965"/>
        <v>2.89</v>
      </c>
      <c r="L4649">
        <f t="shared" si="1966"/>
        <v>2.375</v>
      </c>
      <c r="M4649">
        <f t="shared" si="1967"/>
        <v>0.51500000000000001</v>
      </c>
      <c r="N4649">
        <f t="shared" si="1956"/>
        <v>1.03</v>
      </c>
      <c r="O4649">
        <f t="shared" si="1968"/>
        <v>2.5299999999999998</v>
      </c>
      <c r="P4649">
        <f t="shared" si="1969"/>
        <v>0.30097087378640736</v>
      </c>
      <c r="Q4649" t="str">
        <f t="shared" si="1957"/>
        <v>26.48% | 14.23%</v>
      </c>
      <c r="R4649" t="str">
        <f t="shared" si="1970"/>
        <v>BULLISH</v>
      </c>
      <c r="S4649">
        <f t="shared" si="1958"/>
        <v>1</v>
      </c>
    </row>
    <row r="4650" spans="1:19" hidden="1" x14ac:dyDescent="0.25">
      <c r="A4650" s="5" t="str">
        <f t="shared" si="1959"/>
        <v>44105GOLD</v>
      </c>
      <c r="B4650" s="6" t="s">
        <v>181</v>
      </c>
      <c r="C4650" s="6">
        <v>1839</v>
      </c>
      <c r="D4650" s="6">
        <v>1962</v>
      </c>
      <c r="E4650" s="6">
        <v>1895</v>
      </c>
      <c r="F4650" t="str">
        <f t="shared" si="1960"/>
        <v>THU</v>
      </c>
      <c r="G4650" s="1">
        <f t="shared" si="1961"/>
        <v>44105</v>
      </c>
      <c r="H4650" s="2">
        <f t="shared" ca="1" si="1962"/>
        <v>148</v>
      </c>
      <c r="I4650" t="str">
        <f t="shared" si="1963"/>
        <v>GOLD</v>
      </c>
      <c r="J4650">
        <f t="shared" si="1964"/>
        <v>1839</v>
      </c>
      <c r="K4650">
        <f t="shared" si="1965"/>
        <v>1962</v>
      </c>
      <c r="L4650">
        <f t="shared" si="1966"/>
        <v>1900.5</v>
      </c>
      <c r="M4650">
        <f t="shared" si="1967"/>
        <v>61.5</v>
      </c>
      <c r="N4650">
        <f t="shared" si="1956"/>
        <v>123</v>
      </c>
      <c r="O4650">
        <f t="shared" si="1968"/>
        <v>1895</v>
      </c>
      <c r="P4650">
        <f t="shared" si="1969"/>
        <v>-8.943089430894309E-2</v>
      </c>
      <c r="Q4650" t="str">
        <f t="shared" si="1957"/>
        <v>2.96% | 3.54%</v>
      </c>
      <c r="R4650" t="str">
        <f t="shared" si="1970"/>
        <v>BULLISH</v>
      </c>
      <c r="S4650">
        <f t="shared" si="1958"/>
        <v>1</v>
      </c>
    </row>
    <row r="4651" spans="1:19" hidden="1" x14ac:dyDescent="0.25">
      <c r="A4651" s="5" t="str">
        <f t="shared" si="1959"/>
        <v>44105SILVER</v>
      </c>
      <c r="B4651" s="6" t="s">
        <v>229</v>
      </c>
      <c r="C4651" s="6">
        <v>21.61</v>
      </c>
      <c r="D4651" s="6">
        <v>26.5</v>
      </c>
      <c r="E4651" s="6">
        <v>23.49</v>
      </c>
      <c r="F4651" t="str">
        <f t="shared" si="1960"/>
        <v>THU</v>
      </c>
      <c r="G4651" s="1">
        <f t="shared" si="1961"/>
        <v>44105</v>
      </c>
      <c r="H4651" s="2">
        <f t="shared" ca="1" si="1962"/>
        <v>148</v>
      </c>
      <c r="I4651" t="str">
        <f t="shared" si="1963"/>
        <v>SILVER</v>
      </c>
      <c r="J4651">
        <f t="shared" si="1964"/>
        <v>21.61</v>
      </c>
      <c r="K4651">
        <f t="shared" si="1965"/>
        <v>26.5</v>
      </c>
      <c r="L4651">
        <f t="shared" si="1966"/>
        <v>24.055</v>
      </c>
      <c r="M4651">
        <f t="shared" si="1967"/>
        <v>2.4450000000000003</v>
      </c>
      <c r="N4651">
        <f t="shared" si="1956"/>
        <v>4.8900000000000006</v>
      </c>
      <c r="O4651">
        <f t="shared" si="1968"/>
        <v>23.49</v>
      </c>
      <c r="P4651">
        <f t="shared" si="1969"/>
        <v>-0.2310838445807776</v>
      </c>
      <c r="Q4651" t="str">
        <f t="shared" si="1957"/>
        <v>8% | 12.81%</v>
      </c>
      <c r="R4651" t="str">
        <f t="shared" si="1970"/>
        <v>BEARISH</v>
      </c>
      <c r="S4651">
        <f t="shared" si="1958"/>
        <v>-1</v>
      </c>
    </row>
    <row r="4652" spans="1:19" hidden="1" x14ac:dyDescent="0.25">
      <c r="A4652" s="5" t="str">
        <f t="shared" si="1959"/>
        <v>44105COPPER</v>
      </c>
      <c r="B4652" s="6" t="s">
        <v>182</v>
      </c>
      <c r="C4652" s="6">
        <v>2.92</v>
      </c>
      <c r="D4652" s="6">
        <v>3.1</v>
      </c>
      <c r="E4652" s="6">
        <v>3.03</v>
      </c>
      <c r="F4652" t="str">
        <f t="shared" si="1960"/>
        <v>THU</v>
      </c>
      <c r="G4652" s="1">
        <f t="shared" si="1961"/>
        <v>44105</v>
      </c>
      <c r="H4652" s="2">
        <f t="shared" ca="1" si="1962"/>
        <v>148</v>
      </c>
      <c r="I4652" t="str">
        <f t="shared" si="1963"/>
        <v>COPPER</v>
      </c>
      <c r="J4652">
        <f t="shared" si="1964"/>
        <v>2.92</v>
      </c>
      <c r="K4652">
        <f t="shared" si="1965"/>
        <v>3.1</v>
      </c>
      <c r="L4652">
        <f t="shared" si="1966"/>
        <v>3.01</v>
      </c>
      <c r="M4652">
        <f t="shared" si="1967"/>
        <v>9.000000000000008E-2</v>
      </c>
      <c r="N4652">
        <f t="shared" si="1956"/>
        <v>0.18000000000000016</v>
      </c>
      <c r="O4652">
        <f t="shared" si="1968"/>
        <v>3.03</v>
      </c>
      <c r="P4652">
        <f t="shared" si="1969"/>
        <v>0.22222222222222221</v>
      </c>
      <c r="Q4652" t="str">
        <f t="shared" si="1957"/>
        <v>3.63% | 2.31%</v>
      </c>
      <c r="R4652" t="str">
        <f t="shared" si="1970"/>
        <v>BULLISH</v>
      </c>
      <c r="S4652">
        <f t="shared" si="1958"/>
        <v>1</v>
      </c>
    </row>
    <row r="4653" spans="1:19" hidden="1" x14ac:dyDescent="0.25">
      <c r="A4653" s="5" t="str">
        <f t="shared" si="1959"/>
        <v>44105MSFT</v>
      </c>
      <c r="B4653" s="6" t="s">
        <v>206</v>
      </c>
      <c r="C4653" s="6">
        <v>197</v>
      </c>
      <c r="D4653" s="6">
        <v>213</v>
      </c>
      <c r="E4653" s="6">
        <v>210</v>
      </c>
      <c r="F4653" t="str">
        <f t="shared" si="1960"/>
        <v>THU</v>
      </c>
      <c r="G4653" s="1">
        <f t="shared" si="1961"/>
        <v>44105</v>
      </c>
      <c r="H4653" s="2">
        <f t="shared" ca="1" si="1962"/>
        <v>148</v>
      </c>
      <c r="I4653" t="str">
        <f t="shared" si="1963"/>
        <v>MSFT</v>
      </c>
      <c r="J4653">
        <f t="shared" si="1964"/>
        <v>197</v>
      </c>
      <c r="K4653">
        <f t="shared" si="1965"/>
        <v>213</v>
      </c>
      <c r="L4653">
        <f t="shared" si="1966"/>
        <v>205</v>
      </c>
      <c r="M4653">
        <f t="shared" si="1967"/>
        <v>8</v>
      </c>
      <c r="N4653">
        <f t="shared" si="1956"/>
        <v>16</v>
      </c>
      <c r="O4653">
        <f t="shared" si="1968"/>
        <v>210</v>
      </c>
      <c r="P4653">
        <f t="shared" si="1969"/>
        <v>0.625</v>
      </c>
      <c r="Q4653" t="str">
        <f t="shared" si="1957"/>
        <v>6.19% | 1.43%</v>
      </c>
      <c r="R4653" t="str">
        <f t="shared" si="1970"/>
        <v>NEUTRAL</v>
      </c>
      <c r="S4653">
        <f t="shared" si="1958"/>
        <v>0</v>
      </c>
    </row>
    <row r="4654" spans="1:19" hidden="1" x14ac:dyDescent="0.25">
      <c r="A4654" s="5" t="str">
        <f t="shared" si="1959"/>
        <v>44105AAPL</v>
      </c>
      <c r="B4654" s="6" t="s">
        <v>207</v>
      </c>
      <c r="C4654" s="6">
        <v>104</v>
      </c>
      <c r="D4654" s="6">
        <v>118</v>
      </c>
      <c r="E4654" s="6">
        <v>115</v>
      </c>
      <c r="F4654" t="str">
        <f t="shared" si="1960"/>
        <v>THU</v>
      </c>
      <c r="G4654" s="1">
        <f t="shared" si="1961"/>
        <v>44105</v>
      </c>
      <c r="H4654" s="2">
        <f t="shared" ca="1" si="1962"/>
        <v>148</v>
      </c>
      <c r="I4654" t="str">
        <f t="shared" si="1963"/>
        <v>AAPL</v>
      </c>
      <c r="J4654">
        <f t="shared" si="1964"/>
        <v>104</v>
      </c>
      <c r="K4654">
        <f t="shared" si="1965"/>
        <v>118</v>
      </c>
      <c r="L4654">
        <f t="shared" si="1966"/>
        <v>111</v>
      </c>
      <c r="M4654">
        <f t="shared" si="1967"/>
        <v>7</v>
      </c>
      <c r="N4654">
        <f t="shared" si="1956"/>
        <v>14</v>
      </c>
      <c r="O4654">
        <f t="shared" si="1968"/>
        <v>115</v>
      </c>
      <c r="P4654">
        <f t="shared" si="1969"/>
        <v>0.5714285714285714</v>
      </c>
      <c r="Q4654" t="str">
        <f t="shared" si="1957"/>
        <v>9.57% | 2.61%</v>
      </c>
      <c r="R4654" t="str">
        <f t="shared" si="1970"/>
        <v>NEUTRAL</v>
      </c>
      <c r="S4654">
        <f t="shared" si="1958"/>
        <v>0</v>
      </c>
    </row>
    <row r="4655" spans="1:19" hidden="1" x14ac:dyDescent="0.25">
      <c r="A4655" s="5" t="str">
        <f t="shared" si="1959"/>
        <v>44105AMZN</v>
      </c>
      <c r="B4655" s="6" t="s">
        <v>185</v>
      </c>
      <c r="C4655" s="6">
        <v>2905</v>
      </c>
      <c r="D4655" s="6">
        <v>3235</v>
      </c>
      <c r="E4655" s="6">
        <v>3148</v>
      </c>
      <c r="F4655" t="str">
        <f t="shared" si="1960"/>
        <v>THU</v>
      </c>
      <c r="G4655" s="1">
        <f t="shared" si="1961"/>
        <v>44105</v>
      </c>
      <c r="H4655" s="2">
        <f t="shared" ca="1" si="1962"/>
        <v>148</v>
      </c>
      <c r="I4655" t="str">
        <f t="shared" si="1963"/>
        <v>AMZN</v>
      </c>
      <c r="J4655">
        <f t="shared" si="1964"/>
        <v>2905</v>
      </c>
      <c r="K4655">
        <f t="shared" si="1965"/>
        <v>3235</v>
      </c>
      <c r="L4655">
        <f t="shared" si="1966"/>
        <v>3070</v>
      </c>
      <c r="M4655">
        <f t="shared" si="1967"/>
        <v>165</v>
      </c>
      <c r="N4655">
        <f t="shared" si="1956"/>
        <v>330</v>
      </c>
      <c r="O4655">
        <f t="shared" si="1968"/>
        <v>3148</v>
      </c>
      <c r="P4655">
        <f t="shared" si="1969"/>
        <v>0.47272727272727272</v>
      </c>
      <c r="Q4655" t="str">
        <f t="shared" si="1957"/>
        <v>7.72% | 2.76%</v>
      </c>
      <c r="R4655" t="str">
        <f t="shared" si="1970"/>
        <v>BULLISH</v>
      </c>
      <c r="S4655">
        <f t="shared" si="1958"/>
        <v>1</v>
      </c>
    </row>
    <row r="4656" spans="1:19" hidden="1" x14ac:dyDescent="0.25">
      <c r="A4656" s="5" t="str">
        <f t="shared" si="1959"/>
        <v>44105FB</v>
      </c>
      <c r="B4656" s="6" t="s">
        <v>230</v>
      </c>
      <c r="C4656" s="6">
        <v>243</v>
      </c>
      <c r="D4656" s="6">
        <v>265</v>
      </c>
      <c r="E4656" s="6">
        <v>261</v>
      </c>
      <c r="F4656" t="str">
        <f t="shared" si="1960"/>
        <v>THU</v>
      </c>
      <c r="G4656" s="1">
        <f t="shared" si="1961"/>
        <v>44105</v>
      </c>
      <c r="H4656" s="2">
        <f t="shared" ca="1" si="1962"/>
        <v>148</v>
      </c>
      <c r="I4656" t="str">
        <f t="shared" si="1963"/>
        <v>FB</v>
      </c>
      <c r="J4656">
        <f t="shared" si="1964"/>
        <v>243</v>
      </c>
      <c r="K4656">
        <f t="shared" si="1965"/>
        <v>265</v>
      </c>
      <c r="L4656">
        <f t="shared" si="1966"/>
        <v>254</v>
      </c>
      <c r="M4656">
        <f t="shared" si="1967"/>
        <v>11</v>
      </c>
      <c r="N4656">
        <f t="shared" si="1956"/>
        <v>22</v>
      </c>
      <c r="O4656">
        <f t="shared" si="1968"/>
        <v>261</v>
      </c>
      <c r="P4656">
        <f t="shared" si="1969"/>
        <v>0.63636363636363635</v>
      </c>
      <c r="Q4656" t="str">
        <f t="shared" si="1957"/>
        <v>6.9% | 1.53%</v>
      </c>
      <c r="R4656" t="str">
        <f t="shared" si="1970"/>
        <v>BEARISH</v>
      </c>
      <c r="S4656">
        <f t="shared" si="1958"/>
        <v>-1</v>
      </c>
    </row>
    <row r="4657" spans="1:19" hidden="1" x14ac:dyDescent="0.25">
      <c r="A4657" s="5" t="str">
        <f t="shared" si="1959"/>
        <v>44105GOOGL</v>
      </c>
      <c r="B4657" s="6" t="s">
        <v>221</v>
      </c>
      <c r="C4657" s="6">
        <v>1400</v>
      </c>
      <c r="D4657" s="6">
        <v>1491</v>
      </c>
      <c r="E4657" s="6">
        <v>1465</v>
      </c>
      <c r="F4657" t="str">
        <f t="shared" si="1960"/>
        <v>THU</v>
      </c>
      <c r="G4657" s="1">
        <f t="shared" si="1961"/>
        <v>44105</v>
      </c>
      <c r="H4657" s="2">
        <f t="shared" ca="1" si="1962"/>
        <v>148</v>
      </c>
      <c r="I4657" t="str">
        <f t="shared" si="1963"/>
        <v>GOOGL</v>
      </c>
      <c r="J4657">
        <f t="shared" si="1964"/>
        <v>1400</v>
      </c>
      <c r="K4657">
        <f t="shared" si="1965"/>
        <v>1491</v>
      </c>
      <c r="L4657">
        <f t="shared" si="1966"/>
        <v>1445.5</v>
      </c>
      <c r="M4657">
        <f t="shared" si="1967"/>
        <v>45.5</v>
      </c>
      <c r="N4657">
        <f t="shared" si="1956"/>
        <v>91</v>
      </c>
      <c r="O4657">
        <f t="shared" si="1968"/>
        <v>1465</v>
      </c>
      <c r="P4657">
        <f t="shared" si="1969"/>
        <v>0.42857142857142855</v>
      </c>
      <c r="Q4657" t="str">
        <f t="shared" si="1957"/>
        <v>4.44% | 1.77%</v>
      </c>
      <c r="R4657" t="str">
        <f t="shared" si="1970"/>
        <v>BEARISH</v>
      </c>
      <c r="S4657">
        <f t="shared" si="1958"/>
        <v>-1</v>
      </c>
    </row>
    <row r="4658" spans="1:19" hidden="1" x14ac:dyDescent="0.25">
      <c r="A4658" s="5" t="str">
        <f t="shared" si="1959"/>
        <v>44105NFLX</v>
      </c>
      <c r="B4658" s="6" t="s">
        <v>213</v>
      </c>
      <c r="C4658" s="6">
        <v>461</v>
      </c>
      <c r="D4658" s="6">
        <v>505</v>
      </c>
      <c r="E4658" s="6">
        <v>500</v>
      </c>
      <c r="F4658" t="str">
        <f t="shared" si="1960"/>
        <v>THU</v>
      </c>
      <c r="G4658" s="1">
        <f t="shared" si="1961"/>
        <v>44105</v>
      </c>
      <c r="H4658" s="2">
        <f t="shared" ca="1" si="1962"/>
        <v>148</v>
      </c>
      <c r="I4658" t="str">
        <f t="shared" si="1963"/>
        <v>NFLX</v>
      </c>
      <c r="J4658">
        <f t="shared" si="1964"/>
        <v>461</v>
      </c>
      <c r="K4658">
        <f t="shared" si="1965"/>
        <v>505</v>
      </c>
      <c r="L4658">
        <f t="shared" si="1966"/>
        <v>483</v>
      </c>
      <c r="M4658">
        <f t="shared" si="1967"/>
        <v>22</v>
      </c>
      <c r="N4658">
        <f t="shared" si="1956"/>
        <v>44</v>
      </c>
      <c r="O4658">
        <f t="shared" si="1968"/>
        <v>500</v>
      </c>
      <c r="P4658">
        <f t="shared" si="1969"/>
        <v>0.77272727272727271</v>
      </c>
      <c r="Q4658" t="str">
        <f t="shared" si="1957"/>
        <v>7.8% | 1%</v>
      </c>
      <c r="R4658" t="str">
        <f t="shared" si="1970"/>
        <v>BEARISH</v>
      </c>
      <c r="S4658">
        <f t="shared" si="1958"/>
        <v>-1</v>
      </c>
    </row>
    <row r="4659" spans="1:19" x14ac:dyDescent="0.25">
      <c r="A4659" s="5" t="str">
        <f t="shared" si="1959"/>
        <v>44105TSLA</v>
      </c>
      <c r="B4659" s="6" t="s">
        <v>209</v>
      </c>
      <c r="C4659" s="6">
        <v>373</v>
      </c>
      <c r="D4659" s="6">
        <v>462</v>
      </c>
      <c r="E4659" s="6">
        <v>429</v>
      </c>
      <c r="F4659" t="str">
        <f t="shared" si="1960"/>
        <v>THU</v>
      </c>
      <c r="G4659" s="1">
        <f t="shared" si="1961"/>
        <v>44105</v>
      </c>
      <c r="H4659" s="2">
        <f t="shared" ca="1" si="1962"/>
        <v>148</v>
      </c>
      <c r="I4659" t="str">
        <f t="shared" si="1963"/>
        <v>TSLA</v>
      </c>
      <c r="J4659">
        <f t="shared" si="1964"/>
        <v>373</v>
      </c>
      <c r="K4659">
        <f t="shared" si="1965"/>
        <v>462</v>
      </c>
      <c r="L4659">
        <f t="shared" si="1966"/>
        <v>417.5</v>
      </c>
      <c r="M4659">
        <f t="shared" si="1967"/>
        <v>44.5</v>
      </c>
      <c r="N4659">
        <f t="shared" si="1956"/>
        <v>89</v>
      </c>
      <c r="O4659">
        <f t="shared" si="1968"/>
        <v>429</v>
      </c>
      <c r="P4659">
        <f t="shared" si="1969"/>
        <v>0.25842696629213485</v>
      </c>
      <c r="Q4659" t="str">
        <f t="shared" si="1957"/>
        <v>13.05% | 7.69%</v>
      </c>
      <c r="R4659" t="str">
        <f t="shared" si="1970"/>
        <v>NEUTRAL</v>
      </c>
      <c r="S4659">
        <f t="shared" si="1958"/>
        <v>0</v>
      </c>
    </row>
    <row r="4660" spans="1:19" hidden="1" x14ac:dyDescent="0.25">
      <c r="A4660" s="5" t="str">
        <f t="shared" si="1959"/>
        <v>44105NYXBT</v>
      </c>
      <c r="B4660" s="6" t="s">
        <v>190</v>
      </c>
      <c r="C4660" s="6">
        <v>10223</v>
      </c>
      <c r="D4660" s="6">
        <v>11030</v>
      </c>
      <c r="E4660" s="6">
        <v>10751</v>
      </c>
      <c r="F4660" t="str">
        <f t="shared" si="1960"/>
        <v>THU</v>
      </c>
      <c r="G4660" s="1">
        <f t="shared" si="1961"/>
        <v>44105</v>
      </c>
      <c r="H4660" s="2">
        <f t="shared" ca="1" si="1962"/>
        <v>148</v>
      </c>
      <c r="I4660" t="str">
        <f t="shared" si="1963"/>
        <v>NYXBT</v>
      </c>
      <c r="J4660">
        <f t="shared" si="1964"/>
        <v>10223</v>
      </c>
      <c r="K4660">
        <f t="shared" si="1965"/>
        <v>11030</v>
      </c>
      <c r="L4660">
        <f t="shared" si="1966"/>
        <v>10626.5</v>
      </c>
      <c r="M4660">
        <f t="shared" si="1967"/>
        <v>403.5</v>
      </c>
      <c r="N4660">
        <f t="shared" si="1956"/>
        <v>807</v>
      </c>
      <c r="O4660">
        <f t="shared" si="1968"/>
        <v>10751</v>
      </c>
      <c r="P4660">
        <f t="shared" si="1969"/>
        <v>0.30855018587360594</v>
      </c>
      <c r="Q4660" t="str">
        <f t="shared" si="1957"/>
        <v>4.91% | 2.6%</v>
      </c>
      <c r="R4660" t="str">
        <f t="shared" si="1970"/>
        <v>BULLISH</v>
      </c>
      <c r="S4660">
        <f t="shared" si="1958"/>
        <v>1</v>
      </c>
    </row>
    <row r="4661" spans="1:19" hidden="1" x14ac:dyDescent="0.25">
      <c r="A4661" s="5" t="str">
        <f t="shared" si="1959"/>
        <v>44106UST10Y</v>
      </c>
      <c r="B4661" s="6" t="s">
        <v>161</v>
      </c>
      <c r="C4661" s="6">
        <v>0.7</v>
      </c>
      <c r="D4661" s="6">
        <v>0.62</v>
      </c>
      <c r="E4661" s="6">
        <v>0.68</v>
      </c>
      <c r="F4661" t="str">
        <f t="shared" si="1960"/>
        <v>FRI</v>
      </c>
      <c r="G4661" s="3">
        <f>DATE(2020,10,2)</f>
        <v>44106</v>
      </c>
      <c r="H4661" s="2">
        <f t="shared" ca="1" si="1962"/>
        <v>147</v>
      </c>
      <c r="I4661" t="str">
        <f t="shared" si="1963"/>
        <v>UST10Y</v>
      </c>
      <c r="J4661">
        <f t="shared" si="1964"/>
        <v>0.7</v>
      </c>
      <c r="K4661">
        <f t="shared" si="1965"/>
        <v>0.62</v>
      </c>
      <c r="L4661">
        <f t="shared" si="1966"/>
        <v>0.65999999999999992</v>
      </c>
      <c r="M4661">
        <f t="shared" si="1967"/>
        <v>3.999999999999998E-2</v>
      </c>
      <c r="N4661">
        <f t="shared" si="1956"/>
        <v>7.999999999999996E-2</v>
      </c>
      <c r="O4661">
        <f t="shared" si="1968"/>
        <v>0.68</v>
      </c>
      <c r="P4661">
        <f t="shared" si="1969"/>
        <v>0.50000000000000344</v>
      </c>
      <c r="Q4661" t="str">
        <f t="shared" si="1957"/>
        <v>2.94% | 8.82%</v>
      </c>
      <c r="R4661" t="str">
        <f t="shared" si="1970"/>
        <v>BEARISH</v>
      </c>
      <c r="S4661">
        <f t="shared" si="1958"/>
        <v>-1</v>
      </c>
    </row>
    <row r="4662" spans="1:19" hidden="1" x14ac:dyDescent="0.25">
      <c r="A4662" s="5" t="str">
        <f t="shared" si="1959"/>
        <v>44106UST2Y</v>
      </c>
      <c r="B4662" s="6" t="s">
        <v>162</v>
      </c>
      <c r="C4662" s="6">
        <v>0.14000000000000001</v>
      </c>
      <c r="D4662" s="6">
        <v>0.1</v>
      </c>
      <c r="E4662" s="6">
        <v>0.14000000000000001</v>
      </c>
      <c r="F4662" t="str">
        <f t="shared" ref="F4662:F4692" si="1971">UPPER(TEXT(G4662,"ddd"))</f>
        <v>FRI</v>
      </c>
      <c r="G4662" s="3">
        <f t="shared" ref="G4662:G4691" si="1972">DATE(2020,10,2)</f>
        <v>44106</v>
      </c>
      <c r="H4662" s="2">
        <f t="shared" ref="H4662:H4692" ca="1" si="1973">TODAY()-G4662</f>
        <v>147</v>
      </c>
      <c r="I4662" t="str">
        <f t="shared" ref="I4662:I4692" si="1974">TRIM(LEFT(B4662,FIND(" ",B4662,1)))</f>
        <v>UST2Y</v>
      </c>
      <c r="J4662">
        <f t="shared" ref="J4662:J4692" si="1975">C4662</f>
        <v>0.14000000000000001</v>
      </c>
      <c r="K4662">
        <f t="shared" ref="K4662:K4692" si="1976">D4662</f>
        <v>0.1</v>
      </c>
      <c r="L4662">
        <f t="shared" ref="L4662:L4692" si="1977">AVERAGE(J4662:K4662)</f>
        <v>0.12000000000000001</v>
      </c>
      <c r="M4662">
        <f t="shared" ref="M4662:M4692" si="1978">_xlfn.STDEV.P(J4662:K4662)</f>
        <v>1.9999999999999983E-2</v>
      </c>
      <c r="N4662">
        <f t="shared" si="1956"/>
        <v>4.0000000000000008E-2</v>
      </c>
      <c r="O4662">
        <f t="shared" ref="O4662:O4692" si="1979">E4662</f>
        <v>0.14000000000000001</v>
      </c>
      <c r="P4662">
        <f t="shared" ref="P4662:P4692" si="1980">(O4662-L4662)/M4662</f>
        <v>1.0000000000000011</v>
      </c>
      <c r="Q4662" t="str">
        <f t="shared" si="1957"/>
        <v>0% | 28.57%</v>
      </c>
      <c r="R4662" t="str">
        <f t="shared" ref="R4662:R4692" si="1981">MID(B4662,FIND("(",B4662,1)+1,FIND(")",B4662,1)-FIND("(",B4662,1)-1)</f>
        <v>BEARISH</v>
      </c>
      <c r="S4662">
        <f t="shared" si="1958"/>
        <v>-1</v>
      </c>
    </row>
    <row r="4663" spans="1:19" hidden="1" x14ac:dyDescent="0.25">
      <c r="A4663" s="5" t="str">
        <f t="shared" si="1959"/>
        <v>44106SPX</v>
      </c>
      <c r="B4663" s="6" t="s">
        <v>211</v>
      </c>
      <c r="C4663" s="6">
        <v>3206</v>
      </c>
      <c r="D4663" s="6">
        <v>3408</v>
      </c>
      <c r="E4663" s="6">
        <v>3380</v>
      </c>
      <c r="F4663" t="str">
        <f t="shared" si="1971"/>
        <v>FRI</v>
      </c>
      <c r="G4663" s="3">
        <f t="shared" si="1972"/>
        <v>44106</v>
      </c>
      <c r="H4663" s="2">
        <f t="shared" ca="1" si="1973"/>
        <v>147</v>
      </c>
      <c r="I4663" t="str">
        <f t="shared" si="1974"/>
        <v>SPX</v>
      </c>
      <c r="J4663">
        <f t="shared" si="1975"/>
        <v>3206</v>
      </c>
      <c r="K4663">
        <f t="shared" si="1976"/>
        <v>3408</v>
      </c>
      <c r="L4663">
        <f t="shared" si="1977"/>
        <v>3307</v>
      </c>
      <c r="M4663">
        <f t="shared" si="1978"/>
        <v>101</v>
      </c>
      <c r="N4663">
        <f t="shared" si="1956"/>
        <v>202</v>
      </c>
      <c r="O4663">
        <f t="shared" si="1979"/>
        <v>3380</v>
      </c>
      <c r="P4663">
        <f t="shared" si="1980"/>
        <v>0.72277227722772275</v>
      </c>
      <c r="Q4663" t="str">
        <f t="shared" si="1957"/>
        <v>5.15% | 0.83%</v>
      </c>
      <c r="R4663" t="str">
        <f t="shared" si="1981"/>
        <v>BEARISH</v>
      </c>
      <c r="S4663">
        <f t="shared" si="1958"/>
        <v>-1</v>
      </c>
    </row>
    <row r="4664" spans="1:19" hidden="1" x14ac:dyDescent="0.25">
      <c r="A4664" s="5" t="str">
        <f t="shared" si="1959"/>
        <v>44106RUT</v>
      </c>
      <c r="B4664" s="6" t="s">
        <v>164</v>
      </c>
      <c r="C4664" s="6">
        <v>1436</v>
      </c>
      <c r="D4664" s="6">
        <v>1544</v>
      </c>
      <c r="E4664" s="6">
        <v>1531</v>
      </c>
      <c r="F4664" t="str">
        <f t="shared" si="1971"/>
        <v>FRI</v>
      </c>
      <c r="G4664" s="3">
        <f t="shared" si="1972"/>
        <v>44106</v>
      </c>
      <c r="H4664" s="2">
        <f t="shared" ca="1" si="1973"/>
        <v>147</v>
      </c>
      <c r="I4664" t="str">
        <f t="shared" si="1974"/>
        <v>RUT</v>
      </c>
      <c r="J4664">
        <f t="shared" si="1975"/>
        <v>1436</v>
      </c>
      <c r="K4664">
        <f t="shared" si="1976"/>
        <v>1544</v>
      </c>
      <c r="L4664">
        <f t="shared" si="1977"/>
        <v>1490</v>
      </c>
      <c r="M4664">
        <f t="shared" si="1978"/>
        <v>54</v>
      </c>
      <c r="N4664">
        <f t="shared" si="1956"/>
        <v>108</v>
      </c>
      <c r="O4664">
        <f t="shared" si="1979"/>
        <v>1531</v>
      </c>
      <c r="P4664">
        <f t="shared" si="1980"/>
        <v>0.7592592592592593</v>
      </c>
      <c r="Q4664" t="str">
        <f t="shared" si="1957"/>
        <v>6.21% | 0.85%</v>
      </c>
      <c r="R4664" t="str">
        <f t="shared" si="1981"/>
        <v>BEARISH</v>
      </c>
      <c r="S4664">
        <f t="shared" si="1958"/>
        <v>-1</v>
      </c>
    </row>
    <row r="4665" spans="1:19" hidden="1" x14ac:dyDescent="0.25">
      <c r="A4665" s="5" t="str">
        <f t="shared" si="1959"/>
        <v>44106COMPQ</v>
      </c>
      <c r="B4665" s="6" t="s">
        <v>217</v>
      </c>
      <c r="C4665" s="6">
        <v>10508</v>
      </c>
      <c r="D4665" s="6">
        <v>11415</v>
      </c>
      <c r="E4665" s="6">
        <v>11326</v>
      </c>
      <c r="F4665" t="str">
        <f t="shared" si="1971"/>
        <v>FRI</v>
      </c>
      <c r="G4665" s="3">
        <f t="shared" si="1972"/>
        <v>44106</v>
      </c>
      <c r="H4665" s="2">
        <f t="shared" ca="1" si="1973"/>
        <v>147</v>
      </c>
      <c r="I4665" t="str">
        <f t="shared" si="1974"/>
        <v>COMPQ</v>
      </c>
      <c r="J4665">
        <f t="shared" si="1975"/>
        <v>10508</v>
      </c>
      <c r="K4665">
        <f t="shared" si="1976"/>
        <v>11415</v>
      </c>
      <c r="L4665">
        <f t="shared" si="1977"/>
        <v>10961.5</v>
      </c>
      <c r="M4665">
        <f t="shared" si="1978"/>
        <v>453.5</v>
      </c>
      <c r="N4665">
        <f t="shared" si="1956"/>
        <v>907</v>
      </c>
      <c r="O4665">
        <f t="shared" si="1979"/>
        <v>11326</v>
      </c>
      <c r="P4665">
        <f t="shared" si="1980"/>
        <v>0.80374862183020945</v>
      </c>
      <c r="Q4665" t="str">
        <f t="shared" si="1957"/>
        <v>7.22% | 0.79%</v>
      </c>
      <c r="R4665" t="str">
        <f t="shared" si="1981"/>
        <v>BEARISH</v>
      </c>
      <c r="S4665">
        <f t="shared" si="1958"/>
        <v>-1</v>
      </c>
    </row>
    <row r="4666" spans="1:19" hidden="1" x14ac:dyDescent="0.25">
      <c r="A4666" s="5" t="str">
        <f t="shared" si="1959"/>
        <v>44106XLK</v>
      </c>
      <c r="B4666" s="6" t="s">
        <v>203</v>
      </c>
      <c r="C4666" s="6">
        <v>109.21</v>
      </c>
      <c r="D4666" s="6">
        <v>118.46</v>
      </c>
      <c r="E4666" s="6">
        <v>117.93</v>
      </c>
      <c r="F4666" t="str">
        <f t="shared" si="1971"/>
        <v>FRI</v>
      </c>
      <c r="G4666" s="3">
        <f t="shared" si="1972"/>
        <v>44106</v>
      </c>
      <c r="H4666" s="2">
        <f t="shared" ca="1" si="1973"/>
        <v>147</v>
      </c>
      <c r="I4666" t="str">
        <f t="shared" si="1974"/>
        <v>XLK</v>
      </c>
      <c r="J4666">
        <f t="shared" si="1975"/>
        <v>109.21</v>
      </c>
      <c r="K4666">
        <f t="shared" si="1976"/>
        <v>118.46</v>
      </c>
      <c r="L4666">
        <f t="shared" si="1977"/>
        <v>113.83499999999999</v>
      </c>
      <c r="M4666">
        <f t="shared" si="1978"/>
        <v>4.625</v>
      </c>
      <c r="N4666">
        <f t="shared" si="1956"/>
        <v>9.25</v>
      </c>
      <c r="O4666">
        <f t="shared" si="1979"/>
        <v>117.93</v>
      </c>
      <c r="P4666">
        <f t="shared" si="1980"/>
        <v>0.88540540540540824</v>
      </c>
      <c r="Q4666" t="str">
        <f t="shared" si="1957"/>
        <v>7.39% | 0.45%</v>
      </c>
      <c r="R4666" t="str">
        <f t="shared" si="1981"/>
        <v>NEUTRAL</v>
      </c>
      <c r="S4666">
        <f t="shared" si="1958"/>
        <v>0</v>
      </c>
    </row>
    <row r="4667" spans="1:19" hidden="1" x14ac:dyDescent="0.25">
      <c r="A4667" s="5" t="str">
        <f t="shared" si="1959"/>
        <v>44106XLRE</v>
      </c>
      <c r="B4667" s="6" t="s">
        <v>232</v>
      </c>
      <c r="C4667" s="6">
        <v>33.4</v>
      </c>
      <c r="D4667" s="6">
        <v>36.119999999999997</v>
      </c>
      <c r="E4667" s="6">
        <v>35.85</v>
      </c>
      <c r="F4667" t="str">
        <f t="shared" si="1971"/>
        <v>FRI</v>
      </c>
      <c r="G4667" s="3">
        <f t="shared" si="1972"/>
        <v>44106</v>
      </c>
      <c r="H4667" s="2">
        <f t="shared" ca="1" si="1973"/>
        <v>147</v>
      </c>
      <c r="I4667" t="str">
        <f t="shared" si="1974"/>
        <v>XLRE</v>
      </c>
      <c r="J4667">
        <f t="shared" si="1975"/>
        <v>33.4</v>
      </c>
      <c r="K4667">
        <f t="shared" si="1976"/>
        <v>36.119999999999997</v>
      </c>
      <c r="L4667">
        <f t="shared" si="1977"/>
        <v>34.76</v>
      </c>
      <c r="M4667">
        <f t="shared" si="1978"/>
        <v>1.3599999999999994</v>
      </c>
      <c r="N4667">
        <f t="shared" si="1956"/>
        <v>2.7199999999999989</v>
      </c>
      <c r="O4667">
        <f t="shared" si="1979"/>
        <v>35.85</v>
      </c>
      <c r="P4667">
        <f t="shared" si="1980"/>
        <v>0.80147058823529693</v>
      </c>
      <c r="Q4667" t="str">
        <f t="shared" si="1957"/>
        <v>6.83% | 0.75%</v>
      </c>
      <c r="R4667" t="str">
        <f t="shared" si="1981"/>
        <v>NEUTRAL</v>
      </c>
      <c r="S4667">
        <f t="shared" si="1958"/>
        <v>0</v>
      </c>
    </row>
    <row r="4668" spans="1:19" hidden="1" x14ac:dyDescent="0.25">
      <c r="A4668" s="5" t="str">
        <f t="shared" si="1959"/>
        <v>44106XLU</v>
      </c>
      <c r="B4668" s="6" t="s">
        <v>168</v>
      </c>
      <c r="C4668" s="6">
        <v>56.57</v>
      </c>
      <c r="D4668" s="6">
        <v>60.4</v>
      </c>
      <c r="E4668" s="6">
        <v>59.98</v>
      </c>
      <c r="F4668" t="str">
        <f t="shared" si="1971"/>
        <v>FRI</v>
      </c>
      <c r="G4668" s="3">
        <f t="shared" si="1972"/>
        <v>44106</v>
      </c>
      <c r="H4668" s="2">
        <f t="shared" ca="1" si="1973"/>
        <v>147</v>
      </c>
      <c r="I4668" t="str">
        <f t="shared" si="1974"/>
        <v>XLU</v>
      </c>
      <c r="J4668">
        <f t="shared" si="1975"/>
        <v>56.57</v>
      </c>
      <c r="K4668">
        <f t="shared" si="1976"/>
        <v>60.4</v>
      </c>
      <c r="L4668">
        <f t="shared" si="1977"/>
        <v>58.484999999999999</v>
      </c>
      <c r="M4668">
        <f t="shared" si="1978"/>
        <v>1.9149999999999991</v>
      </c>
      <c r="N4668">
        <f t="shared" si="1956"/>
        <v>3.8299999999999983</v>
      </c>
      <c r="O4668">
        <f t="shared" si="1979"/>
        <v>59.98</v>
      </c>
      <c r="P4668">
        <f t="shared" si="1980"/>
        <v>0.78067885117493374</v>
      </c>
      <c r="Q4668" t="str">
        <f t="shared" si="1957"/>
        <v>5.69% | 0.7%</v>
      </c>
      <c r="R4668" t="str">
        <f t="shared" si="1981"/>
        <v>BULLISH</v>
      </c>
      <c r="S4668">
        <f t="shared" si="1958"/>
        <v>1</v>
      </c>
    </row>
    <row r="4669" spans="1:19" hidden="1" x14ac:dyDescent="0.25">
      <c r="A4669" s="5" t="str">
        <f t="shared" si="1959"/>
        <v>44106XLF</v>
      </c>
      <c r="B4669" s="6" t="s">
        <v>169</v>
      </c>
      <c r="C4669" s="6">
        <v>22.75</v>
      </c>
      <c r="D4669" s="6">
        <v>24.4</v>
      </c>
      <c r="E4669" s="6">
        <v>24.11</v>
      </c>
      <c r="F4669" t="str">
        <f t="shared" si="1971"/>
        <v>FRI</v>
      </c>
      <c r="G4669" s="3">
        <f t="shared" si="1972"/>
        <v>44106</v>
      </c>
      <c r="H4669" s="2">
        <f t="shared" ca="1" si="1973"/>
        <v>147</v>
      </c>
      <c r="I4669" t="str">
        <f t="shared" si="1974"/>
        <v>XLF</v>
      </c>
      <c r="J4669">
        <f t="shared" si="1975"/>
        <v>22.75</v>
      </c>
      <c r="K4669">
        <f t="shared" si="1976"/>
        <v>24.4</v>
      </c>
      <c r="L4669">
        <f t="shared" si="1977"/>
        <v>23.574999999999999</v>
      </c>
      <c r="M4669">
        <f t="shared" si="1978"/>
        <v>0.82499999999999929</v>
      </c>
      <c r="N4669">
        <f t="shared" si="1956"/>
        <v>1.6499999999999986</v>
      </c>
      <c r="O4669">
        <f t="shared" si="1979"/>
        <v>24.11</v>
      </c>
      <c r="P4669">
        <f t="shared" si="1980"/>
        <v>0.64848484848484922</v>
      </c>
      <c r="Q4669" t="str">
        <f t="shared" si="1957"/>
        <v>5.64% | 1.2%</v>
      </c>
      <c r="R4669" t="str">
        <f t="shared" si="1981"/>
        <v>BEARISH</v>
      </c>
      <c r="S4669">
        <f t="shared" si="1958"/>
        <v>-1</v>
      </c>
    </row>
    <row r="4670" spans="1:19" hidden="1" x14ac:dyDescent="0.25">
      <c r="A4670" s="5" t="str">
        <f t="shared" si="1959"/>
        <v>44106SSEC</v>
      </c>
      <c r="B4670" s="6" t="s">
        <v>170</v>
      </c>
      <c r="C4670" s="6">
        <v>3168</v>
      </c>
      <c r="D4670" s="6">
        <v>3348</v>
      </c>
      <c r="E4670" s="6">
        <v>3218</v>
      </c>
      <c r="F4670" t="str">
        <f t="shared" si="1971"/>
        <v>FRI</v>
      </c>
      <c r="G4670" s="3">
        <f t="shared" si="1972"/>
        <v>44106</v>
      </c>
      <c r="H4670" s="2">
        <f t="shared" ca="1" si="1973"/>
        <v>147</v>
      </c>
      <c r="I4670" t="str">
        <f t="shared" si="1974"/>
        <v>SSEC</v>
      </c>
      <c r="J4670">
        <f t="shared" si="1975"/>
        <v>3168</v>
      </c>
      <c r="K4670">
        <f t="shared" si="1976"/>
        <v>3348</v>
      </c>
      <c r="L4670">
        <f t="shared" si="1977"/>
        <v>3258</v>
      </c>
      <c r="M4670">
        <f t="shared" si="1978"/>
        <v>90</v>
      </c>
      <c r="N4670">
        <f t="shared" si="1956"/>
        <v>180</v>
      </c>
      <c r="O4670">
        <f t="shared" si="1979"/>
        <v>3218</v>
      </c>
      <c r="P4670">
        <f t="shared" si="1980"/>
        <v>-0.44444444444444442</v>
      </c>
      <c r="Q4670" t="str">
        <f t="shared" si="1957"/>
        <v>1.55% | 4.04%</v>
      </c>
      <c r="R4670" t="str">
        <f t="shared" si="1981"/>
        <v>BULLISH</v>
      </c>
      <c r="S4670">
        <f t="shared" si="1958"/>
        <v>1</v>
      </c>
    </row>
    <row r="4671" spans="1:19" hidden="1" x14ac:dyDescent="0.25">
      <c r="A4671" s="5" t="str">
        <f t="shared" si="1959"/>
        <v>44106NIKK</v>
      </c>
      <c r="B4671" s="6" t="s">
        <v>197</v>
      </c>
      <c r="C4671" s="6">
        <v>22901</v>
      </c>
      <c r="D4671" s="6">
        <v>23583</v>
      </c>
      <c r="E4671" s="6">
        <v>23029</v>
      </c>
      <c r="F4671" t="str">
        <f t="shared" si="1971"/>
        <v>FRI</v>
      </c>
      <c r="G4671" s="3">
        <f t="shared" si="1972"/>
        <v>44106</v>
      </c>
      <c r="H4671" s="2">
        <f t="shared" ca="1" si="1973"/>
        <v>147</v>
      </c>
      <c r="I4671" t="str">
        <f t="shared" si="1974"/>
        <v>NIKK</v>
      </c>
      <c r="J4671">
        <f t="shared" si="1975"/>
        <v>22901</v>
      </c>
      <c r="K4671">
        <f t="shared" si="1976"/>
        <v>23583</v>
      </c>
      <c r="L4671">
        <f t="shared" si="1977"/>
        <v>23242</v>
      </c>
      <c r="M4671">
        <f t="shared" si="1978"/>
        <v>341</v>
      </c>
      <c r="N4671">
        <f t="shared" si="1956"/>
        <v>682</v>
      </c>
      <c r="O4671">
        <f t="shared" si="1979"/>
        <v>23029</v>
      </c>
      <c r="P4671">
        <f t="shared" si="1980"/>
        <v>-0.62463343108504399</v>
      </c>
      <c r="Q4671" t="str">
        <f t="shared" si="1957"/>
        <v>0.56% | 2.41%</v>
      </c>
      <c r="R4671" t="str">
        <f t="shared" si="1981"/>
        <v>BEARISH</v>
      </c>
      <c r="S4671">
        <f t="shared" si="1958"/>
        <v>-1</v>
      </c>
    </row>
    <row r="4672" spans="1:19" hidden="1" x14ac:dyDescent="0.25">
      <c r="A4672" s="5" t="str">
        <f t="shared" si="1959"/>
        <v>44106DAX</v>
      </c>
      <c r="B4672" s="6" t="s">
        <v>227</v>
      </c>
      <c r="C4672" s="6">
        <v>12350</v>
      </c>
      <c r="D4672" s="6">
        <v>12875</v>
      </c>
      <c r="E4672" s="6">
        <v>12730</v>
      </c>
      <c r="F4672" t="str">
        <f t="shared" si="1971"/>
        <v>FRI</v>
      </c>
      <c r="G4672" s="3">
        <f t="shared" si="1972"/>
        <v>44106</v>
      </c>
      <c r="H4672" s="2">
        <f t="shared" ca="1" si="1973"/>
        <v>147</v>
      </c>
      <c r="I4672" t="str">
        <f t="shared" si="1974"/>
        <v>DAX</v>
      </c>
      <c r="J4672">
        <f t="shared" si="1975"/>
        <v>12350</v>
      </c>
      <c r="K4672">
        <f t="shared" si="1976"/>
        <v>12875</v>
      </c>
      <c r="L4672">
        <f t="shared" si="1977"/>
        <v>12612.5</v>
      </c>
      <c r="M4672">
        <f t="shared" si="1978"/>
        <v>262.5</v>
      </c>
      <c r="N4672">
        <f t="shared" si="1956"/>
        <v>525</v>
      </c>
      <c r="O4672">
        <f t="shared" si="1979"/>
        <v>12730</v>
      </c>
      <c r="P4672">
        <f t="shared" si="1980"/>
        <v>0.44761904761904764</v>
      </c>
      <c r="Q4672" t="str">
        <f t="shared" si="1957"/>
        <v>2.99% | 1.14%</v>
      </c>
      <c r="R4672" t="str">
        <f t="shared" si="1981"/>
        <v>BEARISH</v>
      </c>
      <c r="S4672">
        <f t="shared" si="1958"/>
        <v>-1</v>
      </c>
    </row>
    <row r="4673" spans="1:19" hidden="1" x14ac:dyDescent="0.25">
      <c r="A4673" s="5" t="str">
        <f t="shared" si="1959"/>
        <v>44106VIX</v>
      </c>
      <c r="B4673" s="6" t="s">
        <v>202</v>
      </c>
      <c r="C4673" s="6">
        <v>25.06</v>
      </c>
      <c r="D4673" s="6">
        <v>30.89</v>
      </c>
      <c r="E4673" s="6">
        <v>26.7</v>
      </c>
      <c r="F4673" t="str">
        <f t="shared" si="1971"/>
        <v>FRI</v>
      </c>
      <c r="G4673" s="3">
        <f t="shared" si="1972"/>
        <v>44106</v>
      </c>
      <c r="H4673" s="2">
        <f t="shared" ca="1" si="1973"/>
        <v>147</v>
      </c>
      <c r="I4673" t="str">
        <f t="shared" si="1974"/>
        <v>VIX</v>
      </c>
      <c r="J4673">
        <f t="shared" si="1975"/>
        <v>25.06</v>
      </c>
      <c r="K4673">
        <f t="shared" si="1976"/>
        <v>30.89</v>
      </c>
      <c r="L4673">
        <f t="shared" si="1977"/>
        <v>27.975000000000001</v>
      </c>
      <c r="M4673">
        <f t="shared" si="1978"/>
        <v>2.9149999999999734</v>
      </c>
      <c r="N4673">
        <f t="shared" si="1956"/>
        <v>5.8300000000000018</v>
      </c>
      <c r="O4673">
        <f t="shared" si="1979"/>
        <v>26.7</v>
      </c>
      <c r="P4673">
        <f t="shared" si="1980"/>
        <v>-0.43739279588336666</v>
      </c>
      <c r="Q4673" t="str">
        <f t="shared" si="1957"/>
        <v>6.14% | 15.69%</v>
      </c>
      <c r="R4673" t="str">
        <f t="shared" si="1981"/>
        <v>BULLISH</v>
      </c>
      <c r="S4673">
        <f t="shared" si="1958"/>
        <v>1</v>
      </c>
    </row>
    <row r="4674" spans="1:19" hidden="1" x14ac:dyDescent="0.25">
      <c r="A4674" s="5" t="str">
        <f t="shared" si="1959"/>
        <v>44106USD</v>
      </c>
      <c r="B4674" s="6" t="s">
        <v>174</v>
      </c>
      <c r="C4674" s="6">
        <v>93.28</v>
      </c>
      <c r="D4674" s="6">
        <v>94.97</v>
      </c>
      <c r="E4674" s="6">
        <v>93.76</v>
      </c>
      <c r="F4674" t="str">
        <f t="shared" si="1971"/>
        <v>FRI</v>
      </c>
      <c r="G4674" s="3">
        <f t="shared" si="1972"/>
        <v>44106</v>
      </c>
      <c r="H4674" s="2">
        <f t="shared" ca="1" si="1973"/>
        <v>147</v>
      </c>
      <c r="I4674" t="str">
        <f t="shared" si="1974"/>
        <v>USD</v>
      </c>
      <c r="J4674">
        <f t="shared" si="1975"/>
        <v>93.28</v>
      </c>
      <c r="K4674">
        <f t="shared" si="1976"/>
        <v>94.97</v>
      </c>
      <c r="L4674">
        <f t="shared" si="1977"/>
        <v>94.125</v>
      </c>
      <c r="M4674">
        <f t="shared" si="1978"/>
        <v>0.84499999999999886</v>
      </c>
      <c r="N4674">
        <f t="shared" si="1956"/>
        <v>1.6899999999999977</v>
      </c>
      <c r="O4674">
        <f t="shared" si="1979"/>
        <v>93.76</v>
      </c>
      <c r="P4674">
        <f t="shared" si="1980"/>
        <v>-0.43195266272188804</v>
      </c>
      <c r="Q4674" t="str">
        <f t="shared" si="1957"/>
        <v>0.51% | 1.29%</v>
      </c>
      <c r="R4674" t="str">
        <f t="shared" si="1981"/>
        <v>BEARISH</v>
      </c>
      <c r="S4674">
        <f t="shared" si="1958"/>
        <v>-1</v>
      </c>
    </row>
    <row r="4675" spans="1:19" hidden="1" x14ac:dyDescent="0.25">
      <c r="A4675" s="5" t="str">
        <f t="shared" si="1959"/>
        <v>44106EUR/USD</v>
      </c>
      <c r="B4675" s="6" t="s">
        <v>175</v>
      </c>
      <c r="C4675" s="6">
        <v>1.1499999999999999</v>
      </c>
      <c r="D4675" s="6">
        <v>1.18</v>
      </c>
      <c r="E4675" s="6">
        <v>1.17</v>
      </c>
      <c r="F4675" t="str">
        <f t="shared" si="1971"/>
        <v>FRI</v>
      </c>
      <c r="G4675" s="3">
        <f t="shared" si="1972"/>
        <v>44106</v>
      </c>
      <c r="H4675" s="2">
        <f t="shared" ca="1" si="1973"/>
        <v>147</v>
      </c>
      <c r="I4675" t="str">
        <f t="shared" si="1974"/>
        <v>EUR/USD</v>
      </c>
      <c r="J4675">
        <f t="shared" si="1975"/>
        <v>1.1499999999999999</v>
      </c>
      <c r="K4675">
        <f t="shared" si="1976"/>
        <v>1.18</v>
      </c>
      <c r="L4675">
        <f t="shared" si="1977"/>
        <v>1.165</v>
      </c>
      <c r="M4675">
        <f t="shared" si="1978"/>
        <v>1.5000000000000013E-2</v>
      </c>
      <c r="N4675">
        <f t="shared" ref="N4675:N4738" si="1982">ABS(K4675-J4675)</f>
        <v>3.0000000000000027E-2</v>
      </c>
      <c r="O4675">
        <f t="shared" si="1979"/>
        <v>1.17</v>
      </c>
      <c r="P4675">
        <f t="shared" si="1980"/>
        <v>0.33333333333332593</v>
      </c>
      <c r="Q4675" t="str">
        <f t="shared" ref="Q4675:Q4738" si="1983">ROUND(ABS(100*(O4675-J4675)/O4675),2)&amp;"% | "&amp;ROUND(ABS(100*(K4675-O4675)/O4675),2)&amp;"%"</f>
        <v>1.71% | 0.85%</v>
      </c>
      <c r="R4675" t="str">
        <f t="shared" si="1981"/>
        <v>BULLISH</v>
      </c>
      <c r="S4675">
        <f t="shared" ref="S4675:S4738" si="1984">IF(R4675="BEARISH",-1,IF(R4675="NEUTRAL",0,IF(R4675="BULLISH",1,99)))</f>
        <v>1</v>
      </c>
    </row>
    <row r="4676" spans="1:19" hidden="1" x14ac:dyDescent="0.25">
      <c r="A4676" s="5" t="str">
        <f t="shared" si="1959"/>
        <v>44106USD/JPY</v>
      </c>
      <c r="B4676" s="6" t="s">
        <v>176</v>
      </c>
      <c r="C4676" s="6">
        <v>104.34</v>
      </c>
      <c r="D4676" s="6">
        <v>106.02</v>
      </c>
      <c r="E4676" s="6">
        <v>105.56</v>
      </c>
      <c r="F4676" t="str">
        <f t="shared" si="1971"/>
        <v>FRI</v>
      </c>
      <c r="G4676" s="3">
        <f t="shared" si="1972"/>
        <v>44106</v>
      </c>
      <c r="H4676" s="2">
        <f t="shared" ca="1" si="1973"/>
        <v>147</v>
      </c>
      <c r="I4676" t="str">
        <f t="shared" si="1974"/>
        <v>USD/JPY</v>
      </c>
      <c r="J4676">
        <f t="shared" si="1975"/>
        <v>104.34</v>
      </c>
      <c r="K4676">
        <f t="shared" si="1976"/>
        <v>106.02</v>
      </c>
      <c r="L4676">
        <f t="shared" si="1977"/>
        <v>105.18</v>
      </c>
      <c r="M4676">
        <f t="shared" si="1978"/>
        <v>0.83999999999999631</v>
      </c>
      <c r="N4676">
        <f t="shared" si="1982"/>
        <v>1.6799999999999926</v>
      </c>
      <c r="O4676">
        <f t="shared" si="1979"/>
        <v>105.56</v>
      </c>
      <c r="P4676">
        <f t="shared" si="1980"/>
        <v>0.45238095238094894</v>
      </c>
      <c r="Q4676" t="str">
        <f t="shared" si="1983"/>
        <v>1.16% | 0.44%</v>
      </c>
      <c r="R4676" t="str">
        <f t="shared" si="1981"/>
        <v>BEARISH</v>
      </c>
      <c r="S4676">
        <f t="shared" si="1984"/>
        <v>-1</v>
      </c>
    </row>
    <row r="4677" spans="1:19" hidden="1" x14ac:dyDescent="0.25">
      <c r="A4677" s="5" t="str">
        <f t="shared" si="1959"/>
        <v>44106GBP/USD</v>
      </c>
      <c r="B4677" s="6" t="s">
        <v>228</v>
      </c>
      <c r="C4677" s="6">
        <v>1.26</v>
      </c>
      <c r="D4677" s="6">
        <v>1.29</v>
      </c>
      <c r="E4677" s="6">
        <v>1.28</v>
      </c>
      <c r="F4677" t="str">
        <f t="shared" si="1971"/>
        <v>FRI</v>
      </c>
      <c r="G4677" s="3">
        <f t="shared" si="1972"/>
        <v>44106</v>
      </c>
      <c r="H4677" s="2">
        <f t="shared" ca="1" si="1973"/>
        <v>147</v>
      </c>
      <c r="I4677" t="str">
        <f t="shared" si="1974"/>
        <v>GBP/USD</v>
      </c>
      <c r="J4677">
        <f t="shared" si="1975"/>
        <v>1.26</v>
      </c>
      <c r="K4677">
        <f t="shared" si="1976"/>
        <v>1.29</v>
      </c>
      <c r="L4677">
        <f t="shared" si="1977"/>
        <v>1.2749999999999999</v>
      </c>
      <c r="M4677">
        <f t="shared" si="1978"/>
        <v>1.5000000000000013E-2</v>
      </c>
      <c r="N4677">
        <f t="shared" si="1982"/>
        <v>3.0000000000000027E-2</v>
      </c>
      <c r="O4677">
        <f t="shared" si="1979"/>
        <v>1.28</v>
      </c>
      <c r="P4677">
        <f t="shared" si="1980"/>
        <v>0.33333333333334075</v>
      </c>
      <c r="Q4677" t="str">
        <f t="shared" si="1983"/>
        <v>1.56% | 0.78%</v>
      </c>
      <c r="R4677" t="str">
        <f t="shared" si="1981"/>
        <v>BEARISH</v>
      </c>
      <c r="S4677">
        <f t="shared" si="1984"/>
        <v>-1</v>
      </c>
    </row>
    <row r="4678" spans="1:19" hidden="1" x14ac:dyDescent="0.25">
      <c r="A4678" s="5" t="str">
        <f t="shared" ref="A4678:A4741" si="1985">G4678&amp;I4678</f>
        <v>44106USD/CHF</v>
      </c>
      <c r="B4678" s="6" t="s">
        <v>178</v>
      </c>
      <c r="C4678" s="6">
        <v>0.9</v>
      </c>
      <c r="D4678" s="6">
        <v>0.93</v>
      </c>
      <c r="E4678" s="6">
        <v>0.91</v>
      </c>
      <c r="F4678" t="str">
        <f t="shared" si="1971"/>
        <v>FRI</v>
      </c>
      <c r="G4678" s="3">
        <f t="shared" si="1972"/>
        <v>44106</v>
      </c>
      <c r="H4678" s="2">
        <f t="shared" ca="1" si="1973"/>
        <v>147</v>
      </c>
      <c r="I4678" t="str">
        <f t="shared" si="1974"/>
        <v>USD/CHF</v>
      </c>
      <c r="J4678">
        <f t="shared" si="1975"/>
        <v>0.9</v>
      </c>
      <c r="K4678">
        <f t="shared" si="1976"/>
        <v>0.93</v>
      </c>
      <c r="L4678">
        <f t="shared" si="1977"/>
        <v>0.91500000000000004</v>
      </c>
      <c r="M4678">
        <f t="shared" si="1978"/>
        <v>1.5000000000000013E-2</v>
      </c>
      <c r="N4678">
        <f t="shared" si="1982"/>
        <v>3.0000000000000027E-2</v>
      </c>
      <c r="O4678">
        <f t="shared" si="1979"/>
        <v>0.91</v>
      </c>
      <c r="P4678">
        <f t="shared" si="1980"/>
        <v>-0.33333333333333331</v>
      </c>
      <c r="Q4678" t="str">
        <f t="shared" si="1983"/>
        <v>1.1% | 2.2%</v>
      </c>
      <c r="R4678" t="str">
        <f t="shared" si="1981"/>
        <v>BEARISH</v>
      </c>
      <c r="S4678">
        <f t="shared" si="1984"/>
        <v>-1</v>
      </c>
    </row>
    <row r="4679" spans="1:19" hidden="1" x14ac:dyDescent="0.25">
      <c r="A4679" s="5" t="str">
        <f t="shared" si="1985"/>
        <v>44106WTIC</v>
      </c>
      <c r="B4679" s="6" t="s">
        <v>215</v>
      </c>
      <c r="C4679" s="6">
        <v>36.51</v>
      </c>
      <c r="D4679" s="6">
        <v>40.119999999999997</v>
      </c>
      <c r="E4679" s="6">
        <v>38.72</v>
      </c>
      <c r="F4679" t="str">
        <f t="shared" si="1971"/>
        <v>FRI</v>
      </c>
      <c r="G4679" s="3">
        <f t="shared" si="1972"/>
        <v>44106</v>
      </c>
      <c r="H4679" s="2">
        <f t="shared" ca="1" si="1973"/>
        <v>147</v>
      </c>
      <c r="I4679" t="str">
        <f t="shared" si="1974"/>
        <v>WTIC</v>
      </c>
      <c r="J4679">
        <f t="shared" si="1975"/>
        <v>36.51</v>
      </c>
      <c r="K4679">
        <f t="shared" si="1976"/>
        <v>40.119999999999997</v>
      </c>
      <c r="L4679">
        <f t="shared" si="1977"/>
        <v>38.314999999999998</v>
      </c>
      <c r="M4679">
        <f t="shared" si="1978"/>
        <v>1.8049999999999997</v>
      </c>
      <c r="N4679">
        <f t="shared" si="1982"/>
        <v>3.6099999999999994</v>
      </c>
      <c r="O4679">
        <f t="shared" si="1979"/>
        <v>38.72</v>
      </c>
      <c r="P4679">
        <f t="shared" si="1980"/>
        <v>0.22437673130193972</v>
      </c>
      <c r="Q4679" t="str">
        <f t="shared" si="1983"/>
        <v>5.71% | 3.62%</v>
      </c>
      <c r="R4679" t="str">
        <f t="shared" si="1981"/>
        <v>BEARISH</v>
      </c>
      <c r="S4679">
        <f t="shared" si="1984"/>
        <v>-1</v>
      </c>
    </row>
    <row r="4680" spans="1:19" hidden="1" x14ac:dyDescent="0.25">
      <c r="A4680" s="5" t="str">
        <f t="shared" si="1985"/>
        <v>44106NATGAS</v>
      </c>
      <c r="B4680" s="6" t="s">
        <v>180</v>
      </c>
      <c r="C4680" s="6">
        <v>1.95</v>
      </c>
      <c r="D4680" s="6">
        <v>2.91</v>
      </c>
      <c r="E4680" s="6">
        <v>2.5299999999999998</v>
      </c>
      <c r="F4680" t="str">
        <f t="shared" si="1971"/>
        <v>FRI</v>
      </c>
      <c r="G4680" s="3">
        <f t="shared" si="1972"/>
        <v>44106</v>
      </c>
      <c r="H4680" s="2">
        <f t="shared" ca="1" si="1973"/>
        <v>147</v>
      </c>
      <c r="I4680" t="str">
        <f t="shared" si="1974"/>
        <v>NATGAS</v>
      </c>
      <c r="J4680">
        <f t="shared" si="1975"/>
        <v>1.95</v>
      </c>
      <c r="K4680">
        <f t="shared" si="1976"/>
        <v>2.91</v>
      </c>
      <c r="L4680">
        <f t="shared" si="1977"/>
        <v>2.4300000000000002</v>
      </c>
      <c r="M4680">
        <f t="shared" si="1978"/>
        <v>0.48000000000000037</v>
      </c>
      <c r="N4680">
        <f t="shared" si="1982"/>
        <v>0.96000000000000019</v>
      </c>
      <c r="O4680">
        <f t="shared" si="1979"/>
        <v>2.5299999999999998</v>
      </c>
      <c r="P4680">
        <f t="shared" si="1980"/>
        <v>0.20833333333333243</v>
      </c>
      <c r="Q4680" t="str">
        <f t="shared" si="1983"/>
        <v>22.92% | 15.02%</v>
      </c>
      <c r="R4680" t="str">
        <f t="shared" si="1981"/>
        <v>BULLISH</v>
      </c>
      <c r="S4680">
        <f t="shared" si="1984"/>
        <v>1</v>
      </c>
    </row>
    <row r="4681" spans="1:19" hidden="1" x14ac:dyDescent="0.25">
      <c r="A4681" s="5" t="str">
        <f t="shared" si="1985"/>
        <v>44106GOLD</v>
      </c>
      <c r="B4681" s="6" t="s">
        <v>181</v>
      </c>
      <c r="C4681" s="6">
        <v>1845</v>
      </c>
      <c r="D4681" s="6">
        <v>1937</v>
      </c>
      <c r="E4681" s="6">
        <v>1916</v>
      </c>
      <c r="F4681" t="str">
        <f t="shared" si="1971"/>
        <v>FRI</v>
      </c>
      <c r="G4681" s="3">
        <f t="shared" si="1972"/>
        <v>44106</v>
      </c>
      <c r="H4681" s="2">
        <f t="shared" ca="1" si="1973"/>
        <v>147</v>
      </c>
      <c r="I4681" t="str">
        <f t="shared" si="1974"/>
        <v>GOLD</v>
      </c>
      <c r="J4681">
        <f t="shared" si="1975"/>
        <v>1845</v>
      </c>
      <c r="K4681">
        <f t="shared" si="1976"/>
        <v>1937</v>
      </c>
      <c r="L4681">
        <f t="shared" si="1977"/>
        <v>1891</v>
      </c>
      <c r="M4681">
        <f t="shared" si="1978"/>
        <v>46</v>
      </c>
      <c r="N4681">
        <f t="shared" si="1982"/>
        <v>92</v>
      </c>
      <c r="O4681">
        <f t="shared" si="1979"/>
        <v>1916</v>
      </c>
      <c r="P4681">
        <f t="shared" si="1980"/>
        <v>0.54347826086956519</v>
      </c>
      <c r="Q4681" t="str">
        <f t="shared" si="1983"/>
        <v>3.71% | 1.1%</v>
      </c>
      <c r="R4681" t="str">
        <f t="shared" si="1981"/>
        <v>BULLISH</v>
      </c>
      <c r="S4681">
        <f t="shared" si="1984"/>
        <v>1</v>
      </c>
    </row>
    <row r="4682" spans="1:19" hidden="1" x14ac:dyDescent="0.25">
      <c r="A4682" s="5" t="str">
        <f t="shared" si="1985"/>
        <v>44106SILVER</v>
      </c>
      <c r="B4682" s="6" t="s">
        <v>229</v>
      </c>
      <c r="C4682" s="6">
        <v>21.64</v>
      </c>
      <c r="D4682" s="6">
        <v>25.9</v>
      </c>
      <c r="E4682" s="6">
        <v>24.25</v>
      </c>
      <c r="F4682" t="str">
        <f t="shared" si="1971"/>
        <v>FRI</v>
      </c>
      <c r="G4682" s="3">
        <f t="shared" si="1972"/>
        <v>44106</v>
      </c>
      <c r="H4682" s="2">
        <f t="shared" ca="1" si="1973"/>
        <v>147</v>
      </c>
      <c r="I4682" t="str">
        <f t="shared" si="1974"/>
        <v>SILVER</v>
      </c>
      <c r="J4682">
        <f t="shared" si="1975"/>
        <v>21.64</v>
      </c>
      <c r="K4682">
        <f t="shared" si="1976"/>
        <v>25.9</v>
      </c>
      <c r="L4682">
        <f t="shared" si="1977"/>
        <v>23.77</v>
      </c>
      <c r="M4682">
        <f t="shared" si="1978"/>
        <v>2.129999999999999</v>
      </c>
      <c r="N4682">
        <f t="shared" si="1982"/>
        <v>4.259999999999998</v>
      </c>
      <c r="O4682">
        <f t="shared" si="1979"/>
        <v>24.25</v>
      </c>
      <c r="P4682">
        <f t="shared" si="1980"/>
        <v>0.22535211267605665</v>
      </c>
      <c r="Q4682" t="str">
        <f t="shared" si="1983"/>
        <v>10.76% | 6.8%</v>
      </c>
      <c r="R4682" t="str">
        <f t="shared" si="1981"/>
        <v>BEARISH</v>
      </c>
      <c r="S4682">
        <f t="shared" si="1984"/>
        <v>-1</v>
      </c>
    </row>
    <row r="4683" spans="1:19" hidden="1" x14ac:dyDescent="0.25">
      <c r="A4683" s="5" t="str">
        <f t="shared" si="1985"/>
        <v>44106COPPER</v>
      </c>
      <c r="B4683" s="6" t="s">
        <v>233</v>
      </c>
      <c r="C4683" s="6">
        <v>2.82</v>
      </c>
      <c r="D4683" s="6">
        <v>2.99</v>
      </c>
      <c r="E4683" s="6">
        <v>2.87</v>
      </c>
      <c r="F4683" t="str">
        <f t="shared" si="1971"/>
        <v>FRI</v>
      </c>
      <c r="G4683" s="3">
        <f t="shared" si="1972"/>
        <v>44106</v>
      </c>
      <c r="H4683" s="2">
        <f t="shared" ca="1" si="1973"/>
        <v>147</v>
      </c>
      <c r="I4683" t="str">
        <f t="shared" si="1974"/>
        <v>COPPER</v>
      </c>
      <c r="J4683">
        <f t="shared" si="1975"/>
        <v>2.82</v>
      </c>
      <c r="K4683">
        <f t="shared" si="1976"/>
        <v>2.99</v>
      </c>
      <c r="L4683">
        <f t="shared" si="1977"/>
        <v>2.9050000000000002</v>
      </c>
      <c r="M4683">
        <f t="shared" si="1978"/>
        <v>8.5000000000000187E-2</v>
      </c>
      <c r="N4683">
        <f t="shared" si="1982"/>
        <v>0.17000000000000037</v>
      </c>
      <c r="O4683">
        <f t="shared" si="1979"/>
        <v>2.87</v>
      </c>
      <c r="P4683">
        <f t="shared" si="1980"/>
        <v>-0.4117647058823537</v>
      </c>
      <c r="Q4683" t="str">
        <f t="shared" si="1983"/>
        <v>1.74% | 4.18%</v>
      </c>
      <c r="R4683" t="str">
        <f t="shared" si="1981"/>
        <v>NEUTRAL</v>
      </c>
      <c r="S4683">
        <f t="shared" si="1984"/>
        <v>0</v>
      </c>
    </row>
    <row r="4684" spans="1:19" hidden="1" x14ac:dyDescent="0.25">
      <c r="A4684" s="5" t="str">
        <f t="shared" si="1985"/>
        <v>44106MSFT</v>
      </c>
      <c r="B4684" s="6" t="s">
        <v>206</v>
      </c>
      <c r="C4684" s="6">
        <v>197</v>
      </c>
      <c r="D4684" s="6">
        <v>214</v>
      </c>
      <c r="E4684" s="6">
        <v>212</v>
      </c>
      <c r="F4684" t="str">
        <f t="shared" si="1971"/>
        <v>FRI</v>
      </c>
      <c r="G4684" s="3">
        <f t="shared" si="1972"/>
        <v>44106</v>
      </c>
      <c r="H4684" s="2">
        <f t="shared" ca="1" si="1973"/>
        <v>147</v>
      </c>
      <c r="I4684" t="str">
        <f t="shared" si="1974"/>
        <v>MSFT</v>
      </c>
      <c r="J4684">
        <f t="shared" si="1975"/>
        <v>197</v>
      </c>
      <c r="K4684">
        <f t="shared" si="1976"/>
        <v>214</v>
      </c>
      <c r="L4684">
        <f t="shared" si="1977"/>
        <v>205.5</v>
      </c>
      <c r="M4684">
        <f t="shared" si="1978"/>
        <v>8.5</v>
      </c>
      <c r="N4684">
        <f t="shared" si="1982"/>
        <v>17</v>
      </c>
      <c r="O4684">
        <f t="shared" si="1979"/>
        <v>212</v>
      </c>
      <c r="P4684">
        <f t="shared" si="1980"/>
        <v>0.76470588235294112</v>
      </c>
      <c r="Q4684" t="str">
        <f t="shared" si="1983"/>
        <v>7.08% | 0.94%</v>
      </c>
      <c r="R4684" t="str">
        <f t="shared" si="1981"/>
        <v>NEUTRAL</v>
      </c>
      <c r="S4684">
        <f t="shared" si="1984"/>
        <v>0</v>
      </c>
    </row>
    <row r="4685" spans="1:19" hidden="1" x14ac:dyDescent="0.25">
      <c r="A4685" s="5" t="str">
        <f t="shared" si="1985"/>
        <v>44106AAPL</v>
      </c>
      <c r="B4685" s="6" t="s">
        <v>207</v>
      </c>
      <c r="C4685" s="6">
        <v>104</v>
      </c>
      <c r="D4685" s="6">
        <v>118</v>
      </c>
      <c r="E4685" s="6">
        <v>116</v>
      </c>
      <c r="F4685" t="str">
        <f t="shared" si="1971"/>
        <v>FRI</v>
      </c>
      <c r="G4685" s="3">
        <f t="shared" si="1972"/>
        <v>44106</v>
      </c>
      <c r="H4685" s="2">
        <f t="shared" ca="1" si="1973"/>
        <v>147</v>
      </c>
      <c r="I4685" t="str">
        <f t="shared" si="1974"/>
        <v>AAPL</v>
      </c>
      <c r="J4685">
        <f t="shared" si="1975"/>
        <v>104</v>
      </c>
      <c r="K4685">
        <f t="shared" si="1976"/>
        <v>118</v>
      </c>
      <c r="L4685">
        <f t="shared" si="1977"/>
        <v>111</v>
      </c>
      <c r="M4685">
        <f t="shared" si="1978"/>
        <v>7</v>
      </c>
      <c r="N4685">
        <f t="shared" si="1982"/>
        <v>14</v>
      </c>
      <c r="O4685">
        <f t="shared" si="1979"/>
        <v>116</v>
      </c>
      <c r="P4685">
        <f t="shared" si="1980"/>
        <v>0.7142857142857143</v>
      </c>
      <c r="Q4685" t="str">
        <f t="shared" si="1983"/>
        <v>10.34% | 1.72%</v>
      </c>
      <c r="R4685" t="str">
        <f t="shared" si="1981"/>
        <v>NEUTRAL</v>
      </c>
      <c r="S4685">
        <f t="shared" si="1984"/>
        <v>0</v>
      </c>
    </row>
    <row r="4686" spans="1:19" hidden="1" x14ac:dyDescent="0.25">
      <c r="A4686" s="5" t="str">
        <f t="shared" si="1985"/>
        <v>44106AMZN</v>
      </c>
      <c r="B4686" s="6" t="s">
        <v>185</v>
      </c>
      <c r="C4686" s="6">
        <v>2904</v>
      </c>
      <c r="D4686" s="6">
        <v>3265</v>
      </c>
      <c r="E4686" s="6">
        <v>3221</v>
      </c>
      <c r="F4686" t="str">
        <f t="shared" si="1971"/>
        <v>FRI</v>
      </c>
      <c r="G4686" s="3">
        <f t="shared" si="1972"/>
        <v>44106</v>
      </c>
      <c r="H4686" s="2">
        <f t="shared" ca="1" si="1973"/>
        <v>147</v>
      </c>
      <c r="I4686" t="str">
        <f t="shared" si="1974"/>
        <v>AMZN</v>
      </c>
      <c r="J4686">
        <f t="shared" si="1975"/>
        <v>2904</v>
      </c>
      <c r="K4686">
        <f t="shared" si="1976"/>
        <v>3265</v>
      </c>
      <c r="L4686">
        <f t="shared" si="1977"/>
        <v>3084.5</v>
      </c>
      <c r="M4686">
        <f t="shared" si="1978"/>
        <v>180.5</v>
      </c>
      <c r="N4686">
        <f t="shared" si="1982"/>
        <v>361</v>
      </c>
      <c r="O4686">
        <f t="shared" si="1979"/>
        <v>3221</v>
      </c>
      <c r="P4686">
        <f t="shared" si="1980"/>
        <v>0.75623268698060941</v>
      </c>
      <c r="Q4686" t="str">
        <f t="shared" si="1983"/>
        <v>9.84% | 1.37%</v>
      </c>
      <c r="R4686" t="str">
        <f t="shared" si="1981"/>
        <v>BULLISH</v>
      </c>
      <c r="S4686">
        <f t="shared" si="1984"/>
        <v>1</v>
      </c>
    </row>
    <row r="4687" spans="1:19" hidden="1" x14ac:dyDescent="0.25">
      <c r="A4687" s="5" t="str">
        <f t="shared" si="1985"/>
        <v>44106FB</v>
      </c>
      <c r="B4687" s="6" t="s">
        <v>230</v>
      </c>
      <c r="C4687" s="6">
        <v>240</v>
      </c>
      <c r="D4687" s="6">
        <v>268</v>
      </c>
      <c r="E4687" s="6">
        <v>266</v>
      </c>
      <c r="F4687" t="str">
        <f t="shared" si="1971"/>
        <v>FRI</v>
      </c>
      <c r="G4687" s="3">
        <f t="shared" si="1972"/>
        <v>44106</v>
      </c>
      <c r="H4687" s="2">
        <f t="shared" ca="1" si="1973"/>
        <v>147</v>
      </c>
      <c r="I4687" t="str">
        <f t="shared" si="1974"/>
        <v>FB</v>
      </c>
      <c r="J4687">
        <f t="shared" si="1975"/>
        <v>240</v>
      </c>
      <c r="K4687">
        <f t="shared" si="1976"/>
        <v>268</v>
      </c>
      <c r="L4687">
        <f t="shared" si="1977"/>
        <v>254</v>
      </c>
      <c r="M4687">
        <f t="shared" si="1978"/>
        <v>14</v>
      </c>
      <c r="N4687">
        <f t="shared" si="1982"/>
        <v>28</v>
      </c>
      <c r="O4687">
        <f t="shared" si="1979"/>
        <v>266</v>
      </c>
      <c r="P4687">
        <f t="shared" si="1980"/>
        <v>0.8571428571428571</v>
      </c>
      <c r="Q4687" t="str">
        <f t="shared" si="1983"/>
        <v>9.77% | 0.75%</v>
      </c>
      <c r="R4687" t="str">
        <f t="shared" si="1981"/>
        <v>BEARISH</v>
      </c>
      <c r="S4687">
        <f t="shared" si="1984"/>
        <v>-1</v>
      </c>
    </row>
    <row r="4688" spans="1:19" hidden="1" x14ac:dyDescent="0.25">
      <c r="A4688" s="5" t="str">
        <f t="shared" si="1985"/>
        <v>44106GOOGL</v>
      </c>
      <c r="B4688" s="6" t="s">
        <v>221</v>
      </c>
      <c r="C4688" s="6">
        <v>1390</v>
      </c>
      <c r="D4688" s="6">
        <v>1496</v>
      </c>
      <c r="E4688" s="6">
        <v>1487</v>
      </c>
      <c r="F4688" t="str">
        <f t="shared" si="1971"/>
        <v>FRI</v>
      </c>
      <c r="G4688" s="3">
        <f t="shared" si="1972"/>
        <v>44106</v>
      </c>
      <c r="H4688" s="2">
        <f t="shared" ca="1" si="1973"/>
        <v>147</v>
      </c>
      <c r="I4688" t="str">
        <f t="shared" si="1974"/>
        <v>GOOGL</v>
      </c>
      <c r="J4688">
        <f t="shared" si="1975"/>
        <v>1390</v>
      </c>
      <c r="K4688">
        <f t="shared" si="1976"/>
        <v>1496</v>
      </c>
      <c r="L4688">
        <f t="shared" si="1977"/>
        <v>1443</v>
      </c>
      <c r="M4688">
        <f t="shared" si="1978"/>
        <v>53</v>
      </c>
      <c r="N4688">
        <f t="shared" si="1982"/>
        <v>106</v>
      </c>
      <c r="O4688">
        <f t="shared" si="1979"/>
        <v>1487</v>
      </c>
      <c r="P4688">
        <f t="shared" si="1980"/>
        <v>0.83018867924528306</v>
      </c>
      <c r="Q4688" t="str">
        <f t="shared" si="1983"/>
        <v>6.52% | 0.61%</v>
      </c>
      <c r="R4688" t="str">
        <f t="shared" si="1981"/>
        <v>BEARISH</v>
      </c>
      <c r="S4688">
        <f t="shared" si="1984"/>
        <v>-1</v>
      </c>
    </row>
    <row r="4689" spans="1:19" hidden="1" x14ac:dyDescent="0.25">
      <c r="A4689" s="5" t="str">
        <f t="shared" si="1985"/>
        <v>44106NFLX</v>
      </c>
      <c r="B4689" s="6" t="s">
        <v>213</v>
      </c>
      <c r="C4689" s="6">
        <v>457</v>
      </c>
      <c r="D4689" s="6">
        <v>531</v>
      </c>
      <c r="E4689" s="6">
        <v>527</v>
      </c>
      <c r="F4689" t="str">
        <f t="shared" si="1971"/>
        <v>FRI</v>
      </c>
      <c r="G4689" s="3">
        <f t="shared" si="1972"/>
        <v>44106</v>
      </c>
      <c r="H4689" s="2">
        <f t="shared" ca="1" si="1973"/>
        <v>147</v>
      </c>
      <c r="I4689" t="str">
        <f t="shared" si="1974"/>
        <v>NFLX</v>
      </c>
      <c r="J4689">
        <f t="shared" si="1975"/>
        <v>457</v>
      </c>
      <c r="K4689">
        <f t="shared" si="1976"/>
        <v>531</v>
      </c>
      <c r="L4689">
        <f t="shared" si="1977"/>
        <v>494</v>
      </c>
      <c r="M4689">
        <f t="shared" si="1978"/>
        <v>37</v>
      </c>
      <c r="N4689">
        <f t="shared" si="1982"/>
        <v>74</v>
      </c>
      <c r="O4689">
        <f t="shared" si="1979"/>
        <v>527</v>
      </c>
      <c r="P4689">
        <f t="shared" si="1980"/>
        <v>0.89189189189189189</v>
      </c>
      <c r="Q4689" t="str">
        <f t="shared" si="1983"/>
        <v>13.28% | 0.76%</v>
      </c>
      <c r="R4689" t="str">
        <f t="shared" si="1981"/>
        <v>BEARISH</v>
      </c>
      <c r="S4689">
        <f t="shared" si="1984"/>
        <v>-1</v>
      </c>
    </row>
    <row r="4690" spans="1:19" x14ac:dyDescent="0.25">
      <c r="A4690" s="5" t="str">
        <f t="shared" si="1985"/>
        <v>44106TSLA</v>
      </c>
      <c r="B4690" s="6" t="s">
        <v>209</v>
      </c>
      <c r="C4690" s="6">
        <v>370</v>
      </c>
      <c r="D4690" s="6">
        <v>462</v>
      </c>
      <c r="E4690" s="6">
        <v>448</v>
      </c>
      <c r="F4690" t="str">
        <f t="shared" si="1971"/>
        <v>FRI</v>
      </c>
      <c r="G4690" s="3">
        <f t="shared" si="1972"/>
        <v>44106</v>
      </c>
      <c r="H4690" s="2">
        <f t="shared" ca="1" si="1973"/>
        <v>147</v>
      </c>
      <c r="I4690" t="str">
        <f t="shared" si="1974"/>
        <v>TSLA</v>
      </c>
      <c r="J4690">
        <f t="shared" si="1975"/>
        <v>370</v>
      </c>
      <c r="K4690">
        <f t="shared" si="1976"/>
        <v>462</v>
      </c>
      <c r="L4690">
        <f t="shared" si="1977"/>
        <v>416</v>
      </c>
      <c r="M4690">
        <f t="shared" si="1978"/>
        <v>46</v>
      </c>
      <c r="N4690">
        <f t="shared" si="1982"/>
        <v>92</v>
      </c>
      <c r="O4690">
        <f t="shared" si="1979"/>
        <v>448</v>
      </c>
      <c r="P4690">
        <f t="shared" si="1980"/>
        <v>0.69565217391304346</v>
      </c>
      <c r="Q4690" t="str">
        <f t="shared" si="1983"/>
        <v>17.41% | 3.13%</v>
      </c>
      <c r="R4690" t="str">
        <f t="shared" si="1981"/>
        <v>NEUTRAL</v>
      </c>
      <c r="S4690">
        <f t="shared" si="1984"/>
        <v>0</v>
      </c>
    </row>
    <row r="4691" spans="1:19" hidden="1" x14ac:dyDescent="0.25">
      <c r="A4691" s="5" t="str">
        <f t="shared" si="1985"/>
        <v>44106NYXBT</v>
      </c>
      <c r="B4691" s="6" t="s">
        <v>190</v>
      </c>
      <c r="C4691" s="6">
        <v>10220</v>
      </c>
      <c r="D4691" s="6">
        <v>10998</v>
      </c>
      <c r="E4691" s="6">
        <v>10859</v>
      </c>
      <c r="F4691" t="str">
        <f t="shared" si="1971"/>
        <v>FRI</v>
      </c>
      <c r="G4691" s="3">
        <f t="shared" si="1972"/>
        <v>44106</v>
      </c>
      <c r="H4691" s="2">
        <f t="shared" ca="1" si="1973"/>
        <v>147</v>
      </c>
      <c r="I4691" t="str">
        <f t="shared" si="1974"/>
        <v>NYXBT</v>
      </c>
      <c r="J4691">
        <f t="shared" si="1975"/>
        <v>10220</v>
      </c>
      <c r="K4691">
        <f t="shared" si="1976"/>
        <v>10998</v>
      </c>
      <c r="L4691">
        <f t="shared" si="1977"/>
        <v>10609</v>
      </c>
      <c r="M4691">
        <f t="shared" si="1978"/>
        <v>389</v>
      </c>
      <c r="N4691">
        <f t="shared" si="1982"/>
        <v>778</v>
      </c>
      <c r="O4691">
        <f t="shared" si="1979"/>
        <v>10859</v>
      </c>
      <c r="P4691">
        <f t="shared" si="1980"/>
        <v>0.64267352185089976</v>
      </c>
      <c r="Q4691" t="str">
        <f t="shared" si="1983"/>
        <v>5.88% | 1.28%</v>
      </c>
      <c r="R4691" t="str">
        <f t="shared" si="1981"/>
        <v>BULLISH</v>
      </c>
      <c r="S4691">
        <f t="shared" si="1984"/>
        <v>1</v>
      </c>
    </row>
    <row r="4692" spans="1:19" hidden="1" x14ac:dyDescent="0.25">
      <c r="A4692" s="5" t="str">
        <f t="shared" si="1985"/>
        <v>44109UST10Y</v>
      </c>
      <c r="B4692" s="6" t="s">
        <v>4</v>
      </c>
      <c r="C4692" s="6">
        <v>0.72</v>
      </c>
      <c r="D4692" s="6">
        <v>0.63</v>
      </c>
      <c r="E4692" s="6">
        <v>0.7</v>
      </c>
      <c r="F4692" t="str">
        <f t="shared" si="1971"/>
        <v>MON</v>
      </c>
      <c r="G4692" s="1">
        <f>DATE(2020,10,5)</f>
        <v>44109</v>
      </c>
      <c r="H4692" s="2">
        <f t="shared" ca="1" si="1973"/>
        <v>144</v>
      </c>
      <c r="I4692" t="str">
        <f t="shared" si="1974"/>
        <v>UST10Y</v>
      </c>
      <c r="J4692">
        <f t="shared" si="1975"/>
        <v>0.72</v>
      </c>
      <c r="K4692">
        <f t="shared" si="1976"/>
        <v>0.63</v>
      </c>
      <c r="L4692">
        <f t="shared" si="1977"/>
        <v>0.67500000000000004</v>
      </c>
      <c r="M4692">
        <f t="shared" si="1978"/>
        <v>4.4999999999999991E-2</v>
      </c>
      <c r="N4692">
        <f t="shared" si="1982"/>
        <v>8.9999999999999969E-2</v>
      </c>
      <c r="O4692">
        <f t="shared" si="1979"/>
        <v>0.7</v>
      </c>
      <c r="P4692">
        <f t="shared" si="1980"/>
        <v>0.55555555555555369</v>
      </c>
      <c r="Q4692" t="str">
        <f t="shared" si="1983"/>
        <v>2.86% | 10%</v>
      </c>
      <c r="R4692" t="str">
        <f t="shared" si="1981"/>
        <v>BEARISH</v>
      </c>
      <c r="S4692">
        <f t="shared" si="1984"/>
        <v>-1</v>
      </c>
    </row>
    <row r="4693" spans="1:19" hidden="1" x14ac:dyDescent="0.25">
      <c r="A4693" s="5" t="str">
        <f t="shared" si="1985"/>
        <v>44109UST2Y</v>
      </c>
      <c r="B4693" s="6" t="s">
        <v>5</v>
      </c>
      <c r="C4693" s="6">
        <v>0.16</v>
      </c>
      <c r="D4693" s="6">
        <v>0.11</v>
      </c>
      <c r="E4693" s="6">
        <v>0.13</v>
      </c>
      <c r="F4693" t="str">
        <f t="shared" ref="F4693:F4723" si="1986">UPPER(TEXT(G4693,"ddd"))</f>
        <v>MON</v>
      </c>
      <c r="G4693" s="1">
        <f t="shared" ref="G4693:G4722" si="1987">DATE(2020,10,5)</f>
        <v>44109</v>
      </c>
      <c r="H4693" s="2">
        <f t="shared" ref="H4693:H4723" ca="1" si="1988">TODAY()-G4693</f>
        <v>144</v>
      </c>
      <c r="I4693" t="str">
        <f t="shared" ref="I4693:I4723" si="1989">TRIM(LEFT(B4693,FIND(" ",B4693,1)))</f>
        <v>UST2Y</v>
      </c>
      <c r="J4693">
        <f t="shared" ref="J4693:J4723" si="1990">C4693</f>
        <v>0.16</v>
      </c>
      <c r="K4693">
        <f t="shared" ref="K4693:K4723" si="1991">D4693</f>
        <v>0.11</v>
      </c>
      <c r="L4693">
        <f t="shared" ref="L4693:L4723" si="1992">AVERAGE(J4693:K4693)</f>
        <v>0.13500000000000001</v>
      </c>
      <c r="M4693">
        <f t="shared" ref="M4693:M4723" si="1993">_xlfn.STDEV.P(J4693:K4693)</f>
        <v>2.4999999999999942E-2</v>
      </c>
      <c r="N4693">
        <f t="shared" si="1982"/>
        <v>0.05</v>
      </c>
      <c r="O4693">
        <f t="shared" ref="O4693:O4723" si="1994">E4693</f>
        <v>0.13</v>
      </c>
      <c r="P4693">
        <f t="shared" ref="P4693:P4723" si="1995">(O4693-L4693)/M4693</f>
        <v>-0.20000000000000065</v>
      </c>
      <c r="Q4693" t="str">
        <f t="shared" si="1983"/>
        <v>23.08% | 15.38%</v>
      </c>
      <c r="R4693" t="str">
        <f t="shared" ref="R4693:R4723" si="1996">MID(B4693,FIND("(",B4693,1)+1,FIND(")",B4693,1)-FIND("(",B4693,1)-1)</f>
        <v>BEARISH</v>
      </c>
      <c r="S4693">
        <f t="shared" si="1984"/>
        <v>-1</v>
      </c>
    </row>
    <row r="4694" spans="1:19" hidden="1" x14ac:dyDescent="0.25">
      <c r="A4694" s="5" t="str">
        <f t="shared" si="1985"/>
        <v>44109SPX</v>
      </c>
      <c r="B4694" s="6" t="s">
        <v>6</v>
      </c>
      <c r="C4694" s="6">
        <v>3214</v>
      </c>
      <c r="D4694" s="6">
        <v>3415</v>
      </c>
      <c r="E4694" s="6">
        <v>3348</v>
      </c>
      <c r="F4694" t="str">
        <f t="shared" si="1986"/>
        <v>MON</v>
      </c>
      <c r="G4694" s="1">
        <f t="shared" si="1987"/>
        <v>44109</v>
      </c>
      <c r="H4694" s="2">
        <f t="shared" ca="1" si="1988"/>
        <v>144</v>
      </c>
      <c r="I4694" t="str">
        <f t="shared" si="1989"/>
        <v>SPX</v>
      </c>
      <c r="J4694">
        <f t="shared" si="1990"/>
        <v>3214</v>
      </c>
      <c r="K4694">
        <f t="shared" si="1991"/>
        <v>3415</v>
      </c>
      <c r="L4694">
        <f t="shared" si="1992"/>
        <v>3314.5</v>
      </c>
      <c r="M4694">
        <f t="shared" si="1993"/>
        <v>100.5</v>
      </c>
      <c r="N4694">
        <f t="shared" si="1982"/>
        <v>201</v>
      </c>
      <c r="O4694">
        <f t="shared" si="1994"/>
        <v>3348</v>
      </c>
      <c r="P4694">
        <f t="shared" si="1995"/>
        <v>0.33333333333333331</v>
      </c>
      <c r="Q4694" t="str">
        <f t="shared" si="1983"/>
        <v>4% | 2%</v>
      </c>
      <c r="R4694" t="str">
        <f t="shared" si="1996"/>
        <v>BEARISH</v>
      </c>
      <c r="S4694">
        <f t="shared" si="1984"/>
        <v>-1</v>
      </c>
    </row>
    <row r="4695" spans="1:19" hidden="1" x14ac:dyDescent="0.25">
      <c r="A4695" s="5" t="str">
        <f t="shared" si="1985"/>
        <v>44109RUT</v>
      </c>
      <c r="B4695" s="6" t="s">
        <v>7</v>
      </c>
      <c r="C4695" s="6">
        <v>1435</v>
      </c>
      <c r="D4695" s="6">
        <v>1557</v>
      </c>
      <c r="E4695" s="6">
        <v>1539</v>
      </c>
      <c r="F4695" t="str">
        <f t="shared" si="1986"/>
        <v>MON</v>
      </c>
      <c r="G4695" s="1">
        <f t="shared" si="1987"/>
        <v>44109</v>
      </c>
      <c r="H4695" s="2">
        <f t="shared" ca="1" si="1988"/>
        <v>144</v>
      </c>
      <c r="I4695" t="str">
        <f t="shared" si="1989"/>
        <v>RUT</v>
      </c>
      <c r="J4695">
        <f t="shared" si="1990"/>
        <v>1435</v>
      </c>
      <c r="K4695">
        <f t="shared" si="1991"/>
        <v>1557</v>
      </c>
      <c r="L4695">
        <f t="shared" si="1992"/>
        <v>1496</v>
      </c>
      <c r="M4695">
        <f t="shared" si="1993"/>
        <v>61</v>
      </c>
      <c r="N4695">
        <f t="shared" si="1982"/>
        <v>122</v>
      </c>
      <c r="O4695">
        <f t="shared" si="1994"/>
        <v>1539</v>
      </c>
      <c r="P4695">
        <f t="shared" si="1995"/>
        <v>0.70491803278688525</v>
      </c>
      <c r="Q4695" t="str">
        <f t="shared" si="1983"/>
        <v>6.76% | 1.17%</v>
      </c>
      <c r="R4695" t="str">
        <f t="shared" si="1996"/>
        <v>BEARISH</v>
      </c>
      <c r="S4695">
        <f t="shared" si="1984"/>
        <v>-1</v>
      </c>
    </row>
    <row r="4696" spans="1:19" hidden="1" x14ac:dyDescent="0.25">
      <c r="A4696" s="5" t="str">
        <f t="shared" si="1985"/>
        <v>44109COMPQ</v>
      </c>
      <c r="B4696" s="6" t="s">
        <v>64</v>
      </c>
      <c r="C4696" s="6">
        <v>10546</v>
      </c>
      <c r="D4696" s="6">
        <v>11423</v>
      </c>
      <c r="E4696" s="6">
        <v>11075</v>
      </c>
      <c r="F4696" t="str">
        <f t="shared" si="1986"/>
        <v>MON</v>
      </c>
      <c r="G4696" s="1">
        <f t="shared" si="1987"/>
        <v>44109</v>
      </c>
      <c r="H4696" s="2">
        <f t="shared" ca="1" si="1988"/>
        <v>144</v>
      </c>
      <c r="I4696" t="str">
        <f t="shared" si="1989"/>
        <v>COMPQ</v>
      </c>
      <c r="J4696">
        <f t="shared" si="1990"/>
        <v>10546</v>
      </c>
      <c r="K4696">
        <f t="shared" si="1991"/>
        <v>11423</v>
      </c>
      <c r="L4696">
        <f t="shared" si="1992"/>
        <v>10984.5</v>
      </c>
      <c r="M4696">
        <f t="shared" si="1993"/>
        <v>438.5</v>
      </c>
      <c r="N4696">
        <f t="shared" si="1982"/>
        <v>877</v>
      </c>
      <c r="O4696">
        <f t="shared" si="1994"/>
        <v>11075</v>
      </c>
      <c r="P4696">
        <f t="shared" si="1995"/>
        <v>0.20638540478905359</v>
      </c>
      <c r="Q4696" t="str">
        <f t="shared" si="1983"/>
        <v>4.78% | 3.14%</v>
      </c>
      <c r="R4696" t="str">
        <f t="shared" si="1996"/>
        <v>BEARISH</v>
      </c>
      <c r="S4696">
        <f t="shared" si="1984"/>
        <v>-1</v>
      </c>
    </row>
    <row r="4697" spans="1:19" hidden="1" x14ac:dyDescent="0.25">
      <c r="A4697" s="5" t="str">
        <f t="shared" si="1985"/>
        <v>44109XLK</v>
      </c>
      <c r="B4697" s="6" t="s">
        <v>65</v>
      </c>
      <c r="C4697" s="6">
        <v>110.01</v>
      </c>
      <c r="D4697" s="6">
        <v>119.16</v>
      </c>
      <c r="E4697" s="6">
        <v>114.94</v>
      </c>
      <c r="F4697" t="str">
        <f t="shared" si="1986"/>
        <v>MON</v>
      </c>
      <c r="G4697" s="1">
        <f t="shared" si="1987"/>
        <v>44109</v>
      </c>
      <c r="H4697" s="2">
        <f t="shared" ca="1" si="1988"/>
        <v>144</v>
      </c>
      <c r="I4697" t="str">
        <f t="shared" si="1989"/>
        <v>XLK</v>
      </c>
      <c r="J4697">
        <f t="shared" si="1990"/>
        <v>110.01</v>
      </c>
      <c r="K4697">
        <f t="shared" si="1991"/>
        <v>119.16</v>
      </c>
      <c r="L4697">
        <f t="shared" si="1992"/>
        <v>114.58500000000001</v>
      </c>
      <c r="M4697">
        <f t="shared" si="1993"/>
        <v>4.5749999999999957</v>
      </c>
      <c r="N4697">
        <f t="shared" si="1982"/>
        <v>9.1499999999999915</v>
      </c>
      <c r="O4697">
        <f t="shared" si="1994"/>
        <v>114.94</v>
      </c>
      <c r="P4697">
        <f t="shared" si="1995"/>
        <v>7.7595628415298379E-2</v>
      </c>
      <c r="Q4697" t="str">
        <f t="shared" si="1983"/>
        <v>4.29% | 3.67%</v>
      </c>
      <c r="R4697" t="str">
        <f t="shared" si="1996"/>
        <v>BEARISH</v>
      </c>
      <c r="S4697">
        <f t="shared" si="1984"/>
        <v>-1</v>
      </c>
    </row>
    <row r="4698" spans="1:19" hidden="1" x14ac:dyDescent="0.25">
      <c r="A4698" s="5" t="str">
        <f t="shared" si="1985"/>
        <v>44109XLRE</v>
      </c>
      <c r="B4698" s="6" t="s">
        <v>97</v>
      </c>
      <c r="C4698" s="6">
        <v>33.51</v>
      </c>
      <c r="D4698" s="6">
        <v>36.770000000000003</v>
      </c>
      <c r="E4698" s="6">
        <v>36.43</v>
      </c>
      <c r="F4698" t="str">
        <f t="shared" si="1986"/>
        <v>MON</v>
      </c>
      <c r="G4698" s="1">
        <f t="shared" si="1987"/>
        <v>44109</v>
      </c>
      <c r="H4698" s="2">
        <f t="shared" ca="1" si="1988"/>
        <v>144</v>
      </c>
      <c r="I4698" t="str">
        <f t="shared" si="1989"/>
        <v>XLRE</v>
      </c>
      <c r="J4698">
        <f t="shared" si="1990"/>
        <v>33.51</v>
      </c>
      <c r="K4698">
        <f t="shared" si="1991"/>
        <v>36.770000000000003</v>
      </c>
      <c r="L4698">
        <f t="shared" si="1992"/>
        <v>35.14</v>
      </c>
      <c r="M4698">
        <f t="shared" si="1993"/>
        <v>1.6300000000000026</v>
      </c>
      <c r="N4698">
        <f t="shared" si="1982"/>
        <v>3.2600000000000051</v>
      </c>
      <c r="O4698">
        <f t="shared" si="1994"/>
        <v>36.43</v>
      </c>
      <c r="P4698">
        <f t="shared" si="1995"/>
        <v>0.79141104294478348</v>
      </c>
      <c r="Q4698" t="str">
        <f t="shared" si="1983"/>
        <v>8.02% | 0.93%</v>
      </c>
      <c r="R4698" t="str">
        <f t="shared" si="1996"/>
        <v>BULLISH</v>
      </c>
      <c r="S4698">
        <f t="shared" si="1984"/>
        <v>1</v>
      </c>
    </row>
    <row r="4699" spans="1:19" hidden="1" x14ac:dyDescent="0.25">
      <c r="A4699" s="5" t="str">
        <f t="shared" si="1985"/>
        <v>44109XLU</v>
      </c>
      <c r="B4699" s="6" t="s">
        <v>52</v>
      </c>
      <c r="C4699" s="6">
        <v>56.64</v>
      </c>
      <c r="D4699" s="6">
        <v>60.99</v>
      </c>
      <c r="E4699" s="6">
        <v>60.69</v>
      </c>
      <c r="F4699" t="str">
        <f t="shared" si="1986"/>
        <v>MON</v>
      </c>
      <c r="G4699" s="1">
        <f t="shared" si="1987"/>
        <v>44109</v>
      </c>
      <c r="H4699" s="2">
        <f t="shared" ca="1" si="1988"/>
        <v>144</v>
      </c>
      <c r="I4699" t="str">
        <f t="shared" si="1989"/>
        <v>XLU</v>
      </c>
      <c r="J4699">
        <f t="shared" si="1990"/>
        <v>56.64</v>
      </c>
      <c r="K4699">
        <f t="shared" si="1991"/>
        <v>60.99</v>
      </c>
      <c r="L4699">
        <f t="shared" si="1992"/>
        <v>58.814999999999998</v>
      </c>
      <c r="M4699">
        <f t="shared" si="1993"/>
        <v>2.1750000000000007</v>
      </c>
      <c r="N4699">
        <f t="shared" si="1982"/>
        <v>4.3500000000000014</v>
      </c>
      <c r="O4699">
        <f t="shared" si="1994"/>
        <v>60.69</v>
      </c>
      <c r="P4699">
        <f t="shared" si="1995"/>
        <v>0.8620689655172411</v>
      </c>
      <c r="Q4699" t="str">
        <f t="shared" si="1983"/>
        <v>6.67% | 0.49%</v>
      </c>
      <c r="R4699" t="str">
        <f t="shared" si="1996"/>
        <v>BULLISH</v>
      </c>
      <c r="S4699">
        <f t="shared" si="1984"/>
        <v>1</v>
      </c>
    </row>
    <row r="4700" spans="1:19" hidden="1" x14ac:dyDescent="0.25">
      <c r="A4700" s="5" t="str">
        <f t="shared" si="1985"/>
        <v>44109XLF</v>
      </c>
      <c r="B4700" s="6" t="s">
        <v>12</v>
      </c>
      <c r="C4700" s="6">
        <v>22.84</v>
      </c>
      <c r="D4700" s="6">
        <v>24.61</v>
      </c>
      <c r="E4700" s="6">
        <v>24.3</v>
      </c>
      <c r="F4700" t="str">
        <f t="shared" si="1986"/>
        <v>MON</v>
      </c>
      <c r="G4700" s="1">
        <f t="shared" si="1987"/>
        <v>44109</v>
      </c>
      <c r="H4700" s="2">
        <f t="shared" ca="1" si="1988"/>
        <v>144</v>
      </c>
      <c r="I4700" t="str">
        <f t="shared" si="1989"/>
        <v>XLF</v>
      </c>
      <c r="J4700">
        <f t="shared" si="1990"/>
        <v>22.84</v>
      </c>
      <c r="K4700">
        <f t="shared" si="1991"/>
        <v>24.61</v>
      </c>
      <c r="L4700">
        <f t="shared" si="1992"/>
        <v>23.725000000000001</v>
      </c>
      <c r="M4700">
        <f t="shared" si="1993"/>
        <v>0.88499999999999979</v>
      </c>
      <c r="N4700">
        <f t="shared" si="1982"/>
        <v>1.7699999999999996</v>
      </c>
      <c r="O4700">
        <f t="shared" si="1994"/>
        <v>24.3</v>
      </c>
      <c r="P4700">
        <f t="shared" si="1995"/>
        <v>0.64971751412429313</v>
      </c>
      <c r="Q4700" t="str">
        <f t="shared" si="1983"/>
        <v>6.01% | 1.28%</v>
      </c>
      <c r="R4700" t="str">
        <f t="shared" si="1996"/>
        <v>BEARISH</v>
      </c>
      <c r="S4700">
        <f t="shared" si="1984"/>
        <v>-1</v>
      </c>
    </row>
    <row r="4701" spans="1:19" hidden="1" x14ac:dyDescent="0.25">
      <c r="A4701" s="5" t="str">
        <f t="shared" si="1985"/>
        <v>44109SSEC</v>
      </c>
      <c r="B4701" s="6" t="s">
        <v>104</v>
      </c>
      <c r="C4701" s="6">
        <v>3168</v>
      </c>
      <c r="D4701" s="6">
        <v>3348</v>
      </c>
      <c r="E4701" s="6">
        <v>3218</v>
      </c>
      <c r="F4701" t="str">
        <f t="shared" si="1986"/>
        <v>MON</v>
      </c>
      <c r="G4701" s="1">
        <f t="shared" si="1987"/>
        <v>44109</v>
      </c>
      <c r="H4701" s="2">
        <f t="shared" ca="1" si="1988"/>
        <v>144</v>
      </c>
      <c r="I4701" t="str">
        <f t="shared" si="1989"/>
        <v>SSEC</v>
      </c>
      <c r="J4701">
        <f t="shared" si="1990"/>
        <v>3168</v>
      </c>
      <c r="K4701">
        <f t="shared" si="1991"/>
        <v>3348</v>
      </c>
      <c r="L4701">
        <f t="shared" si="1992"/>
        <v>3258</v>
      </c>
      <c r="M4701">
        <f t="shared" si="1993"/>
        <v>90</v>
      </c>
      <c r="N4701">
        <f t="shared" si="1982"/>
        <v>180</v>
      </c>
      <c r="O4701">
        <f t="shared" si="1994"/>
        <v>3218</v>
      </c>
      <c r="P4701">
        <f t="shared" si="1995"/>
        <v>-0.44444444444444442</v>
      </c>
      <c r="Q4701" t="str">
        <f t="shared" si="1983"/>
        <v>1.55% | 4.04%</v>
      </c>
      <c r="R4701" t="str">
        <f t="shared" si="1996"/>
        <v>BULLISH</v>
      </c>
      <c r="S4701">
        <f t="shared" si="1984"/>
        <v>1</v>
      </c>
    </row>
    <row r="4702" spans="1:19" hidden="1" x14ac:dyDescent="0.25">
      <c r="A4702" s="5" t="str">
        <f t="shared" si="1985"/>
        <v>44109NIKK</v>
      </c>
      <c r="B4702" s="6" t="s">
        <v>15</v>
      </c>
      <c r="C4702" s="6">
        <v>22926</v>
      </c>
      <c r="D4702" s="6">
        <v>23502</v>
      </c>
      <c r="E4702" s="6">
        <v>23312</v>
      </c>
      <c r="F4702" t="str">
        <f t="shared" si="1986"/>
        <v>MON</v>
      </c>
      <c r="G4702" s="1">
        <f t="shared" si="1987"/>
        <v>44109</v>
      </c>
      <c r="H4702" s="2">
        <f t="shared" ca="1" si="1988"/>
        <v>144</v>
      </c>
      <c r="I4702" t="str">
        <f t="shared" si="1989"/>
        <v>NIKK</v>
      </c>
      <c r="J4702">
        <f t="shared" si="1990"/>
        <v>22926</v>
      </c>
      <c r="K4702">
        <f t="shared" si="1991"/>
        <v>23502</v>
      </c>
      <c r="L4702">
        <f t="shared" si="1992"/>
        <v>23214</v>
      </c>
      <c r="M4702">
        <f t="shared" si="1993"/>
        <v>288</v>
      </c>
      <c r="N4702">
        <f t="shared" si="1982"/>
        <v>576</v>
      </c>
      <c r="O4702">
        <f t="shared" si="1994"/>
        <v>23312</v>
      </c>
      <c r="P4702">
        <f t="shared" si="1995"/>
        <v>0.34027777777777779</v>
      </c>
      <c r="Q4702" t="str">
        <f t="shared" si="1983"/>
        <v>1.66% | 0.82%</v>
      </c>
      <c r="R4702" t="str">
        <f t="shared" si="1996"/>
        <v>BEARISH</v>
      </c>
      <c r="S4702">
        <f t="shared" si="1984"/>
        <v>-1</v>
      </c>
    </row>
    <row r="4703" spans="1:19" hidden="1" x14ac:dyDescent="0.25">
      <c r="A4703" s="5" t="str">
        <f t="shared" si="1985"/>
        <v>44109DAX</v>
      </c>
      <c r="B4703" s="6" t="s">
        <v>16</v>
      </c>
      <c r="C4703" s="6">
        <v>12422</v>
      </c>
      <c r="D4703" s="6">
        <v>12913</v>
      </c>
      <c r="E4703" s="6">
        <v>12689</v>
      </c>
      <c r="F4703" t="str">
        <f t="shared" si="1986"/>
        <v>MON</v>
      </c>
      <c r="G4703" s="1">
        <f t="shared" si="1987"/>
        <v>44109</v>
      </c>
      <c r="H4703" s="2">
        <f t="shared" ca="1" si="1988"/>
        <v>144</v>
      </c>
      <c r="I4703" t="str">
        <f t="shared" si="1989"/>
        <v>DAX</v>
      </c>
      <c r="J4703">
        <f t="shared" si="1990"/>
        <v>12422</v>
      </c>
      <c r="K4703">
        <f t="shared" si="1991"/>
        <v>12913</v>
      </c>
      <c r="L4703">
        <f t="shared" si="1992"/>
        <v>12667.5</v>
      </c>
      <c r="M4703">
        <f t="shared" si="1993"/>
        <v>245.5</v>
      </c>
      <c r="N4703">
        <f t="shared" si="1982"/>
        <v>491</v>
      </c>
      <c r="O4703">
        <f t="shared" si="1994"/>
        <v>12689</v>
      </c>
      <c r="P4703">
        <f t="shared" si="1995"/>
        <v>8.7576374745417518E-2</v>
      </c>
      <c r="Q4703" t="str">
        <f t="shared" si="1983"/>
        <v>2.1% | 1.77%</v>
      </c>
      <c r="R4703" t="str">
        <f t="shared" si="1996"/>
        <v>BEARISH</v>
      </c>
      <c r="S4703">
        <f t="shared" si="1984"/>
        <v>-1</v>
      </c>
    </row>
    <row r="4704" spans="1:19" hidden="1" x14ac:dyDescent="0.25">
      <c r="A4704" s="5" t="str">
        <f t="shared" si="1985"/>
        <v>44109VIX</v>
      </c>
      <c r="B4704" s="6" t="s">
        <v>17</v>
      </c>
      <c r="C4704" s="6">
        <v>25.06</v>
      </c>
      <c r="D4704" s="6">
        <v>29.85</v>
      </c>
      <c r="E4704" s="6">
        <v>27.63</v>
      </c>
      <c r="F4704" t="str">
        <f t="shared" si="1986"/>
        <v>MON</v>
      </c>
      <c r="G4704" s="1">
        <f t="shared" si="1987"/>
        <v>44109</v>
      </c>
      <c r="H4704" s="2">
        <f t="shared" ca="1" si="1988"/>
        <v>144</v>
      </c>
      <c r="I4704" t="str">
        <f t="shared" si="1989"/>
        <v>VIX</v>
      </c>
      <c r="J4704">
        <f t="shared" si="1990"/>
        <v>25.06</v>
      </c>
      <c r="K4704">
        <f t="shared" si="1991"/>
        <v>29.85</v>
      </c>
      <c r="L4704">
        <f t="shared" si="1992"/>
        <v>27.454999999999998</v>
      </c>
      <c r="M4704">
        <f t="shared" si="1993"/>
        <v>2.3950000000000014</v>
      </c>
      <c r="N4704">
        <f t="shared" si="1982"/>
        <v>4.7900000000000027</v>
      </c>
      <c r="O4704">
        <f t="shared" si="1994"/>
        <v>27.63</v>
      </c>
      <c r="P4704">
        <f t="shared" si="1995"/>
        <v>7.3068893528183965E-2</v>
      </c>
      <c r="Q4704" t="str">
        <f t="shared" si="1983"/>
        <v>9.3% | 8.03%</v>
      </c>
      <c r="R4704" t="str">
        <f t="shared" si="1996"/>
        <v>BULLISH</v>
      </c>
      <c r="S4704">
        <f t="shared" si="1984"/>
        <v>1</v>
      </c>
    </row>
    <row r="4705" spans="1:19" hidden="1" x14ac:dyDescent="0.25">
      <c r="A4705" s="5" t="str">
        <f t="shared" si="1985"/>
        <v>44109USD</v>
      </c>
      <c r="B4705" s="6" t="s">
        <v>94</v>
      </c>
      <c r="C4705" s="6">
        <v>93.36</v>
      </c>
      <c r="D4705" s="6">
        <v>94.94</v>
      </c>
      <c r="E4705" s="6">
        <v>93.91</v>
      </c>
      <c r="F4705" t="str">
        <f t="shared" si="1986"/>
        <v>MON</v>
      </c>
      <c r="G4705" s="1">
        <f t="shared" si="1987"/>
        <v>44109</v>
      </c>
      <c r="H4705" s="2">
        <f t="shared" ca="1" si="1988"/>
        <v>144</v>
      </c>
      <c r="I4705" t="str">
        <f t="shared" si="1989"/>
        <v>USD</v>
      </c>
      <c r="J4705">
        <f t="shared" si="1990"/>
        <v>93.36</v>
      </c>
      <c r="K4705">
        <f t="shared" si="1991"/>
        <v>94.94</v>
      </c>
      <c r="L4705">
        <f t="shared" si="1992"/>
        <v>94.15</v>
      </c>
      <c r="M4705">
        <f t="shared" si="1993"/>
        <v>0.78999999999999915</v>
      </c>
      <c r="N4705">
        <f t="shared" si="1982"/>
        <v>1.5799999999999983</v>
      </c>
      <c r="O4705">
        <f t="shared" si="1994"/>
        <v>93.91</v>
      </c>
      <c r="P4705">
        <f t="shared" si="1995"/>
        <v>-0.30379746835444221</v>
      </c>
      <c r="Q4705" t="str">
        <f t="shared" si="1983"/>
        <v>0.59% | 1.1%</v>
      </c>
      <c r="R4705" t="str">
        <f t="shared" si="1996"/>
        <v>BEARISH</v>
      </c>
      <c r="S4705">
        <f t="shared" si="1984"/>
        <v>-1</v>
      </c>
    </row>
    <row r="4706" spans="1:19" hidden="1" x14ac:dyDescent="0.25">
      <c r="A4706" s="5" t="str">
        <f t="shared" si="1985"/>
        <v>44109EUR/USD</v>
      </c>
      <c r="B4706" s="6" t="s">
        <v>99</v>
      </c>
      <c r="C4706" s="6">
        <v>1.1599999999999999</v>
      </c>
      <c r="D4706" s="6">
        <v>1.18</v>
      </c>
      <c r="E4706" s="6">
        <v>1.17</v>
      </c>
      <c r="F4706" t="str">
        <f t="shared" si="1986"/>
        <v>MON</v>
      </c>
      <c r="G4706" s="1">
        <f t="shared" si="1987"/>
        <v>44109</v>
      </c>
      <c r="H4706" s="2">
        <f t="shared" ca="1" si="1988"/>
        <v>144</v>
      </c>
      <c r="I4706" t="str">
        <f t="shared" si="1989"/>
        <v>EUR/USD</v>
      </c>
      <c r="J4706">
        <f t="shared" si="1990"/>
        <v>1.1599999999999999</v>
      </c>
      <c r="K4706">
        <f t="shared" si="1991"/>
        <v>1.18</v>
      </c>
      <c r="L4706">
        <f t="shared" si="1992"/>
        <v>1.17</v>
      </c>
      <c r="M4706">
        <f t="shared" si="1993"/>
        <v>1.0000000000000009E-2</v>
      </c>
      <c r="N4706">
        <f t="shared" si="1982"/>
        <v>2.0000000000000018E-2</v>
      </c>
      <c r="O4706">
        <f t="shared" si="1994"/>
        <v>1.17</v>
      </c>
      <c r="P4706">
        <f t="shared" si="1995"/>
        <v>0</v>
      </c>
      <c r="Q4706" t="str">
        <f t="shared" si="1983"/>
        <v>0.85% | 0.85%</v>
      </c>
      <c r="R4706" t="str">
        <f t="shared" si="1996"/>
        <v>BULLISH</v>
      </c>
      <c r="S4706">
        <f t="shared" si="1984"/>
        <v>1</v>
      </c>
    </row>
    <row r="4707" spans="1:19" hidden="1" x14ac:dyDescent="0.25">
      <c r="A4707" s="5" t="str">
        <f t="shared" si="1985"/>
        <v>44109USD/JPY</v>
      </c>
      <c r="B4707" s="6" t="s">
        <v>20</v>
      </c>
      <c r="C4707" s="6">
        <v>104.84</v>
      </c>
      <c r="D4707" s="6">
        <v>105.99</v>
      </c>
      <c r="E4707" s="6">
        <v>105.38</v>
      </c>
      <c r="F4707" t="str">
        <f t="shared" si="1986"/>
        <v>MON</v>
      </c>
      <c r="G4707" s="1">
        <f t="shared" si="1987"/>
        <v>44109</v>
      </c>
      <c r="H4707" s="2">
        <f t="shared" ca="1" si="1988"/>
        <v>144</v>
      </c>
      <c r="I4707" t="str">
        <f t="shared" si="1989"/>
        <v>USD/JPY</v>
      </c>
      <c r="J4707">
        <f t="shared" si="1990"/>
        <v>104.84</v>
      </c>
      <c r="K4707">
        <f t="shared" si="1991"/>
        <v>105.99</v>
      </c>
      <c r="L4707">
        <f t="shared" si="1992"/>
        <v>105.41499999999999</v>
      </c>
      <c r="M4707">
        <f t="shared" si="1993"/>
        <v>0.57499999999999574</v>
      </c>
      <c r="N4707">
        <f t="shared" si="1982"/>
        <v>1.1499999999999915</v>
      </c>
      <c r="O4707">
        <f t="shared" si="1994"/>
        <v>105.38</v>
      </c>
      <c r="P4707">
        <f t="shared" si="1995"/>
        <v>-6.0869565217385825E-2</v>
      </c>
      <c r="Q4707" t="str">
        <f t="shared" si="1983"/>
        <v>0.51% | 0.58%</v>
      </c>
      <c r="R4707" t="str">
        <f t="shared" si="1996"/>
        <v>BEARISH</v>
      </c>
      <c r="S4707">
        <f t="shared" si="1984"/>
        <v>-1</v>
      </c>
    </row>
    <row r="4708" spans="1:19" hidden="1" x14ac:dyDescent="0.25">
      <c r="A4708" s="5" t="str">
        <f t="shared" si="1985"/>
        <v>44109GBP/USD</v>
      </c>
      <c r="B4708" s="6" t="s">
        <v>79</v>
      </c>
      <c r="C4708" s="6">
        <v>1.27</v>
      </c>
      <c r="D4708" s="6">
        <v>1.3</v>
      </c>
      <c r="E4708" s="6">
        <v>1.29</v>
      </c>
      <c r="F4708" t="str">
        <f t="shared" si="1986"/>
        <v>MON</v>
      </c>
      <c r="G4708" s="1">
        <f t="shared" si="1987"/>
        <v>44109</v>
      </c>
      <c r="H4708" s="2">
        <f t="shared" ca="1" si="1988"/>
        <v>144</v>
      </c>
      <c r="I4708" t="str">
        <f t="shared" si="1989"/>
        <v>GBP/USD</v>
      </c>
      <c r="J4708">
        <f t="shared" si="1990"/>
        <v>1.27</v>
      </c>
      <c r="K4708">
        <f t="shared" si="1991"/>
        <v>1.3</v>
      </c>
      <c r="L4708">
        <f t="shared" si="1992"/>
        <v>1.2850000000000001</v>
      </c>
      <c r="M4708">
        <f t="shared" si="1993"/>
        <v>1.5000000000000013E-2</v>
      </c>
      <c r="N4708">
        <f t="shared" si="1982"/>
        <v>3.0000000000000027E-2</v>
      </c>
      <c r="O4708">
        <f t="shared" si="1994"/>
        <v>1.29</v>
      </c>
      <c r="P4708">
        <f t="shared" si="1995"/>
        <v>0.33333333333332593</v>
      </c>
      <c r="Q4708" t="str">
        <f t="shared" si="1983"/>
        <v>1.55% | 0.78%</v>
      </c>
      <c r="R4708" t="str">
        <f t="shared" si="1996"/>
        <v>NEUTRAL</v>
      </c>
      <c r="S4708">
        <f t="shared" si="1984"/>
        <v>0</v>
      </c>
    </row>
    <row r="4709" spans="1:19" hidden="1" x14ac:dyDescent="0.25">
      <c r="A4709" s="5" t="str">
        <f t="shared" si="1985"/>
        <v>44109USD/CHF</v>
      </c>
      <c r="B4709" s="6" t="s">
        <v>76</v>
      </c>
      <c r="C4709" s="6">
        <v>0.9</v>
      </c>
      <c r="D4709" s="6">
        <v>0.93</v>
      </c>
      <c r="E4709" s="6">
        <v>0.92</v>
      </c>
      <c r="F4709" t="str">
        <f t="shared" si="1986"/>
        <v>MON</v>
      </c>
      <c r="G4709" s="1">
        <f t="shared" si="1987"/>
        <v>44109</v>
      </c>
      <c r="H4709" s="2">
        <f t="shared" ca="1" si="1988"/>
        <v>144</v>
      </c>
      <c r="I4709" t="str">
        <f t="shared" si="1989"/>
        <v>USD/CHF</v>
      </c>
      <c r="J4709">
        <f t="shared" si="1990"/>
        <v>0.9</v>
      </c>
      <c r="K4709">
        <f t="shared" si="1991"/>
        <v>0.93</v>
      </c>
      <c r="L4709">
        <f t="shared" si="1992"/>
        <v>0.91500000000000004</v>
      </c>
      <c r="M4709">
        <f t="shared" si="1993"/>
        <v>1.5000000000000013E-2</v>
      </c>
      <c r="N4709">
        <f t="shared" si="1982"/>
        <v>3.0000000000000027E-2</v>
      </c>
      <c r="O4709">
        <f t="shared" si="1994"/>
        <v>0.92</v>
      </c>
      <c r="P4709">
        <f t="shared" si="1995"/>
        <v>0.33333333333333331</v>
      </c>
      <c r="Q4709" t="str">
        <f t="shared" si="1983"/>
        <v>2.17% | 1.09%</v>
      </c>
      <c r="R4709" t="str">
        <f t="shared" si="1996"/>
        <v>BEARISH</v>
      </c>
      <c r="S4709">
        <f t="shared" si="1984"/>
        <v>-1</v>
      </c>
    </row>
    <row r="4710" spans="1:19" hidden="1" x14ac:dyDescent="0.25">
      <c r="A4710" s="5" t="str">
        <f t="shared" si="1985"/>
        <v>44109WTIC</v>
      </c>
      <c r="B4710" s="6" t="s">
        <v>23</v>
      </c>
      <c r="C4710" s="6">
        <v>36.979999999999997</v>
      </c>
      <c r="D4710" s="6">
        <v>39.9</v>
      </c>
      <c r="E4710" s="6">
        <v>37.049999999999997</v>
      </c>
      <c r="F4710" t="str">
        <f t="shared" si="1986"/>
        <v>MON</v>
      </c>
      <c r="G4710" s="1">
        <f t="shared" si="1987"/>
        <v>44109</v>
      </c>
      <c r="H4710" s="2">
        <f t="shared" ca="1" si="1988"/>
        <v>144</v>
      </c>
      <c r="I4710" t="str">
        <f t="shared" si="1989"/>
        <v>WTIC</v>
      </c>
      <c r="J4710">
        <f t="shared" si="1990"/>
        <v>36.979999999999997</v>
      </c>
      <c r="K4710">
        <f t="shared" si="1991"/>
        <v>39.9</v>
      </c>
      <c r="L4710">
        <f t="shared" si="1992"/>
        <v>38.44</v>
      </c>
      <c r="M4710">
        <f t="shared" si="1993"/>
        <v>1.4600000000000009</v>
      </c>
      <c r="N4710">
        <f t="shared" si="1982"/>
        <v>2.9200000000000017</v>
      </c>
      <c r="O4710">
        <f t="shared" si="1994"/>
        <v>37.049999999999997</v>
      </c>
      <c r="P4710">
        <f t="shared" si="1995"/>
        <v>-0.95205479452054775</v>
      </c>
      <c r="Q4710" t="str">
        <f t="shared" si="1983"/>
        <v>0.19% | 7.69%</v>
      </c>
      <c r="R4710" t="str">
        <f t="shared" si="1996"/>
        <v>BEARISH</v>
      </c>
      <c r="S4710">
        <f t="shared" si="1984"/>
        <v>-1</v>
      </c>
    </row>
    <row r="4711" spans="1:19" hidden="1" x14ac:dyDescent="0.25">
      <c r="A4711" s="5" t="str">
        <f t="shared" si="1985"/>
        <v>44109NATGAS</v>
      </c>
      <c r="B4711" s="6" t="s">
        <v>89</v>
      </c>
      <c r="C4711" s="6">
        <v>2.2200000000000002</v>
      </c>
      <c r="D4711" s="6">
        <v>2.98</v>
      </c>
      <c r="E4711" s="6">
        <v>2.44</v>
      </c>
      <c r="F4711" t="str">
        <f t="shared" si="1986"/>
        <v>MON</v>
      </c>
      <c r="G4711" s="1">
        <f t="shared" si="1987"/>
        <v>44109</v>
      </c>
      <c r="H4711" s="2">
        <f t="shared" ca="1" si="1988"/>
        <v>144</v>
      </c>
      <c r="I4711" t="str">
        <f t="shared" si="1989"/>
        <v>NATGAS</v>
      </c>
      <c r="J4711">
        <f t="shared" si="1990"/>
        <v>2.2200000000000002</v>
      </c>
      <c r="K4711">
        <f t="shared" si="1991"/>
        <v>2.98</v>
      </c>
      <c r="L4711">
        <f t="shared" si="1992"/>
        <v>2.6</v>
      </c>
      <c r="M4711">
        <f t="shared" si="1993"/>
        <v>0.38000000000000012</v>
      </c>
      <c r="N4711">
        <f t="shared" si="1982"/>
        <v>0.75999999999999979</v>
      </c>
      <c r="O4711">
        <f t="shared" si="1994"/>
        <v>2.44</v>
      </c>
      <c r="P4711">
        <f t="shared" si="1995"/>
        <v>-0.42105263157894762</v>
      </c>
      <c r="Q4711" t="str">
        <f t="shared" si="1983"/>
        <v>9.02% | 22.13%</v>
      </c>
      <c r="R4711" t="str">
        <f t="shared" si="1996"/>
        <v>BULLISH</v>
      </c>
      <c r="S4711">
        <f t="shared" si="1984"/>
        <v>1</v>
      </c>
    </row>
    <row r="4712" spans="1:19" hidden="1" x14ac:dyDescent="0.25">
      <c r="A4712" s="5" t="str">
        <f t="shared" si="1985"/>
        <v>44109GOLD</v>
      </c>
      <c r="B4712" s="6" t="s">
        <v>25</v>
      </c>
      <c r="C4712" s="6">
        <v>1846</v>
      </c>
      <c r="D4712" s="6">
        <v>1929</v>
      </c>
      <c r="E4712" s="6">
        <v>1907</v>
      </c>
      <c r="F4712" t="str">
        <f t="shared" si="1986"/>
        <v>MON</v>
      </c>
      <c r="G4712" s="1">
        <f t="shared" si="1987"/>
        <v>44109</v>
      </c>
      <c r="H4712" s="2">
        <f t="shared" ca="1" si="1988"/>
        <v>144</v>
      </c>
      <c r="I4712" t="str">
        <f t="shared" si="1989"/>
        <v>GOLD</v>
      </c>
      <c r="J4712">
        <f t="shared" si="1990"/>
        <v>1846</v>
      </c>
      <c r="K4712">
        <f t="shared" si="1991"/>
        <v>1929</v>
      </c>
      <c r="L4712">
        <f t="shared" si="1992"/>
        <v>1887.5</v>
      </c>
      <c r="M4712">
        <f t="shared" si="1993"/>
        <v>41.5</v>
      </c>
      <c r="N4712">
        <f t="shared" si="1982"/>
        <v>83</v>
      </c>
      <c r="O4712">
        <f t="shared" si="1994"/>
        <v>1907</v>
      </c>
      <c r="P4712">
        <f t="shared" si="1995"/>
        <v>0.46987951807228917</v>
      </c>
      <c r="Q4712" t="str">
        <f t="shared" si="1983"/>
        <v>3.2% | 1.15%</v>
      </c>
      <c r="R4712" t="str">
        <f t="shared" si="1996"/>
        <v>BULLISH</v>
      </c>
      <c r="S4712">
        <f t="shared" si="1984"/>
        <v>1</v>
      </c>
    </row>
    <row r="4713" spans="1:19" hidden="1" x14ac:dyDescent="0.25">
      <c r="A4713" s="5" t="str">
        <f t="shared" si="1985"/>
        <v>44109SILVER</v>
      </c>
      <c r="B4713" s="6" t="s">
        <v>234</v>
      </c>
      <c r="C4713" s="6">
        <v>22.56</v>
      </c>
      <c r="D4713" s="6">
        <v>24.94</v>
      </c>
      <c r="E4713" s="6">
        <v>24.03</v>
      </c>
      <c r="F4713" t="str">
        <f t="shared" si="1986"/>
        <v>MON</v>
      </c>
      <c r="G4713" s="1">
        <f t="shared" si="1987"/>
        <v>44109</v>
      </c>
      <c r="H4713" s="2">
        <f t="shared" ca="1" si="1988"/>
        <v>144</v>
      </c>
      <c r="I4713" t="str">
        <f t="shared" si="1989"/>
        <v>SILVER</v>
      </c>
      <c r="J4713">
        <f t="shared" si="1990"/>
        <v>22.56</v>
      </c>
      <c r="K4713">
        <f t="shared" si="1991"/>
        <v>24.94</v>
      </c>
      <c r="L4713">
        <f t="shared" si="1992"/>
        <v>23.75</v>
      </c>
      <c r="M4713">
        <f t="shared" si="1993"/>
        <v>1.1900000000000013</v>
      </c>
      <c r="N4713">
        <f t="shared" si="1982"/>
        <v>2.3800000000000026</v>
      </c>
      <c r="O4713">
        <f t="shared" si="1994"/>
        <v>24.03</v>
      </c>
      <c r="P4713">
        <f t="shared" si="1995"/>
        <v>0.23529411764705951</v>
      </c>
      <c r="Q4713" t="str">
        <f t="shared" si="1983"/>
        <v>6.12% | 3.79%</v>
      </c>
      <c r="R4713" t="str">
        <f t="shared" si="1996"/>
        <v>BEARISH</v>
      </c>
      <c r="S4713">
        <f t="shared" si="1984"/>
        <v>-1</v>
      </c>
    </row>
    <row r="4714" spans="1:19" hidden="1" x14ac:dyDescent="0.25">
      <c r="A4714" s="5" t="str">
        <f t="shared" si="1985"/>
        <v>44109COPPER</v>
      </c>
      <c r="B4714" s="6" t="s">
        <v>88</v>
      </c>
      <c r="C4714" s="6">
        <v>2.87</v>
      </c>
      <c r="D4714" s="6">
        <v>3.07</v>
      </c>
      <c r="E4714" s="6">
        <v>2.98</v>
      </c>
      <c r="F4714" t="str">
        <f t="shared" si="1986"/>
        <v>MON</v>
      </c>
      <c r="G4714" s="1">
        <f t="shared" si="1987"/>
        <v>44109</v>
      </c>
      <c r="H4714" s="2">
        <f t="shared" ca="1" si="1988"/>
        <v>144</v>
      </c>
      <c r="I4714" t="str">
        <f t="shared" si="1989"/>
        <v>COPPER</v>
      </c>
      <c r="J4714">
        <f t="shared" si="1990"/>
        <v>2.87</v>
      </c>
      <c r="K4714">
        <f t="shared" si="1991"/>
        <v>3.07</v>
      </c>
      <c r="L4714">
        <f t="shared" si="1992"/>
        <v>2.9699999999999998</v>
      </c>
      <c r="M4714">
        <f t="shared" si="1993"/>
        <v>9.9999999999999867E-2</v>
      </c>
      <c r="N4714">
        <f t="shared" si="1982"/>
        <v>0.19999999999999973</v>
      </c>
      <c r="O4714">
        <f t="shared" si="1994"/>
        <v>2.98</v>
      </c>
      <c r="P4714">
        <f t="shared" si="1995"/>
        <v>0.10000000000000245</v>
      </c>
      <c r="Q4714" t="str">
        <f t="shared" si="1983"/>
        <v>3.69% | 3.02%</v>
      </c>
      <c r="R4714" t="str">
        <f t="shared" si="1996"/>
        <v>NEUTRAL</v>
      </c>
      <c r="S4714">
        <f t="shared" si="1984"/>
        <v>0</v>
      </c>
    </row>
    <row r="4715" spans="1:19" hidden="1" x14ac:dyDescent="0.25">
      <c r="A4715" s="5" t="str">
        <f t="shared" si="1985"/>
        <v>44109MSFT</v>
      </c>
      <c r="B4715" s="6" t="s">
        <v>235</v>
      </c>
      <c r="C4715" s="6">
        <v>198</v>
      </c>
      <c r="D4715" s="6">
        <v>213</v>
      </c>
      <c r="E4715" s="6">
        <v>206</v>
      </c>
      <c r="F4715" t="str">
        <f t="shared" si="1986"/>
        <v>MON</v>
      </c>
      <c r="G4715" s="1">
        <f t="shared" si="1987"/>
        <v>44109</v>
      </c>
      <c r="H4715" s="2">
        <f t="shared" ca="1" si="1988"/>
        <v>144</v>
      </c>
      <c r="I4715" t="str">
        <f t="shared" si="1989"/>
        <v>MSFT</v>
      </c>
      <c r="J4715">
        <f t="shared" si="1990"/>
        <v>198</v>
      </c>
      <c r="K4715">
        <f t="shared" si="1991"/>
        <v>213</v>
      </c>
      <c r="L4715">
        <f t="shared" si="1992"/>
        <v>205.5</v>
      </c>
      <c r="M4715">
        <f t="shared" si="1993"/>
        <v>7.5</v>
      </c>
      <c r="N4715">
        <f t="shared" si="1982"/>
        <v>15</v>
      </c>
      <c r="O4715">
        <f t="shared" si="1994"/>
        <v>206</v>
      </c>
      <c r="P4715">
        <f t="shared" si="1995"/>
        <v>6.6666666666666666E-2</v>
      </c>
      <c r="Q4715" t="str">
        <f t="shared" si="1983"/>
        <v>3.88% | 3.4%</v>
      </c>
      <c r="R4715" t="str">
        <f t="shared" si="1996"/>
        <v>NEUTRAL</v>
      </c>
      <c r="S4715">
        <f t="shared" si="1984"/>
        <v>0</v>
      </c>
    </row>
    <row r="4716" spans="1:19" hidden="1" x14ac:dyDescent="0.25">
      <c r="A4716" s="5" t="str">
        <f t="shared" si="1985"/>
        <v>44109AAPL</v>
      </c>
      <c r="B4716" s="6" t="s">
        <v>63</v>
      </c>
      <c r="C4716" s="6">
        <v>105</v>
      </c>
      <c r="D4716" s="6">
        <v>118</v>
      </c>
      <c r="E4716" s="6">
        <v>113</v>
      </c>
      <c r="F4716" t="str">
        <f t="shared" si="1986"/>
        <v>MON</v>
      </c>
      <c r="G4716" s="1">
        <f t="shared" si="1987"/>
        <v>44109</v>
      </c>
      <c r="H4716" s="2">
        <f t="shared" ca="1" si="1988"/>
        <v>144</v>
      </c>
      <c r="I4716" t="str">
        <f t="shared" si="1989"/>
        <v>AAPL</v>
      </c>
      <c r="J4716">
        <f t="shared" si="1990"/>
        <v>105</v>
      </c>
      <c r="K4716">
        <f t="shared" si="1991"/>
        <v>118</v>
      </c>
      <c r="L4716">
        <f t="shared" si="1992"/>
        <v>111.5</v>
      </c>
      <c r="M4716">
        <f t="shared" si="1993"/>
        <v>6.5</v>
      </c>
      <c r="N4716">
        <f t="shared" si="1982"/>
        <v>13</v>
      </c>
      <c r="O4716">
        <f t="shared" si="1994"/>
        <v>113</v>
      </c>
      <c r="P4716">
        <f t="shared" si="1995"/>
        <v>0.23076923076923078</v>
      </c>
      <c r="Q4716" t="str">
        <f t="shared" si="1983"/>
        <v>7.08% | 4.42%</v>
      </c>
      <c r="R4716" t="str">
        <f t="shared" si="1996"/>
        <v>NEUTRAL</v>
      </c>
      <c r="S4716">
        <f t="shared" si="1984"/>
        <v>0</v>
      </c>
    </row>
    <row r="4717" spans="1:19" hidden="1" x14ac:dyDescent="0.25">
      <c r="A4717" s="5" t="str">
        <f t="shared" si="1985"/>
        <v>44109AMZN</v>
      </c>
      <c r="B4717" s="6" t="s">
        <v>29</v>
      </c>
      <c r="C4717" s="6">
        <v>2944</v>
      </c>
      <c r="D4717" s="6">
        <v>3251</v>
      </c>
      <c r="E4717" s="6">
        <v>3125</v>
      </c>
      <c r="F4717" t="str">
        <f t="shared" si="1986"/>
        <v>MON</v>
      </c>
      <c r="G4717" s="1">
        <f t="shared" si="1987"/>
        <v>44109</v>
      </c>
      <c r="H4717" s="2">
        <f t="shared" ca="1" si="1988"/>
        <v>144</v>
      </c>
      <c r="I4717" t="str">
        <f t="shared" si="1989"/>
        <v>AMZN</v>
      </c>
      <c r="J4717">
        <f t="shared" si="1990"/>
        <v>2944</v>
      </c>
      <c r="K4717">
        <f t="shared" si="1991"/>
        <v>3251</v>
      </c>
      <c r="L4717">
        <f t="shared" si="1992"/>
        <v>3097.5</v>
      </c>
      <c r="M4717">
        <f t="shared" si="1993"/>
        <v>153.5</v>
      </c>
      <c r="N4717">
        <f t="shared" si="1982"/>
        <v>307</v>
      </c>
      <c r="O4717">
        <f t="shared" si="1994"/>
        <v>3125</v>
      </c>
      <c r="P4717">
        <f t="shared" si="1995"/>
        <v>0.17915309446254071</v>
      </c>
      <c r="Q4717" t="str">
        <f t="shared" si="1983"/>
        <v>5.79% | 4.03%</v>
      </c>
      <c r="R4717" t="str">
        <f t="shared" si="1996"/>
        <v>BULLISH</v>
      </c>
      <c r="S4717">
        <f t="shared" si="1984"/>
        <v>1</v>
      </c>
    </row>
    <row r="4718" spans="1:19" hidden="1" x14ac:dyDescent="0.25">
      <c r="A4718" s="5" t="str">
        <f t="shared" si="1985"/>
        <v>44109FB</v>
      </c>
      <c r="B4718" s="6" t="s">
        <v>58</v>
      </c>
      <c r="C4718" s="6">
        <v>242</v>
      </c>
      <c r="D4718" s="6">
        <v>268</v>
      </c>
      <c r="E4718" s="6">
        <v>259</v>
      </c>
      <c r="F4718" t="str">
        <f t="shared" si="1986"/>
        <v>MON</v>
      </c>
      <c r="G4718" s="1">
        <f t="shared" si="1987"/>
        <v>44109</v>
      </c>
      <c r="H4718" s="2">
        <f t="shared" ca="1" si="1988"/>
        <v>144</v>
      </c>
      <c r="I4718" t="str">
        <f t="shared" si="1989"/>
        <v>FB</v>
      </c>
      <c r="J4718">
        <f t="shared" si="1990"/>
        <v>242</v>
      </c>
      <c r="K4718">
        <f t="shared" si="1991"/>
        <v>268</v>
      </c>
      <c r="L4718">
        <f t="shared" si="1992"/>
        <v>255</v>
      </c>
      <c r="M4718">
        <f t="shared" si="1993"/>
        <v>13</v>
      </c>
      <c r="N4718">
        <f t="shared" si="1982"/>
        <v>26</v>
      </c>
      <c r="O4718">
        <f t="shared" si="1994"/>
        <v>259</v>
      </c>
      <c r="P4718">
        <f t="shared" si="1995"/>
        <v>0.30769230769230771</v>
      </c>
      <c r="Q4718" t="str">
        <f t="shared" si="1983"/>
        <v>6.56% | 3.47%</v>
      </c>
      <c r="R4718" t="str">
        <f t="shared" si="1996"/>
        <v>BEARISH</v>
      </c>
      <c r="S4718">
        <f t="shared" si="1984"/>
        <v>-1</v>
      </c>
    </row>
    <row r="4719" spans="1:19" hidden="1" x14ac:dyDescent="0.25">
      <c r="A4719" s="5" t="str">
        <f t="shared" si="1985"/>
        <v>44109GOOGL</v>
      </c>
      <c r="B4719" s="6" t="s">
        <v>66</v>
      </c>
      <c r="C4719" s="6">
        <v>1396</v>
      </c>
      <c r="D4719" s="6">
        <v>1495</v>
      </c>
      <c r="E4719" s="6">
        <v>1455</v>
      </c>
      <c r="F4719" t="str">
        <f t="shared" si="1986"/>
        <v>MON</v>
      </c>
      <c r="G4719" s="1">
        <f t="shared" si="1987"/>
        <v>44109</v>
      </c>
      <c r="H4719" s="2">
        <f t="shared" ca="1" si="1988"/>
        <v>144</v>
      </c>
      <c r="I4719" t="str">
        <f t="shared" si="1989"/>
        <v>GOOGL</v>
      </c>
      <c r="J4719">
        <f t="shared" si="1990"/>
        <v>1396</v>
      </c>
      <c r="K4719">
        <f t="shared" si="1991"/>
        <v>1495</v>
      </c>
      <c r="L4719">
        <f t="shared" si="1992"/>
        <v>1445.5</v>
      </c>
      <c r="M4719">
        <f t="shared" si="1993"/>
        <v>49.5</v>
      </c>
      <c r="N4719">
        <f t="shared" si="1982"/>
        <v>99</v>
      </c>
      <c r="O4719">
        <f t="shared" si="1994"/>
        <v>1455</v>
      </c>
      <c r="P4719">
        <f t="shared" si="1995"/>
        <v>0.19191919191919191</v>
      </c>
      <c r="Q4719" t="str">
        <f t="shared" si="1983"/>
        <v>4.05% | 2.75%</v>
      </c>
      <c r="R4719" t="str">
        <f t="shared" si="1996"/>
        <v>BEARISH</v>
      </c>
      <c r="S4719">
        <f t="shared" si="1984"/>
        <v>-1</v>
      </c>
    </row>
    <row r="4720" spans="1:19" hidden="1" x14ac:dyDescent="0.25">
      <c r="A4720" s="5" t="str">
        <f t="shared" si="1985"/>
        <v>44109NFLX</v>
      </c>
      <c r="B4720" s="6" t="s">
        <v>81</v>
      </c>
      <c r="C4720" s="6">
        <v>459</v>
      </c>
      <c r="D4720" s="6">
        <v>527</v>
      </c>
      <c r="E4720" s="6">
        <v>503</v>
      </c>
      <c r="F4720" t="str">
        <f t="shared" si="1986"/>
        <v>MON</v>
      </c>
      <c r="G4720" s="1">
        <f t="shared" si="1987"/>
        <v>44109</v>
      </c>
      <c r="H4720" s="2">
        <f t="shared" ca="1" si="1988"/>
        <v>144</v>
      </c>
      <c r="I4720" t="str">
        <f t="shared" si="1989"/>
        <v>NFLX</v>
      </c>
      <c r="J4720">
        <f t="shared" si="1990"/>
        <v>459</v>
      </c>
      <c r="K4720">
        <f t="shared" si="1991"/>
        <v>527</v>
      </c>
      <c r="L4720">
        <f t="shared" si="1992"/>
        <v>493</v>
      </c>
      <c r="M4720">
        <f t="shared" si="1993"/>
        <v>34</v>
      </c>
      <c r="N4720">
        <f t="shared" si="1982"/>
        <v>68</v>
      </c>
      <c r="O4720">
        <f t="shared" si="1994"/>
        <v>503</v>
      </c>
      <c r="P4720">
        <f t="shared" si="1995"/>
        <v>0.29411764705882354</v>
      </c>
      <c r="Q4720" t="str">
        <f t="shared" si="1983"/>
        <v>8.75% | 4.77%</v>
      </c>
      <c r="R4720" t="str">
        <f t="shared" si="1996"/>
        <v>BEARISH</v>
      </c>
      <c r="S4720">
        <f t="shared" si="1984"/>
        <v>-1</v>
      </c>
    </row>
    <row r="4721" spans="1:19" x14ac:dyDescent="0.25">
      <c r="A4721" s="5" t="str">
        <f t="shared" si="1985"/>
        <v>44109TSLA</v>
      </c>
      <c r="B4721" s="6" t="s">
        <v>71</v>
      </c>
      <c r="C4721" s="6">
        <v>371</v>
      </c>
      <c r="D4721" s="6">
        <v>455</v>
      </c>
      <c r="E4721" s="6">
        <v>415</v>
      </c>
      <c r="F4721" t="str">
        <f t="shared" si="1986"/>
        <v>MON</v>
      </c>
      <c r="G4721" s="1">
        <f t="shared" si="1987"/>
        <v>44109</v>
      </c>
      <c r="H4721" s="2">
        <f t="shared" ca="1" si="1988"/>
        <v>144</v>
      </c>
      <c r="I4721" t="str">
        <f t="shared" si="1989"/>
        <v>TSLA</v>
      </c>
      <c r="J4721">
        <f t="shared" si="1990"/>
        <v>371</v>
      </c>
      <c r="K4721">
        <f t="shared" si="1991"/>
        <v>455</v>
      </c>
      <c r="L4721">
        <f t="shared" si="1992"/>
        <v>413</v>
      </c>
      <c r="M4721">
        <f t="shared" si="1993"/>
        <v>42</v>
      </c>
      <c r="N4721">
        <f t="shared" si="1982"/>
        <v>84</v>
      </c>
      <c r="O4721">
        <f t="shared" si="1994"/>
        <v>415</v>
      </c>
      <c r="P4721">
        <f t="shared" si="1995"/>
        <v>4.7619047619047616E-2</v>
      </c>
      <c r="Q4721" t="str">
        <f t="shared" si="1983"/>
        <v>10.6% | 9.64%</v>
      </c>
      <c r="R4721" t="str">
        <f t="shared" si="1996"/>
        <v>NEUTRAL</v>
      </c>
      <c r="S4721">
        <f t="shared" si="1984"/>
        <v>0</v>
      </c>
    </row>
    <row r="4722" spans="1:19" hidden="1" x14ac:dyDescent="0.25">
      <c r="A4722" s="5" t="str">
        <f t="shared" si="1985"/>
        <v>44109NYXBT</v>
      </c>
      <c r="B4722" s="6" t="s">
        <v>60</v>
      </c>
      <c r="C4722" s="6">
        <v>10269</v>
      </c>
      <c r="D4722" s="6">
        <v>10990</v>
      </c>
      <c r="E4722" s="6">
        <v>10523</v>
      </c>
      <c r="F4722" t="str">
        <f t="shared" si="1986"/>
        <v>MON</v>
      </c>
      <c r="G4722" s="1">
        <f t="shared" si="1987"/>
        <v>44109</v>
      </c>
      <c r="H4722" s="2">
        <f t="shared" ca="1" si="1988"/>
        <v>144</v>
      </c>
      <c r="I4722" t="str">
        <f t="shared" si="1989"/>
        <v>NYXBT</v>
      </c>
      <c r="J4722">
        <f t="shared" si="1990"/>
        <v>10269</v>
      </c>
      <c r="K4722">
        <f t="shared" si="1991"/>
        <v>10990</v>
      </c>
      <c r="L4722">
        <f t="shared" si="1992"/>
        <v>10629.5</v>
      </c>
      <c r="M4722">
        <f t="shared" si="1993"/>
        <v>360.5</v>
      </c>
      <c r="N4722">
        <f t="shared" si="1982"/>
        <v>721</v>
      </c>
      <c r="O4722">
        <f t="shared" si="1994"/>
        <v>10523</v>
      </c>
      <c r="P4722">
        <f t="shared" si="1995"/>
        <v>-0.29542302357836336</v>
      </c>
      <c r="Q4722" t="str">
        <f t="shared" si="1983"/>
        <v>2.41% | 4.44%</v>
      </c>
      <c r="R4722" t="str">
        <f t="shared" si="1996"/>
        <v>BULLISH</v>
      </c>
      <c r="S4722">
        <f t="shared" si="1984"/>
        <v>1</v>
      </c>
    </row>
    <row r="4723" spans="1:19" hidden="1" x14ac:dyDescent="0.25">
      <c r="A4723" s="5" t="str">
        <f t="shared" si="1985"/>
        <v>44110UST10Y</v>
      </c>
      <c r="B4723" s="6" t="s">
        <v>4</v>
      </c>
      <c r="C4723" s="6">
        <v>0.79</v>
      </c>
      <c r="D4723" s="6">
        <v>0.61</v>
      </c>
      <c r="E4723" s="6">
        <v>0.78</v>
      </c>
      <c r="F4723" t="str">
        <f t="shared" si="1986"/>
        <v>TUE</v>
      </c>
      <c r="G4723" s="3">
        <f>DATE(2020,10,6)</f>
        <v>44110</v>
      </c>
      <c r="H4723" s="2">
        <f t="shared" ca="1" si="1988"/>
        <v>143</v>
      </c>
      <c r="I4723" t="str">
        <f t="shared" si="1989"/>
        <v>UST10Y</v>
      </c>
      <c r="J4723">
        <f t="shared" si="1990"/>
        <v>0.79</v>
      </c>
      <c r="K4723">
        <f t="shared" si="1991"/>
        <v>0.61</v>
      </c>
      <c r="L4723">
        <f t="shared" si="1992"/>
        <v>0.7</v>
      </c>
      <c r="M4723">
        <f t="shared" si="1993"/>
        <v>9.0000000000000593E-2</v>
      </c>
      <c r="N4723">
        <f t="shared" si="1982"/>
        <v>0.18000000000000005</v>
      </c>
      <c r="O4723">
        <f t="shared" si="1994"/>
        <v>0.78</v>
      </c>
      <c r="P4723">
        <f t="shared" si="1995"/>
        <v>0.88888888888888384</v>
      </c>
      <c r="Q4723" t="str">
        <f t="shared" si="1983"/>
        <v>1.28% | 21.79%</v>
      </c>
      <c r="R4723" t="str">
        <f t="shared" si="1996"/>
        <v>BEARISH</v>
      </c>
      <c r="S4723">
        <f t="shared" si="1984"/>
        <v>-1</v>
      </c>
    </row>
    <row r="4724" spans="1:19" hidden="1" x14ac:dyDescent="0.25">
      <c r="A4724" s="5" t="str">
        <f t="shared" si="1985"/>
        <v>44110UST2Y</v>
      </c>
      <c r="B4724" s="6" t="s">
        <v>5</v>
      </c>
      <c r="C4724" s="6">
        <v>0.15</v>
      </c>
      <c r="D4724" s="6">
        <v>0.11</v>
      </c>
      <c r="E4724" s="6">
        <v>0.14000000000000001</v>
      </c>
      <c r="F4724" t="str">
        <f t="shared" ref="F4724:F4754" si="1997">UPPER(TEXT(G4724,"ddd"))</f>
        <v>TUE</v>
      </c>
      <c r="G4724" s="3">
        <f t="shared" ref="G4724:G4753" si="1998">DATE(2020,10,6)</f>
        <v>44110</v>
      </c>
      <c r="H4724" s="2">
        <f t="shared" ref="H4724:H4754" ca="1" si="1999">TODAY()-G4724</f>
        <v>143</v>
      </c>
      <c r="I4724" t="str">
        <f t="shared" ref="I4724:I4754" si="2000">TRIM(LEFT(B4724,FIND(" ",B4724,1)))</f>
        <v>UST2Y</v>
      </c>
      <c r="J4724">
        <f t="shared" ref="J4724:J4754" si="2001">C4724</f>
        <v>0.15</v>
      </c>
      <c r="K4724">
        <f t="shared" ref="K4724:K4754" si="2002">D4724</f>
        <v>0.11</v>
      </c>
      <c r="L4724">
        <f t="shared" ref="L4724:L4754" si="2003">AVERAGE(J4724:K4724)</f>
        <v>0.13</v>
      </c>
      <c r="M4724">
        <f t="shared" ref="M4724:M4754" si="2004">_xlfn.STDEV.P(J4724:K4724)</f>
        <v>1.9999999999999938E-2</v>
      </c>
      <c r="N4724">
        <f t="shared" si="1982"/>
        <v>3.9999999999999994E-2</v>
      </c>
      <c r="O4724">
        <f t="shared" ref="O4724:O4754" si="2005">E4724</f>
        <v>0.14000000000000001</v>
      </c>
      <c r="P4724">
        <f t="shared" ref="P4724:P4754" si="2006">(O4724-L4724)/M4724</f>
        <v>0.500000000000002</v>
      </c>
      <c r="Q4724" t="str">
        <f t="shared" si="1983"/>
        <v>7.14% | 21.43%</v>
      </c>
      <c r="R4724" t="str">
        <f t="shared" ref="R4724:R4754" si="2007">MID(B4724,FIND("(",B4724,1)+1,FIND(")",B4724,1)-FIND("(",B4724,1)-1)</f>
        <v>BEARISH</v>
      </c>
      <c r="S4724">
        <f t="shared" si="1984"/>
        <v>-1</v>
      </c>
    </row>
    <row r="4725" spans="1:19" hidden="1" x14ac:dyDescent="0.25">
      <c r="A4725" s="5" t="str">
        <f t="shared" si="1985"/>
        <v>44110SPX</v>
      </c>
      <c r="B4725" s="6" t="s">
        <v>6</v>
      </c>
      <c r="C4725" s="6">
        <v>3218</v>
      </c>
      <c r="D4725" s="6">
        <v>3441</v>
      </c>
      <c r="E4725" s="6">
        <v>3408</v>
      </c>
      <c r="F4725" t="str">
        <f t="shared" si="1997"/>
        <v>TUE</v>
      </c>
      <c r="G4725" s="3">
        <f t="shared" si="1998"/>
        <v>44110</v>
      </c>
      <c r="H4725" s="2">
        <f t="shared" ca="1" si="1999"/>
        <v>143</v>
      </c>
      <c r="I4725" t="str">
        <f t="shared" si="2000"/>
        <v>SPX</v>
      </c>
      <c r="J4725">
        <f t="shared" si="2001"/>
        <v>3218</v>
      </c>
      <c r="K4725">
        <f t="shared" si="2002"/>
        <v>3441</v>
      </c>
      <c r="L4725">
        <f t="shared" si="2003"/>
        <v>3329.5</v>
      </c>
      <c r="M4725">
        <f t="shared" si="2004"/>
        <v>111.5</v>
      </c>
      <c r="N4725">
        <f t="shared" si="1982"/>
        <v>223</v>
      </c>
      <c r="O4725">
        <f t="shared" si="2005"/>
        <v>3408</v>
      </c>
      <c r="P4725">
        <f t="shared" si="2006"/>
        <v>0.70403587443946192</v>
      </c>
      <c r="Q4725" t="str">
        <f t="shared" si="1983"/>
        <v>5.58% | 0.97%</v>
      </c>
      <c r="R4725" t="str">
        <f t="shared" si="2007"/>
        <v>BEARISH</v>
      </c>
      <c r="S4725">
        <f t="shared" si="1984"/>
        <v>-1</v>
      </c>
    </row>
    <row r="4726" spans="1:19" hidden="1" x14ac:dyDescent="0.25">
      <c r="A4726" s="5" t="str">
        <f t="shared" si="1985"/>
        <v>44110RUT</v>
      </c>
      <c r="B4726" s="6" t="s">
        <v>7</v>
      </c>
      <c r="C4726" s="6">
        <v>1426</v>
      </c>
      <c r="D4726" s="6">
        <v>1588</v>
      </c>
      <c r="E4726" s="6">
        <v>1581</v>
      </c>
      <c r="F4726" t="str">
        <f t="shared" si="1997"/>
        <v>TUE</v>
      </c>
      <c r="G4726" s="3">
        <f t="shared" si="1998"/>
        <v>44110</v>
      </c>
      <c r="H4726" s="2">
        <f t="shared" ca="1" si="1999"/>
        <v>143</v>
      </c>
      <c r="I4726" t="str">
        <f t="shared" si="2000"/>
        <v>RUT</v>
      </c>
      <c r="J4726">
        <f t="shared" si="2001"/>
        <v>1426</v>
      </c>
      <c r="K4726">
        <f t="shared" si="2002"/>
        <v>1588</v>
      </c>
      <c r="L4726">
        <f t="shared" si="2003"/>
        <v>1507</v>
      </c>
      <c r="M4726">
        <f t="shared" si="2004"/>
        <v>81</v>
      </c>
      <c r="N4726">
        <f t="shared" si="1982"/>
        <v>162</v>
      </c>
      <c r="O4726">
        <f t="shared" si="2005"/>
        <v>1581</v>
      </c>
      <c r="P4726">
        <f t="shared" si="2006"/>
        <v>0.9135802469135802</v>
      </c>
      <c r="Q4726" t="str">
        <f t="shared" si="1983"/>
        <v>9.8% | 0.44%</v>
      </c>
      <c r="R4726" t="str">
        <f t="shared" si="2007"/>
        <v>BEARISH</v>
      </c>
      <c r="S4726">
        <f t="shared" si="1984"/>
        <v>-1</v>
      </c>
    </row>
    <row r="4727" spans="1:19" hidden="1" x14ac:dyDescent="0.25">
      <c r="A4727" s="5" t="str">
        <f t="shared" si="1985"/>
        <v>44110COMPQ</v>
      </c>
      <c r="B4727" s="6" t="s">
        <v>64</v>
      </c>
      <c r="C4727" s="6">
        <v>10560</v>
      </c>
      <c r="D4727" s="6">
        <v>11521</v>
      </c>
      <c r="E4727" s="6">
        <v>11332</v>
      </c>
      <c r="F4727" t="str">
        <f t="shared" si="1997"/>
        <v>TUE</v>
      </c>
      <c r="G4727" s="3">
        <f t="shared" si="1998"/>
        <v>44110</v>
      </c>
      <c r="H4727" s="2">
        <f t="shared" ca="1" si="1999"/>
        <v>143</v>
      </c>
      <c r="I4727" t="str">
        <f t="shared" si="2000"/>
        <v>COMPQ</v>
      </c>
      <c r="J4727">
        <f t="shared" si="2001"/>
        <v>10560</v>
      </c>
      <c r="K4727">
        <f t="shared" si="2002"/>
        <v>11521</v>
      </c>
      <c r="L4727">
        <f t="shared" si="2003"/>
        <v>11040.5</v>
      </c>
      <c r="M4727">
        <f t="shared" si="2004"/>
        <v>480.5</v>
      </c>
      <c r="N4727">
        <f t="shared" si="1982"/>
        <v>961</v>
      </c>
      <c r="O4727">
        <f t="shared" si="2005"/>
        <v>11332</v>
      </c>
      <c r="P4727">
        <f t="shared" si="2006"/>
        <v>0.60665972944849111</v>
      </c>
      <c r="Q4727" t="str">
        <f t="shared" si="1983"/>
        <v>6.81% | 1.67%</v>
      </c>
      <c r="R4727" t="str">
        <f t="shared" si="2007"/>
        <v>BEARISH</v>
      </c>
      <c r="S4727">
        <f t="shared" si="1984"/>
        <v>-1</v>
      </c>
    </row>
    <row r="4728" spans="1:19" hidden="1" x14ac:dyDescent="0.25">
      <c r="A4728" s="5" t="str">
        <f t="shared" si="1985"/>
        <v>44110XLK</v>
      </c>
      <c r="B4728" s="6" t="s">
        <v>62</v>
      </c>
      <c r="C4728" s="6">
        <v>110.02</v>
      </c>
      <c r="D4728" s="6">
        <v>119.93</v>
      </c>
      <c r="E4728" s="6">
        <v>117.46</v>
      </c>
      <c r="F4728" t="str">
        <f t="shared" si="1997"/>
        <v>TUE</v>
      </c>
      <c r="G4728" s="3">
        <f t="shared" si="1998"/>
        <v>44110</v>
      </c>
      <c r="H4728" s="2">
        <f t="shared" ca="1" si="1999"/>
        <v>143</v>
      </c>
      <c r="I4728" t="str">
        <f t="shared" si="2000"/>
        <v>XLK</v>
      </c>
      <c r="J4728">
        <f t="shared" si="2001"/>
        <v>110.02</v>
      </c>
      <c r="K4728">
        <f t="shared" si="2002"/>
        <v>119.93</v>
      </c>
      <c r="L4728">
        <f t="shared" si="2003"/>
        <v>114.97499999999999</v>
      </c>
      <c r="M4728">
        <f t="shared" si="2004"/>
        <v>4.9550000000000054</v>
      </c>
      <c r="N4728">
        <f t="shared" si="1982"/>
        <v>9.9100000000000108</v>
      </c>
      <c r="O4728">
        <f t="shared" si="2005"/>
        <v>117.46</v>
      </c>
      <c r="P4728">
        <f t="shared" si="2006"/>
        <v>0.50151362260343024</v>
      </c>
      <c r="Q4728" t="str">
        <f t="shared" si="1983"/>
        <v>6.33% | 2.1%</v>
      </c>
      <c r="R4728" t="str">
        <f t="shared" si="2007"/>
        <v>NEUTRAL</v>
      </c>
      <c r="S4728">
        <f t="shared" si="1984"/>
        <v>0</v>
      </c>
    </row>
    <row r="4729" spans="1:19" hidden="1" x14ac:dyDescent="0.25">
      <c r="A4729" s="5" t="str">
        <f t="shared" si="1985"/>
        <v>44110XLRE</v>
      </c>
      <c r="B4729" s="6" t="s">
        <v>97</v>
      </c>
      <c r="C4729" s="6">
        <v>33.6</v>
      </c>
      <c r="D4729" s="6">
        <v>37.159999999999997</v>
      </c>
      <c r="E4729" s="6">
        <v>36.630000000000003</v>
      </c>
      <c r="F4729" t="str">
        <f t="shared" si="1997"/>
        <v>TUE</v>
      </c>
      <c r="G4729" s="3">
        <f t="shared" si="1998"/>
        <v>44110</v>
      </c>
      <c r="H4729" s="2">
        <f t="shared" ca="1" si="1999"/>
        <v>143</v>
      </c>
      <c r="I4729" t="str">
        <f t="shared" si="2000"/>
        <v>XLRE</v>
      </c>
      <c r="J4729">
        <f t="shared" si="2001"/>
        <v>33.6</v>
      </c>
      <c r="K4729">
        <f t="shared" si="2002"/>
        <v>37.159999999999997</v>
      </c>
      <c r="L4729">
        <f t="shared" si="2003"/>
        <v>35.379999999999995</v>
      </c>
      <c r="M4729">
        <f t="shared" si="2004"/>
        <v>1.7799999999999976</v>
      </c>
      <c r="N4729">
        <f t="shared" si="1982"/>
        <v>3.5599999999999952</v>
      </c>
      <c r="O4729">
        <f t="shared" si="2005"/>
        <v>36.630000000000003</v>
      </c>
      <c r="P4729">
        <f t="shared" si="2006"/>
        <v>0.70224719101124089</v>
      </c>
      <c r="Q4729" t="str">
        <f t="shared" si="1983"/>
        <v>8.27% | 1.45%</v>
      </c>
      <c r="R4729" t="str">
        <f t="shared" si="2007"/>
        <v>BULLISH</v>
      </c>
      <c r="S4729">
        <f t="shared" si="1984"/>
        <v>1</v>
      </c>
    </row>
    <row r="4730" spans="1:19" hidden="1" x14ac:dyDescent="0.25">
      <c r="A4730" s="5" t="str">
        <f t="shared" si="1985"/>
        <v>44110XLU</v>
      </c>
      <c r="B4730" s="6" t="s">
        <v>52</v>
      </c>
      <c r="C4730" s="6">
        <v>56.66</v>
      </c>
      <c r="D4730" s="6">
        <v>61.96</v>
      </c>
      <c r="E4730" s="6">
        <v>61.45</v>
      </c>
      <c r="F4730" t="str">
        <f t="shared" si="1997"/>
        <v>TUE</v>
      </c>
      <c r="G4730" s="3">
        <f t="shared" si="1998"/>
        <v>44110</v>
      </c>
      <c r="H4730" s="2">
        <f t="shared" ca="1" si="1999"/>
        <v>143</v>
      </c>
      <c r="I4730" t="str">
        <f t="shared" si="2000"/>
        <v>XLU</v>
      </c>
      <c r="J4730">
        <f t="shared" si="2001"/>
        <v>56.66</v>
      </c>
      <c r="K4730">
        <f t="shared" si="2002"/>
        <v>61.96</v>
      </c>
      <c r="L4730">
        <f t="shared" si="2003"/>
        <v>59.31</v>
      </c>
      <c r="M4730">
        <f t="shared" si="2004"/>
        <v>2.6500000000000021</v>
      </c>
      <c r="N4730">
        <f t="shared" si="1982"/>
        <v>5.3000000000000043</v>
      </c>
      <c r="O4730">
        <f t="shared" si="2005"/>
        <v>61.45</v>
      </c>
      <c r="P4730">
        <f t="shared" si="2006"/>
        <v>0.80754716981132035</v>
      </c>
      <c r="Q4730" t="str">
        <f t="shared" si="1983"/>
        <v>7.79% | 0.83%</v>
      </c>
      <c r="R4730" t="str">
        <f t="shared" si="2007"/>
        <v>BULLISH</v>
      </c>
      <c r="S4730">
        <f t="shared" si="1984"/>
        <v>1</v>
      </c>
    </row>
    <row r="4731" spans="1:19" hidden="1" x14ac:dyDescent="0.25">
      <c r="A4731" s="5" t="str">
        <f t="shared" si="1985"/>
        <v>44110XLF</v>
      </c>
      <c r="B4731" s="6" t="s">
        <v>12</v>
      </c>
      <c r="C4731" s="6">
        <v>22.86</v>
      </c>
      <c r="D4731" s="6">
        <v>24.88</v>
      </c>
      <c r="E4731" s="6">
        <v>24.7</v>
      </c>
      <c r="F4731" t="str">
        <f t="shared" si="1997"/>
        <v>TUE</v>
      </c>
      <c r="G4731" s="3">
        <f t="shared" si="1998"/>
        <v>44110</v>
      </c>
      <c r="H4731" s="2">
        <f t="shared" ca="1" si="1999"/>
        <v>143</v>
      </c>
      <c r="I4731" t="str">
        <f t="shared" si="2000"/>
        <v>XLF</v>
      </c>
      <c r="J4731">
        <f t="shared" si="2001"/>
        <v>22.86</v>
      </c>
      <c r="K4731">
        <f t="shared" si="2002"/>
        <v>24.88</v>
      </c>
      <c r="L4731">
        <f t="shared" si="2003"/>
        <v>23.869999999999997</v>
      </c>
      <c r="M4731">
        <f t="shared" si="2004"/>
        <v>1.0099999999999998</v>
      </c>
      <c r="N4731">
        <f t="shared" si="1982"/>
        <v>2.0199999999999996</v>
      </c>
      <c r="O4731">
        <f t="shared" si="2005"/>
        <v>24.7</v>
      </c>
      <c r="P4731">
        <f t="shared" si="2006"/>
        <v>0.82178217821782373</v>
      </c>
      <c r="Q4731" t="str">
        <f t="shared" si="1983"/>
        <v>7.45% | 0.73%</v>
      </c>
      <c r="R4731" t="str">
        <f t="shared" si="2007"/>
        <v>BEARISH</v>
      </c>
      <c r="S4731">
        <f t="shared" si="1984"/>
        <v>-1</v>
      </c>
    </row>
    <row r="4732" spans="1:19" hidden="1" x14ac:dyDescent="0.25">
      <c r="A4732" s="5" t="str">
        <f t="shared" si="1985"/>
        <v>44110SSEC</v>
      </c>
      <c r="B4732" s="6" t="s">
        <v>104</v>
      </c>
      <c r="C4732" s="6">
        <v>3168</v>
      </c>
      <c r="D4732" s="6">
        <v>3348</v>
      </c>
      <c r="E4732" s="6">
        <v>3218</v>
      </c>
      <c r="F4732" t="str">
        <f t="shared" si="1997"/>
        <v>TUE</v>
      </c>
      <c r="G4732" s="3">
        <f t="shared" si="1998"/>
        <v>44110</v>
      </c>
      <c r="H4732" s="2">
        <f t="shared" ca="1" si="1999"/>
        <v>143</v>
      </c>
      <c r="I4732" t="str">
        <f t="shared" si="2000"/>
        <v>SSEC</v>
      </c>
      <c r="J4732">
        <f t="shared" si="2001"/>
        <v>3168</v>
      </c>
      <c r="K4732">
        <f t="shared" si="2002"/>
        <v>3348</v>
      </c>
      <c r="L4732">
        <f t="shared" si="2003"/>
        <v>3258</v>
      </c>
      <c r="M4732">
        <f t="shared" si="2004"/>
        <v>90</v>
      </c>
      <c r="N4732">
        <f t="shared" si="1982"/>
        <v>180</v>
      </c>
      <c r="O4732">
        <f t="shared" si="2005"/>
        <v>3218</v>
      </c>
      <c r="P4732">
        <f t="shared" si="2006"/>
        <v>-0.44444444444444442</v>
      </c>
      <c r="Q4732" t="str">
        <f t="shared" si="1983"/>
        <v>1.55% | 4.04%</v>
      </c>
      <c r="R4732" t="str">
        <f t="shared" si="2007"/>
        <v>BULLISH</v>
      </c>
      <c r="S4732">
        <f t="shared" si="1984"/>
        <v>1</v>
      </c>
    </row>
    <row r="4733" spans="1:19" hidden="1" x14ac:dyDescent="0.25">
      <c r="A4733" s="5" t="str">
        <f t="shared" si="1985"/>
        <v>44110NIKK</v>
      </c>
      <c r="B4733" s="6" t="s">
        <v>15</v>
      </c>
      <c r="C4733" s="6">
        <v>22924</v>
      </c>
      <c r="D4733" s="6">
        <v>23600</v>
      </c>
      <c r="E4733" s="6">
        <v>23433</v>
      </c>
      <c r="F4733" t="str">
        <f t="shared" si="1997"/>
        <v>TUE</v>
      </c>
      <c r="G4733" s="3">
        <f t="shared" si="1998"/>
        <v>44110</v>
      </c>
      <c r="H4733" s="2">
        <f t="shared" ca="1" si="1999"/>
        <v>143</v>
      </c>
      <c r="I4733" t="str">
        <f t="shared" si="2000"/>
        <v>NIKK</v>
      </c>
      <c r="J4733">
        <f t="shared" si="2001"/>
        <v>22924</v>
      </c>
      <c r="K4733">
        <f t="shared" si="2002"/>
        <v>23600</v>
      </c>
      <c r="L4733">
        <f t="shared" si="2003"/>
        <v>23262</v>
      </c>
      <c r="M4733">
        <f t="shared" si="2004"/>
        <v>338</v>
      </c>
      <c r="N4733">
        <f t="shared" si="1982"/>
        <v>676</v>
      </c>
      <c r="O4733">
        <f t="shared" si="2005"/>
        <v>23433</v>
      </c>
      <c r="P4733">
        <f t="shared" si="2006"/>
        <v>0.50591715976331364</v>
      </c>
      <c r="Q4733" t="str">
        <f t="shared" si="1983"/>
        <v>2.17% | 0.71%</v>
      </c>
      <c r="R4733" t="str">
        <f t="shared" si="2007"/>
        <v>BEARISH</v>
      </c>
      <c r="S4733">
        <f t="shared" si="1984"/>
        <v>-1</v>
      </c>
    </row>
    <row r="4734" spans="1:19" hidden="1" x14ac:dyDescent="0.25">
      <c r="A4734" s="5" t="str">
        <f t="shared" si="1985"/>
        <v>44110DAX</v>
      </c>
      <c r="B4734" s="6" t="s">
        <v>16</v>
      </c>
      <c r="C4734" s="6">
        <v>12433</v>
      </c>
      <c r="D4734" s="6">
        <v>12897</v>
      </c>
      <c r="E4734" s="6">
        <v>12828</v>
      </c>
      <c r="F4734" t="str">
        <f t="shared" si="1997"/>
        <v>TUE</v>
      </c>
      <c r="G4734" s="3">
        <f t="shared" si="1998"/>
        <v>44110</v>
      </c>
      <c r="H4734" s="2">
        <f t="shared" ca="1" si="1999"/>
        <v>143</v>
      </c>
      <c r="I4734" t="str">
        <f t="shared" si="2000"/>
        <v>DAX</v>
      </c>
      <c r="J4734">
        <f t="shared" si="2001"/>
        <v>12433</v>
      </c>
      <c r="K4734">
        <f t="shared" si="2002"/>
        <v>12897</v>
      </c>
      <c r="L4734">
        <f t="shared" si="2003"/>
        <v>12665</v>
      </c>
      <c r="M4734">
        <f t="shared" si="2004"/>
        <v>232</v>
      </c>
      <c r="N4734">
        <f t="shared" si="1982"/>
        <v>464</v>
      </c>
      <c r="O4734">
        <f t="shared" si="2005"/>
        <v>12828</v>
      </c>
      <c r="P4734">
        <f t="shared" si="2006"/>
        <v>0.70258620689655171</v>
      </c>
      <c r="Q4734" t="str">
        <f t="shared" si="1983"/>
        <v>3.08% | 0.54%</v>
      </c>
      <c r="R4734" t="str">
        <f t="shared" si="2007"/>
        <v>BEARISH</v>
      </c>
      <c r="S4734">
        <f t="shared" si="1984"/>
        <v>-1</v>
      </c>
    </row>
    <row r="4735" spans="1:19" hidden="1" x14ac:dyDescent="0.25">
      <c r="A4735" s="5" t="str">
        <f t="shared" si="1985"/>
        <v>44110VIX</v>
      </c>
      <c r="B4735" s="6" t="s">
        <v>17</v>
      </c>
      <c r="C4735" s="6">
        <v>25.11</v>
      </c>
      <c r="D4735" s="6">
        <v>30.05</v>
      </c>
      <c r="E4735" s="6">
        <v>27.96</v>
      </c>
      <c r="F4735" t="str">
        <f t="shared" si="1997"/>
        <v>TUE</v>
      </c>
      <c r="G4735" s="3">
        <f t="shared" si="1998"/>
        <v>44110</v>
      </c>
      <c r="H4735" s="2">
        <f t="shared" ca="1" si="1999"/>
        <v>143</v>
      </c>
      <c r="I4735" t="str">
        <f t="shared" si="2000"/>
        <v>VIX</v>
      </c>
      <c r="J4735">
        <f t="shared" si="2001"/>
        <v>25.11</v>
      </c>
      <c r="K4735">
        <f t="shared" si="2002"/>
        <v>30.05</v>
      </c>
      <c r="L4735">
        <f t="shared" si="2003"/>
        <v>27.58</v>
      </c>
      <c r="M4735">
        <f t="shared" si="2004"/>
        <v>2.4700000000000006</v>
      </c>
      <c r="N4735">
        <f t="shared" si="1982"/>
        <v>4.9400000000000013</v>
      </c>
      <c r="O4735">
        <f t="shared" si="2005"/>
        <v>27.96</v>
      </c>
      <c r="P4735">
        <f t="shared" si="2006"/>
        <v>0.15384615384615485</v>
      </c>
      <c r="Q4735" t="str">
        <f t="shared" si="1983"/>
        <v>10.19% | 7.47%</v>
      </c>
      <c r="R4735" t="str">
        <f t="shared" si="2007"/>
        <v>BULLISH</v>
      </c>
      <c r="S4735">
        <f t="shared" si="1984"/>
        <v>1</v>
      </c>
    </row>
    <row r="4736" spans="1:19" hidden="1" x14ac:dyDescent="0.25">
      <c r="A4736" s="5" t="str">
        <f t="shared" si="1985"/>
        <v>44110USD</v>
      </c>
      <c r="B4736" s="6" t="s">
        <v>94</v>
      </c>
      <c r="C4736" s="6">
        <v>93.35</v>
      </c>
      <c r="D4736" s="6">
        <v>94.9</v>
      </c>
      <c r="E4736" s="6">
        <v>93.54</v>
      </c>
      <c r="F4736" t="str">
        <f t="shared" si="1997"/>
        <v>TUE</v>
      </c>
      <c r="G4736" s="3">
        <f t="shared" si="1998"/>
        <v>44110</v>
      </c>
      <c r="H4736" s="2">
        <f t="shared" ca="1" si="1999"/>
        <v>143</v>
      </c>
      <c r="I4736" t="str">
        <f t="shared" si="2000"/>
        <v>USD</v>
      </c>
      <c r="J4736">
        <f t="shared" si="2001"/>
        <v>93.35</v>
      </c>
      <c r="K4736">
        <f t="shared" si="2002"/>
        <v>94.9</v>
      </c>
      <c r="L4736">
        <f t="shared" si="2003"/>
        <v>94.125</v>
      </c>
      <c r="M4736">
        <f t="shared" si="2004"/>
        <v>0.77500000000000568</v>
      </c>
      <c r="N4736">
        <f t="shared" si="1982"/>
        <v>1.5500000000000114</v>
      </c>
      <c r="O4736">
        <f t="shared" si="2005"/>
        <v>93.54</v>
      </c>
      <c r="P4736">
        <f t="shared" si="2006"/>
        <v>-0.75483870967740574</v>
      </c>
      <c r="Q4736" t="str">
        <f t="shared" si="1983"/>
        <v>0.2% | 1.45%</v>
      </c>
      <c r="R4736" t="str">
        <f t="shared" si="2007"/>
        <v>BEARISH</v>
      </c>
      <c r="S4736">
        <f t="shared" si="1984"/>
        <v>-1</v>
      </c>
    </row>
    <row r="4737" spans="1:19" hidden="1" x14ac:dyDescent="0.25">
      <c r="A4737" s="5" t="str">
        <f t="shared" si="1985"/>
        <v>44110EUR/USD</v>
      </c>
      <c r="B4737" s="6" t="s">
        <v>99</v>
      </c>
      <c r="C4737" s="6">
        <v>1.1599999999999999</v>
      </c>
      <c r="D4737" s="6">
        <v>1.18</v>
      </c>
      <c r="E4737" s="6">
        <v>1.17</v>
      </c>
      <c r="F4737" t="str">
        <f t="shared" si="1997"/>
        <v>TUE</v>
      </c>
      <c r="G4737" s="3">
        <f t="shared" si="1998"/>
        <v>44110</v>
      </c>
      <c r="H4737" s="2">
        <f t="shared" ca="1" si="1999"/>
        <v>143</v>
      </c>
      <c r="I4737" t="str">
        <f t="shared" si="2000"/>
        <v>EUR/USD</v>
      </c>
      <c r="J4737">
        <f t="shared" si="2001"/>
        <v>1.1599999999999999</v>
      </c>
      <c r="K4737">
        <f t="shared" si="2002"/>
        <v>1.18</v>
      </c>
      <c r="L4737">
        <f t="shared" si="2003"/>
        <v>1.17</v>
      </c>
      <c r="M4737">
        <f t="shared" si="2004"/>
        <v>1.0000000000000009E-2</v>
      </c>
      <c r="N4737">
        <f t="shared" si="1982"/>
        <v>2.0000000000000018E-2</v>
      </c>
      <c r="O4737">
        <f t="shared" si="2005"/>
        <v>1.17</v>
      </c>
      <c r="P4737">
        <f t="shared" si="2006"/>
        <v>0</v>
      </c>
      <c r="Q4737" t="str">
        <f t="shared" si="1983"/>
        <v>0.85% | 0.85%</v>
      </c>
      <c r="R4737" t="str">
        <f t="shared" si="2007"/>
        <v>BULLISH</v>
      </c>
      <c r="S4737">
        <f t="shared" si="1984"/>
        <v>1</v>
      </c>
    </row>
    <row r="4738" spans="1:19" hidden="1" x14ac:dyDescent="0.25">
      <c r="A4738" s="5" t="str">
        <f t="shared" si="1985"/>
        <v>44110USD/JPY</v>
      </c>
      <c r="B4738" s="6" t="s">
        <v>20</v>
      </c>
      <c r="C4738" s="6">
        <v>104.8</v>
      </c>
      <c r="D4738" s="6">
        <v>105.98</v>
      </c>
      <c r="E4738" s="6">
        <v>105.75</v>
      </c>
      <c r="F4738" t="str">
        <f t="shared" si="1997"/>
        <v>TUE</v>
      </c>
      <c r="G4738" s="3">
        <f t="shared" si="1998"/>
        <v>44110</v>
      </c>
      <c r="H4738" s="2">
        <f t="shared" ca="1" si="1999"/>
        <v>143</v>
      </c>
      <c r="I4738" t="str">
        <f t="shared" si="2000"/>
        <v>USD/JPY</v>
      </c>
      <c r="J4738">
        <f t="shared" si="2001"/>
        <v>104.8</v>
      </c>
      <c r="K4738">
        <f t="shared" si="2002"/>
        <v>105.98</v>
      </c>
      <c r="L4738">
        <f t="shared" si="2003"/>
        <v>105.39</v>
      </c>
      <c r="M4738">
        <f t="shared" si="2004"/>
        <v>0.59000000000000341</v>
      </c>
      <c r="N4738">
        <f t="shared" si="1982"/>
        <v>1.1800000000000068</v>
      </c>
      <c r="O4738">
        <f t="shared" si="2005"/>
        <v>105.75</v>
      </c>
      <c r="P4738">
        <f t="shared" si="2006"/>
        <v>0.61016949152541922</v>
      </c>
      <c r="Q4738" t="str">
        <f t="shared" si="1983"/>
        <v>0.9% | 0.22%</v>
      </c>
      <c r="R4738" t="str">
        <f t="shared" si="2007"/>
        <v>BEARISH</v>
      </c>
      <c r="S4738">
        <f t="shared" si="1984"/>
        <v>-1</v>
      </c>
    </row>
    <row r="4739" spans="1:19" hidden="1" x14ac:dyDescent="0.25">
      <c r="A4739" s="5" t="str">
        <f t="shared" si="1985"/>
        <v>44110GBP/USD</v>
      </c>
      <c r="B4739" s="6" t="s">
        <v>79</v>
      </c>
      <c r="C4739" s="6">
        <v>1.26</v>
      </c>
      <c r="D4739" s="6">
        <v>1.3</v>
      </c>
      <c r="E4739" s="6">
        <v>1.29</v>
      </c>
      <c r="F4739" t="str">
        <f t="shared" si="1997"/>
        <v>TUE</v>
      </c>
      <c r="G4739" s="3">
        <f t="shared" si="1998"/>
        <v>44110</v>
      </c>
      <c r="H4739" s="2">
        <f t="shared" ca="1" si="1999"/>
        <v>143</v>
      </c>
      <c r="I4739" t="str">
        <f t="shared" si="2000"/>
        <v>GBP/USD</v>
      </c>
      <c r="J4739">
        <f t="shared" si="2001"/>
        <v>1.26</v>
      </c>
      <c r="K4739">
        <f t="shared" si="2002"/>
        <v>1.3</v>
      </c>
      <c r="L4739">
        <f t="shared" si="2003"/>
        <v>1.28</v>
      </c>
      <c r="M4739">
        <f t="shared" si="2004"/>
        <v>2.0000000000000018E-2</v>
      </c>
      <c r="N4739">
        <f t="shared" ref="N4739:N4802" si="2008">ABS(K4739-J4739)</f>
        <v>4.0000000000000036E-2</v>
      </c>
      <c r="O4739">
        <f t="shared" si="2005"/>
        <v>1.29</v>
      </c>
      <c r="P4739">
        <f t="shared" si="2006"/>
        <v>0.5</v>
      </c>
      <c r="Q4739" t="str">
        <f t="shared" ref="Q4739:Q4802" si="2009">ROUND(ABS(100*(O4739-J4739)/O4739),2)&amp;"% | "&amp;ROUND(ABS(100*(K4739-O4739)/O4739),2)&amp;"%"</f>
        <v>2.33% | 0.78%</v>
      </c>
      <c r="R4739" t="str">
        <f t="shared" si="2007"/>
        <v>NEUTRAL</v>
      </c>
      <c r="S4739">
        <f t="shared" ref="S4739:S4802" si="2010">IF(R4739="BEARISH",-1,IF(R4739="NEUTRAL",0,IF(R4739="BULLISH",1,99)))</f>
        <v>0</v>
      </c>
    </row>
    <row r="4740" spans="1:19" hidden="1" x14ac:dyDescent="0.25">
      <c r="A4740" s="5" t="str">
        <f t="shared" si="1985"/>
        <v>44110USD/CHF</v>
      </c>
      <c r="B4740" s="6" t="s">
        <v>76</v>
      </c>
      <c r="C4740" s="6">
        <v>0.9</v>
      </c>
      <c r="D4740" s="6">
        <v>0.93</v>
      </c>
      <c r="E4740" s="6">
        <v>0.91</v>
      </c>
      <c r="F4740" t="str">
        <f t="shared" si="1997"/>
        <v>TUE</v>
      </c>
      <c r="G4740" s="3">
        <f t="shared" si="1998"/>
        <v>44110</v>
      </c>
      <c r="H4740" s="2">
        <f t="shared" ca="1" si="1999"/>
        <v>143</v>
      </c>
      <c r="I4740" t="str">
        <f t="shared" si="2000"/>
        <v>USD/CHF</v>
      </c>
      <c r="J4740">
        <f t="shared" si="2001"/>
        <v>0.9</v>
      </c>
      <c r="K4740">
        <f t="shared" si="2002"/>
        <v>0.93</v>
      </c>
      <c r="L4740">
        <f t="shared" si="2003"/>
        <v>0.91500000000000004</v>
      </c>
      <c r="M4740">
        <f t="shared" si="2004"/>
        <v>1.5000000000000013E-2</v>
      </c>
      <c r="N4740">
        <f t="shared" si="2008"/>
        <v>3.0000000000000027E-2</v>
      </c>
      <c r="O4740">
        <f t="shared" si="2005"/>
        <v>0.91</v>
      </c>
      <c r="P4740">
        <f t="shared" si="2006"/>
        <v>-0.33333333333333331</v>
      </c>
      <c r="Q4740" t="str">
        <f t="shared" si="2009"/>
        <v>1.1% | 2.2%</v>
      </c>
      <c r="R4740" t="str">
        <f t="shared" si="2007"/>
        <v>BEARISH</v>
      </c>
      <c r="S4740">
        <f t="shared" si="2010"/>
        <v>-1</v>
      </c>
    </row>
    <row r="4741" spans="1:19" hidden="1" x14ac:dyDescent="0.25">
      <c r="A4741" s="5" t="str">
        <f t="shared" si="1985"/>
        <v>44110WTIC</v>
      </c>
      <c r="B4741" s="6" t="s">
        <v>23</v>
      </c>
      <c r="C4741" s="6">
        <v>37.32</v>
      </c>
      <c r="D4741" s="6">
        <v>39.96</v>
      </c>
      <c r="E4741" s="6">
        <v>39.22</v>
      </c>
      <c r="F4741" t="str">
        <f t="shared" si="1997"/>
        <v>TUE</v>
      </c>
      <c r="G4741" s="3">
        <f t="shared" si="1998"/>
        <v>44110</v>
      </c>
      <c r="H4741" s="2">
        <f t="shared" ca="1" si="1999"/>
        <v>143</v>
      </c>
      <c r="I4741" t="str">
        <f t="shared" si="2000"/>
        <v>WTIC</v>
      </c>
      <c r="J4741">
        <f t="shared" si="2001"/>
        <v>37.32</v>
      </c>
      <c r="K4741">
        <f t="shared" si="2002"/>
        <v>39.96</v>
      </c>
      <c r="L4741">
        <f t="shared" si="2003"/>
        <v>38.64</v>
      </c>
      <c r="M4741">
        <f t="shared" si="2004"/>
        <v>1.3200000000000003</v>
      </c>
      <c r="N4741">
        <f t="shared" si="2008"/>
        <v>2.6400000000000006</v>
      </c>
      <c r="O4741">
        <f t="shared" si="2005"/>
        <v>39.22</v>
      </c>
      <c r="P4741">
        <f t="shared" si="2006"/>
        <v>0.439393939393938</v>
      </c>
      <c r="Q4741" t="str">
        <f t="shared" si="2009"/>
        <v>4.84% | 1.89%</v>
      </c>
      <c r="R4741" t="str">
        <f t="shared" si="2007"/>
        <v>BEARISH</v>
      </c>
      <c r="S4741">
        <f t="shared" si="2010"/>
        <v>-1</v>
      </c>
    </row>
    <row r="4742" spans="1:19" hidden="1" x14ac:dyDescent="0.25">
      <c r="A4742" s="5" t="str">
        <f t="shared" ref="A4742:A4805" si="2011">G4742&amp;I4742</f>
        <v>44110NATGAS</v>
      </c>
      <c r="B4742" s="6" t="s">
        <v>89</v>
      </c>
      <c r="C4742" s="6">
        <v>2.2400000000000002</v>
      </c>
      <c r="D4742" s="6">
        <v>2.96</v>
      </c>
      <c r="E4742" s="6">
        <v>2.62</v>
      </c>
      <c r="F4742" t="str">
        <f t="shared" si="1997"/>
        <v>TUE</v>
      </c>
      <c r="G4742" s="3">
        <f t="shared" si="1998"/>
        <v>44110</v>
      </c>
      <c r="H4742" s="2">
        <f t="shared" ca="1" si="1999"/>
        <v>143</v>
      </c>
      <c r="I4742" t="str">
        <f t="shared" si="2000"/>
        <v>NATGAS</v>
      </c>
      <c r="J4742">
        <f t="shared" si="2001"/>
        <v>2.2400000000000002</v>
      </c>
      <c r="K4742">
        <f t="shared" si="2002"/>
        <v>2.96</v>
      </c>
      <c r="L4742">
        <f t="shared" si="2003"/>
        <v>2.6</v>
      </c>
      <c r="M4742">
        <f t="shared" si="2004"/>
        <v>0.35999999999999865</v>
      </c>
      <c r="N4742">
        <f t="shared" si="2008"/>
        <v>0.71999999999999975</v>
      </c>
      <c r="O4742">
        <f t="shared" si="2005"/>
        <v>2.62</v>
      </c>
      <c r="P4742">
        <f t="shared" si="2006"/>
        <v>5.5555555555555809E-2</v>
      </c>
      <c r="Q4742" t="str">
        <f t="shared" si="2009"/>
        <v>14.5% | 12.98%</v>
      </c>
      <c r="R4742" t="str">
        <f t="shared" si="2007"/>
        <v>BULLISH</v>
      </c>
      <c r="S4742">
        <f t="shared" si="2010"/>
        <v>1</v>
      </c>
    </row>
    <row r="4743" spans="1:19" hidden="1" x14ac:dyDescent="0.25">
      <c r="A4743" s="5" t="str">
        <f t="shared" si="2011"/>
        <v>44110GOLD</v>
      </c>
      <c r="B4743" s="6" t="s">
        <v>25</v>
      </c>
      <c r="C4743" s="6">
        <v>1851</v>
      </c>
      <c r="D4743" s="6">
        <v>1933</v>
      </c>
      <c r="E4743" s="6">
        <v>1920</v>
      </c>
      <c r="F4743" t="str">
        <f t="shared" si="1997"/>
        <v>TUE</v>
      </c>
      <c r="G4743" s="3">
        <f t="shared" si="1998"/>
        <v>44110</v>
      </c>
      <c r="H4743" s="2">
        <f t="shared" ca="1" si="1999"/>
        <v>143</v>
      </c>
      <c r="I4743" t="str">
        <f t="shared" si="2000"/>
        <v>GOLD</v>
      </c>
      <c r="J4743">
        <f t="shared" si="2001"/>
        <v>1851</v>
      </c>
      <c r="K4743">
        <f t="shared" si="2002"/>
        <v>1933</v>
      </c>
      <c r="L4743">
        <f t="shared" si="2003"/>
        <v>1892</v>
      </c>
      <c r="M4743">
        <f t="shared" si="2004"/>
        <v>41</v>
      </c>
      <c r="N4743">
        <f t="shared" si="2008"/>
        <v>82</v>
      </c>
      <c r="O4743">
        <f t="shared" si="2005"/>
        <v>1920</v>
      </c>
      <c r="P4743">
        <f t="shared" si="2006"/>
        <v>0.68292682926829273</v>
      </c>
      <c r="Q4743" t="str">
        <f t="shared" si="2009"/>
        <v>3.59% | 0.68%</v>
      </c>
      <c r="R4743" t="str">
        <f t="shared" si="2007"/>
        <v>BULLISH</v>
      </c>
      <c r="S4743">
        <f t="shared" si="2010"/>
        <v>1</v>
      </c>
    </row>
    <row r="4744" spans="1:19" hidden="1" x14ac:dyDescent="0.25">
      <c r="A4744" s="5" t="str">
        <f t="shared" si="2011"/>
        <v>44110SILVER</v>
      </c>
      <c r="B4744" s="6" t="s">
        <v>234</v>
      </c>
      <c r="C4744" s="6">
        <v>22.46</v>
      </c>
      <c r="D4744" s="6">
        <v>24.95</v>
      </c>
      <c r="E4744" s="6">
        <v>24.56</v>
      </c>
      <c r="F4744" t="str">
        <f t="shared" si="1997"/>
        <v>TUE</v>
      </c>
      <c r="G4744" s="3">
        <f t="shared" si="1998"/>
        <v>44110</v>
      </c>
      <c r="H4744" s="2">
        <f t="shared" ca="1" si="1999"/>
        <v>143</v>
      </c>
      <c r="I4744" t="str">
        <f t="shared" si="2000"/>
        <v>SILVER</v>
      </c>
      <c r="J4744">
        <f t="shared" si="2001"/>
        <v>22.46</v>
      </c>
      <c r="K4744">
        <f t="shared" si="2002"/>
        <v>24.95</v>
      </c>
      <c r="L4744">
        <f t="shared" si="2003"/>
        <v>23.704999999999998</v>
      </c>
      <c r="M4744">
        <f t="shared" si="2004"/>
        <v>1.2449999999999992</v>
      </c>
      <c r="N4744">
        <f t="shared" si="2008"/>
        <v>2.4899999999999984</v>
      </c>
      <c r="O4744">
        <f t="shared" si="2005"/>
        <v>24.56</v>
      </c>
      <c r="P4744">
        <f t="shared" si="2006"/>
        <v>0.686746987951808</v>
      </c>
      <c r="Q4744" t="str">
        <f t="shared" si="2009"/>
        <v>8.55% | 1.59%</v>
      </c>
      <c r="R4744" t="str">
        <f t="shared" si="2007"/>
        <v>BEARISH</v>
      </c>
      <c r="S4744">
        <f t="shared" si="2010"/>
        <v>-1</v>
      </c>
    </row>
    <row r="4745" spans="1:19" hidden="1" x14ac:dyDescent="0.25">
      <c r="A4745" s="5" t="str">
        <f t="shared" si="2011"/>
        <v>44110COPPER</v>
      </c>
      <c r="B4745" s="6" t="s">
        <v>88</v>
      </c>
      <c r="C4745" s="6">
        <v>2.87</v>
      </c>
      <c r="D4745" s="6">
        <v>3.05</v>
      </c>
      <c r="E4745" s="6">
        <v>2.96</v>
      </c>
      <c r="F4745" t="str">
        <f t="shared" si="1997"/>
        <v>TUE</v>
      </c>
      <c r="G4745" s="3">
        <f t="shared" si="1998"/>
        <v>44110</v>
      </c>
      <c r="H4745" s="2">
        <f t="shared" ca="1" si="1999"/>
        <v>143</v>
      </c>
      <c r="I4745" t="str">
        <f t="shared" si="2000"/>
        <v>COPPER</v>
      </c>
      <c r="J4745">
        <f t="shared" si="2001"/>
        <v>2.87</v>
      </c>
      <c r="K4745">
        <f t="shared" si="2002"/>
        <v>3.05</v>
      </c>
      <c r="L4745">
        <f t="shared" si="2003"/>
        <v>2.96</v>
      </c>
      <c r="M4745">
        <f t="shared" si="2004"/>
        <v>8.9999999999999858E-2</v>
      </c>
      <c r="N4745">
        <f t="shared" si="2008"/>
        <v>0.17999999999999972</v>
      </c>
      <c r="O4745">
        <f t="shared" si="2005"/>
        <v>2.96</v>
      </c>
      <c r="P4745">
        <f t="shared" si="2006"/>
        <v>0</v>
      </c>
      <c r="Q4745" t="str">
        <f t="shared" si="2009"/>
        <v>3.04% | 3.04%</v>
      </c>
      <c r="R4745" t="str">
        <f t="shared" si="2007"/>
        <v>NEUTRAL</v>
      </c>
      <c r="S4745">
        <f t="shared" si="2010"/>
        <v>0</v>
      </c>
    </row>
    <row r="4746" spans="1:19" hidden="1" x14ac:dyDescent="0.25">
      <c r="A4746" s="5" t="str">
        <f t="shared" si="2011"/>
        <v>44110MSFT</v>
      </c>
      <c r="B4746" s="6" t="s">
        <v>235</v>
      </c>
      <c r="C4746" s="6">
        <v>198</v>
      </c>
      <c r="D4746" s="6">
        <v>215</v>
      </c>
      <c r="E4746" s="6">
        <v>210</v>
      </c>
      <c r="F4746" t="str">
        <f t="shared" si="1997"/>
        <v>TUE</v>
      </c>
      <c r="G4746" s="3">
        <f t="shared" si="1998"/>
        <v>44110</v>
      </c>
      <c r="H4746" s="2">
        <f t="shared" ca="1" si="1999"/>
        <v>143</v>
      </c>
      <c r="I4746" t="str">
        <f t="shared" si="2000"/>
        <v>MSFT</v>
      </c>
      <c r="J4746">
        <f t="shared" si="2001"/>
        <v>198</v>
      </c>
      <c r="K4746">
        <f t="shared" si="2002"/>
        <v>215</v>
      </c>
      <c r="L4746">
        <f t="shared" si="2003"/>
        <v>206.5</v>
      </c>
      <c r="M4746">
        <f t="shared" si="2004"/>
        <v>8.5</v>
      </c>
      <c r="N4746">
        <f t="shared" si="2008"/>
        <v>17</v>
      </c>
      <c r="O4746">
        <f t="shared" si="2005"/>
        <v>210</v>
      </c>
      <c r="P4746">
        <f t="shared" si="2006"/>
        <v>0.41176470588235292</v>
      </c>
      <c r="Q4746" t="str">
        <f t="shared" si="2009"/>
        <v>5.71% | 2.38%</v>
      </c>
      <c r="R4746" t="str">
        <f t="shared" si="2007"/>
        <v>NEUTRAL</v>
      </c>
      <c r="S4746">
        <f t="shared" si="2010"/>
        <v>0</v>
      </c>
    </row>
    <row r="4747" spans="1:19" hidden="1" x14ac:dyDescent="0.25">
      <c r="A4747" s="5" t="str">
        <f t="shared" si="2011"/>
        <v>44110AAPL</v>
      </c>
      <c r="B4747" s="6" t="s">
        <v>63</v>
      </c>
      <c r="C4747" s="6">
        <v>105</v>
      </c>
      <c r="D4747" s="6">
        <v>120</v>
      </c>
      <c r="E4747" s="6">
        <v>116</v>
      </c>
      <c r="F4747" t="str">
        <f t="shared" si="1997"/>
        <v>TUE</v>
      </c>
      <c r="G4747" s="3">
        <f t="shared" si="1998"/>
        <v>44110</v>
      </c>
      <c r="H4747" s="2">
        <f t="shared" ca="1" si="1999"/>
        <v>143</v>
      </c>
      <c r="I4747" t="str">
        <f t="shared" si="2000"/>
        <v>AAPL</v>
      </c>
      <c r="J4747">
        <f t="shared" si="2001"/>
        <v>105</v>
      </c>
      <c r="K4747">
        <f t="shared" si="2002"/>
        <v>120</v>
      </c>
      <c r="L4747">
        <f t="shared" si="2003"/>
        <v>112.5</v>
      </c>
      <c r="M4747">
        <f t="shared" si="2004"/>
        <v>7.5</v>
      </c>
      <c r="N4747">
        <f t="shared" si="2008"/>
        <v>15</v>
      </c>
      <c r="O4747">
        <f t="shared" si="2005"/>
        <v>116</v>
      </c>
      <c r="P4747">
        <f t="shared" si="2006"/>
        <v>0.46666666666666667</v>
      </c>
      <c r="Q4747" t="str">
        <f t="shared" si="2009"/>
        <v>9.48% | 3.45%</v>
      </c>
      <c r="R4747" t="str">
        <f t="shared" si="2007"/>
        <v>NEUTRAL</v>
      </c>
      <c r="S4747">
        <f t="shared" si="2010"/>
        <v>0</v>
      </c>
    </row>
    <row r="4748" spans="1:19" hidden="1" x14ac:dyDescent="0.25">
      <c r="A4748" s="5" t="str">
        <f t="shared" si="2011"/>
        <v>44110AMZN</v>
      </c>
      <c r="B4748" s="6" t="s">
        <v>29</v>
      </c>
      <c r="C4748" s="6">
        <v>2980</v>
      </c>
      <c r="D4748" s="6">
        <v>3277</v>
      </c>
      <c r="E4748" s="6">
        <v>3199</v>
      </c>
      <c r="F4748" t="str">
        <f t="shared" si="1997"/>
        <v>TUE</v>
      </c>
      <c r="G4748" s="3">
        <f t="shared" si="1998"/>
        <v>44110</v>
      </c>
      <c r="H4748" s="2">
        <f t="shared" ca="1" si="1999"/>
        <v>143</v>
      </c>
      <c r="I4748" t="str">
        <f t="shared" si="2000"/>
        <v>AMZN</v>
      </c>
      <c r="J4748">
        <f t="shared" si="2001"/>
        <v>2980</v>
      </c>
      <c r="K4748">
        <f t="shared" si="2002"/>
        <v>3277</v>
      </c>
      <c r="L4748">
        <f t="shared" si="2003"/>
        <v>3128.5</v>
      </c>
      <c r="M4748">
        <f t="shared" si="2004"/>
        <v>148.5</v>
      </c>
      <c r="N4748">
        <f t="shared" si="2008"/>
        <v>297</v>
      </c>
      <c r="O4748">
        <f t="shared" si="2005"/>
        <v>3199</v>
      </c>
      <c r="P4748">
        <f t="shared" si="2006"/>
        <v>0.47474747474747475</v>
      </c>
      <c r="Q4748" t="str">
        <f t="shared" si="2009"/>
        <v>6.85% | 2.44%</v>
      </c>
      <c r="R4748" t="str">
        <f t="shared" si="2007"/>
        <v>BULLISH</v>
      </c>
      <c r="S4748">
        <f t="shared" si="2010"/>
        <v>1</v>
      </c>
    </row>
    <row r="4749" spans="1:19" hidden="1" x14ac:dyDescent="0.25">
      <c r="A4749" s="5" t="str">
        <f t="shared" si="2011"/>
        <v>44110FB</v>
      </c>
      <c r="B4749" s="6" t="s">
        <v>58</v>
      </c>
      <c r="C4749" s="6">
        <v>244</v>
      </c>
      <c r="D4749" s="6">
        <v>271</v>
      </c>
      <c r="E4749" s="6">
        <v>264</v>
      </c>
      <c r="F4749" t="str">
        <f t="shared" si="1997"/>
        <v>TUE</v>
      </c>
      <c r="G4749" s="3">
        <f t="shared" si="1998"/>
        <v>44110</v>
      </c>
      <c r="H4749" s="2">
        <f t="shared" ca="1" si="1999"/>
        <v>143</v>
      </c>
      <c r="I4749" t="str">
        <f t="shared" si="2000"/>
        <v>FB</v>
      </c>
      <c r="J4749">
        <f t="shared" si="2001"/>
        <v>244</v>
      </c>
      <c r="K4749">
        <f t="shared" si="2002"/>
        <v>271</v>
      </c>
      <c r="L4749">
        <f t="shared" si="2003"/>
        <v>257.5</v>
      </c>
      <c r="M4749">
        <f t="shared" si="2004"/>
        <v>13.5</v>
      </c>
      <c r="N4749">
        <f t="shared" si="2008"/>
        <v>27</v>
      </c>
      <c r="O4749">
        <f t="shared" si="2005"/>
        <v>264</v>
      </c>
      <c r="P4749">
        <f t="shared" si="2006"/>
        <v>0.48148148148148145</v>
      </c>
      <c r="Q4749" t="str">
        <f t="shared" si="2009"/>
        <v>7.58% | 2.65%</v>
      </c>
      <c r="R4749" t="str">
        <f t="shared" si="2007"/>
        <v>BEARISH</v>
      </c>
      <c r="S4749">
        <f t="shared" si="2010"/>
        <v>-1</v>
      </c>
    </row>
    <row r="4750" spans="1:19" hidden="1" x14ac:dyDescent="0.25">
      <c r="A4750" s="5" t="str">
        <f t="shared" si="2011"/>
        <v>44110GOOGL</v>
      </c>
      <c r="B4750" s="6" t="s">
        <v>66</v>
      </c>
      <c r="C4750" s="6">
        <v>1399</v>
      </c>
      <c r="D4750" s="6">
        <v>1504</v>
      </c>
      <c r="E4750" s="6">
        <v>1482</v>
      </c>
      <c r="F4750" t="str">
        <f t="shared" si="1997"/>
        <v>TUE</v>
      </c>
      <c r="G4750" s="3">
        <f t="shared" si="1998"/>
        <v>44110</v>
      </c>
      <c r="H4750" s="2">
        <f t="shared" ca="1" si="1999"/>
        <v>143</v>
      </c>
      <c r="I4750" t="str">
        <f t="shared" si="2000"/>
        <v>GOOGL</v>
      </c>
      <c r="J4750">
        <f t="shared" si="2001"/>
        <v>1399</v>
      </c>
      <c r="K4750">
        <f t="shared" si="2002"/>
        <v>1504</v>
      </c>
      <c r="L4750">
        <f t="shared" si="2003"/>
        <v>1451.5</v>
      </c>
      <c r="M4750">
        <f t="shared" si="2004"/>
        <v>52.5</v>
      </c>
      <c r="N4750">
        <f t="shared" si="2008"/>
        <v>105</v>
      </c>
      <c r="O4750">
        <f t="shared" si="2005"/>
        <v>1482</v>
      </c>
      <c r="P4750">
        <f t="shared" si="2006"/>
        <v>0.580952380952381</v>
      </c>
      <c r="Q4750" t="str">
        <f t="shared" si="2009"/>
        <v>5.6% | 1.48%</v>
      </c>
      <c r="R4750" t="str">
        <f t="shared" si="2007"/>
        <v>BEARISH</v>
      </c>
      <c r="S4750">
        <f t="shared" si="2010"/>
        <v>-1</v>
      </c>
    </row>
    <row r="4751" spans="1:19" hidden="1" x14ac:dyDescent="0.25">
      <c r="A4751" s="5" t="str">
        <f t="shared" si="2011"/>
        <v>44110NFLX</v>
      </c>
      <c r="B4751" s="6" t="s">
        <v>81</v>
      </c>
      <c r="C4751" s="6">
        <v>458</v>
      </c>
      <c r="D4751" s="6">
        <v>533</v>
      </c>
      <c r="E4751" s="6">
        <v>520</v>
      </c>
      <c r="F4751" t="str">
        <f t="shared" si="1997"/>
        <v>TUE</v>
      </c>
      <c r="G4751" s="3">
        <f t="shared" si="1998"/>
        <v>44110</v>
      </c>
      <c r="H4751" s="2">
        <f t="shared" ca="1" si="1999"/>
        <v>143</v>
      </c>
      <c r="I4751" t="str">
        <f t="shared" si="2000"/>
        <v>NFLX</v>
      </c>
      <c r="J4751">
        <f t="shared" si="2001"/>
        <v>458</v>
      </c>
      <c r="K4751">
        <f t="shared" si="2002"/>
        <v>533</v>
      </c>
      <c r="L4751">
        <f t="shared" si="2003"/>
        <v>495.5</v>
      </c>
      <c r="M4751">
        <f t="shared" si="2004"/>
        <v>37.5</v>
      </c>
      <c r="N4751">
        <f t="shared" si="2008"/>
        <v>75</v>
      </c>
      <c r="O4751">
        <f t="shared" si="2005"/>
        <v>520</v>
      </c>
      <c r="P4751">
        <f t="shared" si="2006"/>
        <v>0.65333333333333332</v>
      </c>
      <c r="Q4751" t="str">
        <f t="shared" si="2009"/>
        <v>11.92% | 2.5%</v>
      </c>
      <c r="R4751" t="str">
        <f t="shared" si="2007"/>
        <v>BEARISH</v>
      </c>
      <c r="S4751">
        <f t="shared" si="2010"/>
        <v>-1</v>
      </c>
    </row>
    <row r="4752" spans="1:19" x14ac:dyDescent="0.25">
      <c r="A4752" s="5" t="str">
        <f t="shared" si="2011"/>
        <v>44110TSLA</v>
      </c>
      <c r="B4752" s="6" t="s">
        <v>71</v>
      </c>
      <c r="C4752" s="6">
        <v>374</v>
      </c>
      <c r="D4752" s="6">
        <v>455</v>
      </c>
      <c r="E4752" s="6">
        <v>425</v>
      </c>
      <c r="F4752" t="str">
        <f t="shared" si="1997"/>
        <v>TUE</v>
      </c>
      <c r="G4752" s="3">
        <f t="shared" si="1998"/>
        <v>44110</v>
      </c>
      <c r="H4752" s="2">
        <f t="shared" ca="1" si="1999"/>
        <v>143</v>
      </c>
      <c r="I4752" t="str">
        <f t="shared" si="2000"/>
        <v>TSLA</v>
      </c>
      <c r="J4752">
        <f t="shared" si="2001"/>
        <v>374</v>
      </c>
      <c r="K4752">
        <f t="shared" si="2002"/>
        <v>455</v>
      </c>
      <c r="L4752">
        <f t="shared" si="2003"/>
        <v>414.5</v>
      </c>
      <c r="M4752">
        <f t="shared" si="2004"/>
        <v>40.5</v>
      </c>
      <c r="N4752">
        <f t="shared" si="2008"/>
        <v>81</v>
      </c>
      <c r="O4752">
        <f t="shared" si="2005"/>
        <v>425</v>
      </c>
      <c r="P4752">
        <f t="shared" si="2006"/>
        <v>0.25925925925925924</v>
      </c>
      <c r="Q4752" t="str">
        <f t="shared" si="2009"/>
        <v>12% | 7.06%</v>
      </c>
      <c r="R4752" t="str">
        <f t="shared" si="2007"/>
        <v>NEUTRAL</v>
      </c>
      <c r="S4752">
        <f t="shared" si="2010"/>
        <v>0</v>
      </c>
    </row>
    <row r="4753" spans="1:19" hidden="1" x14ac:dyDescent="0.25">
      <c r="A4753" s="5" t="str">
        <f t="shared" si="2011"/>
        <v>44110NYXBT</v>
      </c>
      <c r="B4753" s="6" t="s">
        <v>60</v>
      </c>
      <c r="C4753" s="6">
        <v>10306</v>
      </c>
      <c r="D4753" s="6">
        <v>10998</v>
      </c>
      <c r="E4753" s="6">
        <v>10734</v>
      </c>
      <c r="F4753" t="str">
        <f t="shared" si="1997"/>
        <v>TUE</v>
      </c>
      <c r="G4753" s="3">
        <f t="shared" si="1998"/>
        <v>44110</v>
      </c>
      <c r="H4753" s="2">
        <f t="shared" ca="1" si="1999"/>
        <v>143</v>
      </c>
      <c r="I4753" t="str">
        <f t="shared" si="2000"/>
        <v>NYXBT</v>
      </c>
      <c r="J4753">
        <f t="shared" si="2001"/>
        <v>10306</v>
      </c>
      <c r="K4753">
        <f t="shared" si="2002"/>
        <v>10998</v>
      </c>
      <c r="L4753">
        <f t="shared" si="2003"/>
        <v>10652</v>
      </c>
      <c r="M4753">
        <f t="shared" si="2004"/>
        <v>346</v>
      </c>
      <c r="N4753">
        <f t="shared" si="2008"/>
        <v>692</v>
      </c>
      <c r="O4753">
        <f t="shared" si="2005"/>
        <v>10734</v>
      </c>
      <c r="P4753">
        <f t="shared" si="2006"/>
        <v>0.23699421965317918</v>
      </c>
      <c r="Q4753" t="str">
        <f t="shared" si="2009"/>
        <v>3.99% | 2.46%</v>
      </c>
      <c r="R4753" t="str">
        <f t="shared" si="2007"/>
        <v>BULLISH</v>
      </c>
      <c r="S4753">
        <f t="shared" si="2010"/>
        <v>1</v>
      </c>
    </row>
    <row r="4754" spans="1:19" hidden="1" x14ac:dyDescent="0.25">
      <c r="A4754" s="5" t="str">
        <f t="shared" si="2011"/>
        <v>44111UST10Y</v>
      </c>
      <c r="B4754" s="6" t="s">
        <v>4</v>
      </c>
      <c r="C4754" s="6">
        <v>0.79</v>
      </c>
      <c r="D4754" s="6">
        <v>0.6</v>
      </c>
      <c r="E4754" s="6">
        <v>0.76</v>
      </c>
      <c r="F4754" t="str">
        <f t="shared" si="1997"/>
        <v>WED</v>
      </c>
      <c r="G4754" s="1">
        <f>DATE(2020,10,7)</f>
        <v>44111</v>
      </c>
      <c r="H4754" s="2">
        <f t="shared" ca="1" si="1999"/>
        <v>142</v>
      </c>
      <c r="I4754" t="str">
        <f t="shared" si="2000"/>
        <v>UST10Y</v>
      </c>
      <c r="J4754">
        <f t="shared" si="2001"/>
        <v>0.79</v>
      </c>
      <c r="K4754">
        <f t="shared" si="2002"/>
        <v>0.6</v>
      </c>
      <c r="L4754">
        <f t="shared" si="2003"/>
        <v>0.69500000000000006</v>
      </c>
      <c r="M4754">
        <f t="shared" si="2004"/>
        <v>9.4999999999999737E-2</v>
      </c>
      <c r="N4754">
        <f t="shared" si="2008"/>
        <v>0.19000000000000006</v>
      </c>
      <c r="O4754">
        <f t="shared" si="2005"/>
        <v>0.76</v>
      </c>
      <c r="P4754">
        <f t="shared" si="2006"/>
        <v>0.68421052631579082</v>
      </c>
      <c r="Q4754" t="str">
        <f t="shared" si="2009"/>
        <v>3.95% | 21.05%</v>
      </c>
      <c r="R4754" t="str">
        <f t="shared" si="2007"/>
        <v>BEARISH</v>
      </c>
      <c r="S4754">
        <f t="shared" si="2010"/>
        <v>-1</v>
      </c>
    </row>
    <row r="4755" spans="1:19" hidden="1" x14ac:dyDescent="0.25">
      <c r="A4755" s="5" t="str">
        <f t="shared" si="2011"/>
        <v>44111UST2Y</v>
      </c>
      <c r="B4755" s="6" t="s">
        <v>5</v>
      </c>
      <c r="C4755" s="6">
        <v>0.15</v>
      </c>
      <c r="D4755" s="6">
        <v>0.11</v>
      </c>
      <c r="E4755" s="6">
        <v>0.14000000000000001</v>
      </c>
      <c r="F4755" t="str">
        <f t="shared" ref="F4755:F4785" si="2012">UPPER(TEXT(G4755,"ddd"))</f>
        <v>WED</v>
      </c>
      <c r="G4755" s="1">
        <f t="shared" ref="G4755:G4784" si="2013">DATE(2020,10,7)</f>
        <v>44111</v>
      </c>
      <c r="H4755" s="2">
        <f t="shared" ref="H4755:H4785" ca="1" si="2014">TODAY()-G4755</f>
        <v>142</v>
      </c>
      <c r="I4755" t="str">
        <f t="shared" ref="I4755:I4785" si="2015">TRIM(LEFT(B4755,FIND(" ",B4755,1)))</f>
        <v>UST2Y</v>
      </c>
      <c r="J4755">
        <f t="shared" ref="J4755:J4785" si="2016">C4755</f>
        <v>0.15</v>
      </c>
      <c r="K4755">
        <f t="shared" ref="K4755:K4785" si="2017">D4755</f>
        <v>0.11</v>
      </c>
      <c r="L4755">
        <f t="shared" ref="L4755:L4785" si="2018">AVERAGE(J4755:K4755)</f>
        <v>0.13</v>
      </c>
      <c r="M4755">
        <f t="shared" ref="M4755:M4785" si="2019">_xlfn.STDEV.P(J4755:K4755)</f>
        <v>1.9999999999999938E-2</v>
      </c>
      <c r="N4755">
        <f t="shared" si="2008"/>
        <v>3.9999999999999994E-2</v>
      </c>
      <c r="O4755">
        <f t="shared" ref="O4755:O4785" si="2020">E4755</f>
        <v>0.14000000000000001</v>
      </c>
      <c r="P4755">
        <f t="shared" ref="P4755:P4785" si="2021">(O4755-L4755)/M4755</f>
        <v>0.500000000000002</v>
      </c>
      <c r="Q4755" t="str">
        <f t="shared" si="2009"/>
        <v>7.14% | 21.43%</v>
      </c>
      <c r="R4755" t="str">
        <f t="shared" ref="R4755:R4785" si="2022">MID(B4755,FIND("(",B4755,1)+1,FIND(")",B4755,1)-FIND("(",B4755,1)-1)</f>
        <v>BEARISH</v>
      </c>
      <c r="S4755">
        <f t="shared" si="2010"/>
        <v>-1</v>
      </c>
    </row>
    <row r="4756" spans="1:19" hidden="1" x14ac:dyDescent="0.25">
      <c r="A4756" s="5" t="str">
        <f t="shared" si="2011"/>
        <v>44111SPX</v>
      </c>
      <c r="B4756" s="6" t="s">
        <v>6</v>
      </c>
      <c r="C4756" s="6">
        <v>3244</v>
      </c>
      <c r="D4756" s="6">
        <v>3425</v>
      </c>
      <c r="E4756" s="6">
        <v>3360</v>
      </c>
      <c r="F4756" t="str">
        <f t="shared" si="2012"/>
        <v>WED</v>
      </c>
      <c r="G4756" s="1">
        <f t="shared" si="2013"/>
        <v>44111</v>
      </c>
      <c r="H4756" s="2">
        <f t="shared" ca="1" si="2014"/>
        <v>142</v>
      </c>
      <c r="I4756" t="str">
        <f t="shared" si="2015"/>
        <v>SPX</v>
      </c>
      <c r="J4756">
        <f t="shared" si="2016"/>
        <v>3244</v>
      </c>
      <c r="K4756">
        <f t="shared" si="2017"/>
        <v>3425</v>
      </c>
      <c r="L4756">
        <f t="shared" si="2018"/>
        <v>3334.5</v>
      </c>
      <c r="M4756">
        <f t="shared" si="2019"/>
        <v>90.5</v>
      </c>
      <c r="N4756">
        <f t="shared" si="2008"/>
        <v>181</v>
      </c>
      <c r="O4756">
        <f t="shared" si="2020"/>
        <v>3360</v>
      </c>
      <c r="P4756">
        <f t="shared" si="2021"/>
        <v>0.28176795580110497</v>
      </c>
      <c r="Q4756" t="str">
        <f t="shared" si="2009"/>
        <v>3.45% | 1.93%</v>
      </c>
      <c r="R4756" t="str">
        <f t="shared" si="2022"/>
        <v>BEARISH</v>
      </c>
      <c r="S4756">
        <f t="shared" si="2010"/>
        <v>-1</v>
      </c>
    </row>
    <row r="4757" spans="1:19" hidden="1" x14ac:dyDescent="0.25">
      <c r="A4757" s="5" t="str">
        <f t="shared" si="2011"/>
        <v>44111RUT</v>
      </c>
      <c r="B4757" s="6" t="s">
        <v>7</v>
      </c>
      <c r="C4757" s="6">
        <v>1440</v>
      </c>
      <c r="D4757" s="6">
        <v>1596</v>
      </c>
      <c r="E4757" s="6">
        <v>1577</v>
      </c>
      <c r="F4757" t="str">
        <f t="shared" si="2012"/>
        <v>WED</v>
      </c>
      <c r="G4757" s="1">
        <f t="shared" si="2013"/>
        <v>44111</v>
      </c>
      <c r="H4757" s="2">
        <f t="shared" ca="1" si="2014"/>
        <v>142</v>
      </c>
      <c r="I4757" t="str">
        <f t="shared" si="2015"/>
        <v>RUT</v>
      </c>
      <c r="J4757">
        <f t="shared" si="2016"/>
        <v>1440</v>
      </c>
      <c r="K4757">
        <f t="shared" si="2017"/>
        <v>1596</v>
      </c>
      <c r="L4757">
        <f t="shared" si="2018"/>
        <v>1518</v>
      </c>
      <c r="M4757">
        <f t="shared" si="2019"/>
        <v>78</v>
      </c>
      <c r="N4757">
        <f t="shared" si="2008"/>
        <v>156</v>
      </c>
      <c r="O4757">
        <f t="shared" si="2020"/>
        <v>1577</v>
      </c>
      <c r="P4757">
        <f t="shared" si="2021"/>
        <v>0.75641025641025639</v>
      </c>
      <c r="Q4757" t="str">
        <f t="shared" si="2009"/>
        <v>8.69% | 1.2%</v>
      </c>
      <c r="R4757" t="str">
        <f t="shared" si="2022"/>
        <v>BEARISH</v>
      </c>
      <c r="S4757">
        <f t="shared" si="2010"/>
        <v>-1</v>
      </c>
    </row>
    <row r="4758" spans="1:19" hidden="1" x14ac:dyDescent="0.25">
      <c r="A4758" s="5" t="str">
        <f t="shared" si="2011"/>
        <v>44111COMPQ</v>
      </c>
      <c r="B4758" s="6" t="s">
        <v>64</v>
      </c>
      <c r="C4758" s="6">
        <v>10683</v>
      </c>
      <c r="D4758" s="6">
        <v>11478</v>
      </c>
      <c r="E4758" s="6">
        <v>11154</v>
      </c>
      <c r="F4758" t="str">
        <f t="shared" si="2012"/>
        <v>WED</v>
      </c>
      <c r="G4758" s="1">
        <f t="shared" si="2013"/>
        <v>44111</v>
      </c>
      <c r="H4758" s="2">
        <f t="shared" ca="1" si="2014"/>
        <v>142</v>
      </c>
      <c r="I4758" t="str">
        <f t="shared" si="2015"/>
        <v>COMPQ</v>
      </c>
      <c r="J4758">
        <f t="shared" si="2016"/>
        <v>10683</v>
      </c>
      <c r="K4758">
        <f t="shared" si="2017"/>
        <v>11478</v>
      </c>
      <c r="L4758">
        <f t="shared" si="2018"/>
        <v>11080.5</v>
      </c>
      <c r="M4758">
        <f t="shared" si="2019"/>
        <v>397.5</v>
      </c>
      <c r="N4758">
        <f t="shared" si="2008"/>
        <v>795</v>
      </c>
      <c r="O4758">
        <f t="shared" si="2020"/>
        <v>11154</v>
      </c>
      <c r="P4758">
        <f t="shared" si="2021"/>
        <v>0.18490566037735848</v>
      </c>
      <c r="Q4758" t="str">
        <f t="shared" si="2009"/>
        <v>4.22% | 2.9%</v>
      </c>
      <c r="R4758" t="str">
        <f t="shared" si="2022"/>
        <v>BEARISH</v>
      </c>
      <c r="S4758">
        <f t="shared" si="2010"/>
        <v>-1</v>
      </c>
    </row>
    <row r="4759" spans="1:19" hidden="1" x14ac:dyDescent="0.25">
      <c r="A4759" s="5" t="str">
        <f t="shared" si="2011"/>
        <v>44111XLK</v>
      </c>
      <c r="B4759" s="6" t="s">
        <v>62</v>
      </c>
      <c r="C4759" s="6">
        <v>110.67</v>
      </c>
      <c r="D4759" s="6">
        <v>119.35</v>
      </c>
      <c r="E4759" s="6">
        <v>115.64</v>
      </c>
      <c r="F4759" t="str">
        <f t="shared" si="2012"/>
        <v>WED</v>
      </c>
      <c r="G4759" s="1">
        <f t="shared" si="2013"/>
        <v>44111</v>
      </c>
      <c r="H4759" s="2">
        <f t="shared" ca="1" si="2014"/>
        <v>142</v>
      </c>
      <c r="I4759" t="str">
        <f t="shared" si="2015"/>
        <v>XLK</v>
      </c>
      <c r="J4759">
        <f t="shared" si="2016"/>
        <v>110.67</v>
      </c>
      <c r="K4759">
        <f t="shared" si="2017"/>
        <v>119.35</v>
      </c>
      <c r="L4759">
        <f t="shared" si="2018"/>
        <v>115.00999999999999</v>
      </c>
      <c r="M4759">
        <f t="shared" si="2019"/>
        <v>4.3399999999999963</v>
      </c>
      <c r="N4759">
        <f t="shared" si="2008"/>
        <v>8.6799999999999926</v>
      </c>
      <c r="O4759">
        <f t="shared" si="2020"/>
        <v>115.64</v>
      </c>
      <c r="P4759">
        <f t="shared" si="2021"/>
        <v>0.14516129032258299</v>
      </c>
      <c r="Q4759" t="str">
        <f t="shared" si="2009"/>
        <v>4.3% | 3.21%</v>
      </c>
      <c r="R4759" t="str">
        <f t="shared" si="2022"/>
        <v>NEUTRAL</v>
      </c>
      <c r="S4759">
        <f t="shared" si="2010"/>
        <v>0</v>
      </c>
    </row>
    <row r="4760" spans="1:19" hidden="1" x14ac:dyDescent="0.25">
      <c r="A4760" s="5" t="str">
        <f t="shared" si="2011"/>
        <v>44111XLRE</v>
      </c>
      <c r="B4760" s="6" t="s">
        <v>97</v>
      </c>
      <c r="C4760" s="6">
        <v>33.81</v>
      </c>
      <c r="D4760" s="6">
        <v>37.17</v>
      </c>
      <c r="E4760" s="6">
        <v>36.32</v>
      </c>
      <c r="F4760" t="str">
        <f t="shared" si="2012"/>
        <v>WED</v>
      </c>
      <c r="G4760" s="1">
        <f t="shared" si="2013"/>
        <v>44111</v>
      </c>
      <c r="H4760" s="2">
        <f t="shared" ca="1" si="2014"/>
        <v>142</v>
      </c>
      <c r="I4760" t="str">
        <f t="shared" si="2015"/>
        <v>XLRE</v>
      </c>
      <c r="J4760">
        <f t="shared" si="2016"/>
        <v>33.81</v>
      </c>
      <c r="K4760">
        <f t="shared" si="2017"/>
        <v>37.17</v>
      </c>
      <c r="L4760">
        <f t="shared" si="2018"/>
        <v>35.49</v>
      </c>
      <c r="M4760">
        <f t="shared" si="2019"/>
        <v>1.6799999999999997</v>
      </c>
      <c r="N4760">
        <f t="shared" si="2008"/>
        <v>3.3599999999999994</v>
      </c>
      <c r="O4760">
        <f t="shared" si="2020"/>
        <v>36.32</v>
      </c>
      <c r="P4760">
        <f t="shared" si="2021"/>
        <v>0.49404761904761813</v>
      </c>
      <c r="Q4760" t="str">
        <f t="shared" si="2009"/>
        <v>6.91% | 2.34%</v>
      </c>
      <c r="R4760" t="str">
        <f t="shared" si="2022"/>
        <v>BULLISH</v>
      </c>
      <c r="S4760">
        <f t="shared" si="2010"/>
        <v>1</v>
      </c>
    </row>
    <row r="4761" spans="1:19" hidden="1" x14ac:dyDescent="0.25">
      <c r="A4761" s="5" t="str">
        <f t="shared" si="2011"/>
        <v>44111XLU</v>
      </c>
      <c r="B4761" s="6" t="s">
        <v>52</v>
      </c>
      <c r="C4761" s="6">
        <v>56.95</v>
      </c>
      <c r="D4761" s="6">
        <v>62.4</v>
      </c>
      <c r="E4761" s="6">
        <v>61.97</v>
      </c>
      <c r="F4761" t="str">
        <f t="shared" si="2012"/>
        <v>WED</v>
      </c>
      <c r="G4761" s="1">
        <f t="shared" si="2013"/>
        <v>44111</v>
      </c>
      <c r="H4761" s="2">
        <f t="shared" ca="1" si="2014"/>
        <v>142</v>
      </c>
      <c r="I4761" t="str">
        <f t="shared" si="2015"/>
        <v>XLU</v>
      </c>
      <c r="J4761">
        <f t="shared" si="2016"/>
        <v>56.95</v>
      </c>
      <c r="K4761">
        <f t="shared" si="2017"/>
        <v>62.4</v>
      </c>
      <c r="L4761">
        <f t="shared" si="2018"/>
        <v>59.674999999999997</v>
      </c>
      <c r="M4761">
        <f t="shared" si="2019"/>
        <v>2.7249999999999979</v>
      </c>
      <c r="N4761">
        <f t="shared" si="2008"/>
        <v>5.4499999999999957</v>
      </c>
      <c r="O4761">
        <f t="shared" si="2020"/>
        <v>61.97</v>
      </c>
      <c r="P4761">
        <f t="shared" si="2021"/>
        <v>0.84220183486238664</v>
      </c>
      <c r="Q4761" t="str">
        <f t="shared" si="2009"/>
        <v>8.1% | 0.69%</v>
      </c>
      <c r="R4761" t="str">
        <f t="shared" si="2022"/>
        <v>BULLISH</v>
      </c>
      <c r="S4761">
        <f t="shared" si="2010"/>
        <v>1</v>
      </c>
    </row>
    <row r="4762" spans="1:19" hidden="1" x14ac:dyDescent="0.25">
      <c r="A4762" s="5" t="str">
        <f t="shared" si="2011"/>
        <v>44111XLF</v>
      </c>
      <c r="B4762" s="6" t="s">
        <v>12</v>
      </c>
      <c r="C4762" s="6">
        <v>22.93</v>
      </c>
      <c r="D4762" s="6">
        <v>24.88</v>
      </c>
      <c r="E4762" s="6">
        <v>24.45</v>
      </c>
      <c r="F4762" t="str">
        <f t="shared" si="2012"/>
        <v>WED</v>
      </c>
      <c r="G4762" s="1">
        <f t="shared" si="2013"/>
        <v>44111</v>
      </c>
      <c r="H4762" s="2">
        <f t="shared" ca="1" si="2014"/>
        <v>142</v>
      </c>
      <c r="I4762" t="str">
        <f t="shared" si="2015"/>
        <v>XLF</v>
      </c>
      <c r="J4762">
        <f t="shared" si="2016"/>
        <v>22.93</v>
      </c>
      <c r="K4762">
        <f t="shared" si="2017"/>
        <v>24.88</v>
      </c>
      <c r="L4762">
        <f t="shared" si="2018"/>
        <v>23.905000000000001</v>
      </c>
      <c r="M4762">
        <f t="shared" si="2019"/>
        <v>0.97499999999999964</v>
      </c>
      <c r="N4762">
        <f t="shared" si="2008"/>
        <v>1.9499999999999993</v>
      </c>
      <c r="O4762">
        <f t="shared" si="2020"/>
        <v>24.45</v>
      </c>
      <c r="P4762">
        <f t="shared" si="2021"/>
        <v>0.55897435897435732</v>
      </c>
      <c r="Q4762" t="str">
        <f t="shared" si="2009"/>
        <v>6.22% | 1.76%</v>
      </c>
      <c r="R4762" t="str">
        <f t="shared" si="2022"/>
        <v>BEARISH</v>
      </c>
      <c r="S4762">
        <f t="shared" si="2010"/>
        <v>-1</v>
      </c>
    </row>
    <row r="4763" spans="1:19" hidden="1" x14ac:dyDescent="0.25">
      <c r="A4763" s="5" t="str">
        <f t="shared" si="2011"/>
        <v>44111SSEC</v>
      </c>
      <c r="B4763" s="6" t="s">
        <v>104</v>
      </c>
      <c r="C4763" s="6">
        <v>3168</v>
      </c>
      <c r="D4763" s="6">
        <v>3348</v>
      </c>
      <c r="E4763" s="6">
        <v>3218</v>
      </c>
      <c r="F4763" t="str">
        <f t="shared" si="2012"/>
        <v>WED</v>
      </c>
      <c r="G4763" s="1">
        <f t="shared" si="2013"/>
        <v>44111</v>
      </c>
      <c r="H4763" s="2">
        <f t="shared" ca="1" si="2014"/>
        <v>142</v>
      </c>
      <c r="I4763" t="str">
        <f t="shared" si="2015"/>
        <v>SSEC</v>
      </c>
      <c r="J4763">
        <f t="shared" si="2016"/>
        <v>3168</v>
      </c>
      <c r="K4763">
        <f t="shared" si="2017"/>
        <v>3348</v>
      </c>
      <c r="L4763">
        <f t="shared" si="2018"/>
        <v>3258</v>
      </c>
      <c r="M4763">
        <f t="shared" si="2019"/>
        <v>90</v>
      </c>
      <c r="N4763">
        <f t="shared" si="2008"/>
        <v>180</v>
      </c>
      <c r="O4763">
        <f t="shared" si="2020"/>
        <v>3218</v>
      </c>
      <c r="P4763">
        <f t="shared" si="2021"/>
        <v>-0.44444444444444442</v>
      </c>
      <c r="Q4763" t="str">
        <f t="shared" si="2009"/>
        <v>1.55% | 4.04%</v>
      </c>
      <c r="R4763" t="str">
        <f t="shared" si="2022"/>
        <v>BULLISH</v>
      </c>
      <c r="S4763">
        <f t="shared" si="2010"/>
        <v>1</v>
      </c>
    </row>
    <row r="4764" spans="1:19" hidden="1" x14ac:dyDescent="0.25">
      <c r="A4764" s="5" t="str">
        <f t="shared" si="2011"/>
        <v>44111NIKK</v>
      </c>
      <c r="B4764" s="6" t="s">
        <v>91</v>
      </c>
      <c r="C4764" s="6">
        <v>22901</v>
      </c>
      <c r="D4764" s="6">
        <v>23625</v>
      </c>
      <c r="E4764" s="6">
        <v>23422</v>
      </c>
      <c r="F4764" t="str">
        <f t="shared" si="2012"/>
        <v>WED</v>
      </c>
      <c r="G4764" s="1">
        <f t="shared" si="2013"/>
        <v>44111</v>
      </c>
      <c r="H4764" s="2">
        <f t="shared" ca="1" si="2014"/>
        <v>142</v>
      </c>
      <c r="I4764" t="str">
        <f t="shared" si="2015"/>
        <v>NIKK</v>
      </c>
      <c r="J4764">
        <f t="shared" si="2016"/>
        <v>22901</v>
      </c>
      <c r="K4764">
        <f t="shared" si="2017"/>
        <v>23625</v>
      </c>
      <c r="L4764">
        <f t="shared" si="2018"/>
        <v>23263</v>
      </c>
      <c r="M4764">
        <f t="shared" si="2019"/>
        <v>362</v>
      </c>
      <c r="N4764">
        <f t="shared" si="2008"/>
        <v>724</v>
      </c>
      <c r="O4764">
        <f t="shared" si="2020"/>
        <v>23422</v>
      </c>
      <c r="P4764">
        <f t="shared" si="2021"/>
        <v>0.43922651933701656</v>
      </c>
      <c r="Q4764" t="str">
        <f t="shared" si="2009"/>
        <v>2.22% | 0.87%</v>
      </c>
      <c r="R4764" t="str">
        <f t="shared" si="2022"/>
        <v>BULLISH</v>
      </c>
      <c r="S4764">
        <f t="shared" si="2010"/>
        <v>1</v>
      </c>
    </row>
    <row r="4765" spans="1:19" hidden="1" x14ac:dyDescent="0.25">
      <c r="A4765" s="5" t="str">
        <f t="shared" si="2011"/>
        <v>44111DAX</v>
      </c>
      <c r="B4765" s="6" t="s">
        <v>16</v>
      </c>
      <c r="C4765" s="6">
        <v>12461</v>
      </c>
      <c r="D4765" s="6">
        <v>13001</v>
      </c>
      <c r="E4765" s="6">
        <v>12906</v>
      </c>
      <c r="F4765" t="str">
        <f t="shared" si="2012"/>
        <v>WED</v>
      </c>
      <c r="G4765" s="1">
        <f t="shared" si="2013"/>
        <v>44111</v>
      </c>
      <c r="H4765" s="2">
        <f t="shared" ca="1" si="2014"/>
        <v>142</v>
      </c>
      <c r="I4765" t="str">
        <f t="shared" si="2015"/>
        <v>DAX</v>
      </c>
      <c r="J4765">
        <f t="shared" si="2016"/>
        <v>12461</v>
      </c>
      <c r="K4765">
        <f t="shared" si="2017"/>
        <v>13001</v>
      </c>
      <c r="L4765">
        <f t="shared" si="2018"/>
        <v>12731</v>
      </c>
      <c r="M4765">
        <f t="shared" si="2019"/>
        <v>270</v>
      </c>
      <c r="N4765">
        <f t="shared" si="2008"/>
        <v>540</v>
      </c>
      <c r="O4765">
        <f t="shared" si="2020"/>
        <v>12906</v>
      </c>
      <c r="P4765">
        <f t="shared" si="2021"/>
        <v>0.64814814814814814</v>
      </c>
      <c r="Q4765" t="str">
        <f t="shared" si="2009"/>
        <v>3.45% | 0.74%</v>
      </c>
      <c r="R4765" t="str">
        <f t="shared" si="2022"/>
        <v>BEARISH</v>
      </c>
      <c r="S4765">
        <f t="shared" si="2010"/>
        <v>-1</v>
      </c>
    </row>
    <row r="4766" spans="1:19" hidden="1" x14ac:dyDescent="0.25">
      <c r="A4766" s="5" t="str">
        <f t="shared" si="2011"/>
        <v>44111VIX</v>
      </c>
      <c r="B4766" s="6" t="s">
        <v>17</v>
      </c>
      <c r="C4766" s="6">
        <v>25.75</v>
      </c>
      <c r="D4766" s="6">
        <v>30.5</v>
      </c>
      <c r="E4766" s="6">
        <v>29.48</v>
      </c>
      <c r="F4766" t="str">
        <f t="shared" si="2012"/>
        <v>WED</v>
      </c>
      <c r="G4766" s="1">
        <f t="shared" si="2013"/>
        <v>44111</v>
      </c>
      <c r="H4766" s="2">
        <f t="shared" ca="1" si="2014"/>
        <v>142</v>
      </c>
      <c r="I4766" t="str">
        <f t="shared" si="2015"/>
        <v>VIX</v>
      </c>
      <c r="J4766">
        <f t="shared" si="2016"/>
        <v>25.75</v>
      </c>
      <c r="K4766">
        <f t="shared" si="2017"/>
        <v>30.5</v>
      </c>
      <c r="L4766">
        <f t="shared" si="2018"/>
        <v>28.125</v>
      </c>
      <c r="M4766">
        <f t="shared" si="2019"/>
        <v>2.375</v>
      </c>
      <c r="N4766">
        <f t="shared" si="2008"/>
        <v>4.75</v>
      </c>
      <c r="O4766">
        <f t="shared" si="2020"/>
        <v>29.48</v>
      </c>
      <c r="P4766">
        <f t="shared" si="2021"/>
        <v>0.57052631578947388</v>
      </c>
      <c r="Q4766" t="str">
        <f t="shared" si="2009"/>
        <v>12.65% | 3.46%</v>
      </c>
      <c r="R4766" t="str">
        <f t="shared" si="2022"/>
        <v>BULLISH</v>
      </c>
      <c r="S4766">
        <f t="shared" si="2010"/>
        <v>1</v>
      </c>
    </row>
    <row r="4767" spans="1:19" hidden="1" x14ac:dyDescent="0.25">
      <c r="A4767" s="5" t="str">
        <f t="shared" si="2011"/>
        <v>44111USD</v>
      </c>
      <c r="B4767" s="6" t="s">
        <v>78</v>
      </c>
      <c r="C4767" s="6">
        <v>93.36</v>
      </c>
      <c r="D4767" s="6">
        <v>94.73</v>
      </c>
      <c r="E4767" s="6">
        <v>93.74</v>
      </c>
      <c r="F4767" t="str">
        <f t="shared" si="2012"/>
        <v>WED</v>
      </c>
      <c r="G4767" s="1">
        <f t="shared" si="2013"/>
        <v>44111</v>
      </c>
      <c r="H4767" s="2">
        <f t="shared" ca="1" si="2014"/>
        <v>142</v>
      </c>
      <c r="I4767" t="str">
        <f t="shared" si="2015"/>
        <v>USD</v>
      </c>
      <c r="J4767">
        <f t="shared" si="2016"/>
        <v>93.36</v>
      </c>
      <c r="K4767">
        <f t="shared" si="2017"/>
        <v>94.73</v>
      </c>
      <c r="L4767">
        <f t="shared" si="2018"/>
        <v>94.045000000000002</v>
      </c>
      <c r="M4767">
        <f t="shared" si="2019"/>
        <v>0.68500000000000227</v>
      </c>
      <c r="N4767">
        <f t="shared" si="2008"/>
        <v>1.3700000000000045</v>
      </c>
      <c r="O4767">
        <f t="shared" si="2020"/>
        <v>93.74</v>
      </c>
      <c r="P4767">
        <f t="shared" si="2021"/>
        <v>-0.44525547445256325</v>
      </c>
      <c r="Q4767" t="str">
        <f t="shared" si="2009"/>
        <v>0.41% | 1.06%</v>
      </c>
      <c r="R4767" t="str">
        <f t="shared" si="2022"/>
        <v>NEUTRAL</v>
      </c>
      <c r="S4767">
        <f t="shared" si="2010"/>
        <v>0</v>
      </c>
    </row>
    <row r="4768" spans="1:19" hidden="1" x14ac:dyDescent="0.25">
      <c r="A4768" s="5" t="str">
        <f t="shared" si="2011"/>
        <v>44111EUR/USD</v>
      </c>
      <c r="B4768" s="6" t="s">
        <v>77</v>
      </c>
      <c r="C4768" s="6">
        <v>1.1599999999999999</v>
      </c>
      <c r="D4768" s="6">
        <v>1.18</v>
      </c>
      <c r="E4768" s="6">
        <v>1.17</v>
      </c>
      <c r="F4768" t="str">
        <f t="shared" si="2012"/>
        <v>WED</v>
      </c>
      <c r="G4768" s="1">
        <f t="shared" si="2013"/>
        <v>44111</v>
      </c>
      <c r="H4768" s="2">
        <f t="shared" ca="1" si="2014"/>
        <v>142</v>
      </c>
      <c r="I4768" t="str">
        <f t="shared" si="2015"/>
        <v>EUR/USD</v>
      </c>
      <c r="J4768">
        <f t="shared" si="2016"/>
        <v>1.1599999999999999</v>
      </c>
      <c r="K4768">
        <f t="shared" si="2017"/>
        <v>1.18</v>
      </c>
      <c r="L4768">
        <f t="shared" si="2018"/>
        <v>1.17</v>
      </c>
      <c r="M4768">
        <f t="shared" si="2019"/>
        <v>1.0000000000000009E-2</v>
      </c>
      <c r="N4768">
        <f t="shared" si="2008"/>
        <v>2.0000000000000018E-2</v>
      </c>
      <c r="O4768">
        <f t="shared" si="2020"/>
        <v>1.17</v>
      </c>
      <c r="P4768">
        <f t="shared" si="2021"/>
        <v>0</v>
      </c>
      <c r="Q4768" t="str">
        <f t="shared" si="2009"/>
        <v>0.85% | 0.85%</v>
      </c>
      <c r="R4768" t="str">
        <f t="shared" si="2022"/>
        <v>NEUTRAL</v>
      </c>
      <c r="S4768">
        <f t="shared" si="2010"/>
        <v>0</v>
      </c>
    </row>
    <row r="4769" spans="1:19" hidden="1" x14ac:dyDescent="0.25">
      <c r="A4769" s="5" t="str">
        <f t="shared" si="2011"/>
        <v>44111USD/JPY</v>
      </c>
      <c r="B4769" s="6" t="s">
        <v>86</v>
      </c>
      <c r="C4769" s="6">
        <v>105.12</v>
      </c>
      <c r="D4769" s="6">
        <v>106.2</v>
      </c>
      <c r="E4769" s="6">
        <v>105.61</v>
      </c>
      <c r="F4769" t="str">
        <f t="shared" si="2012"/>
        <v>WED</v>
      </c>
      <c r="G4769" s="1">
        <f t="shared" si="2013"/>
        <v>44111</v>
      </c>
      <c r="H4769" s="2">
        <f t="shared" ca="1" si="2014"/>
        <v>142</v>
      </c>
      <c r="I4769" t="str">
        <f t="shared" si="2015"/>
        <v>USD/JPY</v>
      </c>
      <c r="J4769">
        <f t="shared" si="2016"/>
        <v>105.12</v>
      </c>
      <c r="K4769">
        <f t="shared" si="2017"/>
        <v>106.2</v>
      </c>
      <c r="L4769">
        <f t="shared" si="2018"/>
        <v>105.66</v>
      </c>
      <c r="M4769">
        <f t="shared" si="2019"/>
        <v>0.53999999999999915</v>
      </c>
      <c r="N4769">
        <f t="shared" si="2008"/>
        <v>1.0799999999999983</v>
      </c>
      <c r="O4769">
        <f t="shared" si="2020"/>
        <v>105.61</v>
      </c>
      <c r="P4769">
        <f t="shared" si="2021"/>
        <v>-9.259259259258748E-2</v>
      </c>
      <c r="Q4769" t="str">
        <f t="shared" si="2009"/>
        <v>0.46% | 0.56%</v>
      </c>
      <c r="R4769" t="str">
        <f t="shared" si="2022"/>
        <v>NEUTRAL</v>
      </c>
      <c r="S4769">
        <f t="shared" si="2010"/>
        <v>0</v>
      </c>
    </row>
    <row r="4770" spans="1:19" hidden="1" x14ac:dyDescent="0.25">
      <c r="A4770" s="5" t="str">
        <f t="shared" si="2011"/>
        <v>44111GBP/USD</v>
      </c>
      <c r="B4770" s="6" t="s">
        <v>79</v>
      </c>
      <c r="C4770" s="6">
        <v>1.27</v>
      </c>
      <c r="D4770" s="6">
        <v>1.3</v>
      </c>
      <c r="E4770" s="6">
        <v>1.29</v>
      </c>
      <c r="F4770" t="str">
        <f t="shared" si="2012"/>
        <v>WED</v>
      </c>
      <c r="G4770" s="1">
        <f t="shared" si="2013"/>
        <v>44111</v>
      </c>
      <c r="H4770" s="2">
        <f t="shared" ca="1" si="2014"/>
        <v>142</v>
      </c>
      <c r="I4770" t="str">
        <f t="shared" si="2015"/>
        <v>GBP/USD</v>
      </c>
      <c r="J4770">
        <f t="shared" si="2016"/>
        <v>1.27</v>
      </c>
      <c r="K4770">
        <f t="shared" si="2017"/>
        <v>1.3</v>
      </c>
      <c r="L4770">
        <f t="shared" si="2018"/>
        <v>1.2850000000000001</v>
      </c>
      <c r="M4770">
        <f t="shared" si="2019"/>
        <v>1.5000000000000013E-2</v>
      </c>
      <c r="N4770">
        <f t="shared" si="2008"/>
        <v>3.0000000000000027E-2</v>
      </c>
      <c r="O4770">
        <f t="shared" si="2020"/>
        <v>1.29</v>
      </c>
      <c r="P4770">
        <f t="shared" si="2021"/>
        <v>0.33333333333332593</v>
      </c>
      <c r="Q4770" t="str">
        <f t="shared" si="2009"/>
        <v>1.55% | 0.78%</v>
      </c>
      <c r="R4770" t="str">
        <f t="shared" si="2022"/>
        <v>NEUTRAL</v>
      </c>
      <c r="S4770">
        <f t="shared" si="2010"/>
        <v>0</v>
      </c>
    </row>
    <row r="4771" spans="1:19" hidden="1" x14ac:dyDescent="0.25">
      <c r="A4771" s="5" t="str">
        <f t="shared" si="2011"/>
        <v>44111USD/CHF</v>
      </c>
      <c r="B4771" s="6" t="s">
        <v>76</v>
      </c>
      <c r="C4771" s="6">
        <v>0.9</v>
      </c>
      <c r="D4771" s="6">
        <v>0.93</v>
      </c>
      <c r="E4771" s="6">
        <v>0.91</v>
      </c>
      <c r="F4771" t="str">
        <f t="shared" si="2012"/>
        <v>WED</v>
      </c>
      <c r="G4771" s="1">
        <f t="shared" si="2013"/>
        <v>44111</v>
      </c>
      <c r="H4771" s="2">
        <f t="shared" ca="1" si="2014"/>
        <v>142</v>
      </c>
      <c r="I4771" t="str">
        <f t="shared" si="2015"/>
        <v>USD/CHF</v>
      </c>
      <c r="J4771">
        <f t="shared" si="2016"/>
        <v>0.9</v>
      </c>
      <c r="K4771">
        <f t="shared" si="2017"/>
        <v>0.93</v>
      </c>
      <c r="L4771">
        <f t="shared" si="2018"/>
        <v>0.91500000000000004</v>
      </c>
      <c r="M4771">
        <f t="shared" si="2019"/>
        <v>1.5000000000000013E-2</v>
      </c>
      <c r="N4771">
        <f t="shared" si="2008"/>
        <v>3.0000000000000027E-2</v>
      </c>
      <c r="O4771">
        <f t="shared" si="2020"/>
        <v>0.91</v>
      </c>
      <c r="P4771">
        <f t="shared" si="2021"/>
        <v>-0.33333333333333331</v>
      </c>
      <c r="Q4771" t="str">
        <f t="shared" si="2009"/>
        <v>1.1% | 2.2%</v>
      </c>
      <c r="R4771" t="str">
        <f t="shared" si="2022"/>
        <v>BEARISH</v>
      </c>
      <c r="S4771">
        <f t="shared" si="2010"/>
        <v>-1</v>
      </c>
    </row>
    <row r="4772" spans="1:19" hidden="1" x14ac:dyDescent="0.25">
      <c r="A4772" s="5" t="str">
        <f t="shared" si="2011"/>
        <v>44111WTIC</v>
      </c>
      <c r="B4772" s="6" t="s">
        <v>23</v>
      </c>
      <c r="C4772" s="6">
        <v>37.18</v>
      </c>
      <c r="D4772" s="6">
        <v>41.7</v>
      </c>
      <c r="E4772" s="6">
        <v>40.67</v>
      </c>
      <c r="F4772" t="str">
        <f t="shared" si="2012"/>
        <v>WED</v>
      </c>
      <c r="G4772" s="1">
        <f t="shared" si="2013"/>
        <v>44111</v>
      </c>
      <c r="H4772" s="2">
        <f t="shared" ca="1" si="2014"/>
        <v>142</v>
      </c>
      <c r="I4772" t="str">
        <f t="shared" si="2015"/>
        <v>WTIC</v>
      </c>
      <c r="J4772">
        <f t="shared" si="2016"/>
        <v>37.18</v>
      </c>
      <c r="K4772">
        <f t="shared" si="2017"/>
        <v>41.7</v>
      </c>
      <c r="L4772">
        <f t="shared" si="2018"/>
        <v>39.44</v>
      </c>
      <c r="M4772">
        <f t="shared" si="2019"/>
        <v>2.2600000000000016</v>
      </c>
      <c r="N4772">
        <f t="shared" si="2008"/>
        <v>4.5200000000000031</v>
      </c>
      <c r="O4772">
        <f t="shared" si="2020"/>
        <v>40.67</v>
      </c>
      <c r="P4772">
        <f t="shared" si="2021"/>
        <v>0.54424778761062087</v>
      </c>
      <c r="Q4772" t="str">
        <f t="shared" si="2009"/>
        <v>8.58% | 2.53%</v>
      </c>
      <c r="R4772" t="str">
        <f t="shared" si="2022"/>
        <v>BEARISH</v>
      </c>
      <c r="S4772">
        <f t="shared" si="2010"/>
        <v>-1</v>
      </c>
    </row>
    <row r="4773" spans="1:19" hidden="1" x14ac:dyDescent="0.25">
      <c r="A4773" s="5" t="str">
        <f t="shared" si="2011"/>
        <v>44111NATGAS</v>
      </c>
      <c r="B4773" s="6" t="s">
        <v>89</v>
      </c>
      <c r="C4773" s="6">
        <v>2.25</v>
      </c>
      <c r="D4773" s="6">
        <v>2.94</v>
      </c>
      <c r="E4773" s="6">
        <v>2.52</v>
      </c>
      <c r="F4773" t="str">
        <f t="shared" si="2012"/>
        <v>WED</v>
      </c>
      <c r="G4773" s="1">
        <f t="shared" si="2013"/>
        <v>44111</v>
      </c>
      <c r="H4773" s="2">
        <f t="shared" ca="1" si="2014"/>
        <v>142</v>
      </c>
      <c r="I4773" t="str">
        <f t="shared" si="2015"/>
        <v>NATGAS</v>
      </c>
      <c r="J4773">
        <f t="shared" si="2016"/>
        <v>2.25</v>
      </c>
      <c r="K4773">
        <f t="shared" si="2017"/>
        <v>2.94</v>
      </c>
      <c r="L4773">
        <f t="shared" si="2018"/>
        <v>2.5949999999999998</v>
      </c>
      <c r="M4773">
        <f t="shared" si="2019"/>
        <v>0.34500000000000086</v>
      </c>
      <c r="N4773">
        <f t="shared" si="2008"/>
        <v>0.69</v>
      </c>
      <c r="O4773">
        <f t="shared" si="2020"/>
        <v>2.52</v>
      </c>
      <c r="P4773">
        <f t="shared" si="2021"/>
        <v>-0.21739130434782478</v>
      </c>
      <c r="Q4773" t="str">
        <f t="shared" si="2009"/>
        <v>10.71% | 16.67%</v>
      </c>
      <c r="R4773" t="str">
        <f t="shared" si="2022"/>
        <v>BULLISH</v>
      </c>
      <c r="S4773">
        <f t="shared" si="2010"/>
        <v>1</v>
      </c>
    </row>
    <row r="4774" spans="1:19" hidden="1" x14ac:dyDescent="0.25">
      <c r="A4774" s="5" t="str">
        <f t="shared" si="2011"/>
        <v>44111GOLD</v>
      </c>
      <c r="B4774" s="6" t="s">
        <v>25</v>
      </c>
      <c r="C4774" s="6">
        <v>1852</v>
      </c>
      <c r="D4774" s="6">
        <v>1931</v>
      </c>
      <c r="E4774" s="6">
        <v>1908</v>
      </c>
      <c r="F4774" t="str">
        <f t="shared" si="2012"/>
        <v>WED</v>
      </c>
      <c r="G4774" s="1">
        <f t="shared" si="2013"/>
        <v>44111</v>
      </c>
      <c r="H4774" s="2">
        <f t="shared" ca="1" si="2014"/>
        <v>142</v>
      </c>
      <c r="I4774" t="str">
        <f t="shared" si="2015"/>
        <v>GOLD</v>
      </c>
      <c r="J4774">
        <f t="shared" si="2016"/>
        <v>1852</v>
      </c>
      <c r="K4774">
        <f t="shared" si="2017"/>
        <v>1931</v>
      </c>
      <c r="L4774">
        <f t="shared" si="2018"/>
        <v>1891.5</v>
      </c>
      <c r="M4774">
        <f t="shared" si="2019"/>
        <v>39.5</v>
      </c>
      <c r="N4774">
        <f t="shared" si="2008"/>
        <v>79</v>
      </c>
      <c r="O4774">
        <f t="shared" si="2020"/>
        <v>1908</v>
      </c>
      <c r="P4774">
        <f t="shared" si="2021"/>
        <v>0.41772151898734178</v>
      </c>
      <c r="Q4774" t="str">
        <f t="shared" si="2009"/>
        <v>2.94% | 1.21%</v>
      </c>
      <c r="R4774" t="str">
        <f t="shared" si="2022"/>
        <v>BULLISH</v>
      </c>
      <c r="S4774">
        <f t="shared" si="2010"/>
        <v>1</v>
      </c>
    </row>
    <row r="4775" spans="1:19" hidden="1" x14ac:dyDescent="0.25">
      <c r="A4775" s="5" t="str">
        <f t="shared" si="2011"/>
        <v>44111SILVER</v>
      </c>
      <c r="B4775" s="6" t="s">
        <v>234</v>
      </c>
      <c r="C4775" s="6">
        <v>22.64</v>
      </c>
      <c r="D4775" s="6">
        <v>24.94</v>
      </c>
      <c r="E4775" s="6">
        <v>23.92</v>
      </c>
      <c r="F4775" t="str">
        <f t="shared" si="2012"/>
        <v>WED</v>
      </c>
      <c r="G4775" s="1">
        <f t="shared" si="2013"/>
        <v>44111</v>
      </c>
      <c r="H4775" s="2">
        <f t="shared" ca="1" si="2014"/>
        <v>142</v>
      </c>
      <c r="I4775" t="str">
        <f t="shared" si="2015"/>
        <v>SILVER</v>
      </c>
      <c r="J4775">
        <f t="shared" si="2016"/>
        <v>22.64</v>
      </c>
      <c r="K4775">
        <f t="shared" si="2017"/>
        <v>24.94</v>
      </c>
      <c r="L4775">
        <f t="shared" si="2018"/>
        <v>23.79</v>
      </c>
      <c r="M4775">
        <f t="shared" si="2019"/>
        <v>1.1500000000000004</v>
      </c>
      <c r="N4775">
        <f t="shared" si="2008"/>
        <v>2.3000000000000007</v>
      </c>
      <c r="O4775">
        <f t="shared" si="2020"/>
        <v>23.92</v>
      </c>
      <c r="P4775">
        <f t="shared" si="2021"/>
        <v>0.11304347826087176</v>
      </c>
      <c r="Q4775" t="str">
        <f t="shared" si="2009"/>
        <v>5.35% | 4.26%</v>
      </c>
      <c r="R4775" t="str">
        <f t="shared" si="2022"/>
        <v>BEARISH</v>
      </c>
      <c r="S4775">
        <f t="shared" si="2010"/>
        <v>-1</v>
      </c>
    </row>
    <row r="4776" spans="1:19" hidden="1" x14ac:dyDescent="0.25">
      <c r="A4776" s="5" t="str">
        <f t="shared" si="2011"/>
        <v>44111COPPER</v>
      </c>
      <c r="B4776" s="6" t="s">
        <v>88</v>
      </c>
      <c r="C4776" s="6">
        <v>2.88</v>
      </c>
      <c r="D4776" s="6">
        <v>3.05</v>
      </c>
      <c r="E4776" s="6">
        <v>2.96</v>
      </c>
      <c r="F4776" t="str">
        <f t="shared" si="2012"/>
        <v>WED</v>
      </c>
      <c r="G4776" s="1">
        <f t="shared" si="2013"/>
        <v>44111</v>
      </c>
      <c r="H4776" s="2">
        <f t="shared" ca="1" si="2014"/>
        <v>142</v>
      </c>
      <c r="I4776" t="str">
        <f t="shared" si="2015"/>
        <v>COPPER</v>
      </c>
      <c r="J4776">
        <f t="shared" si="2016"/>
        <v>2.88</v>
      </c>
      <c r="K4776">
        <f t="shared" si="2017"/>
        <v>3.05</v>
      </c>
      <c r="L4776">
        <f t="shared" si="2018"/>
        <v>2.9649999999999999</v>
      </c>
      <c r="M4776">
        <f t="shared" si="2019"/>
        <v>8.4999999999999964E-2</v>
      </c>
      <c r="N4776">
        <f t="shared" si="2008"/>
        <v>0.16999999999999993</v>
      </c>
      <c r="O4776">
        <f t="shared" si="2020"/>
        <v>2.96</v>
      </c>
      <c r="P4776">
        <f t="shared" si="2021"/>
        <v>-5.8823529411763477E-2</v>
      </c>
      <c r="Q4776" t="str">
        <f t="shared" si="2009"/>
        <v>2.7% | 3.04%</v>
      </c>
      <c r="R4776" t="str">
        <f t="shared" si="2022"/>
        <v>NEUTRAL</v>
      </c>
      <c r="S4776">
        <f t="shared" si="2010"/>
        <v>0</v>
      </c>
    </row>
    <row r="4777" spans="1:19" hidden="1" x14ac:dyDescent="0.25">
      <c r="A4777" s="5" t="str">
        <f t="shared" si="2011"/>
        <v>44111MSFT</v>
      </c>
      <c r="B4777" s="6" t="s">
        <v>236</v>
      </c>
      <c r="C4777" s="6">
        <v>198</v>
      </c>
      <c r="D4777" s="6">
        <v>213</v>
      </c>
      <c r="E4777" s="6">
        <v>205</v>
      </c>
      <c r="F4777" t="str">
        <f t="shared" si="2012"/>
        <v>WED</v>
      </c>
      <c r="G4777" s="1">
        <f t="shared" si="2013"/>
        <v>44111</v>
      </c>
      <c r="H4777" s="2">
        <f t="shared" ca="1" si="2014"/>
        <v>142</v>
      </c>
      <c r="I4777" t="str">
        <f t="shared" si="2015"/>
        <v>MSFT</v>
      </c>
      <c r="J4777">
        <f t="shared" si="2016"/>
        <v>198</v>
      </c>
      <c r="K4777">
        <f t="shared" si="2017"/>
        <v>213</v>
      </c>
      <c r="L4777">
        <f t="shared" si="2018"/>
        <v>205.5</v>
      </c>
      <c r="M4777">
        <f t="shared" si="2019"/>
        <v>7.5</v>
      </c>
      <c r="N4777">
        <f t="shared" si="2008"/>
        <v>15</v>
      </c>
      <c r="O4777">
        <f t="shared" si="2020"/>
        <v>205</v>
      </c>
      <c r="P4777">
        <f t="shared" si="2021"/>
        <v>-6.6666666666666666E-2</v>
      </c>
      <c r="Q4777" t="str">
        <f t="shared" si="2009"/>
        <v>3.41% | 3.9%</v>
      </c>
      <c r="R4777" t="str">
        <f t="shared" si="2022"/>
        <v>BEARISH</v>
      </c>
      <c r="S4777">
        <f t="shared" si="2010"/>
        <v>-1</v>
      </c>
    </row>
    <row r="4778" spans="1:19" hidden="1" x14ac:dyDescent="0.25">
      <c r="A4778" s="5" t="str">
        <f t="shared" si="2011"/>
        <v>44111AAPL</v>
      </c>
      <c r="B4778" s="6" t="s">
        <v>63</v>
      </c>
      <c r="C4778" s="6">
        <v>106</v>
      </c>
      <c r="D4778" s="6">
        <v>118</v>
      </c>
      <c r="E4778" s="6">
        <v>113</v>
      </c>
      <c r="F4778" t="str">
        <f t="shared" si="2012"/>
        <v>WED</v>
      </c>
      <c r="G4778" s="1">
        <f t="shared" si="2013"/>
        <v>44111</v>
      </c>
      <c r="H4778" s="2">
        <f t="shared" ca="1" si="2014"/>
        <v>142</v>
      </c>
      <c r="I4778" t="str">
        <f t="shared" si="2015"/>
        <v>AAPL</v>
      </c>
      <c r="J4778">
        <f t="shared" si="2016"/>
        <v>106</v>
      </c>
      <c r="K4778">
        <f t="shared" si="2017"/>
        <v>118</v>
      </c>
      <c r="L4778">
        <f t="shared" si="2018"/>
        <v>112</v>
      </c>
      <c r="M4778">
        <f t="shared" si="2019"/>
        <v>6</v>
      </c>
      <c r="N4778">
        <f t="shared" si="2008"/>
        <v>12</v>
      </c>
      <c r="O4778">
        <f t="shared" si="2020"/>
        <v>113</v>
      </c>
      <c r="P4778">
        <f t="shared" si="2021"/>
        <v>0.16666666666666666</v>
      </c>
      <c r="Q4778" t="str">
        <f t="shared" si="2009"/>
        <v>6.19% | 4.42%</v>
      </c>
      <c r="R4778" t="str">
        <f t="shared" si="2022"/>
        <v>NEUTRAL</v>
      </c>
      <c r="S4778">
        <f t="shared" si="2010"/>
        <v>0</v>
      </c>
    </row>
    <row r="4779" spans="1:19" hidden="1" x14ac:dyDescent="0.25">
      <c r="A4779" s="5" t="str">
        <f t="shared" si="2011"/>
        <v>44111AMZN</v>
      </c>
      <c r="B4779" s="6" t="s">
        <v>29</v>
      </c>
      <c r="C4779" s="6">
        <v>3006</v>
      </c>
      <c r="D4779" s="6">
        <v>3253</v>
      </c>
      <c r="E4779" s="6">
        <v>3099</v>
      </c>
      <c r="F4779" t="str">
        <f t="shared" si="2012"/>
        <v>WED</v>
      </c>
      <c r="G4779" s="1">
        <f t="shared" si="2013"/>
        <v>44111</v>
      </c>
      <c r="H4779" s="2">
        <f t="shared" ca="1" si="2014"/>
        <v>142</v>
      </c>
      <c r="I4779" t="str">
        <f t="shared" si="2015"/>
        <v>AMZN</v>
      </c>
      <c r="J4779">
        <f t="shared" si="2016"/>
        <v>3006</v>
      </c>
      <c r="K4779">
        <f t="shared" si="2017"/>
        <v>3253</v>
      </c>
      <c r="L4779">
        <f t="shared" si="2018"/>
        <v>3129.5</v>
      </c>
      <c r="M4779">
        <f t="shared" si="2019"/>
        <v>123.5</v>
      </c>
      <c r="N4779">
        <f t="shared" si="2008"/>
        <v>247</v>
      </c>
      <c r="O4779">
        <f t="shared" si="2020"/>
        <v>3099</v>
      </c>
      <c r="P4779">
        <f t="shared" si="2021"/>
        <v>-0.24696356275303644</v>
      </c>
      <c r="Q4779" t="str">
        <f t="shared" si="2009"/>
        <v>3% | 4.97%</v>
      </c>
      <c r="R4779" t="str">
        <f t="shared" si="2022"/>
        <v>BULLISH</v>
      </c>
      <c r="S4779">
        <f t="shared" si="2010"/>
        <v>1</v>
      </c>
    </row>
    <row r="4780" spans="1:19" hidden="1" x14ac:dyDescent="0.25">
      <c r="A4780" s="5" t="str">
        <f t="shared" si="2011"/>
        <v>44111FB</v>
      </c>
      <c r="B4780" s="6" t="s">
        <v>58</v>
      </c>
      <c r="C4780" s="6">
        <v>248</v>
      </c>
      <c r="D4780" s="6">
        <v>269</v>
      </c>
      <c r="E4780" s="6">
        <v>258</v>
      </c>
      <c r="F4780" t="str">
        <f t="shared" si="2012"/>
        <v>WED</v>
      </c>
      <c r="G4780" s="1">
        <f t="shared" si="2013"/>
        <v>44111</v>
      </c>
      <c r="H4780" s="2">
        <f t="shared" ca="1" si="2014"/>
        <v>142</v>
      </c>
      <c r="I4780" t="str">
        <f t="shared" si="2015"/>
        <v>FB</v>
      </c>
      <c r="J4780">
        <f t="shared" si="2016"/>
        <v>248</v>
      </c>
      <c r="K4780">
        <f t="shared" si="2017"/>
        <v>269</v>
      </c>
      <c r="L4780">
        <f t="shared" si="2018"/>
        <v>258.5</v>
      </c>
      <c r="M4780">
        <f t="shared" si="2019"/>
        <v>10.5</v>
      </c>
      <c r="N4780">
        <f t="shared" si="2008"/>
        <v>21</v>
      </c>
      <c r="O4780">
        <f t="shared" si="2020"/>
        <v>258</v>
      </c>
      <c r="P4780">
        <f t="shared" si="2021"/>
        <v>-4.7619047619047616E-2</v>
      </c>
      <c r="Q4780" t="str">
        <f t="shared" si="2009"/>
        <v>3.88% | 4.26%</v>
      </c>
      <c r="R4780" t="str">
        <f t="shared" si="2022"/>
        <v>BEARISH</v>
      </c>
      <c r="S4780">
        <f t="shared" si="2010"/>
        <v>-1</v>
      </c>
    </row>
    <row r="4781" spans="1:19" hidden="1" x14ac:dyDescent="0.25">
      <c r="A4781" s="5" t="str">
        <f t="shared" si="2011"/>
        <v>44111GOOGL</v>
      </c>
      <c r="B4781" s="6" t="s">
        <v>66</v>
      </c>
      <c r="C4781" s="6">
        <v>1401</v>
      </c>
      <c r="D4781" s="6">
        <v>1491</v>
      </c>
      <c r="E4781" s="6">
        <v>1451</v>
      </c>
      <c r="F4781" t="str">
        <f t="shared" si="2012"/>
        <v>WED</v>
      </c>
      <c r="G4781" s="1">
        <f t="shared" si="2013"/>
        <v>44111</v>
      </c>
      <c r="H4781" s="2">
        <f t="shared" ca="1" si="2014"/>
        <v>142</v>
      </c>
      <c r="I4781" t="str">
        <f t="shared" si="2015"/>
        <v>GOOGL</v>
      </c>
      <c r="J4781">
        <f t="shared" si="2016"/>
        <v>1401</v>
      </c>
      <c r="K4781">
        <f t="shared" si="2017"/>
        <v>1491</v>
      </c>
      <c r="L4781">
        <f t="shared" si="2018"/>
        <v>1446</v>
      </c>
      <c r="M4781">
        <f t="shared" si="2019"/>
        <v>45</v>
      </c>
      <c r="N4781">
        <f t="shared" si="2008"/>
        <v>90</v>
      </c>
      <c r="O4781">
        <f t="shared" si="2020"/>
        <v>1451</v>
      </c>
      <c r="P4781">
        <f t="shared" si="2021"/>
        <v>0.1111111111111111</v>
      </c>
      <c r="Q4781" t="str">
        <f t="shared" si="2009"/>
        <v>3.45% | 2.76%</v>
      </c>
      <c r="R4781" t="str">
        <f t="shared" si="2022"/>
        <v>BEARISH</v>
      </c>
      <c r="S4781">
        <f t="shared" si="2010"/>
        <v>-1</v>
      </c>
    </row>
    <row r="4782" spans="1:19" hidden="1" x14ac:dyDescent="0.25">
      <c r="A4782" s="5" t="str">
        <f t="shared" si="2011"/>
        <v>44111NFLX</v>
      </c>
      <c r="B4782" s="6" t="s">
        <v>81</v>
      </c>
      <c r="C4782" s="6">
        <v>465</v>
      </c>
      <c r="D4782" s="6">
        <v>531</v>
      </c>
      <c r="E4782" s="6">
        <v>505</v>
      </c>
      <c r="F4782" t="str">
        <f t="shared" si="2012"/>
        <v>WED</v>
      </c>
      <c r="G4782" s="1">
        <f t="shared" si="2013"/>
        <v>44111</v>
      </c>
      <c r="H4782" s="2">
        <f t="shared" ca="1" si="2014"/>
        <v>142</v>
      </c>
      <c r="I4782" t="str">
        <f t="shared" si="2015"/>
        <v>NFLX</v>
      </c>
      <c r="J4782">
        <f t="shared" si="2016"/>
        <v>465</v>
      </c>
      <c r="K4782">
        <f t="shared" si="2017"/>
        <v>531</v>
      </c>
      <c r="L4782">
        <f t="shared" si="2018"/>
        <v>498</v>
      </c>
      <c r="M4782">
        <f t="shared" si="2019"/>
        <v>33</v>
      </c>
      <c r="N4782">
        <f t="shared" si="2008"/>
        <v>66</v>
      </c>
      <c r="O4782">
        <f t="shared" si="2020"/>
        <v>505</v>
      </c>
      <c r="P4782">
        <f t="shared" si="2021"/>
        <v>0.21212121212121213</v>
      </c>
      <c r="Q4782" t="str">
        <f t="shared" si="2009"/>
        <v>7.92% | 5.15%</v>
      </c>
      <c r="R4782" t="str">
        <f t="shared" si="2022"/>
        <v>BEARISH</v>
      </c>
      <c r="S4782">
        <f t="shared" si="2010"/>
        <v>-1</v>
      </c>
    </row>
    <row r="4783" spans="1:19" x14ac:dyDescent="0.25">
      <c r="A4783" s="5" t="str">
        <f t="shared" si="2011"/>
        <v>44111TSLA</v>
      </c>
      <c r="B4783" s="6" t="s">
        <v>71</v>
      </c>
      <c r="C4783" s="6">
        <v>377</v>
      </c>
      <c r="D4783" s="6">
        <v>450</v>
      </c>
      <c r="E4783" s="6">
        <v>413</v>
      </c>
      <c r="F4783" t="str">
        <f t="shared" si="2012"/>
        <v>WED</v>
      </c>
      <c r="G4783" s="1">
        <f t="shared" si="2013"/>
        <v>44111</v>
      </c>
      <c r="H4783" s="2">
        <f t="shared" ca="1" si="2014"/>
        <v>142</v>
      </c>
      <c r="I4783" t="str">
        <f t="shared" si="2015"/>
        <v>TSLA</v>
      </c>
      <c r="J4783">
        <f t="shared" si="2016"/>
        <v>377</v>
      </c>
      <c r="K4783">
        <f t="shared" si="2017"/>
        <v>450</v>
      </c>
      <c r="L4783">
        <f t="shared" si="2018"/>
        <v>413.5</v>
      </c>
      <c r="M4783">
        <f t="shared" si="2019"/>
        <v>36.5</v>
      </c>
      <c r="N4783">
        <f t="shared" si="2008"/>
        <v>73</v>
      </c>
      <c r="O4783">
        <f t="shared" si="2020"/>
        <v>413</v>
      </c>
      <c r="P4783">
        <f t="shared" si="2021"/>
        <v>-1.3698630136986301E-2</v>
      </c>
      <c r="Q4783" t="str">
        <f t="shared" si="2009"/>
        <v>8.72% | 8.96%</v>
      </c>
      <c r="R4783" t="str">
        <f t="shared" si="2022"/>
        <v>NEUTRAL</v>
      </c>
      <c r="S4783">
        <f t="shared" si="2010"/>
        <v>0</v>
      </c>
    </row>
    <row r="4784" spans="1:19" hidden="1" x14ac:dyDescent="0.25">
      <c r="A4784" s="5" t="str">
        <f t="shared" si="2011"/>
        <v>44111NYXBT</v>
      </c>
      <c r="B4784" s="6" t="s">
        <v>60</v>
      </c>
      <c r="C4784" s="6">
        <v>10283</v>
      </c>
      <c r="D4784" s="6">
        <v>10978</v>
      </c>
      <c r="E4784" s="6">
        <v>10673</v>
      </c>
      <c r="F4784" t="str">
        <f t="shared" si="2012"/>
        <v>WED</v>
      </c>
      <c r="G4784" s="1">
        <f t="shared" si="2013"/>
        <v>44111</v>
      </c>
      <c r="H4784" s="2">
        <f t="shared" ca="1" si="2014"/>
        <v>142</v>
      </c>
      <c r="I4784" t="str">
        <f t="shared" si="2015"/>
        <v>NYXBT</v>
      </c>
      <c r="J4784">
        <f t="shared" si="2016"/>
        <v>10283</v>
      </c>
      <c r="K4784">
        <f t="shared" si="2017"/>
        <v>10978</v>
      </c>
      <c r="L4784">
        <f t="shared" si="2018"/>
        <v>10630.5</v>
      </c>
      <c r="M4784">
        <f t="shared" si="2019"/>
        <v>347.5</v>
      </c>
      <c r="N4784">
        <f t="shared" si="2008"/>
        <v>695</v>
      </c>
      <c r="O4784">
        <f t="shared" si="2020"/>
        <v>10673</v>
      </c>
      <c r="P4784">
        <f t="shared" si="2021"/>
        <v>0.1223021582733813</v>
      </c>
      <c r="Q4784" t="str">
        <f t="shared" si="2009"/>
        <v>3.65% | 2.86%</v>
      </c>
      <c r="R4784" t="str">
        <f t="shared" si="2022"/>
        <v>BULLISH</v>
      </c>
      <c r="S4784">
        <f t="shared" si="2010"/>
        <v>1</v>
      </c>
    </row>
    <row r="4785" spans="1:19" hidden="1" x14ac:dyDescent="0.25">
      <c r="A4785" s="5" t="str">
        <f t="shared" si="2011"/>
        <v>44112UST10Y</v>
      </c>
      <c r="B4785" s="6" t="s">
        <v>4</v>
      </c>
      <c r="C4785" s="6">
        <v>0.81</v>
      </c>
      <c r="D4785" s="6">
        <v>0.61</v>
      </c>
      <c r="E4785" s="6">
        <v>0.81</v>
      </c>
      <c r="F4785" t="str">
        <f t="shared" si="2012"/>
        <v>THU</v>
      </c>
      <c r="G4785" s="3">
        <f>DATE(2020,10,8)</f>
        <v>44112</v>
      </c>
      <c r="H4785" s="2">
        <f t="shared" ca="1" si="2014"/>
        <v>141</v>
      </c>
      <c r="I4785" t="str">
        <f t="shared" si="2015"/>
        <v>UST10Y</v>
      </c>
      <c r="J4785">
        <f t="shared" si="2016"/>
        <v>0.81</v>
      </c>
      <c r="K4785">
        <f t="shared" si="2017"/>
        <v>0.61</v>
      </c>
      <c r="L4785">
        <f t="shared" si="2018"/>
        <v>0.71</v>
      </c>
      <c r="M4785">
        <f t="shared" si="2019"/>
        <v>0.10000000000000005</v>
      </c>
      <c r="N4785">
        <f t="shared" si="2008"/>
        <v>0.20000000000000007</v>
      </c>
      <c r="O4785">
        <f t="shared" si="2020"/>
        <v>0.81</v>
      </c>
      <c r="P4785">
        <f t="shared" si="2021"/>
        <v>1.0000000000000004</v>
      </c>
      <c r="Q4785" t="str">
        <f t="shared" si="2009"/>
        <v>0% | 24.69%</v>
      </c>
      <c r="R4785" t="str">
        <f t="shared" si="2022"/>
        <v>BEARISH</v>
      </c>
      <c r="S4785">
        <f t="shared" si="2010"/>
        <v>-1</v>
      </c>
    </row>
    <row r="4786" spans="1:19" hidden="1" x14ac:dyDescent="0.25">
      <c r="A4786" s="5" t="str">
        <f t="shared" si="2011"/>
        <v>44112UST2Y</v>
      </c>
      <c r="B4786" s="6" t="s">
        <v>5</v>
      </c>
      <c r="C4786" s="6">
        <v>0.16</v>
      </c>
      <c r="D4786" s="6">
        <v>0.1</v>
      </c>
      <c r="E4786" s="6">
        <v>0.16</v>
      </c>
      <c r="F4786" t="str">
        <f t="shared" ref="F4786:F4816" si="2023">UPPER(TEXT(G4786,"ddd"))</f>
        <v>THU</v>
      </c>
      <c r="G4786" s="3">
        <f t="shared" ref="G4786:G4815" si="2024">DATE(2020,10,8)</f>
        <v>44112</v>
      </c>
      <c r="H4786" s="2">
        <f t="shared" ref="H4786:H4816" ca="1" si="2025">TODAY()-G4786</f>
        <v>141</v>
      </c>
      <c r="I4786" t="str">
        <f t="shared" ref="I4786:I4816" si="2026">TRIM(LEFT(B4786,FIND(" ",B4786,1)))</f>
        <v>UST2Y</v>
      </c>
      <c r="J4786">
        <f t="shared" ref="J4786:J4816" si="2027">C4786</f>
        <v>0.16</v>
      </c>
      <c r="K4786">
        <f t="shared" ref="K4786:K4816" si="2028">D4786</f>
        <v>0.1</v>
      </c>
      <c r="L4786">
        <f t="shared" ref="L4786:L4816" si="2029">AVERAGE(J4786:K4786)</f>
        <v>0.13</v>
      </c>
      <c r="M4786">
        <f t="shared" ref="M4786:M4816" si="2030">_xlfn.STDEV.P(J4786:K4786)</f>
        <v>3.0000000000000023E-2</v>
      </c>
      <c r="N4786">
        <f t="shared" si="2008"/>
        <v>0.06</v>
      </c>
      <c r="O4786">
        <f t="shared" ref="O4786:O4816" si="2031">E4786</f>
        <v>0.16</v>
      </c>
      <c r="P4786">
        <f t="shared" ref="P4786:P4816" si="2032">(O4786-L4786)/M4786</f>
        <v>0.99999999999999922</v>
      </c>
      <c r="Q4786" t="str">
        <f t="shared" si="2009"/>
        <v>0% | 37.5%</v>
      </c>
      <c r="R4786" t="str">
        <f t="shared" ref="R4786:R4816" si="2033">MID(B4786,FIND("(",B4786,1)+1,FIND(")",B4786,1)-FIND("(",B4786,1)-1)</f>
        <v>BEARISH</v>
      </c>
      <c r="S4786">
        <f t="shared" si="2010"/>
        <v>-1</v>
      </c>
    </row>
    <row r="4787" spans="1:19" hidden="1" x14ac:dyDescent="0.25">
      <c r="A4787" s="5" t="str">
        <f t="shared" si="2011"/>
        <v>44112SPX</v>
      </c>
      <c r="B4787" s="6" t="s">
        <v>6</v>
      </c>
      <c r="C4787" s="6">
        <v>3283</v>
      </c>
      <c r="D4787" s="6">
        <v>3438</v>
      </c>
      <c r="E4787" s="6">
        <v>3419</v>
      </c>
      <c r="F4787" t="str">
        <f t="shared" si="2023"/>
        <v>THU</v>
      </c>
      <c r="G4787" s="3">
        <f t="shared" si="2024"/>
        <v>44112</v>
      </c>
      <c r="H4787" s="2">
        <f t="shared" ca="1" si="2025"/>
        <v>141</v>
      </c>
      <c r="I4787" t="str">
        <f t="shared" si="2026"/>
        <v>SPX</v>
      </c>
      <c r="J4787">
        <f t="shared" si="2027"/>
        <v>3283</v>
      </c>
      <c r="K4787">
        <f t="shared" si="2028"/>
        <v>3438</v>
      </c>
      <c r="L4787">
        <f t="shared" si="2029"/>
        <v>3360.5</v>
      </c>
      <c r="M4787">
        <f t="shared" si="2030"/>
        <v>77.5</v>
      </c>
      <c r="N4787">
        <f t="shared" si="2008"/>
        <v>155</v>
      </c>
      <c r="O4787">
        <f t="shared" si="2031"/>
        <v>3419</v>
      </c>
      <c r="P4787">
        <f t="shared" si="2032"/>
        <v>0.75483870967741939</v>
      </c>
      <c r="Q4787" t="str">
        <f t="shared" si="2009"/>
        <v>3.98% | 0.56%</v>
      </c>
      <c r="R4787" t="str">
        <f t="shared" si="2033"/>
        <v>BEARISH</v>
      </c>
      <c r="S4787">
        <f t="shared" si="2010"/>
        <v>-1</v>
      </c>
    </row>
    <row r="4788" spans="1:19" hidden="1" x14ac:dyDescent="0.25">
      <c r="A4788" s="5" t="str">
        <f t="shared" si="2011"/>
        <v>44112RUT</v>
      </c>
      <c r="B4788" s="6" t="s">
        <v>7</v>
      </c>
      <c r="C4788" s="6">
        <v>1461</v>
      </c>
      <c r="D4788" s="6">
        <v>1621</v>
      </c>
      <c r="E4788" s="6">
        <v>1611</v>
      </c>
      <c r="F4788" t="str">
        <f t="shared" si="2023"/>
        <v>THU</v>
      </c>
      <c r="G4788" s="3">
        <f t="shared" si="2024"/>
        <v>44112</v>
      </c>
      <c r="H4788" s="2">
        <f t="shared" ca="1" si="2025"/>
        <v>141</v>
      </c>
      <c r="I4788" t="str">
        <f t="shared" si="2026"/>
        <v>RUT</v>
      </c>
      <c r="J4788">
        <f t="shared" si="2027"/>
        <v>1461</v>
      </c>
      <c r="K4788">
        <f t="shared" si="2028"/>
        <v>1621</v>
      </c>
      <c r="L4788">
        <f t="shared" si="2029"/>
        <v>1541</v>
      </c>
      <c r="M4788">
        <f t="shared" si="2030"/>
        <v>80</v>
      </c>
      <c r="N4788">
        <f t="shared" si="2008"/>
        <v>160</v>
      </c>
      <c r="O4788">
        <f t="shared" si="2031"/>
        <v>1611</v>
      </c>
      <c r="P4788">
        <f t="shared" si="2032"/>
        <v>0.875</v>
      </c>
      <c r="Q4788" t="str">
        <f t="shared" si="2009"/>
        <v>9.31% | 0.62%</v>
      </c>
      <c r="R4788" t="str">
        <f t="shared" si="2033"/>
        <v>BEARISH</v>
      </c>
      <c r="S4788">
        <f t="shared" si="2010"/>
        <v>-1</v>
      </c>
    </row>
    <row r="4789" spans="1:19" hidden="1" x14ac:dyDescent="0.25">
      <c r="A4789" s="5" t="str">
        <f t="shared" si="2011"/>
        <v>44112COMPQ</v>
      </c>
      <c r="B4789" s="6" t="s">
        <v>64</v>
      </c>
      <c r="C4789" s="6">
        <v>10710</v>
      </c>
      <c r="D4789" s="6">
        <v>11458</v>
      </c>
      <c r="E4789" s="6">
        <v>11364</v>
      </c>
      <c r="F4789" t="str">
        <f t="shared" si="2023"/>
        <v>THU</v>
      </c>
      <c r="G4789" s="3">
        <f t="shared" si="2024"/>
        <v>44112</v>
      </c>
      <c r="H4789" s="2">
        <f t="shared" ca="1" si="2025"/>
        <v>141</v>
      </c>
      <c r="I4789" t="str">
        <f t="shared" si="2026"/>
        <v>COMPQ</v>
      </c>
      <c r="J4789">
        <f t="shared" si="2027"/>
        <v>10710</v>
      </c>
      <c r="K4789">
        <f t="shared" si="2028"/>
        <v>11458</v>
      </c>
      <c r="L4789">
        <f t="shared" si="2029"/>
        <v>11084</v>
      </c>
      <c r="M4789">
        <f t="shared" si="2030"/>
        <v>374</v>
      </c>
      <c r="N4789">
        <f t="shared" si="2008"/>
        <v>748</v>
      </c>
      <c r="O4789">
        <f t="shared" si="2031"/>
        <v>11364</v>
      </c>
      <c r="P4789">
        <f t="shared" si="2032"/>
        <v>0.74866310160427807</v>
      </c>
      <c r="Q4789" t="str">
        <f t="shared" si="2009"/>
        <v>5.76% | 0.83%</v>
      </c>
      <c r="R4789" t="str">
        <f t="shared" si="2033"/>
        <v>BEARISH</v>
      </c>
      <c r="S4789">
        <f t="shared" si="2010"/>
        <v>-1</v>
      </c>
    </row>
    <row r="4790" spans="1:19" hidden="1" x14ac:dyDescent="0.25">
      <c r="A4790" s="5" t="str">
        <f t="shared" si="2011"/>
        <v>44112XLK</v>
      </c>
      <c r="B4790" s="6" t="s">
        <v>62</v>
      </c>
      <c r="C4790" s="6">
        <v>110.95</v>
      </c>
      <c r="D4790" s="6">
        <v>119.06</v>
      </c>
      <c r="E4790" s="6">
        <v>117.76</v>
      </c>
      <c r="F4790" t="str">
        <f t="shared" si="2023"/>
        <v>THU</v>
      </c>
      <c r="G4790" s="3">
        <f t="shared" si="2024"/>
        <v>44112</v>
      </c>
      <c r="H4790" s="2">
        <f t="shared" ca="1" si="2025"/>
        <v>141</v>
      </c>
      <c r="I4790" t="str">
        <f t="shared" si="2026"/>
        <v>XLK</v>
      </c>
      <c r="J4790">
        <f t="shared" si="2027"/>
        <v>110.95</v>
      </c>
      <c r="K4790">
        <f t="shared" si="2028"/>
        <v>119.06</v>
      </c>
      <c r="L4790">
        <f t="shared" si="2029"/>
        <v>115.005</v>
      </c>
      <c r="M4790">
        <f t="shared" si="2030"/>
        <v>4.0549999999999997</v>
      </c>
      <c r="N4790">
        <f t="shared" si="2008"/>
        <v>8.11</v>
      </c>
      <c r="O4790">
        <f t="shared" si="2031"/>
        <v>117.76</v>
      </c>
      <c r="P4790">
        <f t="shared" si="2032"/>
        <v>0.67940813810111222</v>
      </c>
      <c r="Q4790" t="str">
        <f t="shared" si="2009"/>
        <v>5.78% | 1.1%</v>
      </c>
      <c r="R4790" t="str">
        <f t="shared" si="2033"/>
        <v>NEUTRAL</v>
      </c>
      <c r="S4790">
        <f t="shared" si="2010"/>
        <v>0</v>
      </c>
    </row>
    <row r="4791" spans="1:19" hidden="1" x14ac:dyDescent="0.25">
      <c r="A4791" s="5" t="str">
        <f t="shared" si="2011"/>
        <v>44112XLRE</v>
      </c>
      <c r="B4791" s="6" t="s">
        <v>97</v>
      </c>
      <c r="C4791" s="6">
        <v>34.130000000000003</v>
      </c>
      <c r="D4791" s="6">
        <v>37.18</v>
      </c>
      <c r="E4791" s="6">
        <v>36.42</v>
      </c>
      <c r="F4791" t="str">
        <f t="shared" si="2023"/>
        <v>THU</v>
      </c>
      <c r="G4791" s="3">
        <f t="shared" si="2024"/>
        <v>44112</v>
      </c>
      <c r="H4791" s="2">
        <f t="shared" ca="1" si="2025"/>
        <v>141</v>
      </c>
      <c r="I4791" t="str">
        <f t="shared" si="2026"/>
        <v>XLRE</v>
      </c>
      <c r="J4791">
        <f t="shared" si="2027"/>
        <v>34.130000000000003</v>
      </c>
      <c r="K4791">
        <f t="shared" si="2028"/>
        <v>37.18</v>
      </c>
      <c r="L4791">
        <f t="shared" si="2029"/>
        <v>35.655000000000001</v>
      </c>
      <c r="M4791">
        <f t="shared" si="2030"/>
        <v>1.5249999999999986</v>
      </c>
      <c r="N4791">
        <f t="shared" si="2008"/>
        <v>3.0499999999999972</v>
      </c>
      <c r="O4791">
        <f t="shared" si="2031"/>
        <v>36.42</v>
      </c>
      <c r="P4791">
        <f t="shared" si="2032"/>
        <v>0.50163934426229595</v>
      </c>
      <c r="Q4791" t="str">
        <f t="shared" si="2009"/>
        <v>6.29% | 2.09%</v>
      </c>
      <c r="R4791" t="str">
        <f t="shared" si="2033"/>
        <v>BULLISH</v>
      </c>
      <c r="S4791">
        <f t="shared" si="2010"/>
        <v>1</v>
      </c>
    </row>
    <row r="4792" spans="1:19" hidden="1" x14ac:dyDescent="0.25">
      <c r="A4792" s="5" t="str">
        <f t="shared" si="2011"/>
        <v>44112XLU</v>
      </c>
      <c r="B4792" s="6" t="s">
        <v>52</v>
      </c>
      <c r="C4792" s="6">
        <v>57.4</v>
      </c>
      <c r="D4792" s="6">
        <v>62.99</v>
      </c>
      <c r="E4792" s="6">
        <v>62.35</v>
      </c>
      <c r="F4792" t="str">
        <f t="shared" si="2023"/>
        <v>THU</v>
      </c>
      <c r="G4792" s="3">
        <f t="shared" si="2024"/>
        <v>44112</v>
      </c>
      <c r="H4792" s="2">
        <f t="shared" ca="1" si="2025"/>
        <v>141</v>
      </c>
      <c r="I4792" t="str">
        <f t="shared" si="2026"/>
        <v>XLU</v>
      </c>
      <c r="J4792">
        <f t="shared" si="2027"/>
        <v>57.4</v>
      </c>
      <c r="K4792">
        <f t="shared" si="2028"/>
        <v>62.99</v>
      </c>
      <c r="L4792">
        <f t="shared" si="2029"/>
        <v>60.195</v>
      </c>
      <c r="M4792">
        <f t="shared" si="2030"/>
        <v>2.7950000000000017</v>
      </c>
      <c r="N4792">
        <f t="shared" si="2008"/>
        <v>5.5900000000000034</v>
      </c>
      <c r="O4792">
        <f t="shared" si="2031"/>
        <v>62.35</v>
      </c>
      <c r="P4792">
        <f t="shared" si="2032"/>
        <v>0.77101967799642213</v>
      </c>
      <c r="Q4792" t="str">
        <f t="shared" si="2009"/>
        <v>7.94% | 1.03%</v>
      </c>
      <c r="R4792" t="str">
        <f t="shared" si="2033"/>
        <v>BULLISH</v>
      </c>
      <c r="S4792">
        <f t="shared" si="2010"/>
        <v>1</v>
      </c>
    </row>
    <row r="4793" spans="1:19" hidden="1" x14ac:dyDescent="0.25">
      <c r="A4793" s="5" t="str">
        <f t="shared" si="2011"/>
        <v>44112XLF</v>
      </c>
      <c r="B4793" s="6" t="s">
        <v>12</v>
      </c>
      <c r="C4793" s="6">
        <v>22.99</v>
      </c>
      <c r="D4793" s="6">
        <v>25.12</v>
      </c>
      <c r="E4793" s="6">
        <v>24.86</v>
      </c>
      <c r="F4793" t="str">
        <f t="shared" si="2023"/>
        <v>THU</v>
      </c>
      <c r="G4793" s="3">
        <f t="shared" si="2024"/>
        <v>44112</v>
      </c>
      <c r="H4793" s="2">
        <f t="shared" ca="1" si="2025"/>
        <v>141</v>
      </c>
      <c r="I4793" t="str">
        <f t="shared" si="2026"/>
        <v>XLF</v>
      </c>
      <c r="J4793">
        <f t="shared" si="2027"/>
        <v>22.99</v>
      </c>
      <c r="K4793">
        <f t="shared" si="2028"/>
        <v>25.12</v>
      </c>
      <c r="L4793">
        <f t="shared" si="2029"/>
        <v>24.055</v>
      </c>
      <c r="M4793">
        <f t="shared" si="2030"/>
        <v>1.0650000000000013</v>
      </c>
      <c r="N4793">
        <f t="shared" si="2008"/>
        <v>2.1300000000000026</v>
      </c>
      <c r="O4793">
        <f t="shared" si="2031"/>
        <v>24.86</v>
      </c>
      <c r="P4793">
        <f t="shared" si="2032"/>
        <v>0.75586854460093778</v>
      </c>
      <c r="Q4793" t="str">
        <f t="shared" si="2009"/>
        <v>7.52% | 1.05%</v>
      </c>
      <c r="R4793" t="str">
        <f t="shared" si="2033"/>
        <v>BEARISH</v>
      </c>
      <c r="S4793">
        <f t="shared" si="2010"/>
        <v>-1</v>
      </c>
    </row>
    <row r="4794" spans="1:19" hidden="1" x14ac:dyDescent="0.25">
      <c r="A4794" s="5" t="str">
        <f t="shared" si="2011"/>
        <v>44112SSEC</v>
      </c>
      <c r="B4794" s="6" t="s">
        <v>104</v>
      </c>
      <c r="C4794" s="6">
        <v>3168</v>
      </c>
      <c r="D4794" s="6">
        <v>3348</v>
      </c>
      <c r="E4794" s="6">
        <v>3218</v>
      </c>
      <c r="F4794" t="str">
        <f t="shared" si="2023"/>
        <v>THU</v>
      </c>
      <c r="G4794" s="3">
        <f t="shared" si="2024"/>
        <v>44112</v>
      </c>
      <c r="H4794" s="2">
        <f t="shared" ca="1" si="2025"/>
        <v>141</v>
      </c>
      <c r="I4794" t="str">
        <f t="shared" si="2026"/>
        <v>SSEC</v>
      </c>
      <c r="J4794">
        <f t="shared" si="2027"/>
        <v>3168</v>
      </c>
      <c r="K4794">
        <f t="shared" si="2028"/>
        <v>3348</v>
      </c>
      <c r="L4794">
        <f t="shared" si="2029"/>
        <v>3258</v>
      </c>
      <c r="M4794">
        <f t="shared" si="2030"/>
        <v>90</v>
      </c>
      <c r="N4794">
        <f t="shared" si="2008"/>
        <v>180</v>
      </c>
      <c r="O4794">
        <f t="shared" si="2031"/>
        <v>3218</v>
      </c>
      <c r="P4794">
        <f t="shared" si="2032"/>
        <v>-0.44444444444444442</v>
      </c>
      <c r="Q4794" t="str">
        <f t="shared" si="2009"/>
        <v>1.55% | 4.04%</v>
      </c>
      <c r="R4794" t="str">
        <f t="shared" si="2033"/>
        <v>BULLISH</v>
      </c>
      <c r="S4794">
        <f t="shared" si="2010"/>
        <v>1</v>
      </c>
    </row>
    <row r="4795" spans="1:19" hidden="1" x14ac:dyDescent="0.25">
      <c r="A4795" s="5" t="str">
        <f t="shared" si="2011"/>
        <v>44112NIKK</v>
      </c>
      <c r="B4795" s="6" t="s">
        <v>91</v>
      </c>
      <c r="C4795" s="6">
        <v>22975</v>
      </c>
      <c r="D4795" s="6">
        <v>23667</v>
      </c>
      <c r="E4795" s="6">
        <v>23647</v>
      </c>
      <c r="F4795" t="str">
        <f t="shared" si="2023"/>
        <v>THU</v>
      </c>
      <c r="G4795" s="3">
        <f t="shared" si="2024"/>
        <v>44112</v>
      </c>
      <c r="H4795" s="2">
        <f t="shared" ca="1" si="2025"/>
        <v>141</v>
      </c>
      <c r="I4795" t="str">
        <f t="shared" si="2026"/>
        <v>NIKK</v>
      </c>
      <c r="J4795">
        <f t="shared" si="2027"/>
        <v>22975</v>
      </c>
      <c r="K4795">
        <f t="shared" si="2028"/>
        <v>23667</v>
      </c>
      <c r="L4795">
        <f t="shared" si="2029"/>
        <v>23321</v>
      </c>
      <c r="M4795">
        <f t="shared" si="2030"/>
        <v>346</v>
      </c>
      <c r="N4795">
        <f t="shared" si="2008"/>
        <v>692</v>
      </c>
      <c r="O4795">
        <f t="shared" si="2031"/>
        <v>23647</v>
      </c>
      <c r="P4795">
        <f t="shared" si="2032"/>
        <v>0.94219653179190754</v>
      </c>
      <c r="Q4795" t="str">
        <f t="shared" si="2009"/>
        <v>2.84% | 0.08%</v>
      </c>
      <c r="R4795" t="str">
        <f t="shared" si="2033"/>
        <v>BULLISH</v>
      </c>
      <c r="S4795">
        <f t="shared" si="2010"/>
        <v>1</v>
      </c>
    </row>
    <row r="4796" spans="1:19" hidden="1" x14ac:dyDescent="0.25">
      <c r="A4796" s="5" t="str">
        <f t="shared" si="2011"/>
        <v>44112DAX</v>
      </c>
      <c r="B4796" s="6" t="s">
        <v>16</v>
      </c>
      <c r="C4796" s="6">
        <v>12503</v>
      </c>
      <c r="D4796" s="6">
        <v>13046</v>
      </c>
      <c r="E4796" s="6">
        <v>12928</v>
      </c>
      <c r="F4796" t="str">
        <f t="shared" si="2023"/>
        <v>THU</v>
      </c>
      <c r="G4796" s="3">
        <f t="shared" si="2024"/>
        <v>44112</v>
      </c>
      <c r="H4796" s="2">
        <f t="shared" ca="1" si="2025"/>
        <v>141</v>
      </c>
      <c r="I4796" t="str">
        <f t="shared" si="2026"/>
        <v>DAX</v>
      </c>
      <c r="J4796">
        <f t="shared" si="2027"/>
        <v>12503</v>
      </c>
      <c r="K4796">
        <f t="shared" si="2028"/>
        <v>13046</v>
      </c>
      <c r="L4796">
        <f t="shared" si="2029"/>
        <v>12774.5</v>
      </c>
      <c r="M4796">
        <f t="shared" si="2030"/>
        <v>271.5</v>
      </c>
      <c r="N4796">
        <f t="shared" si="2008"/>
        <v>543</v>
      </c>
      <c r="O4796">
        <f t="shared" si="2031"/>
        <v>12928</v>
      </c>
      <c r="P4796">
        <f t="shared" si="2032"/>
        <v>0.56537753222836096</v>
      </c>
      <c r="Q4796" t="str">
        <f t="shared" si="2009"/>
        <v>3.29% | 0.91%</v>
      </c>
      <c r="R4796" t="str">
        <f t="shared" si="2033"/>
        <v>BEARISH</v>
      </c>
      <c r="S4796">
        <f t="shared" si="2010"/>
        <v>-1</v>
      </c>
    </row>
    <row r="4797" spans="1:19" hidden="1" x14ac:dyDescent="0.25">
      <c r="A4797" s="5" t="str">
        <f t="shared" si="2011"/>
        <v>44112VIX</v>
      </c>
      <c r="B4797" s="6" t="s">
        <v>17</v>
      </c>
      <c r="C4797" s="6">
        <v>26.02</v>
      </c>
      <c r="D4797" s="6">
        <v>30.35</v>
      </c>
      <c r="E4797" s="6">
        <v>28.06</v>
      </c>
      <c r="F4797" t="str">
        <f t="shared" si="2023"/>
        <v>THU</v>
      </c>
      <c r="G4797" s="3">
        <f t="shared" si="2024"/>
        <v>44112</v>
      </c>
      <c r="H4797" s="2">
        <f t="shared" ca="1" si="2025"/>
        <v>141</v>
      </c>
      <c r="I4797" t="str">
        <f t="shared" si="2026"/>
        <v>VIX</v>
      </c>
      <c r="J4797">
        <f t="shared" si="2027"/>
        <v>26.02</v>
      </c>
      <c r="K4797">
        <f t="shared" si="2028"/>
        <v>30.35</v>
      </c>
      <c r="L4797">
        <f t="shared" si="2029"/>
        <v>28.185000000000002</v>
      </c>
      <c r="M4797">
        <f t="shared" si="2030"/>
        <v>2.1650000000000009</v>
      </c>
      <c r="N4797">
        <f t="shared" si="2008"/>
        <v>4.3300000000000018</v>
      </c>
      <c r="O4797">
        <f t="shared" si="2031"/>
        <v>28.06</v>
      </c>
      <c r="P4797">
        <f t="shared" si="2032"/>
        <v>-5.7736720554274132E-2</v>
      </c>
      <c r="Q4797" t="str">
        <f t="shared" si="2009"/>
        <v>7.27% | 8.16%</v>
      </c>
      <c r="R4797" t="str">
        <f t="shared" si="2033"/>
        <v>BULLISH</v>
      </c>
      <c r="S4797">
        <f t="shared" si="2010"/>
        <v>1</v>
      </c>
    </row>
    <row r="4798" spans="1:19" hidden="1" x14ac:dyDescent="0.25">
      <c r="A4798" s="5" t="str">
        <f t="shared" si="2011"/>
        <v>44112USD</v>
      </c>
      <c r="B4798" s="6" t="s">
        <v>78</v>
      </c>
      <c r="C4798" s="6">
        <v>93.25</v>
      </c>
      <c r="D4798" s="6">
        <v>94.74</v>
      </c>
      <c r="E4798" s="6">
        <v>93.68</v>
      </c>
      <c r="F4798" t="str">
        <f t="shared" si="2023"/>
        <v>THU</v>
      </c>
      <c r="G4798" s="3">
        <f t="shared" si="2024"/>
        <v>44112</v>
      </c>
      <c r="H4798" s="2">
        <f t="shared" ca="1" si="2025"/>
        <v>141</v>
      </c>
      <c r="I4798" t="str">
        <f t="shared" si="2026"/>
        <v>USD</v>
      </c>
      <c r="J4798">
        <f t="shared" si="2027"/>
        <v>93.25</v>
      </c>
      <c r="K4798">
        <f t="shared" si="2028"/>
        <v>94.74</v>
      </c>
      <c r="L4798">
        <f t="shared" si="2029"/>
        <v>93.995000000000005</v>
      </c>
      <c r="M4798">
        <f t="shared" si="2030"/>
        <v>0.74499999999999733</v>
      </c>
      <c r="N4798">
        <f t="shared" si="2008"/>
        <v>1.4899999999999949</v>
      </c>
      <c r="O4798">
        <f t="shared" si="2031"/>
        <v>93.68</v>
      </c>
      <c r="P4798">
        <f t="shared" si="2032"/>
        <v>-0.42281879194630717</v>
      </c>
      <c r="Q4798" t="str">
        <f t="shared" si="2009"/>
        <v>0.46% | 1.13%</v>
      </c>
      <c r="R4798" t="str">
        <f t="shared" si="2033"/>
        <v>NEUTRAL</v>
      </c>
      <c r="S4798">
        <f t="shared" si="2010"/>
        <v>0</v>
      </c>
    </row>
    <row r="4799" spans="1:19" hidden="1" x14ac:dyDescent="0.25">
      <c r="A4799" s="5" t="str">
        <f t="shared" si="2011"/>
        <v>44112EUR/USD</v>
      </c>
      <c r="B4799" s="6" t="s">
        <v>77</v>
      </c>
      <c r="C4799" s="6">
        <v>1.1599999999999999</v>
      </c>
      <c r="D4799" s="6">
        <v>1.18</v>
      </c>
      <c r="E4799" s="6">
        <v>1.17</v>
      </c>
      <c r="F4799" t="str">
        <f t="shared" si="2023"/>
        <v>THU</v>
      </c>
      <c r="G4799" s="3">
        <f t="shared" si="2024"/>
        <v>44112</v>
      </c>
      <c r="H4799" s="2">
        <f t="shared" ca="1" si="2025"/>
        <v>141</v>
      </c>
      <c r="I4799" t="str">
        <f t="shared" si="2026"/>
        <v>EUR/USD</v>
      </c>
      <c r="J4799">
        <f t="shared" si="2027"/>
        <v>1.1599999999999999</v>
      </c>
      <c r="K4799">
        <f t="shared" si="2028"/>
        <v>1.18</v>
      </c>
      <c r="L4799">
        <f t="shared" si="2029"/>
        <v>1.17</v>
      </c>
      <c r="M4799">
        <f t="shared" si="2030"/>
        <v>1.0000000000000009E-2</v>
      </c>
      <c r="N4799">
        <f t="shared" si="2008"/>
        <v>2.0000000000000018E-2</v>
      </c>
      <c r="O4799">
        <f t="shared" si="2031"/>
        <v>1.17</v>
      </c>
      <c r="P4799">
        <f t="shared" si="2032"/>
        <v>0</v>
      </c>
      <c r="Q4799" t="str">
        <f t="shared" si="2009"/>
        <v>0.85% | 0.85%</v>
      </c>
      <c r="R4799" t="str">
        <f t="shared" si="2033"/>
        <v>NEUTRAL</v>
      </c>
      <c r="S4799">
        <f t="shared" si="2010"/>
        <v>0</v>
      </c>
    </row>
    <row r="4800" spans="1:19" hidden="1" x14ac:dyDescent="0.25">
      <c r="A4800" s="5" t="str">
        <f t="shared" si="2011"/>
        <v>44112USD/JPY</v>
      </c>
      <c r="B4800" s="6" t="s">
        <v>86</v>
      </c>
      <c r="C4800" s="6">
        <v>105.1</v>
      </c>
      <c r="D4800" s="6">
        <v>106.2</v>
      </c>
      <c r="E4800" s="6">
        <v>105.96</v>
      </c>
      <c r="F4800" t="str">
        <f t="shared" si="2023"/>
        <v>THU</v>
      </c>
      <c r="G4800" s="3">
        <f t="shared" si="2024"/>
        <v>44112</v>
      </c>
      <c r="H4800" s="2">
        <f t="shared" ca="1" si="2025"/>
        <v>141</v>
      </c>
      <c r="I4800" t="str">
        <f t="shared" si="2026"/>
        <v>USD/JPY</v>
      </c>
      <c r="J4800">
        <f t="shared" si="2027"/>
        <v>105.1</v>
      </c>
      <c r="K4800">
        <f t="shared" si="2028"/>
        <v>106.2</v>
      </c>
      <c r="L4800">
        <f t="shared" si="2029"/>
        <v>105.65</v>
      </c>
      <c r="M4800">
        <f t="shared" si="2030"/>
        <v>0.55000000000000426</v>
      </c>
      <c r="N4800">
        <f t="shared" si="2008"/>
        <v>1.1000000000000085</v>
      </c>
      <c r="O4800">
        <f t="shared" si="2031"/>
        <v>105.96</v>
      </c>
      <c r="P4800">
        <f t="shared" si="2032"/>
        <v>0.56363636363633751</v>
      </c>
      <c r="Q4800" t="str">
        <f t="shared" si="2009"/>
        <v>0.81% | 0.23%</v>
      </c>
      <c r="R4800" t="str">
        <f t="shared" si="2033"/>
        <v>NEUTRAL</v>
      </c>
      <c r="S4800">
        <f t="shared" si="2010"/>
        <v>0</v>
      </c>
    </row>
    <row r="4801" spans="1:19" hidden="1" x14ac:dyDescent="0.25">
      <c r="A4801" s="5" t="str">
        <f t="shared" si="2011"/>
        <v>44112GBP/USD</v>
      </c>
      <c r="B4801" s="6" t="s">
        <v>79</v>
      </c>
      <c r="C4801" s="6">
        <v>1.27</v>
      </c>
      <c r="D4801" s="6">
        <v>1.3</v>
      </c>
      <c r="E4801" s="6">
        <v>1.29</v>
      </c>
      <c r="F4801" t="str">
        <f t="shared" si="2023"/>
        <v>THU</v>
      </c>
      <c r="G4801" s="3">
        <f t="shared" si="2024"/>
        <v>44112</v>
      </c>
      <c r="H4801" s="2">
        <f t="shared" ca="1" si="2025"/>
        <v>141</v>
      </c>
      <c r="I4801" t="str">
        <f t="shared" si="2026"/>
        <v>GBP/USD</v>
      </c>
      <c r="J4801">
        <f t="shared" si="2027"/>
        <v>1.27</v>
      </c>
      <c r="K4801">
        <f t="shared" si="2028"/>
        <v>1.3</v>
      </c>
      <c r="L4801">
        <f t="shared" si="2029"/>
        <v>1.2850000000000001</v>
      </c>
      <c r="M4801">
        <f t="shared" si="2030"/>
        <v>1.5000000000000013E-2</v>
      </c>
      <c r="N4801">
        <f t="shared" si="2008"/>
        <v>3.0000000000000027E-2</v>
      </c>
      <c r="O4801">
        <f t="shared" si="2031"/>
        <v>1.29</v>
      </c>
      <c r="P4801">
        <f t="shared" si="2032"/>
        <v>0.33333333333332593</v>
      </c>
      <c r="Q4801" t="str">
        <f t="shared" si="2009"/>
        <v>1.55% | 0.78%</v>
      </c>
      <c r="R4801" t="str">
        <f t="shared" si="2033"/>
        <v>NEUTRAL</v>
      </c>
      <c r="S4801">
        <f t="shared" si="2010"/>
        <v>0</v>
      </c>
    </row>
    <row r="4802" spans="1:19" hidden="1" x14ac:dyDescent="0.25">
      <c r="A4802" s="5" t="str">
        <f t="shared" si="2011"/>
        <v>44112USD/CHF</v>
      </c>
      <c r="B4802" s="6" t="s">
        <v>76</v>
      </c>
      <c r="C4802" s="6">
        <v>0.9</v>
      </c>
      <c r="D4802" s="6">
        <v>0.93</v>
      </c>
      <c r="E4802" s="6">
        <v>0.91</v>
      </c>
      <c r="F4802" t="str">
        <f t="shared" si="2023"/>
        <v>THU</v>
      </c>
      <c r="G4802" s="3">
        <f t="shared" si="2024"/>
        <v>44112</v>
      </c>
      <c r="H4802" s="2">
        <f t="shared" ca="1" si="2025"/>
        <v>141</v>
      </c>
      <c r="I4802" t="str">
        <f t="shared" si="2026"/>
        <v>USD/CHF</v>
      </c>
      <c r="J4802">
        <f t="shared" si="2027"/>
        <v>0.9</v>
      </c>
      <c r="K4802">
        <f t="shared" si="2028"/>
        <v>0.93</v>
      </c>
      <c r="L4802">
        <f t="shared" si="2029"/>
        <v>0.91500000000000004</v>
      </c>
      <c r="M4802">
        <f t="shared" si="2030"/>
        <v>1.5000000000000013E-2</v>
      </c>
      <c r="N4802">
        <f t="shared" si="2008"/>
        <v>3.0000000000000027E-2</v>
      </c>
      <c r="O4802">
        <f t="shared" si="2031"/>
        <v>0.91</v>
      </c>
      <c r="P4802">
        <f t="shared" si="2032"/>
        <v>-0.33333333333333331</v>
      </c>
      <c r="Q4802" t="str">
        <f t="shared" si="2009"/>
        <v>1.1% | 2.2%</v>
      </c>
      <c r="R4802" t="str">
        <f t="shared" si="2033"/>
        <v>BEARISH</v>
      </c>
      <c r="S4802">
        <f t="shared" si="2010"/>
        <v>-1</v>
      </c>
    </row>
    <row r="4803" spans="1:19" hidden="1" x14ac:dyDescent="0.25">
      <c r="A4803" s="5" t="str">
        <f t="shared" si="2011"/>
        <v>44112WTIC</v>
      </c>
      <c r="B4803" s="6" t="s">
        <v>23</v>
      </c>
      <c r="C4803" s="6">
        <v>37.299999999999997</v>
      </c>
      <c r="D4803" s="6">
        <v>41.62</v>
      </c>
      <c r="E4803" s="6">
        <v>39.950000000000003</v>
      </c>
      <c r="F4803" t="str">
        <f t="shared" si="2023"/>
        <v>THU</v>
      </c>
      <c r="G4803" s="3">
        <f t="shared" si="2024"/>
        <v>44112</v>
      </c>
      <c r="H4803" s="2">
        <f t="shared" ca="1" si="2025"/>
        <v>141</v>
      </c>
      <c r="I4803" t="str">
        <f t="shared" si="2026"/>
        <v>WTIC</v>
      </c>
      <c r="J4803">
        <f t="shared" si="2027"/>
        <v>37.299999999999997</v>
      </c>
      <c r="K4803">
        <f t="shared" si="2028"/>
        <v>41.62</v>
      </c>
      <c r="L4803">
        <f t="shared" si="2029"/>
        <v>39.459999999999994</v>
      </c>
      <c r="M4803">
        <f t="shared" si="2030"/>
        <v>2.16</v>
      </c>
      <c r="N4803">
        <f t="shared" ref="N4803:N4866" si="2034">ABS(K4803-J4803)</f>
        <v>4.32</v>
      </c>
      <c r="O4803">
        <f t="shared" si="2031"/>
        <v>39.950000000000003</v>
      </c>
      <c r="P4803">
        <f t="shared" si="2032"/>
        <v>0.22685185185185605</v>
      </c>
      <c r="Q4803" t="str">
        <f t="shared" ref="Q4803:Q4866" si="2035">ROUND(ABS(100*(O4803-J4803)/O4803),2)&amp;"% | "&amp;ROUND(ABS(100*(K4803-O4803)/O4803),2)&amp;"%"</f>
        <v>6.63% | 4.18%</v>
      </c>
      <c r="R4803" t="str">
        <f t="shared" si="2033"/>
        <v>BEARISH</v>
      </c>
      <c r="S4803">
        <f t="shared" ref="S4803:S4866" si="2036">IF(R4803="BEARISH",-1,IF(R4803="NEUTRAL",0,IF(R4803="BULLISH",1,99)))</f>
        <v>-1</v>
      </c>
    </row>
    <row r="4804" spans="1:19" hidden="1" x14ac:dyDescent="0.25">
      <c r="A4804" s="5" t="str">
        <f t="shared" si="2011"/>
        <v>44112NATGAS</v>
      </c>
      <c r="B4804" s="6" t="s">
        <v>89</v>
      </c>
      <c r="C4804" s="6">
        <v>2.2599999999999998</v>
      </c>
      <c r="D4804" s="6">
        <v>2.85</v>
      </c>
      <c r="E4804" s="6">
        <v>2.61</v>
      </c>
      <c r="F4804" t="str">
        <f t="shared" si="2023"/>
        <v>THU</v>
      </c>
      <c r="G4804" s="3">
        <f t="shared" si="2024"/>
        <v>44112</v>
      </c>
      <c r="H4804" s="2">
        <f t="shared" ca="1" si="2025"/>
        <v>141</v>
      </c>
      <c r="I4804" t="str">
        <f t="shared" si="2026"/>
        <v>NATGAS</v>
      </c>
      <c r="J4804">
        <f t="shared" si="2027"/>
        <v>2.2599999999999998</v>
      </c>
      <c r="K4804">
        <f t="shared" si="2028"/>
        <v>2.85</v>
      </c>
      <c r="L4804">
        <f t="shared" si="2029"/>
        <v>2.5549999999999997</v>
      </c>
      <c r="M4804">
        <f t="shared" si="2030"/>
        <v>0.29500000000000248</v>
      </c>
      <c r="N4804">
        <f t="shared" si="2034"/>
        <v>0.5900000000000003</v>
      </c>
      <c r="O4804">
        <f t="shared" si="2031"/>
        <v>2.61</v>
      </c>
      <c r="P4804">
        <f t="shared" si="2032"/>
        <v>0.18644067796610067</v>
      </c>
      <c r="Q4804" t="str">
        <f t="shared" si="2035"/>
        <v>13.41% | 9.2%</v>
      </c>
      <c r="R4804" t="str">
        <f t="shared" si="2033"/>
        <v>BULLISH</v>
      </c>
      <c r="S4804">
        <f t="shared" si="2036"/>
        <v>1</v>
      </c>
    </row>
    <row r="4805" spans="1:19" hidden="1" x14ac:dyDescent="0.25">
      <c r="A4805" s="5" t="str">
        <f t="shared" si="2011"/>
        <v>44112GOLD</v>
      </c>
      <c r="B4805" s="6" t="s">
        <v>25</v>
      </c>
      <c r="C4805" s="6">
        <v>1856</v>
      </c>
      <c r="D4805" s="6">
        <v>1932</v>
      </c>
      <c r="E4805" s="6">
        <v>1890</v>
      </c>
      <c r="F4805" t="str">
        <f t="shared" si="2023"/>
        <v>THU</v>
      </c>
      <c r="G4805" s="3">
        <f t="shared" si="2024"/>
        <v>44112</v>
      </c>
      <c r="H4805" s="2">
        <f t="shared" ca="1" si="2025"/>
        <v>141</v>
      </c>
      <c r="I4805" t="str">
        <f t="shared" si="2026"/>
        <v>GOLD</v>
      </c>
      <c r="J4805">
        <f t="shared" si="2027"/>
        <v>1856</v>
      </c>
      <c r="K4805">
        <f t="shared" si="2028"/>
        <v>1932</v>
      </c>
      <c r="L4805">
        <f t="shared" si="2029"/>
        <v>1894</v>
      </c>
      <c r="M4805">
        <f t="shared" si="2030"/>
        <v>38</v>
      </c>
      <c r="N4805">
        <f t="shared" si="2034"/>
        <v>76</v>
      </c>
      <c r="O4805">
        <f t="shared" si="2031"/>
        <v>1890</v>
      </c>
      <c r="P4805">
        <f t="shared" si="2032"/>
        <v>-0.10526315789473684</v>
      </c>
      <c r="Q4805" t="str">
        <f t="shared" si="2035"/>
        <v>1.8% | 2.22%</v>
      </c>
      <c r="R4805" t="str">
        <f t="shared" si="2033"/>
        <v>BULLISH</v>
      </c>
      <c r="S4805">
        <f t="shared" si="2036"/>
        <v>1</v>
      </c>
    </row>
    <row r="4806" spans="1:19" hidden="1" x14ac:dyDescent="0.25">
      <c r="A4806" s="5" t="str">
        <f t="shared" ref="A4806:A4869" si="2037">G4806&amp;I4806</f>
        <v>44112SILVER</v>
      </c>
      <c r="B4806" s="6" t="s">
        <v>234</v>
      </c>
      <c r="C4806" s="6">
        <v>22.75</v>
      </c>
      <c r="D4806" s="6">
        <v>24.98</v>
      </c>
      <c r="E4806" s="6">
        <v>23.9</v>
      </c>
      <c r="F4806" t="str">
        <f t="shared" si="2023"/>
        <v>THU</v>
      </c>
      <c r="G4806" s="3">
        <f t="shared" si="2024"/>
        <v>44112</v>
      </c>
      <c r="H4806" s="2">
        <f t="shared" ca="1" si="2025"/>
        <v>141</v>
      </c>
      <c r="I4806" t="str">
        <f t="shared" si="2026"/>
        <v>SILVER</v>
      </c>
      <c r="J4806">
        <f t="shared" si="2027"/>
        <v>22.75</v>
      </c>
      <c r="K4806">
        <f t="shared" si="2028"/>
        <v>24.98</v>
      </c>
      <c r="L4806">
        <f t="shared" si="2029"/>
        <v>23.865000000000002</v>
      </c>
      <c r="M4806">
        <f t="shared" si="2030"/>
        <v>1.1150000000000002</v>
      </c>
      <c r="N4806">
        <f t="shared" si="2034"/>
        <v>2.2300000000000004</v>
      </c>
      <c r="O4806">
        <f t="shared" si="2031"/>
        <v>23.9</v>
      </c>
      <c r="P4806">
        <f t="shared" si="2032"/>
        <v>3.1390134529144915E-2</v>
      </c>
      <c r="Q4806" t="str">
        <f t="shared" si="2035"/>
        <v>4.81% | 4.52%</v>
      </c>
      <c r="R4806" t="str">
        <f t="shared" si="2033"/>
        <v>BEARISH</v>
      </c>
      <c r="S4806">
        <f t="shared" si="2036"/>
        <v>-1</v>
      </c>
    </row>
    <row r="4807" spans="1:19" hidden="1" x14ac:dyDescent="0.25">
      <c r="A4807" s="5" t="str">
        <f t="shared" si="2037"/>
        <v>44112COPPER</v>
      </c>
      <c r="B4807" s="6" t="s">
        <v>100</v>
      </c>
      <c r="C4807" s="6">
        <v>2.88</v>
      </c>
      <c r="D4807" s="6">
        <v>3.06</v>
      </c>
      <c r="E4807" s="6">
        <v>3.03</v>
      </c>
      <c r="F4807" t="str">
        <f t="shared" si="2023"/>
        <v>THU</v>
      </c>
      <c r="G4807" s="3">
        <f t="shared" si="2024"/>
        <v>44112</v>
      </c>
      <c r="H4807" s="2">
        <f t="shared" ca="1" si="2025"/>
        <v>141</v>
      </c>
      <c r="I4807" t="str">
        <f t="shared" si="2026"/>
        <v>COPPER</v>
      </c>
      <c r="J4807">
        <f t="shared" si="2027"/>
        <v>2.88</v>
      </c>
      <c r="K4807">
        <f t="shared" si="2028"/>
        <v>3.06</v>
      </c>
      <c r="L4807">
        <f t="shared" si="2029"/>
        <v>2.9699999999999998</v>
      </c>
      <c r="M4807">
        <f t="shared" si="2030"/>
        <v>9.000000000000008E-2</v>
      </c>
      <c r="N4807">
        <f t="shared" si="2034"/>
        <v>0.18000000000000016</v>
      </c>
      <c r="O4807">
        <f t="shared" si="2031"/>
        <v>3.03</v>
      </c>
      <c r="P4807">
        <f t="shared" si="2032"/>
        <v>0.66666666666666663</v>
      </c>
      <c r="Q4807" t="str">
        <f t="shared" si="2035"/>
        <v>4.95% | 0.99%</v>
      </c>
      <c r="R4807" t="str">
        <f t="shared" si="2033"/>
        <v>BULLISH</v>
      </c>
      <c r="S4807">
        <f t="shared" si="2036"/>
        <v>1</v>
      </c>
    </row>
    <row r="4808" spans="1:19" hidden="1" x14ac:dyDescent="0.25">
      <c r="A4808" s="5" t="str">
        <f t="shared" si="2037"/>
        <v>44112MSFT</v>
      </c>
      <c r="B4808" s="6" t="s">
        <v>236</v>
      </c>
      <c r="C4808" s="6">
        <v>200</v>
      </c>
      <c r="D4808" s="6">
        <v>213</v>
      </c>
      <c r="E4808" s="6">
        <v>209</v>
      </c>
      <c r="F4808" t="str">
        <f t="shared" si="2023"/>
        <v>THU</v>
      </c>
      <c r="G4808" s="3">
        <f t="shared" si="2024"/>
        <v>44112</v>
      </c>
      <c r="H4808" s="2">
        <f t="shared" ca="1" si="2025"/>
        <v>141</v>
      </c>
      <c r="I4808" t="str">
        <f t="shared" si="2026"/>
        <v>MSFT</v>
      </c>
      <c r="J4808">
        <f t="shared" si="2027"/>
        <v>200</v>
      </c>
      <c r="K4808">
        <f t="shared" si="2028"/>
        <v>213</v>
      </c>
      <c r="L4808">
        <f t="shared" si="2029"/>
        <v>206.5</v>
      </c>
      <c r="M4808">
        <f t="shared" si="2030"/>
        <v>6.5</v>
      </c>
      <c r="N4808">
        <f t="shared" si="2034"/>
        <v>13</v>
      </c>
      <c r="O4808">
        <f t="shared" si="2031"/>
        <v>209</v>
      </c>
      <c r="P4808">
        <f t="shared" si="2032"/>
        <v>0.38461538461538464</v>
      </c>
      <c r="Q4808" t="str">
        <f t="shared" si="2035"/>
        <v>4.31% | 1.91%</v>
      </c>
      <c r="R4808" t="str">
        <f t="shared" si="2033"/>
        <v>BEARISH</v>
      </c>
      <c r="S4808">
        <f t="shared" si="2036"/>
        <v>-1</v>
      </c>
    </row>
    <row r="4809" spans="1:19" hidden="1" x14ac:dyDescent="0.25">
      <c r="A4809" s="5" t="str">
        <f t="shared" si="2037"/>
        <v>44112AAPL</v>
      </c>
      <c r="B4809" s="6" t="s">
        <v>63</v>
      </c>
      <c r="C4809" s="6">
        <v>109</v>
      </c>
      <c r="D4809" s="6">
        <v>118</v>
      </c>
      <c r="E4809" s="6">
        <v>115</v>
      </c>
      <c r="F4809" t="str">
        <f t="shared" si="2023"/>
        <v>THU</v>
      </c>
      <c r="G4809" s="3">
        <f t="shared" si="2024"/>
        <v>44112</v>
      </c>
      <c r="H4809" s="2">
        <f t="shared" ca="1" si="2025"/>
        <v>141</v>
      </c>
      <c r="I4809" t="str">
        <f t="shared" si="2026"/>
        <v>AAPL</v>
      </c>
      <c r="J4809">
        <f t="shared" si="2027"/>
        <v>109</v>
      </c>
      <c r="K4809">
        <f t="shared" si="2028"/>
        <v>118</v>
      </c>
      <c r="L4809">
        <f t="shared" si="2029"/>
        <v>113.5</v>
      </c>
      <c r="M4809">
        <f t="shared" si="2030"/>
        <v>4.5</v>
      </c>
      <c r="N4809">
        <f t="shared" si="2034"/>
        <v>9</v>
      </c>
      <c r="O4809">
        <f t="shared" si="2031"/>
        <v>115</v>
      </c>
      <c r="P4809">
        <f t="shared" si="2032"/>
        <v>0.33333333333333331</v>
      </c>
      <c r="Q4809" t="str">
        <f t="shared" si="2035"/>
        <v>5.22% | 2.61%</v>
      </c>
      <c r="R4809" t="str">
        <f t="shared" si="2033"/>
        <v>NEUTRAL</v>
      </c>
      <c r="S4809">
        <f t="shared" si="2036"/>
        <v>0</v>
      </c>
    </row>
    <row r="4810" spans="1:19" hidden="1" x14ac:dyDescent="0.25">
      <c r="A4810" s="5" t="str">
        <f t="shared" si="2037"/>
        <v>44112AMZN</v>
      </c>
      <c r="B4810" s="6" t="s">
        <v>29</v>
      </c>
      <c r="C4810" s="6">
        <v>3050</v>
      </c>
      <c r="D4810" s="6">
        <v>3245</v>
      </c>
      <c r="E4810" s="6">
        <v>3195</v>
      </c>
      <c r="F4810" t="str">
        <f t="shared" si="2023"/>
        <v>THU</v>
      </c>
      <c r="G4810" s="3">
        <f t="shared" si="2024"/>
        <v>44112</v>
      </c>
      <c r="H4810" s="2">
        <f t="shared" ca="1" si="2025"/>
        <v>141</v>
      </c>
      <c r="I4810" t="str">
        <f t="shared" si="2026"/>
        <v>AMZN</v>
      </c>
      <c r="J4810">
        <f t="shared" si="2027"/>
        <v>3050</v>
      </c>
      <c r="K4810">
        <f t="shared" si="2028"/>
        <v>3245</v>
      </c>
      <c r="L4810">
        <f t="shared" si="2029"/>
        <v>3147.5</v>
      </c>
      <c r="M4810">
        <f t="shared" si="2030"/>
        <v>97.5</v>
      </c>
      <c r="N4810">
        <f t="shared" si="2034"/>
        <v>195</v>
      </c>
      <c r="O4810">
        <f t="shared" si="2031"/>
        <v>3195</v>
      </c>
      <c r="P4810">
        <f t="shared" si="2032"/>
        <v>0.48717948717948717</v>
      </c>
      <c r="Q4810" t="str">
        <f t="shared" si="2035"/>
        <v>4.54% | 1.56%</v>
      </c>
      <c r="R4810" t="str">
        <f t="shared" si="2033"/>
        <v>BULLISH</v>
      </c>
      <c r="S4810">
        <f t="shared" si="2036"/>
        <v>1</v>
      </c>
    </row>
    <row r="4811" spans="1:19" hidden="1" x14ac:dyDescent="0.25">
      <c r="A4811" s="5" t="str">
        <f t="shared" si="2037"/>
        <v>44112FB</v>
      </c>
      <c r="B4811" s="6" t="s">
        <v>157</v>
      </c>
      <c r="C4811" s="6">
        <v>249</v>
      </c>
      <c r="D4811" s="6">
        <v>267</v>
      </c>
      <c r="E4811" s="6">
        <v>258</v>
      </c>
      <c r="F4811" t="str">
        <f t="shared" si="2023"/>
        <v>THU</v>
      </c>
      <c r="G4811" s="3">
        <f t="shared" si="2024"/>
        <v>44112</v>
      </c>
      <c r="H4811" s="2">
        <f t="shared" ca="1" si="2025"/>
        <v>141</v>
      </c>
      <c r="I4811" t="str">
        <f t="shared" si="2026"/>
        <v>FB</v>
      </c>
      <c r="J4811">
        <f t="shared" si="2027"/>
        <v>249</v>
      </c>
      <c r="K4811">
        <f t="shared" si="2028"/>
        <v>267</v>
      </c>
      <c r="L4811">
        <f t="shared" si="2029"/>
        <v>258</v>
      </c>
      <c r="M4811">
        <f t="shared" si="2030"/>
        <v>9</v>
      </c>
      <c r="N4811">
        <f t="shared" si="2034"/>
        <v>18</v>
      </c>
      <c r="O4811">
        <f t="shared" si="2031"/>
        <v>258</v>
      </c>
      <c r="P4811">
        <f t="shared" si="2032"/>
        <v>0</v>
      </c>
      <c r="Q4811" t="str">
        <f t="shared" si="2035"/>
        <v>3.49% | 3.49%</v>
      </c>
      <c r="R4811" t="str">
        <f t="shared" si="2033"/>
        <v>NEUTRAL</v>
      </c>
      <c r="S4811">
        <f t="shared" si="2036"/>
        <v>0</v>
      </c>
    </row>
    <row r="4812" spans="1:19" hidden="1" x14ac:dyDescent="0.25">
      <c r="A4812" s="5" t="str">
        <f t="shared" si="2037"/>
        <v>44112GOOGL</v>
      </c>
      <c r="B4812" s="6" t="s">
        <v>66</v>
      </c>
      <c r="C4812" s="6">
        <v>1414</v>
      </c>
      <c r="D4812" s="6">
        <v>1489</v>
      </c>
      <c r="E4812" s="6">
        <v>1459</v>
      </c>
      <c r="F4812" t="str">
        <f t="shared" si="2023"/>
        <v>THU</v>
      </c>
      <c r="G4812" s="3">
        <f t="shared" si="2024"/>
        <v>44112</v>
      </c>
      <c r="H4812" s="2">
        <f t="shared" ca="1" si="2025"/>
        <v>141</v>
      </c>
      <c r="I4812" t="str">
        <f t="shared" si="2026"/>
        <v>GOOGL</v>
      </c>
      <c r="J4812">
        <f t="shared" si="2027"/>
        <v>1414</v>
      </c>
      <c r="K4812">
        <f t="shared" si="2028"/>
        <v>1489</v>
      </c>
      <c r="L4812">
        <f t="shared" si="2029"/>
        <v>1451.5</v>
      </c>
      <c r="M4812">
        <f t="shared" si="2030"/>
        <v>37.5</v>
      </c>
      <c r="N4812">
        <f t="shared" si="2034"/>
        <v>75</v>
      </c>
      <c r="O4812">
        <f t="shared" si="2031"/>
        <v>1459</v>
      </c>
      <c r="P4812">
        <f t="shared" si="2032"/>
        <v>0.2</v>
      </c>
      <c r="Q4812" t="str">
        <f t="shared" si="2035"/>
        <v>3.08% | 2.06%</v>
      </c>
      <c r="R4812" t="str">
        <f t="shared" si="2033"/>
        <v>BEARISH</v>
      </c>
      <c r="S4812">
        <f t="shared" si="2036"/>
        <v>-1</v>
      </c>
    </row>
    <row r="4813" spans="1:19" hidden="1" x14ac:dyDescent="0.25">
      <c r="A4813" s="5" t="str">
        <f t="shared" si="2037"/>
        <v>44112NFLX</v>
      </c>
      <c r="B4813" s="6" t="s">
        <v>70</v>
      </c>
      <c r="C4813" s="6">
        <v>471</v>
      </c>
      <c r="D4813" s="6">
        <v>541</v>
      </c>
      <c r="E4813" s="6">
        <v>534</v>
      </c>
      <c r="F4813" t="str">
        <f t="shared" si="2023"/>
        <v>THU</v>
      </c>
      <c r="G4813" s="3">
        <f t="shared" si="2024"/>
        <v>44112</v>
      </c>
      <c r="H4813" s="2">
        <f t="shared" ca="1" si="2025"/>
        <v>141</v>
      </c>
      <c r="I4813" t="str">
        <f t="shared" si="2026"/>
        <v>NFLX</v>
      </c>
      <c r="J4813">
        <f t="shared" si="2027"/>
        <v>471</v>
      </c>
      <c r="K4813">
        <f t="shared" si="2028"/>
        <v>541</v>
      </c>
      <c r="L4813">
        <f t="shared" si="2029"/>
        <v>506</v>
      </c>
      <c r="M4813">
        <f t="shared" si="2030"/>
        <v>35</v>
      </c>
      <c r="N4813">
        <f t="shared" si="2034"/>
        <v>70</v>
      </c>
      <c r="O4813">
        <f t="shared" si="2031"/>
        <v>534</v>
      </c>
      <c r="P4813">
        <f t="shared" si="2032"/>
        <v>0.8</v>
      </c>
      <c r="Q4813" t="str">
        <f t="shared" si="2035"/>
        <v>11.8% | 1.31%</v>
      </c>
      <c r="R4813" t="str">
        <f t="shared" si="2033"/>
        <v>NEUTRAL</v>
      </c>
      <c r="S4813">
        <f t="shared" si="2036"/>
        <v>0</v>
      </c>
    </row>
    <row r="4814" spans="1:19" x14ac:dyDescent="0.25">
      <c r="A4814" s="5" t="str">
        <f t="shared" si="2037"/>
        <v>44112TSLA</v>
      </c>
      <c r="B4814" s="6" t="s">
        <v>71</v>
      </c>
      <c r="C4814" s="6">
        <v>397</v>
      </c>
      <c r="D4814" s="6">
        <v>448</v>
      </c>
      <c r="E4814" s="6">
        <v>425</v>
      </c>
      <c r="F4814" t="str">
        <f t="shared" si="2023"/>
        <v>THU</v>
      </c>
      <c r="G4814" s="3">
        <f t="shared" si="2024"/>
        <v>44112</v>
      </c>
      <c r="H4814" s="2">
        <f t="shared" ca="1" si="2025"/>
        <v>141</v>
      </c>
      <c r="I4814" t="str">
        <f t="shared" si="2026"/>
        <v>TSLA</v>
      </c>
      <c r="J4814">
        <f t="shared" si="2027"/>
        <v>397</v>
      </c>
      <c r="K4814">
        <f t="shared" si="2028"/>
        <v>448</v>
      </c>
      <c r="L4814">
        <f t="shared" si="2029"/>
        <v>422.5</v>
      </c>
      <c r="M4814">
        <f t="shared" si="2030"/>
        <v>25.5</v>
      </c>
      <c r="N4814">
        <f t="shared" si="2034"/>
        <v>51</v>
      </c>
      <c r="O4814">
        <f t="shared" si="2031"/>
        <v>425</v>
      </c>
      <c r="P4814">
        <f t="shared" si="2032"/>
        <v>9.8039215686274508E-2</v>
      </c>
      <c r="Q4814" t="str">
        <f t="shared" si="2035"/>
        <v>6.59% | 5.41%</v>
      </c>
      <c r="R4814" t="str">
        <f t="shared" si="2033"/>
        <v>NEUTRAL</v>
      </c>
      <c r="S4814">
        <f t="shared" si="2036"/>
        <v>0</v>
      </c>
    </row>
    <row r="4815" spans="1:19" hidden="1" x14ac:dyDescent="0.25">
      <c r="A4815" s="5" t="str">
        <f t="shared" si="2037"/>
        <v>44112NYXBT</v>
      </c>
      <c r="B4815" s="6" t="s">
        <v>72</v>
      </c>
      <c r="C4815" s="6">
        <v>10309</v>
      </c>
      <c r="D4815" s="6">
        <v>10921</v>
      </c>
      <c r="E4815" s="6">
        <v>10623</v>
      </c>
      <c r="F4815" t="str">
        <f t="shared" si="2023"/>
        <v>THU</v>
      </c>
      <c r="G4815" s="3">
        <f t="shared" si="2024"/>
        <v>44112</v>
      </c>
      <c r="H4815" s="2">
        <f t="shared" ca="1" si="2025"/>
        <v>141</v>
      </c>
      <c r="I4815" t="str">
        <f t="shared" si="2026"/>
        <v>NYXBT</v>
      </c>
      <c r="J4815">
        <f t="shared" si="2027"/>
        <v>10309</v>
      </c>
      <c r="K4815">
        <f t="shared" si="2028"/>
        <v>10921</v>
      </c>
      <c r="L4815">
        <f t="shared" si="2029"/>
        <v>10615</v>
      </c>
      <c r="M4815">
        <f t="shared" si="2030"/>
        <v>306</v>
      </c>
      <c r="N4815">
        <f t="shared" si="2034"/>
        <v>612</v>
      </c>
      <c r="O4815">
        <f t="shared" si="2031"/>
        <v>10623</v>
      </c>
      <c r="P4815">
        <f t="shared" si="2032"/>
        <v>2.6143790849673203E-2</v>
      </c>
      <c r="Q4815" t="str">
        <f t="shared" si="2035"/>
        <v>2.96% | 2.81%</v>
      </c>
      <c r="R4815" t="str">
        <f t="shared" si="2033"/>
        <v>NEUTRAL</v>
      </c>
      <c r="S4815">
        <f t="shared" si="2036"/>
        <v>0</v>
      </c>
    </row>
    <row r="4816" spans="1:19" hidden="1" x14ac:dyDescent="0.25">
      <c r="A4816" s="5" t="str">
        <f t="shared" si="2037"/>
        <v>44113UST10Y</v>
      </c>
      <c r="B4816" s="6" t="s">
        <v>4</v>
      </c>
      <c r="C4816" s="6">
        <v>0.81</v>
      </c>
      <c r="D4816" s="6">
        <v>0.61</v>
      </c>
      <c r="E4816" s="6">
        <v>0.78</v>
      </c>
      <c r="F4816" t="str">
        <f t="shared" si="2023"/>
        <v>FRI</v>
      </c>
      <c r="G4816" s="1">
        <f>DATE(2020,10,9)</f>
        <v>44113</v>
      </c>
      <c r="H4816" s="2">
        <f t="shared" ca="1" si="2025"/>
        <v>140</v>
      </c>
      <c r="I4816" t="str">
        <f t="shared" si="2026"/>
        <v>UST10Y</v>
      </c>
      <c r="J4816">
        <f t="shared" si="2027"/>
        <v>0.81</v>
      </c>
      <c r="K4816">
        <f t="shared" si="2028"/>
        <v>0.61</v>
      </c>
      <c r="L4816">
        <f t="shared" si="2029"/>
        <v>0.71</v>
      </c>
      <c r="M4816">
        <f t="shared" si="2030"/>
        <v>0.10000000000000005</v>
      </c>
      <c r="N4816">
        <f t="shared" si="2034"/>
        <v>0.20000000000000007</v>
      </c>
      <c r="O4816">
        <f t="shared" si="2031"/>
        <v>0.78</v>
      </c>
      <c r="P4816">
        <f t="shared" si="2032"/>
        <v>0.70000000000000029</v>
      </c>
      <c r="Q4816" t="str">
        <f t="shared" si="2035"/>
        <v>3.85% | 21.79%</v>
      </c>
      <c r="R4816" t="str">
        <f t="shared" si="2033"/>
        <v>BEARISH</v>
      </c>
      <c r="S4816">
        <f t="shared" si="2036"/>
        <v>-1</v>
      </c>
    </row>
    <row r="4817" spans="1:19" hidden="1" x14ac:dyDescent="0.25">
      <c r="A4817" s="5" t="str">
        <f t="shared" si="2037"/>
        <v>44113UST2Y</v>
      </c>
      <c r="B4817" s="6" t="s">
        <v>5</v>
      </c>
      <c r="C4817" s="6">
        <v>0.16</v>
      </c>
      <c r="D4817" s="6">
        <v>0.1</v>
      </c>
      <c r="E4817" s="6">
        <v>0.13</v>
      </c>
      <c r="F4817" t="str">
        <f t="shared" ref="F4817:F4847" si="2038">UPPER(TEXT(G4817,"ddd"))</f>
        <v>FRI</v>
      </c>
      <c r="G4817" s="1">
        <f t="shared" ref="G4817:G4846" si="2039">DATE(2020,10,9)</f>
        <v>44113</v>
      </c>
      <c r="H4817" s="2">
        <f t="shared" ref="H4817:H4847" ca="1" si="2040">TODAY()-G4817</f>
        <v>140</v>
      </c>
      <c r="I4817" t="str">
        <f t="shared" ref="I4817:I4847" si="2041">TRIM(LEFT(B4817,FIND(" ",B4817,1)))</f>
        <v>UST2Y</v>
      </c>
      <c r="J4817">
        <f t="shared" ref="J4817:J4847" si="2042">C4817</f>
        <v>0.16</v>
      </c>
      <c r="K4817">
        <f t="shared" ref="K4817:K4847" si="2043">D4817</f>
        <v>0.1</v>
      </c>
      <c r="L4817">
        <f t="shared" ref="L4817:L4847" si="2044">AVERAGE(J4817:K4817)</f>
        <v>0.13</v>
      </c>
      <c r="M4817">
        <f t="shared" ref="M4817:M4847" si="2045">_xlfn.STDEV.P(J4817:K4817)</f>
        <v>3.0000000000000023E-2</v>
      </c>
      <c r="N4817">
        <f t="shared" si="2034"/>
        <v>0.06</v>
      </c>
      <c r="O4817">
        <f t="shared" ref="O4817:O4847" si="2046">E4817</f>
        <v>0.13</v>
      </c>
      <c r="P4817">
        <f t="shared" ref="P4817:P4847" si="2047">(O4817-L4817)/M4817</f>
        <v>0</v>
      </c>
      <c r="Q4817" t="str">
        <f t="shared" si="2035"/>
        <v>23.08% | 23.08%</v>
      </c>
      <c r="R4817" t="str">
        <f t="shared" ref="R4817:R4847" si="2048">MID(B4817,FIND("(",B4817,1)+1,FIND(")",B4817,1)-FIND("(",B4817,1)-1)</f>
        <v>BEARISH</v>
      </c>
      <c r="S4817">
        <f t="shared" si="2036"/>
        <v>-1</v>
      </c>
    </row>
    <row r="4818" spans="1:19" hidden="1" x14ac:dyDescent="0.25">
      <c r="A4818" s="5" t="str">
        <f t="shared" si="2037"/>
        <v>44113SPX</v>
      </c>
      <c r="B4818" s="6" t="s">
        <v>6</v>
      </c>
      <c r="C4818" s="6">
        <v>3287</v>
      </c>
      <c r="D4818" s="6">
        <v>3461</v>
      </c>
      <c r="E4818" s="6">
        <v>3446</v>
      </c>
      <c r="F4818" t="str">
        <f t="shared" si="2038"/>
        <v>FRI</v>
      </c>
      <c r="G4818" s="1">
        <f t="shared" si="2039"/>
        <v>44113</v>
      </c>
      <c r="H4818" s="2">
        <f t="shared" ca="1" si="2040"/>
        <v>140</v>
      </c>
      <c r="I4818" t="str">
        <f t="shared" si="2041"/>
        <v>SPX</v>
      </c>
      <c r="J4818">
        <f t="shared" si="2042"/>
        <v>3287</v>
      </c>
      <c r="K4818">
        <f t="shared" si="2043"/>
        <v>3461</v>
      </c>
      <c r="L4818">
        <f t="shared" si="2044"/>
        <v>3374</v>
      </c>
      <c r="M4818">
        <f t="shared" si="2045"/>
        <v>87</v>
      </c>
      <c r="N4818">
        <f t="shared" si="2034"/>
        <v>174</v>
      </c>
      <c r="O4818">
        <f t="shared" si="2046"/>
        <v>3446</v>
      </c>
      <c r="P4818">
        <f t="shared" si="2047"/>
        <v>0.82758620689655171</v>
      </c>
      <c r="Q4818" t="str">
        <f t="shared" si="2035"/>
        <v>4.61% | 0.44%</v>
      </c>
      <c r="R4818" t="str">
        <f t="shared" si="2048"/>
        <v>BEARISH</v>
      </c>
      <c r="S4818">
        <f t="shared" si="2036"/>
        <v>-1</v>
      </c>
    </row>
    <row r="4819" spans="1:19" hidden="1" x14ac:dyDescent="0.25">
      <c r="A4819" s="5" t="str">
        <f t="shared" si="2037"/>
        <v>44113RUT</v>
      </c>
      <c r="B4819" s="6" t="s">
        <v>7</v>
      </c>
      <c r="C4819" s="6">
        <v>1465</v>
      </c>
      <c r="D4819" s="6">
        <v>1643</v>
      </c>
      <c r="E4819" s="6">
        <v>1628</v>
      </c>
      <c r="F4819" t="str">
        <f t="shared" si="2038"/>
        <v>FRI</v>
      </c>
      <c r="G4819" s="1">
        <f t="shared" si="2039"/>
        <v>44113</v>
      </c>
      <c r="H4819" s="2">
        <f t="shared" ca="1" si="2040"/>
        <v>140</v>
      </c>
      <c r="I4819" t="str">
        <f t="shared" si="2041"/>
        <v>RUT</v>
      </c>
      <c r="J4819">
        <f t="shared" si="2042"/>
        <v>1465</v>
      </c>
      <c r="K4819">
        <f t="shared" si="2043"/>
        <v>1643</v>
      </c>
      <c r="L4819">
        <f t="shared" si="2044"/>
        <v>1554</v>
      </c>
      <c r="M4819">
        <f t="shared" si="2045"/>
        <v>89</v>
      </c>
      <c r="N4819">
        <f t="shared" si="2034"/>
        <v>178</v>
      </c>
      <c r="O4819">
        <f t="shared" si="2046"/>
        <v>1628</v>
      </c>
      <c r="P4819">
        <f t="shared" si="2047"/>
        <v>0.8314606741573034</v>
      </c>
      <c r="Q4819" t="str">
        <f t="shared" si="2035"/>
        <v>10.01% | 0.92%</v>
      </c>
      <c r="R4819" t="str">
        <f t="shared" si="2048"/>
        <v>BEARISH</v>
      </c>
      <c r="S4819">
        <f t="shared" si="2036"/>
        <v>-1</v>
      </c>
    </row>
    <row r="4820" spans="1:19" hidden="1" x14ac:dyDescent="0.25">
      <c r="A4820" s="5" t="str">
        <f t="shared" si="2037"/>
        <v>44113COMPQ</v>
      </c>
      <c r="B4820" s="6" t="s">
        <v>64</v>
      </c>
      <c r="C4820" s="6">
        <v>10736</v>
      </c>
      <c r="D4820" s="6">
        <v>11497</v>
      </c>
      <c r="E4820" s="6">
        <v>11420</v>
      </c>
      <c r="F4820" t="str">
        <f t="shared" si="2038"/>
        <v>FRI</v>
      </c>
      <c r="G4820" s="1">
        <f t="shared" si="2039"/>
        <v>44113</v>
      </c>
      <c r="H4820" s="2">
        <f t="shared" ca="1" si="2040"/>
        <v>140</v>
      </c>
      <c r="I4820" t="str">
        <f t="shared" si="2041"/>
        <v>COMPQ</v>
      </c>
      <c r="J4820">
        <f t="shared" si="2042"/>
        <v>10736</v>
      </c>
      <c r="K4820">
        <f t="shared" si="2043"/>
        <v>11497</v>
      </c>
      <c r="L4820">
        <f t="shared" si="2044"/>
        <v>11116.5</v>
      </c>
      <c r="M4820">
        <f t="shared" si="2045"/>
        <v>380.5</v>
      </c>
      <c r="N4820">
        <f t="shared" si="2034"/>
        <v>761</v>
      </c>
      <c r="O4820">
        <f t="shared" si="2046"/>
        <v>11420</v>
      </c>
      <c r="P4820">
        <f t="shared" si="2047"/>
        <v>0.797634691195795</v>
      </c>
      <c r="Q4820" t="str">
        <f t="shared" si="2035"/>
        <v>5.99% | 0.67%</v>
      </c>
      <c r="R4820" t="str">
        <f t="shared" si="2048"/>
        <v>BEARISH</v>
      </c>
      <c r="S4820">
        <f t="shared" si="2036"/>
        <v>-1</v>
      </c>
    </row>
    <row r="4821" spans="1:19" hidden="1" x14ac:dyDescent="0.25">
      <c r="A4821" s="5" t="str">
        <f t="shared" si="2037"/>
        <v>44113XLK</v>
      </c>
      <c r="B4821" s="6" t="s">
        <v>62</v>
      </c>
      <c r="C4821" s="6">
        <v>111.13</v>
      </c>
      <c r="D4821" s="6">
        <v>119.04</v>
      </c>
      <c r="E4821" s="6">
        <v>118.37</v>
      </c>
      <c r="F4821" t="str">
        <f t="shared" si="2038"/>
        <v>FRI</v>
      </c>
      <c r="G4821" s="1">
        <f t="shared" si="2039"/>
        <v>44113</v>
      </c>
      <c r="H4821" s="2">
        <f t="shared" ca="1" si="2040"/>
        <v>140</v>
      </c>
      <c r="I4821" t="str">
        <f t="shared" si="2041"/>
        <v>XLK</v>
      </c>
      <c r="J4821">
        <f t="shared" si="2042"/>
        <v>111.13</v>
      </c>
      <c r="K4821">
        <f t="shared" si="2043"/>
        <v>119.04</v>
      </c>
      <c r="L4821">
        <f t="shared" si="2044"/>
        <v>115.08500000000001</v>
      </c>
      <c r="M4821">
        <f t="shared" si="2045"/>
        <v>3.9550000000000054</v>
      </c>
      <c r="N4821">
        <f t="shared" si="2034"/>
        <v>7.9100000000000108</v>
      </c>
      <c r="O4821">
        <f t="shared" si="2046"/>
        <v>118.37</v>
      </c>
      <c r="P4821">
        <f t="shared" si="2047"/>
        <v>0.83059418457648349</v>
      </c>
      <c r="Q4821" t="str">
        <f t="shared" si="2035"/>
        <v>6.12% | 0.57%</v>
      </c>
      <c r="R4821" t="str">
        <f t="shared" si="2048"/>
        <v>NEUTRAL</v>
      </c>
      <c r="S4821">
        <f t="shared" si="2036"/>
        <v>0</v>
      </c>
    </row>
    <row r="4822" spans="1:19" hidden="1" x14ac:dyDescent="0.25">
      <c r="A4822" s="5" t="str">
        <f t="shared" si="2037"/>
        <v>44113XLRE</v>
      </c>
      <c r="B4822" s="6" t="s">
        <v>97</v>
      </c>
      <c r="C4822" s="6">
        <v>34.700000000000003</v>
      </c>
      <c r="D4822" s="6">
        <v>37.54</v>
      </c>
      <c r="E4822" s="6">
        <v>37.03</v>
      </c>
      <c r="F4822" t="str">
        <f t="shared" si="2038"/>
        <v>FRI</v>
      </c>
      <c r="G4822" s="1">
        <f t="shared" si="2039"/>
        <v>44113</v>
      </c>
      <c r="H4822" s="2">
        <f t="shared" ca="1" si="2040"/>
        <v>140</v>
      </c>
      <c r="I4822" t="str">
        <f t="shared" si="2041"/>
        <v>XLRE</v>
      </c>
      <c r="J4822">
        <f t="shared" si="2042"/>
        <v>34.700000000000003</v>
      </c>
      <c r="K4822">
        <f t="shared" si="2043"/>
        <v>37.54</v>
      </c>
      <c r="L4822">
        <f t="shared" si="2044"/>
        <v>36.120000000000005</v>
      </c>
      <c r="M4822">
        <f t="shared" si="2045"/>
        <v>1.4199999999999982</v>
      </c>
      <c r="N4822">
        <f t="shared" si="2034"/>
        <v>2.8399999999999963</v>
      </c>
      <c r="O4822">
        <f t="shared" si="2046"/>
        <v>37.03</v>
      </c>
      <c r="P4822">
        <f t="shared" si="2047"/>
        <v>0.64084507042253369</v>
      </c>
      <c r="Q4822" t="str">
        <f t="shared" si="2035"/>
        <v>6.29% | 1.38%</v>
      </c>
      <c r="R4822" t="str">
        <f t="shared" si="2048"/>
        <v>BULLISH</v>
      </c>
      <c r="S4822">
        <f t="shared" si="2036"/>
        <v>1</v>
      </c>
    </row>
    <row r="4823" spans="1:19" hidden="1" x14ac:dyDescent="0.25">
      <c r="A4823" s="5" t="str">
        <f t="shared" si="2037"/>
        <v>44113XLU</v>
      </c>
      <c r="B4823" s="6" t="s">
        <v>52</v>
      </c>
      <c r="C4823" s="6">
        <v>57.75</v>
      </c>
      <c r="D4823" s="6">
        <v>63.98</v>
      </c>
      <c r="E4823" s="6">
        <v>63.49</v>
      </c>
      <c r="F4823" t="str">
        <f t="shared" si="2038"/>
        <v>FRI</v>
      </c>
      <c r="G4823" s="1">
        <f t="shared" si="2039"/>
        <v>44113</v>
      </c>
      <c r="H4823" s="2">
        <f t="shared" ca="1" si="2040"/>
        <v>140</v>
      </c>
      <c r="I4823" t="str">
        <f t="shared" si="2041"/>
        <v>XLU</v>
      </c>
      <c r="J4823">
        <f t="shared" si="2042"/>
        <v>57.75</v>
      </c>
      <c r="K4823">
        <f t="shared" si="2043"/>
        <v>63.98</v>
      </c>
      <c r="L4823">
        <f t="shared" si="2044"/>
        <v>60.864999999999995</v>
      </c>
      <c r="M4823">
        <f t="shared" si="2045"/>
        <v>3.1149999999999984</v>
      </c>
      <c r="N4823">
        <f t="shared" si="2034"/>
        <v>6.2299999999999969</v>
      </c>
      <c r="O4823">
        <f t="shared" si="2046"/>
        <v>63.49</v>
      </c>
      <c r="P4823">
        <f t="shared" si="2047"/>
        <v>0.84269662921348587</v>
      </c>
      <c r="Q4823" t="str">
        <f t="shared" si="2035"/>
        <v>9.04% | 0.77%</v>
      </c>
      <c r="R4823" t="str">
        <f t="shared" si="2048"/>
        <v>BULLISH</v>
      </c>
      <c r="S4823">
        <f t="shared" si="2036"/>
        <v>1</v>
      </c>
    </row>
    <row r="4824" spans="1:19" hidden="1" x14ac:dyDescent="0.25">
      <c r="A4824" s="5" t="str">
        <f t="shared" si="2037"/>
        <v>44113XLF</v>
      </c>
      <c r="B4824" s="6" t="s">
        <v>12</v>
      </c>
      <c r="C4824" s="6">
        <v>23.03</v>
      </c>
      <c r="D4824" s="6">
        <v>25.35</v>
      </c>
      <c r="E4824" s="6">
        <v>25.2</v>
      </c>
      <c r="F4824" t="str">
        <f t="shared" si="2038"/>
        <v>FRI</v>
      </c>
      <c r="G4824" s="1">
        <f t="shared" si="2039"/>
        <v>44113</v>
      </c>
      <c r="H4824" s="2">
        <f t="shared" ca="1" si="2040"/>
        <v>140</v>
      </c>
      <c r="I4824" t="str">
        <f t="shared" si="2041"/>
        <v>XLF</v>
      </c>
      <c r="J4824">
        <f t="shared" si="2042"/>
        <v>23.03</v>
      </c>
      <c r="K4824">
        <f t="shared" si="2043"/>
        <v>25.35</v>
      </c>
      <c r="L4824">
        <f t="shared" si="2044"/>
        <v>24.19</v>
      </c>
      <c r="M4824">
        <f t="shared" si="2045"/>
        <v>1.1600000000000001</v>
      </c>
      <c r="N4824">
        <f t="shared" si="2034"/>
        <v>2.3200000000000003</v>
      </c>
      <c r="O4824">
        <f t="shared" si="2046"/>
        <v>25.2</v>
      </c>
      <c r="P4824">
        <f t="shared" si="2047"/>
        <v>0.87068965517241192</v>
      </c>
      <c r="Q4824" t="str">
        <f t="shared" si="2035"/>
        <v>8.61% | 0.6%</v>
      </c>
      <c r="R4824" t="str">
        <f t="shared" si="2048"/>
        <v>BEARISH</v>
      </c>
      <c r="S4824">
        <f t="shared" si="2036"/>
        <v>-1</v>
      </c>
    </row>
    <row r="4825" spans="1:19" hidden="1" x14ac:dyDescent="0.25">
      <c r="A4825" s="5" t="str">
        <f t="shared" si="2037"/>
        <v>44113SSEC</v>
      </c>
      <c r="B4825" s="6" t="s">
        <v>104</v>
      </c>
      <c r="C4825" s="6">
        <v>3175</v>
      </c>
      <c r="D4825" s="6">
        <v>3350</v>
      </c>
      <c r="E4825" s="6">
        <v>3272</v>
      </c>
      <c r="F4825" t="str">
        <f t="shared" si="2038"/>
        <v>FRI</v>
      </c>
      <c r="G4825" s="1">
        <f t="shared" si="2039"/>
        <v>44113</v>
      </c>
      <c r="H4825" s="2">
        <f t="shared" ca="1" si="2040"/>
        <v>140</v>
      </c>
      <c r="I4825" t="str">
        <f t="shared" si="2041"/>
        <v>SSEC</v>
      </c>
      <c r="J4825">
        <f t="shared" si="2042"/>
        <v>3175</v>
      </c>
      <c r="K4825">
        <f t="shared" si="2043"/>
        <v>3350</v>
      </c>
      <c r="L4825">
        <f t="shared" si="2044"/>
        <v>3262.5</v>
      </c>
      <c r="M4825">
        <f t="shared" si="2045"/>
        <v>87.5</v>
      </c>
      <c r="N4825">
        <f t="shared" si="2034"/>
        <v>175</v>
      </c>
      <c r="O4825">
        <f t="shared" si="2046"/>
        <v>3272</v>
      </c>
      <c r="P4825">
        <f t="shared" si="2047"/>
        <v>0.10857142857142857</v>
      </c>
      <c r="Q4825" t="str">
        <f t="shared" si="2035"/>
        <v>2.96% | 2.38%</v>
      </c>
      <c r="R4825" t="str">
        <f t="shared" si="2048"/>
        <v>BULLISH</v>
      </c>
      <c r="S4825">
        <f t="shared" si="2036"/>
        <v>1</v>
      </c>
    </row>
    <row r="4826" spans="1:19" hidden="1" x14ac:dyDescent="0.25">
      <c r="A4826" s="5" t="str">
        <f t="shared" si="2037"/>
        <v>44113NIKK</v>
      </c>
      <c r="B4826" s="6" t="s">
        <v>91</v>
      </c>
      <c r="C4826" s="6">
        <v>22986</v>
      </c>
      <c r="D4826" s="6">
        <v>23750</v>
      </c>
      <c r="E4826" s="6">
        <v>23619</v>
      </c>
      <c r="F4826" t="str">
        <f t="shared" si="2038"/>
        <v>FRI</v>
      </c>
      <c r="G4826" s="1">
        <f t="shared" si="2039"/>
        <v>44113</v>
      </c>
      <c r="H4826" s="2">
        <f t="shared" ca="1" si="2040"/>
        <v>140</v>
      </c>
      <c r="I4826" t="str">
        <f t="shared" si="2041"/>
        <v>NIKK</v>
      </c>
      <c r="J4826">
        <f t="shared" si="2042"/>
        <v>22986</v>
      </c>
      <c r="K4826">
        <f t="shared" si="2043"/>
        <v>23750</v>
      </c>
      <c r="L4826">
        <f t="shared" si="2044"/>
        <v>23368</v>
      </c>
      <c r="M4826">
        <f t="shared" si="2045"/>
        <v>382</v>
      </c>
      <c r="N4826">
        <f t="shared" si="2034"/>
        <v>764</v>
      </c>
      <c r="O4826">
        <f t="shared" si="2046"/>
        <v>23619</v>
      </c>
      <c r="P4826">
        <f t="shared" si="2047"/>
        <v>0.65706806282722519</v>
      </c>
      <c r="Q4826" t="str">
        <f t="shared" si="2035"/>
        <v>2.68% | 0.55%</v>
      </c>
      <c r="R4826" t="str">
        <f t="shared" si="2048"/>
        <v>BULLISH</v>
      </c>
      <c r="S4826">
        <f t="shared" si="2036"/>
        <v>1</v>
      </c>
    </row>
    <row r="4827" spans="1:19" hidden="1" x14ac:dyDescent="0.25">
      <c r="A4827" s="5" t="str">
        <f t="shared" si="2037"/>
        <v>44113DAX</v>
      </c>
      <c r="B4827" s="6" t="s">
        <v>16</v>
      </c>
      <c r="C4827" s="6">
        <v>12606</v>
      </c>
      <c r="D4827" s="6">
        <v>13078</v>
      </c>
      <c r="E4827" s="6">
        <v>13042</v>
      </c>
      <c r="F4827" t="str">
        <f t="shared" si="2038"/>
        <v>FRI</v>
      </c>
      <c r="G4827" s="1">
        <f t="shared" si="2039"/>
        <v>44113</v>
      </c>
      <c r="H4827" s="2">
        <f t="shared" ca="1" si="2040"/>
        <v>140</v>
      </c>
      <c r="I4827" t="str">
        <f t="shared" si="2041"/>
        <v>DAX</v>
      </c>
      <c r="J4827">
        <f t="shared" si="2042"/>
        <v>12606</v>
      </c>
      <c r="K4827">
        <f t="shared" si="2043"/>
        <v>13078</v>
      </c>
      <c r="L4827">
        <f t="shared" si="2044"/>
        <v>12842</v>
      </c>
      <c r="M4827">
        <f t="shared" si="2045"/>
        <v>236</v>
      </c>
      <c r="N4827">
        <f t="shared" si="2034"/>
        <v>472</v>
      </c>
      <c r="O4827">
        <f t="shared" si="2046"/>
        <v>13042</v>
      </c>
      <c r="P4827">
        <f t="shared" si="2047"/>
        <v>0.84745762711864403</v>
      </c>
      <c r="Q4827" t="str">
        <f t="shared" si="2035"/>
        <v>3.34% | 0.28%</v>
      </c>
      <c r="R4827" t="str">
        <f t="shared" si="2048"/>
        <v>BEARISH</v>
      </c>
      <c r="S4827">
        <f t="shared" si="2036"/>
        <v>-1</v>
      </c>
    </row>
    <row r="4828" spans="1:19" hidden="1" x14ac:dyDescent="0.25">
      <c r="A4828" s="5" t="str">
        <f t="shared" si="2037"/>
        <v>44113VIX</v>
      </c>
      <c r="B4828" s="6" t="s">
        <v>17</v>
      </c>
      <c r="C4828" s="6">
        <v>25.05</v>
      </c>
      <c r="D4828" s="6">
        <v>29.96</v>
      </c>
      <c r="E4828" s="6">
        <v>26.36</v>
      </c>
      <c r="F4828" t="str">
        <f t="shared" si="2038"/>
        <v>FRI</v>
      </c>
      <c r="G4828" s="1">
        <f t="shared" si="2039"/>
        <v>44113</v>
      </c>
      <c r="H4828" s="2">
        <f t="shared" ca="1" si="2040"/>
        <v>140</v>
      </c>
      <c r="I4828" t="str">
        <f t="shared" si="2041"/>
        <v>VIX</v>
      </c>
      <c r="J4828">
        <f t="shared" si="2042"/>
        <v>25.05</v>
      </c>
      <c r="K4828">
        <f t="shared" si="2043"/>
        <v>29.96</v>
      </c>
      <c r="L4828">
        <f t="shared" si="2044"/>
        <v>27.505000000000003</v>
      </c>
      <c r="M4828">
        <f t="shared" si="2045"/>
        <v>2.4550000000000001</v>
      </c>
      <c r="N4828">
        <f t="shared" si="2034"/>
        <v>4.91</v>
      </c>
      <c r="O4828">
        <f t="shared" si="2046"/>
        <v>26.36</v>
      </c>
      <c r="P4828">
        <f t="shared" si="2047"/>
        <v>-0.46639511201629452</v>
      </c>
      <c r="Q4828" t="str">
        <f t="shared" si="2035"/>
        <v>4.97% | 13.66%</v>
      </c>
      <c r="R4828" t="str">
        <f t="shared" si="2048"/>
        <v>BULLISH</v>
      </c>
      <c r="S4828">
        <f t="shared" si="2036"/>
        <v>1</v>
      </c>
    </row>
    <row r="4829" spans="1:19" hidden="1" x14ac:dyDescent="0.25">
      <c r="A4829" s="5" t="str">
        <f t="shared" si="2037"/>
        <v>44113USD</v>
      </c>
      <c r="B4829" s="6" t="s">
        <v>78</v>
      </c>
      <c r="C4829" s="6">
        <v>93.31</v>
      </c>
      <c r="D4829" s="6">
        <v>94.51</v>
      </c>
      <c r="E4829" s="6">
        <v>93.65</v>
      </c>
      <c r="F4829" t="str">
        <f t="shared" si="2038"/>
        <v>FRI</v>
      </c>
      <c r="G4829" s="1">
        <f t="shared" si="2039"/>
        <v>44113</v>
      </c>
      <c r="H4829" s="2">
        <f t="shared" ca="1" si="2040"/>
        <v>140</v>
      </c>
      <c r="I4829" t="str">
        <f t="shared" si="2041"/>
        <v>USD</v>
      </c>
      <c r="J4829">
        <f t="shared" si="2042"/>
        <v>93.31</v>
      </c>
      <c r="K4829">
        <f t="shared" si="2043"/>
        <v>94.51</v>
      </c>
      <c r="L4829">
        <f t="shared" si="2044"/>
        <v>93.91</v>
      </c>
      <c r="M4829">
        <f t="shared" si="2045"/>
        <v>0.60000000000000142</v>
      </c>
      <c r="N4829">
        <f t="shared" si="2034"/>
        <v>1.2000000000000028</v>
      </c>
      <c r="O4829">
        <f t="shared" si="2046"/>
        <v>93.65</v>
      </c>
      <c r="P4829">
        <f t="shared" si="2047"/>
        <v>-0.43333333333331714</v>
      </c>
      <c r="Q4829" t="str">
        <f t="shared" si="2035"/>
        <v>0.36% | 0.92%</v>
      </c>
      <c r="R4829" t="str">
        <f t="shared" si="2048"/>
        <v>NEUTRAL</v>
      </c>
      <c r="S4829">
        <f t="shared" si="2036"/>
        <v>0</v>
      </c>
    </row>
    <row r="4830" spans="1:19" hidden="1" x14ac:dyDescent="0.25">
      <c r="A4830" s="5" t="str">
        <f t="shared" si="2037"/>
        <v>44113EUR/USD</v>
      </c>
      <c r="B4830" s="6" t="s">
        <v>77</v>
      </c>
      <c r="C4830" s="6">
        <v>1.1599999999999999</v>
      </c>
      <c r="D4830" s="6">
        <v>1.18</v>
      </c>
      <c r="E4830" s="6">
        <v>1.17</v>
      </c>
      <c r="F4830" t="str">
        <f t="shared" si="2038"/>
        <v>FRI</v>
      </c>
      <c r="G4830" s="1">
        <f t="shared" si="2039"/>
        <v>44113</v>
      </c>
      <c r="H4830" s="2">
        <f t="shared" ca="1" si="2040"/>
        <v>140</v>
      </c>
      <c r="I4830" t="str">
        <f t="shared" si="2041"/>
        <v>EUR/USD</v>
      </c>
      <c r="J4830">
        <f t="shared" si="2042"/>
        <v>1.1599999999999999</v>
      </c>
      <c r="K4830">
        <f t="shared" si="2043"/>
        <v>1.18</v>
      </c>
      <c r="L4830">
        <f t="shared" si="2044"/>
        <v>1.17</v>
      </c>
      <c r="M4830">
        <f t="shared" si="2045"/>
        <v>1.0000000000000009E-2</v>
      </c>
      <c r="N4830">
        <f t="shared" si="2034"/>
        <v>2.0000000000000018E-2</v>
      </c>
      <c r="O4830">
        <f t="shared" si="2046"/>
        <v>1.17</v>
      </c>
      <c r="P4830">
        <f t="shared" si="2047"/>
        <v>0</v>
      </c>
      <c r="Q4830" t="str">
        <f t="shared" si="2035"/>
        <v>0.85% | 0.85%</v>
      </c>
      <c r="R4830" t="str">
        <f t="shared" si="2048"/>
        <v>NEUTRAL</v>
      </c>
      <c r="S4830">
        <f t="shared" si="2036"/>
        <v>0</v>
      </c>
    </row>
    <row r="4831" spans="1:19" hidden="1" x14ac:dyDescent="0.25">
      <c r="A4831" s="5" t="str">
        <f t="shared" si="2037"/>
        <v>44113USD/JPY</v>
      </c>
      <c r="B4831" s="6" t="s">
        <v>86</v>
      </c>
      <c r="C4831" s="6">
        <v>105.14</v>
      </c>
      <c r="D4831" s="6">
        <v>106.21</v>
      </c>
      <c r="E4831" s="6">
        <v>106.03</v>
      </c>
      <c r="F4831" t="str">
        <f t="shared" si="2038"/>
        <v>FRI</v>
      </c>
      <c r="G4831" s="1">
        <f t="shared" si="2039"/>
        <v>44113</v>
      </c>
      <c r="H4831" s="2">
        <f t="shared" ca="1" si="2040"/>
        <v>140</v>
      </c>
      <c r="I4831" t="str">
        <f t="shared" si="2041"/>
        <v>USD/JPY</v>
      </c>
      <c r="J4831">
        <f t="shared" si="2042"/>
        <v>105.14</v>
      </c>
      <c r="K4831">
        <f t="shared" si="2043"/>
        <v>106.21</v>
      </c>
      <c r="L4831">
        <f t="shared" si="2044"/>
        <v>105.675</v>
      </c>
      <c r="M4831">
        <f t="shared" si="2045"/>
        <v>0.53499999999999659</v>
      </c>
      <c r="N4831">
        <f t="shared" si="2034"/>
        <v>1.0699999999999932</v>
      </c>
      <c r="O4831">
        <f t="shared" si="2046"/>
        <v>106.03</v>
      </c>
      <c r="P4831">
        <f t="shared" si="2047"/>
        <v>0.6635514018691705</v>
      </c>
      <c r="Q4831" t="str">
        <f t="shared" si="2035"/>
        <v>0.84% | 0.17%</v>
      </c>
      <c r="R4831" t="str">
        <f t="shared" si="2048"/>
        <v>NEUTRAL</v>
      </c>
      <c r="S4831">
        <f t="shared" si="2036"/>
        <v>0</v>
      </c>
    </row>
    <row r="4832" spans="1:19" hidden="1" x14ac:dyDescent="0.25">
      <c r="A4832" s="5" t="str">
        <f t="shared" si="2037"/>
        <v>44113GBP/USD</v>
      </c>
      <c r="B4832" s="6" t="s">
        <v>79</v>
      </c>
      <c r="C4832" s="6">
        <v>1.27</v>
      </c>
      <c r="D4832" s="6">
        <v>1.3</v>
      </c>
      <c r="E4832" s="6">
        <v>1.29</v>
      </c>
      <c r="F4832" t="str">
        <f t="shared" si="2038"/>
        <v>FRI</v>
      </c>
      <c r="G4832" s="1">
        <f t="shared" si="2039"/>
        <v>44113</v>
      </c>
      <c r="H4832" s="2">
        <f t="shared" ca="1" si="2040"/>
        <v>140</v>
      </c>
      <c r="I4832" t="str">
        <f t="shared" si="2041"/>
        <v>GBP/USD</v>
      </c>
      <c r="J4832">
        <f t="shared" si="2042"/>
        <v>1.27</v>
      </c>
      <c r="K4832">
        <f t="shared" si="2043"/>
        <v>1.3</v>
      </c>
      <c r="L4832">
        <f t="shared" si="2044"/>
        <v>1.2850000000000001</v>
      </c>
      <c r="M4832">
        <f t="shared" si="2045"/>
        <v>1.5000000000000013E-2</v>
      </c>
      <c r="N4832">
        <f t="shared" si="2034"/>
        <v>3.0000000000000027E-2</v>
      </c>
      <c r="O4832">
        <f t="shared" si="2046"/>
        <v>1.29</v>
      </c>
      <c r="P4832">
        <f t="shared" si="2047"/>
        <v>0.33333333333332593</v>
      </c>
      <c r="Q4832" t="str">
        <f t="shared" si="2035"/>
        <v>1.55% | 0.78%</v>
      </c>
      <c r="R4832" t="str">
        <f t="shared" si="2048"/>
        <v>NEUTRAL</v>
      </c>
      <c r="S4832">
        <f t="shared" si="2036"/>
        <v>0</v>
      </c>
    </row>
    <row r="4833" spans="1:19" hidden="1" x14ac:dyDescent="0.25">
      <c r="A4833" s="5" t="str">
        <f t="shared" si="2037"/>
        <v>44113USD/CHF</v>
      </c>
      <c r="B4833" s="6" t="s">
        <v>76</v>
      </c>
      <c r="C4833" s="6">
        <v>0.9</v>
      </c>
      <c r="D4833" s="6">
        <v>0.93</v>
      </c>
      <c r="E4833" s="6">
        <v>0.91</v>
      </c>
      <c r="F4833" t="str">
        <f t="shared" si="2038"/>
        <v>FRI</v>
      </c>
      <c r="G4833" s="1">
        <f t="shared" si="2039"/>
        <v>44113</v>
      </c>
      <c r="H4833" s="2">
        <f t="shared" ca="1" si="2040"/>
        <v>140</v>
      </c>
      <c r="I4833" t="str">
        <f t="shared" si="2041"/>
        <v>USD/CHF</v>
      </c>
      <c r="J4833">
        <f t="shared" si="2042"/>
        <v>0.9</v>
      </c>
      <c r="K4833">
        <f t="shared" si="2043"/>
        <v>0.93</v>
      </c>
      <c r="L4833">
        <f t="shared" si="2044"/>
        <v>0.91500000000000004</v>
      </c>
      <c r="M4833">
        <f t="shared" si="2045"/>
        <v>1.5000000000000013E-2</v>
      </c>
      <c r="N4833">
        <f t="shared" si="2034"/>
        <v>3.0000000000000027E-2</v>
      </c>
      <c r="O4833">
        <f t="shared" si="2046"/>
        <v>0.91</v>
      </c>
      <c r="P4833">
        <f t="shared" si="2047"/>
        <v>-0.33333333333333331</v>
      </c>
      <c r="Q4833" t="str">
        <f t="shared" si="2035"/>
        <v>1.1% | 2.2%</v>
      </c>
      <c r="R4833" t="str">
        <f t="shared" si="2048"/>
        <v>BEARISH</v>
      </c>
      <c r="S4833">
        <f t="shared" si="2036"/>
        <v>-1</v>
      </c>
    </row>
    <row r="4834" spans="1:19" hidden="1" x14ac:dyDescent="0.25">
      <c r="A4834" s="5" t="str">
        <f t="shared" si="2037"/>
        <v>44113WTIC</v>
      </c>
      <c r="B4834" s="6" t="s">
        <v>23</v>
      </c>
      <c r="C4834" s="6">
        <v>37.200000000000003</v>
      </c>
      <c r="D4834" s="6">
        <v>41.73</v>
      </c>
      <c r="E4834" s="6">
        <v>41.19</v>
      </c>
      <c r="F4834" t="str">
        <f t="shared" si="2038"/>
        <v>FRI</v>
      </c>
      <c r="G4834" s="1">
        <f t="shared" si="2039"/>
        <v>44113</v>
      </c>
      <c r="H4834" s="2">
        <f t="shared" ca="1" si="2040"/>
        <v>140</v>
      </c>
      <c r="I4834" t="str">
        <f t="shared" si="2041"/>
        <v>WTIC</v>
      </c>
      <c r="J4834">
        <f t="shared" si="2042"/>
        <v>37.200000000000003</v>
      </c>
      <c r="K4834">
        <f t="shared" si="2043"/>
        <v>41.73</v>
      </c>
      <c r="L4834">
        <f t="shared" si="2044"/>
        <v>39.465000000000003</v>
      </c>
      <c r="M4834">
        <f t="shared" si="2045"/>
        <v>2.264999999999997</v>
      </c>
      <c r="N4834">
        <f t="shared" si="2034"/>
        <v>4.529999999999994</v>
      </c>
      <c r="O4834">
        <f t="shared" si="2046"/>
        <v>41.19</v>
      </c>
      <c r="P4834">
        <f t="shared" si="2047"/>
        <v>0.76158940397350838</v>
      </c>
      <c r="Q4834" t="str">
        <f t="shared" si="2035"/>
        <v>9.69% | 1.31%</v>
      </c>
      <c r="R4834" t="str">
        <f t="shared" si="2048"/>
        <v>BEARISH</v>
      </c>
      <c r="S4834">
        <f t="shared" si="2036"/>
        <v>-1</v>
      </c>
    </row>
    <row r="4835" spans="1:19" hidden="1" x14ac:dyDescent="0.25">
      <c r="A4835" s="5" t="str">
        <f t="shared" si="2037"/>
        <v>44113NATGAS</v>
      </c>
      <c r="B4835" s="6" t="s">
        <v>89</v>
      </c>
      <c r="C4835" s="6">
        <v>2.2799999999999998</v>
      </c>
      <c r="D4835" s="6">
        <v>2.8</v>
      </c>
      <c r="E4835" s="6">
        <v>2.63</v>
      </c>
      <c r="F4835" t="str">
        <f t="shared" si="2038"/>
        <v>FRI</v>
      </c>
      <c r="G4835" s="1">
        <f t="shared" si="2039"/>
        <v>44113</v>
      </c>
      <c r="H4835" s="2">
        <f t="shared" ca="1" si="2040"/>
        <v>140</v>
      </c>
      <c r="I4835" t="str">
        <f t="shared" si="2041"/>
        <v>NATGAS</v>
      </c>
      <c r="J4835">
        <f t="shared" si="2042"/>
        <v>2.2799999999999998</v>
      </c>
      <c r="K4835">
        <f t="shared" si="2043"/>
        <v>2.8</v>
      </c>
      <c r="L4835">
        <f t="shared" si="2044"/>
        <v>2.54</v>
      </c>
      <c r="M4835">
        <f t="shared" si="2045"/>
        <v>0.25999999999999934</v>
      </c>
      <c r="N4835">
        <f t="shared" si="2034"/>
        <v>0.52</v>
      </c>
      <c r="O4835">
        <f t="shared" si="2046"/>
        <v>2.63</v>
      </c>
      <c r="P4835">
        <f t="shared" si="2047"/>
        <v>0.34615384615384648</v>
      </c>
      <c r="Q4835" t="str">
        <f t="shared" si="2035"/>
        <v>13.31% | 6.46%</v>
      </c>
      <c r="R4835" t="str">
        <f t="shared" si="2048"/>
        <v>BULLISH</v>
      </c>
      <c r="S4835">
        <f t="shared" si="2036"/>
        <v>1</v>
      </c>
    </row>
    <row r="4836" spans="1:19" hidden="1" x14ac:dyDescent="0.25">
      <c r="A4836" s="5" t="str">
        <f t="shared" si="2037"/>
        <v>44113GOLD</v>
      </c>
      <c r="B4836" s="6" t="s">
        <v>25</v>
      </c>
      <c r="C4836" s="6">
        <v>1858</v>
      </c>
      <c r="D4836" s="6">
        <v>1929</v>
      </c>
      <c r="E4836" s="6">
        <v>1895</v>
      </c>
      <c r="F4836" t="str">
        <f t="shared" si="2038"/>
        <v>FRI</v>
      </c>
      <c r="G4836" s="1">
        <f t="shared" si="2039"/>
        <v>44113</v>
      </c>
      <c r="H4836" s="2">
        <f t="shared" ca="1" si="2040"/>
        <v>140</v>
      </c>
      <c r="I4836" t="str">
        <f t="shared" si="2041"/>
        <v>GOLD</v>
      </c>
      <c r="J4836">
        <f t="shared" si="2042"/>
        <v>1858</v>
      </c>
      <c r="K4836">
        <f t="shared" si="2043"/>
        <v>1929</v>
      </c>
      <c r="L4836">
        <f t="shared" si="2044"/>
        <v>1893.5</v>
      </c>
      <c r="M4836">
        <f t="shared" si="2045"/>
        <v>35.5</v>
      </c>
      <c r="N4836">
        <f t="shared" si="2034"/>
        <v>71</v>
      </c>
      <c r="O4836">
        <f t="shared" si="2046"/>
        <v>1895</v>
      </c>
      <c r="P4836">
        <f t="shared" si="2047"/>
        <v>4.2253521126760563E-2</v>
      </c>
      <c r="Q4836" t="str">
        <f t="shared" si="2035"/>
        <v>1.95% | 1.79%</v>
      </c>
      <c r="R4836" t="str">
        <f t="shared" si="2048"/>
        <v>BULLISH</v>
      </c>
      <c r="S4836">
        <f t="shared" si="2036"/>
        <v>1</v>
      </c>
    </row>
    <row r="4837" spans="1:19" hidden="1" x14ac:dyDescent="0.25">
      <c r="A4837" s="5" t="str">
        <f t="shared" si="2037"/>
        <v>44113SILVER</v>
      </c>
      <c r="B4837" s="6" t="s">
        <v>234</v>
      </c>
      <c r="C4837" s="6">
        <v>22.73</v>
      </c>
      <c r="D4837" s="6">
        <v>24.92</v>
      </c>
      <c r="E4837" s="6">
        <v>23.88</v>
      </c>
      <c r="F4837" t="str">
        <f t="shared" si="2038"/>
        <v>FRI</v>
      </c>
      <c r="G4837" s="1">
        <f t="shared" si="2039"/>
        <v>44113</v>
      </c>
      <c r="H4837" s="2">
        <f t="shared" ca="1" si="2040"/>
        <v>140</v>
      </c>
      <c r="I4837" t="str">
        <f t="shared" si="2041"/>
        <v>SILVER</v>
      </c>
      <c r="J4837">
        <f t="shared" si="2042"/>
        <v>22.73</v>
      </c>
      <c r="K4837">
        <f t="shared" si="2043"/>
        <v>24.92</v>
      </c>
      <c r="L4837">
        <f t="shared" si="2044"/>
        <v>23.825000000000003</v>
      </c>
      <c r="M4837">
        <f t="shared" si="2045"/>
        <v>1.0950000000000006</v>
      </c>
      <c r="N4837">
        <f t="shared" si="2034"/>
        <v>2.1900000000000013</v>
      </c>
      <c r="O4837">
        <f t="shared" si="2046"/>
        <v>23.88</v>
      </c>
      <c r="P4837">
        <f t="shared" si="2047"/>
        <v>5.022831050227957E-2</v>
      </c>
      <c r="Q4837" t="str">
        <f t="shared" si="2035"/>
        <v>4.82% | 4.36%</v>
      </c>
      <c r="R4837" t="str">
        <f t="shared" si="2048"/>
        <v>BEARISH</v>
      </c>
      <c r="S4837">
        <f t="shared" si="2036"/>
        <v>-1</v>
      </c>
    </row>
    <row r="4838" spans="1:19" hidden="1" x14ac:dyDescent="0.25">
      <c r="A4838" s="5" t="str">
        <f t="shared" si="2037"/>
        <v>44113COPPER</v>
      </c>
      <c r="B4838" s="6" t="s">
        <v>100</v>
      </c>
      <c r="C4838" s="6">
        <v>2.89</v>
      </c>
      <c r="D4838" s="6">
        <v>3.09</v>
      </c>
      <c r="E4838" s="6">
        <v>3.04</v>
      </c>
      <c r="F4838" t="str">
        <f t="shared" si="2038"/>
        <v>FRI</v>
      </c>
      <c r="G4838" s="1">
        <f t="shared" si="2039"/>
        <v>44113</v>
      </c>
      <c r="H4838" s="2">
        <f t="shared" ca="1" si="2040"/>
        <v>140</v>
      </c>
      <c r="I4838" t="str">
        <f t="shared" si="2041"/>
        <v>COPPER</v>
      </c>
      <c r="J4838">
        <f t="shared" si="2042"/>
        <v>2.89</v>
      </c>
      <c r="K4838">
        <f t="shared" si="2043"/>
        <v>3.09</v>
      </c>
      <c r="L4838">
        <f t="shared" si="2044"/>
        <v>2.99</v>
      </c>
      <c r="M4838">
        <f t="shared" si="2045"/>
        <v>9.9999999999999867E-2</v>
      </c>
      <c r="N4838">
        <f t="shared" si="2034"/>
        <v>0.19999999999999973</v>
      </c>
      <c r="O4838">
        <f t="shared" si="2046"/>
        <v>3.04</v>
      </c>
      <c r="P4838">
        <f t="shared" si="2047"/>
        <v>0.49999999999999889</v>
      </c>
      <c r="Q4838" t="str">
        <f t="shared" si="2035"/>
        <v>4.93% | 1.64%</v>
      </c>
      <c r="R4838" t="str">
        <f t="shared" si="2048"/>
        <v>BULLISH</v>
      </c>
      <c r="S4838">
        <f t="shared" si="2036"/>
        <v>1</v>
      </c>
    </row>
    <row r="4839" spans="1:19" hidden="1" x14ac:dyDescent="0.25">
      <c r="A4839" s="5" t="str">
        <f t="shared" si="2037"/>
        <v>44113MSFT</v>
      </c>
      <c r="B4839" s="6" t="s">
        <v>236</v>
      </c>
      <c r="C4839" s="6">
        <v>201</v>
      </c>
      <c r="D4839" s="6">
        <v>213</v>
      </c>
      <c r="E4839" s="6">
        <v>210</v>
      </c>
      <c r="F4839" t="str">
        <f t="shared" si="2038"/>
        <v>FRI</v>
      </c>
      <c r="G4839" s="1">
        <f t="shared" si="2039"/>
        <v>44113</v>
      </c>
      <c r="H4839" s="2">
        <f t="shared" ca="1" si="2040"/>
        <v>140</v>
      </c>
      <c r="I4839" t="str">
        <f t="shared" si="2041"/>
        <v>MSFT</v>
      </c>
      <c r="J4839">
        <f t="shared" si="2042"/>
        <v>201</v>
      </c>
      <c r="K4839">
        <f t="shared" si="2043"/>
        <v>213</v>
      </c>
      <c r="L4839">
        <f t="shared" si="2044"/>
        <v>207</v>
      </c>
      <c r="M4839">
        <f t="shared" si="2045"/>
        <v>6</v>
      </c>
      <c r="N4839">
        <f t="shared" si="2034"/>
        <v>12</v>
      </c>
      <c r="O4839">
        <f t="shared" si="2046"/>
        <v>210</v>
      </c>
      <c r="P4839">
        <f t="shared" si="2047"/>
        <v>0.5</v>
      </c>
      <c r="Q4839" t="str">
        <f t="shared" si="2035"/>
        <v>4.29% | 1.43%</v>
      </c>
      <c r="R4839" t="str">
        <f t="shared" si="2048"/>
        <v>BEARISH</v>
      </c>
      <c r="S4839">
        <f t="shared" si="2036"/>
        <v>-1</v>
      </c>
    </row>
    <row r="4840" spans="1:19" hidden="1" x14ac:dyDescent="0.25">
      <c r="A4840" s="5" t="str">
        <f t="shared" si="2037"/>
        <v>44113AAPL</v>
      </c>
      <c r="B4840" s="6" t="s">
        <v>63</v>
      </c>
      <c r="C4840" s="6">
        <v>110</v>
      </c>
      <c r="D4840" s="6">
        <v>117</v>
      </c>
      <c r="E4840" s="6">
        <v>114</v>
      </c>
      <c r="F4840" t="str">
        <f t="shared" si="2038"/>
        <v>FRI</v>
      </c>
      <c r="G4840" s="1">
        <f t="shared" si="2039"/>
        <v>44113</v>
      </c>
      <c r="H4840" s="2">
        <f t="shared" ca="1" si="2040"/>
        <v>140</v>
      </c>
      <c r="I4840" t="str">
        <f t="shared" si="2041"/>
        <v>AAPL</v>
      </c>
      <c r="J4840">
        <f t="shared" si="2042"/>
        <v>110</v>
      </c>
      <c r="K4840">
        <f t="shared" si="2043"/>
        <v>117</v>
      </c>
      <c r="L4840">
        <f t="shared" si="2044"/>
        <v>113.5</v>
      </c>
      <c r="M4840">
        <f t="shared" si="2045"/>
        <v>3.5</v>
      </c>
      <c r="N4840">
        <f t="shared" si="2034"/>
        <v>7</v>
      </c>
      <c r="O4840">
        <f t="shared" si="2046"/>
        <v>114</v>
      </c>
      <c r="P4840">
        <f t="shared" si="2047"/>
        <v>0.14285714285714285</v>
      </c>
      <c r="Q4840" t="str">
        <f t="shared" si="2035"/>
        <v>3.51% | 2.63%</v>
      </c>
      <c r="R4840" t="str">
        <f t="shared" si="2048"/>
        <v>NEUTRAL</v>
      </c>
      <c r="S4840">
        <f t="shared" si="2036"/>
        <v>0</v>
      </c>
    </row>
    <row r="4841" spans="1:19" hidden="1" x14ac:dyDescent="0.25">
      <c r="A4841" s="5" t="str">
        <f t="shared" si="2037"/>
        <v>44113AMZN</v>
      </c>
      <c r="B4841" s="6" t="s">
        <v>29</v>
      </c>
      <c r="C4841" s="6">
        <v>3072</v>
      </c>
      <c r="D4841" s="6">
        <v>3244</v>
      </c>
      <c r="E4841" s="6">
        <v>3190</v>
      </c>
      <c r="F4841" t="str">
        <f t="shared" si="2038"/>
        <v>FRI</v>
      </c>
      <c r="G4841" s="1">
        <f t="shared" si="2039"/>
        <v>44113</v>
      </c>
      <c r="H4841" s="2">
        <f t="shared" ca="1" si="2040"/>
        <v>140</v>
      </c>
      <c r="I4841" t="str">
        <f t="shared" si="2041"/>
        <v>AMZN</v>
      </c>
      <c r="J4841">
        <f t="shared" si="2042"/>
        <v>3072</v>
      </c>
      <c r="K4841">
        <f t="shared" si="2043"/>
        <v>3244</v>
      </c>
      <c r="L4841">
        <f t="shared" si="2044"/>
        <v>3158</v>
      </c>
      <c r="M4841">
        <f t="shared" si="2045"/>
        <v>86</v>
      </c>
      <c r="N4841">
        <f t="shared" si="2034"/>
        <v>172</v>
      </c>
      <c r="O4841">
        <f t="shared" si="2046"/>
        <v>3190</v>
      </c>
      <c r="P4841">
        <f t="shared" si="2047"/>
        <v>0.37209302325581395</v>
      </c>
      <c r="Q4841" t="str">
        <f t="shared" si="2035"/>
        <v>3.7% | 1.69%</v>
      </c>
      <c r="R4841" t="str">
        <f t="shared" si="2048"/>
        <v>BULLISH</v>
      </c>
      <c r="S4841">
        <f t="shared" si="2036"/>
        <v>1</v>
      </c>
    </row>
    <row r="4842" spans="1:19" hidden="1" x14ac:dyDescent="0.25">
      <c r="A4842" s="5" t="str">
        <f t="shared" si="2037"/>
        <v>44113FB</v>
      </c>
      <c r="B4842" s="6" t="s">
        <v>30</v>
      </c>
      <c r="C4842" s="6">
        <v>252</v>
      </c>
      <c r="D4842" s="6">
        <v>268</v>
      </c>
      <c r="E4842" s="6">
        <v>263</v>
      </c>
      <c r="F4842" t="str">
        <f t="shared" si="2038"/>
        <v>FRI</v>
      </c>
      <c r="G4842" s="1">
        <f t="shared" si="2039"/>
        <v>44113</v>
      </c>
      <c r="H4842" s="2">
        <f t="shared" ca="1" si="2040"/>
        <v>140</v>
      </c>
      <c r="I4842" t="str">
        <f t="shared" si="2041"/>
        <v>FB</v>
      </c>
      <c r="J4842">
        <f t="shared" si="2042"/>
        <v>252</v>
      </c>
      <c r="K4842">
        <f t="shared" si="2043"/>
        <v>268</v>
      </c>
      <c r="L4842">
        <f t="shared" si="2044"/>
        <v>260</v>
      </c>
      <c r="M4842">
        <f t="shared" si="2045"/>
        <v>8</v>
      </c>
      <c r="N4842">
        <f t="shared" si="2034"/>
        <v>16</v>
      </c>
      <c r="O4842">
        <f t="shared" si="2046"/>
        <v>263</v>
      </c>
      <c r="P4842">
        <f t="shared" si="2047"/>
        <v>0.375</v>
      </c>
      <c r="Q4842" t="str">
        <f t="shared" si="2035"/>
        <v>4.18% | 1.9%</v>
      </c>
      <c r="R4842" t="str">
        <f t="shared" si="2048"/>
        <v>BULLISH</v>
      </c>
      <c r="S4842">
        <f t="shared" si="2036"/>
        <v>1</v>
      </c>
    </row>
    <row r="4843" spans="1:19" hidden="1" x14ac:dyDescent="0.25">
      <c r="A4843" s="5" t="str">
        <f t="shared" si="2037"/>
        <v>44113GOOGL</v>
      </c>
      <c r="B4843" s="6" t="s">
        <v>66</v>
      </c>
      <c r="C4843" s="6">
        <v>1422</v>
      </c>
      <c r="D4843" s="6">
        <v>1495</v>
      </c>
      <c r="E4843" s="6">
        <v>1483</v>
      </c>
      <c r="F4843" t="str">
        <f t="shared" si="2038"/>
        <v>FRI</v>
      </c>
      <c r="G4843" s="1">
        <f t="shared" si="2039"/>
        <v>44113</v>
      </c>
      <c r="H4843" s="2">
        <f t="shared" ca="1" si="2040"/>
        <v>140</v>
      </c>
      <c r="I4843" t="str">
        <f t="shared" si="2041"/>
        <v>GOOGL</v>
      </c>
      <c r="J4843">
        <f t="shared" si="2042"/>
        <v>1422</v>
      </c>
      <c r="K4843">
        <f t="shared" si="2043"/>
        <v>1495</v>
      </c>
      <c r="L4843">
        <f t="shared" si="2044"/>
        <v>1458.5</v>
      </c>
      <c r="M4843">
        <f t="shared" si="2045"/>
        <v>36.5</v>
      </c>
      <c r="N4843">
        <f t="shared" si="2034"/>
        <v>73</v>
      </c>
      <c r="O4843">
        <f t="shared" si="2046"/>
        <v>1483</v>
      </c>
      <c r="P4843">
        <f t="shared" si="2047"/>
        <v>0.67123287671232879</v>
      </c>
      <c r="Q4843" t="str">
        <f t="shared" si="2035"/>
        <v>4.11% | 0.81%</v>
      </c>
      <c r="R4843" t="str">
        <f t="shared" si="2048"/>
        <v>BEARISH</v>
      </c>
      <c r="S4843">
        <f t="shared" si="2036"/>
        <v>-1</v>
      </c>
    </row>
    <row r="4844" spans="1:19" hidden="1" x14ac:dyDescent="0.25">
      <c r="A4844" s="5" t="str">
        <f t="shared" si="2037"/>
        <v>44113NFLX</v>
      </c>
      <c r="B4844" s="6" t="s">
        <v>70</v>
      </c>
      <c r="C4844" s="6">
        <v>475</v>
      </c>
      <c r="D4844" s="6">
        <v>544</v>
      </c>
      <c r="E4844" s="6">
        <v>531</v>
      </c>
      <c r="F4844" t="str">
        <f t="shared" si="2038"/>
        <v>FRI</v>
      </c>
      <c r="G4844" s="1">
        <f t="shared" si="2039"/>
        <v>44113</v>
      </c>
      <c r="H4844" s="2">
        <f t="shared" ca="1" si="2040"/>
        <v>140</v>
      </c>
      <c r="I4844" t="str">
        <f t="shared" si="2041"/>
        <v>NFLX</v>
      </c>
      <c r="J4844">
        <f t="shared" si="2042"/>
        <v>475</v>
      </c>
      <c r="K4844">
        <f t="shared" si="2043"/>
        <v>544</v>
      </c>
      <c r="L4844">
        <f t="shared" si="2044"/>
        <v>509.5</v>
      </c>
      <c r="M4844">
        <f t="shared" si="2045"/>
        <v>34.5</v>
      </c>
      <c r="N4844">
        <f t="shared" si="2034"/>
        <v>69</v>
      </c>
      <c r="O4844">
        <f t="shared" si="2046"/>
        <v>531</v>
      </c>
      <c r="P4844">
        <f t="shared" si="2047"/>
        <v>0.62318840579710144</v>
      </c>
      <c r="Q4844" t="str">
        <f t="shared" si="2035"/>
        <v>10.55% | 2.45%</v>
      </c>
      <c r="R4844" t="str">
        <f t="shared" si="2048"/>
        <v>NEUTRAL</v>
      </c>
      <c r="S4844">
        <f t="shared" si="2036"/>
        <v>0</v>
      </c>
    </row>
    <row r="4845" spans="1:19" x14ac:dyDescent="0.25">
      <c r="A4845" s="5" t="str">
        <f t="shared" si="2037"/>
        <v>44113TSLA</v>
      </c>
      <c r="B4845" s="6" t="s">
        <v>71</v>
      </c>
      <c r="C4845" s="6">
        <v>401</v>
      </c>
      <c r="D4845" s="6">
        <v>445</v>
      </c>
      <c r="E4845" s="6">
        <v>425</v>
      </c>
      <c r="F4845" t="str">
        <f t="shared" si="2038"/>
        <v>FRI</v>
      </c>
      <c r="G4845" s="1">
        <f t="shared" si="2039"/>
        <v>44113</v>
      </c>
      <c r="H4845" s="2">
        <f t="shared" ca="1" si="2040"/>
        <v>140</v>
      </c>
      <c r="I4845" t="str">
        <f t="shared" si="2041"/>
        <v>TSLA</v>
      </c>
      <c r="J4845">
        <f t="shared" si="2042"/>
        <v>401</v>
      </c>
      <c r="K4845">
        <f t="shared" si="2043"/>
        <v>445</v>
      </c>
      <c r="L4845">
        <f t="shared" si="2044"/>
        <v>423</v>
      </c>
      <c r="M4845">
        <f t="shared" si="2045"/>
        <v>22</v>
      </c>
      <c r="N4845">
        <f t="shared" si="2034"/>
        <v>44</v>
      </c>
      <c r="O4845">
        <f t="shared" si="2046"/>
        <v>425</v>
      </c>
      <c r="P4845">
        <f t="shared" si="2047"/>
        <v>9.0909090909090912E-2</v>
      </c>
      <c r="Q4845" t="str">
        <f t="shared" si="2035"/>
        <v>5.65% | 4.71%</v>
      </c>
      <c r="R4845" t="str">
        <f t="shared" si="2048"/>
        <v>NEUTRAL</v>
      </c>
      <c r="S4845">
        <f t="shared" si="2036"/>
        <v>0</v>
      </c>
    </row>
    <row r="4846" spans="1:19" hidden="1" x14ac:dyDescent="0.25">
      <c r="A4846" s="5" t="str">
        <f t="shared" si="2037"/>
        <v>44113NYXBT</v>
      </c>
      <c r="B4846" s="6" t="s">
        <v>72</v>
      </c>
      <c r="C4846" s="6">
        <v>10411</v>
      </c>
      <c r="D4846" s="6">
        <v>11121</v>
      </c>
      <c r="E4846" s="6">
        <v>10872</v>
      </c>
      <c r="F4846" t="str">
        <f t="shared" si="2038"/>
        <v>FRI</v>
      </c>
      <c r="G4846" s="1">
        <f t="shared" si="2039"/>
        <v>44113</v>
      </c>
      <c r="H4846" s="2">
        <f t="shared" ca="1" si="2040"/>
        <v>140</v>
      </c>
      <c r="I4846" t="str">
        <f t="shared" si="2041"/>
        <v>NYXBT</v>
      </c>
      <c r="J4846">
        <f t="shared" si="2042"/>
        <v>10411</v>
      </c>
      <c r="K4846">
        <f t="shared" si="2043"/>
        <v>11121</v>
      </c>
      <c r="L4846">
        <f t="shared" si="2044"/>
        <v>10766</v>
      </c>
      <c r="M4846">
        <f t="shared" si="2045"/>
        <v>355</v>
      </c>
      <c r="N4846">
        <f t="shared" si="2034"/>
        <v>710</v>
      </c>
      <c r="O4846">
        <f t="shared" si="2046"/>
        <v>10872</v>
      </c>
      <c r="P4846">
        <f t="shared" si="2047"/>
        <v>0.29859154929577464</v>
      </c>
      <c r="Q4846" t="str">
        <f t="shared" si="2035"/>
        <v>4.24% | 2.29%</v>
      </c>
      <c r="R4846" t="str">
        <f t="shared" si="2048"/>
        <v>NEUTRAL</v>
      </c>
      <c r="S4846">
        <f t="shared" si="2036"/>
        <v>0</v>
      </c>
    </row>
    <row r="4847" spans="1:19" hidden="1" x14ac:dyDescent="0.25">
      <c r="A4847" s="5" t="str">
        <f t="shared" si="2037"/>
        <v>44116UST10Y</v>
      </c>
      <c r="B4847" s="6" t="s">
        <v>4</v>
      </c>
      <c r="C4847" s="6">
        <v>0.81</v>
      </c>
      <c r="D4847" s="6">
        <v>0.62</v>
      </c>
      <c r="E4847" s="6">
        <v>0.79</v>
      </c>
      <c r="F4847" t="str">
        <f t="shared" si="2038"/>
        <v>MON</v>
      </c>
      <c r="G4847" s="3">
        <f>DATE(2020,10,12)</f>
        <v>44116</v>
      </c>
      <c r="H4847" s="2">
        <f t="shared" ca="1" si="2040"/>
        <v>137</v>
      </c>
      <c r="I4847" t="str">
        <f t="shared" si="2041"/>
        <v>UST10Y</v>
      </c>
      <c r="J4847">
        <f t="shared" si="2042"/>
        <v>0.81</v>
      </c>
      <c r="K4847">
        <f t="shared" si="2043"/>
        <v>0.62</v>
      </c>
      <c r="L4847">
        <f t="shared" si="2044"/>
        <v>0.71500000000000008</v>
      </c>
      <c r="M4847">
        <f t="shared" si="2045"/>
        <v>9.4999999999999737E-2</v>
      </c>
      <c r="N4847">
        <f t="shared" si="2034"/>
        <v>0.19000000000000006</v>
      </c>
      <c r="O4847">
        <f t="shared" si="2046"/>
        <v>0.79</v>
      </c>
      <c r="P4847">
        <f t="shared" si="2047"/>
        <v>0.78947368421052799</v>
      </c>
      <c r="Q4847" t="str">
        <f t="shared" si="2035"/>
        <v>2.53% | 21.52%</v>
      </c>
      <c r="R4847" t="str">
        <f t="shared" si="2048"/>
        <v>BEARISH</v>
      </c>
      <c r="S4847">
        <f t="shared" si="2036"/>
        <v>-1</v>
      </c>
    </row>
    <row r="4848" spans="1:19" hidden="1" x14ac:dyDescent="0.25">
      <c r="A4848" s="5" t="str">
        <f t="shared" si="2037"/>
        <v>44116UST2Y</v>
      </c>
      <c r="B4848" s="6" t="s">
        <v>5</v>
      </c>
      <c r="C4848" s="6">
        <v>0.16</v>
      </c>
      <c r="D4848" s="6">
        <v>0.1</v>
      </c>
      <c r="E4848" s="6">
        <v>0.16</v>
      </c>
      <c r="F4848" t="str">
        <f t="shared" ref="F4848:F4878" si="2049">UPPER(TEXT(G4848,"ddd"))</f>
        <v>MON</v>
      </c>
      <c r="G4848" s="3">
        <f t="shared" ref="G4848:G4877" si="2050">DATE(2020,10,12)</f>
        <v>44116</v>
      </c>
      <c r="H4848" s="2">
        <f t="shared" ref="H4848:H4878" ca="1" si="2051">TODAY()-G4848</f>
        <v>137</v>
      </c>
      <c r="I4848" t="str">
        <f t="shared" ref="I4848:I4878" si="2052">TRIM(LEFT(B4848,FIND(" ",B4848,1)))</f>
        <v>UST2Y</v>
      </c>
      <c r="J4848">
        <f t="shared" ref="J4848:J4878" si="2053">C4848</f>
        <v>0.16</v>
      </c>
      <c r="K4848">
        <f t="shared" ref="K4848:K4878" si="2054">D4848</f>
        <v>0.1</v>
      </c>
      <c r="L4848">
        <f t="shared" ref="L4848:L4878" si="2055">AVERAGE(J4848:K4848)</f>
        <v>0.13</v>
      </c>
      <c r="M4848">
        <f t="shared" ref="M4848:M4878" si="2056">_xlfn.STDEV.P(J4848:K4848)</f>
        <v>3.0000000000000023E-2</v>
      </c>
      <c r="N4848">
        <f t="shared" si="2034"/>
        <v>0.06</v>
      </c>
      <c r="O4848">
        <f t="shared" ref="O4848:O4878" si="2057">E4848</f>
        <v>0.16</v>
      </c>
      <c r="P4848">
        <f t="shared" ref="P4848:P4878" si="2058">(O4848-L4848)/M4848</f>
        <v>0.99999999999999922</v>
      </c>
      <c r="Q4848" t="str">
        <f t="shared" si="2035"/>
        <v>0% | 37.5%</v>
      </c>
      <c r="R4848" t="str">
        <f t="shared" ref="R4848:R4878" si="2059">MID(B4848,FIND("(",B4848,1)+1,FIND(")",B4848,1)-FIND("(",B4848,1)-1)</f>
        <v>BEARISH</v>
      </c>
      <c r="S4848">
        <f t="shared" si="2036"/>
        <v>-1</v>
      </c>
    </row>
    <row r="4849" spans="1:19" hidden="1" x14ac:dyDescent="0.25">
      <c r="A4849" s="5" t="str">
        <f t="shared" si="2037"/>
        <v>44116SPX</v>
      </c>
      <c r="B4849" s="6" t="s">
        <v>51</v>
      </c>
      <c r="C4849" s="6">
        <v>3292</v>
      </c>
      <c r="D4849" s="6">
        <v>3495</v>
      </c>
      <c r="E4849" s="6">
        <v>3477</v>
      </c>
      <c r="F4849" t="str">
        <f t="shared" si="2049"/>
        <v>MON</v>
      </c>
      <c r="G4849" s="3">
        <f t="shared" si="2050"/>
        <v>44116</v>
      </c>
      <c r="H4849" s="2">
        <f t="shared" ca="1" si="2051"/>
        <v>137</v>
      </c>
      <c r="I4849" t="str">
        <f t="shared" si="2052"/>
        <v>SPX</v>
      </c>
      <c r="J4849">
        <f t="shared" si="2053"/>
        <v>3292</v>
      </c>
      <c r="K4849">
        <f t="shared" si="2054"/>
        <v>3495</v>
      </c>
      <c r="L4849">
        <f t="shared" si="2055"/>
        <v>3393.5</v>
      </c>
      <c r="M4849">
        <f t="shared" si="2056"/>
        <v>101.5</v>
      </c>
      <c r="N4849">
        <f t="shared" si="2034"/>
        <v>203</v>
      </c>
      <c r="O4849">
        <f t="shared" si="2057"/>
        <v>3477</v>
      </c>
      <c r="P4849">
        <f t="shared" si="2058"/>
        <v>0.82266009852216748</v>
      </c>
      <c r="Q4849" t="str">
        <f t="shared" si="2035"/>
        <v>5.32% | 0.52%</v>
      </c>
      <c r="R4849" t="str">
        <f t="shared" si="2059"/>
        <v>NEUTRAL</v>
      </c>
      <c r="S4849">
        <f t="shared" si="2036"/>
        <v>0</v>
      </c>
    </row>
    <row r="4850" spans="1:19" hidden="1" x14ac:dyDescent="0.25">
      <c r="A4850" s="5" t="str">
        <f t="shared" si="2037"/>
        <v>44116RUT</v>
      </c>
      <c r="B4850" s="6" t="s">
        <v>7</v>
      </c>
      <c r="C4850" s="6">
        <v>1472</v>
      </c>
      <c r="D4850" s="6">
        <v>1666</v>
      </c>
      <c r="E4850" s="6">
        <v>1637</v>
      </c>
      <c r="F4850" t="str">
        <f t="shared" si="2049"/>
        <v>MON</v>
      </c>
      <c r="G4850" s="3">
        <f t="shared" si="2050"/>
        <v>44116</v>
      </c>
      <c r="H4850" s="2">
        <f t="shared" ca="1" si="2051"/>
        <v>137</v>
      </c>
      <c r="I4850" t="str">
        <f t="shared" si="2052"/>
        <v>RUT</v>
      </c>
      <c r="J4850">
        <f t="shared" si="2053"/>
        <v>1472</v>
      </c>
      <c r="K4850">
        <f t="shared" si="2054"/>
        <v>1666</v>
      </c>
      <c r="L4850">
        <f t="shared" si="2055"/>
        <v>1569</v>
      </c>
      <c r="M4850">
        <f t="shared" si="2056"/>
        <v>97</v>
      </c>
      <c r="N4850">
        <f t="shared" si="2034"/>
        <v>194</v>
      </c>
      <c r="O4850">
        <f t="shared" si="2057"/>
        <v>1637</v>
      </c>
      <c r="P4850">
        <f t="shared" si="2058"/>
        <v>0.7010309278350515</v>
      </c>
      <c r="Q4850" t="str">
        <f t="shared" si="2035"/>
        <v>10.08% | 1.77%</v>
      </c>
      <c r="R4850" t="str">
        <f t="shared" si="2059"/>
        <v>BEARISH</v>
      </c>
      <c r="S4850">
        <f t="shared" si="2036"/>
        <v>-1</v>
      </c>
    </row>
    <row r="4851" spans="1:19" hidden="1" x14ac:dyDescent="0.25">
      <c r="A4851" s="5" t="str">
        <f t="shared" si="2037"/>
        <v>44116COMPQ</v>
      </c>
      <c r="B4851" s="6" t="s">
        <v>64</v>
      </c>
      <c r="C4851" s="6">
        <v>10757</v>
      </c>
      <c r="D4851" s="6">
        <v>11608</v>
      </c>
      <c r="E4851" s="6">
        <v>11579</v>
      </c>
      <c r="F4851" t="str">
        <f t="shared" si="2049"/>
        <v>MON</v>
      </c>
      <c r="G4851" s="3">
        <f t="shared" si="2050"/>
        <v>44116</v>
      </c>
      <c r="H4851" s="2">
        <f t="shared" ca="1" si="2051"/>
        <v>137</v>
      </c>
      <c r="I4851" t="str">
        <f t="shared" si="2052"/>
        <v>COMPQ</v>
      </c>
      <c r="J4851">
        <f t="shared" si="2053"/>
        <v>10757</v>
      </c>
      <c r="K4851">
        <f t="shared" si="2054"/>
        <v>11608</v>
      </c>
      <c r="L4851">
        <f t="shared" si="2055"/>
        <v>11182.5</v>
      </c>
      <c r="M4851">
        <f t="shared" si="2056"/>
        <v>425.5</v>
      </c>
      <c r="N4851">
        <f t="shared" si="2034"/>
        <v>851</v>
      </c>
      <c r="O4851">
        <f t="shared" si="2057"/>
        <v>11579</v>
      </c>
      <c r="P4851">
        <f t="shared" si="2058"/>
        <v>0.93184488836662749</v>
      </c>
      <c r="Q4851" t="str">
        <f t="shared" si="2035"/>
        <v>7.1% | 0.25%</v>
      </c>
      <c r="R4851" t="str">
        <f t="shared" si="2059"/>
        <v>BEARISH</v>
      </c>
      <c r="S4851">
        <f t="shared" si="2036"/>
        <v>-1</v>
      </c>
    </row>
    <row r="4852" spans="1:19" hidden="1" x14ac:dyDescent="0.25">
      <c r="A4852" s="5" t="str">
        <f t="shared" si="2037"/>
        <v>44116XLK</v>
      </c>
      <c r="B4852" s="6" t="s">
        <v>62</v>
      </c>
      <c r="C4852" s="6">
        <v>113.23</v>
      </c>
      <c r="D4852" s="6">
        <v>120.45</v>
      </c>
      <c r="E4852" s="6">
        <v>120.18</v>
      </c>
      <c r="F4852" t="str">
        <f t="shared" si="2049"/>
        <v>MON</v>
      </c>
      <c r="G4852" s="3">
        <f t="shared" si="2050"/>
        <v>44116</v>
      </c>
      <c r="H4852" s="2">
        <f t="shared" ca="1" si="2051"/>
        <v>137</v>
      </c>
      <c r="I4852" t="str">
        <f t="shared" si="2052"/>
        <v>XLK</v>
      </c>
      <c r="J4852">
        <f t="shared" si="2053"/>
        <v>113.23</v>
      </c>
      <c r="K4852">
        <f t="shared" si="2054"/>
        <v>120.45</v>
      </c>
      <c r="L4852">
        <f t="shared" si="2055"/>
        <v>116.84</v>
      </c>
      <c r="M4852">
        <f t="shared" si="2056"/>
        <v>3.6099999999999994</v>
      </c>
      <c r="N4852">
        <f t="shared" si="2034"/>
        <v>7.2199999999999989</v>
      </c>
      <c r="O4852">
        <f t="shared" si="2057"/>
        <v>120.18</v>
      </c>
      <c r="P4852">
        <f t="shared" si="2058"/>
        <v>0.92520775623268803</v>
      </c>
      <c r="Q4852" t="str">
        <f t="shared" si="2035"/>
        <v>5.78% | 0.22%</v>
      </c>
      <c r="R4852" t="str">
        <f t="shared" si="2059"/>
        <v>NEUTRAL</v>
      </c>
      <c r="S4852">
        <f t="shared" si="2036"/>
        <v>0</v>
      </c>
    </row>
    <row r="4853" spans="1:19" hidden="1" x14ac:dyDescent="0.25">
      <c r="A4853" s="5" t="str">
        <f t="shared" si="2037"/>
        <v>44116XLRE</v>
      </c>
      <c r="B4853" s="6" t="s">
        <v>97</v>
      </c>
      <c r="C4853" s="6">
        <v>34.729999999999997</v>
      </c>
      <c r="D4853" s="6">
        <v>37.61</v>
      </c>
      <c r="E4853" s="6">
        <v>36.93</v>
      </c>
      <c r="F4853" t="str">
        <f t="shared" si="2049"/>
        <v>MON</v>
      </c>
      <c r="G4853" s="3">
        <f t="shared" si="2050"/>
        <v>44116</v>
      </c>
      <c r="H4853" s="2">
        <f t="shared" ca="1" si="2051"/>
        <v>137</v>
      </c>
      <c r="I4853" t="str">
        <f t="shared" si="2052"/>
        <v>XLRE</v>
      </c>
      <c r="J4853">
        <f t="shared" si="2053"/>
        <v>34.729999999999997</v>
      </c>
      <c r="K4853">
        <f t="shared" si="2054"/>
        <v>37.61</v>
      </c>
      <c r="L4853">
        <f t="shared" si="2055"/>
        <v>36.17</v>
      </c>
      <c r="M4853">
        <f t="shared" si="2056"/>
        <v>1.4400000000000013</v>
      </c>
      <c r="N4853">
        <f t="shared" si="2034"/>
        <v>2.8800000000000026</v>
      </c>
      <c r="O4853">
        <f t="shared" si="2057"/>
        <v>36.93</v>
      </c>
      <c r="P4853">
        <f t="shared" si="2058"/>
        <v>0.5277777777777759</v>
      </c>
      <c r="Q4853" t="str">
        <f t="shared" si="2035"/>
        <v>5.96% | 1.84%</v>
      </c>
      <c r="R4853" t="str">
        <f t="shared" si="2059"/>
        <v>BULLISH</v>
      </c>
      <c r="S4853">
        <f t="shared" si="2036"/>
        <v>1</v>
      </c>
    </row>
    <row r="4854" spans="1:19" hidden="1" x14ac:dyDescent="0.25">
      <c r="A4854" s="5" t="str">
        <f t="shared" si="2037"/>
        <v>44116XLU</v>
      </c>
      <c r="B4854" s="6" t="s">
        <v>52</v>
      </c>
      <c r="C4854" s="6">
        <v>59.09</v>
      </c>
      <c r="D4854" s="6">
        <v>64.59</v>
      </c>
      <c r="E4854" s="6">
        <v>63.48</v>
      </c>
      <c r="F4854" t="str">
        <f t="shared" si="2049"/>
        <v>MON</v>
      </c>
      <c r="G4854" s="3">
        <f t="shared" si="2050"/>
        <v>44116</v>
      </c>
      <c r="H4854" s="2">
        <f t="shared" ca="1" si="2051"/>
        <v>137</v>
      </c>
      <c r="I4854" t="str">
        <f t="shared" si="2052"/>
        <v>XLU</v>
      </c>
      <c r="J4854">
        <f t="shared" si="2053"/>
        <v>59.09</v>
      </c>
      <c r="K4854">
        <f t="shared" si="2054"/>
        <v>64.59</v>
      </c>
      <c r="L4854">
        <f t="shared" si="2055"/>
        <v>61.84</v>
      </c>
      <c r="M4854">
        <f t="shared" si="2056"/>
        <v>2.75</v>
      </c>
      <c r="N4854">
        <f t="shared" si="2034"/>
        <v>5.5</v>
      </c>
      <c r="O4854">
        <f t="shared" si="2057"/>
        <v>63.48</v>
      </c>
      <c r="P4854">
        <f t="shared" si="2058"/>
        <v>0.59636363636363399</v>
      </c>
      <c r="Q4854" t="str">
        <f t="shared" si="2035"/>
        <v>6.92% | 1.75%</v>
      </c>
      <c r="R4854" t="str">
        <f t="shared" si="2059"/>
        <v>BULLISH</v>
      </c>
      <c r="S4854">
        <f t="shared" si="2036"/>
        <v>1</v>
      </c>
    </row>
    <row r="4855" spans="1:19" hidden="1" x14ac:dyDescent="0.25">
      <c r="A4855" s="5" t="str">
        <f t="shared" si="2037"/>
        <v>44116XLF</v>
      </c>
      <c r="B4855" s="6" t="s">
        <v>12</v>
      </c>
      <c r="C4855" s="6">
        <v>23.15</v>
      </c>
      <c r="D4855" s="6">
        <v>25.51</v>
      </c>
      <c r="E4855" s="6">
        <v>25.23</v>
      </c>
      <c r="F4855" t="str">
        <f t="shared" si="2049"/>
        <v>MON</v>
      </c>
      <c r="G4855" s="3">
        <f t="shared" si="2050"/>
        <v>44116</v>
      </c>
      <c r="H4855" s="2">
        <f t="shared" ca="1" si="2051"/>
        <v>137</v>
      </c>
      <c r="I4855" t="str">
        <f t="shared" si="2052"/>
        <v>XLF</v>
      </c>
      <c r="J4855">
        <f t="shared" si="2053"/>
        <v>23.15</v>
      </c>
      <c r="K4855">
        <f t="shared" si="2054"/>
        <v>25.51</v>
      </c>
      <c r="L4855">
        <f t="shared" si="2055"/>
        <v>24.33</v>
      </c>
      <c r="M4855">
        <f t="shared" si="2056"/>
        <v>1.1800000000000015</v>
      </c>
      <c r="N4855">
        <f t="shared" si="2034"/>
        <v>2.360000000000003</v>
      </c>
      <c r="O4855">
        <f t="shared" si="2057"/>
        <v>25.23</v>
      </c>
      <c r="P4855">
        <f t="shared" si="2058"/>
        <v>0.76271186440678052</v>
      </c>
      <c r="Q4855" t="str">
        <f t="shared" si="2035"/>
        <v>8.24% | 1.11%</v>
      </c>
      <c r="R4855" t="str">
        <f t="shared" si="2059"/>
        <v>BEARISH</v>
      </c>
      <c r="S4855">
        <f t="shared" si="2036"/>
        <v>-1</v>
      </c>
    </row>
    <row r="4856" spans="1:19" hidden="1" x14ac:dyDescent="0.25">
      <c r="A4856" s="5" t="str">
        <f t="shared" si="2037"/>
        <v>44116SSEC</v>
      </c>
      <c r="B4856" s="6" t="s">
        <v>104</v>
      </c>
      <c r="C4856" s="6">
        <v>3200</v>
      </c>
      <c r="D4856" s="6">
        <v>3380</v>
      </c>
      <c r="E4856" s="6">
        <v>3358</v>
      </c>
      <c r="F4856" t="str">
        <f t="shared" si="2049"/>
        <v>MON</v>
      </c>
      <c r="G4856" s="3">
        <f t="shared" si="2050"/>
        <v>44116</v>
      </c>
      <c r="H4856" s="2">
        <f t="shared" ca="1" si="2051"/>
        <v>137</v>
      </c>
      <c r="I4856" t="str">
        <f t="shared" si="2052"/>
        <v>SSEC</v>
      </c>
      <c r="J4856">
        <f t="shared" si="2053"/>
        <v>3200</v>
      </c>
      <c r="K4856">
        <f t="shared" si="2054"/>
        <v>3380</v>
      </c>
      <c r="L4856">
        <f t="shared" si="2055"/>
        <v>3290</v>
      </c>
      <c r="M4856">
        <f t="shared" si="2056"/>
        <v>90</v>
      </c>
      <c r="N4856">
        <f t="shared" si="2034"/>
        <v>180</v>
      </c>
      <c r="O4856">
        <f t="shared" si="2057"/>
        <v>3358</v>
      </c>
      <c r="P4856">
        <f t="shared" si="2058"/>
        <v>0.75555555555555554</v>
      </c>
      <c r="Q4856" t="str">
        <f t="shared" si="2035"/>
        <v>4.71% | 0.66%</v>
      </c>
      <c r="R4856" t="str">
        <f t="shared" si="2059"/>
        <v>BULLISH</v>
      </c>
      <c r="S4856">
        <f t="shared" si="2036"/>
        <v>1</v>
      </c>
    </row>
    <row r="4857" spans="1:19" hidden="1" x14ac:dyDescent="0.25">
      <c r="A4857" s="5" t="str">
        <f t="shared" si="2037"/>
        <v>44116NIKK</v>
      </c>
      <c r="B4857" s="6" t="s">
        <v>91</v>
      </c>
      <c r="C4857" s="6">
        <v>22975</v>
      </c>
      <c r="D4857" s="6">
        <v>23776</v>
      </c>
      <c r="E4857" s="6">
        <v>23558</v>
      </c>
      <c r="F4857" t="str">
        <f t="shared" si="2049"/>
        <v>MON</v>
      </c>
      <c r="G4857" s="3">
        <f t="shared" si="2050"/>
        <v>44116</v>
      </c>
      <c r="H4857" s="2">
        <f t="shared" ca="1" si="2051"/>
        <v>137</v>
      </c>
      <c r="I4857" t="str">
        <f t="shared" si="2052"/>
        <v>NIKK</v>
      </c>
      <c r="J4857">
        <f t="shared" si="2053"/>
        <v>22975</v>
      </c>
      <c r="K4857">
        <f t="shared" si="2054"/>
        <v>23776</v>
      </c>
      <c r="L4857">
        <f t="shared" si="2055"/>
        <v>23375.5</v>
      </c>
      <c r="M4857">
        <f t="shared" si="2056"/>
        <v>400.5</v>
      </c>
      <c r="N4857">
        <f t="shared" si="2034"/>
        <v>801</v>
      </c>
      <c r="O4857">
        <f t="shared" si="2057"/>
        <v>23558</v>
      </c>
      <c r="P4857">
        <f t="shared" si="2058"/>
        <v>0.45568039950062422</v>
      </c>
      <c r="Q4857" t="str">
        <f t="shared" si="2035"/>
        <v>2.47% | 0.93%</v>
      </c>
      <c r="R4857" t="str">
        <f t="shared" si="2059"/>
        <v>BULLISH</v>
      </c>
      <c r="S4857">
        <f t="shared" si="2036"/>
        <v>1</v>
      </c>
    </row>
    <row r="4858" spans="1:19" hidden="1" x14ac:dyDescent="0.25">
      <c r="A4858" s="5" t="str">
        <f t="shared" si="2037"/>
        <v>44116DAX</v>
      </c>
      <c r="B4858" s="6" t="s">
        <v>92</v>
      </c>
      <c r="C4858" s="6">
        <v>12608</v>
      </c>
      <c r="D4858" s="6">
        <v>13117</v>
      </c>
      <c r="E4858" s="6">
        <v>13051</v>
      </c>
      <c r="F4858" t="str">
        <f t="shared" si="2049"/>
        <v>MON</v>
      </c>
      <c r="G4858" s="3">
        <f t="shared" si="2050"/>
        <v>44116</v>
      </c>
      <c r="H4858" s="2">
        <f t="shared" ca="1" si="2051"/>
        <v>137</v>
      </c>
      <c r="I4858" t="str">
        <f t="shared" si="2052"/>
        <v>DAX</v>
      </c>
      <c r="J4858">
        <f t="shared" si="2053"/>
        <v>12608</v>
      </c>
      <c r="K4858">
        <f t="shared" si="2054"/>
        <v>13117</v>
      </c>
      <c r="L4858">
        <f t="shared" si="2055"/>
        <v>12862.5</v>
      </c>
      <c r="M4858">
        <f t="shared" si="2056"/>
        <v>254.5</v>
      </c>
      <c r="N4858">
        <f t="shared" si="2034"/>
        <v>509</v>
      </c>
      <c r="O4858">
        <f t="shared" si="2057"/>
        <v>13051</v>
      </c>
      <c r="P4858">
        <f t="shared" si="2058"/>
        <v>0.74066797642436144</v>
      </c>
      <c r="Q4858" t="str">
        <f t="shared" si="2035"/>
        <v>3.39% | 0.51%</v>
      </c>
      <c r="R4858" t="str">
        <f t="shared" si="2059"/>
        <v>NEUTRAL</v>
      </c>
      <c r="S4858">
        <f t="shared" si="2036"/>
        <v>0</v>
      </c>
    </row>
    <row r="4859" spans="1:19" hidden="1" x14ac:dyDescent="0.25">
      <c r="A4859" s="5" t="str">
        <f t="shared" si="2037"/>
        <v>44116VIX</v>
      </c>
      <c r="B4859" s="6" t="s">
        <v>17</v>
      </c>
      <c r="C4859" s="6">
        <v>24.4</v>
      </c>
      <c r="D4859" s="6">
        <v>30.18</v>
      </c>
      <c r="E4859" s="6">
        <v>25</v>
      </c>
      <c r="F4859" t="str">
        <f t="shared" si="2049"/>
        <v>MON</v>
      </c>
      <c r="G4859" s="3">
        <f t="shared" si="2050"/>
        <v>44116</v>
      </c>
      <c r="H4859" s="2">
        <f t="shared" ca="1" si="2051"/>
        <v>137</v>
      </c>
      <c r="I4859" t="str">
        <f t="shared" si="2052"/>
        <v>VIX</v>
      </c>
      <c r="J4859">
        <f t="shared" si="2053"/>
        <v>24.4</v>
      </c>
      <c r="K4859">
        <f t="shared" si="2054"/>
        <v>30.18</v>
      </c>
      <c r="L4859">
        <f t="shared" si="2055"/>
        <v>27.29</v>
      </c>
      <c r="M4859">
        <f t="shared" si="2056"/>
        <v>2.8899999999999912</v>
      </c>
      <c r="N4859">
        <f t="shared" si="2034"/>
        <v>5.7800000000000011</v>
      </c>
      <c r="O4859">
        <f t="shared" si="2057"/>
        <v>25</v>
      </c>
      <c r="P4859">
        <f t="shared" si="2058"/>
        <v>-0.7923875432525973</v>
      </c>
      <c r="Q4859" t="str">
        <f t="shared" si="2035"/>
        <v>2.4% | 20.72%</v>
      </c>
      <c r="R4859" t="str">
        <f t="shared" si="2059"/>
        <v>BULLISH</v>
      </c>
      <c r="S4859">
        <f t="shared" si="2036"/>
        <v>1</v>
      </c>
    </row>
    <row r="4860" spans="1:19" hidden="1" x14ac:dyDescent="0.25">
      <c r="A4860" s="5" t="str">
        <f t="shared" si="2037"/>
        <v>44116USD</v>
      </c>
      <c r="B4860" s="6" t="s">
        <v>78</v>
      </c>
      <c r="C4860" s="6">
        <v>92.89</v>
      </c>
      <c r="D4860" s="6">
        <v>94.39</v>
      </c>
      <c r="E4860" s="6">
        <v>93.07</v>
      </c>
      <c r="F4860" t="str">
        <f t="shared" si="2049"/>
        <v>MON</v>
      </c>
      <c r="G4860" s="3">
        <f t="shared" si="2050"/>
        <v>44116</v>
      </c>
      <c r="H4860" s="2">
        <f t="shared" ca="1" si="2051"/>
        <v>137</v>
      </c>
      <c r="I4860" t="str">
        <f t="shared" si="2052"/>
        <v>USD</v>
      </c>
      <c r="J4860">
        <f t="shared" si="2053"/>
        <v>92.89</v>
      </c>
      <c r="K4860">
        <f t="shared" si="2054"/>
        <v>94.39</v>
      </c>
      <c r="L4860">
        <f t="shared" si="2055"/>
        <v>93.64</v>
      </c>
      <c r="M4860">
        <f t="shared" si="2056"/>
        <v>0.75</v>
      </c>
      <c r="N4860">
        <f t="shared" si="2034"/>
        <v>1.5</v>
      </c>
      <c r="O4860">
        <f t="shared" si="2057"/>
        <v>93.07</v>
      </c>
      <c r="P4860">
        <f t="shared" si="2058"/>
        <v>-0.76000000000000989</v>
      </c>
      <c r="Q4860" t="str">
        <f t="shared" si="2035"/>
        <v>0.19% | 1.42%</v>
      </c>
      <c r="R4860" t="str">
        <f t="shared" si="2059"/>
        <v>NEUTRAL</v>
      </c>
      <c r="S4860">
        <f t="shared" si="2036"/>
        <v>0</v>
      </c>
    </row>
    <row r="4861" spans="1:19" hidden="1" x14ac:dyDescent="0.25">
      <c r="A4861" s="5" t="str">
        <f t="shared" si="2037"/>
        <v>44116EUR/USD</v>
      </c>
      <c r="B4861" s="6" t="s">
        <v>77</v>
      </c>
      <c r="C4861" s="6">
        <v>1.1599999999999999</v>
      </c>
      <c r="D4861" s="6">
        <v>1.18</v>
      </c>
      <c r="E4861" s="6">
        <v>1.18</v>
      </c>
      <c r="F4861" t="str">
        <f t="shared" si="2049"/>
        <v>MON</v>
      </c>
      <c r="G4861" s="3">
        <f t="shared" si="2050"/>
        <v>44116</v>
      </c>
      <c r="H4861" s="2">
        <f t="shared" ca="1" si="2051"/>
        <v>137</v>
      </c>
      <c r="I4861" t="str">
        <f t="shared" si="2052"/>
        <v>EUR/USD</v>
      </c>
      <c r="J4861">
        <f t="shared" si="2053"/>
        <v>1.1599999999999999</v>
      </c>
      <c r="K4861">
        <f t="shared" si="2054"/>
        <v>1.18</v>
      </c>
      <c r="L4861">
        <f t="shared" si="2055"/>
        <v>1.17</v>
      </c>
      <c r="M4861">
        <f t="shared" si="2056"/>
        <v>1.0000000000000009E-2</v>
      </c>
      <c r="N4861">
        <f t="shared" si="2034"/>
        <v>2.0000000000000018E-2</v>
      </c>
      <c r="O4861">
        <f t="shared" si="2057"/>
        <v>1.18</v>
      </c>
      <c r="P4861">
        <f t="shared" si="2058"/>
        <v>1</v>
      </c>
      <c r="Q4861" t="str">
        <f t="shared" si="2035"/>
        <v>1.69% | 0%</v>
      </c>
      <c r="R4861" t="str">
        <f t="shared" si="2059"/>
        <v>NEUTRAL</v>
      </c>
      <c r="S4861">
        <f t="shared" si="2036"/>
        <v>0</v>
      </c>
    </row>
    <row r="4862" spans="1:19" hidden="1" x14ac:dyDescent="0.25">
      <c r="A4862" s="5" t="str">
        <f t="shared" si="2037"/>
        <v>44116USD/JPY</v>
      </c>
      <c r="B4862" s="6" t="s">
        <v>86</v>
      </c>
      <c r="C4862" s="6">
        <v>105.16</v>
      </c>
      <c r="D4862" s="6">
        <v>106.2</v>
      </c>
      <c r="E4862" s="6">
        <v>105.61</v>
      </c>
      <c r="F4862" t="str">
        <f t="shared" si="2049"/>
        <v>MON</v>
      </c>
      <c r="G4862" s="3">
        <f t="shared" si="2050"/>
        <v>44116</v>
      </c>
      <c r="H4862" s="2">
        <f t="shared" ca="1" si="2051"/>
        <v>137</v>
      </c>
      <c r="I4862" t="str">
        <f t="shared" si="2052"/>
        <v>USD/JPY</v>
      </c>
      <c r="J4862">
        <f t="shared" si="2053"/>
        <v>105.16</v>
      </c>
      <c r="K4862">
        <f t="shared" si="2054"/>
        <v>106.2</v>
      </c>
      <c r="L4862">
        <f t="shared" si="2055"/>
        <v>105.68</v>
      </c>
      <c r="M4862">
        <f t="shared" si="2056"/>
        <v>0.52000000000000313</v>
      </c>
      <c r="N4862">
        <f t="shared" si="2034"/>
        <v>1.0400000000000063</v>
      </c>
      <c r="O4862">
        <f t="shared" si="2057"/>
        <v>105.61</v>
      </c>
      <c r="P4862">
        <f t="shared" si="2058"/>
        <v>-0.13461538461539801</v>
      </c>
      <c r="Q4862" t="str">
        <f t="shared" si="2035"/>
        <v>0.43% | 0.56%</v>
      </c>
      <c r="R4862" t="str">
        <f t="shared" si="2059"/>
        <v>NEUTRAL</v>
      </c>
      <c r="S4862">
        <f t="shared" si="2036"/>
        <v>0</v>
      </c>
    </row>
    <row r="4863" spans="1:19" hidden="1" x14ac:dyDescent="0.25">
      <c r="A4863" s="5" t="str">
        <f t="shared" si="2037"/>
        <v>44116GBP/USD</v>
      </c>
      <c r="B4863" s="6" t="s">
        <v>79</v>
      </c>
      <c r="C4863" s="6">
        <v>1.28</v>
      </c>
      <c r="D4863" s="6">
        <v>1.3</v>
      </c>
      <c r="E4863" s="6">
        <v>1.3</v>
      </c>
      <c r="F4863" t="str">
        <f t="shared" si="2049"/>
        <v>MON</v>
      </c>
      <c r="G4863" s="3">
        <f t="shared" si="2050"/>
        <v>44116</v>
      </c>
      <c r="H4863" s="2">
        <f t="shared" ca="1" si="2051"/>
        <v>137</v>
      </c>
      <c r="I4863" t="str">
        <f t="shared" si="2052"/>
        <v>GBP/USD</v>
      </c>
      <c r="J4863">
        <f t="shared" si="2053"/>
        <v>1.28</v>
      </c>
      <c r="K4863">
        <f t="shared" si="2054"/>
        <v>1.3</v>
      </c>
      <c r="L4863">
        <f t="shared" si="2055"/>
        <v>1.29</v>
      </c>
      <c r="M4863">
        <f t="shared" si="2056"/>
        <v>1.0000000000000009E-2</v>
      </c>
      <c r="N4863">
        <f t="shared" si="2034"/>
        <v>2.0000000000000018E-2</v>
      </c>
      <c r="O4863">
        <f t="shared" si="2057"/>
        <v>1.3</v>
      </c>
      <c r="P4863">
        <f t="shared" si="2058"/>
        <v>1</v>
      </c>
      <c r="Q4863" t="str">
        <f t="shared" si="2035"/>
        <v>1.54% | 0%</v>
      </c>
      <c r="R4863" t="str">
        <f t="shared" si="2059"/>
        <v>NEUTRAL</v>
      </c>
      <c r="S4863">
        <f t="shared" si="2036"/>
        <v>0</v>
      </c>
    </row>
    <row r="4864" spans="1:19" hidden="1" x14ac:dyDescent="0.25">
      <c r="A4864" s="5" t="str">
        <f t="shared" si="2037"/>
        <v>44116USD/CHF</v>
      </c>
      <c r="B4864" s="6" t="s">
        <v>76</v>
      </c>
      <c r="C4864" s="6">
        <v>0.9</v>
      </c>
      <c r="D4864" s="6">
        <v>0.92</v>
      </c>
      <c r="E4864" s="6">
        <v>0.91</v>
      </c>
      <c r="F4864" t="str">
        <f t="shared" si="2049"/>
        <v>MON</v>
      </c>
      <c r="G4864" s="3">
        <f t="shared" si="2050"/>
        <v>44116</v>
      </c>
      <c r="H4864" s="2">
        <f t="shared" ca="1" si="2051"/>
        <v>137</v>
      </c>
      <c r="I4864" t="str">
        <f t="shared" si="2052"/>
        <v>USD/CHF</v>
      </c>
      <c r="J4864">
        <f t="shared" si="2053"/>
        <v>0.9</v>
      </c>
      <c r="K4864">
        <f t="shared" si="2054"/>
        <v>0.92</v>
      </c>
      <c r="L4864">
        <f t="shared" si="2055"/>
        <v>0.91</v>
      </c>
      <c r="M4864">
        <f t="shared" si="2056"/>
        <v>1.0000000000000009E-2</v>
      </c>
      <c r="N4864">
        <f t="shared" si="2034"/>
        <v>2.0000000000000018E-2</v>
      </c>
      <c r="O4864">
        <f t="shared" si="2057"/>
        <v>0.91</v>
      </c>
      <c r="P4864">
        <f t="shared" si="2058"/>
        <v>0</v>
      </c>
      <c r="Q4864" t="str">
        <f t="shared" si="2035"/>
        <v>1.1% | 1.1%</v>
      </c>
      <c r="R4864" t="str">
        <f t="shared" si="2059"/>
        <v>BEARISH</v>
      </c>
      <c r="S4864">
        <f t="shared" si="2036"/>
        <v>-1</v>
      </c>
    </row>
    <row r="4865" spans="1:19" hidden="1" x14ac:dyDescent="0.25">
      <c r="A4865" s="5" t="str">
        <f t="shared" si="2037"/>
        <v>44116WTIC</v>
      </c>
      <c r="B4865" s="6" t="s">
        <v>23</v>
      </c>
      <c r="C4865" s="6">
        <v>37.08</v>
      </c>
      <c r="D4865" s="6">
        <v>41.97</v>
      </c>
      <c r="E4865" s="6">
        <v>40.6</v>
      </c>
      <c r="F4865" t="str">
        <f t="shared" si="2049"/>
        <v>MON</v>
      </c>
      <c r="G4865" s="3">
        <f t="shared" si="2050"/>
        <v>44116</v>
      </c>
      <c r="H4865" s="2">
        <f t="shared" ca="1" si="2051"/>
        <v>137</v>
      </c>
      <c r="I4865" t="str">
        <f t="shared" si="2052"/>
        <v>WTIC</v>
      </c>
      <c r="J4865">
        <f t="shared" si="2053"/>
        <v>37.08</v>
      </c>
      <c r="K4865">
        <f t="shared" si="2054"/>
        <v>41.97</v>
      </c>
      <c r="L4865">
        <f t="shared" si="2055"/>
        <v>39.524999999999999</v>
      </c>
      <c r="M4865">
        <f t="shared" si="2056"/>
        <v>2.4450000000000003</v>
      </c>
      <c r="N4865">
        <f t="shared" si="2034"/>
        <v>4.8900000000000006</v>
      </c>
      <c r="O4865">
        <f t="shared" si="2057"/>
        <v>40.6</v>
      </c>
      <c r="P4865">
        <f t="shared" si="2058"/>
        <v>0.43967280163599293</v>
      </c>
      <c r="Q4865" t="str">
        <f t="shared" si="2035"/>
        <v>8.67% | 3.37%</v>
      </c>
      <c r="R4865" t="str">
        <f t="shared" si="2059"/>
        <v>BEARISH</v>
      </c>
      <c r="S4865">
        <f t="shared" si="2036"/>
        <v>-1</v>
      </c>
    </row>
    <row r="4866" spans="1:19" hidden="1" x14ac:dyDescent="0.25">
      <c r="A4866" s="5" t="str">
        <f t="shared" si="2037"/>
        <v>44116NATGAS</v>
      </c>
      <c r="B4866" s="6" t="s">
        <v>89</v>
      </c>
      <c r="C4866" s="6">
        <v>2.42</v>
      </c>
      <c r="D4866" s="6">
        <v>2.95</v>
      </c>
      <c r="E4866" s="6">
        <v>2.74</v>
      </c>
      <c r="F4866" t="str">
        <f t="shared" si="2049"/>
        <v>MON</v>
      </c>
      <c r="G4866" s="3">
        <f t="shared" si="2050"/>
        <v>44116</v>
      </c>
      <c r="H4866" s="2">
        <f t="shared" ca="1" si="2051"/>
        <v>137</v>
      </c>
      <c r="I4866" t="str">
        <f t="shared" si="2052"/>
        <v>NATGAS</v>
      </c>
      <c r="J4866">
        <f t="shared" si="2053"/>
        <v>2.42</v>
      </c>
      <c r="K4866">
        <f t="shared" si="2054"/>
        <v>2.95</v>
      </c>
      <c r="L4866">
        <f t="shared" si="2055"/>
        <v>2.6850000000000001</v>
      </c>
      <c r="M4866">
        <f t="shared" si="2056"/>
        <v>0.26500000000000012</v>
      </c>
      <c r="N4866">
        <f t="shared" si="2034"/>
        <v>0.53000000000000025</v>
      </c>
      <c r="O4866">
        <f t="shared" si="2057"/>
        <v>2.74</v>
      </c>
      <c r="P4866">
        <f t="shared" si="2058"/>
        <v>0.20754716981132126</v>
      </c>
      <c r="Q4866" t="str">
        <f t="shared" si="2035"/>
        <v>11.68% | 7.66%</v>
      </c>
      <c r="R4866" t="str">
        <f t="shared" si="2059"/>
        <v>BULLISH</v>
      </c>
      <c r="S4866">
        <f t="shared" si="2036"/>
        <v>1</v>
      </c>
    </row>
    <row r="4867" spans="1:19" hidden="1" x14ac:dyDescent="0.25">
      <c r="A4867" s="5" t="str">
        <f t="shared" si="2037"/>
        <v>44116GOLD</v>
      </c>
      <c r="B4867" s="6" t="s">
        <v>25</v>
      </c>
      <c r="C4867" s="6">
        <v>1870</v>
      </c>
      <c r="D4867" s="6">
        <v>1934</v>
      </c>
      <c r="E4867" s="6">
        <v>1926</v>
      </c>
      <c r="F4867" t="str">
        <f t="shared" si="2049"/>
        <v>MON</v>
      </c>
      <c r="G4867" s="3">
        <f t="shared" si="2050"/>
        <v>44116</v>
      </c>
      <c r="H4867" s="2">
        <f t="shared" ca="1" si="2051"/>
        <v>137</v>
      </c>
      <c r="I4867" t="str">
        <f t="shared" si="2052"/>
        <v>GOLD</v>
      </c>
      <c r="J4867">
        <f t="shared" si="2053"/>
        <v>1870</v>
      </c>
      <c r="K4867">
        <f t="shared" si="2054"/>
        <v>1934</v>
      </c>
      <c r="L4867">
        <f t="shared" si="2055"/>
        <v>1902</v>
      </c>
      <c r="M4867">
        <f t="shared" si="2056"/>
        <v>32</v>
      </c>
      <c r="N4867">
        <f t="shared" ref="N4867:N4930" si="2060">ABS(K4867-J4867)</f>
        <v>64</v>
      </c>
      <c r="O4867">
        <f t="shared" si="2057"/>
        <v>1926</v>
      </c>
      <c r="P4867">
        <f t="shared" si="2058"/>
        <v>0.75</v>
      </c>
      <c r="Q4867" t="str">
        <f t="shared" ref="Q4867:Q4930" si="2061">ROUND(ABS(100*(O4867-J4867)/O4867),2)&amp;"% | "&amp;ROUND(ABS(100*(K4867-O4867)/O4867),2)&amp;"%"</f>
        <v>2.91% | 0.42%</v>
      </c>
      <c r="R4867" t="str">
        <f t="shared" si="2059"/>
        <v>BULLISH</v>
      </c>
      <c r="S4867">
        <f t="shared" ref="S4867:S4930" si="2062">IF(R4867="BEARISH",-1,IF(R4867="NEUTRAL",0,IF(R4867="BULLISH",1,99)))</f>
        <v>1</v>
      </c>
    </row>
    <row r="4868" spans="1:19" hidden="1" x14ac:dyDescent="0.25">
      <c r="A4868" s="5" t="str">
        <f t="shared" si="2037"/>
        <v>44116SILVER</v>
      </c>
      <c r="B4868" s="6" t="s">
        <v>234</v>
      </c>
      <c r="C4868" s="6">
        <v>23.18</v>
      </c>
      <c r="D4868" s="6">
        <v>25.55</v>
      </c>
      <c r="E4868" s="6">
        <v>25.11</v>
      </c>
      <c r="F4868" t="str">
        <f t="shared" si="2049"/>
        <v>MON</v>
      </c>
      <c r="G4868" s="3">
        <f t="shared" si="2050"/>
        <v>44116</v>
      </c>
      <c r="H4868" s="2">
        <f t="shared" ca="1" si="2051"/>
        <v>137</v>
      </c>
      <c r="I4868" t="str">
        <f t="shared" si="2052"/>
        <v>SILVER</v>
      </c>
      <c r="J4868">
        <f t="shared" si="2053"/>
        <v>23.18</v>
      </c>
      <c r="K4868">
        <f t="shared" si="2054"/>
        <v>25.55</v>
      </c>
      <c r="L4868">
        <f t="shared" si="2055"/>
        <v>24.365000000000002</v>
      </c>
      <c r="M4868">
        <f t="shared" si="2056"/>
        <v>1.1850000000000005</v>
      </c>
      <c r="N4868">
        <f t="shared" si="2060"/>
        <v>2.370000000000001</v>
      </c>
      <c r="O4868">
        <f t="shared" si="2057"/>
        <v>25.11</v>
      </c>
      <c r="P4868">
        <f t="shared" si="2058"/>
        <v>0.62869198312236041</v>
      </c>
      <c r="Q4868" t="str">
        <f t="shared" si="2061"/>
        <v>7.69% | 1.75%</v>
      </c>
      <c r="R4868" t="str">
        <f t="shared" si="2059"/>
        <v>BEARISH</v>
      </c>
      <c r="S4868">
        <f t="shared" si="2062"/>
        <v>-1</v>
      </c>
    </row>
    <row r="4869" spans="1:19" hidden="1" x14ac:dyDescent="0.25">
      <c r="A4869" s="5" t="str">
        <f t="shared" si="2037"/>
        <v>44116COPPER</v>
      </c>
      <c r="B4869" s="6" t="s">
        <v>100</v>
      </c>
      <c r="C4869" s="6">
        <v>2.87</v>
      </c>
      <c r="D4869" s="6">
        <v>3.11</v>
      </c>
      <c r="E4869" s="6">
        <v>3.08</v>
      </c>
      <c r="F4869" t="str">
        <f t="shared" si="2049"/>
        <v>MON</v>
      </c>
      <c r="G4869" s="3">
        <f t="shared" si="2050"/>
        <v>44116</v>
      </c>
      <c r="H4869" s="2">
        <f t="shared" ca="1" si="2051"/>
        <v>137</v>
      </c>
      <c r="I4869" t="str">
        <f t="shared" si="2052"/>
        <v>COPPER</v>
      </c>
      <c r="J4869">
        <f t="shared" si="2053"/>
        <v>2.87</v>
      </c>
      <c r="K4869">
        <f t="shared" si="2054"/>
        <v>3.11</v>
      </c>
      <c r="L4869">
        <f t="shared" si="2055"/>
        <v>2.99</v>
      </c>
      <c r="M4869">
        <f t="shared" si="2056"/>
        <v>0.11999999999999988</v>
      </c>
      <c r="N4869">
        <f t="shared" si="2060"/>
        <v>0.23999999999999977</v>
      </c>
      <c r="O4869">
        <f t="shared" si="2057"/>
        <v>3.08</v>
      </c>
      <c r="P4869">
        <f t="shared" si="2058"/>
        <v>0.74999999999999956</v>
      </c>
      <c r="Q4869" t="str">
        <f t="shared" si="2061"/>
        <v>6.82% | 0.97%</v>
      </c>
      <c r="R4869" t="str">
        <f t="shared" si="2059"/>
        <v>BULLISH</v>
      </c>
      <c r="S4869">
        <f t="shared" si="2062"/>
        <v>1</v>
      </c>
    </row>
    <row r="4870" spans="1:19" hidden="1" x14ac:dyDescent="0.25">
      <c r="A4870" s="5" t="str">
        <f t="shared" ref="A4870:A4933" si="2063">G4870&amp;I4870</f>
        <v>44116MSFT</v>
      </c>
      <c r="B4870" s="6" t="s">
        <v>235</v>
      </c>
      <c r="C4870" s="6">
        <v>202</v>
      </c>
      <c r="D4870" s="6">
        <v>217</v>
      </c>
      <c r="E4870" s="6">
        <v>215</v>
      </c>
      <c r="F4870" t="str">
        <f t="shared" si="2049"/>
        <v>MON</v>
      </c>
      <c r="G4870" s="3">
        <f t="shared" si="2050"/>
        <v>44116</v>
      </c>
      <c r="H4870" s="2">
        <f t="shared" ca="1" si="2051"/>
        <v>137</v>
      </c>
      <c r="I4870" t="str">
        <f t="shared" si="2052"/>
        <v>MSFT</v>
      </c>
      <c r="J4870">
        <f t="shared" si="2053"/>
        <v>202</v>
      </c>
      <c r="K4870">
        <f t="shared" si="2054"/>
        <v>217</v>
      </c>
      <c r="L4870">
        <f t="shared" si="2055"/>
        <v>209.5</v>
      </c>
      <c r="M4870">
        <f t="shared" si="2056"/>
        <v>7.5</v>
      </c>
      <c r="N4870">
        <f t="shared" si="2060"/>
        <v>15</v>
      </c>
      <c r="O4870">
        <f t="shared" si="2057"/>
        <v>215</v>
      </c>
      <c r="P4870">
        <f t="shared" si="2058"/>
        <v>0.73333333333333328</v>
      </c>
      <c r="Q4870" t="str">
        <f t="shared" si="2061"/>
        <v>6.05% | 0.93%</v>
      </c>
      <c r="R4870" t="str">
        <f t="shared" si="2059"/>
        <v>NEUTRAL</v>
      </c>
      <c r="S4870">
        <f t="shared" si="2062"/>
        <v>0</v>
      </c>
    </row>
    <row r="4871" spans="1:19" hidden="1" x14ac:dyDescent="0.25">
      <c r="A4871" s="5" t="str">
        <f t="shared" si="2063"/>
        <v>44116AAPL</v>
      </c>
      <c r="B4871" s="6" t="s">
        <v>63</v>
      </c>
      <c r="C4871" s="6">
        <v>111</v>
      </c>
      <c r="D4871" s="6">
        <v>118</v>
      </c>
      <c r="E4871" s="6">
        <v>116</v>
      </c>
      <c r="F4871" t="str">
        <f t="shared" si="2049"/>
        <v>MON</v>
      </c>
      <c r="G4871" s="3">
        <f t="shared" si="2050"/>
        <v>44116</v>
      </c>
      <c r="H4871" s="2">
        <f t="shared" ca="1" si="2051"/>
        <v>137</v>
      </c>
      <c r="I4871" t="str">
        <f t="shared" si="2052"/>
        <v>AAPL</v>
      </c>
      <c r="J4871">
        <f t="shared" si="2053"/>
        <v>111</v>
      </c>
      <c r="K4871">
        <f t="shared" si="2054"/>
        <v>118</v>
      </c>
      <c r="L4871">
        <f t="shared" si="2055"/>
        <v>114.5</v>
      </c>
      <c r="M4871">
        <f t="shared" si="2056"/>
        <v>3.5</v>
      </c>
      <c r="N4871">
        <f t="shared" si="2060"/>
        <v>7</v>
      </c>
      <c r="O4871">
        <f t="shared" si="2057"/>
        <v>116</v>
      </c>
      <c r="P4871">
        <f t="shared" si="2058"/>
        <v>0.42857142857142855</v>
      </c>
      <c r="Q4871" t="str">
        <f t="shared" si="2061"/>
        <v>4.31% | 1.72%</v>
      </c>
      <c r="R4871" t="str">
        <f t="shared" si="2059"/>
        <v>NEUTRAL</v>
      </c>
      <c r="S4871">
        <f t="shared" si="2062"/>
        <v>0</v>
      </c>
    </row>
    <row r="4872" spans="1:19" hidden="1" x14ac:dyDescent="0.25">
      <c r="A4872" s="5" t="str">
        <f t="shared" si="2063"/>
        <v>44116AMZN</v>
      </c>
      <c r="B4872" s="6" t="s">
        <v>29</v>
      </c>
      <c r="C4872" s="6">
        <v>3074</v>
      </c>
      <c r="D4872" s="6">
        <v>3313</v>
      </c>
      <c r="E4872" s="6">
        <v>3286</v>
      </c>
      <c r="F4872" t="str">
        <f t="shared" si="2049"/>
        <v>MON</v>
      </c>
      <c r="G4872" s="3">
        <f t="shared" si="2050"/>
        <v>44116</v>
      </c>
      <c r="H4872" s="2">
        <f t="shared" ca="1" si="2051"/>
        <v>137</v>
      </c>
      <c r="I4872" t="str">
        <f t="shared" si="2052"/>
        <v>AMZN</v>
      </c>
      <c r="J4872">
        <f t="shared" si="2053"/>
        <v>3074</v>
      </c>
      <c r="K4872">
        <f t="shared" si="2054"/>
        <v>3313</v>
      </c>
      <c r="L4872">
        <f t="shared" si="2055"/>
        <v>3193.5</v>
      </c>
      <c r="M4872">
        <f t="shared" si="2056"/>
        <v>119.5</v>
      </c>
      <c r="N4872">
        <f t="shared" si="2060"/>
        <v>239</v>
      </c>
      <c r="O4872">
        <f t="shared" si="2057"/>
        <v>3286</v>
      </c>
      <c r="P4872">
        <f t="shared" si="2058"/>
        <v>0.77405857740585771</v>
      </c>
      <c r="Q4872" t="str">
        <f t="shared" si="2061"/>
        <v>6.45% | 0.82%</v>
      </c>
      <c r="R4872" t="str">
        <f t="shared" si="2059"/>
        <v>BULLISH</v>
      </c>
      <c r="S4872">
        <f t="shared" si="2062"/>
        <v>1</v>
      </c>
    </row>
    <row r="4873" spans="1:19" hidden="1" x14ac:dyDescent="0.25">
      <c r="A4873" s="5" t="str">
        <f t="shared" si="2063"/>
        <v>44116FB</v>
      </c>
      <c r="B4873" s="6" t="s">
        <v>30</v>
      </c>
      <c r="C4873" s="6">
        <v>253</v>
      </c>
      <c r="D4873" s="6">
        <v>268</v>
      </c>
      <c r="E4873" s="6">
        <v>264</v>
      </c>
      <c r="F4873" t="str">
        <f t="shared" si="2049"/>
        <v>MON</v>
      </c>
      <c r="G4873" s="3">
        <f t="shared" si="2050"/>
        <v>44116</v>
      </c>
      <c r="H4873" s="2">
        <f t="shared" ca="1" si="2051"/>
        <v>137</v>
      </c>
      <c r="I4873" t="str">
        <f t="shared" si="2052"/>
        <v>FB</v>
      </c>
      <c r="J4873">
        <f t="shared" si="2053"/>
        <v>253</v>
      </c>
      <c r="K4873">
        <f t="shared" si="2054"/>
        <v>268</v>
      </c>
      <c r="L4873">
        <f t="shared" si="2055"/>
        <v>260.5</v>
      </c>
      <c r="M4873">
        <f t="shared" si="2056"/>
        <v>7.5</v>
      </c>
      <c r="N4873">
        <f t="shared" si="2060"/>
        <v>15</v>
      </c>
      <c r="O4873">
        <f t="shared" si="2057"/>
        <v>264</v>
      </c>
      <c r="P4873">
        <f t="shared" si="2058"/>
        <v>0.46666666666666667</v>
      </c>
      <c r="Q4873" t="str">
        <f t="shared" si="2061"/>
        <v>4.17% | 1.52%</v>
      </c>
      <c r="R4873" t="str">
        <f t="shared" si="2059"/>
        <v>BULLISH</v>
      </c>
      <c r="S4873">
        <f t="shared" si="2062"/>
        <v>1</v>
      </c>
    </row>
    <row r="4874" spans="1:19" hidden="1" x14ac:dyDescent="0.25">
      <c r="A4874" s="5" t="str">
        <f t="shared" si="2063"/>
        <v>44116GOOGL</v>
      </c>
      <c r="B4874" s="6" t="s">
        <v>66</v>
      </c>
      <c r="C4874" s="6">
        <v>1425</v>
      </c>
      <c r="D4874" s="6">
        <v>1526</v>
      </c>
      <c r="E4874" s="6">
        <v>1510</v>
      </c>
      <c r="F4874" t="str">
        <f t="shared" si="2049"/>
        <v>MON</v>
      </c>
      <c r="G4874" s="3">
        <f t="shared" si="2050"/>
        <v>44116</v>
      </c>
      <c r="H4874" s="2">
        <f t="shared" ca="1" si="2051"/>
        <v>137</v>
      </c>
      <c r="I4874" t="str">
        <f t="shared" si="2052"/>
        <v>GOOGL</v>
      </c>
      <c r="J4874">
        <f t="shared" si="2053"/>
        <v>1425</v>
      </c>
      <c r="K4874">
        <f t="shared" si="2054"/>
        <v>1526</v>
      </c>
      <c r="L4874">
        <f t="shared" si="2055"/>
        <v>1475.5</v>
      </c>
      <c r="M4874">
        <f t="shared" si="2056"/>
        <v>50.5</v>
      </c>
      <c r="N4874">
        <f t="shared" si="2060"/>
        <v>101</v>
      </c>
      <c r="O4874">
        <f t="shared" si="2057"/>
        <v>1510</v>
      </c>
      <c r="P4874">
        <f t="shared" si="2058"/>
        <v>0.68316831683168322</v>
      </c>
      <c r="Q4874" t="str">
        <f t="shared" si="2061"/>
        <v>5.63% | 1.06%</v>
      </c>
      <c r="R4874" t="str">
        <f t="shared" si="2059"/>
        <v>BEARISH</v>
      </c>
      <c r="S4874">
        <f t="shared" si="2062"/>
        <v>-1</v>
      </c>
    </row>
    <row r="4875" spans="1:19" hidden="1" x14ac:dyDescent="0.25">
      <c r="A4875" s="5" t="str">
        <f t="shared" si="2063"/>
        <v>44116NFLX</v>
      </c>
      <c r="B4875" s="6" t="s">
        <v>70</v>
      </c>
      <c r="C4875" s="6">
        <v>484</v>
      </c>
      <c r="D4875" s="6">
        <v>551</v>
      </c>
      <c r="E4875" s="6">
        <v>539</v>
      </c>
      <c r="F4875" t="str">
        <f t="shared" si="2049"/>
        <v>MON</v>
      </c>
      <c r="G4875" s="3">
        <f t="shared" si="2050"/>
        <v>44116</v>
      </c>
      <c r="H4875" s="2">
        <f t="shared" ca="1" si="2051"/>
        <v>137</v>
      </c>
      <c r="I4875" t="str">
        <f t="shared" si="2052"/>
        <v>NFLX</v>
      </c>
      <c r="J4875">
        <f t="shared" si="2053"/>
        <v>484</v>
      </c>
      <c r="K4875">
        <f t="shared" si="2054"/>
        <v>551</v>
      </c>
      <c r="L4875">
        <f t="shared" si="2055"/>
        <v>517.5</v>
      </c>
      <c r="M4875">
        <f t="shared" si="2056"/>
        <v>33.5</v>
      </c>
      <c r="N4875">
        <f t="shared" si="2060"/>
        <v>67</v>
      </c>
      <c r="O4875">
        <f t="shared" si="2057"/>
        <v>539</v>
      </c>
      <c r="P4875">
        <f t="shared" si="2058"/>
        <v>0.64179104477611937</v>
      </c>
      <c r="Q4875" t="str">
        <f t="shared" si="2061"/>
        <v>10.2% | 2.23%</v>
      </c>
      <c r="R4875" t="str">
        <f t="shared" si="2059"/>
        <v>NEUTRAL</v>
      </c>
      <c r="S4875">
        <f t="shared" si="2062"/>
        <v>0</v>
      </c>
    </row>
    <row r="4876" spans="1:19" x14ac:dyDescent="0.25">
      <c r="A4876" s="5" t="str">
        <f t="shared" si="2063"/>
        <v>44116TSLA</v>
      </c>
      <c r="B4876" s="6" t="s">
        <v>71</v>
      </c>
      <c r="C4876" s="6">
        <v>404</v>
      </c>
      <c r="D4876" s="6">
        <v>448</v>
      </c>
      <c r="E4876" s="6">
        <v>434</v>
      </c>
      <c r="F4876" t="str">
        <f t="shared" si="2049"/>
        <v>MON</v>
      </c>
      <c r="G4876" s="3">
        <f t="shared" si="2050"/>
        <v>44116</v>
      </c>
      <c r="H4876" s="2">
        <f t="shared" ca="1" si="2051"/>
        <v>137</v>
      </c>
      <c r="I4876" t="str">
        <f t="shared" si="2052"/>
        <v>TSLA</v>
      </c>
      <c r="J4876">
        <f t="shared" si="2053"/>
        <v>404</v>
      </c>
      <c r="K4876">
        <f t="shared" si="2054"/>
        <v>448</v>
      </c>
      <c r="L4876">
        <f t="shared" si="2055"/>
        <v>426</v>
      </c>
      <c r="M4876">
        <f t="shared" si="2056"/>
        <v>22</v>
      </c>
      <c r="N4876">
        <f t="shared" si="2060"/>
        <v>44</v>
      </c>
      <c r="O4876">
        <f t="shared" si="2057"/>
        <v>434</v>
      </c>
      <c r="P4876">
        <f t="shared" si="2058"/>
        <v>0.36363636363636365</v>
      </c>
      <c r="Q4876" t="str">
        <f t="shared" si="2061"/>
        <v>6.91% | 3.23%</v>
      </c>
      <c r="R4876" t="str">
        <f t="shared" si="2059"/>
        <v>NEUTRAL</v>
      </c>
      <c r="S4876">
        <f t="shared" si="2062"/>
        <v>0</v>
      </c>
    </row>
    <row r="4877" spans="1:19" hidden="1" x14ac:dyDescent="0.25">
      <c r="A4877" s="5" t="str">
        <f t="shared" si="2063"/>
        <v>44116NYXBT</v>
      </c>
      <c r="B4877" s="6" t="s">
        <v>72</v>
      </c>
      <c r="C4877" s="6">
        <v>10465</v>
      </c>
      <c r="D4877" s="6">
        <v>11419</v>
      </c>
      <c r="E4877" s="6">
        <v>11069</v>
      </c>
      <c r="F4877" t="str">
        <f t="shared" si="2049"/>
        <v>MON</v>
      </c>
      <c r="G4877" s="3">
        <f t="shared" si="2050"/>
        <v>44116</v>
      </c>
      <c r="H4877" s="2">
        <f t="shared" ca="1" si="2051"/>
        <v>137</v>
      </c>
      <c r="I4877" t="str">
        <f t="shared" si="2052"/>
        <v>NYXBT</v>
      </c>
      <c r="J4877">
        <f t="shared" si="2053"/>
        <v>10465</v>
      </c>
      <c r="K4877">
        <f t="shared" si="2054"/>
        <v>11419</v>
      </c>
      <c r="L4877">
        <f t="shared" si="2055"/>
        <v>10942</v>
      </c>
      <c r="M4877">
        <f t="shared" si="2056"/>
        <v>477</v>
      </c>
      <c r="N4877">
        <f t="shared" si="2060"/>
        <v>954</v>
      </c>
      <c r="O4877">
        <f t="shared" si="2057"/>
        <v>11069</v>
      </c>
      <c r="P4877">
        <f t="shared" si="2058"/>
        <v>0.2662473794549266</v>
      </c>
      <c r="Q4877" t="str">
        <f t="shared" si="2061"/>
        <v>5.46% | 3.16%</v>
      </c>
      <c r="R4877" t="str">
        <f t="shared" si="2059"/>
        <v>NEUTRAL</v>
      </c>
      <c r="S4877">
        <f t="shared" si="2062"/>
        <v>0</v>
      </c>
    </row>
    <row r="4878" spans="1:19" hidden="1" x14ac:dyDescent="0.25">
      <c r="A4878" s="5" t="str">
        <f t="shared" si="2063"/>
        <v>44117UST10Y</v>
      </c>
      <c r="B4878" s="6" t="s">
        <v>4</v>
      </c>
      <c r="C4878" s="6">
        <v>0.83</v>
      </c>
      <c r="D4878" s="6">
        <v>0.62</v>
      </c>
      <c r="E4878" s="6">
        <v>0.79</v>
      </c>
      <c r="F4878" t="str">
        <f t="shared" si="2049"/>
        <v>TUE</v>
      </c>
      <c r="G4878" s="1">
        <f>DATE(2020,10,13)</f>
        <v>44117</v>
      </c>
      <c r="H4878" s="2">
        <f t="shared" ca="1" si="2051"/>
        <v>136</v>
      </c>
      <c r="I4878" t="str">
        <f t="shared" si="2052"/>
        <v>UST10Y</v>
      </c>
      <c r="J4878">
        <f t="shared" si="2053"/>
        <v>0.83</v>
      </c>
      <c r="K4878">
        <f t="shared" si="2054"/>
        <v>0.62</v>
      </c>
      <c r="L4878">
        <f t="shared" si="2055"/>
        <v>0.72499999999999998</v>
      </c>
      <c r="M4878">
        <f t="shared" si="2056"/>
        <v>0.10499999999999977</v>
      </c>
      <c r="N4878">
        <f t="shared" si="2060"/>
        <v>0.20999999999999996</v>
      </c>
      <c r="O4878">
        <f t="shared" si="2057"/>
        <v>0.79</v>
      </c>
      <c r="P4878">
        <f t="shared" si="2058"/>
        <v>0.61904761904762096</v>
      </c>
      <c r="Q4878" t="str">
        <f t="shared" si="2061"/>
        <v>5.06% | 21.52%</v>
      </c>
      <c r="R4878" t="str">
        <f t="shared" si="2059"/>
        <v>BEARISH</v>
      </c>
      <c r="S4878">
        <f t="shared" si="2062"/>
        <v>-1</v>
      </c>
    </row>
    <row r="4879" spans="1:19" hidden="1" x14ac:dyDescent="0.25">
      <c r="A4879" s="5" t="str">
        <f t="shared" si="2063"/>
        <v>44117UST2Y</v>
      </c>
      <c r="B4879" s="6" t="s">
        <v>5</v>
      </c>
      <c r="C4879" s="6">
        <v>0.16</v>
      </c>
      <c r="D4879" s="6">
        <v>0.11</v>
      </c>
      <c r="E4879" s="6">
        <v>0.16</v>
      </c>
      <c r="F4879" t="str">
        <f t="shared" ref="F4879:F4909" si="2064">UPPER(TEXT(G4879,"ddd"))</f>
        <v>TUE</v>
      </c>
      <c r="G4879" s="1">
        <f t="shared" ref="G4879:G4908" si="2065">DATE(2020,10,13)</f>
        <v>44117</v>
      </c>
      <c r="H4879" s="2">
        <f t="shared" ref="H4879:H4909" ca="1" si="2066">TODAY()-G4879</f>
        <v>136</v>
      </c>
      <c r="I4879" t="str">
        <f t="shared" ref="I4879:I4909" si="2067">TRIM(LEFT(B4879,FIND(" ",B4879,1)))</f>
        <v>UST2Y</v>
      </c>
      <c r="J4879">
        <f t="shared" ref="J4879:J4909" si="2068">C4879</f>
        <v>0.16</v>
      </c>
      <c r="K4879">
        <f t="shared" ref="K4879:K4909" si="2069">D4879</f>
        <v>0.11</v>
      </c>
      <c r="L4879">
        <f t="shared" ref="L4879:L4909" si="2070">AVERAGE(J4879:K4879)</f>
        <v>0.13500000000000001</v>
      </c>
      <c r="M4879">
        <f t="shared" ref="M4879:M4909" si="2071">_xlfn.STDEV.P(J4879:K4879)</f>
        <v>2.4999999999999942E-2</v>
      </c>
      <c r="N4879">
        <f t="shared" si="2060"/>
        <v>0.05</v>
      </c>
      <c r="O4879">
        <f t="shared" ref="O4879:O4909" si="2072">E4879</f>
        <v>0.16</v>
      </c>
      <c r="P4879">
        <f t="shared" ref="P4879:P4909" si="2073">(O4879-L4879)/M4879</f>
        <v>1.000000000000002</v>
      </c>
      <c r="Q4879" t="str">
        <f t="shared" si="2061"/>
        <v>0% | 31.25%</v>
      </c>
      <c r="R4879" t="str">
        <f t="shared" ref="R4879:R4909" si="2074">MID(B4879,FIND("(",B4879,1)+1,FIND(")",B4879,1)-FIND("(",B4879,1)-1)</f>
        <v>BEARISH</v>
      </c>
      <c r="S4879">
        <f t="shared" si="2062"/>
        <v>-1</v>
      </c>
    </row>
    <row r="4880" spans="1:19" hidden="1" x14ac:dyDescent="0.25">
      <c r="A4880" s="5" t="str">
        <f t="shared" si="2063"/>
        <v>44117SPX</v>
      </c>
      <c r="B4880" s="6" t="s">
        <v>51</v>
      </c>
      <c r="C4880" s="6">
        <v>3298</v>
      </c>
      <c r="D4880" s="6">
        <v>3558</v>
      </c>
      <c r="E4880" s="6">
        <v>3534</v>
      </c>
      <c r="F4880" t="str">
        <f t="shared" si="2064"/>
        <v>TUE</v>
      </c>
      <c r="G4880" s="1">
        <f t="shared" si="2065"/>
        <v>44117</v>
      </c>
      <c r="H4880" s="2">
        <f t="shared" ca="1" si="2066"/>
        <v>136</v>
      </c>
      <c r="I4880" t="str">
        <f t="shared" si="2067"/>
        <v>SPX</v>
      </c>
      <c r="J4880">
        <f t="shared" si="2068"/>
        <v>3298</v>
      </c>
      <c r="K4880">
        <f t="shared" si="2069"/>
        <v>3558</v>
      </c>
      <c r="L4880">
        <f t="shared" si="2070"/>
        <v>3428</v>
      </c>
      <c r="M4880">
        <f t="shared" si="2071"/>
        <v>130</v>
      </c>
      <c r="N4880">
        <f t="shared" si="2060"/>
        <v>260</v>
      </c>
      <c r="O4880">
        <f t="shared" si="2072"/>
        <v>3534</v>
      </c>
      <c r="P4880">
        <f t="shared" si="2073"/>
        <v>0.81538461538461537</v>
      </c>
      <c r="Q4880" t="str">
        <f t="shared" si="2061"/>
        <v>6.68% | 0.68%</v>
      </c>
      <c r="R4880" t="str">
        <f t="shared" si="2074"/>
        <v>NEUTRAL</v>
      </c>
      <c r="S4880">
        <f t="shared" si="2062"/>
        <v>0</v>
      </c>
    </row>
    <row r="4881" spans="1:19" hidden="1" x14ac:dyDescent="0.25">
      <c r="A4881" s="5" t="str">
        <f t="shared" si="2063"/>
        <v>44117RUT</v>
      </c>
      <c r="B4881" s="6" t="s">
        <v>7</v>
      </c>
      <c r="C4881" s="6">
        <v>1508</v>
      </c>
      <c r="D4881" s="6">
        <v>1658</v>
      </c>
      <c r="E4881" s="6">
        <v>1649</v>
      </c>
      <c r="F4881" t="str">
        <f t="shared" si="2064"/>
        <v>TUE</v>
      </c>
      <c r="G4881" s="1">
        <f t="shared" si="2065"/>
        <v>44117</v>
      </c>
      <c r="H4881" s="2">
        <f t="shared" ca="1" si="2066"/>
        <v>136</v>
      </c>
      <c r="I4881" t="str">
        <f t="shared" si="2067"/>
        <v>RUT</v>
      </c>
      <c r="J4881">
        <f t="shared" si="2068"/>
        <v>1508</v>
      </c>
      <c r="K4881">
        <f t="shared" si="2069"/>
        <v>1658</v>
      </c>
      <c r="L4881">
        <f t="shared" si="2070"/>
        <v>1583</v>
      </c>
      <c r="M4881">
        <f t="shared" si="2071"/>
        <v>75</v>
      </c>
      <c r="N4881">
        <f t="shared" si="2060"/>
        <v>150</v>
      </c>
      <c r="O4881">
        <f t="shared" si="2072"/>
        <v>1649</v>
      </c>
      <c r="P4881">
        <f t="shared" si="2073"/>
        <v>0.88</v>
      </c>
      <c r="Q4881" t="str">
        <f t="shared" si="2061"/>
        <v>8.55% | 0.55%</v>
      </c>
      <c r="R4881" t="str">
        <f t="shared" si="2074"/>
        <v>BEARISH</v>
      </c>
      <c r="S4881">
        <f t="shared" si="2062"/>
        <v>-1</v>
      </c>
    </row>
    <row r="4882" spans="1:19" hidden="1" x14ac:dyDescent="0.25">
      <c r="A4882" s="5" t="str">
        <f t="shared" si="2063"/>
        <v>44117COMPQ</v>
      </c>
      <c r="B4882" s="6" t="s">
        <v>64</v>
      </c>
      <c r="C4882" s="6">
        <v>10902</v>
      </c>
      <c r="D4882" s="6">
        <v>12003</v>
      </c>
      <c r="E4882" s="6">
        <v>11876</v>
      </c>
      <c r="F4882" t="str">
        <f t="shared" si="2064"/>
        <v>TUE</v>
      </c>
      <c r="G4882" s="1">
        <f t="shared" si="2065"/>
        <v>44117</v>
      </c>
      <c r="H4882" s="2">
        <f t="shared" ca="1" si="2066"/>
        <v>136</v>
      </c>
      <c r="I4882" t="str">
        <f t="shared" si="2067"/>
        <v>COMPQ</v>
      </c>
      <c r="J4882">
        <f t="shared" si="2068"/>
        <v>10902</v>
      </c>
      <c r="K4882">
        <f t="shared" si="2069"/>
        <v>12003</v>
      </c>
      <c r="L4882">
        <f t="shared" si="2070"/>
        <v>11452.5</v>
      </c>
      <c r="M4882">
        <f t="shared" si="2071"/>
        <v>550.5</v>
      </c>
      <c r="N4882">
        <f t="shared" si="2060"/>
        <v>1101</v>
      </c>
      <c r="O4882">
        <f t="shared" si="2072"/>
        <v>11876</v>
      </c>
      <c r="P4882">
        <f t="shared" si="2073"/>
        <v>0.76930063578564944</v>
      </c>
      <c r="Q4882" t="str">
        <f t="shared" si="2061"/>
        <v>8.2% | 1.07%</v>
      </c>
      <c r="R4882" t="str">
        <f t="shared" si="2074"/>
        <v>BEARISH</v>
      </c>
      <c r="S4882">
        <f t="shared" si="2062"/>
        <v>-1</v>
      </c>
    </row>
    <row r="4883" spans="1:19" hidden="1" x14ac:dyDescent="0.25">
      <c r="A4883" s="5" t="str">
        <f t="shared" si="2063"/>
        <v>44117XLK</v>
      </c>
      <c r="B4883" s="6" t="s">
        <v>62</v>
      </c>
      <c r="C4883" s="6">
        <v>113.25</v>
      </c>
      <c r="D4883" s="6">
        <v>124.84</v>
      </c>
      <c r="E4883" s="6">
        <v>123.46</v>
      </c>
      <c r="F4883" t="str">
        <f t="shared" si="2064"/>
        <v>TUE</v>
      </c>
      <c r="G4883" s="1">
        <f t="shared" si="2065"/>
        <v>44117</v>
      </c>
      <c r="H4883" s="2">
        <f t="shared" ca="1" si="2066"/>
        <v>136</v>
      </c>
      <c r="I4883" t="str">
        <f t="shared" si="2067"/>
        <v>XLK</v>
      </c>
      <c r="J4883">
        <f t="shared" si="2068"/>
        <v>113.25</v>
      </c>
      <c r="K4883">
        <f t="shared" si="2069"/>
        <v>124.84</v>
      </c>
      <c r="L4883">
        <f t="shared" si="2070"/>
        <v>119.045</v>
      </c>
      <c r="M4883">
        <f t="shared" si="2071"/>
        <v>5.7950000000000017</v>
      </c>
      <c r="N4883">
        <f t="shared" si="2060"/>
        <v>11.590000000000003</v>
      </c>
      <c r="O4883">
        <f t="shared" si="2072"/>
        <v>123.46</v>
      </c>
      <c r="P4883">
        <f t="shared" si="2073"/>
        <v>0.76186367558239698</v>
      </c>
      <c r="Q4883" t="str">
        <f t="shared" si="2061"/>
        <v>8.27% | 1.12%</v>
      </c>
      <c r="R4883" t="str">
        <f t="shared" si="2074"/>
        <v>NEUTRAL</v>
      </c>
      <c r="S4883">
        <f t="shared" si="2062"/>
        <v>0</v>
      </c>
    </row>
    <row r="4884" spans="1:19" hidden="1" x14ac:dyDescent="0.25">
      <c r="A4884" s="5" t="str">
        <f t="shared" si="2063"/>
        <v>44117XLRE</v>
      </c>
      <c r="B4884" s="6" t="s">
        <v>97</v>
      </c>
      <c r="C4884" s="6">
        <v>35.130000000000003</v>
      </c>
      <c r="D4884" s="6">
        <v>37.659999999999997</v>
      </c>
      <c r="E4884" s="6">
        <v>37.119999999999997</v>
      </c>
      <c r="F4884" t="str">
        <f t="shared" si="2064"/>
        <v>TUE</v>
      </c>
      <c r="G4884" s="1">
        <f t="shared" si="2065"/>
        <v>44117</v>
      </c>
      <c r="H4884" s="2">
        <f t="shared" ca="1" si="2066"/>
        <v>136</v>
      </c>
      <c r="I4884" t="str">
        <f t="shared" si="2067"/>
        <v>XLRE</v>
      </c>
      <c r="J4884">
        <f t="shared" si="2068"/>
        <v>35.130000000000003</v>
      </c>
      <c r="K4884">
        <f t="shared" si="2069"/>
        <v>37.659999999999997</v>
      </c>
      <c r="L4884">
        <f t="shared" si="2070"/>
        <v>36.394999999999996</v>
      </c>
      <c r="M4884">
        <f t="shared" si="2071"/>
        <v>1.264999999999997</v>
      </c>
      <c r="N4884">
        <f t="shared" si="2060"/>
        <v>2.529999999999994</v>
      </c>
      <c r="O4884">
        <f t="shared" si="2072"/>
        <v>37.119999999999997</v>
      </c>
      <c r="P4884">
        <f t="shared" si="2073"/>
        <v>0.57312252964427124</v>
      </c>
      <c r="Q4884" t="str">
        <f t="shared" si="2061"/>
        <v>5.36% | 1.45%</v>
      </c>
      <c r="R4884" t="str">
        <f t="shared" si="2074"/>
        <v>BULLISH</v>
      </c>
      <c r="S4884">
        <f t="shared" si="2062"/>
        <v>1</v>
      </c>
    </row>
    <row r="4885" spans="1:19" hidden="1" x14ac:dyDescent="0.25">
      <c r="A4885" s="5" t="str">
        <f t="shared" si="2063"/>
        <v>44117XLU</v>
      </c>
      <c r="B4885" s="6" t="s">
        <v>52</v>
      </c>
      <c r="C4885" s="6">
        <v>59</v>
      </c>
      <c r="D4885" s="6">
        <v>64.91</v>
      </c>
      <c r="E4885" s="6">
        <v>63.88</v>
      </c>
      <c r="F4885" t="str">
        <f t="shared" si="2064"/>
        <v>TUE</v>
      </c>
      <c r="G4885" s="1">
        <f t="shared" si="2065"/>
        <v>44117</v>
      </c>
      <c r="H4885" s="2">
        <f t="shared" ca="1" si="2066"/>
        <v>136</v>
      </c>
      <c r="I4885" t="str">
        <f t="shared" si="2067"/>
        <v>XLU</v>
      </c>
      <c r="J4885">
        <f t="shared" si="2068"/>
        <v>59</v>
      </c>
      <c r="K4885">
        <f t="shared" si="2069"/>
        <v>64.91</v>
      </c>
      <c r="L4885">
        <f t="shared" si="2070"/>
        <v>61.954999999999998</v>
      </c>
      <c r="M4885">
        <f t="shared" si="2071"/>
        <v>2.9549999999999983</v>
      </c>
      <c r="N4885">
        <f t="shared" si="2060"/>
        <v>5.9099999999999966</v>
      </c>
      <c r="O4885">
        <f t="shared" si="2072"/>
        <v>63.88</v>
      </c>
      <c r="P4885">
        <f t="shared" si="2073"/>
        <v>0.65143824027072939</v>
      </c>
      <c r="Q4885" t="str">
        <f t="shared" si="2061"/>
        <v>7.64% | 1.61%</v>
      </c>
      <c r="R4885" t="str">
        <f t="shared" si="2074"/>
        <v>BULLISH</v>
      </c>
      <c r="S4885">
        <f t="shared" si="2062"/>
        <v>1</v>
      </c>
    </row>
    <row r="4886" spans="1:19" hidden="1" x14ac:dyDescent="0.25">
      <c r="A4886" s="5" t="str">
        <f t="shared" si="2063"/>
        <v>44117XLF</v>
      </c>
      <c r="B4886" s="6" t="s">
        <v>12</v>
      </c>
      <c r="C4886" s="6">
        <v>23.23</v>
      </c>
      <c r="D4886" s="6">
        <v>25.8</v>
      </c>
      <c r="E4886" s="6">
        <v>25.51</v>
      </c>
      <c r="F4886" t="str">
        <f t="shared" si="2064"/>
        <v>TUE</v>
      </c>
      <c r="G4886" s="1">
        <f t="shared" si="2065"/>
        <v>44117</v>
      </c>
      <c r="H4886" s="2">
        <f t="shared" ca="1" si="2066"/>
        <v>136</v>
      </c>
      <c r="I4886" t="str">
        <f t="shared" si="2067"/>
        <v>XLF</v>
      </c>
      <c r="J4886">
        <f t="shared" si="2068"/>
        <v>23.23</v>
      </c>
      <c r="K4886">
        <f t="shared" si="2069"/>
        <v>25.8</v>
      </c>
      <c r="L4886">
        <f t="shared" si="2070"/>
        <v>24.515000000000001</v>
      </c>
      <c r="M4886">
        <f t="shared" si="2071"/>
        <v>1.2850000000000001</v>
      </c>
      <c r="N4886">
        <f t="shared" si="2060"/>
        <v>2.5700000000000003</v>
      </c>
      <c r="O4886">
        <f t="shared" si="2072"/>
        <v>25.51</v>
      </c>
      <c r="P4886">
        <f t="shared" si="2073"/>
        <v>0.77431906614786061</v>
      </c>
      <c r="Q4886" t="str">
        <f t="shared" si="2061"/>
        <v>8.94% | 1.14%</v>
      </c>
      <c r="R4886" t="str">
        <f t="shared" si="2074"/>
        <v>BEARISH</v>
      </c>
      <c r="S4886">
        <f t="shared" si="2062"/>
        <v>-1</v>
      </c>
    </row>
    <row r="4887" spans="1:19" hidden="1" x14ac:dyDescent="0.25">
      <c r="A4887" s="5" t="str">
        <f t="shared" si="2063"/>
        <v>44117SSEC</v>
      </c>
      <c r="B4887" s="6" t="s">
        <v>104</v>
      </c>
      <c r="C4887" s="6">
        <v>3175</v>
      </c>
      <c r="D4887" s="6">
        <v>3372</v>
      </c>
      <c r="E4887" s="6">
        <v>3359</v>
      </c>
      <c r="F4887" t="str">
        <f t="shared" si="2064"/>
        <v>TUE</v>
      </c>
      <c r="G4887" s="1">
        <f t="shared" si="2065"/>
        <v>44117</v>
      </c>
      <c r="H4887" s="2">
        <f t="shared" ca="1" si="2066"/>
        <v>136</v>
      </c>
      <c r="I4887" t="str">
        <f t="shared" si="2067"/>
        <v>SSEC</v>
      </c>
      <c r="J4887">
        <f t="shared" si="2068"/>
        <v>3175</v>
      </c>
      <c r="K4887">
        <f t="shared" si="2069"/>
        <v>3372</v>
      </c>
      <c r="L4887">
        <f t="shared" si="2070"/>
        <v>3273.5</v>
      </c>
      <c r="M4887">
        <f t="shared" si="2071"/>
        <v>98.5</v>
      </c>
      <c r="N4887">
        <f t="shared" si="2060"/>
        <v>197</v>
      </c>
      <c r="O4887">
        <f t="shared" si="2072"/>
        <v>3359</v>
      </c>
      <c r="P4887">
        <f t="shared" si="2073"/>
        <v>0.86802030456852797</v>
      </c>
      <c r="Q4887" t="str">
        <f t="shared" si="2061"/>
        <v>5.48% | 0.39%</v>
      </c>
      <c r="R4887" t="str">
        <f t="shared" si="2074"/>
        <v>BULLISH</v>
      </c>
      <c r="S4887">
        <f t="shared" si="2062"/>
        <v>1</v>
      </c>
    </row>
    <row r="4888" spans="1:19" hidden="1" x14ac:dyDescent="0.25">
      <c r="A4888" s="5" t="str">
        <f t="shared" si="2063"/>
        <v>44117NIKK</v>
      </c>
      <c r="B4888" s="6" t="s">
        <v>91</v>
      </c>
      <c r="C4888" s="6">
        <v>22970</v>
      </c>
      <c r="D4888" s="6">
        <v>23785</v>
      </c>
      <c r="E4888" s="6">
        <v>23601</v>
      </c>
      <c r="F4888" t="str">
        <f t="shared" si="2064"/>
        <v>TUE</v>
      </c>
      <c r="G4888" s="1">
        <f t="shared" si="2065"/>
        <v>44117</v>
      </c>
      <c r="H4888" s="2">
        <f t="shared" ca="1" si="2066"/>
        <v>136</v>
      </c>
      <c r="I4888" t="str">
        <f t="shared" si="2067"/>
        <v>NIKK</v>
      </c>
      <c r="J4888">
        <f t="shared" si="2068"/>
        <v>22970</v>
      </c>
      <c r="K4888">
        <f t="shared" si="2069"/>
        <v>23785</v>
      </c>
      <c r="L4888">
        <f t="shared" si="2070"/>
        <v>23377.5</v>
      </c>
      <c r="M4888">
        <f t="shared" si="2071"/>
        <v>407.5</v>
      </c>
      <c r="N4888">
        <f t="shared" si="2060"/>
        <v>815</v>
      </c>
      <c r="O4888">
        <f t="shared" si="2072"/>
        <v>23601</v>
      </c>
      <c r="P4888">
        <f t="shared" si="2073"/>
        <v>0.54846625766871171</v>
      </c>
      <c r="Q4888" t="str">
        <f t="shared" si="2061"/>
        <v>2.67% | 0.78%</v>
      </c>
      <c r="R4888" t="str">
        <f t="shared" si="2074"/>
        <v>BULLISH</v>
      </c>
      <c r="S4888">
        <f t="shared" si="2062"/>
        <v>1</v>
      </c>
    </row>
    <row r="4889" spans="1:19" hidden="1" x14ac:dyDescent="0.25">
      <c r="A4889" s="5" t="str">
        <f t="shared" si="2063"/>
        <v>44117DAX</v>
      </c>
      <c r="B4889" s="6" t="s">
        <v>92</v>
      </c>
      <c r="C4889" s="6">
        <v>12600</v>
      </c>
      <c r="D4889" s="6">
        <v>13199</v>
      </c>
      <c r="E4889" s="6">
        <v>13138</v>
      </c>
      <c r="F4889" t="str">
        <f t="shared" si="2064"/>
        <v>TUE</v>
      </c>
      <c r="G4889" s="1">
        <f t="shared" si="2065"/>
        <v>44117</v>
      </c>
      <c r="H4889" s="2">
        <f t="shared" ca="1" si="2066"/>
        <v>136</v>
      </c>
      <c r="I4889" t="str">
        <f t="shared" si="2067"/>
        <v>DAX</v>
      </c>
      <c r="J4889">
        <f t="shared" si="2068"/>
        <v>12600</v>
      </c>
      <c r="K4889">
        <f t="shared" si="2069"/>
        <v>13199</v>
      </c>
      <c r="L4889">
        <f t="shared" si="2070"/>
        <v>12899.5</v>
      </c>
      <c r="M4889">
        <f t="shared" si="2071"/>
        <v>299.5</v>
      </c>
      <c r="N4889">
        <f t="shared" si="2060"/>
        <v>599</v>
      </c>
      <c r="O4889">
        <f t="shared" si="2072"/>
        <v>13138</v>
      </c>
      <c r="P4889">
        <f t="shared" si="2073"/>
        <v>0.79632721202003343</v>
      </c>
      <c r="Q4889" t="str">
        <f t="shared" si="2061"/>
        <v>4.09% | 0.46%</v>
      </c>
      <c r="R4889" t="str">
        <f t="shared" si="2074"/>
        <v>NEUTRAL</v>
      </c>
      <c r="S4889">
        <f t="shared" si="2062"/>
        <v>0</v>
      </c>
    </row>
    <row r="4890" spans="1:19" hidden="1" x14ac:dyDescent="0.25">
      <c r="A4890" s="5" t="str">
        <f t="shared" si="2063"/>
        <v>44117VIX</v>
      </c>
      <c r="B4890" s="6" t="s">
        <v>17</v>
      </c>
      <c r="C4890" s="6">
        <v>24.09</v>
      </c>
      <c r="D4890" s="6">
        <v>30.72</v>
      </c>
      <c r="E4890" s="6">
        <v>25.07</v>
      </c>
      <c r="F4890" t="str">
        <f t="shared" si="2064"/>
        <v>TUE</v>
      </c>
      <c r="G4890" s="1">
        <f t="shared" si="2065"/>
        <v>44117</v>
      </c>
      <c r="H4890" s="2">
        <f t="shared" ca="1" si="2066"/>
        <v>136</v>
      </c>
      <c r="I4890" t="str">
        <f t="shared" si="2067"/>
        <v>VIX</v>
      </c>
      <c r="J4890">
        <f t="shared" si="2068"/>
        <v>24.09</v>
      </c>
      <c r="K4890">
        <f t="shared" si="2069"/>
        <v>30.72</v>
      </c>
      <c r="L4890">
        <f t="shared" si="2070"/>
        <v>27.405000000000001</v>
      </c>
      <c r="M4890">
        <f t="shared" si="2071"/>
        <v>3.314999999999988</v>
      </c>
      <c r="N4890">
        <f t="shared" si="2060"/>
        <v>6.629999999999999</v>
      </c>
      <c r="O4890">
        <f t="shared" si="2072"/>
        <v>25.07</v>
      </c>
      <c r="P4890">
        <f t="shared" si="2073"/>
        <v>-0.70437405731523661</v>
      </c>
      <c r="Q4890" t="str">
        <f t="shared" si="2061"/>
        <v>3.91% | 22.54%</v>
      </c>
      <c r="R4890" t="str">
        <f t="shared" si="2074"/>
        <v>BULLISH</v>
      </c>
      <c r="S4890">
        <f t="shared" si="2062"/>
        <v>1</v>
      </c>
    </row>
    <row r="4891" spans="1:19" hidden="1" x14ac:dyDescent="0.25">
      <c r="A4891" s="5" t="str">
        <f t="shared" si="2063"/>
        <v>44117USD</v>
      </c>
      <c r="B4891" s="6" t="s">
        <v>78</v>
      </c>
      <c r="C4891" s="6">
        <v>92.89</v>
      </c>
      <c r="D4891" s="6">
        <v>94.45</v>
      </c>
      <c r="E4891" s="6">
        <v>93.1</v>
      </c>
      <c r="F4891" t="str">
        <f t="shared" si="2064"/>
        <v>TUE</v>
      </c>
      <c r="G4891" s="1">
        <f t="shared" si="2065"/>
        <v>44117</v>
      </c>
      <c r="H4891" s="2">
        <f t="shared" ca="1" si="2066"/>
        <v>136</v>
      </c>
      <c r="I4891" t="str">
        <f t="shared" si="2067"/>
        <v>USD</v>
      </c>
      <c r="J4891">
        <f t="shared" si="2068"/>
        <v>92.89</v>
      </c>
      <c r="K4891">
        <f t="shared" si="2069"/>
        <v>94.45</v>
      </c>
      <c r="L4891">
        <f t="shared" si="2070"/>
        <v>93.67</v>
      </c>
      <c r="M4891">
        <f t="shared" si="2071"/>
        <v>0.78000000000000114</v>
      </c>
      <c r="N4891">
        <f t="shared" si="2060"/>
        <v>1.5600000000000023</v>
      </c>
      <c r="O4891">
        <f t="shared" si="2072"/>
        <v>93.1</v>
      </c>
      <c r="P4891">
        <f t="shared" si="2073"/>
        <v>-0.73076923076923916</v>
      </c>
      <c r="Q4891" t="str">
        <f t="shared" si="2061"/>
        <v>0.23% | 1.45%</v>
      </c>
      <c r="R4891" t="str">
        <f t="shared" si="2074"/>
        <v>NEUTRAL</v>
      </c>
      <c r="S4891">
        <f t="shared" si="2062"/>
        <v>0</v>
      </c>
    </row>
    <row r="4892" spans="1:19" hidden="1" x14ac:dyDescent="0.25">
      <c r="A4892" s="5" t="str">
        <f t="shared" si="2063"/>
        <v>44117EUR/USD</v>
      </c>
      <c r="B4892" s="6" t="s">
        <v>77</v>
      </c>
      <c r="C4892" s="6">
        <v>1.1599999999999999</v>
      </c>
      <c r="D4892" s="6">
        <v>1.18</v>
      </c>
      <c r="E4892" s="6">
        <v>1.18</v>
      </c>
      <c r="F4892" t="str">
        <f t="shared" si="2064"/>
        <v>TUE</v>
      </c>
      <c r="G4892" s="1">
        <f t="shared" si="2065"/>
        <v>44117</v>
      </c>
      <c r="H4892" s="2">
        <f t="shared" ca="1" si="2066"/>
        <v>136</v>
      </c>
      <c r="I4892" t="str">
        <f t="shared" si="2067"/>
        <v>EUR/USD</v>
      </c>
      <c r="J4892">
        <f t="shared" si="2068"/>
        <v>1.1599999999999999</v>
      </c>
      <c r="K4892">
        <f t="shared" si="2069"/>
        <v>1.18</v>
      </c>
      <c r="L4892">
        <f t="shared" si="2070"/>
        <v>1.17</v>
      </c>
      <c r="M4892">
        <f t="shared" si="2071"/>
        <v>1.0000000000000009E-2</v>
      </c>
      <c r="N4892">
        <f t="shared" si="2060"/>
        <v>2.0000000000000018E-2</v>
      </c>
      <c r="O4892">
        <f t="shared" si="2072"/>
        <v>1.18</v>
      </c>
      <c r="P4892">
        <f t="shared" si="2073"/>
        <v>1</v>
      </c>
      <c r="Q4892" t="str">
        <f t="shared" si="2061"/>
        <v>1.69% | 0%</v>
      </c>
      <c r="R4892" t="str">
        <f t="shared" si="2074"/>
        <v>NEUTRAL</v>
      </c>
      <c r="S4892">
        <f t="shared" si="2062"/>
        <v>0</v>
      </c>
    </row>
    <row r="4893" spans="1:19" hidden="1" x14ac:dyDescent="0.25">
      <c r="A4893" s="5" t="str">
        <f t="shared" si="2063"/>
        <v>44117USD/JPY</v>
      </c>
      <c r="B4893" s="6" t="s">
        <v>86</v>
      </c>
      <c r="C4893" s="6">
        <v>105.11</v>
      </c>
      <c r="D4893" s="6">
        <v>106.18</v>
      </c>
      <c r="E4893" s="6">
        <v>105.34</v>
      </c>
      <c r="F4893" t="str">
        <f t="shared" si="2064"/>
        <v>TUE</v>
      </c>
      <c r="G4893" s="1">
        <f t="shared" si="2065"/>
        <v>44117</v>
      </c>
      <c r="H4893" s="2">
        <f t="shared" ca="1" si="2066"/>
        <v>136</v>
      </c>
      <c r="I4893" t="str">
        <f t="shared" si="2067"/>
        <v>USD/JPY</v>
      </c>
      <c r="J4893">
        <f t="shared" si="2068"/>
        <v>105.11</v>
      </c>
      <c r="K4893">
        <f t="shared" si="2069"/>
        <v>106.18</v>
      </c>
      <c r="L4893">
        <f t="shared" si="2070"/>
        <v>105.64500000000001</v>
      </c>
      <c r="M4893">
        <f t="shared" si="2071"/>
        <v>0.53500000000000369</v>
      </c>
      <c r="N4893">
        <f t="shared" si="2060"/>
        <v>1.0700000000000074</v>
      </c>
      <c r="O4893">
        <f t="shared" si="2072"/>
        <v>105.34</v>
      </c>
      <c r="P4893">
        <f t="shared" si="2073"/>
        <v>-0.57009345794393407</v>
      </c>
      <c r="Q4893" t="str">
        <f t="shared" si="2061"/>
        <v>0.22% | 0.8%</v>
      </c>
      <c r="R4893" t="str">
        <f t="shared" si="2074"/>
        <v>NEUTRAL</v>
      </c>
      <c r="S4893">
        <f t="shared" si="2062"/>
        <v>0</v>
      </c>
    </row>
    <row r="4894" spans="1:19" hidden="1" x14ac:dyDescent="0.25">
      <c r="A4894" s="5" t="str">
        <f t="shared" si="2063"/>
        <v>44117GBP/USD</v>
      </c>
      <c r="B4894" s="6" t="s">
        <v>79</v>
      </c>
      <c r="C4894" s="6">
        <v>1.28</v>
      </c>
      <c r="D4894" s="6">
        <v>1.3</v>
      </c>
      <c r="E4894" s="6">
        <v>1.3</v>
      </c>
      <c r="F4894" t="str">
        <f t="shared" si="2064"/>
        <v>TUE</v>
      </c>
      <c r="G4894" s="1">
        <f t="shared" si="2065"/>
        <v>44117</v>
      </c>
      <c r="H4894" s="2">
        <f t="shared" ca="1" si="2066"/>
        <v>136</v>
      </c>
      <c r="I4894" t="str">
        <f t="shared" si="2067"/>
        <v>GBP/USD</v>
      </c>
      <c r="J4894">
        <f t="shared" si="2068"/>
        <v>1.28</v>
      </c>
      <c r="K4894">
        <f t="shared" si="2069"/>
        <v>1.3</v>
      </c>
      <c r="L4894">
        <f t="shared" si="2070"/>
        <v>1.29</v>
      </c>
      <c r="M4894">
        <f t="shared" si="2071"/>
        <v>1.0000000000000009E-2</v>
      </c>
      <c r="N4894">
        <f t="shared" si="2060"/>
        <v>2.0000000000000018E-2</v>
      </c>
      <c r="O4894">
        <f t="shared" si="2072"/>
        <v>1.3</v>
      </c>
      <c r="P4894">
        <f t="shared" si="2073"/>
        <v>1</v>
      </c>
      <c r="Q4894" t="str">
        <f t="shared" si="2061"/>
        <v>1.54% | 0%</v>
      </c>
      <c r="R4894" t="str">
        <f t="shared" si="2074"/>
        <v>NEUTRAL</v>
      </c>
      <c r="S4894">
        <f t="shared" si="2062"/>
        <v>0</v>
      </c>
    </row>
    <row r="4895" spans="1:19" hidden="1" x14ac:dyDescent="0.25">
      <c r="A4895" s="5" t="str">
        <f t="shared" si="2063"/>
        <v>44117USD/CHF</v>
      </c>
      <c r="B4895" s="6" t="s">
        <v>76</v>
      </c>
      <c r="C4895" s="6">
        <v>0.9</v>
      </c>
      <c r="D4895" s="6">
        <v>0.92</v>
      </c>
      <c r="E4895" s="6">
        <v>0.9</v>
      </c>
      <c r="F4895" t="str">
        <f t="shared" si="2064"/>
        <v>TUE</v>
      </c>
      <c r="G4895" s="1">
        <f t="shared" si="2065"/>
        <v>44117</v>
      </c>
      <c r="H4895" s="2">
        <f t="shared" ca="1" si="2066"/>
        <v>136</v>
      </c>
      <c r="I4895" t="str">
        <f t="shared" si="2067"/>
        <v>USD/CHF</v>
      </c>
      <c r="J4895">
        <f t="shared" si="2068"/>
        <v>0.9</v>
      </c>
      <c r="K4895">
        <f t="shared" si="2069"/>
        <v>0.92</v>
      </c>
      <c r="L4895">
        <f t="shared" si="2070"/>
        <v>0.91</v>
      </c>
      <c r="M4895">
        <f t="shared" si="2071"/>
        <v>1.0000000000000009E-2</v>
      </c>
      <c r="N4895">
        <f t="shared" si="2060"/>
        <v>2.0000000000000018E-2</v>
      </c>
      <c r="O4895">
        <f t="shared" si="2072"/>
        <v>0.9</v>
      </c>
      <c r="P4895">
        <f t="shared" si="2073"/>
        <v>-1</v>
      </c>
      <c r="Q4895" t="str">
        <f t="shared" si="2061"/>
        <v>0% | 2.22%</v>
      </c>
      <c r="R4895" t="str">
        <f t="shared" si="2074"/>
        <v>BEARISH</v>
      </c>
      <c r="S4895">
        <f t="shared" si="2062"/>
        <v>-1</v>
      </c>
    </row>
    <row r="4896" spans="1:19" hidden="1" x14ac:dyDescent="0.25">
      <c r="A4896" s="5" t="str">
        <f t="shared" si="2063"/>
        <v>44117WTIC</v>
      </c>
      <c r="B4896" s="6" t="s">
        <v>23</v>
      </c>
      <c r="C4896" s="6">
        <v>37.11</v>
      </c>
      <c r="D4896" s="6">
        <v>41.99</v>
      </c>
      <c r="E4896" s="6">
        <v>39.43</v>
      </c>
      <c r="F4896" t="str">
        <f t="shared" si="2064"/>
        <v>TUE</v>
      </c>
      <c r="G4896" s="1">
        <f t="shared" si="2065"/>
        <v>44117</v>
      </c>
      <c r="H4896" s="2">
        <f t="shared" ca="1" si="2066"/>
        <v>136</v>
      </c>
      <c r="I4896" t="str">
        <f t="shared" si="2067"/>
        <v>WTIC</v>
      </c>
      <c r="J4896">
        <f t="shared" si="2068"/>
        <v>37.11</v>
      </c>
      <c r="K4896">
        <f t="shared" si="2069"/>
        <v>41.99</v>
      </c>
      <c r="L4896">
        <f t="shared" si="2070"/>
        <v>39.549999999999997</v>
      </c>
      <c r="M4896">
        <f t="shared" si="2071"/>
        <v>2.4400000000000013</v>
      </c>
      <c r="N4896">
        <f t="shared" si="2060"/>
        <v>4.8800000000000026</v>
      </c>
      <c r="O4896">
        <f t="shared" si="2072"/>
        <v>39.43</v>
      </c>
      <c r="P4896">
        <f t="shared" si="2073"/>
        <v>-4.9180327868851383E-2</v>
      </c>
      <c r="Q4896" t="str">
        <f t="shared" si="2061"/>
        <v>5.88% | 6.49%</v>
      </c>
      <c r="R4896" t="str">
        <f t="shared" si="2074"/>
        <v>BEARISH</v>
      </c>
      <c r="S4896">
        <f t="shared" si="2062"/>
        <v>-1</v>
      </c>
    </row>
    <row r="4897" spans="1:19" hidden="1" x14ac:dyDescent="0.25">
      <c r="A4897" s="5" t="str">
        <f t="shared" si="2063"/>
        <v>44117NATGAS</v>
      </c>
      <c r="B4897" s="6" t="s">
        <v>89</v>
      </c>
      <c r="C4897" s="6">
        <v>2.41</v>
      </c>
      <c r="D4897" s="6">
        <v>2.91</v>
      </c>
      <c r="E4897" s="6">
        <v>2.88</v>
      </c>
      <c r="F4897" t="str">
        <f t="shared" si="2064"/>
        <v>TUE</v>
      </c>
      <c r="G4897" s="1">
        <f t="shared" si="2065"/>
        <v>44117</v>
      </c>
      <c r="H4897" s="2">
        <f t="shared" ca="1" si="2066"/>
        <v>136</v>
      </c>
      <c r="I4897" t="str">
        <f t="shared" si="2067"/>
        <v>NATGAS</v>
      </c>
      <c r="J4897">
        <f t="shared" si="2068"/>
        <v>2.41</v>
      </c>
      <c r="K4897">
        <f t="shared" si="2069"/>
        <v>2.91</v>
      </c>
      <c r="L4897">
        <f t="shared" si="2070"/>
        <v>2.66</v>
      </c>
      <c r="M4897">
        <f t="shared" si="2071"/>
        <v>0.25</v>
      </c>
      <c r="N4897">
        <f t="shared" si="2060"/>
        <v>0.5</v>
      </c>
      <c r="O4897">
        <f t="shared" si="2072"/>
        <v>2.88</v>
      </c>
      <c r="P4897">
        <f t="shared" si="2073"/>
        <v>0.87999999999999901</v>
      </c>
      <c r="Q4897" t="str">
        <f t="shared" si="2061"/>
        <v>16.32% | 1.04%</v>
      </c>
      <c r="R4897" t="str">
        <f t="shared" si="2074"/>
        <v>BULLISH</v>
      </c>
      <c r="S4897">
        <f t="shared" si="2062"/>
        <v>1</v>
      </c>
    </row>
    <row r="4898" spans="1:19" hidden="1" x14ac:dyDescent="0.25">
      <c r="A4898" s="5" t="str">
        <f t="shared" si="2063"/>
        <v>44117GOLD</v>
      </c>
      <c r="B4898" s="6" t="s">
        <v>25</v>
      </c>
      <c r="C4898" s="6">
        <v>1873</v>
      </c>
      <c r="D4898" s="6">
        <v>1938</v>
      </c>
      <c r="E4898" s="6">
        <v>1928</v>
      </c>
      <c r="F4898" t="str">
        <f t="shared" si="2064"/>
        <v>TUE</v>
      </c>
      <c r="G4898" s="1">
        <f t="shared" si="2065"/>
        <v>44117</v>
      </c>
      <c r="H4898" s="2">
        <f t="shared" ca="1" si="2066"/>
        <v>136</v>
      </c>
      <c r="I4898" t="str">
        <f t="shared" si="2067"/>
        <v>GOLD</v>
      </c>
      <c r="J4898">
        <f t="shared" si="2068"/>
        <v>1873</v>
      </c>
      <c r="K4898">
        <f t="shared" si="2069"/>
        <v>1938</v>
      </c>
      <c r="L4898">
        <f t="shared" si="2070"/>
        <v>1905.5</v>
      </c>
      <c r="M4898">
        <f t="shared" si="2071"/>
        <v>32.5</v>
      </c>
      <c r="N4898">
        <f t="shared" si="2060"/>
        <v>65</v>
      </c>
      <c r="O4898">
        <f t="shared" si="2072"/>
        <v>1928</v>
      </c>
      <c r="P4898">
        <f t="shared" si="2073"/>
        <v>0.69230769230769229</v>
      </c>
      <c r="Q4898" t="str">
        <f t="shared" si="2061"/>
        <v>2.85% | 0.52%</v>
      </c>
      <c r="R4898" t="str">
        <f t="shared" si="2074"/>
        <v>BULLISH</v>
      </c>
      <c r="S4898">
        <f t="shared" si="2062"/>
        <v>1</v>
      </c>
    </row>
    <row r="4899" spans="1:19" hidden="1" x14ac:dyDescent="0.25">
      <c r="A4899" s="5" t="str">
        <f t="shared" si="2063"/>
        <v>44117SILVER</v>
      </c>
      <c r="B4899" s="6" t="s">
        <v>234</v>
      </c>
      <c r="C4899" s="6">
        <v>23.04</v>
      </c>
      <c r="D4899" s="6">
        <v>25.5</v>
      </c>
      <c r="E4899" s="6">
        <v>25.27</v>
      </c>
      <c r="F4899" t="str">
        <f t="shared" si="2064"/>
        <v>TUE</v>
      </c>
      <c r="G4899" s="1">
        <f t="shared" si="2065"/>
        <v>44117</v>
      </c>
      <c r="H4899" s="2">
        <f t="shared" ca="1" si="2066"/>
        <v>136</v>
      </c>
      <c r="I4899" t="str">
        <f t="shared" si="2067"/>
        <v>SILVER</v>
      </c>
      <c r="J4899">
        <f t="shared" si="2068"/>
        <v>23.04</v>
      </c>
      <c r="K4899">
        <f t="shared" si="2069"/>
        <v>25.5</v>
      </c>
      <c r="L4899">
        <f t="shared" si="2070"/>
        <v>24.27</v>
      </c>
      <c r="M4899">
        <f t="shared" si="2071"/>
        <v>1.2300000000000004</v>
      </c>
      <c r="N4899">
        <f t="shared" si="2060"/>
        <v>2.4600000000000009</v>
      </c>
      <c r="O4899">
        <f t="shared" si="2072"/>
        <v>25.27</v>
      </c>
      <c r="P4899">
        <f t="shared" si="2073"/>
        <v>0.81300813008130057</v>
      </c>
      <c r="Q4899" t="str">
        <f t="shared" si="2061"/>
        <v>8.82% | 0.91%</v>
      </c>
      <c r="R4899" t="str">
        <f t="shared" si="2074"/>
        <v>BEARISH</v>
      </c>
      <c r="S4899">
        <f t="shared" si="2062"/>
        <v>-1</v>
      </c>
    </row>
    <row r="4900" spans="1:19" hidden="1" x14ac:dyDescent="0.25">
      <c r="A4900" s="5" t="str">
        <f t="shared" si="2063"/>
        <v>44117COPPER</v>
      </c>
      <c r="B4900" s="6" t="s">
        <v>100</v>
      </c>
      <c r="C4900" s="6">
        <v>2.87</v>
      </c>
      <c r="D4900" s="6">
        <v>3.11</v>
      </c>
      <c r="E4900" s="6">
        <v>3.06</v>
      </c>
      <c r="F4900" t="str">
        <f t="shared" si="2064"/>
        <v>TUE</v>
      </c>
      <c r="G4900" s="1">
        <f t="shared" si="2065"/>
        <v>44117</v>
      </c>
      <c r="H4900" s="2">
        <f t="shared" ca="1" si="2066"/>
        <v>136</v>
      </c>
      <c r="I4900" t="str">
        <f t="shared" si="2067"/>
        <v>COPPER</v>
      </c>
      <c r="J4900">
        <f t="shared" si="2068"/>
        <v>2.87</v>
      </c>
      <c r="K4900">
        <f t="shared" si="2069"/>
        <v>3.11</v>
      </c>
      <c r="L4900">
        <f t="shared" si="2070"/>
        <v>2.99</v>
      </c>
      <c r="M4900">
        <f t="shared" si="2071"/>
        <v>0.11999999999999988</v>
      </c>
      <c r="N4900">
        <f t="shared" si="2060"/>
        <v>0.23999999999999977</v>
      </c>
      <c r="O4900">
        <f t="shared" si="2072"/>
        <v>3.06</v>
      </c>
      <c r="P4900">
        <f t="shared" si="2073"/>
        <v>0.58333333333333259</v>
      </c>
      <c r="Q4900" t="str">
        <f t="shared" si="2061"/>
        <v>6.21% | 1.63%</v>
      </c>
      <c r="R4900" t="str">
        <f t="shared" si="2074"/>
        <v>BULLISH</v>
      </c>
      <c r="S4900">
        <f t="shared" si="2062"/>
        <v>1</v>
      </c>
    </row>
    <row r="4901" spans="1:19" hidden="1" x14ac:dyDescent="0.25">
      <c r="A4901" s="5" t="str">
        <f t="shared" si="2063"/>
        <v>44117MSFT</v>
      </c>
      <c r="B4901" s="6" t="s">
        <v>235</v>
      </c>
      <c r="C4901" s="6">
        <v>202</v>
      </c>
      <c r="D4901" s="6">
        <v>222</v>
      </c>
      <c r="E4901" s="6">
        <v>221</v>
      </c>
      <c r="F4901" t="str">
        <f t="shared" si="2064"/>
        <v>TUE</v>
      </c>
      <c r="G4901" s="1">
        <f t="shared" si="2065"/>
        <v>44117</v>
      </c>
      <c r="H4901" s="2">
        <f t="shared" ca="1" si="2066"/>
        <v>136</v>
      </c>
      <c r="I4901" t="str">
        <f t="shared" si="2067"/>
        <v>MSFT</v>
      </c>
      <c r="J4901">
        <f t="shared" si="2068"/>
        <v>202</v>
      </c>
      <c r="K4901">
        <f t="shared" si="2069"/>
        <v>222</v>
      </c>
      <c r="L4901">
        <f t="shared" si="2070"/>
        <v>212</v>
      </c>
      <c r="M4901">
        <f t="shared" si="2071"/>
        <v>10</v>
      </c>
      <c r="N4901">
        <f t="shared" si="2060"/>
        <v>20</v>
      </c>
      <c r="O4901">
        <f t="shared" si="2072"/>
        <v>221</v>
      </c>
      <c r="P4901">
        <f t="shared" si="2073"/>
        <v>0.9</v>
      </c>
      <c r="Q4901" t="str">
        <f t="shared" si="2061"/>
        <v>8.6% | 0.45%</v>
      </c>
      <c r="R4901" t="str">
        <f t="shared" si="2074"/>
        <v>NEUTRAL</v>
      </c>
      <c r="S4901">
        <f t="shared" si="2062"/>
        <v>0</v>
      </c>
    </row>
    <row r="4902" spans="1:19" hidden="1" x14ac:dyDescent="0.25">
      <c r="A4902" s="5" t="str">
        <f t="shared" si="2063"/>
        <v>44117AAPL</v>
      </c>
      <c r="B4902" s="6" t="s">
        <v>63</v>
      </c>
      <c r="C4902" s="6">
        <v>110</v>
      </c>
      <c r="D4902" s="6">
        <v>126</v>
      </c>
      <c r="E4902" s="6">
        <v>124</v>
      </c>
      <c r="F4902" t="str">
        <f t="shared" si="2064"/>
        <v>TUE</v>
      </c>
      <c r="G4902" s="1">
        <f t="shared" si="2065"/>
        <v>44117</v>
      </c>
      <c r="H4902" s="2">
        <f t="shared" ca="1" si="2066"/>
        <v>136</v>
      </c>
      <c r="I4902" t="str">
        <f t="shared" si="2067"/>
        <v>AAPL</v>
      </c>
      <c r="J4902">
        <f t="shared" si="2068"/>
        <v>110</v>
      </c>
      <c r="K4902">
        <f t="shared" si="2069"/>
        <v>126</v>
      </c>
      <c r="L4902">
        <f t="shared" si="2070"/>
        <v>118</v>
      </c>
      <c r="M4902">
        <f t="shared" si="2071"/>
        <v>8</v>
      </c>
      <c r="N4902">
        <f t="shared" si="2060"/>
        <v>16</v>
      </c>
      <c r="O4902">
        <f t="shared" si="2072"/>
        <v>124</v>
      </c>
      <c r="P4902">
        <f t="shared" si="2073"/>
        <v>0.75</v>
      </c>
      <c r="Q4902" t="str">
        <f t="shared" si="2061"/>
        <v>11.29% | 1.61%</v>
      </c>
      <c r="R4902" t="str">
        <f t="shared" si="2074"/>
        <v>NEUTRAL</v>
      </c>
      <c r="S4902">
        <f t="shared" si="2062"/>
        <v>0</v>
      </c>
    </row>
    <row r="4903" spans="1:19" hidden="1" x14ac:dyDescent="0.25">
      <c r="A4903" s="5" t="str">
        <f t="shared" si="2063"/>
        <v>44117AMZN</v>
      </c>
      <c r="B4903" s="6" t="s">
        <v>29</v>
      </c>
      <c r="C4903" s="6">
        <v>3174</v>
      </c>
      <c r="D4903" s="6">
        <v>3511</v>
      </c>
      <c r="E4903" s="6">
        <v>3442</v>
      </c>
      <c r="F4903" t="str">
        <f t="shared" si="2064"/>
        <v>TUE</v>
      </c>
      <c r="G4903" s="1">
        <f t="shared" si="2065"/>
        <v>44117</v>
      </c>
      <c r="H4903" s="2">
        <f t="shared" ca="1" si="2066"/>
        <v>136</v>
      </c>
      <c r="I4903" t="str">
        <f t="shared" si="2067"/>
        <v>AMZN</v>
      </c>
      <c r="J4903">
        <f t="shared" si="2068"/>
        <v>3174</v>
      </c>
      <c r="K4903">
        <f t="shared" si="2069"/>
        <v>3511</v>
      </c>
      <c r="L4903">
        <f t="shared" si="2070"/>
        <v>3342.5</v>
      </c>
      <c r="M4903">
        <f t="shared" si="2071"/>
        <v>168.5</v>
      </c>
      <c r="N4903">
        <f t="shared" si="2060"/>
        <v>337</v>
      </c>
      <c r="O4903">
        <f t="shared" si="2072"/>
        <v>3442</v>
      </c>
      <c r="P4903">
        <f t="shared" si="2073"/>
        <v>0.59050445103857563</v>
      </c>
      <c r="Q4903" t="str">
        <f t="shared" si="2061"/>
        <v>7.79% | 2%</v>
      </c>
      <c r="R4903" t="str">
        <f t="shared" si="2074"/>
        <v>BULLISH</v>
      </c>
      <c r="S4903">
        <f t="shared" si="2062"/>
        <v>1</v>
      </c>
    </row>
    <row r="4904" spans="1:19" hidden="1" x14ac:dyDescent="0.25">
      <c r="A4904" s="5" t="str">
        <f t="shared" si="2063"/>
        <v>44117FB</v>
      </c>
      <c r="B4904" s="6" t="s">
        <v>30</v>
      </c>
      <c r="C4904" s="6">
        <v>254</v>
      </c>
      <c r="D4904" s="6">
        <v>279</v>
      </c>
      <c r="E4904" s="6">
        <v>275</v>
      </c>
      <c r="F4904" t="str">
        <f t="shared" si="2064"/>
        <v>TUE</v>
      </c>
      <c r="G4904" s="1">
        <f t="shared" si="2065"/>
        <v>44117</v>
      </c>
      <c r="H4904" s="2">
        <f t="shared" ca="1" si="2066"/>
        <v>136</v>
      </c>
      <c r="I4904" t="str">
        <f t="shared" si="2067"/>
        <v>FB</v>
      </c>
      <c r="J4904">
        <f t="shared" si="2068"/>
        <v>254</v>
      </c>
      <c r="K4904">
        <f t="shared" si="2069"/>
        <v>279</v>
      </c>
      <c r="L4904">
        <f t="shared" si="2070"/>
        <v>266.5</v>
      </c>
      <c r="M4904">
        <f t="shared" si="2071"/>
        <v>12.5</v>
      </c>
      <c r="N4904">
        <f t="shared" si="2060"/>
        <v>25</v>
      </c>
      <c r="O4904">
        <f t="shared" si="2072"/>
        <v>275</v>
      </c>
      <c r="P4904">
        <f t="shared" si="2073"/>
        <v>0.68</v>
      </c>
      <c r="Q4904" t="str">
        <f t="shared" si="2061"/>
        <v>7.64% | 1.45%</v>
      </c>
      <c r="R4904" t="str">
        <f t="shared" si="2074"/>
        <v>BULLISH</v>
      </c>
      <c r="S4904">
        <f t="shared" si="2062"/>
        <v>1</v>
      </c>
    </row>
    <row r="4905" spans="1:19" hidden="1" x14ac:dyDescent="0.25">
      <c r="A4905" s="5" t="str">
        <f t="shared" si="2063"/>
        <v>44117GOOGL</v>
      </c>
      <c r="B4905" s="6" t="s">
        <v>66</v>
      </c>
      <c r="C4905" s="6">
        <v>1451</v>
      </c>
      <c r="D4905" s="6">
        <v>1585</v>
      </c>
      <c r="E4905" s="6">
        <v>1564</v>
      </c>
      <c r="F4905" t="str">
        <f t="shared" si="2064"/>
        <v>TUE</v>
      </c>
      <c r="G4905" s="1">
        <f t="shared" si="2065"/>
        <v>44117</v>
      </c>
      <c r="H4905" s="2">
        <f t="shared" ca="1" si="2066"/>
        <v>136</v>
      </c>
      <c r="I4905" t="str">
        <f t="shared" si="2067"/>
        <v>GOOGL</v>
      </c>
      <c r="J4905">
        <f t="shared" si="2068"/>
        <v>1451</v>
      </c>
      <c r="K4905">
        <f t="shared" si="2069"/>
        <v>1585</v>
      </c>
      <c r="L4905">
        <f t="shared" si="2070"/>
        <v>1518</v>
      </c>
      <c r="M4905">
        <f t="shared" si="2071"/>
        <v>67</v>
      </c>
      <c r="N4905">
        <f t="shared" si="2060"/>
        <v>134</v>
      </c>
      <c r="O4905">
        <f t="shared" si="2072"/>
        <v>1564</v>
      </c>
      <c r="P4905">
        <f t="shared" si="2073"/>
        <v>0.68656716417910446</v>
      </c>
      <c r="Q4905" t="str">
        <f t="shared" si="2061"/>
        <v>7.23% | 1.34%</v>
      </c>
      <c r="R4905" t="str">
        <f t="shared" si="2074"/>
        <v>BEARISH</v>
      </c>
      <c r="S4905">
        <f t="shared" si="2062"/>
        <v>-1</v>
      </c>
    </row>
    <row r="4906" spans="1:19" hidden="1" x14ac:dyDescent="0.25">
      <c r="A4906" s="5" t="str">
        <f t="shared" si="2063"/>
        <v>44117NFLX</v>
      </c>
      <c r="B4906" s="6" t="s">
        <v>70</v>
      </c>
      <c r="C4906" s="6">
        <v>488</v>
      </c>
      <c r="D4906" s="6">
        <v>552</v>
      </c>
      <c r="E4906" s="6">
        <v>539</v>
      </c>
      <c r="F4906" t="str">
        <f t="shared" si="2064"/>
        <v>TUE</v>
      </c>
      <c r="G4906" s="1">
        <f t="shared" si="2065"/>
        <v>44117</v>
      </c>
      <c r="H4906" s="2">
        <f t="shared" ca="1" si="2066"/>
        <v>136</v>
      </c>
      <c r="I4906" t="str">
        <f t="shared" si="2067"/>
        <v>NFLX</v>
      </c>
      <c r="J4906">
        <f t="shared" si="2068"/>
        <v>488</v>
      </c>
      <c r="K4906">
        <f t="shared" si="2069"/>
        <v>552</v>
      </c>
      <c r="L4906">
        <f t="shared" si="2070"/>
        <v>520</v>
      </c>
      <c r="M4906">
        <f t="shared" si="2071"/>
        <v>32</v>
      </c>
      <c r="N4906">
        <f t="shared" si="2060"/>
        <v>64</v>
      </c>
      <c r="O4906">
        <f t="shared" si="2072"/>
        <v>539</v>
      </c>
      <c r="P4906">
        <f t="shared" si="2073"/>
        <v>0.59375</v>
      </c>
      <c r="Q4906" t="str">
        <f t="shared" si="2061"/>
        <v>9.46% | 2.41%</v>
      </c>
      <c r="R4906" t="str">
        <f t="shared" si="2074"/>
        <v>NEUTRAL</v>
      </c>
      <c r="S4906">
        <f t="shared" si="2062"/>
        <v>0</v>
      </c>
    </row>
    <row r="4907" spans="1:19" x14ac:dyDescent="0.25">
      <c r="A4907" s="5" t="str">
        <f t="shared" si="2063"/>
        <v>44117TSLA</v>
      </c>
      <c r="B4907" s="6" t="s">
        <v>71</v>
      </c>
      <c r="C4907" s="6">
        <v>407</v>
      </c>
      <c r="D4907" s="6">
        <v>453</v>
      </c>
      <c r="E4907" s="6">
        <v>442</v>
      </c>
      <c r="F4907" t="str">
        <f t="shared" si="2064"/>
        <v>TUE</v>
      </c>
      <c r="G4907" s="1">
        <f t="shared" si="2065"/>
        <v>44117</v>
      </c>
      <c r="H4907" s="2">
        <f t="shared" ca="1" si="2066"/>
        <v>136</v>
      </c>
      <c r="I4907" t="str">
        <f t="shared" si="2067"/>
        <v>TSLA</v>
      </c>
      <c r="J4907">
        <f t="shared" si="2068"/>
        <v>407</v>
      </c>
      <c r="K4907">
        <f t="shared" si="2069"/>
        <v>453</v>
      </c>
      <c r="L4907">
        <f t="shared" si="2070"/>
        <v>430</v>
      </c>
      <c r="M4907">
        <f t="shared" si="2071"/>
        <v>23</v>
      </c>
      <c r="N4907">
        <f t="shared" si="2060"/>
        <v>46</v>
      </c>
      <c r="O4907">
        <f t="shared" si="2072"/>
        <v>442</v>
      </c>
      <c r="P4907">
        <f t="shared" si="2073"/>
        <v>0.52173913043478259</v>
      </c>
      <c r="Q4907" t="str">
        <f t="shared" si="2061"/>
        <v>7.92% | 2.49%</v>
      </c>
      <c r="R4907" t="str">
        <f t="shared" si="2074"/>
        <v>NEUTRAL</v>
      </c>
      <c r="S4907">
        <f t="shared" si="2062"/>
        <v>0</v>
      </c>
    </row>
    <row r="4908" spans="1:19" hidden="1" x14ac:dyDescent="0.25">
      <c r="A4908" s="5" t="str">
        <f t="shared" si="2063"/>
        <v>44117NYXBT</v>
      </c>
      <c r="B4908" s="6" t="s">
        <v>72</v>
      </c>
      <c r="C4908" s="6">
        <v>10301</v>
      </c>
      <c r="D4908" s="6">
        <v>11639</v>
      </c>
      <c r="E4908" s="6">
        <v>11474</v>
      </c>
      <c r="F4908" t="str">
        <f t="shared" si="2064"/>
        <v>TUE</v>
      </c>
      <c r="G4908" s="1">
        <f t="shared" si="2065"/>
        <v>44117</v>
      </c>
      <c r="H4908" s="2">
        <f t="shared" ca="1" si="2066"/>
        <v>136</v>
      </c>
      <c r="I4908" t="str">
        <f t="shared" si="2067"/>
        <v>NYXBT</v>
      </c>
      <c r="J4908">
        <f t="shared" si="2068"/>
        <v>10301</v>
      </c>
      <c r="K4908">
        <f t="shared" si="2069"/>
        <v>11639</v>
      </c>
      <c r="L4908">
        <f t="shared" si="2070"/>
        <v>10970</v>
      </c>
      <c r="M4908">
        <f t="shared" si="2071"/>
        <v>669</v>
      </c>
      <c r="N4908">
        <f t="shared" si="2060"/>
        <v>1338</v>
      </c>
      <c r="O4908">
        <f t="shared" si="2072"/>
        <v>11474</v>
      </c>
      <c r="P4908">
        <f t="shared" si="2073"/>
        <v>0.75336322869955152</v>
      </c>
      <c r="Q4908" t="str">
        <f t="shared" si="2061"/>
        <v>10.22% | 1.44%</v>
      </c>
      <c r="R4908" t="str">
        <f t="shared" si="2074"/>
        <v>NEUTRAL</v>
      </c>
      <c r="S4908">
        <f t="shared" si="2062"/>
        <v>0</v>
      </c>
    </row>
    <row r="4909" spans="1:19" hidden="1" x14ac:dyDescent="0.25">
      <c r="A4909" s="5" t="str">
        <f t="shared" si="2063"/>
        <v>44118UST10Y</v>
      </c>
      <c r="B4909" s="6" t="s">
        <v>4</v>
      </c>
      <c r="C4909" s="6">
        <v>0.83</v>
      </c>
      <c r="D4909" s="6">
        <v>0.63</v>
      </c>
      <c r="E4909" s="6">
        <v>0.74</v>
      </c>
      <c r="F4909" t="str">
        <f t="shared" si="2064"/>
        <v>WED</v>
      </c>
      <c r="G4909" s="3">
        <f>DATE(2020,10,14)</f>
        <v>44118</v>
      </c>
      <c r="H4909" s="2">
        <f t="shared" ca="1" si="2066"/>
        <v>135</v>
      </c>
      <c r="I4909" t="str">
        <f t="shared" si="2067"/>
        <v>UST10Y</v>
      </c>
      <c r="J4909">
        <f t="shared" si="2068"/>
        <v>0.83</v>
      </c>
      <c r="K4909">
        <f t="shared" si="2069"/>
        <v>0.63</v>
      </c>
      <c r="L4909">
        <f t="shared" si="2070"/>
        <v>0.73</v>
      </c>
      <c r="M4909">
        <f t="shared" si="2071"/>
        <v>0.10000000000000005</v>
      </c>
      <c r="N4909">
        <f t="shared" si="2060"/>
        <v>0.19999999999999996</v>
      </c>
      <c r="O4909">
        <f t="shared" si="2072"/>
        <v>0.74</v>
      </c>
      <c r="P4909">
        <f t="shared" si="2073"/>
        <v>0.10000000000000005</v>
      </c>
      <c r="Q4909" t="str">
        <f t="shared" si="2061"/>
        <v>12.16% | 14.86%</v>
      </c>
      <c r="R4909" t="str">
        <f t="shared" si="2074"/>
        <v>BEARISH</v>
      </c>
      <c r="S4909">
        <f t="shared" si="2062"/>
        <v>-1</v>
      </c>
    </row>
    <row r="4910" spans="1:19" hidden="1" x14ac:dyDescent="0.25">
      <c r="A4910" s="5" t="str">
        <f t="shared" si="2063"/>
        <v>44118UST2Y</v>
      </c>
      <c r="B4910" s="6" t="s">
        <v>5</v>
      </c>
      <c r="C4910" s="6">
        <v>0.16</v>
      </c>
      <c r="D4910" s="6">
        <v>0.11</v>
      </c>
      <c r="E4910" s="6">
        <v>0.16</v>
      </c>
      <c r="F4910" t="str">
        <f t="shared" ref="F4910:F4940" si="2075">UPPER(TEXT(G4910,"ddd"))</f>
        <v>WED</v>
      </c>
      <c r="G4910" s="3">
        <f t="shared" ref="G4910:G4939" si="2076">DATE(2020,10,14)</f>
        <v>44118</v>
      </c>
      <c r="H4910" s="2">
        <f t="shared" ref="H4910:H4940" ca="1" si="2077">TODAY()-G4910</f>
        <v>135</v>
      </c>
      <c r="I4910" t="str">
        <f t="shared" ref="I4910:I4940" si="2078">TRIM(LEFT(B4910,FIND(" ",B4910,1)))</f>
        <v>UST2Y</v>
      </c>
      <c r="J4910">
        <f t="shared" ref="J4910:J4940" si="2079">C4910</f>
        <v>0.16</v>
      </c>
      <c r="K4910">
        <f t="shared" ref="K4910:K4940" si="2080">D4910</f>
        <v>0.11</v>
      </c>
      <c r="L4910">
        <f t="shared" ref="L4910:L4940" si="2081">AVERAGE(J4910:K4910)</f>
        <v>0.13500000000000001</v>
      </c>
      <c r="M4910">
        <f t="shared" ref="M4910:M4940" si="2082">_xlfn.STDEV.P(J4910:K4910)</f>
        <v>2.4999999999999942E-2</v>
      </c>
      <c r="N4910">
        <f t="shared" si="2060"/>
        <v>0.05</v>
      </c>
      <c r="O4910">
        <f t="shared" ref="O4910:O4940" si="2083">E4910</f>
        <v>0.16</v>
      </c>
      <c r="P4910">
        <f t="shared" ref="P4910:P4940" si="2084">(O4910-L4910)/M4910</f>
        <v>1.000000000000002</v>
      </c>
      <c r="Q4910" t="str">
        <f t="shared" si="2061"/>
        <v>0% | 31.25%</v>
      </c>
      <c r="R4910" t="str">
        <f t="shared" ref="R4910:R4940" si="2085">MID(B4910,FIND("(",B4910,1)+1,FIND(")",B4910,1)-FIND("(",B4910,1)-1)</f>
        <v>BEARISH</v>
      </c>
      <c r="S4910">
        <f t="shared" si="2062"/>
        <v>-1</v>
      </c>
    </row>
    <row r="4911" spans="1:19" hidden="1" x14ac:dyDescent="0.25">
      <c r="A4911" s="5" t="str">
        <f t="shared" si="2063"/>
        <v>44118SPX</v>
      </c>
      <c r="B4911" s="6" t="s">
        <v>51</v>
      </c>
      <c r="C4911" s="6">
        <v>3302</v>
      </c>
      <c r="D4911" s="6">
        <v>3557</v>
      </c>
      <c r="E4911" s="6">
        <v>3511</v>
      </c>
      <c r="F4911" t="str">
        <f t="shared" si="2075"/>
        <v>WED</v>
      </c>
      <c r="G4911" s="3">
        <f t="shared" si="2076"/>
        <v>44118</v>
      </c>
      <c r="H4911" s="2">
        <f t="shared" ca="1" si="2077"/>
        <v>135</v>
      </c>
      <c r="I4911" t="str">
        <f t="shared" si="2078"/>
        <v>SPX</v>
      </c>
      <c r="J4911">
        <f t="shared" si="2079"/>
        <v>3302</v>
      </c>
      <c r="K4911">
        <f t="shared" si="2080"/>
        <v>3557</v>
      </c>
      <c r="L4911">
        <f t="shared" si="2081"/>
        <v>3429.5</v>
      </c>
      <c r="M4911">
        <f t="shared" si="2082"/>
        <v>127.5</v>
      </c>
      <c r="N4911">
        <f t="shared" si="2060"/>
        <v>255</v>
      </c>
      <c r="O4911">
        <f t="shared" si="2083"/>
        <v>3511</v>
      </c>
      <c r="P4911">
        <f t="shared" si="2084"/>
        <v>0.63921568627450975</v>
      </c>
      <c r="Q4911" t="str">
        <f t="shared" si="2061"/>
        <v>5.95% | 1.31%</v>
      </c>
      <c r="R4911" t="str">
        <f t="shared" si="2085"/>
        <v>NEUTRAL</v>
      </c>
      <c r="S4911">
        <f t="shared" si="2062"/>
        <v>0</v>
      </c>
    </row>
    <row r="4912" spans="1:19" hidden="1" x14ac:dyDescent="0.25">
      <c r="A4912" s="5" t="str">
        <f t="shared" si="2063"/>
        <v>44118RUT</v>
      </c>
      <c r="B4912" s="6" t="s">
        <v>7</v>
      </c>
      <c r="C4912" s="6">
        <v>1508</v>
      </c>
      <c r="D4912" s="6">
        <v>1654</v>
      </c>
      <c r="E4912" s="6">
        <v>1636</v>
      </c>
      <c r="F4912" t="str">
        <f t="shared" si="2075"/>
        <v>WED</v>
      </c>
      <c r="G4912" s="3">
        <f t="shared" si="2076"/>
        <v>44118</v>
      </c>
      <c r="H4912" s="2">
        <f t="shared" ca="1" si="2077"/>
        <v>135</v>
      </c>
      <c r="I4912" t="str">
        <f t="shared" si="2078"/>
        <v>RUT</v>
      </c>
      <c r="J4912">
        <f t="shared" si="2079"/>
        <v>1508</v>
      </c>
      <c r="K4912">
        <f t="shared" si="2080"/>
        <v>1654</v>
      </c>
      <c r="L4912">
        <f t="shared" si="2081"/>
        <v>1581</v>
      </c>
      <c r="M4912">
        <f t="shared" si="2082"/>
        <v>73</v>
      </c>
      <c r="N4912">
        <f t="shared" si="2060"/>
        <v>146</v>
      </c>
      <c r="O4912">
        <f t="shared" si="2083"/>
        <v>1636</v>
      </c>
      <c r="P4912">
        <f t="shared" si="2084"/>
        <v>0.75342465753424659</v>
      </c>
      <c r="Q4912" t="str">
        <f t="shared" si="2061"/>
        <v>7.82% | 1.1%</v>
      </c>
      <c r="R4912" t="str">
        <f t="shared" si="2085"/>
        <v>BEARISH</v>
      </c>
      <c r="S4912">
        <f t="shared" si="2062"/>
        <v>-1</v>
      </c>
    </row>
    <row r="4913" spans="1:19" hidden="1" x14ac:dyDescent="0.25">
      <c r="A4913" s="5" t="str">
        <f t="shared" si="2063"/>
        <v>44118COMPQ</v>
      </c>
      <c r="B4913" s="6" t="s">
        <v>64</v>
      </c>
      <c r="C4913" s="6">
        <v>10902</v>
      </c>
      <c r="D4913" s="6">
        <v>11984</v>
      </c>
      <c r="E4913" s="6">
        <v>11863</v>
      </c>
      <c r="F4913" t="str">
        <f t="shared" si="2075"/>
        <v>WED</v>
      </c>
      <c r="G4913" s="3">
        <f t="shared" si="2076"/>
        <v>44118</v>
      </c>
      <c r="H4913" s="2">
        <f t="shared" ca="1" si="2077"/>
        <v>135</v>
      </c>
      <c r="I4913" t="str">
        <f t="shared" si="2078"/>
        <v>COMPQ</v>
      </c>
      <c r="J4913">
        <f t="shared" si="2079"/>
        <v>10902</v>
      </c>
      <c r="K4913">
        <f t="shared" si="2080"/>
        <v>11984</v>
      </c>
      <c r="L4913">
        <f t="shared" si="2081"/>
        <v>11443</v>
      </c>
      <c r="M4913">
        <f t="shared" si="2082"/>
        <v>541</v>
      </c>
      <c r="N4913">
        <f t="shared" si="2060"/>
        <v>1082</v>
      </c>
      <c r="O4913">
        <f t="shared" si="2083"/>
        <v>11863</v>
      </c>
      <c r="P4913">
        <f t="shared" si="2084"/>
        <v>0.77634011090573007</v>
      </c>
      <c r="Q4913" t="str">
        <f t="shared" si="2061"/>
        <v>8.1% | 1.02%</v>
      </c>
      <c r="R4913" t="str">
        <f t="shared" si="2085"/>
        <v>BEARISH</v>
      </c>
      <c r="S4913">
        <f t="shared" si="2062"/>
        <v>-1</v>
      </c>
    </row>
    <row r="4914" spans="1:19" hidden="1" x14ac:dyDescent="0.25">
      <c r="A4914" s="5" t="str">
        <f t="shared" si="2063"/>
        <v>44118XLK</v>
      </c>
      <c r="B4914" s="6" t="s">
        <v>62</v>
      </c>
      <c r="C4914" s="6">
        <v>113.24</v>
      </c>
      <c r="D4914" s="6">
        <v>124.38</v>
      </c>
      <c r="E4914" s="6">
        <v>122.67</v>
      </c>
      <c r="F4914" t="str">
        <f t="shared" si="2075"/>
        <v>WED</v>
      </c>
      <c r="G4914" s="3">
        <f t="shared" si="2076"/>
        <v>44118</v>
      </c>
      <c r="H4914" s="2">
        <f t="shared" ca="1" si="2077"/>
        <v>135</v>
      </c>
      <c r="I4914" t="str">
        <f t="shared" si="2078"/>
        <v>XLK</v>
      </c>
      <c r="J4914">
        <f t="shared" si="2079"/>
        <v>113.24</v>
      </c>
      <c r="K4914">
        <f t="shared" si="2080"/>
        <v>124.38</v>
      </c>
      <c r="L4914">
        <f t="shared" si="2081"/>
        <v>118.81</v>
      </c>
      <c r="M4914">
        <f t="shared" si="2082"/>
        <v>5.57</v>
      </c>
      <c r="N4914">
        <f t="shared" si="2060"/>
        <v>11.14</v>
      </c>
      <c r="O4914">
        <f t="shared" si="2083"/>
        <v>122.67</v>
      </c>
      <c r="P4914">
        <f t="shared" si="2084"/>
        <v>0.69299820466786344</v>
      </c>
      <c r="Q4914" t="str">
        <f t="shared" si="2061"/>
        <v>7.69% | 1.39%</v>
      </c>
      <c r="R4914" t="str">
        <f t="shared" si="2085"/>
        <v>NEUTRAL</v>
      </c>
      <c r="S4914">
        <f t="shared" si="2062"/>
        <v>0</v>
      </c>
    </row>
    <row r="4915" spans="1:19" hidden="1" x14ac:dyDescent="0.25">
      <c r="A4915" s="5" t="str">
        <f t="shared" si="2063"/>
        <v>44118XLRE</v>
      </c>
      <c r="B4915" s="6" t="s">
        <v>97</v>
      </c>
      <c r="C4915" s="6">
        <v>35.5</v>
      </c>
      <c r="D4915" s="6">
        <v>37.43</v>
      </c>
      <c r="E4915" s="6">
        <v>36.49</v>
      </c>
      <c r="F4915" t="str">
        <f t="shared" si="2075"/>
        <v>WED</v>
      </c>
      <c r="G4915" s="3">
        <f t="shared" si="2076"/>
        <v>44118</v>
      </c>
      <c r="H4915" s="2">
        <f t="shared" ca="1" si="2077"/>
        <v>135</v>
      </c>
      <c r="I4915" t="str">
        <f t="shared" si="2078"/>
        <v>XLRE</v>
      </c>
      <c r="J4915">
        <f t="shared" si="2079"/>
        <v>35.5</v>
      </c>
      <c r="K4915">
        <f t="shared" si="2080"/>
        <v>37.43</v>
      </c>
      <c r="L4915">
        <f t="shared" si="2081"/>
        <v>36.465000000000003</v>
      </c>
      <c r="M4915">
        <f t="shared" si="2082"/>
        <v>0.96499999999999986</v>
      </c>
      <c r="N4915">
        <f t="shared" si="2060"/>
        <v>1.9299999999999997</v>
      </c>
      <c r="O4915">
        <f t="shared" si="2083"/>
        <v>36.49</v>
      </c>
      <c r="P4915">
        <f t="shared" si="2084"/>
        <v>2.5906735751293868E-2</v>
      </c>
      <c r="Q4915" t="str">
        <f t="shared" si="2061"/>
        <v>2.71% | 2.58%</v>
      </c>
      <c r="R4915" t="str">
        <f t="shared" si="2085"/>
        <v>BULLISH</v>
      </c>
      <c r="S4915">
        <f t="shared" si="2062"/>
        <v>1</v>
      </c>
    </row>
    <row r="4916" spans="1:19" hidden="1" x14ac:dyDescent="0.25">
      <c r="A4916" s="5" t="str">
        <f t="shared" si="2063"/>
        <v>44118XLU</v>
      </c>
      <c r="B4916" s="6" t="s">
        <v>52</v>
      </c>
      <c r="C4916" s="6">
        <v>59.4</v>
      </c>
      <c r="D4916" s="6">
        <v>64.94</v>
      </c>
      <c r="E4916" s="6">
        <v>63.44</v>
      </c>
      <c r="F4916" t="str">
        <f t="shared" si="2075"/>
        <v>WED</v>
      </c>
      <c r="G4916" s="3">
        <f t="shared" si="2076"/>
        <v>44118</v>
      </c>
      <c r="H4916" s="2">
        <f t="shared" ca="1" si="2077"/>
        <v>135</v>
      </c>
      <c r="I4916" t="str">
        <f t="shared" si="2078"/>
        <v>XLU</v>
      </c>
      <c r="J4916">
        <f t="shared" si="2079"/>
        <v>59.4</v>
      </c>
      <c r="K4916">
        <f t="shared" si="2080"/>
        <v>64.94</v>
      </c>
      <c r="L4916">
        <f t="shared" si="2081"/>
        <v>62.17</v>
      </c>
      <c r="M4916">
        <f t="shared" si="2082"/>
        <v>2.7699999999999996</v>
      </c>
      <c r="N4916">
        <f t="shared" si="2060"/>
        <v>5.5399999999999991</v>
      </c>
      <c r="O4916">
        <f t="shared" si="2083"/>
        <v>63.44</v>
      </c>
      <c r="P4916">
        <f t="shared" si="2084"/>
        <v>0.45848375451263401</v>
      </c>
      <c r="Q4916" t="str">
        <f t="shared" si="2061"/>
        <v>6.37% | 2.36%</v>
      </c>
      <c r="R4916" t="str">
        <f t="shared" si="2085"/>
        <v>BULLISH</v>
      </c>
      <c r="S4916">
        <f t="shared" si="2062"/>
        <v>1</v>
      </c>
    </row>
    <row r="4917" spans="1:19" hidden="1" x14ac:dyDescent="0.25">
      <c r="A4917" s="5" t="str">
        <f t="shared" si="2063"/>
        <v>44118XLF</v>
      </c>
      <c r="B4917" s="6" t="s">
        <v>12</v>
      </c>
      <c r="C4917" s="6">
        <v>23.44</v>
      </c>
      <c r="D4917" s="6">
        <v>25.71</v>
      </c>
      <c r="E4917" s="6">
        <v>25.02</v>
      </c>
      <c r="F4917" t="str">
        <f t="shared" si="2075"/>
        <v>WED</v>
      </c>
      <c r="G4917" s="3">
        <f t="shared" si="2076"/>
        <v>44118</v>
      </c>
      <c r="H4917" s="2">
        <f t="shared" ca="1" si="2077"/>
        <v>135</v>
      </c>
      <c r="I4917" t="str">
        <f t="shared" si="2078"/>
        <v>XLF</v>
      </c>
      <c r="J4917">
        <f t="shared" si="2079"/>
        <v>23.44</v>
      </c>
      <c r="K4917">
        <f t="shared" si="2080"/>
        <v>25.71</v>
      </c>
      <c r="L4917">
        <f t="shared" si="2081"/>
        <v>24.575000000000003</v>
      </c>
      <c r="M4917">
        <f t="shared" si="2082"/>
        <v>1.1349999999999998</v>
      </c>
      <c r="N4917">
        <f t="shared" si="2060"/>
        <v>2.2699999999999996</v>
      </c>
      <c r="O4917">
        <f t="shared" si="2083"/>
        <v>25.02</v>
      </c>
      <c r="P4917">
        <f t="shared" si="2084"/>
        <v>0.39207048458149502</v>
      </c>
      <c r="Q4917" t="str">
        <f t="shared" si="2061"/>
        <v>6.31% | 2.76%</v>
      </c>
      <c r="R4917" t="str">
        <f t="shared" si="2085"/>
        <v>BEARISH</v>
      </c>
      <c r="S4917">
        <f t="shared" si="2062"/>
        <v>-1</v>
      </c>
    </row>
    <row r="4918" spans="1:19" hidden="1" x14ac:dyDescent="0.25">
      <c r="A4918" s="5" t="str">
        <f t="shared" si="2063"/>
        <v>44118SSEC</v>
      </c>
      <c r="B4918" s="6" t="s">
        <v>104</v>
      </c>
      <c r="C4918" s="6">
        <v>3162</v>
      </c>
      <c r="D4918" s="6">
        <v>3375</v>
      </c>
      <c r="E4918" s="6">
        <v>3340</v>
      </c>
      <c r="F4918" t="str">
        <f t="shared" si="2075"/>
        <v>WED</v>
      </c>
      <c r="G4918" s="3">
        <f t="shared" si="2076"/>
        <v>44118</v>
      </c>
      <c r="H4918" s="2">
        <f t="shared" ca="1" si="2077"/>
        <v>135</v>
      </c>
      <c r="I4918" t="str">
        <f t="shared" si="2078"/>
        <v>SSEC</v>
      </c>
      <c r="J4918">
        <f t="shared" si="2079"/>
        <v>3162</v>
      </c>
      <c r="K4918">
        <f t="shared" si="2080"/>
        <v>3375</v>
      </c>
      <c r="L4918">
        <f t="shared" si="2081"/>
        <v>3268.5</v>
      </c>
      <c r="M4918">
        <f t="shared" si="2082"/>
        <v>106.5</v>
      </c>
      <c r="N4918">
        <f t="shared" si="2060"/>
        <v>213</v>
      </c>
      <c r="O4918">
        <f t="shared" si="2083"/>
        <v>3340</v>
      </c>
      <c r="P4918">
        <f t="shared" si="2084"/>
        <v>0.67136150234741787</v>
      </c>
      <c r="Q4918" t="str">
        <f t="shared" si="2061"/>
        <v>5.33% | 1.05%</v>
      </c>
      <c r="R4918" t="str">
        <f t="shared" si="2085"/>
        <v>BULLISH</v>
      </c>
      <c r="S4918">
        <f t="shared" si="2062"/>
        <v>1</v>
      </c>
    </row>
    <row r="4919" spans="1:19" hidden="1" x14ac:dyDescent="0.25">
      <c r="A4919" s="5" t="str">
        <f t="shared" si="2063"/>
        <v>44118NIKK</v>
      </c>
      <c r="B4919" s="6" t="s">
        <v>91</v>
      </c>
      <c r="C4919" s="6">
        <v>23011</v>
      </c>
      <c r="D4919" s="6">
        <v>23814</v>
      </c>
      <c r="E4919" s="6">
        <v>23626</v>
      </c>
      <c r="F4919" t="str">
        <f t="shared" si="2075"/>
        <v>WED</v>
      </c>
      <c r="G4919" s="3">
        <f t="shared" si="2076"/>
        <v>44118</v>
      </c>
      <c r="H4919" s="2">
        <f t="shared" ca="1" si="2077"/>
        <v>135</v>
      </c>
      <c r="I4919" t="str">
        <f t="shared" si="2078"/>
        <v>NIKK</v>
      </c>
      <c r="J4919">
        <f t="shared" si="2079"/>
        <v>23011</v>
      </c>
      <c r="K4919">
        <f t="shared" si="2080"/>
        <v>23814</v>
      </c>
      <c r="L4919">
        <f t="shared" si="2081"/>
        <v>23412.5</v>
      </c>
      <c r="M4919">
        <f t="shared" si="2082"/>
        <v>401.5</v>
      </c>
      <c r="N4919">
        <f t="shared" si="2060"/>
        <v>803</v>
      </c>
      <c r="O4919">
        <f t="shared" si="2083"/>
        <v>23626</v>
      </c>
      <c r="P4919">
        <f t="shared" si="2084"/>
        <v>0.53175591531755917</v>
      </c>
      <c r="Q4919" t="str">
        <f t="shared" si="2061"/>
        <v>2.6% | 0.8%</v>
      </c>
      <c r="R4919" t="str">
        <f t="shared" si="2085"/>
        <v>BULLISH</v>
      </c>
      <c r="S4919">
        <f t="shared" si="2062"/>
        <v>1</v>
      </c>
    </row>
    <row r="4920" spans="1:19" hidden="1" x14ac:dyDescent="0.25">
      <c r="A4920" s="5" t="str">
        <f t="shared" si="2063"/>
        <v>44118DAX</v>
      </c>
      <c r="B4920" s="6" t="s">
        <v>92</v>
      </c>
      <c r="C4920" s="6">
        <v>12607</v>
      </c>
      <c r="D4920" s="6">
        <v>13204</v>
      </c>
      <c r="E4920" s="6">
        <v>13018</v>
      </c>
      <c r="F4920" t="str">
        <f t="shared" si="2075"/>
        <v>WED</v>
      </c>
      <c r="G4920" s="3">
        <f t="shared" si="2076"/>
        <v>44118</v>
      </c>
      <c r="H4920" s="2">
        <f t="shared" ca="1" si="2077"/>
        <v>135</v>
      </c>
      <c r="I4920" t="str">
        <f t="shared" si="2078"/>
        <v>DAX</v>
      </c>
      <c r="J4920">
        <f t="shared" si="2079"/>
        <v>12607</v>
      </c>
      <c r="K4920">
        <f t="shared" si="2080"/>
        <v>13204</v>
      </c>
      <c r="L4920">
        <f t="shared" si="2081"/>
        <v>12905.5</v>
      </c>
      <c r="M4920">
        <f t="shared" si="2082"/>
        <v>298.5</v>
      </c>
      <c r="N4920">
        <f t="shared" si="2060"/>
        <v>597</v>
      </c>
      <c r="O4920">
        <f t="shared" si="2083"/>
        <v>13018</v>
      </c>
      <c r="P4920">
        <f t="shared" si="2084"/>
        <v>0.37688442211055279</v>
      </c>
      <c r="Q4920" t="str">
        <f t="shared" si="2061"/>
        <v>3.16% | 1.43%</v>
      </c>
      <c r="R4920" t="str">
        <f t="shared" si="2085"/>
        <v>NEUTRAL</v>
      </c>
      <c r="S4920">
        <f t="shared" si="2062"/>
        <v>0</v>
      </c>
    </row>
    <row r="4921" spans="1:19" hidden="1" x14ac:dyDescent="0.25">
      <c r="A4921" s="5" t="str">
        <f t="shared" si="2063"/>
        <v>44118VIX</v>
      </c>
      <c r="B4921" s="6" t="s">
        <v>17</v>
      </c>
      <c r="C4921" s="6">
        <v>24.15</v>
      </c>
      <c r="D4921" s="6">
        <v>30.72</v>
      </c>
      <c r="E4921" s="6">
        <v>26.07</v>
      </c>
      <c r="F4921" t="str">
        <f t="shared" si="2075"/>
        <v>WED</v>
      </c>
      <c r="G4921" s="3">
        <f t="shared" si="2076"/>
        <v>44118</v>
      </c>
      <c r="H4921" s="2">
        <f t="shared" ca="1" si="2077"/>
        <v>135</v>
      </c>
      <c r="I4921" t="str">
        <f t="shared" si="2078"/>
        <v>VIX</v>
      </c>
      <c r="J4921">
        <f t="shared" si="2079"/>
        <v>24.15</v>
      </c>
      <c r="K4921">
        <f t="shared" si="2080"/>
        <v>30.72</v>
      </c>
      <c r="L4921">
        <f t="shared" si="2081"/>
        <v>27.434999999999999</v>
      </c>
      <c r="M4921">
        <f t="shared" si="2082"/>
        <v>3.2850000000000081</v>
      </c>
      <c r="N4921">
        <f t="shared" si="2060"/>
        <v>6.57</v>
      </c>
      <c r="O4921">
        <f t="shared" si="2083"/>
        <v>26.07</v>
      </c>
      <c r="P4921">
        <f t="shared" si="2084"/>
        <v>-0.41552511415524962</v>
      </c>
      <c r="Q4921" t="str">
        <f t="shared" si="2061"/>
        <v>7.36% | 17.84%</v>
      </c>
      <c r="R4921" t="str">
        <f t="shared" si="2085"/>
        <v>BULLISH</v>
      </c>
      <c r="S4921">
        <f t="shared" si="2062"/>
        <v>1</v>
      </c>
    </row>
    <row r="4922" spans="1:19" hidden="1" x14ac:dyDescent="0.25">
      <c r="A4922" s="5" t="str">
        <f t="shared" si="2063"/>
        <v>44118USD</v>
      </c>
      <c r="B4922" s="6" t="s">
        <v>78</v>
      </c>
      <c r="C4922" s="6">
        <v>92.95</v>
      </c>
      <c r="D4922" s="6">
        <v>94.44</v>
      </c>
      <c r="E4922" s="6">
        <v>93.54</v>
      </c>
      <c r="F4922" t="str">
        <f t="shared" si="2075"/>
        <v>WED</v>
      </c>
      <c r="G4922" s="3">
        <f t="shared" si="2076"/>
        <v>44118</v>
      </c>
      <c r="H4922" s="2">
        <f t="shared" ca="1" si="2077"/>
        <v>135</v>
      </c>
      <c r="I4922" t="str">
        <f t="shared" si="2078"/>
        <v>USD</v>
      </c>
      <c r="J4922">
        <f t="shared" si="2079"/>
        <v>92.95</v>
      </c>
      <c r="K4922">
        <f t="shared" si="2080"/>
        <v>94.44</v>
      </c>
      <c r="L4922">
        <f t="shared" si="2081"/>
        <v>93.694999999999993</v>
      </c>
      <c r="M4922">
        <f t="shared" si="2082"/>
        <v>0.74499999999999733</v>
      </c>
      <c r="N4922">
        <f t="shared" si="2060"/>
        <v>1.4899999999999949</v>
      </c>
      <c r="O4922">
        <f t="shared" si="2083"/>
        <v>93.54</v>
      </c>
      <c r="P4922">
        <f t="shared" si="2084"/>
        <v>-0.20805369127515097</v>
      </c>
      <c r="Q4922" t="str">
        <f t="shared" si="2061"/>
        <v>0.63% | 0.96%</v>
      </c>
      <c r="R4922" t="str">
        <f t="shared" si="2085"/>
        <v>NEUTRAL</v>
      </c>
      <c r="S4922">
        <f t="shared" si="2062"/>
        <v>0</v>
      </c>
    </row>
    <row r="4923" spans="1:19" hidden="1" x14ac:dyDescent="0.25">
      <c r="A4923" s="5" t="str">
        <f t="shared" si="2063"/>
        <v>44118EUR/USD</v>
      </c>
      <c r="B4923" s="6" t="s">
        <v>77</v>
      </c>
      <c r="C4923" s="6">
        <v>1.1599999999999999</v>
      </c>
      <c r="D4923" s="6">
        <v>1.18</v>
      </c>
      <c r="E4923" s="6">
        <v>1.17</v>
      </c>
      <c r="F4923" t="str">
        <f t="shared" si="2075"/>
        <v>WED</v>
      </c>
      <c r="G4923" s="3">
        <f t="shared" si="2076"/>
        <v>44118</v>
      </c>
      <c r="H4923" s="2">
        <f t="shared" ca="1" si="2077"/>
        <v>135</v>
      </c>
      <c r="I4923" t="str">
        <f t="shared" si="2078"/>
        <v>EUR/USD</v>
      </c>
      <c r="J4923">
        <f t="shared" si="2079"/>
        <v>1.1599999999999999</v>
      </c>
      <c r="K4923">
        <f t="shared" si="2080"/>
        <v>1.18</v>
      </c>
      <c r="L4923">
        <f t="shared" si="2081"/>
        <v>1.17</v>
      </c>
      <c r="M4923">
        <f t="shared" si="2082"/>
        <v>1.0000000000000009E-2</v>
      </c>
      <c r="N4923">
        <f t="shared" si="2060"/>
        <v>2.0000000000000018E-2</v>
      </c>
      <c r="O4923">
        <f t="shared" si="2083"/>
        <v>1.17</v>
      </c>
      <c r="P4923">
        <f t="shared" si="2084"/>
        <v>0</v>
      </c>
      <c r="Q4923" t="str">
        <f t="shared" si="2061"/>
        <v>0.85% | 0.85%</v>
      </c>
      <c r="R4923" t="str">
        <f t="shared" si="2085"/>
        <v>NEUTRAL</v>
      </c>
      <c r="S4923">
        <f t="shared" si="2062"/>
        <v>0</v>
      </c>
    </row>
    <row r="4924" spans="1:19" hidden="1" x14ac:dyDescent="0.25">
      <c r="A4924" s="5" t="str">
        <f t="shared" si="2063"/>
        <v>44118USD/JPY</v>
      </c>
      <c r="B4924" s="6" t="s">
        <v>86</v>
      </c>
      <c r="C4924" s="6">
        <v>105.09</v>
      </c>
      <c r="D4924" s="6">
        <v>106.14</v>
      </c>
      <c r="E4924" s="6">
        <v>105.49</v>
      </c>
      <c r="F4924" t="str">
        <f t="shared" si="2075"/>
        <v>WED</v>
      </c>
      <c r="G4924" s="3">
        <f t="shared" si="2076"/>
        <v>44118</v>
      </c>
      <c r="H4924" s="2">
        <f t="shared" ca="1" si="2077"/>
        <v>135</v>
      </c>
      <c r="I4924" t="str">
        <f t="shared" si="2078"/>
        <v>USD/JPY</v>
      </c>
      <c r="J4924">
        <f t="shared" si="2079"/>
        <v>105.09</v>
      </c>
      <c r="K4924">
        <f t="shared" si="2080"/>
        <v>106.14</v>
      </c>
      <c r="L4924">
        <f t="shared" si="2081"/>
        <v>105.61500000000001</v>
      </c>
      <c r="M4924">
        <f t="shared" si="2082"/>
        <v>0.52499999999999858</v>
      </c>
      <c r="N4924">
        <f t="shared" si="2060"/>
        <v>1.0499999999999972</v>
      </c>
      <c r="O4924">
        <f t="shared" si="2083"/>
        <v>105.49</v>
      </c>
      <c r="P4924">
        <f t="shared" si="2084"/>
        <v>-0.23809523809526581</v>
      </c>
      <c r="Q4924" t="str">
        <f t="shared" si="2061"/>
        <v>0.38% | 0.62%</v>
      </c>
      <c r="R4924" t="str">
        <f t="shared" si="2085"/>
        <v>NEUTRAL</v>
      </c>
      <c r="S4924">
        <f t="shared" si="2062"/>
        <v>0</v>
      </c>
    </row>
    <row r="4925" spans="1:19" hidden="1" x14ac:dyDescent="0.25">
      <c r="A4925" s="5" t="str">
        <f t="shared" si="2063"/>
        <v>44118GBP/USD</v>
      </c>
      <c r="B4925" s="6" t="s">
        <v>79</v>
      </c>
      <c r="C4925" s="6">
        <v>1.28</v>
      </c>
      <c r="D4925" s="6">
        <v>1.3</v>
      </c>
      <c r="E4925" s="6">
        <v>1.29</v>
      </c>
      <c r="F4925" t="str">
        <f t="shared" si="2075"/>
        <v>WED</v>
      </c>
      <c r="G4925" s="3">
        <f t="shared" si="2076"/>
        <v>44118</v>
      </c>
      <c r="H4925" s="2">
        <f t="shared" ca="1" si="2077"/>
        <v>135</v>
      </c>
      <c r="I4925" t="str">
        <f t="shared" si="2078"/>
        <v>GBP/USD</v>
      </c>
      <c r="J4925">
        <f t="shared" si="2079"/>
        <v>1.28</v>
      </c>
      <c r="K4925">
        <f t="shared" si="2080"/>
        <v>1.3</v>
      </c>
      <c r="L4925">
        <f t="shared" si="2081"/>
        <v>1.29</v>
      </c>
      <c r="M4925">
        <f t="shared" si="2082"/>
        <v>1.0000000000000009E-2</v>
      </c>
      <c r="N4925">
        <f t="shared" si="2060"/>
        <v>2.0000000000000018E-2</v>
      </c>
      <c r="O4925">
        <f t="shared" si="2083"/>
        <v>1.29</v>
      </c>
      <c r="P4925">
        <f t="shared" si="2084"/>
        <v>0</v>
      </c>
      <c r="Q4925" t="str">
        <f t="shared" si="2061"/>
        <v>0.78% | 0.78%</v>
      </c>
      <c r="R4925" t="str">
        <f t="shared" si="2085"/>
        <v>NEUTRAL</v>
      </c>
      <c r="S4925">
        <f t="shared" si="2062"/>
        <v>0</v>
      </c>
    </row>
    <row r="4926" spans="1:19" hidden="1" x14ac:dyDescent="0.25">
      <c r="A4926" s="5" t="str">
        <f t="shared" si="2063"/>
        <v>44118USD/CHF</v>
      </c>
      <c r="B4926" s="6" t="s">
        <v>76</v>
      </c>
      <c r="C4926" s="6">
        <v>0.9</v>
      </c>
      <c r="D4926" s="6">
        <v>0.92</v>
      </c>
      <c r="E4926" s="6">
        <v>0.91</v>
      </c>
      <c r="F4926" t="str">
        <f t="shared" si="2075"/>
        <v>WED</v>
      </c>
      <c r="G4926" s="3">
        <f t="shared" si="2076"/>
        <v>44118</v>
      </c>
      <c r="H4926" s="2">
        <f t="shared" ca="1" si="2077"/>
        <v>135</v>
      </c>
      <c r="I4926" t="str">
        <f t="shared" si="2078"/>
        <v>USD/CHF</v>
      </c>
      <c r="J4926">
        <f t="shared" si="2079"/>
        <v>0.9</v>
      </c>
      <c r="K4926">
        <f t="shared" si="2080"/>
        <v>0.92</v>
      </c>
      <c r="L4926">
        <f t="shared" si="2081"/>
        <v>0.91</v>
      </c>
      <c r="M4926">
        <f t="shared" si="2082"/>
        <v>1.0000000000000009E-2</v>
      </c>
      <c r="N4926">
        <f t="shared" si="2060"/>
        <v>2.0000000000000018E-2</v>
      </c>
      <c r="O4926">
        <f t="shared" si="2083"/>
        <v>0.91</v>
      </c>
      <c r="P4926">
        <f t="shared" si="2084"/>
        <v>0</v>
      </c>
      <c r="Q4926" t="str">
        <f t="shared" si="2061"/>
        <v>1.1% | 1.1%</v>
      </c>
      <c r="R4926" t="str">
        <f t="shared" si="2085"/>
        <v>BEARISH</v>
      </c>
      <c r="S4926">
        <f t="shared" si="2062"/>
        <v>-1</v>
      </c>
    </row>
    <row r="4927" spans="1:19" hidden="1" x14ac:dyDescent="0.25">
      <c r="A4927" s="5" t="str">
        <f t="shared" si="2063"/>
        <v>44118WTIC</v>
      </c>
      <c r="B4927" s="6" t="s">
        <v>23</v>
      </c>
      <c r="C4927" s="6">
        <v>37.21</v>
      </c>
      <c r="D4927" s="6">
        <v>42.01</v>
      </c>
      <c r="E4927" s="6">
        <v>40.200000000000003</v>
      </c>
      <c r="F4927" t="str">
        <f t="shared" si="2075"/>
        <v>WED</v>
      </c>
      <c r="G4927" s="3">
        <f t="shared" si="2076"/>
        <v>44118</v>
      </c>
      <c r="H4927" s="2">
        <f t="shared" ca="1" si="2077"/>
        <v>135</v>
      </c>
      <c r="I4927" t="str">
        <f t="shared" si="2078"/>
        <v>WTIC</v>
      </c>
      <c r="J4927">
        <f t="shared" si="2079"/>
        <v>37.21</v>
      </c>
      <c r="K4927">
        <f t="shared" si="2080"/>
        <v>42.01</v>
      </c>
      <c r="L4927">
        <f t="shared" si="2081"/>
        <v>39.61</v>
      </c>
      <c r="M4927">
        <f t="shared" si="2082"/>
        <v>2.3999999999999986</v>
      </c>
      <c r="N4927">
        <f t="shared" si="2060"/>
        <v>4.7999999999999972</v>
      </c>
      <c r="O4927">
        <f t="shared" si="2083"/>
        <v>40.200000000000003</v>
      </c>
      <c r="P4927">
        <f t="shared" si="2084"/>
        <v>0.2458333333333349</v>
      </c>
      <c r="Q4927" t="str">
        <f t="shared" si="2061"/>
        <v>7.44% | 4.5%</v>
      </c>
      <c r="R4927" t="str">
        <f t="shared" si="2085"/>
        <v>BEARISH</v>
      </c>
      <c r="S4927">
        <f t="shared" si="2062"/>
        <v>-1</v>
      </c>
    </row>
    <row r="4928" spans="1:19" hidden="1" x14ac:dyDescent="0.25">
      <c r="A4928" s="5" t="str">
        <f t="shared" si="2063"/>
        <v>44118NATGAS</v>
      </c>
      <c r="B4928" s="6" t="s">
        <v>89</v>
      </c>
      <c r="C4928" s="6">
        <v>2.31</v>
      </c>
      <c r="D4928" s="6">
        <v>2.94</v>
      </c>
      <c r="E4928" s="6">
        <v>2.86</v>
      </c>
      <c r="F4928" t="str">
        <f t="shared" si="2075"/>
        <v>WED</v>
      </c>
      <c r="G4928" s="3">
        <f t="shared" si="2076"/>
        <v>44118</v>
      </c>
      <c r="H4928" s="2">
        <f t="shared" ca="1" si="2077"/>
        <v>135</v>
      </c>
      <c r="I4928" t="str">
        <f t="shared" si="2078"/>
        <v>NATGAS</v>
      </c>
      <c r="J4928">
        <f t="shared" si="2079"/>
        <v>2.31</v>
      </c>
      <c r="K4928">
        <f t="shared" si="2080"/>
        <v>2.94</v>
      </c>
      <c r="L4928">
        <f t="shared" si="2081"/>
        <v>2.625</v>
      </c>
      <c r="M4928">
        <f t="shared" si="2082"/>
        <v>0.3149999999999995</v>
      </c>
      <c r="N4928">
        <f t="shared" si="2060"/>
        <v>0.62999999999999989</v>
      </c>
      <c r="O4928">
        <f t="shared" si="2083"/>
        <v>2.86</v>
      </c>
      <c r="P4928">
        <f t="shared" si="2084"/>
        <v>0.74603174603174682</v>
      </c>
      <c r="Q4928" t="str">
        <f t="shared" si="2061"/>
        <v>19.23% | 2.8%</v>
      </c>
      <c r="R4928" t="str">
        <f t="shared" si="2085"/>
        <v>BULLISH</v>
      </c>
      <c r="S4928">
        <f t="shared" si="2062"/>
        <v>1</v>
      </c>
    </row>
    <row r="4929" spans="1:19" hidden="1" x14ac:dyDescent="0.25">
      <c r="A4929" s="5" t="str">
        <f t="shared" si="2063"/>
        <v>44118GOLD</v>
      </c>
      <c r="B4929" s="6" t="s">
        <v>25</v>
      </c>
      <c r="C4929" s="6">
        <v>1880</v>
      </c>
      <c r="D4929" s="6">
        <v>1938</v>
      </c>
      <c r="E4929" s="6">
        <v>1894</v>
      </c>
      <c r="F4929" t="str">
        <f t="shared" si="2075"/>
        <v>WED</v>
      </c>
      <c r="G4929" s="3">
        <f t="shared" si="2076"/>
        <v>44118</v>
      </c>
      <c r="H4929" s="2">
        <f t="shared" ca="1" si="2077"/>
        <v>135</v>
      </c>
      <c r="I4929" t="str">
        <f t="shared" si="2078"/>
        <v>GOLD</v>
      </c>
      <c r="J4929">
        <f t="shared" si="2079"/>
        <v>1880</v>
      </c>
      <c r="K4929">
        <f t="shared" si="2080"/>
        <v>1938</v>
      </c>
      <c r="L4929">
        <f t="shared" si="2081"/>
        <v>1909</v>
      </c>
      <c r="M4929">
        <f t="shared" si="2082"/>
        <v>29</v>
      </c>
      <c r="N4929">
        <f t="shared" si="2060"/>
        <v>58</v>
      </c>
      <c r="O4929">
        <f t="shared" si="2083"/>
        <v>1894</v>
      </c>
      <c r="P4929">
        <f t="shared" si="2084"/>
        <v>-0.51724137931034486</v>
      </c>
      <c r="Q4929" t="str">
        <f t="shared" si="2061"/>
        <v>0.74% | 2.32%</v>
      </c>
      <c r="R4929" t="str">
        <f t="shared" si="2085"/>
        <v>BULLISH</v>
      </c>
      <c r="S4929">
        <f t="shared" si="2062"/>
        <v>1</v>
      </c>
    </row>
    <row r="4930" spans="1:19" hidden="1" x14ac:dyDescent="0.25">
      <c r="A4930" s="5" t="str">
        <f t="shared" si="2063"/>
        <v>44118SILVER</v>
      </c>
      <c r="B4930" s="6" t="s">
        <v>234</v>
      </c>
      <c r="C4930" s="6">
        <v>23.14</v>
      </c>
      <c r="D4930" s="6">
        <v>25.44</v>
      </c>
      <c r="E4930" s="6">
        <v>24.13</v>
      </c>
      <c r="F4930" t="str">
        <f t="shared" si="2075"/>
        <v>WED</v>
      </c>
      <c r="G4930" s="3">
        <f t="shared" si="2076"/>
        <v>44118</v>
      </c>
      <c r="H4930" s="2">
        <f t="shared" ca="1" si="2077"/>
        <v>135</v>
      </c>
      <c r="I4930" t="str">
        <f t="shared" si="2078"/>
        <v>SILVER</v>
      </c>
      <c r="J4930">
        <f t="shared" si="2079"/>
        <v>23.14</v>
      </c>
      <c r="K4930">
        <f t="shared" si="2080"/>
        <v>25.44</v>
      </c>
      <c r="L4930">
        <f t="shared" si="2081"/>
        <v>24.29</v>
      </c>
      <c r="M4930">
        <f t="shared" si="2082"/>
        <v>1.1500000000000004</v>
      </c>
      <c r="N4930">
        <f t="shared" si="2060"/>
        <v>2.3000000000000007</v>
      </c>
      <c r="O4930">
        <f t="shared" si="2083"/>
        <v>24.13</v>
      </c>
      <c r="P4930">
        <f t="shared" si="2084"/>
        <v>-0.13913043478260878</v>
      </c>
      <c r="Q4930" t="str">
        <f t="shared" si="2061"/>
        <v>4.1% | 5.43%</v>
      </c>
      <c r="R4930" t="str">
        <f t="shared" si="2085"/>
        <v>BEARISH</v>
      </c>
      <c r="S4930">
        <f t="shared" si="2062"/>
        <v>-1</v>
      </c>
    </row>
    <row r="4931" spans="1:19" hidden="1" x14ac:dyDescent="0.25">
      <c r="A4931" s="5" t="str">
        <f t="shared" si="2063"/>
        <v>44118COPPER</v>
      </c>
      <c r="B4931" s="6" t="s">
        <v>100</v>
      </c>
      <c r="C4931" s="6">
        <v>2.87</v>
      </c>
      <c r="D4931" s="6">
        <v>3.12</v>
      </c>
      <c r="E4931" s="6">
        <v>3.04</v>
      </c>
      <c r="F4931" t="str">
        <f t="shared" si="2075"/>
        <v>WED</v>
      </c>
      <c r="G4931" s="3">
        <f t="shared" si="2076"/>
        <v>44118</v>
      </c>
      <c r="H4931" s="2">
        <f t="shared" ca="1" si="2077"/>
        <v>135</v>
      </c>
      <c r="I4931" t="str">
        <f t="shared" si="2078"/>
        <v>COPPER</v>
      </c>
      <c r="J4931">
        <f t="shared" si="2079"/>
        <v>2.87</v>
      </c>
      <c r="K4931">
        <f t="shared" si="2080"/>
        <v>3.12</v>
      </c>
      <c r="L4931">
        <f t="shared" si="2081"/>
        <v>2.9950000000000001</v>
      </c>
      <c r="M4931">
        <f t="shared" si="2082"/>
        <v>0.125</v>
      </c>
      <c r="N4931">
        <f t="shared" ref="N4931:N4994" si="2086">ABS(K4931-J4931)</f>
        <v>0.25</v>
      </c>
      <c r="O4931">
        <f t="shared" si="2083"/>
        <v>3.04</v>
      </c>
      <c r="P4931">
        <f t="shared" si="2084"/>
        <v>0.35999999999999943</v>
      </c>
      <c r="Q4931" t="str">
        <f t="shared" ref="Q4931:Q4994" si="2087">ROUND(ABS(100*(O4931-J4931)/O4931),2)&amp;"% | "&amp;ROUND(ABS(100*(K4931-O4931)/O4931),2)&amp;"%"</f>
        <v>5.59% | 2.63%</v>
      </c>
      <c r="R4931" t="str">
        <f t="shared" si="2085"/>
        <v>BULLISH</v>
      </c>
      <c r="S4931">
        <f t="shared" ref="S4931:S4994" si="2088">IF(R4931="BEARISH",-1,IF(R4931="NEUTRAL",0,IF(R4931="BULLISH",1,99)))</f>
        <v>1</v>
      </c>
    </row>
    <row r="4932" spans="1:19" hidden="1" x14ac:dyDescent="0.25">
      <c r="A4932" s="5" t="str">
        <f t="shared" si="2063"/>
        <v>44118MSFT</v>
      </c>
      <c r="B4932" s="6" t="s">
        <v>235</v>
      </c>
      <c r="C4932" s="6">
        <v>200</v>
      </c>
      <c r="D4932" s="6">
        <v>224</v>
      </c>
      <c r="E4932" s="6">
        <v>222</v>
      </c>
      <c r="F4932" t="str">
        <f t="shared" si="2075"/>
        <v>WED</v>
      </c>
      <c r="G4932" s="3">
        <f t="shared" si="2076"/>
        <v>44118</v>
      </c>
      <c r="H4932" s="2">
        <f t="shared" ca="1" si="2077"/>
        <v>135</v>
      </c>
      <c r="I4932" t="str">
        <f t="shared" si="2078"/>
        <v>MSFT</v>
      </c>
      <c r="J4932">
        <f t="shared" si="2079"/>
        <v>200</v>
      </c>
      <c r="K4932">
        <f t="shared" si="2080"/>
        <v>224</v>
      </c>
      <c r="L4932">
        <f t="shared" si="2081"/>
        <v>212</v>
      </c>
      <c r="M4932">
        <f t="shared" si="2082"/>
        <v>12</v>
      </c>
      <c r="N4932">
        <f t="shared" si="2086"/>
        <v>24</v>
      </c>
      <c r="O4932">
        <f t="shared" si="2083"/>
        <v>222</v>
      </c>
      <c r="P4932">
        <f t="shared" si="2084"/>
        <v>0.83333333333333337</v>
      </c>
      <c r="Q4932" t="str">
        <f t="shared" si="2087"/>
        <v>9.91% | 0.9%</v>
      </c>
      <c r="R4932" t="str">
        <f t="shared" si="2085"/>
        <v>NEUTRAL</v>
      </c>
      <c r="S4932">
        <f t="shared" si="2088"/>
        <v>0</v>
      </c>
    </row>
    <row r="4933" spans="1:19" hidden="1" x14ac:dyDescent="0.25">
      <c r="A4933" s="5" t="str">
        <f t="shared" si="2063"/>
        <v>44118AAPL</v>
      </c>
      <c r="B4933" s="6" t="s">
        <v>63</v>
      </c>
      <c r="C4933" s="6">
        <v>107</v>
      </c>
      <c r="D4933" s="6">
        <v>124</v>
      </c>
      <c r="E4933" s="6">
        <v>121</v>
      </c>
      <c r="F4933" t="str">
        <f t="shared" si="2075"/>
        <v>WED</v>
      </c>
      <c r="G4933" s="3">
        <f t="shared" si="2076"/>
        <v>44118</v>
      </c>
      <c r="H4933" s="2">
        <f t="shared" ca="1" si="2077"/>
        <v>135</v>
      </c>
      <c r="I4933" t="str">
        <f t="shared" si="2078"/>
        <v>AAPL</v>
      </c>
      <c r="J4933">
        <f t="shared" si="2079"/>
        <v>107</v>
      </c>
      <c r="K4933">
        <f t="shared" si="2080"/>
        <v>124</v>
      </c>
      <c r="L4933">
        <f t="shared" si="2081"/>
        <v>115.5</v>
      </c>
      <c r="M4933">
        <f t="shared" si="2082"/>
        <v>8.5</v>
      </c>
      <c r="N4933">
        <f t="shared" si="2086"/>
        <v>17</v>
      </c>
      <c r="O4933">
        <f t="shared" si="2083"/>
        <v>121</v>
      </c>
      <c r="P4933">
        <f t="shared" si="2084"/>
        <v>0.6470588235294118</v>
      </c>
      <c r="Q4933" t="str">
        <f t="shared" si="2087"/>
        <v>11.57% | 2.48%</v>
      </c>
      <c r="R4933" t="str">
        <f t="shared" si="2085"/>
        <v>NEUTRAL</v>
      </c>
      <c r="S4933">
        <f t="shared" si="2088"/>
        <v>0</v>
      </c>
    </row>
    <row r="4934" spans="1:19" hidden="1" x14ac:dyDescent="0.25">
      <c r="A4934" s="5" t="str">
        <f t="shared" ref="A4934:A4997" si="2089">G4934&amp;I4934</f>
        <v>44118AMZN</v>
      </c>
      <c r="B4934" s="6" t="s">
        <v>29</v>
      </c>
      <c r="C4934" s="6">
        <v>3202</v>
      </c>
      <c r="D4934" s="6">
        <v>3489</v>
      </c>
      <c r="E4934" s="6">
        <v>3443</v>
      </c>
      <c r="F4934" t="str">
        <f t="shared" si="2075"/>
        <v>WED</v>
      </c>
      <c r="G4934" s="3">
        <f t="shared" si="2076"/>
        <v>44118</v>
      </c>
      <c r="H4934" s="2">
        <f t="shared" ca="1" si="2077"/>
        <v>135</v>
      </c>
      <c r="I4934" t="str">
        <f t="shared" si="2078"/>
        <v>AMZN</v>
      </c>
      <c r="J4934">
        <f t="shared" si="2079"/>
        <v>3202</v>
      </c>
      <c r="K4934">
        <f t="shared" si="2080"/>
        <v>3489</v>
      </c>
      <c r="L4934">
        <f t="shared" si="2081"/>
        <v>3345.5</v>
      </c>
      <c r="M4934">
        <f t="shared" si="2082"/>
        <v>143.5</v>
      </c>
      <c r="N4934">
        <f t="shared" si="2086"/>
        <v>287</v>
      </c>
      <c r="O4934">
        <f t="shared" si="2083"/>
        <v>3443</v>
      </c>
      <c r="P4934">
        <f t="shared" si="2084"/>
        <v>0.67944250871080136</v>
      </c>
      <c r="Q4934" t="str">
        <f t="shared" si="2087"/>
        <v>7% | 1.34%</v>
      </c>
      <c r="R4934" t="str">
        <f t="shared" si="2085"/>
        <v>BULLISH</v>
      </c>
      <c r="S4934">
        <f t="shared" si="2088"/>
        <v>1</v>
      </c>
    </row>
    <row r="4935" spans="1:19" hidden="1" x14ac:dyDescent="0.25">
      <c r="A4935" s="5" t="str">
        <f t="shared" si="2089"/>
        <v>44118FB</v>
      </c>
      <c r="B4935" s="6" t="s">
        <v>30</v>
      </c>
      <c r="C4935" s="6">
        <v>251</v>
      </c>
      <c r="D4935" s="6">
        <v>279</v>
      </c>
      <c r="E4935" s="6">
        <v>276</v>
      </c>
      <c r="F4935" t="str">
        <f t="shared" si="2075"/>
        <v>WED</v>
      </c>
      <c r="G4935" s="3">
        <f t="shared" si="2076"/>
        <v>44118</v>
      </c>
      <c r="H4935" s="2">
        <f t="shared" ca="1" si="2077"/>
        <v>135</v>
      </c>
      <c r="I4935" t="str">
        <f t="shared" si="2078"/>
        <v>FB</v>
      </c>
      <c r="J4935">
        <f t="shared" si="2079"/>
        <v>251</v>
      </c>
      <c r="K4935">
        <f t="shared" si="2080"/>
        <v>279</v>
      </c>
      <c r="L4935">
        <f t="shared" si="2081"/>
        <v>265</v>
      </c>
      <c r="M4935">
        <f t="shared" si="2082"/>
        <v>14</v>
      </c>
      <c r="N4935">
        <f t="shared" si="2086"/>
        <v>28</v>
      </c>
      <c r="O4935">
        <f t="shared" si="2083"/>
        <v>276</v>
      </c>
      <c r="P4935">
        <f t="shared" si="2084"/>
        <v>0.7857142857142857</v>
      </c>
      <c r="Q4935" t="str">
        <f t="shared" si="2087"/>
        <v>9.06% | 1.09%</v>
      </c>
      <c r="R4935" t="str">
        <f t="shared" si="2085"/>
        <v>BULLISH</v>
      </c>
      <c r="S4935">
        <f t="shared" si="2088"/>
        <v>1</v>
      </c>
    </row>
    <row r="4936" spans="1:19" hidden="1" x14ac:dyDescent="0.25">
      <c r="A4936" s="5" t="str">
        <f t="shared" si="2089"/>
        <v>44118GOOGL</v>
      </c>
      <c r="B4936" s="6" t="s">
        <v>66</v>
      </c>
      <c r="C4936" s="6">
        <v>1412</v>
      </c>
      <c r="D4936" s="6">
        <v>1580</v>
      </c>
      <c r="E4936" s="6">
        <v>1567</v>
      </c>
      <c r="F4936" t="str">
        <f t="shared" si="2075"/>
        <v>WED</v>
      </c>
      <c r="G4936" s="3">
        <f t="shared" si="2076"/>
        <v>44118</v>
      </c>
      <c r="H4936" s="2">
        <f t="shared" ca="1" si="2077"/>
        <v>135</v>
      </c>
      <c r="I4936" t="str">
        <f t="shared" si="2078"/>
        <v>GOOGL</v>
      </c>
      <c r="J4936">
        <f t="shared" si="2079"/>
        <v>1412</v>
      </c>
      <c r="K4936">
        <f t="shared" si="2080"/>
        <v>1580</v>
      </c>
      <c r="L4936">
        <f t="shared" si="2081"/>
        <v>1496</v>
      </c>
      <c r="M4936">
        <f t="shared" si="2082"/>
        <v>84</v>
      </c>
      <c r="N4936">
        <f t="shared" si="2086"/>
        <v>168</v>
      </c>
      <c r="O4936">
        <f t="shared" si="2083"/>
        <v>1567</v>
      </c>
      <c r="P4936">
        <f t="shared" si="2084"/>
        <v>0.84523809523809523</v>
      </c>
      <c r="Q4936" t="str">
        <f t="shared" si="2087"/>
        <v>9.89% | 0.83%</v>
      </c>
      <c r="R4936" t="str">
        <f t="shared" si="2085"/>
        <v>BEARISH</v>
      </c>
      <c r="S4936">
        <f t="shared" si="2088"/>
        <v>-1</v>
      </c>
    </row>
    <row r="4937" spans="1:19" hidden="1" x14ac:dyDescent="0.25">
      <c r="A4937" s="5" t="str">
        <f t="shared" si="2089"/>
        <v>44118NFLX</v>
      </c>
      <c r="B4937" s="6" t="s">
        <v>32</v>
      </c>
      <c r="C4937" s="6">
        <v>498</v>
      </c>
      <c r="D4937" s="6">
        <v>561</v>
      </c>
      <c r="E4937" s="6">
        <v>554</v>
      </c>
      <c r="F4937" t="str">
        <f t="shared" si="2075"/>
        <v>WED</v>
      </c>
      <c r="G4937" s="3">
        <f t="shared" si="2076"/>
        <v>44118</v>
      </c>
      <c r="H4937" s="2">
        <f t="shared" ca="1" si="2077"/>
        <v>135</v>
      </c>
      <c r="I4937" t="str">
        <f t="shared" si="2078"/>
        <v>NFLX</v>
      </c>
      <c r="J4937">
        <f t="shared" si="2079"/>
        <v>498</v>
      </c>
      <c r="K4937">
        <f t="shared" si="2080"/>
        <v>561</v>
      </c>
      <c r="L4937">
        <f t="shared" si="2081"/>
        <v>529.5</v>
      </c>
      <c r="M4937">
        <f t="shared" si="2082"/>
        <v>31.5</v>
      </c>
      <c r="N4937">
        <f t="shared" si="2086"/>
        <v>63</v>
      </c>
      <c r="O4937">
        <f t="shared" si="2083"/>
        <v>554</v>
      </c>
      <c r="P4937">
        <f t="shared" si="2084"/>
        <v>0.77777777777777779</v>
      </c>
      <c r="Q4937" t="str">
        <f t="shared" si="2087"/>
        <v>10.11% | 1.26%</v>
      </c>
      <c r="R4937" t="str">
        <f t="shared" si="2085"/>
        <v>BULLISH</v>
      </c>
      <c r="S4937">
        <f t="shared" si="2088"/>
        <v>1</v>
      </c>
    </row>
    <row r="4938" spans="1:19" x14ac:dyDescent="0.25">
      <c r="A4938" s="5" t="str">
        <f t="shared" si="2089"/>
        <v>44118TSLA</v>
      </c>
      <c r="B4938" s="6" t="s">
        <v>71</v>
      </c>
      <c r="C4938" s="6">
        <v>407</v>
      </c>
      <c r="D4938" s="6">
        <v>455</v>
      </c>
      <c r="E4938" s="6">
        <v>446</v>
      </c>
      <c r="F4938" t="str">
        <f t="shared" si="2075"/>
        <v>WED</v>
      </c>
      <c r="G4938" s="3">
        <f t="shared" si="2076"/>
        <v>44118</v>
      </c>
      <c r="H4938" s="2">
        <f t="shared" ca="1" si="2077"/>
        <v>135</v>
      </c>
      <c r="I4938" t="str">
        <f t="shared" si="2078"/>
        <v>TSLA</v>
      </c>
      <c r="J4938">
        <f t="shared" si="2079"/>
        <v>407</v>
      </c>
      <c r="K4938">
        <f t="shared" si="2080"/>
        <v>455</v>
      </c>
      <c r="L4938">
        <f t="shared" si="2081"/>
        <v>431</v>
      </c>
      <c r="M4938">
        <f t="shared" si="2082"/>
        <v>24</v>
      </c>
      <c r="N4938">
        <f t="shared" si="2086"/>
        <v>48</v>
      </c>
      <c r="O4938">
        <f t="shared" si="2083"/>
        <v>446</v>
      </c>
      <c r="P4938">
        <f t="shared" si="2084"/>
        <v>0.625</v>
      </c>
      <c r="Q4938" t="str">
        <f t="shared" si="2087"/>
        <v>8.74% | 2.02%</v>
      </c>
      <c r="R4938" t="str">
        <f t="shared" si="2085"/>
        <v>NEUTRAL</v>
      </c>
      <c r="S4938">
        <f t="shared" si="2088"/>
        <v>0</v>
      </c>
    </row>
    <row r="4939" spans="1:19" hidden="1" x14ac:dyDescent="0.25">
      <c r="A4939" s="5" t="str">
        <f t="shared" si="2089"/>
        <v>44118NYXBT</v>
      </c>
      <c r="B4939" s="6" t="s">
        <v>72</v>
      </c>
      <c r="C4939" s="6">
        <v>10274</v>
      </c>
      <c r="D4939" s="6">
        <v>11609</v>
      </c>
      <c r="E4939" s="6">
        <v>11378</v>
      </c>
      <c r="F4939" t="str">
        <f t="shared" si="2075"/>
        <v>WED</v>
      </c>
      <c r="G4939" s="3">
        <f t="shared" si="2076"/>
        <v>44118</v>
      </c>
      <c r="H4939" s="2">
        <f t="shared" ca="1" si="2077"/>
        <v>135</v>
      </c>
      <c r="I4939" t="str">
        <f t="shared" si="2078"/>
        <v>NYXBT</v>
      </c>
      <c r="J4939">
        <f t="shared" si="2079"/>
        <v>10274</v>
      </c>
      <c r="K4939">
        <f t="shared" si="2080"/>
        <v>11609</v>
      </c>
      <c r="L4939">
        <f t="shared" si="2081"/>
        <v>10941.5</v>
      </c>
      <c r="M4939">
        <f t="shared" si="2082"/>
        <v>667.5</v>
      </c>
      <c r="N4939">
        <f t="shared" si="2086"/>
        <v>1335</v>
      </c>
      <c r="O4939">
        <f t="shared" si="2083"/>
        <v>11378</v>
      </c>
      <c r="P4939">
        <f t="shared" si="2084"/>
        <v>0.65393258426966294</v>
      </c>
      <c r="Q4939" t="str">
        <f t="shared" si="2087"/>
        <v>9.7% | 2.03%</v>
      </c>
      <c r="R4939" t="str">
        <f t="shared" si="2085"/>
        <v>NEUTRAL</v>
      </c>
      <c r="S4939">
        <f t="shared" si="2088"/>
        <v>0</v>
      </c>
    </row>
    <row r="4940" spans="1:19" hidden="1" x14ac:dyDescent="0.25">
      <c r="A4940" s="5" t="str">
        <f t="shared" si="2089"/>
        <v>44119UST10Y</v>
      </c>
      <c r="B4940" s="6" t="s">
        <v>161</v>
      </c>
      <c r="C4940" s="6">
        <v>0.82</v>
      </c>
      <c r="D4940" s="6">
        <v>0.64</v>
      </c>
      <c r="E4940" s="6">
        <v>0.73</v>
      </c>
      <c r="F4940" t="str">
        <f t="shared" si="2075"/>
        <v>THU</v>
      </c>
      <c r="G4940" s="1">
        <f>DATE(2020,10,15)</f>
        <v>44119</v>
      </c>
      <c r="H4940" s="2">
        <f t="shared" ca="1" si="2077"/>
        <v>134</v>
      </c>
      <c r="I4940" t="str">
        <f t="shared" si="2078"/>
        <v>UST10Y</v>
      </c>
      <c r="J4940">
        <f t="shared" si="2079"/>
        <v>0.82</v>
      </c>
      <c r="K4940">
        <f t="shared" si="2080"/>
        <v>0.64</v>
      </c>
      <c r="L4940">
        <f t="shared" si="2081"/>
        <v>0.73</v>
      </c>
      <c r="M4940">
        <f t="shared" si="2082"/>
        <v>8.9999999999999983E-2</v>
      </c>
      <c r="N4940">
        <f t="shared" si="2086"/>
        <v>0.17999999999999994</v>
      </c>
      <c r="O4940">
        <f t="shared" si="2083"/>
        <v>0.73</v>
      </c>
      <c r="P4940">
        <f t="shared" si="2084"/>
        <v>0</v>
      </c>
      <c r="Q4940" t="str">
        <f t="shared" si="2087"/>
        <v>12.33% | 12.33%</v>
      </c>
      <c r="R4940" t="str">
        <f t="shared" si="2085"/>
        <v>BEARISH</v>
      </c>
      <c r="S4940">
        <f t="shared" si="2088"/>
        <v>-1</v>
      </c>
    </row>
    <row r="4941" spans="1:19" hidden="1" x14ac:dyDescent="0.25">
      <c r="A4941" s="5" t="str">
        <f t="shared" si="2089"/>
        <v>44119UST2Y</v>
      </c>
      <c r="B4941" s="6" t="s">
        <v>162</v>
      </c>
      <c r="C4941" s="6">
        <v>0.15</v>
      </c>
      <c r="D4941" s="6">
        <v>0.11</v>
      </c>
      <c r="E4941" s="6">
        <v>0.14000000000000001</v>
      </c>
      <c r="F4941" t="str">
        <f t="shared" ref="F4941:F4971" si="2090">UPPER(TEXT(G4941,"ddd"))</f>
        <v>THU</v>
      </c>
      <c r="G4941" s="1">
        <f t="shared" ref="G4941:G4970" si="2091">DATE(2020,10,15)</f>
        <v>44119</v>
      </c>
      <c r="H4941" s="2">
        <f t="shared" ref="H4941:H4971" ca="1" si="2092">TODAY()-G4941</f>
        <v>134</v>
      </c>
      <c r="I4941" t="str">
        <f t="shared" ref="I4941:I4971" si="2093">TRIM(LEFT(B4941,FIND(" ",B4941,1)))</f>
        <v>UST2Y</v>
      </c>
      <c r="J4941">
        <f t="shared" ref="J4941:J4971" si="2094">C4941</f>
        <v>0.15</v>
      </c>
      <c r="K4941">
        <f t="shared" ref="K4941:K4971" si="2095">D4941</f>
        <v>0.11</v>
      </c>
      <c r="L4941">
        <f t="shared" ref="L4941:L4971" si="2096">AVERAGE(J4941:K4941)</f>
        <v>0.13</v>
      </c>
      <c r="M4941">
        <f t="shared" ref="M4941:M4971" si="2097">_xlfn.STDEV.P(J4941:K4941)</f>
        <v>1.9999999999999938E-2</v>
      </c>
      <c r="N4941">
        <f t="shared" si="2086"/>
        <v>3.9999999999999994E-2</v>
      </c>
      <c r="O4941">
        <f t="shared" ref="O4941:O4971" si="2098">E4941</f>
        <v>0.14000000000000001</v>
      </c>
      <c r="P4941">
        <f t="shared" ref="P4941:P4971" si="2099">(O4941-L4941)/M4941</f>
        <v>0.500000000000002</v>
      </c>
      <c r="Q4941" t="str">
        <f t="shared" si="2087"/>
        <v>7.14% | 21.43%</v>
      </c>
      <c r="R4941" t="str">
        <f t="shared" ref="R4941:R4971" si="2100">MID(B4941,FIND("(",B4941,1)+1,FIND(")",B4941,1)-FIND("(",B4941,1)-1)</f>
        <v>BEARISH</v>
      </c>
      <c r="S4941">
        <f t="shared" si="2088"/>
        <v>-1</v>
      </c>
    </row>
    <row r="4942" spans="1:19" hidden="1" x14ac:dyDescent="0.25">
      <c r="A4942" s="5" t="str">
        <f t="shared" si="2089"/>
        <v>44119SPX</v>
      </c>
      <c r="B4942" s="6" t="s">
        <v>211</v>
      </c>
      <c r="C4942" s="6">
        <v>3307</v>
      </c>
      <c r="D4942" s="6">
        <v>3555</v>
      </c>
      <c r="E4942" s="6">
        <v>3488</v>
      </c>
      <c r="F4942" t="str">
        <f t="shared" si="2090"/>
        <v>THU</v>
      </c>
      <c r="G4942" s="1">
        <f t="shared" si="2091"/>
        <v>44119</v>
      </c>
      <c r="H4942" s="2">
        <f t="shared" ca="1" si="2092"/>
        <v>134</v>
      </c>
      <c r="I4942" t="str">
        <f t="shared" si="2093"/>
        <v>SPX</v>
      </c>
      <c r="J4942">
        <f t="shared" si="2094"/>
        <v>3307</v>
      </c>
      <c r="K4942">
        <f t="shared" si="2095"/>
        <v>3555</v>
      </c>
      <c r="L4942">
        <f t="shared" si="2096"/>
        <v>3431</v>
      </c>
      <c r="M4942">
        <f t="shared" si="2097"/>
        <v>124</v>
      </c>
      <c r="N4942">
        <f t="shared" si="2086"/>
        <v>248</v>
      </c>
      <c r="O4942">
        <f t="shared" si="2098"/>
        <v>3488</v>
      </c>
      <c r="P4942">
        <f t="shared" si="2099"/>
        <v>0.45967741935483869</v>
      </c>
      <c r="Q4942" t="str">
        <f t="shared" si="2087"/>
        <v>5.19% | 1.92%</v>
      </c>
      <c r="R4942" t="str">
        <f t="shared" si="2100"/>
        <v>BEARISH</v>
      </c>
      <c r="S4942">
        <f t="shared" si="2088"/>
        <v>-1</v>
      </c>
    </row>
    <row r="4943" spans="1:19" hidden="1" x14ac:dyDescent="0.25">
      <c r="A4943" s="5" t="str">
        <f t="shared" si="2089"/>
        <v>44119RUT</v>
      </c>
      <c r="B4943" s="6" t="s">
        <v>164</v>
      </c>
      <c r="C4943" s="6">
        <v>1539</v>
      </c>
      <c r="D4943" s="6">
        <v>1651</v>
      </c>
      <c r="E4943" s="6">
        <v>1621</v>
      </c>
      <c r="F4943" t="str">
        <f t="shared" si="2090"/>
        <v>THU</v>
      </c>
      <c r="G4943" s="1">
        <f t="shared" si="2091"/>
        <v>44119</v>
      </c>
      <c r="H4943" s="2">
        <f t="shared" ca="1" si="2092"/>
        <v>134</v>
      </c>
      <c r="I4943" t="str">
        <f t="shared" si="2093"/>
        <v>RUT</v>
      </c>
      <c r="J4943">
        <f t="shared" si="2094"/>
        <v>1539</v>
      </c>
      <c r="K4943">
        <f t="shared" si="2095"/>
        <v>1651</v>
      </c>
      <c r="L4943">
        <f t="shared" si="2096"/>
        <v>1595</v>
      </c>
      <c r="M4943">
        <f t="shared" si="2097"/>
        <v>56</v>
      </c>
      <c r="N4943">
        <f t="shared" si="2086"/>
        <v>112</v>
      </c>
      <c r="O4943">
        <f t="shared" si="2098"/>
        <v>1621</v>
      </c>
      <c r="P4943">
        <f t="shared" si="2099"/>
        <v>0.4642857142857143</v>
      </c>
      <c r="Q4943" t="str">
        <f t="shared" si="2087"/>
        <v>5.06% | 1.85%</v>
      </c>
      <c r="R4943" t="str">
        <f t="shared" si="2100"/>
        <v>BEARISH</v>
      </c>
      <c r="S4943">
        <f t="shared" si="2088"/>
        <v>-1</v>
      </c>
    </row>
    <row r="4944" spans="1:19" hidden="1" x14ac:dyDescent="0.25">
      <c r="A4944" s="5" t="str">
        <f t="shared" si="2089"/>
        <v>44119COMPQ</v>
      </c>
      <c r="B4944" s="6" t="s">
        <v>217</v>
      </c>
      <c r="C4944" s="6">
        <v>10913</v>
      </c>
      <c r="D4944" s="6">
        <v>12050</v>
      </c>
      <c r="E4944" s="6">
        <v>11768</v>
      </c>
      <c r="F4944" t="str">
        <f t="shared" si="2090"/>
        <v>THU</v>
      </c>
      <c r="G4944" s="1">
        <f t="shared" si="2091"/>
        <v>44119</v>
      </c>
      <c r="H4944" s="2">
        <f t="shared" ca="1" si="2092"/>
        <v>134</v>
      </c>
      <c r="I4944" t="str">
        <f t="shared" si="2093"/>
        <v>COMPQ</v>
      </c>
      <c r="J4944">
        <f t="shared" si="2094"/>
        <v>10913</v>
      </c>
      <c r="K4944">
        <f t="shared" si="2095"/>
        <v>12050</v>
      </c>
      <c r="L4944">
        <f t="shared" si="2096"/>
        <v>11481.5</v>
      </c>
      <c r="M4944">
        <f t="shared" si="2097"/>
        <v>568.5</v>
      </c>
      <c r="N4944">
        <f t="shared" si="2086"/>
        <v>1137</v>
      </c>
      <c r="O4944">
        <f t="shared" si="2098"/>
        <v>11768</v>
      </c>
      <c r="P4944">
        <f t="shared" si="2099"/>
        <v>0.50395778364116095</v>
      </c>
      <c r="Q4944" t="str">
        <f t="shared" si="2087"/>
        <v>7.27% | 2.4%</v>
      </c>
      <c r="R4944" t="str">
        <f t="shared" si="2100"/>
        <v>BEARISH</v>
      </c>
      <c r="S4944">
        <f t="shared" si="2088"/>
        <v>-1</v>
      </c>
    </row>
    <row r="4945" spans="1:19" hidden="1" x14ac:dyDescent="0.25">
      <c r="A4945" s="5" t="str">
        <f t="shared" si="2089"/>
        <v>44119XLK</v>
      </c>
      <c r="B4945" s="6" t="s">
        <v>218</v>
      </c>
      <c r="C4945" s="6">
        <v>113.27</v>
      </c>
      <c r="D4945" s="6">
        <v>124.37</v>
      </c>
      <c r="E4945" s="6">
        <v>122.02</v>
      </c>
      <c r="F4945" t="str">
        <f t="shared" si="2090"/>
        <v>THU</v>
      </c>
      <c r="G4945" s="1">
        <f t="shared" si="2091"/>
        <v>44119</v>
      </c>
      <c r="H4945" s="2">
        <f t="shared" ca="1" si="2092"/>
        <v>134</v>
      </c>
      <c r="I4945" t="str">
        <f t="shared" si="2093"/>
        <v>XLK</v>
      </c>
      <c r="J4945">
        <f t="shared" si="2094"/>
        <v>113.27</v>
      </c>
      <c r="K4945">
        <f t="shared" si="2095"/>
        <v>124.37</v>
      </c>
      <c r="L4945">
        <f t="shared" si="2096"/>
        <v>118.82</v>
      </c>
      <c r="M4945">
        <f t="shared" si="2097"/>
        <v>5.5500000000000043</v>
      </c>
      <c r="N4945">
        <f t="shared" si="2086"/>
        <v>11.100000000000009</v>
      </c>
      <c r="O4945">
        <f t="shared" si="2098"/>
        <v>122.02</v>
      </c>
      <c r="P4945">
        <f t="shared" si="2099"/>
        <v>0.57657657657657668</v>
      </c>
      <c r="Q4945" t="str">
        <f t="shared" si="2087"/>
        <v>7.17% | 1.93%</v>
      </c>
      <c r="R4945" t="str">
        <f t="shared" si="2100"/>
        <v>BEARISH</v>
      </c>
      <c r="S4945">
        <f t="shared" si="2088"/>
        <v>-1</v>
      </c>
    </row>
    <row r="4946" spans="1:19" hidden="1" x14ac:dyDescent="0.25">
      <c r="A4946" s="5" t="str">
        <f t="shared" si="2089"/>
        <v>44119XLRE</v>
      </c>
      <c r="B4946" s="6" t="s">
        <v>167</v>
      </c>
      <c r="C4946" s="6">
        <v>35.520000000000003</v>
      </c>
      <c r="D4946" s="6">
        <v>37.299999999999997</v>
      </c>
      <c r="E4946" s="6">
        <v>36.07</v>
      </c>
      <c r="F4946" t="str">
        <f t="shared" si="2090"/>
        <v>THU</v>
      </c>
      <c r="G4946" s="1">
        <f t="shared" si="2091"/>
        <v>44119</v>
      </c>
      <c r="H4946" s="2">
        <f t="shared" ca="1" si="2092"/>
        <v>134</v>
      </c>
      <c r="I4946" t="str">
        <f t="shared" si="2093"/>
        <v>XLRE</v>
      </c>
      <c r="J4946">
        <f t="shared" si="2094"/>
        <v>35.520000000000003</v>
      </c>
      <c r="K4946">
        <f t="shared" si="2095"/>
        <v>37.299999999999997</v>
      </c>
      <c r="L4946">
        <f t="shared" si="2096"/>
        <v>36.409999999999997</v>
      </c>
      <c r="M4946">
        <f t="shared" si="2097"/>
        <v>0.88999999999999702</v>
      </c>
      <c r="N4946">
        <f t="shared" si="2086"/>
        <v>1.779999999999994</v>
      </c>
      <c r="O4946">
        <f t="shared" si="2098"/>
        <v>36.07</v>
      </c>
      <c r="P4946">
        <f t="shared" si="2099"/>
        <v>-0.38202247191010946</v>
      </c>
      <c r="Q4946" t="str">
        <f t="shared" si="2087"/>
        <v>1.52% | 3.41%</v>
      </c>
      <c r="R4946" t="str">
        <f t="shared" si="2100"/>
        <v>BULLISH</v>
      </c>
      <c r="S4946">
        <f t="shared" si="2088"/>
        <v>1</v>
      </c>
    </row>
    <row r="4947" spans="1:19" hidden="1" x14ac:dyDescent="0.25">
      <c r="A4947" s="5" t="str">
        <f t="shared" si="2089"/>
        <v>44119XLU</v>
      </c>
      <c r="B4947" s="6" t="s">
        <v>168</v>
      </c>
      <c r="C4947" s="6">
        <v>59.5</v>
      </c>
      <c r="D4947" s="6">
        <v>64.87</v>
      </c>
      <c r="E4947" s="6">
        <v>63.36</v>
      </c>
      <c r="F4947" t="str">
        <f t="shared" si="2090"/>
        <v>THU</v>
      </c>
      <c r="G4947" s="1">
        <f t="shared" si="2091"/>
        <v>44119</v>
      </c>
      <c r="H4947" s="2">
        <f t="shared" ca="1" si="2092"/>
        <v>134</v>
      </c>
      <c r="I4947" t="str">
        <f t="shared" si="2093"/>
        <v>XLU</v>
      </c>
      <c r="J4947">
        <f t="shared" si="2094"/>
        <v>59.5</v>
      </c>
      <c r="K4947">
        <f t="shared" si="2095"/>
        <v>64.87</v>
      </c>
      <c r="L4947">
        <f t="shared" si="2096"/>
        <v>62.185000000000002</v>
      </c>
      <c r="M4947">
        <f t="shared" si="2097"/>
        <v>2.6850000000000023</v>
      </c>
      <c r="N4947">
        <f t="shared" si="2086"/>
        <v>5.3700000000000045</v>
      </c>
      <c r="O4947">
        <f t="shared" si="2098"/>
        <v>63.36</v>
      </c>
      <c r="P4947">
        <f t="shared" si="2099"/>
        <v>0.43761638733705632</v>
      </c>
      <c r="Q4947" t="str">
        <f t="shared" si="2087"/>
        <v>6.09% | 2.38%</v>
      </c>
      <c r="R4947" t="str">
        <f t="shared" si="2100"/>
        <v>BULLISH</v>
      </c>
      <c r="S4947">
        <f t="shared" si="2088"/>
        <v>1</v>
      </c>
    </row>
    <row r="4948" spans="1:19" hidden="1" x14ac:dyDescent="0.25">
      <c r="A4948" s="5" t="str">
        <f t="shared" si="2089"/>
        <v>44119XLF</v>
      </c>
      <c r="B4948" s="6" t="s">
        <v>169</v>
      </c>
      <c r="C4948" s="6">
        <v>23.96</v>
      </c>
      <c r="D4948" s="6">
        <v>25.61</v>
      </c>
      <c r="E4948" s="6">
        <v>24.78</v>
      </c>
      <c r="F4948" t="str">
        <f t="shared" si="2090"/>
        <v>THU</v>
      </c>
      <c r="G4948" s="1">
        <f t="shared" si="2091"/>
        <v>44119</v>
      </c>
      <c r="H4948" s="2">
        <f t="shared" ca="1" si="2092"/>
        <v>134</v>
      </c>
      <c r="I4948" t="str">
        <f t="shared" si="2093"/>
        <v>XLF</v>
      </c>
      <c r="J4948">
        <f t="shared" si="2094"/>
        <v>23.96</v>
      </c>
      <c r="K4948">
        <f t="shared" si="2095"/>
        <v>25.61</v>
      </c>
      <c r="L4948">
        <f t="shared" si="2096"/>
        <v>24.785</v>
      </c>
      <c r="M4948">
        <f t="shared" si="2097"/>
        <v>0.82499999999999929</v>
      </c>
      <c r="N4948">
        <f t="shared" si="2086"/>
        <v>1.6499999999999986</v>
      </c>
      <c r="O4948">
        <f t="shared" si="2098"/>
        <v>24.78</v>
      </c>
      <c r="P4948">
        <f t="shared" si="2099"/>
        <v>-6.0606060606048602E-3</v>
      </c>
      <c r="Q4948" t="str">
        <f t="shared" si="2087"/>
        <v>3.31% | 3.35%</v>
      </c>
      <c r="R4948" t="str">
        <f t="shared" si="2100"/>
        <v>BEARISH</v>
      </c>
      <c r="S4948">
        <f t="shared" si="2088"/>
        <v>-1</v>
      </c>
    </row>
    <row r="4949" spans="1:19" hidden="1" x14ac:dyDescent="0.25">
      <c r="A4949" s="5" t="str">
        <f t="shared" si="2089"/>
        <v>44119SSEC</v>
      </c>
      <c r="B4949" s="6" t="s">
        <v>170</v>
      </c>
      <c r="C4949" s="6">
        <v>3151</v>
      </c>
      <c r="D4949" s="6">
        <v>3390</v>
      </c>
      <c r="E4949" s="6">
        <v>3332</v>
      </c>
      <c r="F4949" t="str">
        <f t="shared" si="2090"/>
        <v>THU</v>
      </c>
      <c r="G4949" s="1">
        <f t="shared" si="2091"/>
        <v>44119</v>
      </c>
      <c r="H4949" s="2">
        <f t="shared" ca="1" si="2092"/>
        <v>134</v>
      </c>
      <c r="I4949" t="str">
        <f t="shared" si="2093"/>
        <v>SSEC</v>
      </c>
      <c r="J4949">
        <f t="shared" si="2094"/>
        <v>3151</v>
      </c>
      <c r="K4949">
        <f t="shared" si="2095"/>
        <v>3390</v>
      </c>
      <c r="L4949">
        <f t="shared" si="2096"/>
        <v>3270.5</v>
      </c>
      <c r="M4949">
        <f t="shared" si="2097"/>
        <v>119.5</v>
      </c>
      <c r="N4949">
        <f t="shared" si="2086"/>
        <v>239</v>
      </c>
      <c r="O4949">
        <f t="shared" si="2098"/>
        <v>3332</v>
      </c>
      <c r="P4949">
        <f t="shared" si="2099"/>
        <v>0.5146443514644351</v>
      </c>
      <c r="Q4949" t="str">
        <f t="shared" si="2087"/>
        <v>5.43% | 1.74%</v>
      </c>
      <c r="R4949" t="str">
        <f t="shared" si="2100"/>
        <v>BULLISH</v>
      </c>
      <c r="S4949">
        <f t="shared" si="2088"/>
        <v>1</v>
      </c>
    </row>
    <row r="4950" spans="1:19" hidden="1" x14ac:dyDescent="0.25">
      <c r="A4950" s="5" t="str">
        <f t="shared" si="2089"/>
        <v>44119NIKK</v>
      </c>
      <c r="B4950" s="6" t="s">
        <v>201</v>
      </c>
      <c r="C4950" s="6">
        <v>23082</v>
      </c>
      <c r="D4950" s="6">
        <v>23850</v>
      </c>
      <c r="E4950" s="6">
        <v>23507</v>
      </c>
      <c r="F4950" t="str">
        <f t="shared" si="2090"/>
        <v>THU</v>
      </c>
      <c r="G4950" s="1">
        <f t="shared" si="2091"/>
        <v>44119</v>
      </c>
      <c r="H4950" s="2">
        <f t="shared" ca="1" si="2092"/>
        <v>134</v>
      </c>
      <c r="I4950" t="str">
        <f t="shared" si="2093"/>
        <v>NIKK</v>
      </c>
      <c r="J4950">
        <f t="shared" si="2094"/>
        <v>23082</v>
      </c>
      <c r="K4950">
        <f t="shared" si="2095"/>
        <v>23850</v>
      </c>
      <c r="L4950">
        <f t="shared" si="2096"/>
        <v>23466</v>
      </c>
      <c r="M4950">
        <f t="shared" si="2097"/>
        <v>384</v>
      </c>
      <c r="N4950">
        <f t="shared" si="2086"/>
        <v>768</v>
      </c>
      <c r="O4950">
        <f t="shared" si="2098"/>
        <v>23507</v>
      </c>
      <c r="P4950">
        <f t="shared" si="2099"/>
        <v>0.10677083333333333</v>
      </c>
      <c r="Q4950" t="str">
        <f t="shared" si="2087"/>
        <v>1.81% | 1.46%</v>
      </c>
      <c r="R4950" t="str">
        <f t="shared" si="2100"/>
        <v>BULLISH</v>
      </c>
      <c r="S4950">
        <f t="shared" si="2088"/>
        <v>1</v>
      </c>
    </row>
    <row r="4951" spans="1:19" hidden="1" x14ac:dyDescent="0.25">
      <c r="A4951" s="5" t="str">
        <f t="shared" si="2089"/>
        <v>44119DAX</v>
      </c>
      <c r="B4951" s="6" t="s">
        <v>227</v>
      </c>
      <c r="C4951" s="6">
        <v>12501</v>
      </c>
      <c r="D4951" s="6">
        <v>13206</v>
      </c>
      <c r="E4951" s="6">
        <v>13028</v>
      </c>
      <c r="F4951" t="str">
        <f t="shared" si="2090"/>
        <v>THU</v>
      </c>
      <c r="G4951" s="1">
        <f t="shared" si="2091"/>
        <v>44119</v>
      </c>
      <c r="H4951" s="2">
        <f t="shared" ca="1" si="2092"/>
        <v>134</v>
      </c>
      <c r="I4951" t="str">
        <f t="shared" si="2093"/>
        <v>DAX</v>
      </c>
      <c r="J4951">
        <f t="shared" si="2094"/>
        <v>12501</v>
      </c>
      <c r="K4951">
        <f t="shared" si="2095"/>
        <v>13206</v>
      </c>
      <c r="L4951">
        <f t="shared" si="2096"/>
        <v>12853.5</v>
      </c>
      <c r="M4951">
        <f t="shared" si="2097"/>
        <v>352.5</v>
      </c>
      <c r="N4951">
        <f t="shared" si="2086"/>
        <v>705</v>
      </c>
      <c r="O4951">
        <f t="shared" si="2098"/>
        <v>13028</v>
      </c>
      <c r="P4951">
        <f t="shared" si="2099"/>
        <v>0.49503546099290779</v>
      </c>
      <c r="Q4951" t="str">
        <f t="shared" si="2087"/>
        <v>4.05% | 1.37%</v>
      </c>
      <c r="R4951" t="str">
        <f t="shared" si="2100"/>
        <v>BEARISH</v>
      </c>
      <c r="S4951">
        <f t="shared" si="2088"/>
        <v>-1</v>
      </c>
    </row>
    <row r="4952" spans="1:19" hidden="1" x14ac:dyDescent="0.25">
      <c r="A4952" s="5" t="str">
        <f t="shared" si="2089"/>
        <v>44119VIX</v>
      </c>
      <c r="B4952" s="6" t="s">
        <v>202</v>
      </c>
      <c r="C4952" s="6">
        <v>24.18</v>
      </c>
      <c r="D4952" s="6">
        <v>30.71</v>
      </c>
      <c r="E4952" s="6">
        <v>26.4</v>
      </c>
      <c r="F4952" t="str">
        <f t="shared" si="2090"/>
        <v>THU</v>
      </c>
      <c r="G4952" s="1">
        <f t="shared" si="2091"/>
        <v>44119</v>
      </c>
      <c r="H4952" s="2">
        <f t="shared" ca="1" si="2092"/>
        <v>134</v>
      </c>
      <c r="I4952" t="str">
        <f t="shared" si="2093"/>
        <v>VIX</v>
      </c>
      <c r="J4952">
        <f t="shared" si="2094"/>
        <v>24.18</v>
      </c>
      <c r="K4952">
        <f t="shared" si="2095"/>
        <v>30.71</v>
      </c>
      <c r="L4952">
        <f t="shared" si="2096"/>
        <v>27.445</v>
      </c>
      <c r="M4952">
        <f t="shared" si="2097"/>
        <v>3.2649999999999952</v>
      </c>
      <c r="N4952">
        <f t="shared" si="2086"/>
        <v>6.5300000000000011</v>
      </c>
      <c r="O4952">
        <f t="shared" si="2098"/>
        <v>26.4</v>
      </c>
      <c r="P4952">
        <f t="shared" si="2099"/>
        <v>-0.32006125574272687</v>
      </c>
      <c r="Q4952" t="str">
        <f t="shared" si="2087"/>
        <v>8.41% | 16.33%</v>
      </c>
      <c r="R4952" t="str">
        <f t="shared" si="2100"/>
        <v>BULLISH</v>
      </c>
      <c r="S4952">
        <f t="shared" si="2088"/>
        <v>1</v>
      </c>
    </row>
    <row r="4953" spans="1:19" hidden="1" x14ac:dyDescent="0.25">
      <c r="A4953" s="5" t="str">
        <f t="shared" si="2089"/>
        <v>44119USD</v>
      </c>
      <c r="B4953" s="6" t="s">
        <v>237</v>
      </c>
      <c r="C4953" s="6">
        <v>92.96</v>
      </c>
      <c r="D4953" s="6">
        <v>94.31</v>
      </c>
      <c r="E4953" s="6">
        <v>93.37</v>
      </c>
      <c r="F4953" t="str">
        <f t="shared" si="2090"/>
        <v>THU</v>
      </c>
      <c r="G4953" s="1">
        <f t="shared" si="2091"/>
        <v>44119</v>
      </c>
      <c r="H4953" s="2">
        <f t="shared" ca="1" si="2092"/>
        <v>134</v>
      </c>
      <c r="I4953" t="str">
        <f t="shared" si="2093"/>
        <v>USD</v>
      </c>
      <c r="J4953">
        <f t="shared" si="2094"/>
        <v>92.96</v>
      </c>
      <c r="K4953">
        <f t="shared" si="2095"/>
        <v>94.31</v>
      </c>
      <c r="L4953">
        <f t="shared" si="2096"/>
        <v>93.634999999999991</v>
      </c>
      <c r="M4953">
        <f t="shared" si="2097"/>
        <v>0.67500000000000426</v>
      </c>
      <c r="N4953">
        <f t="shared" si="2086"/>
        <v>1.3500000000000085</v>
      </c>
      <c r="O4953">
        <f t="shared" si="2098"/>
        <v>93.37</v>
      </c>
      <c r="P4953">
        <f t="shared" si="2099"/>
        <v>-0.3925925925925699</v>
      </c>
      <c r="Q4953" t="str">
        <f t="shared" si="2087"/>
        <v>0.44% | 1.01%</v>
      </c>
      <c r="R4953" t="str">
        <f t="shared" si="2100"/>
        <v>NEUTRAL</v>
      </c>
      <c r="S4953">
        <f t="shared" si="2088"/>
        <v>0</v>
      </c>
    </row>
    <row r="4954" spans="1:19" hidden="1" x14ac:dyDescent="0.25">
      <c r="A4954" s="5" t="str">
        <f t="shared" si="2089"/>
        <v>44119EUR/USD</v>
      </c>
      <c r="B4954" s="6" t="s">
        <v>238</v>
      </c>
      <c r="C4954" s="6">
        <v>1.1599999999999999</v>
      </c>
      <c r="D4954" s="6">
        <v>1.18</v>
      </c>
      <c r="E4954" s="6">
        <v>1.17</v>
      </c>
      <c r="F4954" t="str">
        <f t="shared" si="2090"/>
        <v>THU</v>
      </c>
      <c r="G4954" s="1">
        <f t="shared" si="2091"/>
        <v>44119</v>
      </c>
      <c r="H4954" s="2">
        <f t="shared" ca="1" si="2092"/>
        <v>134</v>
      </c>
      <c r="I4954" t="str">
        <f t="shared" si="2093"/>
        <v>EUR/USD</v>
      </c>
      <c r="J4954">
        <f t="shared" si="2094"/>
        <v>1.1599999999999999</v>
      </c>
      <c r="K4954">
        <f t="shared" si="2095"/>
        <v>1.18</v>
      </c>
      <c r="L4954">
        <f t="shared" si="2096"/>
        <v>1.17</v>
      </c>
      <c r="M4954">
        <f t="shared" si="2097"/>
        <v>1.0000000000000009E-2</v>
      </c>
      <c r="N4954">
        <f t="shared" si="2086"/>
        <v>2.0000000000000018E-2</v>
      </c>
      <c r="O4954">
        <f t="shared" si="2098"/>
        <v>1.17</v>
      </c>
      <c r="P4954">
        <f t="shared" si="2099"/>
        <v>0</v>
      </c>
      <c r="Q4954" t="str">
        <f t="shared" si="2087"/>
        <v>0.85% | 0.85%</v>
      </c>
      <c r="R4954" t="str">
        <f t="shared" si="2100"/>
        <v>NEUTRAL</v>
      </c>
      <c r="S4954">
        <f t="shared" si="2088"/>
        <v>0</v>
      </c>
    </row>
    <row r="4955" spans="1:19" hidden="1" x14ac:dyDescent="0.25">
      <c r="A4955" s="5" t="str">
        <f t="shared" si="2089"/>
        <v>44119USD/JPY</v>
      </c>
      <c r="B4955" s="6" t="s">
        <v>239</v>
      </c>
      <c r="C4955" s="6">
        <v>105</v>
      </c>
      <c r="D4955" s="6">
        <v>106.11</v>
      </c>
      <c r="E4955" s="6">
        <v>105.15</v>
      </c>
      <c r="F4955" t="str">
        <f t="shared" si="2090"/>
        <v>THU</v>
      </c>
      <c r="G4955" s="1">
        <f t="shared" si="2091"/>
        <v>44119</v>
      </c>
      <c r="H4955" s="2">
        <f t="shared" ca="1" si="2092"/>
        <v>134</v>
      </c>
      <c r="I4955" t="str">
        <f t="shared" si="2093"/>
        <v>USD/JPY</v>
      </c>
      <c r="J4955">
        <f t="shared" si="2094"/>
        <v>105</v>
      </c>
      <c r="K4955">
        <f t="shared" si="2095"/>
        <v>106.11</v>
      </c>
      <c r="L4955">
        <f t="shared" si="2096"/>
        <v>105.55500000000001</v>
      </c>
      <c r="M4955">
        <f t="shared" si="2097"/>
        <v>0.55499999999999972</v>
      </c>
      <c r="N4955">
        <f t="shared" si="2086"/>
        <v>1.1099999999999994</v>
      </c>
      <c r="O4955">
        <f t="shared" si="2098"/>
        <v>105.15</v>
      </c>
      <c r="P4955">
        <f t="shared" si="2099"/>
        <v>-0.72972972972973216</v>
      </c>
      <c r="Q4955" t="str">
        <f t="shared" si="2087"/>
        <v>0.14% | 0.91%</v>
      </c>
      <c r="R4955" t="str">
        <f t="shared" si="2100"/>
        <v>NEUTRAL</v>
      </c>
      <c r="S4955">
        <f t="shared" si="2088"/>
        <v>0</v>
      </c>
    </row>
    <row r="4956" spans="1:19" hidden="1" x14ac:dyDescent="0.25">
      <c r="A4956" s="5" t="str">
        <f t="shared" si="2089"/>
        <v>44119GBP/USD</v>
      </c>
      <c r="B4956" s="6" t="s">
        <v>214</v>
      </c>
      <c r="C4956" s="6">
        <v>1.28</v>
      </c>
      <c r="D4956" s="6">
        <v>1.3</v>
      </c>
      <c r="E4956" s="6">
        <v>1.3</v>
      </c>
      <c r="F4956" t="str">
        <f t="shared" si="2090"/>
        <v>THU</v>
      </c>
      <c r="G4956" s="1">
        <f t="shared" si="2091"/>
        <v>44119</v>
      </c>
      <c r="H4956" s="2">
        <f t="shared" ca="1" si="2092"/>
        <v>134</v>
      </c>
      <c r="I4956" t="str">
        <f t="shared" si="2093"/>
        <v>GBP/USD</v>
      </c>
      <c r="J4956">
        <f t="shared" si="2094"/>
        <v>1.28</v>
      </c>
      <c r="K4956">
        <f t="shared" si="2095"/>
        <v>1.3</v>
      </c>
      <c r="L4956">
        <f t="shared" si="2096"/>
        <v>1.29</v>
      </c>
      <c r="M4956">
        <f t="shared" si="2097"/>
        <v>1.0000000000000009E-2</v>
      </c>
      <c r="N4956">
        <f t="shared" si="2086"/>
        <v>2.0000000000000018E-2</v>
      </c>
      <c r="O4956">
        <f t="shared" si="2098"/>
        <v>1.3</v>
      </c>
      <c r="P4956">
        <f t="shared" si="2099"/>
        <v>1</v>
      </c>
      <c r="Q4956" t="str">
        <f t="shared" si="2087"/>
        <v>1.54% | 0%</v>
      </c>
      <c r="R4956" t="str">
        <f t="shared" si="2100"/>
        <v>NEUTRAL</v>
      </c>
      <c r="S4956">
        <f t="shared" si="2088"/>
        <v>0</v>
      </c>
    </row>
    <row r="4957" spans="1:19" hidden="1" x14ac:dyDescent="0.25">
      <c r="A4957" s="5" t="str">
        <f t="shared" si="2089"/>
        <v>44119USD/CHF</v>
      </c>
      <c r="B4957" s="6" t="s">
        <v>178</v>
      </c>
      <c r="C4957" s="6">
        <v>0.9</v>
      </c>
      <c r="D4957" s="6">
        <v>0.92</v>
      </c>
      <c r="E4957" s="6">
        <v>0.91</v>
      </c>
      <c r="F4957" t="str">
        <f t="shared" si="2090"/>
        <v>THU</v>
      </c>
      <c r="G4957" s="1">
        <f t="shared" si="2091"/>
        <v>44119</v>
      </c>
      <c r="H4957" s="2">
        <f t="shared" ca="1" si="2092"/>
        <v>134</v>
      </c>
      <c r="I4957" t="str">
        <f t="shared" si="2093"/>
        <v>USD/CHF</v>
      </c>
      <c r="J4957">
        <f t="shared" si="2094"/>
        <v>0.9</v>
      </c>
      <c r="K4957">
        <f t="shared" si="2095"/>
        <v>0.92</v>
      </c>
      <c r="L4957">
        <f t="shared" si="2096"/>
        <v>0.91</v>
      </c>
      <c r="M4957">
        <f t="shared" si="2097"/>
        <v>1.0000000000000009E-2</v>
      </c>
      <c r="N4957">
        <f t="shared" si="2086"/>
        <v>2.0000000000000018E-2</v>
      </c>
      <c r="O4957">
        <f t="shared" si="2098"/>
        <v>0.91</v>
      </c>
      <c r="P4957">
        <f t="shared" si="2099"/>
        <v>0</v>
      </c>
      <c r="Q4957" t="str">
        <f t="shared" si="2087"/>
        <v>1.1% | 1.1%</v>
      </c>
      <c r="R4957" t="str">
        <f t="shared" si="2100"/>
        <v>BEARISH</v>
      </c>
      <c r="S4957">
        <f t="shared" si="2088"/>
        <v>-1</v>
      </c>
    </row>
    <row r="4958" spans="1:19" hidden="1" x14ac:dyDescent="0.25">
      <c r="A4958" s="5" t="str">
        <f t="shared" si="2089"/>
        <v>44119WTIC</v>
      </c>
      <c r="B4958" s="6" t="s">
        <v>215</v>
      </c>
      <c r="C4958" s="6">
        <v>37.229999999999997</v>
      </c>
      <c r="D4958" s="6">
        <v>41.94</v>
      </c>
      <c r="E4958" s="6">
        <v>41.04</v>
      </c>
      <c r="F4958" t="str">
        <f t="shared" si="2090"/>
        <v>THU</v>
      </c>
      <c r="G4958" s="1">
        <f t="shared" si="2091"/>
        <v>44119</v>
      </c>
      <c r="H4958" s="2">
        <f t="shared" ca="1" si="2092"/>
        <v>134</v>
      </c>
      <c r="I4958" t="str">
        <f t="shared" si="2093"/>
        <v>WTIC</v>
      </c>
      <c r="J4958">
        <f t="shared" si="2094"/>
        <v>37.229999999999997</v>
      </c>
      <c r="K4958">
        <f t="shared" si="2095"/>
        <v>41.94</v>
      </c>
      <c r="L4958">
        <f t="shared" si="2096"/>
        <v>39.584999999999994</v>
      </c>
      <c r="M4958">
        <f t="shared" si="2097"/>
        <v>2.3550000000000004</v>
      </c>
      <c r="N4958">
        <f t="shared" si="2086"/>
        <v>4.7100000000000009</v>
      </c>
      <c r="O4958">
        <f t="shared" si="2098"/>
        <v>41.04</v>
      </c>
      <c r="P4958">
        <f t="shared" si="2099"/>
        <v>0.61783439490446079</v>
      </c>
      <c r="Q4958" t="str">
        <f t="shared" si="2087"/>
        <v>9.28% | 2.19%</v>
      </c>
      <c r="R4958" t="str">
        <f t="shared" si="2100"/>
        <v>BEARISH</v>
      </c>
      <c r="S4958">
        <f t="shared" si="2088"/>
        <v>-1</v>
      </c>
    </row>
    <row r="4959" spans="1:19" hidden="1" x14ac:dyDescent="0.25">
      <c r="A4959" s="5" t="str">
        <f t="shared" si="2089"/>
        <v>44119NATGAS</v>
      </c>
      <c r="B4959" s="6" t="s">
        <v>180</v>
      </c>
      <c r="C4959" s="6">
        <v>2.35</v>
      </c>
      <c r="D4959" s="6">
        <v>2.94</v>
      </c>
      <c r="E4959" s="6">
        <v>2.64</v>
      </c>
      <c r="F4959" t="str">
        <f t="shared" si="2090"/>
        <v>THU</v>
      </c>
      <c r="G4959" s="1">
        <f t="shared" si="2091"/>
        <v>44119</v>
      </c>
      <c r="H4959" s="2">
        <f t="shared" ca="1" si="2092"/>
        <v>134</v>
      </c>
      <c r="I4959" t="str">
        <f t="shared" si="2093"/>
        <v>NATGAS</v>
      </c>
      <c r="J4959">
        <f t="shared" si="2094"/>
        <v>2.35</v>
      </c>
      <c r="K4959">
        <f t="shared" si="2095"/>
        <v>2.94</v>
      </c>
      <c r="L4959">
        <f t="shared" si="2096"/>
        <v>2.645</v>
      </c>
      <c r="M4959">
        <f t="shared" si="2097"/>
        <v>0.29499999999999948</v>
      </c>
      <c r="N4959">
        <f t="shared" si="2086"/>
        <v>0.58999999999999986</v>
      </c>
      <c r="O4959">
        <f t="shared" si="2098"/>
        <v>2.64</v>
      </c>
      <c r="P4959">
        <f t="shared" si="2099"/>
        <v>-1.6949152542372548E-2</v>
      </c>
      <c r="Q4959" t="str">
        <f t="shared" si="2087"/>
        <v>10.98% | 11.36%</v>
      </c>
      <c r="R4959" t="str">
        <f t="shared" si="2100"/>
        <v>BULLISH</v>
      </c>
      <c r="S4959">
        <f t="shared" si="2088"/>
        <v>1</v>
      </c>
    </row>
    <row r="4960" spans="1:19" hidden="1" x14ac:dyDescent="0.25">
      <c r="A4960" s="5" t="str">
        <f t="shared" si="2089"/>
        <v>44119GOLD</v>
      </c>
      <c r="B4960" s="6" t="s">
        <v>181</v>
      </c>
      <c r="C4960" s="6">
        <v>1879</v>
      </c>
      <c r="D4960" s="6">
        <v>1936</v>
      </c>
      <c r="E4960" s="6">
        <v>1907</v>
      </c>
      <c r="F4960" t="str">
        <f t="shared" si="2090"/>
        <v>THU</v>
      </c>
      <c r="G4960" s="1">
        <f t="shared" si="2091"/>
        <v>44119</v>
      </c>
      <c r="H4960" s="2">
        <f t="shared" ca="1" si="2092"/>
        <v>134</v>
      </c>
      <c r="I4960" t="str">
        <f t="shared" si="2093"/>
        <v>GOLD</v>
      </c>
      <c r="J4960">
        <f t="shared" si="2094"/>
        <v>1879</v>
      </c>
      <c r="K4960">
        <f t="shared" si="2095"/>
        <v>1936</v>
      </c>
      <c r="L4960">
        <f t="shared" si="2096"/>
        <v>1907.5</v>
      </c>
      <c r="M4960">
        <f t="shared" si="2097"/>
        <v>28.5</v>
      </c>
      <c r="N4960">
        <f t="shared" si="2086"/>
        <v>57</v>
      </c>
      <c r="O4960">
        <f t="shared" si="2098"/>
        <v>1907</v>
      </c>
      <c r="P4960">
        <f t="shared" si="2099"/>
        <v>-1.7543859649122806E-2</v>
      </c>
      <c r="Q4960" t="str">
        <f t="shared" si="2087"/>
        <v>1.47% | 1.52%</v>
      </c>
      <c r="R4960" t="str">
        <f t="shared" si="2100"/>
        <v>BULLISH</v>
      </c>
      <c r="S4960">
        <f t="shared" si="2088"/>
        <v>1</v>
      </c>
    </row>
    <row r="4961" spans="1:19" hidden="1" x14ac:dyDescent="0.25">
      <c r="A4961" s="5" t="str">
        <f t="shared" si="2089"/>
        <v>44119SILVER</v>
      </c>
      <c r="B4961" s="6" t="s">
        <v>229</v>
      </c>
      <c r="C4961" s="6">
        <v>23.26</v>
      </c>
      <c r="D4961" s="6">
        <v>25.4</v>
      </c>
      <c r="E4961" s="6">
        <v>24.4</v>
      </c>
      <c r="F4961" t="str">
        <f t="shared" si="2090"/>
        <v>THU</v>
      </c>
      <c r="G4961" s="1">
        <f t="shared" si="2091"/>
        <v>44119</v>
      </c>
      <c r="H4961" s="2">
        <f t="shared" ca="1" si="2092"/>
        <v>134</v>
      </c>
      <c r="I4961" t="str">
        <f t="shared" si="2093"/>
        <v>SILVER</v>
      </c>
      <c r="J4961">
        <f t="shared" si="2094"/>
        <v>23.26</v>
      </c>
      <c r="K4961">
        <f t="shared" si="2095"/>
        <v>25.4</v>
      </c>
      <c r="L4961">
        <f t="shared" si="2096"/>
        <v>24.33</v>
      </c>
      <c r="M4961">
        <f t="shared" si="2097"/>
        <v>1.0699999999999985</v>
      </c>
      <c r="N4961">
        <f t="shared" si="2086"/>
        <v>2.139999999999997</v>
      </c>
      <c r="O4961">
        <f t="shared" si="2098"/>
        <v>24.4</v>
      </c>
      <c r="P4961">
        <f t="shared" si="2099"/>
        <v>6.5420560747663906E-2</v>
      </c>
      <c r="Q4961" t="str">
        <f t="shared" si="2087"/>
        <v>4.67% | 4.1%</v>
      </c>
      <c r="R4961" t="str">
        <f t="shared" si="2100"/>
        <v>BEARISH</v>
      </c>
      <c r="S4961">
        <f t="shared" si="2088"/>
        <v>-1</v>
      </c>
    </row>
    <row r="4962" spans="1:19" hidden="1" x14ac:dyDescent="0.25">
      <c r="A4962" s="5" t="str">
        <f t="shared" si="2089"/>
        <v>44119COPPER</v>
      </c>
      <c r="B4962" s="6" t="s">
        <v>182</v>
      </c>
      <c r="C4962" s="6">
        <v>2.9</v>
      </c>
      <c r="D4962" s="6">
        <v>3.11</v>
      </c>
      <c r="E4962" s="6">
        <v>3.05</v>
      </c>
      <c r="F4962" t="str">
        <f t="shared" si="2090"/>
        <v>THU</v>
      </c>
      <c r="G4962" s="1">
        <f t="shared" si="2091"/>
        <v>44119</v>
      </c>
      <c r="H4962" s="2">
        <f t="shared" ca="1" si="2092"/>
        <v>134</v>
      </c>
      <c r="I4962" t="str">
        <f t="shared" si="2093"/>
        <v>COPPER</v>
      </c>
      <c r="J4962">
        <f t="shared" si="2094"/>
        <v>2.9</v>
      </c>
      <c r="K4962">
        <f t="shared" si="2095"/>
        <v>3.11</v>
      </c>
      <c r="L4962">
        <f t="shared" si="2096"/>
        <v>3.0049999999999999</v>
      </c>
      <c r="M4962">
        <f t="shared" si="2097"/>
        <v>0.10499999999999998</v>
      </c>
      <c r="N4962">
        <f t="shared" si="2086"/>
        <v>0.20999999999999996</v>
      </c>
      <c r="O4962">
        <f t="shared" si="2098"/>
        <v>3.05</v>
      </c>
      <c r="P4962">
        <f t="shared" si="2099"/>
        <v>0.42857142857142799</v>
      </c>
      <c r="Q4962" t="str">
        <f t="shared" si="2087"/>
        <v>4.92% | 1.97%</v>
      </c>
      <c r="R4962" t="str">
        <f t="shared" si="2100"/>
        <v>BULLISH</v>
      </c>
      <c r="S4962">
        <f t="shared" si="2088"/>
        <v>1</v>
      </c>
    </row>
    <row r="4963" spans="1:19" hidden="1" x14ac:dyDescent="0.25">
      <c r="A4963" s="5" t="str">
        <f t="shared" si="2089"/>
        <v>44119MSFT</v>
      </c>
      <c r="B4963" s="6" t="s">
        <v>206</v>
      </c>
      <c r="C4963" s="6">
        <v>200</v>
      </c>
      <c r="D4963" s="6">
        <v>224</v>
      </c>
      <c r="E4963" s="6">
        <v>220</v>
      </c>
      <c r="F4963" t="str">
        <f t="shared" si="2090"/>
        <v>THU</v>
      </c>
      <c r="G4963" s="1">
        <f t="shared" si="2091"/>
        <v>44119</v>
      </c>
      <c r="H4963" s="2">
        <f t="shared" ca="1" si="2092"/>
        <v>134</v>
      </c>
      <c r="I4963" t="str">
        <f t="shared" si="2093"/>
        <v>MSFT</v>
      </c>
      <c r="J4963">
        <f t="shared" si="2094"/>
        <v>200</v>
      </c>
      <c r="K4963">
        <f t="shared" si="2095"/>
        <v>224</v>
      </c>
      <c r="L4963">
        <f t="shared" si="2096"/>
        <v>212</v>
      </c>
      <c r="M4963">
        <f t="shared" si="2097"/>
        <v>12</v>
      </c>
      <c r="N4963">
        <f t="shared" si="2086"/>
        <v>24</v>
      </c>
      <c r="O4963">
        <f t="shared" si="2098"/>
        <v>220</v>
      </c>
      <c r="P4963">
        <f t="shared" si="2099"/>
        <v>0.66666666666666663</v>
      </c>
      <c r="Q4963" t="str">
        <f t="shared" si="2087"/>
        <v>9.09% | 1.82%</v>
      </c>
      <c r="R4963" t="str">
        <f t="shared" si="2100"/>
        <v>NEUTRAL</v>
      </c>
      <c r="S4963">
        <f t="shared" si="2088"/>
        <v>0</v>
      </c>
    </row>
    <row r="4964" spans="1:19" hidden="1" x14ac:dyDescent="0.25">
      <c r="A4964" s="5" t="str">
        <f t="shared" si="2089"/>
        <v>44119AAPL</v>
      </c>
      <c r="B4964" s="6" t="s">
        <v>207</v>
      </c>
      <c r="C4964" s="6">
        <v>109</v>
      </c>
      <c r="D4964" s="6">
        <v>125</v>
      </c>
      <c r="E4964" s="6">
        <v>121</v>
      </c>
      <c r="F4964" t="str">
        <f t="shared" si="2090"/>
        <v>THU</v>
      </c>
      <c r="G4964" s="1">
        <f t="shared" si="2091"/>
        <v>44119</v>
      </c>
      <c r="H4964" s="2">
        <f t="shared" ca="1" si="2092"/>
        <v>134</v>
      </c>
      <c r="I4964" t="str">
        <f t="shared" si="2093"/>
        <v>AAPL</v>
      </c>
      <c r="J4964">
        <f t="shared" si="2094"/>
        <v>109</v>
      </c>
      <c r="K4964">
        <f t="shared" si="2095"/>
        <v>125</v>
      </c>
      <c r="L4964">
        <f t="shared" si="2096"/>
        <v>117</v>
      </c>
      <c r="M4964">
        <f t="shared" si="2097"/>
        <v>8</v>
      </c>
      <c r="N4964">
        <f t="shared" si="2086"/>
        <v>16</v>
      </c>
      <c r="O4964">
        <f t="shared" si="2098"/>
        <v>121</v>
      </c>
      <c r="P4964">
        <f t="shared" si="2099"/>
        <v>0.5</v>
      </c>
      <c r="Q4964" t="str">
        <f t="shared" si="2087"/>
        <v>9.92% | 3.31%</v>
      </c>
      <c r="R4964" t="str">
        <f t="shared" si="2100"/>
        <v>NEUTRAL</v>
      </c>
      <c r="S4964">
        <f t="shared" si="2088"/>
        <v>0</v>
      </c>
    </row>
    <row r="4965" spans="1:19" hidden="1" x14ac:dyDescent="0.25">
      <c r="A4965" s="5" t="str">
        <f t="shared" si="2089"/>
        <v>44119AMZN</v>
      </c>
      <c r="B4965" s="6" t="s">
        <v>185</v>
      </c>
      <c r="C4965" s="6">
        <v>3060</v>
      </c>
      <c r="D4965" s="6">
        <v>3499</v>
      </c>
      <c r="E4965" s="6">
        <v>3363</v>
      </c>
      <c r="F4965" t="str">
        <f t="shared" si="2090"/>
        <v>THU</v>
      </c>
      <c r="G4965" s="1">
        <f t="shared" si="2091"/>
        <v>44119</v>
      </c>
      <c r="H4965" s="2">
        <f t="shared" ca="1" si="2092"/>
        <v>134</v>
      </c>
      <c r="I4965" t="str">
        <f t="shared" si="2093"/>
        <v>AMZN</v>
      </c>
      <c r="J4965">
        <f t="shared" si="2094"/>
        <v>3060</v>
      </c>
      <c r="K4965">
        <f t="shared" si="2095"/>
        <v>3499</v>
      </c>
      <c r="L4965">
        <f t="shared" si="2096"/>
        <v>3279.5</v>
      </c>
      <c r="M4965">
        <f t="shared" si="2097"/>
        <v>219.5</v>
      </c>
      <c r="N4965">
        <f t="shared" si="2086"/>
        <v>439</v>
      </c>
      <c r="O4965">
        <f t="shared" si="2098"/>
        <v>3363</v>
      </c>
      <c r="P4965">
        <f t="shared" si="2099"/>
        <v>0.38041002277904329</v>
      </c>
      <c r="Q4965" t="str">
        <f t="shared" si="2087"/>
        <v>9.01% | 4.04%</v>
      </c>
      <c r="R4965" t="str">
        <f t="shared" si="2100"/>
        <v>BULLISH</v>
      </c>
      <c r="S4965">
        <f t="shared" si="2088"/>
        <v>1</v>
      </c>
    </row>
    <row r="4966" spans="1:19" hidden="1" x14ac:dyDescent="0.25">
      <c r="A4966" s="5" t="str">
        <f t="shared" si="2089"/>
        <v>44119FB</v>
      </c>
      <c r="B4966" s="6" t="s">
        <v>186</v>
      </c>
      <c r="C4966" s="6">
        <v>251</v>
      </c>
      <c r="D4966" s="6">
        <v>279</v>
      </c>
      <c r="E4966" s="6">
        <v>271</v>
      </c>
      <c r="F4966" t="str">
        <f t="shared" si="2090"/>
        <v>THU</v>
      </c>
      <c r="G4966" s="1">
        <f t="shared" si="2091"/>
        <v>44119</v>
      </c>
      <c r="H4966" s="2">
        <f t="shared" ca="1" si="2092"/>
        <v>134</v>
      </c>
      <c r="I4966" t="str">
        <f t="shared" si="2093"/>
        <v>FB</v>
      </c>
      <c r="J4966">
        <f t="shared" si="2094"/>
        <v>251</v>
      </c>
      <c r="K4966">
        <f t="shared" si="2095"/>
        <v>279</v>
      </c>
      <c r="L4966">
        <f t="shared" si="2096"/>
        <v>265</v>
      </c>
      <c r="M4966">
        <f t="shared" si="2097"/>
        <v>14</v>
      </c>
      <c r="N4966">
        <f t="shared" si="2086"/>
        <v>28</v>
      </c>
      <c r="O4966">
        <f t="shared" si="2098"/>
        <v>271</v>
      </c>
      <c r="P4966">
        <f t="shared" si="2099"/>
        <v>0.42857142857142855</v>
      </c>
      <c r="Q4966" t="str">
        <f t="shared" si="2087"/>
        <v>7.38% | 2.95%</v>
      </c>
      <c r="R4966" t="str">
        <f t="shared" si="2100"/>
        <v>BULLISH</v>
      </c>
      <c r="S4966">
        <f t="shared" si="2088"/>
        <v>1</v>
      </c>
    </row>
    <row r="4967" spans="1:19" hidden="1" x14ac:dyDescent="0.25">
      <c r="A4967" s="5" t="str">
        <f t="shared" si="2089"/>
        <v>44119GOOGL</v>
      </c>
      <c r="B4967" s="6" t="s">
        <v>221</v>
      </c>
      <c r="C4967" s="6">
        <v>1410</v>
      </c>
      <c r="D4967" s="6">
        <v>1581</v>
      </c>
      <c r="E4967" s="6">
        <v>1563</v>
      </c>
      <c r="F4967" t="str">
        <f t="shared" si="2090"/>
        <v>THU</v>
      </c>
      <c r="G4967" s="1">
        <f t="shared" si="2091"/>
        <v>44119</v>
      </c>
      <c r="H4967" s="2">
        <f t="shared" ca="1" si="2092"/>
        <v>134</v>
      </c>
      <c r="I4967" t="str">
        <f t="shared" si="2093"/>
        <v>GOOGL</v>
      </c>
      <c r="J4967">
        <f t="shared" si="2094"/>
        <v>1410</v>
      </c>
      <c r="K4967">
        <f t="shared" si="2095"/>
        <v>1581</v>
      </c>
      <c r="L4967">
        <f t="shared" si="2096"/>
        <v>1495.5</v>
      </c>
      <c r="M4967">
        <f t="shared" si="2097"/>
        <v>85.5</v>
      </c>
      <c r="N4967">
        <f t="shared" si="2086"/>
        <v>171</v>
      </c>
      <c r="O4967">
        <f t="shared" si="2098"/>
        <v>1563</v>
      </c>
      <c r="P4967">
        <f t="shared" si="2099"/>
        <v>0.78947368421052633</v>
      </c>
      <c r="Q4967" t="str">
        <f t="shared" si="2087"/>
        <v>9.79% | 1.15%</v>
      </c>
      <c r="R4967" t="str">
        <f t="shared" si="2100"/>
        <v>BEARISH</v>
      </c>
      <c r="S4967">
        <f t="shared" si="2088"/>
        <v>-1</v>
      </c>
    </row>
    <row r="4968" spans="1:19" hidden="1" x14ac:dyDescent="0.25">
      <c r="A4968" s="5" t="str">
        <f t="shared" si="2089"/>
        <v>44119NFLX</v>
      </c>
      <c r="B4968" s="6" t="s">
        <v>194</v>
      </c>
      <c r="C4968" s="6">
        <v>497</v>
      </c>
      <c r="D4968" s="6">
        <v>561</v>
      </c>
      <c r="E4968" s="6">
        <v>541</v>
      </c>
      <c r="F4968" t="str">
        <f t="shared" si="2090"/>
        <v>THU</v>
      </c>
      <c r="G4968" s="1">
        <f t="shared" si="2091"/>
        <v>44119</v>
      </c>
      <c r="H4968" s="2">
        <f t="shared" ca="1" si="2092"/>
        <v>134</v>
      </c>
      <c r="I4968" t="str">
        <f t="shared" si="2093"/>
        <v>NFLX</v>
      </c>
      <c r="J4968">
        <f t="shared" si="2094"/>
        <v>497</v>
      </c>
      <c r="K4968">
        <f t="shared" si="2095"/>
        <v>561</v>
      </c>
      <c r="L4968">
        <f t="shared" si="2096"/>
        <v>529</v>
      </c>
      <c r="M4968">
        <f t="shared" si="2097"/>
        <v>32</v>
      </c>
      <c r="N4968">
        <f t="shared" si="2086"/>
        <v>64</v>
      </c>
      <c r="O4968">
        <f t="shared" si="2098"/>
        <v>541</v>
      </c>
      <c r="P4968">
        <f t="shared" si="2099"/>
        <v>0.375</v>
      </c>
      <c r="Q4968" t="str">
        <f t="shared" si="2087"/>
        <v>8.13% | 3.7%</v>
      </c>
      <c r="R4968" t="str">
        <f t="shared" si="2100"/>
        <v>BULLISH</v>
      </c>
      <c r="S4968">
        <f t="shared" si="2088"/>
        <v>1</v>
      </c>
    </row>
    <row r="4969" spans="1:19" x14ac:dyDescent="0.25">
      <c r="A4969" s="5" t="str">
        <f t="shared" si="2089"/>
        <v>44119TSLA</v>
      </c>
      <c r="B4969" s="6" t="s">
        <v>209</v>
      </c>
      <c r="C4969" s="6">
        <v>401</v>
      </c>
      <c r="D4969" s="6">
        <v>471</v>
      </c>
      <c r="E4969" s="6">
        <v>461</v>
      </c>
      <c r="F4969" t="str">
        <f t="shared" si="2090"/>
        <v>THU</v>
      </c>
      <c r="G4969" s="1">
        <f t="shared" si="2091"/>
        <v>44119</v>
      </c>
      <c r="H4969" s="2">
        <f t="shared" ca="1" si="2092"/>
        <v>134</v>
      </c>
      <c r="I4969" t="str">
        <f t="shared" si="2093"/>
        <v>TSLA</v>
      </c>
      <c r="J4969">
        <f t="shared" si="2094"/>
        <v>401</v>
      </c>
      <c r="K4969">
        <f t="shared" si="2095"/>
        <v>471</v>
      </c>
      <c r="L4969">
        <f t="shared" si="2096"/>
        <v>436</v>
      </c>
      <c r="M4969">
        <f t="shared" si="2097"/>
        <v>35</v>
      </c>
      <c r="N4969">
        <f t="shared" si="2086"/>
        <v>70</v>
      </c>
      <c r="O4969">
        <f t="shared" si="2098"/>
        <v>461</v>
      </c>
      <c r="P4969">
        <f t="shared" si="2099"/>
        <v>0.7142857142857143</v>
      </c>
      <c r="Q4969" t="str">
        <f t="shared" si="2087"/>
        <v>13.02% | 2.17%</v>
      </c>
      <c r="R4969" t="str">
        <f t="shared" si="2100"/>
        <v>NEUTRAL</v>
      </c>
      <c r="S4969">
        <f t="shared" si="2088"/>
        <v>0</v>
      </c>
    </row>
    <row r="4970" spans="1:19" hidden="1" x14ac:dyDescent="0.25">
      <c r="A4970" s="5" t="str">
        <f t="shared" si="2089"/>
        <v>44119NYXBT</v>
      </c>
      <c r="B4970" s="6" t="s">
        <v>210</v>
      </c>
      <c r="C4970" s="6">
        <v>10266</v>
      </c>
      <c r="D4970" s="6">
        <v>11678</v>
      </c>
      <c r="E4970" s="6">
        <v>11402</v>
      </c>
      <c r="F4970" t="str">
        <f t="shared" si="2090"/>
        <v>THU</v>
      </c>
      <c r="G4970" s="1">
        <f t="shared" si="2091"/>
        <v>44119</v>
      </c>
      <c r="H4970" s="2">
        <f t="shared" ca="1" si="2092"/>
        <v>134</v>
      </c>
      <c r="I4970" t="str">
        <f t="shared" si="2093"/>
        <v>NYXBT</v>
      </c>
      <c r="J4970">
        <f t="shared" si="2094"/>
        <v>10266</v>
      </c>
      <c r="K4970">
        <f t="shared" si="2095"/>
        <v>11678</v>
      </c>
      <c r="L4970">
        <f t="shared" si="2096"/>
        <v>10972</v>
      </c>
      <c r="M4970">
        <f t="shared" si="2097"/>
        <v>706</v>
      </c>
      <c r="N4970">
        <f t="shared" si="2086"/>
        <v>1412</v>
      </c>
      <c r="O4970">
        <f t="shared" si="2098"/>
        <v>11402</v>
      </c>
      <c r="P4970">
        <f t="shared" si="2099"/>
        <v>0.60906515580736542</v>
      </c>
      <c r="Q4970" t="str">
        <f t="shared" si="2087"/>
        <v>9.96% | 2.42%</v>
      </c>
      <c r="R4970" t="str">
        <f t="shared" si="2100"/>
        <v>NEUTRAL</v>
      </c>
      <c r="S4970">
        <f t="shared" si="2088"/>
        <v>0</v>
      </c>
    </row>
    <row r="4971" spans="1:19" hidden="1" x14ac:dyDescent="0.25">
      <c r="A4971" s="5" t="str">
        <f t="shared" si="2089"/>
        <v>44120UST10Y</v>
      </c>
      <c r="B4971" s="6" t="s">
        <v>4</v>
      </c>
      <c r="C4971" s="6">
        <v>0.81</v>
      </c>
      <c r="D4971" s="6">
        <v>0.65</v>
      </c>
      <c r="E4971" s="6">
        <v>0.74</v>
      </c>
      <c r="F4971" t="str">
        <f t="shared" si="2090"/>
        <v>FRI</v>
      </c>
      <c r="G4971" s="3">
        <f>DATE(2020,10,16)</f>
        <v>44120</v>
      </c>
      <c r="H4971" s="2">
        <f t="shared" ca="1" si="2092"/>
        <v>133</v>
      </c>
      <c r="I4971" t="str">
        <f t="shared" si="2093"/>
        <v>UST10Y</v>
      </c>
      <c r="J4971">
        <f t="shared" si="2094"/>
        <v>0.81</v>
      </c>
      <c r="K4971">
        <f t="shared" si="2095"/>
        <v>0.65</v>
      </c>
      <c r="L4971">
        <f t="shared" si="2096"/>
        <v>0.73</v>
      </c>
      <c r="M4971">
        <f t="shared" si="2097"/>
        <v>8.000000000000114E-2</v>
      </c>
      <c r="N4971">
        <f t="shared" si="2086"/>
        <v>0.16000000000000003</v>
      </c>
      <c r="O4971">
        <f t="shared" si="2098"/>
        <v>0.74</v>
      </c>
      <c r="P4971">
        <f t="shared" si="2099"/>
        <v>0.12499999999999833</v>
      </c>
      <c r="Q4971" t="str">
        <f t="shared" si="2087"/>
        <v>9.46% | 12.16%</v>
      </c>
      <c r="R4971" t="str">
        <f t="shared" si="2100"/>
        <v>BEARISH</v>
      </c>
      <c r="S4971">
        <f t="shared" si="2088"/>
        <v>-1</v>
      </c>
    </row>
    <row r="4972" spans="1:19" hidden="1" x14ac:dyDescent="0.25">
      <c r="A4972" s="5" t="str">
        <f t="shared" si="2089"/>
        <v>44120UST2Y</v>
      </c>
      <c r="B4972" s="6" t="s">
        <v>5</v>
      </c>
      <c r="C4972" s="6">
        <v>0.16</v>
      </c>
      <c r="D4972" s="6">
        <v>0.12</v>
      </c>
      <c r="E4972" s="6">
        <v>0.14000000000000001</v>
      </c>
      <c r="F4972" t="str">
        <f t="shared" ref="F4972:F5002" si="2101">UPPER(TEXT(G4972,"ddd"))</f>
        <v>FRI</v>
      </c>
      <c r="G4972" s="3">
        <f t="shared" ref="G4972:G5001" si="2102">DATE(2020,10,16)</f>
        <v>44120</v>
      </c>
      <c r="H4972" s="2">
        <f t="shared" ref="H4972:H5002" ca="1" si="2103">TODAY()-G4972</f>
        <v>133</v>
      </c>
      <c r="I4972" t="str">
        <f t="shared" ref="I4972:I5002" si="2104">TRIM(LEFT(B4972,FIND(" ",B4972,1)))</f>
        <v>UST2Y</v>
      </c>
      <c r="J4972">
        <f t="shared" ref="J4972:J5002" si="2105">C4972</f>
        <v>0.16</v>
      </c>
      <c r="K4972">
        <f t="shared" ref="K4972:K5002" si="2106">D4972</f>
        <v>0.12</v>
      </c>
      <c r="L4972">
        <f t="shared" ref="L4972:L5002" si="2107">AVERAGE(J4972:K4972)</f>
        <v>0.14000000000000001</v>
      </c>
      <c r="M4972">
        <f t="shared" ref="M4972:M5002" si="2108">_xlfn.STDEV.P(J4972:K4972)</f>
        <v>1.9999999999999938E-2</v>
      </c>
      <c r="N4972">
        <f t="shared" si="2086"/>
        <v>4.0000000000000008E-2</v>
      </c>
      <c r="O4972">
        <f t="shared" ref="O4972:O5002" si="2109">E4972</f>
        <v>0.14000000000000001</v>
      </c>
      <c r="P4972">
        <f t="shared" ref="P4972:P5002" si="2110">(O4972-L4972)/M4972</f>
        <v>0</v>
      </c>
      <c r="Q4972" t="str">
        <f t="shared" si="2087"/>
        <v>14.29% | 14.29%</v>
      </c>
      <c r="R4972" t="str">
        <f t="shared" ref="R4972:R5002" si="2111">MID(B4972,FIND("(",B4972,1)+1,FIND(")",B4972,1)-FIND("(",B4972,1)-1)</f>
        <v>BEARISH</v>
      </c>
      <c r="S4972">
        <f t="shared" si="2088"/>
        <v>-1</v>
      </c>
    </row>
    <row r="4973" spans="1:19" hidden="1" x14ac:dyDescent="0.25">
      <c r="A4973" s="5" t="str">
        <f t="shared" si="2089"/>
        <v>44120SPX</v>
      </c>
      <c r="B4973" s="6" t="s">
        <v>51</v>
      </c>
      <c r="C4973" s="6">
        <v>3312</v>
      </c>
      <c r="D4973" s="6">
        <v>3563</v>
      </c>
      <c r="E4973" s="6">
        <v>3483</v>
      </c>
      <c r="F4973" t="str">
        <f t="shared" si="2101"/>
        <v>FRI</v>
      </c>
      <c r="G4973" s="3">
        <f t="shared" si="2102"/>
        <v>44120</v>
      </c>
      <c r="H4973" s="2">
        <f t="shared" ca="1" si="2103"/>
        <v>133</v>
      </c>
      <c r="I4973" t="str">
        <f t="shared" si="2104"/>
        <v>SPX</v>
      </c>
      <c r="J4973">
        <f t="shared" si="2105"/>
        <v>3312</v>
      </c>
      <c r="K4973">
        <f t="shared" si="2106"/>
        <v>3563</v>
      </c>
      <c r="L4973">
        <f t="shared" si="2107"/>
        <v>3437.5</v>
      </c>
      <c r="M4973">
        <f t="shared" si="2108"/>
        <v>125.5</v>
      </c>
      <c r="N4973">
        <f t="shared" si="2086"/>
        <v>251</v>
      </c>
      <c r="O4973">
        <f t="shared" si="2109"/>
        <v>3483</v>
      </c>
      <c r="P4973">
        <f t="shared" si="2110"/>
        <v>0.36254980079681276</v>
      </c>
      <c r="Q4973" t="str">
        <f t="shared" si="2087"/>
        <v>4.91% | 2.3%</v>
      </c>
      <c r="R4973" t="str">
        <f t="shared" si="2111"/>
        <v>NEUTRAL</v>
      </c>
      <c r="S4973">
        <f t="shared" si="2088"/>
        <v>0</v>
      </c>
    </row>
    <row r="4974" spans="1:19" hidden="1" x14ac:dyDescent="0.25">
      <c r="A4974" s="5" t="str">
        <f t="shared" si="2089"/>
        <v>44120RUT</v>
      </c>
      <c r="B4974" s="6" t="s">
        <v>240</v>
      </c>
      <c r="C4974" s="6">
        <v>1569</v>
      </c>
      <c r="D4974" s="6">
        <v>1668</v>
      </c>
      <c r="E4974" s="6">
        <v>1638</v>
      </c>
      <c r="F4974" t="str">
        <f t="shared" si="2101"/>
        <v>FRI</v>
      </c>
      <c r="G4974" s="3">
        <f t="shared" si="2102"/>
        <v>44120</v>
      </c>
      <c r="H4974" s="2">
        <f t="shared" ca="1" si="2103"/>
        <v>133</v>
      </c>
      <c r="I4974" t="str">
        <f t="shared" si="2104"/>
        <v>RUT</v>
      </c>
      <c r="J4974">
        <f t="shared" si="2105"/>
        <v>1569</v>
      </c>
      <c r="K4974">
        <f t="shared" si="2106"/>
        <v>1668</v>
      </c>
      <c r="L4974">
        <f t="shared" si="2107"/>
        <v>1618.5</v>
      </c>
      <c r="M4974">
        <f t="shared" si="2108"/>
        <v>49.5</v>
      </c>
      <c r="N4974">
        <f t="shared" si="2086"/>
        <v>99</v>
      </c>
      <c r="O4974">
        <f t="shared" si="2109"/>
        <v>1638</v>
      </c>
      <c r="P4974">
        <f t="shared" si="2110"/>
        <v>0.39393939393939392</v>
      </c>
      <c r="Q4974" t="str">
        <f t="shared" si="2087"/>
        <v>4.21% | 1.83%</v>
      </c>
      <c r="R4974" t="str">
        <f t="shared" si="2111"/>
        <v>NEUTRAL</v>
      </c>
      <c r="S4974">
        <f t="shared" si="2088"/>
        <v>0</v>
      </c>
    </row>
    <row r="4975" spans="1:19" hidden="1" x14ac:dyDescent="0.25">
      <c r="A4975" s="5" t="str">
        <f t="shared" si="2089"/>
        <v>44120COMPQ</v>
      </c>
      <c r="B4975" s="6" t="s">
        <v>61</v>
      </c>
      <c r="C4975" s="6">
        <v>11056</v>
      </c>
      <c r="D4975" s="6">
        <v>12040</v>
      </c>
      <c r="E4975" s="6">
        <v>11713</v>
      </c>
      <c r="F4975" t="str">
        <f t="shared" si="2101"/>
        <v>FRI</v>
      </c>
      <c r="G4975" s="3">
        <f t="shared" si="2102"/>
        <v>44120</v>
      </c>
      <c r="H4975" s="2">
        <f t="shared" ca="1" si="2103"/>
        <v>133</v>
      </c>
      <c r="I4975" t="str">
        <f t="shared" si="2104"/>
        <v>COMPQ</v>
      </c>
      <c r="J4975">
        <f t="shared" si="2105"/>
        <v>11056</v>
      </c>
      <c r="K4975">
        <f t="shared" si="2106"/>
        <v>12040</v>
      </c>
      <c r="L4975">
        <f t="shared" si="2107"/>
        <v>11548</v>
      </c>
      <c r="M4975">
        <f t="shared" si="2108"/>
        <v>492</v>
      </c>
      <c r="N4975">
        <f t="shared" si="2086"/>
        <v>984</v>
      </c>
      <c r="O4975">
        <f t="shared" si="2109"/>
        <v>11713</v>
      </c>
      <c r="P4975">
        <f t="shared" si="2110"/>
        <v>0.33536585365853661</v>
      </c>
      <c r="Q4975" t="str">
        <f t="shared" si="2087"/>
        <v>5.61% | 2.79%</v>
      </c>
      <c r="R4975" t="str">
        <f t="shared" si="2111"/>
        <v>NEUTRAL</v>
      </c>
      <c r="S4975">
        <f t="shared" si="2088"/>
        <v>0</v>
      </c>
    </row>
    <row r="4976" spans="1:19" hidden="1" x14ac:dyDescent="0.25">
      <c r="A4976" s="5" t="str">
        <f t="shared" si="2089"/>
        <v>44120XLK</v>
      </c>
      <c r="B4976" s="6" t="s">
        <v>62</v>
      </c>
      <c r="C4976" s="6">
        <v>114.7</v>
      </c>
      <c r="D4976" s="6">
        <v>125.01</v>
      </c>
      <c r="E4976" s="6">
        <v>121.47</v>
      </c>
      <c r="F4976" t="str">
        <f t="shared" si="2101"/>
        <v>FRI</v>
      </c>
      <c r="G4976" s="3">
        <f t="shared" si="2102"/>
        <v>44120</v>
      </c>
      <c r="H4976" s="2">
        <f t="shared" ca="1" si="2103"/>
        <v>133</v>
      </c>
      <c r="I4976" t="str">
        <f t="shared" si="2104"/>
        <v>XLK</v>
      </c>
      <c r="J4976">
        <f t="shared" si="2105"/>
        <v>114.7</v>
      </c>
      <c r="K4976">
        <f t="shared" si="2106"/>
        <v>125.01</v>
      </c>
      <c r="L4976">
        <f t="shared" si="2107"/>
        <v>119.855</v>
      </c>
      <c r="M4976">
        <f t="shared" si="2108"/>
        <v>5.1550000000000011</v>
      </c>
      <c r="N4976">
        <f t="shared" si="2086"/>
        <v>10.310000000000002</v>
      </c>
      <c r="O4976">
        <f t="shared" si="2109"/>
        <v>121.47</v>
      </c>
      <c r="P4976">
        <f t="shared" si="2110"/>
        <v>0.31328806983511048</v>
      </c>
      <c r="Q4976" t="str">
        <f t="shared" si="2087"/>
        <v>5.57% | 2.91%</v>
      </c>
      <c r="R4976" t="str">
        <f t="shared" si="2111"/>
        <v>NEUTRAL</v>
      </c>
      <c r="S4976">
        <f t="shared" si="2088"/>
        <v>0</v>
      </c>
    </row>
    <row r="4977" spans="1:19" hidden="1" x14ac:dyDescent="0.25">
      <c r="A4977" s="5" t="str">
        <f t="shared" si="2089"/>
        <v>44120XLRE</v>
      </c>
      <c r="B4977" s="6" t="s">
        <v>97</v>
      </c>
      <c r="C4977" s="6">
        <v>35.69</v>
      </c>
      <c r="D4977" s="6">
        <v>37.380000000000003</v>
      </c>
      <c r="E4977" s="6">
        <v>36.24</v>
      </c>
      <c r="F4977" t="str">
        <f t="shared" si="2101"/>
        <v>FRI</v>
      </c>
      <c r="G4977" s="3">
        <f t="shared" si="2102"/>
        <v>44120</v>
      </c>
      <c r="H4977" s="2">
        <f t="shared" ca="1" si="2103"/>
        <v>133</v>
      </c>
      <c r="I4977" t="str">
        <f t="shared" si="2104"/>
        <v>XLRE</v>
      </c>
      <c r="J4977">
        <f t="shared" si="2105"/>
        <v>35.69</v>
      </c>
      <c r="K4977">
        <f t="shared" si="2106"/>
        <v>37.380000000000003</v>
      </c>
      <c r="L4977">
        <f t="shared" si="2107"/>
        <v>36.534999999999997</v>
      </c>
      <c r="M4977">
        <f t="shared" si="2108"/>
        <v>0.84500000000000242</v>
      </c>
      <c r="N4977">
        <f t="shared" si="2086"/>
        <v>1.6900000000000048</v>
      </c>
      <c r="O4977">
        <f t="shared" si="2109"/>
        <v>36.24</v>
      </c>
      <c r="P4977">
        <f t="shared" si="2110"/>
        <v>-0.34911242603549558</v>
      </c>
      <c r="Q4977" t="str">
        <f t="shared" si="2087"/>
        <v>1.52% | 3.15%</v>
      </c>
      <c r="R4977" t="str">
        <f t="shared" si="2111"/>
        <v>BULLISH</v>
      </c>
      <c r="S4977">
        <f t="shared" si="2088"/>
        <v>1</v>
      </c>
    </row>
    <row r="4978" spans="1:19" hidden="1" x14ac:dyDescent="0.25">
      <c r="A4978" s="5" t="str">
        <f t="shared" si="2089"/>
        <v>44120XLU</v>
      </c>
      <c r="B4978" s="6" t="s">
        <v>52</v>
      </c>
      <c r="C4978" s="6">
        <v>60.16</v>
      </c>
      <c r="D4978" s="6">
        <v>64.84</v>
      </c>
      <c r="E4978" s="6">
        <v>63.32</v>
      </c>
      <c r="F4978" t="str">
        <f t="shared" si="2101"/>
        <v>FRI</v>
      </c>
      <c r="G4978" s="3">
        <f t="shared" si="2102"/>
        <v>44120</v>
      </c>
      <c r="H4978" s="2">
        <f t="shared" ca="1" si="2103"/>
        <v>133</v>
      </c>
      <c r="I4978" t="str">
        <f t="shared" si="2104"/>
        <v>XLU</v>
      </c>
      <c r="J4978">
        <f t="shared" si="2105"/>
        <v>60.16</v>
      </c>
      <c r="K4978">
        <f t="shared" si="2106"/>
        <v>64.84</v>
      </c>
      <c r="L4978">
        <f t="shared" si="2107"/>
        <v>62.5</v>
      </c>
      <c r="M4978">
        <f t="shared" si="2108"/>
        <v>2.3400000000000034</v>
      </c>
      <c r="N4978">
        <f t="shared" si="2086"/>
        <v>4.6800000000000068</v>
      </c>
      <c r="O4978">
        <f t="shared" si="2109"/>
        <v>63.32</v>
      </c>
      <c r="P4978">
        <f t="shared" si="2110"/>
        <v>0.35042735042735002</v>
      </c>
      <c r="Q4978" t="str">
        <f t="shared" si="2087"/>
        <v>4.99% | 2.4%</v>
      </c>
      <c r="R4978" t="str">
        <f t="shared" si="2111"/>
        <v>BULLISH</v>
      </c>
      <c r="S4978">
        <f t="shared" si="2088"/>
        <v>1</v>
      </c>
    </row>
    <row r="4979" spans="1:19" hidden="1" x14ac:dyDescent="0.25">
      <c r="A4979" s="5" t="str">
        <f t="shared" si="2089"/>
        <v>44120XLF</v>
      </c>
      <c r="B4979" s="6" t="s">
        <v>12</v>
      </c>
      <c r="C4979" s="6">
        <v>24.11</v>
      </c>
      <c r="D4979" s="6">
        <v>25.67</v>
      </c>
      <c r="E4979" s="6">
        <v>24.97</v>
      </c>
      <c r="F4979" t="str">
        <f t="shared" si="2101"/>
        <v>FRI</v>
      </c>
      <c r="G4979" s="3">
        <f t="shared" si="2102"/>
        <v>44120</v>
      </c>
      <c r="H4979" s="2">
        <f t="shared" ca="1" si="2103"/>
        <v>133</v>
      </c>
      <c r="I4979" t="str">
        <f t="shared" si="2104"/>
        <v>XLF</v>
      </c>
      <c r="J4979">
        <f t="shared" si="2105"/>
        <v>24.11</v>
      </c>
      <c r="K4979">
        <f t="shared" si="2106"/>
        <v>25.67</v>
      </c>
      <c r="L4979">
        <f t="shared" si="2107"/>
        <v>24.89</v>
      </c>
      <c r="M4979">
        <f t="shared" si="2108"/>
        <v>0.78000000000000114</v>
      </c>
      <c r="N4979">
        <f t="shared" si="2086"/>
        <v>1.5600000000000023</v>
      </c>
      <c r="O4979">
        <f t="shared" si="2109"/>
        <v>24.97</v>
      </c>
      <c r="P4979">
        <f t="shared" si="2110"/>
        <v>0.10256410256410023</v>
      </c>
      <c r="Q4979" t="str">
        <f t="shared" si="2087"/>
        <v>3.44% | 2.8%</v>
      </c>
      <c r="R4979" t="str">
        <f t="shared" si="2111"/>
        <v>BEARISH</v>
      </c>
      <c r="S4979">
        <f t="shared" si="2088"/>
        <v>-1</v>
      </c>
    </row>
    <row r="4980" spans="1:19" hidden="1" x14ac:dyDescent="0.25">
      <c r="A4980" s="5" t="str">
        <f t="shared" si="2089"/>
        <v>44120SSEC</v>
      </c>
      <c r="B4980" s="6" t="s">
        <v>104</v>
      </c>
      <c r="C4980" s="6">
        <v>3211</v>
      </c>
      <c r="D4980" s="6">
        <v>3398</v>
      </c>
      <c r="E4980" s="6">
        <v>3336</v>
      </c>
      <c r="F4980" t="str">
        <f t="shared" si="2101"/>
        <v>FRI</v>
      </c>
      <c r="G4980" s="3">
        <f t="shared" si="2102"/>
        <v>44120</v>
      </c>
      <c r="H4980" s="2">
        <f t="shared" ca="1" si="2103"/>
        <v>133</v>
      </c>
      <c r="I4980" t="str">
        <f t="shared" si="2104"/>
        <v>SSEC</v>
      </c>
      <c r="J4980">
        <f t="shared" si="2105"/>
        <v>3211</v>
      </c>
      <c r="K4980">
        <f t="shared" si="2106"/>
        <v>3398</v>
      </c>
      <c r="L4980">
        <f t="shared" si="2107"/>
        <v>3304.5</v>
      </c>
      <c r="M4980">
        <f t="shared" si="2108"/>
        <v>93.5</v>
      </c>
      <c r="N4980">
        <f t="shared" si="2086"/>
        <v>187</v>
      </c>
      <c r="O4980">
        <f t="shared" si="2109"/>
        <v>3336</v>
      </c>
      <c r="P4980">
        <f t="shared" si="2110"/>
        <v>0.33689839572192515</v>
      </c>
      <c r="Q4980" t="str">
        <f t="shared" si="2087"/>
        <v>3.75% | 1.86%</v>
      </c>
      <c r="R4980" t="str">
        <f t="shared" si="2111"/>
        <v>BULLISH</v>
      </c>
      <c r="S4980">
        <f t="shared" si="2088"/>
        <v>1</v>
      </c>
    </row>
    <row r="4981" spans="1:19" hidden="1" x14ac:dyDescent="0.25">
      <c r="A4981" s="5" t="str">
        <f t="shared" si="2089"/>
        <v>44120NIKK</v>
      </c>
      <c r="B4981" s="6" t="s">
        <v>91</v>
      </c>
      <c r="C4981" s="6">
        <v>23208</v>
      </c>
      <c r="D4981" s="6">
        <v>23762</v>
      </c>
      <c r="E4981" s="6">
        <v>23410</v>
      </c>
      <c r="F4981" t="str">
        <f t="shared" si="2101"/>
        <v>FRI</v>
      </c>
      <c r="G4981" s="3">
        <f t="shared" si="2102"/>
        <v>44120</v>
      </c>
      <c r="H4981" s="2">
        <f t="shared" ca="1" si="2103"/>
        <v>133</v>
      </c>
      <c r="I4981" t="str">
        <f t="shared" si="2104"/>
        <v>NIKK</v>
      </c>
      <c r="J4981">
        <f t="shared" si="2105"/>
        <v>23208</v>
      </c>
      <c r="K4981">
        <f t="shared" si="2106"/>
        <v>23762</v>
      </c>
      <c r="L4981">
        <f t="shared" si="2107"/>
        <v>23485</v>
      </c>
      <c r="M4981">
        <f t="shared" si="2108"/>
        <v>277</v>
      </c>
      <c r="N4981">
        <f t="shared" si="2086"/>
        <v>554</v>
      </c>
      <c r="O4981">
        <f t="shared" si="2109"/>
        <v>23410</v>
      </c>
      <c r="P4981">
        <f t="shared" si="2110"/>
        <v>-0.27075812274368233</v>
      </c>
      <c r="Q4981" t="str">
        <f t="shared" si="2087"/>
        <v>0.86% | 1.5%</v>
      </c>
      <c r="R4981" t="str">
        <f t="shared" si="2111"/>
        <v>BULLISH</v>
      </c>
      <c r="S4981">
        <f t="shared" si="2088"/>
        <v>1</v>
      </c>
    </row>
    <row r="4982" spans="1:19" hidden="1" x14ac:dyDescent="0.25">
      <c r="A4982" s="5" t="str">
        <f t="shared" si="2089"/>
        <v>44120DAX</v>
      </c>
      <c r="B4982" s="6" t="s">
        <v>16</v>
      </c>
      <c r="C4982" s="6">
        <v>12649</v>
      </c>
      <c r="D4982" s="6">
        <v>12990</v>
      </c>
      <c r="E4982" s="6">
        <v>12703</v>
      </c>
      <c r="F4982" t="str">
        <f t="shared" si="2101"/>
        <v>FRI</v>
      </c>
      <c r="G4982" s="3">
        <f t="shared" si="2102"/>
        <v>44120</v>
      </c>
      <c r="H4982" s="2">
        <f t="shared" ca="1" si="2103"/>
        <v>133</v>
      </c>
      <c r="I4982" t="str">
        <f t="shared" si="2104"/>
        <v>DAX</v>
      </c>
      <c r="J4982">
        <f t="shared" si="2105"/>
        <v>12649</v>
      </c>
      <c r="K4982">
        <f t="shared" si="2106"/>
        <v>12990</v>
      </c>
      <c r="L4982">
        <f t="shared" si="2107"/>
        <v>12819.5</v>
      </c>
      <c r="M4982">
        <f t="shared" si="2108"/>
        <v>170.5</v>
      </c>
      <c r="N4982">
        <f t="shared" si="2086"/>
        <v>341</v>
      </c>
      <c r="O4982">
        <f t="shared" si="2109"/>
        <v>12703</v>
      </c>
      <c r="P4982">
        <f t="shared" si="2110"/>
        <v>-0.68328445747800581</v>
      </c>
      <c r="Q4982" t="str">
        <f t="shared" si="2087"/>
        <v>0.43% | 2.26%</v>
      </c>
      <c r="R4982" t="str">
        <f t="shared" si="2111"/>
        <v>BEARISH</v>
      </c>
      <c r="S4982">
        <f t="shared" si="2088"/>
        <v>-1</v>
      </c>
    </row>
    <row r="4983" spans="1:19" hidden="1" x14ac:dyDescent="0.25">
      <c r="A4983" s="5" t="str">
        <f t="shared" si="2089"/>
        <v>44120VIX</v>
      </c>
      <c r="B4983" s="6" t="s">
        <v>159</v>
      </c>
      <c r="C4983" s="6">
        <v>24.01</v>
      </c>
      <c r="D4983" s="6">
        <v>29.73</v>
      </c>
      <c r="E4983" s="6">
        <v>26.4</v>
      </c>
      <c r="F4983" t="str">
        <f t="shared" si="2101"/>
        <v>FRI</v>
      </c>
      <c r="G4983" s="3">
        <f t="shared" si="2102"/>
        <v>44120</v>
      </c>
      <c r="H4983" s="2">
        <f t="shared" ca="1" si="2103"/>
        <v>133</v>
      </c>
      <c r="I4983" t="str">
        <f t="shared" si="2104"/>
        <v>VIX</v>
      </c>
      <c r="J4983">
        <f t="shared" si="2105"/>
        <v>24.01</v>
      </c>
      <c r="K4983">
        <f t="shared" si="2106"/>
        <v>29.73</v>
      </c>
      <c r="L4983">
        <f t="shared" si="2107"/>
        <v>26.87</v>
      </c>
      <c r="M4983">
        <f t="shared" si="2108"/>
        <v>2.8599999999999888</v>
      </c>
      <c r="N4983">
        <f t="shared" si="2086"/>
        <v>5.7199999999999989</v>
      </c>
      <c r="O4983">
        <f t="shared" si="2109"/>
        <v>26.4</v>
      </c>
      <c r="P4983">
        <f t="shared" si="2110"/>
        <v>-0.16433566433566582</v>
      </c>
      <c r="Q4983" t="str">
        <f t="shared" si="2087"/>
        <v>9.05% | 12.61%</v>
      </c>
      <c r="R4983" t="str">
        <f t="shared" si="2111"/>
        <v>NEUTRAL</v>
      </c>
      <c r="S4983">
        <f t="shared" si="2088"/>
        <v>0</v>
      </c>
    </row>
    <row r="4984" spans="1:19" hidden="1" x14ac:dyDescent="0.25">
      <c r="A4984" s="5" t="str">
        <f t="shared" si="2089"/>
        <v>44120USD</v>
      </c>
      <c r="B4984" s="6" t="s">
        <v>78</v>
      </c>
      <c r="C4984" s="6">
        <v>92.97</v>
      </c>
      <c r="D4984" s="6">
        <v>94.23</v>
      </c>
      <c r="E4984" s="6">
        <v>93.86</v>
      </c>
      <c r="F4984" t="str">
        <f t="shared" si="2101"/>
        <v>FRI</v>
      </c>
      <c r="G4984" s="3">
        <f t="shared" si="2102"/>
        <v>44120</v>
      </c>
      <c r="H4984" s="2">
        <f t="shared" ca="1" si="2103"/>
        <v>133</v>
      </c>
      <c r="I4984" t="str">
        <f t="shared" si="2104"/>
        <v>USD</v>
      </c>
      <c r="J4984">
        <f t="shared" si="2105"/>
        <v>92.97</v>
      </c>
      <c r="K4984">
        <f t="shared" si="2106"/>
        <v>94.23</v>
      </c>
      <c r="L4984">
        <f t="shared" si="2107"/>
        <v>93.6</v>
      </c>
      <c r="M4984">
        <f t="shared" si="2108"/>
        <v>0.63000000000000256</v>
      </c>
      <c r="N4984">
        <f t="shared" si="2086"/>
        <v>1.2600000000000051</v>
      </c>
      <c r="O4984">
        <f t="shared" si="2109"/>
        <v>93.86</v>
      </c>
      <c r="P4984">
        <f t="shared" si="2110"/>
        <v>0.41269841269841917</v>
      </c>
      <c r="Q4984" t="str">
        <f t="shared" si="2087"/>
        <v>0.95% | 0.39%</v>
      </c>
      <c r="R4984" t="str">
        <f t="shared" si="2111"/>
        <v>NEUTRAL</v>
      </c>
      <c r="S4984">
        <f t="shared" si="2088"/>
        <v>0</v>
      </c>
    </row>
    <row r="4985" spans="1:19" hidden="1" x14ac:dyDescent="0.25">
      <c r="A4985" s="5" t="str">
        <f t="shared" si="2089"/>
        <v>44120EUR/USD</v>
      </c>
      <c r="B4985" s="6" t="s">
        <v>77</v>
      </c>
      <c r="C4985" s="6">
        <v>1.1599999999999999</v>
      </c>
      <c r="D4985" s="6">
        <v>1.18</v>
      </c>
      <c r="E4985" s="6">
        <v>1.17</v>
      </c>
      <c r="F4985" t="str">
        <f t="shared" si="2101"/>
        <v>FRI</v>
      </c>
      <c r="G4985" s="3">
        <f t="shared" si="2102"/>
        <v>44120</v>
      </c>
      <c r="H4985" s="2">
        <f t="shared" ca="1" si="2103"/>
        <v>133</v>
      </c>
      <c r="I4985" t="str">
        <f t="shared" si="2104"/>
        <v>EUR/USD</v>
      </c>
      <c r="J4985">
        <f t="shared" si="2105"/>
        <v>1.1599999999999999</v>
      </c>
      <c r="K4985">
        <f t="shared" si="2106"/>
        <v>1.18</v>
      </c>
      <c r="L4985">
        <f t="shared" si="2107"/>
        <v>1.17</v>
      </c>
      <c r="M4985">
        <f t="shared" si="2108"/>
        <v>1.0000000000000009E-2</v>
      </c>
      <c r="N4985">
        <f t="shared" si="2086"/>
        <v>2.0000000000000018E-2</v>
      </c>
      <c r="O4985">
        <f t="shared" si="2109"/>
        <v>1.17</v>
      </c>
      <c r="P4985">
        <f t="shared" si="2110"/>
        <v>0</v>
      </c>
      <c r="Q4985" t="str">
        <f t="shared" si="2087"/>
        <v>0.85% | 0.85%</v>
      </c>
      <c r="R4985" t="str">
        <f t="shared" si="2111"/>
        <v>NEUTRAL</v>
      </c>
      <c r="S4985">
        <f t="shared" si="2088"/>
        <v>0</v>
      </c>
    </row>
    <row r="4986" spans="1:19" hidden="1" x14ac:dyDescent="0.25">
      <c r="A4986" s="5" t="str">
        <f t="shared" si="2089"/>
        <v>44120USD/JPY</v>
      </c>
      <c r="B4986" s="6" t="s">
        <v>20</v>
      </c>
      <c r="C4986" s="6">
        <v>105.01</v>
      </c>
      <c r="D4986" s="6">
        <v>106.12</v>
      </c>
      <c r="E4986" s="6">
        <v>105.43</v>
      </c>
      <c r="F4986" t="str">
        <f t="shared" si="2101"/>
        <v>FRI</v>
      </c>
      <c r="G4986" s="3">
        <f t="shared" si="2102"/>
        <v>44120</v>
      </c>
      <c r="H4986" s="2">
        <f t="shared" ca="1" si="2103"/>
        <v>133</v>
      </c>
      <c r="I4986" t="str">
        <f t="shared" si="2104"/>
        <v>USD/JPY</v>
      </c>
      <c r="J4986">
        <f t="shared" si="2105"/>
        <v>105.01</v>
      </c>
      <c r="K4986">
        <f t="shared" si="2106"/>
        <v>106.12</v>
      </c>
      <c r="L4986">
        <f t="shared" si="2107"/>
        <v>105.565</v>
      </c>
      <c r="M4986">
        <f t="shared" si="2108"/>
        <v>0.55499999999999972</v>
      </c>
      <c r="N4986">
        <f t="shared" si="2086"/>
        <v>1.1099999999999994</v>
      </c>
      <c r="O4986">
        <f t="shared" si="2109"/>
        <v>105.43</v>
      </c>
      <c r="P4986">
        <f t="shared" si="2110"/>
        <v>-0.24324324324322699</v>
      </c>
      <c r="Q4986" t="str">
        <f t="shared" si="2087"/>
        <v>0.4% | 0.65%</v>
      </c>
      <c r="R4986" t="str">
        <f t="shared" si="2111"/>
        <v>BEARISH</v>
      </c>
      <c r="S4986">
        <f t="shared" si="2088"/>
        <v>-1</v>
      </c>
    </row>
    <row r="4987" spans="1:19" hidden="1" x14ac:dyDescent="0.25">
      <c r="A4987" s="5" t="str">
        <f t="shared" si="2089"/>
        <v>44120GBP/USD</v>
      </c>
      <c r="B4987" s="6" t="s">
        <v>79</v>
      </c>
      <c r="C4987" s="6">
        <v>1.28</v>
      </c>
      <c r="D4987" s="6">
        <v>1.3</v>
      </c>
      <c r="E4987" s="6">
        <v>1.29</v>
      </c>
      <c r="F4987" t="str">
        <f t="shared" si="2101"/>
        <v>FRI</v>
      </c>
      <c r="G4987" s="3">
        <f t="shared" si="2102"/>
        <v>44120</v>
      </c>
      <c r="H4987" s="2">
        <f t="shared" ca="1" si="2103"/>
        <v>133</v>
      </c>
      <c r="I4987" t="str">
        <f t="shared" si="2104"/>
        <v>GBP/USD</v>
      </c>
      <c r="J4987">
        <f t="shared" si="2105"/>
        <v>1.28</v>
      </c>
      <c r="K4987">
        <f t="shared" si="2106"/>
        <v>1.3</v>
      </c>
      <c r="L4987">
        <f t="shared" si="2107"/>
        <v>1.29</v>
      </c>
      <c r="M4987">
        <f t="shared" si="2108"/>
        <v>1.0000000000000009E-2</v>
      </c>
      <c r="N4987">
        <f t="shared" si="2086"/>
        <v>2.0000000000000018E-2</v>
      </c>
      <c r="O4987">
        <f t="shared" si="2109"/>
        <v>1.29</v>
      </c>
      <c r="P4987">
        <f t="shared" si="2110"/>
        <v>0</v>
      </c>
      <c r="Q4987" t="str">
        <f t="shared" si="2087"/>
        <v>0.78% | 0.78%</v>
      </c>
      <c r="R4987" t="str">
        <f t="shared" si="2111"/>
        <v>NEUTRAL</v>
      </c>
      <c r="S4987">
        <f t="shared" si="2088"/>
        <v>0</v>
      </c>
    </row>
    <row r="4988" spans="1:19" hidden="1" x14ac:dyDescent="0.25">
      <c r="A4988" s="5" t="str">
        <f t="shared" si="2089"/>
        <v>44120USD/CHF</v>
      </c>
      <c r="B4988" s="6" t="s">
        <v>76</v>
      </c>
      <c r="C4988" s="6">
        <v>0.9</v>
      </c>
      <c r="D4988" s="6">
        <v>0.92</v>
      </c>
      <c r="E4988" s="6">
        <v>0.91</v>
      </c>
      <c r="F4988" t="str">
        <f t="shared" si="2101"/>
        <v>FRI</v>
      </c>
      <c r="G4988" s="3">
        <f t="shared" si="2102"/>
        <v>44120</v>
      </c>
      <c r="H4988" s="2">
        <f t="shared" ca="1" si="2103"/>
        <v>133</v>
      </c>
      <c r="I4988" t="str">
        <f t="shared" si="2104"/>
        <v>USD/CHF</v>
      </c>
      <c r="J4988">
        <f t="shared" si="2105"/>
        <v>0.9</v>
      </c>
      <c r="K4988">
        <f t="shared" si="2106"/>
        <v>0.92</v>
      </c>
      <c r="L4988">
        <f t="shared" si="2107"/>
        <v>0.91</v>
      </c>
      <c r="M4988">
        <f t="shared" si="2108"/>
        <v>1.0000000000000009E-2</v>
      </c>
      <c r="N4988">
        <f t="shared" si="2086"/>
        <v>2.0000000000000018E-2</v>
      </c>
      <c r="O4988">
        <f t="shared" si="2109"/>
        <v>0.91</v>
      </c>
      <c r="P4988">
        <f t="shared" si="2110"/>
        <v>0</v>
      </c>
      <c r="Q4988" t="str">
        <f t="shared" si="2087"/>
        <v>1.1% | 1.1%</v>
      </c>
      <c r="R4988" t="str">
        <f t="shared" si="2111"/>
        <v>BEARISH</v>
      </c>
      <c r="S4988">
        <f t="shared" si="2088"/>
        <v>-1</v>
      </c>
    </row>
    <row r="4989" spans="1:19" hidden="1" x14ac:dyDescent="0.25">
      <c r="A4989" s="5" t="str">
        <f t="shared" si="2089"/>
        <v>44120WTIC</v>
      </c>
      <c r="B4989" s="6" t="s">
        <v>23</v>
      </c>
      <c r="C4989" s="6">
        <v>38.090000000000003</v>
      </c>
      <c r="D4989" s="6">
        <v>41.9</v>
      </c>
      <c r="E4989" s="6">
        <v>41.24</v>
      </c>
      <c r="F4989" t="str">
        <f t="shared" si="2101"/>
        <v>FRI</v>
      </c>
      <c r="G4989" s="3">
        <f t="shared" si="2102"/>
        <v>44120</v>
      </c>
      <c r="H4989" s="2">
        <f t="shared" ca="1" si="2103"/>
        <v>133</v>
      </c>
      <c r="I4989" t="str">
        <f t="shared" si="2104"/>
        <v>WTIC</v>
      </c>
      <c r="J4989">
        <f t="shared" si="2105"/>
        <v>38.090000000000003</v>
      </c>
      <c r="K4989">
        <f t="shared" si="2106"/>
        <v>41.9</v>
      </c>
      <c r="L4989">
        <f t="shared" si="2107"/>
        <v>39.995000000000005</v>
      </c>
      <c r="M4989">
        <f t="shared" si="2108"/>
        <v>1.9049999999999976</v>
      </c>
      <c r="N4989">
        <f t="shared" si="2086"/>
        <v>3.8099999999999952</v>
      </c>
      <c r="O4989">
        <f t="shared" si="2109"/>
        <v>41.24</v>
      </c>
      <c r="P4989">
        <f t="shared" si="2110"/>
        <v>0.65354330708661368</v>
      </c>
      <c r="Q4989" t="str">
        <f t="shared" si="2087"/>
        <v>7.64% | 1.6%</v>
      </c>
      <c r="R4989" t="str">
        <f t="shared" si="2111"/>
        <v>BEARISH</v>
      </c>
      <c r="S4989">
        <f t="shared" si="2088"/>
        <v>-1</v>
      </c>
    </row>
    <row r="4990" spans="1:19" hidden="1" x14ac:dyDescent="0.25">
      <c r="A4990" s="5" t="str">
        <f t="shared" si="2089"/>
        <v>44120NATGAS</v>
      </c>
      <c r="B4990" s="6" t="s">
        <v>89</v>
      </c>
      <c r="C4990" s="6">
        <v>2.44</v>
      </c>
      <c r="D4990" s="6">
        <v>2.94</v>
      </c>
      <c r="E4990" s="6">
        <v>2.78</v>
      </c>
      <c r="F4990" t="str">
        <f t="shared" si="2101"/>
        <v>FRI</v>
      </c>
      <c r="G4990" s="3">
        <f t="shared" si="2102"/>
        <v>44120</v>
      </c>
      <c r="H4990" s="2">
        <f t="shared" ca="1" si="2103"/>
        <v>133</v>
      </c>
      <c r="I4990" t="str">
        <f t="shared" si="2104"/>
        <v>NATGAS</v>
      </c>
      <c r="J4990">
        <f t="shared" si="2105"/>
        <v>2.44</v>
      </c>
      <c r="K4990">
        <f t="shared" si="2106"/>
        <v>2.94</v>
      </c>
      <c r="L4990">
        <f t="shared" si="2107"/>
        <v>2.69</v>
      </c>
      <c r="M4990">
        <f t="shared" si="2108"/>
        <v>0.25</v>
      </c>
      <c r="N4990">
        <f t="shared" si="2086"/>
        <v>0.5</v>
      </c>
      <c r="O4990">
        <f t="shared" si="2109"/>
        <v>2.78</v>
      </c>
      <c r="P4990">
        <f t="shared" si="2110"/>
        <v>0.35999999999999943</v>
      </c>
      <c r="Q4990" t="str">
        <f t="shared" si="2087"/>
        <v>12.23% | 5.76%</v>
      </c>
      <c r="R4990" t="str">
        <f t="shared" si="2111"/>
        <v>BULLISH</v>
      </c>
      <c r="S4990">
        <f t="shared" si="2088"/>
        <v>1</v>
      </c>
    </row>
    <row r="4991" spans="1:19" hidden="1" x14ac:dyDescent="0.25">
      <c r="A4991" s="5" t="str">
        <f t="shared" si="2089"/>
        <v>44120GOLD</v>
      </c>
      <c r="B4991" s="6" t="s">
        <v>25</v>
      </c>
      <c r="C4991" s="6">
        <v>1880</v>
      </c>
      <c r="D4991" s="6">
        <v>1937</v>
      </c>
      <c r="E4991" s="6">
        <v>1908</v>
      </c>
      <c r="F4991" t="str">
        <f t="shared" si="2101"/>
        <v>FRI</v>
      </c>
      <c r="G4991" s="3">
        <f t="shared" si="2102"/>
        <v>44120</v>
      </c>
      <c r="H4991" s="2">
        <f t="shared" ca="1" si="2103"/>
        <v>133</v>
      </c>
      <c r="I4991" t="str">
        <f t="shared" si="2104"/>
        <v>GOLD</v>
      </c>
      <c r="J4991">
        <f t="shared" si="2105"/>
        <v>1880</v>
      </c>
      <c r="K4991">
        <f t="shared" si="2106"/>
        <v>1937</v>
      </c>
      <c r="L4991">
        <f t="shared" si="2107"/>
        <v>1908.5</v>
      </c>
      <c r="M4991">
        <f t="shared" si="2108"/>
        <v>28.5</v>
      </c>
      <c r="N4991">
        <f t="shared" si="2086"/>
        <v>57</v>
      </c>
      <c r="O4991">
        <f t="shared" si="2109"/>
        <v>1908</v>
      </c>
      <c r="P4991">
        <f t="shared" si="2110"/>
        <v>-1.7543859649122806E-2</v>
      </c>
      <c r="Q4991" t="str">
        <f t="shared" si="2087"/>
        <v>1.47% | 1.52%</v>
      </c>
      <c r="R4991" t="str">
        <f t="shared" si="2111"/>
        <v>BULLISH</v>
      </c>
      <c r="S4991">
        <f t="shared" si="2088"/>
        <v>1</v>
      </c>
    </row>
    <row r="4992" spans="1:19" hidden="1" x14ac:dyDescent="0.25">
      <c r="A4992" s="5" t="str">
        <f t="shared" si="2089"/>
        <v>44120SILVER</v>
      </c>
      <c r="B4992" s="6" t="s">
        <v>241</v>
      </c>
      <c r="C4992" s="6">
        <v>23.3</v>
      </c>
      <c r="D4992" s="6">
        <v>25.55</v>
      </c>
      <c r="E4992" s="6">
        <v>24.22</v>
      </c>
      <c r="F4992" t="str">
        <f t="shared" si="2101"/>
        <v>FRI</v>
      </c>
      <c r="G4992" s="3">
        <f t="shared" si="2102"/>
        <v>44120</v>
      </c>
      <c r="H4992" s="2">
        <f t="shared" ca="1" si="2103"/>
        <v>133</v>
      </c>
      <c r="I4992" t="str">
        <f t="shared" si="2104"/>
        <v>SILVER</v>
      </c>
      <c r="J4992">
        <f t="shared" si="2105"/>
        <v>23.3</v>
      </c>
      <c r="K4992">
        <f t="shared" si="2106"/>
        <v>25.55</v>
      </c>
      <c r="L4992">
        <f t="shared" si="2107"/>
        <v>24.425000000000001</v>
      </c>
      <c r="M4992">
        <f t="shared" si="2108"/>
        <v>1.125</v>
      </c>
      <c r="N4992">
        <f t="shared" si="2086"/>
        <v>2.25</v>
      </c>
      <c r="O4992">
        <f t="shared" si="2109"/>
        <v>24.22</v>
      </c>
      <c r="P4992">
        <f t="shared" si="2110"/>
        <v>-0.18222222222222387</v>
      </c>
      <c r="Q4992" t="str">
        <f t="shared" si="2087"/>
        <v>3.8% | 5.49%</v>
      </c>
      <c r="R4992" t="str">
        <f t="shared" si="2111"/>
        <v>NEUTRAL</v>
      </c>
      <c r="S4992">
        <f t="shared" si="2088"/>
        <v>0</v>
      </c>
    </row>
    <row r="4993" spans="1:19" hidden="1" x14ac:dyDescent="0.25">
      <c r="A4993" s="5" t="str">
        <f t="shared" si="2089"/>
        <v>44120COPPER</v>
      </c>
      <c r="B4993" s="6" t="s">
        <v>100</v>
      </c>
      <c r="C4993" s="6">
        <v>2.93</v>
      </c>
      <c r="D4993" s="6">
        <v>3.12</v>
      </c>
      <c r="E4993" s="6">
        <v>3.09</v>
      </c>
      <c r="F4993" t="str">
        <f t="shared" si="2101"/>
        <v>FRI</v>
      </c>
      <c r="G4993" s="3">
        <f t="shared" si="2102"/>
        <v>44120</v>
      </c>
      <c r="H4993" s="2">
        <f t="shared" ca="1" si="2103"/>
        <v>133</v>
      </c>
      <c r="I4993" t="str">
        <f t="shared" si="2104"/>
        <v>COPPER</v>
      </c>
      <c r="J4993">
        <f t="shared" si="2105"/>
        <v>2.93</v>
      </c>
      <c r="K4993">
        <f t="shared" si="2106"/>
        <v>3.12</v>
      </c>
      <c r="L4993">
        <f t="shared" si="2107"/>
        <v>3.0250000000000004</v>
      </c>
      <c r="M4993">
        <f t="shared" si="2108"/>
        <v>9.4999999999999973E-2</v>
      </c>
      <c r="N4993">
        <f t="shared" si="2086"/>
        <v>0.18999999999999995</v>
      </c>
      <c r="O4993">
        <f t="shared" si="2109"/>
        <v>3.09</v>
      </c>
      <c r="P4993">
        <f t="shared" si="2110"/>
        <v>0.68421052631578438</v>
      </c>
      <c r="Q4993" t="str">
        <f t="shared" si="2087"/>
        <v>5.18% | 0.97%</v>
      </c>
      <c r="R4993" t="str">
        <f t="shared" si="2111"/>
        <v>BULLISH</v>
      </c>
      <c r="S4993">
        <f t="shared" si="2088"/>
        <v>1</v>
      </c>
    </row>
    <row r="4994" spans="1:19" hidden="1" x14ac:dyDescent="0.25">
      <c r="A4994" s="5" t="str">
        <f t="shared" si="2089"/>
        <v>44120MSFT</v>
      </c>
      <c r="B4994" s="6" t="s">
        <v>235</v>
      </c>
      <c r="C4994" s="6">
        <v>203</v>
      </c>
      <c r="D4994" s="6">
        <v>227</v>
      </c>
      <c r="E4994" s="6">
        <v>219</v>
      </c>
      <c r="F4994" t="str">
        <f t="shared" si="2101"/>
        <v>FRI</v>
      </c>
      <c r="G4994" s="3">
        <f t="shared" si="2102"/>
        <v>44120</v>
      </c>
      <c r="H4994" s="2">
        <f t="shared" ca="1" si="2103"/>
        <v>133</v>
      </c>
      <c r="I4994" t="str">
        <f t="shared" si="2104"/>
        <v>MSFT</v>
      </c>
      <c r="J4994">
        <f t="shared" si="2105"/>
        <v>203</v>
      </c>
      <c r="K4994">
        <f t="shared" si="2106"/>
        <v>227</v>
      </c>
      <c r="L4994">
        <f t="shared" si="2107"/>
        <v>215</v>
      </c>
      <c r="M4994">
        <f t="shared" si="2108"/>
        <v>12</v>
      </c>
      <c r="N4994">
        <f t="shared" si="2086"/>
        <v>24</v>
      </c>
      <c r="O4994">
        <f t="shared" si="2109"/>
        <v>219</v>
      </c>
      <c r="P4994">
        <f t="shared" si="2110"/>
        <v>0.33333333333333331</v>
      </c>
      <c r="Q4994" t="str">
        <f t="shared" si="2087"/>
        <v>7.31% | 3.65%</v>
      </c>
      <c r="R4994" t="str">
        <f t="shared" si="2111"/>
        <v>NEUTRAL</v>
      </c>
      <c r="S4994">
        <f t="shared" si="2088"/>
        <v>0</v>
      </c>
    </row>
    <row r="4995" spans="1:19" hidden="1" x14ac:dyDescent="0.25">
      <c r="A4995" s="5" t="str">
        <f t="shared" si="2089"/>
        <v>44120AAPL</v>
      </c>
      <c r="B4995" s="6" t="s">
        <v>28</v>
      </c>
      <c r="C4995" s="6">
        <v>110</v>
      </c>
      <c r="D4995" s="6">
        <v>126</v>
      </c>
      <c r="E4995" s="6">
        <v>120</v>
      </c>
      <c r="F4995" t="str">
        <f t="shared" si="2101"/>
        <v>FRI</v>
      </c>
      <c r="G4995" s="3">
        <f t="shared" si="2102"/>
        <v>44120</v>
      </c>
      <c r="H4995" s="2">
        <f t="shared" ca="1" si="2103"/>
        <v>133</v>
      </c>
      <c r="I4995" t="str">
        <f t="shared" si="2104"/>
        <v>AAPL</v>
      </c>
      <c r="J4995">
        <f t="shared" si="2105"/>
        <v>110</v>
      </c>
      <c r="K4995">
        <f t="shared" si="2106"/>
        <v>126</v>
      </c>
      <c r="L4995">
        <f t="shared" si="2107"/>
        <v>118</v>
      </c>
      <c r="M4995">
        <f t="shared" si="2108"/>
        <v>8</v>
      </c>
      <c r="N4995">
        <f t="shared" ref="N4995:N5058" si="2112">ABS(K4995-J4995)</f>
        <v>16</v>
      </c>
      <c r="O4995">
        <f t="shared" si="2109"/>
        <v>120</v>
      </c>
      <c r="P4995">
        <f t="shared" si="2110"/>
        <v>0.25</v>
      </c>
      <c r="Q4995" t="str">
        <f t="shared" ref="Q4995:Q5058" si="2113">ROUND(ABS(100*(O4995-J4995)/O4995),2)&amp;"% | "&amp;ROUND(ABS(100*(K4995-O4995)/O4995),2)&amp;"%"</f>
        <v>8.33% | 5%</v>
      </c>
      <c r="R4995" t="str">
        <f t="shared" si="2111"/>
        <v>BULLISH</v>
      </c>
      <c r="S4995">
        <f t="shared" ref="S4995:S5058" si="2114">IF(R4995="BEARISH",-1,IF(R4995="NEUTRAL",0,IF(R4995="BULLISH",1,99)))</f>
        <v>1</v>
      </c>
    </row>
    <row r="4996" spans="1:19" hidden="1" x14ac:dyDescent="0.25">
      <c r="A4996" s="5" t="str">
        <f t="shared" si="2089"/>
        <v>44120AMZN</v>
      </c>
      <c r="B4996" s="6" t="s">
        <v>29</v>
      </c>
      <c r="C4996" s="6">
        <v>3065</v>
      </c>
      <c r="D4996" s="6">
        <v>3523</v>
      </c>
      <c r="E4996" s="6">
        <v>3338</v>
      </c>
      <c r="F4996" t="str">
        <f t="shared" si="2101"/>
        <v>FRI</v>
      </c>
      <c r="G4996" s="3">
        <f t="shared" si="2102"/>
        <v>44120</v>
      </c>
      <c r="H4996" s="2">
        <f t="shared" ca="1" si="2103"/>
        <v>133</v>
      </c>
      <c r="I4996" t="str">
        <f t="shared" si="2104"/>
        <v>AMZN</v>
      </c>
      <c r="J4996">
        <f t="shared" si="2105"/>
        <v>3065</v>
      </c>
      <c r="K4996">
        <f t="shared" si="2106"/>
        <v>3523</v>
      </c>
      <c r="L4996">
        <f t="shared" si="2107"/>
        <v>3294</v>
      </c>
      <c r="M4996">
        <f t="shared" si="2108"/>
        <v>229</v>
      </c>
      <c r="N4996">
        <f t="shared" si="2112"/>
        <v>458</v>
      </c>
      <c r="O4996">
        <f t="shared" si="2109"/>
        <v>3338</v>
      </c>
      <c r="P4996">
        <f t="shared" si="2110"/>
        <v>0.19213973799126638</v>
      </c>
      <c r="Q4996" t="str">
        <f t="shared" si="2113"/>
        <v>8.18% | 5.54%</v>
      </c>
      <c r="R4996" t="str">
        <f t="shared" si="2111"/>
        <v>BULLISH</v>
      </c>
      <c r="S4996">
        <f t="shared" si="2114"/>
        <v>1</v>
      </c>
    </row>
    <row r="4997" spans="1:19" hidden="1" x14ac:dyDescent="0.25">
      <c r="A4997" s="5" t="str">
        <f t="shared" si="2089"/>
        <v>44120FB</v>
      </c>
      <c r="B4997" s="6" t="s">
        <v>30</v>
      </c>
      <c r="C4997" s="6">
        <v>253</v>
      </c>
      <c r="D4997" s="6">
        <v>280</v>
      </c>
      <c r="E4997" s="6">
        <v>266</v>
      </c>
      <c r="F4997" t="str">
        <f t="shared" si="2101"/>
        <v>FRI</v>
      </c>
      <c r="G4997" s="3">
        <f t="shared" si="2102"/>
        <v>44120</v>
      </c>
      <c r="H4997" s="2">
        <f t="shared" ca="1" si="2103"/>
        <v>133</v>
      </c>
      <c r="I4997" t="str">
        <f t="shared" si="2104"/>
        <v>FB</v>
      </c>
      <c r="J4997">
        <f t="shared" si="2105"/>
        <v>253</v>
      </c>
      <c r="K4997">
        <f t="shared" si="2106"/>
        <v>280</v>
      </c>
      <c r="L4997">
        <f t="shared" si="2107"/>
        <v>266.5</v>
      </c>
      <c r="M4997">
        <f t="shared" si="2108"/>
        <v>13.5</v>
      </c>
      <c r="N4997">
        <f t="shared" si="2112"/>
        <v>27</v>
      </c>
      <c r="O4997">
        <f t="shared" si="2109"/>
        <v>266</v>
      </c>
      <c r="P4997">
        <f t="shared" si="2110"/>
        <v>-3.7037037037037035E-2</v>
      </c>
      <c r="Q4997" t="str">
        <f t="shared" si="2113"/>
        <v>4.89% | 5.26%</v>
      </c>
      <c r="R4997" t="str">
        <f t="shared" si="2111"/>
        <v>BULLISH</v>
      </c>
      <c r="S4997">
        <f t="shared" si="2114"/>
        <v>1</v>
      </c>
    </row>
    <row r="4998" spans="1:19" hidden="1" x14ac:dyDescent="0.25">
      <c r="A4998" s="5" t="str">
        <f t="shared" ref="A4998:A5061" si="2115">G4998&amp;I4998</f>
        <v>44120GOOGL</v>
      </c>
      <c r="B4998" s="6" t="s">
        <v>66</v>
      </c>
      <c r="C4998" s="6">
        <v>1420</v>
      </c>
      <c r="D4998" s="6">
        <v>1606</v>
      </c>
      <c r="E4998" s="6">
        <v>1555</v>
      </c>
      <c r="F4998" t="str">
        <f t="shared" si="2101"/>
        <v>FRI</v>
      </c>
      <c r="G4998" s="3">
        <f t="shared" si="2102"/>
        <v>44120</v>
      </c>
      <c r="H4998" s="2">
        <f t="shared" ca="1" si="2103"/>
        <v>133</v>
      </c>
      <c r="I4998" t="str">
        <f t="shared" si="2104"/>
        <v>GOOGL</v>
      </c>
      <c r="J4998">
        <f t="shared" si="2105"/>
        <v>1420</v>
      </c>
      <c r="K4998">
        <f t="shared" si="2106"/>
        <v>1606</v>
      </c>
      <c r="L4998">
        <f t="shared" si="2107"/>
        <v>1513</v>
      </c>
      <c r="M4998">
        <f t="shared" si="2108"/>
        <v>93</v>
      </c>
      <c r="N4998">
        <f t="shared" si="2112"/>
        <v>186</v>
      </c>
      <c r="O4998">
        <f t="shared" si="2109"/>
        <v>1555</v>
      </c>
      <c r="P4998">
        <f t="shared" si="2110"/>
        <v>0.45161290322580644</v>
      </c>
      <c r="Q4998" t="str">
        <f t="shared" si="2113"/>
        <v>8.68% | 3.28%</v>
      </c>
      <c r="R4998" t="str">
        <f t="shared" si="2111"/>
        <v>BEARISH</v>
      </c>
      <c r="S4998">
        <f t="shared" si="2114"/>
        <v>-1</v>
      </c>
    </row>
    <row r="4999" spans="1:19" hidden="1" x14ac:dyDescent="0.25">
      <c r="A4999" s="5" t="str">
        <f t="shared" si="2115"/>
        <v>44120NFLX</v>
      </c>
      <c r="B4999" s="6" t="s">
        <v>32</v>
      </c>
      <c r="C4999" s="6">
        <v>515</v>
      </c>
      <c r="D4999" s="6">
        <v>562</v>
      </c>
      <c r="E4999" s="6">
        <v>541</v>
      </c>
      <c r="F4999" t="str">
        <f t="shared" si="2101"/>
        <v>FRI</v>
      </c>
      <c r="G4999" s="3">
        <f t="shared" si="2102"/>
        <v>44120</v>
      </c>
      <c r="H4999" s="2">
        <f t="shared" ca="1" si="2103"/>
        <v>133</v>
      </c>
      <c r="I4999" t="str">
        <f t="shared" si="2104"/>
        <v>NFLX</v>
      </c>
      <c r="J4999">
        <f t="shared" si="2105"/>
        <v>515</v>
      </c>
      <c r="K4999">
        <f t="shared" si="2106"/>
        <v>562</v>
      </c>
      <c r="L4999">
        <f t="shared" si="2107"/>
        <v>538.5</v>
      </c>
      <c r="M4999">
        <f t="shared" si="2108"/>
        <v>23.5</v>
      </c>
      <c r="N4999">
        <f t="shared" si="2112"/>
        <v>47</v>
      </c>
      <c r="O4999">
        <f t="shared" si="2109"/>
        <v>541</v>
      </c>
      <c r="P4999">
        <f t="shared" si="2110"/>
        <v>0.10638297872340426</v>
      </c>
      <c r="Q4999" t="str">
        <f t="shared" si="2113"/>
        <v>4.81% | 3.88%</v>
      </c>
      <c r="R4999" t="str">
        <f t="shared" si="2111"/>
        <v>BULLISH</v>
      </c>
      <c r="S4999">
        <f t="shared" si="2114"/>
        <v>1</v>
      </c>
    </row>
    <row r="5000" spans="1:19" x14ac:dyDescent="0.25">
      <c r="A5000" s="5" t="str">
        <f t="shared" si="2115"/>
        <v>44120TSLA</v>
      </c>
      <c r="B5000" s="6" t="s">
        <v>71</v>
      </c>
      <c r="C5000" s="6">
        <v>406</v>
      </c>
      <c r="D5000" s="6">
        <v>466</v>
      </c>
      <c r="E5000" s="6">
        <v>448</v>
      </c>
      <c r="F5000" t="str">
        <f t="shared" si="2101"/>
        <v>FRI</v>
      </c>
      <c r="G5000" s="3">
        <f t="shared" si="2102"/>
        <v>44120</v>
      </c>
      <c r="H5000" s="2">
        <f t="shared" ca="1" si="2103"/>
        <v>133</v>
      </c>
      <c r="I5000" t="str">
        <f t="shared" si="2104"/>
        <v>TSLA</v>
      </c>
      <c r="J5000">
        <f t="shared" si="2105"/>
        <v>406</v>
      </c>
      <c r="K5000">
        <f t="shared" si="2106"/>
        <v>466</v>
      </c>
      <c r="L5000">
        <f t="shared" si="2107"/>
        <v>436</v>
      </c>
      <c r="M5000">
        <f t="shared" si="2108"/>
        <v>30</v>
      </c>
      <c r="N5000">
        <f t="shared" si="2112"/>
        <v>60</v>
      </c>
      <c r="O5000">
        <f t="shared" si="2109"/>
        <v>448</v>
      </c>
      <c r="P5000">
        <f t="shared" si="2110"/>
        <v>0.4</v>
      </c>
      <c r="Q5000" t="str">
        <f t="shared" si="2113"/>
        <v>9.38% | 4.02%</v>
      </c>
      <c r="R5000" t="str">
        <f t="shared" si="2111"/>
        <v>NEUTRAL</v>
      </c>
      <c r="S5000">
        <f t="shared" si="2114"/>
        <v>0</v>
      </c>
    </row>
    <row r="5001" spans="1:19" hidden="1" x14ac:dyDescent="0.25">
      <c r="A5001" s="5" t="str">
        <f t="shared" si="2115"/>
        <v>44120NYXBT</v>
      </c>
      <c r="B5001" s="6" t="s">
        <v>60</v>
      </c>
      <c r="C5001" s="6">
        <v>10405</v>
      </c>
      <c r="D5001" s="6">
        <v>11724</v>
      </c>
      <c r="E5001" s="6">
        <v>11378</v>
      </c>
      <c r="F5001" t="str">
        <f t="shared" si="2101"/>
        <v>FRI</v>
      </c>
      <c r="G5001" s="3">
        <f t="shared" si="2102"/>
        <v>44120</v>
      </c>
      <c r="H5001" s="2">
        <f t="shared" ca="1" si="2103"/>
        <v>133</v>
      </c>
      <c r="I5001" t="str">
        <f t="shared" si="2104"/>
        <v>NYXBT</v>
      </c>
      <c r="J5001">
        <f t="shared" si="2105"/>
        <v>10405</v>
      </c>
      <c r="K5001">
        <f t="shared" si="2106"/>
        <v>11724</v>
      </c>
      <c r="L5001">
        <f t="shared" si="2107"/>
        <v>11064.5</v>
      </c>
      <c r="M5001">
        <f t="shared" si="2108"/>
        <v>659.5</v>
      </c>
      <c r="N5001">
        <f t="shared" si="2112"/>
        <v>1319</v>
      </c>
      <c r="O5001">
        <f t="shared" si="2109"/>
        <v>11378</v>
      </c>
      <c r="P5001">
        <f t="shared" si="2110"/>
        <v>0.47536012130401817</v>
      </c>
      <c r="Q5001" t="str">
        <f t="shared" si="2113"/>
        <v>8.55% | 3.04%</v>
      </c>
      <c r="R5001" t="str">
        <f t="shared" si="2111"/>
        <v>BULLISH</v>
      </c>
      <c r="S5001">
        <f t="shared" si="2114"/>
        <v>1</v>
      </c>
    </row>
    <row r="5002" spans="1:19" hidden="1" x14ac:dyDescent="0.25">
      <c r="A5002" s="5" t="str">
        <f t="shared" si="2115"/>
        <v>44123UST10Y</v>
      </c>
      <c r="B5002" s="6" t="s">
        <v>161</v>
      </c>
      <c r="C5002" s="6">
        <v>0.81</v>
      </c>
      <c r="D5002" s="6">
        <v>0.68</v>
      </c>
      <c r="E5002" s="6">
        <v>0.76</v>
      </c>
      <c r="F5002" t="str">
        <f t="shared" si="2101"/>
        <v>MON</v>
      </c>
      <c r="G5002" s="1">
        <f>DATE(2020,10,19)</f>
        <v>44123</v>
      </c>
      <c r="H5002" s="2">
        <f t="shared" ca="1" si="2103"/>
        <v>130</v>
      </c>
      <c r="I5002" t="str">
        <f t="shared" si="2104"/>
        <v>UST10Y</v>
      </c>
      <c r="J5002">
        <f t="shared" si="2105"/>
        <v>0.81</v>
      </c>
      <c r="K5002">
        <f t="shared" si="2106"/>
        <v>0.68</v>
      </c>
      <c r="L5002">
        <f t="shared" si="2107"/>
        <v>0.74500000000000011</v>
      </c>
      <c r="M5002">
        <f t="shared" si="2108"/>
        <v>6.5000000000000002E-2</v>
      </c>
      <c r="N5002">
        <f t="shared" si="2112"/>
        <v>0.13</v>
      </c>
      <c r="O5002">
        <f t="shared" si="2109"/>
        <v>0.76</v>
      </c>
      <c r="P5002">
        <f t="shared" si="2110"/>
        <v>0.23076923076922926</v>
      </c>
      <c r="Q5002" t="str">
        <f t="shared" si="2113"/>
        <v>6.58% | 10.53%</v>
      </c>
      <c r="R5002" t="str">
        <f t="shared" si="2111"/>
        <v>BEARISH</v>
      </c>
      <c r="S5002">
        <f t="shared" si="2114"/>
        <v>-1</v>
      </c>
    </row>
    <row r="5003" spans="1:19" hidden="1" x14ac:dyDescent="0.25">
      <c r="A5003" s="5" t="str">
        <f t="shared" si="2115"/>
        <v>44123UST2Y</v>
      </c>
      <c r="B5003" s="6" t="s">
        <v>162</v>
      </c>
      <c r="C5003" s="6">
        <v>0.16</v>
      </c>
      <c r="D5003" s="6">
        <v>0.12</v>
      </c>
      <c r="E5003" s="6">
        <v>0.14000000000000001</v>
      </c>
      <c r="F5003" t="str">
        <f t="shared" ref="F5003:F5033" si="2116">UPPER(TEXT(G5003,"ddd"))</f>
        <v>MON</v>
      </c>
      <c r="G5003" s="1">
        <f t="shared" ref="G5003:G5032" si="2117">DATE(2020,10,19)</f>
        <v>44123</v>
      </c>
      <c r="H5003" s="2">
        <f t="shared" ref="H5003:H5033" ca="1" si="2118">TODAY()-G5003</f>
        <v>130</v>
      </c>
      <c r="I5003" t="str">
        <f t="shared" ref="I5003:I5033" si="2119">TRIM(LEFT(B5003,FIND(" ",B5003,1)))</f>
        <v>UST2Y</v>
      </c>
      <c r="J5003">
        <f t="shared" ref="J5003:J5033" si="2120">C5003</f>
        <v>0.16</v>
      </c>
      <c r="K5003">
        <f t="shared" ref="K5003:K5033" si="2121">D5003</f>
        <v>0.12</v>
      </c>
      <c r="L5003">
        <f t="shared" ref="L5003:L5033" si="2122">AVERAGE(J5003:K5003)</f>
        <v>0.14000000000000001</v>
      </c>
      <c r="M5003">
        <f t="shared" ref="M5003:M5033" si="2123">_xlfn.STDEV.P(J5003:K5003)</f>
        <v>1.9999999999999938E-2</v>
      </c>
      <c r="N5003">
        <f t="shared" si="2112"/>
        <v>4.0000000000000008E-2</v>
      </c>
      <c r="O5003">
        <f t="shared" ref="O5003:O5033" si="2124">E5003</f>
        <v>0.14000000000000001</v>
      </c>
      <c r="P5003">
        <f t="shared" ref="P5003:P5033" si="2125">(O5003-L5003)/M5003</f>
        <v>0</v>
      </c>
      <c r="Q5003" t="str">
        <f t="shared" si="2113"/>
        <v>14.29% | 14.29%</v>
      </c>
      <c r="R5003" t="str">
        <f t="shared" ref="R5003:R5033" si="2126">MID(B5003,FIND("(",B5003,1)+1,FIND(")",B5003,1)-FIND("(",B5003,1)-1)</f>
        <v>BEARISH</v>
      </c>
      <c r="S5003">
        <f t="shared" si="2114"/>
        <v>-1</v>
      </c>
    </row>
    <row r="5004" spans="1:19" hidden="1" x14ac:dyDescent="0.25">
      <c r="A5004" s="5" t="str">
        <f t="shared" si="2115"/>
        <v>44123SPX</v>
      </c>
      <c r="B5004" s="6" t="s">
        <v>163</v>
      </c>
      <c r="C5004" s="6">
        <v>3359</v>
      </c>
      <c r="D5004" s="6">
        <v>3567</v>
      </c>
      <c r="E5004" s="6">
        <v>3483</v>
      </c>
      <c r="F5004" t="str">
        <f t="shared" si="2116"/>
        <v>MON</v>
      </c>
      <c r="G5004" s="1">
        <f t="shared" si="2117"/>
        <v>44123</v>
      </c>
      <c r="H5004" s="2">
        <f t="shared" ca="1" si="2118"/>
        <v>130</v>
      </c>
      <c r="I5004" t="str">
        <f t="shared" si="2119"/>
        <v>SPX</v>
      </c>
      <c r="J5004">
        <f t="shared" si="2120"/>
        <v>3359</v>
      </c>
      <c r="K5004">
        <f t="shared" si="2121"/>
        <v>3567</v>
      </c>
      <c r="L5004">
        <f t="shared" si="2122"/>
        <v>3463</v>
      </c>
      <c r="M5004">
        <f t="shared" si="2123"/>
        <v>104</v>
      </c>
      <c r="N5004">
        <f t="shared" si="2112"/>
        <v>208</v>
      </c>
      <c r="O5004">
        <f t="shared" si="2124"/>
        <v>3483</v>
      </c>
      <c r="P5004">
        <f t="shared" si="2125"/>
        <v>0.19230769230769232</v>
      </c>
      <c r="Q5004" t="str">
        <f t="shared" si="2113"/>
        <v>3.56% | 2.41%</v>
      </c>
      <c r="R5004" t="str">
        <f t="shared" si="2126"/>
        <v>NEUTRAL</v>
      </c>
      <c r="S5004">
        <f t="shared" si="2114"/>
        <v>0</v>
      </c>
    </row>
    <row r="5005" spans="1:19" hidden="1" x14ac:dyDescent="0.25">
      <c r="A5005" s="5" t="str">
        <f t="shared" si="2115"/>
        <v>44123RUT</v>
      </c>
      <c r="B5005" s="6" t="s">
        <v>242</v>
      </c>
      <c r="C5005" s="6">
        <v>1600</v>
      </c>
      <c r="D5005" s="6">
        <v>1666</v>
      </c>
      <c r="E5005" s="6">
        <v>1633</v>
      </c>
      <c r="F5005" t="str">
        <f t="shared" si="2116"/>
        <v>MON</v>
      </c>
      <c r="G5005" s="1">
        <f t="shared" si="2117"/>
        <v>44123</v>
      </c>
      <c r="H5005" s="2">
        <f t="shared" ca="1" si="2118"/>
        <v>130</v>
      </c>
      <c r="I5005" t="str">
        <f t="shared" si="2119"/>
        <v>RUT</v>
      </c>
      <c r="J5005">
        <f t="shared" si="2120"/>
        <v>1600</v>
      </c>
      <c r="K5005">
        <f t="shared" si="2121"/>
        <v>1666</v>
      </c>
      <c r="L5005">
        <f t="shared" si="2122"/>
        <v>1633</v>
      </c>
      <c r="M5005">
        <f t="shared" si="2123"/>
        <v>33</v>
      </c>
      <c r="N5005">
        <f t="shared" si="2112"/>
        <v>66</v>
      </c>
      <c r="O5005">
        <f t="shared" si="2124"/>
        <v>1633</v>
      </c>
      <c r="P5005">
        <f t="shared" si="2125"/>
        <v>0</v>
      </c>
      <c r="Q5005" t="str">
        <f t="shared" si="2113"/>
        <v>2.02% | 2.02%</v>
      </c>
      <c r="R5005" t="str">
        <f t="shared" si="2126"/>
        <v>NEUTRAL</v>
      </c>
      <c r="S5005">
        <f t="shared" si="2114"/>
        <v>0</v>
      </c>
    </row>
    <row r="5006" spans="1:19" hidden="1" x14ac:dyDescent="0.25">
      <c r="A5006" s="5" t="str">
        <f t="shared" si="2115"/>
        <v>44123COMPQ</v>
      </c>
      <c r="B5006" s="6" t="s">
        <v>212</v>
      </c>
      <c r="C5006" s="6">
        <v>11104</v>
      </c>
      <c r="D5006" s="6">
        <v>12058</v>
      </c>
      <c r="E5006" s="6">
        <v>11671</v>
      </c>
      <c r="F5006" t="str">
        <f t="shared" si="2116"/>
        <v>MON</v>
      </c>
      <c r="G5006" s="1">
        <f t="shared" si="2117"/>
        <v>44123</v>
      </c>
      <c r="H5006" s="2">
        <f t="shared" ca="1" si="2118"/>
        <v>130</v>
      </c>
      <c r="I5006" t="str">
        <f t="shared" si="2119"/>
        <v>COMPQ</v>
      </c>
      <c r="J5006">
        <f t="shared" si="2120"/>
        <v>11104</v>
      </c>
      <c r="K5006">
        <f t="shared" si="2121"/>
        <v>12058</v>
      </c>
      <c r="L5006">
        <f t="shared" si="2122"/>
        <v>11581</v>
      </c>
      <c r="M5006">
        <f t="shared" si="2123"/>
        <v>477</v>
      </c>
      <c r="N5006">
        <f t="shared" si="2112"/>
        <v>954</v>
      </c>
      <c r="O5006">
        <f t="shared" si="2124"/>
        <v>11671</v>
      </c>
      <c r="P5006">
        <f t="shared" si="2125"/>
        <v>0.18867924528301888</v>
      </c>
      <c r="Q5006" t="str">
        <f t="shared" si="2113"/>
        <v>4.86% | 3.32%</v>
      </c>
      <c r="R5006" t="str">
        <f t="shared" si="2126"/>
        <v>NEUTRAL</v>
      </c>
      <c r="S5006">
        <f t="shared" si="2114"/>
        <v>0</v>
      </c>
    </row>
    <row r="5007" spans="1:19" hidden="1" x14ac:dyDescent="0.25">
      <c r="A5007" s="5" t="str">
        <f t="shared" si="2115"/>
        <v>44123XLK</v>
      </c>
      <c r="B5007" s="6" t="s">
        <v>166</v>
      </c>
      <c r="C5007" s="6">
        <v>115.5</v>
      </c>
      <c r="D5007" s="6">
        <v>125.33</v>
      </c>
      <c r="E5007" s="6">
        <v>121.12</v>
      </c>
      <c r="F5007" t="str">
        <f t="shared" si="2116"/>
        <v>MON</v>
      </c>
      <c r="G5007" s="1">
        <f t="shared" si="2117"/>
        <v>44123</v>
      </c>
      <c r="H5007" s="2">
        <f t="shared" ca="1" si="2118"/>
        <v>130</v>
      </c>
      <c r="I5007" t="str">
        <f t="shared" si="2119"/>
        <v>XLK</v>
      </c>
      <c r="J5007">
        <f t="shared" si="2120"/>
        <v>115.5</v>
      </c>
      <c r="K5007">
        <f t="shared" si="2121"/>
        <v>125.33</v>
      </c>
      <c r="L5007">
        <f t="shared" si="2122"/>
        <v>120.41499999999999</v>
      </c>
      <c r="M5007">
        <f t="shared" si="2123"/>
        <v>4.9149999999999991</v>
      </c>
      <c r="N5007">
        <f t="shared" si="2112"/>
        <v>9.8299999999999983</v>
      </c>
      <c r="O5007">
        <f t="shared" si="2124"/>
        <v>121.12</v>
      </c>
      <c r="P5007">
        <f t="shared" si="2125"/>
        <v>0.14343845371312566</v>
      </c>
      <c r="Q5007" t="str">
        <f t="shared" si="2113"/>
        <v>4.64% | 3.48%</v>
      </c>
      <c r="R5007" t="str">
        <f t="shared" si="2126"/>
        <v>BULLISH</v>
      </c>
      <c r="S5007">
        <f t="shared" si="2114"/>
        <v>1</v>
      </c>
    </row>
    <row r="5008" spans="1:19" hidden="1" x14ac:dyDescent="0.25">
      <c r="A5008" s="5" t="str">
        <f t="shared" si="2115"/>
        <v>44123XLRE</v>
      </c>
      <c r="B5008" s="6" t="s">
        <v>167</v>
      </c>
      <c r="C5008" s="6">
        <v>35.549999999999997</v>
      </c>
      <c r="D5008" s="6">
        <v>37.299999999999997</v>
      </c>
      <c r="E5008" s="6">
        <v>36.11</v>
      </c>
      <c r="F5008" t="str">
        <f t="shared" si="2116"/>
        <v>MON</v>
      </c>
      <c r="G5008" s="1">
        <f t="shared" si="2117"/>
        <v>44123</v>
      </c>
      <c r="H5008" s="2">
        <f t="shared" ca="1" si="2118"/>
        <v>130</v>
      </c>
      <c r="I5008" t="str">
        <f t="shared" si="2119"/>
        <v>XLRE</v>
      </c>
      <c r="J5008">
        <f t="shared" si="2120"/>
        <v>35.549999999999997</v>
      </c>
      <c r="K5008">
        <f t="shared" si="2121"/>
        <v>37.299999999999997</v>
      </c>
      <c r="L5008">
        <f t="shared" si="2122"/>
        <v>36.424999999999997</v>
      </c>
      <c r="M5008">
        <f t="shared" si="2123"/>
        <v>0.875</v>
      </c>
      <c r="N5008">
        <f t="shared" si="2112"/>
        <v>1.75</v>
      </c>
      <c r="O5008">
        <f t="shared" si="2124"/>
        <v>36.11</v>
      </c>
      <c r="P5008">
        <f t="shared" si="2125"/>
        <v>-0.35999999999999738</v>
      </c>
      <c r="Q5008" t="str">
        <f t="shared" si="2113"/>
        <v>1.55% | 3.3%</v>
      </c>
      <c r="R5008" t="str">
        <f t="shared" si="2126"/>
        <v>BULLISH</v>
      </c>
      <c r="S5008">
        <f t="shared" si="2114"/>
        <v>1</v>
      </c>
    </row>
    <row r="5009" spans="1:19" hidden="1" x14ac:dyDescent="0.25">
      <c r="A5009" s="5" t="str">
        <f t="shared" si="2115"/>
        <v>44123XLU</v>
      </c>
      <c r="B5009" s="6" t="s">
        <v>168</v>
      </c>
      <c r="C5009" s="6">
        <v>60.18</v>
      </c>
      <c r="D5009" s="6">
        <v>64.81</v>
      </c>
      <c r="E5009" s="6">
        <v>64</v>
      </c>
      <c r="F5009" t="str">
        <f t="shared" si="2116"/>
        <v>MON</v>
      </c>
      <c r="G5009" s="1">
        <f t="shared" si="2117"/>
        <v>44123</v>
      </c>
      <c r="H5009" s="2">
        <f t="shared" ca="1" si="2118"/>
        <v>130</v>
      </c>
      <c r="I5009" t="str">
        <f t="shared" si="2119"/>
        <v>XLU</v>
      </c>
      <c r="J5009">
        <f t="shared" si="2120"/>
        <v>60.18</v>
      </c>
      <c r="K5009">
        <f t="shared" si="2121"/>
        <v>64.81</v>
      </c>
      <c r="L5009">
        <f t="shared" si="2122"/>
        <v>62.495000000000005</v>
      </c>
      <c r="M5009">
        <f t="shared" si="2123"/>
        <v>2.3150000000000013</v>
      </c>
      <c r="N5009">
        <f t="shared" si="2112"/>
        <v>4.6300000000000026</v>
      </c>
      <c r="O5009">
        <f t="shared" si="2124"/>
        <v>64</v>
      </c>
      <c r="P5009">
        <f t="shared" si="2125"/>
        <v>0.65010799136068886</v>
      </c>
      <c r="Q5009" t="str">
        <f t="shared" si="2113"/>
        <v>5.97% | 1.27%</v>
      </c>
      <c r="R5009" t="str">
        <f t="shared" si="2126"/>
        <v>BULLISH</v>
      </c>
      <c r="S5009">
        <f t="shared" si="2114"/>
        <v>1</v>
      </c>
    </row>
    <row r="5010" spans="1:19" hidden="1" x14ac:dyDescent="0.25">
      <c r="A5010" s="5" t="str">
        <f t="shared" si="2115"/>
        <v>44123XLF</v>
      </c>
      <c r="B5010" s="6" t="s">
        <v>169</v>
      </c>
      <c r="C5010" s="6">
        <v>24.23</v>
      </c>
      <c r="D5010" s="6">
        <v>25.6</v>
      </c>
      <c r="E5010" s="6">
        <v>24.99</v>
      </c>
      <c r="F5010" t="str">
        <f t="shared" si="2116"/>
        <v>MON</v>
      </c>
      <c r="G5010" s="1">
        <f t="shared" si="2117"/>
        <v>44123</v>
      </c>
      <c r="H5010" s="2">
        <f t="shared" ca="1" si="2118"/>
        <v>130</v>
      </c>
      <c r="I5010" t="str">
        <f t="shared" si="2119"/>
        <v>XLF</v>
      </c>
      <c r="J5010">
        <f t="shared" si="2120"/>
        <v>24.23</v>
      </c>
      <c r="K5010">
        <f t="shared" si="2121"/>
        <v>25.6</v>
      </c>
      <c r="L5010">
        <f t="shared" si="2122"/>
        <v>24.914999999999999</v>
      </c>
      <c r="M5010">
        <f t="shared" si="2123"/>
        <v>0.6850000000000005</v>
      </c>
      <c r="N5010">
        <f t="shared" si="2112"/>
        <v>1.370000000000001</v>
      </c>
      <c r="O5010">
        <f t="shared" si="2124"/>
        <v>24.99</v>
      </c>
      <c r="P5010">
        <f t="shared" si="2125"/>
        <v>0.10948905109488939</v>
      </c>
      <c r="Q5010" t="str">
        <f t="shared" si="2113"/>
        <v>3.04% | 2.44%</v>
      </c>
      <c r="R5010" t="str">
        <f t="shared" si="2126"/>
        <v>BEARISH</v>
      </c>
      <c r="S5010">
        <f t="shared" si="2114"/>
        <v>-1</v>
      </c>
    </row>
    <row r="5011" spans="1:19" hidden="1" x14ac:dyDescent="0.25">
      <c r="A5011" s="5" t="str">
        <f t="shared" si="2115"/>
        <v>44123SSEC</v>
      </c>
      <c r="B5011" s="6" t="s">
        <v>170</v>
      </c>
      <c r="C5011" s="6">
        <v>3195</v>
      </c>
      <c r="D5011" s="6">
        <v>3401</v>
      </c>
      <c r="E5011" s="6">
        <v>3312</v>
      </c>
      <c r="F5011" t="str">
        <f t="shared" si="2116"/>
        <v>MON</v>
      </c>
      <c r="G5011" s="1">
        <f t="shared" si="2117"/>
        <v>44123</v>
      </c>
      <c r="H5011" s="2">
        <f t="shared" ca="1" si="2118"/>
        <v>130</v>
      </c>
      <c r="I5011" t="str">
        <f t="shared" si="2119"/>
        <v>SSEC</v>
      </c>
      <c r="J5011">
        <f t="shared" si="2120"/>
        <v>3195</v>
      </c>
      <c r="K5011">
        <f t="shared" si="2121"/>
        <v>3401</v>
      </c>
      <c r="L5011">
        <f t="shared" si="2122"/>
        <v>3298</v>
      </c>
      <c r="M5011">
        <f t="shared" si="2123"/>
        <v>103</v>
      </c>
      <c r="N5011">
        <f t="shared" si="2112"/>
        <v>206</v>
      </c>
      <c r="O5011">
        <f t="shared" si="2124"/>
        <v>3312</v>
      </c>
      <c r="P5011">
        <f t="shared" si="2125"/>
        <v>0.13592233009708737</v>
      </c>
      <c r="Q5011" t="str">
        <f t="shared" si="2113"/>
        <v>3.53% | 2.69%</v>
      </c>
      <c r="R5011" t="str">
        <f t="shared" si="2126"/>
        <v>BULLISH</v>
      </c>
      <c r="S5011">
        <f t="shared" si="2114"/>
        <v>1</v>
      </c>
    </row>
    <row r="5012" spans="1:19" hidden="1" x14ac:dyDescent="0.25">
      <c r="A5012" s="5" t="str">
        <f t="shared" si="2115"/>
        <v>44123NIKK</v>
      </c>
      <c r="B5012" s="6" t="s">
        <v>201</v>
      </c>
      <c r="C5012" s="6">
        <v>23351</v>
      </c>
      <c r="D5012" s="6">
        <v>23765</v>
      </c>
      <c r="E5012" s="6">
        <v>23671</v>
      </c>
      <c r="F5012" t="str">
        <f t="shared" si="2116"/>
        <v>MON</v>
      </c>
      <c r="G5012" s="1">
        <f t="shared" si="2117"/>
        <v>44123</v>
      </c>
      <c r="H5012" s="2">
        <f t="shared" ca="1" si="2118"/>
        <v>130</v>
      </c>
      <c r="I5012" t="str">
        <f t="shared" si="2119"/>
        <v>NIKK</v>
      </c>
      <c r="J5012">
        <f t="shared" si="2120"/>
        <v>23351</v>
      </c>
      <c r="K5012">
        <f t="shared" si="2121"/>
        <v>23765</v>
      </c>
      <c r="L5012">
        <f t="shared" si="2122"/>
        <v>23558</v>
      </c>
      <c r="M5012">
        <f t="shared" si="2123"/>
        <v>207</v>
      </c>
      <c r="N5012">
        <f t="shared" si="2112"/>
        <v>414</v>
      </c>
      <c r="O5012">
        <f t="shared" si="2124"/>
        <v>23671</v>
      </c>
      <c r="P5012">
        <f t="shared" si="2125"/>
        <v>0.54589371980676327</v>
      </c>
      <c r="Q5012" t="str">
        <f t="shared" si="2113"/>
        <v>1.35% | 0.4%</v>
      </c>
      <c r="R5012" t="str">
        <f t="shared" si="2126"/>
        <v>BULLISH</v>
      </c>
      <c r="S5012">
        <f t="shared" si="2114"/>
        <v>1</v>
      </c>
    </row>
    <row r="5013" spans="1:19" hidden="1" x14ac:dyDescent="0.25">
      <c r="A5013" s="5" t="str">
        <f t="shared" si="2115"/>
        <v>44123DAX</v>
      </c>
      <c r="B5013" s="6" t="s">
        <v>198</v>
      </c>
      <c r="C5013" s="6">
        <v>12705</v>
      </c>
      <c r="D5013" s="6">
        <v>13208</v>
      </c>
      <c r="E5013" s="6">
        <v>12908</v>
      </c>
      <c r="F5013" t="str">
        <f t="shared" si="2116"/>
        <v>MON</v>
      </c>
      <c r="G5013" s="1">
        <f t="shared" si="2117"/>
        <v>44123</v>
      </c>
      <c r="H5013" s="2">
        <f t="shared" ca="1" si="2118"/>
        <v>130</v>
      </c>
      <c r="I5013" t="str">
        <f t="shared" si="2119"/>
        <v>DAX</v>
      </c>
      <c r="J5013">
        <f t="shared" si="2120"/>
        <v>12705</v>
      </c>
      <c r="K5013">
        <f t="shared" si="2121"/>
        <v>13208</v>
      </c>
      <c r="L5013">
        <f t="shared" si="2122"/>
        <v>12956.5</v>
      </c>
      <c r="M5013">
        <f t="shared" si="2123"/>
        <v>251.5</v>
      </c>
      <c r="N5013">
        <f t="shared" si="2112"/>
        <v>503</v>
      </c>
      <c r="O5013">
        <f t="shared" si="2124"/>
        <v>12908</v>
      </c>
      <c r="P5013">
        <f t="shared" si="2125"/>
        <v>-0.19284294234592445</v>
      </c>
      <c r="Q5013" t="str">
        <f t="shared" si="2113"/>
        <v>1.57% | 2.32%</v>
      </c>
      <c r="R5013" t="str">
        <f t="shared" si="2126"/>
        <v>NEUTRAL</v>
      </c>
      <c r="S5013">
        <f t="shared" si="2114"/>
        <v>0</v>
      </c>
    </row>
    <row r="5014" spans="1:19" hidden="1" x14ac:dyDescent="0.25">
      <c r="A5014" s="5" t="str">
        <f t="shared" si="2115"/>
        <v>44123VIX</v>
      </c>
      <c r="B5014" s="6" t="s">
        <v>173</v>
      </c>
      <c r="C5014" s="6">
        <v>23.99</v>
      </c>
      <c r="D5014" s="6">
        <v>29.69</v>
      </c>
      <c r="E5014" s="6">
        <v>27.41</v>
      </c>
      <c r="F5014" t="str">
        <f t="shared" si="2116"/>
        <v>MON</v>
      </c>
      <c r="G5014" s="1">
        <f t="shared" si="2117"/>
        <v>44123</v>
      </c>
      <c r="H5014" s="2">
        <f t="shared" ca="1" si="2118"/>
        <v>130</v>
      </c>
      <c r="I5014" t="str">
        <f t="shared" si="2119"/>
        <v>VIX</v>
      </c>
      <c r="J5014">
        <f t="shared" si="2120"/>
        <v>23.99</v>
      </c>
      <c r="K5014">
        <f t="shared" si="2121"/>
        <v>29.69</v>
      </c>
      <c r="L5014">
        <f t="shared" si="2122"/>
        <v>26.84</v>
      </c>
      <c r="M5014">
        <f t="shared" si="2123"/>
        <v>2.8500000000000103</v>
      </c>
      <c r="N5014">
        <f t="shared" si="2112"/>
        <v>5.7000000000000028</v>
      </c>
      <c r="O5014">
        <f t="shared" si="2124"/>
        <v>27.41</v>
      </c>
      <c r="P5014">
        <f t="shared" si="2125"/>
        <v>0.19999999999999937</v>
      </c>
      <c r="Q5014" t="str">
        <f t="shared" si="2113"/>
        <v>12.48% | 8.32%</v>
      </c>
      <c r="R5014" t="str">
        <f t="shared" si="2126"/>
        <v>NEUTRAL</v>
      </c>
      <c r="S5014">
        <f t="shared" si="2114"/>
        <v>0</v>
      </c>
    </row>
    <row r="5015" spans="1:19" hidden="1" x14ac:dyDescent="0.25">
      <c r="A5015" s="5" t="str">
        <f t="shared" si="2115"/>
        <v>44123USD</v>
      </c>
      <c r="B5015" s="6" t="s">
        <v>237</v>
      </c>
      <c r="C5015" s="6">
        <v>92.89</v>
      </c>
      <c r="D5015" s="6">
        <v>94.15</v>
      </c>
      <c r="E5015" s="6">
        <v>93.68</v>
      </c>
      <c r="F5015" t="str">
        <f t="shared" si="2116"/>
        <v>MON</v>
      </c>
      <c r="G5015" s="1">
        <f t="shared" si="2117"/>
        <v>44123</v>
      </c>
      <c r="H5015" s="2">
        <f t="shared" ca="1" si="2118"/>
        <v>130</v>
      </c>
      <c r="I5015" t="str">
        <f t="shared" si="2119"/>
        <v>USD</v>
      </c>
      <c r="J5015">
        <f t="shared" si="2120"/>
        <v>92.89</v>
      </c>
      <c r="K5015">
        <f t="shared" si="2121"/>
        <v>94.15</v>
      </c>
      <c r="L5015">
        <f t="shared" si="2122"/>
        <v>93.52000000000001</v>
      </c>
      <c r="M5015">
        <f t="shared" si="2123"/>
        <v>0.63000000000000256</v>
      </c>
      <c r="N5015">
        <f t="shared" si="2112"/>
        <v>1.2600000000000051</v>
      </c>
      <c r="O5015">
        <f t="shared" si="2124"/>
        <v>93.68</v>
      </c>
      <c r="P5015">
        <f t="shared" si="2125"/>
        <v>0.25396825396824751</v>
      </c>
      <c r="Q5015" t="str">
        <f t="shared" si="2113"/>
        <v>0.84% | 0.5%</v>
      </c>
      <c r="R5015" t="str">
        <f t="shared" si="2126"/>
        <v>NEUTRAL</v>
      </c>
      <c r="S5015">
        <f t="shared" si="2114"/>
        <v>0</v>
      </c>
    </row>
    <row r="5016" spans="1:19" hidden="1" x14ac:dyDescent="0.25">
      <c r="A5016" s="5" t="str">
        <f t="shared" si="2115"/>
        <v>44123EUR/USD</v>
      </c>
      <c r="B5016" s="6" t="s">
        <v>238</v>
      </c>
      <c r="C5016" s="6">
        <v>1.1599999999999999</v>
      </c>
      <c r="D5016" s="6">
        <v>1.18</v>
      </c>
      <c r="E5016" s="6">
        <v>1.17</v>
      </c>
      <c r="F5016" t="str">
        <f t="shared" si="2116"/>
        <v>MON</v>
      </c>
      <c r="G5016" s="1">
        <f t="shared" si="2117"/>
        <v>44123</v>
      </c>
      <c r="H5016" s="2">
        <f t="shared" ca="1" si="2118"/>
        <v>130</v>
      </c>
      <c r="I5016" t="str">
        <f t="shared" si="2119"/>
        <v>EUR/USD</v>
      </c>
      <c r="J5016">
        <f t="shared" si="2120"/>
        <v>1.1599999999999999</v>
      </c>
      <c r="K5016">
        <f t="shared" si="2121"/>
        <v>1.18</v>
      </c>
      <c r="L5016">
        <f t="shared" si="2122"/>
        <v>1.17</v>
      </c>
      <c r="M5016">
        <f t="shared" si="2123"/>
        <v>1.0000000000000009E-2</v>
      </c>
      <c r="N5016">
        <f t="shared" si="2112"/>
        <v>2.0000000000000018E-2</v>
      </c>
      <c r="O5016">
        <f t="shared" si="2124"/>
        <v>1.17</v>
      </c>
      <c r="P5016">
        <f t="shared" si="2125"/>
        <v>0</v>
      </c>
      <c r="Q5016" t="str">
        <f t="shared" si="2113"/>
        <v>0.85% | 0.85%</v>
      </c>
      <c r="R5016" t="str">
        <f t="shared" si="2126"/>
        <v>NEUTRAL</v>
      </c>
      <c r="S5016">
        <f t="shared" si="2114"/>
        <v>0</v>
      </c>
    </row>
    <row r="5017" spans="1:19" hidden="1" x14ac:dyDescent="0.25">
      <c r="A5017" s="5" t="str">
        <f t="shared" si="2115"/>
        <v>44123USD/JPY</v>
      </c>
      <c r="B5017" s="6" t="s">
        <v>176</v>
      </c>
      <c r="C5017" s="6">
        <v>105</v>
      </c>
      <c r="D5017" s="6">
        <v>106.09</v>
      </c>
      <c r="E5017" s="6">
        <v>105.4</v>
      </c>
      <c r="F5017" t="str">
        <f t="shared" si="2116"/>
        <v>MON</v>
      </c>
      <c r="G5017" s="1">
        <f t="shared" si="2117"/>
        <v>44123</v>
      </c>
      <c r="H5017" s="2">
        <f t="shared" ca="1" si="2118"/>
        <v>130</v>
      </c>
      <c r="I5017" t="str">
        <f t="shared" si="2119"/>
        <v>USD/JPY</v>
      </c>
      <c r="J5017">
        <f t="shared" si="2120"/>
        <v>105</v>
      </c>
      <c r="K5017">
        <f t="shared" si="2121"/>
        <v>106.09</v>
      </c>
      <c r="L5017">
        <f t="shared" si="2122"/>
        <v>105.545</v>
      </c>
      <c r="M5017">
        <f t="shared" si="2123"/>
        <v>0.54500000000000171</v>
      </c>
      <c r="N5017">
        <f t="shared" si="2112"/>
        <v>1.0900000000000034</v>
      </c>
      <c r="O5017">
        <f t="shared" si="2124"/>
        <v>105.4</v>
      </c>
      <c r="P5017">
        <f t="shared" si="2125"/>
        <v>-0.26605504587155149</v>
      </c>
      <c r="Q5017" t="str">
        <f t="shared" si="2113"/>
        <v>0.38% | 0.65%</v>
      </c>
      <c r="R5017" t="str">
        <f t="shared" si="2126"/>
        <v>BEARISH</v>
      </c>
      <c r="S5017">
        <f t="shared" si="2114"/>
        <v>-1</v>
      </c>
    </row>
    <row r="5018" spans="1:19" hidden="1" x14ac:dyDescent="0.25">
      <c r="A5018" s="5" t="str">
        <f t="shared" si="2115"/>
        <v>44123GBP/USD</v>
      </c>
      <c r="B5018" s="6" t="s">
        <v>214</v>
      </c>
      <c r="C5018" s="6">
        <v>1.28</v>
      </c>
      <c r="D5018" s="6">
        <v>1.31</v>
      </c>
      <c r="E5018" s="6">
        <v>1.29</v>
      </c>
      <c r="F5018" t="str">
        <f t="shared" si="2116"/>
        <v>MON</v>
      </c>
      <c r="G5018" s="1">
        <f t="shared" si="2117"/>
        <v>44123</v>
      </c>
      <c r="H5018" s="2">
        <f t="shared" ca="1" si="2118"/>
        <v>130</v>
      </c>
      <c r="I5018" t="str">
        <f t="shared" si="2119"/>
        <v>GBP/USD</v>
      </c>
      <c r="J5018">
        <f t="shared" si="2120"/>
        <v>1.28</v>
      </c>
      <c r="K5018">
        <f t="shared" si="2121"/>
        <v>1.31</v>
      </c>
      <c r="L5018">
        <f t="shared" si="2122"/>
        <v>1.2949999999999999</v>
      </c>
      <c r="M5018">
        <f t="shared" si="2123"/>
        <v>1.5000000000000013E-2</v>
      </c>
      <c r="N5018">
        <f t="shared" si="2112"/>
        <v>3.0000000000000027E-2</v>
      </c>
      <c r="O5018">
        <f t="shared" si="2124"/>
        <v>1.29</v>
      </c>
      <c r="P5018">
        <f t="shared" si="2125"/>
        <v>-0.33333333333332593</v>
      </c>
      <c r="Q5018" t="str">
        <f t="shared" si="2113"/>
        <v>0.78% | 1.55%</v>
      </c>
      <c r="R5018" t="str">
        <f t="shared" si="2126"/>
        <v>NEUTRAL</v>
      </c>
      <c r="S5018">
        <f t="shared" si="2114"/>
        <v>0</v>
      </c>
    </row>
    <row r="5019" spans="1:19" hidden="1" x14ac:dyDescent="0.25">
      <c r="A5019" s="5" t="str">
        <f t="shared" si="2115"/>
        <v>44123USD/CHF</v>
      </c>
      <c r="B5019" s="6" t="s">
        <v>178</v>
      </c>
      <c r="C5019" s="6">
        <v>0.9</v>
      </c>
      <c r="D5019" s="6">
        <v>0.92</v>
      </c>
      <c r="E5019" s="6">
        <v>0.91</v>
      </c>
      <c r="F5019" t="str">
        <f t="shared" si="2116"/>
        <v>MON</v>
      </c>
      <c r="G5019" s="1">
        <f t="shared" si="2117"/>
        <v>44123</v>
      </c>
      <c r="H5019" s="2">
        <f t="shared" ca="1" si="2118"/>
        <v>130</v>
      </c>
      <c r="I5019" t="str">
        <f t="shared" si="2119"/>
        <v>USD/CHF</v>
      </c>
      <c r="J5019">
        <f t="shared" si="2120"/>
        <v>0.9</v>
      </c>
      <c r="K5019">
        <f t="shared" si="2121"/>
        <v>0.92</v>
      </c>
      <c r="L5019">
        <f t="shared" si="2122"/>
        <v>0.91</v>
      </c>
      <c r="M5019">
        <f t="shared" si="2123"/>
        <v>1.0000000000000009E-2</v>
      </c>
      <c r="N5019">
        <f t="shared" si="2112"/>
        <v>2.0000000000000018E-2</v>
      </c>
      <c r="O5019">
        <f t="shared" si="2124"/>
        <v>0.91</v>
      </c>
      <c r="P5019">
        <f t="shared" si="2125"/>
        <v>0</v>
      </c>
      <c r="Q5019" t="str">
        <f t="shared" si="2113"/>
        <v>1.1% | 1.1%</v>
      </c>
      <c r="R5019" t="str">
        <f t="shared" si="2126"/>
        <v>BEARISH</v>
      </c>
      <c r="S5019">
        <f t="shared" si="2114"/>
        <v>-1</v>
      </c>
    </row>
    <row r="5020" spans="1:19" hidden="1" x14ac:dyDescent="0.25">
      <c r="A5020" s="5" t="str">
        <f t="shared" si="2115"/>
        <v>44123WTIC</v>
      </c>
      <c r="B5020" s="6" t="s">
        <v>215</v>
      </c>
      <c r="C5020" s="6">
        <v>39.119999999999997</v>
      </c>
      <c r="D5020" s="6">
        <v>41.89</v>
      </c>
      <c r="E5020" s="6">
        <v>41.12</v>
      </c>
      <c r="F5020" t="str">
        <f t="shared" si="2116"/>
        <v>MON</v>
      </c>
      <c r="G5020" s="1">
        <f t="shared" si="2117"/>
        <v>44123</v>
      </c>
      <c r="H5020" s="2">
        <f t="shared" ca="1" si="2118"/>
        <v>130</v>
      </c>
      <c r="I5020" t="str">
        <f t="shared" si="2119"/>
        <v>WTIC</v>
      </c>
      <c r="J5020">
        <f t="shared" si="2120"/>
        <v>39.119999999999997</v>
      </c>
      <c r="K5020">
        <f t="shared" si="2121"/>
        <v>41.89</v>
      </c>
      <c r="L5020">
        <f t="shared" si="2122"/>
        <v>40.504999999999995</v>
      </c>
      <c r="M5020">
        <f t="shared" si="2123"/>
        <v>1.3850000000000016</v>
      </c>
      <c r="N5020">
        <f t="shared" si="2112"/>
        <v>2.7700000000000031</v>
      </c>
      <c r="O5020">
        <f t="shared" si="2124"/>
        <v>41.12</v>
      </c>
      <c r="P5020">
        <f t="shared" si="2125"/>
        <v>0.44404332129963991</v>
      </c>
      <c r="Q5020" t="str">
        <f t="shared" si="2113"/>
        <v>4.86% | 1.87%</v>
      </c>
      <c r="R5020" t="str">
        <f t="shared" si="2126"/>
        <v>BEARISH</v>
      </c>
      <c r="S5020">
        <f t="shared" si="2114"/>
        <v>-1</v>
      </c>
    </row>
    <row r="5021" spans="1:19" hidden="1" x14ac:dyDescent="0.25">
      <c r="A5021" s="5" t="str">
        <f t="shared" si="2115"/>
        <v>44123NATGAS</v>
      </c>
      <c r="B5021" s="6" t="s">
        <v>180</v>
      </c>
      <c r="C5021" s="6">
        <v>2.46</v>
      </c>
      <c r="D5021" s="6">
        <v>2.95</v>
      </c>
      <c r="E5021" s="6">
        <v>2.77</v>
      </c>
      <c r="F5021" t="str">
        <f t="shared" si="2116"/>
        <v>MON</v>
      </c>
      <c r="G5021" s="1">
        <f t="shared" si="2117"/>
        <v>44123</v>
      </c>
      <c r="H5021" s="2">
        <f t="shared" ca="1" si="2118"/>
        <v>130</v>
      </c>
      <c r="I5021" t="str">
        <f t="shared" si="2119"/>
        <v>NATGAS</v>
      </c>
      <c r="J5021">
        <f t="shared" si="2120"/>
        <v>2.46</v>
      </c>
      <c r="K5021">
        <f t="shared" si="2121"/>
        <v>2.95</v>
      </c>
      <c r="L5021">
        <f t="shared" si="2122"/>
        <v>2.7050000000000001</v>
      </c>
      <c r="M5021">
        <f t="shared" si="2123"/>
        <v>0.24500000000000011</v>
      </c>
      <c r="N5021">
        <f t="shared" si="2112"/>
        <v>0.49000000000000021</v>
      </c>
      <c r="O5021">
        <f t="shared" si="2124"/>
        <v>2.77</v>
      </c>
      <c r="P5021">
        <f t="shared" si="2125"/>
        <v>0.26530612244897928</v>
      </c>
      <c r="Q5021" t="str">
        <f t="shared" si="2113"/>
        <v>11.19% | 6.5%</v>
      </c>
      <c r="R5021" t="str">
        <f t="shared" si="2126"/>
        <v>BULLISH</v>
      </c>
      <c r="S5021">
        <f t="shared" si="2114"/>
        <v>1</v>
      </c>
    </row>
    <row r="5022" spans="1:19" hidden="1" x14ac:dyDescent="0.25">
      <c r="A5022" s="5" t="str">
        <f t="shared" si="2115"/>
        <v>44123GOLD</v>
      </c>
      <c r="B5022" s="6" t="s">
        <v>181</v>
      </c>
      <c r="C5022" s="6">
        <v>1881</v>
      </c>
      <c r="D5022" s="6">
        <v>1935</v>
      </c>
      <c r="E5022" s="6">
        <v>1906</v>
      </c>
      <c r="F5022" t="str">
        <f t="shared" si="2116"/>
        <v>MON</v>
      </c>
      <c r="G5022" s="1">
        <f t="shared" si="2117"/>
        <v>44123</v>
      </c>
      <c r="H5022" s="2">
        <f t="shared" ca="1" si="2118"/>
        <v>130</v>
      </c>
      <c r="I5022" t="str">
        <f t="shared" si="2119"/>
        <v>GOLD</v>
      </c>
      <c r="J5022">
        <f t="shared" si="2120"/>
        <v>1881</v>
      </c>
      <c r="K5022">
        <f t="shared" si="2121"/>
        <v>1935</v>
      </c>
      <c r="L5022">
        <f t="shared" si="2122"/>
        <v>1908</v>
      </c>
      <c r="M5022">
        <f t="shared" si="2123"/>
        <v>27</v>
      </c>
      <c r="N5022">
        <f t="shared" si="2112"/>
        <v>54</v>
      </c>
      <c r="O5022">
        <f t="shared" si="2124"/>
        <v>1906</v>
      </c>
      <c r="P5022">
        <f t="shared" si="2125"/>
        <v>-7.407407407407407E-2</v>
      </c>
      <c r="Q5022" t="str">
        <f t="shared" si="2113"/>
        <v>1.31% | 1.52%</v>
      </c>
      <c r="R5022" t="str">
        <f t="shared" si="2126"/>
        <v>BULLISH</v>
      </c>
      <c r="S5022">
        <f t="shared" si="2114"/>
        <v>1</v>
      </c>
    </row>
    <row r="5023" spans="1:19" hidden="1" x14ac:dyDescent="0.25">
      <c r="A5023" s="5" t="str">
        <f t="shared" si="2115"/>
        <v>44123SILVER</v>
      </c>
      <c r="B5023" s="6" t="s">
        <v>199</v>
      </c>
      <c r="C5023" s="6">
        <v>23.4</v>
      </c>
      <c r="D5023" s="6">
        <v>25.53</v>
      </c>
      <c r="E5023" s="6">
        <v>24.41</v>
      </c>
      <c r="F5023" t="str">
        <f t="shared" si="2116"/>
        <v>MON</v>
      </c>
      <c r="G5023" s="1">
        <f t="shared" si="2117"/>
        <v>44123</v>
      </c>
      <c r="H5023" s="2">
        <f t="shared" ca="1" si="2118"/>
        <v>130</v>
      </c>
      <c r="I5023" t="str">
        <f t="shared" si="2119"/>
        <v>SILVER</v>
      </c>
      <c r="J5023">
        <f t="shared" si="2120"/>
        <v>23.4</v>
      </c>
      <c r="K5023">
        <f t="shared" si="2121"/>
        <v>25.53</v>
      </c>
      <c r="L5023">
        <f t="shared" si="2122"/>
        <v>24.465</v>
      </c>
      <c r="M5023">
        <f t="shared" si="2123"/>
        <v>1.0650000000000013</v>
      </c>
      <c r="N5023">
        <f t="shared" si="2112"/>
        <v>2.1300000000000026</v>
      </c>
      <c r="O5023">
        <f t="shared" si="2124"/>
        <v>24.41</v>
      </c>
      <c r="P5023">
        <f t="shared" si="2125"/>
        <v>-5.1643192488262581E-2</v>
      </c>
      <c r="Q5023" t="str">
        <f t="shared" si="2113"/>
        <v>4.14% | 4.59%</v>
      </c>
      <c r="R5023" t="str">
        <f t="shared" si="2126"/>
        <v>BULLISH</v>
      </c>
      <c r="S5023">
        <f t="shared" si="2114"/>
        <v>1</v>
      </c>
    </row>
    <row r="5024" spans="1:19" hidden="1" x14ac:dyDescent="0.25">
      <c r="A5024" s="5" t="str">
        <f t="shared" si="2115"/>
        <v>44123COPPER</v>
      </c>
      <c r="B5024" s="6" t="s">
        <v>182</v>
      </c>
      <c r="C5024" s="6">
        <v>2.94</v>
      </c>
      <c r="D5024" s="6">
        <v>3.12</v>
      </c>
      <c r="E5024" s="6">
        <v>3.07</v>
      </c>
      <c r="F5024" t="str">
        <f t="shared" si="2116"/>
        <v>MON</v>
      </c>
      <c r="G5024" s="1">
        <f t="shared" si="2117"/>
        <v>44123</v>
      </c>
      <c r="H5024" s="2">
        <f t="shared" ca="1" si="2118"/>
        <v>130</v>
      </c>
      <c r="I5024" t="str">
        <f t="shared" si="2119"/>
        <v>COPPER</v>
      </c>
      <c r="J5024">
        <f t="shared" si="2120"/>
        <v>2.94</v>
      </c>
      <c r="K5024">
        <f t="shared" si="2121"/>
        <v>3.12</v>
      </c>
      <c r="L5024">
        <f t="shared" si="2122"/>
        <v>3.0300000000000002</v>
      </c>
      <c r="M5024">
        <f t="shared" si="2123"/>
        <v>9.000000000000008E-2</v>
      </c>
      <c r="N5024">
        <f t="shared" si="2112"/>
        <v>0.18000000000000016</v>
      </c>
      <c r="O5024">
        <f t="shared" si="2124"/>
        <v>3.07</v>
      </c>
      <c r="P5024">
        <f t="shared" si="2125"/>
        <v>0.44444444444443953</v>
      </c>
      <c r="Q5024" t="str">
        <f t="shared" si="2113"/>
        <v>4.23% | 1.63%</v>
      </c>
      <c r="R5024" t="str">
        <f t="shared" si="2126"/>
        <v>BULLISH</v>
      </c>
      <c r="S5024">
        <f t="shared" si="2114"/>
        <v>1</v>
      </c>
    </row>
    <row r="5025" spans="1:19" hidden="1" x14ac:dyDescent="0.25">
      <c r="A5025" s="5" t="str">
        <f t="shared" si="2115"/>
        <v>44123MSFT</v>
      </c>
      <c r="B5025" s="6" t="s">
        <v>183</v>
      </c>
      <c r="C5025" s="6">
        <v>204</v>
      </c>
      <c r="D5025" s="6">
        <v>228</v>
      </c>
      <c r="E5025" s="6">
        <v>219</v>
      </c>
      <c r="F5025" t="str">
        <f t="shared" si="2116"/>
        <v>MON</v>
      </c>
      <c r="G5025" s="1">
        <f t="shared" si="2117"/>
        <v>44123</v>
      </c>
      <c r="H5025" s="2">
        <f t="shared" ca="1" si="2118"/>
        <v>130</v>
      </c>
      <c r="I5025" t="str">
        <f t="shared" si="2119"/>
        <v>MSFT</v>
      </c>
      <c r="J5025">
        <f t="shared" si="2120"/>
        <v>204</v>
      </c>
      <c r="K5025">
        <f t="shared" si="2121"/>
        <v>228</v>
      </c>
      <c r="L5025">
        <f t="shared" si="2122"/>
        <v>216</v>
      </c>
      <c r="M5025">
        <f t="shared" si="2123"/>
        <v>12</v>
      </c>
      <c r="N5025">
        <f t="shared" si="2112"/>
        <v>24</v>
      </c>
      <c r="O5025">
        <f t="shared" si="2124"/>
        <v>219</v>
      </c>
      <c r="P5025">
        <f t="shared" si="2125"/>
        <v>0.25</v>
      </c>
      <c r="Q5025" t="str">
        <f t="shared" si="2113"/>
        <v>6.85% | 4.11%</v>
      </c>
      <c r="R5025" t="str">
        <f t="shared" si="2126"/>
        <v>BULLISH</v>
      </c>
      <c r="S5025">
        <f t="shared" si="2114"/>
        <v>1</v>
      </c>
    </row>
    <row r="5026" spans="1:19" hidden="1" x14ac:dyDescent="0.25">
      <c r="A5026" s="5" t="str">
        <f t="shared" si="2115"/>
        <v>44123AAPL</v>
      </c>
      <c r="B5026" s="6" t="s">
        <v>184</v>
      </c>
      <c r="C5026" s="6">
        <v>111</v>
      </c>
      <c r="D5026" s="6">
        <v>126</v>
      </c>
      <c r="E5026" s="6">
        <v>119</v>
      </c>
      <c r="F5026" t="str">
        <f t="shared" si="2116"/>
        <v>MON</v>
      </c>
      <c r="G5026" s="1">
        <f t="shared" si="2117"/>
        <v>44123</v>
      </c>
      <c r="H5026" s="2">
        <f t="shared" ca="1" si="2118"/>
        <v>130</v>
      </c>
      <c r="I5026" t="str">
        <f t="shared" si="2119"/>
        <v>AAPL</v>
      </c>
      <c r="J5026">
        <f t="shared" si="2120"/>
        <v>111</v>
      </c>
      <c r="K5026">
        <f t="shared" si="2121"/>
        <v>126</v>
      </c>
      <c r="L5026">
        <f t="shared" si="2122"/>
        <v>118.5</v>
      </c>
      <c r="M5026">
        <f t="shared" si="2123"/>
        <v>7.5</v>
      </c>
      <c r="N5026">
        <f t="shared" si="2112"/>
        <v>15</v>
      </c>
      <c r="O5026">
        <f t="shared" si="2124"/>
        <v>119</v>
      </c>
      <c r="P5026">
        <f t="shared" si="2125"/>
        <v>6.6666666666666666E-2</v>
      </c>
      <c r="Q5026" t="str">
        <f t="shared" si="2113"/>
        <v>6.72% | 5.88%</v>
      </c>
      <c r="R5026" t="str">
        <f t="shared" si="2126"/>
        <v>BULLISH</v>
      </c>
      <c r="S5026">
        <f t="shared" si="2114"/>
        <v>1</v>
      </c>
    </row>
    <row r="5027" spans="1:19" hidden="1" x14ac:dyDescent="0.25">
      <c r="A5027" s="5" t="str">
        <f t="shared" si="2115"/>
        <v>44123AMZN</v>
      </c>
      <c r="B5027" s="6" t="s">
        <v>185</v>
      </c>
      <c r="C5027" s="6">
        <v>3070</v>
      </c>
      <c r="D5027" s="6">
        <v>3518</v>
      </c>
      <c r="E5027" s="6">
        <v>3272</v>
      </c>
      <c r="F5027" t="str">
        <f t="shared" si="2116"/>
        <v>MON</v>
      </c>
      <c r="G5027" s="1">
        <f t="shared" si="2117"/>
        <v>44123</v>
      </c>
      <c r="H5027" s="2">
        <f t="shared" ca="1" si="2118"/>
        <v>130</v>
      </c>
      <c r="I5027" t="str">
        <f t="shared" si="2119"/>
        <v>AMZN</v>
      </c>
      <c r="J5027">
        <f t="shared" si="2120"/>
        <v>3070</v>
      </c>
      <c r="K5027">
        <f t="shared" si="2121"/>
        <v>3518</v>
      </c>
      <c r="L5027">
        <f t="shared" si="2122"/>
        <v>3294</v>
      </c>
      <c r="M5027">
        <f t="shared" si="2123"/>
        <v>224</v>
      </c>
      <c r="N5027">
        <f t="shared" si="2112"/>
        <v>448</v>
      </c>
      <c r="O5027">
        <f t="shared" si="2124"/>
        <v>3272</v>
      </c>
      <c r="P5027">
        <f t="shared" si="2125"/>
        <v>-9.8214285714285712E-2</v>
      </c>
      <c r="Q5027" t="str">
        <f t="shared" si="2113"/>
        <v>6.17% | 7.52%</v>
      </c>
      <c r="R5027" t="str">
        <f t="shared" si="2126"/>
        <v>BULLISH</v>
      </c>
      <c r="S5027">
        <f t="shared" si="2114"/>
        <v>1</v>
      </c>
    </row>
    <row r="5028" spans="1:19" hidden="1" x14ac:dyDescent="0.25">
      <c r="A5028" s="5" t="str">
        <f t="shared" si="2115"/>
        <v>44123FB</v>
      </c>
      <c r="B5028" s="6" t="s">
        <v>186</v>
      </c>
      <c r="C5028" s="6">
        <v>253</v>
      </c>
      <c r="D5028" s="6">
        <v>281</v>
      </c>
      <c r="E5028" s="6">
        <v>265</v>
      </c>
      <c r="F5028" t="str">
        <f t="shared" si="2116"/>
        <v>MON</v>
      </c>
      <c r="G5028" s="1">
        <f t="shared" si="2117"/>
        <v>44123</v>
      </c>
      <c r="H5028" s="2">
        <f t="shared" ca="1" si="2118"/>
        <v>130</v>
      </c>
      <c r="I5028" t="str">
        <f t="shared" si="2119"/>
        <v>FB</v>
      </c>
      <c r="J5028">
        <f t="shared" si="2120"/>
        <v>253</v>
      </c>
      <c r="K5028">
        <f t="shared" si="2121"/>
        <v>281</v>
      </c>
      <c r="L5028">
        <f t="shared" si="2122"/>
        <v>267</v>
      </c>
      <c r="M5028">
        <f t="shared" si="2123"/>
        <v>14</v>
      </c>
      <c r="N5028">
        <f t="shared" si="2112"/>
        <v>28</v>
      </c>
      <c r="O5028">
        <f t="shared" si="2124"/>
        <v>265</v>
      </c>
      <c r="P5028">
        <f t="shared" si="2125"/>
        <v>-0.14285714285714285</v>
      </c>
      <c r="Q5028" t="str">
        <f t="shared" si="2113"/>
        <v>4.53% | 6.04%</v>
      </c>
      <c r="R5028" t="str">
        <f t="shared" si="2126"/>
        <v>BULLISH</v>
      </c>
      <c r="S5028">
        <f t="shared" si="2114"/>
        <v>1</v>
      </c>
    </row>
    <row r="5029" spans="1:19" hidden="1" x14ac:dyDescent="0.25">
      <c r="A5029" s="5" t="str">
        <f t="shared" si="2115"/>
        <v>44123GOOGL</v>
      </c>
      <c r="B5029" s="6" t="s">
        <v>208</v>
      </c>
      <c r="C5029" s="6">
        <v>1433</v>
      </c>
      <c r="D5029" s="6">
        <v>1618</v>
      </c>
      <c r="E5029" s="6">
        <v>1567</v>
      </c>
      <c r="F5029" t="str">
        <f t="shared" si="2116"/>
        <v>MON</v>
      </c>
      <c r="G5029" s="1">
        <f t="shared" si="2117"/>
        <v>44123</v>
      </c>
      <c r="H5029" s="2">
        <f t="shared" ca="1" si="2118"/>
        <v>130</v>
      </c>
      <c r="I5029" t="str">
        <f t="shared" si="2119"/>
        <v>GOOGL</v>
      </c>
      <c r="J5029">
        <f t="shared" si="2120"/>
        <v>1433</v>
      </c>
      <c r="K5029">
        <f t="shared" si="2121"/>
        <v>1618</v>
      </c>
      <c r="L5029">
        <f t="shared" si="2122"/>
        <v>1525.5</v>
      </c>
      <c r="M5029">
        <f t="shared" si="2123"/>
        <v>92.5</v>
      </c>
      <c r="N5029">
        <f t="shared" si="2112"/>
        <v>185</v>
      </c>
      <c r="O5029">
        <f t="shared" si="2124"/>
        <v>1567</v>
      </c>
      <c r="P5029">
        <f t="shared" si="2125"/>
        <v>0.44864864864864867</v>
      </c>
      <c r="Q5029" t="str">
        <f t="shared" si="2113"/>
        <v>8.55% | 3.25%</v>
      </c>
      <c r="R5029" t="str">
        <f t="shared" si="2126"/>
        <v>NEUTRAL</v>
      </c>
      <c r="S5029">
        <f t="shared" si="2114"/>
        <v>0</v>
      </c>
    </row>
    <row r="5030" spans="1:19" hidden="1" x14ac:dyDescent="0.25">
      <c r="A5030" s="5" t="str">
        <f t="shared" si="2115"/>
        <v>44123NFLX</v>
      </c>
      <c r="B5030" s="6" t="s">
        <v>194</v>
      </c>
      <c r="C5030" s="6">
        <v>511</v>
      </c>
      <c r="D5030" s="6">
        <v>561</v>
      </c>
      <c r="E5030" s="6">
        <v>530</v>
      </c>
      <c r="F5030" t="str">
        <f t="shared" si="2116"/>
        <v>MON</v>
      </c>
      <c r="G5030" s="1">
        <f t="shared" si="2117"/>
        <v>44123</v>
      </c>
      <c r="H5030" s="2">
        <f t="shared" ca="1" si="2118"/>
        <v>130</v>
      </c>
      <c r="I5030" t="str">
        <f t="shared" si="2119"/>
        <v>NFLX</v>
      </c>
      <c r="J5030">
        <f t="shared" si="2120"/>
        <v>511</v>
      </c>
      <c r="K5030">
        <f t="shared" si="2121"/>
        <v>561</v>
      </c>
      <c r="L5030">
        <f t="shared" si="2122"/>
        <v>536</v>
      </c>
      <c r="M5030">
        <f t="shared" si="2123"/>
        <v>25</v>
      </c>
      <c r="N5030">
        <f t="shared" si="2112"/>
        <v>50</v>
      </c>
      <c r="O5030">
        <f t="shared" si="2124"/>
        <v>530</v>
      </c>
      <c r="P5030">
        <f t="shared" si="2125"/>
        <v>-0.24</v>
      </c>
      <c r="Q5030" t="str">
        <f t="shared" si="2113"/>
        <v>3.58% | 5.85%</v>
      </c>
      <c r="R5030" t="str">
        <f t="shared" si="2126"/>
        <v>BULLISH</v>
      </c>
      <c r="S5030">
        <f t="shared" si="2114"/>
        <v>1</v>
      </c>
    </row>
    <row r="5031" spans="1:19" x14ac:dyDescent="0.25">
      <c r="A5031" s="5" t="str">
        <f t="shared" si="2115"/>
        <v>44123TSLA</v>
      </c>
      <c r="B5031" s="6" t="s">
        <v>209</v>
      </c>
      <c r="C5031" s="6">
        <v>408</v>
      </c>
      <c r="D5031" s="6">
        <v>465</v>
      </c>
      <c r="E5031" s="6">
        <v>439</v>
      </c>
      <c r="F5031" t="str">
        <f t="shared" si="2116"/>
        <v>MON</v>
      </c>
      <c r="G5031" s="1">
        <f t="shared" si="2117"/>
        <v>44123</v>
      </c>
      <c r="H5031" s="2">
        <f t="shared" ca="1" si="2118"/>
        <v>130</v>
      </c>
      <c r="I5031" t="str">
        <f t="shared" si="2119"/>
        <v>TSLA</v>
      </c>
      <c r="J5031">
        <f t="shared" si="2120"/>
        <v>408</v>
      </c>
      <c r="K5031">
        <f t="shared" si="2121"/>
        <v>465</v>
      </c>
      <c r="L5031">
        <f t="shared" si="2122"/>
        <v>436.5</v>
      </c>
      <c r="M5031">
        <f t="shared" si="2123"/>
        <v>28.5</v>
      </c>
      <c r="N5031">
        <f t="shared" si="2112"/>
        <v>57</v>
      </c>
      <c r="O5031">
        <f t="shared" si="2124"/>
        <v>439</v>
      </c>
      <c r="P5031">
        <f t="shared" si="2125"/>
        <v>8.771929824561403E-2</v>
      </c>
      <c r="Q5031" t="str">
        <f t="shared" si="2113"/>
        <v>7.06% | 5.92%</v>
      </c>
      <c r="R5031" t="str">
        <f t="shared" si="2126"/>
        <v>NEUTRAL</v>
      </c>
      <c r="S5031">
        <f t="shared" si="2114"/>
        <v>0</v>
      </c>
    </row>
    <row r="5032" spans="1:19" hidden="1" x14ac:dyDescent="0.25">
      <c r="A5032" s="5" t="str">
        <f t="shared" si="2115"/>
        <v>44123NYXBT</v>
      </c>
      <c r="B5032" s="6" t="s">
        <v>190</v>
      </c>
      <c r="C5032" s="6">
        <v>10540</v>
      </c>
      <c r="D5032" s="6">
        <v>11793</v>
      </c>
      <c r="E5032" s="6">
        <v>11332</v>
      </c>
      <c r="F5032" t="str">
        <f t="shared" si="2116"/>
        <v>MON</v>
      </c>
      <c r="G5032" s="1">
        <f t="shared" si="2117"/>
        <v>44123</v>
      </c>
      <c r="H5032" s="2">
        <f t="shared" ca="1" si="2118"/>
        <v>130</v>
      </c>
      <c r="I5032" t="str">
        <f t="shared" si="2119"/>
        <v>NYXBT</v>
      </c>
      <c r="J5032">
        <f t="shared" si="2120"/>
        <v>10540</v>
      </c>
      <c r="K5032">
        <f t="shared" si="2121"/>
        <v>11793</v>
      </c>
      <c r="L5032">
        <f t="shared" si="2122"/>
        <v>11166.5</v>
      </c>
      <c r="M5032">
        <f t="shared" si="2123"/>
        <v>626.5</v>
      </c>
      <c r="N5032">
        <f t="shared" si="2112"/>
        <v>1253</v>
      </c>
      <c r="O5032">
        <f t="shared" si="2124"/>
        <v>11332</v>
      </c>
      <c r="P5032">
        <f t="shared" si="2125"/>
        <v>0.26416600159616921</v>
      </c>
      <c r="Q5032" t="str">
        <f t="shared" si="2113"/>
        <v>6.99% | 4.07%</v>
      </c>
      <c r="R5032" t="str">
        <f t="shared" si="2126"/>
        <v>BULLISH</v>
      </c>
      <c r="S5032">
        <f t="shared" si="2114"/>
        <v>1</v>
      </c>
    </row>
    <row r="5033" spans="1:19" hidden="1" x14ac:dyDescent="0.25">
      <c r="A5033" s="5" t="str">
        <f t="shared" si="2115"/>
        <v>44124UST10Y</v>
      </c>
      <c r="B5033" s="6" t="s">
        <v>4</v>
      </c>
      <c r="C5033" s="6">
        <v>0.82</v>
      </c>
      <c r="D5033" s="6">
        <v>0.69</v>
      </c>
      <c r="E5033" s="6">
        <v>0.78</v>
      </c>
      <c r="F5033" t="str">
        <f t="shared" si="2116"/>
        <v>TUE</v>
      </c>
      <c r="G5033" s="3">
        <f>DATE(2020,10,20)</f>
        <v>44124</v>
      </c>
      <c r="H5033" s="2">
        <f t="shared" ca="1" si="2118"/>
        <v>129</v>
      </c>
      <c r="I5033" t="str">
        <f t="shared" si="2119"/>
        <v>UST10Y</v>
      </c>
      <c r="J5033">
        <f t="shared" si="2120"/>
        <v>0.82</v>
      </c>
      <c r="K5033">
        <f t="shared" si="2121"/>
        <v>0.69</v>
      </c>
      <c r="L5033">
        <f t="shared" si="2122"/>
        <v>0.75499999999999989</v>
      </c>
      <c r="M5033">
        <f t="shared" si="2123"/>
        <v>6.5000000000000002E-2</v>
      </c>
      <c r="N5033">
        <f t="shared" si="2112"/>
        <v>0.13</v>
      </c>
      <c r="O5033">
        <f t="shared" si="2124"/>
        <v>0.78</v>
      </c>
      <c r="P5033">
        <f t="shared" si="2125"/>
        <v>0.38461538461538664</v>
      </c>
      <c r="Q5033" t="str">
        <f t="shared" si="2113"/>
        <v>5.13% | 11.54%</v>
      </c>
      <c r="R5033" t="str">
        <f t="shared" si="2126"/>
        <v>BEARISH</v>
      </c>
      <c r="S5033">
        <f t="shared" si="2114"/>
        <v>-1</v>
      </c>
    </row>
    <row r="5034" spans="1:19" hidden="1" x14ac:dyDescent="0.25">
      <c r="A5034" s="5" t="str">
        <f t="shared" si="2115"/>
        <v>44124UST2Y</v>
      </c>
      <c r="B5034" s="6" t="s">
        <v>5</v>
      </c>
      <c r="C5034" s="6">
        <v>0.17</v>
      </c>
      <c r="D5034" s="6">
        <v>0.12</v>
      </c>
      <c r="E5034" s="6">
        <v>0.16</v>
      </c>
      <c r="F5034" t="str">
        <f t="shared" ref="F5034:F5064" si="2127">UPPER(TEXT(G5034,"ddd"))</f>
        <v>TUE</v>
      </c>
      <c r="G5034" s="3">
        <f t="shared" ref="G5034:G5063" si="2128">DATE(2020,10,20)</f>
        <v>44124</v>
      </c>
      <c r="H5034" s="2">
        <f t="shared" ref="H5034:H5064" ca="1" si="2129">TODAY()-G5034</f>
        <v>129</v>
      </c>
      <c r="I5034" t="str">
        <f t="shared" ref="I5034:I5064" si="2130">TRIM(LEFT(B5034,FIND(" ",B5034,1)))</f>
        <v>UST2Y</v>
      </c>
      <c r="J5034">
        <f t="shared" ref="J5034:J5064" si="2131">C5034</f>
        <v>0.17</v>
      </c>
      <c r="K5034">
        <f t="shared" ref="K5034:K5064" si="2132">D5034</f>
        <v>0.12</v>
      </c>
      <c r="L5034">
        <f t="shared" ref="L5034:L5064" si="2133">AVERAGE(J5034:K5034)</f>
        <v>0.14500000000000002</v>
      </c>
      <c r="M5034">
        <f t="shared" ref="M5034:M5064" si="2134">_xlfn.STDEV.P(J5034:K5034)</f>
        <v>2.4999999999999942E-2</v>
      </c>
      <c r="N5034">
        <f t="shared" si="2112"/>
        <v>5.0000000000000017E-2</v>
      </c>
      <c r="O5034">
        <f t="shared" ref="O5034:O5064" si="2135">E5034</f>
        <v>0.16</v>
      </c>
      <c r="P5034">
        <f t="shared" ref="P5034:P5064" si="2136">(O5034-L5034)/M5034</f>
        <v>0.60000000000000075</v>
      </c>
      <c r="Q5034" t="str">
        <f t="shared" si="2113"/>
        <v>6.25% | 25%</v>
      </c>
      <c r="R5034" t="str">
        <f t="shared" ref="R5034:R5064" si="2137">MID(B5034,FIND("(",B5034,1)+1,FIND(")",B5034,1)-FIND("(",B5034,1)-1)</f>
        <v>BEARISH</v>
      </c>
      <c r="S5034">
        <f t="shared" si="2114"/>
        <v>-1</v>
      </c>
    </row>
    <row r="5035" spans="1:19" hidden="1" x14ac:dyDescent="0.25">
      <c r="A5035" s="5" t="str">
        <f t="shared" si="2115"/>
        <v>44124SPX</v>
      </c>
      <c r="B5035" s="6" t="s">
        <v>51</v>
      </c>
      <c r="C5035" s="6">
        <v>3401</v>
      </c>
      <c r="D5035" s="6">
        <v>3546</v>
      </c>
      <c r="E5035" s="6">
        <v>3426</v>
      </c>
      <c r="F5035" t="str">
        <f t="shared" si="2127"/>
        <v>TUE</v>
      </c>
      <c r="G5035" s="3">
        <f t="shared" si="2128"/>
        <v>44124</v>
      </c>
      <c r="H5035" s="2">
        <f t="shared" ca="1" si="2129"/>
        <v>129</v>
      </c>
      <c r="I5035" t="str">
        <f t="shared" si="2130"/>
        <v>SPX</v>
      </c>
      <c r="J5035">
        <f t="shared" si="2131"/>
        <v>3401</v>
      </c>
      <c r="K5035">
        <f t="shared" si="2132"/>
        <v>3546</v>
      </c>
      <c r="L5035">
        <f t="shared" si="2133"/>
        <v>3473.5</v>
      </c>
      <c r="M5035">
        <f t="shared" si="2134"/>
        <v>72.5</v>
      </c>
      <c r="N5035">
        <f t="shared" si="2112"/>
        <v>145</v>
      </c>
      <c r="O5035">
        <f t="shared" si="2135"/>
        <v>3426</v>
      </c>
      <c r="P5035">
        <f t="shared" si="2136"/>
        <v>-0.65517241379310343</v>
      </c>
      <c r="Q5035" t="str">
        <f t="shared" si="2113"/>
        <v>0.73% | 3.5%</v>
      </c>
      <c r="R5035" t="str">
        <f t="shared" si="2137"/>
        <v>NEUTRAL</v>
      </c>
      <c r="S5035">
        <f t="shared" si="2114"/>
        <v>0</v>
      </c>
    </row>
    <row r="5036" spans="1:19" hidden="1" x14ac:dyDescent="0.25">
      <c r="A5036" s="5" t="str">
        <f t="shared" si="2115"/>
        <v>44124RUT</v>
      </c>
      <c r="B5036" s="6" t="s">
        <v>240</v>
      </c>
      <c r="C5036" s="6">
        <v>1572</v>
      </c>
      <c r="D5036" s="6">
        <v>1654</v>
      </c>
      <c r="E5036" s="6">
        <v>1613</v>
      </c>
      <c r="F5036" t="str">
        <f t="shared" si="2127"/>
        <v>TUE</v>
      </c>
      <c r="G5036" s="3">
        <f t="shared" si="2128"/>
        <v>44124</v>
      </c>
      <c r="H5036" s="2">
        <f t="shared" ca="1" si="2129"/>
        <v>129</v>
      </c>
      <c r="I5036" t="str">
        <f t="shared" si="2130"/>
        <v>RUT</v>
      </c>
      <c r="J5036">
        <f t="shared" si="2131"/>
        <v>1572</v>
      </c>
      <c r="K5036">
        <f t="shared" si="2132"/>
        <v>1654</v>
      </c>
      <c r="L5036">
        <f t="shared" si="2133"/>
        <v>1613</v>
      </c>
      <c r="M5036">
        <f t="shared" si="2134"/>
        <v>41</v>
      </c>
      <c r="N5036">
        <f t="shared" si="2112"/>
        <v>82</v>
      </c>
      <c r="O5036">
        <f t="shared" si="2135"/>
        <v>1613</v>
      </c>
      <c r="P5036">
        <f t="shared" si="2136"/>
        <v>0</v>
      </c>
      <c r="Q5036" t="str">
        <f t="shared" si="2113"/>
        <v>2.54% | 2.54%</v>
      </c>
      <c r="R5036" t="str">
        <f t="shared" si="2137"/>
        <v>NEUTRAL</v>
      </c>
      <c r="S5036">
        <f t="shared" si="2114"/>
        <v>0</v>
      </c>
    </row>
    <row r="5037" spans="1:19" hidden="1" x14ac:dyDescent="0.25">
      <c r="A5037" s="5" t="str">
        <f t="shared" si="2115"/>
        <v>44124COMPQ</v>
      </c>
      <c r="B5037" s="6" t="s">
        <v>61</v>
      </c>
      <c r="C5037" s="6">
        <v>11183</v>
      </c>
      <c r="D5037" s="6">
        <v>11994</v>
      </c>
      <c r="E5037" s="6">
        <v>11478</v>
      </c>
      <c r="F5037" t="str">
        <f t="shared" si="2127"/>
        <v>TUE</v>
      </c>
      <c r="G5037" s="3">
        <f t="shared" si="2128"/>
        <v>44124</v>
      </c>
      <c r="H5037" s="2">
        <f t="shared" ca="1" si="2129"/>
        <v>129</v>
      </c>
      <c r="I5037" t="str">
        <f t="shared" si="2130"/>
        <v>COMPQ</v>
      </c>
      <c r="J5037">
        <f t="shared" si="2131"/>
        <v>11183</v>
      </c>
      <c r="K5037">
        <f t="shared" si="2132"/>
        <v>11994</v>
      </c>
      <c r="L5037">
        <f t="shared" si="2133"/>
        <v>11588.5</v>
      </c>
      <c r="M5037">
        <f t="shared" si="2134"/>
        <v>405.5</v>
      </c>
      <c r="N5037">
        <f t="shared" si="2112"/>
        <v>811</v>
      </c>
      <c r="O5037">
        <f t="shared" si="2135"/>
        <v>11478</v>
      </c>
      <c r="P5037">
        <f t="shared" si="2136"/>
        <v>-0.2725030826140567</v>
      </c>
      <c r="Q5037" t="str">
        <f t="shared" si="2113"/>
        <v>2.57% | 4.5%</v>
      </c>
      <c r="R5037" t="str">
        <f t="shared" si="2137"/>
        <v>NEUTRAL</v>
      </c>
      <c r="S5037">
        <f t="shared" si="2114"/>
        <v>0</v>
      </c>
    </row>
    <row r="5038" spans="1:19" hidden="1" x14ac:dyDescent="0.25">
      <c r="A5038" s="5" t="str">
        <f t="shared" si="2115"/>
        <v>44124XLK</v>
      </c>
      <c r="B5038" s="6" t="s">
        <v>10</v>
      </c>
      <c r="C5038" s="6">
        <v>115.91</v>
      </c>
      <c r="D5038" s="6">
        <v>124.9</v>
      </c>
      <c r="E5038" s="6">
        <v>118.9</v>
      </c>
      <c r="F5038" t="str">
        <f t="shared" si="2127"/>
        <v>TUE</v>
      </c>
      <c r="G5038" s="3">
        <f t="shared" si="2128"/>
        <v>44124</v>
      </c>
      <c r="H5038" s="2">
        <f t="shared" ca="1" si="2129"/>
        <v>129</v>
      </c>
      <c r="I5038" t="str">
        <f t="shared" si="2130"/>
        <v>XLK</v>
      </c>
      <c r="J5038">
        <f t="shared" si="2131"/>
        <v>115.91</v>
      </c>
      <c r="K5038">
        <f t="shared" si="2132"/>
        <v>124.9</v>
      </c>
      <c r="L5038">
        <f t="shared" si="2133"/>
        <v>120.405</v>
      </c>
      <c r="M5038">
        <f t="shared" si="2134"/>
        <v>4.4950000000000045</v>
      </c>
      <c r="N5038">
        <f t="shared" si="2112"/>
        <v>8.9900000000000091</v>
      </c>
      <c r="O5038">
        <f t="shared" si="2135"/>
        <v>118.9</v>
      </c>
      <c r="P5038">
        <f t="shared" si="2136"/>
        <v>-0.33481646273637239</v>
      </c>
      <c r="Q5038" t="str">
        <f t="shared" si="2113"/>
        <v>2.51% | 5.05%</v>
      </c>
      <c r="R5038" t="str">
        <f t="shared" si="2137"/>
        <v>BULLISH</v>
      </c>
      <c r="S5038">
        <f t="shared" si="2114"/>
        <v>1</v>
      </c>
    </row>
    <row r="5039" spans="1:19" hidden="1" x14ac:dyDescent="0.25">
      <c r="A5039" s="5" t="str">
        <f t="shared" si="2115"/>
        <v>44124XLRE</v>
      </c>
      <c r="B5039" s="6" t="s">
        <v>97</v>
      </c>
      <c r="C5039" s="6">
        <v>35.26</v>
      </c>
      <c r="D5039" s="6">
        <v>37.43</v>
      </c>
      <c r="E5039" s="6">
        <v>35.54</v>
      </c>
      <c r="F5039" t="str">
        <f t="shared" si="2127"/>
        <v>TUE</v>
      </c>
      <c r="G5039" s="3">
        <f t="shared" si="2128"/>
        <v>44124</v>
      </c>
      <c r="H5039" s="2">
        <f t="shared" ca="1" si="2129"/>
        <v>129</v>
      </c>
      <c r="I5039" t="str">
        <f t="shared" si="2130"/>
        <v>XLRE</v>
      </c>
      <c r="J5039">
        <f t="shared" si="2131"/>
        <v>35.26</v>
      </c>
      <c r="K5039">
        <f t="shared" si="2132"/>
        <v>37.43</v>
      </c>
      <c r="L5039">
        <f t="shared" si="2133"/>
        <v>36.344999999999999</v>
      </c>
      <c r="M5039">
        <f t="shared" si="2134"/>
        <v>1.0850000000000009</v>
      </c>
      <c r="N5039">
        <f t="shared" si="2112"/>
        <v>2.1700000000000017</v>
      </c>
      <c r="O5039">
        <f t="shared" si="2135"/>
        <v>35.54</v>
      </c>
      <c r="P5039">
        <f t="shared" si="2136"/>
        <v>-0.74193548387096686</v>
      </c>
      <c r="Q5039" t="str">
        <f t="shared" si="2113"/>
        <v>0.79% | 5.32%</v>
      </c>
      <c r="R5039" t="str">
        <f t="shared" si="2137"/>
        <v>BULLISH</v>
      </c>
      <c r="S5039">
        <f t="shared" si="2114"/>
        <v>1</v>
      </c>
    </row>
    <row r="5040" spans="1:19" hidden="1" x14ac:dyDescent="0.25">
      <c r="A5040" s="5" t="str">
        <f t="shared" si="2115"/>
        <v>44124XLU</v>
      </c>
      <c r="B5040" s="6" t="s">
        <v>52</v>
      </c>
      <c r="C5040" s="6">
        <v>61.32</v>
      </c>
      <c r="D5040" s="6">
        <v>64.489999999999995</v>
      </c>
      <c r="E5040" s="6">
        <v>63.46</v>
      </c>
      <c r="F5040" t="str">
        <f t="shared" si="2127"/>
        <v>TUE</v>
      </c>
      <c r="G5040" s="3">
        <f t="shared" si="2128"/>
        <v>44124</v>
      </c>
      <c r="H5040" s="2">
        <f t="shared" ca="1" si="2129"/>
        <v>129</v>
      </c>
      <c r="I5040" t="str">
        <f t="shared" si="2130"/>
        <v>XLU</v>
      </c>
      <c r="J5040">
        <f t="shared" si="2131"/>
        <v>61.32</v>
      </c>
      <c r="K5040">
        <f t="shared" si="2132"/>
        <v>64.489999999999995</v>
      </c>
      <c r="L5040">
        <f t="shared" si="2133"/>
        <v>62.905000000000001</v>
      </c>
      <c r="M5040">
        <f t="shared" si="2134"/>
        <v>1.5849999999999973</v>
      </c>
      <c r="N5040">
        <f t="shared" si="2112"/>
        <v>3.1699999999999946</v>
      </c>
      <c r="O5040">
        <f t="shared" si="2135"/>
        <v>63.46</v>
      </c>
      <c r="P5040">
        <f t="shared" si="2136"/>
        <v>0.35015772870662504</v>
      </c>
      <c r="Q5040" t="str">
        <f t="shared" si="2113"/>
        <v>3.37% | 1.62%</v>
      </c>
      <c r="R5040" t="str">
        <f t="shared" si="2137"/>
        <v>BULLISH</v>
      </c>
      <c r="S5040">
        <f t="shared" si="2114"/>
        <v>1</v>
      </c>
    </row>
    <row r="5041" spans="1:19" hidden="1" x14ac:dyDescent="0.25">
      <c r="A5041" s="5" t="str">
        <f t="shared" si="2115"/>
        <v>44124XLF</v>
      </c>
      <c r="B5041" s="6" t="s">
        <v>12</v>
      </c>
      <c r="C5041" s="6">
        <v>24.23</v>
      </c>
      <c r="D5041" s="6">
        <v>25.62</v>
      </c>
      <c r="E5041" s="6">
        <v>24.61</v>
      </c>
      <c r="F5041" t="str">
        <f t="shared" si="2127"/>
        <v>TUE</v>
      </c>
      <c r="G5041" s="3">
        <f t="shared" si="2128"/>
        <v>44124</v>
      </c>
      <c r="H5041" s="2">
        <f t="shared" ca="1" si="2129"/>
        <v>129</v>
      </c>
      <c r="I5041" t="str">
        <f t="shared" si="2130"/>
        <v>XLF</v>
      </c>
      <c r="J5041">
        <f t="shared" si="2131"/>
        <v>24.23</v>
      </c>
      <c r="K5041">
        <f t="shared" si="2132"/>
        <v>25.62</v>
      </c>
      <c r="L5041">
        <f t="shared" si="2133"/>
        <v>24.925000000000001</v>
      </c>
      <c r="M5041">
        <f t="shared" si="2134"/>
        <v>0.69500000000000028</v>
      </c>
      <c r="N5041">
        <f t="shared" si="2112"/>
        <v>1.3900000000000006</v>
      </c>
      <c r="O5041">
        <f t="shared" si="2135"/>
        <v>24.61</v>
      </c>
      <c r="P5041">
        <f t="shared" si="2136"/>
        <v>-0.45323741007194412</v>
      </c>
      <c r="Q5041" t="str">
        <f t="shared" si="2113"/>
        <v>1.54% | 4.1%</v>
      </c>
      <c r="R5041" t="str">
        <f t="shared" si="2137"/>
        <v>BEARISH</v>
      </c>
      <c r="S5041">
        <f t="shared" si="2114"/>
        <v>-1</v>
      </c>
    </row>
    <row r="5042" spans="1:19" hidden="1" x14ac:dyDescent="0.25">
      <c r="A5042" s="5" t="str">
        <f t="shared" si="2115"/>
        <v>44124SSEC</v>
      </c>
      <c r="B5042" s="6" t="s">
        <v>104</v>
      </c>
      <c r="C5042" s="6">
        <v>3215</v>
      </c>
      <c r="D5042" s="6">
        <v>3399</v>
      </c>
      <c r="E5042" s="6">
        <v>3328</v>
      </c>
      <c r="F5042" t="str">
        <f t="shared" si="2127"/>
        <v>TUE</v>
      </c>
      <c r="G5042" s="3">
        <f t="shared" si="2128"/>
        <v>44124</v>
      </c>
      <c r="H5042" s="2">
        <f t="shared" ca="1" si="2129"/>
        <v>129</v>
      </c>
      <c r="I5042" t="str">
        <f t="shared" si="2130"/>
        <v>SSEC</v>
      </c>
      <c r="J5042">
        <f t="shared" si="2131"/>
        <v>3215</v>
      </c>
      <c r="K5042">
        <f t="shared" si="2132"/>
        <v>3399</v>
      </c>
      <c r="L5042">
        <f t="shared" si="2133"/>
        <v>3307</v>
      </c>
      <c r="M5042">
        <f t="shared" si="2134"/>
        <v>92</v>
      </c>
      <c r="N5042">
        <f t="shared" si="2112"/>
        <v>184</v>
      </c>
      <c r="O5042">
        <f t="shared" si="2135"/>
        <v>3328</v>
      </c>
      <c r="P5042">
        <f t="shared" si="2136"/>
        <v>0.22826086956521738</v>
      </c>
      <c r="Q5042" t="str">
        <f t="shared" si="2113"/>
        <v>3.4% | 2.13%</v>
      </c>
      <c r="R5042" t="str">
        <f t="shared" si="2137"/>
        <v>BULLISH</v>
      </c>
      <c r="S5042">
        <f t="shared" si="2114"/>
        <v>1</v>
      </c>
    </row>
    <row r="5043" spans="1:19" hidden="1" x14ac:dyDescent="0.25">
      <c r="A5043" s="5" t="str">
        <f t="shared" si="2115"/>
        <v>44124NIKK</v>
      </c>
      <c r="B5043" s="6" t="s">
        <v>91</v>
      </c>
      <c r="C5043" s="6">
        <v>23362</v>
      </c>
      <c r="D5043" s="6">
        <v>23763</v>
      </c>
      <c r="E5043" s="6">
        <v>23567</v>
      </c>
      <c r="F5043" t="str">
        <f t="shared" si="2127"/>
        <v>TUE</v>
      </c>
      <c r="G5043" s="3">
        <f t="shared" si="2128"/>
        <v>44124</v>
      </c>
      <c r="H5043" s="2">
        <f t="shared" ca="1" si="2129"/>
        <v>129</v>
      </c>
      <c r="I5043" t="str">
        <f t="shared" si="2130"/>
        <v>NIKK</v>
      </c>
      <c r="J5043">
        <f t="shared" si="2131"/>
        <v>23362</v>
      </c>
      <c r="K5043">
        <f t="shared" si="2132"/>
        <v>23763</v>
      </c>
      <c r="L5043">
        <f t="shared" si="2133"/>
        <v>23562.5</v>
      </c>
      <c r="M5043">
        <f t="shared" si="2134"/>
        <v>200.5</v>
      </c>
      <c r="N5043">
        <f t="shared" si="2112"/>
        <v>401</v>
      </c>
      <c r="O5043">
        <f t="shared" si="2135"/>
        <v>23567</v>
      </c>
      <c r="P5043">
        <f t="shared" si="2136"/>
        <v>2.2443890274314215E-2</v>
      </c>
      <c r="Q5043" t="str">
        <f t="shared" si="2113"/>
        <v>0.87% | 0.83%</v>
      </c>
      <c r="R5043" t="str">
        <f t="shared" si="2137"/>
        <v>BULLISH</v>
      </c>
      <c r="S5043">
        <f t="shared" si="2114"/>
        <v>1</v>
      </c>
    </row>
    <row r="5044" spans="1:19" hidden="1" x14ac:dyDescent="0.25">
      <c r="A5044" s="5" t="str">
        <f t="shared" si="2115"/>
        <v>44124DAX</v>
      </c>
      <c r="B5044" s="6" t="s">
        <v>92</v>
      </c>
      <c r="C5044" s="6">
        <v>12658</v>
      </c>
      <c r="D5044" s="6">
        <v>13219</v>
      </c>
      <c r="E5044" s="6">
        <v>12854</v>
      </c>
      <c r="F5044" t="str">
        <f t="shared" si="2127"/>
        <v>TUE</v>
      </c>
      <c r="G5044" s="3">
        <f t="shared" si="2128"/>
        <v>44124</v>
      </c>
      <c r="H5044" s="2">
        <f t="shared" ca="1" si="2129"/>
        <v>129</v>
      </c>
      <c r="I5044" t="str">
        <f t="shared" si="2130"/>
        <v>DAX</v>
      </c>
      <c r="J5044">
        <f t="shared" si="2131"/>
        <v>12658</v>
      </c>
      <c r="K5044">
        <f t="shared" si="2132"/>
        <v>13219</v>
      </c>
      <c r="L5044">
        <f t="shared" si="2133"/>
        <v>12938.5</v>
      </c>
      <c r="M5044">
        <f t="shared" si="2134"/>
        <v>280.5</v>
      </c>
      <c r="N5044">
        <f t="shared" si="2112"/>
        <v>561</v>
      </c>
      <c r="O5044">
        <f t="shared" si="2135"/>
        <v>12854</v>
      </c>
      <c r="P5044">
        <f t="shared" si="2136"/>
        <v>-0.30124777183600715</v>
      </c>
      <c r="Q5044" t="str">
        <f t="shared" si="2113"/>
        <v>1.52% | 2.84%</v>
      </c>
      <c r="R5044" t="str">
        <f t="shared" si="2137"/>
        <v>NEUTRAL</v>
      </c>
      <c r="S5044">
        <f t="shared" si="2114"/>
        <v>0</v>
      </c>
    </row>
    <row r="5045" spans="1:19" hidden="1" x14ac:dyDescent="0.25">
      <c r="A5045" s="5" t="str">
        <f t="shared" si="2115"/>
        <v>44124VIX</v>
      </c>
      <c r="B5045" s="6" t="s">
        <v>159</v>
      </c>
      <c r="C5045" s="6">
        <v>24.11</v>
      </c>
      <c r="D5045" s="6">
        <v>30.22</v>
      </c>
      <c r="E5045" s="6">
        <v>29.18</v>
      </c>
      <c r="F5045" t="str">
        <f t="shared" si="2127"/>
        <v>TUE</v>
      </c>
      <c r="G5045" s="3">
        <f t="shared" si="2128"/>
        <v>44124</v>
      </c>
      <c r="H5045" s="2">
        <f t="shared" ca="1" si="2129"/>
        <v>129</v>
      </c>
      <c r="I5045" t="str">
        <f t="shared" si="2130"/>
        <v>VIX</v>
      </c>
      <c r="J5045">
        <f t="shared" si="2131"/>
        <v>24.11</v>
      </c>
      <c r="K5045">
        <f t="shared" si="2132"/>
        <v>30.22</v>
      </c>
      <c r="L5045">
        <f t="shared" si="2133"/>
        <v>27.164999999999999</v>
      </c>
      <c r="M5045">
        <f t="shared" si="2134"/>
        <v>3.0550000000000219</v>
      </c>
      <c r="N5045">
        <f t="shared" si="2112"/>
        <v>6.1099999999999994</v>
      </c>
      <c r="O5045">
        <f t="shared" si="2135"/>
        <v>29.18</v>
      </c>
      <c r="P5045">
        <f t="shared" si="2136"/>
        <v>0.65957446808510178</v>
      </c>
      <c r="Q5045" t="str">
        <f t="shared" si="2113"/>
        <v>17.37% | 3.56%</v>
      </c>
      <c r="R5045" t="str">
        <f t="shared" si="2137"/>
        <v>NEUTRAL</v>
      </c>
      <c r="S5045">
        <f t="shared" si="2114"/>
        <v>0</v>
      </c>
    </row>
    <row r="5046" spans="1:19" hidden="1" x14ac:dyDescent="0.25">
      <c r="A5046" s="5" t="str">
        <f t="shared" si="2115"/>
        <v>44124USD</v>
      </c>
      <c r="B5046" s="6" t="s">
        <v>78</v>
      </c>
      <c r="C5046" s="6">
        <v>92.89</v>
      </c>
      <c r="D5046" s="6">
        <v>94.15</v>
      </c>
      <c r="E5046" s="6">
        <v>93.43</v>
      </c>
      <c r="F5046" t="str">
        <f t="shared" si="2127"/>
        <v>TUE</v>
      </c>
      <c r="G5046" s="3">
        <f t="shared" si="2128"/>
        <v>44124</v>
      </c>
      <c r="H5046" s="2">
        <f t="shared" ca="1" si="2129"/>
        <v>129</v>
      </c>
      <c r="I5046" t="str">
        <f t="shared" si="2130"/>
        <v>USD</v>
      </c>
      <c r="J5046">
        <f t="shared" si="2131"/>
        <v>92.89</v>
      </c>
      <c r="K5046">
        <f t="shared" si="2132"/>
        <v>94.15</v>
      </c>
      <c r="L5046">
        <f t="shared" si="2133"/>
        <v>93.52000000000001</v>
      </c>
      <c r="M5046">
        <f t="shared" si="2134"/>
        <v>0.63000000000000256</v>
      </c>
      <c r="N5046">
        <f t="shared" si="2112"/>
        <v>1.2600000000000051</v>
      </c>
      <c r="O5046">
        <f t="shared" si="2135"/>
        <v>93.43</v>
      </c>
      <c r="P5046">
        <f t="shared" si="2136"/>
        <v>-0.14285714285714768</v>
      </c>
      <c r="Q5046" t="str">
        <f t="shared" si="2113"/>
        <v>0.58% | 0.77%</v>
      </c>
      <c r="R5046" t="str">
        <f t="shared" si="2137"/>
        <v>NEUTRAL</v>
      </c>
      <c r="S5046">
        <f t="shared" si="2114"/>
        <v>0</v>
      </c>
    </row>
    <row r="5047" spans="1:19" hidden="1" x14ac:dyDescent="0.25">
      <c r="A5047" s="5" t="str">
        <f t="shared" si="2115"/>
        <v>44124EUR/USD</v>
      </c>
      <c r="B5047" s="6" t="s">
        <v>77</v>
      </c>
      <c r="C5047" s="6">
        <v>1.1599999999999999</v>
      </c>
      <c r="D5047" s="6">
        <v>1.18</v>
      </c>
      <c r="E5047" s="6">
        <v>1.17</v>
      </c>
      <c r="F5047" t="str">
        <f t="shared" si="2127"/>
        <v>TUE</v>
      </c>
      <c r="G5047" s="3">
        <f t="shared" si="2128"/>
        <v>44124</v>
      </c>
      <c r="H5047" s="2">
        <f t="shared" ca="1" si="2129"/>
        <v>129</v>
      </c>
      <c r="I5047" t="str">
        <f t="shared" si="2130"/>
        <v>EUR/USD</v>
      </c>
      <c r="J5047">
        <f t="shared" si="2131"/>
        <v>1.1599999999999999</v>
      </c>
      <c r="K5047">
        <f t="shared" si="2132"/>
        <v>1.18</v>
      </c>
      <c r="L5047">
        <f t="shared" si="2133"/>
        <v>1.17</v>
      </c>
      <c r="M5047">
        <f t="shared" si="2134"/>
        <v>1.0000000000000009E-2</v>
      </c>
      <c r="N5047">
        <f t="shared" si="2112"/>
        <v>2.0000000000000018E-2</v>
      </c>
      <c r="O5047">
        <f t="shared" si="2135"/>
        <v>1.17</v>
      </c>
      <c r="P5047">
        <f t="shared" si="2136"/>
        <v>0</v>
      </c>
      <c r="Q5047" t="str">
        <f t="shared" si="2113"/>
        <v>0.85% | 0.85%</v>
      </c>
      <c r="R5047" t="str">
        <f t="shared" si="2137"/>
        <v>NEUTRAL</v>
      </c>
      <c r="S5047">
        <f t="shared" si="2114"/>
        <v>0</v>
      </c>
    </row>
    <row r="5048" spans="1:19" hidden="1" x14ac:dyDescent="0.25">
      <c r="A5048" s="5" t="str">
        <f t="shared" si="2115"/>
        <v>44124USD/JPY</v>
      </c>
      <c r="B5048" s="6" t="s">
        <v>20</v>
      </c>
      <c r="C5048" s="6">
        <v>105.01</v>
      </c>
      <c r="D5048" s="6">
        <v>106.07</v>
      </c>
      <c r="E5048" s="6">
        <v>105.43</v>
      </c>
      <c r="F5048" t="str">
        <f t="shared" si="2127"/>
        <v>TUE</v>
      </c>
      <c r="G5048" s="3">
        <f t="shared" si="2128"/>
        <v>44124</v>
      </c>
      <c r="H5048" s="2">
        <f t="shared" ca="1" si="2129"/>
        <v>129</v>
      </c>
      <c r="I5048" t="str">
        <f t="shared" si="2130"/>
        <v>USD/JPY</v>
      </c>
      <c r="J5048">
        <f t="shared" si="2131"/>
        <v>105.01</v>
      </c>
      <c r="K5048">
        <f t="shared" si="2132"/>
        <v>106.07</v>
      </c>
      <c r="L5048">
        <f t="shared" si="2133"/>
        <v>105.53999999999999</v>
      </c>
      <c r="M5048">
        <f t="shared" si="2134"/>
        <v>0.52999999999999403</v>
      </c>
      <c r="N5048">
        <f t="shared" si="2112"/>
        <v>1.0599999999999881</v>
      </c>
      <c r="O5048">
        <f t="shared" si="2135"/>
        <v>105.43</v>
      </c>
      <c r="P5048">
        <f t="shared" si="2136"/>
        <v>-0.2075471698112952</v>
      </c>
      <c r="Q5048" t="str">
        <f t="shared" si="2113"/>
        <v>0.4% | 0.61%</v>
      </c>
      <c r="R5048" t="str">
        <f t="shared" si="2137"/>
        <v>BEARISH</v>
      </c>
      <c r="S5048">
        <f t="shared" si="2114"/>
        <v>-1</v>
      </c>
    </row>
    <row r="5049" spans="1:19" hidden="1" x14ac:dyDescent="0.25">
      <c r="A5049" s="5" t="str">
        <f t="shared" si="2115"/>
        <v>44124GBP/USD</v>
      </c>
      <c r="B5049" s="6" t="s">
        <v>79</v>
      </c>
      <c r="C5049" s="6">
        <v>1.28</v>
      </c>
      <c r="D5049" s="6">
        <v>1.31</v>
      </c>
      <c r="E5049" s="6">
        <v>1.29</v>
      </c>
      <c r="F5049" t="str">
        <f t="shared" si="2127"/>
        <v>TUE</v>
      </c>
      <c r="G5049" s="3">
        <f t="shared" si="2128"/>
        <v>44124</v>
      </c>
      <c r="H5049" s="2">
        <f t="shared" ca="1" si="2129"/>
        <v>129</v>
      </c>
      <c r="I5049" t="str">
        <f t="shared" si="2130"/>
        <v>GBP/USD</v>
      </c>
      <c r="J5049">
        <f t="shared" si="2131"/>
        <v>1.28</v>
      </c>
      <c r="K5049">
        <f t="shared" si="2132"/>
        <v>1.31</v>
      </c>
      <c r="L5049">
        <f t="shared" si="2133"/>
        <v>1.2949999999999999</v>
      </c>
      <c r="M5049">
        <f t="shared" si="2134"/>
        <v>1.5000000000000013E-2</v>
      </c>
      <c r="N5049">
        <f t="shared" si="2112"/>
        <v>3.0000000000000027E-2</v>
      </c>
      <c r="O5049">
        <f t="shared" si="2135"/>
        <v>1.29</v>
      </c>
      <c r="P5049">
        <f t="shared" si="2136"/>
        <v>-0.33333333333332593</v>
      </c>
      <c r="Q5049" t="str">
        <f t="shared" si="2113"/>
        <v>0.78% | 1.55%</v>
      </c>
      <c r="R5049" t="str">
        <f t="shared" si="2137"/>
        <v>NEUTRAL</v>
      </c>
      <c r="S5049">
        <f t="shared" si="2114"/>
        <v>0</v>
      </c>
    </row>
    <row r="5050" spans="1:19" hidden="1" x14ac:dyDescent="0.25">
      <c r="A5050" s="5" t="str">
        <f t="shared" si="2115"/>
        <v>44124USD/CHF</v>
      </c>
      <c r="B5050" s="6" t="s">
        <v>76</v>
      </c>
      <c r="C5050" s="6">
        <v>0.9</v>
      </c>
      <c r="D5050" s="6">
        <v>0.92</v>
      </c>
      <c r="E5050" s="6">
        <v>0.91</v>
      </c>
      <c r="F5050" t="str">
        <f t="shared" si="2127"/>
        <v>TUE</v>
      </c>
      <c r="G5050" s="3">
        <f t="shared" si="2128"/>
        <v>44124</v>
      </c>
      <c r="H5050" s="2">
        <f t="shared" ca="1" si="2129"/>
        <v>129</v>
      </c>
      <c r="I5050" t="str">
        <f t="shared" si="2130"/>
        <v>USD/CHF</v>
      </c>
      <c r="J5050">
        <f t="shared" si="2131"/>
        <v>0.9</v>
      </c>
      <c r="K5050">
        <f t="shared" si="2132"/>
        <v>0.92</v>
      </c>
      <c r="L5050">
        <f t="shared" si="2133"/>
        <v>0.91</v>
      </c>
      <c r="M5050">
        <f t="shared" si="2134"/>
        <v>1.0000000000000009E-2</v>
      </c>
      <c r="N5050">
        <f t="shared" si="2112"/>
        <v>2.0000000000000018E-2</v>
      </c>
      <c r="O5050">
        <f t="shared" si="2135"/>
        <v>0.91</v>
      </c>
      <c r="P5050">
        <f t="shared" si="2136"/>
        <v>0</v>
      </c>
      <c r="Q5050" t="str">
        <f t="shared" si="2113"/>
        <v>1.1% | 1.1%</v>
      </c>
      <c r="R5050" t="str">
        <f t="shared" si="2137"/>
        <v>BEARISH</v>
      </c>
      <c r="S5050">
        <f t="shared" si="2114"/>
        <v>-1</v>
      </c>
    </row>
    <row r="5051" spans="1:19" hidden="1" x14ac:dyDescent="0.25">
      <c r="A5051" s="5" t="str">
        <f t="shared" si="2115"/>
        <v>44124WTIC</v>
      </c>
      <c r="B5051" s="6" t="s">
        <v>23</v>
      </c>
      <c r="C5051" s="6">
        <v>39.229999999999997</v>
      </c>
      <c r="D5051" s="6">
        <v>41.9</v>
      </c>
      <c r="E5051" s="6">
        <v>41.06</v>
      </c>
      <c r="F5051" t="str">
        <f t="shared" si="2127"/>
        <v>TUE</v>
      </c>
      <c r="G5051" s="3">
        <f t="shared" si="2128"/>
        <v>44124</v>
      </c>
      <c r="H5051" s="2">
        <f t="shared" ca="1" si="2129"/>
        <v>129</v>
      </c>
      <c r="I5051" t="str">
        <f t="shared" si="2130"/>
        <v>WTIC</v>
      </c>
      <c r="J5051">
        <f t="shared" si="2131"/>
        <v>39.229999999999997</v>
      </c>
      <c r="K5051">
        <f t="shared" si="2132"/>
        <v>41.9</v>
      </c>
      <c r="L5051">
        <f t="shared" si="2133"/>
        <v>40.564999999999998</v>
      </c>
      <c r="M5051">
        <f t="shared" si="2134"/>
        <v>1.3350000000000009</v>
      </c>
      <c r="N5051">
        <f t="shared" si="2112"/>
        <v>2.6700000000000017</v>
      </c>
      <c r="O5051">
        <f t="shared" si="2135"/>
        <v>41.06</v>
      </c>
      <c r="P5051">
        <f t="shared" si="2136"/>
        <v>0.37078651685393577</v>
      </c>
      <c r="Q5051" t="str">
        <f t="shared" si="2113"/>
        <v>4.46% | 2.05%</v>
      </c>
      <c r="R5051" t="str">
        <f t="shared" si="2137"/>
        <v>BEARISH</v>
      </c>
      <c r="S5051">
        <f t="shared" si="2114"/>
        <v>-1</v>
      </c>
    </row>
    <row r="5052" spans="1:19" hidden="1" x14ac:dyDescent="0.25">
      <c r="A5052" s="5" t="str">
        <f t="shared" si="2115"/>
        <v>44124NATGAS</v>
      </c>
      <c r="B5052" s="6" t="s">
        <v>89</v>
      </c>
      <c r="C5052" s="6">
        <v>2.52</v>
      </c>
      <c r="D5052" s="6">
        <v>2.96</v>
      </c>
      <c r="E5052" s="6">
        <v>2.8</v>
      </c>
      <c r="F5052" t="str">
        <f t="shared" si="2127"/>
        <v>TUE</v>
      </c>
      <c r="G5052" s="3">
        <f t="shared" si="2128"/>
        <v>44124</v>
      </c>
      <c r="H5052" s="2">
        <f t="shared" ca="1" si="2129"/>
        <v>129</v>
      </c>
      <c r="I5052" t="str">
        <f t="shared" si="2130"/>
        <v>NATGAS</v>
      </c>
      <c r="J5052">
        <f t="shared" si="2131"/>
        <v>2.52</v>
      </c>
      <c r="K5052">
        <f t="shared" si="2132"/>
        <v>2.96</v>
      </c>
      <c r="L5052">
        <f t="shared" si="2133"/>
        <v>2.74</v>
      </c>
      <c r="M5052">
        <f t="shared" si="2134"/>
        <v>0.21999999999999997</v>
      </c>
      <c r="N5052">
        <f t="shared" si="2112"/>
        <v>0.43999999999999995</v>
      </c>
      <c r="O5052">
        <f t="shared" si="2135"/>
        <v>2.8</v>
      </c>
      <c r="P5052">
        <f t="shared" si="2136"/>
        <v>0.27272727272727099</v>
      </c>
      <c r="Q5052" t="str">
        <f t="shared" si="2113"/>
        <v>10% | 5.71%</v>
      </c>
      <c r="R5052" t="str">
        <f t="shared" si="2137"/>
        <v>BULLISH</v>
      </c>
      <c r="S5052">
        <f t="shared" si="2114"/>
        <v>1</v>
      </c>
    </row>
    <row r="5053" spans="1:19" hidden="1" x14ac:dyDescent="0.25">
      <c r="A5053" s="5" t="str">
        <f t="shared" si="2115"/>
        <v>44124GOLD</v>
      </c>
      <c r="B5053" s="6" t="s">
        <v>25</v>
      </c>
      <c r="C5053" s="6">
        <v>1881</v>
      </c>
      <c r="D5053" s="6">
        <v>1934</v>
      </c>
      <c r="E5053" s="6">
        <v>1911</v>
      </c>
      <c r="F5053" t="str">
        <f t="shared" si="2127"/>
        <v>TUE</v>
      </c>
      <c r="G5053" s="3">
        <f t="shared" si="2128"/>
        <v>44124</v>
      </c>
      <c r="H5053" s="2">
        <f t="shared" ca="1" si="2129"/>
        <v>129</v>
      </c>
      <c r="I5053" t="str">
        <f t="shared" si="2130"/>
        <v>GOLD</v>
      </c>
      <c r="J5053">
        <f t="shared" si="2131"/>
        <v>1881</v>
      </c>
      <c r="K5053">
        <f t="shared" si="2132"/>
        <v>1934</v>
      </c>
      <c r="L5053">
        <f t="shared" si="2133"/>
        <v>1907.5</v>
      </c>
      <c r="M5053">
        <f t="shared" si="2134"/>
        <v>26.5</v>
      </c>
      <c r="N5053">
        <f t="shared" si="2112"/>
        <v>53</v>
      </c>
      <c r="O5053">
        <f t="shared" si="2135"/>
        <v>1911</v>
      </c>
      <c r="P5053">
        <f t="shared" si="2136"/>
        <v>0.13207547169811321</v>
      </c>
      <c r="Q5053" t="str">
        <f t="shared" si="2113"/>
        <v>1.57% | 1.2%</v>
      </c>
      <c r="R5053" t="str">
        <f t="shared" si="2137"/>
        <v>BULLISH</v>
      </c>
      <c r="S5053">
        <f t="shared" si="2114"/>
        <v>1</v>
      </c>
    </row>
    <row r="5054" spans="1:19" hidden="1" x14ac:dyDescent="0.25">
      <c r="A5054" s="5" t="str">
        <f t="shared" si="2115"/>
        <v>44124SILVER</v>
      </c>
      <c r="B5054" s="6" t="s">
        <v>195</v>
      </c>
      <c r="C5054" s="6">
        <v>23.41</v>
      </c>
      <c r="D5054" s="6">
        <v>25.48</v>
      </c>
      <c r="E5054" s="6">
        <v>24.7</v>
      </c>
      <c r="F5054" t="str">
        <f t="shared" si="2127"/>
        <v>TUE</v>
      </c>
      <c r="G5054" s="3">
        <f t="shared" si="2128"/>
        <v>44124</v>
      </c>
      <c r="H5054" s="2">
        <f t="shared" ca="1" si="2129"/>
        <v>129</v>
      </c>
      <c r="I5054" t="str">
        <f t="shared" si="2130"/>
        <v>SILVER</v>
      </c>
      <c r="J5054">
        <f t="shared" si="2131"/>
        <v>23.41</v>
      </c>
      <c r="K5054">
        <f t="shared" si="2132"/>
        <v>25.48</v>
      </c>
      <c r="L5054">
        <f t="shared" si="2133"/>
        <v>24.445</v>
      </c>
      <c r="M5054">
        <f t="shared" si="2134"/>
        <v>1.0350000000000001</v>
      </c>
      <c r="N5054">
        <f t="shared" si="2112"/>
        <v>2.0700000000000003</v>
      </c>
      <c r="O5054">
        <f t="shared" si="2135"/>
        <v>24.7</v>
      </c>
      <c r="P5054">
        <f t="shared" si="2136"/>
        <v>0.24637681159420191</v>
      </c>
      <c r="Q5054" t="str">
        <f t="shared" si="2113"/>
        <v>5.22% | 3.16%</v>
      </c>
      <c r="R5054" t="str">
        <f t="shared" si="2137"/>
        <v>BULLISH</v>
      </c>
      <c r="S5054">
        <f t="shared" si="2114"/>
        <v>1</v>
      </c>
    </row>
    <row r="5055" spans="1:19" hidden="1" x14ac:dyDescent="0.25">
      <c r="A5055" s="5" t="str">
        <f t="shared" si="2115"/>
        <v>44124COPPER</v>
      </c>
      <c r="B5055" s="6" t="s">
        <v>100</v>
      </c>
      <c r="C5055" s="6">
        <v>2.99</v>
      </c>
      <c r="D5055" s="6">
        <v>3.12</v>
      </c>
      <c r="E5055" s="6">
        <v>3.09</v>
      </c>
      <c r="F5055" t="str">
        <f t="shared" si="2127"/>
        <v>TUE</v>
      </c>
      <c r="G5055" s="3">
        <f t="shared" si="2128"/>
        <v>44124</v>
      </c>
      <c r="H5055" s="2">
        <f t="shared" ca="1" si="2129"/>
        <v>129</v>
      </c>
      <c r="I5055" t="str">
        <f t="shared" si="2130"/>
        <v>COPPER</v>
      </c>
      <c r="J5055">
        <f t="shared" si="2131"/>
        <v>2.99</v>
      </c>
      <c r="K5055">
        <f t="shared" si="2132"/>
        <v>3.12</v>
      </c>
      <c r="L5055">
        <f t="shared" si="2133"/>
        <v>3.0550000000000002</v>
      </c>
      <c r="M5055">
        <f t="shared" si="2134"/>
        <v>6.4999999999999947E-2</v>
      </c>
      <c r="N5055">
        <f t="shared" si="2112"/>
        <v>0.12999999999999989</v>
      </c>
      <c r="O5055">
        <f t="shared" si="2135"/>
        <v>3.09</v>
      </c>
      <c r="P5055">
        <f t="shared" si="2136"/>
        <v>0.53846153846153422</v>
      </c>
      <c r="Q5055" t="str">
        <f t="shared" si="2113"/>
        <v>3.24% | 0.97%</v>
      </c>
      <c r="R5055" t="str">
        <f t="shared" si="2137"/>
        <v>BULLISH</v>
      </c>
      <c r="S5055">
        <f t="shared" si="2114"/>
        <v>1</v>
      </c>
    </row>
    <row r="5056" spans="1:19" hidden="1" x14ac:dyDescent="0.25">
      <c r="A5056" s="5" t="str">
        <f t="shared" si="2115"/>
        <v>44124MSFT</v>
      </c>
      <c r="B5056" s="6" t="s">
        <v>27</v>
      </c>
      <c r="C5056" s="6">
        <v>207</v>
      </c>
      <c r="D5056" s="6">
        <v>227</v>
      </c>
      <c r="E5056" s="6">
        <v>214</v>
      </c>
      <c r="F5056" t="str">
        <f t="shared" si="2127"/>
        <v>TUE</v>
      </c>
      <c r="G5056" s="3">
        <f t="shared" si="2128"/>
        <v>44124</v>
      </c>
      <c r="H5056" s="2">
        <f t="shared" ca="1" si="2129"/>
        <v>129</v>
      </c>
      <c r="I5056" t="str">
        <f t="shared" si="2130"/>
        <v>MSFT</v>
      </c>
      <c r="J5056">
        <f t="shared" si="2131"/>
        <v>207</v>
      </c>
      <c r="K5056">
        <f t="shared" si="2132"/>
        <v>227</v>
      </c>
      <c r="L5056">
        <f t="shared" si="2133"/>
        <v>217</v>
      </c>
      <c r="M5056">
        <f t="shared" si="2134"/>
        <v>10</v>
      </c>
      <c r="N5056">
        <f t="shared" si="2112"/>
        <v>20</v>
      </c>
      <c r="O5056">
        <f t="shared" si="2135"/>
        <v>214</v>
      </c>
      <c r="P5056">
        <f t="shared" si="2136"/>
        <v>-0.3</v>
      </c>
      <c r="Q5056" t="str">
        <f t="shared" si="2113"/>
        <v>3.27% | 6.07%</v>
      </c>
      <c r="R5056" t="str">
        <f t="shared" si="2137"/>
        <v>BULLISH</v>
      </c>
      <c r="S5056">
        <f t="shared" si="2114"/>
        <v>1</v>
      </c>
    </row>
    <row r="5057" spans="1:19" hidden="1" x14ac:dyDescent="0.25">
      <c r="A5057" s="5" t="str">
        <f t="shared" si="2115"/>
        <v>44124AAPL</v>
      </c>
      <c r="B5057" s="6" t="s">
        <v>28</v>
      </c>
      <c r="C5057" s="6">
        <v>112</v>
      </c>
      <c r="D5057" s="6">
        <v>125</v>
      </c>
      <c r="E5057" s="6">
        <v>115</v>
      </c>
      <c r="F5057" t="str">
        <f t="shared" si="2127"/>
        <v>TUE</v>
      </c>
      <c r="G5057" s="3">
        <f t="shared" si="2128"/>
        <v>44124</v>
      </c>
      <c r="H5057" s="2">
        <f t="shared" ca="1" si="2129"/>
        <v>129</v>
      </c>
      <c r="I5057" t="str">
        <f t="shared" si="2130"/>
        <v>AAPL</v>
      </c>
      <c r="J5057">
        <f t="shared" si="2131"/>
        <v>112</v>
      </c>
      <c r="K5057">
        <f t="shared" si="2132"/>
        <v>125</v>
      </c>
      <c r="L5057">
        <f t="shared" si="2133"/>
        <v>118.5</v>
      </c>
      <c r="M5057">
        <f t="shared" si="2134"/>
        <v>6.5</v>
      </c>
      <c r="N5057">
        <f t="shared" si="2112"/>
        <v>13</v>
      </c>
      <c r="O5057">
        <f t="shared" si="2135"/>
        <v>115</v>
      </c>
      <c r="P5057">
        <f t="shared" si="2136"/>
        <v>-0.53846153846153844</v>
      </c>
      <c r="Q5057" t="str">
        <f t="shared" si="2113"/>
        <v>2.61% | 8.7%</v>
      </c>
      <c r="R5057" t="str">
        <f t="shared" si="2137"/>
        <v>BULLISH</v>
      </c>
      <c r="S5057">
        <f t="shared" si="2114"/>
        <v>1</v>
      </c>
    </row>
    <row r="5058" spans="1:19" hidden="1" x14ac:dyDescent="0.25">
      <c r="A5058" s="5" t="str">
        <f t="shared" si="2115"/>
        <v>44124AMZN</v>
      </c>
      <c r="B5058" s="6" t="s">
        <v>29</v>
      </c>
      <c r="C5058" s="6">
        <v>3107</v>
      </c>
      <c r="D5058" s="6">
        <v>3499</v>
      </c>
      <c r="E5058" s="6">
        <v>3207</v>
      </c>
      <c r="F5058" t="str">
        <f t="shared" si="2127"/>
        <v>TUE</v>
      </c>
      <c r="G5058" s="3">
        <f t="shared" si="2128"/>
        <v>44124</v>
      </c>
      <c r="H5058" s="2">
        <f t="shared" ca="1" si="2129"/>
        <v>129</v>
      </c>
      <c r="I5058" t="str">
        <f t="shared" si="2130"/>
        <v>AMZN</v>
      </c>
      <c r="J5058">
        <f t="shared" si="2131"/>
        <v>3107</v>
      </c>
      <c r="K5058">
        <f t="shared" si="2132"/>
        <v>3499</v>
      </c>
      <c r="L5058">
        <f t="shared" si="2133"/>
        <v>3303</v>
      </c>
      <c r="M5058">
        <f t="shared" si="2134"/>
        <v>196</v>
      </c>
      <c r="N5058">
        <f t="shared" si="2112"/>
        <v>392</v>
      </c>
      <c r="O5058">
        <f t="shared" si="2135"/>
        <v>3207</v>
      </c>
      <c r="P5058">
        <f t="shared" si="2136"/>
        <v>-0.48979591836734693</v>
      </c>
      <c r="Q5058" t="str">
        <f t="shared" si="2113"/>
        <v>3.12% | 9.11%</v>
      </c>
      <c r="R5058" t="str">
        <f t="shared" si="2137"/>
        <v>BULLISH</v>
      </c>
      <c r="S5058">
        <f t="shared" si="2114"/>
        <v>1</v>
      </c>
    </row>
    <row r="5059" spans="1:19" hidden="1" x14ac:dyDescent="0.25">
      <c r="A5059" s="5" t="str">
        <f t="shared" si="2115"/>
        <v>44124FB</v>
      </c>
      <c r="B5059" s="6" t="s">
        <v>30</v>
      </c>
      <c r="C5059" s="6">
        <v>254</v>
      </c>
      <c r="D5059" s="6">
        <v>280</v>
      </c>
      <c r="E5059" s="6">
        <v>261</v>
      </c>
      <c r="F5059" t="str">
        <f t="shared" si="2127"/>
        <v>TUE</v>
      </c>
      <c r="G5059" s="3">
        <f t="shared" si="2128"/>
        <v>44124</v>
      </c>
      <c r="H5059" s="2">
        <f t="shared" ca="1" si="2129"/>
        <v>129</v>
      </c>
      <c r="I5059" t="str">
        <f t="shared" si="2130"/>
        <v>FB</v>
      </c>
      <c r="J5059">
        <f t="shared" si="2131"/>
        <v>254</v>
      </c>
      <c r="K5059">
        <f t="shared" si="2132"/>
        <v>280</v>
      </c>
      <c r="L5059">
        <f t="shared" si="2133"/>
        <v>267</v>
      </c>
      <c r="M5059">
        <f t="shared" si="2134"/>
        <v>13</v>
      </c>
      <c r="N5059">
        <f t="shared" ref="N5059:N5122" si="2138">ABS(K5059-J5059)</f>
        <v>26</v>
      </c>
      <c r="O5059">
        <f t="shared" si="2135"/>
        <v>261</v>
      </c>
      <c r="P5059">
        <f t="shared" si="2136"/>
        <v>-0.46153846153846156</v>
      </c>
      <c r="Q5059" t="str">
        <f t="shared" ref="Q5059:Q5122" si="2139">ROUND(ABS(100*(O5059-J5059)/O5059),2)&amp;"% | "&amp;ROUND(ABS(100*(K5059-O5059)/O5059),2)&amp;"%"</f>
        <v>2.68% | 7.28%</v>
      </c>
      <c r="R5059" t="str">
        <f t="shared" si="2137"/>
        <v>BULLISH</v>
      </c>
      <c r="S5059">
        <f t="shared" ref="S5059:S5122" si="2140">IF(R5059="BEARISH",-1,IF(R5059="NEUTRAL",0,IF(R5059="BULLISH",1,99)))</f>
        <v>1</v>
      </c>
    </row>
    <row r="5060" spans="1:19" hidden="1" x14ac:dyDescent="0.25">
      <c r="A5060" s="5" t="str">
        <f t="shared" si="2115"/>
        <v>44124GOOGL</v>
      </c>
      <c r="B5060" s="6" t="s">
        <v>59</v>
      </c>
      <c r="C5060" s="6">
        <v>1455</v>
      </c>
      <c r="D5060" s="6">
        <v>1611</v>
      </c>
      <c r="E5060" s="6">
        <v>1529</v>
      </c>
      <c r="F5060" t="str">
        <f t="shared" si="2127"/>
        <v>TUE</v>
      </c>
      <c r="G5060" s="3">
        <f t="shared" si="2128"/>
        <v>44124</v>
      </c>
      <c r="H5060" s="2">
        <f t="shared" ca="1" si="2129"/>
        <v>129</v>
      </c>
      <c r="I5060" t="str">
        <f t="shared" si="2130"/>
        <v>GOOGL</v>
      </c>
      <c r="J5060">
        <f t="shared" si="2131"/>
        <v>1455</v>
      </c>
      <c r="K5060">
        <f t="shared" si="2132"/>
        <v>1611</v>
      </c>
      <c r="L5060">
        <f t="shared" si="2133"/>
        <v>1533</v>
      </c>
      <c r="M5060">
        <f t="shared" si="2134"/>
        <v>78</v>
      </c>
      <c r="N5060">
        <f t="shared" si="2138"/>
        <v>156</v>
      </c>
      <c r="O5060">
        <f t="shared" si="2135"/>
        <v>1529</v>
      </c>
      <c r="P5060">
        <f t="shared" si="2136"/>
        <v>-5.128205128205128E-2</v>
      </c>
      <c r="Q5060" t="str">
        <f t="shared" si="2139"/>
        <v>4.84% | 5.36%</v>
      </c>
      <c r="R5060" t="str">
        <f t="shared" si="2137"/>
        <v>NEUTRAL</v>
      </c>
      <c r="S5060">
        <f t="shared" si="2140"/>
        <v>0</v>
      </c>
    </row>
    <row r="5061" spans="1:19" hidden="1" x14ac:dyDescent="0.25">
      <c r="A5061" s="5" t="str">
        <f t="shared" si="2115"/>
        <v>44124NFLX</v>
      </c>
      <c r="B5061" s="6" t="s">
        <v>70</v>
      </c>
      <c r="C5061" s="6">
        <v>510</v>
      </c>
      <c r="D5061" s="6">
        <v>559</v>
      </c>
      <c r="E5061" s="6">
        <v>530</v>
      </c>
      <c r="F5061" t="str">
        <f t="shared" si="2127"/>
        <v>TUE</v>
      </c>
      <c r="G5061" s="3">
        <f t="shared" si="2128"/>
        <v>44124</v>
      </c>
      <c r="H5061" s="2">
        <f t="shared" ca="1" si="2129"/>
        <v>129</v>
      </c>
      <c r="I5061" t="str">
        <f t="shared" si="2130"/>
        <v>NFLX</v>
      </c>
      <c r="J5061">
        <f t="shared" si="2131"/>
        <v>510</v>
      </c>
      <c r="K5061">
        <f t="shared" si="2132"/>
        <v>559</v>
      </c>
      <c r="L5061">
        <f t="shared" si="2133"/>
        <v>534.5</v>
      </c>
      <c r="M5061">
        <f t="shared" si="2134"/>
        <v>24.5</v>
      </c>
      <c r="N5061">
        <f t="shared" si="2138"/>
        <v>49</v>
      </c>
      <c r="O5061">
        <f t="shared" si="2135"/>
        <v>530</v>
      </c>
      <c r="P5061">
        <f t="shared" si="2136"/>
        <v>-0.18367346938775511</v>
      </c>
      <c r="Q5061" t="str">
        <f t="shared" si="2139"/>
        <v>3.77% | 5.47%</v>
      </c>
      <c r="R5061" t="str">
        <f t="shared" si="2137"/>
        <v>NEUTRAL</v>
      </c>
      <c r="S5061">
        <f t="shared" si="2140"/>
        <v>0</v>
      </c>
    </row>
    <row r="5062" spans="1:19" x14ac:dyDescent="0.25">
      <c r="A5062" s="5" t="str">
        <f t="shared" ref="A5062:A5126" si="2141">G5062&amp;I5062</f>
        <v>44124TSLA</v>
      </c>
      <c r="B5062" s="6" t="s">
        <v>71</v>
      </c>
      <c r="C5062" s="6">
        <v>411</v>
      </c>
      <c r="D5062" s="6">
        <v>463</v>
      </c>
      <c r="E5062" s="6">
        <v>430</v>
      </c>
      <c r="F5062" t="str">
        <f t="shared" si="2127"/>
        <v>TUE</v>
      </c>
      <c r="G5062" s="3">
        <f t="shared" si="2128"/>
        <v>44124</v>
      </c>
      <c r="H5062" s="2">
        <f t="shared" ca="1" si="2129"/>
        <v>129</v>
      </c>
      <c r="I5062" t="str">
        <f t="shared" si="2130"/>
        <v>TSLA</v>
      </c>
      <c r="J5062">
        <f t="shared" si="2131"/>
        <v>411</v>
      </c>
      <c r="K5062">
        <f t="shared" si="2132"/>
        <v>463</v>
      </c>
      <c r="L5062">
        <f t="shared" si="2133"/>
        <v>437</v>
      </c>
      <c r="M5062">
        <f t="shared" si="2134"/>
        <v>26</v>
      </c>
      <c r="N5062">
        <f t="shared" si="2138"/>
        <v>52</v>
      </c>
      <c r="O5062">
        <f t="shared" si="2135"/>
        <v>430</v>
      </c>
      <c r="P5062">
        <f t="shared" si="2136"/>
        <v>-0.26923076923076922</v>
      </c>
      <c r="Q5062" t="str">
        <f t="shared" si="2139"/>
        <v>4.42% | 7.67%</v>
      </c>
      <c r="R5062" t="str">
        <f t="shared" si="2137"/>
        <v>NEUTRAL</v>
      </c>
      <c r="S5062">
        <f t="shared" si="2140"/>
        <v>0</v>
      </c>
    </row>
    <row r="5063" spans="1:19" hidden="1" x14ac:dyDescent="0.25">
      <c r="A5063" s="5" t="str">
        <f t="shared" si="2141"/>
        <v>44124NYXBT</v>
      </c>
      <c r="B5063" s="6" t="s">
        <v>60</v>
      </c>
      <c r="C5063" s="6">
        <v>10651</v>
      </c>
      <c r="D5063" s="6">
        <v>11894</v>
      </c>
      <c r="E5063" s="6">
        <v>11651</v>
      </c>
      <c r="F5063" t="str">
        <f t="shared" si="2127"/>
        <v>TUE</v>
      </c>
      <c r="G5063" s="3">
        <f t="shared" si="2128"/>
        <v>44124</v>
      </c>
      <c r="H5063" s="2">
        <f t="shared" ca="1" si="2129"/>
        <v>129</v>
      </c>
      <c r="I5063" t="str">
        <f t="shared" si="2130"/>
        <v>NYXBT</v>
      </c>
      <c r="J5063">
        <f t="shared" si="2131"/>
        <v>10651</v>
      </c>
      <c r="K5063">
        <f t="shared" si="2132"/>
        <v>11894</v>
      </c>
      <c r="L5063">
        <f t="shared" si="2133"/>
        <v>11272.5</v>
      </c>
      <c r="M5063">
        <f t="shared" si="2134"/>
        <v>621.5</v>
      </c>
      <c r="N5063">
        <f t="shared" si="2138"/>
        <v>1243</v>
      </c>
      <c r="O5063">
        <f t="shared" si="2135"/>
        <v>11651</v>
      </c>
      <c r="P5063">
        <f t="shared" si="2136"/>
        <v>0.60901045856798064</v>
      </c>
      <c r="Q5063" t="str">
        <f t="shared" si="2139"/>
        <v>8.58% | 2.09%</v>
      </c>
      <c r="R5063" t="str">
        <f t="shared" si="2137"/>
        <v>BULLISH</v>
      </c>
      <c r="S5063">
        <f t="shared" si="2140"/>
        <v>1</v>
      </c>
    </row>
    <row r="5064" spans="1:19" hidden="1" x14ac:dyDescent="0.25">
      <c r="A5064" s="5" t="str">
        <f t="shared" si="2141"/>
        <v>44125UST10Y</v>
      </c>
      <c r="B5064" s="6" t="s">
        <v>4</v>
      </c>
      <c r="C5064" s="6">
        <v>0.82</v>
      </c>
      <c r="D5064" s="6">
        <v>0.69</v>
      </c>
      <c r="E5064" s="6">
        <v>0.81</v>
      </c>
      <c r="F5064" t="str">
        <f t="shared" si="2127"/>
        <v>WED</v>
      </c>
      <c r="G5064" s="1">
        <f>DATE(2020,10,21)</f>
        <v>44125</v>
      </c>
      <c r="H5064" s="2">
        <f t="shared" ca="1" si="2129"/>
        <v>128</v>
      </c>
      <c r="I5064" t="str">
        <f t="shared" si="2130"/>
        <v>UST10Y</v>
      </c>
      <c r="J5064">
        <f t="shared" si="2131"/>
        <v>0.82</v>
      </c>
      <c r="K5064">
        <f t="shared" si="2132"/>
        <v>0.69</v>
      </c>
      <c r="L5064">
        <f t="shared" si="2133"/>
        <v>0.75499999999999989</v>
      </c>
      <c r="M5064">
        <f t="shared" si="2134"/>
        <v>6.5000000000000002E-2</v>
      </c>
      <c r="N5064">
        <f t="shared" si="2138"/>
        <v>0.13</v>
      </c>
      <c r="O5064">
        <f t="shared" si="2135"/>
        <v>0.81</v>
      </c>
      <c r="P5064">
        <f t="shared" si="2136"/>
        <v>0.84615384615384859</v>
      </c>
      <c r="Q5064" t="str">
        <f t="shared" si="2139"/>
        <v>1.23% | 14.81%</v>
      </c>
      <c r="R5064" t="str">
        <f t="shared" si="2137"/>
        <v>BEARISH</v>
      </c>
      <c r="S5064">
        <f t="shared" si="2140"/>
        <v>-1</v>
      </c>
    </row>
    <row r="5065" spans="1:19" hidden="1" x14ac:dyDescent="0.25">
      <c r="A5065" s="5" t="str">
        <f t="shared" si="2141"/>
        <v>44125UST2Y</v>
      </c>
      <c r="B5065" s="6" t="s">
        <v>5</v>
      </c>
      <c r="C5065" s="6">
        <v>0.17</v>
      </c>
      <c r="D5065" s="6">
        <v>0.12</v>
      </c>
      <c r="E5065" s="6">
        <v>0.14000000000000001</v>
      </c>
      <c r="F5065" t="str">
        <f t="shared" ref="F5065:F5095" si="2142">UPPER(TEXT(G5065,"ddd"))</f>
        <v>WED</v>
      </c>
      <c r="G5065" s="1">
        <f t="shared" ref="G5065:G5094" si="2143">DATE(2020,10,21)</f>
        <v>44125</v>
      </c>
      <c r="H5065" s="2">
        <f t="shared" ref="H5065:H5095" ca="1" si="2144">TODAY()-G5065</f>
        <v>128</v>
      </c>
      <c r="I5065" t="str">
        <f t="shared" ref="I5065:I5095" si="2145">TRIM(LEFT(B5065,FIND(" ",B5065,1)))</f>
        <v>UST2Y</v>
      </c>
      <c r="J5065">
        <f t="shared" ref="J5065:J5095" si="2146">C5065</f>
        <v>0.17</v>
      </c>
      <c r="K5065">
        <f t="shared" ref="K5065:K5095" si="2147">D5065</f>
        <v>0.12</v>
      </c>
      <c r="L5065">
        <f t="shared" ref="L5065:L5095" si="2148">AVERAGE(J5065:K5065)</f>
        <v>0.14500000000000002</v>
      </c>
      <c r="M5065">
        <f t="shared" ref="M5065:M5095" si="2149">_xlfn.STDEV.P(J5065:K5065)</f>
        <v>2.4999999999999942E-2</v>
      </c>
      <c r="N5065">
        <f t="shared" si="2138"/>
        <v>5.0000000000000017E-2</v>
      </c>
      <c r="O5065">
        <f t="shared" ref="O5065:O5095" si="2150">E5065</f>
        <v>0.14000000000000001</v>
      </c>
      <c r="P5065">
        <f t="shared" ref="P5065:P5095" si="2151">(O5065-L5065)/M5065</f>
        <v>-0.20000000000000065</v>
      </c>
      <c r="Q5065" t="str">
        <f t="shared" si="2139"/>
        <v>21.43% | 14.29%</v>
      </c>
      <c r="R5065" t="str">
        <f t="shared" ref="R5065:R5095" si="2152">MID(B5065,FIND("(",B5065,1)+1,FIND(")",B5065,1)-FIND("(",B5065,1)-1)</f>
        <v>BEARISH</v>
      </c>
      <c r="S5065">
        <f t="shared" si="2140"/>
        <v>-1</v>
      </c>
    </row>
    <row r="5066" spans="1:19" hidden="1" x14ac:dyDescent="0.25">
      <c r="A5066" s="5" t="str">
        <f t="shared" si="2141"/>
        <v>44125SPX</v>
      </c>
      <c r="B5066" s="6" t="s">
        <v>51</v>
      </c>
      <c r="C5066" s="6">
        <v>3403</v>
      </c>
      <c r="D5066" s="6">
        <v>3542</v>
      </c>
      <c r="E5066" s="6">
        <v>3443</v>
      </c>
      <c r="F5066" t="str">
        <f t="shared" si="2142"/>
        <v>WED</v>
      </c>
      <c r="G5066" s="1">
        <f t="shared" si="2143"/>
        <v>44125</v>
      </c>
      <c r="H5066" s="2">
        <f t="shared" ca="1" si="2144"/>
        <v>128</v>
      </c>
      <c r="I5066" t="str">
        <f t="shared" si="2145"/>
        <v>SPX</v>
      </c>
      <c r="J5066">
        <f t="shared" si="2146"/>
        <v>3403</v>
      </c>
      <c r="K5066">
        <f t="shared" si="2147"/>
        <v>3542</v>
      </c>
      <c r="L5066">
        <f t="shared" si="2148"/>
        <v>3472.5</v>
      </c>
      <c r="M5066">
        <f t="shared" si="2149"/>
        <v>69.5</v>
      </c>
      <c r="N5066">
        <f t="shared" si="2138"/>
        <v>139</v>
      </c>
      <c r="O5066">
        <f t="shared" si="2150"/>
        <v>3443</v>
      </c>
      <c r="P5066">
        <f t="shared" si="2151"/>
        <v>-0.42446043165467628</v>
      </c>
      <c r="Q5066" t="str">
        <f t="shared" si="2139"/>
        <v>1.16% | 2.88%</v>
      </c>
      <c r="R5066" t="str">
        <f t="shared" si="2152"/>
        <v>NEUTRAL</v>
      </c>
      <c r="S5066">
        <f t="shared" si="2140"/>
        <v>0</v>
      </c>
    </row>
    <row r="5067" spans="1:19" hidden="1" x14ac:dyDescent="0.25">
      <c r="A5067" s="5" t="str">
        <f t="shared" si="2141"/>
        <v>44125RUT</v>
      </c>
      <c r="B5067" s="6" t="s">
        <v>240</v>
      </c>
      <c r="C5067" s="6">
        <v>1576</v>
      </c>
      <c r="D5067" s="6">
        <v>1651</v>
      </c>
      <c r="E5067" s="6">
        <v>1617</v>
      </c>
      <c r="F5067" t="str">
        <f t="shared" si="2142"/>
        <v>WED</v>
      </c>
      <c r="G5067" s="1">
        <f t="shared" si="2143"/>
        <v>44125</v>
      </c>
      <c r="H5067" s="2">
        <f t="shared" ca="1" si="2144"/>
        <v>128</v>
      </c>
      <c r="I5067" t="str">
        <f t="shared" si="2145"/>
        <v>RUT</v>
      </c>
      <c r="J5067">
        <f t="shared" si="2146"/>
        <v>1576</v>
      </c>
      <c r="K5067">
        <f t="shared" si="2147"/>
        <v>1651</v>
      </c>
      <c r="L5067">
        <f t="shared" si="2148"/>
        <v>1613.5</v>
      </c>
      <c r="M5067">
        <f t="shared" si="2149"/>
        <v>37.5</v>
      </c>
      <c r="N5067">
        <f t="shared" si="2138"/>
        <v>75</v>
      </c>
      <c r="O5067">
        <f t="shared" si="2150"/>
        <v>1617</v>
      </c>
      <c r="P5067">
        <f t="shared" si="2151"/>
        <v>9.3333333333333338E-2</v>
      </c>
      <c r="Q5067" t="str">
        <f t="shared" si="2139"/>
        <v>2.54% | 2.1%</v>
      </c>
      <c r="R5067" t="str">
        <f t="shared" si="2152"/>
        <v>NEUTRAL</v>
      </c>
      <c r="S5067">
        <f t="shared" si="2140"/>
        <v>0</v>
      </c>
    </row>
    <row r="5068" spans="1:19" hidden="1" x14ac:dyDescent="0.25">
      <c r="A5068" s="5" t="str">
        <f t="shared" si="2141"/>
        <v>44125COMPQ</v>
      </c>
      <c r="B5068" s="6" t="s">
        <v>61</v>
      </c>
      <c r="C5068" s="6">
        <v>11331</v>
      </c>
      <c r="D5068" s="6">
        <v>11967</v>
      </c>
      <c r="E5068" s="6">
        <v>11516</v>
      </c>
      <c r="F5068" t="str">
        <f t="shared" si="2142"/>
        <v>WED</v>
      </c>
      <c r="G5068" s="1">
        <f t="shared" si="2143"/>
        <v>44125</v>
      </c>
      <c r="H5068" s="2">
        <f t="shared" ca="1" si="2144"/>
        <v>128</v>
      </c>
      <c r="I5068" t="str">
        <f t="shared" si="2145"/>
        <v>COMPQ</v>
      </c>
      <c r="J5068">
        <f t="shared" si="2146"/>
        <v>11331</v>
      </c>
      <c r="K5068">
        <f t="shared" si="2147"/>
        <v>11967</v>
      </c>
      <c r="L5068">
        <f t="shared" si="2148"/>
        <v>11649</v>
      </c>
      <c r="M5068">
        <f t="shared" si="2149"/>
        <v>318</v>
      </c>
      <c r="N5068">
        <f t="shared" si="2138"/>
        <v>636</v>
      </c>
      <c r="O5068">
        <f t="shared" si="2150"/>
        <v>11516</v>
      </c>
      <c r="P5068">
        <f t="shared" si="2151"/>
        <v>-0.41823899371069184</v>
      </c>
      <c r="Q5068" t="str">
        <f t="shared" si="2139"/>
        <v>1.61% | 3.92%</v>
      </c>
      <c r="R5068" t="str">
        <f t="shared" si="2152"/>
        <v>NEUTRAL</v>
      </c>
      <c r="S5068">
        <f t="shared" si="2140"/>
        <v>0</v>
      </c>
    </row>
    <row r="5069" spans="1:19" hidden="1" x14ac:dyDescent="0.25">
      <c r="A5069" s="5" t="str">
        <f t="shared" si="2141"/>
        <v>44125XLK</v>
      </c>
      <c r="B5069" s="6" t="s">
        <v>10</v>
      </c>
      <c r="C5069" s="6">
        <v>116.92</v>
      </c>
      <c r="D5069" s="6">
        <v>124.35</v>
      </c>
      <c r="E5069" s="6">
        <v>119.31</v>
      </c>
      <c r="F5069" t="str">
        <f t="shared" si="2142"/>
        <v>WED</v>
      </c>
      <c r="G5069" s="1">
        <f t="shared" si="2143"/>
        <v>44125</v>
      </c>
      <c r="H5069" s="2">
        <f t="shared" ca="1" si="2144"/>
        <v>128</v>
      </c>
      <c r="I5069" t="str">
        <f t="shared" si="2145"/>
        <v>XLK</v>
      </c>
      <c r="J5069">
        <f t="shared" si="2146"/>
        <v>116.92</v>
      </c>
      <c r="K5069">
        <f t="shared" si="2147"/>
        <v>124.35</v>
      </c>
      <c r="L5069">
        <f t="shared" si="2148"/>
        <v>120.63499999999999</v>
      </c>
      <c r="M5069">
        <f t="shared" si="2149"/>
        <v>3.7149999999999963</v>
      </c>
      <c r="N5069">
        <f t="shared" si="2138"/>
        <v>7.4299999999999926</v>
      </c>
      <c r="O5069">
        <f t="shared" si="2150"/>
        <v>119.31</v>
      </c>
      <c r="P5069">
        <f t="shared" si="2151"/>
        <v>-0.35666218034993002</v>
      </c>
      <c r="Q5069" t="str">
        <f t="shared" si="2139"/>
        <v>2% | 4.22%</v>
      </c>
      <c r="R5069" t="str">
        <f t="shared" si="2152"/>
        <v>BULLISH</v>
      </c>
      <c r="S5069">
        <f t="shared" si="2140"/>
        <v>1</v>
      </c>
    </row>
    <row r="5070" spans="1:19" hidden="1" x14ac:dyDescent="0.25">
      <c r="A5070" s="5" t="str">
        <f t="shared" si="2141"/>
        <v>44125XLRE</v>
      </c>
      <c r="B5070" s="6" t="s">
        <v>97</v>
      </c>
      <c r="C5070" s="6">
        <v>35.270000000000003</v>
      </c>
      <c r="D5070" s="6">
        <v>37.44</v>
      </c>
      <c r="E5070" s="6">
        <v>35.78</v>
      </c>
      <c r="F5070" t="str">
        <f t="shared" si="2142"/>
        <v>WED</v>
      </c>
      <c r="G5070" s="1">
        <f t="shared" si="2143"/>
        <v>44125</v>
      </c>
      <c r="H5070" s="2">
        <f t="shared" ca="1" si="2144"/>
        <v>128</v>
      </c>
      <c r="I5070" t="str">
        <f t="shared" si="2145"/>
        <v>XLRE</v>
      </c>
      <c r="J5070">
        <f t="shared" si="2146"/>
        <v>35.270000000000003</v>
      </c>
      <c r="K5070">
        <f t="shared" si="2147"/>
        <v>37.44</v>
      </c>
      <c r="L5070">
        <f t="shared" si="2148"/>
        <v>36.355000000000004</v>
      </c>
      <c r="M5070">
        <f t="shared" si="2149"/>
        <v>1.0849999999999973</v>
      </c>
      <c r="N5070">
        <f t="shared" si="2138"/>
        <v>2.1699999999999946</v>
      </c>
      <c r="O5070">
        <f t="shared" si="2150"/>
        <v>35.78</v>
      </c>
      <c r="P5070">
        <f t="shared" si="2151"/>
        <v>-0.52995391705069517</v>
      </c>
      <c r="Q5070" t="str">
        <f t="shared" si="2139"/>
        <v>1.43% | 4.64%</v>
      </c>
      <c r="R5070" t="str">
        <f t="shared" si="2152"/>
        <v>BULLISH</v>
      </c>
      <c r="S5070">
        <f t="shared" si="2140"/>
        <v>1</v>
      </c>
    </row>
    <row r="5071" spans="1:19" hidden="1" x14ac:dyDescent="0.25">
      <c r="A5071" s="5" t="str">
        <f t="shared" si="2141"/>
        <v>44125XLU</v>
      </c>
      <c r="B5071" s="6" t="s">
        <v>52</v>
      </c>
      <c r="C5071" s="6">
        <v>61.72</v>
      </c>
      <c r="D5071" s="6">
        <v>64.260000000000005</v>
      </c>
      <c r="E5071" s="6">
        <v>63.84</v>
      </c>
      <c r="F5071" t="str">
        <f t="shared" si="2142"/>
        <v>WED</v>
      </c>
      <c r="G5071" s="1">
        <f t="shared" si="2143"/>
        <v>44125</v>
      </c>
      <c r="H5071" s="2">
        <f t="shared" ca="1" si="2144"/>
        <v>128</v>
      </c>
      <c r="I5071" t="str">
        <f t="shared" si="2145"/>
        <v>XLU</v>
      </c>
      <c r="J5071">
        <f t="shared" si="2146"/>
        <v>61.72</v>
      </c>
      <c r="K5071">
        <f t="shared" si="2147"/>
        <v>64.260000000000005</v>
      </c>
      <c r="L5071">
        <f t="shared" si="2148"/>
        <v>62.99</v>
      </c>
      <c r="M5071">
        <f t="shared" si="2149"/>
        <v>1.2700000000000031</v>
      </c>
      <c r="N5071">
        <f t="shared" si="2138"/>
        <v>2.5400000000000063</v>
      </c>
      <c r="O5071">
        <f t="shared" si="2150"/>
        <v>63.84</v>
      </c>
      <c r="P5071">
        <f t="shared" si="2151"/>
        <v>0.66929133858267664</v>
      </c>
      <c r="Q5071" t="str">
        <f t="shared" si="2139"/>
        <v>3.32% | 0.66%</v>
      </c>
      <c r="R5071" t="str">
        <f t="shared" si="2152"/>
        <v>BULLISH</v>
      </c>
      <c r="S5071">
        <f t="shared" si="2140"/>
        <v>1</v>
      </c>
    </row>
    <row r="5072" spans="1:19" hidden="1" x14ac:dyDescent="0.25">
      <c r="A5072" s="5" t="str">
        <f t="shared" si="2141"/>
        <v>44125XLF</v>
      </c>
      <c r="B5072" s="6" t="s">
        <v>12</v>
      </c>
      <c r="C5072" s="6">
        <v>24.29</v>
      </c>
      <c r="D5072" s="6">
        <v>25.55</v>
      </c>
      <c r="E5072" s="6">
        <v>24.81</v>
      </c>
      <c r="F5072" t="str">
        <f t="shared" si="2142"/>
        <v>WED</v>
      </c>
      <c r="G5072" s="1">
        <f t="shared" si="2143"/>
        <v>44125</v>
      </c>
      <c r="H5072" s="2">
        <f t="shared" ca="1" si="2144"/>
        <v>128</v>
      </c>
      <c r="I5072" t="str">
        <f t="shared" si="2145"/>
        <v>XLF</v>
      </c>
      <c r="J5072">
        <f t="shared" si="2146"/>
        <v>24.29</v>
      </c>
      <c r="K5072">
        <f t="shared" si="2147"/>
        <v>25.55</v>
      </c>
      <c r="L5072">
        <f t="shared" si="2148"/>
        <v>24.92</v>
      </c>
      <c r="M5072">
        <f t="shared" si="2149"/>
        <v>0.63000000000000078</v>
      </c>
      <c r="N5072">
        <f t="shared" si="2138"/>
        <v>1.2600000000000016</v>
      </c>
      <c r="O5072">
        <f t="shared" si="2150"/>
        <v>24.81</v>
      </c>
      <c r="P5072">
        <f t="shared" si="2151"/>
        <v>-0.17460317460317912</v>
      </c>
      <c r="Q5072" t="str">
        <f t="shared" si="2139"/>
        <v>2.1% | 2.98%</v>
      </c>
      <c r="R5072" t="str">
        <f t="shared" si="2152"/>
        <v>BEARISH</v>
      </c>
      <c r="S5072">
        <f t="shared" si="2140"/>
        <v>-1</v>
      </c>
    </row>
    <row r="5073" spans="1:19" hidden="1" x14ac:dyDescent="0.25">
      <c r="A5073" s="5" t="str">
        <f t="shared" si="2141"/>
        <v>44125SSEC</v>
      </c>
      <c r="B5073" s="6" t="s">
        <v>104</v>
      </c>
      <c r="C5073" s="6">
        <v>3251</v>
      </c>
      <c r="D5073" s="6">
        <v>3382</v>
      </c>
      <c r="E5073" s="6">
        <v>3325</v>
      </c>
      <c r="F5073" t="str">
        <f t="shared" si="2142"/>
        <v>WED</v>
      </c>
      <c r="G5073" s="1">
        <f t="shared" si="2143"/>
        <v>44125</v>
      </c>
      <c r="H5073" s="2">
        <f t="shared" ca="1" si="2144"/>
        <v>128</v>
      </c>
      <c r="I5073" t="str">
        <f t="shared" si="2145"/>
        <v>SSEC</v>
      </c>
      <c r="J5073">
        <f t="shared" si="2146"/>
        <v>3251</v>
      </c>
      <c r="K5073">
        <f t="shared" si="2147"/>
        <v>3382</v>
      </c>
      <c r="L5073">
        <f t="shared" si="2148"/>
        <v>3316.5</v>
      </c>
      <c r="M5073">
        <f t="shared" si="2149"/>
        <v>65.5</v>
      </c>
      <c r="N5073">
        <f t="shared" si="2138"/>
        <v>131</v>
      </c>
      <c r="O5073">
        <f t="shared" si="2150"/>
        <v>3325</v>
      </c>
      <c r="P5073">
        <f t="shared" si="2151"/>
        <v>0.12977099236641221</v>
      </c>
      <c r="Q5073" t="str">
        <f t="shared" si="2139"/>
        <v>2.23% | 1.71%</v>
      </c>
      <c r="R5073" t="str">
        <f t="shared" si="2152"/>
        <v>BULLISH</v>
      </c>
      <c r="S5073">
        <f t="shared" si="2140"/>
        <v>1</v>
      </c>
    </row>
    <row r="5074" spans="1:19" hidden="1" x14ac:dyDescent="0.25">
      <c r="A5074" s="5" t="str">
        <f t="shared" si="2141"/>
        <v>44125NIKK</v>
      </c>
      <c r="B5074" s="6" t="s">
        <v>91</v>
      </c>
      <c r="C5074" s="6">
        <v>23402</v>
      </c>
      <c r="D5074" s="6">
        <v>23770</v>
      </c>
      <c r="E5074" s="6">
        <v>23639</v>
      </c>
      <c r="F5074" t="str">
        <f t="shared" si="2142"/>
        <v>WED</v>
      </c>
      <c r="G5074" s="1">
        <f t="shared" si="2143"/>
        <v>44125</v>
      </c>
      <c r="H5074" s="2">
        <f t="shared" ca="1" si="2144"/>
        <v>128</v>
      </c>
      <c r="I5074" t="str">
        <f t="shared" si="2145"/>
        <v>NIKK</v>
      </c>
      <c r="J5074">
        <f t="shared" si="2146"/>
        <v>23402</v>
      </c>
      <c r="K5074">
        <f t="shared" si="2147"/>
        <v>23770</v>
      </c>
      <c r="L5074">
        <f t="shared" si="2148"/>
        <v>23586</v>
      </c>
      <c r="M5074">
        <f t="shared" si="2149"/>
        <v>184</v>
      </c>
      <c r="N5074">
        <f t="shared" si="2138"/>
        <v>368</v>
      </c>
      <c r="O5074">
        <f t="shared" si="2150"/>
        <v>23639</v>
      </c>
      <c r="P5074">
        <f t="shared" si="2151"/>
        <v>0.28804347826086957</v>
      </c>
      <c r="Q5074" t="str">
        <f t="shared" si="2139"/>
        <v>1% | 0.55%</v>
      </c>
      <c r="R5074" t="str">
        <f t="shared" si="2152"/>
        <v>BULLISH</v>
      </c>
      <c r="S5074">
        <f t="shared" si="2140"/>
        <v>1</v>
      </c>
    </row>
    <row r="5075" spans="1:19" hidden="1" x14ac:dyDescent="0.25">
      <c r="A5075" s="5" t="str">
        <f t="shared" si="2141"/>
        <v>44125DAX</v>
      </c>
      <c r="B5075" s="6" t="s">
        <v>16</v>
      </c>
      <c r="C5075" s="6">
        <v>12503</v>
      </c>
      <c r="D5075" s="6">
        <v>12943</v>
      </c>
      <c r="E5075" s="6">
        <v>12736</v>
      </c>
      <c r="F5075" t="str">
        <f t="shared" si="2142"/>
        <v>WED</v>
      </c>
      <c r="G5075" s="1">
        <f t="shared" si="2143"/>
        <v>44125</v>
      </c>
      <c r="H5075" s="2">
        <f t="shared" ca="1" si="2144"/>
        <v>128</v>
      </c>
      <c r="I5075" t="str">
        <f t="shared" si="2145"/>
        <v>DAX</v>
      </c>
      <c r="J5075">
        <f t="shared" si="2146"/>
        <v>12503</v>
      </c>
      <c r="K5075">
        <f t="shared" si="2147"/>
        <v>12943</v>
      </c>
      <c r="L5075">
        <f t="shared" si="2148"/>
        <v>12723</v>
      </c>
      <c r="M5075">
        <f t="shared" si="2149"/>
        <v>220</v>
      </c>
      <c r="N5075">
        <f t="shared" si="2138"/>
        <v>440</v>
      </c>
      <c r="O5075">
        <f t="shared" si="2150"/>
        <v>12736</v>
      </c>
      <c r="P5075">
        <f t="shared" si="2151"/>
        <v>5.909090909090909E-2</v>
      </c>
      <c r="Q5075" t="str">
        <f t="shared" si="2139"/>
        <v>1.83% | 1.63%</v>
      </c>
      <c r="R5075" t="str">
        <f t="shared" si="2152"/>
        <v>BEARISH</v>
      </c>
      <c r="S5075">
        <f t="shared" si="2140"/>
        <v>-1</v>
      </c>
    </row>
    <row r="5076" spans="1:19" hidden="1" x14ac:dyDescent="0.25">
      <c r="A5076" s="5" t="str">
        <f t="shared" si="2141"/>
        <v>44125VIX</v>
      </c>
      <c r="B5076" s="6" t="s">
        <v>159</v>
      </c>
      <c r="C5076" s="6">
        <v>23.74</v>
      </c>
      <c r="D5076" s="6">
        <v>29.97</v>
      </c>
      <c r="E5076" s="6">
        <v>29.35</v>
      </c>
      <c r="F5076" t="str">
        <f t="shared" si="2142"/>
        <v>WED</v>
      </c>
      <c r="G5076" s="1">
        <f t="shared" si="2143"/>
        <v>44125</v>
      </c>
      <c r="H5076" s="2">
        <f t="shared" ca="1" si="2144"/>
        <v>128</v>
      </c>
      <c r="I5076" t="str">
        <f t="shared" si="2145"/>
        <v>VIX</v>
      </c>
      <c r="J5076">
        <f t="shared" si="2146"/>
        <v>23.74</v>
      </c>
      <c r="K5076">
        <f t="shared" si="2147"/>
        <v>29.97</v>
      </c>
      <c r="L5076">
        <f t="shared" si="2148"/>
        <v>26.854999999999997</v>
      </c>
      <c r="M5076">
        <f t="shared" si="2149"/>
        <v>3.1150000000000144</v>
      </c>
      <c r="N5076">
        <f t="shared" si="2138"/>
        <v>6.23</v>
      </c>
      <c r="O5076">
        <f t="shared" si="2150"/>
        <v>29.35</v>
      </c>
      <c r="P5076">
        <f t="shared" si="2151"/>
        <v>0.80096308186195597</v>
      </c>
      <c r="Q5076" t="str">
        <f t="shared" si="2139"/>
        <v>19.11% | 2.11%</v>
      </c>
      <c r="R5076" t="str">
        <f t="shared" si="2152"/>
        <v>NEUTRAL</v>
      </c>
      <c r="S5076">
        <f t="shared" si="2140"/>
        <v>0</v>
      </c>
    </row>
    <row r="5077" spans="1:19" hidden="1" x14ac:dyDescent="0.25">
      <c r="A5077" s="5" t="str">
        <f t="shared" si="2141"/>
        <v>44125USD</v>
      </c>
      <c r="B5077" s="6" t="s">
        <v>94</v>
      </c>
      <c r="C5077" s="6">
        <v>92.66</v>
      </c>
      <c r="D5077" s="6">
        <v>93.99</v>
      </c>
      <c r="E5077" s="6">
        <v>93.05</v>
      </c>
      <c r="F5077" t="str">
        <f t="shared" si="2142"/>
        <v>WED</v>
      </c>
      <c r="G5077" s="1">
        <f t="shared" si="2143"/>
        <v>44125</v>
      </c>
      <c r="H5077" s="2">
        <f t="shared" ca="1" si="2144"/>
        <v>128</v>
      </c>
      <c r="I5077" t="str">
        <f t="shared" si="2145"/>
        <v>USD</v>
      </c>
      <c r="J5077">
        <f t="shared" si="2146"/>
        <v>92.66</v>
      </c>
      <c r="K5077">
        <f t="shared" si="2147"/>
        <v>93.99</v>
      </c>
      <c r="L5077">
        <f t="shared" si="2148"/>
        <v>93.324999999999989</v>
      </c>
      <c r="M5077">
        <f t="shared" si="2149"/>
        <v>0.66499999999999915</v>
      </c>
      <c r="N5077">
        <f t="shared" si="2138"/>
        <v>1.3299999999999983</v>
      </c>
      <c r="O5077">
        <f t="shared" si="2150"/>
        <v>93.05</v>
      </c>
      <c r="P5077">
        <f t="shared" si="2151"/>
        <v>-0.41353383458645387</v>
      </c>
      <c r="Q5077" t="str">
        <f t="shared" si="2139"/>
        <v>0.42% | 1.01%</v>
      </c>
      <c r="R5077" t="str">
        <f t="shared" si="2152"/>
        <v>BEARISH</v>
      </c>
      <c r="S5077">
        <f t="shared" si="2140"/>
        <v>-1</v>
      </c>
    </row>
    <row r="5078" spans="1:19" hidden="1" x14ac:dyDescent="0.25">
      <c r="A5078" s="5" t="str">
        <f t="shared" si="2141"/>
        <v>44125EUR/USD</v>
      </c>
      <c r="B5078" s="6" t="s">
        <v>77</v>
      </c>
      <c r="C5078" s="6">
        <v>1.1599999999999999</v>
      </c>
      <c r="D5078" s="6">
        <v>1.19</v>
      </c>
      <c r="E5078" s="6">
        <v>1.18</v>
      </c>
      <c r="F5078" t="str">
        <f t="shared" si="2142"/>
        <v>WED</v>
      </c>
      <c r="G5078" s="1">
        <f t="shared" si="2143"/>
        <v>44125</v>
      </c>
      <c r="H5078" s="2">
        <f t="shared" ca="1" si="2144"/>
        <v>128</v>
      </c>
      <c r="I5078" t="str">
        <f t="shared" si="2145"/>
        <v>EUR/USD</v>
      </c>
      <c r="J5078">
        <f t="shared" si="2146"/>
        <v>1.1599999999999999</v>
      </c>
      <c r="K5078">
        <f t="shared" si="2147"/>
        <v>1.19</v>
      </c>
      <c r="L5078">
        <f t="shared" si="2148"/>
        <v>1.1749999999999998</v>
      </c>
      <c r="M5078">
        <f t="shared" si="2149"/>
        <v>1.5000000000000013E-2</v>
      </c>
      <c r="N5078">
        <f t="shared" si="2138"/>
        <v>3.0000000000000027E-2</v>
      </c>
      <c r="O5078">
        <f t="shared" si="2150"/>
        <v>1.18</v>
      </c>
      <c r="P5078">
        <f t="shared" si="2151"/>
        <v>0.33333333333334075</v>
      </c>
      <c r="Q5078" t="str">
        <f t="shared" si="2139"/>
        <v>1.69% | 0.85%</v>
      </c>
      <c r="R5078" t="str">
        <f t="shared" si="2152"/>
        <v>NEUTRAL</v>
      </c>
      <c r="S5078">
        <f t="shared" si="2140"/>
        <v>0</v>
      </c>
    </row>
    <row r="5079" spans="1:19" hidden="1" x14ac:dyDescent="0.25">
      <c r="A5079" s="5" t="str">
        <f t="shared" si="2141"/>
        <v>44125USD/JPY</v>
      </c>
      <c r="B5079" s="6" t="s">
        <v>20</v>
      </c>
      <c r="C5079" s="6">
        <v>104.81</v>
      </c>
      <c r="D5079" s="6">
        <v>105.98</v>
      </c>
      <c r="E5079" s="6">
        <v>105.49</v>
      </c>
      <c r="F5079" t="str">
        <f t="shared" si="2142"/>
        <v>WED</v>
      </c>
      <c r="G5079" s="1">
        <f t="shared" si="2143"/>
        <v>44125</v>
      </c>
      <c r="H5079" s="2">
        <f t="shared" ca="1" si="2144"/>
        <v>128</v>
      </c>
      <c r="I5079" t="str">
        <f t="shared" si="2145"/>
        <v>USD/JPY</v>
      </c>
      <c r="J5079">
        <f t="shared" si="2146"/>
        <v>104.81</v>
      </c>
      <c r="K5079">
        <f t="shared" si="2147"/>
        <v>105.98</v>
      </c>
      <c r="L5079">
        <f t="shared" si="2148"/>
        <v>105.39500000000001</v>
      </c>
      <c r="M5079">
        <f t="shared" si="2149"/>
        <v>0.58500000000000085</v>
      </c>
      <c r="N5079">
        <f t="shared" si="2138"/>
        <v>1.1700000000000017</v>
      </c>
      <c r="O5079">
        <f t="shared" si="2150"/>
        <v>105.49</v>
      </c>
      <c r="P5079">
        <f t="shared" si="2151"/>
        <v>0.16239316239313592</v>
      </c>
      <c r="Q5079" t="str">
        <f t="shared" si="2139"/>
        <v>0.64% | 0.46%</v>
      </c>
      <c r="R5079" t="str">
        <f t="shared" si="2152"/>
        <v>BEARISH</v>
      </c>
      <c r="S5079">
        <f t="shared" si="2140"/>
        <v>-1</v>
      </c>
    </row>
    <row r="5080" spans="1:19" hidden="1" x14ac:dyDescent="0.25">
      <c r="A5080" s="5" t="str">
        <f t="shared" si="2141"/>
        <v>44125GBP/USD</v>
      </c>
      <c r="B5080" s="6" t="s">
        <v>102</v>
      </c>
      <c r="C5080" s="6">
        <v>1.29</v>
      </c>
      <c r="D5080" s="6">
        <v>1.31</v>
      </c>
      <c r="E5080" s="6">
        <v>1.29</v>
      </c>
      <c r="F5080" t="str">
        <f t="shared" si="2142"/>
        <v>WED</v>
      </c>
      <c r="G5080" s="1">
        <f t="shared" si="2143"/>
        <v>44125</v>
      </c>
      <c r="H5080" s="2">
        <f t="shared" ca="1" si="2144"/>
        <v>128</v>
      </c>
      <c r="I5080" t="str">
        <f t="shared" si="2145"/>
        <v>GBP/USD</v>
      </c>
      <c r="J5080">
        <f t="shared" si="2146"/>
        <v>1.29</v>
      </c>
      <c r="K5080">
        <f t="shared" si="2147"/>
        <v>1.31</v>
      </c>
      <c r="L5080">
        <f t="shared" si="2148"/>
        <v>1.3</v>
      </c>
      <c r="M5080">
        <f t="shared" si="2149"/>
        <v>1.0000000000000009E-2</v>
      </c>
      <c r="N5080">
        <f t="shared" si="2138"/>
        <v>2.0000000000000018E-2</v>
      </c>
      <c r="O5080">
        <f t="shared" si="2150"/>
        <v>1.29</v>
      </c>
      <c r="P5080">
        <f t="shared" si="2151"/>
        <v>-1</v>
      </c>
      <c r="Q5080" t="str">
        <f t="shared" si="2139"/>
        <v>0% | 1.55%</v>
      </c>
      <c r="R5080" t="str">
        <f t="shared" si="2152"/>
        <v>BULLISH</v>
      </c>
      <c r="S5080">
        <f t="shared" si="2140"/>
        <v>1</v>
      </c>
    </row>
    <row r="5081" spans="1:19" hidden="1" x14ac:dyDescent="0.25">
      <c r="A5081" s="5" t="str">
        <f t="shared" si="2141"/>
        <v>44125USD/CHF</v>
      </c>
      <c r="B5081" s="6" t="s">
        <v>76</v>
      </c>
      <c r="C5081" s="6">
        <v>0.89</v>
      </c>
      <c r="D5081" s="6">
        <v>0.92</v>
      </c>
      <c r="E5081" s="6">
        <v>0.9</v>
      </c>
      <c r="F5081" t="str">
        <f t="shared" si="2142"/>
        <v>WED</v>
      </c>
      <c r="G5081" s="1">
        <f t="shared" si="2143"/>
        <v>44125</v>
      </c>
      <c r="H5081" s="2">
        <f t="shared" ca="1" si="2144"/>
        <v>128</v>
      </c>
      <c r="I5081" t="str">
        <f t="shared" si="2145"/>
        <v>USD/CHF</v>
      </c>
      <c r="J5081">
        <f t="shared" si="2146"/>
        <v>0.89</v>
      </c>
      <c r="K5081">
        <f t="shared" si="2147"/>
        <v>0.92</v>
      </c>
      <c r="L5081">
        <f t="shared" si="2148"/>
        <v>0.90500000000000003</v>
      </c>
      <c r="M5081">
        <f t="shared" si="2149"/>
        <v>1.5000000000000013E-2</v>
      </c>
      <c r="N5081">
        <f t="shared" si="2138"/>
        <v>3.0000000000000027E-2</v>
      </c>
      <c r="O5081">
        <f t="shared" si="2150"/>
        <v>0.9</v>
      </c>
      <c r="P5081">
        <f t="shared" si="2151"/>
        <v>-0.33333333333333331</v>
      </c>
      <c r="Q5081" t="str">
        <f t="shared" si="2139"/>
        <v>1.11% | 2.22%</v>
      </c>
      <c r="R5081" t="str">
        <f t="shared" si="2152"/>
        <v>BEARISH</v>
      </c>
      <c r="S5081">
        <f t="shared" si="2140"/>
        <v>-1</v>
      </c>
    </row>
    <row r="5082" spans="1:19" hidden="1" x14ac:dyDescent="0.25">
      <c r="A5082" s="5" t="str">
        <f t="shared" si="2141"/>
        <v>44125WTIC</v>
      </c>
      <c r="B5082" s="6" t="s">
        <v>23</v>
      </c>
      <c r="C5082" s="6">
        <v>39.270000000000003</v>
      </c>
      <c r="D5082" s="6">
        <v>42.01</v>
      </c>
      <c r="E5082" s="6">
        <v>41.7</v>
      </c>
      <c r="F5082" t="str">
        <f t="shared" si="2142"/>
        <v>WED</v>
      </c>
      <c r="G5082" s="1">
        <f t="shared" si="2143"/>
        <v>44125</v>
      </c>
      <c r="H5082" s="2">
        <f t="shared" ca="1" si="2144"/>
        <v>128</v>
      </c>
      <c r="I5082" t="str">
        <f t="shared" si="2145"/>
        <v>WTIC</v>
      </c>
      <c r="J5082">
        <f t="shared" si="2146"/>
        <v>39.270000000000003</v>
      </c>
      <c r="K5082">
        <f t="shared" si="2147"/>
        <v>42.01</v>
      </c>
      <c r="L5082">
        <f t="shared" si="2148"/>
        <v>40.64</v>
      </c>
      <c r="M5082">
        <f t="shared" si="2149"/>
        <v>1.3699999999999974</v>
      </c>
      <c r="N5082">
        <f t="shared" si="2138"/>
        <v>2.7399999999999949</v>
      </c>
      <c r="O5082">
        <f t="shared" si="2150"/>
        <v>41.7</v>
      </c>
      <c r="P5082">
        <f t="shared" si="2151"/>
        <v>0.77372262773722933</v>
      </c>
      <c r="Q5082" t="str">
        <f t="shared" si="2139"/>
        <v>5.83% | 0.74%</v>
      </c>
      <c r="R5082" t="str">
        <f t="shared" si="2152"/>
        <v>BEARISH</v>
      </c>
      <c r="S5082">
        <f t="shared" si="2140"/>
        <v>-1</v>
      </c>
    </row>
    <row r="5083" spans="1:19" hidden="1" x14ac:dyDescent="0.25">
      <c r="A5083" s="5" t="str">
        <f t="shared" si="2141"/>
        <v>44125NATGAS</v>
      </c>
      <c r="B5083" s="6" t="s">
        <v>89</v>
      </c>
      <c r="C5083" s="6">
        <v>2.58</v>
      </c>
      <c r="D5083" s="6">
        <v>2.99</v>
      </c>
      <c r="E5083" s="6">
        <v>2.91</v>
      </c>
      <c r="F5083" t="str">
        <f t="shared" si="2142"/>
        <v>WED</v>
      </c>
      <c r="G5083" s="1">
        <f t="shared" si="2143"/>
        <v>44125</v>
      </c>
      <c r="H5083" s="2">
        <f t="shared" ca="1" si="2144"/>
        <v>128</v>
      </c>
      <c r="I5083" t="str">
        <f t="shared" si="2145"/>
        <v>NATGAS</v>
      </c>
      <c r="J5083">
        <f t="shared" si="2146"/>
        <v>2.58</v>
      </c>
      <c r="K5083">
        <f t="shared" si="2147"/>
        <v>2.99</v>
      </c>
      <c r="L5083">
        <f t="shared" si="2148"/>
        <v>2.7850000000000001</v>
      </c>
      <c r="M5083">
        <f t="shared" si="2149"/>
        <v>0.20500000000000007</v>
      </c>
      <c r="N5083">
        <f t="shared" si="2138"/>
        <v>0.41000000000000014</v>
      </c>
      <c r="O5083">
        <f t="shared" si="2150"/>
        <v>2.91</v>
      </c>
      <c r="P5083">
        <f t="shared" si="2151"/>
        <v>0.60975609756097537</v>
      </c>
      <c r="Q5083" t="str">
        <f t="shared" si="2139"/>
        <v>11.34% | 2.75%</v>
      </c>
      <c r="R5083" t="str">
        <f t="shared" si="2152"/>
        <v>BULLISH</v>
      </c>
      <c r="S5083">
        <f t="shared" si="2140"/>
        <v>1</v>
      </c>
    </row>
    <row r="5084" spans="1:19" hidden="1" x14ac:dyDescent="0.25">
      <c r="A5084" s="5" t="str">
        <f t="shared" si="2141"/>
        <v>44125GOLD</v>
      </c>
      <c r="B5084" s="6" t="s">
        <v>25</v>
      </c>
      <c r="C5084" s="6">
        <v>1884</v>
      </c>
      <c r="D5084" s="6">
        <v>1936</v>
      </c>
      <c r="E5084" s="6">
        <v>1915</v>
      </c>
      <c r="F5084" t="str">
        <f t="shared" si="2142"/>
        <v>WED</v>
      </c>
      <c r="G5084" s="1">
        <f t="shared" si="2143"/>
        <v>44125</v>
      </c>
      <c r="H5084" s="2">
        <f t="shared" ca="1" si="2144"/>
        <v>128</v>
      </c>
      <c r="I5084" t="str">
        <f t="shared" si="2145"/>
        <v>GOLD</v>
      </c>
      <c r="J5084">
        <f t="shared" si="2146"/>
        <v>1884</v>
      </c>
      <c r="K5084">
        <f t="shared" si="2147"/>
        <v>1936</v>
      </c>
      <c r="L5084">
        <f t="shared" si="2148"/>
        <v>1910</v>
      </c>
      <c r="M5084">
        <f t="shared" si="2149"/>
        <v>26</v>
      </c>
      <c r="N5084">
        <f t="shared" si="2138"/>
        <v>52</v>
      </c>
      <c r="O5084">
        <f t="shared" si="2150"/>
        <v>1915</v>
      </c>
      <c r="P5084">
        <f t="shared" si="2151"/>
        <v>0.19230769230769232</v>
      </c>
      <c r="Q5084" t="str">
        <f t="shared" si="2139"/>
        <v>1.62% | 1.1%</v>
      </c>
      <c r="R5084" t="str">
        <f t="shared" si="2152"/>
        <v>BULLISH</v>
      </c>
      <c r="S5084">
        <f t="shared" si="2140"/>
        <v>1</v>
      </c>
    </row>
    <row r="5085" spans="1:19" hidden="1" x14ac:dyDescent="0.25">
      <c r="A5085" s="5" t="str">
        <f t="shared" si="2141"/>
        <v>44125SILVER</v>
      </c>
      <c r="B5085" s="6" t="s">
        <v>195</v>
      </c>
      <c r="C5085" s="6">
        <v>23.47</v>
      </c>
      <c r="D5085" s="6">
        <v>25.66</v>
      </c>
      <c r="E5085" s="6">
        <v>24.98</v>
      </c>
      <c r="F5085" t="str">
        <f t="shared" si="2142"/>
        <v>WED</v>
      </c>
      <c r="G5085" s="1">
        <f t="shared" si="2143"/>
        <v>44125</v>
      </c>
      <c r="H5085" s="2">
        <f t="shared" ca="1" si="2144"/>
        <v>128</v>
      </c>
      <c r="I5085" t="str">
        <f t="shared" si="2145"/>
        <v>SILVER</v>
      </c>
      <c r="J5085">
        <f t="shared" si="2146"/>
        <v>23.47</v>
      </c>
      <c r="K5085">
        <f t="shared" si="2147"/>
        <v>25.66</v>
      </c>
      <c r="L5085">
        <f t="shared" si="2148"/>
        <v>24.564999999999998</v>
      </c>
      <c r="M5085">
        <f t="shared" si="2149"/>
        <v>1.0950000000000006</v>
      </c>
      <c r="N5085">
        <f t="shared" si="2138"/>
        <v>2.1900000000000013</v>
      </c>
      <c r="O5085">
        <f t="shared" si="2150"/>
        <v>24.98</v>
      </c>
      <c r="P5085">
        <f t="shared" si="2151"/>
        <v>0.37899543378995659</v>
      </c>
      <c r="Q5085" t="str">
        <f t="shared" si="2139"/>
        <v>6.04% | 2.72%</v>
      </c>
      <c r="R5085" t="str">
        <f t="shared" si="2152"/>
        <v>BULLISH</v>
      </c>
      <c r="S5085">
        <f t="shared" si="2140"/>
        <v>1</v>
      </c>
    </row>
    <row r="5086" spans="1:19" hidden="1" x14ac:dyDescent="0.25">
      <c r="A5086" s="5" t="str">
        <f t="shared" si="2141"/>
        <v>44125COPPER</v>
      </c>
      <c r="B5086" s="6" t="s">
        <v>100</v>
      </c>
      <c r="C5086" s="6">
        <v>3.01</v>
      </c>
      <c r="D5086" s="6">
        <v>3.2</v>
      </c>
      <c r="E5086" s="6">
        <v>3.15</v>
      </c>
      <c r="F5086" t="str">
        <f t="shared" si="2142"/>
        <v>WED</v>
      </c>
      <c r="G5086" s="1">
        <f t="shared" si="2143"/>
        <v>44125</v>
      </c>
      <c r="H5086" s="2">
        <f t="shared" ca="1" si="2144"/>
        <v>128</v>
      </c>
      <c r="I5086" t="str">
        <f t="shared" si="2145"/>
        <v>COPPER</v>
      </c>
      <c r="J5086">
        <f t="shared" si="2146"/>
        <v>3.01</v>
      </c>
      <c r="K5086">
        <f t="shared" si="2147"/>
        <v>3.2</v>
      </c>
      <c r="L5086">
        <f t="shared" si="2148"/>
        <v>3.105</v>
      </c>
      <c r="M5086">
        <f t="shared" si="2149"/>
        <v>9.5000000000000195E-2</v>
      </c>
      <c r="N5086">
        <f t="shared" si="2138"/>
        <v>0.19000000000000039</v>
      </c>
      <c r="O5086">
        <f t="shared" si="2150"/>
        <v>3.15</v>
      </c>
      <c r="P5086">
        <f t="shared" si="2151"/>
        <v>0.47368421052631404</v>
      </c>
      <c r="Q5086" t="str">
        <f t="shared" si="2139"/>
        <v>4.44% | 1.59%</v>
      </c>
      <c r="R5086" t="str">
        <f t="shared" si="2152"/>
        <v>BULLISH</v>
      </c>
      <c r="S5086">
        <f t="shared" si="2140"/>
        <v>1</v>
      </c>
    </row>
    <row r="5087" spans="1:19" hidden="1" x14ac:dyDescent="0.25">
      <c r="A5087" s="5" t="str">
        <f t="shared" si="2141"/>
        <v>44125MSFT</v>
      </c>
      <c r="B5087" s="6" t="s">
        <v>27</v>
      </c>
      <c r="C5087" s="6">
        <v>209</v>
      </c>
      <c r="D5087" s="6">
        <v>227</v>
      </c>
      <c r="E5087" s="6">
        <v>214</v>
      </c>
      <c r="F5087" t="str">
        <f t="shared" si="2142"/>
        <v>WED</v>
      </c>
      <c r="G5087" s="1">
        <f t="shared" si="2143"/>
        <v>44125</v>
      </c>
      <c r="H5087" s="2">
        <f t="shared" ca="1" si="2144"/>
        <v>128</v>
      </c>
      <c r="I5087" t="str">
        <f t="shared" si="2145"/>
        <v>MSFT</v>
      </c>
      <c r="J5087">
        <f t="shared" si="2146"/>
        <v>209</v>
      </c>
      <c r="K5087">
        <f t="shared" si="2147"/>
        <v>227</v>
      </c>
      <c r="L5087">
        <f t="shared" si="2148"/>
        <v>218</v>
      </c>
      <c r="M5087">
        <f t="shared" si="2149"/>
        <v>9</v>
      </c>
      <c r="N5087">
        <f t="shared" si="2138"/>
        <v>18</v>
      </c>
      <c r="O5087">
        <f t="shared" si="2150"/>
        <v>214</v>
      </c>
      <c r="P5087">
        <f t="shared" si="2151"/>
        <v>-0.44444444444444442</v>
      </c>
      <c r="Q5087" t="str">
        <f t="shared" si="2139"/>
        <v>2.34% | 6.07%</v>
      </c>
      <c r="R5087" t="str">
        <f t="shared" si="2152"/>
        <v>BULLISH</v>
      </c>
      <c r="S5087">
        <f t="shared" si="2140"/>
        <v>1</v>
      </c>
    </row>
    <row r="5088" spans="1:19" hidden="1" x14ac:dyDescent="0.25">
      <c r="A5088" s="5" t="str">
        <f t="shared" si="2141"/>
        <v>44125AAPL</v>
      </c>
      <c r="B5088" s="6" t="s">
        <v>28</v>
      </c>
      <c r="C5088" s="6">
        <v>113</v>
      </c>
      <c r="D5088" s="6">
        <v>126</v>
      </c>
      <c r="E5088" s="6">
        <v>117</v>
      </c>
      <c r="F5088" t="str">
        <f t="shared" si="2142"/>
        <v>WED</v>
      </c>
      <c r="G5088" s="1">
        <f t="shared" si="2143"/>
        <v>44125</v>
      </c>
      <c r="H5088" s="2">
        <f t="shared" ca="1" si="2144"/>
        <v>128</v>
      </c>
      <c r="I5088" t="str">
        <f t="shared" si="2145"/>
        <v>AAPL</v>
      </c>
      <c r="J5088">
        <f t="shared" si="2146"/>
        <v>113</v>
      </c>
      <c r="K5088">
        <f t="shared" si="2147"/>
        <v>126</v>
      </c>
      <c r="L5088">
        <f t="shared" si="2148"/>
        <v>119.5</v>
      </c>
      <c r="M5088">
        <f t="shared" si="2149"/>
        <v>6.5</v>
      </c>
      <c r="N5088">
        <f t="shared" si="2138"/>
        <v>13</v>
      </c>
      <c r="O5088">
        <f t="shared" si="2150"/>
        <v>117</v>
      </c>
      <c r="P5088">
        <f t="shared" si="2151"/>
        <v>-0.38461538461538464</v>
      </c>
      <c r="Q5088" t="str">
        <f t="shared" si="2139"/>
        <v>3.42% | 7.69%</v>
      </c>
      <c r="R5088" t="str">
        <f t="shared" si="2152"/>
        <v>BULLISH</v>
      </c>
      <c r="S5088">
        <f t="shared" si="2140"/>
        <v>1</v>
      </c>
    </row>
    <row r="5089" spans="1:19" hidden="1" x14ac:dyDescent="0.25">
      <c r="A5089" s="5" t="str">
        <f t="shared" si="2141"/>
        <v>44125AMZN</v>
      </c>
      <c r="B5089" s="6" t="s">
        <v>29</v>
      </c>
      <c r="C5089" s="6">
        <v>3118</v>
      </c>
      <c r="D5089" s="6">
        <v>3498</v>
      </c>
      <c r="E5089" s="6">
        <v>3217</v>
      </c>
      <c r="F5089" t="str">
        <f t="shared" si="2142"/>
        <v>WED</v>
      </c>
      <c r="G5089" s="1">
        <f t="shared" si="2143"/>
        <v>44125</v>
      </c>
      <c r="H5089" s="2">
        <f t="shared" ca="1" si="2144"/>
        <v>128</v>
      </c>
      <c r="I5089" t="str">
        <f t="shared" si="2145"/>
        <v>AMZN</v>
      </c>
      <c r="J5089">
        <f t="shared" si="2146"/>
        <v>3118</v>
      </c>
      <c r="K5089">
        <f t="shared" si="2147"/>
        <v>3498</v>
      </c>
      <c r="L5089">
        <f t="shared" si="2148"/>
        <v>3308</v>
      </c>
      <c r="M5089">
        <f t="shared" si="2149"/>
        <v>190</v>
      </c>
      <c r="N5089">
        <f t="shared" si="2138"/>
        <v>380</v>
      </c>
      <c r="O5089">
        <f t="shared" si="2150"/>
        <v>3217</v>
      </c>
      <c r="P5089">
        <f t="shared" si="2151"/>
        <v>-0.47894736842105262</v>
      </c>
      <c r="Q5089" t="str">
        <f t="shared" si="2139"/>
        <v>3.08% | 8.73%</v>
      </c>
      <c r="R5089" t="str">
        <f t="shared" si="2152"/>
        <v>BULLISH</v>
      </c>
      <c r="S5089">
        <f t="shared" si="2140"/>
        <v>1</v>
      </c>
    </row>
    <row r="5090" spans="1:19" hidden="1" x14ac:dyDescent="0.25">
      <c r="A5090" s="5" t="str">
        <f t="shared" si="2141"/>
        <v>44125FB</v>
      </c>
      <c r="B5090" s="6" t="s">
        <v>30</v>
      </c>
      <c r="C5090" s="6">
        <v>256</v>
      </c>
      <c r="D5090" s="6">
        <v>281</v>
      </c>
      <c r="E5090" s="6">
        <v>267</v>
      </c>
      <c r="F5090" t="str">
        <f t="shared" si="2142"/>
        <v>WED</v>
      </c>
      <c r="G5090" s="1">
        <f t="shared" si="2143"/>
        <v>44125</v>
      </c>
      <c r="H5090" s="2">
        <f t="shared" ca="1" si="2144"/>
        <v>128</v>
      </c>
      <c r="I5090" t="str">
        <f t="shared" si="2145"/>
        <v>FB</v>
      </c>
      <c r="J5090">
        <f t="shared" si="2146"/>
        <v>256</v>
      </c>
      <c r="K5090">
        <f t="shared" si="2147"/>
        <v>281</v>
      </c>
      <c r="L5090">
        <f t="shared" si="2148"/>
        <v>268.5</v>
      </c>
      <c r="M5090">
        <f t="shared" si="2149"/>
        <v>12.5</v>
      </c>
      <c r="N5090">
        <f t="shared" si="2138"/>
        <v>25</v>
      </c>
      <c r="O5090">
        <f t="shared" si="2150"/>
        <v>267</v>
      </c>
      <c r="P5090">
        <f t="shared" si="2151"/>
        <v>-0.12</v>
      </c>
      <c r="Q5090" t="str">
        <f t="shared" si="2139"/>
        <v>4.12% | 5.24%</v>
      </c>
      <c r="R5090" t="str">
        <f t="shared" si="2152"/>
        <v>BULLISH</v>
      </c>
      <c r="S5090">
        <f t="shared" si="2140"/>
        <v>1</v>
      </c>
    </row>
    <row r="5091" spans="1:19" hidden="1" x14ac:dyDescent="0.25">
      <c r="A5091" s="5" t="str">
        <f t="shared" si="2141"/>
        <v>44125GOOGL</v>
      </c>
      <c r="B5091" s="6" t="s">
        <v>31</v>
      </c>
      <c r="C5091" s="6">
        <v>1477</v>
      </c>
      <c r="D5091" s="6">
        <v>1610</v>
      </c>
      <c r="E5091" s="6">
        <v>1551</v>
      </c>
      <c r="F5091" t="str">
        <f t="shared" si="2142"/>
        <v>WED</v>
      </c>
      <c r="G5091" s="1">
        <f t="shared" si="2143"/>
        <v>44125</v>
      </c>
      <c r="H5091" s="2">
        <f t="shared" ca="1" si="2144"/>
        <v>128</v>
      </c>
      <c r="I5091" t="str">
        <f t="shared" si="2145"/>
        <v>GOOGL</v>
      </c>
      <c r="J5091">
        <f t="shared" si="2146"/>
        <v>1477</v>
      </c>
      <c r="K5091">
        <f t="shared" si="2147"/>
        <v>1610</v>
      </c>
      <c r="L5091">
        <f t="shared" si="2148"/>
        <v>1543.5</v>
      </c>
      <c r="M5091">
        <f t="shared" si="2149"/>
        <v>66.5</v>
      </c>
      <c r="N5091">
        <f t="shared" si="2138"/>
        <v>133</v>
      </c>
      <c r="O5091">
        <f t="shared" si="2150"/>
        <v>1551</v>
      </c>
      <c r="P5091">
        <f t="shared" si="2151"/>
        <v>0.11278195488721804</v>
      </c>
      <c r="Q5091" t="str">
        <f t="shared" si="2139"/>
        <v>4.77% | 3.8%</v>
      </c>
      <c r="R5091" t="str">
        <f t="shared" si="2152"/>
        <v>BULLISH</v>
      </c>
      <c r="S5091">
        <f t="shared" si="2140"/>
        <v>1</v>
      </c>
    </row>
    <row r="5092" spans="1:19" hidden="1" x14ac:dyDescent="0.25">
      <c r="A5092" s="5" t="str">
        <f t="shared" si="2141"/>
        <v>44125NFLX</v>
      </c>
      <c r="B5092" s="6" t="s">
        <v>81</v>
      </c>
      <c r="C5092" s="6">
        <v>484</v>
      </c>
      <c r="D5092" s="6">
        <v>539</v>
      </c>
      <c r="E5092" s="6">
        <v>525</v>
      </c>
      <c r="F5092" t="str">
        <f t="shared" si="2142"/>
        <v>WED</v>
      </c>
      <c r="G5092" s="1">
        <f t="shared" si="2143"/>
        <v>44125</v>
      </c>
      <c r="H5092" s="2">
        <f t="shared" ca="1" si="2144"/>
        <v>128</v>
      </c>
      <c r="I5092" t="str">
        <f t="shared" si="2145"/>
        <v>NFLX</v>
      </c>
      <c r="J5092">
        <f t="shared" si="2146"/>
        <v>484</v>
      </c>
      <c r="K5092">
        <f t="shared" si="2147"/>
        <v>539</v>
      </c>
      <c r="L5092">
        <f t="shared" si="2148"/>
        <v>511.5</v>
      </c>
      <c r="M5092">
        <f t="shared" si="2149"/>
        <v>27.5</v>
      </c>
      <c r="N5092">
        <f t="shared" si="2138"/>
        <v>55</v>
      </c>
      <c r="O5092">
        <f t="shared" si="2150"/>
        <v>525</v>
      </c>
      <c r="P5092">
        <f t="shared" si="2151"/>
        <v>0.49090909090909091</v>
      </c>
      <c r="Q5092" t="str">
        <f t="shared" si="2139"/>
        <v>7.81% | 2.67%</v>
      </c>
      <c r="R5092" t="str">
        <f t="shared" si="2152"/>
        <v>BEARISH</v>
      </c>
      <c r="S5092">
        <f t="shared" si="2140"/>
        <v>-1</v>
      </c>
    </row>
    <row r="5093" spans="1:19" x14ac:dyDescent="0.25">
      <c r="A5093" s="5" t="str">
        <f t="shared" si="2141"/>
        <v>44125TSLA</v>
      </c>
      <c r="B5093" s="6" t="s">
        <v>71</v>
      </c>
      <c r="C5093" s="6">
        <v>411</v>
      </c>
      <c r="D5093" s="6">
        <v>463</v>
      </c>
      <c r="E5093" s="6">
        <v>421</v>
      </c>
      <c r="F5093" t="str">
        <f t="shared" si="2142"/>
        <v>WED</v>
      </c>
      <c r="G5093" s="1">
        <f t="shared" si="2143"/>
        <v>44125</v>
      </c>
      <c r="H5093" s="2">
        <f t="shared" ca="1" si="2144"/>
        <v>128</v>
      </c>
      <c r="I5093" t="str">
        <f t="shared" si="2145"/>
        <v>TSLA</v>
      </c>
      <c r="J5093">
        <f t="shared" si="2146"/>
        <v>411</v>
      </c>
      <c r="K5093">
        <f t="shared" si="2147"/>
        <v>463</v>
      </c>
      <c r="L5093">
        <f t="shared" si="2148"/>
        <v>437</v>
      </c>
      <c r="M5093">
        <f t="shared" si="2149"/>
        <v>26</v>
      </c>
      <c r="N5093">
        <f t="shared" si="2138"/>
        <v>52</v>
      </c>
      <c r="O5093">
        <f t="shared" si="2150"/>
        <v>421</v>
      </c>
      <c r="P5093">
        <f t="shared" si="2151"/>
        <v>-0.61538461538461542</v>
      </c>
      <c r="Q5093" t="str">
        <f t="shared" si="2139"/>
        <v>2.38% | 9.98%</v>
      </c>
      <c r="R5093" t="str">
        <f t="shared" si="2152"/>
        <v>NEUTRAL</v>
      </c>
      <c r="S5093">
        <f t="shared" si="2140"/>
        <v>0</v>
      </c>
    </row>
    <row r="5094" spans="1:19" hidden="1" x14ac:dyDescent="0.25">
      <c r="A5094" s="5" t="str">
        <f t="shared" si="2141"/>
        <v>44125NYXBT</v>
      </c>
      <c r="B5094" s="6" t="s">
        <v>60</v>
      </c>
      <c r="C5094" s="6">
        <v>10831</v>
      </c>
      <c r="D5094" s="6">
        <v>12298</v>
      </c>
      <c r="E5094" s="6">
        <v>11936</v>
      </c>
      <c r="F5094" t="str">
        <f t="shared" si="2142"/>
        <v>WED</v>
      </c>
      <c r="G5094" s="1">
        <f t="shared" si="2143"/>
        <v>44125</v>
      </c>
      <c r="H5094" s="2">
        <f t="shared" ca="1" si="2144"/>
        <v>128</v>
      </c>
      <c r="I5094" t="str">
        <f t="shared" si="2145"/>
        <v>NYXBT</v>
      </c>
      <c r="J5094">
        <f t="shared" si="2146"/>
        <v>10831</v>
      </c>
      <c r="K5094">
        <f t="shared" si="2147"/>
        <v>12298</v>
      </c>
      <c r="L5094">
        <f t="shared" si="2148"/>
        <v>11564.5</v>
      </c>
      <c r="M5094">
        <f t="shared" si="2149"/>
        <v>733.5</v>
      </c>
      <c r="N5094">
        <f t="shared" si="2138"/>
        <v>1467</v>
      </c>
      <c r="O5094">
        <f t="shared" si="2150"/>
        <v>11936</v>
      </c>
      <c r="P5094">
        <f t="shared" si="2151"/>
        <v>0.50647580095432854</v>
      </c>
      <c r="Q5094" t="str">
        <f t="shared" si="2139"/>
        <v>9.26% | 3.03%</v>
      </c>
      <c r="R5094" t="str">
        <f t="shared" si="2152"/>
        <v>BULLISH</v>
      </c>
      <c r="S5094">
        <f t="shared" si="2140"/>
        <v>1</v>
      </c>
    </row>
    <row r="5095" spans="1:19" hidden="1" x14ac:dyDescent="0.25">
      <c r="A5095" s="5" t="str">
        <f t="shared" si="2141"/>
        <v>44126UST10Y</v>
      </c>
      <c r="B5095" s="6" t="s">
        <v>161</v>
      </c>
      <c r="C5095" s="6">
        <v>0.84</v>
      </c>
      <c r="D5095" s="6">
        <v>0.69</v>
      </c>
      <c r="E5095" s="6">
        <v>0.83</v>
      </c>
      <c r="F5095" t="str">
        <f t="shared" si="2142"/>
        <v>THU</v>
      </c>
      <c r="G5095" s="3">
        <f>DATE(2020,10,22)</f>
        <v>44126</v>
      </c>
      <c r="H5095" s="2">
        <f t="shared" ca="1" si="2144"/>
        <v>127</v>
      </c>
      <c r="I5095" t="str">
        <f t="shared" si="2145"/>
        <v>UST10Y</v>
      </c>
      <c r="J5095">
        <f t="shared" si="2146"/>
        <v>0.84</v>
      </c>
      <c r="K5095">
        <f t="shared" si="2147"/>
        <v>0.69</v>
      </c>
      <c r="L5095">
        <f t="shared" si="2148"/>
        <v>0.7649999999999999</v>
      </c>
      <c r="M5095">
        <f t="shared" si="2149"/>
        <v>7.5000000000000011E-2</v>
      </c>
      <c r="N5095">
        <f t="shared" si="2138"/>
        <v>0.15000000000000002</v>
      </c>
      <c r="O5095">
        <f t="shared" si="2150"/>
        <v>0.83</v>
      </c>
      <c r="P5095">
        <f t="shared" si="2151"/>
        <v>0.86666666666666736</v>
      </c>
      <c r="Q5095" t="str">
        <f t="shared" si="2139"/>
        <v>1.2% | 16.87%</v>
      </c>
      <c r="R5095" t="str">
        <f t="shared" si="2152"/>
        <v>BEARISH</v>
      </c>
      <c r="S5095">
        <f t="shared" si="2140"/>
        <v>-1</v>
      </c>
    </row>
    <row r="5096" spans="1:19" hidden="1" x14ac:dyDescent="0.25">
      <c r="A5096" s="5" t="str">
        <f t="shared" si="2141"/>
        <v>44126UST2Y</v>
      </c>
      <c r="B5096" s="6" t="s">
        <v>162</v>
      </c>
      <c r="C5096" s="6">
        <v>0.17</v>
      </c>
      <c r="D5096" s="6">
        <v>0.12</v>
      </c>
      <c r="E5096" s="6">
        <v>0.14000000000000001</v>
      </c>
      <c r="F5096" t="str">
        <f t="shared" ref="F5096:F5126" si="2153">UPPER(TEXT(G5096,"ddd"))</f>
        <v>THU</v>
      </c>
      <c r="G5096" s="3">
        <f t="shared" ref="G5096:G5125" si="2154">DATE(2020,10,22)</f>
        <v>44126</v>
      </c>
      <c r="H5096" s="2">
        <f t="shared" ref="H5096:H5126" ca="1" si="2155">TODAY()-G5096</f>
        <v>127</v>
      </c>
      <c r="I5096" t="str">
        <f t="shared" ref="I5096:I5126" si="2156">TRIM(LEFT(B5096,FIND(" ",B5096,1)))</f>
        <v>UST2Y</v>
      </c>
      <c r="J5096">
        <f t="shared" ref="J5096:J5126" si="2157">C5096</f>
        <v>0.17</v>
      </c>
      <c r="K5096">
        <f t="shared" ref="K5096:K5126" si="2158">D5096</f>
        <v>0.12</v>
      </c>
      <c r="L5096">
        <f t="shared" ref="L5096:L5126" si="2159">AVERAGE(J5096:K5096)</f>
        <v>0.14500000000000002</v>
      </c>
      <c r="M5096">
        <f t="shared" ref="M5096:M5126" si="2160">_xlfn.STDEV.P(J5096:K5096)</f>
        <v>2.4999999999999942E-2</v>
      </c>
      <c r="N5096">
        <f t="shared" si="2138"/>
        <v>5.0000000000000017E-2</v>
      </c>
      <c r="O5096">
        <f t="shared" ref="O5096:O5126" si="2161">E5096</f>
        <v>0.14000000000000001</v>
      </c>
      <c r="P5096">
        <f t="shared" ref="P5096:P5126" si="2162">(O5096-L5096)/M5096</f>
        <v>-0.20000000000000065</v>
      </c>
      <c r="Q5096" t="str">
        <f t="shared" si="2139"/>
        <v>21.43% | 14.29%</v>
      </c>
      <c r="R5096" t="str">
        <f t="shared" ref="R5096:R5126" si="2163">MID(B5096,FIND("(",B5096,1)+1,FIND(")",B5096,1)-FIND("(",B5096,1)-1)</f>
        <v>BEARISH</v>
      </c>
      <c r="S5096">
        <f t="shared" si="2140"/>
        <v>-1</v>
      </c>
    </row>
    <row r="5097" spans="1:19" hidden="1" x14ac:dyDescent="0.25">
      <c r="A5097" s="5" t="str">
        <f t="shared" si="2141"/>
        <v>44126SPX</v>
      </c>
      <c r="B5097" s="6" t="s">
        <v>163</v>
      </c>
      <c r="C5097" s="6">
        <v>3405</v>
      </c>
      <c r="D5097" s="6">
        <v>3544</v>
      </c>
      <c r="E5097" s="6">
        <v>3435</v>
      </c>
      <c r="F5097" t="str">
        <f t="shared" si="2153"/>
        <v>THU</v>
      </c>
      <c r="G5097" s="3">
        <f t="shared" si="2154"/>
        <v>44126</v>
      </c>
      <c r="H5097" s="2">
        <f t="shared" ca="1" si="2155"/>
        <v>127</v>
      </c>
      <c r="I5097" t="str">
        <f t="shared" si="2156"/>
        <v>SPX</v>
      </c>
      <c r="J5097">
        <f t="shared" si="2157"/>
        <v>3405</v>
      </c>
      <c r="K5097">
        <f t="shared" si="2158"/>
        <v>3544</v>
      </c>
      <c r="L5097">
        <f t="shared" si="2159"/>
        <v>3474.5</v>
      </c>
      <c r="M5097">
        <f t="shared" si="2160"/>
        <v>69.5</v>
      </c>
      <c r="N5097">
        <f t="shared" si="2138"/>
        <v>139</v>
      </c>
      <c r="O5097">
        <f t="shared" si="2161"/>
        <v>3435</v>
      </c>
      <c r="P5097">
        <f t="shared" si="2162"/>
        <v>-0.56834532374100721</v>
      </c>
      <c r="Q5097" t="str">
        <f t="shared" si="2139"/>
        <v>0.87% | 3.17%</v>
      </c>
      <c r="R5097" t="str">
        <f t="shared" si="2163"/>
        <v>NEUTRAL</v>
      </c>
      <c r="S5097">
        <f t="shared" si="2140"/>
        <v>0</v>
      </c>
    </row>
    <row r="5098" spans="1:19" hidden="1" x14ac:dyDescent="0.25">
      <c r="A5098" s="5" t="str">
        <f t="shared" si="2141"/>
        <v>44126RUT</v>
      </c>
      <c r="B5098" s="6" t="s">
        <v>242</v>
      </c>
      <c r="C5098" s="6">
        <v>1593</v>
      </c>
      <c r="D5098" s="6">
        <v>1653</v>
      </c>
      <c r="E5098" s="6">
        <v>1603</v>
      </c>
      <c r="F5098" t="str">
        <f t="shared" si="2153"/>
        <v>THU</v>
      </c>
      <c r="G5098" s="3">
        <f t="shared" si="2154"/>
        <v>44126</v>
      </c>
      <c r="H5098" s="2">
        <f t="shared" ca="1" si="2155"/>
        <v>127</v>
      </c>
      <c r="I5098" t="str">
        <f t="shared" si="2156"/>
        <v>RUT</v>
      </c>
      <c r="J5098">
        <f t="shared" si="2157"/>
        <v>1593</v>
      </c>
      <c r="K5098">
        <f t="shared" si="2158"/>
        <v>1653</v>
      </c>
      <c r="L5098">
        <f t="shared" si="2159"/>
        <v>1623</v>
      </c>
      <c r="M5098">
        <f t="shared" si="2160"/>
        <v>30</v>
      </c>
      <c r="N5098">
        <f t="shared" si="2138"/>
        <v>60</v>
      </c>
      <c r="O5098">
        <f t="shared" si="2161"/>
        <v>1603</v>
      </c>
      <c r="P5098">
        <f t="shared" si="2162"/>
        <v>-0.66666666666666663</v>
      </c>
      <c r="Q5098" t="str">
        <f t="shared" si="2139"/>
        <v>0.62% | 3.12%</v>
      </c>
      <c r="R5098" t="str">
        <f t="shared" si="2163"/>
        <v>NEUTRAL</v>
      </c>
      <c r="S5098">
        <f t="shared" si="2140"/>
        <v>0</v>
      </c>
    </row>
    <row r="5099" spans="1:19" hidden="1" x14ac:dyDescent="0.25">
      <c r="A5099" s="5" t="str">
        <f t="shared" si="2141"/>
        <v>44126COMPQ</v>
      </c>
      <c r="B5099" s="6" t="s">
        <v>212</v>
      </c>
      <c r="C5099" s="6">
        <v>11308</v>
      </c>
      <c r="D5099" s="6">
        <v>11965</v>
      </c>
      <c r="E5099" s="6">
        <v>11484</v>
      </c>
      <c r="F5099" t="str">
        <f t="shared" si="2153"/>
        <v>THU</v>
      </c>
      <c r="G5099" s="3">
        <f t="shared" si="2154"/>
        <v>44126</v>
      </c>
      <c r="H5099" s="2">
        <f t="shared" ca="1" si="2155"/>
        <v>127</v>
      </c>
      <c r="I5099" t="str">
        <f t="shared" si="2156"/>
        <v>COMPQ</v>
      </c>
      <c r="J5099">
        <f t="shared" si="2157"/>
        <v>11308</v>
      </c>
      <c r="K5099">
        <f t="shared" si="2158"/>
        <v>11965</v>
      </c>
      <c r="L5099">
        <f t="shared" si="2159"/>
        <v>11636.5</v>
      </c>
      <c r="M5099">
        <f t="shared" si="2160"/>
        <v>328.5</v>
      </c>
      <c r="N5099">
        <f t="shared" si="2138"/>
        <v>657</v>
      </c>
      <c r="O5099">
        <f t="shared" si="2161"/>
        <v>11484</v>
      </c>
      <c r="P5099">
        <f t="shared" si="2162"/>
        <v>-0.46423135464231352</v>
      </c>
      <c r="Q5099" t="str">
        <f t="shared" si="2139"/>
        <v>1.53% | 4.19%</v>
      </c>
      <c r="R5099" t="str">
        <f t="shared" si="2163"/>
        <v>NEUTRAL</v>
      </c>
      <c r="S5099">
        <f t="shared" si="2140"/>
        <v>0</v>
      </c>
    </row>
    <row r="5100" spans="1:19" hidden="1" x14ac:dyDescent="0.25">
      <c r="A5100" s="5" t="str">
        <f t="shared" si="2141"/>
        <v>44126XLK</v>
      </c>
      <c r="B5100" s="6" t="s">
        <v>166</v>
      </c>
      <c r="C5100" s="6">
        <v>116.99</v>
      </c>
      <c r="D5100" s="6">
        <v>124.3</v>
      </c>
      <c r="E5100" s="6">
        <v>119.13</v>
      </c>
      <c r="F5100" t="str">
        <f t="shared" si="2153"/>
        <v>THU</v>
      </c>
      <c r="G5100" s="3">
        <f t="shared" si="2154"/>
        <v>44126</v>
      </c>
      <c r="H5100" s="2">
        <f t="shared" ca="1" si="2155"/>
        <v>127</v>
      </c>
      <c r="I5100" t="str">
        <f t="shared" si="2156"/>
        <v>XLK</v>
      </c>
      <c r="J5100">
        <f t="shared" si="2157"/>
        <v>116.99</v>
      </c>
      <c r="K5100">
        <f t="shared" si="2158"/>
        <v>124.3</v>
      </c>
      <c r="L5100">
        <f t="shared" si="2159"/>
        <v>120.645</v>
      </c>
      <c r="M5100">
        <f t="shared" si="2160"/>
        <v>3.6550000000000011</v>
      </c>
      <c r="N5100">
        <f t="shared" si="2138"/>
        <v>7.3100000000000023</v>
      </c>
      <c r="O5100">
        <f t="shared" si="2161"/>
        <v>119.13</v>
      </c>
      <c r="P5100">
        <f t="shared" si="2162"/>
        <v>-0.41450068399452805</v>
      </c>
      <c r="Q5100" t="str">
        <f t="shared" si="2139"/>
        <v>1.8% | 4.34%</v>
      </c>
      <c r="R5100" t="str">
        <f t="shared" si="2163"/>
        <v>BULLISH</v>
      </c>
      <c r="S5100">
        <f t="shared" si="2140"/>
        <v>1</v>
      </c>
    </row>
    <row r="5101" spans="1:19" hidden="1" x14ac:dyDescent="0.25">
      <c r="A5101" s="5" t="str">
        <f t="shared" si="2141"/>
        <v>44126XLRE</v>
      </c>
      <c r="B5101" s="6" t="s">
        <v>167</v>
      </c>
      <c r="C5101" s="6">
        <v>35.08</v>
      </c>
      <c r="D5101" s="6">
        <v>37.24</v>
      </c>
      <c r="E5101" s="6">
        <v>35.65</v>
      </c>
      <c r="F5101" t="str">
        <f t="shared" si="2153"/>
        <v>THU</v>
      </c>
      <c r="G5101" s="3">
        <f t="shared" si="2154"/>
        <v>44126</v>
      </c>
      <c r="H5101" s="2">
        <f t="shared" ca="1" si="2155"/>
        <v>127</v>
      </c>
      <c r="I5101" t="str">
        <f t="shared" si="2156"/>
        <v>XLRE</v>
      </c>
      <c r="J5101">
        <f t="shared" si="2157"/>
        <v>35.08</v>
      </c>
      <c r="K5101">
        <f t="shared" si="2158"/>
        <v>37.24</v>
      </c>
      <c r="L5101">
        <f t="shared" si="2159"/>
        <v>36.159999999999997</v>
      </c>
      <c r="M5101">
        <f t="shared" si="2160"/>
        <v>1.0800000000000018</v>
      </c>
      <c r="N5101">
        <f t="shared" si="2138"/>
        <v>2.1600000000000037</v>
      </c>
      <c r="O5101">
        <f t="shared" si="2161"/>
        <v>35.65</v>
      </c>
      <c r="P5101">
        <f t="shared" si="2162"/>
        <v>-0.47222222222221955</v>
      </c>
      <c r="Q5101" t="str">
        <f t="shared" si="2139"/>
        <v>1.6% | 4.46%</v>
      </c>
      <c r="R5101" t="str">
        <f t="shared" si="2163"/>
        <v>BULLISH</v>
      </c>
      <c r="S5101">
        <f t="shared" si="2140"/>
        <v>1</v>
      </c>
    </row>
    <row r="5102" spans="1:19" hidden="1" x14ac:dyDescent="0.25">
      <c r="A5102" s="5" t="str">
        <f t="shared" si="2141"/>
        <v>44126XLU</v>
      </c>
      <c r="B5102" s="6" t="s">
        <v>168</v>
      </c>
      <c r="C5102" s="6">
        <v>62.94</v>
      </c>
      <c r="D5102" s="6">
        <v>64.28</v>
      </c>
      <c r="E5102" s="6">
        <v>63.67</v>
      </c>
      <c r="F5102" t="str">
        <f t="shared" si="2153"/>
        <v>THU</v>
      </c>
      <c r="G5102" s="3">
        <f t="shared" si="2154"/>
        <v>44126</v>
      </c>
      <c r="H5102" s="2">
        <f t="shared" ca="1" si="2155"/>
        <v>127</v>
      </c>
      <c r="I5102" t="str">
        <f t="shared" si="2156"/>
        <v>XLU</v>
      </c>
      <c r="J5102">
        <f t="shared" si="2157"/>
        <v>62.94</v>
      </c>
      <c r="K5102">
        <f t="shared" si="2158"/>
        <v>64.28</v>
      </c>
      <c r="L5102">
        <f t="shared" si="2159"/>
        <v>63.61</v>
      </c>
      <c r="M5102">
        <f t="shared" si="2160"/>
        <v>0.67000000000000171</v>
      </c>
      <c r="N5102">
        <f t="shared" si="2138"/>
        <v>1.3400000000000034</v>
      </c>
      <c r="O5102">
        <f t="shared" si="2161"/>
        <v>63.67</v>
      </c>
      <c r="P5102">
        <f t="shared" si="2162"/>
        <v>8.9552238805973308E-2</v>
      </c>
      <c r="Q5102" t="str">
        <f t="shared" si="2139"/>
        <v>1.15% | 0.96%</v>
      </c>
      <c r="R5102" t="str">
        <f t="shared" si="2163"/>
        <v>BULLISH</v>
      </c>
      <c r="S5102">
        <f t="shared" si="2140"/>
        <v>1</v>
      </c>
    </row>
    <row r="5103" spans="1:19" hidden="1" x14ac:dyDescent="0.25">
      <c r="A5103" s="5" t="str">
        <f t="shared" si="2141"/>
        <v>44126XLF</v>
      </c>
      <c r="B5103" s="6" t="s">
        <v>169</v>
      </c>
      <c r="C5103" s="6">
        <v>24.32</v>
      </c>
      <c r="D5103" s="6">
        <v>25.5</v>
      </c>
      <c r="E5103" s="6">
        <v>24.68</v>
      </c>
      <c r="F5103" t="str">
        <f t="shared" si="2153"/>
        <v>THU</v>
      </c>
      <c r="G5103" s="3">
        <f t="shared" si="2154"/>
        <v>44126</v>
      </c>
      <c r="H5103" s="2">
        <f t="shared" ca="1" si="2155"/>
        <v>127</v>
      </c>
      <c r="I5103" t="str">
        <f t="shared" si="2156"/>
        <v>XLF</v>
      </c>
      <c r="J5103">
        <f t="shared" si="2157"/>
        <v>24.32</v>
      </c>
      <c r="K5103">
        <f t="shared" si="2158"/>
        <v>25.5</v>
      </c>
      <c r="L5103">
        <f t="shared" si="2159"/>
        <v>24.91</v>
      </c>
      <c r="M5103">
        <f t="shared" si="2160"/>
        <v>0.58999999999999986</v>
      </c>
      <c r="N5103">
        <f t="shared" si="2138"/>
        <v>1.1799999999999997</v>
      </c>
      <c r="O5103">
        <f t="shared" si="2161"/>
        <v>24.68</v>
      </c>
      <c r="P5103">
        <f t="shared" si="2162"/>
        <v>-0.38983050847457706</v>
      </c>
      <c r="Q5103" t="str">
        <f t="shared" si="2139"/>
        <v>1.46% | 3.32%</v>
      </c>
      <c r="R5103" t="str">
        <f t="shared" si="2163"/>
        <v>BEARISH</v>
      </c>
      <c r="S5103">
        <f t="shared" si="2140"/>
        <v>-1</v>
      </c>
    </row>
    <row r="5104" spans="1:19" hidden="1" x14ac:dyDescent="0.25">
      <c r="A5104" s="5" t="str">
        <f t="shared" si="2141"/>
        <v>44126SSEC</v>
      </c>
      <c r="B5104" s="6" t="s">
        <v>170</v>
      </c>
      <c r="C5104" s="6">
        <v>3275</v>
      </c>
      <c r="D5104" s="6">
        <v>3399</v>
      </c>
      <c r="E5104" s="6">
        <v>3312</v>
      </c>
      <c r="F5104" t="str">
        <f t="shared" si="2153"/>
        <v>THU</v>
      </c>
      <c r="G5104" s="3">
        <f t="shared" si="2154"/>
        <v>44126</v>
      </c>
      <c r="H5104" s="2">
        <f t="shared" ca="1" si="2155"/>
        <v>127</v>
      </c>
      <c r="I5104" t="str">
        <f t="shared" si="2156"/>
        <v>SSEC</v>
      </c>
      <c r="J5104">
        <f t="shared" si="2157"/>
        <v>3275</v>
      </c>
      <c r="K5104">
        <f t="shared" si="2158"/>
        <v>3399</v>
      </c>
      <c r="L5104">
        <f t="shared" si="2159"/>
        <v>3337</v>
      </c>
      <c r="M5104">
        <f t="shared" si="2160"/>
        <v>62</v>
      </c>
      <c r="N5104">
        <f t="shared" si="2138"/>
        <v>124</v>
      </c>
      <c r="O5104">
        <f t="shared" si="2161"/>
        <v>3312</v>
      </c>
      <c r="P5104">
        <f t="shared" si="2162"/>
        <v>-0.40322580645161288</v>
      </c>
      <c r="Q5104" t="str">
        <f t="shared" si="2139"/>
        <v>1.12% | 2.63%</v>
      </c>
      <c r="R5104" t="str">
        <f t="shared" si="2163"/>
        <v>BULLISH</v>
      </c>
      <c r="S5104">
        <f t="shared" si="2140"/>
        <v>1</v>
      </c>
    </row>
    <row r="5105" spans="1:19" hidden="1" x14ac:dyDescent="0.25">
      <c r="A5105" s="5" t="str">
        <f t="shared" si="2141"/>
        <v>44126NIKK</v>
      </c>
      <c r="B5105" s="6" t="s">
        <v>201</v>
      </c>
      <c r="C5105" s="6">
        <v>23400</v>
      </c>
      <c r="D5105" s="6">
        <v>23748</v>
      </c>
      <c r="E5105" s="6">
        <v>23474</v>
      </c>
      <c r="F5105" t="str">
        <f t="shared" si="2153"/>
        <v>THU</v>
      </c>
      <c r="G5105" s="3">
        <f t="shared" si="2154"/>
        <v>44126</v>
      </c>
      <c r="H5105" s="2">
        <f t="shared" ca="1" si="2155"/>
        <v>127</v>
      </c>
      <c r="I5105" t="str">
        <f t="shared" si="2156"/>
        <v>NIKK</v>
      </c>
      <c r="J5105">
        <f t="shared" si="2157"/>
        <v>23400</v>
      </c>
      <c r="K5105">
        <f t="shared" si="2158"/>
        <v>23748</v>
      </c>
      <c r="L5105">
        <f t="shared" si="2159"/>
        <v>23574</v>
      </c>
      <c r="M5105">
        <f t="shared" si="2160"/>
        <v>174</v>
      </c>
      <c r="N5105">
        <f t="shared" si="2138"/>
        <v>348</v>
      </c>
      <c r="O5105">
        <f t="shared" si="2161"/>
        <v>23474</v>
      </c>
      <c r="P5105">
        <f t="shared" si="2162"/>
        <v>-0.57471264367816088</v>
      </c>
      <c r="Q5105" t="str">
        <f t="shared" si="2139"/>
        <v>0.32% | 1.17%</v>
      </c>
      <c r="R5105" t="str">
        <f t="shared" si="2163"/>
        <v>BULLISH</v>
      </c>
      <c r="S5105">
        <f t="shared" si="2140"/>
        <v>1</v>
      </c>
    </row>
    <row r="5106" spans="1:19" hidden="1" x14ac:dyDescent="0.25">
      <c r="A5106" s="5" t="str">
        <f t="shared" si="2141"/>
        <v>44126DAX</v>
      </c>
      <c r="B5106" s="6" t="s">
        <v>227</v>
      </c>
      <c r="C5106" s="6">
        <v>12450</v>
      </c>
      <c r="D5106" s="6">
        <v>12889</v>
      </c>
      <c r="E5106" s="6">
        <v>12557</v>
      </c>
      <c r="F5106" t="str">
        <f t="shared" si="2153"/>
        <v>THU</v>
      </c>
      <c r="G5106" s="3">
        <f t="shared" si="2154"/>
        <v>44126</v>
      </c>
      <c r="H5106" s="2">
        <f t="shared" ca="1" si="2155"/>
        <v>127</v>
      </c>
      <c r="I5106" t="str">
        <f t="shared" si="2156"/>
        <v>DAX</v>
      </c>
      <c r="J5106">
        <f t="shared" si="2157"/>
        <v>12450</v>
      </c>
      <c r="K5106">
        <f t="shared" si="2158"/>
        <v>12889</v>
      </c>
      <c r="L5106">
        <f t="shared" si="2159"/>
        <v>12669.5</v>
      </c>
      <c r="M5106">
        <f t="shared" si="2160"/>
        <v>219.5</v>
      </c>
      <c r="N5106">
        <f t="shared" si="2138"/>
        <v>439</v>
      </c>
      <c r="O5106">
        <f t="shared" si="2161"/>
        <v>12557</v>
      </c>
      <c r="P5106">
        <f t="shared" si="2162"/>
        <v>-0.51252847380410027</v>
      </c>
      <c r="Q5106" t="str">
        <f t="shared" si="2139"/>
        <v>0.85% | 2.64%</v>
      </c>
      <c r="R5106" t="str">
        <f t="shared" si="2163"/>
        <v>BEARISH</v>
      </c>
      <c r="S5106">
        <f t="shared" si="2140"/>
        <v>-1</v>
      </c>
    </row>
    <row r="5107" spans="1:19" hidden="1" x14ac:dyDescent="0.25">
      <c r="A5107" s="5" t="str">
        <f t="shared" si="2141"/>
        <v>44126VIX</v>
      </c>
      <c r="B5107" s="6" t="s">
        <v>173</v>
      </c>
      <c r="C5107" s="6">
        <v>23.89</v>
      </c>
      <c r="D5107" s="6">
        <v>30.32</v>
      </c>
      <c r="E5107" s="6">
        <v>28.65</v>
      </c>
      <c r="F5107" t="str">
        <f t="shared" si="2153"/>
        <v>THU</v>
      </c>
      <c r="G5107" s="3">
        <f t="shared" si="2154"/>
        <v>44126</v>
      </c>
      <c r="H5107" s="2">
        <f t="shared" ca="1" si="2155"/>
        <v>127</v>
      </c>
      <c r="I5107" t="str">
        <f t="shared" si="2156"/>
        <v>VIX</v>
      </c>
      <c r="J5107">
        <f t="shared" si="2157"/>
        <v>23.89</v>
      </c>
      <c r="K5107">
        <f t="shared" si="2158"/>
        <v>30.32</v>
      </c>
      <c r="L5107">
        <f t="shared" si="2159"/>
        <v>27.105</v>
      </c>
      <c r="M5107">
        <f t="shared" si="2160"/>
        <v>3.2150000000000198</v>
      </c>
      <c r="N5107">
        <f t="shared" si="2138"/>
        <v>6.43</v>
      </c>
      <c r="O5107">
        <f t="shared" si="2161"/>
        <v>28.65</v>
      </c>
      <c r="P5107">
        <f t="shared" si="2162"/>
        <v>0.48055987558320018</v>
      </c>
      <c r="Q5107" t="str">
        <f t="shared" si="2139"/>
        <v>16.61% | 5.83%</v>
      </c>
      <c r="R5107" t="str">
        <f t="shared" si="2163"/>
        <v>NEUTRAL</v>
      </c>
      <c r="S5107">
        <f t="shared" si="2140"/>
        <v>0</v>
      </c>
    </row>
    <row r="5108" spans="1:19" hidden="1" x14ac:dyDescent="0.25">
      <c r="A5108" s="5" t="str">
        <f t="shared" si="2141"/>
        <v>44126USD</v>
      </c>
      <c r="B5108" s="6" t="s">
        <v>174</v>
      </c>
      <c r="C5108" s="6">
        <v>92.4</v>
      </c>
      <c r="D5108" s="6">
        <v>93.49</v>
      </c>
      <c r="E5108" s="6">
        <v>92.6</v>
      </c>
      <c r="F5108" t="str">
        <f t="shared" si="2153"/>
        <v>THU</v>
      </c>
      <c r="G5108" s="3">
        <f t="shared" si="2154"/>
        <v>44126</v>
      </c>
      <c r="H5108" s="2">
        <f t="shared" ca="1" si="2155"/>
        <v>127</v>
      </c>
      <c r="I5108" t="str">
        <f t="shared" si="2156"/>
        <v>USD</v>
      </c>
      <c r="J5108">
        <f t="shared" si="2157"/>
        <v>92.4</v>
      </c>
      <c r="K5108">
        <f t="shared" si="2158"/>
        <v>93.49</v>
      </c>
      <c r="L5108">
        <f t="shared" si="2159"/>
        <v>92.944999999999993</v>
      </c>
      <c r="M5108">
        <f t="shared" si="2160"/>
        <v>0.5449999999999946</v>
      </c>
      <c r="N5108">
        <f t="shared" si="2138"/>
        <v>1.0899999999999892</v>
      </c>
      <c r="O5108">
        <f t="shared" si="2161"/>
        <v>92.6</v>
      </c>
      <c r="P5108">
        <f t="shared" si="2162"/>
        <v>-0.63302752293578401</v>
      </c>
      <c r="Q5108" t="str">
        <f t="shared" si="2139"/>
        <v>0.22% | 0.96%</v>
      </c>
      <c r="R5108" t="str">
        <f t="shared" si="2163"/>
        <v>BEARISH</v>
      </c>
      <c r="S5108">
        <f t="shared" si="2140"/>
        <v>-1</v>
      </c>
    </row>
    <row r="5109" spans="1:19" hidden="1" x14ac:dyDescent="0.25">
      <c r="A5109" s="5" t="str">
        <f t="shared" si="2141"/>
        <v>44126EUR/USD</v>
      </c>
      <c r="B5109" s="6" t="s">
        <v>238</v>
      </c>
      <c r="C5109" s="6">
        <v>1.1679999999999999</v>
      </c>
      <c r="D5109" s="6">
        <v>1.1890000000000001</v>
      </c>
      <c r="E5109" s="6">
        <v>1.1859999999999999</v>
      </c>
      <c r="F5109" t="str">
        <f t="shared" si="2153"/>
        <v>THU</v>
      </c>
      <c r="G5109" s="3">
        <f t="shared" si="2154"/>
        <v>44126</v>
      </c>
      <c r="H5109" s="2">
        <f t="shared" ca="1" si="2155"/>
        <v>127</v>
      </c>
      <c r="I5109" t="str">
        <f t="shared" si="2156"/>
        <v>EUR/USD</v>
      </c>
      <c r="J5109">
        <f t="shared" si="2157"/>
        <v>1.1679999999999999</v>
      </c>
      <c r="K5109">
        <f t="shared" si="2158"/>
        <v>1.1890000000000001</v>
      </c>
      <c r="L5109">
        <f t="shared" si="2159"/>
        <v>1.1785000000000001</v>
      </c>
      <c r="M5109">
        <f t="shared" si="2160"/>
        <v>1.0500000000000065E-2</v>
      </c>
      <c r="N5109">
        <f t="shared" si="2138"/>
        <v>2.100000000000013E-2</v>
      </c>
      <c r="O5109">
        <f t="shared" si="2161"/>
        <v>1.1859999999999999</v>
      </c>
      <c r="P5109">
        <f t="shared" si="2162"/>
        <v>0.71428571428569465</v>
      </c>
      <c r="Q5109" t="str">
        <f t="shared" si="2139"/>
        <v>1.52% | 0.25%</v>
      </c>
      <c r="R5109" t="str">
        <f t="shared" si="2163"/>
        <v>NEUTRAL</v>
      </c>
      <c r="S5109">
        <f t="shared" si="2140"/>
        <v>0</v>
      </c>
    </row>
    <row r="5110" spans="1:19" hidden="1" x14ac:dyDescent="0.25">
      <c r="A5110" s="5" t="str">
        <f t="shared" si="2141"/>
        <v>44126USD/JPY</v>
      </c>
      <c r="B5110" s="6" t="s">
        <v>176</v>
      </c>
      <c r="C5110" s="6">
        <v>104.61</v>
      </c>
      <c r="D5110" s="6">
        <v>105.9</v>
      </c>
      <c r="E5110" s="6">
        <v>104.58</v>
      </c>
      <c r="F5110" t="str">
        <f t="shared" si="2153"/>
        <v>THU</v>
      </c>
      <c r="G5110" s="3">
        <f t="shared" si="2154"/>
        <v>44126</v>
      </c>
      <c r="H5110" s="2">
        <f t="shared" ca="1" si="2155"/>
        <v>127</v>
      </c>
      <c r="I5110" t="str">
        <f t="shared" si="2156"/>
        <v>USD/JPY</v>
      </c>
      <c r="J5110">
        <f t="shared" si="2157"/>
        <v>104.61</v>
      </c>
      <c r="K5110">
        <f t="shared" si="2158"/>
        <v>105.9</v>
      </c>
      <c r="L5110">
        <f t="shared" si="2159"/>
        <v>105.255</v>
      </c>
      <c r="M5110">
        <f t="shared" si="2160"/>
        <v>0.64500000000000313</v>
      </c>
      <c r="N5110">
        <f t="shared" si="2138"/>
        <v>1.2900000000000063</v>
      </c>
      <c r="O5110">
        <f t="shared" si="2161"/>
        <v>104.58</v>
      </c>
      <c r="P5110">
        <f t="shared" si="2162"/>
        <v>-1.0465116279069673</v>
      </c>
      <c r="Q5110" t="str">
        <f t="shared" si="2139"/>
        <v>0.03% | 1.26%</v>
      </c>
      <c r="R5110" t="str">
        <f t="shared" si="2163"/>
        <v>BEARISH</v>
      </c>
      <c r="S5110">
        <f t="shared" si="2140"/>
        <v>-1</v>
      </c>
    </row>
    <row r="5111" spans="1:19" hidden="1" x14ac:dyDescent="0.25">
      <c r="A5111" s="5" t="str">
        <f t="shared" si="2141"/>
        <v>44126GBP/USD</v>
      </c>
      <c r="B5111" s="6" t="s">
        <v>177</v>
      </c>
      <c r="C5111" s="6">
        <v>1.29</v>
      </c>
      <c r="D5111" s="6">
        <v>1.31</v>
      </c>
      <c r="E5111" s="6">
        <v>1.31</v>
      </c>
      <c r="F5111" t="str">
        <f t="shared" si="2153"/>
        <v>THU</v>
      </c>
      <c r="G5111" s="3">
        <f t="shared" si="2154"/>
        <v>44126</v>
      </c>
      <c r="H5111" s="2">
        <f t="shared" ca="1" si="2155"/>
        <v>127</v>
      </c>
      <c r="I5111" t="str">
        <f t="shared" si="2156"/>
        <v>GBP/USD</v>
      </c>
      <c r="J5111">
        <f t="shared" si="2157"/>
        <v>1.29</v>
      </c>
      <c r="K5111">
        <f t="shared" si="2158"/>
        <v>1.31</v>
      </c>
      <c r="L5111">
        <f t="shared" si="2159"/>
        <v>1.3</v>
      </c>
      <c r="M5111">
        <f t="shared" si="2160"/>
        <v>1.0000000000000009E-2</v>
      </c>
      <c r="N5111">
        <f t="shared" si="2138"/>
        <v>2.0000000000000018E-2</v>
      </c>
      <c r="O5111">
        <f t="shared" si="2161"/>
        <v>1.31</v>
      </c>
      <c r="P5111">
        <f t="shared" si="2162"/>
        <v>1</v>
      </c>
      <c r="Q5111" t="str">
        <f t="shared" si="2139"/>
        <v>1.53% | 0%</v>
      </c>
      <c r="R5111" t="str">
        <f t="shared" si="2163"/>
        <v>BULLISH</v>
      </c>
      <c r="S5111">
        <f t="shared" si="2140"/>
        <v>1</v>
      </c>
    </row>
    <row r="5112" spans="1:19" hidden="1" x14ac:dyDescent="0.25">
      <c r="A5112" s="5" t="str">
        <f t="shared" si="2141"/>
        <v>44126USD/CHF</v>
      </c>
      <c r="B5112" s="6" t="s">
        <v>178</v>
      </c>
      <c r="C5112" s="6">
        <v>0.89</v>
      </c>
      <c r="D5112" s="6">
        <v>0.92</v>
      </c>
      <c r="E5112" s="6">
        <v>0.9</v>
      </c>
      <c r="F5112" t="str">
        <f t="shared" si="2153"/>
        <v>THU</v>
      </c>
      <c r="G5112" s="3">
        <f t="shared" si="2154"/>
        <v>44126</v>
      </c>
      <c r="H5112" s="2">
        <f t="shared" ca="1" si="2155"/>
        <v>127</v>
      </c>
      <c r="I5112" t="str">
        <f t="shared" si="2156"/>
        <v>USD/CHF</v>
      </c>
      <c r="J5112">
        <f t="shared" si="2157"/>
        <v>0.89</v>
      </c>
      <c r="K5112">
        <f t="shared" si="2158"/>
        <v>0.92</v>
      </c>
      <c r="L5112">
        <f t="shared" si="2159"/>
        <v>0.90500000000000003</v>
      </c>
      <c r="M5112">
        <f t="shared" si="2160"/>
        <v>1.5000000000000013E-2</v>
      </c>
      <c r="N5112">
        <f t="shared" si="2138"/>
        <v>3.0000000000000027E-2</v>
      </c>
      <c r="O5112">
        <f t="shared" si="2161"/>
        <v>0.9</v>
      </c>
      <c r="P5112">
        <f t="shared" si="2162"/>
        <v>-0.33333333333333331</v>
      </c>
      <c r="Q5112" t="str">
        <f t="shared" si="2139"/>
        <v>1.11% | 2.22%</v>
      </c>
      <c r="R5112" t="str">
        <f t="shared" si="2163"/>
        <v>BEARISH</v>
      </c>
      <c r="S5112">
        <f t="shared" si="2140"/>
        <v>-1</v>
      </c>
    </row>
    <row r="5113" spans="1:19" hidden="1" x14ac:dyDescent="0.25">
      <c r="A5113" s="5" t="str">
        <f t="shared" si="2141"/>
        <v>44126WTIC</v>
      </c>
      <c r="B5113" s="6" t="s">
        <v>215</v>
      </c>
      <c r="C5113" s="6">
        <v>39.270000000000003</v>
      </c>
      <c r="D5113" s="6">
        <v>42.15</v>
      </c>
      <c r="E5113" s="6">
        <v>40.03</v>
      </c>
      <c r="F5113" t="str">
        <f t="shared" si="2153"/>
        <v>THU</v>
      </c>
      <c r="G5113" s="3">
        <f t="shared" si="2154"/>
        <v>44126</v>
      </c>
      <c r="H5113" s="2">
        <f t="shared" ca="1" si="2155"/>
        <v>127</v>
      </c>
      <c r="I5113" t="str">
        <f t="shared" si="2156"/>
        <v>WTIC</v>
      </c>
      <c r="J5113">
        <f t="shared" si="2157"/>
        <v>39.270000000000003</v>
      </c>
      <c r="K5113">
        <f t="shared" si="2158"/>
        <v>42.15</v>
      </c>
      <c r="L5113">
        <f t="shared" si="2159"/>
        <v>40.71</v>
      </c>
      <c r="M5113">
        <f t="shared" si="2160"/>
        <v>1.4399999999999977</v>
      </c>
      <c r="N5113">
        <f t="shared" si="2138"/>
        <v>2.8799999999999955</v>
      </c>
      <c r="O5113">
        <f t="shared" si="2161"/>
        <v>40.03</v>
      </c>
      <c r="P5113">
        <f t="shared" si="2162"/>
        <v>-0.47222222222222276</v>
      </c>
      <c r="Q5113" t="str">
        <f t="shared" si="2139"/>
        <v>1.9% | 5.3%</v>
      </c>
      <c r="R5113" t="str">
        <f t="shared" si="2163"/>
        <v>BEARISH</v>
      </c>
      <c r="S5113">
        <f t="shared" si="2140"/>
        <v>-1</v>
      </c>
    </row>
    <row r="5114" spans="1:19" hidden="1" x14ac:dyDescent="0.25">
      <c r="A5114" s="5" t="str">
        <f t="shared" si="2141"/>
        <v>44126NATGAS</v>
      </c>
      <c r="B5114" s="6" t="s">
        <v>180</v>
      </c>
      <c r="C5114" s="6">
        <v>2.6</v>
      </c>
      <c r="D5114" s="6">
        <v>3.04</v>
      </c>
      <c r="E5114" s="6">
        <v>3.02</v>
      </c>
      <c r="F5114" t="str">
        <f t="shared" si="2153"/>
        <v>THU</v>
      </c>
      <c r="G5114" s="3">
        <f t="shared" si="2154"/>
        <v>44126</v>
      </c>
      <c r="H5114" s="2">
        <f t="shared" ca="1" si="2155"/>
        <v>127</v>
      </c>
      <c r="I5114" t="str">
        <f t="shared" si="2156"/>
        <v>NATGAS</v>
      </c>
      <c r="J5114">
        <f t="shared" si="2157"/>
        <v>2.6</v>
      </c>
      <c r="K5114">
        <f t="shared" si="2158"/>
        <v>3.04</v>
      </c>
      <c r="L5114">
        <f t="shared" si="2159"/>
        <v>2.8200000000000003</v>
      </c>
      <c r="M5114">
        <f t="shared" si="2160"/>
        <v>0.21999999999999997</v>
      </c>
      <c r="N5114">
        <f t="shared" si="2138"/>
        <v>0.43999999999999995</v>
      </c>
      <c r="O5114">
        <f t="shared" si="2161"/>
        <v>3.02</v>
      </c>
      <c r="P5114">
        <f t="shared" si="2162"/>
        <v>0.90909090909090795</v>
      </c>
      <c r="Q5114" t="str">
        <f t="shared" si="2139"/>
        <v>13.91% | 0.66%</v>
      </c>
      <c r="R5114" t="str">
        <f t="shared" si="2163"/>
        <v>BULLISH</v>
      </c>
      <c r="S5114">
        <f t="shared" si="2140"/>
        <v>1</v>
      </c>
    </row>
    <row r="5115" spans="1:19" hidden="1" x14ac:dyDescent="0.25">
      <c r="A5115" s="5" t="str">
        <f t="shared" si="2141"/>
        <v>44126GOLD</v>
      </c>
      <c r="B5115" s="6" t="s">
        <v>181</v>
      </c>
      <c r="C5115" s="6">
        <v>1886</v>
      </c>
      <c r="D5115" s="6">
        <v>1937</v>
      </c>
      <c r="E5115" s="6">
        <v>1929</v>
      </c>
      <c r="F5115" t="str">
        <f t="shared" si="2153"/>
        <v>THU</v>
      </c>
      <c r="G5115" s="3">
        <f t="shared" si="2154"/>
        <v>44126</v>
      </c>
      <c r="H5115" s="2">
        <f t="shared" ca="1" si="2155"/>
        <v>127</v>
      </c>
      <c r="I5115" t="str">
        <f t="shared" si="2156"/>
        <v>GOLD</v>
      </c>
      <c r="J5115">
        <f t="shared" si="2157"/>
        <v>1886</v>
      </c>
      <c r="K5115">
        <f t="shared" si="2158"/>
        <v>1937</v>
      </c>
      <c r="L5115">
        <f t="shared" si="2159"/>
        <v>1911.5</v>
      </c>
      <c r="M5115">
        <f t="shared" si="2160"/>
        <v>25.5</v>
      </c>
      <c r="N5115">
        <f t="shared" si="2138"/>
        <v>51</v>
      </c>
      <c r="O5115">
        <f t="shared" si="2161"/>
        <v>1929</v>
      </c>
      <c r="P5115">
        <f t="shared" si="2162"/>
        <v>0.68627450980392157</v>
      </c>
      <c r="Q5115" t="str">
        <f t="shared" si="2139"/>
        <v>2.23% | 0.41%</v>
      </c>
      <c r="R5115" t="str">
        <f t="shared" si="2163"/>
        <v>BULLISH</v>
      </c>
      <c r="S5115">
        <f t="shared" si="2140"/>
        <v>1</v>
      </c>
    </row>
    <row r="5116" spans="1:19" hidden="1" x14ac:dyDescent="0.25">
      <c r="A5116" s="5" t="str">
        <f t="shared" si="2141"/>
        <v>44126SILVER</v>
      </c>
      <c r="B5116" s="6" t="s">
        <v>199</v>
      </c>
      <c r="C5116" s="6">
        <v>23.78</v>
      </c>
      <c r="D5116" s="6">
        <v>25.66</v>
      </c>
      <c r="E5116" s="6">
        <v>25.24</v>
      </c>
      <c r="F5116" t="str">
        <f t="shared" si="2153"/>
        <v>THU</v>
      </c>
      <c r="G5116" s="3">
        <f t="shared" si="2154"/>
        <v>44126</v>
      </c>
      <c r="H5116" s="2">
        <f t="shared" ca="1" si="2155"/>
        <v>127</v>
      </c>
      <c r="I5116" t="str">
        <f t="shared" si="2156"/>
        <v>SILVER</v>
      </c>
      <c r="J5116">
        <f t="shared" si="2157"/>
        <v>23.78</v>
      </c>
      <c r="K5116">
        <f t="shared" si="2158"/>
        <v>25.66</v>
      </c>
      <c r="L5116">
        <f t="shared" si="2159"/>
        <v>24.72</v>
      </c>
      <c r="M5116">
        <f t="shared" si="2160"/>
        <v>0.9399999999999995</v>
      </c>
      <c r="N5116">
        <f t="shared" si="2138"/>
        <v>1.879999999999999</v>
      </c>
      <c r="O5116">
        <f t="shared" si="2161"/>
        <v>25.24</v>
      </c>
      <c r="P5116">
        <f t="shared" si="2162"/>
        <v>0.55319148936170193</v>
      </c>
      <c r="Q5116" t="str">
        <f t="shared" si="2139"/>
        <v>5.78% | 1.66%</v>
      </c>
      <c r="R5116" t="str">
        <f t="shared" si="2163"/>
        <v>BULLISH</v>
      </c>
      <c r="S5116">
        <f t="shared" si="2140"/>
        <v>1</v>
      </c>
    </row>
    <row r="5117" spans="1:19" hidden="1" x14ac:dyDescent="0.25">
      <c r="A5117" s="5" t="str">
        <f t="shared" si="2141"/>
        <v>44126COPPER</v>
      </c>
      <c r="B5117" s="6" t="s">
        <v>182</v>
      </c>
      <c r="C5117" s="6">
        <v>3.05</v>
      </c>
      <c r="D5117" s="6">
        <v>3.21</v>
      </c>
      <c r="E5117" s="6">
        <v>3.2</v>
      </c>
      <c r="F5117" t="str">
        <f t="shared" si="2153"/>
        <v>THU</v>
      </c>
      <c r="G5117" s="3">
        <f t="shared" si="2154"/>
        <v>44126</v>
      </c>
      <c r="H5117" s="2">
        <f t="shared" ca="1" si="2155"/>
        <v>127</v>
      </c>
      <c r="I5117" t="str">
        <f t="shared" si="2156"/>
        <v>COPPER</v>
      </c>
      <c r="J5117">
        <f t="shared" si="2157"/>
        <v>3.05</v>
      </c>
      <c r="K5117">
        <f t="shared" si="2158"/>
        <v>3.21</v>
      </c>
      <c r="L5117">
        <f t="shared" si="2159"/>
        <v>3.13</v>
      </c>
      <c r="M5117">
        <f t="shared" si="2160"/>
        <v>8.0000000000000071E-2</v>
      </c>
      <c r="N5117">
        <f t="shared" si="2138"/>
        <v>0.16000000000000014</v>
      </c>
      <c r="O5117">
        <f t="shared" si="2161"/>
        <v>3.2</v>
      </c>
      <c r="P5117">
        <f t="shared" si="2162"/>
        <v>0.87500000000000278</v>
      </c>
      <c r="Q5117" t="str">
        <f t="shared" si="2139"/>
        <v>4.69% | 0.31%</v>
      </c>
      <c r="R5117" t="str">
        <f t="shared" si="2163"/>
        <v>BULLISH</v>
      </c>
      <c r="S5117">
        <f t="shared" si="2140"/>
        <v>1</v>
      </c>
    </row>
    <row r="5118" spans="1:19" hidden="1" x14ac:dyDescent="0.25">
      <c r="A5118" s="5" t="str">
        <f t="shared" si="2141"/>
        <v>44126MSFT</v>
      </c>
      <c r="B5118" s="6" t="s">
        <v>183</v>
      </c>
      <c r="C5118" s="6">
        <v>210</v>
      </c>
      <c r="D5118" s="6">
        <v>226</v>
      </c>
      <c r="E5118" s="6">
        <v>214</v>
      </c>
      <c r="F5118" t="str">
        <f t="shared" si="2153"/>
        <v>THU</v>
      </c>
      <c r="G5118" s="3">
        <f t="shared" si="2154"/>
        <v>44126</v>
      </c>
      <c r="H5118" s="2">
        <f t="shared" ca="1" si="2155"/>
        <v>127</v>
      </c>
      <c r="I5118" t="str">
        <f t="shared" si="2156"/>
        <v>MSFT</v>
      </c>
      <c r="J5118">
        <f t="shared" si="2157"/>
        <v>210</v>
      </c>
      <c r="K5118">
        <f t="shared" si="2158"/>
        <v>226</v>
      </c>
      <c r="L5118">
        <f t="shared" si="2159"/>
        <v>218</v>
      </c>
      <c r="M5118">
        <f t="shared" si="2160"/>
        <v>8</v>
      </c>
      <c r="N5118">
        <f t="shared" si="2138"/>
        <v>16</v>
      </c>
      <c r="O5118">
        <f t="shared" si="2161"/>
        <v>214</v>
      </c>
      <c r="P5118">
        <f t="shared" si="2162"/>
        <v>-0.5</v>
      </c>
      <c r="Q5118" t="str">
        <f t="shared" si="2139"/>
        <v>1.87% | 5.61%</v>
      </c>
      <c r="R5118" t="str">
        <f t="shared" si="2163"/>
        <v>BULLISH</v>
      </c>
      <c r="S5118">
        <f t="shared" si="2140"/>
        <v>1</v>
      </c>
    </row>
    <row r="5119" spans="1:19" hidden="1" x14ac:dyDescent="0.25">
      <c r="A5119" s="5" t="str">
        <f t="shared" si="2141"/>
        <v>44126AAPL</v>
      </c>
      <c r="B5119" s="6" t="s">
        <v>184</v>
      </c>
      <c r="C5119" s="6">
        <v>113</v>
      </c>
      <c r="D5119" s="6">
        <v>125</v>
      </c>
      <c r="E5119" s="6">
        <v>116</v>
      </c>
      <c r="F5119" t="str">
        <f t="shared" si="2153"/>
        <v>THU</v>
      </c>
      <c r="G5119" s="3">
        <f t="shared" si="2154"/>
        <v>44126</v>
      </c>
      <c r="H5119" s="2">
        <f t="shared" ca="1" si="2155"/>
        <v>127</v>
      </c>
      <c r="I5119" t="str">
        <f t="shared" si="2156"/>
        <v>AAPL</v>
      </c>
      <c r="J5119">
        <f t="shared" si="2157"/>
        <v>113</v>
      </c>
      <c r="K5119">
        <f t="shared" si="2158"/>
        <v>125</v>
      </c>
      <c r="L5119">
        <f t="shared" si="2159"/>
        <v>119</v>
      </c>
      <c r="M5119">
        <f t="shared" si="2160"/>
        <v>6</v>
      </c>
      <c r="N5119">
        <f t="shared" si="2138"/>
        <v>12</v>
      </c>
      <c r="O5119">
        <f t="shared" si="2161"/>
        <v>116</v>
      </c>
      <c r="P5119">
        <f t="shared" si="2162"/>
        <v>-0.5</v>
      </c>
      <c r="Q5119" t="str">
        <f t="shared" si="2139"/>
        <v>2.59% | 7.76%</v>
      </c>
      <c r="R5119" t="str">
        <f t="shared" si="2163"/>
        <v>BULLISH</v>
      </c>
      <c r="S5119">
        <f t="shared" si="2140"/>
        <v>1</v>
      </c>
    </row>
    <row r="5120" spans="1:19" hidden="1" x14ac:dyDescent="0.25">
      <c r="A5120" s="5" t="str">
        <f t="shared" si="2141"/>
        <v>44126AMZN</v>
      </c>
      <c r="B5120" s="6" t="s">
        <v>185</v>
      </c>
      <c r="C5120" s="6">
        <v>3119</v>
      </c>
      <c r="D5120" s="6">
        <v>3491</v>
      </c>
      <c r="E5120" s="6">
        <v>3184</v>
      </c>
      <c r="F5120" t="str">
        <f t="shared" si="2153"/>
        <v>THU</v>
      </c>
      <c r="G5120" s="3">
        <f t="shared" si="2154"/>
        <v>44126</v>
      </c>
      <c r="H5120" s="2">
        <f t="shared" ca="1" si="2155"/>
        <v>127</v>
      </c>
      <c r="I5120" t="str">
        <f t="shared" si="2156"/>
        <v>AMZN</v>
      </c>
      <c r="J5120">
        <f t="shared" si="2157"/>
        <v>3119</v>
      </c>
      <c r="K5120">
        <f t="shared" si="2158"/>
        <v>3491</v>
      </c>
      <c r="L5120">
        <f t="shared" si="2159"/>
        <v>3305</v>
      </c>
      <c r="M5120">
        <f t="shared" si="2160"/>
        <v>186</v>
      </c>
      <c r="N5120">
        <f t="shared" si="2138"/>
        <v>372</v>
      </c>
      <c r="O5120">
        <f t="shared" si="2161"/>
        <v>3184</v>
      </c>
      <c r="P5120">
        <f t="shared" si="2162"/>
        <v>-0.65053763440860213</v>
      </c>
      <c r="Q5120" t="str">
        <f t="shared" si="2139"/>
        <v>2.04% | 9.64%</v>
      </c>
      <c r="R5120" t="str">
        <f t="shared" si="2163"/>
        <v>BULLISH</v>
      </c>
      <c r="S5120">
        <f t="shared" si="2140"/>
        <v>1</v>
      </c>
    </row>
    <row r="5121" spans="1:19" hidden="1" x14ac:dyDescent="0.25">
      <c r="A5121" s="5" t="str">
        <f t="shared" si="2141"/>
        <v>44126FB</v>
      </c>
      <c r="B5121" s="6" t="s">
        <v>186</v>
      </c>
      <c r="C5121" s="6">
        <v>259</v>
      </c>
      <c r="D5121" s="6">
        <v>285</v>
      </c>
      <c r="E5121" s="6">
        <v>278</v>
      </c>
      <c r="F5121" t="str">
        <f t="shared" si="2153"/>
        <v>THU</v>
      </c>
      <c r="G5121" s="3">
        <f t="shared" si="2154"/>
        <v>44126</v>
      </c>
      <c r="H5121" s="2">
        <f t="shared" ca="1" si="2155"/>
        <v>127</v>
      </c>
      <c r="I5121" t="str">
        <f t="shared" si="2156"/>
        <v>FB</v>
      </c>
      <c r="J5121">
        <f t="shared" si="2157"/>
        <v>259</v>
      </c>
      <c r="K5121">
        <f t="shared" si="2158"/>
        <v>285</v>
      </c>
      <c r="L5121">
        <f t="shared" si="2159"/>
        <v>272</v>
      </c>
      <c r="M5121">
        <f t="shared" si="2160"/>
        <v>13</v>
      </c>
      <c r="N5121">
        <f t="shared" si="2138"/>
        <v>26</v>
      </c>
      <c r="O5121">
        <f t="shared" si="2161"/>
        <v>278</v>
      </c>
      <c r="P5121">
        <f t="shared" si="2162"/>
        <v>0.46153846153846156</v>
      </c>
      <c r="Q5121" t="str">
        <f t="shared" si="2139"/>
        <v>6.83% | 2.52%</v>
      </c>
      <c r="R5121" t="str">
        <f t="shared" si="2163"/>
        <v>BULLISH</v>
      </c>
      <c r="S5121">
        <f t="shared" si="2140"/>
        <v>1</v>
      </c>
    </row>
    <row r="5122" spans="1:19" hidden="1" x14ac:dyDescent="0.25">
      <c r="A5122" s="5" t="str">
        <f t="shared" si="2141"/>
        <v>44126GOOGL</v>
      </c>
      <c r="B5122" s="6" t="s">
        <v>187</v>
      </c>
      <c r="C5122" s="6">
        <v>1502</v>
      </c>
      <c r="D5122" s="6">
        <v>1610</v>
      </c>
      <c r="E5122" s="6">
        <v>1585</v>
      </c>
      <c r="F5122" t="str">
        <f t="shared" si="2153"/>
        <v>THU</v>
      </c>
      <c r="G5122" s="3">
        <f t="shared" si="2154"/>
        <v>44126</v>
      </c>
      <c r="H5122" s="2">
        <f t="shared" ca="1" si="2155"/>
        <v>127</v>
      </c>
      <c r="I5122" t="str">
        <f t="shared" si="2156"/>
        <v>GOOGL</v>
      </c>
      <c r="J5122">
        <f t="shared" si="2157"/>
        <v>1502</v>
      </c>
      <c r="K5122">
        <f t="shared" si="2158"/>
        <v>1610</v>
      </c>
      <c r="L5122">
        <f t="shared" si="2159"/>
        <v>1556</v>
      </c>
      <c r="M5122">
        <f t="shared" si="2160"/>
        <v>54</v>
      </c>
      <c r="N5122">
        <f t="shared" si="2138"/>
        <v>108</v>
      </c>
      <c r="O5122">
        <f t="shared" si="2161"/>
        <v>1585</v>
      </c>
      <c r="P5122">
        <f t="shared" si="2162"/>
        <v>0.53703703703703709</v>
      </c>
      <c r="Q5122" t="str">
        <f t="shared" si="2139"/>
        <v>5.24% | 1.58%</v>
      </c>
      <c r="R5122" t="str">
        <f t="shared" si="2163"/>
        <v>BULLISH</v>
      </c>
      <c r="S5122">
        <f t="shared" si="2140"/>
        <v>1</v>
      </c>
    </row>
    <row r="5123" spans="1:19" hidden="1" x14ac:dyDescent="0.25">
      <c r="A5123" s="5" t="str">
        <f t="shared" si="2141"/>
        <v>44126NFLX</v>
      </c>
      <c r="B5123" s="6" t="s">
        <v>213</v>
      </c>
      <c r="C5123" s="6">
        <v>478</v>
      </c>
      <c r="D5123" s="6">
        <v>515</v>
      </c>
      <c r="E5123" s="6">
        <v>489</v>
      </c>
      <c r="F5123" t="str">
        <f t="shared" si="2153"/>
        <v>THU</v>
      </c>
      <c r="G5123" s="3">
        <f t="shared" si="2154"/>
        <v>44126</v>
      </c>
      <c r="H5123" s="2">
        <f t="shared" ca="1" si="2155"/>
        <v>127</v>
      </c>
      <c r="I5123" t="str">
        <f t="shared" si="2156"/>
        <v>NFLX</v>
      </c>
      <c r="J5123">
        <f t="shared" si="2157"/>
        <v>478</v>
      </c>
      <c r="K5123">
        <f t="shared" si="2158"/>
        <v>515</v>
      </c>
      <c r="L5123">
        <f t="shared" si="2159"/>
        <v>496.5</v>
      </c>
      <c r="M5123">
        <f t="shared" si="2160"/>
        <v>18.5</v>
      </c>
      <c r="N5123">
        <f t="shared" ref="N5123:N5186" si="2164">ABS(K5123-J5123)</f>
        <v>37</v>
      </c>
      <c r="O5123">
        <f t="shared" si="2161"/>
        <v>489</v>
      </c>
      <c r="P5123">
        <f t="shared" si="2162"/>
        <v>-0.40540540540540543</v>
      </c>
      <c r="Q5123" t="str">
        <f t="shared" ref="Q5123:Q5186" si="2165">ROUND(ABS(100*(O5123-J5123)/O5123),2)&amp;"% | "&amp;ROUND(ABS(100*(K5123-O5123)/O5123),2)&amp;"%"</f>
        <v>2.25% | 5.32%</v>
      </c>
      <c r="R5123" t="str">
        <f t="shared" si="2163"/>
        <v>BEARISH</v>
      </c>
      <c r="S5123">
        <f t="shared" ref="S5123:S5186" si="2166">IF(R5123="BEARISH",-1,IF(R5123="NEUTRAL",0,IF(R5123="BULLISH",1,99)))</f>
        <v>-1</v>
      </c>
    </row>
    <row r="5124" spans="1:19" x14ac:dyDescent="0.25">
      <c r="A5124" s="5" t="str">
        <f t="shared" si="2141"/>
        <v>44126TSLA</v>
      </c>
      <c r="B5124" s="6" t="s">
        <v>209</v>
      </c>
      <c r="C5124" s="6">
        <v>412</v>
      </c>
      <c r="D5124" s="6">
        <v>466</v>
      </c>
      <c r="E5124" s="6">
        <v>422</v>
      </c>
      <c r="F5124" t="str">
        <f t="shared" si="2153"/>
        <v>THU</v>
      </c>
      <c r="G5124" s="3">
        <f t="shared" si="2154"/>
        <v>44126</v>
      </c>
      <c r="H5124" s="2">
        <f t="shared" ca="1" si="2155"/>
        <v>127</v>
      </c>
      <c r="I5124" t="str">
        <f t="shared" si="2156"/>
        <v>TSLA</v>
      </c>
      <c r="J5124">
        <f t="shared" si="2157"/>
        <v>412</v>
      </c>
      <c r="K5124">
        <f t="shared" si="2158"/>
        <v>466</v>
      </c>
      <c r="L5124">
        <f t="shared" si="2159"/>
        <v>439</v>
      </c>
      <c r="M5124">
        <f t="shared" si="2160"/>
        <v>27</v>
      </c>
      <c r="N5124">
        <f t="shared" si="2164"/>
        <v>54</v>
      </c>
      <c r="O5124">
        <f t="shared" si="2161"/>
        <v>422</v>
      </c>
      <c r="P5124">
        <f t="shared" si="2162"/>
        <v>-0.62962962962962965</v>
      </c>
      <c r="Q5124" t="str">
        <f t="shared" si="2165"/>
        <v>2.37% | 10.43%</v>
      </c>
      <c r="R5124" t="str">
        <f t="shared" si="2163"/>
        <v>NEUTRAL</v>
      </c>
      <c r="S5124">
        <f t="shared" si="2166"/>
        <v>0</v>
      </c>
    </row>
    <row r="5125" spans="1:19" hidden="1" x14ac:dyDescent="0.25">
      <c r="A5125" s="5" t="str">
        <f t="shared" si="2141"/>
        <v>44126NYXBT</v>
      </c>
      <c r="B5125" s="6" t="s">
        <v>190</v>
      </c>
      <c r="C5125" s="6">
        <v>11209</v>
      </c>
      <c r="D5125" s="6">
        <v>13010</v>
      </c>
      <c r="E5125" s="6">
        <v>12723</v>
      </c>
      <c r="F5125" t="str">
        <f t="shared" si="2153"/>
        <v>THU</v>
      </c>
      <c r="G5125" s="3">
        <f t="shared" si="2154"/>
        <v>44126</v>
      </c>
      <c r="H5125" s="2">
        <f t="shared" ca="1" si="2155"/>
        <v>127</v>
      </c>
      <c r="I5125" t="str">
        <f t="shared" si="2156"/>
        <v>NYXBT</v>
      </c>
      <c r="J5125">
        <f t="shared" si="2157"/>
        <v>11209</v>
      </c>
      <c r="K5125">
        <f t="shared" si="2158"/>
        <v>13010</v>
      </c>
      <c r="L5125">
        <f t="shared" si="2159"/>
        <v>12109.5</v>
      </c>
      <c r="M5125">
        <f t="shared" si="2160"/>
        <v>900.5</v>
      </c>
      <c r="N5125">
        <f t="shared" si="2164"/>
        <v>1801</v>
      </c>
      <c r="O5125">
        <f t="shared" si="2161"/>
        <v>12723</v>
      </c>
      <c r="P5125">
        <f t="shared" si="2162"/>
        <v>0.68128817323709046</v>
      </c>
      <c r="Q5125" t="str">
        <f t="shared" si="2165"/>
        <v>11.9% | 2.26%</v>
      </c>
      <c r="R5125" t="str">
        <f t="shared" si="2163"/>
        <v>BULLISH</v>
      </c>
      <c r="S5125">
        <f t="shared" si="2166"/>
        <v>1</v>
      </c>
    </row>
    <row r="5126" spans="1:19" hidden="1" x14ac:dyDescent="0.25">
      <c r="A5126" s="5" t="str">
        <f t="shared" si="2141"/>
        <v>44127UST10Y</v>
      </c>
      <c r="B5126" s="6" t="s">
        <v>161</v>
      </c>
      <c r="C5126" s="6">
        <v>0.88</v>
      </c>
      <c r="D5126" s="6">
        <v>0.7</v>
      </c>
      <c r="E5126" s="6">
        <v>0.87</v>
      </c>
      <c r="F5126" t="str">
        <f t="shared" si="2153"/>
        <v>FRI</v>
      </c>
      <c r="G5126" s="1">
        <f>DATE(2020,10,23)</f>
        <v>44127</v>
      </c>
      <c r="H5126" s="2">
        <f t="shared" ca="1" si="2155"/>
        <v>126</v>
      </c>
      <c r="I5126" t="str">
        <f t="shared" si="2156"/>
        <v>UST10Y</v>
      </c>
      <c r="J5126">
        <f t="shared" si="2157"/>
        <v>0.88</v>
      </c>
      <c r="K5126">
        <f t="shared" si="2158"/>
        <v>0.7</v>
      </c>
      <c r="L5126">
        <f t="shared" si="2159"/>
        <v>0.79</v>
      </c>
      <c r="M5126">
        <f t="shared" si="2160"/>
        <v>8.9999999999999358E-2</v>
      </c>
      <c r="N5126">
        <f t="shared" si="2164"/>
        <v>0.18000000000000005</v>
      </c>
      <c r="O5126">
        <f t="shared" si="2161"/>
        <v>0.87</v>
      </c>
      <c r="P5126">
        <f t="shared" si="2162"/>
        <v>0.88888888888889483</v>
      </c>
      <c r="Q5126" t="str">
        <f t="shared" si="2165"/>
        <v>1.15% | 19.54%</v>
      </c>
      <c r="R5126" t="str">
        <f t="shared" si="2163"/>
        <v>BEARISH</v>
      </c>
      <c r="S5126">
        <f t="shared" si="2166"/>
        <v>-1</v>
      </c>
    </row>
    <row r="5127" spans="1:19" hidden="1" x14ac:dyDescent="0.25">
      <c r="A5127" s="5" t="str">
        <f t="shared" ref="A5127:A5190" si="2167">G5127&amp;I5127</f>
        <v>44127UST2Y</v>
      </c>
      <c r="B5127" s="6" t="s">
        <v>162</v>
      </c>
      <c r="C5127" s="6">
        <v>0.17</v>
      </c>
      <c r="D5127" s="6">
        <v>0.13</v>
      </c>
      <c r="E5127" s="6">
        <v>0.16</v>
      </c>
      <c r="F5127" t="str">
        <f t="shared" ref="F5127:F5157" si="2168">UPPER(TEXT(G5127,"ddd"))</f>
        <v>FRI</v>
      </c>
      <c r="G5127" s="1">
        <f t="shared" ref="G5127:G5156" si="2169">DATE(2020,10,23)</f>
        <v>44127</v>
      </c>
      <c r="H5127" s="2">
        <f t="shared" ref="H5127:H5157" ca="1" si="2170">TODAY()-G5127</f>
        <v>126</v>
      </c>
      <c r="I5127" t="str">
        <f t="shared" ref="I5127:I5157" si="2171">TRIM(LEFT(B5127,FIND(" ",B5127,1)))</f>
        <v>UST2Y</v>
      </c>
      <c r="J5127">
        <f t="shared" ref="J5127:J5157" si="2172">C5127</f>
        <v>0.17</v>
      </c>
      <c r="K5127">
        <f t="shared" ref="K5127:K5157" si="2173">D5127</f>
        <v>0.13</v>
      </c>
      <c r="L5127">
        <f t="shared" ref="L5127:L5157" si="2174">AVERAGE(J5127:K5127)</f>
        <v>0.15000000000000002</v>
      </c>
      <c r="M5127">
        <f t="shared" ref="M5127:M5157" si="2175">_xlfn.STDEV.P(J5127:K5127)</f>
        <v>1.9999999999999938E-2</v>
      </c>
      <c r="N5127">
        <f t="shared" si="2164"/>
        <v>4.0000000000000008E-2</v>
      </c>
      <c r="O5127">
        <f t="shared" ref="O5127:O5157" si="2176">E5127</f>
        <v>0.16</v>
      </c>
      <c r="P5127">
        <f t="shared" ref="P5127:P5157" si="2177">(O5127-L5127)/M5127</f>
        <v>0.50000000000000056</v>
      </c>
      <c r="Q5127" t="str">
        <f t="shared" si="2165"/>
        <v>6.25% | 18.75%</v>
      </c>
      <c r="R5127" t="str">
        <f t="shared" ref="R5127:R5157" si="2178">MID(B5127,FIND("(",B5127,1)+1,FIND(")",B5127,1)-FIND("(",B5127,1)-1)</f>
        <v>BEARISH</v>
      </c>
      <c r="S5127">
        <f t="shared" si="2166"/>
        <v>-1</v>
      </c>
    </row>
    <row r="5128" spans="1:19" hidden="1" x14ac:dyDescent="0.25">
      <c r="A5128" s="5" t="str">
        <f t="shared" si="2167"/>
        <v>44127SPX</v>
      </c>
      <c r="B5128" s="6" t="s">
        <v>163</v>
      </c>
      <c r="C5128" s="6">
        <v>3404</v>
      </c>
      <c r="D5128" s="6">
        <v>3543</v>
      </c>
      <c r="E5128" s="6">
        <v>3453</v>
      </c>
      <c r="F5128" t="str">
        <f t="shared" si="2168"/>
        <v>FRI</v>
      </c>
      <c r="G5128" s="1">
        <f t="shared" si="2169"/>
        <v>44127</v>
      </c>
      <c r="H5128" s="2">
        <f t="shared" ca="1" si="2170"/>
        <v>126</v>
      </c>
      <c r="I5128" t="str">
        <f t="shared" si="2171"/>
        <v>SPX</v>
      </c>
      <c r="J5128">
        <f t="shared" si="2172"/>
        <v>3404</v>
      </c>
      <c r="K5128">
        <f t="shared" si="2173"/>
        <v>3543</v>
      </c>
      <c r="L5128">
        <f t="shared" si="2174"/>
        <v>3473.5</v>
      </c>
      <c r="M5128">
        <f t="shared" si="2175"/>
        <v>69.5</v>
      </c>
      <c r="N5128">
        <f t="shared" si="2164"/>
        <v>139</v>
      </c>
      <c r="O5128">
        <f t="shared" si="2176"/>
        <v>3453</v>
      </c>
      <c r="P5128">
        <f t="shared" si="2177"/>
        <v>-0.29496402877697842</v>
      </c>
      <c r="Q5128" t="str">
        <f t="shared" si="2165"/>
        <v>1.42% | 2.61%</v>
      </c>
      <c r="R5128" t="str">
        <f t="shared" si="2178"/>
        <v>NEUTRAL</v>
      </c>
      <c r="S5128">
        <f t="shared" si="2166"/>
        <v>0</v>
      </c>
    </row>
    <row r="5129" spans="1:19" hidden="1" x14ac:dyDescent="0.25">
      <c r="A5129" s="5" t="str">
        <f t="shared" si="2167"/>
        <v>44127RUT</v>
      </c>
      <c r="B5129" s="6" t="s">
        <v>242</v>
      </c>
      <c r="C5129" s="6">
        <v>1599</v>
      </c>
      <c r="D5129" s="6">
        <v>1654</v>
      </c>
      <c r="E5129" s="6">
        <v>1630</v>
      </c>
      <c r="F5129" t="str">
        <f t="shared" si="2168"/>
        <v>FRI</v>
      </c>
      <c r="G5129" s="1">
        <f t="shared" si="2169"/>
        <v>44127</v>
      </c>
      <c r="H5129" s="2">
        <f t="shared" ca="1" si="2170"/>
        <v>126</v>
      </c>
      <c r="I5129" t="str">
        <f t="shared" si="2171"/>
        <v>RUT</v>
      </c>
      <c r="J5129">
        <f t="shared" si="2172"/>
        <v>1599</v>
      </c>
      <c r="K5129">
        <f t="shared" si="2173"/>
        <v>1654</v>
      </c>
      <c r="L5129">
        <f t="shared" si="2174"/>
        <v>1626.5</v>
      </c>
      <c r="M5129">
        <f t="shared" si="2175"/>
        <v>27.5</v>
      </c>
      <c r="N5129">
        <f t="shared" si="2164"/>
        <v>55</v>
      </c>
      <c r="O5129">
        <f t="shared" si="2176"/>
        <v>1630</v>
      </c>
      <c r="P5129">
        <f t="shared" si="2177"/>
        <v>0.12727272727272726</v>
      </c>
      <c r="Q5129" t="str">
        <f t="shared" si="2165"/>
        <v>1.9% | 1.47%</v>
      </c>
      <c r="R5129" t="str">
        <f t="shared" si="2178"/>
        <v>NEUTRAL</v>
      </c>
      <c r="S5129">
        <f t="shared" si="2166"/>
        <v>0</v>
      </c>
    </row>
    <row r="5130" spans="1:19" hidden="1" x14ac:dyDescent="0.25">
      <c r="A5130" s="5" t="str">
        <f t="shared" si="2167"/>
        <v>44127COMPQ</v>
      </c>
      <c r="B5130" s="6" t="s">
        <v>212</v>
      </c>
      <c r="C5130" s="6">
        <v>11317</v>
      </c>
      <c r="D5130" s="6">
        <v>11961</v>
      </c>
      <c r="E5130" s="6">
        <v>11506</v>
      </c>
      <c r="F5130" t="str">
        <f t="shared" si="2168"/>
        <v>FRI</v>
      </c>
      <c r="G5130" s="1">
        <f t="shared" si="2169"/>
        <v>44127</v>
      </c>
      <c r="H5130" s="2">
        <f t="shared" ca="1" si="2170"/>
        <v>126</v>
      </c>
      <c r="I5130" t="str">
        <f t="shared" si="2171"/>
        <v>COMPQ</v>
      </c>
      <c r="J5130">
        <f t="shared" si="2172"/>
        <v>11317</v>
      </c>
      <c r="K5130">
        <f t="shared" si="2173"/>
        <v>11961</v>
      </c>
      <c r="L5130">
        <f t="shared" si="2174"/>
        <v>11639</v>
      </c>
      <c r="M5130">
        <f t="shared" si="2175"/>
        <v>322</v>
      </c>
      <c r="N5130">
        <f t="shared" si="2164"/>
        <v>644</v>
      </c>
      <c r="O5130">
        <f t="shared" si="2176"/>
        <v>11506</v>
      </c>
      <c r="P5130">
        <f t="shared" si="2177"/>
        <v>-0.41304347826086957</v>
      </c>
      <c r="Q5130" t="str">
        <f t="shared" si="2165"/>
        <v>1.64% | 3.95%</v>
      </c>
      <c r="R5130" t="str">
        <f t="shared" si="2178"/>
        <v>NEUTRAL</v>
      </c>
      <c r="S5130">
        <f t="shared" si="2166"/>
        <v>0</v>
      </c>
    </row>
    <row r="5131" spans="1:19" hidden="1" x14ac:dyDescent="0.25">
      <c r="A5131" s="5" t="str">
        <f t="shared" si="2167"/>
        <v>44127XLK</v>
      </c>
      <c r="B5131" s="6" t="s">
        <v>166</v>
      </c>
      <c r="C5131" s="6">
        <v>117.03</v>
      </c>
      <c r="D5131" s="6">
        <v>124.25</v>
      </c>
      <c r="E5131" s="6">
        <v>118.57</v>
      </c>
      <c r="F5131" t="str">
        <f t="shared" si="2168"/>
        <v>FRI</v>
      </c>
      <c r="G5131" s="1">
        <f t="shared" si="2169"/>
        <v>44127</v>
      </c>
      <c r="H5131" s="2">
        <f t="shared" ca="1" si="2170"/>
        <v>126</v>
      </c>
      <c r="I5131" t="str">
        <f t="shared" si="2171"/>
        <v>XLK</v>
      </c>
      <c r="J5131">
        <f t="shared" si="2172"/>
        <v>117.03</v>
      </c>
      <c r="K5131">
        <f t="shared" si="2173"/>
        <v>124.25</v>
      </c>
      <c r="L5131">
        <f t="shared" si="2174"/>
        <v>120.64</v>
      </c>
      <c r="M5131">
        <f t="shared" si="2175"/>
        <v>3.6099999999999994</v>
      </c>
      <c r="N5131">
        <f t="shared" si="2164"/>
        <v>7.2199999999999989</v>
      </c>
      <c r="O5131">
        <f t="shared" si="2176"/>
        <v>118.57</v>
      </c>
      <c r="P5131">
        <f t="shared" si="2177"/>
        <v>-0.57340720221606867</v>
      </c>
      <c r="Q5131" t="str">
        <f t="shared" si="2165"/>
        <v>1.3% | 4.79%</v>
      </c>
      <c r="R5131" t="str">
        <f t="shared" si="2178"/>
        <v>BULLISH</v>
      </c>
      <c r="S5131">
        <f t="shared" si="2166"/>
        <v>1</v>
      </c>
    </row>
    <row r="5132" spans="1:19" hidden="1" x14ac:dyDescent="0.25">
      <c r="A5132" s="5" t="str">
        <f t="shared" si="2167"/>
        <v>44127XLRE</v>
      </c>
      <c r="B5132" s="6" t="s">
        <v>232</v>
      </c>
      <c r="C5132" s="6">
        <v>35</v>
      </c>
      <c r="D5132" s="6">
        <v>36.979999999999997</v>
      </c>
      <c r="E5132" s="6">
        <v>35.4</v>
      </c>
      <c r="F5132" t="str">
        <f t="shared" si="2168"/>
        <v>FRI</v>
      </c>
      <c r="G5132" s="1">
        <f t="shared" si="2169"/>
        <v>44127</v>
      </c>
      <c r="H5132" s="2">
        <f t="shared" ca="1" si="2170"/>
        <v>126</v>
      </c>
      <c r="I5132" t="str">
        <f t="shared" si="2171"/>
        <v>XLRE</v>
      </c>
      <c r="J5132">
        <f t="shared" si="2172"/>
        <v>35</v>
      </c>
      <c r="K5132">
        <f t="shared" si="2173"/>
        <v>36.979999999999997</v>
      </c>
      <c r="L5132">
        <f t="shared" si="2174"/>
        <v>35.989999999999995</v>
      </c>
      <c r="M5132">
        <f t="shared" si="2175"/>
        <v>0.98999999999999844</v>
      </c>
      <c r="N5132">
        <f t="shared" si="2164"/>
        <v>1.9799999999999969</v>
      </c>
      <c r="O5132">
        <f t="shared" si="2176"/>
        <v>35.4</v>
      </c>
      <c r="P5132">
        <f t="shared" si="2177"/>
        <v>-0.59595959595959314</v>
      </c>
      <c r="Q5132" t="str">
        <f t="shared" si="2165"/>
        <v>1.13% | 4.46%</v>
      </c>
      <c r="R5132" t="str">
        <f t="shared" si="2178"/>
        <v>NEUTRAL</v>
      </c>
      <c r="S5132">
        <f t="shared" si="2166"/>
        <v>0</v>
      </c>
    </row>
    <row r="5133" spans="1:19" hidden="1" x14ac:dyDescent="0.25">
      <c r="A5133" s="5" t="str">
        <f t="shared" si="2167"/>
        <v>44127XLU</v>
      </c>
      <c r="B5133" s="6" t="s">
        <v>168</v>
      </c>
      <c r="C5133" s="6">
        <v>62.95</v>
      </c>
      <c r="D5133" s="6">
        <v>64.88</v>
      </c>
      <c r="E5133" s="6">
        <v>64.569999999999993</v>
      </c>
      <c r="F5133" t="str">
        <f t="shared" si="2168"/>
        <v>FRI</v>
      </c>
      <c r="G5133" s="1">
        <f t="shared" si="2169"/>
        <v>44127</v>
      </c>
      <c r="H5133" s="2">
        <f t="shared" ca="1" si="2170"/>
        <v>126</v>
      </c>
      <c r="I5133" t="str">
        <f t="shared" si="2171"/>
        <v>XLU</v>
      </c>
      <c r="J5133">
        <f t="shared" si="2172"/>
        <v>62.95</v>
      </c>
      <c r="K5133">
        <f t="shared" si="2173"/>
        <v>64.88</v>
      </c>
      <c r="L5133">
        <f t="shared" si="2174"/>
        <v>63.914999999999999</v>
      </c>
      <c r="M5133">
        <f t="shared" si="2175"/>
        <v>0.96499999999999631</v>
      </c>
      <c r="N5133">
        <f t="shared" si="2164"/>
        <v>1.9299999999999926</v>
      </c>
      <c r="O5133">
        <f t="shared" si="2176"/>
        <v>64.569999999999993</v>
      </c>
      <c r="P5133">
        <f t="shared" si="2177"/>
        <v>0.67875647668393424</v>
      </c>
      <c r="Q5133" t="str">
        <f t="shared" si="2165"/>
        <v>2.51% | 0.48%</v>
      </c>
      <c r="R5133" t="str">
        <f t="shared" si="2178"/>
        <v>BULLISH</v>
      </c>
      <c r="S5133">
        <f t="shared" si="2166"/>
        <v>1</v>
      </c>
    </row>
    <row r="5134" spans="1:19" hidden="1" x14ac:dyDescent="0.25">
      <c r="A5134" s="5" t="str">
        <f t="shared" si="2167"/>
        <v>44127XLF</v>
      </c>
      <c r="B5134" s="6" t="s">
        <v>169</v>
      </c>
      <c r="C5134" s="6">
        <v>24.34</v>
      </c>
      <c r="D5134" s="6">
        <v>25.49</v>
      </c>
      <c r="E5134" s="6">
        <v>25.17</v>
      </c>
      <c r="F5134" t="str">
        <f t="shared" si="2168"/>
        <v>FRI</v>
      </c>
      <c r="G5134" s="1">
        <f t="shared" si="2169"/>
        <v>44127</v>
      </c>
      <c r="H5134" s="2">
        <f t="shared" ca="1" si="2170"/>
        <v>126</v>
      </c>
      <c r="I5134" t="str">
        <f t="shared" si="2171"/>
        <v>XLF</v>
      </c>
      <c r="J5134">
        <f t="shared" si="2172"/>
        <v>24.34</v>
      </c>
      <c r="K5134">
        <f t="shared" si="2173"/>
        <v>25.49</v>
      </c>
      <c r="L5134">
        <f t="shared" si="2174"/>
        <v>24.914999999999999</v>
      </c>
      <c r="M5134">
        <f t="shared" si="2175"/>
        <v>0.57499999999999929</v>
      </c>
      <c r="N5134">
        <f t="shared" si="2164"/>
        <v>1.1499999999999986</v>
      </c>
      <c r="O5134">
        <f t="shared" si="2176"/>
        <v>25.17</v>
      </c>
      <c r="P5134">
        <f t="shared" si="2177"/>
        <v>0.44347826086957021</v>
      </c>
      <c r="Q5134" t="str">
        <f t="shared" si="2165"/>
        <v>3.3% | 1.27%</v>
      </c>
      <c r="R5134" t="str">
        <f t="shared" si="2178"/>
        <v>BEARISH</v>
      </c>
      <c r="S5134">
        <f t="shared" si="2166"/>
        <v>-1</v>
      </c>
    </row>
    <row r="5135" spans="1:19" hidden="1" x14ac:dyDescent="0.25">
      <c r="A5135" s="5" t="str">
        <f t="shared" si="2167"/>
        <v>44127SSEC</v>
      </c>
      <c r="B5135" s="6" t="s">
        <v>170</v>
      </c>
      <c r="C5135" s="6">
        <v>3251</v>
      </c>
      <c r="D5135" s="6">
        <v>3376</v>
      </c>
      <c r="E5135" s="6">
        <v>3278</v>
      </c>
      <c r="F5135" t="str">
        <f t="shared" si="2168"/>
        <v>FRI</v>
      </c>
      <c r="G5135" s="1">
        <f t="shared" si="2169"/>
        <v>44127</v>
      </c>
      <c r="H5135" s="2">
        <f t="shared" ca="1" si="2170"/>
        <v>126</v>
      </c>
      <c r="I5135" t="str">
        <f t="shared" si="2171"/>
        <v>SSEC</v>
      </c>
      <c r="J5135">
        <f t="shared" si="2172"/>
        <v>3251</v>
      </c>
      <c r="K5135">
        <f t="shared" si="2173"/>
        <v>3376</v>
      </c>
      <c r="L5135">
        <f t="shared" si="2174"/>
        <v>3313.5</v>
      </c>
      <c r="M5135">
        <f t="shared" si="2175"/>
        <v>62.5</v>
      </c>
      <c r="N5135">
        <f t="shared" si="2164"/>
        <v>125</v>
      </c>
      <c r="O5135">
        <f t="shared" si="2176"/>
        <v>3278</v>
      </c>
      <c r="P5135">
        <f t="shared" si="2177"/>
        <v>-0.56799999999999995</v>
      </c>
      <c r="Q5135" t="str">
        <f t="shared" si="2165"/>
        <v>0.82% | 2.99%</v>
      </c>
      <c r="R5135" t="str">
        <f t="shared" si="2178"/>
        <v>BULLISH</v>
      </c>
      <c r="S5135">
        <f t="shared" si="2166"/>
        <v>1</v>
      </c>
    </row>
    <row r="5136" spans="1:19" hidden="1" x14ac:dyDescent="0.25">
      <c r="A5136" s="5" t="str">
        <f t="shared" si="2167"/>
        <v>44127NIKK</v>
      </c>
      <c r="B5136" s="6" t="s">
        <v>201</v>
      </c>
      <c r="C5136" s="6">
        <v>23401</v>
      </c>
      <c r="D5136" s="6">
        <v>23751</v>
      </c>
      <c r="E5136" s="6">
        <v>23516</v>
      </c>
      <c r="F5136" t="str">
        <f t="shared" si="2168"/>
        <v>FRI</v>
      </c>
      <c r="G5136" s="1">
        <f t="shared" si="2169"/>
        <v>44127</v>
      </c>
      <c r="H5136" s="2">
        <f t="shared" ca="1" si="2170"/>
        <v>126</v>
      </c>
      <c r="I5136" t="str">
        <f t="shared" si="2171"/>
        <v>NIKK</v>
      </c>
      <c r="J5136">
        <f t="shared" si="2172"/>
        <v>23401</v>
      </c>
      <c r="K5136">
        <f t="shared" si="2173"/>
        <v>23751</v>
      </c>
      <c r="L5136">
        <f t="shared" si="2174"/>
        <v>23576</v>
      </c>
      <c r="M5136">
        <f t="shared" si="2175"/>
        <v>175</v>
      </c>
      <c r="N5136">
        <f t="shared" si="2164"/>
        <v>350</v>
      </c>
      <c r="O5136">
        <f t="shared" si="2176"/>
        <v>23516</v>
      </c>
      <c r="P5136">
        <f t="shared" si="2177"/>
        <v>-0.34285714285714286</v>
      </c>
      <c r="Q5136" t="str">
        <f t="shared" si="2165"/>
        <v>0.49% | 1%</v>
      </c>
      <c r="R5136" t="str">
        <f t="shared" si="2178"/>
        <v>BULLISH</v>
      </c>
      <c r="S5136">
        <f t="shared" si="2166"/>
        <v>1</v>
      </c>
    </row>
    <row r="5137" spans="1:19" hidden="1" x14ac:dyDescent="0.25">
      <c r="A5137" s="5" t="str">
        <f t="shared" si="2167"/>
        <v>44127DAX</v>
      </c>
      <c r="B5137" s="6" t="s">
        <v>227</v>
      </c>
      <c r="C5137" s="6">
        <v>12403</v>
      </c>
      <c r="D5137" s="6">
        <v>12846</v>
      </c>
      <c r="E5137" s="6">
        <v>12543</v>
      </c>
      <c r="F5137" t="str">
        <f t="shared" si="2168"/>
        <v>FRI</v>
      </c>
      <c r="G5137" s="1">
        <f t="shared" si="2169"/>
        <v>44127</v>
      </c>
      <c r="H5137" s="2">
        <f t="shared" ca="1" si="2170"/>
        <v>126</v>
      </c>
      <c r="I5137" t="str">
        <f t="shared" si="2171"/>
        <v>DAX</v>
      </c>
      <c r="J5137">
        <f t="shared" si="2172"/>
        <v>12403</v>
      </c>
      <c r="K5137">
        <f t="shared" si="2173"/>
        <v>12846</v>
      </c>
      <c r="L5137">
        <f t="shared" si="2174"/>
        <v>12624.5</v>
      </c>
      <c r="M5137">
        <f t="shared" si="2175"/>
        <v>221.5</v>
      </c>
      <c r="N5137">
        <f t="shared" si="2164"/>
        <v>443</v>
      </c>
      <c r="O5137">
        <f t="shared" si="2176"/>
        <v>12543</v>
      </c>
      <c r="P5137">
        <f t="shared" si="2177"/>
        <v>-0.36794582392776526</v>
      </c>
      <c r="Q5137" t="str">
        <f t="shared" si="2165"/>
        <v>1.12% | 2.42%</v>
      </c>
      <c r="R5137" t="str">
        <f t="shared" si="2178"/>
        <v>BEARISH</v>
      </c>
      <c r="S5137">
        <f t="shared" si="2166"/>
        <v>-1</v>
      </c>
    </row>
    <row r="5138" spans="1:19" hidden="1" x14ac:dyDescent="0.25">
      <c r="A5138" s="5" t="str">
        <f t="shared" si="2167"/>
        <v>44127VIX</v>
      </c>
      <c r="B5138" s="6" t="s">
        <v>173</v>
      </c>
      <c r="C5138" s="6">
        <v>24.06</v>
      </c>
      <c r="D5138" s="6">
        <v>30.27</v>
      </c>
      <c r="E5138" s="6">
        <v>28.11</v>
      </c>
      <c r="F5138" t="str">
        <f t="shared" si="2168"/>
        <v>FRI</v>
      </c>
      <c r="G5138" s="1">
        <f t="shared" si="2169"/>
        <v>44127</v>
      </c>
      <c r="H5138" s="2">
        <f t="shared" ca="1" si="2170"/>
        <v>126</v>
      </c>
      <c r="I5138" t="str">
        <f t="shared" si="2171"/>
        <v>VIX</v>
      </c>
      <c r="J5138">
        <f t="shared" si="2172"/>
        <v>24.06</v>
      </c>
      <c r="K5138">
        <f t="shared" si="2173"/>
        <v>30.27</v>
      </c>
      <c r="L5138">
        <f t="shared" si="2174"/>
        <v>27.164999999999999</v>
      </c>
      <c r="M5138">
        <f t="shared" si="2175"/>
        <v>3.1050000000000022</v>
      </c>
      <c r="N5138">
        <f t="shared" si="2164"/>
        <v>6.2100000000000009</v>
      </c>
      <c r="O5138">
        <f t="shared" si="2176"/>
        <v>28.11</v>
      </c>
      <c r="P5138">
        <f t="shared" si="2177"/>
        <v>0.30434782608695637</v>
      </c>
      <c r="Q5138" t="str">
        <f t="shared" si="2165"/>
        <v>14.41% | 7.68%</v>
      </c>
      <c r="R5138" t="str">
        <f t="shared" si="2178"/>
        <v>NEUTRAL</v>
      </c>
      <c r="S5138">
        <f t="shared" si="2166"/>
        <v>0</v>
      </c>
    </row>
    <row r="5139" spans="1:19" hidden="1" x14ac:dyDescent="0.25">
      <c r="A5139" s="5" t="str">
        <f t="shared" si="2167"/>
        <v>44127USD</v>
      </c>
      <c r="B5139" s="6" t="s">
        <v>174</v>
      </c>
      <c r="C5139" s="6">
        <v>92.45</v>
      </c>
      <c r="D5139" s="6">
        <v>93.45</v>
      </c>
      <c r="E5139" s="6">
        <v>92.96</v>
      </c>
      <c r="F5139" t="str">
        <f t="shared" si="2168"/>
        <v>FRI</v>
      </c>
      <c r="G5139" s="1">
        <f t="shared" si="2169"/>
        <v>44127</v>
      </c>
      <c r="H5139" s="2">
        <f t="shared" ca="1" si="2170"/>
        <v>126</v>
      </c>
      <c r="I5139" t="str">
        <f t="shared" si="2171"/>
        <v>USD</v>
      </c>
      <c r="J5139">
        <f t="shared" si="2172"/>
        <v>92.45</v>
      </c>
      <c r="K5139">
        <f t="shared" si="2173"/>
        <v>93.45</v>
      </c>
      <c r="L5139">
        <f t="shared" si="2174"/>
        <v>92.95</v>
      </c>
      <c r="M5139">
        <f t="shared" si="2175"/>
        <v>0.5</v>
      </c>
      <c r="N5139">
        <f t="shared" si="2164"/>
        <v>1</v>
      </c>
      <c r="O5139">
        <f t="shared" si="2176"/>
        <v>92.96</v>
      </c>
      <c r="P5139">
        <f t="shared" si="2177"/>
        <v>1.999999999998181E-2</v>
      </c>
      <c r="Q5139" t="str">
        <f t="shared" si="2165"/>
        <v>0.55% | 0.53%</v>
      </c>
      <c r="R5139" t="str">
        <f t="shared" si="2178"/>
        <v>BEARISH</v>
      </c>
      <c r="S5139">
        <f t="shared" si="2166"/>
        <v>-1</v>
      </c>
    </row>
    <row r="5140" spans="1:19" hidden="1" x14ac:dyDescent="0.25">
      <c r="A5140" s="5" t="str">
        <f t="shared" si="2167"/>
        <v>44127EUR/USD</v>
      </c>
      <c r="B5140" s="6" t="s">
        <v>238</v>
      </c>
      <c r="C5140" s="6">
        <v>1.167</v>
      </c>
      <c r="D5140" s="6">
        <v>1.1890000000000001</v>
      </c>
      <c r="E5140" s="6">
        <v>1.1819999999999999</v>
      </c>
      <c r="F5140" t="str">
        <f t="shared" si="2168"/>
        <v>FRI</v>
      </c>
      <c r="G5140" s="1">
        <f t="shared" si="2169"/>
        <v>44127</v>
      </c>
      <c r="H5140" s="2">
        <f t="shared" ca="1" si="2170"/>
        <v>126</v>
      </c>
      <c r="I5140" t="str">
        <f t="shared" si="2171"/>
        <v>EUR/USD</v>
      </c>
      <c r="J5140">
        <f t="shared" si="2172"/>
        <v>1.167</v>
      </c>
      <c r="K5140">
        <f t="shared" si="2173"/>
        <v>1.1890000000000001</v>
      </c>
      <c r="L5140">
        <f t="shared" si="2174"/>
        <v>1.1779999999999999</v>
      </c>
      <c r="M5140">
        <f t="shared" si="2175"/>
        <v>1.100000000000001E-2</v>
      </c>
      <c r="N5140">
        <f t="shared" si="2164"/>
        <v>2.200000000000002E-2</v>
      </c>
      <c r="O5140">
        <f t="shared" si="2176"/>
        <v>1.1819999999999999</v>
      </c>
      <c r="P5140">
        <f t="shared" si="2177"/>
        <v>0.36363636363636365</v>
      </c>
      <c r="Q5140" t="str">
        <f t="shared" si="2165"/>
        <v>1.27% | 0.59%</v>
      </c>
      <c r="R5140" t="str">
        <f t="shared" si="2178"/>
        <v>NEUTRAL</v>
      </c>
      <c r="S5140">
        <f t="shared" si="2166"/>
        <v>0</v>
      </c>
    </row>
    <row r="5141" spans="1:19" hidden="1" x14ac:dyDescent="0.25">
      <c r="A5141" s="5" t="str">
        <f t="shared" si="2167"/>
        <v>44127USD/JPY</v>
      </c>
      <c r="B5141" s="6" t="s">
        <v>176</v>
      </c>
      <c r="C5141" s="6">
        <v>104.6</v>
      </c>
      <c r="D5141" s="6">
        <v>105.85</v>
      </c>
      <c r="E5141" s="6">
        <v>104.9</v>
      </c>
      <c r="F5141" t="str">
        <f t="shared" si="2168"/>
        <v>FRI</v>
      </c>
      <c r="G5141" s="1">
        <f t="shared" si="2169"/>
        <v>44127</v>
      </c>
      <c r="H5141" s="2">
        <f t="shared" ca="1" si="2170"/>
        <v>126</v>
      </c>
      <c r="I5141" t="str">
        <f t="shared" si="2171"/>
        <v>USD/JPY</v>
      </c>
      <c r="J5141">
        <f t="shared" si="2172"/>
        <v>104.6</v>
      </c>
      <c r="K5141">
        <f t="shared" si="2173"/>
        <v>105.85</v>
      </c>
      <c r="L5141">
        <f t="shared" si="2174"/>
        <v>105.22499999999999</v>
      </c>
      <c r="M5141">
        <f t="shared" si="2175"/>
        <v>0.625</v>
      </c>
      <c r="N5141">
        <f t="shared" si="2164"/>
        <v>1.25</v>
      </c>
      <c r="O5141">
        <f t="shared" si="2176"/>
        <v>104.9</v>
      </c>
      <c r="P5141">
        <f t="shared" si="2177"/>
        <v>-0.51999999999998181</v>
      </c>
      <c r="Q5141" t="str">
        <f t="shared" si="2165"/>
        <v>0.29% | 0.91%</v>
      </c>
      <c r="R5141" t="str">
        <f t="shared" si="2178"/>
        <v>BEARISH</v>
      </c>
      <c r="S5141">
        <f t="shared" si="2166"/>
        <v>-1</v>
      </c>
    </row>
    <row r="5142" spans="1:19" hidden="1" x14ac:dyDescent="0.25">
      <c r="A5142" s="5" t="str">
        <f t="shared" si="2167"/>
        <v>44127GBP/USD</v>
      </c>
      <c r="B5142" s="6" t="s">
        <v>177</v>
      </c>
      <c r="C5142" s="6">
        <v>1.29</v>
      </c>
      <c r="D5142" s="6">
        <v>1.31</v>
      </c>
      <c r="E5142" s="6">
        <v>1.3</v>
      </c>
      <c r="F5142" t="str">
        <f t="shared" si="2168"/>
        <v>FRI</v>
      </c>
      <c r="G5142" s="1">
        <f t="shared" si="2169"/>
        <v>44127</v>
      </c>
      <c r="H5142" s="2">
        <f t="shared" ca="1" si="2170"/>
        <v>126</v>
      </c>
      <c r="I5142" t="str">
        <f t="shared" si="2171"/>
        <v>GBP/USD</v>
      </c>
      <c r="J5142">
        <f t="shared" si="2172"/>
        <v>1.29</v>
      </c>
      <c r="K5142">
        <f t="shared" si="2173"/>
        <v>1.31</v>
      </c>
      <c r="L5142">
        <f t="shared" si="2174"/>
        <v>1.3</v>
      </c>
      <c r="M5142">
        <f t="shared" si="2175"/>
        <v>1.0000000000000009E-2</v>
      </c>
      <c r="N5142">
        <f t="shared" si="2164"/>
        <v>2.0000000000000018E-2</v>
      </c>
      <c r="O5142">
        <f t="shared" si="2176"/>
        <v>1.3</v>
      </c>
      <c r="P5142">
        <f t="shared" si="2177"/>
        <v>0</v>
      </c>
      <c r="Q5142" t="str">
        <f t="shared" si="2165"/>
        <v>0.77% | 0.77%</v>
      </c>
      <c r="R5142" t="str">
        <f t="shared" si="2178"/>
        <v>BULLISH</v>
      </c>
      <c r="S5142">
        <f t="shared" si="2166"/>
        <v>1</v>
      </c>
    </row>
    <row r="5143" spans="1:19" hidden="1" x14ac:dyDescent="0.25">
      <c r="A5143" s="5" t="str">
        <f t="shared" si="2167"/>
        <v>44127USD/CHF</v>
      </c>
      <c r="B5143" s="6" t="s">
        <v>178</v>
      </c>
      <c r="C5143" s="6">
        <v>0.89</v>
      </c>
      <c r="D5143" s="6">
        <v>0.92</v>
      </c>
      <c r="E5143" s="6">
        <v>0.9</v>
      </c>
      <c r="F5143" t="str">
        <f t="shared" si="2168"/>
        <v>FRI</v>
      </c>
      <c r="G5143" s="1">
        <f t="shared" si="2169"/>
        <v>44127</v>
      </c>
      <c r="H5143" s="2">
        <f t="shared" ca="1" si="2170"/>
        <v>126</v>
      </c>
      <c r="I5143" t="str">
        <f t="shared" si="2171"/>
        <v>USD/CHF</v>
      </c>
      <c r="J5143">
        <f t="shared" si="2172"/>
        <v>0.89</v>
      </c>
      <c r="K5143">
        <f t="shared" si="2173"/>
        <v>0.92</v>
      </c>
      <c r="L5143">
        <f t="shared" si="2174"/>
        <v>0.90500000000000003</v>
      </c>
      <c r="M5143">
        <f t="shared" si="2175"/>
        <v>1.5000000000000013E-2</v>
      </c>
      <c r="N5143">
        <f t="shared" si="2164"/>
        <v>3.0000000000000027E-2</v>
      </c>
      <c r="O5143">
        <f t="shared" si="2176"/>
        <v>0.9</v>
      </c>
      <c r="P5143">
        <f t="shared" si="2177"/>
        <v>-0.33333333333333331</v>
      </c>
      <c r="Q5143" t="str">
        <f t="shared" si="2165"/>
        <v>1.11% | 2.22%</v>
      </c>
      <c r="R5143" t="str">
        <f t="shared" si="2178"/>
        <v>BEARISH</v>
      </c>
      <c r="S5143">
        <f t="shared" si="2166"/>
        <v>-1</v>
      </c>
    </row>
    <row r="5144" spans="1:19" hidden="1" x14ac:dyDescent="0.25">
      <c r="A5144" s="5" t="str">
        <f t="shared" si="2167"/>
        <v>44127WTIC</v>
      </c>
      <c r="B5144" s="6" t="s">
        <v>205</v>
      </c>
      <c r="C5144" s="6">
        <v>39.35</v>
      </c>
      <c r="D5144" s="6">
        <v>42.16</v>
      </c>
      <c r="E5144" s="6">
        <v>40.64</v>
      </c>
      <c r="F5144" t="str">
        <f t="shared" si="2168"/>
        <v>FRI</v>
      </c>
      <c r="G5144" s="1">
        <f t="shared" si="2169"/>
        <v>44127</v>
      </c>
      <c r="H5144" s="2">
        <f t="shared" ca="1" si="2170"/>
        <v>126</v>
      </c>
      <c r="I5144" t="str">
        <f t="shared" si="2171"/>
        <v>WTIC</v>
      </c>
      <c r="J5144">
        <f t="shared" si="2172"/>
        <v>39.35</v>
      </c>
      <c r="K5144">
        <f t="shared" si="2173"/>
        <v>42.16</v>
      </c>
      <c r="L5144">
        <f t="shared" si="2174"/>
        <v>40.754999999999995</v>
      </c>
      <c r="M5144">
        <f t="shared" si="2175"/>
        <v>1.4049999999999976</v>
      </c>
      <c r="N5144">
        <f t="shared" si="2164"/>
        <v>2.8099999999999952</v>
      </c>
      <c r="O5144">
        <f t="shared" si="2176"/>
        <v>40.64</v>
      </c>
      <c r="P5144">
        <f t="shared" si="2177"/>
        <v>-8.1850533807825684E-2</v>
      </c>
      <c r="Q5144" t="str">
        <f t="shared" si="2165"/>
        <v>3.17% | 3.74%</v>
      </c>
      <c r="R5144" t="str">
        <f t="shared" si="2178"/>
        <v>NEUTRAL</v>
      </c>
      <c r="S5144">
        <f t="shared" si="2166"/>
        <v>0</v>
      </c>
    </row>
    <row r="5145" spans="1:19" hidden="1" x14ac:dyDescent="0.25">
      <c r="A5145" s="5" t="str">
        <f t="shared" si="2167"/>
        <v>44127NATGAS</v>
      </c>
      <c r="B5145" s="6" t="s">
        <v>180</v>
      </c>
      <c r="C5145" s="6">
        <v>2.61</v>
      </c>
      <c r="D5145" s="6">
        <v>3.09</v>
      </c>
      <c r="E5145" s="6">
        <v>3.01</v>
      </c>
      <c r="F5145" t="str">
        <f t="shared" si="2168"/>
        <v>FRI</v>
      </c>
      <c r="G5145" s="1">
        <f t="shared" si="2169"/>
        <v>44127</v>
      </c>
      <c r="H5145" s="2">
        <f t="shared" ca="1" si="2170"/>
        <v>126</v>
      </c>
      <c r="I5145" t="str">
        <f t="shared" si="2171"/>
        <v>NATGAS</v>
      </c>
      <c r="J5145">
        <f t="shared" si="2172"/>
        <v>2.61</v>
      </c>
      <c r="K5145">
        <f t="shared" si="2173"/>
        <v>3.09</v>
      </c>
      <c r="L5145">
        <f t="shared" si="2174"/>
        <v>2.8499999999999996</v>
      </c>
      <c r="M5145">
        <f t="shared" si="2175"/>
        <v>0.24</v>
      </c>
      <c r="N5145">
        <f t="shared" si="2164"/>
        <v>0.48</v>
      </c>
      <c r="O5145">
        <f t="shared" si="2176"/>
        <v>3.01</v>
      </c>
      <c r="P5145">
        <f t="shared" si="2177"/>
        <v>0.6666666666666673</v>
      </c>
      <c r="Q5145" t="str">
        <f t="shared" si="2165"/>
        <v>13.29% | 2.66%</v>
      </c>
      <c r="R5145" t="str">
        <f t="shared" si="2178"/>
        <v>BULLISH</v>
      </c>
      <c r="S5145">
        <f t="shared" si="2166"/>
        <v>1</v>
      </c>
    </row>
    <row r="5146" spans="1:19" hidden="1" x14ac:dyDescent="0.25">
      <c r="A5146" s="5" t="str">
        <f t="shared" si="2167"/>
        <v>44127GOLD</v>
      </c>
      <c r="B5146" s="6" t="s">
        <v>181</v>
      </c>
      <c r="C5146" s="6">
        <v>1890</v>
      </c>
      <c r="D5146" s="6">
        <v>1937</v>
      </c>
      <c r="E5146" s="6">
        <v>1904</v>
      </c>
      <c r="F5146" t="str">
        <f t="shared" si="2168"/>
        <v>FRI</v>
      </c>
      <c r="G5146" s="1">
        <f t="shared" si="2169"/>
        <v>44127</v>
      </c>
      <c r="H5146" s="2">
        <f t="shared" ca="1" si="2170"/>
        <v>126</v>
      </c>
      <c r="I5146" t="str">
        <f t="shared" si="2171"/>
        <v>GOLD</v>
      </c>
      <c r="J5146">
        <f t="shared" si="2172"/>
        <v>1890</v>
      </c>
      <c r="K5146">
        <f t="shared" si="2173"/>
        <v>1937</v>
      </c>
      <c r="L5146">
        <f t="shared" si="2174"/>
        <v>1913.5</v>
      </c>
      <c r="M5146">
        <f t="shared" si="2175"/>
        <v>23.5</v>
      </c>
      <c r="N5146">
        <f t="shared" si="2164"/>
        <v>47</v>
      </c>
      <c r="O5146">
        <f t="shared" si="2176"/>
        <v>1904</v>
      </c>
      <c r="P5146">
        <f t="shared" si="2177"/>
        <v>-0.40425531914893614</v>
      </c>
      <c r="Q5146" t="str">
        <f t="shared" si="2165"/>
        <v>0.74% | 1.73%</v>
      </c>
      <c r="R5146" t="str">
        <f t="shared" si="2178"/>
        <v>BULLISH</v>
      </c>
      <c r="S5146">
        <f t="shared" si="2166"/>
        <v>1</v>
      </c>
    </row>
    <row r="5147" spans="1:19" hidden="1" x14ac:dyDescent="0.25">
      <c r="A5147" s="5" t="str">
        <f t="shared" si="2167"/>
        <v>44127SILVER</v>
      </c>
      <c r="B5147" s="6" t="s">
        <v>199</v>
      </c>
      <c r="C5147" s="6">
        <v>23.79</v>
      </c>
      <c r="D5147" s="6">
        <v>25.67</v>
      </c>
      <c r="E5147" s="6">
        <v>24.71</v>
      </c>
      <c r="F5147" t="str">
        <f t="shared" si="2168"/>
        <v>FRI</v>
      </c>
      <c r="G5147" s="1">
        <f t="shared" si="2169"/>
        <v>44127</v>
      </c>
      <c r="H5147" s="2">
        <f t="shared" ca="1" si="2170"/>
        <v>126</v>
      </c>
      <c r="I5147" t="str">
        <f t="shared" si="2171"/>
        <v>SILVER</v>
      </c>
      <c r="J5147">
        <f t="shared" si="2172"/>
        <v>23.79</v>
      </c>
      <c r="K5147">
        <f t="shared" si="2173"/>
        <v>25.67</v>
      </c>
      <c r="L5147">
        <f t="shared" si="2174"/>
        <v>24.73</v>
      </c>
      <c r="M5147">
        <f t="shared" si="2175"/>
        <v>0.94000000000000128</v>
      </c>
      <c r="N5147">
        <f t="shared" si="2164"/>
        <v>1.8800000000000026</v>
      </c>
      <c r="O5147">
        <f t="shared" si="2176"/>
        <v>24.71</v>
      </c>
      <c r="P5147">
        <f t="shared" si="2177"/>
        <v>-2.1276595744680368E-2</v>
      </c>
      <c r="Q5147" t="str">
        <f t="shared" si="2165"/>
        <v>3.72% | 3.89%</v>
      </c>
      <c r="R5147" t="str">
        <f t="shared" si="2178"/>
        <v>BULLISH</v>
      </c>
      <c r="S5147">
        <f t="shared" si="2166"/>
        <v>1</v>
      </c>
    </row>
    <row r="5148" spans="1:19" hidden="1" x14ac:dyDescent="0.25">
      <c r="A5148" s="5" t="str">
        <f t="shared" si="2167"/>
        <v>44127COPPER</v>
      </c>
      <c r="B5148" s="6" t="s">
        <v>182</v>
      </c>
      <c r="C5148" s="6">
        <v>3.05</v>
      </c>
      <c r="D5148" s="6">
        <v>3.21</v>
      </c>
      <c r="E5148" s="6">
        <v>3.15</v>
      </c>
      <c r="F5148" t="str">
        <f t="shared" si="2168"/>
        <v>FRI</v>
      </c>
      <c r="G5148" s="1">
        <f t="shared" si="2169"/>
        <v>44127</v>
      </c>
      <c r="H5148" s="2">
        <f t="shared" ca="1" si="2170"/>
        <v>126</v>
      </c>
      <c r="I5148" t="str">
        <f t="shared" si="2171"/>
        <v>COPPER</v>
      </c>
      <c r="J5148">
        <f t="shared" si="2172"/>
        <v>3.05</v>
      </c>
      <c r="K5148">
        <f t="shared" si="2173"/>
        <v>3.21</v>
      </c>
      <c r="L5148">
        <f t="shared" si="2174"/>
        <v>3.13</v>
      </c>
      <c r="M5148">
        <f t="shared" si="2175"/>
        <v>8.0000000000000071E-2</v>
      </c>
      <c r="N5148">
        <f t="shared" si="2164"/>
        <v>0.16000000000000014</v>
      </c>
      <c r="O5148">
        <f t="shared" si="2176"/>
        <v>3.15</v>
      </c>
      <c r="P5148">
        <f t="shared" si="2177"/>
        <v>0.25</v>
      </c>
      <c r="Q5148" t="str">
        <f t="shared" si="2165"/>
        <v>3.17% | 1.9%</v>
      </c>
      <c r="R5148" t="str">
        <f t="shared" si="2178"/>
        <v>BULLISH</v>
      </c>
      <c r="S5148">
        <f t="shared" si="2166"/>
        <v>1</v>
      </c>
    </row>
    <row r="5149" spans="1:19" hidden="1" x14ac:dyDescent="0.25">
      <c r="A5149" s="5" t="str">
        <f t="shared" si="2167"/>
        <v>44127MSFT</v>
      </c>
      <c r="B5149" s="6" t="s">
        <v>183</v>
      </c>
      <c r="C5149" s="6">
        <v>211</v>
      </c>
      <c r="D5149" s="6">
        <v>226</v>
      </c>
      <c r="E5149" s="6">
        <v>214</v>
      </c>
      <c r="F5149" t="str">
        <f t="shared" si="2168"/>
        <v>FRI</v>
      </c>
      <c r="G5149" s="1">
        <f t="shared" si="2169"/>
        <v>44127</v>
      </c>
      <c r="H5149" s="2">
        <f t="shared" ca="1" si="2170"/>
        <v>126</v>
      </c>
      <c r="I5149" t="str">
        <f t="shared" si="2171"/>
        <v>MSFT</v>
      </c>
      <c r="J5149">
        <f t="shared" si="2172"/>
        <v>211</v>
      </c>
      <c r="K5149">
        <f t="shared" si="2173"/>
        <v>226</v>
      </c>
      <c r="L5149">
        <f t="shared" si="2174"/>
        <v>218.5</v>
      </c>
      <c r="M5149">
        <f t="shared" si="2175"/>
        <v>7.5</v>
      </c>
      <c r="N5149">
        <f t="shared" si="2164"/>
        <v>15</v>
      </c>
      <c r="O5149">
        <f t="shared" si="2176"/>
        <v>214</v>
      </c>
      <c r="P5149">
        <f t="shared" si="2177"/>
        <v>-0.6</v>
      </c>
      <c r="Q5149" t="str">
        <f t="shared" si="2165"/>
        <v>1.4% | 5.61%</v>
      </c>
      <c r="R5149" t="str">
        <f t="shared" si="2178"/>
        <v>BULLISH</v>
      </c>
      <c r="S5149">
        <f t="shared" si="2166"/>
        <v>1</v>
      </c>
    </row>
    <row r="5150" spans="1:19" hidden="1" x14ac:dyDescent="0.25">
      <c r="A5150" s="5" t="str">
        <f t="shared" si="2167"/>
        <v>44127AAPL</v>
      </c>
      <c r="B5150" s="6" t="s">
        <v>184</v>
      </c>
      <c r="C5150" s="6">
        <v>113</v>
      </c>
      <c r="D5150" s="6">
        <v>125</v>
      </c>
      <c r="E5150" s="6">
        <v>115</v>
      </c>
      <c r="F5150" t="str">
        <f t="shared" si="2168"/>
        <v>FRI</v>
      </c>
      <c r="G5150" s="1">
        <f t="shared" si="2169"/>
        <v>44127</v>
      </c>
      <c r="H5150" s="2">
        <f t="shared" ca="1" si="2170"/>
        <v>126</v>
      </c>
      <c r="I5150" t="str">
        <f t="shared" si="2171"/>
        <v>AAPL</v>
      </c>
      <c r="J5150">
        <f t="shared" si="2172"/>
        <v>113</v>
      </c>
      <c r="K5150">
        <f t="shared" si="2173"/>
        <v>125</v>
      </c>
      <c r="L5150">
        <f t="shared" si="2174"/>
        <v>119</v>
      </c>
      <c r="M5150">
        <f t="shared" si="2175"/>
        <v>6</v>
      </c>
      <c r="N5150">
        <f t="shared" si="2164"/>
        <v>12</v>
      </c>
      <c r="O5150">
        <f t="shared" si="2176"/>
        <v>115</v>
      </c>
      <c r="P5150">
        <f t="shared" si="2177"/>
        <v>-0.66666666666666663</v>
      </c>
      <c r="Q5150" t="str">
        <f t="shared" si="2165"/>
        <v>1.74% | 8.7%</v>
      </c>
      <c r="R5150" t="str">
        <f t="shared" si="2178"/>
        <v>BULLISH</v>
      </c>
      <c r="S5150">
        <f t="shared" si="2166"/>
        <v>1</v>
      </c>
    </row>
    <row r="5151" spans="1:19" hidden="1" x14ac:dyDescent="0.25">
      <c r="A5151" s="5" t="str">
        <f t="shared" si="2167"/>
        <v>44127AMZN</v>
      </c>
      <c r="B5151" s="6" t="s">
        <v>185</v>
      </c>
      <c r="C5151" s="6">
        <v>3082</v>
      </c>
      <c r="D5151" s="6">
        <v>3495</v>
      </c>
      <c r="E5151" s="6">
        <v>3176</v>
      </c>
      <c r="F5151" t="str">
        <f t="shared" si="2168"/>
        <v>FRI</v>
      </c>
      <c r="G5151" s="1">
        <f t="shared" si="2169"/>
        <v>44127</v>
      </c>
      <c r="H5151" s="2">
        <f t="shared" ca="1" si="2170"/>
        <v>126</v>
      </c>
      <c r="I5151" t="str">
        <f t="shared" si="2171"/>
        <v>AMZN</v>
      </c>
      <c r="J5151">
        <f t="shared" si="2172"/>
        <v>3082</v>
      </c>
      <c r="K5151">
        <f t="shared" si="2173"/>
        <v>3495</v>
      </c>
      <c r="L5151">
        <f t="shared" si="2174"/>
        <v>3288.5</v>
      </c>
      <c r="M5151">
        <f t="shared" si="2175"/>
        <v>206.5</v>
      </c>
      <c r="N5151">
        <f t="shared" si="2164"/>
        <v>413</v>
      </c>
      <c r="O5151">
        <f t="shared" si="2176"/>
        <v>3176</v>
      </c>
      <c r="P5151">
        <f t="shared" si="2177"/>
        <v>-0.5447941888619855</v>
      </c>
      <c r="Q5151" t="str">
        <f t="shared" si="2165"/>
        <v>2.96% | 10.04%</v>
      </c>
      <c r="R5151" t="str">
        <f t="shared" si="2178"/>
        <v>BULLISH</v>
      </c>
      <c r="S5151">
        <f t="shared" si="2166"/>
        <v>1</v>
      </c>
    </row>
    <row r="5152" spans="1:19" hidden="1" x14ac:dyDescent="0.25">
      <c r="A5152" s="5" t="str">
        <f t="shared" si="2167"/>
        <v>44127FB</v>
      </c>
      <c r="B5152" s="6" t="s">
        <v>186</v>
      </c>
      <c r="C5152" s="6">
        <v>259</v>
      </c>
      <c r="D5152" s="6">
        <v>285</v>
      </c>
      <c r="E5152" s="6">
        <v>278</v>
      </c>
      <c r="F5152" t="str">
        <f t="shared" si="2168"/>
        <v>FRI</v>
      </c>
      <c r="G5152" s="1">
        <f t="shared" si="2169"/>
        <v>44127</v>
      </c>
      <c r="H5152" s="2">
        <f t="shared" ca="1" si="2170"/>
        <v>126</v>
      </c>
      <c r="I5152" t="str">
        <f t="shared" si="2171"/>
        <v>FB</v>
      </c>
      <c r="J5152">
        <f t="shared" si="2172"/>
        <v>259</v>
      </c>
      <c r="K5152">
        <f t="shared" si="2173"/>
        <v>285</v>
      </c>
      <c r="L5152">
        <f t="shared" si="2174"/>
        <v>272</v>
      </c>
      <c r="M5152">
        <f t="shared" si="2175"/>
        <v>13</v>
      </c>
      <c r="N5152">
        <f t="shared" si="2164"/>
        <v>26</v>
      </c>
      <c r="O5152">
        <f t="shared" si="2176"/>
        <v>278</v>
      </c>
      <c r="P5152">
        <f t="shared" si="2177"/>
        <v>0.46153846153846156</v>
      </c>
      <c r="Q5152" t="str">
        <f t="shared" si="2165"/>
        <v>6.83% | 2.52%</v>
      </c>
      <c r="R5152" t="str">
        <f t="shared" si="2178"/>
        <v>BULLISH</v>
      </c>
      <c r="S5152">
        <f t="shared" si="2166"/>
        <v>1</v>
      </c>
    </row>
    <row r="5153" spans="1:19" hidden="1" x14ac:dyDescent="0.25">
      <c r="A5153" s="5" t="str">
        <f t="shared" si="2167"/>
        <v>44127GOOGL</v>
      </c>
      <c r="B5153" s="6" t="s">
        <v>187</v>
      </c>
      <c r="C5153" s="6">
        <v>1515</v>
      </c>
      <c r="D5153" s="6">
        <v>1616</v>
      </c>
      <c r="E5153" s="6">
        <v>1606</v>
      </c>
      <c r="F5153" t="str">
        <f t="shared" si="2168"/>
        <v>FRI</v>
      </c>
      <c r="G5153" s="1">
        <f t="shared" si="2169"/>
        <v>44127</v>
      </c>
      <c r="H5153" s="2">
        <f t="shared" ca="1" si="2170"/>
        <v>126</v>
      </c>
      <c r="I5153" t="str">
        <f t="shared" si="2171"/>
        <v>GOOGL</v>
      </c>
      <c r="J5153">
        <f t="shared" si="2172"/>
        <v>1515</v>
      </c>
      <c r="K5153">
        <f t="shared" si="2173"/>
        <v>1616</v>
      </c>
      <c r="L5153">
        <f t="shared" si="2174"/>
        <v>1565.5</v>
      </c>
      <c r="M5153">
        <f t="shared" si="2175"/>
        <v>50.5</v>
      </c>
      <c r="N5153">
        <f t="shared" si="2164"/>
        <v>101</v>
      </c>
      <c r="O5153">
        <f t="shared" si="2176"/>
        <v>1606</v>
      </c>
      <c r="P5153">
        <f t="shared" si="2177"/>
        <v>0.80198019801980203</v>
      </c>
      <c r="Q5153" t="str">
        <f t="shared" si="2165"/>
        <v>5.67% | 0.62%</v>
      </c>
      <c r="R5153" t="str">
        <f t="shared" si="2178"/>
        <v>BULLISH</v>
      </c>
      <c r="S5153">
        <f t="shared" si="2166"/>
        <v>1</v>
      </c>
    </row>
    <row r="5154" spans="1:19" hidden="1" x14ac:dyDescent="0.25">
      <c r="A5154" s="5" t="str">
        <f t="shared" si="2167"/>
        <v>44127NFLX</v>
      </c>
      <c r="B5154" s="6" t="s">
        <v>213</v>
      </c>
      <c r="C5154" s="6">
        <v>471</v>
      </c>
      <c r="D5154" s="6">
        <v>513</v>
      </c>
      <c r="E5154" s="6">
        <v>485</v>
      </c>
      <c r="F5154" t="str">
        <f t="shared" si="2168"/>
        <v>FRI</v>
      </c>
      <c r="G5154" s="1">
        <f t="shared" si="2169"/>
        <v>44127</v>
      </c>
      <c r="H5154" s="2">
        <f t="shared" ca="1" si="2170"/>
        <v>126</v>
      </c>
      <c r="I5154" t="str">
        <f t="shared" si="2171"/>
        <v>NFLX</v>
      </c>
      <c r="J5154">
        <f t="shared" si="2172"/>
        <v>471</v>
      </c>
      <c r="K5154">
        <f t="shared" si="2173"/>
        <v>513</v>
      </c>
      <c r="L5154">
        <f t="shared" si="2174"/>
        <v>492</v>
      </c>
      <c r="M5154">
        <f t="shared" si="2175"/>
        <v>21</v>
      </c>
      <c r="N5154">
        <f t="shared" si="2164"/>
        <v>42</v>
      </c>
      <c r="O5154">
        <f t="shared" si="2176"/>
        <v>485</v>
      </c>
      <c r="P5154">
        <f t="shared" si="2177"/>
        <v>-0.33333333333333331</v>
      </c>
      <c r="Q5154" t="str">
        <f t="shared" si="2165"/>
        <v>2.89% | 5.77%</v>
      </c>
      <c r="R5154" t="str">
        <f t="shared" si="2178"/>
        <v>BEARISH</v>
      </c>
      <c r="S5154">
        <f t="shared" si="2166"/>
        <v>-1</v>
      </c>
    </row>
    <row r="5155" spans="1:19" x14ac:dyDescent="0.25">
      <c r="A5155" s="5" t="str">
        <f t="shared" si="2167"/>
        <v>44127TSLA</v>
      </c>
      <c r="B5155" s="6" t="s">
        <v>209</v>
      </c>
      <c r="C5155" s="6">
        <v>411</v>
      </c>
      <c r="D5155" s="6">
        <v>465</v>
      </c>
      <c r="E5155" s="6">
        <v>425</v>
      </c>
      <c r="F5155" t="str">
        <f t="shared" si="2168"/>
        <v>FRI</v>
      </c>
      <c r="G5155" s="1">
        <f t="shared" si="2169"/>
        <v>44127</v>
      </c>
      <c r="H5155" s="2">
        <f t="shared" ca="1" si="2170"/>
        <v>126</v>
      </c>
      <c r="I5155" t="str">
        <f t="shared" si="2171"/>
        <v>TSLA</v>
      </c>
      <c r="J5155">
        <f t="shared" si="2172"/>
        <v>411</v>
      </c>
      <c r="K5155">
        <f t="shared" si="2173"/>
        <v>465</v>
      </c>
      <c r="L5155">
        <f t="shared" si="2174"/>
        <v>438</v>
      </c>
      <c r="M5155">
        <f t="shared" si="2175"/>
        <v>27</v>
      </c>
      <c r="N5155">
        <f t="shared" si="2164"/>
        <v>54</v>
      </c>
      <c r="O5155">
        <f t="shared" si="2176"/>
        <v>425</v>
      </c>
      <c r="P5155">
        <f t="shared" si="2177"/>
        <v>-0.48148148148148145</v>
      </c>
      <c r="Q5155" t="str">
        <f t="shared" si="2165"/>
        <v>3.29% | 9.41%</v>
      </c>
      <c r="R5155" t="str">
        <f t="shared" si="2178"/>
        <v>NEUTRAL</v>
      </c>
      <c r="S5155">
        <f t="shared" si="2166"/>
        <v>0</v>
      </c>
    </row>
    <row r="5156" spans="1:19" hidden="1" x14ac:dyDescent="0.25">
      <c r="A5156" s="5" t="str">
        <f t="shared" si="2167"/>
        <v>44127NYXBT</v>
      </c>
      <c r="B5156" s="6" t="s">
        <v>190</v>
      </c>
      <c r="C5156" s="6">
        <v>11681</v>
      </c>
      <c r="D5156" s="6">
        <v>13356</v>
      </c>
      <c r="E5156" s="6">
        <v>12898</v>
      </c>
      <c r="F5156" t="str">
        <f t="shared" si="2168"/>
        <v>FRI</v>
      </c>
      <c r="G5156" s="1">
        <f t="shared" si="2169"/>
        <v>44127</v>
      </c>
      <c r="H5156" s="2">
        <f t="shared" ca="1" si="2170"/>
        <v>126</v>
      </c>
      <c r="I5156" t="str">
        <f t="shared" si="2171"/>
        <v>NYXBT</v>
      </c>
      <c r="J5156">
        <f t="shared" si="2172"/>
        <v>11681</v>
      </c>
      <c r="K5156">
        <f t="shared" si="2173"/>
        <v>13356</v>
      </c>
      <c r="L5156">
        <f t="shared" si="2174"/>
        <v>12518.5</v>
      </c>
      <c r="M5156">
        <f t="shared" si="2175"/>
        <v>837.5</v>
      </c>
      <c r="N5156">
        <f t="shared" si="2164"/>
        <v>1675</v>
      </c>
      <c r="O5156">
        <f t="shared" si="2176"/>
        <v>12898</v>
      </c>
      <c r="P5156">
        <f t="shared" si="2177"/>
        <v>0.45313432835820894</v>
      </c>
      <c r="Q5156" t="str">
        <f t="shared" si="2165"/>
        <v>9.44% | 3.55%</v>
      </c>
      <c r="R5156" t="str">
        <f t="shared" si="2178"/>
        <v>BULLISH</v>
      </c>
      <c r="S5156">
        <f t="shared" si="2166"/>
        <v>1</v>
      </c>
    </row>
    <row r="5157" spans="1:19" hidden="1" x14ac:dyDescent="0.25">
      <c r="A5157" s="5" t="str">
        <f t="shared" si="2167"/>
        <v>44130UST10Y</v>
      </c>
      <c r="B5157" s="6" t="s">
        <v>4</v>
      </c>
      <c r="C5157" s="6">
        <v>0.89</v>
      </c>
      <c r="D5157" s="6">
        <v>0.69</v>
      </c>
      <c r="E5157" s="6">
        <v>0.85</v>
      </c>
      <c r="F5157" t="str">
        <f t="shared" si="2168"/>
        <v>MON</v>
      </c>
      <c r="G5157" s="3">
        <f>DATE(2020,10,26)</f>
        <v>44130</v>
      </c>
      <c r="H5157" s="2">
        <f t="shared" ca="1" si="2170"/>
        <v>123</v>
      </c>
      <c r="I5157" t="str">
        <f t="shared" si="2171"/>
        <v>UST10Y</v>
      </c>
      <c r="J5157">
        <f t="shared" si="2172"/>
        <v>0.89</v>
      </c>
      <c r="K5157">
        <f t="shared" si="2173"/>
        <v>0.69</v>
      </c>
      <c r="L5157">
        <f t="shared" si="2174"/>
        <v>0.79</v>
      </c>
      <c r="M5157">
        <f t="shared" si="2175"/>
        <v>9.9999999999999492E-2</v>
      </c>
      <c r="N5157">
        <f t="shared" si="2164"/>
        <v>0.20000000000000007</v>
      </c>
      <c r="O5157">
        <f t="shared" si="2176"/>
        <v>0.85</v>
      </c>
      <c r="P5157">
        <f t="shared" si="2177"/>
        <v>0.60000000000000242</v>
      </c>
      <c r="Q5157" t="str">
        <f t="shared" si="2165"/>
        <v>4.71% | 18.82%</v>
      </c>
      <c r="R5157" t="str">
        <f t="shared" si="2178"/>
        <v>BEARISH</v>
      </c>
      <c r="S5157">
        <f t="shared" si="2166"/>
        <v>-1</v>
      </c>
    </row>
    <row r="5158" spans="1:19" hidden="1" x14ac:dyDescent="0.25">
      <c r="A5158" s="5" t="str">
        <f t="shared" si="2167"/>
        <v>44130UST2Y</v>
      </c>
      <c r="B5158" s="6" t="s">
        <v>5</v>
      </c>
      <c r="C5158" s="6">
        <v>0.18</v>
      </c>
      <c r="D5158" s="6">
        <v>0.12</v>
      </c>
      <c r="E5158" s="6">
        <v>0.18</v>
      </c>
      <c r="F5158" t="str">
        <f t="shared" ref="F5158:F5188" si="2179">UPPER(TEXT(G5158,"ddd"))</f>
        <v>MON</v>
      </c>
      <c r="G5158" s="3">
        <f t="shared" ref="G5158:G5187" si="2180">DATE(2020,10,26)</f>
        <v>44130</v>
      </c>
      <c r="H5158" s="2">
        <f t="shared" ref="H5158:H5188" ca="1" si="2181">TODAY()-G5158</f>
        <v>123</v>
      </c>
      <c r="I5158" t="str">
        <f t="shared" ref="I5158:I5188" si="2182">TRIM(LEFT(B5158,FIND(" ",B5158,1)))</f>
        <v>UST2Y</v>
      </c>
      <c r="J5158">
        <f t="shared" ref="J5158:J5188" si="2183">C5158</f>
        <v>0.18</v>
      </c>
      <c r="K5158">
        <f t="shared" ref="K5158:K5188" si="2184">D5158</f>
        <v>0.12</v>
      </c>
      <c r="L5158">
        <f t="shared" ref="L5158:L5188" si="2185">AVERAGE(J5158:K5158)</f>
        <v>0.15</v>
      </c>
      <c r="M5158">
        <f t="shared" ref="M5158:M5188" si="2186">_xlfn.STDEV.P(J5158:K5158)</f>
        <v>2.9999999999999968E-2</v>
      </c>
      <c r="N5158">
        <f t="shared" si="2164"/>
        <v>0.06</v>
      </c>
      <c r="O5158">
        <f t="shared" ref="O5158:O5188" si="2187">E5158</f>
        <v>0.18</v>
      </c>
      <c r="P5158">
        <f t="shared" ref="P5158:P5188" si="2188">(O5158-L5158)/M5158</f>
        <v>1.0000000000000011</v>
      </c>
      <c r="Q5158" t="str">
        <f t="shared" si="2165"/>
        <v>0% | 33.33%</v>
      </c>
      <c r="R5158" t="str">
        <f t="shared" ref="R5158:R5188" si="2189">MID(B5158,FIND("(",B5158,1)+1,FIND(")",B5158,1)-FIND("(",B5158,1)-1)</f>
        <v>BEARISH</v>
      </c>
      <c r="S5158">
        <f t="shared" si="2166"/>
        <v>-1</v>
      </c>
    </row>
    <row r="5159" spans="1:19" hidden="1" x14ac:dyDescent="0.25">
      <c r="A5159" s="5" t="str">
        <f t="shared" si="2167"/>
        <v>44130SPX</v>
      </c>
      <c r="B5159" s="6" t="s">
        <v>6</v>
      </c>
      <c r="C5159" s="6">
        <v>3410</v>
      </c>
      <c r="D5159" s="6">
        <v>3521</v>
      </c>
      <c r="E5159" s="6">
        <v>3465</v>
      </c>
      <c r="F5159" t="str">
        <f t="shared" si="2179"/>
        <v>MON</v>
      </c>
      <c r="G5159" s="3">
        <f t="shared" si="2180"/>
        <v>44130</v>
      </c>
      <c r="H5159" s="2">
        <f t="shared" ca="1" si="2181"/>
        <v>123</v>
      </c>
      <c r="I5159" t="str">
        <f t="shared" si="2182"/>
        <v>SPX</v>
      </c>
      <c r="J5159">
        <f t="shared" si="2183"/>
        <v>3410</v>
      </c>
      <c r="K5159">
        <f t="shared" si="2184"/>
        <v>3521</v>
      </c>
      <c r="L5159">
        <f t="shared" si="2185"/>
        <v>3465.5</v>
      </c>
      <c r="M5159">
        <f t="shared" si="2186"/>
        <v>55.5</v>
      </c>
      <c r="N5159">
        <f t="shared" si="2164"/>
        <v>111</v>
      </c>
      <c r="O5159">
        <f t="shared" si="2187"/>
        <v>3465</v>
      </c>
      <c r="P5159">
        <f t="shared" si="2188"/>
        <v>-9.0090090090090089E-3</v>
      </c>
      <c r="Q5159" t="str">
        <f t="shared" si="2165"/>
        <v>1.59% | 1.62%</v>
      </c>
      <c r="R5159" t="str">
        <f t="shared" si="2189"/>
        <v>BEARISH</v>
      </c>
      <c r="S5159">
        <f t="shared" si="2166"/>
        <v>-1</v>
      </c>
    </row>
    <row r="5160" spans="1:19" hidden="1" x14ac:dyDescent="0.25">
      <c r="A5160" s="5" t="str">
        <f t="shared" si="2167"/>
        <v>44130RUT</v>
      </c>
      <c r="B5160" s="6" t="s">
        <v>240</v>
      </c>
      <c r="C5160" s="6">
        <v>1599</v>
      </c>
      <c r="D5160" s="6">
        <v>1650</v>
      </c>
      <c r="E5160" s="6">
        <v>1640</v>
      </c>
      <c r="F5160" t="str">
        <f t="shared" si="2179"/>
        <v>MON</v>
      </c>
      <c r="G5160" s="3">
        <f t="shared" si="2180"/>
        <v>44130</v>
      </c>
      <c r="H5160" s="2">
        <f t="shared" ca="1" si="2181"/>
        <v>123</v>
      </c>
      <c r="I5160" t="str">
        <f t="shared" si="2182"/>
        <v>RUT</v>
      </c>
      <c r="J5160">
        <f t="shared" si="2183"/>
        <v>1599</v>
      </c>
      <c r="K5160">
        <f t="shared" si="2184"/>
        <v>1650</v>
      </c>
      <c r="L5160">
        <f t="shared" si="2185"/>
        <v>1624.5</v>
      </c>
      <c r="M5160">
        <f t="shared" si="2186"/>
        <v>25.5</v>
      </c>
      <c r="N5160">
        <f t="shared" si="2164"/>
        <v>51</v>
      </c>
      <c r="O5160">
        <f t="shared" si="2187"/>
        <v>1640</v>
      </c>
      <c r="P5160">
        <f t="shared" si="2188"/>
        <v>0.60784313725490191</v>
      </c>
      <c r="Q5160" t="str">
        <f t="shared" si="2165"/>
        <v>2.5% | 0.61%</v>
      </c>
      <c r="R5160" t="str">
        <f t="shared" si="2189"/>
        <v>NEUTRAL</v>
      </c>
      <c r="S5160">
        <f t="shared" si="2166"/>
        <v>0</v>
      </c>
    </row>
    <row r="5161" spans="1:19" hidden="1" x14ac:dyDescent="0.25">
      <c r="A5161" s="5" t="str">
        <f t="shared" si="2167"/>
        <v>44130COMPQ</v>
      </c>
      <c r="B5161" s="6" t="s">
        <v>61</v>
      </c>
      <c r="C5161" s="6">
        <v>11330</v>
      </c>
      <c r="D5161" s="6">
        <v>11885</v>
      </c>
      <c r="E5161" s="6">
        <v>11548</v>
      </c>
      <c r="F5161" t="str">
        <f t="shared" si="2179"/>
        <v>MON</v>
      </c>
      <c r="G5161" s="3">
        <f t="shared" si="2180"/>
        <v>44130</v>
      </c>
      <c r="H5161" s="2">
        <f t="shared" ca="1" si="2181"/>
        <v>123</v>
      </c>
      <c r="I5161" t="str">
        <f t="shared" si="2182"/>
        <v>COMPQ</v>
      </c>
      <c r="J5161">
        <f t="shared" si="2183"/>
        <v>11330</v>
      </c>
      <c r="K5161">
        <f t="shared" si="2184"/>
        <v>11885</v>
      </c>
      <c r="L5161">
        <f t="shared" si="2185"/>
        <v>11607.5</v>
      </c>
      <c r="M5161">
        <f t="shared" si="2186"/>
        <v>277.5</v>
      </c>
      <c r="N5161">
        <f t="shared" si="2164"/>
        <v>555</v>
      </c>
      <c r="O5161">
        <f t="shared" si="2187"/>
        <v>11548</v>
      </c>
      <c r="P5161">
        <f t="shared" si="2188"/>
        <v>-0.21441441441441442</v>
      </c>
      <c r="Q5161" t="str">
        <f t="shared" si="2165"/>
        <v>1.89% | 2.92%</v>
      </c>
      <c r="R5161" t="str">
        <f t="shared" si="2189"/>
        <v>NEUTRAL</v>
      </c>
      <c r="S5161">
        <f t="shared" si="2166"/>
        <v>0</v>
      </c>
    </row>
    <row r="5162" spans="1:19" hidden="1" x14ac:dyDescent="0.25">
      <c r="A5162" s="5" t="str">
        <f t="shared" si="2167"/>
        <v>44130XLK</v>
      </c>
      <c r="B5162" s="6" t="s">
        <v>62</v>
      </c>
      <c r="C5162" s="6">
        <v>117</v>
      </c>
      <c r="D5162" s="6">
        <v>123.3</v>
      </c>
      <c r="E5162" s="6">
        <v>118.44</v>
      </c>
      <c r="F5162" t="str">
        <f t="shared" si="2179"/>
        <v>MON</v>
      </c>
      <c r="G5162" s="3">
        <f t="shared" si="2180"/>
        <v>44130</v>
      </c>
      <c r="H5162" s="2">
        <f t="shared" ca="1" si="2181"/>
        <v>123</v>
      </c>
      <c r="I5162" t="str">
        <f t="shared" si="2182"/>
        <v>XLK</v>
      </c>
      <c r="J5162">
        <f t="shared" si="2183"/>
        <v>117</v>
      </c>
      <c r="K5162">
        <f t="shared" si="2184"/>
        <v>123.3</v>
      </c>
      <c r="L5162">
        <f t="shared" si="2185"/>
        <v>120.15</v>
      </c>
      <c r="M5162">
        <f t="shared" si="2186"/>
        <v>3.1499999999999986</v>
      </c>
      <c r="N5162">
        <f t="shared" si="2164"/>
        <v>6.2999999999999972</v>
      </c>
      <c r="O5162">
        <f t="shared" si="2187"/>
        <v>118.44</v>
      </c>
      <c r="P5162">
        <f t="shared" si="2188"/>
        <v>-0.54285714285714559</v>
      </c>
      <c r="Q5162" t="str">
        <f t="shared" si="2165"/>
        <v>1.22% | 4.1%</v>
      </c>
      <c r="R5162" t="str">
        <f t="shared" si="2189"/>
        <v>NEUTRAL</v>
      </c>
      <c r="S5162">
        <f t="shared" si="2166"/>
        <v>0</v>
      </c>
    </row>
    <row r="5163" spans="1:19" hidden="1" x14ac:dyDescent="0.25">
      <c r="A5163" s="5" t="str">
        <f t="shared" si="2167"/>
        <v>44130XLRE</v>
      </c>
      <c r="B5163" s="6" t="s">
        <v>97</v>
      </c>
      <c r="C5163" s="6">
        <v>35.01</v>
      </c>
      <c r="D5163" s="6">
        <v>36.770000000000003</v>
      </c>
      <c r="E5163" s="6">
        <v>35.630000000000003</v>
      </c>
      <c r="F5163" t="str">
        <f t="shared" si="2179"/>
        <v>MON</v>
      </c>
      <c r="G5163" s="3">
        <f t="shared" si="2180"/>
        <v>44130</v>
      </c>
      <c r="H5163" s="2">
        <f t="shared" ca="1" si="2181"/>
        <v>123</v>
      </c>
      <c r="I5163" t="str">
        <f t="shared" si="2182"/>
        <v>XLRE</v>
      </c>
      <c r="J5163">
        <f t="shared" si="2183"/>
        <v>35.01</v>
      </c>
      <c r="K5163">
        <f t="shared" si="2184"/>
        <v>36.770000000000003</v>
      </c>
      <c r="L5163">
        <f t="shared" si="2185"/>
        <v>35.89</v>
      </c>
      <c r="M5163">
        <f t="shared" si="2186"/>
        <v>0.88000000000000256</v>
      </c>
      <c r="N5163">
        <f t="shared" si="2164"/>
        <v>1.7600000000000051</v>
      </c>
      <c r="O5163">
        <f t="shared" si="2187"/>
        <v>35.630000000000003</v>
      </c>
      <c r="P5163">
        <f t="shared" si="2188"/>
        <v>-0.29545454545454236</v>
      </c>
      <c r="Q5163" t="str">
        <f t="shared" si="2165"/>
        <v>1.74% | 3.2%</v>
      </c>
      <c r="R5163" t="str">
        <f t="shared" si="2189"/>
        <v>BULLISH</v>
      </c>
      <c r="S5163">
        <f t="shared" si="2166"/>
        <v>1</v>
      </c>
    </row>
    <row r="5164" spans="1:19" hidden="1" x14ac:dyDescent="0.25">
      <c r="A5164" s="5" t="str">
        <f t="shared" si="2167"/>
        <v>44130XLU</v>
      </c>
      <c r="B5164" s="6" t="s">
        <v>52</v>
      </c>
      <c r="C5164" s="6">
        <v>62.85</v>
      </c>
      <c r="D5164" s="6">
        <v>64.92</v>
      </c>
      <c r="E5164" s="6">
        <v>64.75</v>
      </c>
      <c r="F5164" t="str">
        <f t="shared" si="2179"/>
        <v>MON</v>
      </c>
      <c r="G5164" s="3">
        <f t="shared" si="2180"/>
        <v>44130</v>
      </c>
      <c r="H5164" s="2">
        <f t="shared" ca="1" si="2181"/>
        <v>123</v>
      </c>
      <c r="I5164" t="str">
        <f t="shared" si="2182"/>
        <v>XLU</v>
      </c>
      <c r="J5164">
        <f t="shared" si="2183"/>
        <v>62.85</v>
      </c>
      <c r="K5164">
        <f t="shared" si="2184"/>
        <v>64.92</v>
      </c>
      <c r="L5164">
        <f t="shared" si="2185"/>
        <v>63.885000000000005</v>
      </c>
      <c r="M5164">
        <f t="shared" si="2186"/>
        <v>1.0350000000000001</v>
      </c>
      <c r="N5164">
        <f t="shared" si="2164"/>
        <v>2.0700000000000003</v>
      </c>
      <c r="O5164">
        <f t="shared" si="2187"/>
        <v>64.75</v>
      </c>
      <c r="P5164">
        <f t="shared" si="2188"/>
        <v>0.83574879227052634</v>
      </c>
      <c r="Q5164" t="str">
        <f t="shared" si="2165"/>
        <v>2.93% | 0.26%</v>
      </c>
      <c r="R5164" t="str">
        <f t="shared" si="2189"/>
        <v>BULLISH</v>
      </c>
      <c r="S5164">
        <f t="shared" si="2166"/>
        <v>1</v>
      </c>
    </row>
    <row r="5165" spans="1:19" hidden="1" x14ac:dyDescent="0.25">
      <c r="A5165" s="5" t="str">
        <f t="shared" si="2167"/>
        <v>44130XLF</v>
      </c>
      <c r="B5165" s="6" t="s">
        <v>12</v>
      </c>
      <c r="C5165" s="6">
        <v>24.35</v>
      </c>
      <c r="D5165" s="6">
        <v>25.43</v>
      </c>
      <c r="E5165" s="6">
        <v>25.25</v>
      </c>
      <c r="F5165" t="str">
        <f t="shared" si="2179"/>
        <v>MON</v>
      </c>
      <c r="G5165" s="3">
        <f t="shared" si="2180"/>
        <v>44130</v>
      </c>
      <c r="H5165" s="2">
        <f t="shared" ca="1" si="2181"/>
        <v>123</v>
      </c>
      <c r="I5165" t="str">
        <f t="shared" si="2182"/>
        <v>XLF</v>
      </c>
      <c r="J5165">
        <f t="shared" si="2183"/>
        <v>24.35</v>
      </c>
      <c r="K5165">
        <f t="shared" si="2184"/>
        <v>25.43</v>
      </c>
      <c r="L5165">
        <f t="shared" si="2185"/>
        <v>24.89</v>
      </c>
      <c r="M5165">
        <f t="shared" si="2186"/>
        <v>0.53999999999999915</v>
      </c>
      <c r="N5165">
        <f t="shared" si="2164"/>
        <v>1.0799999999999983</v>
      </c>
      <c r="O5165">
        <f t="shared" si="2187"/>
        <v>25.25</v>
      </c>
      <c r="P5165">
        <f t="shared" si="2188"/>
        <v>0.66666666666666663</v>
      </c>
      <c r="Q5165" t="str">
        <f t="shared" si="2165"/>
        <v>3.56% | 0.71%</v>
      </c>
      <c r="R5165" t="str">
        <f t="shared" si="2189"/>
        <v>BEARISH</v>
      </c>
      <c r="S5165">
        <f t="shared" si="2166"/>
        <v>-1</v>
      </c>
    </row>
    <row r="5166" spans="1:19" hidden="1" x14ac:dyDescent="0.25">
      <c r="A5166" s="5" t="str">
        <f t="shared" si="2167"/>
        <v>44130SSEC</v>
      </c>
      <c r="B5166" s="6" t="s">
        <v>104</v>
      </c>
      <c r="C5166" s="6">
        <v>3240</v>
      </c>
      <c r="D5166" s="6">
        <v>3378</v>
      </c>
      <c r="E5166" s="6">
        <v>3251</v>
      </c>
      <c r="F5166" t="str">
        <f t="shared" si="2179"/>
        <v>MON</v>
      </c>
      <c r="G5166" s="3">
        <f t="shared" si="2180"/>
        <v>44130</v>
      </c>
      <c r="H5166" s="2">
        <f t="shared" ca="1" si="2181"/>
        <v>123</v>
      </c>
      <c r="I5166" t="str">
        <f t="shared" si="2182"/>
        <v>SSEC</v>
      </c>
      <c r="J5166">
        <f t="shared" si="2183"/>
        <v>3240</v>
      </c>
      <c r="K5166">
        <f t="shared" si="2184"/>
        <v>3378</v>
      </c>
      <c r="L5166">
        <f t="shared" si="2185"/>
        <v>3309</v>
      </c>
      <c r="M5166">
        <f t="shared" si="2186"/>
        <v>69</v>
      </c>
      <c r="N5166">
        <f t="shared" si="2164"/>
        <v>138</v>
      </c>
      <c r="O5166">
        <f t="shared" si="2187"/>
        <v>3251</v>
      </c>
      <c r="P5166">
        <f t="shared" si="2188"/>
        <v>-0.84057971014492749</v>
      </c>
      <c r="Q5166" t="str">
        <f t="shared" si="2165"/>
        <v>0.34% | 3.91%</v>
      </c>
      <c r="R5166" t="str">
        <f t="shared" si="2189"/>
        <v>BULLISH</v>
      </c>
      <c r="S5166">
        <f t="shared" si="2166"/>
        <v>1</v>
      </c>
    </row>
    <row r="5167" spans="1:19" hidden="1" x14ac:dyDescent="0.25">
      <c r="A5167" s="5" t="str">
        <f t="shared" si="2167"/>
        <v>44130NIKK</v>
      </c>
      <c r="B5167" s="6" t="s">
        <v>91</v>
      </c>
      <c r="C5167" s="6">
        <v>23385</v>
      </c>
      <c r="D5167" s="6">
        <v>23721</v>
      </c>
      <c r="E5167" s="6">
        <v>23494</v>
      </c>
      <c r="F5167" t="str">
        <f t="shared" si="2179"/>
        <v>MON</v>
      </c>
      <c r="G5167" s="3">
        <f t="shared" si="2180"/>
        <v>44130</v>
      </c>
      <c r="H5167" s="2">
        <f t="shared" ca="1" si="2181"/>
        <v>123</v>
      </c>
      <c r="I5167" t="str">
        <f t="shared" si="2182"/>
        <v>NIKK</v>
      </c>
      <c r="J5167">
        <f t="shared" si="2183"/>
        <v>23385</v>
      </c>
      <c r="K5167">
        <f t="shared" si="2184"/>
        <v>23721</v>
      </c>
      <c r="L5167">
        <f t="shared" si="2185"/>
        <v>23553</v>
      </c>
      <c r="M5167">
        <f t="shared" si="2186"/>
        <v>168</v>
      </c>
      <c r="N5167">
        <f t="shared" si="2164"/>
        <v>336</v>
      </c>
      <c r="O5167">
        <f t="shared" si="2187"/>
        <v>23494</v>
      </c>
      <c r="P5167">
        <f t="shared" si="2188"/>
        <v>-0.35119047619047616</v>
      </c>
      <c r="Q5167" t="str">
        <f t="shared" si="2165"/>
        <v>0.46% | 0.97%</v>
      </c>
      <c r="R5167" t="str">
        <f t="shared" si="2189"/>
        <v>BULLISH</v>
      </c>
      <c r="S5167">
        <f t="shared" si="2166"/>
        <v>1</v>
      </c>
    </row>
    <row r="5168" spans="1:19" hidden="1" x14ac:dyDescent="0.25">
      <c r="A5168" s="5" t="str">
        <f t="shared" si="2167"/>
        <v>44130DAX</v>
      </c>
      <c r="B5168" s="6" t="s">
        <v>16</v>
      </c>
      <c r="C5168" s="6">
        <v>12309</v>
      </c>
      <c r="D5168" s="6">
        <v>12832</v>
      </c>
      <c r="E5168" s="6">
        <v>12645</v>
      </c>
      <c r="F5168" t="str">
        <f t="shared" si="2179"/>
        <v>MON</v>
      </c>
      <c r="G5168" s="3">
        <f t="shared" si="2180"/>
        <v>44130</v>
      </c>
      <c r="H5168" s="2">
        <f t="shared" ca="1" si="2181"/>
        <v>123</v>
      </c>
      <c r="I5168" t="str">
        <f t="shared" si="2182"/>
        <v>DAX</v>
      </c>
      <c r="J5168">
        <f t="shared" si="2183"/>
        <v>12309</v>
      </c>
      <c r="K5168">
        <f t="shared" si="2184"/>
        <v>12832</v>
      </c>
      <c r="L5168">
        <f t="shared" si="2185"/>
        <v>12570.5</v>
      </c>
      <c r="M5168">
        <f t="shared" si="2186"/>
        <v>261.5</v>
      </c>
      <c r="N5168">
        <f t="shared" si="2164"/>
        <v>523</v>
      </c>
      <c r="O5168">
        <f t="shared" si="2187"/>
        <v>12645</v>
      </c>
      <c r="P5168">
        <f t="shared" si="2188"/>
        <v>0.28489483747609945</v>
      </c>
      <c r="Q5168" t="str">
        <f t="shared" si="2165"/>
        <v>2.66% | 1.48%</v>
      </c>
      <c r="R5168" t="str">
        <f t="shared" si="2189"/>
        <v>BEARISH</v>
      </c>
      <c r="S5168">
        <f t="shared" si="2166"/>
        <v>-1</v>
      </c>
    </row>
    <row r="5169" spans="1:19" hidden="1" x14ac:dyDescent="0.25">
      <c r="A5169" s="5" t="str">
        <f t="shared" si="2167"/>
        <v>44130VIX</v>
      </c>
      <c r="B5169" s="6" t="s">
        <v>17</v>
      </c>
      <c r="C5169" s="6">
        <v>25.26</v>
      </c>
      <c r="D5169" s="6">
        <v>30.2</v>
      </c>
      <c r="E5169" s="6">
        <v>27.55</v>
      </c>
      <c r="F5169" t="str">
        <f t="shared" si="2179"/>
        <v>MON</v>
      </c>
      <c r="G5169" s="3">
        <f t="shared" si="2180"/>
        <v>44130</v>
      </c>
      <c r="H5169" s="2">
        <f t="shared" ca="1" si="2181"/>
        <v>123</v>
      </c>
      <c r="I5169" t="str">
        <f t="shared" si="2182"/>
        <v>VIX</v>
      </c>
      <c r="J5169">
        <f t="shared" si="2183"/>
        <v>25.26</v>
      </c>
      <c r="K5169">
        <f t="shared" si="2184"/>
        <v>30.2</v>
      </c>
      <c r="L5169">
        <f t="shared" si="2185"/>
        <v>27.73</v>
      </c>
      <c r="M5169">
        <f t="shared" si="2186"/>
        <v>2.4699999999999989</v>
      </c>
      <c r="N5169">
        <f t="shared" si="2164"/>
        <v>4.9399999999999977</v>
      </c>
      <c r="O5169">
        <f t="shared" si="2187"/>
        <v>27.55</v>
      </c>
      <c r="P5169">
        <f t="shared" si="2188"/>
        <v>-7.2874493927125431E-2</v>
      </c>
      <c r="Q5169" t="str">
        <f t="shared" si="2165"/>
        <v>8.31% | 9.62%</v>
      </c>
      <c r="R5169" t="str">
        <f t="shared" si="2189"/>
        <v>BULLISH</v>
      </c>
      <c r="S5169">
        <f t="shared" si="2166"/>
        <v>1</v>
      </c>
    </row>
    <row r="5170" spans="1:19" hidden="1" x14ac:dyDescent="0.25">
      <c r="A5170" s="5" t="str">
        <f t="shared" si="2167"/>
        <v>44130USD</v>
      </c>
      <c r="B5170" s="6" t="s">
        <v>94</v>
      </c>
      <c r="C5170" s="6">
        <v>92.4</v>
      </c>
      <c r="D5170" s="6">
        <v>93.49</v>
      </c>
      <c r="E5170" s="6">
        <v>92.76</v>
      </c>
      <c r="F5170" t="str">
        <f t="shared" si="2179"/>
        <v>MON</v>
      </c>
      <c r="G5170" s="3">
        <f t="shared" si="2180"/>
        <v>44130</v>
      </c>
      <c r="H5170" s="2">
        <f t="shared" ca="1" si="2181"/>
        <v>123</v>
      </c>
      <c r="I5170" t="str">
        <f t="shared" si="2182"/>
        <v>USD</v>
      </c>
      <c r="J5170">
        <f t="shared" si="2183"/>
        <v>92.4</v>
      </c>
      <c r="K5170">
        <f t="shared" si="2184"/>
        <v>93.49</v>
      </c>
      <c r="L5170">
        <f t="shared" si="2185"/>
        <v>92.944999999999993</v>
      </c>
      <c r="M5170">
        <f t="shared" si="2186"/>
        <v>0.5449999999999946</v>
      </c>
      <c r="N5170">
        <f t="shared" si="2164"/>
        <v>1.0899999999999892</v>
      </c>
      <c r="O5170">
        <f t="shared" si="2187"/>
        <v>92.76</v>
      </c>
      <c r="P5170">
        <f t="shared" si="2188"/>
        <v>-0.33944954128438515</v>
      </c>
      <c r="Q5170" t="str">
        <f t="shared" si="2165"/>
        <v>0.39% | 0.79%</v>
      </c>
      <c r="R5170" t="str">
        <f t="shared" si="2189"/>
        <v>BEARISH</v>
      </c>
      <c r="S5170">
        <f t="shared" si="2166"/>
        <v>-1</v>
      </c>
    </row>
    <row r="5171" spans="1:19" hidden="1" x14ac:dyDescent="0.25">
      <c r="A5171" s="5" t="str">
        <f t="shared" si="2167"/>
        <v>44130EUR/USD</v>
      </c>
      <c r="B5171" s="6" t="s">
        <v>77</v>
      </c>
      <c r="C5171" s="6">
        <v>1.167</v>
      </c>
      <c r="D5171" s="6">
        <v>1.1890000000000001</v>
      </c>
      <c r="E5171" s="6">
        <v>1.1859999999999999</v>
      </c>
      <c r="F5171" t="str">
        <f t="shared" si="2179"/>
        <v>MON</v>
      </c>
      <c r="G5171" s="3">
        <f t="shared" si="2180"/>
        <v>44130</v>
      </c>
      <c r="H5171" s="2">
        <f t="shared" ca="1" si="2181"/>
        <v>123</v>
      </c>
      <c r="I5171" t="str">
        <f t="shared" si="2182"/>
        <v>EUR/USD</v>
      </c>
      <c r="J5171">
        <f t="shared" si="2183"/>
        <v>1.167</v>
      </c>
      <c r="K5171">
        <f t="shared" si="2184"/>
        <v>1.1890000000000001</v>
      </c>
      <c r="L5171">
        <f t="shared" si="2185"/>
        <v>1.1779999999999999</v>
      </c>
      <c r="M5171">
        <f t="shared" si="2186"/>
        <v>1.100000000000001E-2</v>
      </c>
      <c r="N5171">
        <f t="shared" si="2164"/>
        <v>2.200000000000002E-2</v>
      </c>
      <c r="O5171">
        <f t="shared" si="2187"/>
        <v>1.1859999999999999</v>
      </c>
      <c r="P5171">
        <f t="shared" si="2188"/>
        <v>0.72727272727272729</v>
      </c>
      <c r="Q5171" t="str">
        <f t="shared" si="2165"/>
        <v>1.6% | 0.25%</v>
      </c>
      <c r="R5171" t="str">
        <f t="shared" si="2189"/>
        <v>NEUTRAL</v>
      </c>
      <c r="S5171">
        <f t="shared" si="2166"/>
        <v>0</v>
      </c>
    </row>
    <row r="5172" spans="1:19" hidden="1" x14ac:dyDescent="0.25">
      <c r="A5172" s="5" t="str">
        <f t="shared" si="2167"/>
        <v>44130USD/JPY</v>
      </c>
      <c r="B5172" s="6" t="s">
        <v>20</v>
      </c>
      <c r="C5172" s="6">
        <v>104.39</v>
      </c>
      <c r="D5172" s="6">
        <v>105.84</v>
      </c>
      <c r="E5172" s="6">
        <v>104.69</v>
      </c>
      <c r="F5172" t="str">
        <f t="shared" si="2179"/>
        <v>MON</v>
      </c>
      <c r="G5172" s="3">
        <f t="shared" si="2180"/>
        <v>44130</v>
      </c>
      <c r="H5172" s="2">
        <f t="shared" ca="1" si="2181"/>
        <v>123</v>
      </c>
      <c r="I5172" t="str">
        <f t="shared" si="2182"/>
        <v>USD/JPY</v>
      </c>
      <c r="J5172">
        <f t="shared" si="2183"/>
        <v>104.39</v>
      </c>
      <c r="K5172">
        <f t="shared" si="2184"/>
        <v>105.84</v>
      </c>
      <c r="L5172">
        <f t="shared" si="2185"/>
        <v>105.11500000000001</v>
      </c>
      <c r="M5172">
        <f t="shared" si="2186"/>
        <v>0.72500000000000142</v>
      </c>
      <c r="N5172">
        <f t="shared" si="2164"/>
        <v>1.4500000000000028</v>
      </c>
      <c r="O5172">
        <f t="shared" si="2187"/>
        <v>104.69</v>
      </c>
      <c r="P5172">
        <f t="shared" si="2188"/>
        <v>-0.58620689655173863</v>
      </c>
      <c r="Q5172" t="str">
        <f t="shared" si="2165"/>
        <v>0.29% | 1.1%</v>
      </c>
      <c r="R5172" t="str">
        <f t="shared" si="2189"/>
        <v>BEARISH</v>
      </c>
      <c r="S5172">
        <f t="shared" si="2166"/>
        <v>-1</v>
      </c>
    </row>
    <row r="5173" spans="1:19" hidden="1" x14ac:dyDescent="0.25">
      <c r="A5173" s="5" t="str">
        <f t="shared" si="2167"/>
        <v>44130GBP/USD</v>
      </c>
      <c r="B5173" s="6" t="s">
        <v>102</v>
      </c>
      <c r="C5173" s="6">
        <v>1.29</v>
      </c>
      <c r="D5173" s="6">
        <v>1.31</v>
      </c>
      <c r="E5173" s="6">
        <v>1.3</v>
      </c>
      <c r="F5173" t="str">
        <f t="shared" si="2179"/>
        <v>MON</v>
      </c>
      <c r="G5173" s="3">
        <f t="shared" si="2180"/>
        <v>44130</v>
      </c>
      <c r="H5173" s="2">
        <f t="shared" ca="1" si="2181"/>
        <v>123</v>
      </c>
      <c r="I5173" t="str">
        <f t="shared" si="2182"/>
        <v>GBP/USD</v>
      </c>
      <c r="J5173">
        <f t="shared" si="2183"/>
        <v>1.29</v>
      </c>
      <c r="K5173">
        <f t="shared" si="2184"/>
        <v>1.31</v>
      </c>
      <c r="L5173">
        <f t="shared" si="2185"/>
        <v>1.3</v>
      </c>
      <c r="M5173">
        <f t="shared" si="2186"/>
        <v>1.0000000000000009E-2</v>
      </c>
      <c r="N5173">
        <f t="shared" si="2164"/>
        <v>2.0000000000000018E-2</v>
      </c>
      <c r="O5173">
        <f t="shared" si="2187"/>
        <v>1.3</v>
      </c>
      <c r="P5173">
        <f t="shared" si="2188"/>
        <v>0</v>
      </c>
      <c r="Q5173" t="str">
        <f t="shared" si="2165"/>
        <v>0.77% | 0.77%</v>
      </c>
      <c r="R5173" t="str">
        <f t="shared" si="2189"/>
        <v>BULLISH</v>
      </c>
      <c r="S5173">
        <f t="shared" si="2166"/>
        <v>1</v>
      </c>
    </row>
    <row r="5174" spans="1:19" hidden="1" x14ac:dyDescent="0.25">
      <c r="A5174" s="5" t="str">
        <f t="shared" si="2167"/>
        <v>44130USD/CHF</v>
      </c>
      <c r="B5174" s="6" t="s">
        <v>76</v>
      </c>
      <c r="C5174" s="6">
        <v>0.89</v>
      </c>
      <c r="D5174" s="6">
        <v>0.92</v>
      </c>
      <c r="E5174" s="6">
        <v>0.9</v>
      </c>
      <c r="F5174" t="str">
        <f t="shared" si="2179"/>
        <v>MON</v>
      </c>
      <c r="G5174" s="3">
        <f t="shared" si="2180"/>
        <v>44130</v>
      </c>
      <c r="H5174" s="2">
        <f t="shared" ca="1" si="2181"/>
        <v>123</v>
      </c>
      <c r="I5174" t="str">
        <f t="shared" si="2182"/>
        <v>USD/CHF</v>
      </c>
      <c r="J5174">
        <f t="shared" si="2183"/>
        <v>0.89</v>
      </c>
      <c r="K5174">
        <f t="shared" si="2184"/>
        <v>0.92</v>
      </c>
      <c r="L5174">
        <f t="shared" si="2185"/>
        <v>0.90500000000000003</v>
      </c>
      <c r="M5174">
        <f t="shared" si="2186"/>
        <v>1.5000000000000013E-2</v>
      </c>
      <c r="N5174">
        <f t="shared" si="2164"/>
        <v>3.0000000000000027E-2</v>
      </c>
      <c r="O5174">
        <f t="shared" si="2187"/>
        <v>0.9</v>
      </c>
      <c r="P5174">
        <f t="shared" si="2188"/>
        <v>-0.33333333333333331</v>
      </c>
      <c r="Q5174" t="str">
        <f t="shared" si="2165"/>
        <v>1.11% | 2.22%</v>
      </c>
      <c r="R5174" t="str">
        <f t="shared" si="2189"/>
        <v>BEARISH</v>
      </c>
      <c r="S5174">
        <f t="shared" si="2166"/>
        <v>-1</v>
      </c>
    </row>
    <row r="5175" spans="1:19" hidden="1" x14ac:dyDescent="0.25">
      <c r="A5175" s="5" t="str">
        <f t="shared" si="2167"/>
        <v>44130WTIC</v>
      </c>
      <c r="B5175" s="6" t="s">
        <v>23</v>
      </c>
      <c r="C5175" s="6">
        <v>38.51</v>
      </c>
      <c r="D5175" s="6">
        <v>41.95</v>
      </c>
      <c r="E5175" s="6">
        <v>39.85</v>
      </c>
      <c r="F5175" t="str">
        <f t="shared" si="2179"/>
        <v>MON</v>
      </c>
      <c r="G5175" s="3">
        <f t="shared" si="2180"/>
        <v>44130</v>
      </c>
      <c r="H5175" s="2">
        <f t="shared" ca="1" si="2181"/>
        <v>123</v>
      </c>
      <c r="I5175" t="str">
        <f t="shared" si="2182"/>
        <v>WTIC</v>
      </c>
      <c r="J5175">
        <f t="shared" si="2183"/>
        <v>38.51</v>
      </c>
      <c r="K5175">
        <f t="shared" si="2184"/>
        <v>41.95</v>
      </c>
      <c r="L5175">
        <f t="shared" si="2185"/>
        <v>40.230000000000004</v>
      </c>
      <c r="M5175">
        <f t="shared" si="2186"/>
        <v>1.7200000000000024</v>
      </c>
      <c r="N5175">
        <f t="shared" si="2164"/>
        <v>3.4400000000000048</v>
      </c>
      <c r="O5175">
        <f t="shared" si="2187"/>
        <v>39.85</v>
      </c>
      <c r="P5175">
        <f t="shared" si="2188"/>
        <v>-0.2209302325581407</v>
      </c>
      <c r="Q5175" t="str">
        <f t="shared" si="2165"/>
        <v>3.36% | 5.27%</v>
      </c>
      <c r="R5175" t="str">
        <f t="shared" si="2189"/>
        <v>BEARISH</v>
      </c>
      <c r="S5175">
        <f t="shared" si="2166"/>
        <v>-1</v>
      </c>
    </row>
    <row r="5176" spans="1:19" hidden="1" x14ac:dyDescent="0.25">
      <c r="A5176" s="5" t="str">
        <f t="shared" si="2167"/>
        <v>44130NATGAS</v>
      </c>
      <c r="B5176" s="6" t="s">
        <v>89</v>
      </c>
      <c r="C5176" s="6">
        <v>2.62</v>
      </c>
      <c r="D5176" s="6">
        <v>3.21</v>
      </c>
      <c r="E5176" s="6">
        <v>3.19</v>
      </c>
      <c r="F5176" t="str">
        <f t="shared" si="2179"/>
        <v>MON</v>
      </c>
      <c r="G5176" s="3">
        <f t="shared" si="2180"/>
        <v>44130</v>
      </c>
      <c r="H5176" s="2">
        <f t="shared" ca="1" si="2181"/>
        <v>123</v>
      </c>
      <c r="I5176" t="str">
        <f t="shared" si="2182"/>
        <v>NATGAS</v>
      </c>
      <c r="J5176">
        <f t="shared" si="2183"/>
        <v>2.62</v>
      </c>
      <c r="K5176">
        <f t="shared" si="2184"/>
        <v>3.21</v>
      </c>
      <c r="L5176">
        <f t="shared" si="2185"/>
        <v>2.915</v>
      </c>
      <c r="M5176">
        <f t="shared" si="2186"/>
        <v>0.29500000000000098</v>
      </c>
      <c r="N5176">
        <f t="shared" si="2164"/>
        <v>0.58999999999999986</v>
      </c>
      <c r="O5176">
        <f t="shared" si="2187"/>
        <v>3.19</v>
      </c>
      <c r="P5176">
        <f t="shared" si="2188"/>
        <v>0.9322033898305051</v>
      </c>
      <c r="Q5176" t="str">
        <f t="shared" si="2165"/>
        <v>17.87% | 0.63%</v>
      </c>
      <c r="R5176" t="str">
        <f t="shared" si="2189"/>
        <v>BULLISH</v>
      </c>
      <c r="S5176">
        <f t="shared" si="2166"/>
        <v>1</v>
      </c>
    </row>
    <row r="5177" spans="1:19" hidden="1" x14ac:dyDescent="0.25">
      <c r="A5177" s="5" t="str">
        <f t="shared" si="2167"/>
        <v>44130GOLD</v>
      </c>
      <c r="B5177" s="6" t="s">
        <v>25</v>
      </c>
      <c r="C5177" s="6">
        <v>1881</v>
      </c>
      <c r="D5177" s="6">
        <v>1931</v>
      </c>
      <c r="E5177" s="6">
        <v>1905</v>
      </c>
      <c r="F5177" t="str">
        <f t="shared" si="2179"/>
        <v>MON</v>
      </c>
      <c r="G5177" s="3">
        <f t="shared" si="2180"/>
        <v>44130</v>
      </c>
      <c r="H5177" s="2">
        <f t="shared" ca="1" si="2181"/>
        <v>123</v>
      </c>
      <c r="I5177" t="str">
        <f t="shared" si="2182"/>
        <v>GOLD</v>
      </c>
      <c r="J5177">
        <f t="shared" si="2183"/>
        <v>1881</v>
      </c>
      <c r="K5177">
        <f t="shared" si="2184"/>
        <v>1931</v>
      </c>
      <c r="L5177">
        <f t="shared" si="2185"/>
        <v>1906</v>
      </c>
      <c r="M5177">
        <f t="shared" si="2186"/>
        <v>25</v>
      </c>
      <c r="N5177">
        <f t="shared" si="2164"/>
        <v>50</v>
      </c>
      <c r="O5177">
        <f t="shared" si="2187"/>
        <v>1905</v>
      </c>
      <c r="P5177">
        <f t="shared" si="2188"/>
        <v>-0.04</v>
      </c>
      <c r="Q5177" t="str">
        <f t="shared" si="2165"/>
        <v>1.26% | 1.36%</v>
      </c>
      <c r="R5177" t="str">
        <f t="shared" si="2189"/>
        <v>BULLISH</v>
      </c>
      <c r="S5177">
        <f t="shared" si="2166"/>
        <v>1</v>
      </c>
    </row>
    <row r="5178" spans="1:19" hidden="1" x14ac:dyDescent="0.25">
      <c r="A5178" s="5" t="str">
        <f t="shared" si="2167"/>
        <v>44130SILVER</v>
      </c>
      <c r="B5178" s="6" t="s">
        <v>195</v>
      </c>
      <c r="C5178" s="6">
        <v>23.71</v>
      </c>
      <c r="D5178" s="6">
        <v>25.38</v>
      </c>
      <c r="E5178" s="6">
        <v>24.67</v>
      </c>
      <c r="F5178" t="str">
        <f t="shared" si="2179"/>
        <v>MON</v>
      </c>
      <c r="G5178" s="3">
        <f t="shared" si="2180"/>
        <v>44130</v>
      </c>
      <c r="H5178" s="2">
        <f t="shared" ca="1" si="2181"/>
        <v>123</v>
      </c>
      <c r="I5178" t="str">
        <f t="shared" si="2182"/>
        <v>SILVER</v>
      </c>
      <c r="J5178">
        <f t="shared" si="2183"/>
        <v>23.71</v>
      </c>
      <c r="K5178">
        <f t="shared" si="2184"/>
        <v>25.38</v>
      </c>
      <c r="L5178">
        <f t="shared" si="2185"/>
        <v>24.545000000000002</v>
      </c>
      <c r="M5178">
        <f t="shared" si="2186"/>
        <v>0.83499999999999908</v>
      </c>
      <c r="N5178">
        <f t="shared" si="2164"/>
        <v>1.6699999999999982</v>
      </c>
      <c r="O5178">
        <f t="shared" si="2187"/>
        <v>24.67</v>
      </c>
      <c r="P5178">
        <f t="shared" si="2188"/>
        <v>0.14970059880239536</v>
      </c>
      <c r="Q5178" t="str">
        <f t="shared" si="2165"/>
        <v>3.89% | 2.88%</v>
      </c>
      <c r="R5178" t="str">
        <f t="shared" si="2189"/>
        <v>BULLISH</v>
      </c>
      <c r="S5178">
        <f t="shared" si="2166"/>
        <v>1</v>
      </c>
    </row>
    <row r="5179" spans="1:19" hidden="1" x14ac:dyDescent="0.25">
      <c r="A5179" s="5" t="str">
        <f t="shared" si="2167"/>
        <v>44130COPPER</v>
      </c>
      <c r="B5179" s="6" t="s">
        <v>100</v>
      </c>
      <c r="C5179" s="6">
        <v>3.01</v>
      </c>
      <c r="D5179" s="6">
        <v>3.21</v>
      </c>
      <c r="E5179" s="6">
        <v>3.13</v>
      </c>
      <c r="F5179" t="str">
        <f t="shared" si="2179"/>
        <v>MON</v>
      </c>
      <c r="G5179" s="3">
        <f t="shared" si="2180"/>
        <v>44130</v>
      </c>
      <c r="H5179" s="2">
        <f t="shared" ca="1" si="2181"/>
        <v>123</v>
      </c>
      <c r="I5179" t="str">
        <f t="shared" si="2182"/>
        <v>COPPER</v>
      </c>
      <c r="J5179">
        <f t="shared" si="2183"/>
        <v>3.01</v>
      </c>
      <c r="K5179">
        <f t="shared" si="2184"/>
        <v>3.21</v>
      </c>
      <c r="L5179">
        <f t="shared" si="2185"/>
        <v>3.11</v>
      </c>
      <c r="M5179">
        <f t="shared" si="2186"/>
        <v>0.10000000000000009</v>
      </c>
      <c r="N5179">
        <f t="shared" si="2164"/>
        <v>0.20000000000000018</v>
      </c>
      <c r="O5179">
        <f t="shared" si="2187"/>
        <v>3.13</v>
      </c>
      <c r="P5179">
        <f t="shared" si="2188"/>
        <v>0.2</v>
      </c>
      <c r="Q5179" t="str">
        <f t="shared" si="2165"/>
        <v>3.83% | 2.56%</v>
      </c>
      <c r="R5179" t="str">
        <f t="shared" si="2189"/>
        <v>BULLISH</v>
      </c>
      <c r="S5179">
        <f t="shared" si="2166"/>
        <v>1</v>
      </c>
    </row>
    <row r="5180" spans="1:19" hidden="1" x14ac:dyDescent="0.25">
      <c r="A5180" s="5" t="str">
        <f t="shared" si="2167"/>
        <v>44130MSFT</v>
      </c>
      <c r="B5180" s="6" t="s">
        <v>27</v>
      </c>
      <c r="C5180" s="6">
        <v>211</v>
      </c>
      <c r="D5180" s="6">
        <v>224</v>
      </c>
      <c r="E5180" s="6">
        <v>216</v>
      </c>
      <c r="F5180" t="str">
        <f t="shared" si="2179"/>
        <v>MON</v>
      </c>
      <c r="G5180" s="3">
        <f t="shared" si="2180"/>
        <v>44130</v>
      </c>
      <c r="H5180" s="2">
        <f t="shared" ca="1" si="2181"/>
        <v>123</v>
      </c>
      <c r="I5180" t="str">
        <f t="shared" si="2182"/>
        <v>MSFT</v>
      </c>
      <c r="J5180">
        <f t="shared" si="2183"/>
        <v>211</v>
      </c>
      <c r="K5180">
        <f t="shared" si="2184"/>
        <v>224</v>
      </c>
      <c r="L5180">
        <f t="shared" si="2185"/>
        <v>217.5</v>
      </c>
      <c r="M5180">
        <f t="shared" si="2186"/>
        <v>6.5</v>
      </c>
      <c r="N5180">
        <f t="shared" si="2164"/>
        <v>13</v>
      </c>
      <c r="O5180">
        <f t="shared" si="2187"/>
        <v>216</v>
      </c>
      <c r="P5180">
        <f t="shared" si="2188"/>
        <v>-0.23076923076923078</v>
      </c>
      <c r="Q5180" t="str">
        <f t="shared" si="2165"/>
        <v>2.31% | 3.7%</v>
      </c>
      <c r="R5180" t="str">
        <f t="shared" si="2189"/>
        <v>BULLISH</v>
      </c>
      <c r="S5180">
        <f t="shared" si="2166"/>
        <v>1</v>
      </c>
    </row>
    <row r="5181" spans="1:19" hidden="1" x14ac:dyDescent="0.25">
      <c r="A5181" s="5" t="str">
        <f t="shared" si="2167"/>
        <v>44130AAPL</v>
      </c>
      <c r="B5181" s="6" t="s">
        <v>63</v>
      </c>
      <c r="C5181" s="6">
        <v>110</v>
      </c>
      <c r="D5181" s="6">
        <v>122</v>
      </c>
      <c r="E5181" s="6">
        <v>115</v>
      </c>
      <c r="F5181" t="str">
        <f t="shared" si="2179"/>
        <v>MON</v>
      </c>
      <c r="G5181" s="3">
        <f t="shared" si="2180"/>
        <v>44130</v>
      </c>
      <c r="H5181" s="2">
        <f t="shared" ca="1" si="2181"/>
        <v>123</v>
      </c>
      <c r="I5181" t="str">
        <f t="shared" si="2182"/>
        <v>AAPL</v>
      </c>
      <c r="J5181">
        <f t="shared" si="2183"/>
        <v>110</v>
      </c>
      <c r="K5181">
        <f t="shared" si="2184"/>
        <v>122</v>
      </c>
      <c r="L5181">
        <f t="shared" si="2185"/>
        <v>116</v>
      </c>
      <c r="M5181">
        <f t="shared" si="2186"/>
        <v>6</v>
      </c>
      <c r="N5181">
        <f t="shared" si="2164"/>
        <v>12</v>
      </c>
      <c r="O5181">
        <f t="shared" si="2187"/>
        <v>115</v>
      </c>
      <c r="P5181">
        <f t="shared" si="2188"/>
        <v>-0.16666666666666666</v>
      </c>
      <c r="Q5181" t="str">
        <f t="shared" si="2165"/>
        <v>4.35% | 6.09%</v>
      </c>
      <c r="R5181" t="str">
        <f t="shared" si="2189"/>
        <v>NEUTRAL</v>
      </c>
      <c r="S5181">
        <f t="shared" si="2166"/>
        <v>0</v>
      </c>
    </row>
    <row r="5182" spans="1:19" hidden="1" x14ac:dyDescent="0.25">
      <c r="A5182" s="5" t="str">
        <f t="shared" si="2167"/>
        <v>44130AMZN</v>
      </c>
      <c r="B5182" s="6" t="s">
        <v>29</v>
      </c>
      <c r="C5182" s="6">
        <v>3085</v>
      </c>
      <c r="D5182" s="6">
        <v>3445</v>
      </c>
      <c r="E5182" s="6">
        <v>3204</v>
      </c>
      <c r="F5182" t="str">
        <f t="shared" si="2179"/>
        <v>MON</v>
      </c>
      <c r="G5182" s="3">
        <f t="shared" si="2180"/>
        <v>44130</v>
      </c>
      <c r="H5182" s="2">
        <f t="shared" ca="1" si="2181"/>
        <v>123</v>
      </c>
      <c r="I5182" t="str">
        <f t="shared" si="2182"/>
        <v>AMZN</v>
      </c>
      <c r="J5182">
        <f t="shared" si="2183"/>
        <v>3085</v>
      </c>
      <c r="K5182">
        <f t="shared" si="2184"/>
        <v>3445</v>
      </c>
      <c r="L5182">
        <f t="shared" si="2185"/>
        <v>3265</v>
      </c>
      <c r="M5182">
        <f t="shared" si="2186"/>
        <v>180</v>
      </c>
      <c r="N5182">
        <f t="shared" si="2164"/>
        <v>360</v>
      </c>
      <c r="O5182">
        <f t="shared" si="2187"/>
        <v>3204</v>
      </c>
      <c r="P5182">
        <f t="shared" si="2188"/>
        <v>-0.33888888888888891</v>
      </c>
      <c r="Q5182" t="str">
        <f t="shared" si="2165"/>
        <v>3.71% | 7.52%</v>
      </c>
      <c r="R5182" t="str">
        <f t="shared" si="2189"/>
        <v>BULLISH</v>
      </c>
      <c r="S5182">
        <f t="shared" si="2166"/>
        <v>1</v>
      </c>
    </row>
    <row r="5183" spans="1:19" hidden="1" x14ac:dyDescent="0.25">
      <c r="A5183" s="5" t="str">
        <f t="shared" si="2167"/>
        <v>44130FB</v>
      </c>
      <c r="B5183" s="6" t="s">
        <v>30</v>
      </c>
      <c r="C5183" s="6">
        <v>258</v>
      </c>
      <c r="D5183" s="6">
        <v>288</v>
      </c>
      <c r="E5183" s="6">
        <v>284</v>
      </c>
      <c r="F5183" t="str">
        <f t="shared" si="2179"/>
        <v>MON</v>
      </c>
      <c r="G5183" s="3">
        <f t="shared" si="2180"/>
        <v>44130</v>
      </c>
      <c r="H5183" s="2">
        <f t="shared" ca="1" si="2181"/>
        <v>123</v>
      </c>
      <c r="I5183" t="str">
        <f t="shared" si="2182"/>
        <v>FB</v>
      </c>
      <c r="J5183">
        <f t="shared" si="2183"/>
        <v>258</v>
      </c>
      <c r="K5183">
        <f t="shared" si="2184"/>
        <v>288</v>
      </c>
      <c r="L5183">
        <f t="shared" si="2185"/>
        <v>273</v>
      </c>
      <c r="M5183">
        <f t="shared" si="2186"/>
        <v>15</v>
      </c>
      <c r="N5183">
        <f t="shared" si="2164"/>
        <v>30</v>
      </c>
      <c r="O5183">
        <f t="shared" si="2187"/>
        <v>284</v>
      </c>
      <c r="P5183">
        <f t="shared" si="2188"/>
        <v>0.73333333333333328</v>
      </c>
      <c r="Q5183" t="str">
        <f t="shared" si="2165"/>
        <v>9.15% | 1.41%</v>
      </c>
      <c r="R5183" t="str">
        <f t="shared" si="2189"/>
        <v>BULLISH</v>
      </c>
      <c r="S5183">
        <f t="shared" si="2166"/>
        <v>1</v>
      </c>
    </row>
    <row r="5184" spans="1:19" hidden="1" x14ac:dyDescent="0.25">
      <c r="A5184" s="5" t="str">
        <f t="shared" si="2167"/>
        <v>44130GOOGL</v>
      </c>
      <c r="B5184" s="6" t="s">
        <v>31</v>
      </c>
      <c r="C5184" s="6">
        <v>1515</v>
      </c>
      <c r="D5184" s="6">
        <v>1646</v>
      </c>
      <c r="E5184" s="6">
        <v>1632</v>
      </c>
      <c r="F5184" t="str">
        <f t="shared" si="2179"/>
        <v>MON</v>
      </c>
      <c r="G5184" s="3">
        <f t="shared" si="2180"/>
        <v>44130</v>
      </c>
      <c r="H5184" s="2">
        <f t="shared" ca="1" si="2181"/>
        <v>123</v>
      </c>
      <c r="I5184" t="str">
        <f t="shared" si="2182"/>
        <v>GOOGL</v>
      </c>
      <c r="J5184">
        <f t="shared" si="2183"/>
        <v>1515</v>
      </c>
      <c r="K5184">
        <f t="shared" si="2184"/>
        <v>1646</v>
      </c>
      <c r="L5184">
        <f t="shared" si="2185"/>
        <v>1580.5</v>
      </c>
      <c r="M5184">
        <f t="shared" si="2186"/>
        <v>65.5</v>
      </c>
      <c r="N5184">
        <f t="shared" si="2164"/>
        <v>131</v>
      </c>
      <c r="O5184">
        <f t="shared" si="2187"/>
        <v>1632</v>
      </c>
      <c r="P5184">
        <f t="shared" si="2188"/>
        <v>0.7862595419847328</v>
      </c>
      <c r="Q5184" t="str">
        <f t="shared" si="2165"/>
        <v>7.17% | 0.86%</v>
      </c>
      <c r="R5184" t="str">
        <f t="shared" si="2189"/>
        <v>BULLISH</v>
      </c>
      <c r="S5184">
        <f t="shared" si="2166"/>
        <v>1</v>
      </c>
    </row>
    <row r="5185" spans="1:19" hidden="1" x14ac:dyDescent="0.25">
      <c r="A5185" s="5" t="str">
        <f t="shared" si="2167"/>
        <v>44130NFLX</v>
      </c>
      <c r="B5185" s="6" t="s">
        <v>81</v>
      </c>
      <c r="C5185" s="6">
        <v>469</v>
      </c>
      <c r="D5185" s="6">
        <v>511</v>
      </c>
      <c r="E5185" s="6">
        <v>488</v>
      </c>
      <c r="F5185" t="str">
        <f t="shared" si="2179"/>
        <v>MON</v>
      </c>
      <c r="G5185" s="3">
        <f t="shared" si="2180"/>
        <v>44130</v>
      </c>
      <c r="H5185" s="2">
        <f t="shared" ca="1" si="2181"/>
        <v>123</v>
      </c>
      <c r="I5185" t="str">
        <f t="shared" si="2182"/>
        <v>NFLX</v>
      </c>
      <c r="J5185">
        <f t="shared" si="2183"/>
        <v>469</v>
      </c>
      <c r="K5185">
        <f t="shared" si="2184"/>
        <v>511</v>
      </c>
      <c r="L5185">
        <f t="shared" si="2185"/>
        <v>490</v>
      </c>
      <c r="M5185">
        <f t="shared" si="2186"/>
        <v>21</v>
      </c>
      <c r="N5185">
        <f t="shared" si="2164"/>
        <v>42</v>
      </c>
      <c r="O5185">
        <f t="shared" si="2187"/>
        <v>488</v>
      </c>
      <c r="P5185">
        <f t="shared" si="2188"/>
        <v>-9.5238095238095233E-2</v>
      </c>
      <c r="Q5185" t="str">
        <f t="shared" si="2165"/>
        <v>3.89% | 4.71%</v>
      </c>
      <c r="R5185" t="str">
        <f t="shared" si="2189"/>
        <v>BEARISH</v>
      </c>
      <c r="S5185">
        <f t="shared" si="2166"/>
        <v>-1</v>
      </c>
    </row>
    <row r="5186" spans="1:19" x14ac:dyDescent="0.25">
      <c r="A5186" s="5" t="str">
        <f t="shared" si="2167"/>
        <v>44130TSLA</v>
      </c>
      <c r="B5186" s="6" t="s">
        <v>71</v>
      </c>
      <c r="C5186" s="6">
        <v>402</v>
      </c>
      <c r="D5186" s="6">
        <v>463</v>
      </c>
      <c r="E5186" s="6">
        <v>420</v>
      </c>
      <c r="F5186" t="str">
        <f t="shared" si="2179"/>
        <v>MON</v>
      </c>
      <c r="G5186" s="3">
        <f t="shared" si="2180"/>
        <v>44130</v>
      </c>
      <c r="H5186" s="2">
        <f t="shared" ca="1" si="2181"/>
        <v>123</v>
      </c>
      <c r="I5186" t="str">
        <f t="shared" si="2182"/>
        <v>TSLA</v>
      </c>
      <c r="J5186">
        <f t="shared" si="2183"/>
        <v>402</v>
      </c>
      <c r="K5186">
        <f t="shared" si="2184"/>
        <v>463</v>
      </c>
      <c r="L5186">
        <f t="shared" si="2185"/>
        <v>432.5</v>
      </c>
      <c r="M5186">
        <f t="shared" si="2186"/>
        <v>30.5</v>
      </c>
      <c r="N5186">
        <f t="shared" si="2164"/>
        <v>61</v>
      </c>
      <c r="O5186">
        <f t="shared" si="2187"/>
        <v>420</v>
      </c>
      <c r="P5186">
        <f t="shared" si="2188"/>
        <v>-0.4098360655737705</v>
      </c>
      <c r="Q5186" t="str">
        <f t="shared" si="2165"/>
        <v>4.29% | 10.24%</v>
      </c>
      <c r="R5186" t="str">
        <f t="shared" si="2189"/>
        <v>NEUTRAL</v>
      </c>
      <c r="S5186">
        <f t="shared" si="2166"/>
        <v>0</v>
      </c>
    </row>
    <row r="5187" spans="1:19" hidden="1" x14ac:dyDescent="0.25">
      <c r="A5187" s="5" t="str">
        <f t="shared" si="2167"/>
        <v>44130NYXBT</v>
      </c>
      <c r="B5187" s="6" t="s">
        <v>60</v>
      </c>
      <c r="C5187" s="6">
        <v>11469</v>
      </c>
      <c r="D5187" s="6">
        <v>13288</v>
      </c>
      <c r="E5187" s="6">
        <v>12943</v>
      </c>
      <c r="F5187" t="str">
        <f t="shared" si="2179"/>
        <v>MON</v>
      </c>
      <c r="G5187" s="3">
        <f t="shared" si="2180"/>
        <v>44130</v>
      </c>
      <c r="H5187" s="2">
        <f t="shared" ca="1" si="2181"/>
        <v>123</v>
      </c>
      <c r="I5187" t="str">
        <f t="shared" si="2182"/>
        <v>NYXBT</v>
      </c>
      <c r="J5187">
        <f t="shared" si="2183"/>
        <v>11469</v>
      </c>
      <c r="K5187">
        <f t="shared" si="2184"/>
        <v>13288</v>
      </c>
      <c r="L5187">
        <f t="shared" si="2185"/>
        <v>12378.5</v>
      </c>
      <c r="M5187">
        <f t="shared" si="2186"/>
        <v>909.5</v>
      </c>
      <c r="N5187">
        <f t="shared" ref="N5187:N5250" si="2190">ABS(K5187-J5187)</f>
        <v>1819</v>
      </c>
      <c r="O5187">
        <f t="shared" si="2187"/>
        <v>12943</v>
      </c>
      <c r="P5187">
        <f t="shared" si="2188"/>
        <v>0.62067069818581633</v>
      </c>
      <c r="Q5187" t="str">
        <f t="shared" ref="Q5187:Q5250" si="2191">ROUND(ABS(100*(O5187-J5187)/O5187),2)&amp;"% | "&amp;ROUND(ABS(100*(K5187-O5187)/O5187),2)&amp;"%"</f>
        <v>11.39% | 2.67%</v>
      </c>
      <c r="R5187" t="str">
        <f t="shared" si="2189"/>
        <v>BULLISH</v>
      </c>
      <c r="S5187">
        <f t="shared" ref="S5187:S5250" si="2192">IF(R5187="BEARISH",-1,IF(R5187="NEUTRAL",0,IF(R5187="BULLISH",1,99)))</f>
        <v>1</v>
      </c>
    </row>
    <row r="5188" spans="1:19" hidden="1" x14ac:dyDescent="0.25">
      <c r="A5188" s="5" t="str">
        <f t="shared" si="2167"/>
        <v>44131UST10Y</v>
      </c>
      <c r="B5188" s="6" t="s">
        <v>4</v>
      </c>
      <c r="C5188" s="6">
        <v>0.88</v>
      </c>
      <c r="D5188" s="6">
        <v>0.7</v>
      </c>
      <c r="E5188" s="6">
        <v>0.81</v>
      </c>
      <c r="F5188" t="str">
        <f t="shared" si="2179"/>
        <v>TUE</v>
      </c>
      <c r="G5188" s="1">
        <f>DATE(2020,10,27)</f>
        <v>44131</v>
      </c>
      <c r="H5188" s="2">
        <f t="shared" ca="1" si="2181"/>
        <v>122</v>
      </c>
      <c r="I5188" t="str">
        <f t="shared" si="2182"/>
        <v>UST10Y</v>
      </c>
      <c r="J5188">
        <f t="shared" si="2183"/>
        <v>0.88</v>
      </c>
      <c r="K5188">
        <f t="shared" si="2184"/>
        <v>0.7</v>
      </c>
      <c r="L5188">
        <f t="shared" si="2185"/>
        <v>0.79</v>
      </c>
      <c r="M5188">
        <f t="shared" si="2186"/>
        <v>8.9999999999999358E-2</v>
      </c>
      <c r="N5188">
        <f t="shared" si="2190"/>
        <v>0.18000000000000005</v>
      </c>
      <c r="O5188">
        <f t="shared" si="2187"/>
        <v>0.81</v>
      </c>
      <c r="P5188">
        <f t="shared" si="2188"/>
        <v>0.22222222222222401</v>
      </c>
      <c r="Q5188" t="str">
        <f t="shared" si="2191"/>
        <v>8.64% | 13.58%</v>
      </c>
      <c r="R5188" t="str">
        <f t="shared" si="2189"/>
        <v>BEARISH</v>
      </c>
      <c r="S5188">
        <f t="shared" si="2192"/>
        <v>-1</v>
      </c>
    </row>
    <row r="5189" spans="1:19" hidden="1" x14ac:dyDescent="0.25">
      <c r="A5189" s="5" t="str">
        <f t="shared" si="2167"/>
        <v>44131UST2Y</v>
      </c>
      <c r="B5189" s="6" t="s">
        <v>5</v>
      </c>
      <c r="C5189" s="6">
        <v>0.18</v>
      </c>
      <c r="D5189" s="6">
        <v>0.12</v>
      </c>
      <c r="E5189" s="6">
        <v>0.16</v>
      </c>
      <c r="F5189" t="str">
        <f t="shared" ref="F5189:F5219" si="2193">UPPER(TEXT(G5189,"ddd"))</f>
        <v>TUE</v>
      </c>
      <c r="G5189" s="1">
        <f t="shared" ref="G5189:G5218" si="2194">DATE(2020,10,27)</f>
        <v>44131</v>
      </c>
      <c r="H5189" s="2">
        <f t="shared" ref="H5189:H5219" ca="1" si="2195">TODAY()-G5189</f>
        <v>122</v>
      </c>
      <c r="I5189" t="str">
        <f t="shared" ref="I5189:I5219" si="2196">TRIM(LEFT(B5189,FIND(" ",B5189,1)))</f>
        <v>UST2Y</v>
      </c>
      <c r="J5189">
        <f t="shared" ref="J5189:J5219" si="2197">C5189</f>
        <v>0.18</v>
      </c>
      <c r="K5189">
        <f t="shared" ref="K5189:K5219" si="2198">D5189</f>
        <v>0.12</v>
      </c>
      <c r="L5189">
        <f t="shared" ref="L5189:L5219" si="2199">AVERAGE(J5189:K5189)</f>
        <v>0.15</v>
      </c>
      <c r="M5189">
        <f t="shared" ref="M5189:M5219" si="2200">_xlfn.STDEV.P(J5189:K5189)</f>
        <v>2.9999999999999968E-2</v>
      </c>
      <c r="N5189">
        <f t="shared" si="2190"/>
        <v>0.06</v>
      </c>
      <c r="O5189">
        <f t="shared" ref="O5189:O5219" si="2201">E5189</f>
        <v>0.16</v>
      </c>
      <c r="P5189">
        <f t="shared" ref="P5189:P5219" si="2202">(O5189-L5189)/M5189</f>
        <v>0.33333333333333398</v>
      </c>
      <c r="Q5189" t="str">
        <f t="shared" si="2191"/>
        <v>12.5% | 25%</v>
      </c>
      <c r="R5189" t="str">
        <f t="shared" ref="R5189:R5219" si="2203">MID(B5189,FIND("(",B5189,1)+1,FIND(")",B5189,1)-FIND("(",B5189,1)-1)</f>
        <v>BEARISH</v>
      </c>
      <c r="S5189">
        <f t="shared" si="2192"/>
        <v>-1</v>
      </c>
    </row>
    <row r="5190" spans="1:19" hidden="1" x14ac:dyDescent="0.25">
      <c r="A5190" s="5" t="str">
        <f t="shared" si="2167"/>
        <v>44131SPX</v>
      </c>
      <c r="B5190" s="6" t="s">
        <v>6</v>
      </c>
      <c r="C5190" s="6">
        <v>3380</v>
      </c>
      <c r="D5190" s="6">
        <v>3510</v>
      </c>
      <c r="E5190" s="6">
        <v>3400</v>
      </c>
      <c r="F5190" t="str">
        <f t="shared" si="2193"/>
        <v>TUE</v>
      </c>
      <c r="G5190" s="1">
        <f t="shared" si="2194"/>
        <v>44131</v>
      </c>
      <c r="H5190" s="2">
        <f t="shared" ca="1" si="2195"/>
        <v>122</v>
      </c>
      <c r="I5190" t="str">
        <f t="shared" si="2196"/>
        <v>SPX</v>
      </c>
      <c r="J5190">
        <f t="shared" si="2197"/>
        <v>3380</v>
      </c>
      <c r="K5190">
        <f t="shared" si="2198"/>
        <v>3510</v>
      </c>
      <c r="L5190">
        <f t="shared" si="2199"/>
        <v>3445</v>
      </c>
      <c r="M5190">
        <f t="shared" si="2200"/>
        <v>65</v>
      </c>
      <c r="N5190">
        <f t="shared" si="2190"/>
        <v>130</v>
      </c>
      <c r="O5190">
        <f t="shared" si="2201"/>
        <v>3400</v>
      </c>
      <c r="P5190">
        <f t="shared" si="2202"/>
        <v>-0.69230769230769229</v>
      </c>
      <c r="Q5190" t="str">
        <f t="shared" si="2191"/>
        <v>0.59% | 3.24%</v>
      </c>
      <c r="R5190" t="str">
        <f t="shared" si="2203"/>
        <v>BEARISH</v>
      </c>
      <c r="S5190">
        <f t="shared" si="2192"/>
        <v>-1</v>
      </c>
    </row>
    <row r="5191" spans="1:19" hidden="1" x14ac:dyDescent="0.25">
      <c r="A5191" s="5" t="str">
        <f t="shared" ref="A5191:A5254" si="2204">G5191&amp;I5191</f>
        <v>44131RUT</v>
      </c>
      <c r="B5191" s="6" t="s">
        <v>240</v>
      </c>
      <c r="C5191" s="6">
        <v>1588</v>
      </c>
      <c r="D5191" s="6">
        <v>1648</v>
      </c>
      <c r="E5191" s="6">
        <v>1605</v>
      </c>
      <c r="F5191" t="str">
        <f t="shared" si="2193"/>
        <v>TUE</v>
      </c>
      <c r="G5191" s="1">
        <f t="shared" si="2194"/>
        <v>44131</v>
      </c>
      <c r="H5191" s="2">
        <f t="shared" ca="1" si="2195"/>
        <v>122</v>
      </c>
      <c r="I5191" t="str">
        <f t="shared" si="2196"/>
        <v>RUT</v>
      </c>
      <c r="J5191">
        <f t="shared" si="2197"/>
        <v>1588</v>
      </c>
      <c r="K5191">
        <f t="shared" si="2198"/>
        <v>1648</v>
      </c>
      <c r="L5191">
        <f t="shared" si="2199"/>
        <v>1618</v>
      </c>
      <c r="M5191">
        <f t="shared" si="2200"/>
        <v>30</v>
      </c>
      <c r="N5191">
        <f t="shared" si="2190"/>
        <v>60</v>
      </c>
      <c r="O5191">
        <f t="shared" si="2201"/>
        <v>1605</v>
      </c>
      <c r="P5191">
        <f t="shared" si="2202"/>
        <v>-0.43333333333333335</v>
      </c>
      <c r="Q5191" t="str">
        <f t="shared" si="2191"/>
        <v>1.06% | 2.68%</v>
      </c>
      <c r="R5191" t="str">
        <f t="shared" si="2203"/>
        <v>NEUTRAL</v>
      </c>
      <c r="S5191">
        <f t="shared" si="2192"/>
        <v>0</v>
      </c>
    </row>
    <row r="5192" spans="1:19" hidden="1" x14ac:dyDescent="0.25">
      <c r="A5192" s="5" t="str">
        <f t="shared" si="2204"/>
        <v>44131COMPQ</v>
      </c>
      <c r="B5192" s="6" t="s">
        <v>61</v>
      </c>
      <c r="C5192" s="6">
        <v>11305</v>
      </c>
      <c r="D5192" s="6">
        <v>11808</v>
      </c>
      <c r="E5192" s="6">
        <v>11358</v>
      </c>
      <c r="F5192" t="str">
        <f t="shared" si="2193"/>
        <v>TUE</v>
      </c>
      <c r="G5192" s="1">
        <f t="shared" si="2194"/>
        <v>44131</v>
      </c>
      <c r="H5192" s="2">
        <f t="shared" ca="1" si="2195"/>
        <v>122</v>
      </c>
      <c r="I5192" t="str">
        <f t="shared" si="2196"/>
        <v>COMPQ</v>
      </c>
      <c r="J5192">
        <f t="shared" si="2197"/>
        <v>11305</v>
      </c>
      <c r="K5192">
        <f t="shared" si="2198"/>
        <v>11808</v>
      </c>
      <c r="L5192">
        <f t="shared" si="2199"/>
        <v>11556.5</v>
      </c>
      <c r="M5192">
        <f t="shared" si="2200"/>
        <v>251.5</v>
      </c>
      <c r="N5192">
        <f t="shared" si="2190"/>
        <v>503</v>
      </c>
      <c r="O5192">
        <f t="shared" si="2201"/>
        <v>11358</v>
      </c>
      <c r="P5192">
        <f t="shared" si="2202"/>
        <v>-0.78926441351888665</v>
      </c>
      <c r="Q5192" t="str">
        <f t="shared" si="2191"/>
        <v>0.47% | 3.96%</v>
      </c>
      <c r="R5192" t="str">
        <f t="shared" si="2203"/>
        <v>NEUTRAL</v>
      </c>
      <c r="S5192">
        <f t="shared" si="2192"/>
        <v>0</v>
      </c>
    </row>
    <row r="5193" spans="1:19" hidden="1" x14ac:dyDescent="0.25">
      <c r="A5193" s="5" t="str">
        <f t="shared" si="2204"/>
        <v>44131XLK</v>
      </c>
      <c r="B5193" s="6" t="s">
        <v>62</v>
      </c>
      <c r="C5193" s="6">
        <v>115.07</v>
      </c>
      <c r="D5193" s="6">
        <v>122.99</v>
      </c>
      <c r="E5193" s="6">
        <v>115.87</v>
      </c>
      <c r="F5193" t="str">
        <f t="shared" si="2193"/>
        <v>TUE</v>
      </c>
      <c r="G5193" s="1">
        <f t="shared" si="2194"/>
        <v>44131</v>
      </c>
      <c r="H5193" s="2">
        <f t="shared" ca="1" si="2195"/>
        <v>122</v>
      </c>
      <c r="I5193" t="str">
        <f t="shared" si="2196"/>
        <v>XLK</v>
      </c>
      <c r="J5193">
        <f t="shared" si="2197"/>
        <v>115.07</v>
      </c>
      <c r="K5193">
        <f t="shared" si="2198"/>
        <v>122.99</v>
      </c>
      <c r="L5193">
        <f t="shared" si="2199"/>
        <v>119.03</v>
      </c>
      <c r="M5193">
        <f t="shared" si="2200"/>
        <v>3.9600000000000009</v>
      </c>
      <c r="N5193">
        <f t="shared" si="2190"/>
        <v>7.9200000000000017</v>
      </c>
      <c r="O5193">
        <f t="shared" si="2201"/>
        <v>115.87</v>
      </c>
      <c r="P5193">
        <f t="shared" si="2202"/>
        <v>-0.7979797979797969</v>
      </c>
      <c r="Q5193" t="str">
        <f t="shared" si="2191"/>
        <v>0.69% | 6.14%</v>
      </c>
      <c r="R5193" t="str">
        <f t="shared" si="2203"/>
        <v>NEUTRAL</v>
      </c>
      <c r="S5193">
        <f t="shared" si="2192"/>
        <v>0</v>
      </c>
    </row>
    <row r="5194" spans="1:19" hidden="1" x14ac:dyDescent="0.25">
      <c r="A5194" s="5" t="str">
        <f t="shared" si="2204"/>
        <v>44131XLRE</v>
      </c>
      <c r="B5194" s="6" t="s">
        <v>156</v>
      </c>
      <c r="C5194" s="6">
        <v>35.020000000000003</v>
      </c>
      <c r="D5194" s="6">
        <v>36.409999999999997</v>
      </c>
      <c r="E5194" s="6">
        <v>35.200000000000003</v>
      </c>
      <c r="F5194" t="str">
        <f t="shared" si="2193"/>
        <v>TUE</v>
      </c>
      <c r="G5194" s="1">
        <f t="shared" si="2194"/>
        <v>44131</v>
      </c>
      <c r="H5194" s="2">
        <f t="shared" ca="1" si="2195"/>
        <v>122</v>
      </c>
      <c r="I5194" t="str">
        <f t="shared" si="2196"/>
        <v>XLRE</v>
      </c>
      <c r="J5194">
        <f t="shared" si="2197"/>
        <v>35.020000000000003</v>
      </c>
      <c r="K5194">
        <f t="shared" si="2198"/>
        <v>36.409999999999997</v>
      </c>
      <c r="L5194">
        <f t="shared" si="2199"/>
        <v>35.715000000000003</v>
      </c>
      <c r="M5194">
        <f t="shared" si="2200"/>
        <v>0.69499999999999673</v>
      </c>
      <c r="N5194">
        <f t="shared" si="2190"/>
        <v>1.3899999999999935</v>
      </c>
      <c r="O5194">
        <f t="shared" si="2201"/>
        <v>35.200000000000003</v>
      </c>
      <c r="P5194">
        <f t="shared" si="2202"/>
        <v>-0.74100719424460859</v>
      </c>
      <c r="Q5194" t="str">
        <f t="shared" si="2191"/>
        <v>0.51% | 3.44%</v>
      </c>
      <c r="R5194" t="str">
        <f t="shared" si="2203"/>
        <v>NEUTRAL</v>
      </c>
      <c r="S5194">
        <f t="shared" si="2192"/>
        <v>0</v>
      </c>
    </row>
    <row r="5195" spans="1:19" hidden="1" x14ac:dyDescent="0.25">
      <c r="A5195" s="5" t="str">
        <f t="shared" si="2204"/>
        <v>44131XLU</v>
      </c>
      <c r="B5195" s="6" t="s">
        <v>52</v>
      </c>
      <c r="C5195" s="6">
        <v>62.85</v>
      </c>
      <c r="D5195" s="6">
        <v>65.16</v>
      </c>
      <c r="E5195" s="6">
        <v>64.73</v>
      </c>
      <c r="F5195" t="str">
        <f t="shared" si="2193"/>
        <v>TUE</v>
      </c>
      <c r="G5195" s="1">
        <f t="shared" si="2194"/>
        <v>44131</v>
      </c>
      <c r="H5195" s="2">
        <f t="shared" ca="1" si="2195"/>
        <v>122</v>
      </c>
      <c r="I5195" t="str">
        <f t="shared" si="2196"/>
        <v>XLU</v>
      </c>
      <c r="J5195">
        <f t="shared" si="2197"/>
        <v>62.85</v>
      </c>
      <c r="K5195">
        <f t="shared" si="2198"/>
        <v>65.16</v>
      </c>
      <c r="L5195">
        <f t="shared" si="2199"/>
        <v>64.004999999999995</v>
      </c>
      <c r="M5195">
        <f t="shared" si="2200"/>
        <v>1.1549999999999976</v>
      </c>
      <c r="N5195">
        <f t="shared" si="2190"/>
        <v>2.3099999999999952</v>
      </c>
      <c r="O5195">
        <f t="shared" si="2201"/>
        <v>64.73</v>
      </c>
      <c r="P5195">
        <f t="shared" si="2202"/>
        <v>0.62770562770563643</v>
      </c>
      <c r="Q5195" t="str">
        <f t="shared" si="2191"/>
        <v>2.9% | 0.66%</v>
      </c>
      <c r="R5195" t="str">
        <f t="shared" si="2203"/>
        <v>BULLISH</v>
      </c>
      <c r="S5195">
        <f t="shared" si="2192"/>
        <v>1</v>
      </c>
    </row>
    <row r="5196" spans="1:19" hidden="1" x14ac:dyDescent="0.25">
      <c r="A5196" s="5" t="str">
        <f t="shared" si="2204"/>
        <v>44131XLF</v>
      </c>
      <c r="B5196" s="6" t="s">
        <v>12</v>
      </c>
      <c r="C5196" s="6">
        <v>24.3</v>
      </c>
      <c r="D5196" s="6">
        <v>25.33</v>
      </c>
      <c r="E5196" s="6">
        <v>24.68</v>
      </c>
      <c r="F5196" t="str">
        <f t="shared" si="2193"/>
        <v>TUE</v>
      </c>
      <c r="G5196" s="1">
        <f t="shared" si="2194"/>
        <v>44131</v>
      </c>
      <c r="H5196" s="2">
        <f t="shared" ca="1" si="2195"/>
        <v>122</v>
      </c>
      <c r="I5196" t="str">
        <f t="shared" si="2196"/>
        <v>XLF</v>
      </c>
      <c r="J5196">
        <f t="shared" si="2197"/>
        <v>24.3</v>
      </c>
      <c r="K5196">
        <f t="shared" si="2198"/>
        <v>25.33</v>
      </c>
      <c r="L5196">
        <f t="shared" si="2199"/>
        <v>24.814999999999998</v>
      </c>
      <c r="M5196">
        <f t="shared" si="2200"/>
        <v>0.51499999999999879</v>
      </c>
      <c r="N5196">
        <f t="shared" si="2190"/>
        <v>1.0299999999999976</v>
      </c>
      <c r="O5196">
        <f t="shared" si="2201"/>
        <v>24.68</v>
      </c>
      <c r="P5196">
        <f t="shared" si="2202"/>
        <v>-0.26213592233009386</v>
      </c>
      <c r="Q5196" t="str">
        <f t="shared" si="2191"/>
        <v>1.54% | 2.63%</v>
      </c>
      <c r="R5196" t="str">
        <f t="shared" si="2203"/>
        <v>BEARISH</v>
      </c>
      <c r="S5196">
        <f t="shared" si="2192"/>
        <v>-1</v>
      </c>
    </row>
    <row r="5197" spans="1:19" hidden="1" x14ac:dyDescent="0.25">
      <c r="A5197" s="5" t="str">
        <f t="shared" si="2204"/>
        <v>44131SSEC</v>
      </c>
      <c r="B5197" s="6" t="s">
        <v>104</v>
      </c>
      <c r="C5197" s="6">
        <v>3240</v>
      </c>
      <c r="D5197" s="6">
        <v>3370</v>
      </c>
      <c r="E5197" s="6">
        <v>3254</v>
      </c>
      <c r="F5197" t="str">
        <f t="shared" si="2193"/>
        <v>TUE</v>
      </c>
      <c r="G5197" s="1">
        <f t="shared" si="2194"/>
        <v>44131</v>
      </c>
      <c r="H5197" s="2">
        <f t="shared" ca="1" si="2195"/>
        <v>122</v>
      </c>
      <c r="I5197" t="str">
        <f t="shared" si="2196"/>
        <v>SSEC</v>
      </c>
      <c r="J5197">
        <f t="shared" si="2197"/>
        <v>3240</v>
      </c>
      <c r="K5197">
        <f t="shared" si="2198"/>
        <v>3370</v>
      </c>
      <c r="L5197">
        <f t="shared" si="2199"/>
        <v>3305</v>
      </c>
      <c r="M5197">
        <f t="shared" si="2200"/>
        <v>65</v>
      </c>
      <c r="N5197">
        <f t="shared" si="2190"/>
        <v>130</v>
      </c>
      <c r="O5197">
        <f t="shared" si="2201"/>
        <v>3254</v>
      </c>
      <c r="P5197">
        <f t="shared" si="2202"/>
        <v>-0.7846153846153846</v>
      </c>
      <c r="Q5197" t="str">
        <f t="shared" si="2191"/>
        <v>0.43% | 3.56%</v>
      </c>
      <c r="R5197" t="str">
        <f t="shared" si="2203"/>
        <v>BULLISH</v>
      </c>
      <c r="S5197">
        <f t="shared" si="2192"/>
        <v>1</v>
      </c>
    </row>
    <row r="5198" spans="1:19" hidden="1" x14ac:dyDescent="0.25">
      <c r="A5198" s="5" t="str">
        <f t="shared" si="2204"/>
        <v>44131NIKK</v>
      </c>
      <c r="B5198" s="6" t="s">
        <v>91</v>
      </c>
      <c r="C5198" s="6">
        <v>23372</v>
      </c>
      <c r="D5198" s="6">
        <v>23718</v>
      </c>
      <c r="E5198" s="6">
        <v>23485</v>
      </c>
      <c r="F5198" t="str">
        <f t="shared" si="2193"/>
        <v>TUE</v>
      </c>
      <c r="G5198" s="1">
        <f t="shared" si="2194"/>
        <v>44131</v>
      </c>
      <c r="H5198" s="2">
        <f t="shared" ca="1" si="2195"/>
        <v>122</v>
      </c>
      <c r="I5198" t="str">
        <f t="shared" si="2196"/>
        <v>NIKK</v>
      </c>
      <c r="J5198">
        <f t="shared" si="2197"/>
        <v>23372</v>
      </c>
      <c r="K5198">
        <f t="shared" si="2198"/>
        <v>23718</v>
      </c>
      <c r="L5198">
        <f t="shared" si="2199"/>
        <v>23545</v>
      </c>
      <c r="M5198">
        <f t="shared" si="2200"/>
        <v>173</v>
      </c>
      <c r="N5198">
        <f t="shared" si="2190"/>
        <v>346</v>
      </c>
      <c r="O5198">
        <f t="shared" si="2201"/>
        <v>23485</v>
      </c>
      <c r="P5198">
        <f t="shared" si="2202"/>
        <v>-0.34682080924855491</v>
      </c>
      <c r="Q5198" t="str">
        <f t="shared" si="2191"/>
        <v>0.48% | 0.99%</v>
      </c>
      <c r="R5198" t="str">
        <f t="shared" si="2203"/>
        <v>BULLISH</v>
      </c>
      <c r="S5198">
        <f t="shared" si="2192"/>
        <v>1</v>
      </c>
    </row>
    <row r="5199" spans="1:19" hidden="1" x14ac:dyDescent="0.25">
      <c r="A5199" s="5" t="str">
        <f t="shared" si="2204"/>
        <v>44131DAX</v>
      </c>
      <c r="B5199" s="6" t="s">
        <v>16</v>
      </c>
      <c r="C5199" s="6">
        <v>12114</v>
      </c>
      <c r="D5199" s="6">
        <v>12698</v>
      </c>
      <c r="E5199" s="6">
        <v>12177</v>
      </c>
      <c r="F5199" t="str">
        <f t="shared" si="2193"/>
        <v>TUE</v>
      </c>
      <c r="G5199" s="1">
        <f t="shared" si="2194"/>
        <v>44131</v>
      </c>
      <c r="H5199" s="2">
        <f t="shared" ca="1" si="2195"/>
        <v>122</v>
      </c>
      <c r="I5199" t="str">
        <f t="shared" si="2196"/>
        <v>DAX</v>
      </c>
      <c r="J5199">
        <f t="shared" si="2197"/>
        <v>12114</v>
      </c>
      <c r="K5199">
        <f t="shared" si="2198"/>
        <v>12698</v>
      </c>
      <c r="L5199">
        <f t="shared" si="2199"/>
        <v>12406</v>
      </c>
      <c r="M5199">
        <f t="shared" si="2200"/>
        <v>292</v>
      </c>
      <c r="N5199">
        <f t="shared" si="2190"/>
        <v>584</v>
      </c>
      <c r="O5199">
        <f t="shared" si="2201"/>
        <v>12177</v>
      </c>
      <c r="P5199">
        <f t="shared" si="2202"/>
        <v>-0.78424657534246578</v>
      </c>
      <c r="Q5199" t="str">
        <f t="shared" si="2191"/>
        <v>0.52% | 4.28%</v>
      </c>
      <c r="R5199" t="str">
        <f t="shared" si="2203"/>
        <v>BEARISH</v>
      </c>
      <c r="S5199">
        <f t="shared" si="2192"/>
        <v>-1</v>
      </c>
    </row>
    <row r="5200" spans="1:19" hidden="1" x14ac:dyDescent="0.25">
      <c r="A5200" s="5" t="str">
        <f t="shared" si="2204"/>
        <v>44131VIX</v>
      </c>
      <c r="B5200" s="6" t="s">
        <v>17</v>
      </c>
      <c r="C5200" s="6">
        <v>24.85</v>
      </c>
      <c r="D5200" s="6">
        <v>33.659999999999997</v>
      </c>
      <c r="E5200" s="6">
        <v>32.46</v>
      </c>
      <c r="F5200" t="str">
        <f t="shared" si="2193"/>
        <v>TUE</v>
      </c>
      <c r="G5200" s="1">
        <f t="shared" si="2194"/>
        <v>44131</v>
      </c>
      <c r="H5200" s="2">
        <f t="shared" ca="1" si="2195"/>
        <v>122</v>
      </c>
      <c r="I5200" t="str">
        <f t="shared" si="2196"/>
        <v>VIX</v>
      </c>
      <c r="J5200">
        <f t="shared" si="2197"/>
        <v>24.85</v>
      </c>
      <c r="K5200">
        <f t="shared" si="2198"/>
        <v>33.659999999999997</v>
      </c>
      <c r="L5200">
        <f t="shared" si="2199"/>
        <v>29.254999999999999</v>
      </c>
      <c r="M5200">
        <f t="shared" si="2200"/>
        <v>4.4049999999999923</v>
      </c>
      <c r="N5200">
        <f t="shared" si="2190"/>
        <v>8.8099999999999952</v>
      </c>
      <c r="O5200">
        <f t="shared" si="2201"/>
        <v>32.46</v>
      </c>
      <c r="P5200">
        <f t="shared" si="2202"/>
        <v>0.72758229284903686</v>
      </c>
      <c r="Q5200" t="str">
        <f t="shared" si="2191"/>
        <v>23.44% | 3.7%</v>
      </c>
      <c r="R5200" t="str">
        <f t="shared" si="2203"/>
        <v>BULLISH</v>
      </c>
      <c r="S5200">
        <f t="shared" si="2192"/>
        <v>1</v>
      </c>
    </row>
    <row r="5201" spans="1:19" hidden="1" x14ac:dyDescent="0.25">
      <c r="A5201" s="5" t="str">
        <f t="shared" si="2204"/>
        <v>44131USD</v>
      </c>
      <c r="B5201" s="6" t="s">
        <v>94</v>
      </c>
      <c r="C5201" s="6">
        <v>92.31</v>
      </c>
      <c r="D5201" s="6">
        <v>93.36</v>
      </c>
      <c r="E5201" s="6">
        <v>93.04</v>
      </c>
      <c r="F5201" t="str">
        <f t="shared" si="2193"/>
        <v>TUE</v>
      </c>
      <c r="G5201" s="1">
        <f t="shared" si="2194"/>
        <v>44131</v>
      </c>
      <c r="H5201" s="2">
        <f t="shared" ca="1" si="2195"/>
        <v>122</v>
      </c>
      <c r="I5201" t="str">
        <f t="shared" si="2196"/>
        <v>USD</v>
      </c>
      <c r="J5201">
        <f t="shared" si="2197"/>
        <v>92.31</v>
      </c>
      <c r="K5201">
        <f t="shared" si="2198"/>
        <v>93.36</v>
      </c>
      <c r="L5201">
        <f t="shared" si="2199"/>
        <v>92.835000000000008</v>
      </c>
      <c r="M5201">
        <f t="shared" si="2200"/>
        <v>0.52499999999999858</v>
      </c>
      <c r="N5201">
        <f t="shared" si="2190"/>
        <v>1.0499999999999972</v>
      </c>
      <c r="O5201">
        <f t="shared" si="2201"/>
        <v>93.04</v>
      </c>
      <c r="P5201">
        <f t="shared" si="2202"/>
        <v>0.39047619047618831</v>
      </c>
      <c r="Q5201" t="str">
        <f t="shared" si="2191"/>
        <v>0.78% | 0.34%</v>
      </c>
      <c r="R5201" t="str">
        <f t="shared" si="2203"/>
        <v>BEARISH</v>
      </c>
      <c r="S5201">
        <f t="shared" si="2192"/>
        <v>-1</v>
      </c>
    </row>
    <row r="5202" spans="1:19" hidden="1" x14ac:dyDescent="0.25">
      <c r="A5202" s="5" t="str">
        <f t="shared" si="2204"/>
        <v>44131EUR/USD</v>
      </c>
      <c r="B5202" s="6" t="s">
        <v>99</v>
      </c>
      <c r="C5202" s="6">
        <v>1.1679999999999999</v>
      </c>
      <c r="D5202" s="6">
        <v>1.19</v>
      </c>
      <c r="E5202" s="6">
        <v>1.181</v>
      </c>
      <c r="F5202" t="str">
        <f t="shared" si="2193"/>
        <v>TUE</v>
      </c>
      <c r="G5202" s="1">
        <f t="shared" si="2194"/>
        <v>44131</v>
      </c>
      <c r="H5202" s="2">
        <f t="shared" ca="1" si="2195"/>
        <v>122</v>
      </c>
      <c r="I5202" t="str">
        <f t="shared" si="2196"/>
        <v>EUR/USD</v>
      </c>
      <c r="J5202">
        <f t="shared" si="2197"/>
        <v>1.1679999999999999</v>
      </c>
      <c r="K5202">
        <f t="shared" si="2198"/>
        <v>1.19</v>
      </c>
      <c r="L5202">
        <f t="shared" si="2199"/>
        <v>1.1789999999999998</v>
      </c>
      <c r="M5202">
        <f t="shared" si="2200"/>
        <v>1.100000000000001E-2</v>
      </c>
      <c r="N5202">
        <f t="shared" si="2190"/>
        <v>2.200000000000002E-2</v>
      </c>
      <c r="O5202">
        <f t="shared" si="2201"/>
        <v>1.181</v>
      </c>
      <c r="P5202">
        <f t="shared" si="2202"/>
        <v>0.181818181818202</v>
      </c>
      <c r="Q5202" t="str">
        <f t="shared" si="2191"/>
        <v>1.1% | 0.76%</v>
      </c>
      <c r="R5202" t="str">
        <f t="shared" si="2203"/>
        <v>BULLISH</v>
      </c>
      <c r="S5202">
        <f t="shared" si="2192"/>
        <v>1</v>
      </c>
    </row>
    <row r="5203" spans="1:19" hidden="1" x14ac:dyDescent="0.25">
      <c r="A5203" s="5" t="str">
        <f t="shared" si="2204"/>
        <v>44131USD/JPY</v>
      </c>
      <c r="B5203" s="6" t="s">
        <v>20</v>
      </c>
      <c r="C5203" s="6">
        <v>104.33</v>
      </c>
      <c r="D5203" s="6">
        <v>105.8</v>
      </c>
      <c r="E5203" s="6">
        <v>104.83</v>
      </c>
      <c r="F5203" t="str">
        <f t="shared" si="2193"/>
        <v>TUE</v>
      </c>
      <c r="G5203" s="1">
        <f t="shared" si="2194"/>
        <v>44131</v>
      </c>
      <c r="H5203" s="2">
        <f t="shared" ca="1" si="2195"/>
        <v>122</v>
      </c>
      <c r="I5203" t="str">
        <f t="shared" si="2196"/>
        <v>USD/JPY</v>
      </c>
      <c r="J5203">
        <f t="shared" si="2197"/>
        <v>104.33</v>
      </c>
      <c r="K5203">
        <f t="shared" si="2198"/>
        <v>105.8</v>
      </c>
      <c r="L5203">
        <f t="shared" si="2199"/>
        <v>105.065</v>
      </c>
      <c r="M5203">
        <f t="shared" si="2200"/>
        <v>0.73499999999999943</v>
      </c>
      <c r="N5203">
        <f t="shared" si="2190"/>
        <v>1.4699999999999989</v>
      </c>
      <c r="O5203">
        <f t="shared" si="2201"/>
        <v>104.83</v>
      </c>
      <c r="P5203">
        <f t="shared" si="2202"/>
        <v>-0.31972789115646205</v>
      </c>
      <c r="Q5203" t="str">
        <f t="shared" si="2191"/>
        <v>0.48% | 0.93%</v>
      </c>
      <c r="R5203" t="str">
        <f t="shared" si="2203"/>
        <v>BEARISH</v>
      </c>
      <c r="S5203">
        <f t="shared" si="2192"/>
        <v>-1</v>
      </c>
    </row>
    <row r="5204" spans="1:19" hidden="1" x14ac:dyDescent="0.25">
      <c r="A5204" s="5" t="str">
        <f t="shared" si="2204"/>
        <v>44131GBP/USD</v>
      </c>
      <c r="B5204" s="6" t="s">
        <v>102</v>
      </c>
      <c r="C5204" s="6">
        <v>1.29</v>
      </c>
      <c r="D5204" s="6">
        <v>1.31</v>
      </c>
      <c r="E5204" s="6">
        <v>1.3</v>
      </c>
      <c r="F5204" t="str">
        <f t="shared" si="2193"/>
        <v>TUE</v>
      </c>
      <c r="G5204" s="1">
        <f t="shared" si="2194"/>
        <v>44131</v>
      </c>
      <c r="H5204" s="2">
        <f t="shared" ca="1" si="2195"/>
        <v>122</v>
      </c>
      <c r="I5204" t="str">
        <f t="shared" si="2196"/>
        <v>GBP/USD</v>
      </c>
      <c r="J5204">
        <f t="shared" si="2197"/>
        <v>1.29</v>
      </c>
      <c r="K5204">
        <f t="shared" si="2198"/>
        <v>1.31</v>
      </c>
      <c r="L5204">
        <f t="shared" si="2199"/>
        <v>1.3</v>
      </c>
      <c r="M5204">
        <f t="shared" si="2200"/>
        <v>1.0000000000000009E-2</v>
      </c>
      <c r="N5204">
        <f t="shared" si="2190"/>
        <v>2.0000000000000018E-2</v>
      </c>
      <c r="O5204">
        <f t="shared" si="2201"/>
        <v>1.3</v>
      </c>
      <c r="P5204">
        <f t="shared" si="2202"/>
        <v>0</v>
      </c>
      <c r="Q5204" t="str">
        <f t="shared" si="2191"/>
        <v>0.77% | 0.77%</v>
      </c>
      <c r="R5204" t="str">
        <f t="shared" si="2203"/>
        <v>BULLISH</v>
      </c>
      <c r="S5204">
        <f t="shared" si="2192"/>
        <v>1</v>
      </c>
    </row>
    <row r="5205" spans="1:19" hidden="1" x14ac:dyDescent="0.25">
      <c r="A5205" s="5" t="str">
        <f t="shared" si="2204"/>
        <v>44131USD/CHF</v>
      </c>
      <c r="B5205" s="6" t="s">
        <v>76</v>
      </c>
      <c r="C5205" s="6">
        <v>0.89</v>
      </c>
      <c r="D5205" s="6">
        <v>0.92</v>
      </c>
      <c r="E5205" s="6">
        <v>0.9</v>
      </c>
      <c r="F5205" t="str">
        <f t="shared" si="2193"/>
        <v>TUE</v>
      </c>
      <c r="G5205" s="1">
        <f t="shared" si="2194"/>
        <v>44131</v>
      </c>
      <c r="H5205" s="2">
        <f t="shared" ca="1" si="2195"/>
        <v>122</v>
      </c>
      <c r="I5205" t="str">
        <f t="shared" si="2196"/>
        <v>USD/CHF</v>
      </c>
      <c r="J5205">
        <f t="shared" si="2197"/>
        <v>0.89</v>
      </c>
      <c r="K5205">
        <f t="shared" si="2198"/>
        <v>0.92</v>
      </c>
      <c r="L5205">
        <f t="shared" si="2199"/>
        <v>0.90500000000000003</v>
      </c>
      <c r="M5205">
        <f t="shared" si="2200"/>
        <v>1.5000000000000013E-2</v>
      </c>
      <c r="N5205">
        <f t="shared" si="2190"/>
        <v>3.0000000000000027E-2</v>
      </c>
      <c r="O5205">
        <f t="shared" si="2201"/>
        <v>0.9</v>
      </c>
      <c r="P5205">
        <f t="shared" si="2202"/>
        <v>-0.33333333333333331</v>
      </c>
      <c r="Q5205" t="str">
        <f t="shared" si="2191"/>
        <v>1.11% | 2.22%</v>
      </c>
      <c r="R5205" t="str">
        <f t="shared" si="2203"/>
        <v>BEARISH</v>
      </c>
      <c r="S5205">
        <f t="shared" si="2192"/>
        <v>-1</v>
      </c>
    </row>
    <row r="5206" spans="1:19" hidden="1" x14ac:dyDescent="0.25">
      <c r="A5206" s="5" t="str">
        <f t="shared" si="2204"/>
        <v>44131WTIC</v>
      </c>
      <c r="B5206" s="6" t="s">
        <v>23</v>
      </c>
      <c r="C5206" s="6">
        <v>38.35</v>
      </c>
      <c r="D5206" s="6">
        <v>41.9</v>
      </c>
      <c r="E5206" s="6">
        <v>38.56</v>
      </c>
      <c r="F5206" t="str">
        <f t="shared" si="2193"/>
        <v>TUE</v>
      </c>
      <c r="G5206" s="1">
        <f t="shared" si="2194"/>
        <v>44131</v>
      </c>
      <c r="H5206" s="2">
        <f t="shared" ca="1" si="2195"/>
        <v>122</v>
      </c>
      <c r="I5206" t="str">
        <f t="shared" si="2196"/>
        <v>WTIC</v>
      </c>
      <c r="J5206">
        <f t="shared" si="2197"/>
        <v>38.35</v>
      </c>
      <c r="K5206">
        <f t="shared" si="2198"/>
        <v>41.9</v>
      </c>
      <c r="L5206">
        <f t="shared" si="2199"/>
        <v>40.125</v>
      </c>
      <c r="M5206">
        <f t="shared" si="2200"/>
        <v>1.7749999999999986</v>
      </c>
      <c r="N5206">
        <f t="shared" si="2190"/>
        <v>3.5499999999999972</v>
      </c>
      <c r="O5206">
        <f t="shared" si="2201"/>
        <v>38.56</v>
      </c>
      <c r="P5206">
        <f t="shared" si="2202"/>
        <v>-0.8816901408450698</v>
      </c>
      <c r="Q5206" t="str">
        <f t="shared" si="2191"/>
        <v>0.54% | 8.66%</v>
      </c>
      <c r="R5206" t="str">
        <f t="shared" si="2203"/>
        <v>BEARISH</v>
      </c>
      <c r="S5206">
        <f t="shared" si="2192"/>
        <v>-1</v>
      </c>
    </row>
    <row r="5207" spans="1:19" hidden="1" x14ac:dyDescent="0.25">
      <c r="A5207" s="5" t="str">
        <f t="shared" si="2204"/>
        <v>44131NATGAS</v>
      </c>
      <c r="B5207" s="6" t="s">
        <v>89</v>
      </c>
      <c r="C5207" s="6">
        <v>2.76</v>
      </c>
      <c r="D5207" s="6">
        <v>3.33</v>
      </c>
      <c r="E5207" s="6">
        <v>3.25</v>
      </c>
      <c r="F5207" t="str">
        <f t="shared" si="2193"/>
        <v>TUE</v>
      </c>
      <c r="G5207" s="1">
        <f t="shared" si="2194"/>
        <v>44131</v>
      </c>
      <c r="H5207" s="2">
        <f t="shared" ca="1" si="2195"/>
        <v>122</v>
      </c>
      <c r="I5207" t="str">
        <f t="shared" si="2196"/>
        <v>NATGAS</v>
      </c>
      <c r="J5207">
        <f t="shared" si="2197"/>
        <v>2.76</v>
      </c>
      <c r="K5207">
        <f t="shared" si="2198"/>
        <v>3.33</v>
      </c>
      <c r="L5207">
        <f t="shared" si="2199"/>
        <v>3.0449999999999999</v>
      </c>
      <c r="M5207">
        <f t="shared" si="2200"/>
        <v>0.28500000000000014</v>
      </c>
      <c r="N5207">
        <f t="shared" si="2190"/>
        <v>0.57000000000000028</v>
      </c>
      <c r="O5207">
        <f t="shared" si="2201"/>
        <v>3.25</v>
      </c>
      <c r="P5207">
        <f t="shared" si="2202"/>
        <v>0.71929824561403499</v>
      </c>
      <c r="Q5207" t="str">
        <f t="shared" si="2191"/>
        <v>15.08% | 2.46%</v>
      </c>
      <c r="R5207" t="str">
        <f t="shared" si="2203"/>
        <v>BULLISH</v>
      </c>
      <c r="S5207">
        <f t="shared" si="2192"/>
        <v>1</v>
      </c>
    </row>
    <row r="5208" spans="1:19" hidden="1" x14ac:dyDescent="0.25">
      <c r="A5208" s="5" t="str">
        <f t="shared" si="2204"/>
        <v>44131GOLD</v>
      </c>
      <c r="B5208" s="6" t="s">
        <v>25</v>
      </c>
      <c r="C5208" s="6">
        <v>1885</v>
      </c>
      <c r="D5208" s="6">
        <v>1930</v>
      </c>
      <c r="E5208" s="6">
        <v>1905</v>
      </c>
      <c r="F5208" t="str">
        <f t="shared" si="2193"/>
        <v>TUE</v>
      </c>
      <c r="G5208" s="1">
        <f t="shared" si="2194"/>
        <v>44131</v>
      </c>
      <c r="H5208" s="2">
        <f t="shared" ca="1" si="2195"/>
        <v>122</v>
      </c>
      <c r="I5208" t="str">
        <f t="shared" si="2196"/>
        <v>GOLD</v>
      </c>
      <c r="J5208">
        <f t="shared" si="2197"/>
        <v>1885</v>
      </c>
      <c r="K5208">
        <f t="shared" si="2198"/>
        <v>1930</v>
      </c>
      <c r="L5208">
        <f t="shared" si="2199"/>
        <v>1907.5</v>
      </c>
      <c r="M5208">
        <f t="shared" si="2200"/>
        <v>22.5</v>
      </c>
      <c r="N5208">
        <f t="shared" si="2190"/>
        <v>45</v>
      </c>
      <c r="O5208">
        <f t="shared" si="2201"/>
        <v>1905</v>
      </c>
      <c r="P5208">
        <f t="shared" si="2202"/>
        <v>-0.1111111111111111</v>
      </c>
      <c r="Q5208" t="str">
        <f t="shared" si="2191"/>
        <v>1.05% | 1.31%</v>
      </c>
      <c r="R5208" t="str">
        <f t="shared" si="2203"/>
        <v>BULLISH</v>
      </c>
      <c r="S5208">
        <f t="shared" si="2192"/>
        <v>1</v>
      </c>
    </row>
    <row r="5209" spans="1:19" hidden="1" x14ac:dyDescent="0.25">
      <c r="A5209" s="5" t="str">
        <f t="shared" si="2204"/>
        <v>44131SILVER</v>
      </c>
      <c r="B5209" s="6" t="s">
        <v>195</v>
      </c>
      <c r="C5209" s="6">
        <v>23.82</v>
      </c>
      <c r="D5209" s="6">
        <v>25.3</v>
      </c>
      <c r="E5209" s="6">
        <v>24.42</v>
      </c>
      <c r="F5209" t="str">
        <f t="shared" si="2193"/>
        <v>TUE</v>
      </c>
      <c r="G5209" s="1">
        <f t="shared" si="2194"/>
        <v>44131</v>
      </c>
      <c r="H5209" s="2">
        <f t="shared" ca="1" si="2195"/>
        <v>122</v>
      </c>
      <c r="I5209" t="str">
        <f t="shared" si="2196"/>
        <v>SILVER</v>
      </c>
      <c r="J5209">
        <f t="shared" si="2197"/>
        <v>23.82</v>
      </c>
      <c r="K5209">
        <f t="shared" si="2198"/>
        <v>25.3</v>
      </c>
      <c r="L5209">
        <f t="shared" si="2199"/>
        <v>24.560000000000002</v>
      </c>
      <c r="M5209">
        <f t="shared" si="2200"/>
        <v>0.74000000000000021</v>
      </c>
      <c r="N5209">
        <f t="shared" si="2190"/>
        <v>1.4800000000000004</v>
      </c>
      <c r="O5209">
        <f t="shared" si="2201"/>
        <v>24.42</v>
      </c>
      <c r="P5209">
        <f t="shared" si="2202"/>
        <v>-0.18918918918918989</v>
      </c>
      <c r="Q5209" t="str">
        <f t="shared" si="2191"/>
        <v>2.46% | 3.6%</v>
      </c>
      <c r="R5209" t="str">
        <f t="shared" si="2203"/>
        <v>BULLISH</v>
      </c>
      <c r="S5209">
        <f t="shared" si="2192"/>
        <v>1</v>
      </c>
    </row>
    <row r="5210" spans="1:19" hidden="1" x14ac:dyDescent="0.25">
      <c r="A5210" s="5" t="str">
        <f t="shared" si="2204"/>
        <v>44131COPPER</v>
      </c>
      <c r="B5210" s="6" t="s">
        <v>100</v>
      </c>
      <c r="C5210" s="6">
        <v>3.02</v>
      </c>
      <c r="D5210" s="6">
        <v>3.21</v>
      </c>
      <c r="E5210" s="6">
        <v>3.09</v>
      </c>
      <c r="F5210" t="str">
        <f t="shared" si="2193"/>
        <v>TUE</v>
      </c>
      <c r="G5210" s="1">
        <f t="shared" si="2194"/>
        <v>44131</v>
      </c>
      <c r="H5210" s="2">
        <f t="shared" ca="1" si="2195"/>
        <v>122</v>
      </c>
      <c r="I5210" t="str">
        <f t="shared" si="2196"/>
        <v>COPPER</v>
      </c>
      <c r="J5210">
        <f t="shared" si="2197"/>
        <v>3.02</v>
      </c>
      <c r="K5210">
        <f t="shared" si="2198"/>
        <v>3.21</v>
      </c>
      <c r="L5210">
        <f t="shared" si="2199"/>
        <v>3.1150000000000002</v>
      </c>
      <c r="M5210">
        <f t="shared" si="2200"/>
        <v>9.4999999999999973E-2</v>
      </c>
      <c r="N5210">
        <f t="shared" si="2190"/>
        <v>0.18999999999999995</v>
      </c>
      <c r="O5210">
        <f t="shared" si="2201"/>
        <v>3.09</v>
      </c>
      <c r="P5210">
        <f t="shared" si="2202"/>
        <v>-0.26315789473684592</v>
      </c>
      <c r="Q5210" t="str">
        <f t="shared" si="2191"/>
        <v>2.27% | 3.88%</v>
      </c>
      <c r="R5210" t="str">
        <f t="shared" si="2203"/>
        <v>BULLISH</v>
      </c>
      <c r="S5210">
        <f t="shared" si="2192"/>
        <v>1</v>
      </c>
    </row>
    <row r="5211" spans="1:19" hidden="1" x14ac:dyDescent="0.25">
      <c r="A5211" s="5" t="str">
        <f t="shared" si="2204"/>
        <v>44131MSFT</v>
      </c>
      <c r="B5211" s="6" t="s">
        <v>235</v>
      </c>
      <c r="C5211" s="6">
        <v>208</v>
      </c>
      <c r="D5211" s="6">
        <v>223</v>
      </c>
      <c r="E5211" s="6">
        <v>210</v>
      </c>
      <c r="F5211" t="str">
        <f t="shared" si="2193"/>
        <v>TUE</v>
      </c>
      <c r="G5211" s="1">
        <f t="shared" si="2194"/>
        <v>44131</v>
      </c>
      <c r="H5211" s="2">
        <f t="shared" ca="1" si="2195"/>
        <v>122</v>
      </c>
      <c r="I5211" t="str">
        <f t="shared" si="2196"/>
        <v>MSFT</v>
      </c>
      <c r="J5211">
        <f t="shared" si="2197"/>
        <v>208</v>
      </c>
      <c r="K5211">
        <f t="shared" si="2198"/>
        <v>223</v>
      </c>
      <c r="L5211">
        <f t="shared" si="2199"/>
        <v>215.5</v>
      </c>
      <c r="M5211">
        <f t="shared" si="2200"/>
        <v>7.5</v>
      </c>
      <c r="N5211">
        <f t="shared" si="2190"/>
        <v>15</v>
      </c>
      <c r="O5211">
        <f t="shared" si="2201"/>
        <v>210</v>
      </c>
      <c r="P5211">
        <f t="shared" si="2202"/>
        <v>-0.73333333333333328</v>
      </c>
      <c r="Q5211" t="str">
        <f t="shared" si="2191"/>
        <v>0.95% | 6.19%</v>
      </c>
      <c r="R5211" t="str">
        <f t="shared" si="2203"/>
        <v>NEUTRAL</v>
      </c>
      <c r="S5211">
        <f t="shared" si="2192"/>
        <v>0</v>
      </c>
    </row>
    <row r="5212" spans="1:19" hidden="1" x14ac:dyDescent="0.25">
      <c r="A5212" s="5" t="str">
        <f t="shared" si="2204"/>
        <v>44131AAPL</v>
      </c>
      <c r="B5212" s="6" t="s">
        <v>63</v>
      </c>
      <c r="C5212" s="6">
        <v>110</v>
      </c>
      <c r="D5212" s="6">
        <v>122</v>
      </c>
      <c r="E5212" s="6">
        <v>115</v>
      </c>
      <c r="F5212" t="str">
        <f t="shared" si="2193"/>
        <v>TUE</v>
      </c>
      <c r="G5212" s="1">
        <f t="shared" si="2194"/>
        <v>44131</v>
      </c>
      <c r="H5212" s="2">
        <f t="shared" ca="1" si="2195"/>
        <v>122</v>
      </c>
      <c r="I5212" t="str">
        <f t="shared" si="2196"/>
        <v>AAPL</v>
      </c>
      <c r="J5212">
        <f t="shared" si="2197"/>
        <v>110</v>
      </c>
      <c r="K5212">
        <f t="shared" si="2198"/>
        <v>122</v>
      </c>
      <c r="L5212">
        <f t="shared" si="2199"/>
        <v>116</v>
      </c>
      <c r="M5212">
        <f t="shared" si="2200"/>
        <v>6</v>
      </c>
      <c r="N5212">
        <f t="shared" si="2190"/>
        <v>12</v>
      </c>
      <c r="O5212">
        <f t="shared" si="2201"/>
        <v>115</v>
      </c>
      <c r="P5212">
        <f t="shared" si="2202"/>
        <v>-0.16666666666666666</v>
      </c>
      <c r="Q5212" t="str">
        <f t="shared" si="2191"/>
        <v>4.35% | 6.09%</v>
      </c>
      <c r="R5212" t="str">
        <f t="shared" si="2203"/>
        <v>NEUTRAL</v>
      </c>
      <c r="S5212">
        <f t="shared" si="2192"/>
        <v>0</v>
      </c>
    </row>
    <row r="5213" spans="1:19" hidden="1" x14ac:dyDescent="0.25">
      <c r="A5213" s="5" t="str">
        <f t="shared" si="2204"/>
        <v>44131AMZN</v>
      </c>
      <c r="B5213" s="6" t="s">
        <v>29</v>
      </c>
      <c r="C5213" s="6">
        <v>3088</v>
      </c>
      <c r="D5213" s="6">
        <v>3375</v>
      </c>
      <c r="E5213" s="6">
        <v>3207</v>
      </c>
      <c r="F5213" t="str">
        <f t="shared" si="2193"/>
        <v>TUE</v>
      </c>
      <c r="G5213" s="1">
        <f t="shared" si="2194"/>
        <v>44131</v>
      </c>
      <c r="H5213" s="2">
        <f t="shared" ca="1" si="2195"/>
        <v>122</v>
      </c>
      <c r="I5213" t="str">
        <f t="shared" si="2196"/>
        <v>AMZN</v>
      </c>
      <c r="J5213">
        <f t="shared" si="2197"/>
        <v>3088</v>
      </c>
      <c r="K5213">
        <f t="shared" si="2198"/>
        <v>3375</v>
      </c>
      <c r="L5213">
        <f t="shared" si="2199"/>
        <v>3231.5</v>
      </c>
      <c r="M5213">
        <f t="shared" si="2200"/>
        <v>143.5</v>
      </c>
      <c r="N5213">
        <f t="shared" si="2190"/>
        <v>287</v>
      </c>
      <c r="O5213">
        <f t="shared" si="2201"/>
        <v>3207</v>
      </c>
      <c r="P5213">
        <f t="shared" si="2202"/>
        <v>-0.17073170731707318</v>
      </c>
      <c r="Q5213" t="str">
        <f t="shared" si="2191"/>
        <v>3.71% | 5.24%</v>
      </c>
      <c r="R5213" t="str">
        <f t="shared" si="2203"/>
        <v>BULLISH</v>
      </c>
      <c r="S5213">
        <f t="shared" si="2192"/>
        <v>1</v>
      </c>
    </row>
    <row r="5214" spans="1:19" hidden="1" x14ac:dyDescent="0.25">
      <c r="A5214" s="5" t="str">
        <f t="shared" si="2204"/>
        <v>44131FB</v>
      </c>
      <c r="B5214" s="6" t="s">
        <v>30</v>
      </c>
      <c r="C5214" s="6">
        <v>257</v>
      </c>
      <c r="D5214" s="6">
        <v>288</v>
      </c>
      <c r="E5214" s="6">
        <v>277</v>
      </c>
      <c r="F5214" t="str">
        <f t="shared" si="2193"/>
        <v>TUE</v>
      </c>
      <c r="G5214" s="1">
        <f t="shared" si="2194"/>
        <v>44131</v>
      </c>
      <c r="H5214" s="2">
        <f t="shared" ca="1" si="2195"/>
        <v>122</v>
      </c>
      <c r="I5214" t="str">
        <f t="shared" si="2196"/>
        <v>FB</v>
      </c>
      <c r="J5214">
        <f t="shared" si="2197"/>
        <v>257</v>
      </c>
      <c r="K5214">
        <f t="shared" si="2198"/>
        <v>288</v>
      </c>
      <c r="L5214">
        <f t="shared" si="2199"/>
        <v>272.5</v>
      </c>
      <c r="M5214">
        <f t="shared" si="2200"/>
        <v>15.5</v>
      </c>
      <c r="N5214">
        <f t="shared" si="2190"/>
        <v>31</v>
      </c>
      <c r="O5214">
        <f t="shared" si="2201"/>
        <v>277</v>
      </c>
      <c r="P5214">
        <f t="shared" si="2202"/>
        <v>0.29032258064516131</v>
      </c>
      <c r="Q5214" t="str">
        <f t="shared" si="2191"/>
        <v>7.22% | 3.97%</v>
      </c>
      <c r="R5214" t="str">
        <f t="shared" si="2203"/>
        <v>BULLISH</v>
      </c>
      <c r="S5214">
        <f t="shared" si="2192"/>
        <v>1</v>
      </c>
    </row>
    <row r="5215" spans="1:19" hidden="1" x14ac:dyDescent="0.25">
      <c r="A5215" s="5" t="str">
        <f t="shared" si="2204"/>
        <v>44131GOOGL</v>
      </c>
      <c r="B5215" s="6" t="s">
        <v>31</v>
      </c>
      <c r="C5215" s="6">
        <v>1515</v>
      </c>
      <c r="D5215" s="6">
        <v>1636</v>
      </c>
      <c r="E5215" s="6">
        <v>1584</v>
      </c>
      <c r="F5215" t="str">
        <f t="shared" si="2193"/>
        <v>TUE</v>
      </c>
      <c r="G5215" s="1">
        <f t="shared" si="2194"/>
        <v>44131</v>
      </c>
      <c r="H5215" s="2">
        <f t="shared" ca="1" si="2195"/>
        <v>122</v>
      </c>
      <c r="I5215" t="str">
        <f t="shared" si="2196"/>
        <v>GOOGL</v>
      </c>
      <c r="J5215">
        <f t="shared" si="2197"/>
        <v>1515</v>
      </c>
      <c r="K5215">
        <f t="shared" si="2198"/>
        <v>1636</v>
      </c>
      <c r="L5215">
        <f t="shared" si="2199"/>
        <v>1575.5</v>
      </c>
      <c r="M5215">
        <f t="shared" si="2200"/>
        <v>60.5</v>
      </c>
      <c r="N5215">
        <f t="shared" si="2190"/>
        <v>121</v>
      </c>
      <c r="O5215">
        <f t="shared" si="2201"/>
        <v>1584</v>
      </c>
      <c r="P5215">
        <f t="shared" si="2202"/>
        <v>0.14049586776859505</v>
      </c>
      <c r="Q5215" t="str">
        <f t="shared" si="2191"/>
        <v>4.36% | 3.28%</v>
      </c>
      <c r="R5215" t="str">
        <f t="shared" si="2203"/>
        <v>BULLISH</v>
      </c>
      <c r="S5215">
        <f t="shared" si="2192"/>
        <v>1</v>
      </c>
    </row>
    <row r="5216" spans="1:19" hidden="1" x14ac:dyDescent="0.25">
      <c r="A5216" s="5" t="str">
        <f t="shared" si="2204"/>
        <v>44131NFLX</v>
      </c>
      <c r="B5216" s="6" t="s">
        <v>81</v>
      </c>
      <c r="C5216" s="6">
        <v>465</v>
      </c>
      <c r="D5216" s="6">
        <v>510</v>
      </c>
      <c r="E5216" s="6">
        <v>488</v>
      </c>
      <c r="F5216" t="str">
        <f t="shared" si="2193"/>
        <v>TUE</v>
      </c>
      <c r="G5216" s="1">
        <f t="shared" si="2194"/>
        <v>44131</v>
      </c>
      <c r="H5216" s="2">
        <f t="shared" ca="1" si="2195"/>
        <v>122</v>
      </c>
      <c r="I5216" t="str">
        <f t="shared" si="2196"/>
        <v>NFLX</v>
      </c>
      <c r="J5216">
        <f t="shared" si="2197"/>
        <v>465</v>
      </c>
      <c r="K5216">
        <f t="shared" si="2198"/>
        <v>510</v>
      </c>
      <c r="L5216">
        <f t="shared" si="2199"/>
        <v>487.5</v>
      </c>
      <c r="M5216">
        <f t="shared" si="2200"/>
        <v>22.5</v>
      </c>
      <c r="N5216">
        <f t="shared" si="2190"/>
        <v>45</v>
      </c>
      <c r="O5216">
        <f t="shared" si="2201"/>
        <v>488</v>
      </c>
      <c r="P5216">
        <f t="shared" si="2202"/>
        <v>2.2222222222222223E-2</v>
      </c>
      <c r="Q5216" t="str">
        <f t="shared" si="2191"/>
        <v>4.71% | 4.51%</v>
      </c>
      <c r="R5216" t="str">
        <f t="shared" si="2203"/>
        <v>BEARISH</v>
      </c>
      <c r="S5216">
        <f t="shared" si="2192"/>
        <v>-1</v>
      </c>
    </row>
    <row r="5217" spans="1:19" x14ac:dyDescent="0.25">
      <c r="A5217" s="5" t="str">
        <f t="shared" si="2204"/>
        <v>44131TSLA</v>
      </c>
      <c r="B5217" s="6" t="s">
        <v>71</v>
      </c>
      <c r="C5217" s="6">
        <v>401</v>
      </c>
      <c r="D5217" s="6">
        <v>460</v>
      </c>
      <c r="E5217" s="6">
        <v>420</v>
      </c>
      <c r="F5217" t="str">
        <f t="shared" si="2193"/>
        <v>TUE</v>
      </c>
      <c r="G5217" s="1">
        <f t="shared" si="2194"/>
        <v>44131</v>
      </c>
      <c r="H5217" s="2">
        <f t="shared" ca="1" si="2195"/>
        <v>122</v>
      </c>
      <c r="I5217" t="str">
        <f t="shared" si="2196"/>
        <v>TSLA</v>
      </c>
      <c r="J5217">
        <f t="shared" si="2197"/>
        <v>401</v>
      </c>
      <c r="K5217">
        <f t="shared" si="2198"/>
        <v>460</v>
      </c>
      <c r="L5217">
        <f t="shared" si="2199"/>
        <v>430.5</v>
      </c>
      <c r="M5217">
        <f t="shared" si="2200"/>
        <v>29.5</v>
      </c>
      <c r="N5217">
        <f t="shared" si="2190"/>
        <v>59</v>
      </c>
      <c r="O5217">
        <f t="shared" si="2201"/>
        <v>420</v>
      </c>
      <c r="P5217">
        <f t="shared" si="2202"/>
        <v>-0.3559322033898305</v>
      </c>
      <c r="Q5217" t="str">
        <f t="shared" si="2191"/>
        <v>4.52% | 9.52%</v>
      </c>
      <c r="R5217" t="str">
        <f t="shared" si="2203"/>
        <v>NEUTRAL</v>
      </c>
      <c r="S5217">
        <f t="shared" si="2192"/>
        <v>0</v>
      </c>
    </row>
    <row r="5218" spans="1:19" hidden="1" x14ac:dyDescent="0.25">
      <c r="A5218" s="5" t="str">
        <f t="shared" si="2204"/>
        <v>44131NYXBT</v>
      </c>
      <c r="B5218" s="6" t="s">
        <v>60</v>
      </c>
      <c r="C5218" s="6">
        <v>12154</v>
      </c>
      <c r="D5218" s="6">
        <v>13637</v>
      </c>
      <c r="E5218" s="6">
        <v>13209</v>
      </c>
      <c r="F5218" t="str">
        <f t="shared" si="2193"/>
        <v>TUE</v>
      </c>
      <c r="G5218" s="1">
        <f t="shared" si="2194"/>
        <v>44131</v>
      </c>
      <c r="H5218" s="2">
        <f t="shared" ca="1" si="2195"/>
        <v>122</v>
      </c>
      <c r="I5218" t="str">
        <f t="shared" si="2196"/>
        <v>NYXBT</v>
      </c>
      <c r="J5218">
        <f t="shared" si="2197"/>
        <v>12154</v>
      </c>
      <c r="K5218">
        <f t="shared" si="2198"/>
        <v>13637</v>
      </c>
      <c r="L5218">
        <f t="shared" si="2199"/>
        <v>12895.5</v>
      </c>
      <c r="M5218">
        <f t="shared" si="2200"/>
        <v>741.5</v>
      </c>
      <c r="N5218">
        <f t="shared" si="2190"/>
        <v>1483</v>
      </c>
      <c r="O5218">
        <f t="shared" si="2201"/>
        <v>13209</v>
      </c>
      <c r="P5218">
        <f t="shared" si="2202"/>
        <v>0.42279163857046526</v>
      </c>
      <c r="Q5218" t="str">
        <f t="shared" si="2191"/>
        <v>7.99% | 3.24%</v>
      </c>
      <c r="R5218" t="str">
        <f t="shared" si="2203"/>
        <v>BULLISH</v>
      </c>
      <c r="S5218">
        <f t="shared" si="2192"/>
        <v>1</v>
      </c>
    </row>
    <row r="5219" spans="1:19" hidden="1" x14ac:dyDescent="0.25">
      <c r="A5219" s="5" t="str">
        <f t="shared" si="2204"/>
        <v>44132UST10Y</v>
      </c>
      <c r="B5219" s="6" t="s">
        <v>4</v>
      </c>
      <c r="C5219" s="6">
        <v>0.87</v>
      </c>
      <c r="D5219" s="6">
        <v>0.7</v>
      </c>
      <c r="E5219" s="6">
        <v>0.79</v>
      </c>
      <c r="F5219" t="str">
        <f t="shared" si="2193"/>
        <v>WED</v>
      </c>
      <c r="G5219" s="3">
        <f>DATE(2020,10,28)</f>
        <v>44132</v>
      </c>
      <c r="H5219" s="2">
        <f t="shared" ca="1" si="2195"/>
        <v>121</v>
      </c>
      <c r="I5219" t="str">
        <f t="shared" si="2196"/>
        <v>UST10Y</v>
      </c>
      <c r="J5219">
        <f t="shared" si="2197"/>
        <v>0.87</v>
      </c>
      <c r="K5219">
        <f t="shared" si="2198"/>
        <v>0.7</v>
      </c>
      <c r="L5219">
        <f t="shared" si="2199"/>
        <v>0.78499999999999992</v>
      </c>
      <c r="M5219">
        <f t="shared" si="2200"/>
        <v>8.5000000000000214E-2</v>
      </c>
      <c r="N5219">
        <f t="shared" si="2190"/>
        <v>0.17000000000000004</v>
      </c>
      <c r="O5219">
        <f t="shared" si="2201"/>
        <v>0.79</v>
      </c>
      <c r="P5219">
        <f t="shared" si="2202"/>
        <v>5.8823529411765919E-2</v>
      </c>
      <c r="Q5219" t="str">
        <f t="shared" si="2191"/>
        <v>10.13% | 11.39%</v>
      </c>
      <c r="R5219" t="str">
        <f t="shared" si="2203"/>
        <v>BEARISH</v>
      </c>
      <c r="S5219">
        <f t="shared" si="2192"/>
        <v>-1</v>
      </c>
    </row>
    <row r="5220" spans="1:19" hidden="1" x14ac:dyDescent="0.25">
      <c r="A5220" s="5" t="str">
        <f t="shared" si="2204"/>
        <v>44132UST2Y</v>
      </c>
      <c r="B5220" s="6" t="s">
        <v>5</v>
      </c>
      <c r="C5220" s="6">
        <v>0.18</v>
      </c>
      <c r="D5220" s="6">
        <v>0.12</v>
      </c>
      <c r="E5220" s="6">
        <v>0.16</v>
      </c>
      <c r="F5220" t="str">
        <f t="shared" ref="F5220:F5250" si="2205">UPPER(TEXT(G5220,"ddd"))</f>
        <v>WED</v>
      </c>
      <c r="G5220" s="3">
        <f t="shared" ref="G5220:G5249" si="2206">DATE(2020,10,28)</f>
        <v>44132</v>
      </c>
      <c r="H5220" s="2">
        <f t="shared" ref="H5220:H5250" ca="1" si="2207">TODAY()-G5220</f>
        <v>121</v>
      </c>
      <c r="I5220" t="str">
        <f t="shared" ref="I5220:I5250" si="2208">TRIM(LEFT(B5220,FIND(" ",B5220,1)))</f>
        <v>UST2Y</v>
      </c>
      <c r="J5220">
        <f t="shared" ref="J5220:J5250" si="2209">C5220</f>
        <v>0.18</v>
      </c>
      <c r="K5220">
        <f t="shared" ref="K5220:K5250" si="2210">D5220</f>
        <v>0.12</v>
      </c>
      <c r="L5220">
        <f t="shared" ref="L5220:L5250" si="2211">AVERAGE(J5220:K5220)</f>
        <v>0.15</v>
      </c>
      <c r="M5220">
        <f t="shared" ref="M5220:M5250" si="2212">_xlfn.STDEV.P(J5220:K5220)</f>
        <v>2.9999999999999968E-2</v>
      </c>
      <c r="N5220">
        <f t="shared" si="2190"/>
        <v>0.06</v>
      </c>
      <c r="O5220">
        <f t="shared" ref="O5220:O5250" si="2213">E5220</f>
        <v>0.16</v>
      </c>
      <c r="P5220">
        <f t="shared" ref="P5220:P5250" si="2214">(O5220-L5220)/M5220</f>
        <v>0.33333333333333398</v>
      </c>
      <c r="Q5220" t="str">
        <f t="shared" si="2191"/>
        <v>12.5% | 25%</v>
      </c>
      <c r="R5220" t="str">
        <f t="shared" ref="R5220:R5250" si="2215">MID(B5220,FIND("(",B5220,1)+1,FIND(")",B5220,1)-FIND("(",B5220,1)-1)</f>
        <v>BEARISH</v>
      </c>
      <c r="S5220">
        <f t="shared" si="2192"/>
        <v>-1</v>
      </c>
    </row>
    <row r="5221" spans="1:19" hidden="1" x14ac:dyDescent="0.25">
      <c r="A5221" s="5" t="str">
        <f t="shared" si="2204"/>
        <v>44132SPX</v>
      </c>
      <c r="B5221" s="6" t="s">
        <v>6</v>
      </c>
      <c r="C5221" s="6">
        <v>3335</v>
      </c>
      <c r="D5221" s="6">
        <v>3501</v>
      </c>
      <c r="E5221" s="6">
        <v>3390</v>
      </c>
      <c r="F5221" t="str">
        <f t="shared" si="2205"/>
        <v>WED</v>
      </c>
      <c r="G5221" s="3">
        <f t="shared" si="2206"/>
        <v>44132</v>
      </c>
      <c r="H5221" s="2">
        <f t="shared" ca="1" si="2207"/>
        <v>121</v>
      </c>
      <c r="I5221" t="str">
        <f t="shared" si="2208"/>
        <v>SPX</v>
      </c>
      <c r="J5221">
        <f t="shared" si="2209"/>
        <v>3335</v>
      </c>
      <c r="K5221">
        <f t="shared" si="2210"/>
        <v>3501</v>
      </c>
      <c r="L5221">
        <f t="shared" si="2211"/>
        <v>3418</v>
      </c>
      <c r="M5221">
        <f t="shared" si="2212"/>
        <v>83</v>
      </c>
      <c r="N5221">
        <f t="shared" si="2190"/>
        <v>166</v>
      </c>
      <c r="O5221">
        <f t="shared" si="2213"/>
        <v>3390</v>
      </c>
      <c r="P5221">
        <f t="shared" si="2214"/>
        <v>-0.33734939759036142</v>
      </c>
      <c r="Q5221" t="str">
        <f t="shared" si="2191"/>
        <v>1.62% | 3.27%</v>
      </c>
      <c r="R5221" t="str">
        <f t="shared" si="2215"/>
        <v>BEARISH</v>
      </c>
      <c r="S5221">
        <f t="shared" si="2192"/>
        <v>-1</v>
      </c>
    </row>
    <row r="5222" spans="1:19" hidden="1" x14ac:dyDescent="0.25">
      <c r="A5222" s="5" t="str">
        <f t="shared" si="2204"/>
        <v>44132RUT</v>
      </c>
      <c r="B5222" s="6" t="s">
        <v>7</v>
      </c>
      <c r="C5222" s="6">
        <v>1565</v>
      </c>
      <c r="D5222" s="6">
        <v>1639</v>
      </c>
      <c r="E5222" s="6">
        <v>1590</v>
      </c>
      <c r="F5222" t="str">
        <f t="shared" si="2205"/>
        <v>WED</v>
      </c>
      <c r="G5222" s="3">
        <f t="shared" si="2206"/>
        <v>44132</v>
      </c>
      <c r="H5222" s="2">
        <f t="shared" ca="1" si="2207"/>
        <v>121</v>
      </c>
      <c r="I5222" t="str">
        <f t="shared" si="2208"/>
        <v>RUT</v>
      </c>
      <c r="J5222">
        <f t="shared" si="2209"/>
        <v>1565</v>
      </c>
      <c r="K5222">
        <f t="shared" si="2210"/>
        <v>1639</v>
      </c>
      <c r="L5222">
        <f t="shared" si="2211"/>
        <v>1602</v>
      </c>
      <c r="M5222">
        <f t="shared" si="2212"/>
        <v>37</v>
      </c>
      <c r="N5222">
        <f t="shared" si="2190"/>
        <v>74</v>
      </c>
      <c r="O5222">
        <f t="shared" si="2213"/>
        <v>1590</v>
      </c>
      <c r="P5222">
        <f t="shared" si="2214"/>
        <v>-0.32432432432432434</v>
      </c>
      <c r="Q5222" t="str">
        <f t="shared" si="2191"/>
        <v>1.57% | 3.08%</v>
      </c>
      <c r="R5222" t="str">
        <f t="shared" si="2215"/>
        <v>BEARISH</v>
      </c>
      <c r="S5222">
        <f t="shared" si="2192"/>
        <v>-1</v>
      </c>
    </row>
    <row r="5223" spans="1:19" hidden="1" x14ac:dyDescent="0.25">
      <c r="A5223" s="5" t="str">
        <f t="shared" si="2204"/>
        <v>44132COMPQ</v>
      </c>
      <c r="B5223" s="6" t="s">
        <v>61</v>
      </c>
      <c r="C5223" s="6">
        <v>11280</v>
      </c>
      <c r="D5223" s="6">
        <v>11731</v>
      </c>
      <c r="E5223" s="6">
        <v>11431</v>
      </c>
      <c r="F5223" t="str">
        <f t="shared" si="2205"/>
        <v>WED</v>
      </c>
      <c r="G5223" s="3">
        <f t="shared" si="2206"/>
        <v>44132</v>
      </c>
      <c r="H5223" s="2">
        <f t="shared" ca="1" si="2207"/>
        <v>121</v>
      </c>
      <c r="I5223" t="str">
        <f t="shared" si="2208"/>
        <v>COMPQ</v>
      </c>
      <c r="J5223">
        <f t="shared" si="2209"/>
        <v>11280</v>
      </c>
      <c r="K5223">
        <f t="shared" si="2210"/>
        <v>11731</v>
      </c>
      <c r="L5223">
        <f t="shared" si="2211"/>
        <v>11505.5</v>
      </c>
      <c r="M5223">
        <f t="shared" si="2212"/>
        <v>225.5</v>
      </c>
      <c r="N5223">
        <f t="shared" si="2190"/>
        <v>451</v>
      </c>
      <c r="O5223">
        <f t="shared" si="2213"/>
        <v>11431</v>
      </c>
      <c r="P5223">
        <f t="shared" si="2214"/>
        <v>-0.3303769401330377</v>
      </c>
      <c r="Q5223" t="str">
        <f t="shared" si="2191"/>
        <v>1.32% | 2.62%</v>
      </c>
      <c r="R5223" t="str">
        <f t="shared" si="2215"/>
        <v>NEUTRAL</v>
      </c>
      <c r="S5223">
        <f t="shared" si="2192"/>
        <v>0</v>
      </c>
    </row>
    <row r="5224" spans="1:19" hidden="1" x14ac:dyDescent="0.25">
      <c r="A5224" s="5" t="str">
        <f t="shared" si="2204"/>
        <v>44132XLK</v>
      </c>
      <c r="B5224" s="6" t="s">
        <v>62</v>
      </c>
      <c r="C5224" s="6">
        <v>113.21</v>
      </c>
      <c r="D5224" s="6">
        <v>122.2</v>
      </c>
      <c r="E5224" s="6">
        <v>116.45</v>
      </c>
      <c r="F5224" t="str">
        <f t="shared" si="2205"/>
        <v>WED</v>
      </c>
      <c r="G5224" s="3">
        <f t="shared" si="2206"/>
        <v>44132</v>
      </c>
      <c r="H5224" s="2">
        <f t="shared" ca="1" si="2207"/>
        <v>121</v>
      </c>
      <c r="I5224" t="str">
        <f t="shared" si="2208"/>
        <v>XLK</v>
      </c>
      <c r="J5224">
        <f t="shared" si="2209"/>
        <v>113.21</v>
      </c>
      <c r="K5224">
        <f t="shared" si="2210"/>
        <v>122.2</v>
      </c>
      <c r="L5224">
        <f t="shared" si="2211"/>
        <v>117.705</v>
      </c>
      <c r="M5224">
        <f t="shared" si="2212"/>
        <v>4.4950000000000045</v>
      </c>
      <c r="N5224">
        <f t="shared" si="2190"/>
        <v>8.9900000000000091</v>
      </c>
      <c r="O5224">
        <f t="shared" si="2213"/>
        <v>116.45</v>
      </c>
      <c r="P5224">
        <f t="shared" si="2214"/>
        <v>-0.27919911012235687</v>
      </c>
      <c r="Q5224" t="str">
        <f t="shared" si="2191"/>
        <v>2.78% | 4.94%</v>
      </c>
      <c r="R5224" t="str">
        <f t="shared" si="2215"/>
        <v>NEUTRAL</v>
      </c>
      <c r="S5224">
        <f t="shared" si="2192"/>
        <v>0</v>
      </c>
    </row>
    <row r="5225" spans="1:19" hidden="1" x14ac:dyDescent="0.25">
      <c r="A5225" s="5" t="str">
        <f t="shared" si="2204"/>
        <v>44132XLRE</v>
      </c>
      <c r="B5225" s="6" t="s">
        <v>243</v>
      </c>
      <c r="C5225" s="6">
        <v>34.1</v>
      </c>
      <c r="D5225" s="6">
        <v>36.4</v>
      </c>
      <c r="E5225" s="6">
        <v>34.75</v>
      </c>
      <c r="F5225" t="str">
        <f t="shared" si="2205"/>
        <v>WED</v>
      </c>
      <c r="G5225" s="3">
        <f t="shared" si="2206"/>
        <v>44132</v>
      </c>
      <c r="H5225" s="2">
        <f t="shared" ca="1" si="2207"/>
        <v>121</v>
      </c>
      <c r="I5225" t="str">
        <f t="shared" si="2208"/>
        <v>XLRE</v>
      </c>
      <c r="J5225">
        <f t="shared" si="2209"/>
        <v>34.1</v>
      </c>
      <c r="K5225">
        <f t="shared" si="2210"/>
        <v>36.4</v>
      </c>
      <c r="L5225">
        <f t="shared" si="2211"/>
        <v>35.25</v>
      </c>
      <c r="M5225">
        <f t="shared" si="2212"/>
        <v>1.1499999999999986</v>
      </c>
      <c r="N5225">
        <f t="shared" si="2190"/>
        <v>2.2999999999999972</v>
      </c>
      <c r="O5225">
        <f t="shared" si="2213"/>
        <v>34.75</v>
      </c>
      <c r="P5225">
        <f t="shared" si="2214"/>
        <v>-0.43478260869565272</v>
      </c>
      <c r="Q5225" t="str">
        <f t="shared" si="2191"/>
        <v>1.87% | 4.75%</v>
      </c>
      <c r="R5225" t="str">
        <f t="shared" si="2215"/>
        <v>BEARISH</v>
      </c>
      <c r="S5225">
        <f t="shared" si="2192"/>
        <v>-1</v>
      </c>
    </row>
    <row r="5226" spans="1:19" hidden="1" x14ac:dyDescent="0.25">
      <c r="A5226" s="5" t="str">
        <f t="shared" si="2204"/>
        <v>44132XLU</v>
      </c>
      <c r="B5226" s="6" t="s">
        <v>52</v>
      </c>
      <c r="C5226" s="6">
        <v>62.45</v>
      </c>
      <c r="D5226" s="6">
        <v>65.209999999999994</v>
      </c>
      <c r="E5226" s="6">
        <v>64.680000000000007</v>
      </c>
      <c r="F5226" t="str">
        <f t="shared" si="2205"/>
        <v>WED</v>
      </c>
      <c r="G5226" s="3">
        <f t="shared" si="2206"/>
        <v>44132</v>
      </c>
      <c r="H5226" s="2">
        <f t="shared" ca="1" si="2207"/>
        <v>121</v>
      </c>
      <c r="I5226" t="str">
        <f t="shared" si="2208"/>
        <v>XLU</v>
      </c>
      <c r="J5226">
        <f t="shared" si="2209"/>
        <v>62.45</v>
      </c>
      <c r="K5226">
        <f t="shared" si="2210"/>
        <v>65.209999999999994</v>
      </c>
      <c r="L5226">
        <f t="shared" si="2211"/>
        <v>63.83</v>
      </c>
      <c r="M5226">
        <f t="shared" si="2212"/>
        <v>1.3799999999999955</v>
      </c>
      <c r="N5226">
        <f t="shared" si="2190"/>
        <v>2.7599999999999909</v>
      </c>
      <c r="O5226">
        <f t="shared" si="2213"/>
        <v>64.680000000000007</v>
      </c>
      <c r="P5226">
        <f t="shared" si="2214"/>
        <v>0.61594202898551542</v>
      </c>
      <c r="Q5226" t="str">
        <f t="shared" si="2191"/>
        <v>3.45% | 0.82%</v>
      </c>
      <c r="R5226" t="str">
        <f t="shared" si="2215"/>
        <v>BULLISH</v>
      </c>
      <c r="S5226">
        <f t="shared" si="2192"/>
        <v>1</v>
      </c>
    </row>
    <row r="5227" spans="1:19" hidden="1" x14ac:dyDescent="0.25">
      <c r="A5227" s="5" t="str">
        <f t="shared" si="2204"/>
        <v>44132XLF</v>
      </c>
      <c r="B5227" s="6" t="s">
        <v>12</v>
      </c>
      <c r="C5227" s="6">
        <v>23.44</v>
      </c>
      <c r="D5227" s="6">
        <v>25.33</v>
      </c>
      <c r="E5227" s="6">
        <v>24.23</v>
      </c>
      <c r="F5227" t="str">
        <f t="shared" si="2205"/>
        <v>WED</v>
      </c>
      <c r="G5227" s="3">
        <f t="shared" si="2206"/>
        <v>44132</v>
      </c>
      <c r="H5227" s="2">
        <f t="shared" ca="1" si="2207"/>
        <v>121</v>
      </c>
      <c r="I5227" t="str">
        <f t="shared" si="2208"/>
        <v>XLF</v>
      </c>
      <c r="J5227">
        <f t="shared" si="2209"/>
        <v>23.44</v>
      </c>
      <c r="K5227">
        <f t="shared" si="2210"/>
        <v>25.33</v>
      </c>
      <c r="L5227">
        <f t="shared" si="2211"/>
        <v>24.384999999999998</v>
      </c>
      <c r="M5227">
        <f t="shared" si="2212"/>
        <v>0.94499999999999851</v>
      </c>
      <c r="N5227">
        <f t="shared" si="2190"/>
        <v>1.889999999999997</v>
      </c>
      <c r="O5227">
        <f t="shared" si="2213"/>
        <v>24.23</v>
      </c>
      <c r="P5227">
        <f t="shared" si="2214"/>
        <v>-0.16402116402116174</v>
      </c>
      <c r="Q5227" t="str">
        <f t="shared" si="2191"/>
        <v>3.26% | 4.54%</v>
      </c>
      <c r="R5227" t="str">
        <f t="shared" si="2215"/>
        <v>BEARISH</v>
      </c>
      <c r="S5227">
        <f t="shared" si="2192"/>
        <v>-1</v>
      </c>
    </row>
    <row r="5228" spans="1:19" hidden="1" x14ac:dyDescent="0.25">
      <c r="A5228" s="5" t="str">
        <f t="shared" si="2204"/>
        <v>44132SSEC</v>
      </c>
      <c r="B5228" s="6" t="s">
        <v>104</v>
      </c>
      <c r="C5228" s="6">
        <v>3235</v>
      </c>
      <c r="D5228" s="6">
        <v>3371</v>
      </c>
      <c r="E5228" s="6">
        <v>3269</v>
      </c>
      <c r="F5228" t="str">
        <f t="shared" si="2205"/>
        <v>WED</v>
      </c>
      <c r="G5228" s="3">
        <f t="shared" si="2206"/>
        <v>44132</v>
      </c>
      <c r="H5228" s="2">
        <f t="shared" ca="1" si="2207"/>
        <v>121</v>
      </c>
      <c r="I5228" t="str">
        <f t="shared" si="2208"/>
        <v>SSEC</v>
      </c>
      <c r="J5228">
        <f t="shared" si="2209"/>
        <v>3235</v>
      </c>
      <c r="K5228">
        <f t="shared" si="2210"/>
        <v>3371</v>
      </c>
      <c r="L5228">
        <f t="shared" si="2211"/>
        <v>3303</v>
      </c>
      <c r="M5228">
        <f t="shared" si="2212"/>
        <v>68</v>
      </c>
      <c r="N5228">
        <f t="shared" si="2190"/>
        <v>136</v>
      </c>
      <c r="O5228">
        <f t="shared" si="2213"/>
        <v>3269</v>
      </c>
      <c r="P5228">
        <f t="shared" si="2214"/>
        <v>-0.5</v>
      </c>
      <c r="Q5228" t="str">
        <f t="shared" si="2191"/>
        <v>1.04% | 3.12%</v>
      </c>
      <c r="R5228" t="str">
        <f t="shared" si="2215"/>
        <v>BULLISH</v>
      </c>
      <c r="S5228">
        <f t="shared" si="2192"/>
        <v>1</v>
      </c>
    </row>
    <row r="5229" spans="1:19" hidden="1" x14ac:dyDescent="0.25">
      <c r="A5229" s="5" t="str">
        <f t="shared" si="2204"/>
        <v>44132NIKK</v>
      </c>
      <c r="B5229" s="6" t="s">
        <v>91</v>
      </c>
      <c r="C5229" s="6">
        <v>23363</v>
      </c>
      <c r="D5229" s="6">
        <v>23695</v>
      </c>
      <c r="E5229" s="6">
        <v>23418</v>
      </c>
      <c r="F5229" t="str">
        <f t="shared" si="2205"/>
        <v>WED</v>
      </c>
      <c r="G5229" s="3">
        <f t="shared" si="2206"/>
        <v>44132</v>
      </c>
      <c r="H5229" s="2">
        <f t="shared" ca="1" si="2207"/>
        <v>121</v>
      </c>
      <c r="I5229" t="str">
        <f t="shared" si="2208"/>
        <v>NIKK</v>
      </c>
      <c r="J5229">
        <f t="shared" si="2209"/>
        <v>23363</v>
      </c>
      <c r="K5229">
        <f t="shared" si="2210"/>
        <v>23695</v>
      </c>
      <c r="L5229">
        <f t="shared" si="2211"/>
        <v>23529</v>
      </c>
      <c r="M5229">
        <f t="shared" si="2212"/>
        <v>166</v>
      </c>
      <c r="N5229">
        <f t="shared" si="2190"/>
        <v>332</v>
      </c>
      <c r="O5229">
        <f t="shared" si="2213"/>
        <v>23418</v>
      </c>
      <c r="P5229">
        <f t="shared" si="2214"/>
        <v>-0.66867469879518071</v>
      </c>
      <c r="Q5229" t="str">
        <f t="shared" si="2191"/>
        <v>0.23% | 1.18%</v>
      </c>
      <c r="R5229" t="str">
        <f t="shared" si="2215"/>
        <v>BULLISH</v>
      </c>
      <c r="S5229">
        <f t="shared" si="2192"/>
        <v>1</v>
      </c>
    </row>
    <row r="5230" spans="1:19" hidden="1" x14ac:dyDescent="0.25">
      <c r="A5230" s="5" t="str">
        <f t="shared" si="2204"/>
        <v>44132DAX</v>
      </c>
      <c r="B5230" s="6" t="s">
        <v>16</v>
      </c>
      <c r="C5230" s="6">
        <v>11603</v>
      </c>
      <c r="D5230" s="6">
        <v>12566</v>
      </c>
      <c r="E5230" s="6">
        <v>12063</v>
      </c>
      <c r="F5230" t="str">
        <f t="shared" si="2205"/>
        <v>WED</v>
      </c>
      <c r="G5230" s="3">
        <f t="shared" si="2206"/>
        <v>44132</v>
      </c>
      <c r="H5230" s="2">
        <f t="shared" ca="1" si="2207"/>
        <v>121</v>
      </c>
      <c r="I5230" t="str">
        <f t="shared" si="2208"/>
        <v>DAX</v>
      </c>
      <c r="J5230">
        <f t="shared" si="2209"/>
        <v>11603</v>
      </c>
      <c r="K5230">
        <f t="shared" si="2210"/>
        <v>12566</v>
      </c>
      <c r="L5230">
        <f t="shared" si="2211"/>
        <v>12084.5</v>
      </c>
      <c r="M5230">
        <f t="shared" si="2212"/>
        <v>481.5</v>
      </c>
      <c r="N5230">
        <f t="shared" si="2190"/>
        <v>963</v>
      </c>
      <c r="O5230">
        <f t="shared" si="2213"/>
        <v>12063</v>
      </c>
      <c r="P5230">
        <f t="shared" si="2214"/>
        <v>-4.46521287642783E-2</v>
      </c>
      <c r="Q5230" t="str">
        <f t="shared" si="2191"/>
        <v>3.81% | 4.17%</v>
      </c>
      <c r="R5230" t="str">
        <f t="shared" si="2215"/>
        <v>BEARISH</v>
      </c>
      <c r="S5230">
        <f t="shared" si="2192"/>
        <v>-1</v>
      </c>
    </row>
    <row r="5231" spans="1:19" hidden="1" x14ac:dyDescent="0.25">
      <c r="A5231" s="5" t="str">
        <f t="shared" si="2204"/>
        <v>44132VIX</v>
      </c>
      <c r="B5231" s="6" t="s">
        <v>17</v>
      </c>
      <c r="C5231" s="6">
        <v>26.03</v>
      </c>
      <c r="D5231" s="6">
        <v>37.22</v>
      </c>
      <c r="E5231" s="6">
        <v>33.35</v>
      </c>
      <c r="F5231" t="str">
        <f t="shared" si="2205"/>
        <v>WED</v>
      </c>
      <c r="G5231" s="3">
        <f t="shared" si="2206"/>
        <v>44132</v>
      </c>
      <c r="H5231" s="2">
        <f t="shared" ca="1" si="2207"/>
        <v>121</v>
      </c>
      <c r="I5231" t="str">
        <f t="shared" si="2208"/>
        <v>VIX</v>
      </c>
      <c r="J5231">
        <f t="shared" si="2209"/>
        <v>26.03</v>
      </c>
      <c r="K5231">
        <f t="shared" si="2210"/>
        <v>37.22</v>
      </c>
      <c r="L5231">
        <f t="shared" si="2211"/>
        <v>31.625</v>
      </c>
      <c r="M5231">
        <f t="shared" si="2212"/>
        <v>5.5949999999999918</v>
      </c>
      <c r="N5231">
        <f t="shared" si="2190"/>
        <v>11.189999999999998</v>
      </c>
      <c r="O5231">
        <f t="shared" si="2213"/>
        <v>33.35</v>
      </c>
      <c r="P5231">
        <f t="shared" si="2214"/>
        <v>0.30831099195710526</v>
      </c>
      <c r="Q5231" t="str">
        <f t="shared" si="2191"/>
        <v>21.95% | 11.6%</v>
      </c>
      <c r="R5231" t="str">
        <f t="shared" si="2215"/>
        <v>BULLISH</v>
      </c>
      <c r="S5231">
        <f t="shared" si="2192"/>
        <v>1</v>
      </c>
    </row>
    <row r="5232" spans="1:19" hidden="1" x14ac:dyDescent="0.25">
      <c r="A5232" s="5" t="str">
        <f t="shared" si="2204"/>
        <v>44132USD</v>
      </c>
      <c r="B5232" s="6" t="s">
        <v>94</v>
      </c>
      <c r="C5232" s="6">
        <v>92.21</v>
      </c>
      <c r="D5232" s="6">
        <v>93.95</v>
      </c>
      <c r="E5232" s="6">
        <v>92.93</v>
      </c>
      <c r="F5232" t="str">
        <f t="shared" si="2205"/>
        <v>WED</v>
      </c>
      <c r="G5232" s="3">
        <f t="shared" si="2206"/>
        <v>44132</v>
      </c>
      <c r="H5232" s="2">
        <f t="shared" ca="1" si="2207"/>
        <v>121</v>
      </c>
      <c r="I5232" t="str">
        <f t="shared" si="2208"/>
        <v>USD</v>
      </c>
      <c r="J5232">
        <f t="shared" si="2209"/>
        <v>92.21</v>
      </c>
      <c r="K5232">
        <f t="shared" si="2210"/>
        <v>93.95</v>
      </c>
      <c r="L5232">
        <f t="shared" si="2211"/>
        <v>93.08</v>
      </c>
      <c r="M5232">
        <f t="shared" si="2212"/>
        <v>0.87000000000000455</v>
      </c>
      <c r="N5232">
        <f t="shared" si="2190"/>
        <v>1.7400000000000091</v>
      </c>
      <c r="O5232">
        <f t="shared" si="2213"/>
        <v>92.93</v>
      </c>
      <c r="P5232">
        <f t="shared" si="2214"/>
        <v>-0.17241379310343757</v>
      </c>
      <c r="Q5232" t="str">
        <f t="shared" si="2191"/>
        <v>0.77% | 1.1%</v>
      </c>
      <c r="R5232" t="str">
        <f t="shared" si="2215"/>
        <v>BEARISH</v>
      </c>
      <c r="S5232">
        <f t="shared" si="2192"/>
        <v>-1</v>
      </c>
    </row>
    <row r="5233" spans="1:19" hidden="1" x14ac:dyDescent="0.25">
      <c r="A5233" s="5" t="str">
        <f t="shared" si="2204"/>
        <v>44132EUR/USD</v>
      </c>
      <c r="B5233" s="6" t="s">
        <v>99</v>
      </c>
      <c r="C5233" s="6">
        <v>1.169</v>
      </c>
      <c r="D5233" s="6">
        <v>1.19</v>
      </c>
      <c r="E5233" s="6">
        <v>1.179</v>
      </c>
      <c r="F5233" t="str">
        <f t="shared" si="2205"/>
        <v>WED</v>
      </c>
      <c r="G5233" s="3">
        <f t="shared" si="2206"/>
        <v>44132</v>
      </c>
      <c r="H5233" s="2">
        <f t="shared" ca="1" si="2207"/>
        <v>121</v>
      </c>
      <c r="I5233" t="str">
        <f t="shared" si="2208"/>
        <v>EUR/USD</v>
      </c>
      <c r="J5233">
        <f t="shared" si="2209"/>
        <v>1.169</v>
      </c>
      <c r="K5233">
        <f t="shared" si="2210"/>
        <v>1.19</v>
      </c>
      <c r="L5233">
        <f t="shared" si="2211"/>
        <v>1.1795</v>
      </c>
      <c r="M5233">
        <f t="shared" si="2212"/>
        <v>1.0499999999999954E-2</v>
      </c>
      <c r="N5233">
        <f t="shared" si="2190"/>
        <v>2.0999999999999908E-2</v>
      </c>
      <c r="O5233">
        <f t="shared" si="2213"/>
        <v>1.179</v>
      </c>
      <c r="P5233">
        <f t="shared" si="2214"/>
        <v>-4.7619047619042586E-2</v>
      </c>
      <c r="Q5233" t="str">
        <f t="shared" si="2191"/>
        <v>0.85% | 0.93%</v>
      </c>
      <c r="R5233" t="str">
        <f t="shared" si="2215"/>
        <v>BULLISH</v>
      </c>
      <c r="S5233">
        <f t="shared" si="2192"/>
        <v>1</v>
      </c>
    </row>
    <row r="5234" spans="1:19" hidden="1" x14ac:dyDescent="0.25">
      <c r="A5234" s="5" t="str">
        <f t="shared" si="2204"/>
        <v>44132USD/JPY</v>
      </c>
      <c r="B5234" s="6" t="s">
        <v>20</v>
      </c>
      <c r="C5234" s="6">
        <v>104.31</v>
      </c>
      <c r="D5234" s="6">
        <v>105.76</v>
      </c>
      <c r="E5234" s="6">
        <v>104.42</v>
      </c>
      <c r="F5234" t="str">
        <f t="shared" si="2205"/>
        <v>WED</v>
      </c>
      <c r="G5234" s="3">
        <f t="shared" si="2206"/>
        <v>44132</v>
      </c>
      <c r="H5234" s="2">
        <f t="shared" ca="1" si="2207"/>
        <v>121</v>
      </c>
      <c r="I5234" t="str">
        <f t="shared" si="2208"/>
        <v>USD/JPY</v>
      </c>
      <c r="J5234">
        <f t="shared" si="2209"/>
        <v>104.31</v>
      </c>
      <c r="K5234">
        <f t="shared" si="2210"/>
        <v>105.76</v>
      </c>
      <c r="L5234">
        <f t="shared" si="2211"/>
        <v>105.035</v>
      </c>
      <c r="M5234">
        <f t="shared" si="2212"/>
        <v>0.72500000000000142</v>
      </c>
      <c r="N5234">
        <f t="shared" si="2190"/>
        <v>1.4500000000000028</v>
      </c>
      <c r="O5234">
        <f t="shared" si="2213"/>
        <v>104.42</v>
      </c>
      <c r="P5234">
        <f t="shared" si="2214"/>
        <v>-0.84827586206895678</v>
      </c>
      <c r="Q5234" t="str">
        <f t="shared" si="2191"/>
        <v>0.11% | 1.28%</v>
      </c>
      <c r="R5234" t="str">
        <f t="shared" si="2215"/>
        <v>BEARISH</v>
      </c>
      <c r="S5234">
        <f t="shared" si="2192"/>
        <v>-1</v>
      </c>
    </row>
    <row r="5235" spans="1:19" hidden="1" x14ac:dyDescent="0.25">
      <c r="A5235" s="5" t="str">
        <f t="shared" si="2204"/>
        <v>44132GBP/USD</v>
      </c>
      <c r="B5235" s="6" t="s">
        <v>102</v>
      </c>
      <c r="C5235" s="6">
        <v>1.29</v>
      </c>
      <c r="D5235" s="6">
        <v>1.32</v>
      </c>
      <c r="E5235" s="6">
        <v>1.3</v>
      </c>
      <c r="F5235" t="str">
        <f t="shared" si="2205"/>
        <v>WED</v>
      </c>
      <c r="G5235" s="3">
        <f t="shared" si="2206"/>
        <v>44132</v>
      </c>
      <c r="H5235" s="2">
        <f t="shared" ca="1" si="2207"/>
        <v>121</v>
      </c>
      <c r="I5235" t="str">
        <f t="shared" si="2208"/>
        <v>GBP/USD</v>
      </c>
      <c r="J5235">
        <f t="shared" si="2209"/>
        <v>1.29</v>
      </c>
      <c r="K5235">
        <f t="shared" si="2210"/>
        <v>1.32</v>
      </c>
      <c r="L5235">
        <f t="shared" si="2211"/>
        <v>1.3050000000000002</v>
      </c>
      <c r="M5235">
        <f t="shared" si="2212"/>
        <v>1.5000000000000013E-2</v>
      </c>
      <c r="N5235">
        <f t="shared" si="2190"/>
        <v>3.0000000000000027E-2</v>
      </c>
      <c r="O5235">
        <f t="shared" si="2213"/>
        <v>1.3</v>
      </c>
      <c r="P5235">
        <f t="shared" si="2214"/>
        <v>-0.33333333333334075</v>
      </c>
      <c r="Q5235" t="str">
        <f t="shared" si="2191"/>
        <v>0.77% | 1.54%</v>
      </c>
      <c r="R5235" t="str">
        <f t="shared" si="2215"/>
        <v>BULLISH</v>
      </c>
      <c r="S5235">
        <f t="shared" si="2192"/>
        <v>1</v>
      </c>
    </row>
    <row r="5236" spans="1:19" hidden="1" x14ac:dyDescent="0.25">
      <c r="A5236" s="5" t="str">
        <f t="shared" si="2204"/>
        <v>44132USD/CHF</v>
      </c>
      <c r="B5236" s="6" t="s">
        <v>76</v>
      </c>
      <c r="C5236" s="6">
        <v>0.89</v>
      </c>
      <c r="D5236" s="6">
        <v>0.92</v>
      </c>
      <c r="E5236" s="6">
        <v>0.9</v>
      </c>
      <c r="F5236" t="str">
        <f t="shared" si="2205"/>
        <v>WED</v>
      </c>
      <c r="G5236" s="3">
        <f t="shared" si="2206"/>
        <v>44132</v>
      </c>
      <c r="H5236" s="2">
        <f t="shared" ca="1" si="2207"/>
        <v>121</v>
      </c>
      <c r="I5236" t="str">
        <f t="shared" si="2208"/>
        <v>USD/CHF</v>
      </c>
      <c r="J5236">
        <f t="shared" si="2209"/>
        <v>0.89</v>
      </c>
      <c r="K5236">
        <f t="shared" si="2210"/>
        <v>0.92</v>
      </c>
      <c r="L5236">
        <f t="shared" si="2211"/>
        <v>0.90500000000000003</v>
      </c>
      <c r="M5236">
        <f t="shared" si="2212"/>
        <v>1.5000000000000013E-2</v>
      </c>
      <c r="N5236">
        <f t="shared" si="2190"/>
        <v>3.0000000000000027E-2</v>
      </c>
      <c r="O5236">
        <f t="shared" si="2213"/>
        <v>0.9</v>
      </c>
      <c r="P5236">
        <f t="shared" si="2214"/>
        <v>-0.33333333333333331</v>
      </c>
      <c r="Q5236" t="str">
        <f t="shared" si="2191"/>
        <v>1.11% | 2.22%</v>
      </c>
      <c r="R5236" t="str">
        <f t="shared" si="2215"/>
        <v>BEARISH</v>
      </c>
      <c r="S5236">
        <f t="shared" si="2192"/>
        <v>-1</v>
      </c>
    </row>
    <row r="5237" spans="1:19" hidden="1" x14ac:dyDescent="0.25">
      <c r="A5237" s="5" t="str">
        <f t="shared" si="2204"/>
        <v>44132WTIC</v>
      </c>
      <c r="B5237" s="6" t="s">
        <v>23</v>
      </c>
      <c r="C5237" s="6">
        <v>38.01</v>
      </c>
      <c r="D5237" s="6">
        <v>40.549999999999997</v>
      </c>
      <c r="E5237" s="6">
        <v>39.57</v>
      </c>
      <c r="F5237" t="str">
        <f t="shared" si="2205"/>
        <v>WED</v>
      </c>
      <c r="G5237" s="3">
        <f t="shared" si="2206"/>
        <v>44132</v>
      </c>
      <c r="H5237" s="2">
        <f t="shared" ca="1" si="2207"/>
        <v>121</v>
      </c>
      <c r="I5237" t="str">
        <f t="shared" si="2208"/>
        <v>WTIC</v>
      </c>
      <c r="J5237">
        <f t="shared" si="2209"/>
        <v>38.01</v>
      </c>
      <c r="K5237">
        <f t="shared" si="2210"/>
        <v>40.549999999999997</v>
      </c>
      <c r="L5237">
        <f t="shared" si="2211"/>
        <v>39.28</v>
      </c>
      <c r="M5237">
        <f t="shared" si="2212"/>
        <v>1.2699999999999996</v>
      </c>
      <c r="N5237">
        <f t="shared" si="2190"/>
        <v>2.5399999999999991</v>
      </c>
      <c r="O5237">
        <f t="shared" si="2213"/>
        <v>39.57</v>
      </c>
      <c r="P5237">
        <f t="shared" si="2214"/>
        <v>0.22834645669291279</v>
      </c>
      <c r="Q5237" t="str">
        <f t="shared" si="2191"/>
        <v>3.94% | 2.48%</v>
      </c>
      <c r="R5237" t="str">
        <f t="shared" si="2215"/>
        <v>BEARISH</v>
      </c>
      <c r="S5237">
        <f t="shared" si="2192"/>
        <v>-1</v>
      </c>
    </row>
    <row r="5238" spans="1:19" hidden="1" x14ac:dyDescent="0.25">
      <c r="A5238" s="5" t="str">
        <f t="shared" si="2204"/>
        <v>44132NATGAS</v>
      </c>
      <c r="B5238" s="6" t="s">
        <v>89</v>
      </c>
      <c r="C5238" s="6">
        <v>2.76</v>
      </c>
      <c r="D5238" s="6">
        <v>3.39</v>
      </c>
      <c r="E5238" s="6">
        <v>3.31</v>
      </c>
      <c r="F5238" t="str">
        <f t="shared" si="2205"/>
        <v>WED</v>
      </c>
      <c r="G5238" s="3">
        <f t="shared" si="2206"/>
        <v>44132</v>
      </c>
      <c r="H5238" s="2">
        <f t="shared" ca="1" si="2207"/>
        <v>121</v>
      </c>
      <c r="I5238" t="str">
        <f t="shared" si="2208"/>
        <v>NATGAS</v>
      </c>
      <c r="J5238">
        <f t="shared" si="2209"/>
        <v>2.76</v>
      </c>
      <c r="K5238">
        <f t="shared" si="2210"/>
        <v>3.39</v>
      </c>
      <c r="L5238">
        <f t="shared" si="2211"/>
        <v>3.0750000000000002</v>
      </c>
      <c r="M5238">
        <f t="shared" si="2212"/>
        <v>0.31499999999999806</v>
      </c>
      <c r="N5238">
        <f t="shared" si="2190"/>
        <v>0.63000000000000034</v>
      </c>
      <c r="O5238">
        <f t="shared" si="2213"/>
        <v>3.31</v>
      </c>
      <c r="P5238">
        <f t="shared" si="2214"/>
        <v>0.74603174603175026</v>
      </c>
      <c r="Q5238" t="str">
        <f t="shared" si="2191"/>
        <v>16.62% | 2.42%</v>
      </c>
      <c r="R5238" t="str">
        <f t="shared" si="2215"/>
        <v>BULLISH</v>
      </c>
      <c r="S5238">
        <f t="shared" si="2192"/>
        <v>1</v>
      </c>
    </row>
    <row r="5239" spans="1:19" hidden="1" x14ac:dyDescent="0.25">
      <c r="A5239" s="5" t="str">
        <f t="shared" si="2204"/>
        <v>44132GOLD</v>
      </c>
      <c r="B5239" s="6" t="s">
        <v>25</v>
      </c>
      <c r="C5239" s="6">
        <v>1886</v>
      </c>
      <c r="D5239" s="6">
        <v>1931</v>
      </c>
      <c r="E5239" s="6">
        <v>1911</v>
      </c>
      <c r="F5239" t="str">
        <f t="shared" si="2205"/>
        <v>WED</v>
      </c>
      <c r="G5239" s="3">
        <f t="shared" si="2206"/>
        <v>44132</v>
      </c>
      <c r="H5239" s="2">
        <f t="shared" ca="1" si="2207"/>
        <v>121</v>
      </c>
      <c r="I5239" t="str">
        <f t="shared" si="2208"/>
        <v>GOLD</v>
      </c>
      <c r="J5239">
        <f t="shared" si="2209"/>
        <v>1886</v>
      </c>
      <c r="K5239">
        <f t="shared" si="2210"/>
        <v>1931</v>
      </c>
      <c r="L5239">
        <f t="shared" si="2211"/>
        <v>1908.5</v>
      </c>
      <c r="M5239">
        <f t="shared" si="2212"/>
        <v>22.5</v>
      </c>
      <c r="N5239">
        <f t="shared" si="2190"/>
        <v>45</v>
      </c>
      <c r="O5239">
        <f t="shared" si="2213"/>
        <v>1911</v>
      </c>
      <c r="P5239">
        <f t="shared" si="2214"/>
        <v>0.1111111111111111</v>
      </c>
      <c r="Q5239" t="str">
        <f t="shared" si="2191"/>
        <v>1.31% | 1.05%</v>
      </c>
      <c r="R5239" t="str">
        <f t="shared" si="2215"/>
        <v>BULLISH</v>
      </c>
      <c r="S5239">
        <f t="shared" si="2192"/>
        <v>1</v>
      </c>
    </row>
    <row r="5240" spans="1:19" hidden="1" x14ac:dyDescent="0.25">
      <c r="A5240" s="5" t="str">
        <f t="shared" si="2204"/>
        <v>44132SILVER</v>
      </c>
      <c r="B5240" s="6" t="s">
        <v>195</v>
      </c>
      <c r="C5240" s="6">
        <v>23.82</v>
      </c>
      <c r="D5240" s="6">
        <v>25.29</v>
      </c>
      <c r="E5240" s="6">
        <v>24.57</v>
      </c>
      <c r="F5240" t="str">
        <f t="shared" si="2205"/>
        <v>WED</v>
      </c>
      <c r="G5240" s="3">
        <f t="shared" si="2206"/>
        <v>44132</v>
      </c>
      <c r="H5240" s="2">
        <f t="shared" ca="1" si="2207"/>
        <v>121</v>
      </c>
      <c r="I5240" t="str">
        <f t="shared" si="2208"/>
        <v>SILVER</v>
      </c>
      <c r="J5240">
        <f t="shared" si="2209"/>
        <v>23.82</v>
      </c>
      <c r="K5240">
        <f t="shared" si="2210"/>
        <v>25.29</v>
      </c>
      <c r="L5240">
        <f t="shared" si="2211"/>
        <v>24.555</v>
      </c>
      <c r="M5240">
        <f t="shared" si="2212"/>
        <v>0.73499999999999943</v>
      </c>
      <c r="N5240">
        <f t="shared" si="2190"/>
        <v>1.4699999999999989</v>
      </c>
      <c r="O5240">
        <f t="shared" si="2213"/>
        <v>24.57</v>
      </c>
      <c r="P5240">
        <f t="shared" si="2214"/>
        <v>2.0408163265306912E-2</v>
      </c>
      <c r="Q5240" t="str">
        <f t="shared" si="2191"/>
        <v>3.05% | 2.93%</v>
      </c>
      <c r="R5240" t="str">
        <f t="shared" si="2215"/>
        <v>BULLISH</v>
      </c>
      <c r="S5240">
        <f t="shared" si="2192"/>
        <v>1</v>
      </c>
    </row>
    <row r="5241" spans="1:19" hidden="1" x14ac:dyDescent="0.25">
      <c r="A5241" s="5" t="str">
        <f t="shared" si="2204"/>
        <v>44132COPPER</v>
      </c>
      <c r="B5241" s="6" t="s">
        <v>100</v>
      </c>
      <c r="C5241" s="6">
        <v>3.02</v>
      </c>
      <c r="D5241" s="6">
        <v>3.2</v>
      </c>
      <c r="E5241" s="6">
        <v>3.09</v>
      </c>
      <c r="F5241" t="str">
        <f t="shared" si="2205"/>
        <v>WED</v>
      </c>
      <c r="G5241" s="3">
        <f t="shared" si="2206"/>
        <v>44132</v>
      </c>
      <c r="H5241" s="2">
        <f t="shared" ca="1" si="2207"/>
        <v>121</v>
      </c>
      <c r="I5241" t="str">
        <f t="shared" si="2208"/>
        <v>COPPER</v>
      </c>
      <c r="J5241">
        <f t="shared" si="2209"/>
        <v>3.02</v>
      </c>
      <c r="K5241">
        <f t="shared" si="2210"/>
        <v>3.2</v>
      </c>
      <c r="L5241">
        <f t="shared" si="2211"/>
        <v>3.1100000000000003</v>
      </c>
      <c r="M5241">
        <f t="shared" si="2212"/>
        <v>9.000000000000008E-2</v>
      </c>
      <c r="N5241">
        <f t="shared" si="2190"/>
        <v>0.18000000000000016</v>
      </c>
      <c r="O5241">
        <f t="shared" si="2213"/>
        <v>3.09</v>
      </c>
      <c r="P5241">
        <f t="shared" si="2214"/>
        <v>-0.22222222222222715</v>
      </c>
      <c r="Q5241" t="str">
        <f t="shared" si="2191"/>
        <v>2.27% | 3.56%</v>
      </c>
      <c r="R5241" t="str">
        <f t="shared" si="2215"/>
        <v>BULLISH</v>
      </c>
      <c r="S5241">
        <f t="shared" si="2192"/>
        <v>1</v>
      </c>
    </row>
    <row r="5242" spans="1:19" hidden="1" x14ac:dyDescent="0.25">
      <c r="A5242" s="5" t="str">
        <f t="shared" si="2204"/>
        <v>44132MSFT</v>
      </c>
      <c r="B5242" s="6" t="s">
        <v>235</v>
      </c>
      <c r="C5242" s="6">
        <v>207</v>
      </c>
      <c r="D5242" s="6">
        <v>220</v>
      </c>
      <c r="E5242" s="6">
        <v>213</v>
      </c>
      <c r="F5242" t="str">
        <f t="shared" si="2205"/>
        <v>WED</v>
      </c>
      <c r="G5242" s="3">
        <f t="shared" si="2206"/>
        <v>44132</v>
      </c>
      <c r="H5242" s="2">
        <f t="shared" ca="1" si="2207"/>
        <v>121</v>
      </c>
      <c r="I5242" t="str">
        <f t="shared" si="2208"/>
        <v>MSFT</v>
      </c>
      <c r="J5242">
        <f t="shared" si="2209"/>
        <v>207</v>
      </c>
      <c r="K5242">
        <f t="shared" si="2210"/>
        <v>220</v>
      </c>
      <c r="L5242">
        <f t="shared" si="2211"/>
        <v>213.5</v>
      </c>
      <c r="M5242">
        <f t="shared" si="2212"/>
        <v>6.5</v>
      </c>
      <c r="N5242">
        <f t="shared" si="2190"/>
        <v>13</v>
      </c>
      <c r="O5242">
        <f t="shared" si="2213"/>
        <v>213</v>
      </c>
      <c r="P5242">
        <f t="shared" si="2214"/>
        <v>-7.6923076923076927E-2</v>
      </c>
      <c r="Q5242" t="str">
        <f t="shared" si="2191"/>
        <v>2.82% | 3.29%</v>
      </c>
      <c r="R5242" t="str">
        <f t="shared" si="2215"/>
        <v>NEUTRAL</v>
      </c>
      <c r="S5242">
        <f t="shared" si="2192"/>
        <v>0</v>
      </c>
    </row>
    <row r="5243" spans="1:19" hidden="1" x14ac:dyDescent="0.25">
      <c r="A5243" s="5" t="str">
        <f t="shared" si="2204"/>
        <v>44132AAPL</v>
      </c>
      <c r="B5243" s="6" t="s">
        <v>63</v>
      </c>
      <c r="C5243" s="6">
        <v>110</v>
      </c>
      <c r="D5243" s="6">
        <v>121</v>
      </c>
      <c r="E5243" s="6">
        <v>116</v>
      </c>
      <c r="F5243" t="str">
        <f t="shared" si="2205"/>
        <v>WED</v>
      </c>
      <c r="G5243" s="3">
        <f t="shared" si="2206"/>
        <v>44132</v>
      </c>
      <c r="H5243" s="2">
        <f t="shared" ca="1" si="2207"/>
        <v>121</v>
      </c>
      <c r="I5243" t="str">
        <f t="shared" si="2208"/>
        <v>AAPL</v>
      </c>
      <c r="J5243">
        <f t="shared" si="2209"/>
        <v>110</v>
      </c>
      <c r="K5243">
        <f t="shared" si="2210"/>
        <v>121</v>
      </c>
      <c r="L5243">
        <f t="shared" si="2211"/>
        <v>115.5</v>
      </c>
      <c r="M5243">
        <f t="shared" si="2212"/>
        <v>5.5</v>
      </c>
      <c r="N5243">
        <f t="shared" si="2190"/>
        <v>11</v>
      </c>
      <c r="O5243">
        <f t="shared" si="2213"/>
        <v>116</v>
      </c>
      <c r="P5243">
        <f t="shared" si="2214"/>
        <v>9.0909090909090912E-2</v>
      </c>
      <c r="Q5243" t="str">
        <f t="shared" si="2191"/>
        <v>5.17% | 4.31%</v>
      </c>
      <c r="R5243" t="str">
        <f t="shared" si="2215"/>
        <v>NEUTRAL</v>
      </c>
      <c r="S5243">
        <f t="shared" si="2192"/>
        <v>0</v>
      </c>
    </row>
    <row r="5244" spans="1:19" hidden="1" x14ac:dyDescent="0.25">
      <c r="A5244" s="5" t="str">
        <f t="shared" si="2204"/>
        <v>44132AMZN</v>
      </c>
      <c r="B5244" s="6" t="s">
        <v>29</v>
      </c>
      <c r="C5244" s="6">
        <v>3092</v>
      </c>
      <c r="D5244" s="6">
        <v>3335</v>
      </c>
      <c r="E5244" s="6">
        <v>3286</v>
      </c>
      <c r="F5244" t="str">
        <f t="shared" si="2205"/>
        <v>WED</v>
      </c>
      <c r="G5244" s="3">
        <f t="shared" si="2206"/>
        <v>44132</v>
      </c>
      <c r="H5244" s="2">
        <f t="shared" ca="1" si="2207"/>
        <v>121</v>
      </c>
      <c r="I5244" t="str">
        <f t="shared" si="2208"/>
        <v>AMZN</v>
      </c>
      <c r="J5244">
        <f t="shared" si="2209"/>
        <v>3092</v>
      </c>
      <c r="K5244">
        <f t="shared" si="2210"/>
        <v>3335</v>
      </c>
      <c r="L5244">
        <f t="shared" si="2211"/>
        <v>3213.5</v>
      </c>
      <c r="M5244">
        <f t="shared" si="2212"/>
        <v>121.5</v>
      </c>
      <c r="N5244">
        <f t="shared" si="2190"/>
        <v>243</v>
      </c>
      <c r="O5244">
        <f t="shared" si="2213"/>
        <v>3286</v>
      </c>
      <c r="P5244">
        <f t="shared" si="2214"/>
        <v>0.5967078189300411</v>
      </c>
      <c r="Q5244" t="str">
        <f t="shared" si="2191"/>
        <v>5.9% | 1.49%</v>
      </c>
      <c r="R5244" t="str">
        <f t="shared" si="2215"/>
        <v>BULLISH</v>
      </c>
      <c r="S5244">
        <f t="shared" si="2192"/>
        <v>1</v>
      </c>
    </row>
    <row r="5245" spans="1:19" hidden="1" x14ac:dyDescent="0.25">
      <c r="A5245" s="5" t="str">
        <f t="shared" si="2204"/>
        <v>44132FB</v>
      </c>
      <c r="B5245" s="6" t="s">
        <v>30</v>
      </c>
      <c r="C5245" s="6">
        <v>258</v>
      </c>
      <c r="D5245" s="6">
        <v>290</v>
      </c>
      <c r="E5245" s="6">
        <v>283</v>
      </c>
      <c r="F5245" t="str">
        <f t="shared" si="2205"/>
        <v>WED</v>
      </c>
      <c r="G5245" s="3">
        <f t="shared" si="2206"/>
        <v>44132</v>
      </c>
      <c r="H5245" s="2">
        <f t="shared" ca="1" si="2207"/>
        <v>121</v>
      </c>
      <c r="I5245" t="str">
        <f t="shared" si="2208"/>
        <v>FB</v>
      </c>
      <c r="J5245">
        <f t="shared" si="2209"/>
        <v>258</v>
      </c>
      <c r="K5245">
        <f t="shared" si="2210"/>
        <v>290</v>
      </c>
      <c r="L5245">
        <f t="shared" si="2211"/>
        <v>274</v>
      </c>
      <c r="M5245">
        <f t="shared" si="2212"/>
        <v>16</v>
      </c>
      <c r="N5245">
        <f t="shared" si="2190"/>
        <v>32</v>
      </c>
      <c r="O5245">
        <f t="shared" si="2213"/>
        <v>283</v>
      </c>
      <c r="P5245">
        <f t="shared" si="2214"/>
        <v>0.5625</v>
      </c>
      <c r="Q5245" t="str">
        <f t="shared" si="2191"/>
        <v>8.83% | 2.47%</v>
      </c>
      <c r="R5245" t="str">
        <f t="shared" si="2215"/>
        <v>BULLISH</v>
      </c>
      <c r="S5245">
        <f t="shared" si="2192"/>
        <v>1</v>
      </c>
    </row>
    <row r="5246" spans="1:19" hidden="1" x14ac:dyDescent="0.25">
      <c r="A5246" s="5" t="str">
        <f t="shared" si="2204"/>
        <v>44132GOOGL</v>
      </c>
      <c r="B5246" s="6" t="s">
        <v>31</v>
      </c>
      <c r="C5246" s="6">
        <v>1510</v>
      </c>
      <c r="D5246" s="6">
        <v>1640</v>
      </c>
      <c r="E5246" s="6">
        <v>1598</v>
      </c>
      <c r="F5246" t="str">
        <f t="shared" si="2205"/>
        <v>WED</v>
      </c>
      <c r="G5246" s="3">
        <f t="shared" si="2206"/>
        <v>44132</v>
      </c>
      <c r="H5246" s="2">
        <f t="shared" ca="1" si="2207"/>
        <v>121</v>
      </c>
      <c r="I5246" t="str">
        <f t="shared" si="2208"/>
        <v>GOOGL</v>
      </c>
      <c r="J5246">
        <f t="shared" si="2209"/>
        <v>1510</v>
      </c>
      <c r="K5246">
        <f t="shared" si="2210"/>
        <v>1640</v>
      </c>
      <c r="L5246">
        <f t="shared" si="2211"/>
        <v>1575</v>
      </c>
      <c r="M5246">
        <f t="shared" si="2212"/>
        <v>65</v>
      </c>
      <c r="N5246">
        <f t="shared" si="2190"/>
        <v>130</v>
      </c>
      <c r="O5246">
        <f t="shared" si="2213"/>
        <v>1598</v>
      </c>
      <c r="P5246">
        <f t="shared" si="2214"/>
        <v>0.35384615384615387</v>
      </c>
      <c r="Q5246" t="str">
        <f t="shared" si="2191"/>
        <v>5.51% | 2.63%</v>
      </c>
      <c r="R5246" t="str">
        <f t="shared" si="2215"/>
        <v>BULLISH</v>
      </c>
      <c r="S5246">
        <f t="shared" si="2192"/>
        <v>1</v>
      </c>
    </row>
    <row r="5247" spans="1:19" hidden="1" x14ac:dyDescent="0.25">
      <c r="A5247" s="5" t="str">
        <f t="shared" si="2204"/>
        <v>44132NFLX</v>
      </c>
      <c r="B5247" s="6" t="s">
        <v>81</v>
      </c>
      <c r="C5247" s="6">
        <v>460</v>
      </c>
      <c r="D5247" s="6">
        <v>508</v>
      </c>
      <c r="E5247" s="6">
        <v>488</v>
      </c>
      <c r="F5247" t="str">
        <f t="shared" si="2205"/>
        <v>WED</v>
      </c>
      <c r="G5247" s="3">
        <f t="shared" si="2206"/>
        <v>44132</v>
      </c>
      <c r="H5247" s="2">
        <f t="shared" ca="1" si="2207"/>
        <v>121</v>
      </c>
      <c r="I5247" t="str">
        <f t="shared" si="2208"/>
        <v>NFLX</v>
      </c>
      <c r="J5247">
        <f t="shared" si="2209"/>
        <v>460</v>
      </c>
      <c r="K5247">
        <f t="shared" si="2210"/>
        <v>508</v>
      </c>
      <c r="L5247">
        <f t="shared" si="2211"/>
        <v>484</v>
      </c>
      <c r="M5247">
        <f t="shared" si="2212"/>
        <v>24</v>
      </c>
      <c r="N5247">
        <f t="shared" si="2190"/>
        <v>48</v>
      </c>
      <c r="O5247">
        <f t="shared" si="2213"/>
        <v>488</v>
      </c>
      <c r="P5247">
        <f t="shared" si="2214"/>
        <v>0.16666666666666666</v>
      </c>
      <c r="Q5247" t="str">
        <f t="shared" si="2191"/>
        <v>5.74% | 4.1%</v>
      </c>
      <c r="R5247" t="str">
        <f t="shared" si="2215"/>
        <v>BEARISH</v>
      </c>
      <c r="S5247">
        <f t="shared" si="2192"/>
        <v>-1</v>
      </c>
    </row>
    <row r="5248" spans="1:19" x14ac:dyDescent="0.25">
      <c r="A5248" s="5" t="str">
        <f t="shared" si="2204"/>
        <v>44132TSLA</v>
      </c>
      <c r="B5248" s="6" t="s">
        <v>71</v>
      </c>
      <c r="C5248" s="6">
        <v>403</v>
      </c>
      <c r="D5248" s="6">
        <v>450</v>
      </c>
      <c r="E5248" s="6">
        <v>424</v>
      </c>
      <c r="F5248" t="str">
        <f t="shared" si="2205"/>
        <v>WED</v>
      </c>
      <c r="G5248" s="3">
        <f t="shared" si="2206"/>
        <v>44132</v>
      </c>
      <c r="H5248" s="2">
        <f t="shared" ca="1" si="2207"/>
        <v>121</v>
      </c>
      <c r="I5248" t="str">
        <f t="shared" si="2208"/>
        <v>TSLA</v>
      </c>
      <c r="J5248">
        <f t="shared" si="2209"/>
        <v>403</v>
      </c>
      <c r="K5248">
        <f t="shared" si="2210"/>
        <v>450</v>
      </c>
      <c r="L5248">
        <f t="shared" si="2211"/>
        <v>426.5</v>
      </c>
      <c r="M5248">
        <f t="shared" si="2212"/>
        <v>23.5</v>
      </c>
      <c r="N5248">
        <f t="shared" si="2190"/>
        <v>47</v>
      </c>
      <c r="O5248">
        <f t="shared" si="2213"/>
        <v>424</v>
      </c>
      <c r="P5248">
        <f t="shared" si="2214"/>
        <v>-0.10638297872340426</v>
      </c>
      <c r="Q5248" t="str">
        <f t="shared" si="2191"/>
        <v>4.95% | 6.13%</v>
      </c>
      <c r="R5248" t="str">
        <f t="shared" si="2215"/>
        <v>NEUTRAL</v>
      </c>
      <c r="S5248">
        <f t="shared" si="2192"/>
        <v>0</v>
      </c>
    </row>
    <row r="5249" spans="1:19" hidden="1" x14ac:dyDescent="0.25">
      <c r="A5249" s="5" t="str">
        <f t="shared" si="2204"/>
        <v>44132NYXBT</v>
      </c>
      <c r="B5249" s="6" t="s">
        <v>60</v>
      </c>
      <c r="C5249" s="6">
        <v>12366</v>
      </c>
      <c r="D5249" s="6">
        <v>13956</v>
      </c>
      <c r="E5249" s="6">
        <v>13403</v>
      </c>
      <c r="F5249" t="str">
        <f t="shared" si="2205"/>
        <v>WED</v>
      </c>
      <c r="G5249" s="3">
        <f t="shared" si="2206"/>
        <v>44132</v>
      </c>
      <c r="H5249" s="2">
        <f t="shared" ca="1" si="2207"/>
        <v>121</v>
      </c>
      <c r="I5249" t="str">
        <f t="shared" si="2208"/>
        <v>NYXBT</v>
      </c>
      <c r="J5249">
        <f t="shared" si="2209"/>
        <v>12366</v>
      </c>
      <c r="K5249">
        <f t="shared" si="2210"/>
        <v>13956</v>
      </c>
      <c r="L5249">
        <f t="shared" si="2211"/>
        <v>13161</v>
      </c>
      <c r="M5249">
        <f t="shared" si="2212"/>
        <v>795</v>
      </c>
      <c r="N5249">
        <f t="shared" si="2190"/>
        <v>1590</v>
      </c>
      <c r="O5249">
        <f t="shared" si="2213"/>
        <v>13403</v>
      </c>
      <c r="P5249">
        <f t="shared" si="2214"/>
        <v>0.30440251572327043</v>
      </c>
      <c r="Q5249" t="str">
        <f t="shared" si="2191"/>
        <v>7.74% | 4.13%</v>
      </c>
      <c r="R5249" t="str">
        <f t="shared" si="2215"/>
        <v>BULLISH</v>
      </c>
      <c r="S5249">
        <f t="shared" si="2192"/>
        <v>1</v>
      </c>
    </row>
    <row r="5250" spans="1:19" hidden="1" x14ac:dyDescent="0.25">
      <c r="A5250" s="5" t="str">
        <f t="shared" si="2204"/>
        <v>44133UST10Y</v>
      </c>
      <c r="B5250" s="6" t="s">
        <v>4</v>
      </c>
      <c r="C5250" s="6">
        <v>0.87</v>
      </c>
      <c r="D5250" s="6">
        <v>0.72</v>
      </c>
      <c r="E5250" s="6">
        <v>0.79</v>
      </c>
      <c r="F5250" t="str">
        <f t="shared" si="2205"/>
        <v>THU</v>
      </c>
      <c r="G5250" s="1">
        <f>DATE(2020,10,29)</f>
        <v>44133</v>
      </c>
      <c r="H5250" s="2">
        <f t="shared" ca="1" si="2207"/>
        <v>120</v>
      </c>
      <c r="I5250" t="str">
        <f t="shared" si="2208"/>
        <v>UST10Y</v>
      </c>
      <c r="J5250">
        <f t="shared" si="2209"/>
        <v>0.87</v>
      </c>
      <c r="K5250">
        <f t="shared" si="2210"/>
        <v>0.72</v>
      </c>
      <c r="L5250">
        <f t="shared" si="2211"/>
        <v>0.79499999999999993</v>
      </c>
      <c r="M5250">
        <f t="shared" si="2212"/>
        <v>7.5000000000000011E-2</v>
      </c>
      <c r="N5250">
        <f t="shared" si="2190"/>
        <v>0.15000000000000002</v>
      </c>
      <c r="O5250">
        <f t="shared" si="2213"/>
        <v>0.79</v>
      </c>
      <c r="P5250">
        <f t="shared" si="2214"/>
        <v>-6.6666666666665236E-2</v>
      </c>
      <c r="Q5250" t="str">
        <f t="shared" si="2191"/>
        <v>10.13% | 8.86%</v>
      </c>
      <c r="R5250" t="str">
        <f t="shared" si="2215"/>
        <v>BEARISH</v>
      </c>
      <c r="S5250">
        <f t="shared" si="2192"/>
        <v>-1</v>
      </c>
    </row>
    <row r="5251" spans="1:19" hidden="1" x14ac:dyDescent="0.25">
      <c r="A5251" s="5" t="str">
        <f t="shared" si="2204"/>
        <v>44133UST2Y</v>
      </c>
      <c r="B5251" s="6" t="s">
        <v>5</v>
      </c>
      <c r="C5251" s="6">
        <v>0.18</v>
      </c>
      <c r="D5251" s="6">
        <v>0.13</v>
      </c>
      <c r="E5251" s="6">
        <v>0.16</v>
      </c>
      <c r="F5251" t="str">
        <f t="shared" ref="F5251:F5281" si="2216">UPPER(TEXT(G5251,"ddd"))</f>
        <v>THU</v>
      </c>
      <c r="G5251" s="1">
        <f t="shared" ref="G5251:G5280" si="2217">DATE(2020,10,29)</f>
        <v>44133</v>
      </c>
      <c r="H5251" s="2">
        <f t="shared" ref="H5251:H5281" ca="1" si="2218">TODAY()-G5251</f>
        <v>120</v>
      </c>
      <c r="I5251" t="str">
        <f t="shared" ref="I5251:I5281" si="2219">TRIM(LEFT(B5251,FIND(" ",B5251,1)))</f>
        <v>UST2Y</v>
      </c>
      <c r="J5251">
        <f t="shared" ref="J5251:J5281" si="2220">C5251</f>
        <v>0.18</v>
      </c>
      <c r="K5251">
        <f t="shared" ref="K5251:K5281" si="2221">D5251</f>
        <v>0.13</v>
      </c>
      <c r="L5251">
        <f t="shared" ref="L5251:L5281" si="2222">AVERAGE(J5251:K5251)</f>
        <v>0.155</v>
      </c>
      <c r="M5251">
        <f t="shared" ref="M5251:M5281" si="2223">_xlfn.STDEV.P(J5251:K5251)</f>
        <v>2.4999999999999942E-2</v>
      </c>
      <c r="N5251">
        <f t="shared" ref="N5251:N5314" si="2224">ABS(K5251-J5251)</f>
        <v>4.9999999999999989E-2</v>
      </c>
      <c r="O5251">
        <f t="shared" ref="O5251:O5281" si="2225">E5251</f>
        <v>0.16</v>
      </c>
      <c r="P5251">
        <f t="shared" ref="P5251:P5281" si="2226">(O5251-L5251)/M5251</f>
        <v>0.20000000000000065</v>
      </c>
      <c r="Q5251" t="str">
        <f t="shared" ref="Q5251:Q5314" si="2227">ROUND(ABS(100*(O5251-J5251)/O5251),2)&amp;"% | "&amp;ROUND(ABS(100*(K5251-O5251)/O5251),2)&amp;"%"</f>
        <v>12.5% | 18.75%</v>
      </c>
      <c r="R5251" t="str">
        <f t="shared" ref="R5251:R5281" si="2228">MID(B5251,FIND("(",B5251,1)+1,FIND(")",B5251,1)-FIND("(",B5251,1)-1)</f>
        <v>BEARISH</v>
      </c>
      <c r="S5251">
        <f t="shared" ref="S5251:S5314" si="2229">IF(R5251="BEARISH",-1,IF(R5251="NEUTRAL",0,IF(R5251="BULLISH",1,99)))</f>
        <v>-1</v>
      </c>
    </row>
    <row r="5252" spans="1:19" hidden="1" x14ac:dyDescent="0.25">
      <c r="A5252" s="5" t="str">
        <f t="shared" si="2204"/>
        <v>44133SPX</v>
      </c>
      <c r="B5252" s="6" t="s">
        <v>6</v>
      </c>
      <c r="C5252" s="6">
        <v>3237</v>
      </c>
      <c r="D5252" s="6">
        <v>3473</v>
      </c>
      <c r="E5252" s="6">
        <v>3271</v>
      </c>
      <c r="F5252" t="str">
        <f t="shared" si="2216"/>
        <v>THU</v>
      </c>
      <c r="G5252" s="1">
        <f t="shared" si="2217"/>
        <v>44133</v>
      </c>
      <c r="H5252" s="2">
        <f t="shared" ca="1" si="2218"/>
        <v>120</v>
      </c>
      <c r="I5252" t="str">
        <f t="shared" si="2219"/>
        <v>SPX</v>
      </c>
      <c r="J5252">
        <f t="shared" si="2220"/>
        <v>3237</v>
      </c>
      <c r="K5252">
        <f t="shared" si="2221"/>
        <v>3473</v>
      </c>
      <c r="L5252">
        <f t="shared" si="2222"/>
        <v>3355</v>
      </c>
      <c r="M5252">
        <f t="shared" si="2223"/>
        <v>118</v>
      </c>
      <c r="N5252">
        <f t="shared" si="2224"/>
        <v>236</v>
      </c>
      <c r="O5252">
        <f t="shared" si="2225"/>
        <v>3271</v>
      </c>
      <c r="P5252">
        <f t="shared" si="2226"/>
        <v>-0.71186440677966101</v>
      </c>
      <c r="Q5252" t="str">
        <f t="shared" si="2227"/>
        <v>1.04% | 6.18%</v>
      </c>
      <c r="R5252" t="str">
        <f t="shared" si="2228"/>
        <v>BEARISH</v>
      </c>
      <c r="S5252">
        <f t="shared" si="2229"/>
        <v>-1</v>
      </c>
    </row>
    <row r="5253" spans="1:19" hidden="1" x14ac:dyDescent="0.25">
      <c r="A5253" s="5" t="str">
        <f t="shared" si="2204"/>
        <v>44133RUT</v>
      </c>
      <c r="B5253" s="6" t="s">
        <v>7</v>
      </c>
      <c r="C5253" s="6">
        <v>1526</v>
      </c>
      <c r="D5253" s="6">
        <v>1634</v>
      </c>
      <c r="E5253" s="6">
        <v>1543</v>
      </c>
      <c r="F5253" t="str">
        <f t="shared" si="2216"/>
        <v>THU</v>
      </c>
      <c r="G5253" s="1">
        <f t="shared" si="2217"/>
        <v>44133</v>
      </c>
      <c r="H5253" s="2">
        <f t="shared" ca="1" si="2218"/>
        <v>120</v>
      </c>
      <c r="I5253" t="str">
        <f t="shared" si="2219"/>
        <v>RUT</v>
      </c>
      <c r="J5253">
        <f t="shared" si="2220"/>
        <v>1526</v>
      </c>
      <c r="K5253">
        <f t="shared" si="2221"/>
        <v>1634</v>
      </c>
      <c r="L5253">
        <f t="shared" si="2222"/>
        <v>1580</v>
      </c>
      <c r="M5253">
        <f t="shared" si="2223"/>
        <v>54</v>
      </c>
      <c r="N5253">
        <f t="shared" si="2224"/>
        <v>108</v>
      </c>
      <c r="O5253">
        <f t="shared" si="2225"/>
        <v>1543</v>
      </c>
      <c r="P5253">
        <f t="shared" si="2226"/>
        <v>-0.68518518518518523</v>
      </c>
      <c r="Q5253" t="str">
        <f t="shared" si="2227"/>
        <v>1.1% | 5.9%</v>
      </c>
      <c r="R5253" t="str">
        <f t="shared" si="2228"/>
        <v>BEARISH</v>
      </c>
      <c r="S5253">
        <f t="shared" si="2229"/>
        <v>-1</v>
      </c>
    </row>
    <row r="5254" spans="1:19" hidden="1" x14ac:dyDescent="0.25">
      <c r="A5254" s="5" t="str">
        <f t="shared" si="2204"/>
        <v>44133COMPQ</v>
      </c>
      <c r="B5254" s="6" t="s">
        <v>61</v>
      </c>
      <c r="C5254" s="6">
        <v>10892</v>
      </c>
      <c r="D5254" s="6">
        <v>11638</v>
      </c>
      <c r="E5254" s="6">
        <v>11004</v>
      </c>
      <c r="F5254" t="str">
        <f t="shared" si="2216"/>
        <v>THU</v>
      </c>
      <c r="G5254" s="1">
        <f t="shared" si="2217"/>
        <v>44133</v>
      </c>
      <c r="H5254" s="2">
        <f t="shared" ca="1" si="2218"/>
        <v>120</v>
      </c>
      <c r="I5254" t="str">
        <f t="shared" si="2219"/>
        <v>COMPQ</v>
      </c>
      <c r="J5254">
        <f t="shared" si="2220"/>
        <v>10892</v>
      </c>
      <c r="K5254">
        <f t="shared" si="2221"/>
        <v>11638</v>
      </c>
      <c r="L5254">
        <f t="shared" si="2222"/>
        <v>11265</v>
      </c>
      <c r="M5254">
        <f t="shared" si="2223"/>
        <v>373</v>
      </c>
      <c r="N5254">
        <f t="shared" si="2224"/>
        <v>746</v>
      </c>
      <c r="O5254">
        <f t="shared" si="2225"/>
        <v>11004</v>
      </c>
      <c r="P5254">
        <f t="shared" si="2226"/>
        <v>-0.69973190348525471</v>
      </c>
      <c r="Q5254" t="str">
        <f t="shared" si="2227"/>
        <v>1.02% | 5.76%</v>
      </c>
      <c r="R5254" t="str">
        <f t="shared" si="2228"/>
        <v>NEUTRAL</v>
      </c>
      <c r="S5254">
        <f t="shared" si="2229"/>
        <v>0</v>
      </c>
    </row>
    <row r="5255" spans="1:19" hidden="1" x14ac:dyDescent="0.25">
      <c r="A5255" s="5" t="str">
        <f t="shared" ref="A5255:A5318" si="2230">G5255&amp;I5255</f>
        <v>44133XLK</v>
      </c>
      <c r="B5255" s="6" t="s">
        <v>62</v>
      </c>
      <c r="C5255" s="6">
        <v>110.21</v>
      </c>
      <c r="D5255" s="6">
        <v>119.12</v>
      </c>
      <c r="E5255" s="6">
        <v>111.51</v>
      </c>
      <c r="F5255" t="str">
        <f t="shared" si="2216"/>
        <v>THU</v>
      </c>
      <c r="G5255" s="1">
        <f t="shared" si="2217"/>
        <v>44133</v>
      </c>
      <c r="H5255" s="2">
        <f t="shared" ca="1" si="2218"/>
        <v>120</v>
      </c>
      <c r="I5255" t="str">
        <f t="shared" si="2219"/>
        <v>XLK</v>
      </c>
      <c r="J5255">
        <f t="shared" si="2220"/>
        <v>110.21</v>
      </c>
      <c r="K5255">
        <f t="shared" si="2221"/>
        <v>119.12</v>
      </c>
      <c r="L5255">
        <f t="shared" si="2222"/>
        <v>114.66499999999999</v>
      </c>
      <c r="M5255">
        <f t="shared" si="2223"/>
        <v>4.4550000000000054</v>
      </c>
      <c r="N5255">
        <f t="shared" si="2224"/>
        <v>8.9100000000000108</v>
      </c>
      <c r="O5255">
        <f t="shared" si="2225"/>
        <v>111.51</v>
      </c>
      <c r="P5255">
        <f t="shared" si="2226"/>
        <v>-0.70819304152637108</v>
      </c>
      <c r="Q5255" t="str">
        <f t="shared" si="2227"/>
        <v>1.17% | 6.82%</v>
      </c>
      <c r="R5255" t="str">
        <f t="shared" si="2228"/>
        <v>NEUTRAL</v>
      </c>
      <c r="S5255">
        <f t="shared" si="2229"/>
        <v>0</v>
      </c>
    </row>
    <row r="5256" spans="1:19" hidden="1" x14ac:dyDescent="0.25">
      <c r="A5256" s="5" t="str">
        <f t="shared" si="2230"/>
        <v>44133XLRE</v>
      </c>
      <c r="B5256" s="6" t="s">
        <v>243</v>
      </c>
      <c r="C5256" s="6">
        <v>33.54</v>
      </c>
      <c r="D5256" s="6">
        <v>35.630000000000003</v>
      </c>
      <c r="E5256" s="6">
        <v>33.979999999999997</v>
      </c>
      <c r="F5256" t="str">
        <f t="shared" si="2216"/>
        <v>THU</v>
      </c>
      <c r="G5256" s="1">
        <f t="shared" si="2217"/>
        <v>44133</v>
      </c>
      <c r="H5256" s="2">
        <f t="shared" ca="1" si="2218"/>
        <v>120</v>
      </c>
      <c r="I5256" t="str">
        <f t="shared" si="2219"/>
        <v>XLRE</v>
      </c>
      <c r="J5256">
        <f t="shared" si="2220"/>
        <v>33.54</v>
      </c>
      <c r="K5256">
        <f t="shared" si="2221"/>
        <v>35.630000000000003</v>
      </c>
      <c r="L5256">
        <f t="shared" si="2222"/>
        <v>34.585000000000001</v>
      </c>
      <c r="M5256">
        <f t="shared" si="2223"/>
        <v>1.0450000000000017</v>
      </c>
      <c r="N5256">
        <f t="shared" si="2224"/>
        <v>2.0900000000000034</v>
      </c>
      <c r="O5256">
        <f t="shared" si="2225"/>
        <v>33.979999999999997</v>
      </c>
      <c r="P5256">
        <f t="shared" si="2226"/>
        <v>-0.57894736842105554</v>
      </c>
      <c r="Q5256" t="str">
        <f t="shared" si="2227"/>
        <v>1.29% | 4.86%</v>
      </c>
      <c r="R5256" t="str">
        <f t="shared" si="2228"/>
        <v>BEARISH</v>
      </c>
      <c r="S5256">
        <f t="shared" si="2229"/>
        <v>-1</v>
      </c>
    </row>
    <row r="5257" spans="1:19" hidden="1" x14ac:dyDescent="0.25">
      <c r="A5257" s="5" t="str">
        <f t="shared" si="2230"/>
        <v>44133XLU</v>
      </c>
      <c r="B5257" s="6" t="s">
        <v>52</v>
      </c>
      <c r="C5257" s="6">
        <v>62.37</v>
      </c>
      <c r="D5257" s="6">
        <v>65.31</v>
      </c>
      <c r="E5257" s="6">
        <v>62.8</v>
      </c>
      <c r="F5257" t="str">
        <f t="shared" si="2216"/>
        <v>THU</v>
      </c>
      <c r="G5257" s="1">
        <f t="shared" si="2217"/>
        <v>44133</v>
      </c>
      <c r="H5257" s="2">
        <f t="shared" ca="1" si="2218"/>
        <v>120</v>
      </c>
      <c r="I5257" t="str">
        <f t="shared" si="2219"/>
        <v>XLU</v>
      </c>
      <c r="J5257">
        <f t="shared" si="2220"/>
        <v>62.37</v>
      </c>
      <c r="K5257">
        <f t="shared" si="2221"/>
        <v>65.31</v>
      </c>
      <c r="L5257">
        <f t="shared" si="2222"/>
        <v>63.84</v>
      </c>
      <c r="M5257">
        <f t="shared" si="2223"/>
        <v>1.4700000000000024</v>
      </c>
      <c r="N5257">
        <f t="shared" si="2224"/>
        <v>2.9400000000000048</v>
      </c>
      <c r="O5257">
        <f t="shared" si="2225"/>
        <v>62.8</v>
      </c>
      <c r="P5257">
        <f t="shared" si="2226"/>
        <v>-0.70748299319728203</v>
      </c>
      <c r="Q5257" t="str">
        <f t="shared" si="2227"/>
        <v>0.68% | 4%</v>
      </c>
      <c r="R5257" t="str">
        <f t="shared" si="2228"/>
        <v>BULLISH</v>
      </c>
      <c r="S5257">
        <f t="shared" si="2229"/>
        <v>1</v>
      </c>
    </row>
    <row r="5258" spans="1:19" hidden="1" x14ac:dyDescent="0.25">
      <c r="A5258" s="5" t="str">
        <f t="shared" si="2230"/>
        <v>44133XLF</v>
      </c>
      <c r="B5258" s="6" t="s">
        <v>12</v>
      </c>
      <c r="C5258" s="6">
        <v>23.2</v>
      </c>
      <c r="D5258" s="6">
        <v>24.77</v>
      </c>
      <c r="E5258" s="6">
        <v>23.61</v>
      </c>
      <c r="F5258" t="str">
        <f t="shared" si="2216"/>
        <v>THU</v>
      </c>
      <c r="G5258" s="1">
        <f t="shared" si="2217"/>
        <v>44133</v>
      </c>
      <c r="H5258" s="2">
        <f t="shared" ca="1" si="2218"/>
        <v>120</v>
      </c>
      <c r="I5258" t="str">
        <f t="shared" si="2219"/>
        <v>XLF</v>
      </c>
      <c r="J5258">
        <f t="shared" si="2220"/>
        <v>23.2</v>
      </c>
      <c r="K5258">
        <f t="shared" si="2221"/>
        <v>24.77</v>
      </c>
      <c r="L5258">
        <f t="shared" si="2222"/>
        <v>23.984999999999999</v>
      </c>
      <c r="M5258">
        <f t="shared" si="2223"/>
        <v>0.78500000000000014</v>
      </c>
      <c r="N5258">
        <f t="shared" si="2224"/>
        <v>1.5700000000000003</v>
      </c>
      <c r="O5258">
        <f t="shared" si="2225"/>
        <v>23.61</v>
      </c>
      <c r="P5258">
        <f t="shared" si="2226"/>
        <v>-0.47770700636942665</v>
      </c>
      <c r="Q5258" t="str">
        <f t="shared" si="2227"/>
        <v>1.74% | 4.91%</v>
      </c>
      <c r="R5258" t="str">
        <f t="shared" si="2228"/>
        <v>BEARISH</v>
      </c>
      <c r="S5258">
        <f t="shared" si="2229"/>
        <v>-1</v>
      </c>
    </row>
    <row r="5259" spans="1:19" hidden="1" x14ac:dyDescent="0.25">
      <c r="A5259" s="5" t="str">
        <f t="shared" si="2230"/>
        <v>44133SSEC</v>
      </c>
      <c r="B5259" s="6" t="s">
        <v>104</v>
      </c>
      <c r="C5259" s="6">
        <v>3230</v>
      </c>
      <c r="D5259" s="6">
        <v>3361</v>
      </c>
      <c r="E5259" s="6">
        <v>3272</v>
      </c>
      <c r="F5259" t="str">
        <f t="shared" si="2216"/>
        <v>THU</v>
      </c>
      <c r="G5259" s="1">
        <f t="shared" si="2217"/>
        <v>44133</v>
      </c>
      <c r="H5259" s="2">
        <f t="shared" ca="1" si="2218"/>
        <v>120</v>
      </c>
      <c r="I5259" t="str">
        <f t="shared" si="2219"/>
        <v>SSEC</v>
      </c>
      <c r="J5259">
        <f t="shared" si="2220"/>
        <v>3230</v>
      </c>
      <c r="K5259">
        <f t="shared" si="2221"/>
        <v>3361</v>
      </c>
      <c r="L5259">
        <f t="shared" si="2222"/>
        <v>3295.5</v>
      </c>
      <c r="M5259">
        <f t="shared" si="2223"/>
        <v>65.5</v>
      </c>
      <c r="N5259">
        <f t="shared" si="2224"/>
        <v>131</v>
      </c>
      <c r="O5259">
        <f t="shared" si="2225"/>
        <v>3272</v>
      </c>
      <c r="P5259">
        <f t="shared" si="2226"/>
        <v>-0.35877862595419846</v>
      </c>
      <c r="Q5259" t="str">
        <f t="shared" si="2227"/>
        <v>1.28% | 2.72%</v>
      </c>
      <c r="R5259" t="str">
        <f t="shared" si="2228"/>
        <v>BULLISH</v>
      </c>
      <c r="S5259">
        <f t="shared" si="2229"/>
        <v>1</v>
      </c>
    </row>
    <row r="5260" spans="1:19" hidden="1" x14ac:dyDescent="0.25">
      <c r="A5260" s="5" t="str">
        <f t="shared" si="2230"/>
        <v>44133NIKK</v>
      </c>
      <c r="B5260" s="6" t="s">
        <v>91</v>
      </c>
      <c r="C5260" s="6">
        <v>23309</v>
      </c>
      <c r="D5260" s="6">
        <v>23695</v>
      </c>
      <c r="E5260" s="6">
        <v>23331</v>
      </c>
      <c r="F5260" t="str">
        <f t="shared" si="2216"/>
        <v>THU</v>
      </c>
      <c r="G5260" s="1">
        <f t="shared" si="2217"/>
        <v>44133</v>
      </c>
      <c r="H5260" s="2">
        <f t="shared" ca="1" si="2218"/>
        <v>120</v>
      </c>
      <c r="I5260" t="str">
        <f t="shared" si="2219"/>
        <v>NIKK</v>
      </c>
      <c r="J5260">
        <f t="shared" si="2220"/>
        <v>23309</v>
      </c>
      <c r="K5260">
        <f t="shared" si="2221"/>
        <v>23695</v>
      </c>
      <c r="L5260">
        <f t="shared" si="2222"/>
        <v>23502</v>
      </c>
      <c r="M5260">
        <f t="shared" si="2223"/>
        <v>193</v>
      </c>
      <c r="N5260">
        <f t="shared" si="2224"/>
        <v>386</v>
      </c>
      <c r="O5260">
        <f t="shared" si="2225"/>
        <v>23331</v>
      </c>
      <c r="P5260">
        <f t="shared" si="2226"/>
        <v>-0.88601036269430056</v>
      </c>
      <c r="Q5260" t="str">
        <f t="shared" si="2227"/>
        <v>0.09% | 1.56%</v>
      </c>
      <c r="R5260" t="str">
        <f t="shared" si="2228"/>
        <v>BULLISH</v>
      </c>
      <c r="S5260">
        <f t="shared" si="2229"/>
        <v>1</v>
      </c>
    </row>
    <row r="5261" spans="1:19" hidden="1" x14ac:dyDescent="0.25">
      <c r="A5261" s="5" t="str">
        <f t="shared" si="2230"/>
        <v>44133DAX</v>
      </c>
      <c r="B5261" s="6" t="s">
        <v>16</v>
      </c>
      <c r="C5261" s="6">
        <v>11398</v>
      </c>
      <c r="D5261" s="6">
        <v>12475</v>
      </c>
      <c r="E5261" s="6">
        <v>11560</v>
      </c>
      <c r="F5261" t="str">
        <f t="shared" si="2216"/>
        <v>THU</v>
      </c>
      <c r="G5261" s="1">
        <f t="shared" si="2217"/>
        <v>44133</v>
      </c>
      <c r="H5261" s="2">
        <f t="shared" ca="1" si="2218"/>
        <v>120</v>
      </c>
      <c r="I5261" t="str">
        <f t="shared" si="2219"/>
        <v>DAX</v>
      </c>
      <c r="J5261">
        <f t="shared" si="2220"/>
        <v>11398</v>
      </c>
      <c r="K5261">
        <f t="shared" si="2221"/>
        <v>12475</v>
      </c>
      <c r="L5261">
        <f t="shared" si="2222"/>
        <v>11936.5</v>
      </c>
      <c r="M5261">
        <f t="shared" si="2223"/>
        <v>538.5</v>
      </c>
      <c r="N5261">
        <f t="shared" si="2224"/>
        <v>1077</v>
      </c>
      <c r="O5261">
        <f t="shared" si="2225"/>
        <v>11560</v>
      </c>
      <c r="P5261">
        <f t="shared" si="2226"/>
        <v>-0.69916434540389971</v>
      </c>
      <c r="Q5261" t="str">
        <f t="shared" si="2227"/>
        <v>1.4% | 7.92%</v>
      </c>
      <c r="R5261" t="str">
        <f t="shared" si="2228"/>
        <v>BEARISH</v>
      </c>
      <c r="S5261">
        <f t="shared" si="2229"/>
        <v>-1</v>
      </c>
    </row>
    <row r="5262" spans="1:19" hidden="1" x14ac:dyDescent="0.25">
      <c r="A5262" s="5" t="str">
        <f t="shared" si="2230"/>
        <v>44133VIX</v>
      </c>
      <c r="B5262" s="6" t="s">
        <v>17</v>
      </c>
      <c r="C5262" s="6">
        <v>28.01</v>
      </c>
      <c r="D5262" s="6">
        <v>42.35</v>
      </c>
      <c r="E5262" s="6">
        <v>40.28</v>
      </c>
      <c r="F5262" t="str">
        <f t="shared" si="2216"/>
        <v>THU</v>
      </c>
      <c r="G5262" s="1">
        <f t="shared" si="2217"/>
        <v>44133</v>
      </c>
      <c r="H5262" s="2">
        <f t="shared" ca="1" si="2218"/>
        <v>120</v>
      </c>
      <c r="I5262" t="str">
        <f t="shared" si="2219"/>
        <v>VIX</v>
      </c>
      <c r="J5262">
        <f t="shared" si="2220"/>
        <v>28.01</v>
      </c>
      <c r="K5262">
        <f t="shared" si="2221"/>
        <v>42.35</v>
      </c>
      <c r="L5262">
        <f t="shared" si="2222"/>
        <v>35.18</v>
      </c>
      <c r="M5262">
        <f t="shared" si="2223"/>
        <v>7.1700000000000088</v>
      </c>
      <c r="N5262">
        <f t="shared" si="2224"/>
        <v>14.34</v>
      </c>
      <c r="O5262">
        <f t="shared" si="2225"/>
        <v>40.28</v>
      </c>
      <c r="P5262">
        <f t="shared" si="2226"/>
        <v>0.71129707112970642</v>
      </c>
      <c r="Q5262" t="str">
        <f t="shared" si="2227"/>
        <v>30.46% | 5.14%</v>
      </c>
      <c r="R5262" t="str">
        <f t="shared" si="2228"/>
        <v>BULLISH</v>
      </c>
      <c r="S5262">
        <f t="shared" si="2229"/>
        <v>1</v>
      </c>
    </row>
    <row r="5263" spans="1:19" hidden="1" x14ac:dyDescent="0.25">
      <c r="A5263" s="5" t="str">
        <f t="shared" si="2230"/>
        <v>44133USD</v>
      </c>
      <c r="B5263" s="6" t="s">
        <v>94</v>
      </c>
      <c r="C5263" s="6">
        <v>92.41</v>
      </c>
      <c r="D5263" s="6">
        <v>93.85</v>
      </c>
      <c r="E5263" s="6">
        <v>93.41</v>
      </c>
      <c r="F5263" t="str">
        <f t="shared" si="2216"/>
        <v>THU</v>
      </c>
      <c r="G5263" s="1">
        <f t="shared" si="2217"/>
        <v>44133</v>
      </c>
      <c r="H5263" s="2">
        <f t="shared" ca="1" si="2218"/>
        <v>120</v>
      </c>
      <c r="I5263" t="str">
        <f t="shared" si="2219"/>
        <v>USD</v>
      </c>
      <c r="J5263">
        <f t="shared" si="2220"/>
        <v>92.41</v>
      </c>
      <c r="K5263">
        <f t="shared" si="2221"/>
        <v>93.85</v>
      </c>
      <c r="L5263">
        <f t="shared" si="2222"/>
        <v>93.13</v>
      </c>
      <c r="M5263">
        <f t="shared" si="2223"/>
        <v>0.71999999999999886</v>
      </c>
      <c r="N5263">
        <f t="shared" si="2224"/>
        <v>1.4399999999999977</v>
      </c>
      <c r="O5263">
        <f t="shared" si="2225"/>
        <v>93.41</v>
      </c>
      <c r="P5263">
        <f t="shared" si="2226"/>
        <v>0.38888888888889106</v>
      </c>
      <c r="Q5263" t="str">
        <f t="shared" si="2227"/>
        <v>1.07% | 0.47%</v>
      </c>
      <c r="R5263" t="str">
        <f t="shared" si="2228"/>
        <v>BEARISH</v>
      </c>
      <c r="S5263">
        <f t="shared" si="2229"/>
        <v>-1</v>
      </c>
    </row>
    <row r="5264" spans="1:19" hidden="1" x14ac:dyDescent="0.25">
      <c r="A5264" s="5" t="str">
        <f t="shared" si="2230"/>
        <v>44133EUR/USD</v>
      </c>
      <c r="B5264" s="6" t="s">
        <v>99</v>
      </c>
      <c r="C5264" s="6">
        <v>1.171</v>
      </c>
      <c r="D5264" s="6">
        <v>1.19</v>
      </c>
      <c r="E5264" s="6">
        <v>1.175</v>
      </c>
      <c r="F5264" t="str">
        <f t="shared" si="2216"/>
        <v>THU</v>
      </c>
      <c r="G5264" s="1">
        <f t="shared" si="2217"/>
        <v>44133</v>
      </c>
      <c r="H5264" s="2">
        <f t="shared" ca="1" si="2218"/>
        <v>120</v>
      </c>
      <c r="I5264" t="str">
        <f t="shared" si="2219"/>
        <v>EUR/USD</v>
      </c>
      <c r="J5264">
        <f t="shared" si="2220"/>
        <v>1.171</v>
      </c>
      <c r="K5264">
        <f t="shared" si="2221"/>
        <v>1.19</v>
      </c>
      <c r="L5264">
        <f t="shared" si="2222"/>
        <v>1.1804999999999999</v>
      </c>
      <c r="M5264">
        <f t="shared" si="2223"/>
        <v>9.4999999999999529E-3</v>
      </c>
      <c r="N5264">
        <f t="shared" si="2224"/>
        <v>1.8999999999999906E-2</v>
      </c>
      <c r="O5264">
        <f t="shared" si="2225"/>
        <v>1.175</v>
      </c>
      <c r="P5264">
        <f t="shared" si="2226"/>
        <v>-0.57894736842103844</v>
      </c>
      <c r="Q5264" t="str">
        <f t="shared" si="2227"/>
        <v>0.34% | 1.28%</v>
      </c>
      <c r="R5264" t="str">
        <f t="shared" si="2228"/>
        <v>BULLISH</v>
      </c>
      <c r="S5264">
        <f t="shared" si="2229"/>
        <v>1</v>
      </c>
    </row>
    <row r="5265" spans="1:19" hidden="1" x14ac:dyDescent="0.25">
      <c r="A5265" s="5" t="str">
        <f t="shared" si="2230"/>
        <v>44133USD/JPY</v>
      </c>
      <c r="B5265" s="6" t="s">
        <v>20</v>
      </c>
      <c r="C5265" s="6">
        <v>104.01</v>
      </c>
      <c r="D5265" s="6">
        <v>105.31</v>
      </c>
      <c r="E5265" s="6">
        <v>104.34</v>
      </c>
      <c r="F5265" t="str">
        <f t="shared" si="2216"/>
        <v>THU</v>
      </c>
      <c r="G5265" s="1">
        <f t="shared" si="2217"/>
        <v>44133</v>
      </c>
      <c r="H5265" s="2">
        <f t="shared" ca="1" si="2218"/>
        <v>120</v>
      </c>
      <c r="I5265" t="str">
        <f t="shared" si="2219"/>
        <v>USD/JPY</v>
      </c>
      <c r="J5265">
        <f t="shared" si="2220"/>
        <v>104.01</v>
      </c>
      <c r="K5265">
        <f t="shared" si="2221"/>
        <v>105.31</v>
      </c>
      <c r="L5265">
        <f t="shared" si="2222"/>
        <v>104.66</v>
      </c>
      <c r="M5265">
        <f t="shared" si="2223"/>
        <v>0.64999999999999858</v>
      </c>
      <c r="N5265">
        <f t="shared" si="2224"/>
        <v>1.2999999999999972</v>
      </c>
      <c r="O5265">
        <f t="shared" si="2225"/>
        <v>104.34</v>
      </c>
      <c r="P5265">
        <f t="shared" si="2226"/>
        <v>-0.4923076923076829</v>
      </c>
      <c r="Q5265" t="str">
        <f t="shared" si="2227"/>
        <v>0.32% | 0.93%</v>
      </c>
      <c r="R5265" t="str">
        <f t="shared" si="2228"/>
        <v>BEARISH</v>
      </c>
      <c r="S5265">
        <f t="shared" si="2229"/>
        <v>-1</v>
      </c>
    </row>
    <row r="5266" spans="1:19" hidden="1" x14ac:dyDescent="0.25">
      <c r="A5266" s="5" t="str">
        <f t="shared" si="2230"/>
        <v>44133GBP/USD</v>
      </c>
      <c r="B5266" s="6" t="s">
        <v>102</v>
      </c>
      <c r="C5266" s="6">
        <v>1.29</v>
      </c>
      <c r="D5266" s="6">
        <v>1.32</v>
      </c>
      <c r="E5266" s="6">
        <v>1.29</v>
      </c>
      <c r="F5266" t="str">
        <f t="shared" si="2216"/>
        <v>THU</v>
      </c>
      <c r="G5266" s="1">
        <f t="shared" si="2217"/>
        <v>44133</v>
      </c>
      <c r="H5266" s="2">
        <f t="shared" ca="1" si="2218"/>
        <v>120</v>
      </c>
      <c r="I5266" t="str">
        <f t="shared" si="2219"/>
        <v>GBP/USD</v>
      </c>
      <c r="J5266">
        <f t="shared" si="2220"/>
        <v>1.29</v>
      </c>
      <c r="K5266">
        <f t="shared" si="2221"/>
        <v>1.32</v>
      </c>
      <c r="L5266">
        <f t="shared" si="2222"/>
        <v>1.3050000000000002</v>
      </c>
      <c r="M5266">
        <f t="shared" si="2223"/>
        <v>1.5000000000000013E-2</v>
      </c>
      <c r="N5266">
        <f t="shared" si="2224"/>
        <v>3.0000000000000027E-2</v>
      </c>
      <c r="O5266">
        <f t="shared" si="2225"/>
        <v>1.29</v>
      </c>
      <c r="P5266">
        <f t="shared" si="2226"/>
        <v>-1.0000000000000073</v>
      </c>
      <c r="Q5266" t="str">
        <f t="shared" si="2227"/>
        <v>0% | 2.33%</v>
      </c>
      <c r="R5266" t="str">
        <f t="shared" si="2228"/>
        <v>BULLISH</v>
      </c>
      <c r="S5266">
        <f t="shared" si="2229"/>
        <v>1</v>
      </c>
    </row>
    <row r="5267" spans="1:19" hidden="1" x14ac:dyDescent="0.25">
      <c r="A5267" s="5" t="str">
        <f t="shared" si="2230"/>
        <v>44133USD/CHF</v>
      </c>
      <c r="B5267" s="6" t="s">
        <v>76</v>
      </c>
      <c r="C5267" s="6">
        <v>0.9</v>
      </c>
      <c r="D5267" s="6">
        <v>0.92</v>
      </c>
      <c r="E5267" s="6">
        <v>0.91</v>
      </c>
      <c r="F5267" t="str">
        <f t="shared" si="2216"/>
        <v>THU</v>
      </c>
      <c r="G5267" s="1">
        <f t="shared" si="2217"/>
        <v>44133</v>
      </c>
      <c r="H5267" s="2">
        <f t="shared" ca="1" si="2218"/>
        <v>120</v>
      </c>
      <c r="I5267" t="str">
        <f t="shared" si="2219"/>
        <v>USD/CHF</v>
      </c>
      <c r="J5267">
        <f t="shared" si="2220"/>
        <v>0.9</v>
      </c>
      <c r="K5267">
        <f t="shared" si="2221"/>
        <v>0.92</v>
      </c>
      <c r="L5267">
        <f t="shared" si="2222"/>
        <v>0.91</v>
      </c>
      <c r="M5267">
        <f t="shared" si="2223"/>
        <v>1.0000000000000009E-2</v>
      </c>
      <c r="N5267">
        <f t="shared" si="2224"/>
        <v>2.0000000000000018E-2</v>
      </c>
      <c r="O5267">
        <f t="shared" si="2225"/>
        <v>0.91</v>
      </c>
      <c r="P5267">
        <f t="shared" si="2226"/>
        <v>0</v>
      </c>
      <c r="Q5267" t="str">
        <f t="shared" si="2227"/>
        <v>1.1% | 1.1%</v>
      </c>
      <c r="R5267" t="str">
        <f t="shared" si="2228"/>
        <v>BEARISH</v>
      </c>
      <c r="S5267">
        <f t="shared" si="2229"/>
        <v>-1</v>
      </c>
    </row>
    <row r="5268" spans="1:19" hidden="1" x14ac:dyDescent="0.25">
      <c r="A5268" s="5" t="str">
        <f t="shared" si="2230"/>
        <v>44133WTIC</v>
      </c>
      <c r="B5268" s="6" t="s">
        <v>23</v>
      </c>
      <c r="C5268" s="6">
        <v>35.729999999999997</v>
      </c>
      <c r="D5268" s="6">
        <v>39.979999999999997</v>
      </c>
      <c r="E5268" s="6">
        <v>37.39</v>
      </c>
      <c r="F5268" t="str">
        <f t="shared" si="2216"/>
        <v>THU</v>
      </c>
      <c r="G5268" s="1">
        <f t="shared" si="2217"/>
        <v>44133</v>
      </c>
      <c r="H5268" s="2">
        <f t="shared" ca="1" si="2218"/>
        <v>120</v>
      </c>
      <c r="I5268" t="str">
        <f t="shared" si="2219"/>
        <v>WTIC</v>
      </c>
      <c r="J5268">
        <f t="shared" si="2220"/>
        <v>35.729999999999997</v>
      </c>
      <c r="K5268">
        <f t="shared" si="2221"/>
        <v>39.979999999999997</v>
      </c>
      <c r="L5268">
        <f t="shared" si="2222"/>
        <v>37.854999999999997</v>
      </c>
      <c r="M5268">
        <f t="shared" si="2223"/>
        <v>2.125</v>
      </c>
      <c r="N5268">
        <f t="shared" si="2224"/>
        <v>4.25</v>
      </c>
      <c r="O5268">
        <f t="shared" si="2225"/>
        <v>37.39</v>
      </c>
      <c r="P5268">
        <f t="shared" si="2226"/>
        <v>-0.21882352941176297</v>
      </c>
      <c r="Q5268" t="str">
        <f t="shared" si="2227"/>
        <v>4.44% | 6.93%</v>
      </c>
      <c r="R5268" t="str">
        <f t="shared" si="2228"/>
        <v>BEARISH</v>
      </c>
      <c r="S5268">
        <f t="shared" si="2229"/>
        <v>-1</v>
      </c>
    </row>
    <row r="5269" spans="1:19" hidden="1" x14ac:dyDescent="0.25">
      <c r="A5269" s="5" t="str">
        <f t="shared" si="2230"/>
        <v>44133NATGAS</v>
      </c>
      <c r="B5269" s="6" t="s">
        <v>89</v>
      </c>
      <c r="C5269" s="6">
        <v>2.68</v>
      </c>
      <c r="D5269" s="6">
        <v>3.45</v>
      </c>
      <c r="E5269" s="6">
        <v>3.29</v>
      </c>
      <c r="F5269" t="str">
        <f t="shared" si="2216"/>
        <v>THU</v>
      </c>
      <c r="G5269" s="1">
        <f t="shared" si="2217"/>
        <v>44133</v>
      </c>
      <c r="H5269" s="2">
        <f t="shared" ca="1" si="2218"/>
        <v>120</v>
      </c>
      <c r="I5269" t="str">
        <f t="shared" si="2219"/>
        <v>NATGAS</v>
      </c>
      <c r="J5269">
        <f t="shared" si="2220"/>
        <v>2.68</v>
      </c>
      <c r="K5269">
        <f t="shared" si="2221"/>
        <v>3.45</v>
      </c>
      <c r="L5269">
        <f t="shared" si="2222"/>
        <v>3.0650000000000004</v>
      </c>
      <c r="M5269">
        <f t="shared" si="2223"/>
        <v>0.38500000000000006</v>
      </c>
      <c r="N5269">
        <f t="shared" si="2224"/>
        <v>0.77</v>
      </c>
      <c r="O5269">
        <f t="shared" si="2225"/>
        <v>3.29</v>
      </c>
      <c r="P5269">
        <f t="shared" si="2226"/>
        <v>0.58441558441558339</v>
      </c>
      <c r="Q5269" t="str">
        <f t="shared" si="2227"/>
        <v>18.54% | 4.86%</v>
      </c>
      <c r="R5269" t="str">
        <f t="shared" si="2228"/>
        <v>BULLISH</v>
      </c>
      <c r="S5269">
        <f t="shared" si="2229"/>
        <v>1</v>
      </c>
    </row>
    <row r="5270" spans="1:19" hidden="1" x14ac:dyDescent="0.25">
      <c r="A5270" s="5" t="str">
        <f t="shared" si="2230"/>
        <v>44133GOLD</v>
      </c>
      <c r="B5270" s="6" t="s">
        <v>25</v>
      </c>
      <c r="C5270" s="6">
        <v>1872</v>
      </c>
      <c r="D5270" s="6">
        <v>1933</v>
      </c>
      <c r="E5270" s="6">
        <v>1879</v>
      </c>
      <c r="F5270" t="str">
        <f t="shared" si="2216"/>
        <v>THU</v>
      </c>
      <c r="G5270" s="1">
        <f t="shared" si="2217"/>
        <v>44133</v>
      </c>
      <c r="H5270" s="2">
        <f t="shared" ca="1" si="2218"/>
        <v>120</v>
      </c>
      <c r="I5270" t="str">
        <f t="shared" si="2219"/>
        <v>GOLD</v>
      </c>
      <c r="J5270">
        <f t="shared" si="2220"/>
        <v>1872</v>
      </c>
      <c r="K5270">
        <f t="shared" si="2221"/>
        <v>1933</v>
      </c>
      <c r="L5270">
        <f t="shared" si="2222"/>
        <v>1902.5</v>
      </c>
      <c r="M5270">
        <f t="shared" si="2223"/>
        <v>30.5</v>
      </c>
      <c r="N5270">
        <f t="shared" si="2224"/>
        <v>61</v>
      </c>
      <c r="O5270">
        <f t="shared" si="2225"/>
        <v>1879</v>
      </c>
      <c r="P5270">
        <f t="shared" si="2226"/>
        <v>-0.77049180327868849</v>
      </c>
      <c r="Q5270" t="str">
        <f t="shared" si="2227"/>
        <v>0.37% | 2.87%</v>
      </c>
      <c r="R5270" t="str">
        <f t="shared" si="2228"/>
        <v>BULLISH</v>
      </c>
      <c r="S5270">
        <f t="shared" si="2229"/>
        <v>1</v>
      </c>
    </row>
    <row r="5271" spans="1:19" hidden="1" x14ac:dyDescent="0.25">
      <c r="A5271" s="5" t="str">
        <f t="shared" si="2230"/>
        <v>44133SILVER</v>
      </c>
      <c r="B5271" s="6" t="s">
        <v>234</v>
      </c>
      <c r="C5271" s="6">
        <v>23.08</v>
      </c>
      <c r="D5271" s="6">
        <v>24.86</v>
      </c>
      <c r="E5271" s="6">
        <v>23.36</v>
      </c>
      <c r="F5271" t="str">
        <f t="shared" si="2216"/>
        <v>THU</v>
      </c>
      <c r="G5271" s="1">
        <f t="shared" si="2217"/>
        <v>44133</v>
      </c>
      <c r="H5271" s="2">
        <f t="shared" ca="1" si="2218"/>
        <v>120</v>
      </c>
      <c r="I5271" t="str">
        <f t="shared" si="2219"/>
        <v>SILVER</v>
      </c>
      <c r="J5271">
        <f t="shared" si="2220"/>
        <v>23.08</v>
      </c>
      <c r="K5271">
        <f t="shared" si="2221"/>
        <v>24.86</v>
      </c>
      <c r="L5271">
        <f t="shared" si="2222"/>
        <v>23.97</v>
      </c>
      <c r="M5271">
        <f t="shared" si="2223"/>
        <v>0.89000000000000057</v>
      </c>
      <c r="N5271">
        <f t="shared" si="2224"/>
        <v>1.7800000000000011</v>
      </c>
      <c r="O5271">
        <f t="shared" si="2225"/>
        <v>23.36</v>
      </c>
      <c r="P5271">
        <f t="shared" si="2226"/>
        <v>-0.68539325842696519</v>
      </c>
      <c r="Q5271" t="str">
        <f t="shared" si="2227"/>
        <v>1.2% | 6.42%</v>
      </c>
      <c r="R5271" t="str">
        <f t="shared" si="2228"/>
        <v>BEARISH</v>
      </c>
      <c r="S5271">
        <f t="shared" si="2229"/>
        <v>-1</v>
      </c>
    </row>
    <row r="5272" spans="1:19" hidden="1" x14ac:dyDescent="0.25">
      <c r="A5272" s="5" t="str">
        <f t="shared" si="2230"/>
        <v>44133COPPER</v>
      </c>
      <c r="B5272" s="6" t="s">
        <v>100</v>
      </c>
      <c r="C5272" s="6">
        <v>3.02</v>
      </c>
      <c r="D5272" s="6">
        <v>3.2</v>
      </c>
      <c r="E5272" s="6">
        <v>3.06</v>
      </c>
      <c r="F5272" t="str">
        <f t="shared" si="2216"/>
        <v>THU</v>
      </c>
      <c r="G5272" s="1">
        <f t="shared" si="2217"/>
        <v>44133</v>
      </c>
      <c r="H5272" s="2">
        <f t="shared" ca="1" si="2218"/>
        <v>120</v>
      </c>
      <c r="I5272" t="str">
        <f t="shared" si="2219"/>
        <v>COPPER</v>
      </c>
      <c r="J5272">
        <f t="shared" si="2220"/>
        <v>3.02</v>
      </c>
      <c r="K5272">
        <f t="shared" si="2221"/>
        <v>3.2</v>
      </c>
      <c r="L5272">
        <f t="shared" si="2222"/>
        <v>3.1100000000000003</v>
      </c>
      <c r="M5272">
        <f t="shared" si="2223"/>
        <v>9.000000000000008E-2</v>
      </c>
      <c r="N5272">
        <f t="shared" si="2224"/>
        <v>0.18000000000000016</v>
      </c>
      <c r="O5272">
        <f t="shared" si="2225"/>
        <v>3.06</v>
      </c>
      <c r="P5272">
        <f t="shared" si="2226"/>
        <v>-0.55555555555555802</v>
      </c>
      <c r="Q5272" t="str">
        <f t="shared" si="2227"/>
        <v>1.31% | 4.58%</v>
      </c>
      <c r="R5272" t="str">
        <f t="shared" si="2228"/>
        <v>BULLISH</v>
      </c>
      <c r="S5272">
        <f t="shared" si="2229"/>
        <v>1</v>
      </c>
    </row>
    <row r="5273" spans="1:19" hidden="1" x14ac:dyDescent="0.25">
      <c r="A5273" s="5" t="str">
        <f t="shared" si="2230"/>
        <v>44133MSFT</v>
      </c>
      <c r="B5273" s="6" t="s">
        <v>236</v>
      </c>
      <c r="C5273" s="6">
        <v>198</v>
      </c>
      <c r="D5273" s="6">
        <v>212</v>
      </c>
      <c r="E5273" s="6">
        <v>202</v>
      </c>
      <c r="F5273" t="str">
        <f t="shared" si="2216"/>
        <v>THU</v>
      </c>
      <c r="G5273" s="1">
        <f t="shared" si="2217"/>
        <v>44133</v>
      </c>
      <c r="H5273" s="2">
        <f t="shared" ca="1" si="2218"/>
        <v>120</v>
      </c>
      <c r="I5273" t="str">
        <f t="shared" si="2219"/>
        <v>MSFT</v>
      </c>
      <c r="J5273">
        <f t="shared" si="2220"/>
        <v>198</v>
      </c>
      <c r="K5273">
        <f t="shared" si="2221"/>
        <v>212</v>
      </c>
      <c r="L5273">
        <f t="shared" si="2222"/>
        <v>205</v>
      </c>
      <c r="M5273">
        <f t="shared" si="2223"/>
        <v>7</v>
      </c>
      <c r="N5273">
        <f t="shared" si="2224"/>
        <v>14</v>
      </c>
      <c r="O5273">
        <f t="shared" si="2225"/>
        <v>202</v>
      </c>
      <c r="P5273">
        <f t="shared" si="2226"/>
        <v>-0.42857142857142855</v>
      </c>
      <c r="Q5273" t="str">
        <f t="shared" si="2227"/>
        <v>1.98% | 4.95%</v>
      </c>
      <c r="R5273" t="str">
        <f t="shared" si="2228"/>
        <v>BEARISH</v>
      </c>
      <c r="S5273">
        <f t="shared" si="2229"/>
        <v>-1</v>
      </c>
    </row>
    <row r="5274" spans="1:19" hidden="1" x14ac:dyDescent="0.25">
      <c r="A5274" s="5" t="str">
        <f t="shared" si="2230"/>
        <v>44133AAPL</v>
      </c>
      <c r="B5274" s="6" t="s">
        <v>63</v>
      </c>
      <c r="C5274" s="6">
        <v>109</v>
      </c>
      <c r="D5274" s="6">
        <v>120</v>
      </c>
      <c r="E5274" s="6">
        <v>111</v>
      </c>
      <c r="F5274" t="str">
        <f t="shared" si="2216"/>
        <v>THU</v>
      </c>
      <c r="G5274" s="1">
        <f t="shared" si="2217"/>
        <v>44133</v>
      </c>
      <c r="H5274" s="2">
        <f t="shared" ca="1" si="2218"/>
        <v>120</v>
      </c>
      <c r="I5274" t="str">
        <f t="shared" si="2219"/>
        <v>AAPL</v>
      </c>
      <c r="J5274">
        <f t="shared" si="2220"/>
        <v>109</v>
      </c>
      <c r="K5274">
        <f t="shared" si="2221"/>
        <v>120</v>
      </c>
      <c r="L5274">
        <f t="shared" si="2222"/>
        <v>114.5</v>
      </c>
      <c r="M5274">
        <f t="shared" si="2223"/>
        <v>5.5</v>
      </c>
      <c r="N5274">
        <f t="shared" si="2224"/>
        <v>11</v>
      </c>
      <c r="O5274">
        <f t="shared" si="2225"/>
        <v>111</v>
      </c>
      <c r="P5274">
        <f t="shared" si="2226"/>
        <v>-0.63636363636363635</v>
      </c>
      <c r="Q5274" t="str">
        <f t="shared" si="2227"/>
        <v>1.8% | 8.11%</v>
      </c>
      <c r="R5274" t="str">
        <f t="shared" si="2228"/>
        <v>NEUTRAL</v>
      </c>
      <c r="S5274">
        <f t="shared" si="2229"/>
        <v>0</v>
      </c>
    </row>
    <row r="5275" spans="1:19" hidden="1" x14ac:dyDescent="0.25">
      <c r="A5275" s="5" t="str">
        <f t="shared" si="2230"/>
        <v>44133AMZN</v>
      </c>
      <c r="B5275" s="6" t="s">
        <v>29</v>
      </c>
      <c r="C5275" s="6">
        <v>3095</v>
      </c>
      <c r="D5275" s="6">
        <v>3299</v>
      </c>
      <c r="E5275" s="6">
        <v>3162</v>
      </c>
      <c r="F5275" t="str">
        <f t="shared" si="2216"/>
        <v>THU</v>
      </c>
      <c r="G5275" s="1">
        <f t="shared" si="2217"/>
        <v>44133</v>
      </c>
      <c r="H5275" s="2">
        <f t="shared" ca="1" si="2218"/>
        <v>120</v>
      </c>
      <c r="I5275" t="str">
        <f t="shared" si="2219"/>
        <v>AMZN</v>
      </c>
      <c r="J5275">
        <f t="shared" si="2220"/>
        <v>3095</v>
      </c>
      <c r="K5275">
        <f t="shared" si="2221"/>
        <v>3299</v>
      </c>
      <c r="L5275">
        <f t="shared" si="2222"/>
        <v>3197</v>
      </c>
      <c r="M5275">
        <f t="shared" si="2223"/>
        <v>102</v>
      </c>
      <c r="N5275">
        <f t="shared" si="2224"/>
        <v>204</v>
      </c>
      <c r="O5275">
        <f t="shared" si="2225"/>
        <v>3162</v>
      </c>
      <c r="P5275">
        <f t="shared" si="2226"/>
        <v>-0.34313725490196079</v>
      </c>
      <c r="Q5275" t="str">
        <f t="shared" si="2227"/>
        <v>2.12% | 4.33%</v>
      </c>
      <c r="R5275" t="str">
        <f t="shared" si="2228"/>
        <v>BULLISH</v>
      </c>
      <c r="S5275">
        <f t="shared" si="2229"/>
        <v>1</v>
      </c>
    </row>
    <row r="5276" spans="1:19" hidden="1" x14ac:dyDescent="0.25">
      <c r="A5276" s="5" t="str">
        <f t="shared" si="2230"/>
        <v>44133FB</v>
      </c>
      <c r="B5276" s="6" t="s">
        <v>30</v>
      </c>
      <c r="C5276" s="6">
        <v>258</v>
      </c>
      <c r="D5276" s="6">
        <v>290</v>
      </c>
      <c r="E5276" s="6">
        <v>267</v>
      </c>
      <c r="F5276" t="str">
        <f t="shared" si="2216"/>
        <v>THU</v>
      </c>
      <c r="G5276" s="1">
        <f t="shared" si="2217"/>
        <v>44133</v>
      </c>
      <c r="H5276" s="2">
        <f t="shared" ca="1" si="2218"/>
        <v>120</v>
      </c>
      <c r="I5276" t="str">
        <f t="shared" si="2219"/>
        <v>FB</v>
      </c>
      <c r="J5276">
        <f t="shared" si="2220"/>
        <v>258</v>
      </c>
      <c r="K5276">
        <f t="shared" si="2221"/>
        <v>290</v>
      </c>
      <c r="L5276">
        <f t="shared" si="2222"/>
        <v>274</v>
      </c>
      <c r="M5276">
        <f t="shared" si="2223"/>
        <v>16</v>
      </c>
      <c r="N5276">
        <f t="shared" si="2224"/>
        <v>32</v>
      </c>
      <c r="O5276">
        <f t="shared" si="2225"/>
        <v>267</v>
      </c>
      <c r="P5276">
        <f t="shared" si="2226"/>
        <v>-0.4375</v>
      </c>
      <c r="Q5276" t="str">
        <f t="shared" si="2227"/>
        <v>3.37% | 8.61%</v>
      </c>
      <c r="R5276" t="str">
        <f t="shared" si="2228"/>
        <v>BULLISH</v>
      </c>
      <c r="S5276">
        <f t="shared" si="2229"/>
        <v>1</v>
      </c>
    </row>
    <row r="5277" spans="1:19" hidden="1" x14ac:dyDescent="0.25">
      <c r="A5277" s="5" t="str">
        <f t="shared" si="2230"/>
        <v>44133GOOGL</v>
      </c>
      <c r="B5277" s="6" t="s">
        <v>59</v>
      </c>
      <c r="C5277" s="6">
        <v>1480</v>
      </c>
      <c r="D5277" s="6">
        <v>1575</v>
      </c>
      <c r="E5277" s="6">
        <v>1510</v>
      </c>
      <c r="F5277" t="str">
        <f t="shared" si="2216"/>
        <v>THU</v>
      </c>
      <c r="G5277" s="1">
        <f t="shared" si="2217"/>
        <v>44133</v>
      </c>
      <c r="H5277" s="2">
        <f t="shared" ca="1" si="2218"/>
        <v>120</v>
      </c>
      <c r="I5277" t="str">
        <f t="shared" si="2219"/>
        <v>GOOGL</v>
      </c>
      <c r="J5277">
        <f t="shared" si="2220"/>
        <v>1480</v>
      </c>
      <c r="K5277">
        <f t="shared" si="2221"/>
        <v>1575</v>
      </c>
      <c r="L5277">
        <f t="shared" si="2222"/>
        <v>1527.5</v>
      </c>
      <c r="M5277">
        <f t="shared" si="2223"/>
        <v>47.5</v>
      </c>
      <c r="N5277">
        <f t="shared" si="2224"/>
        <v>95</v>
      </c>
      <c r="O5277">
        <f t="shared" si="2225"/>
        <v>1510</v>
      </c>
      <c r="P5277">
        <f t="shared" si="2226"/>
        <v>-0.36842105263157893</v>
      </c>
      <c r="Q5277" t="str">
        <f t="shared" si="2227"/>
        <v>1.99% | 4.3%</v>
      </c>
      <c r="R5277" t="str">
        <f t="shared" si="2228"/>
        <v>NEUTRAL</v>
      </c>
      <c r="S5277">
        <f t="shared" si="2229"/>
        <v>0</v>
      </c>
    </row>
    <row r="5278" spans="1:19" hidden="1" x14ac:dyDescent="0.25">
      <c r="A5278" s="5" t="str">
        <f t="shared" si="2230"/>
        <v>44133NFLX</v>
      </c>
      <c r="B5278" s="6" t="s">
        <v>81</v>
      </c>
      <c r="C5278" s="6">
        <v>460</v>
      </c>
      <c r="D5278" s="6">
        <v>507</v>
      </c>
      <c r="E5278" s="6">
        <v>486</v>
      </c>
      <c r="F5278" t="str">
        <f t="shared" si="2216"/>
        <v>THU</v>
      </c>
      <c r="G5278" s="1">
        <f t="shared" si="2217"/>
        <v>44133</v>
      </c>
      <c r="H5278" s="2">
        <f t="shared" ca="1" si="2218"/>
        <v>120</v>
      </c>
      <c r="I5278" t="str">
        <f t="shared" si="2219"/>
        <v>NFLX</v>
      </c>
      <c r="J5278">
        <f t="shared" si="2220"/>
        <v>460</v>
      </c>
      <c r="K5278">
        <f t="shared" si="2221"/>
        <v>507</v>
      </c>
      <c r="L5278">
        <f t="shared" si="2222"/>
        <v>483.5</v>
      </c>
      <c r="M5278">
        <f t="shared" si="2223"/>
        <v>23.5</v>
      </c>
      <c r="N5278">
        <f t="shared" si="2224"/>
        <v>47</v>
      </c>
      <c r="O5278">
        <f t="shared" si="2225"/>
        <v>486</v>
      </c>
      <c r="P5278">
        <f t="shared" si="2226"/>
        <v>0.10638297872340426</v>
      </c>
      <c r="Q5278" t="str">
        <f t="shared" si="2227"/>
        <v>5.35% | 4.32%</v>
      </c>
      <c r="R5278" t="str">
        <f t="shared" si="2228"/>
        <v>BEARISH</v>
      </c>
      <c r="S5278">
        <f t="shared" si="2229"/>
        <v>-1</v>
      </c>
    </row>
    <row r="5279" spans="1:19" x14ac:dyDescent="0.25">
      <c r="A5279" s="5" t="str">
        <f t="shared" si="2230"/>
        <v>44133TSLA</v>
      </c>
      <c r="B5279" s="6" t="s">
        <v>71</v>
      </c>
      <c r="C5279" s="6">
        <v>401</v>
      </c>
      <c r="D5279" s="6">
        <v>442</v>
      </c>
      <c r="E5279" s="6">
        <v>406</v>
      </c>
      <c r="F5279" t="str">
        <f t="shared" si="2216"/>
        <v>THU</v>
      </c>
      <c r="G5279" s="1">
        <f t="shared" si="2217"/>
        <v>44133</v>
      </c>
      <c r="H5279" s="2">
        <f t="shared" ca="1" si="2218"/>
        <v>120</v>
      </c>
      <c r="I5279" t="str">
        <f t="shared" si="2219"/>
        <v>TSLA</v>
      </c>
      <c r="J5279">
        <f t="shared" si="2220"/>
        <v>401</v>
      </c>
      <c r="K5279">
        <f t="shared" si="2221"/>
        <v>442</v>
      </c>
      <c r="L5279">
        <f t="shared" si="2222"/>
        <v>421.5</v>
      </c>
      <c r="M5279">
        <f t="shared" si="2223"/>
        <v>20.5</v>
      </c>
      <c r="N5279">
        <f t="shared" si="2224"/>
        <v>41</v>
      </c>
      <c r="O5279">
        <f t="shared" si="2225"/>
        <v>406</v>
      </c>
      <c r="P5279">
        <f t="shared" si="2226"/>
        <v>-0.75609756097560976</v>
      </c>
      <c r="Q5279" t="str">
        <f t="shared" si="2227"/>
        <v>1.23% | 8.87%</v>
      </c>
      <c r="R5279" t="str">
        <f t="shared" si="2228"/>
        <v>NEUTRAL</v>
      </c>
      <c r="S5279">
        <f t="shared" si="2229"/>
        <v>0</v>
      </c>
    </row>
    <row r="5280" spans="1:19" hidden="1" x14ac:dyDescent="0.25">
      <c r="A5280" s="5" t="str">
        <f t="shared" si="2230"/>
        <v>44133NYXBT</v>
      </c>
      <c r="B5280" s="6" t="s">
        <v>60</v>
      </c>
      <c r="C5280" s="6">
        <v>11796</v>
      </c>
      <c r="D5280" s="6">
        <v>13987</v>
      </c>
      <c r="E5280" s="6">
        <v>13087</v>
      </c>
      <c r="F5280" t="str">
        <f t="shared" si="2216"/>
        <v>THU</v>
      </c>
      <c r="G5280" s="1">
        <f t="shared" si="2217"/>
        <v>44133</v>
      </c>
      <c r="H5280" s="2">
        <f t="shared" ca="1" si="2218"/>
        <v>120</v>
      </c>
      <c r="I5280" t="str">
        <f t="shared" si="2219"/>
        <v>NYXBT</v>
      </c>
      <c r="J5280">
        <f t="shared" si="2220"/>
        <v>11796</v>
      </c>
      <c r="K5280">
        <f t="shared" si="2221"/>
        <v>13987</v>
      </c>
      <c r="L5280">
        <f t="shared" si="2222"/>
        <v>12891.5</v>
      </c>
      <c r="M5280">
        <f t="shared" si="2223"/>
        <v>1095.5</v>
      </c>
      <c r="N5280">
        <f t="shared" si="2224"/>
        <v>2191</v>
      </c>
      <c r="O5280">
        <f t="shared" si="2225"/>
        <v>13087</v>
      </c>
      <c r="P5280">
        <f t="shared" si="2226"/>
        <v>0.17845732542218165</v>
      </c>
      <c r="Q5280" t="str">
        <f t="shared" si="2227"/>
        <v>9.86% | 6.88%</v>
      </c>
      <c r="R5280" t="str">
        <f t="shared" si="2228"/>
        <v>BULLISH</v>
      </c>
      <c r="S5280">
        <f t="shared" si="2229"/>
        <v>1</v>
      </c>
    </row>
    <row r="5281" spans="1:19" hidden="1" x14ac:dyDescent="0.25">
      <c r="A5281" s="5" t="str">
        <f t="shared" si="2230"/>
        <v>44134UST10Y</v>
      </c>
      <c r="B5281" s="6" t="s">
        <v>4</v>
      </c>
      <c r="C5281" s="6">
        <v>0.88</v>
      </c>
      <c r="D5281" s="6">
        <v>0.73</v>
      </c>
      <c r="E5281" s="6">
        <v>0.85</v>
      </c>
      <c r="F5281" t="str">
        <f t="shared" si="2216"/>
        <v>FRI</v>
      </c>
      <c r="G5281" s="3">
        <f>DATE(2020,10,30)</f>
        <v>44134</v>
      </c>
      <c r="H5281" s="2">
        <f t="shared" ca="1" si="2218"/>
        <v>119</v>
      </c>
      <c r="I5281" t="str">
        <f t="shared" si="2219"/>
        <v>UST10Y</v>
      </c>
      <c r="J5281">
        <f t="shared" si="2220"/>
        <v>0.88</v>
      </c>
      <c r="K5281">
        <f t="shared" si="2221"/>
        <v>0.73</v>
      </c>
      <c r="L5281">
        <f t="shared" si="2222"/>
        <v>0.80499999999999994</v>
      </c>
      <c r="M5281">
        <f t="shared" si="2223"/>
        <v>7.5000000000000011E-2</v>
      </c>
      <c r="N5281">
        <f t="shared" si="2224"/>
        <v>0.15000000000000002</v>
      </c>
      <c r="O5281">
        <f t="shared" si="2225"/>
        <v>0.85</v>
      </c>
      <c r="P5281">
        <f t="shared" si="2226"/>
        <v>0.60000000000000042</v>
      </c>
      <c r="Q5281" t="str">
        <f t="shared" si="2227"/>
        <v>3.53% | 14.12%</v>
      </c>
      <c r="R5281" t="str">
        <f t="shared" si="2228"/>
        <v>BEARISH</v>
      </c>
      <c r="S5281">
        <f t="shared" si="2229"/>
        <v>-1</v>
      </c>
    </row>
    <row r="5282" spans="1:19" hidden="1" x14ac:dyDescent="0.25">
      <c r="A5282" s="5" t="str">
        <f t="shared" si="2230"/>
        <v>44134UST2Y</v>
      </c>
      <c r="B5282" s="6" t="s">
        <v>5</v>
      </c>
      <c r="C5282" s="6">
        <v>0.18</v>
      </c>
      <c r="D5282" s="6">
        <v>0.13</v>
      </c>
      <c r="E5282" s="6">
        <v>0.16</v>
      </c>
      <c r="F5282" t="str">
        <f t="shared" ref="F5282:F5312" si="2231">UPPER(TEXT(G5282,"ddd"))</f>
        <v>FRI</v>
      </c>
      <c r="G5282" s="3">
        <f t="shared" ref="G5282:G5311" si="2232">DATE(2020,10,30)</f>
        <v>44134</v>
      </c>
      <c r="H5282" s="2">
        <f t="shared" ref="H5282:H5312" ca="1" si="2233">TODAY()-G5282</f>
        <v>119</v>
      </c>
      <c r="I5282" t="str">
        <f t="shared" ref="I5282:I5312" si="2234">TRIM(LEFT(B5282,FIND(" ",B5282,1)))</f>
        <v>UST2Y</v>
      </c>
      <c r="J5282">
        <f t="shared" ref="J5282:J5312" si="2235">C5282</f>
        <v>0.18</v>
      </c>
      <c r="K5282">
        <f t="shared" ref="K5282:K5312" si="2236">D5282</f>
        <v>0.13</v>
      </c>
      <c r="L5282">
        <f t="shared" ref="L5282:L5312" si="2237">AVERAGE(J5282:K5282)</f>
        <v>0.155</v>
      </c>
      <c r="M5282">
        <f t="shared" ref="M5282:M5312" si="2238">_xlfn.STDEV.P(J5282:K5282)</f>
        <v>2.4999999999999942E-2</v>
      </c>
      <c r="N5282">
        <f t="shared" si="2224"/>
        <v>4.9999999999999989E-2</v>
      </c>
      <c r="O5282">
        <f t="shared" ref="O5282:O5312" si="2239">E5282</f>
        <v>0.16</v>
      </c>
      <c r="P5282">
        <f t="shared" ref="P5282:P5312" si="2240">(O5282-L5282)/M5282</f>
        <v>0.20000000000000065</v>
      </c>
      <c r="Q5282" t="str">
        <f t="shared" si="2227"/>
        <v>12.5% | 18.75%</v>
      </c>
      <c r="R5282" t="str">
        <f t="shared" ref="R5282:R5312" si="2241">MID(B5282,FIND("(",B5282,1)+1,FIND(")",B5282,1)-FIND("(",B5282,1)-1)</f>
        <v>BEARISH</v>
      </c>
      <c r="S5282">
        <f t="shared" si="2229"/>
        <v>-1</v>
      </c>
    </row>
    <row r="5283" spans="1:19" hidden="1" x14ac:dyDescent="0.25">
      <c r="A5283" s="5" t="str">
        <f t="shared" si="2230"/>
        <v>44134SPX</v>
      </c>
      <c r="B5283" s="6" t="s">
        <v>6</v>
      </c>
      <c r="C5283" s="6">
        <v>3263</v>
      </c>
      <c r="D5283" s="6">
        <v>3424</v>
      </c>
      <c r="E5283" s="6">
        <v>3310</v>
      </c>
      <c r="F5283" t="str">
        <f t="shared" si="2231"/>
        <v>FRI</v>
      </c>
      <c r="G5283" s="3">
        <f t="shared" si="2232"/>
        <v>44134</v>
      </c>
      <c r="H5283" s="2">
        <f t="shared" ca="1" si="2233"/>
        <v>119</v>
      </c>
      <c r="I5283" t="str">
        <f t="shared" si="2234"/>
        <v>SPX</v>
      </c>
      <c r="J5283">
        <f t="shared" si="2235"/>
        <v>3263</v>
      </c>
      <c r="K5283">
        <f t="shared" si="2236"/>
        <v>3424</v>
      </c>
      <c r="L5283">
        <f t="shared" si="2237"/>
        <v>3343.5</v>
      </c>
      <c r="M5283">
        <f t="shared" si="2238"/>
        <v>80.5</v>
      </c>
      <c r="N5283">
        <f t="shared" si="2224"/>
        <v>161</v>
      </c>
      <c r="O5283">
        <f t="shared" si="2239"/>
        <v>3310</v>
      </c>
      <c r="P5283">
        <f t="shared" si="2240"/>
        <v>-0.41614906832298137</v>
      </c>
      <c r="Q5283" t="str">
        <f t="shared" si="2227"/>
        <v>1.42% | 3.44%</v>
      </c>
      <c r="R5283" t="str">
        <f t="shared" si="2241"/>
        <v>BEARISH</v>
      </c>
      <c r="S5283">
        <f t="shared" si="2229"/>
        <v>-1</v>
      </c>
    </row>
    <row r="5284" spans="1:19" hidden="1" x14ac:dyDescent="0.25">
      <c r="A5284" s="5" t="str">
        <f t="shared" si="2230"/>
        <v>44134RUT</v>
      </c>
      <c r="B5284" s="6" t="s">
        <v>7</v>
      </c>
      <c r="C5284" s="6">
        <v>1524</v>
      </c>
      <c r="D5284" s="6">
        <v>1606</v>
      </c>
      <c r="E5284" s="6">
        <v>1561</v>
      </c>
      <c r="F5284" t="str">
        <f t="shared" si="2231"/>
        <v>FRI</v>
      </c>
      <c r="G5284" s="3">
        <f t="shared" si="2232"/>
        <v>44134</v>
      </c>
      <c r="H5284" s="2">
        <f t="shared" ca="1" si="2233"/>
        <v>119</v>
      </c>
      <c r="I5284" t="str">
        <f t="shared" si="2234"/>
        <v>RUT</v>
      </c>
      <c r="J5284">
        <f t="shared" si="2235"/>
        <v>1524</v>
      </c>
      <c r="K5284">
        <f t="shared" si="2236"/>
        <v>1606</v>
      </c>
      <c r="L5284">
        <f t="shared" si="2237"/>
        <v>1565</v>
      </c>
      <c r="M5284">
        <f t="shared" si="2238"/>
        <v>41</v>
      </c>
      <c r="N5284">
        <f t="shared" si="2224"/>
        <v>82</v>
      </c>
      <c r="O5284">
        <f t="shared" si="2239"/>
        <v>1561</v>
      </c>
      <c r="P5284">
        <f t="shared" si="2240"/>
        <v>-9.7560975609756101E-2</v>
      </c>
      <c r="Q5284" t="str">
        <f t="shared" si="2227"/>
        <v>2.37% | 2.88%</v>
      </c>
      <c r="R5284" t="str">
        <f t="shared" si="2241"/>
        <v>BEARISH</v>
      </c>
      <c r="S5284">
        <f t="shared" si="2229"/>
        <v>-1</v>
      </c>
    </row>
    <row r="5285" spans="1:19" hidden="1" x14ac:dyDescent="0.25">
      <c r="A5285" s="5" t="str">
        <f t="shared" si="2230"/>
        <v>44134COMPQ</v>
      </c>
      <c r="B5285" s="6" t="s">
        <v>61</v>
      </c>
      <c r="C5285" s="6">
        <v>10968</v>
      </c>
      <c r="D5285" s="6">
        <v>11557</v>
      </c>
      <c r="E5285" s="6">
        <v>11185</v>
      </c>
      <c r="F5285" t="str">
        <f t="shared" si="2231"/>
        <v>FRI</v>
      </c>
      <c r="G5285" s="3">
        <f t="shared" si="2232"/>
        <v>44134</v>
      </c>
      <c r="H5285" s="2">
        <f t="shared" ca="1" si="2233"/>
        <v>119</v>
      </c>
      <c r="I5285" t="str">
        <f t="shared" si="2234"/>
        <v>COMPQ</v>
      </c>
      <c r="J5285">
        <f t="shared" si="2235"/>
        <v>10968</v>
      </c>
      <c r="K5285">
        <f t="shared" si="2236"/>
        <v>11557</v>
      </c>
      <c r="L5285">
        <f t="shared" si="2237"/>
        <v>11262.5</v>
      </c>
      <c r="M5285">
        <f t="shared" si="2238"/>
        <v>294.5</v>
      </c>
      <c r="N5285">
        <f t="shared" si="2224"/>
        <v>589</v>
      </c>
      <c r="O5285">
        <f t="shared" si="2239"/>
        <v>11185</v>
      </c>
      <c r="P5285">
        <f t="shared" si="2240"/>
        <v>-0.26315789473684209</v>
      </c>
      <c r="Q5285" t="str">
        <f t="shared" si="2227"/>
        <v>1.94% | 3.33%</v>
      </c>
      <c r="R5285" t="str">
        <f t="shared" si="2241"/>
        <v>NEUTRAL</v>
      </c>
      <c r="S5285">
        <f t="shared" si="2229"/>
        <v>0</v>
      </c>
    </row>
    <row r="5286" spans="1:19" hidden="1" x14ac:dyDescent="0.25">
      <c r="A5286" s="5" t="str">
        <f t="shared" si="2230"/>
        <v>44134XLK</v>
      </c>
      <c r="B5286" s="6" t="s">
        <v>65</v>
      </c>
      <c r="C5286" s="6">
        <v>109.71</v>
      </c>
      <c r="D5286" s="6">
        <v>117.14</v>
      </c>
      <c r="E5286" s="6">
        <v>113.37</v>
      </c>
      <c r="F5286" t="str">
        <f t="shared" si="2231"/>
        <v>FRI</v>
      </c>
      <c r="G5286" s="3">
        <f t="shared" si="2232"/>
        <v>44134</v>
      </c>
      <c r="H5286" s="2">
        <f t="shared" ca="1" si="2233"/>
        <v>119</v>
      </c>
      <c r="I5286" t="str">
        <f t="shared" si="2234"/>
        <v>XLK</v>
      </c>
      <c r="J5286">
        <f t="shared" si="2235"/>
        <v>109.71</v>
      </c>
      <c r="K5286">
        <f t="shared" si="2236"/>
        <v>117.14</v>
      </c>
      <c r="L5286">
        <f t="shared" si="2237"/>
        <v>113.425</v>
      </c>
      <c r="M5286">
        <f t="shared" si="2238"/>
        <v>3.7150000000000034</v>
      </c>
      <c r="N5286">
        <f t="shared" si="2224"/>
        <v>7.4300000000000068</v>
      </c>
      <c r="O5286">
        <f t="shared" si="2239"/>
        <v>113.37</v>
      </c>
      <c r="P5286">
        <f t="shared" si="2240"/>
        <v>-1.4804845222070675E-2</v>
      </c>
      <c r="Q5286" t="str">
        <f t="shared" si="2227"/>
        <v>3.23% | 3.33%</v>
      </c>
      <c r="R5286" t="str">
        <f t="shared" si="2241"/>
        <v>BEARISH</v>
      </c>
      <c r="S5286">
        <f t="shared" si="2229"/>
        <v>-1</v>
      </c>
    </row>
    <row r="5287" spans="1:19" hidden="1" x14ac:dyDescent="0.25">
      <c r="A5287" s="5" t="str">
        <f t="shared" si="2230"/>
        <v>44134XLRE</v>
      </c>
      <c r="B5287" s="6" t="s">
        <v>243</v>
      </c>
      <c r="C5287" s="6">
        <v>33.15</v>
      </c>
      <c r="D5287" s="6">
        <v>35.56</v>
      </c>
      <c r="E5287" s="6">
        <v>34.369999999999997</v>
      </c>
      <c r="F5287" t="str">
        <f t="shared" si="2231"/>
        <v>FRI</v>
      </c>
      <c r="G5287" s="3">
        <f t="shared" si="2232"/>
        <v>44134</v>
      </c>
      <c r="H5287" s="2">
        <f t="shared" ca="1" si="2233"/>
        <v>119</v>
      </c>
      <c r="I5287" t="str">
        <f t="shared" si="2234"/>
        <v>XLRE</v>
      </c>
      <c r="J5287">
        <f t="shared" si="2235"/>
        <v>33.15</v>
      </c>
      <c r="K5287">
        <f t="shared" si="2236"/>
        <v>35.56</v>
      </c>
      <c r="L5287">
        <f t="shared" si="2237"/>
        <v>34.355000000000004</v>
      </c>
      <c r="M5287">
        <f t="shared" si="2238"/>
        <v>1.2050000000000018</v>
      </c>
      <c r="N5287">
        <f t="shared" si="2224"/>
        <v>2.4100000000000037</v>
      </c>
      <c r="O5287">
        <f t="shared" si="2239"/>
        <v>34.369999999999997</v>
      </c>
      <c r="P5287">
        <f t="shared" si="2240"/>
        <v>1.2448132780077543E-2</v>
      </c>
      <c r="Q5287" t="str">
        <f t="shared" si="2227"/>
        <v>3.55% | 3.46%</v>
      </c>
      <c r="R5287" t="str">
        <f t="shared" si="2241"/>
        <v>BEARISH</v>
      </c>
      <c r="S5287">
        <f t="shared" si="2229"/>
        <v>-1</v>
      </c>
    </row>
    <row r="5288" spans="1:19" hidden="1" x14ac:dyDescent="0.25">
      <c r="A5288" s="5" t="str">
        <f t="shared" si="2230"/>
        <v>44134XLU</v>
      </c>
      <c r="B5288" s="6" t="s">
        <v>52</v>
      </c>
      <c r="C5288" s="6">
        <v>62.31</v>
      </c>
      <c r="D5288" s="6">
        <v>65.44</v>
      </c>
      <c r="E5288" s="6">
        <v>62.97</v>
      </c>
      <c r="F5288" t="str">
        <f t="shared" si="2231"/>
        <v>FRI</v>
      </c>
      <c r="G5288" s="3">
        <f t="shared" si="2232"/>
        <v>44134</v>
      </c>
      <c r="H5288" s="2">
        <f t="shared" ca="1" si="2233"/>
        <v>119</v>
      </c>
      <c r="I5288" t="str">
        <f t="shared" si="2234"/>
        <v>XLU</v>
      </c>
      <c r="J5288">
        <f t="shared" si="2235"/>
        <v>62.31</v>
      </c>
      <c r="K5288">
        <f t="shared" si="2236"/>
        <v>65.44</v>
      </c>
      <c r="L5288">
        <f t="shared" si="2237"/>
        <v>63.875</v>
      </c>
      <c r="M5288">
        <f t="shared" si="2238"/>
        <v>1.5649999999999977</v>
      </c>
      <c r="N5288">
        <f t="shared" si="2224"/>
        <v>3.1299999999999955</v>
      </c>
      <c r="O5288">
        <f t="shared" si="2239"/>
        <v>62.97</v>
      </c>
      <c r="P5288">
        <f t="shared" si="2240"/>
        <v>-0.5782747603833881</v>
      </c>
      <c r="Q5288" t="str">
        <f t="shared" si="2227"/>
        <v>1.05% | 3.92%</v>
      </c>
      <c r="R5288" t="str">
        <f t="shared" si="2241"/>
        <v>BULLISH</v>
      </c>
      <c r="S5288">
        <f t="shared" si="2229"/>
        <v>1</v>
      </c>
    </row>
    <row r="5289" spans="1:19" hidden="1" x14ac:dyDescent="0.25">
      <c r="A5289" s="5" t="str">
        <f t="shared" si="2230"/>
        <v>44134XLF</v>
      </c>
      <c r="B5289" s="6" t="s">
        <v>12</v>
      </c>
      <c r="C5289" s="6">
        <v>23.17</v>
      </c>
      <c r="D5289" s="6">
        <v>24.56</v>
      </c>
      <c r="E5289" s="6">
        <v>23.79</v>
      </c>
      <c r="F5289" t="str">
        <f t="shared" si="2231"/>
        <v>FRI</v>
      </c>
      <c r="G5289" s="3">
        <f t="shared" si="2232"/>
        <v>44134</v>
      </c>
      <c r="H5289" s="2">
        <f t="shared" ca="1" si="2233"/>
        <v>119</v>
      </c>
      <c r="I5289" t="str">
        <f t="shared" si="2234"/>
        <v>XLF</v>
      </c>
      <c r="J5289">
        <f t="shared" si="2235"/>
        <v>23.17</v>
      </c>
      <c r="K5289">
        <f t="shared" si="2236"/>
        <v>24.56</v>
      </c>
      <c r="L5289">
        <f t="shared" si="2237"/>
        <v>23.865000000000002</v>
      </c>
      <c r="M5289">
        <f t="shared" si="2238"/>
        <v>0.69499999999999851</v>
      </c>
      <c r="N5289">
        <f t="shared" si="2224"/>
        <v>1.389999999999997</v>
      </c>
      <c r="O5289">
        <f t="shared" si="2239"/>
        <v>23.79</v>
      </c>
      <c r="P5289">
        <f t="shared" si="2240"/>
        <v>-0.10791366906475253</v>
      </c>
      <c r="Q5289" t="str">
        <f t="shared" si="2227"/>
        <v>2.61% | 3.24%</v>
      </c>
      <c r="R5289" t="str">
        <f t="shared" si="2241"/>
        <v>BEARISH</v>
      </c>
      <c r="S5289">
        <f t="shared" si="2229"/>
        <v>-1</v>
      </c>
    </row>
    <row r="5290" spans="1:19" hidden="1" x14ac:dyDescent="0.25">
      <c r="A5290" s="5" t="str">
        <f t="shared" si="2230"/>
        <v>44134SSEC</v>
      </c>
      <c r="B5290" s="6" t="s">
        <v>104</v>
      </c>
      <c r="C5290" s="6">
        <v>3210</v>
      </c>
      <c r="D5290" s="6">
        <v>3347</v>
      </c>
      <c r="E5290" s="6">
        <v>3224</v>
      </c>
      <c r="F5290" t="str">
        <f t="shared" si="2231"/>
        <v>FRI</v>
      </c>
      <c r="G5290" s="3">
        <f t="shared" si="2232"/>
        <v>44134</v>
      </c>
      <c r="H5290" s="2">
        <f t="shared" ca="1" si="2233"/>
        <v>119</v>
      </c>
      <c r="I5290" t="str">
        <f t="shared" si="2234"/>
        <v>SSEC</v>
      </c>
      <c r="J5290">
        <f t="shared" si="2235"/>
        <v>3210</v>
      </c>
      <c r="K5290">
        <f t="shared" si="2236"/>
        <v>3347</v>
      </c>
      <c r="L5290">
        <f t="shared" si="2237"/>
        <v>3278.5</v>
      </c>
      <c r="M5290">
        <f t="shared" si="2238"/>
        <v>68.5</v>
      </c>
      <c r="N5290">
        <f t="shared" si="2224"/>
        <v>137</v>
      </c>
      <c r="O5290">
        <f t="shared" si="2239"/>
        <v>3224</v>
      </c>
      <c r="P5290">
        <f t="shared" si="2240"/>
        <v>-0.79562043795620441</v>
      </c>
      <c r="Q5290" t="str">
        <f t="shared" si="2227"/>
        <v>0.43% | 3.82%</v>
      </c>
      <c r="R5290" t="str">
        <f t="shared" si="2241"/>
        <v>BULLISH</v>
      </c>
      <c r="S5290">
        <f t="shared" si="2229"/>
        <v>1</v>
      </c>
    </row>
    <row r="5291" spans="1:19" hidden="1" x14ac:dyDescent="0.25">
      <c r="A5291" s="5" t="str">
        <f t="shared" si="2230"/>
        <v>44134NIKK</v>
      </c>
      <c r="B5291" s="6" t="s">
        <v>91</v>
      </c>
      <c r="C5291" s="6">
        <v>22917</v>
      </c>
      <c r="D5291" s="6">
        <v>23568</v>
      </c>
      <c r="E5291" s="6">
        <v>22977</v>
      </c>
      <c r="F5291" t="str">
        <f t="shared" si="2231"/>
        <v>FRI</v>
      </c>
      <c r="G5291" s="3">
        <f t="shared" si="2232"/>
        <v>44134</v>
      </c>
      <c r="H5291" s="2">
        <f t="shared" ca="1" si="2233"/>
        <v>119</v>
      </c>
      <c r="I5291" t="str">
        <f t="shared" si="2234"/>
        <v>NIKK</v>
      </c>
      <c r="J5291">
        <f t="shared" si="2235"/>
        <v>22917</v>
      </c>
      <c r="K5291">
        <f t="shared" si="2236"/>
        <v>23568</v>
      </c>
      <c r="L5291">
        <f t="shared" si="2237"/>
        <v>23242.5</v>
      </c>
      <c r="M5291">
        <f t="shared" si="2238"/>
        <v>325.5</v>
      </c>
      <c r="N5291">
        <f t="shared" si="2224"/>
        <v>651</v>
      </c>
      <c r="O5291">
        <f t="shared" si="2239"/>
        <v>22977</v>
      </c>
      <c r="P5291">
        <f t="shared" si="2240"/>
        <v>-0.81566820276497698</v>
      </c>
      <c r="Q5291" t="str">
        <f t="shared" si="2227"/>
        <v>0.26% | 2.57%</v>
      </c>
      <c r="R5291" t="str">
        <f t="shared" si="2241"/>
        <v>BULLISH</v>
      </c>
      <c r="S5291">
        <f t="shared" si="2229"/>
        <v>1</v>
      </c>
    </row>
    <row r="5292" spans="1:19" hidden="1" x14ac:dyDescent="0.25">
      <c r="A5292" s="5" t="str">
        <f t="shared" si="2230"/>
        <v>44134DAX</v>
      </c>
      <c r="B5292" s="6" t="s">
        <v>16</v>
      </c>
      <c r="C5292" s="6">
        <v>11376</v>
      </c>
      <c r="D5292" s="6">
        <v>12314</v>
      </c>
      <c r="E5292" s="6">
        <v>11598</v>
      </c>
      <c r="F5292" t="str">
        <f t="shared" si="2231"/>
        <v>FRI</v>
      </c>
      <c r="G5292" s="3">
        <f t="shared" si="2232"/>
        <v>44134</v>
      </c>
      <c r="H5292" s="2">
        <f t="shared" ca="1" si="2233"/>
        <v>119</v>
      </c>
      <c r="I5292" t="str">
        <f t="shared" si="2234"/>
        <v>DAX</v>
      </c>
      <c r="J5292">
        <f t="shared" si="2235"/>
        <v>11376</v>
      </c>
      <c r="K5292">
        <f t="shared" si="2236"/>
        <v>12314</v>
      </c>
      <c r="L5292">
        <f t="shared" si="2237"/>
        <v>11845</v>
      </c>
      <c r="M5292">
        <f t="shared" si="2238"/>
        <v>469</v>
      </c>
      <c r="N5292">
        <f t="shared" si="2224"/>
        <v>938</v>
      </c>
      <c r="O5292">
        <f t="shared" si="2239"/>
        <v>11598</v>
      </c>
      <c r="P5292">
        <f t="shared" si="2240"/>
        <v>-0.5266524520255863</v>
      </c>
      <c r="Q5292" t="str">
        <f t="shared" si="2227"/>
        <v>1.91% | 6.17%</v>
      </c>
      <c r="R5292" t="str">
        <f t="shared" si="2241"/>
        <v>BEARISH</v>
      </c>
      <c r="S5292">
        <f t="shared" si="2229"/>
        <v>-1</v>
      </c>
    </row>
    <row r="5293" spans="1:19" hidden="1" x14ac:dyDescent="0.25">
      <c r="A5293" s="5" t="str">
        <f t="shared" si="2230"/>
        <v>44134VIX</v>
      </c>
      <c r="B5293" s="6" t="s">
        <v>17</v>
      </c>
      <c r="C5293" s="6">
        <v>28.24</v>
      </c>
      <c r="D5293" s="6">
        <v>40.35</v>
      </c>
      <c r="E5293" s="6">
        <v>37.590000000000003</v>
      </c>
      <c r="F5293" t="str">
        <f t="shared" si="2231"/>
        <v>FRI</v>
      </c>
      <c r="G5293" s="3">
        <f t="shared" si="2232"/>
        <v>44134</v>
      </c>
      <c r="H5293" s="2">
        <f t="shared" ca="1" si="2233"/>
        <v>119</v>
      </c>
      <c r="I5293" t="str">
        <f t="shared" si="2234"/>
        <v>VIX</v>
      </c>
      <c r="J5293">
        <f t="shared" si="2235"/>
        <v>28.24</v>
      </c>
      <c r="K5293">
        <f t="shared" si="2236"/>
        <v>40.35</v>
      </c>
      <c r="L5293">
        <f t="shared" si="2237"/>
        <v>34.295000000000002</v>
      </c>
      <c r="M5293">
        <f t="shared" si="2238"/>
        <v>6.0549999999999864</v>
      </c>
      <c r="N5293">
        <f t="shared" si="2224"/>
        <v>12.110000000000003</v>
      </c>
      <c r="O5293">
        <f t="shared" si="2239"/>
        <v>37.590000000000003</v>
      </c>
      <c r="P5293">
        <f t="shared" si="2240"/>
        <v>0.54417836498761507</v>
      </c>
      <c r="Q5293" t="str">
        <f t="shared" si="2227"/>
        <v>24.87% | 7.34%</v>
      </c>
      <c r="R5293" t="str">
        <f t="shared" si="2241"/>
        <v>BULLISH</v>
      </c>
      <c r="S5293">
        <f t="shared" si="2229"/>
        <v>1</v>
      </c>
    </row>
    <row r="5294" spans="1:19" hidden="1" x14ac:dyDescent="0.25">
      <c r="A5294" s="5" t="str">
        <f t="shared" si="2230"/>
        <v>44134USD</v>
      </c>
      <c r="B5294" s="6" t="s">
        <v>94</v>
      </c>
      <c r="C5294" s="6">
        <v>92.31</v>
      </c>
      <c r="D5294" s="6">
        <v>94.11</v>
      </c>
      <c r="E5294" s="6">
        <v>93.98</v>
      </c>
      <c r="F5294" t="str">
        <f t="shared" si="2231"/>
        <v>FRI</v>
      </c>
      <c r="G5294" s="3">
        <f t="shared" si="2232"/>
        <v>44134</v>
      </c>
      <c r="H5294" s="2">
        <f t="shared" ca="1" si="2233"/>
        <v>119</v>
      </c>
      <c r="I5294" t="str">
        <f t="shared" si="2234"/>
        <v>USD</v>
      </c>
      <c r="J5294">
        <f t="shared" si="2235"/>
        <v>92.31</v>
      </c>
      <c r="K5294">
        <f t="shared" si="2236"/>
        <v>94.11</v>
      </c>
      <c r="L5294">
        <f t="shared" si="2237"/>
        <v>93.210000000000008</v>
      </c>
      <c r="M5294">
        <f t="shared" si="2238"/>
        <v>0.89999999999999858</v>
      </c>
      <c r="N5294">
        <f t="shared" si="2224"/>
        <v>1.7999999999999972</v>
      </c>
      <c r="O5294">
        <f t="shared" si="2239"/>
        <v>93.98</v>
      </c>
      <c r="P5294">
        <f t="shared" si="2240"/>
        <v>0.85555555555555252</v>
      </c>
      <c r="Q5294" t="str">
        <f t="shared" si="2227"/>
        <v>1.78% | 0.14%</v>
      </c>
      <c r="R5294" t="str">
        <f t="shared" si="2241"/>
        <v>BEARISH</v>
      </c>
      <c r="S5294">
        <f t="shared" si="2229"/>
        <v>-1</v>
      </c>
    </row>
    <row r="5295" spans="1:19" hidden="1" x14ac:dyDescent="0.25">
      <c r="A5295" s="5" t="str">
        <f t="shared" si="2230"/>
        <v>44134EUR/USD</v>
      </c>
      <c r="B5295" s="6" t="s">
        <v>99</v>
      </c>
      <c r="C5295" s="6">
        <v>1.1659999999999999</v>
      </c>
      <c r="D5295" s="6">
        <v>1.1910000000000001</v>
      </c>
      <c r="E5295" s="6">
        <v>1.167</v>
      </c>
      <c r="F5295" t="str">
        <f t="shared" si="2231"/>
        <v>FRI</v>
      </c>
      <c r="G5295" s="3">
        <f t="shared" si="2232"/>
        <v>44134</v>
      </c>
      <c r="H5295" s="2">
        <f t="shared" ca="1" si="2233"/>
        <v>119</v>
      </c>
      <c r="I5295" t="str">
        <f t="shared" si="2234"/>
        <v>EUR/USD</v>
      </c>
      <c r="J5295">
        <f t="shared" si="2235"/>
        <v>1.1659999999999999</v>
      </c>
      <c r="K5295">
        <f t="shared" si="2236"/>
        <v>1.1910000000000001</v>
      </c>
      <c r="L5295">
        <f t="shared" si="2237"/>
        <v>1.1785000000000001</v>
      </c>
      <c r="M5295">
        <f t="shared" si="2238"/>
        <v>1.2500000000000067E-2</v>
      </c>
      <c r="N5295">
        <f t="shared" si="2224"/>
        <v>2.5000000000000133E-2</v>
      </c>
      <c r="O5295">
        <f t="shared" si="2239"/>
        <v>1.167</v>
      </c>
      <c r="P5295">
        <f t="shared" si="2240"/>
        <v>-0.92000000000000037</v>
      </c>
      <c r="Q5295" t="str">
        <f t="shared" si="2227"/>
        <v>0.09% | 2.06%</v>
      </c>
      <c r="R5295" t="str">
        <f t="shared" si="2241"/>
        <v>BULLISH</v>
      </c>
      <c r="S5295">
        <f t="shared" si="2229"/>
        <v>1</v>
      </c>
    </row>
    <row r="5296" spans="1:19" hidden="1" x14ac:dyDescent="0.25">
      <c r="A5296" s="5" t="str">
        <f t="shared" si="2230"/>
        <v>44134USD/JPY</v>
      </c>
      <c r="B5296" s="6" t="s">
        <v>20</v>
      </c>
      <c r="C5296" s="6">
        <v>104.02</v>
      </c>
      <c r="D5296" s="6">
        <v>105.21</v>
      </c>
      <c r="E5296" s="6">
        <v>104.63</v>
      </c>
      <c r="F5296" t="str">
        <f t="shared" si="2231"/>
        <v>FRI</v>
      </c>
      <c r="G5296" s="3">
        <f t="shared" si="2232"/>
        <v>44134</v>
      </c>
      <c r="H5296" s="2">
        <f t="shared" ca="1" si="2233"/>
        <v>119</v>
      </c>
      <c r="I5296" t="str">
        <f t="shared" si="2234"/>
        <v>USD/JPY</v>
      </c>
      <c r="J5296">
        <f t="shared" si="2235"/>
        <v>104.02</v>
      </c>
      <c r="K5296">
        <f t="shared" si="2236"/>
        <v>105.21</v>
      </c>
      <c r="L5296">
        <f t="shared" si="2237"/>
        <v>104.61499999999999</v>
      </c>
      <c r="M5296">
        <f t="shared" si="2238"/>
        <v>0.59499999999999886</v>
      </c>
      <c r="N5296">
        <f t="shared" si="2224"/>
        <v>1.1899999999999977</v>
      </c>
      <c r="O5296">
        <f t="shared" si="2239"/>
        <v>104.63</v>
      </c>
      <c r="P5296">
        <f t="shared" si="2240"/>
        <v>2.5210084033614449E-2</v>
      </c>
      <c r="Q5296" t="str">
        <f t="shared" si="2227"/>
        <v>0.58% | 0.55%</v>
      </c>
      <c r="R5296" t="str">
        <f t="shared" si="2241"/>
        <v>BEARISH</v>
      </c>
      <c r="S5296">
        <f t="shared" si="2229"/>
        <v>-1</v>
      </c>
    </row>
    <row r="5297" spans="1:19" hidden="1" x14ac:dyDescent="0.25">
      <c r="A5297" s="5" t="str">
        <f t="shared" si="2230"/>
        <v>44134GBP/USD</v>
      </c>
      <c r="B5297" s="6" t="s">
        <v>102</v>
      </c>
      <c r="C5297" s="6">
        <v>1.29</v>
      </c>
      <c r="D5297" s="6">
        <v>1.32</v>
      </c>
      <c r="E5297" s="6">
        <v>1.29</v>
      </c>
      <c r="F5297" t="str">
        <f t="shared" si="2231"/>
        <v>FRI</v>
      </c>
      <c r="G5297" s="3">
        <f t="shared" si="2232"/>
        <v>44134</v>
      </c>
      <c r="H5297" s="2">
        <f t="shared" ca="1" si="2233"/>
        <v>119</v>
      </c>
      <c r="I5297" t="str">
        <f t="shared" si="2234"/>
        <v>GBP/USD</v>
      </c>
      <c r="J5297">
        <f t="shared" si="2235"/>
        <v>1.29</v>
      </c>
      <c r="K5297">
        <f t="shared" si="2236"/>
        <v>1.32</v>
      </c>
      <c r="L5297">
        <f t="shared" si="2237"/>
        <v>1.3050000000000002</v>
      </c>
      <c r="M5297">
        <f t="shared" si="2238"/>
        <v>1.5000000000000013E-2</v>
      </c>
      <c r="N5297">
        <f t="shared" si="2224"/>
        <v>3.0000000000000027E-2</v>
      </c>
      <c r="O5297">
        <f t="shared" si="2239"/>
        <v>1.29</v>
      </c>
      <c r="P5297">
        <f t="shared" si="2240"/>
        <v>-1.0000000000000073</v>
      </c>
      <c r="Q5297" t="str">
        <f t="shared" si="2227"/>
        <v>0% | 2.33%</v>
      </c>
      <c r="R5297" t="str">
        <f t="shared" si="2241"/>
        <v>BULLISH</v>
      </c>
      <c r="S5297">
        <f t="shared" si="2229"/>
        <v>1</v>
      </c>
    </row>
    <row r="5298" spans="1:19" hidden="1" x14ac:dyDescent="0.25">
      <c r="A5298" s="5" t="str">
        <f t="shared" si="2230"/>
        <v>44134USD/CHF</v>
      </c>
      <c r="B5298" s="6" t="s">
        <v>76</v>
      </c>
      <c r="C5298" s="6">
        <v>0.9</v>
      </c>
      <c r="D5298" s="6">
        <v>0.92</v>
      </c>
      <c r="E5298" s="6">
        <v>0.91</v>
      </c>
      <c r="F5298" t="str">
        <f t="shared" si="2231"/>
        <v>FRI</v>
      </c>
      <c r="G5298" s="3">
        <f t="shared" si="2232"/>
        <v>44134</v>
      </c>
      <c r="H5298" s="2">
        <f t="shared" ca="1" si="2233"/>
        <v>119</v>
      </c>
      <c r="I5298" t="str">
        <f t="shared" si="2234"/>
        <v>USD/CHF</v>
      </c>
      <c r="J5298">
        <f t="shared" si="2235"/>
        <v>0.9</v>
      </c>
      <c r="K5298">
        <f t="shared" si="2236"/>
        <v>0.92</v>
      </c>
      <c r="L5298">
        <f t="shared" si="2237"/>
        <v>0.91</v>
      </c>
      <c r="M5298">
        <f t="shared" si="2238"/>
        <v>1.0000000000000009E-2</v>
      </c>
      <c r="N5298">
        <f t="shared" si="2224"/>
        <v>2.0000000000000018E-2</v>
      </c>
      <c r="O5298">
        <f t="shared" si="2239"/>
        <v>0.91</v>
      </c>
      <c r="P5298">
        <f t="shared" si="2240"/>
        <v>0</v>
      </c>
      <c r="Q5298" t="str">
        <f t="shared" si="2227"/>
        <v>1.1% | 1.1%</v>
      </c>
      <c r="R5298" t="str">
        <f t="shared" si="2241"/>
        <v>BEARISH</v>
      </c>
      <c r="S5298">
        <f t="shared" si="2229"/>
        <v>-1</v>
      </c>
    </row>
    <row r="5299" spans="1:19" hidden="1" x14ac:dyDescent="0.25">
      <c r="A5299" s="5" t="str">
        <f t="shared" si="2230"/>
        <v>44134WTIC</v>
      </c>
      <c r="B5299" s="6" t="s">
        <v>23</v>
      </c>
      <c r="C5299" s="6">
        <v>35.880000000000003</v>
      </c>
      <c r="D5299" s="6">
        <v>39.71</v>
      </c>
      <c r="E5299" s="6">
        <v>36.17</v>
      </c>
      <c r="F5299" t="str">
        <f t="shared" si="2231"/>
        <v>FRI</v>
      </c>
      <c r="G5299" s="3">
        <f t="shared" si="2232"/>
        <v>44134</v>
      </c>
      <c r="H5299" s="2">
        <f t="shared" ca="1" si="2233"/>
        <v>119</v>
      </c>
      <c r="I5299" t="str">
        <f t="shared" si="2234"/>
        <v>WTIC</v>
      </c>
      <c r="J5299">
        <f t="shared" si="2235"/>
        <v>35.880000000000003</v>
      </c>
      <c r="K5299">
        <f t="shared" si="2236"/>
        <v>39.71</v>
      </c>
      <c r="L5299">
        <f t="shared" si="2237"/>
        <v>37.795000000000002</v>
      </c>
      <c r="M5299">
        <f t="shared" si="2238"/>
        <v>1.9149999999999991</v>
      </c>
      <c r="N5299">
        <f t="shared" si="2224"/>
        <v>3.8299999999999983</v>
      </c>
      <c r="O5299">
        <f t="shared" si="2239"/>
        <v>36.17</v>
      </c>
      <c r="P5299">
        <f t="shared" si="2240"/>
        <v>-0.84856396866840766</v>
      </c>
      <c r="Q5299" t="str">
        <f t="shared" si="2227"/>
        <v>0.8% | 9.79%</v>
      </c>
      <c r="R5299" t="str">
        <f t="shared" si="2241"/>
        <v>BEARISH</v>
      </c>
      <c r="S5299">
        <f t="shared" si="2229"/>
        <v>-1</v>
      </c>
    </row>
    <row r="5300" spans="1:19" hidden="1" x14ac:dyDescent="0.25">
      <c r="A5300" s="5" t="str">
        <f t="shared" si="2230"/>
        <v>44134NATGAS</v>
      </c>
      <c r="B5300" s="6" t="s">
        <v>89</v>
      </c>
      <c r="C5300" s="6">
        <v>2.71</v>
      </c>
      <c r="D5300" s="6">
        <v>3.49</v>
      </c>
      <c r="E5300" s="6">
        <v>3.3</v>
      </c>
      <c r="F5300" t="str">
        <f t="shared" si="2231"/>
        <v>FRI</v>
      </c>
      <c r="G5300" s="3">
        <f t="shared" si="2232"/>
        <v>44134</v>
      </c>
      <c r="H5300" s="2">
        <f t="shared" ca="1" si="2233"/>
        <v>119</v>
      </c>
      <c r="I5300" t="str">
        <f t="shared" si="2234"/>
        <v>NATGAS</v>
      </c>
      <c r="J5300">
        <f t="shared" si="2235"/>
        <v>2.71</v>
      </c>
      <c r="K5300">
        <f t="shared" si="2236"/>
        <v>3.49</v>
      </c>
      <c r="L5300">
        <f t="shared" si="2237"/>
        <v>3.1</v>
      </c>
      <c r="M5300">
        <f t="shared" si="2238"/>
        <v>0.38999999999999874</v>
      </c>
      <c r="N5300">
        <f t="shared" si="2224"/>
        <v>0.78000000000000025</v>
      </c>
      <c r="O5300">
        <f t="shared" si="2239"/>
        <v>3.3</v>
      </c>
      <c r="P5300">
        <f t="shared" si="2240"/>
        <v>0.51282051282051377</v>
      </c>
      <c r="Q5300" t="str">
        <f t="shared" si="2227"/>
        <v>17.88% | 5.76%</v>
      </c>
      <c r="R5300" t="str">
        <f t="shared" si="2241"/>
        <v>BULLISH</v>
      </c>
      <c r="S5300">
        <f t="shared" si="2229"/>
        <v>1</v>
      </c>
    </row>
    <row r="5301" spans="1:19" hidden="1" x14ac:dyDescent="0.25">
      <c r="A5301" s="5" t="str">
        <f t="shared" si="2230"/>
        <v>44134GOLD</v>
      </c>
      <c r="B5301" s="6" t="s">
        <v>25</v>
      </c>
      <c r="C5301" s="6">
        <v>1861</v>
      </c>
      <c r="D5301" s="6">
        <v>1940</v>
      </c>
      <c r="E5301" s="6">
        <v>1868</v>
      </c>
      <c r="F5301" t="str">
        <f t="shared" si="2231"/>
        <v>FRI</v>
      </c>
      <c r="G5301" s="3">
        <f t="shared" si="2232"/>
        <v>44134</v>
      </c>
      <c r="H5301" s="2">
        <f t="shared" ca="1" si="2233"/>
        <v>119</v>
      </c>
      <c r="I5301" t="str">
        <f t="shared" si="2234"/>
        <v>GOLD</v>
      </c>
      <c r="J5301">
        <f t="shared" si="2235"/>
        <v>1861</v>
      </c>
      <c r="K5301">
        <f t="shared" si="2236"/>
        <v>1940</v>
      </c>
      <c r="L5301">
        <f t="shared" si="2237"/>
        <v>1900.5</v>
      </c>
      <c r="M5301">
        <f t="shared" si="2238"/>
        <v>39.5</v>
      </c>
      <c r="N5301">
        <f t="shared" si="2224"/>
        <v>79</v>
      </c>
      <c r="O5301">
        <f t="shared" si="2239"/>
        <v>1868</v>
      </c>
      <c r="P5301">
        <f t="shared" si="2240"/>
        <v>-0.82278481012658233</v>
      </c>
      <c r="Q5301" t="str">
        <f t="shared" si="2227"/>
        <v>0.37% | 3.85%</v>
      </c>
      <c r="R5301" t="str">
        <f t="shared" si="2241"/>
        <v>BULLISH</v>
      </c>
      <c r="S5301">
        <f t="shared" si="2229"/>
        <v>1</v>
      </c>
    </row>
    <row r="5302" spans="1:19" hidden="1" x14ac:dyDescent="0.25">
      <c r="A5302" s="5" t="str">
        <f t="shared" si="2230"/>
        <v>44134SILVER</v>
      </c>
      <c r="B5302" s="6" t="s">
        <v>241</v>
      </c>
      <c r="C5302" s="6">
        <v>23.1</v>
      </c>
      <c r="D5302" s="6">
        <v>25.7</v>
      </c>
      <c r="E5302" s="6">
        <v>23.36</v>
      </c>
      <c r="F5302" t="str">
        <f t="shared" si="2231"/>
        <v>FRI</v>
      </c>
      <c r="G5302" s="3">
        <f t="shared" si="2232"/>
        <v>44134</v>
      </c>
      <c r="H5302" s="2">
        <f t="shared" ca="1" si="2233"/>
        <v>119</v>
      </c>
      <c r="I5302" t="str">
        <f t="shared" si="2234"/>
        <v>SILVER</v>
      </c>
      <c r="J5302">
        <f t="shared" si="2235"/>
        <v>23.1</v>
      </c>
      <c r="K5302">
        <f t="shared" si="2236"/>
        <v>25.7</v>
      </c>
      <c r="L5302">
        <f t="shared" si="2237"/>
        <v>24.4</v>
      </c>
      <c r="M5302">
        <f t="shared" si="2238"/>
        <v>1.2999999999999989</v>
      </c>
      <c r="N5302">
        <f t="shared" si="2224"/>
        <v>2.5999999999999979</v>
      </c>
      <c r="O5302">
        <f t="shared" si="2239"/>
        <v>23.36</v>
      </c>
      <c r="P5302">
        <f t="shared" si="2240"/>
        <v>-0.8</v>
      </c>
      <c r="Q5302" t="str">
        <f t="shared" si="2227"/>
        <v>1.11% | 10.02%</v>
      </c>
      <c r="R5302" t="str">
        <f t="shared" si="2241"/>
        <v>NEUTRAL</v>
      </c>
      <c r="S5302">
        <f t="shared" si="2229"/>
        <v>0</v>
      </c>
    </row>
    <row r="5303" spans="1:19" hidden="1" x14ac:dyDescent="0.25">
      <c r="A5303" s="5" t="str">
        <f t="shared" si="2230"/>
        <v>44134COPPER</v>
      </c>
      <c r="B5303" s="6" t="s">
        <v>100</v>
      </c>
      <c r="C5303" s="6">
        <v>3.01</v>
      </c>
      <c r="D5303" s="6">
        <v>3.21</v>
      </c>
      <c r="E5303" s="6">
        <v>3.06</v>
      </c>
      <c r="F5303" t="str">
        <f t="shared" si="2231"/>
        <v>FRI</v>
      </c>
      <c r="G5303" s="3">
        <f t="shared" si="2232"/>
        <v>44134</v>
      </c>
      <c r="H5303" s="2">
        <f t="shared" ca="1" si="2233"/>
        <v>119</v>
      </c>
      <c r="I5303" t="str">
        <f t="shared" si="2234"/>
        <v>COPPER</v>
      </c>
      <c r="J5303">
        <f t="shared" si="2235"/>
        <v>3.01</v>
      </c>
      <c r="K5303">
        <f t="shared" si="2236"/>
        <v>3.21</v>
      </c>
      <c r="L5303">
        <f t="shared" si="2237"/>
        <v>3.11</v>
      </c>
      <c r="M5303">
        <f t="shared" si="2238"/>
        <v>0.10000000000000009</v>
      </c>
      <c r="N5303">
        <f t="shared" si="2224"/>
        <v>0.20000000000000018</v>
      </c>
      <c r="O5303">
        <f t="shared" si="2239"/>
        <v>3.06</v>
      </c>
      <c r="P5303">
        <f t="shared" si="2240"/>
        <v>-0.49999999999999778</v>
      </c>
      <c r="Q5303" t="str">
        <f t="shared" si="2227"/>
        <v>1.63% | 4.9%</v>
      </c>
      <c r="R5303" t="str">
        <f t="shared" si="2241"/>
        <v>BULLISH</v>
      </c>
      <c r="S5303">
        <f t="shared" si="2229"/>
        <v>1</v>
      </c>
    </row>
    <row r="5304" spans="1:19" hidden="1" x14ac:dyDescent="0.25">
      <c r="A5304" s="5" t="str">
        <f t="shared" si="2230"/>
        <v>44134MSFT</v>
      </c>
      <c r="B5304" s="6" t="s">
        <v>236</v>
      </c>
      <c r="C5304" s="6">
        <v>198</v>
      </c>
      <c r="D5304" s="6">
        <v>211</v>
      </c>
      <c r="E5304" s="6">
        <v>204</v>
      </c>
      <c r="F5304" t="str">
        <f t="shared" si="2231"/>
        <v>FRI</v>
      </c>
      <c r="G5304" s="3">
        <f t="shared" si="2232"/>
        <v>44134</v>
      </c>
      <c r="H5304" s="2">
        <f t="shared" ca="1" si="2233"/>
        <v>119</v>
      </c>
      <c r="I5304" t="str">
        <f t="shared" si="2234"/>
        <v>MSFT</v>
      </c>
      <c r="J5304">
        <f t="shared" si="2235"/>
        <v>198</v>
      </c>
      <c r="K5304">
        <f t="shared" si="2236"/>
        <v>211</v>
      </c>
      <c r="L5304">
        <f t="shared" si="2237"/>
        <v>204.5</v>
      </c>
      <c r="M5304">
        <f t="shared" si="2238"/>
        <v>6.5</v>
      </c>
      <c r="N5304">
        <f t="shared" si="2224"/>
        <v>13</v>
      </c>
      <c r="O5304">
        <f t="shared" si="2239"/>
        <v>204</v>
      </c>
      <c r="P5304">
        <f t="shared" si="2240"/>
        <v>-7.6923076923076927E-2</v>
      </c>
      <c r="Q5304" t="str">
        <f t="shared" si="2227"/>
        <v>2.94% | 3.43%</v>
      </c>
      <c r="R5304" t="str">
        <f t="shared" si="2241"/>
        <v>BEARISH</v>
      </c>
      <c r="S5304">
        <f t="shared" si="2229"/>
        <v>-1</v>
      </c>
    </row>
    <row r="5305" spans="1:19" hidden="1" x14ac:dyDescent="0.25">
      <c r="A5305" s="5" t="str">
        <f t="shared" si="2230"/>
        <v>44134AAPL</v>
      </c>
      <c r="B5305" s="6" t="s">
        <v>63</v>
      </c>
      <c r="C5305" s="6">
        <v>108</v>
      </c>
      <c r="D5305" s="6">
        <v>118</v>
      </c>
      <c r="E5305" s="6">
        <v>115</v>
      </c>
      <c r="F5305" t="str">
        <f t="shared" si="2231"/>
        <v>FRI</v>
      </c>
      <c r="G5305" s="3">
        <f t="shared" si="2232"/>
        <v>44134</v>
      </c>
      <c r="H5305" s="2">
        <f t="shared" ca="1" si="2233"/>
        <v>119</v>
      </c>
      <c r="I5305" t="str">
        <f t="shared" si="2234"/>
        <v>AAPL</v>
      </c>
      <c r="J5305">
        <f t="shared" si="2235"/>
        <v>108</v>
      </c>
      <c r="K5305">
        <f t="shared" si="2236"/>
        <v>118</v>
      </c>
      <c r="L5305">
        <f t="shared" si="2237"/>
        <v>113</v>
      </c>
      <c r="M5305">
        <f t="shared" si="2238"/>
        <v>5</v>
      </c>
      <c r="N5305">
        <f t="shared" si="2224"/>
        <v>10</v>
      </c>
      <c r="O5305">
        <f t="shared" si="2239"/>
        <v>115</v>
      </c>
      <c r="P5305">
        <f t="shared" si="2240"/>
        <v>0.4</v>
      </c>
      <c r="Q5305" t="str">
        <f t="shared" si="2227"/>
        <v>6.09% | 2.61%</v>
      </c>
      <c r="R5305" t="str">
        <f t="shared" si="2241"/>
        <v>NEUTRAL</v>
      </c>
      <c r="S5305">
        <f t="shared" si="2229"/>
        <v>0</v>
      </c>
    </row>
    <row r="5306" spans="1:19" hidden="1" x14ac:dyDescent="0.25">
      <c r="A5306" s="5" t="str">
        <f t="shared" si="2230"/>
        <v>44134AMZN</v>
      </c>
      <c r="B5306" s="6" t="s">
        <v>29</v>
      </c>
      <c r="C5306" s="6">
        <v>3096</v>
      </c>
      <c r="D5306" s="6">
        <v>3275</v>
      </c>
      <c r="E5306" s="6">
        <v>3211</v>
      </c>
      <c r="F5306" t="str">
        <f t="shared" si="2231"/>
        <v>FRI</v>
      </c>
      <c r="G5306" s="3">
        <f t="shared" si="2232"/>
        <v>44134</v>
      </c>
      <c r="H5306" s="2">
        <f t="shared" ca="1" si="2233"/>
        <v>119</v>
      </c>
      <c r="I5306" t="str">
        <f t="shared" si="2234"/>
        <v>AMZN</v>
      </c>
      <c r="J5306">
        <f t="shared" si="2235"/>
        <v>3096</v>
      </c>
      <c r="K5306">
        <f t="shared" si="2236"/>
        <v>3275</v>
      </c>
      <c r="L5306">
        <f t="shared" si="2237"/>
        <v>3185.5</v>
      </c>
      <c r="M5306">
        <f t="shared" si="2238"/>
        <v>89.5</v>
      </c>
      <c r="N5306">
        <f t="shared" si="2224"/>
        <v>179</v>
      </c>
      <c r="O5306">
        <f t="shared" si="2239"/>
        <v>3211</v>
      </c>
      <c r="P5306">
        <f t="shared" si="2240"/>
        <v>0.28491620111731841</v>
      </c>
      <c r="Q5306" t="str">
        <f t="shared" si="2227"/>
        <v>3.58% | 1.99%</v>
      </c>
      <c r="R5306" t="str">
        <f t="shared" si="2241"/>
        <v>BULLISH</v>
      </c>
      <c r="S5306">
        <f t="shared" si="2229"/>
        <v>1</v>
      </c>
    </row>
    <row r="5307" spans="1:19" hidden="1" x14ac:dyDescent="0.25">
      <c r="A5307" s="5" t="str">
        <f t="shared" si="2230"/>
        <v>44134FB</v>
      </c>
      <c r="B5307" s="6" t="s">
        <v>30</v>
      </c>
      <c r="C5307" s="6">
        <v>259</v>
      </c>
      <c r="D5307" s="6">
        <v>293</v>
      </c>
      <c r="E5307" s="6">
        <v>280</v>
      </c>
      <c r="F5307" t="str">
        <f t="shared" si="2231"/>
        <v>FRI</v>
      </c>
      <c r="G5307" s="3">
        <f t="shared" si="2232"/>
        <v>44134</v>
      </c>
      <c r="H5307" s="2">
        <f t="shared" ca="1" si="2233"/>
        <v>119</v>
      </c>
      <c r="I5307" t="str">
        <f t="shared" si="2234"/>
        <v>FB</v>
      </c>
      <c r="J5307">
        <f t="shared" si="2235"/>
        <v>259</v>
      </c>
      <c r="K5307">
        <f t="shared" si="2236"/>
        <v>293</v>
      </c>
      <c r="L5307">
        <f t="shared" si="2237"/>
        <v>276</v>
      </c>
      <c r="M5307">
        <f t="shared" si="2238"/>
        <v>17</v>
      </c>
      <c r="N5307">
        <f t="shared" si="2224"/>
        <v>34</v>
      </c>
      <c r="O5307">
        <f t="shared" si="2239"/>
        <v>280</v>
      </c>
      <c r="P5307">
        <f t="shared" si="2240"/>
        <v>0.23529411764705882</v>
      </c>
      <c r="Q5307" t="str">
        <f t="shared" si="2227"/>
        <v>7.5% | 4.64%</v>
      </c>
      <c r="R5307" t="str">
        <f t="shared" si="2241"/>
        <v>BULLISH</v>
      </c>
      <c r="S5307">
        <f t="shared" si="2229"/>
        <v>1</v>
      </c>
    </row>
    <row r="5308" spans="1:19" hidden="1" x14ac:dyDescent="0.25">
      <c r="A5308" s="5" t="str">
        <f t="shared" si="2230"/>
        <v>44134GOOGL</v>
      </c>
      <c r="B5308" s="6" t="s">
        <v>31</v>
      </c>
      <c r="C5308" s="6">
        <v>1490</v>
      </c>
      <c r="D5308" s="6">
        <v>1648</v>
      </c>
      <c r="E5308" s="6">
        <v>1556</v>
      </c>
      <c r="F5308" t="str">
        <f t="shared" si="2231"/>
        <v>FRI</v>
      </c>
      <c r="G5308" s="3">
        <f t="shared" si="2232"/>
        <v>44134</v>
      </c>
      <c r="H5308" s="2">
        <f t="shared" ca="1" si="2233"/>
        <v>119</v>
      </c>
      <c r="I5308" t="str">
        <f t="shared" si="2234"/>
        <v>GOOGL</v>
      </c>
      <c r="J5308">
        <f t="shared" si="2235"/>
        <v>1490</v>
      </c>
      <c r="K5308">
        <f t="shared" si="2236"/>
        <v>1648</v>
      </c>
      <c r="L5308">
        <f t="shared" si="2237"/>
        <v>1569</v>
      </c>
      <c r="M5308">
        <f t="shared" si="2238"/>
        <v>79</v>
      </c>
      <c r="N5308">
        <f t="shared" si="2224"/>
        <v>158</v>
      </c>
      <c r="O5308">
        <f t="shared" si="2239"/>
        <v>1556</v>
      </c>
      <c r="P5308">
        <f t="shared" si="2240"/>
        <v>-0.16455696202531644</v>
      </c>
      <c r="Q5308" t="str">
        <f t="shared" si="2227"/>
        <v>4.24% | 5.91%</v>
      </c>
      <c r="R5308" t="str">
        <f t="shared" si="2241"/>
        <v>BULLISH</v>
      </c>
      <c r="S5308">
        <f t="shared" si="2229"/>
        <v>1</v>
      </c>
    </row>
    <row r="5309" spans="1:19" hidden="1" x14ac:dyDescent="0.25">
      <c r="A5309" s="5" t="str">
        <f t="shared" si="2230"/>
        <v>44134NFLX</v>
      </c>
      <c r="B5309" s="6" t="s">
        <v>81</v>
      </c>
      <c r="C5309" s="6">
        <v>463</v>
      </c>
      <c r="D5309" s="6">
        <v>510</v>
      </c>
      <c r="E5309" s="6">
        <v>504</v>
      </c>
      <c r="F5309" t="str">
        <f t="shared" si="2231"/>
        <v>FRI</v>
      </c>
      <c r="G5309" s="3">
        <f t="shared" si="2232"/>
        <v>44134</v>
      </c>
      <c r="H5309" s="2">
        <f t="shared" ca="1" si="2233"/>
        <v>119</v>
      </c>
      <c r="I5309" t="str">
        <f t="shared" si="2234"/>
        <v>NFLX</v>
      </c>
      <c r="J5309">
        <f t="shared" si="2235"/>
        <v>463</v>
      </c>
      <c r="K5309">
        <f t="shared" si="2236"/>
        <v>510</v>
      </c>
      <c r="L5309">
        <f t="shared" si="2237"/>
        <v>486.5</v>
      </c>
      <c r="M5309">
        <f t="shared" si="2238"/>
        <v>23.5</v>
      </c>
      <c r="N5309">
        <f t="shared" si="2224"/>
        <v>47</v>
      </c>
      <c r="O5309">
        <f t="shared" si="2239"/>
        <v>504</v>
      </c>
      <c r="P5309">
        <f t="shared" si="2240"/>
        <v>0.74468085106382975</v>
      </c>
      <c r="Q5309" t="str">
        <f t="shared" si="2227"/>
        <v>8.13% | 1.19%</v>
      </c>
      <c r="R5309" t="str">
        <f t="shared" si="2241"/>
        <v>BEARISH</v>
      </c>
      <c r="S5309">
        <f t="shared" si="2229"/>
        <v>-1</v>
      </c>
    </row>
    <row r="5310" spans="1:19" x14ac:dyDescent="0.25">
      <c r="A5310" s="5" t="str">
        <f t="shared" si="2230"/>
        <v>44134TSLA</v>
      </c>
      <c r="B5310" s="6" t="s">
        <v>71</v>
      </c>
      <c r="C5310" s="6">
        <v>401</v>
      </c>
      <c r="D5310" s="6">
        <v>436</v>
      </c>
      <c r="E5310" s="6">
        <v>410</v>
      </c>
      <c r="F5310" t="str">
        <f t="shared" si="2231"/>
        <v>FRI</v>
      </c>
      <c r="G5310" s="3">
        <f t="shared" si="2232"/>
        <v>44134</v>
      </c>
      <c r="H5310" s="2">
        <f t="shared" ca="1" si="2233"/>
        <v>119</v>
      </c>
      <c r="I5310" t="str">
        <f t="shared" si="2234"/>
        <v>TSLA</v>
      </c>
      <c r="J5310">
        <f t="shared" si="2235"/>
        <v>401</v>
      </c>
      <c r="K5310">
        <f t="shared" si="2236"/>
        <v>436</v>
      </c>
      <c r="L5310">
        <f t="shared" si="2237"/>
        <v>418.5</v>
      </c>
      <c r="M5310">
        <f t="shared" si="2238"/>
        <v>17.5</v>
      </c>
      <c r="N5310">
        <f t="shared" si="2224"/>
        <v>35</v>
      </c>
      <c r="O5310">
        <f t="shared" si="2239"/>
        <v>410</v>
      </c>
      <c r="P5310">
        <f t="shared" si="2240"/>
        <v>-0.48571428571428571</v>
      </c>
      <c r="Q5310" t="str">
        <f t="shared" si="2227"/>
        <v>2.2% | 6.34%</v>
      </c>
      <c r="R5310" t="str">
        <f t="shared" si="2241"/>
        <v>NEUTRAL</v>
      </c>
      <c r="S5310">
        <f t="shared" si="2229"/>
        <v>0</v>
      </c>
    </row>
    <row r="5311" spans="1:19" hidden="1" x14ac:dyDescent="0.25">
      <c r="A5311" s="5" t="str">
        <f t="shared" si="2230"/>
        <v>44134NYXBT</v>
      </c>
      <c r="B5311" s="6" t="s">
        <v>60</v>
      </c>
      <c r="C5311" s="6">
        <v>12801</v>
      </c>
      <c r="D5311" s="6">
        <v>13998</v>
      </c>
      <c r="E5311" s="6">
        <v>13447</v>
      </c>
      <c r="F5311" t="str">
        <f t="shared" si="2231"/>
        <v>FRI</v>
      </c>
      <c r="G5311" s="3">
        <f t="shared" si="2232"/>
        <v>44134</v>
      </c>
      <c r="H5311" s="2">
        <f t="shared" ca="1" si="2233"/>
        <v>119</v>
      </c>
      <c r="I5311" t="str">
        <f t="shared" si="2234"/>
        <v>NYXBT</v>
      </c>
      <c r="J5311">
        <f t="shared" si="2235"/>
        <v>12801</v>
      </c>
      <c r="K5311">
        <f t="shared" si="2236"/>
        <v>13998</v>
      </c>
      <c r="L5311">
        <f t="shared" si="2237"/>
        <v>13399.5</v>
      </c>
      <c r="M5311">
        <f t="shared" si="2238"/>
        <v>598.5</v>
      </c>
      <c r="N5311">
        <f t="shared" si="2224"/>
        <v>1197</v>
      </c>
      <c r="O5311">
        <f t="shared" si="2239"/>
        <v>13447</v>
      </c>
      <c r="P5311">
        <f t="shared" si="2240"/>
        <v>7.9365079365079361E-2</v>
      </c>
      <c r="Q5311" t="str">
        <f t="shared" si="2227"/>
        <v>4.8% | 4.1%</v>
      </c>
      <c r="R5311" t="str">
        <f t="shared" si="2241"/>
        <v>BULLISH</v>
      </c>
      <c r="S5311">
        <f t="shared" si="2229"/>
        <v>1</v>
      </c>
    </row>
    <row r="5312" spans="1:19" hidden="1" x14ac:dyDescent="0.25">
      <c r="A5312" s="5" t="str">
        <f t="shared" si="2230"/>
        <v>44137UST10Y</v>
      </c>
      <c r="B5312" s="6" t="s">
        <v>4</v>
      </c>
      <c r="C5312" s="6">
        <v>0.89</v>
      </c>
      <c r="D5312" s="6">
        <v>0.73</v>
      </c>
      <c r="E5312" s="6">
        <v>0.88</v>
      </c>
      <c r="F5312" t="str">
        <f t="shared" si="2231"/>
        <v>MON</v>
      </c>
      <c r="G5312" s="1">
        <f>DATE(2020,11,2)</f>
        <v>44137</v>
      </c>
      <c r="H5312" s="2">
        <f t="shared" ca="1" si="2233"/>
        <v>116</v>
      </c>
      <c r="I5312" t="str">
        <f t="shared" si="2234"/>
        <v>UST10Y</v>
      </c>
      <c r="J5312">
        <f t="shared" si="2235"/>
        <v>0.89</v>
      </c>
      <c r="K5312">
        <f t="shared" si="2236"/>
        <v>0.73</v>
      </c>
      <c r="L5312">
        <f t="shared" si="2237"/>
        <v>0.81</v>
      </c>
      <c r="M5312">
        <f t="shared" si="2238"/>
        <v>8.0000000000000016E-2</v>
      </c>
      <c r="N5312">
        <f t="shared" si="2224"/>
        <v>0.16000000000000003</v>
      </c>
      <c r="O5312">
        <f t="shared" si="2239"/>
        <v>0.88</v>
      </c>
      <c r="P5312">
        <f t="shared" si="2240"/>
        <v>0.87499999999999922</v>
      </c>
      <c r="Q5312" t="str">
        <f t="shared" si="2227"/>
        <v>1.14% | 17.05%</v>
      </c>
      <c r="R5312" t="str">
        <f t="shared" si="2241"/>
        <v>BEARISH</v>
      </c>
      <c r="S5312">
        <f t="shared" si="2229"/>
        <v>-1</v>
      </c>
    </row>
    <row r="5313" spans="1:19" hidden="1" x14ac:dyDescent="0.25">
      <c r="A5313" s="5" t="str">
        <f t="shared" si="2230"/>
        <v>44137UST2Y</v>
      </c>
      <c r="B5313" s="6" t="s">
        <v>5</v>
      </c>
      <c r="C5313" s="6">
        <v>0.18</v>
      </c>
      <c r="D5313" s="6">
        <v>0.13</v>
      </c>
      <c r="E5313" s="6">
        <v>0.14000000000000001</v>
      </c>
      <c r="F5313" t="str">
        <f t="shared" ref="F5313:F5343" si="2242">UPPER(TEXT(G5313,"ddd"))</f>
        <v>MON</v>
      </c>
      <c r="G5313" s="1">
        <f t="shared" ref="G5313:G5342" si="2243">DATE(2020,11,2)</f>
        <v>44137</v>
      </c>
      <c r="H5313" s="2">
        <f t="shared" ref="H5313:H5343" ca="1" si="2244">TODAY()-G5313</f>
        <v>116</v>
      </c>
      <c r="I5313" t="str">
        <f t="shared" ref="I5313:I5343" si="2245">TRIM(LEFT(B5313,FIND(" ",B5313,1)))</f>
        <v>UST2Y</v>
      </c>
      <c r="J5313">
        <f t="shared" ref="J5313:J5343" si="2246">C5313</f>
        <v>0.18</v>
      </c>
      <c r="K5313">
        <f t="shared" ref="K5313:K5343" si="2247">D5313</f>
        <v>0.13</v>
      </c>
      <c r="L5313">
        <f t="shared" ref="L5313:L5343" si="2248">AVERAGE(J5313:K5313)</f>
        <v>0.155</v>
      </c>
      <c r="M5313">
        <f t="shared" ref="M5313:M5343" si="2249">_xlfn.STDEV.P(J5313:K5313)</f>
        <v>2.4999999999999942E-2</v>
      </c>
      <c r="N5313">
        <f t="shared" si="2224"/>
        <v>4.9999999999999989E-2</v>
      </c>
      <c r="O5313">
        <f t="shared" ref="O5313:O5343" si="2250">E5313</f>
        <v>0.14000000000000001</v>
      </c>
      <c r="P5313">
        <f t="shared" ref="P5313:P5343" si="2251">(O5313-L5313)/M5313</f>
        <v>-0.60000000000000075</v>
      </c>
      <c r="Q5313" t="str">
        <f t="shared" si="2227"/>
        <v>28.57% | 7.14%</v>
      </c>
      <c r="R5313" t="str">
        <f t="shared" ref="R5313:R5343" si="2252">MID(B5313,FIND("(",B5313,1)+1,FIND(")",B5313,1)-FIND("(",B5313,1)-1)</f>
        <v>BEARISH</v>
      </c>
      <c r="S5313">
        <f t="shared" si="2229"/>
        <v>-1</v>
      </c>
    </row>
    <row r="5314" spans="1:19" hidden="1" x14ac:dyDescent="0.25">
      <c r="A5314" s="5" t="str">
        <f t="shared" si="2230"/>
        <v>44137SPX</v>
      </c>
      <c r="B5314" s="6" t="s">
        <v>6</v>
      </c>
      <c r="C5314" s="6">
        <v>3224</v>
      </c>
      <c r="D5314" s="6">
        <v>3383</v>
      </c>
      <c r="E5314" s="6">
        <v>3269</v>
      </c>
      <c r="F5314" t="str">
        <f t="shared" si="2242"/>
        <v>MON</v>
      </c>
      <c r="G5314" s="1">
        <f t="shared" si="2243"/>
        <v>44137</v>
      </c>
      <c r="H5314" s="2">
        <f t="shared" ca="1" si="2244"/>
        <v>116</v>
      </c>
      <c r="I5314" t="str">
        <f t="shared" si="2245"/>
        <v>SPX</v>
      </c>
      <c r="J5314">
        <f t="shared" si="2246"/>
        <v>3224</v>
      </c>
      <c r="K5314">
        <f t="shared" si="2247"/>
        <v>3383</v>
      </c>
      <c r="L5314">
        <f t="shared" si="2248"/>
        <v>3303.5</v>
      </c>
      <c r="M5314">
        <f t="shared" si="2249"/>
        <v>79.5</v>
      </c>
      <c r="N5314">
        <f t="shared" si="2224"/>
        <v>159</v>
      </c>
      <c r="O5314">
        <f t="shared" si="2250"/>
        <v>3269</v>
      </c>
      <c r="P5314">
        <f t="shared" si="2251"/>
        <v>-0.43396226415094341</v>
      </c>
      <c r="Q5314" t="str">
        <f t="shared" si="2227"/>
        <v>1.38% | 3.49%</v>
      </c>
      <c r="R5314" t="str">
        <f t="shared" si="2252"/>
        <v>BEARISH</v>
      </c>
      <c r="S5314">
        <f t="shared" si="2229"/>
        <v>-1</v>
      </c>
    </row>
    <row r="5315" spans="1:19" hidden="1" x14ac:dyDescent="0.25">
      <c r="A5315" s="5" t="str">
        <f t="shared" si="2230"/>
        <v>44137RUT</v>
      </c>
      <c r="B5315" s="6" t="s">
        <v>7</v>
      </c>
      <c r="C5315" s="6">
        <v>1520</v>
      </c>
      <c r="D5315" s="6">
        <v>1578</v>
      </c>
      <c r="E5315" s="6">
        <v>1538</v>
      </c>
      <c r="F5315" t="str">
        <f t="shared" si="2242"/>
        <v>MON</v>
      </c>
      <c r="G5315" s="1">
        <f t="shared" si="2243"/>
        <v>44137</v>
      </c>
      <c r="H5315" s="2">
        <f t="shared" ca="1" si="2244"/>
        <v>116</v>
      </c>
      <c r="I5315" t="str">
        <f t="shared" si="2245"/>
        <v>RUT</v>
      </c>
      <c r="J5315">
        <f t="shared" si="2246"/>
        <v>1520</v>
      </c>
      <c r="K5315">
        <f t="shared" si="2247"/>
        <v>1578</v>
      </c>
      <c r="L5315">
        <f t="shared" si="2248"/>
        <v>1549</v>
      </c>
      <c r="M5315">
        <f t="shared" si="2249"/>
        <v>29</v>
      </c>
      <c r="N5315">
        <f t="shared" ref="N5315:N5378" si="2253">ABS(K5315-J5315)</f>
        <v>58</v>
      </c>
      <c r="O5315">
        <f t="shared" si="2250"/>
        <v>1538</v>
      </c>
      <c r="P5315">
        <f t="shared" si="2251"/>
        <v>-0.37931034482758619</v>
      </c>
      <c r="Q5315" t="str">
        <f t="shared" ref="Q5315:Q5378" si="2254">ROUND(ABS(100*(O5315-J5315)/O5315),2)&amp;"% | "&amp;ROUND(ABS(100*(K5315-O5315)/O5315),2)&amp;"%"</f>
        <v>1.17% | 2.6%</v>
      </c>
      <c r="R5315" t="str">
        <f t="shared" si="2252"/>
        <v>BEARISH</v>
      </c>
      <c r="S5315">
        <f t="shared" ref="S5315:S5378" si="2255">IF(R5315="BEARISH",-1,IF(R5315="NEUTRAL",0,IF(R5315="BULLISH",1,99)))</f>
        <v>-1</v>
      </c>
    </row>
    <row r="5316" spans="1:19" hidden="1" x14ac:dyDescent="0.25">
      <c r="A5316" s="5" t="str">
        <f t="shared" si="2230"/>
        <v>44137COMPQ</v>
      </c>
      <c r="B5316" s="6" t="s">
        <v>61</v>
      </c>
      <c r="C5316" s="6">
        <v>10801</v>
      </c>
      <c r="D5316" s="6">
        <v>11326</v>
      </c>
      <c r="E5316" s="6">
        <v>10911</v>
      </c>
      <c r="F5316" t="str">
        <f t="shared" si="2242"/>
        <v>MON</v>
      </c>
      <c r="G5316" s="1">
        <f t="shared" si="2243"/>
        <v>44137</v>
      </c>
      <c r="H5316" s="2">
        <f t="shared" ca="1" si="2244"/>
        <v>116</v>
      </c>
      <c r="I5316" t="str">
        <f t="shared" si="2245"/>
        <v>COMPQ</v>
      </c>
      <c r="J5316">
        <f t="shared" si="2246"/>
        <v>10801</v>
      </c>
      <c r="K5316">
        <f t="shared" si="2247"/>
        <v>11326</v>
      </c>
      <c r="L5316">
        <f t="shared" si="2248"/>
        <v>11063.5</v>
      </c>
      <c r="M5316">
        <f t="shared" si="2249"/>
        <v>262.5</v>
      </c>
      <c r="N5316">
        <f t="shared" si="2253"/>
        <v>525</v>
      </c>
      <c r="O5316">
        <f t="shared" si="2250"/>
        <v>10911</v>
      </c>
      <c r="P5316">
        <f t="shared" si="2251"/>
        <v>-0.580952380952381</v>
      </c>
      <c r="Q5316" t="str">
        <f t="shared" si="2254"/>
        <v>1.01% | 3.8%</v>
      </c>
      <c r="R5316" t="str">
        <f t="shared" si="2252"/>
        <v>NEUTRAL</v>
      </c>
      <c r="S5316">
        <f t="shared" si="2255"/>
        <v>0</v>
      </c>
    </row>
    <row r="5317" spans="1:19" hidden="1" x14ac:dyDescent="0.25">
      <c r="A5317" s="5" t="str">
        <f t="shared" si="2230"/>
        <v>44137XLK</v>
      </c>
      <c r="B5317" s="6" t="s">
        <v>65</v>
      </c>
      <c r="C5317" s="6">
        <v>109.33</v>
      </c>
      <c r="D5317" s="6">
        <v>116.9</v>
      </c>
      <c r="E5317" s="6">
        <v>110.86</v>
      </c>
      <c r="F5317" t="str">
        <f t="shared" si="2242"/>
        <v>MON</v>
      </c>
      <c r="G5317" s="1">
        <f t="shared" si="2243"/>
        <v>44137</v>
      </c>
      <c r="H5317" s="2">
        <f t="shared" ca="1" si="2244"/>
        <v>116</v>
      </c>
      <c r="I5317" t="str">
        <f t="shared" si="2245"/>
        <v>XLK</v>
      </c>
      <c r="J5317">
        <f t="shared" si="2246"/>
        <v>109.33</v>
      </c>
      <c r="K5317">
        <f t="shared" si="2247"/>
        <v>116.9</v>
      </c>
      <c r="L5317">
        <f t="shared" si="2248"/>
        <v>113.11500000000001</v>
      </c>
      <c r="M5317">
        <f t="shared" si="2249"/>
        <v>3.7850000000000037</v>
      </c>
      <c r="N5317">
        <f t="shared" si="2253"/>
        <v>7.5700000000000074</v>
      </c>
      <c r="O5317">
        <f t="shared" si="2250"/>
        <v>110.86</v>
      </c>
      <c r="P5317">
        <f t="shared" si="2251"/>
        <v>-0.59577278731836392</v>
      </c>
      <c r="Q5317" t="str">
        <f t="shared" si="2254"/>
        <v>1.38% | 5.45%</v>
      </c>
      <c r="R5317" t="str">
        <f t="shared" si="2252"/>
        <v>BEARISH</v>
      </c>
      <c r="S5317">
        <f t="shared" si="2255"/>
        <v>-1</v>
      </c>
    </row>
    <row r="5318" spans="1:19" hidden="1" x14ac:dyDescent="0.25">
      <c r="A5318" s="5" t="str">
        <f t="shared" si="2230"/>
        <v>44137XLRE</v>
      </c>
      <c r="B5318" s="6" t="s">
        <v>243</v>
      </c>
      <c r="C5318" s="6">
        <v>33.18</v>
      </c>
      <c r="D5318" s="6">
        <v>35.44</v>
      </c>
      <c r="E5318" s="6">
        <v>34.15</v>
      </c>
      <c r="F5318" t="str">
        <f t="shared" si="2242"/>
        <v>MON</v>
      </c>
      <c r="G5318" s="1">
        <f t="shared" si="2243"/>
        <v>44137</v>
      </c>
      <c r="H5318" s="2">
        <f t="shared" ca="1" si="2244"/>
        <v>116</v>
      </c>
      <c r="I5318" t="str">
        <f t="shared" si="2245"/>
        <v>XLRE</v>
      </c>
      <c r="J5318">
        <f t="shared" si="2246"/>
        <v>33.18</v>
      </c>
      <c r="K5318">
        <f t="shared" si="2247"/>
        <v>35.44</v>
      </c>
      <c r="L5318">
        <f t="shared" si="2248"/>
        <v>34.31</v>
      </c>
      <c r="M5318">
        <f t="shared" si="2249"/>
        <v>1.129999999999999</v>
      </c>
      <c r="N5318">
        <f t="shared" si="2253"/>
        <v>2.259999999999998</v>
      </c>
      <c r="O5318">
        <f t="shared" si="2250"/>
        <v>34.15</v>
      </c>
      <c r="P5318">
        <f t="shared" si="2251"/>
        <v>-0.14159292035398569</v>
      </c>
      <c r="Q5318" t="str">
        <f t="shared" si="2254"/>
        <v>2.84% | 3.78%</v>
      </c>
      <c r="R5318" t="str">
        <f t="shared" si="2252"/>
        <v>BEARISH</v>
      </c>
      <c r="S5318">
        <f t="shared" si="2255"/>
        <v>-1</v>
      </c>
    </row>
    <row r="5319" spans="1:19" hidden="1" x14ac:dyDescent="0.25">
      <c r="A5319" s="5" t="str">
        <f t="shared" ref="A5319:A5382" si="2256">G5319&amp;I5319</f>
        <v>44137XLU</v>
      </c>
      <c r="B5319" s="6" t="s">
        <v>52</v>
      </c>
      <c r="C5319" s="6">
        <v>62.01</v>
      </c>
      <c r="D5319" s="6">
        <v>65.540000000000006</v>
      </c>
      <c r="E5319" s="6">
        <v>62.38</v>
      </c>
      <c r="F5319" t="str">
        <f t="shared" si="2242"/>
        <v>MON</v>
      </c>
      <c r="G5319" s="1">
        <f t="shared" si="2243"/>
        <v>44137</v>
      </c>
      <c r="H5319" s="2">
        <f t="shared" ca="1" si="2244"/>
        <v>116</v>
      </c>
      <c r="I5319" t="str">
        <f t="shared" si="2245"/>
        <v>XLU</v>
      </c>
      <c r="J5319">
        <f t="shared" si="2246"/>
        <v>62.01</v>
      </c>
      <c r="K5319">
        <f t="shared" si="2247"/>
        <v>65.540000000000006</v>
      </c>
      <c r="L5319">
        <f t="shared" si="2248"/>
        <v>63.775000000000006</v>
      </c>
      <c r="M5319">
        <f t="shared" si="2249"/>
        <v>1.7650000000000041</v>
      </c>
      <c r="N5319">
        <f t="shared" si="2253"/>
        <v>3.5300000000000082</v>
      </c>
      <c r="O5319">
        <f t="shared" si="2250"/>
        <v>62.38</v>
      </c>
      <c r="P5319">
        <f t="shared" si="2251"/>
        <v>-0.79036827195467418</v>
      </c>
      <c r="Q5319" t="str">
        <f t="shared" si="2254"/>
        <v>0.59% | 5.07%</v>
      </c>
      <c r="R5319" t="str">
        <f t="shared" si="2252"/>
        <v>BULLISH</v>
      </c>
      <c r="S5319">
        <f t="shared" si="2255"/>
        <v>1</v>
      </c>
    </row>
    <row r="5320" spans="1:19" hidden="1" x14ac:dyDescent="0.25">
      <c r="A5320" s="5" t="str">
        <f t="shared" si="2256"/>
        <v>44137XLF</v>
      </c>
      <c r="B5320" s="6" t="s">
        <v>12</v>
      </c>
      <c r="C5320" s="6">
        <v>23.21</v>
      </c>
      <c r="D5320" s="6">
        <v>24.55</v>
      </c>
      <c r="E5320" s="6">
        <v>23.86</v>
      </c>
      <c r="F5320" t="str">
        <f t="shared" si="2242"/>
        <v>MON</v>
      </c>
      <c r="G5320" s="1">
        <f t="shared" si="2243"/>
        <v>44137</v>
      </c>
      <c r="H5320" s="2">
        <f t="shared" ca="1" si="2244"/>
        <v>116</v>
      </c>
      <c r="I5320" t="str">
        <f t="shared" si="2245"/>
        <v>XLF</v>
      </c>
      <c r="J5320">
        <f t="shared" si="2246"/>
        <v>23.21</v>
      </c>
      <c r="K5320">
        <f t="shared" si="2247"/>
        <v>24.55</v>
      </c>
      <c r="L5320">
        <f t="shared" si="2248"/>
        <v>23.880000000000003</v>
      </c>
      <c r="M5320">
        <f t="shared" si="2249"/>
        <v>0.66999999999999993</v>
      </c>
      <c r="N5320">
        <f t="shared" si="2253"/>
        <v>1.3399999999999999</v>
      </c>
      <c r="O5320">
        <f t="shared" si="2250"/>
        <v>23.86</v>
      </c>
      <c r="P5320">
        <f t="shared" si="2251"/>
        <v>-2.9850746268661386E-2</v>
      </c>
      <c r="Q5320" t="str">
        <f t="shared" si="2254"/>
        <v>2.72% | 2.89%</v>
      </c>
      <c r="R5320" t="str">
        <f t="shared" si="2252"/>
        <v>BEARISH</v>
      </c>
      <c r="S5320">
        <f t="shared" si="2255"/>
        <v>-1</v>
      </c>
    </row>
    <row r="5321" spans="1:19" hidden="1" x14ac:dyDescent="0.25">
      <c r="A5321" s="5" t="str">
        <f t="shared" si="2256"/>
        <v>44137SSEC</v>
      </c>
      <c r="B5321" s="6" t="s">
        <v>104</v>
      </c>
      <c r="C5321" s="6">
        <v>3210</v>
      </c>
      <c r="D5321" s="6">
        <v>3348</v>
      </c>
      <c r="E5321" s="6">
        <v>3225</v>
      </c>
      <c r="F5321" t="str">
        <f t="shared" si="2242"/>
        <v>MON</v>
      </c>
      <c r="G5321" s="1">
        <f t="shared" si="2243"/>
        <v>44137</v>
      </c>
      <c r="H5321" s="2">
        <f t="shared" ca="1" si="2244"/>
        <v>116</v>
      </c>
      <c r="I5321" t="str">
        <f t="shared" si="2245"/>
        <v>SSEC</v>
      </c>
      <c r="J5321">
        <f t="shared" si="2246"/>
        <v>3210</v>
      </c>
      <c r="K5321">
        <f t="shared" si="2247"/>
        <v>3348</v>
      </c>
      <c r="L5321">
        <f t="shared" si="2248"/>
        <v>3279</v>
      </c>
      <c r="M5321">
        <f t="shared" si="2249"/>
        <v>69</v>
      </c>
      <c r="N5321">
        <f t="shared" si="2253"/>
        <v>138</v>
      </c>
      <c r="O5321">
        <f t="shared" si="2250"/>
        <v>3225</v>
      </c>
      <c r="P5321">
        <f t="shared" si="2251"/>
        <v>-0.78260869565217395</v>
      </c>
      <c r="Q5321" t="str">
        <f t="shared" si="2254"/>
        <v>0.47% | 3.81%</v>
      </c>
      <c r="R5321" t="str">
        <f t="shared" si="2252"/>
        <v>BULLISH</v>
      </c>
      <c r="S5321">
        <f t="shared" si="2255"/>
        <v>1</v>
      </c>
    </row>
    <row r="5322" spans="1:19" hidden="1" x14ac:dyDescent="0.25">
      <c r="A5322" s="5" t="str">
        <f t="shared" si="2256"/>
        <v>44137NIKK</v>
      </c>
      <c r="B5322" s="6" t="s">
        <v>91</v>
      </c>
      <c r="C5322" s="6">
        <v>22967</v>
      </c>
      <c r="D5322" s="6">
        <v>23695</v>
      </c>
      <c r="E5322" s="6">
        <v>23295</v>
      </c>
      <c r="F5322" t="str">
        <f t="shared" si="2242"/>
        <v>MON</v>
      </c>
      <c r="G5322" s="1">
        <f t="shared" si="2243"/>
        <v>44137</v>
      </c>
      <c r="H5322" s="2">
        <f t="shared" ca="1" si="2244"/>
        <v>116</v>
      </c>
      <c r="I5322" t="str">
        <f t="shared" si="2245"/>
        <v>NIKK</v>
      </c>
      <c r="J5322">
        <f t="shared" si="2246"/>
        <v>22967</v>
      </c>
      <c r="K5322">
        <f t="shared" si="2247"/>
        <v>23695</v>
      </c>
      <c r="L5322">
        <f t="shared" si="2248"/>
        <v>23331</v>
      </c>
      <c r="M5322">
        <f t="shared" si="2249"/>
        <v>364</v>
      </c>
      <c r="N5322">
        <f t="shared" si="2253"/>
        <v>728</v>
      </c>
      <c r="O5322">
        <f t="shared" si="2250"/>
        <v>23295</v>
      </c>
      <c r="P5322">
        <f t="shared" si="2251"/>
        <v>-9.8901098901098897E-2</v>
      </c>
      <c r="Q5322" t="str">
        <f t="shared" si="2254"/>
        <v>1.41% | 1.72%</v>
      </c>
      <c r="R5322" t="str">
        <f t="shared" si="2252"/>
        <v>BULLISH</v>
      </c>
      <c r="S5322">
        <f t="shared" si="2255"/>
        <v>1</v>
      </c>
    </row>
    <row r="5323" spans="1:19" hidden="1" x14ac:dyDescent="0.25">
      <c r="A5323" s="5" t="str">
        <f t="shared" si="2256"/>
        <v>44137DAX</v>
      </c>
      <c r="B5323" s="6" t="s">
        <v>16</v>
      </c>
      <c r="C5323" s="6">
        <v>11205</v>
      </c>
      <c r="D5323" s="6">
        <v>12169</v>
      </c>
      <c r="E5323" s="6">
        <v>11556</v>
      </c>
      <c r="F5323" t="str">
        <f t="shared" si="2242"/>
        <v>MON</v>
      </c>
      <c r="G5323" s="1">
        <f t="shared" si="2243"/>
        <v>44137</v>
      </c>
      <c r="H5323" s="2">
        <f t="shared" ca="1" si="2244"/>
        <v>116</v>
      </c>
      <c r="I5323" t="str">
        <f t="shared" si="2245"/>
        <v>DAX</v>
      </c>
      <c r="J5323">
        <f t="shared" si="2246"/>
        <v>11205</v>
      </c>
      <c r="K5323">
        <f t="shared" si="2247"/>
        <v>12169</v>
      </c>
      <c r="L5323">
        <f t="shared" si="2248"/>
        <v>11687</v>
      </c>
      <c r="M5323">
        <f t="shared" si="2249"/>
        <v>482</v>
      </c>
      <c r="N5323">
        <f t="shared" si="2253"/>
        <v>964</v>
      </c>
      <c r="O5323">
        <f t="shared" si="2250"/>
        <v>11556</v>
      </c>
      <c r="P5323">
        <f t="shared" si="2251"/>
        <v>-0.27178423236514521</v>
      </c>
      <c r="Q5323" t="str">
        <f t="shared" si="2254"/>
        <v>3.04% | 5.3%</v>
      </c>
      <c r="R5323" t="str">
        <f t="shared" si="2252"/>
        <v>BEARISH</v>
      </c>
      <c r="S5323">
        <f t="shared" si="2255"/>
        <v>-1</v>
      </c>
    </row>
    <row r="5324" spans="1:19" hidden="1" x14ac:dyDescent="0.25">
      <c r="A5324" s="5" t="str">
        <f t="shared" si="2256"/>
        <v>44137VIX</v>
      </c>
      <c r="B5324" s="6" t="s">
        <v>17</v>
      </c>
      <c r="C5324" s="6">
        <v>28.47</v>
      </c>
      <c r="D5324" s="6">
        <v>42.89</v>
      </c>
      <c r="E5324" s="6">
        <v>38.020000000000003</v>
      </c>
      <c r="F5324" t="str">
        <f t="shared" si="2242"/>
        <v>MON</v>
      </c>
      <c r="G5324" s="1">
        <f t="shared" si="2243"/>
        <v>44137</v>
      </c>
      <c r="H5324" s="2">
        <f t="shared" ca="1" si="2244"/>
        <v>116</v>
      </c>
      <c r="I5324" t="str">
        <f t="shared" si="2245"/>
        <v>VIX</v>
      </c>
      <c r="J5324">
        <f t="shared" si="2246"/>
        <v>28.47</v>
      </c>
      <c r="K5324">
        <f t="shared" si="2247"/>
        <v>42.89</v>
      </c>
      <c r="L5324">
        <f t="shared" si="2248"/>
        <v>35.68</v>
      </c>
      <c r="M5324">
        <f t="shared" si="2249"/>
        <v>7.2099999999999929</v>
      </c>
      <c r="N5324">
        <f t="shared" si="2253"/>
        <v>14.420000000000002</v>
      </c>
      <c r="O5324">
        <f t="shared" si="2250"/>
        <v>38.020000000000003</v>
      </c>
      <c r="P5324">
        <f t="shared" si="2251"/>
        <v>0.32454923717059719</v>
      </c>
      <c r="Q5324" t="str">
        <f t="shared" si="2254"/>
        <v>25.12% | 12.81%</v>
      </c>
      <c r="R5324" t="str">
        <f t="shared" si="2252"/>
        <v>BULLISH</v>
      </c>
      <c r="S5324">
        <f t="shared" si="2255"/>
        <v>1</v>
      </c>
    </row>
    <row r="5325" spans="1:19" hidden="1" x14ac:dyDescent="0.25">
      <c r="A5325" s="5" t="str">
        <f t="shared" si="2256"/>
        <v>44137USD</v>
      </c>
      <c r="B5325" s="6" t="s">
        <v>94</v>
      </c>
      <c r="C5325" s="6">
        <v>92.2</v>
      </c>
      <c r="D5325" s="6">
        <v>94.15</v>
      </c>
      <c r="E5325" s="6">
        <v>94.04</v>
      </c>
      <c r="F5325" t="str">
        <f t="shared" si="2242"/>
        <v>MON</v>
      </c>
      <c r="G5325" s="1">
        <f t="shared" si="2243"/>
        <v>44137</v>
      </c>
      <c r="H5325" s="2">
        <f t="shared" ca="1" si="2244"/>
        <v>116</v>
      </c>
      <c r="I5325" t="str">
        <f t="shared" si="2245"/>
        <v>USD</v>
      </c>
      <c r="J5325">
        <f t="shared" si="2246"/>
        <v>92.2</v>
      </c>
      <c r="K5325">
        <f t="shared" si="2247"/>
        <v>94.15</v>
      </c>
      <c r="L5325">
        <f t="shared" si="2248"/>
        <v>93.175000000000011</v>
      </c>
      <c r="M5325">
        <f t="shared" si="2249"/>
        <v>0.97500000000000142</v>
      </c>
      <c r="N5325">
        <f t="shared" si="2253"/>
        <v>1.9500000000000028</v>
      </c>
      <c r="O5325">
        <f t="shared" si="2250"/>
        <v>94.04</v>
      </c>
      <c r="P5325">
        <f t="shared" si="2251"/>
        <v>0.88717948717948059</v>
      </c>
      <c r="Q5325" t="str">
        <f t="shared" si="2254"/>
        <v>1.96% | 0.12%</v>
      </c>
      <c r="R5325" t="str">
        <f t="shared" si="2252"/>
        <v>BEARISH</v>
      </c>
      <c r="S5325">
        <f t="shared" si="2255"/>
        <v>-1</v>
      </c>
    </row>
    <row r="5326" spans="1:19" hidden="1" x14ac:dyDescent="0.25">
      <c r="A5326" s="5" t="str">
        <f t="shared" si="2256"/>
        <v>44137EUR/USD</v>
      </c>
      <c r="B5326" s="6" t="s">
        <v>99</v>
      </c>
      <c r="C5326" s="6">
        <v>1.163</v>
      </c>
      <c r="D5326" s="6">
        <v>1.1919999999999999</v>
      </c>
      <c r="E5326" s="6">
        <v>1.165</v>
      </c>
      <c r="F5326" t="str">
        <f t="shared" si="2242"/>
        <v>MON</v>
      </c>
      <c r="G5326" s="1">
        <f t="shared" si="2243"/>
        <v>44137</v>
      </c>
      <c r="H5326" s="2">
        <f t="shared" ca="1" si="2244"/>
        <v>116</v>
      </c>
      <c r="I5326" t="str">
        <f t="shared" si="2245"/>
        <v>EUR/USD</v>
      </c>
      <c r="J5326">
        <f t="shared" si="2246"/>
        <v>1.163</v>
      </c>
      <c r="K5326">
        <f t="shared" si="2247"/>
        <v>1.1919999999999999</v>
      </c>
      <c r="L5326">
        <f t="shared" si="2248"/>
        <v>1.1775</v>
      </c>
      <c r="M5326">
        <f t="shared" si="2249"/>
        <v>1.4499999999999957E-2</v>
      </c>
      <c r="N5326">
        <f t="shared" si="2253"/>
        <v>2.8999999999999915E-2</v>
      </c>
      <c r="O5326">
        <f t="shared" si="2250"/>
        <v>1.165</v>
      </c>
      <c r="P5326">
        <f t="shared" si="2251"/>
        <v>-0.86206896551724088</v>
      </c>
      <c r="Q5326" t="str">
        <f t="shared" si="2254"/>
        <v>0.17% | 2.32%</v>
      </c>
      <c r="R5326" t="str">
        <f t="shared" si="2252"/>
        <v>BULLISH</v>
      </c>
      <c r="S5326">
        <f t="shared" si="2255"/>
        <v>1</v>
      </c>
    </row>
    <row r="5327" spans="1:19" hidden="1" x14ac:dyDescent="0.25">
      <c r="A5327" s="5" t="str">
        <f t="shared" si="2256"/>
        <v>44137USD/JPY</v>
      </c>
      <c r="B5327" s="6" t="s">
        <v>20</v>
      </c>
      <c r="C5327" s="6">
        <v>104.01</v>
      </c>
      <c r="D5327" s="6">
        <v>105.19</v>
      </c>
      <c r="E5327" s="6">
        <v>104.68</v>
      </c>
      <c r="F5327" t="str">
        <f t="shared" si="2242"/>
        <v>MON</v>
      </c>
      <c r="G5327" s="1">
        <f t="shared" si="2243"/>
        <v>44137</v>
      </c>
      <c r="H5327" s="2">
        <f t="shared" ca="1" si="2244"/>
        <v>116</v>
      </c>
      <c r="I5327" t="str">
        <f t="shared" si="2245"/>
        <v>USD/JPY</v>
      </c>
      <c r="J5327">
        <f t="shared" si="2246"/>
        <v>104.01</v>
      </c>
      <c r="K5327">
        <f t="shared" si="2247"/>
        <v>105.19</v>
      </c>
      <c r="L5327">
        <f t="shared" si="2248"/>
        <v>104.6</v>
      </c>
      <c r="M5327">
        <f t="shared" si="2249"/>
        <v>0.58999999999999631</v>
      </c>
      <c r="N5327">
        <f t="shared" si="2253"/>
        <v>1.1799999999999926</v>
      </c>
      <c r="O5327">
        <f t="shared" si="2250"/>
        <v>104.68</v>
      </c>
      <c r="P5327">
        <f t="shared" si="2251"/>
        <v>0.13559322033900509</v>
      </c>
      <c r="Q5327" t="str">
        <f t="shared" si="2254"/>
        <v>0.64% | 0.49%</v>
      </c>
      <c r="R5327" t="str">
        <f t="shared" si="2252"/>
        <v>BEARISH</v>
      </c>
      <c r="S5327">
        <f t="shared" si="2255"/>
        <v>-1</v>
      </c>
    </row>
    <row r="5328" spans="1:19" hidden="1" x14ac:dyDescent="0.25">
      <c r="A5328" s="5" t="str">
        <f t="shared" si="2256"/>
        <v>44137GBP/USD</v>
      </c>
      <c r="B5328" s="6" t="s">
        <v>102</v>
      </c>
      <c r="C5328" s="6">
        <v>1.29</v>
      </c>
      <c r="D5328" s="6">
        <v>1.32</v>
      </c>
      <c r="E5328" s="6">
        <v>1.29</v>
      </c>
      <c r="F5328" t="str">
        <f t="shared" si="2242"/>
        <v>MON</v>
      </c>
      <c r="G5328" s="1">
        <f t="shared" si="2243"/>
        <v>44137</v>
      </c>
      <c r="H5328" s="2">
        <f t="shared" ca="1" si="2244"/>
        <v>116</v>
      </c>
      <c r="I5328" t="str">
        <f t="shared" si="2245"/>
        <v>GBP/USD</v>
      </c>
      <c r="J5328">
        <f t="shared" si="2246"/>
        <v>1.29</v>
      </c>
      <c r="K5328">
        <f t="shared" si="2247"/>
        <v>1.32</v>
      </c>
      <c r="L5328">
        <f t="shared" si="2248"/>
        <v>1.3050000000000002</v>
      </c>
      <c r="M5328">
        <f t="shared" si="2249"/>
        <v>1.5000000000000013E-2</v>
      </c>
      <c r="N5328">
        <f t="shared" si="2253"/>
        <v>3.0000000000000027E-2</v>
      </c>
      <c r="O5328">
        <f t="shared" si="2250"/>
        <v>1.29</v>
      </c>
      <c r="P5328">
        <f t="shared" si="2251"/>
        <v>-1.0000000000000073</v>
      </c>
      <c r="Q5328" t="str">
        <f t="shared" si="2254"/>
        <v>0% | 2.33%</v>
      </c>
      <c r="R5328" t="str">
        <f t="shared" si="2252"/>
        <v>BULLISH</v>
      </c>
      <c r="S5328">
        <f t="shared" si="2255"/>
        <v>1</v>
      </c>
    </row>
    <row r="5329" spans="1:19" hidden="1" x14ac:dyDescent="0.25">
      <c r="A5329" s="5" t="str">
        <f t="shared" si="2256"/>
        <v>44137USD/CHF</v>
      </c>
      <c r="B5329" s="6" t="s">
        <v>76</v>
      </c>
      <c r="C5329" s="6">
        <v>0.9</v>
      </c>
      <c r="D5329" s="6">
        <v>0.92</v>
      </c>
      <c r="E5329" s="6">
        <v>0.91</v>
      </c>
      <c r="F5329" t="str">
        <f t="shared" si="2242"/>
        <v>MON</v>
      </c>
      <c r="G5329" s="1">
        <f t="shared" si="2243"/>
        <v>44137</v>
      </c>
      <c r="H5329" s="2">
        <f t="shared" ca="1" si="2244"/>
        <v>116</v>
      </c>
      <c r="I5329" t="str">
        <f t="shared" si="2245"/>
        <v>USD/CHF</v>
      </c>
      <c r="J5329">
        <f t="shared" si="2246"/>
        <v>0.9</v>
      </c>
      <c r="K5329">
        <f t="shared" si="2247"/>
        <v>0.92</v>
      </c>
      <c r="L5329">
        <f t="shared" si="2248"/>
        <v>0.91</v>
      </c>
      <c r="M5329">
        <f t="shared" si="2249"/>
        <v>1.0000000000000009E-2</v>
      </c>
      <c r="N5329">
        <f t="shared" si="2253"/>
        <v>2.0000000000000018E-2</v>
      </c>
      <c r="O5329">
        <f t="shared" si="2250"/>
        <v>0.91</v>
      </c>
      <c r="P5329">
        <f t="shared" si="2251"/>
        <v>0</v>
      </c>
      <c r="Q5329" t="str">
        <f t="shared" si="2254"/>
        <v>1.1% | 1.1%</v>
      </c>
      <c r="R5329" t="str">
        <f t="shared" si="2252"/>
        <v>BEARISH</v>
      </c>
      <c r="S5329">
        <f t="shared" si="2255"/>
        <v>-1</v>
      </c>
    </row>
    <row r="5330" spans="1:19" hidden="1" x14ac:dyDescent="0.25">
      <c r="A5330" s="5" t="str">
        <f t="shared" si="2256"/>
        <v>44137WTIC</v>
      </c>
      <c r="B5330" s="6" t="s">
        <v>23</v>
      </c>
      <c r="C5330" s="6">
        <v>34.89</v>
      </c>
      <c r="D5330" s="6">
        <v>39.43</v>
      </c>
      <c r="E5330" s="6">
        <v>35.79</v>
      </c>
      <c r="F5330" t="str">
        <f t="shared" si="2242"/>
        <v>MON</v>
      </c>
      <c r="G5330" s="1">
        <f t="shared" si="2243"/>
        <v>44137</v>
      </c>
      <c r="H5330" s="2">
        <f t="shared" ca="1" si="2244"/>
        <v>116</v>
      </c>
      <c r="I5330" t="str">
        <f t="shared" si="2245"/>
        <v>WTIC</v>
      </c>
      <c r="J5330">
        <f t="shared" si="2246"/>
        <v>34.89</v>
      </c>
      <c r="K5330">
        <f t="shared" si="2247"/>
        <v>39.43</v>
      </c>
      <c r="L5330">
        <f t="shared" si="2248"/>
        <v>37.159999999999997</v>
      </c>
      <c r="M5330">
        <f t="shared" si="2249"/>
        <v>2.2699999999999996</v>
      </c>
      <c r="N5330">
        <f t="shared" si="2253"/>
        <v>4.5399999999999991</v>
      </c>
      <c r="O5330">
        <f t="shared" si="2250"/>
        <v>35.79</v>
      </c>
      <c r="P5330">
        <f t="shared" si="2251"/>
        <v>-0.6035242290748889</v>
      </c>
      <c r="Q5330" t="str">
        <f t="shared" si="2254"/>
        <v>2.51% | 10.17%</v>
      </c>
      <c r="R5330" t="str">
        <f t="shared" si="2252"/>
        <v>BEARISH</v>
      </c>
      <c r="S5330">
        <f t="shared" si="2255"/>
        <v>-1</v>
      </c>
    </row>
    <row r="5331" spans="1:19" hidden="1" x14ac:dyDescent="0.25">
      <c r="A5331" s="5" t="str">
        <f t="shared" si="2256"/>
        <v>44137NATGAS</v>
      </c>
      <c r="B5331" s="6" t="s">
        <v>89</v>
      </c>
      <c r="C5331" s="6">
        <v>2.82</v>
      </c>
      <c r="D5331" s="6">
        <v>3.48</v>
      </c>
      <c r="E5331" s="6">
        <v>3.35</v>
      </c>
      <c r="F5331" t="str">
        <f t="shared" si="2242"/>
        <v>MON</v>
      </c>
      <c r="G5331" s="1">
        <f t="shared" si="2243"/>
        <v>44137</v>
      </c>
      <c r="H5331" s="2">
        <f t="shared" ca="1" si="2244"/>
        <v>116</v>
      </c>
      <c r="I5331" t="str">
        <f t="shared" si="2245"/>
        <v>NATGAS</v>
      </c>
      <c r="J5331">
        <f t="shared" si="2246"/>
        <v>2.82</v>
      </c>
      <c r="K5331">
        <f t="shared" si="2247"/>
        <v>3.48</v>
      </c>
      <c r="L5331">
        <f t="shared" si="2248"/>
        <v>3.15</v>
      </c>
      <c r="M5331">
        <f t="shared" si="2249"/>
        <v>0.33000000000000035</v>
      </c>
      <c r="N5331">
        <f t="shared" si="2253"/>
        <v>0.66000000000000014</v>
      </c>
      <c r="O5331">
        <f t="shared" si="2250"/>
        <v>3.35</v>
      </c>
      <c r="P5331">
        <f t="shared" si="2251"/>
        <v>0.60606060606060597</v>
      </c>
      <c r="Q5331" t="str">
        <f t="shared" si="2254"/>
        <v>15.82% | 3.88%</v>
      </c>
      <c r="R5331" t="str">
        <f t="shared" si="2252"/>
        <v>BULLISH</v>
      </c>
      <c r="S5331">
        <f t="shared" si="2255"/>
        <v>1</v>
      </c>
    </row>
    <row r="5332" spans="1:19" hidden="1" x14ac:dyDescent="0.25">
      <c r="A5332" s="5" t="str">
        <f t="shared" si="2256"/>
        <v>44137GOLD</v>
      </c>
      <c r="B5332" s="6" t="s">
        <v>25</v>
      </c>
      <c r="C5332" s="6">
        <v>1860</v>
      </c>
      <c r="D5332" s="6">
        <v>1939</v>
      </c>
      <c r="E5332" s="6">
        <v>1879</v>
      </c>
      <c r="F5332" t="str">
        <f t="shared" si="2242"/>
        <v>MON</v>
      </c>
      <c r="G5332" s="1">
        <f t="shared" si="2243"/>
        <v>44137</v>
      </c>
      <c r="H5332" s="2">
        <f t="shared" ca="1" si="2244"/>
        <v>116</v>
      </c>
      <c r="I5332" t="str">
        <f t="shared" si="2245"/>
        <v>GOLD</v>
      </c>
      <c r="J5332">
        <f t="shared" si="2246"/>
        <v>1860</v>
      </c>
      <c r="K5332">
        <f t="shared" si="2247"/>
        <v>1939</v>
      </c>
      <c r="L5332">
        <f t="shared" si="2248"/>
        <v>1899.5</v>
      </c>
      <c r="M5332">
        <f t="shared" si="2249"/>
        <v>39.5</v>
      </c>
      <c r="N5332">
        <f t="shared" si="2253"/>
        <v>79</v>
      </c>
      <c r="O5332">
        <f t="shared" si="2250"/>
        <v>1879</v>
      </c>
      <c r="P5332">
        <f t="shared" si="2251"/>
        <v>-0.51898734177215189</v>
      </c>
      <c r="Q5332" t="str">
        <f t="shared" si="2254"/>
        <v>1.01% | 3.19%</v>
      </c>
      <c r="R5332" t="str">
        <f t="shared" si="2252"/>
        <v>BULLISH</v>
      </c>
      <c r="S5332">
        <f t="shared" si="2255"/>
        <v>1</v>
      </c>
    </row>
    <row r="5333" spans="1:19" hidden="1" x14ac:dyDescent="0.25">
      <c r="A5333" s="5" t="str">
        <f t="shared" si="2256"/>
        <v>44137SILVER</v>
      </c>
      <c r="B5333" s="6" t="s">
        <v>241</v>
      </c>
      <c r="C5333" s="6">
        <v>23</v>
      </c>
      <c r="D5333" s="6">
        <v>25.69</v>
      </c>
      <c r="E5333" s="6">
        <v>23.65</v>
      </c>
      <c r="F5333" t="str">
        <f t="shared" si="2242"/>
        <v>MON</v>
      </c>
      <c r="G5333" s="1">
        <f t="shared" si="2243"/>
        <v>44137</v>
      </c>
      <c r="H5333" s="2">
        <f t="shared" ca="1" si="2244"/>
        <v>116</v>
      </c>
      <c r="I5333" t="str">
        <f t="shared" si="2245"/>
        <v>SILVER</v>
      </c>
      <c r="J5333">
        <f t="shared" si="2246"/>
        <v>23</v>
      </c>
      <c r="K5333">
        <f t="shared" si="2247"/>
        <v>25.69</v>
      </c>
      <c r="L5333">
        <f t="shared" si="2248"/>
        <v>24.344999999999999</v>
      </c>
      <c r="M5333">
        <f t="shared" si="2249"/>
        <v>1.3450000000000006</v>
      </c>
      <c r="N5333">
        <f t="shared" si="2253"/>
        <v>2.6900000000000013</v>
      </c>
      <c r="O5333">
        <f t="shared" si="2250"/>
        <v>23.65</v>
      </c>
      <c r="P5333">
        <f t="shared" si="2251"/>
        <v>-0.51672862453531598</v>
      </c>
      <c r="Q5333" t="str">
        <f t="shared" si="2254"/>
        <v>2.75% | 8.63%</v>
      </c>
      <c r="R5333" t="str">
        <f t="shared" si="2252"/>
        <v>NEUTRAL</v>
      </c>
      <c r="S5333">
        <f t="shared" si="2255"/>
        <v>0</v>
      </c>
    </row>
    <row r="5334" spans="1:19" hidden="1" x14ac:dyDescent="0.25">
      <c r="A5334" s="5" t="str">
        <f t="shared" si="2256"/>
        <v>44137COPPER</v>
      </c>
      <c r="B5334" s="6" t="s">
        <v>100</v>
      </c>
      <c r="C5334" s="6">
        <v>3.01</v>
      </c>
      <c r="D5334" s="6">
        <v>3.21</v>
      </c>
      <c r="E5334" s="6">
        <v>3.05</v>
      </c>
      <c r="F5334" t="str">
        <f t="shared" si="2242"/>
        <v>MON</v>
      </c>
      <c r="G5334" s="1">
        <f t="shared" si="2243"/>
        <v>44137</v>
      </c>
      <c r="H5334" s="2">
        <f t="shared" ca="1" si="2244"/>
        <v>116</v>
      </c>
      <c r="I5334" t="str">
        <f t="shared" si="2245"/>
        <v>COPPER</v>
      </c>
      <c r="J5334">
        <f t="shared" si="2246"/>
        <v>3.01</v>
      </c>
      <c r="K5334">
        <f t="shared" si="2247"/>
        <v>3.21</v>
      </c>
      <c r="L5334">
        <f t="shared" si="2248"/>
        <v>3.11</v>
      </c>
      <c r="M5334">
        <f t="shared" si="2249"/>
        <v>0.10000000000000009</v>
      </c>
      <c r="N5334">
        <f t="shared" si="2253"/>
        <v>0.20000000000000018</v>
      </c>
      <c r="O5334">
        <f t="shared" si="2250"/>
        <v>3.05</v>
      </c>
      <c r="P5334">
        <f t="shared" si="2251"/>
        <v>-0.6</v>
      </c>
      <c r="Q5334" t="str">
        <f t="shared" si="2254"/>
        <v>1.31% | 5.25%</v>
      </c>
      <c r="R5334" t="str">
        <f t="shared" si="2252"/>
        <v>BULLISH</v>
      </c>
      <c r="S5334">
        <f t="shared" si="2255"/>
        <v>1</v>
      </c>
    </row>
    <row r="5335" spans="1:19" hidden="1" x14ac:dyDescent="0.25">
      <c r="A5335" s="5" t="str">
        <f t="shared" si="2256"/>
        <v>44137MSFT</v>
      </c>
      <c r="B5335" s="6" t="s">
        <v>236</v>
      </c>
      <c r="C5335" s="6">
        <v>198</v>
      </c>
      <c r="D5335" s="6">
        <v>211</v>
      </c>
      <c r="E5335" s="6">
        <v>202</v>
      </c>
      <c r="F5335" t="str">
        <f t="shared" si="2242"/>
        <v>MON</v>
      </c>
      <c r="G5335" s="1">
        <f t="shared" si="2243"/>
        <v>44137</v>
      </c>
      <c r="H5335" s="2">
        <f t="shared" ca="1" si="2244"/>
        <v>116</v>
      </c>
      <c r="I5335" t="str">
        <f t="shared" si="2245"/>
        <v>MSFT</v>
      </c>
      <c r="J5335">
        <f t="shared" si="2246"/>
        <v>198</v>
      </c>
      <c r="K5335">
        <f t="shared" si="2247"/>
        <v>211</v>
      </c>
      <c r="L5335">
        <f t="shared" si="2248"/>
        <v>204.5</v>
      </c>
      <c r="M5335">
        <f t="shared" si="2249"/>
        <v>6.5</v>
      </c>
      <c r="N5335">
        <f t="shared" si="2253"/>
        <v>13</v>
      </c>
      <c r="O5335">
        <f t="shared" si="2250"/>
        <v>202</v>
      </c>
      <c r="P5335">
        <f t="shared" si="2251"/>
        <v>-0.38461538461538464</v>
      </c>
      <c r="Q5335" t="str">
        <f t="shared" si="2254"/>
        <v>1.98% | 4.46%</v>
      </c>
      <c r="R5335" t="str">
        <f t="shared" si="2252"/>
        <v>BEARISH</v>
      </c>
      <c r="S5335">
        <f t="shared" si="2255"/>
        <v>-1</v>
      </c>
    </row>
    <row r="5336" spans="1:19" hidden="1" x14ac:dyDescent="0.25">
      <c r="A5336" s="5" t="str">
        <f t="shared" si="2256"/>
        <v>44137AAPL</v>
      </c>
      <c r="B5336" s="6" t="s">
        <v>68</v>
      </c>
      <c r="C5336" s="6">
        <v>106</v>
      </c>
      <c r="D5336" s="6">
        <v>115</v>
      </c>
      <c r="E5336" s="6">
        <v>108</v>
      </c>
      <c r="F5336" t="str">
        <f t="shared" si="2242"/>
        <v>MON</v>
      </c>
      <c r="G5336" s="1">
        <f t="shared" si="2243"/>
        <v>44137</v>
      </c>
      <c r="H5336" s="2">
        <f t="shared" ca="1" si="2244"/>
        <v>116</v>
      </c>
      <c r="I5336" t="str">
        <f t="shared" si="2245"/>
        <v>AAPL</v>
      </c>
      <c r="J5336">
        <f t="shared" si="2246"/>
        <v>106</v>
      </c>
      <c r="K5336">
        <f t="shared" si="2247"/>
        <v>115</v>
      </c>
      <c r="L5336">
        <f t="shared" si="2248"/>
        <v>110.5</v>
      </c>
      <c r="M5336">
        <f t="shared" si="2249"/>
        <v>4.5</v>
      </c>
      <c r="N5336">
        <f t="shared" si="2253"/>
        <v>9</v>
      </c>
      <c r="O5336">
        <f t="shared" si="2250"/>
        <v>108</v>
      </c>
      <c r="P5336">
        <f t="shared" si="2251"/>
        <v>-0.55555555555555558</v>
      </c>
      <c r="Q5336" t="str">
        <f t="shared" si="2254"/>
        <v>1.85% | 6.48%</v>
      </c>
      <c r="R5336" t="str">
        <f t="shared" si="2252"/>
        <v>BEARISH</v>
      </c>
      <c r="S5336">
        <f t="shared" si="2255"/>
        <v>-1</v>
      </c>
    </row>
    <row r="5337" spans="1:19" hidden="1" x14ac:dyDescent="0.25">
      <c r="A5337" s="5" t="str">
        <f t="shared" si="2256"/>
        <v>44137AMZN</v>
      </c>
      <c r="B5337" s="6" t="s">
        <v>69</v>
      </c>
      <c r="C5337" s="6">
        <v>2951</v>
      </c>
      <c r="D5337" s="6">
        <v>3214</v>
      </c>
      <c r="E5337" s="6">
        <v>3036</v>
      </c>
      <c r="F5337" t="str">
        <f t="shared" si="2242"/>
        <v>MON</v>
      </c>
      <c r="G5337" s="1">
        <f t="shared" si="2243"/>
        <v>44137</v>
      </c>
      <c r="H5337" s="2">
        <f t="shared" ca="1" si="2244"/>
        <v>116</v>
      </c>
      <c r="I5337" t="str">
        <f t="shared" si="2245"/>
        <v>AMZN</v>
      </c>
      <c r="J5337">
        <f t="shared" si="2246"/>
        <v>2951</v>
      </c>
      <c r="K5337">
        <f t="shared" si="2247"/>
        <v>3214</v>
      </c>
      <c r="L5337">
        <f t="shared" si="2248"/>
        <v>3082.5</v>
      </c>
      <c r="M5337">
        <f t="shared" si="2249"/>
        <v>131.5</v>
      </c>
      <c r="N5337">
        <f t="shared" si="2253"/>
        <v>263</v>
      </c>
      <c r="O5337">
        <f t="shared" si="2250"/>
        <v>3036</v>
      </c>
      <c r="P5337">
        <f t="shared" si="2251"/>
        <v>-0.35361216730038025</v>
      </c>
      <c r="Q5337" t="str">
        <f t="shared" si="2254"/>
        <v>2.8% | 5.86%</v>
      </c>
      <c r="R5337" t="str">
        <f t="shared" si="2252"/>
        <v>NEUTRAL</v>
      </c>
      <c r="S5337">
        <f t="shared" si="2255"/>
        <v>0</v>
      </c>
    </row>
    <row r="5338" spans="1:19" hidden="1" x14ac:dyDescent="0.25">
      <c r="A5338" s="5" t="str">
        <f t="shared" si="2256"/>
        <v>44137FB</v>
      </c>
      <c r="B5338" s="6" t="s">
        <v>30</v>
      </c>
      <c r="C5338" s="6">
        <v>259</v>
      </c>
      <c r="D5338" s="6">
        <v>290</v>
      </c>
      <c r="E5338" s="6">
        <v>263</v>
      </c>
      <c r="F5338" t="str">
        <f t="shared" si="2242"/>
        <v>MON</v>
      </c>
      <c r="G5338" s="1">
        <f t="shared" si="2243"/>
        <v>44137</v>
      </c>
      <c r="H5338" s="2">
        <f t="shared" ca="1" si="2244"/>
        <v>116</v>
      </c>
      <c r="I5338" t="str">
        <f t="shared" si="2245"/>
        <v>FB</v>
      </c>
      <c r="J5338">
        <f t="shared" si="2246"/>
        <v>259</v>
      </c>
      <c r="K5338">
        <f t="shared" si="2247"/>
        <v>290</v>
      </c>
      <c r="L5338">
        <f t="shared" si="2248"/>
        <v>274.5</v>
      </c>
      <c r="M5338">
        <f t="shared" si="2249"/>
        <v>15.5</v>
      </c>
      <c r="N5338">
        <f t="shared" si="2253"/>
        <v>31</v>
      </c>
      <c r="O5338">
        <f t="shared" si="2250"/>
        <v>263</v>
      </c>
      <c r="P5338">
        <f t="shared" si="2251"/>
        <v>-0.74193548387096775</v>
      </c>
      <c r="Q5338" t="str">
        <f t="shared" si="2254"/>
        <v>1.52% | 10.27%</v>
      </c>
      <c r="R5338" t="str">
        <f t="shared" si="2252"/>
        <v>BULLISH</v>
      </c>
      <c r="S5338">
        <f t="shared" si="2255"/>
        <v>1</v>
      </c>
    </row>
    <row r="5339" spans="1:19" hidden="1" x14ac:dyDescent="0.25">
      <c r="A5339" s="5" t="str">
        <f t="shared" si="2256"/>
        <v>44137GOOGL</v>
      </c>
      <c r="B5339" s="6" t="s">
        <v>31</v>
      </c>
      <c r="C5339" s="6">
        <v>1515</v>
      </c>
      <c r="D5339" s="6">
        <v>1655</v>
      </c>
      <c r="E5339" s="6">
        <v>1616</v>
      </c>
      <c r="F5339" t="str">
        <f t="shared" si="2242"/>
        <v>MON</v>
      </c>
      <c r="G5339" s="1">
        <f t="shared" si="2243"/>
        <v>44137</v>
      </c>
      <c r="H5339" s="2">
        <f t="shared" ca="1" si="2244"/>
        <v>116</v>
      </c>
      <c r="I5339" t="str">
        <f t="shared" si="2245"/>
        <v>GOOGL</v>
      </c>
      <c r="J5339">
        <f t="shared" si="2246"/>
        <v>1515</v>
      </c>
      <c r="K5339">
        <f t="shared" si="2247"/>
        <v>1655</v>
      </c>
      <c r="L5339">
        <f t="shared" si="2248"/>
        <v>1585</v>
      </c>
      <c r="M5339">
        <f t="shared" si="2249"/>
        <v>70</v>
      </c>
      <c r="N5339">
        <f t="shared" si="2253"/>
        <v>140</v>
      </c>
      <c r="O5339">
        <f t="shared" si="2250"/>
        <v>1616</v>
      </c>
      <c r="P5339">
        <f t="shared" si="2251"/>
        <v>0.44285714285714284</v>
      </c>
      <c r="Q5339" t="str">
        <f t="shared" si="2254"/>
        <v>6.25% | 2.41%</v>
      </c>
      <c r="R5339" t="str">
        <f t="shared" si="2252"/>
        <v>BULLISH</v>
      </c>
      <c r="S5339">
        <f t="shared" si="2255"/>
        <v>1</v>
      </c>
    </row>
    <row r="5340" spans="1:19" hidden="1" x14ac:dyDescent="0.25">
      <c r="A5340" s="5" t="str">
        <f t="shared" si="2256"/>
        <v>44137NFLX</v>
      </c>
      <c r="B5340" s="6" t="s">
        <v>81</v>
      </c>
      <c r="C5340" s="6">
        <v>461</v>
      </c>
      <c r="D5340" s="6">
        <v>506</v>
      </c>
      <c r="E5340" s="6">
        <v>475</v>
      </c>
      <c r="F5340" t="str">
        <f t="shared" si="2242"/>
        <v>MON</v>
      </c>
      <c r="G5340" s="1">
        <f t="shared" si="2243"/>
        <v>44137</v>
      </c>
      <c r="H5340" s="2">
        <f t="shared" ca="1" si="2244"/>
        <v>116</v>
      </c>
      <c r="I5340" t="str">
        <f t="shared" si="2245"/>
        <v>NFLX</v>
      </c>
      <c r="J5340">
        <f t="shared" si="2246"/>
        <v>461</v>
      </c>
      <c r="K5340">
        <f t="shared" si="2247"/>
        <v>506</v>
      </c>
      <c r="L5340">
        <f t="shared" si="2248"/>
        <v>483.5</v>
      </c>
      <c r="M5340">
        <f t="shared" si="2249"/>
        <v>22.5</v>
      </c>
      <c r="N5340">
        <f t="shared" si="2253"/>
        <v>45</v>
      </c>
      <c r="O5340">
        <f t="shared" si="2250"/>
        <v>475</v>
      </c>
      <c r="P5340">
        <f t="shared" si="2251"/>
        <v>-0.37777777777777777</v>
      </c>
      <c r="Q5340" t="str">
        <f t="shared" si="2254"/>
        <v>2.95% | 6.53%</v>
      </c>
      <c r="R5340" t="str">
        <f t="shared" si="2252"/>
        <v>BEARISH</v>
      </c>
      <c r="S5340">
        <f t="shared" si="2255"/>
        <v>-1</v>
      </c>
    </row>
    <row r="5341" spans="1:19" x14ac:dyDescent="0.25">
      <c r="A5341" s="5" t="str">
        <f t="shared" si="2256"/>
        <v>44137TSLA</v>
      </c>
      <c r="B5341" s="6" t="s">
        <v>71</v>
      </c>
      <c r="C5341" s="6">
        <v>380</v>
      </c>
      <c r="D5341" s="6">
        <v>437</v>
      </c>
      <c r="E5341" s="6">
        <v>388</v>
      </c>
      <c r="F5341" t="str">
        <f t="shared" si="2242"/>
        <v>MON</v>
      </c>
      <c r="G5341" s="1">
        <f t="shared" si="2243"/>
        <v>44137</v>
      </c>
      <c r="H5341" s="2">
        <f t="shared" ca="1" si="2244"/>
        <v>116</v>
      </c>
      <c r="I5341" t="str">
        <f t="shared" si="2245"/>
        <v>TSLA</v>
      </c>
      <c r="J5341">
        <f t="shared" si="2246"/>
        <v>380</v>
      </c>
      <c r="K5341">
        <f t="shared" si="2247"/>
        <v>437</v>
      </c>
      <c r="L5341">
        <f t="shared" si="2248"/>
        <v>408.5</v>
      </c>
      <c r="M5341">
        <f t="shared" si="2249"/>
        <v>28.5</v>
      </c>
      <c r="N5341">
        <f t="shared" si="2253"/>
        <v>57</v>
      </c>
      <c r="O5341">
        <f t="shared" si="2250"/>
        <v>388</v>
      </c>
      <c r="P5341">
        <f t="shared" si="2251"/>
        <v>-0.7192982456140351</v>
      </c>
      <c r="Q5341" t="str">
        <f t="shared" si="2254"/>
        <v>2.06% | 12.63%</v>
      </c>
      <c r="R5341" t="str">
        <f t="shared" si="2252"/>
        <v>NEUTRAL</v>
      </c>
      <c r="S5341">
        <f t="shared" si="2255"/>
        <v>0</v>
      </c>
    </row>
    <row r="5342" spans="1:19" hidden="1" x14ac:dyDescent="0.25">
      <c r="A5342" s="5" t="str">
        <f t="shared" si="2256"/>
        <v>44137NYXBT</v>
      </c>
      <c r="B5342" s="6" t="s">
        <v>60</v>
      </c>
      <c r="C5342" s="6">
        <v>12126</v>
      </c>
      <c r="D5342" s="6">
        <v>13891</v>
      </c>
      <c r="E5342" s="6">
        <v>13343</v>
      </c>
      <c r="F5342" t="str">
        <f t="shared" si="2242"/>
        <v>MON</v>
      </c>
      <c r="G5342" s="1">
        <f t="shared" si="2243"/>
        <v>44137</v>
      </c>
      <c r="H5342" s="2">
        <f t="shared" ca="1" si="2244"/>
        <v>116</v>
      </c>
      <c r="I5342" t="str">
        <f t="shared" si="2245"/>
        <v>NYXBT</v>
      </c>
      <c r="J5342">
        <f t="shared" si="2246"/>
        <v>12126</v>
      </c>
      <c r="K5342">
        <f t="shared" si="2247"/>
        <v>13891</v>
      </c>
      <c r="L5342">
        <f t="shared" si="2248"/>
        <v>13008.5</v>
      </c>
      <c r="M5342">
        <f t="shared" si="2249"/>
        <v>882.5</v>
      </c>
      <c r="N5342">
        <f t="shared" si="2253"/>
        <v>1765</v>
      </c>
      <c r="O5342">
        <f t="shared" si="2250"/>
        <v>13343</v>
      </c>
      <c r="P5342">
        <f t="shared" si="2251"/>
        <v>0.37903682719546744</v>
      </c>
      <c r="Q5342" t="str">
        <f t="shared" si="2254"/>
        <v>9.12% | 4.11%</v>
      </c>
      <c r="R5342" t="str">
        <f t="shared" si="2252"/>
        <v>BULLISH</v>
      </c>
      <c r="S5342">
        <f t="shared" si="2255"/>
        <v>1</v>
      </c>
    </row>
    <row r="5343" spans="1:19" hidden="1" x14ac:dyDescent="0.25">
      <c r="A5343" s="5" t="str">
        <f t="shared" si="2256"/>
        <v>44138UST10Y</v>
      </c>
      <c r="B5343" s="6" t="s">
        <v>4</v>
      </c>
      <c r="C5343" s="6">
        <v>0.9</v>
      </c>
      <c r="D5343" s="6">
        <v>0.74</v>
      </c>
      <c r="E5343" s="6">
        <v>0.87</v>
      </c>
      <c r="F5343" t="str">
        <f t="shared" si="2242"/>
        <v>TUE</v>
      </c>
      <c r="G5343" s="3">
        <f>DATE(2020,11,3)</f>
        <v>44138</v>
      </c>
      <c r="H5343" s="2">
        <f t="shared" ca="1" si="2244"/>
        <v>115</v>
      </c>
      <c r="I5343" t="str">
        <f t="shared" si="2245"/>
        <v>UST10Y</v>
      </c>
      <c r="J5343">
        <f t="shared" si="2246"/>
        <v>0.9</v>
      </c>
      <c r="K5343">
        <f t="shared" si="2247"/>
        <v>0.74</v>
      </c>
      <c r="L5343">
        <f t="shared" si="2248"/>
        <v>0.82000000000000006</v>
      </c>
      <c r="M5343">
        <f t="shared" si="2249"/>
        <v>8.0000000000000016E-2</v>
      </c>
      <c r="N5343">
        <f t="shared" si="2253"/>
        <v>0.16000000000000003</v>
      </c>
      <c r="O5343">
        <f t="shared" si="2250"/>
        <v>0.87</v>
      </c>
      <c r="P5343">
        <f t="shared" si="2251"/>
        <v>0.624999999999999</v>
      </c>
      <c r="Q5343" t="str">
        <f t="shared" si="2254"/>
        <v>3.45% | 14.94%</v>
      </c>
      <c r="R5343" t="str">
        <f t="shared" si="2252"/>
        <v>BEARISH</v>
      </c>
      <c r="S5343">
        <f t="shared" si="2255"/>
        <v>-1</v>
      </c>
    </row>
    <row r="5344" spans="1:19" hidden="1" x14ac:dyDescent="0.25">
      <c r="A5344" s="5" t="str">
        <f t="shared" si="2256"/>
        <v>44138UST2Y</v>
      </c>
      <c r="B5344" s="6" t="s">
        <v>5</v>
      </c>
      <c r="C5344" s="6">
        <v>0.18</v>
      </c>
      <c r="D5344" s="6">
        <v>0.13</v>
      </c>
      <c r="E5344" s="6">
        <v>0.16</v>
      </c>
      <c r="F5344" t="str">
        <f t="shared" ref="F5344:F5374" si="2257">UPPER(TEXT(G5344,"ddd"))</f>
        <v>TUE</v>
      </c>
      <c r="G5344" s="3">
        <f t="shared" ref="G5344:G5373" si="2258">DATE(2020,11,3)</f>
        <v>44138</v>
      </c>
      <c r="H5344" s="2">
        <f t="shared" ref="H5344:H5374" ca="1" si="2259">TODAY()-G5344</f>
        <v>115</v>
      </c>
      <c r="I5344" t="str">
        <f t="shared" ref="I5344:I5374" si="2260">TRIM(LEFT(B5344,FIND(" ",B5344,1)))</f>
        <v>UST2Y</v>
      </c>
      <c r="J5344">
        <f t="shared" ref="J5344:J5374" si="2261">C5344</f>
        <v>0.18</v>
      </c>
      <c r="K5344">
        <f t="shared" ref="K5344:K5374" si="2262">D5344</f>
        <v>0.13</v>
      </c>
      <c r="L5344">
        <f t="shared" ref="L5344:L5374" si="2263">AVERAGE(J5344:K5344)</f>
        <v>0.155</v>
      </c>
      <c r="M5344">
        <f t="shared" ref="M5344:M5374" si="2264">_xlfn.STDEV.P(J5344:K5344)</f>
        <v>2.4999999999999942E-2</v>
      </c>
      <c r="N5344">
        <f t="shared" si="2253"/>
        <v>4.9999999999999989E-2</v>
      </c>
      <c r="O5344">
        <f t="shared" ref="O5344:O5374" si="2265">E5344</f>
        <v>0.16</v>
      </c>
      <c r="P5344">
        <f t="shared" ref="P5344:P5374" si="2266">(O5344-L5344)/M5344</f>
        <v>0.20000000000000065</v>
      </c>
      <c r="Q5344" t="str">
        <f t="shared" si="2254"/>
        <v>12.5% | 18.75%</v>
      </c>
      <c r="R5344" t="str">
        <f t="shared" ref="R5344:R5374" si="2267">MID(B5344,FIND("(",B5344,1)+1,FIND(")",B5344,1)-FIND("(",B5344,1)-1)</f>
        <v>BEARISH</v>
      </c>
      <c r="S5344">
        <f t="shared" si="2255"/>
        <v>-1</v>
      </c>
    </row>
    <row r="5345" spans="1:19" hidden="1" x14ac:dyDescent="0.25">
      <c r="A5345" s="5" t="str">
        <f t="shared" si="2256"/>
        <v>44138SPX</v>
      </c>
      <c r="B5345" s="6" t="s">
        <v>6</v>
      </c>
      <c r="C5345" s="6">
        <v>3219</v>
      </c>
      <c r="D5345" s="6">
        <v>3386</v>
      </c>
      <c r="E5345" s="6">
        <v>3310</v>
      </c>
      <c r="F5345" t="str">
        <f t="shared" si="2257"/>
        <v>TUE</v>
      </c>
      <c r="G5345" s="3">
        <f t="shared" si="2258"/>
        <v>44138</v>
      </c>
      <c r="H5345" s="2">
        <f t="shared" ca="1" si="2259"/>
        <v>115</v>
      </c>
      <c r="I5345" t="str">
        <f t="shared" si="2260"/>
        <v>SPX</v>
      </c>
      <c r="J5345">
        <f t="shared" si="2261"/>
        <v>3219</v>
      </c>
      <c r="K5345">
        <f t="shared" si="2262"/>
        <v>3386</v>
      </c>
      <c r="L5345">
        <f t="shared" si="2263"/>
        <v>3302.5</v>
      </c>
      <c r="M5345">
        <f t="shared" si="2264"/>
        <v>83.5</v>
      </c>
      <c r="N5345">
        <f t="shared" si="2253"/>
        <v>167</v>
      </c>
      <c r="O5345">
        <f t="shared" si="2265"/>
        <v>3310</v>
      </c>
      <c r="P5345">
        <f t="shared" si="2266"/>
        <v>8.9820359281437126E-2</v>
      </c>
      <c r="Q5345" t="str">
        <f t="shared" si="2254"/>
        <v>2.75% | 2.3%</v>
      </c>
      <c r="R5345" t="str">
        <f t="shared" si="2267"/>
        <v>BEARISH</v>
      </c>
      <c r="S5345">
        <f t="shared" si="2255"/>
        <v>-1</v>
      </c>
    </row>
    <row r="5346" spans="1:19" hidden="1" x14ac:dyDescent="0.25">
      <c r="A5346" s="5" t="str">
        <f t="shared" si="2256"/>
        <v>44138RUT</v>
      </c>
      <c r="B5346" s="6" t="s">
        <v>7</v>
      </c>
      <c r="C5346" s="6">
        <v>1516</v>
      </c>
      <c r="D5346" s="6">
        <v>1588</v>
      </c>
      <c r="E5346" s="6">
        <v>1568</v>
      </c>
      <c r="F5346" t="str">
        <f t="shared" si="2257"/>
        <v>TUE</v>
      </c>
      <c r="G5346" s="3">
        <f t="shared" si="2258"/>
        <v>44138</v>
      </c>
      <c r="H5346" s="2">
        <f t="shared" ca="1" si="2259"/>
        <v>115</v>
      </c>
      <c r="I5346" t="str">
        <f t="shared" si="2260"/>
        <v>RUT</v>
      </c>
      <c r="J5346">
        <f t="shared" si="2261"/>
        <v>1516</v>
      </c>
      <c r="K5346">
        <f t="shared" si="2262"/>
        <v>1588</v>
      </c>
      <c r="L5346">
        <f t="shared" si="2263"/>
        <v>1552</v>
      </c>
      <c r="M5346">
        <f t="shared" si="2264"/>
        <v>36</v>
      </c>
      <c r="N5346">
        <f t="shared" si="2253"/>
        <v>72</v>
      </c>
      <c r="O5346">
        <f t="shared" si="2265"/>
        <v>1568</v>
      </c>
      <c r="P5346">
        <f t="shared" si="2266"/>
        <v>0.44444444444444442</v>
      </c>
      <c r="Q5346" t="str">
        <f t="shared" si="2254"/>
        <v>3.32% | 1.28%</v>
      </c>
      <c r="R5346" t="str">
        <f t="shared" si="2267"/>
        <v>BEARISH</v>
      </c>
      <c r="S5346">
        <f t="shared" si="2255"/>
        <v>-1</v>
      </c>
    </row>
    <row r="5347" spans="1:19" hidden="1" x14ac:dyDescent="0.25">
      <c r="A5347" s="5" t="str">
        <f t="shared" si="2256"/>
        <v>44138COMPQ</v>
      </c>
      <c r="B5347" s="6" t="s">
        <v>61</v>
      </c>
      <c r="C5347" s="6">
        <v>10776</v>
      </c>
      <c r="D5347" s="6">
        <v>11299</v>
      </c>
      <c r="E5347" s="6">
        <v>10957</v>
      </c>
      <c r="F5347" t="str">
        <f t="shared" si="2257"/>
        <v>TUE</v>
      </c>
      <c r="G5347" s="3">
        <f t="shared" si="2258"/>
        <v>44138</v>
      </c>
      <c r="H5347" s="2">
        <f t="shared" ca="1" si="2259"/>
        <v>115</v>
      </c>
      <c r="I5347" t="str">
        <f t="shared" si="2260"/>
        <v>COMPQ</v>
      </c>
      <c r="J5347">
        <f t="shared" si="2261"/>
        <v>10776</v>
      </c>
      <c r="K5347">
        <f t="shared" si="2262"/>
        <v>11299</v>
      </c>
      <c r="L5347">
        <f t="shared" si="2263"/>
        <v>11037.5</v>
      </c>
      <c r="M5347">
        <f t="shared" si="2264"/>
        <v>261.5</v>
      </c>
      <c r="N5347">
        <f t="shared" si="2253"/>
        <v>523</v>
      </c>
      <c r="O5347">
        <f t="shared" si="2265"/>
        <v>10957</v>
      </c>
      <c r="P5347">
        <f t="shared" si="2266"/>
        <v>-0.30783938814531547</v>
      </c>
      <c r="Q5347" t="str">
        <f t="shared" si="2254"/>
        <v>1.65% | 3.12%</v>
      </c>
      <c r="R5347" t="str">
        <f t="shared" si="2267"/>
        <v>NEUTRAL</v>
      </c>
      <c r="S5347">
        <f t="shared" si="2255"/>
        <v>0</v>
      </c>
    </row>
    <row r="5348" spans="1:19" hidden="1" x14ac:dyDescent="0.25">
      <c r="A5348" s="5" t="str">
        <f t="shared" si="2256"/>
        <v>44138XLK</v>
      </c>
      <c r="B5348" s="6" t="s">
        <v>65</v>
      </c>
      <c r="C5348" s="6">
        <v>108.47</v>
      </c>
      <c r="D5348" s="6">
        <v>116.5</v>
      </c>
      <c r="E5348" s="6">
        <v>111.14</v>
      </c>
      <c r="F5348" t="str">
        <f t="shared" si="2257"/>
        <v>TUE</v>
      </c>
      <c r="G5348" s="3">
        <f t="shared" si="2258"/>
        <v>44138</v>
      </c>
      <c r="H5348" s="2">
        <f t="shared" ca="1" si="2259"/>
        <v>115</v>
      </c>
      <c r="I5348" t="str">
        <f t="shared" si="2260"/>
        <v>XLK</v>
      </c>
      <c r="J5348">
        <f t="shared" si="2261"/>
        <v>108.47</v>
      </c>
      <c r="K5348">
        <f t="shared" si="2262"/>
        <v>116.5</v>
      </c>
      <c r="L5348">
        <f t="shared" si="2263"/>
        <v>112.485</v>
      </c>
      <c r="M5348">
        <f t="shared" si="2264"/>
        <v>4.0150000000000006</v>
      </c>
      <c r="N5348">
        <f t="shared" si="2253"/>
        <v>8.0300000000000011</v>
      </c>
      <c r="O5348">
        <f t="shared" si="2265"/>
        <v>111.14</v>
      </c>
      <c r="P5348">
        <f t="shared" si="2266"/>
        <v>-0.33499377334993741</v>
      </c>
      <c r="Q5348" t="str">
        <f t="shared" si="2254"/>
        <v>2.4% | 4.82%</v>
      </c>
      <c r="R5348" t="str">
        <f t="shared" si="2267"/>
        <v>BEARISH</v>
      </c>
      <c r="S5348">
        <f t="shared" si="2255"/>
        <v>-1</v>
      </c>
    </row>
    <row r="5349" spans="1:19" hidden="1" x14ac:dyDescent="0.25">
      <c r="A5349" s="5" t="str">
        <f t="shared" si="2256"/>
        <v>44138XLRE</v>
      </c>
      <c r="B5349" s="6" t="s">
        <v>243</v>
      </c>
      <c r="C5349" s="6">
        <v>33.22</v>
      </c>
      <c r="D5349" s="6">
        <v>36.200000000000003</v>
      </c>
      <c r="E5349" s="6">
        <v>34.99</v>
      </c>
      <c r="F5349" t="str">
        <f t="shared" si="2257"/>
        <v>TUE</v>
      </c>
      <c r="G5349" s="3">
        <f t="shared" si="2258"/>
        <v>44138</v>
      </c>
      <c r="H5349" s="2">
        <f t="shared" ca="1" si="2259"/>
        <v>115</v>
      </c>
      <c r="I5349" t="str">
        <f t="shared" si="2260"/>
        <v>XLRE</v>
      </c>
      <c r="J5349">
        <f t="shared" si="2261"/>
        <v>33.22</v>
      </c>
      <c r="K5349">
        <f t="shared" si="2262"/>
        <v>36.200000000000003</v>
      </c>
      <c r="L5349">
        <f t="shared" si="2263"/>
        <v>34.71</v>
      </c>
      <c r="M5349">
        <f t="shared" si="2264"/>
        <v>1.490000000000002</v>
      </c>
      <c r="N5349">
        <f t="shared" si="2253"/>
        <v>2.980000000000004</v>
      </c>
      <c r="O5349">
        <f t="shared" si="2265"/>
        <v>34.99</v>
      </c>
      <c r="P5349">
        <f t="shared" si="2266"/>
        <v>0.18791946308724883</v>
      </c>
      <c r="Q5349" t="str">
        <f t="shared" si="2254"/>
        <v>5.06% | 3.46%</v>
      </c>
      <c r="R5349" t="str">
        <f t="shared" si="2267"/>
        <v>BEARISH</v>
      </c>
      <c r="S5349">
        <f t="shared" si="2255"/>
        <v>-1</v>
      </c>
    </row>
    <row r="5350" spans="1:19" hidden="1" x14ac:dyDescent="0.25">
      <c r="A5350" s="5" t="str">
        <f t="shared" si="2256"/>
        <v>44138XLU</v>
      </c>
      <c r="B5350" s="6" t="s">
        <v>52</v>
      </c>
      <c r="C5350" s="6">
        <v>62.02</v>
      </c>
      <c r="D5350" s="6">
        <v>65.66</v>
      </c>
      <c r="E5350" s="6">
        <v>63.75</v>
      </c>
      <c r="F5350" t="str">
        <f t="shared" si="2257"/>
        <v>TUE</v>
      </c>
      <c r="G5350" s="3">
        <f t="shared" si="2258"/>
        <v>44138</v>
      </c>
      <c r="H5350" s="2">
        <f t="shared" ca="1" si="2259"/>
        <v>115</v>
      </c>
      <c r="I5350" t="str">
        <f t="shared" si="2260"/>
        <v>XLU</v>
      </c>
      <c r="J5350">
        <f t="shared" si="2261"/>
        <v>62.02</v>
      </c>
      <c r="K5350">
        <f t="shared" si="2262"/>
        <v>65.66</v>
      </c>
      <c r="L5350">
        <f t="shared" si="2263"/>
        <v>63.84</v>
      </c>
      <c r="M5350">
        <f t="shared" si="2264"/>
        <v>1.8199999999999967</v>
      </c>
      <c r="N5350">
        <f t="shared" si="2253"/>
        <v>3.6399999999999935</v>
      </c>
      <c r="O5350">
        <f t="shared" si="2265"/>
        <v>63.75</v>
      </c>
      <c r="P5350">
        <f t="shared" si="2266"/>
        <v>-4.9450549450551412E-2</v>
      </c>
      <c r="Q5350" t="str">
        <f t="shared" si="2254"/>
        <v>2.71% | 3%</v>
      </c>
      <c r="R5350" t="str">
        <f t="shared" si="2267"/>
        <v>BULLISH</v>
      </c>
      <c r="S5350">
        <f t="shared" si="2255"/>
        <v>1</v>
      </c>
    </row>
    <row r="5351" spans="1:19" hidden="1" x14ac:dyDescent="0.25">
      <c r="A5351" s="5" t="str">
        <f t="shared" si="2256"/>
        <v>44138XLF</v>
      </c>
      <c r="B5351" s="6" t="s">
        <v>12</v>
      </c>
      <c r="C5351" s="6">
        <v>23.2</v>
      </c>
      <c r="D5351" s="6">
        <v>25.5</v>
      </c>
      <c r="E5351" s="6">
        <v>24.31</v>
      </c>
      <c r="F5351" t="str">
        <f t="shared" si="2257"/>
        <v>TUE</v>
      </c>
      <c r="G5351" s="3">
        <f t="shared" si="2258"/>
        <v>44138</v>
      </c>
      <c r="H5351" s="2">
        <f t="shared" ca="1" si="2259"/>
        <v>115</v>
      </c>
      <c r="I5351" t="str">
        <f t="shared" si="2260"/>
        <v>XLF</v>
      </c>
      <c r="J5351">
        <f t="shared" si="2261"/>
        <v>23.2</v>
      </c>
      <c r="K5351">
        <f t="shared" si="2262"/>
        <v>25.5</v>
      </c>
      <c r="L5351">
        <f t="shared" si="2263"/>
        <v>24.35</v>
      </c>
      <c r="M5351">
        <f t="shared" si="2264"/>
        <v>1.1500000000000004</v>
      </c>
      <c r="N5351">
        <f t="shared" si="2253"/>
        <v>2.3000000000000007</v>
      </c>
      <c r="O5351">
        <f t="shared" si="2265"/>
        <v>24.31</v>
      </c>
      <c r="P5351">
        <f t="shared" si="2266"/>
        <v>-3.4782608695654513E-2</v>
      </c>
      <c r="Q5351" t="str">
        <f t="shared" si="2254"/>
        <v>4.57% | 4.9%</v>
      </c>
      <c r="R5351" t="str">
        <f t="shared" si="2267"/>
        <v>BEARISH</v>
      </c>
      <c r="S5351">
        <f t="shared" si="2255"/>
        <v>-1</v>
      </c>
    </row>
    <row r="5352" spans="1:19" hidden="1" x14ac:dyDescent="0.25">
      <c r="A5352" s="5" t="str">
        <f t="shared" si="2256"/>
        <v>44138SSEC</v>
      </c>
      <c r="B5352" s="6" t="s">
        <v>104</v>
      </c>
      <c r="C5352" s="6">
        <v>3204</v>
      </c>
      <c r="D5352" s="6">
        <v>3343</v>
      </c>
      <c r="E5352" s="6">
        <v>3271</v>
      </c>
      <c r="F5352" t="str">
        <f t="shared" si="2257"/>
        <v>TUE</v>
      </c>
      <c r="G5352" s="3">
        <f t="shared" si="2258"/>
        <v>44138</v>
      </c>
      <c r="H5352" s="2">
        <f t="shared" ca="1" si="2259"/>
        <v>115</v>
      </c>
      <c r="I5352" t="str">
        <f t="shared" si="2260"/>
        <v>SSEC</v>
      </c>
      <c r="J5352">
        <f t="shared" si="2261"/>
        <v>3204</v>
      </c>
      <c r="K5352">
        <f t="shared" si="2262"/>
        <v>3343</v>
      </c>
      <c r="L5352">
        <f t="shared" si="2263"/>
        <v>3273.5</v>
      </c>
      <c r="M5352">
        <f t="shared" si="2264"/>
        <v>69.5</v>
      </c>
      <c r="N5352">
        <f t="shared" si="2253"/>
        <v>139</v>
      </c>
      <c r="O5352">
        <f t="shared" si="2265"/>
        <v>3271</v>
      </c>
      <c r="P5352">
        <f t="shared" si="2266"/>
        <v>-3.5971223021582732E-2</v>
      </c>
      <c r="Q5352" t="str">
        <f t="shared" si="2254"/>
        <v>2.05% | 2.2%</v>
      </c>
      <c r="R5352" t="str">
        <f t="shared" si="2267"/>
        <v>BULLISH</v>
      </c>
      <c r="S5352">
        <f t="shared" si="2255"/>
        <v>1</v>
      </c>
    </row>
    <row r="5353" spans="1:19" hidden="1" x14ac:dyDescent="0.25">
      <c r="A5353" s="5" t="str">
        <f t="shared" si="2256"/>
        <v>44138NIKK</v>
      </c>
      <c r="B5353" s="6" t="s">
        <v>91</v>
      </c>
      <c r="C5353" s="6">
        <v>22967</v>
      </c>
      <c r="D5353" s="6">
        <v>23699</v>
      </c>
      <c r="E5353" s="6">
        <v>23295</v>
      </c>
      <c r="F5353" t="str">
        <f t="shared" si="2257"/>
        <v>TUE</v>
      </c>
      <c r="G5353" s="3">
        <f t="shared" si="2258"/>
        <v>44138</v>
      </c>
      <c r="H5353" s="2">
        <f t="shared" ca="1" si="2259"/>
        <v>115</v>
      </c>
      <c r="I5353" t="str">
        <f t="shared" si="2260"/>
        <v>NIKK</v>
      </c>
      <c r="J5353">
        <f t="shared" si="2261"/>
        <v>22967</v>
      </c>
      <c r="K5353">
        <f t="shared" si="2262"/>
        <v>23699</v>
      </c>
      <c r="L5353">
        <f t="shared" si="2263"/>
        <v>23333</v>
      </c>
      <c r="M5353">
        <f t="shared" si="2264"/>
        <v>366</v>
      </c>
      <c r="N5353">
        <f t="shared" si="2253"/>
        <v>732</v>
      </c>
      <c r="O5353">
        <f t="shared" si="2265"/>
        <v>23295</v>
      </c>
      <c r="P5353">
        <f t="shared" si="2266"/>
        <v>-0.10382513661202186</v>
      </c>
      <c r="Q5353" t="str">
        <f t="shared" si="2254"/>
        <v>1.41% | 1.73%</v>
      </c>
      <c r="R5353" t="str">
        <f t="shared" si="2267"/>
        <v>BULLISH</v>
      </c>
      <c r="S5353">
        <f t="shared" si="2255"/>
        <v>1</v>
      </c>
    </row>
    <row r="5354" spans="1:19" hidden="1" x14ac:dyDescent="0.25">
      <c r="A5354" s="5" t="str">
        <f t="shared" si="2256"/>
        <v>44138DAX</v>
      </c>
      <c r="B5354" s="6" t="s">
        <v>16</v>
      </c>
      <c r="C5354" s="6">
        <v>11200</v>
      </c>
      <c r="D5354" s="6">
        <v>12350</v>
      </c>
      <c r="E5354" s="6">
        <v>11784</v>
      </c>
      <c r="F5354" t="str">
        <f t="shared" si="2257"/>
        <v>TUE</v>
      </c>
      <c r="G5354" s="3">
        <f t="shared" si="2258"/>
        <v>44138</v>
      </c>
      <c r="H5354" s="2">
        <f t="shared" ca="1" si="2259"/>
        <v>115</v>
      </c>
      <c r="I5354" t="str">
        <f t="shared" si="2260"/>
        <v>DAX</v>
      </c>
      <c r="J5354">
        <f t="shared" si="2261"/>
        <v>11200</v>
      </c>
      <c r="K5354">
        <f t="shared" si="2262"/>
        <v>12350</v>
      </c>
      <c r="L5354">
        <f t="shared" si="2263"/>
        <v>11775</v>
      </c>
      <c r="M5354">
        <f t="shared" si="2264"/>
        <v>575</v>
      </c>
      <c r="N5354">
        <f t="shared" si="2253"/>
        <v>1150</v>
      </c>
      <c r="O5354">
        <f t="shared" si="2265"/>
        <v>11784</v>
      </c>
      <c r="P5354">
        <f t="shared" si="2266"/>
        <v>1.5652173913043479E-2</v>
      </c>
      <c r="Q5354" t="str">
        <f t="shared" si="2254"/>
        <v>4.96% | 4.8%</v>
      </c>
      <c r="R5354" t="str">
        <f t="shared" si="2267"/>
        <v>BEARISH</v>
      </c>
      <c r="S5354">
        <f t="shared" si="2255"/>
        <v>-1</v>
      </c>
    </row>
    <row r="5355" spans="1:19" hidden="1" x14ac:dyDescent="0.25">
      <c r="A5355" s="5" t="str">
        <f t="shared" si="2256"/>
        <v>44138VIX</v>
      </c>
      <c r="B5355" s="6" t="s">
        <v>17</v>
      </c>
      <c r="C5355" s="6">
        <v>30.61</v>
      </c>
      <c r="D5355" s="6">
        <v>42.85</v>
      </c>
      <c r="E5355" s="6">
        <v>37.130000000000003</v>
      </c>
      <c r="F5355" t="str">
        <f t="shared" si="2257"/>
        <v>TUE</v>
      </c>
      <c r="G5355" s="3">
        <f t="shared" si="2258"/>
        <v>44138</v>
      </c>
      <c r="H5355" s="2">
        <f t="shared" ca="1" si="2259"/>
        <v>115</v>
      </c>
      <c r="I5355" t="str">
        <f t="shared" si="2260"/>
        <v>VIX</v>
      </c>
      <c r="J5355">
        <f t="shared" si="2261"/>
        <v>30.61</v>
      </c>
      <c r="K5355">
        <f t="shared" si="2262"/>
        <v>42.85</v>
      </c>
      <c r="L5355">
        <f t="shared" si="2263"/>
        <v>36.730000000000004</v>
      </c>
      <c r="M5355">
        <f t="shared" si="2264"/>
        <v>6.1199999999999877</v>
      </c>
      <c r="N5355">
        <f t="shared" si="2253"/>
        <v>12.240000000000002</v>
      </c>
      <c r="O5355">
        <f t="shared" si="2265"/>
        <v>37.130000000000003</v>
      </c>
      <c r="P5355">
        <f t="shared" si="2266"/>
        <v>6.5359477124182899E-2</v>
      </c>
      <c r="Q5355" t="str">
        <f t="shared" si="2254"/>
        <v>17.56% | 15.41%</v>
      </c>
      <c r="R5355" t="str">
        <f t="shared" si="2267"/>
        <v>BULLISH</v>
      </c>
      <c r="S5355">
        <f t="shared" si="2255"/>
        <v>1</v>
      </c>
    </row>
    <row r="5356" spans="1:19" hidden="1" x14ac:dyDescent="0.25">
      <c r="A5356" s="5" t="str">
        <f t="shared" si="2256"/>
        <v>44138USD</v>
      </c>
      <c r="B5356" s="6" t="s">
        <v>94</v>
      </c>
      <c r="C5356" s="6">
        <v>92.18</v>
      </c>
      <c r="D5356" s="6">
        <v>94.24</v>
      </c>
      <c r="E5356" s="6">
        <v>94.14</v>
      </c>
      <c r="F5356" t="str">
        <f t="shared" si="2257"/>
        <v>TUE</v>
      </c>
      <c r="G5356" s="3">
        <f t="shared" si="2258"/>
        <v>44138</v>
      </c>
      <c r="H5356" s="2">
        <f t="shared" ca="1" si="2259"/>
        <v>115</v>
      </c>
      <c r="I5356" t="str">
        <f t="shared" si="2260"/>
        <v>USD</v>
      </c>
      <c r="J5356">
        <f t="shared" si="2261"/>
        <v>92.18</v>
      </c>
      <c r="K5356">
        <f t="shared" si="2262"/>
        <v>94.24</v>
      </c>
      <c r="L5356">
        <f t="shared" si="2263"/>
        <v>93.210000000000008</v>
      </c>
      <c r="M5356">
        <f t="shared" si="2264"/>
        <v>1.029999999999994</v>
      </c>
      <c r="N5356">
        <f t="shared" si="2253"/>
        <v>2.0599999999999881</v>
      </c>
      <c r="O5356">
        <f t="shared" si="2265"/>
        <v>94.14</v>
      </c>
      <c r="P5356">
        <f t="shared" si="2266"/>
        <v>0.90291262135922135</v>
      </c>
      <c r="Q5356" t="str">
        <f t="shared" si="2254"/>
        <v>2.08% | 0.11%</v>
      </c>
      <c r="R5356" t="str">
        <f t="shared" si="2267"/>
        <v>BEARISH</v>
      </c>
      <c r="S5356">
        <f t="shared" si="2255"/>
        <v>-1</v>
      </c>
    </row>
    <row r="5357" spans="1:19" hidden="1" x14ac:dyDescent="0.25">
      <c r="A5357" s="5" t="str">
        <f t="shared" si="2256"/>
        <v>44138EUR/USD</v>
      </c>
      <c r="B5357" s="6" t="s">
        <v>99</v>
      </c>
      <c r="C5357" s="6">
        <v>1.161</v>
      </c>
      <c r="D5357" s="6">
        <v>1.1910000000000001</v>
      </c>
      <c r="E5357" s="6">
        <v>1.1639999999999999</v>
      </c>
      <c r="F5357" t="str">
        <f t="shared" si="2257"/>
        <v>TUE</v>
      </c>
      <c r="G5357" s="3">
        <f t="shared" si="2258"/>
        <v>44138</v>
      </c>
      <c r="H5357" s="2">
        <f t="shared" ca="1" si="2259"/>
        <v>115</v>
      </c>
      <c r="I5357" t="str">
        <f t="shared" si="2260"/>
        <v>EUR/USD</v>
      </c>
      <c r="J5357">
        <f t="shared" si="2261"/>
        <v>1.161</v>
      </c>
      <c r="K5357">
        <f t="shared" si="2262"/>
        <v>1.1910000000000001</v>
      </c>
      <c r="L5357">
        <f t="shared" si="2263"/>
        <v>1.1760000000000002</v>
      </c>
      <c r="M5357">
        <f t="shared" si="2264"/>
        <v>1.5000000000000013E-2</v>
      </c>
      <c r="N5357">
        <f t="shared" si="2253"/>
        <v>3.0000000000000027E-2</v>
      </c>
      <c r="O5357">
        <f t="shared" si="2265"/>
        <v>1.1639999999999999</v>
      </c>
      <c r="P5357">
        <f t="shared" si="2266"/>
        <v>-0.80000000000001481</v>
      </c>
      <c r="Q5357" t="str">
        <f t="shared" si="2254"/>
        <v>0.26% | 2.32%</v>
      </c>
      <c r="R5357" t="str">
        <f t="shared" si="2267"/>
        <v>BULLISH</v>
      </c>
      <c r="S5357">
        <f t="shared" si="2255"/>
        <v>1</v>
      </c>
    </row>
    <row r="5358" spans="1:19" hidden="1" x14ac:dyDescent="0.25">
      <c r="A5358" s="5" t="str">
        <f t="shared" si="2256"/>
        <v>44138USD/JPY</v>
      </c>
      <c r="B5358" s="6" t="s">
        <v>20</v>
      </c>
      <c r="C5358" s="6">
        <v>104.11</v>
      </c>
      <c r="D5358" s="6">
        <v>105.2</v>
      </c>
      <c r="E5358" s="6">
        <v>104.76</v>
      </c>
      <c r="F5358" t="str">
        <f t="shared" si="2257"/>
        <v>TUE</v>
      </c>
      <c r="G5358" s="3">
        <f t="shared" si="2258"/>
        <v>44138</v>
      </c>
      <c r="H5358" s="2">
        <f t="shared" ca="1" si="2259"/>
        <v>115</v>
      </c>
      <c r="I5358" t="str">
        <f t="shared" si="2260"/>
        <v>USD/JPY</v>
      </c>
      <c r="J5358">
        <f t="shared" si="2261"/>
        <v>104.11</v>
      </c>
      <c r="K5358">
        <f t="shared" si="2262"/>
        <v>105.2</v>
      </c>
      <c r="L5358">
        <f t="shared" si="2263"/>
        <v>104.655</v>
      </c>
      <c r="M5358">
        <f t="shared" si="2264"/>
        <v>0.54500000000000171</v>
      </c>
      <c r="N5358">
        <f t="shared" si="2253"/>
        <v>1.0900000000000034</v>
      </c>
      <c r="O5358">
        <f t="shared" si="2265"/>
        <v>104.76</v>
      </c>
      <c r="P5358">
        <f t="shared" si="2266"/>
        <v>0.1926605504587223</v>
      </c>
      <c r="Q5358" t="str">
        <f t="shared" si="2254"/>
        <v>0.62% | 0.42%</v>
      </c>
      <c r="R5358" t="str">
        <f t="shared" si="2267"/>
        <v>BEARISH</v>
      </c>
      <c r="S5358">
        <f t="shared" si="2255"/>
        <v>-1</v>
      </c>
    </row>
    <row r="5359" spans="1:19" hidden="1" x14ac:dyDescent="0.25">
      <c r="A5359" s="5" t="str">
        <f t="shared" si="2256"/>
        <v>44138GBP/USD</v>
      </c>
      <c r="B5359" s="6" t="s">
        <v>102</v>
      </c>
      <c r="C5359" s="6">
        <v>1.29</v>
      </c>
      <c r="D5359" s="6">
        <v>1.32</v>
      </c>
      <c r="E5359" s="6">
        <v>1.29</v>
      </c>
      <c r="F5359" t="str">
        <f t="shared" si="2257"/>
        <v>TUE</v>
      </c>
      <c r="G5359" s="3">
        <f t="shared" si="2258"/>
        <v>44138</v>
      </c>
      <c r="H5359" s="2">
        <f t="shared" ca="1" si="2259"/>
        <v>115</v>
      </c>
      <c r="I5359" t="str">
        <f t="shared" si="2260"/>
        <v>GBP/USD</v>
      </c>
      <c r="J5359">
        <f t="shared" si="2261"/>
        <v>1.29</v>
      </c>
      <c r="K5359">
        <f t="shared" si="2262"/>
        <v>1.32</v>
      </c>
      <c r="L5359">
        <f t="shared" si="2263"/>
        <v>1.3050000000000002</v>
      </c>
      <c r="M5359">
        <f t="shared" si="2264"/>
        <v>1.5000000000000013E-2</v>
      </c>
      <c r="N5359">
        <f t="shared" si="2253"/>
        <v>3.0000000000000027E-2</v>
      </c>
      <c r="O5359">
        <f t="shared" si="2265"/>
        <v>1.29</v>
      </c>
      <c r="P5359">
        <f t="shared" si="2266"/>
        <v>-1.0000000000000073</v>
      </c>
      <c r="Q5359" t="str">
        <f t="shared" si="2254"/>
        <v>0% | 2.33%</v>
      </c>
      <c r="R5359" t="str">
        <f t="shared" si="2267"/>
        <v>BULLISH</v>
      </c>
      <c r="S5359">
        <f t="shared" si="2255"/>
        <v>1</v>
      </c>
    </row>
    <row r="5360" spans="1:19" hidden="1" x14ac:dyDescent="0.25">
      <c r="A5360" s="5" t="str">
        <f t="shared" si="2256"/>
        <v>44138USD/CHF</v>
      </c>
      <c r="B5360" s="6" t="s">
        <v>76</v>
      </c>
      <c r="C5360" s="6">
        <v>0.9</v>
      </c>
      <c r="D5360" s="6">
        <v>0.92</v>
      </c>
      <c r="E5360" s="6">
        <v>0.91</v>
      </c>
      <c r="F5360" t="str">
        <f t="shared" si="2257"/>
        <v>TUE</v>
      </c>
      <c r="G5360" s="3">
        <f t="shared" si="2258"/>
        <v>44138</v>
      </c>
      <c r="H5360" s="2">
        <f t="shared" ca="1" si="2259"/>
        <v>115</v>
      </c>
      <c r="I5360" t="str">
        <f t="shared" si="2260"/>
        <v>USD/CHF</v>
      </c>
      <c r="J5360">
        <f t="shared" si="2261"/>
        <v>0.9</v>
      </c>
      <c r="K5360">
        <f t="shared" si="2262"/>
        <v>0.92</v>
      </c>
      <c r="L5360">
        <f t="shared" si="2263"/>
        <v>0.91</v>
      </c>
      <c r="M5360">
        <f t="shared" si="2264"/>
        <v>1.0000000000000009E-2</v>
      </c>
      <c r="N5360">
        <f t="shared" si="2253"/>
        <v>2.0000000000000018E-2</v>
      </c>
      <c r="O5360">
        <f t="shared" si="2265"/>
        <v>0.91</v>
      </c>
      <c r="P5360">
        <f t="shared" si="2266"/>
        <v>0</v>
      </c>
      <c r="Q5360" t="str">
        <f t="shared" si="2254"/>
        <v>1.1% | 1.1%</v>
      </c>
      <c r="R5360" t="str">
        <f t="shared" si="2267"/>
        <v>BEARISH</v>
      </c>
      <c r="S5360">
        <f t="shared" si="2255"/>
        <v>-1</v>
      </c>
    </row>
    <row r="5361" spans="1:19" hidden="1" x14ac:dyDescent="0.25">
      <c r="A5361" s="5" t="str">
        <f t="shared" si="2256"/>
        <v>44138WTIC</v>
      </c>
      <c r="B5361" s="6" t="s">
        <v>23</v>
      </c>
      <c r="C5361" s="6">
        <v>34.979999999999997</v>
      </c>
      <c r="D5361" s="6">
        <v>39.43</v>
      </c>
      <c r="E5361" s="6">
        <v>36.81</v>
      </c>
      <c r="F5361" t="str">
        <f t="shared" si="2257"/>
        <v>TUE</v>
      </c>
      <c r="G5361" s="3">
        <f t="shared" si="2258"/>
        <v>44138</v>
      </c>
      <c r="H5361" s="2">
        <f t="shared" ca="1" si="2259"/>
        <v>115</v>
      </c>
      <c r="I5361" t="str">
        <f t="shared" si="2260"/>
        <v>WTIC</v>
      </c>
      <c r="J5361">
        <f t="shared" si="2261"/>
        <v>34.979999999999997</v>
      </c>
      <c r="K5361">
        <f t="shared" si="2262"/>
        <v>39.43</v>
      </c>
      <c r="L5361">
        <f t="shared" si="2263"/>
        <v>37.204999999999998</v>
      </c>
      <c r="M5361">
        <f t="shared" si="2264"/>
        <v>2.2250000000000014</v>
      </c>
      <c r="N5361">
        <f t="shared" si="2253"/>
        <v>4.4500000000000028</v>
      </c>
      <c r="O5361">
        <f t="shared" si="2265"/>
        <v>36.81</v>
      </c>
      <c r="P5361">
        <f t="shared" si="2266"/>
        <v>-0.17752808988763855</v>
      </c>
      <c r="Q5361" t="str">
        <f t="shared" si="2254"/>
        <v>4.97% | 7.12%</v>
      </c>
      <c r="R5361" t="str">
        <f t="shared" si="2267"/>
        <v>BEARISH</v>
      </c>
      <c r="S5361">
        <f t="shared" si="2255"/>
        <v>-1</v>
      </c>
    </row>
    <row r="5362" spans="1:19" hidden="1" x14ac:dyDescent="0.25">
      <c r="A5362" s="5" t="str">
        <f t="shared" si="2256"/>
        <v>44138NATGAS</v>
      </c>
      <c r="B5362" s="6" t="s">
        <v>89</v>
      </c>
      <c r="C5362" s="6">
        <v>2.9</v>
      </c>
      <c r="D5362" s="6">
        <v>3.46</v>
      </c>
      <c r="E5362" s="6">
        <v>3.24</v>
      </c>
      <c r="F5362" t="str">
        <f t="shared" si="2257"/>
        <v>TUE</v>
      </c>
      <c r="G5362" s="3">
        <f t="shared" si="2258"/>
        <v>44138</v>
      </c>
      <c r="H5362" s="2">
        <f t="shared" ca="1" si="2259"/>
        <v>115</v>
      </c>
      <c r="I5362" t="str">
        <f t="shared" si="2260"/>
        <v>NATGAS</v>
      </c>
      <c r="J5362">
        <f t="shared" si="2261"/>
        <v>2.9</v>
      </c>
      <c r="K5362">
        <f t="shared" si="2262"/>
        <v>3.46</v>
      </c>
      <c r="L5362">
        <f t="shared" si="2263"/>
        <v>3.1799999999999997</v>
      </c>
      <c r="M5362">
        <f t="shared" si="2264"/>
        <v>0.28000000000000003</v>
      </c>
      <c r="N5362">
        <f t="shared" si="2253"/>
        <v>0.56000000000000005</v>
      </c>
      <c r="O5362">
        <f t="shared" si="2265"/>
        <v>3.24</v>
      </c>
      <c r="P5362">
        <f t="shared" si="2266"/>
        <v>0.21428571428571605</v>
      </c>
      <c r="Q5362" t="str">
        <f t="shared" si="2254"/>
        <v>10.49% | 6.79%</v>
      </c>
      <c r="R5362" t="str">
        <f t="shared" si="2267"/>
        <v>BULLISH</v>
      </c>
      <c r="S5362">
        <f t="shared" si="2255"/>
        <v>1</v>
      </c>
    </row>
    <row r="5363" spans="1:19" hidden="1" x14ac:dyDescent="0.25">
      <c r="A5363" s="5" t="str">
        <f t="shared" si="2256"/>
        <v>44138GOLD</v>
      </c>
      <c r="B5363" s="6" t="s">
        <v>25</v>
      </c>
      <c r="C5363" s="6">
        <v>1862</v>
      </c>
      <c r="D5363" s="6">
        <v>1935</v>
      </c>
      <c r="E5363" s="6">
        <v>1892</v>
      </c>
      <c r="F5363" t="str">
        <f t="shared" si="2257"/>
        <v>TUE</v>
      </c>
      <c r="G5363" s="3">
        <f t="shared" si="2258"/>
        <v>44138</v>
      </c>
      <c r="H5363" s="2">
        <f t="shared" ca="1" si="2259"/>
        <v>115</v>
      </c>
      <c r="I5363" t="str">
        <f t="shared" si="2260"/>
        <v>GOLD</v>
      </c>
      <c r="J5363">
        <f t="shared" si="2261"/>
        <v>1862</v>
      </c>
      <c r="K5363">
        <f t="shared" si="2262"/>
        <v>1935</v>
      </c>
      <c r="L5363">
        <f t="shared" si="2263"/>
        <v>1898.5</v>
      </c>
      <c r="M5363">
        <f t="shared" si="2264"/>
        <v>36.5</v>
      </c>
      <c r="N5363">
        <f t="shared" si="2253"/>
        <v>73</v>
      </c>
      <c r="O5363">
        <f t="shared" si="2265"/>
        <v>1892</v>
      </c>
      <c r="P5363">
        <f t="shared" si="2266"/>
        <v>-0.17808219178082191</v>
      </c>
      <c r="Q5363" t="str">
        <f t="shared" si="2254"/>
        <v>1.59% | 2.27%</v>
      </c>
      <c r="R5363" t="str">
        <f t="shared" si="2267"/>
        <v>BULLISH</v>
      </c>
      <c r="S5363">
        <f t="shared" si="2255"/>
        <v>1</v>
      </c>
    </row>
    <row r="5364" spans="1:19" hidden="1" x14ac:dyDescent="0.25">
      <c r="A5364" s="5" t="str">
        <f t="shared" si="2256"/>
        <v>44138SILVER</v>
      </c>
      <c r="B5364" s="6" t="s">
        <v>195</v>
      </c>
      <c r="C5364" s="6">
        <v>22.98</v>
      </c>
      <c r="D5364" s="6">
        <v>25.49</v>
      </c>
      <c r="E5364" s="6">
        <v>24.03</v>
      </c>
      <c r="F5364" t="str">
        <f t="shared" si="2257"/>
        <v>TUE</v>
      </c>
      <c r="G5364" s="3">
        <f t="shared" si="2258"/>
        <v>44138</v>
      </c>
      <c r="H5364" s="2">
        <f t="shared" ca="1" si="2259"/>
        <v>115</v>
      </c>
      <c r="I5364" t="str">
        <f t="shared" si="2260"/>
        <v>SILVER</v>
      </c>
      <c r="J5364">
        <f t="shared" si="2261"/>
        <v>22.98</v>
      </c>
      <c r="K5364">
        <f t="shared" si="2262"/>
        <v>25.49</v>
      </c>
      <c r="L5364">
        <f t="shared" si="2263"/>
        <v>24.234999999999999</v>
      </c>
      <c r="M5364">
        <f t="shared" si="2264"/>
        <v>1.254999999999999</v>
      </c>
      <c r="N5364">
        <f t="shared" si="2253"/>
        <v>2.509999999999998</v>
      </c>
      <c r="O5364">
        <f t="shared" si="2265"/>
        <v>24.03</v>
      </c>
      <c r="P5364">
        <f t="shared" si="2266"/>
        <v>-0.16334661354581551</v>
      </c>
      <c r="Q5364" t="str">
        <f t="shared" si="2254"/>
        <v>4.37% | 6.08%</v>
      </c>
      <c r="R5364" t="str">
        <f t="shared" si="2267"/>
        <v>BULLISH</v>
      </c>
      <c r="S5364">
        <f t="shared" si="2255"/>
        <v>1</v>
      </c>
    </row>
    <row r="5365" spans="1:19" hidden="1" x14ac:dyDescent="0.25">
      <c r="A5365" s="5" t="str">
        <f t="shared" si="2256"/>
        <v>44138COPPER</v>
      </c>
      <c r="B5365" s="6" t="s">
        <v>100</v>
      </c>
      <c r="C5365" s="6">
        <v>3.01</v>
      </c>
      <c r="D5365" s="6">
        <v>3.2</v>
      </c>
      <c r="E5365" s="6">
        <v>3.08</v>
      </c>
      <c r="F5365" t="str">
        <f t="shared" si="2257"/>
        <v>TUE</v>
      </c>
      <c r="G5365" s="3">
        <f t="shared" si="2258"/>
        <v>44138</v>
      </c>
      <c r="H5365" s="2">
        <f t="shared" ca="1" si="2259"/>
        <v>115</v>
      </c>
      <c r="I5365" t="str">
        <f t="shared" si="2260"/>
        <v>COPPER</v>
      </c>
      <c r="J5365">
        <f t="shared" si="2261"/>
        <v>3.01</v>
      </c>
      <c r="K5365">
        <f t="shared" si="2262"/>
        <v>3.2</v>
      </c>
      <c r="L5365">
        <f t="shared" si="2263"/>
        <v>3.105</v>
      </c>
      <c r="M5365">
        <f t="shared" si="2264"/>
        <v>9.5000000000000195E-2</v>
      </c>
      <c r="N5365">
        <f t="shared" si="2253"/>
        <v>0.19000000000000039</v>
      </c>
      <c r="O5365">
        <f t="shared" si="2265"/>
        <v>3.08</v>
      </c>
      <c r="P5365">
        <f t="shared" si="2266"/>
        <v>-0.26315789473684065</v>
      </c>
      <c r="Q5365" t="str">
        <f t="shared" si="2254"/>
        <v>2.27% | 3.9%</v>
      </c>
      <c r="R5365" t="str">
        <f t="shared" si="2267"/>
        <v>BULLISH</v>
      </c>
      <c r="S5365">
        <f t="shared" si="2255"/>
        <v>1</v>
      </c>
    </row>
    <row r="5366" spans="1:19" hidden="1" x14ac:dyDescent="0.25">
      <c r="A5366" s="5" t="str">
        <f t="shared" si="2256"/>
        <v>44138MSFT</v>
      </c>
      <c r="B5366" s="6" t="s">
        <v>236</v>
      </c>
      <c r="C5366" s="6">
        <v>197</v>
      </c>
      <c r="D5366" s="6">
        <v>210</v>
      </c>
      <c r="E5366" s="6">
        <v>202</v>
      </c>
      <c r="F5366" t="str">
        <f t="shared" si="2257"/>
        <v>TUE</v>
      </c>
      <c r="G5366" s="3">
        <f t="shared" si="2258"/>
        <v>44138</v>
      </c>
      <c r="H5366" s="2">
        <f t="shared" ca="1" si="2259"/>
        <v>115</v>
      </c>
      <c r="I5366" t="str">
        <f t="shared" si="2260"/>
        <v>MSFT</v>
      </c>
      <c r="J5366">
        <f t="shared" si="2261"/>
        <v>197</v>
      </c>
      <c r="K5366">
        <f t="shared" si="2262"/>
        <v>210</v>
      </c>
      <c r="L5366">
        <f t="shared" si="2263"/>
        <v>203.5</v>
      </c>
      <c r="M5366">
        <f t="shared" si="2264"/>
        <v>6.5</v>
      </c>
      <c r="N5366">
        <f t="shared" si="2253"/>
        <v>13</v>
      </c>
      <c r="O5366">
        <f t="shared" si="2265"/>
        <v>202</v>
      </c>
      <c r="P5366">
        <f t="shared" si="2266"/>
        <v>-0.23076923076923078</v>
      </c>
      <c r="Q5366" t="str">
        <f t="shared" si="2254"/>
        <v>2.48% | 3.96%</v>
      </c>
      <c r="R5366" t="str">
        <f t="shared" si="2267"/>
        <v>BEARISH</v>
      </c>
      <c r="S5366">
        <f t="shared" si="2255"/>
        <v>-1</v>
      </c>
    </row>
    <row r="5367" spans="1:19" hidden="1" x14ac:dyDescent="0.25">
      <c r="A5367" s="5" t="str">
        <f t="shared" si="2256"/>
        <v>44138AAPL</v>
      </c>
      <c r="B5367" s="6" t="s">
        <v>68</v>
      </c>
      <c r="C5367" s="6">
        <v>106</v>
      </c>
      <c r="D5367" s="6">
        <v>114</v>
      </c>
      <c r="E5367" s="6">
        <v>108</v>
      </c>
      <c r="F5367" t="str">
        <f t="shared" si="2257"/>
        <v>TUE</v>
      </c>
      <c r="G5367" s="3">
        <f t="shared" si="2258"/>
        <v>44138</v>
      </c>
      <c r="H5367" s="2">
        <f t="shared" ca="1" si="2259"/>
        <v>115</v>
      </c>
      <c r="I5367" t="str">
        <f t="shared" si="2260"/>
        <v>AAPL</v>
      </c>
      <c r="J5367">
        <f t="shared" si="2261"/>
        <v>106</v>
      </c>
      <c r="K5367">
        <f t="shared" si="2262"/>
        <v>114</v>
      </c>
      <c r="L5367">
        <f t="shared" si="2263"/>
        <v>110</v>
      </c>
      <c r="M5367">
        <f t="shared" si="2264"/>
        <v>4</v>
      </c>
      <c r="N5367">
        <f t="shared" si="2253"/>
        <v>8</v>
      </c>
      <c r="O5367">
        <f t="shared" si="2265"/>
        <v>108</v>
      </c>
      <c r="P5367">
        <f t="shared" si="2266"/>
        <v>-0.5</v>
      </c>
      <c r="Q5367" t="str">
        <f t="shared" si="2254"/>
        <v>1.85% | 5.56%</v>
      </c>
      <c r="R5367" t="str">
        <f t="shared" si="2267"/>
        <v>BEARISH</v>
      </c>
      <c r="S5367">
        <f t="shared" si="2255"/>
        <v>-1</v>
      </c>
    </row>
    <row r="5368" spans="1:19" hidden="1" x14ac:dyDescent="0.25">
      <c r="A5368" s="5" t="str">
        <f t="shared" si="2256"/>
        <v>44138AMZN</v>
      </c>
      <c r="B5368" s="6" t="s">
        <v>73</v>
      </c>
      <c r="C5368" s="6">
        <v>2986</v>
      </c>
      <c r="D5368" s="6">
        <v>3190</v>
      </c>
      <c r="E5368" s="6">
        <v>3004</v>
      </c>
      <c r="F5368" t="str">
        <f t="shared" si="2257"/>
        <v>TUE</v>
      </c>
      <c r="G5368" s="3">
        <f t="shared" si="2258"/>
        <v>44138</v>
      </c>
      <c r="H5368" s="2">
        <f t="shared" ca="1" si="2259"/>
        <v>115</v>
      </c>
      <c r="I5368" t="str">
        <f t="shared" si="2260"/>
        <v>AMZN</v>
      </c>
      <c r="J5368">
        <f t="shared" si="2261"/>
        <v>2986</v>
      </c>
      <c r="K5368">
        <f t="shared" si="2262"/>
        <v>3190</v>
      </c>
      <c r="L5368">
        <f t="shared" si="2263"/>
        <v>3088</v>
      </c>
      <c r="M5368">
        <f t="shared" si="2264"/>
        <v>102</v>
      </c>
      <c r="N5368">
        <f t="shared" si="2253"/>
        <v>204</v>
      </c>
      <c r="O5368">
        <f t="shared" si="2265"/>
        <v>3004</v>
      </c>
      <c r="P5368">
        <f t="shared" si="2266"/>
        <v>-0.82352941176470584</v>
      </c>
      <c r="Q5368" t="str">
        <f t="shared" si="2254"/>
        <v>0.6% | 6.19%</v>
      </c>
      <c r="R5368" t="str">
        <f t="shared" si="2267"/>
        <v>BEARISH</v>
      </c>
      <c r="S5368">
        <f t="shared" si="2255"/>
        <v>-1</v>
      </c>
    </row>
    <row r="5369" spans="1:19" hidden="1" x14ac:dyDescent="0.25">
      <c r="A5369" s="5" t="str">
        <f t="shared" si="2256"/>
        <v>44138FB</v>
      </c>
      <c r="B5369" s="6" t="s">
        <v>157</v>
      </c>
      <c r="C5369" s="6">
        <v>257</v>
      </c>
      <c r="D5369" s="6">
        <v>275</v>
      </c>
      <c r="E5369" s="6">
        <v>261</v>
      </c>
      <c r="F5369" t="str">
        <f t="shared" si="2257"/>
        <v>TUE</v>
      </c>
      <c r="G5369" s="3">
        <f t="shared" si="2258"/>
        <v>44138</v>
      </c>
      <c r="H5369" s="2">
        <f t="shared" ca="1" si="2259"/>
        <v>115</v>
      </c>
      <c r="I5369" t="str">
        <f t="shared" si="2260"/>
        <v>FB</v>
      </c>
      <c r="J5369">
        <f t="shared" si="2261"/>
        <v>257</v>
      </c>
      <c r="K5369">
        <f t="shared" si="2262"/>
        <v>275</v>
      </c>
      <c r="L5369">
        <f t="shared" si="2263"/>
        <v>266</v>
      </c>
      <c r="M5369">
        <f t="shared" si="2264"/>
        <v>9</v>
      </c>
      <c r="N5369">
        <f t="shared" si="2253"/>
        <v>18</v>
      </c>
      <c r="O5369">
        <f t="shared" si="2265"/>
        <v>261</v>
      </c>
      <c r="P5369">
        <f t="shared" si="2266"/>
        <v>-0.55555555555555558</v>
      </c>
      <c r="Q5369" t="str">
        <f t="shared" si="2254"/>
        <v>1.53% | 5.36%</v>
      </c>
      <c r="R5369" t="str">
        <f t="shared" si="2267"/>
        <v>NEUTRAL</v>
      </c>
      <c r="S5369">
        <f t="shared" si="2255"/>
        <v>0</v>
      </c>
    </row>
    <row r="5370" spans="1:19" hidden="1" x14ac:dyDescent="0.25">
      <c r="A5370" s="5" t="str">
        <f t="shared" si="2256"/>
        <v>44138GOOGL</v>
      </c>
      <c r="B5370" s="6" t="s">
        <v>31</v>
      </c>
      <c r="C5370" s="6">
        <v>1526</v>
      </c>
      <c r="D5370" s="6">
        <v>1672</v>
      </c>
      <c r="E5370" s="6">
        <v>1624</v>
      </c>
      <c r="F5370" t="str">
        <f t="shared" si="2257"/>
        <v>TUE</v>
      </c>
      <c r="G5370" s="3">
        <f t="shared" si="2258"/>
        <v>44138</v>
      </c>
      <c r="H5370" s="2">
        <f t="shared" ca="1" si="2259"/>
        <v>115</v>
      </c>
      <c r="I5370" t="str">
        <f t="shared" si="2260"/>
        <v>GOOGL</v>
      </c>
      <c r="J5370">
        <f t="shared" si="2261"/>
        <v>1526</v>
      </c>
      <c r="K5370">
        <f t="shared" si="2262"/>
        <v>1672</v>
      </c>
      <c r="L5370">
        <f t="shared" si="2263"/>
        <v>1599</v>
      </c>
      <c r="M5370">
        <f t="shared" si="2264"/>
        <v>73</v>
      </c>
      <c r="N5370">
        <f t="shared" si="2253"/>
        <v>146</v>
      </c>
      <c r="O5370">
        <f t="shared" si="2265"/>
        <v>1624</v>
      </c>
      <c r="P5370">
        <f t="shared" si="2266"/>
        <v>0.34246575342465752</v>
      </c>
      <c r="Q5370" t="str">
        <f t="shared" si="2254"/>
        <v>6.03% | 2.96%</v>
      </c>
      <c r="R5370" t="str">
        <f t="shared" si="2267"/>
        <v>BULLISH</v>
      </c>
      <c r="S5370">
        <f t="shared" si="2255"/>
        <v>1</v>
      </c>
    </row>
    <row r="5371" spans="1:19" hidden="1" x14ac:dyDescent="0.25">
      <c r="A5371" s="5" t="str">
        <f t="shared" si="2256"/>
        <v>44138NFLX</v>
      </c>
      <c r="B5371" s="6" t="s">
        <v>81</v>
      </c>
      <c r="C5371" s="6">
        <v>463</v>
      </c>
      <c r="D5371" s="6">
        <v>503</v>
      </c>
      <c r="E5371" s="6">
        <v>484</v>
      </c>
      <c r="F5371" t="str">
        <f t="shared" si="2257"/>
        <v>TUE</v>
      </c>
      <c r="G5371" s="3">
        <f t="shared" si="2258"/>
        <v>44138</v>
      </c>
      <c r="H5371" s="2">
        <f t="shared" ca="1" si="2259"/>
        <v>115</v>
      </c>
      <c r="I5371" t="str">
        <f t="shared" si="2260"/>
        <v>NFLX</v>
      </c>
      <c r="J5371">
        <f t="shared" si="2261"/>
        <v>463</v>
      </c>
      <c r="K5371">
        <f t="shared" si="2262"/>
        <v>503</v>
      </c>
      <c r="L5371">
        <f t="shared" si="2263"/>
        <v>483</v>
      </c>
      <c r="M5371">
        <f t="shared" si="2264"/>
        <v>20</v>
      </c>
      <c r="N5371">
        <f t="shared" si="2253"/>
        <v>40</v>
      </c>
      <c r="O5371">
        <f t="shared" si="2265"/>
        <v>484</v>
      </c>
      <c r="P5371">
        <f t="shared" si="2266"/>
        <v>0.05</v>
      </c>
      <c r="Q5371" t="str">
        <f t="shared" si="2254"/>
        <v>4.34% | 3.93%</v>
      </c>
      <c r="R5371" t="str">
        <f t="shared" si="2267"/>
        <v>BEARISH</v>
      </c>
      <c r="S5371">
        <f t="shared" si="2255"/>
        <v>-1</v>
      </c>
    </row>
    <row r="5372" spans="1:19" x14ac:dyDescent="0.25">
      <c r="A5372" s="5" t="str">
        <f t="shared" si="2256"/>
        <v>44138TSLA</v>
      </c>
      <c r="B5372" s="6" t="s">
        <v>71</v>
      </c>
      <c r="C5372" s="6">
        <v>380</v>
      </c>
      <c r="D5372" s="6">
        <v>437</v>
      </c>
      <c r="E5372" s="6">
        <v>400</v>
      </c>
      <c r="F5372" t="str">
        <f t="shared" si="2257"/>
        <v>TUE</v>
      </c>
      <c r="G5372" s="3">
        <f t="shared" si="2258"/>
        <v>44138</v>
      </c>
      <c r="H5372" s="2">
        <f t="shared" ca="1" si="2259"/>
        <v>115</v>
      </c>
      <c r="I5372" t="str">
        <f t="shared" si="2260"/>
        <v>TSLA</v>
      </c>
      <c r="J5372">
        <f t="shared" si="2261"/>
        <v>380</v>
      </c>
      <c r="K5372">
        <f t="shared" si="2262"/>
        <v>437</v>
      </c>
      <c r="L5372">
        <f t="shared" si="2263"/>
        <v>408.5</v>
      </c>
      <c r="M5372">
        <f t="shared" si="2264"/>
        <v>28.5</v>
      </c>
      <c r="N5372">
        <f t="shared" si="2253"/>
        <v>57</v>
      </c>
      <c r="O5372">
        <f t="shared" si="2265"/>
        <v>400</v>
      </c>
      <c r="P5372">
        <f t="shared" si="2266"/>
        <v>-0.2982456140350877</v>
      </c>
      <c r="Q5372" t="str">
        <f t="shared" si="2254"/>
        <v>5% | 9.25%</v>
      </c>
      <c r="R5372" t="str">
        <f t="shared" si="2267"/>
        <v>NEUTRAL</v>
      </c>
      <c r="S5372">
        <f t="shared" si="2255"/>
        <v>0</v>
      </c>
    </row>
    <row r="5373" spans="1:19" hidden="1" x14ac:dyDescent="0.25">
      <c r="A5373" s="5" t="str">
        <f t="shared" si="2256"/>
        <v>44138NYXBT</v>
      </c>
      <c r="B5373" s="6" t="s">
        <v>60</v>
      </c>
      <c r="C5373" s="6">
        <v>12641</v>
      </c>
      <c r="D5373" s="6">
        <v>13899</v>
      </c>
      <c r="E5373" s="6">
        <v>13522</v>
      </c>
      <c r="F5373" t="str">
        <f t="shared" si="2257"/>
        <v>TUE</v>
      </c>
      <c r="G5373" s="3">
        <f t="shared" si="2258"/>
        <v>44138</v>
      </c>
      <c r="H5373" s="2">
        <f t="shared" ca="1" si="2259"/>
        <v>115</v>
      </c>
      <c r="I5373" t="str">
        <f t="shared" si="2260"/>
        <v>NYXBT</v>
      </c>
      <c r="J5373">
        <f t="shared" si="2261"/>
        <v>12641</v>
      </c>
      <c r="K5373">
        <f t="shared" si="2262"/>
        <v>13899</v>
      </c>
      <c r="L5373">
        <f t="shared" si="2263"/>
        <v>13270</v>
      </c>
      <c r="M5373">
        <f t="shared" si="2264"/>
        <v>629</v>
      </c>
      <c r="N5373">
        <f t="shared" si="2253"/>
        <v>1258</v>
      </c>
      <c r="O5373">
        <f t="shared" si="2265"/>
        <v>13522</v>
      </c>
      <c r="P5373">
        <f t="shared" si="2266"/>
        <v>0.40063593004769477</v>
      </c>
      <c r="Q5373" t="str">
        <f t="shared" si="2254"/>
        <v>6.52% | 2.79%</v>
      </c>
      <c r="R5373" t="str">
        <f t="shared" si="2267"/>
        <v>BULLISH</v>
      </c>
      <c r="S5373">
        <f t="shared" si="2255"/>
        <v>1</v>
      </c>
    </row>
    <row r="5374" spans="1:19" hidden="1" x14ac:dyDescent="0.25">
      <c r="A5374" s="5" t="str">
        <f t="shared" si="2256"/>
        <v>44139UST10Y</v>
      </c>
      <c r="B5374" s="6" t="s">
        <v>4</v>
      </c>
      <c r="C5374" s="6">
        <v>0.91</v>
      </c>
      <c r="D5374" s="6">
        <v>0.73</v>
      </c>
      <c r="E5374" s="6">
        <v>0.9</v>
      </c>
      <c r="F5374" t="str">
        <f t="shared" si="2257"/>
        <v>WED</v>
      </c>
      <c r="G5374" s="1">
        <f>DATE(2020,11,4)</f>
        <v>44139</v>
      </c>
      <c r="H5374" s="2">
        <f t="shared" ca="1" si="2259"/>
        <v>114</v>
      </c>
      <c r="I5374" t="str">
        <f t="shared" si="2260"/>
        <v>UST10Y</v>
      </c>
      <c r="J5374">
        <f t="shared" si="2261"/>
        <v>0.91</v>
      </c>
      <c r="K5374">
        <f t="shared" si="2262"/>
        <v>0.73</v>
      </c>
      <c r="L5374">
        <f t="shared" si="2263"/>
        <v>0.82000000000000006</v>
      </c>
      <c r="M5374">
        <f t="shared" si="2264"/>
        <v>8.9999999999999358E-2</v>
      </c>
      <c r="N5374">
        <f t="shared" si="2253"/>
        <v>0.18000000000000005</v>
      </c>
      <c r="O5374">
        <f t="shared" si="2265"/>
        <v>0.9</v>
      </c>
      <c r="P5374">
        <f t="shared" si="2266"/>
        <v>0.88888888888889483</v>
      </c>
      <c r="Q5374" t="str">
        <f t="shared" si="2254"/>
        <v>1.11% | 18.89%</v>
      </c>
      <c r="R5374" t="str">
        <f t="shared" si="2267"/>
        <v>BEARISH</v>
      </c>
      <c r="S5374">
        <f t="shared" si="2255"/>
        <v>-1</v>
      </c>
    </row>
    <row r="5375" spans="1:19" hidden="1" x14ac:dyDescent="0.25">
      <c r="A5375" s="5" t="str">
        <f t="shared" si="2256"/>
        <v>44139UST2Y</v>
      </c>
      <c r="B5375" s="6" t="s">
        <v>5</v>
      </c>
      <c r="C5375" s="6">
        <v>0.18</v>
      </c>
      <c r="D5375" s="6">
        <v>0.13</v>
      </c>
      <c r="E5375" s="6">
        <v>0.17</v>
      </c>
      <c r="F5375" t="str">
        <f t="shared" ref="F5375:F5405" si="2268">UPPER(TEXT(G5375,"ddd"))</f>
        <v>WED</v>
      </c>
      <c r="G5375" s="1">
        <f t="shared" ref="G5375:G5404" si="2269">DATE(2020,11,4)</f>
        <v>44139</v>
      </c>
      <c r="H5375" s="2">
        <f t="shared" ref="H5375:H5405" ca="1" si="2270">TODAY()-G5375</f>
        <v>114</v>
      </c>
      <c r="I5375" t="str">
        <f t="shared" ref="I5375:I5405" si="2271">TRIM(LEFT(B5375,FIND(" ",B5375,1)))</f>
        <v>UST2Y</v>
      </c>
      <c r="J5375">
        <f t="shared" ref="J5375:J5405" si="2272">C5375</f>
        <v>0.18</v>
      </c>
      <c r="K5375">
        <f t="shared" ref="K5375:K5405" si="2273">D5375</f>
        <v>0.13</v>
      </c>
      <c r="L5375">
        <f t="shared" ref="L5375:L5405" si="2274">AVERAGE(J5375:K5375)</f>
        <v>0.155</v>
      </c>
      <c r="M5375">
        <f t="shared" ref="M5375:M5405" si="2275">_xlfn.STDEV.P(J5375:K5375)</f>
        <v>2.4999999999999942E-2</v>
      </c>
      <c r="N5375">
        <f t="shared" si="2253"/>
        <v>4.9999999999999989E-2</v>
      </c>
      <c r="O5375">
        <f t="shared" ref="O5375:O5405" si="2276">E5375</f>
        <v>0.17</v>
      </c>
      <c r="P5375">
        <f t="shared" ref="P5375:P5405" si="2277">(O5375-L5375)/M5375</f>
        <v>0.60000000000000187</v>
      </c>
      <c r="Q5375" t="str">
        <f t="shared" si="2254"/>
        <v>5.88% | 23.53%</v>
      </c>
      <c r="R5375" t="str">
        <f t="shared" ref="R5375:R5405" si="2278">MID(B5375,FIND("(",B5375,1)+1,FIND(")",B5375,1)-FIND("(",B5375,1)-1)</f>
        <v>BEARISH</v>
      </c>
      <c r="S5375">
        <f t="shared" si="2255"/>
        <v>-1</v>
      </c>
    </row>
    <row r="5376" spans="1:19" hidden="1" x14ac:dyDescent="0.25">
      <c r="A5376" s="5" t="str">
        <f t="shared" si="2256"/>
        <v>44139SPX</v>
      </c>
      <c r="B5376" s="6" t="s">
        <v>6</v>
      </c>
      <c r="C5376" s="6">
        <v>3211</v>
      </c>
      <c r="D5376" s="6">
        <v>3399</v>
      </c>
      <c r="E5376" s="6">
        <v>3369</v>
      </c>
      <c r="F5376" t="str">
        <f t="shared" si="2268"/>
        <v>WED</v>
      </c>
      <c r="G5376" s="1">
        <f t="shared" si="2269"/>
        <v>44139</v>
      </c>
      <c r="H5376" s="2">
        <f t="shared" ca="1" si="2270"/>
        <v>114</v>
      </c>
      <c r="I5376" t="str">
        <f t="shared" si="2271"/>
        <v>SPX</v>
      </c>
      <c r="J5376">
        <f t="shared" si="2272"/>
        <v>3211</v>
      </c>
      <c r="K5376">
        <f t="shared" si="2273"/>
        <v>3399</v>
      </c>
      <c r="L5376">
        <f t="shared" si="2274"/>
        <v>3305</v>
      </c>
      <c r="M5376">
        <f t="shared" si="2275"/>
        <v>94</v>
      </c>
      <c r="N5376">
        <f t="shared" si="2253"/>
        <v>188</v>
      </c>
      <c r="O5376">
        <f t="shared" si="2276"/>
        <v>3369</v>
      </c>
      <c r="P5376">
        <f t="shared" si="2277"/>
        <v>0.68085106382978722</v>
      </c>
      <c r="Q5376" t="str">
        <f t="shared" si="2254"/>
        <v>4.69% | 0.89%</v>
      </c>
      <c r="R5376" t="str">
        <f t="shared" si="2278"/>
        <v>BEARISH</v>
      </c>
      <c r="S5376">
        <f t="shared" si="2255"/>
        <v>-1</v>
      </c>
    </row>
    <row r="5377" spans="1:19" hidden="1" x14ac:dyDescent="0.25">
      <c r="A5377" s="5" t="str">
        <f t="shared" si="2256"/>
        <v>44139RUT</v>
      </c>
      <c r="B5377" s="6" t="s">
        <v>7</v>
      </c>
      <c r="C5377" s="6">
        <v>1514</v>
      </c>
      <c r="D5377" s="6">
        <v>1632</v>
      </c>
      <c r="E5377" s="6">
        <v>1614</v>
      </c>
      <c r="F5377" t="str">
        <f t="shared" si="2268"/>
        <v>WED</v>
      </c>
      <c r="G5377" s="1">
        <f t="shared" si="2269"/>
        <v>44139</v>
      </c>
      <c r="H5377" s="2">
        <f t="shared" ca="1" si="2270"/>
        <v>114</v>
      </c>
      <c r="I5377" t="str">
        <f t="shared" si="2271"/>
        <v>RUT</v>
      </c>
      <c r="J5377">
        <f t="shared" si="2272"/>
        <v>1514</v>
      </c>
      <c r="K5377">
        <f t="shared" si="2273"/>
        <v>1632</v>
      </c>
      <c r="L5377">
        <f t="shared" si="2274"/>
        <v>1573</v>
      </c>
      <c r="M5377">
        <f t="shared" si="2275"/>
        <v>59</v>
      </c>
      <c r="N5377">
        <f t="shared" si="2253"/>
        <v>118</v>
      </c>
      <c r="O5377">
        <f t="shared" si="2276"/>
        <v>1614</v>
      </c>
      <c r="P5377">
        <f t="shared" si="2277"/>
        <v>0.69491525423728817</v>
      </c>
      <c r="Q5377" t="str">
        <f t="shared" si="2254"/>
        <v>6.2% | 1.12%</v>
      </c>
      <c r="R5377" t="str">
        <f t="shared" si="2278"/>
        <v>BEARISH</v>
      </c>
      <c r="S5377">
        <f t="shared" si="2255"/>
        <v>-1</v>
      </c>
    </row>
    <row r="5378" spans="1:19" hidden="1" x14ac:dyDescent="0.25">
      <c r="A5378" s="5" t="str">
        <f t="shared" si="2256"/>
        <v>44139COMPQ</v>
      </c>
      <c r="B5378" s="6" t="s">
        <v>61</v>
      </c>
      <c r="C5378" s="6">
        <v>10763</v>
      </c>
      <c r="D5378" s="6">
        <v>11298</v>
      </c>
      <c r="E5378" s="6">
        <v>11160</v>
      </c>
      <c r="F5378" t="str">
        <f t="shared" si="2268"/>
        <v>WED</v>
      </c>
      <c r="G5378" s="1">
        <f t="shared" si="2269"/>
        <v>44139</v>
      </c>
      <c r="H5378" s="2">
        <f t="shared" ca="1" si="2270"/>
        <v>114</v>
      </c>
      <c r="I5378" t="str">
        <f t="shared" si="2271"/>
        <v>COMPQ</v>
      </c>
      <c r="J5378">
        <f t="shared" si="2272"/>
        <v>10763</v>
      </c>
      <c r="K5378">
        <f t="shared" si="2273"/>
        <v>11298</v>
      </c>
      <c r="L5378">
        <f t="shared" si="2274"/>
        <v>11030.5</v>
      </c>
      <c r="M5378">
        <f t="shared" si="2275"/>
        <v>267.5</v>
      </c>
      <c r="N5378">
        <f t="shared" si="2253"/>
        <v>535</v>
      </c>
      <c r="O5378">
        <f t="shared" si="2276"/>
        <v>11160</v>
      </c>
      <c r="P5378">
        <f t="shared" si="2277"/>
        <v>0.48411214953271026</v>
      </c>
      <c r="Q5378" t="str">
        <f t="shared" si="2254"/>
        <v>3.56% | 1.24%</v>
      </c>
      <c r="R5378" t="str">
        <f t="shared" si="2278"/>
        <v>NEUTRAL</v>
      </c>
      <c r="S5378">
        <f t="shared" si="2255"/>
        <v>0</v>
      </c>
    </row>
    <row r="5379" spans="1:19" hidden="1" x14ac:dyDescent="0.25">
      <c r="A5379" s="5" t="str">
        <f t="shared" si="2256"/>
        <v>44139XLK</v>
      </c>
      <c r="B5379" s="6" t="s">
        <v>65</v>
      </c>
      <c r="C5379" s="6">
        <v>108.42</v>
      </c>
      <c r="D5379" s="6">
        <v>116.17</v>
      </c>
      <c r="E5379" s="6">
        <v>113.1</v>
      </c>
      <c r="F5379" t="str">
        <f t="shared" si="2268"/>
        <v>WED</v>
      </c>
      <c r="G5379" s="1">
        <f t="shared" si="2269"/>
        <v>44139</v>
      </c>
      <c r="H5379" s="2">
        <f t="shared" ca="1" si="2270"/>
        <v>114</v>
      </c>
      <c r="I5379" t="str">
        <f t="shared" si="2271"/>
        <v>XLK</v>
      </c>
      <c r="J5379">
        <f t="shared" si="2272"/>
        <v>108.42</v>
      </c>
      <c r="K5379">
        <f t="shared" si="2273"/>
        <v>116.17</v>
      </c>
      <c r="L5379">
        <f t="shared" si="2274"/>
        <v>112.295</v>
      </c>
      <c r="M5379">
        <f t="shared" si="2275"/>
        <v>3.875</v>
      </c>
      <c r="N5379">
        <f t="shared" ref="N5379:N5442" si="2279">ABS(K5379-J5379)</f>
        <v>7.75</v>
      </c>
      <c r="O5379">
        <f t="shared" si="2276"/>
        <v>113.1</v>
      </c>
      <c r="P5379">
        <f t="shared" si="2277"/>
        <v>0.20774193548386907</v>
      </c>
      <c r="Q5379" t="str">
        <f t="shared" ref="Q5379:Q5442" si="2280">ROUND(ABS(100*(O5379-J5379)/O5379),2)&amp;"% | "&amp;ROUND(ABS(100*(K5379-O5379)/O5379),2)&amp;"%"</f>
        <v>4.14% | 2.71%</v>
      </c>
      <c r="R5379" t="str">
        <f t="shared" si="2278"/>
        <v>BEARISH</v>
      </c>
      <c r="S5379">
        <f t="shared" ref="S5379:S5442" si="2281">IF(R5379="BEARISH",-1,IF(R5379="NEUTRAL",0,IF(R5379="BULLISH",1,99)))</f>
        <v>-1</v>
      </c>
    </row>
    <row r="5380" spans="1:19" hidden="1" x14ac:dyDescent="0.25">
      <c r="A5380" s="5" t="str">
        <f t="shared" si="2256"/>
        <v>44139XLRE</v>
      </c>
      <c r="B5380" s="6" t="s">
        <v>156</v>
      </c>
      <c r="C5380" s="6">
        <v>33.33</v>
      </c>
      <c r="D5380" s="6">
        <v>36.15</v>
      </c>
      <c r="E5380" s="6">
        <v>35.54</v>
      </c>
      <c r="F5380" t="str">
        <f t="shared" si="2268"/>
        <v>WED</v>
      </c>
      <c r="G5380" s="1">
        <f t="shared" si="2269"/>
        <v>44139</v>
      </c>
      <c r="H5380" s="2">
        <f t="shared" ca="1" si="2270"/>
        <v>114</v>
      </c>
      <c r="I5380" t="str">
        <f t="shared" si="2271"/>
        <v>XLRE</v>
      </c>
      <c r="J5380">
        <f t="shared" si="2272"/>
        <v>33.33</v>
      </c>
      <c r="K5380">
        <f t="shared" si="2273"/>
        <v>36.15</v>
      </c>
      <c r="L5380">
        <f t="shared" si="2274"/>
        <v>34.739999999999995</v>
      </c>
      <c r="M5380">
        <f t="shared" si="2275"/>
        <v>1.4100000000000001</v>
      </c>
      <c r="N5380">
        <f t="shared" si="2279"/>
        <v>2.8200000000000003</v>
      </c>
      <c r="O5380">
        <f t="shared" si="2276"/>
        <v>35.54</v>
      </c>
      <c r="P5380">
        <f t="shared" si="2277"/>
        <v>0.56737588652482562</v>
      </c>
      <c r="Q5380" t="str">
        <f t="shared" si="2280"/>
        <v>6.22% | 1.72%</v>
      </c>
      <c r="R5380" t="str">
        <f t="shared" si="2278"/>
        <v>NEUTRAL</v>
      </c>
      <c r="S5380">
        <f t="shared" si="2281"/>
        <v>0</v>
      </c>
    </row>
    <row r="5381" spans="1:19" hidden="1" x14ac:dyDescent="0.25">
      <c r="A5381" s="5" t="str">
        <f t="shared" si="2256"/>
        <v>44139XLU</v>
      </c>
      <c r="B5381" s="6" t="s">
        <v>52</v>
      </c>
      <c r="C5381" s="6">
        <v>62.09</v>
      </c>
      <c r="D5381" s="6">
        <v>65.94</v>
      </c>
      <c r="E5381" s="6">
        <v>64.67</v>
      </c>
      <c r="F5381" t="str">
        <f t="shared" si="2268"/>
        <v>WED</v>
      </c>
      <c r="G5381" s="1">
        <f t="shared" si="2269"/>
        <v>44139</v>
      </c>
      <c r="H5381" s="2">
        <f t="shared" ca="1" si="2270"/>
        <v>114</v>
      </c>
      <c r="I5381" t="str">
        <f t="shared" si="2271"/>
        <v>XLU</v>
      </c>
      <c r="J5381">
        <f t="shared" si="2272"/>
        <v>62.09</v>
      </c>
      <c r="K5381">
        <f t="shared" si="2273"/>
        <v>65.94</v>
      </c>
      <c r="L5381">
        <f t="shared" si="2274"/>
        <v>64.015000000000001</v>
      </c>
      <c r="M5381">
        <f t="shared" si="2275"/>
        <v>1.9249999999999972</v>
      </c>
      <c r="N5381">
        <f t="shared" si="2279"/>
        <v>3.8499999999999943</v>
      </c>
      <c r="O5381">
        <f t="shared" si="2276"/>
        <v>64.67</v>
      </c>
      <c r="P5381">
        <f t="shared" si="2277"/>
        <v>0.34025974025974137</v>
      </c>
      <c r="Q5381" t="str">
        <f t="shared" si="2280"/>
        <v>3.99% | 1.96%</v>
      </c>
      <c r="R5381" t="str">
        <f t="shared" si="2278"/>
        <v>BULLISH</v>
      </c>
      <c r="S5381">
        <f t="shared" si="2281"/>
        <v>1</v>
      </c>
    </row>
    <row r="5382" spans="1:19" hidden="1" x14ac:dyDescent="0.25">
      <c r="A5382" s="5" t="str">
        <f t="shared" si="2256"/>
        <v>44139XLF</v>
      </c>
      <c r="B5382" s="6" t="s">
        <v>12</v>
      </c>
      <c r="C5382" s="6">
        <v>23.23</v>
      </c>
      <c r="D5382" s="6">
        <v>25.27</v>
      </c>
      <c r="E5382" s="6">
        <v>24.85</v>
      </c>
      <c r="F5382" t="str">
        <f t="shared" si="2268"/>
        <v>WED</v>
      </c>
      <c r="G5382" s="1">
        <f t="shared" si="2269"/>
        <v>44139</v>
      </c>
      <c r="H5382" s="2">
        <f t="shared" ca="1" si="2270"/>
        <v>114</v>
      </c>
      <c r="I5382" t="str">
        <f t="shared" si="2271"/>
        <v>XLF</v>
      </c>
      <c r="J5382">
        <f t="shared" si="2272"/>
        <v>23.23</v>
      </c>
      <c r="K5382">
        <f t="shared" si="2273"/>
        <v>25.27</v>
      </c>
      <c r="L5382">
        <f t="shared" si="2274"/>
        <v>24.25</v>
      </c>
      <c r="M5382">
        <f t="shared" si="2275"/>
        <v>1.0199999999999996</v>
      </c>
      <c r="N5382">
        <f t="shared" si="2279"/>
        <v>2.0399999999999991</v>
      </c>
      <c r="O5382">
        <f t="shared" si="2276"/>
        <v>24.85</v>
      </c>
      <c r="P5382">
        <f t="shared" si="2277"/>
        <v>0.58823529411764874</v>
      </c>
      <c r="Q5382" t="str">
        <f t="shared" si="2280"/>
        <v>6.52% | 1.69%</v>
      </c>
      <c r="R5382" t="str">
        <f t="shared" si="2278"/>
        <v>BEARISH</v>
      </c>
      <c r="S5382">
        <f t="shared" si="2281"/>
        <v>-1</v>
      </c>
    </row>
    <row r="5383" spans="1:19" hidden="1" x14ac:dyDescent="0.25">
      <c r="A5383" s="5" t="str">
        <f t="shared" ref="A5383:A5446" si="2282">G5383&amp;I5383</f>
        <v>44139SSEC</v>
      </c>
      <c r="B5383" s="6" t="s">
        <v>104</v>
      </c>
      <c r="C5383" s="6">
        <v>3209</v>
      </c>
      <c r="D5383" s="6">
        <v>3323</v>
      </c>
      <c r="E5383" s="6">
        <v>3277</v>
      </c>
      <c r="F5383" t="str">
        <f t="shared" si="2268"/>
        <v>WED</v>
      </c>
      <c r="G5383" s="1">
        <f t="shared" si="2269"/>
        <v>44139</v>
      </c>
      <c r="H5383" s="2">
        <f t="shared" ca="1" si="2270"/>
        <v>114</v>
      </c>
      <c r="I5383" t="str">
        <f t="shared" si="2271"/>
        <v>SSEC</v>
      </c>
      <c r="J5383">
        <f t="shared" si="2272"/>
        <v>3209</v>
      </c>
      <c r="K5383">
        <f t="shared" si="2273"/>
        <v>3323</v>
      </c>
      <c r="L5383">
        <f t="shared" si="2274"/>
        <v>3266</v>
      </c>
      <c r="M5383">
        <f t="shared" si="2275"/>
        <v>57</v>
      </c>
      <c r="N5383">
        <f t="shared" si="2279"/>
        <v>114</v>
      </c>
      <c r="O5383">
        <f t="shared" si="2276"/>
        <v>3277</v>
      </c>
      <c r="P5383">
        <f t="shared" si="2277"/>
        <v>0.19298245614035087</v>
      </c>
      <c r="Q5383" t="str">
        <f t="shared" si="2280"/>
        <v>2.08% | 1.4%</v>
      </c>
      <c r="R5383" t="str">
        <f t="shared" si="2278"/>
        <v>BULLISH</v>
      </c>
      <c r="S5383">
        <f t="shared" si="2281"/>
        <v>1</v>
      </c>
    </row>
    <row r="5384" spans="1:19" hidden="1" x14ac:dyDescent="0.25">
      <c r="A5384" s="5" t="str">
        <f t="shared" si="2282"/>
        <v>44139NIKK</v>
      </c>
      <c r="B5384" s="6" t="s">
        <v>91</v>
      </c>
      <c r="C5384" s="6">
        <v>23006</v>
      </c>
      <c r="D5384" s="6">
        <v>23791</v>
      </c>
      <c r="E5384" s="6">
        <v>23695</v>
      </c>
      <c r="F5384" t="str">
        <f t="shared" si="2268"/>
        <v>WED</v>
      </c>
      <c r="G5384" s="1">
        <f t="shared" si="2269"/>
        <v>44139</v>
      </c>
      <c r="H5384" s="2">
        <f t="shared" ca="1" si="2270"/>
        <v>114</v>
      </c>
      <c r="I5384" t="str">
        <f t="shared" si="2271"/>
        <v>NIKK</v>
      </c>
      <c r="J5384">
        <f t="shared" si="2272"/>
        <v>23006</v>
      </c>
      <c r="K5384">
        <f t="shared" si="2273"/>
        <v>23791</v>
      </c>
      <c r="L5384">
        <f t="shared" si="2274"/>
        <v>23398.5</v>
      </c>
      <c r="M5384">
        <f t="shared" si="2275"/>
        <v>392.5</v>
      </c>
      <c r="N5384">
        <f t="shared" si="2279"/>
        <v>785</v>
      </c>
      <c r="O5384">
        <f t="shared" si="2276"/>
        <v>23695</v>
      </c>
      <c r="P5384">
        <f t="shared" si="2277"/>
        <v>0.75541401273885356</v>
      </c>
      <c r="Q5384" t="str">
        <f t="shared" si="2280"/>
        <v>2.91% | 0.41%</v>
      </c>
      <c r="R5384" t="str">
        <f t="shared" si="2278"/>
        <v>BULLISH</v>
      </c>
      <c r="S5384">
        <f t="shared" si="2281"/>
        <v>1</v>
      </c>
    </row>
    <row r="5385" spans="1:19" hidden="1" x14ac:dyDescent="0.25">
      <c r="A5385" s="5" t="str">
        <f t="shared" si="2282"/>
        <v>44139DAX</v>
      </c>
      <c r="B5385" s="6" t="s">
        <v>16</v>
      </c>
      <c r="C5385" s="6">
        <v>11225</v>
      </c>
      <c r="D5385" s="6">
        <v>12414</v>
      </c>
      <c r="E5385" s="6">
        <v>12088</v>
      </c>
      <c r="F5385" t="str">
        <f t="shared" si="2268"/>
        <v>WED</v>
      </c>
      <c r="G5385" s="1">
        <f t="shared" si="2269"/>
        <v>44139</v>
      </c>
      <c r="H5385" s="2">
        <f t="shared" ca="1" si="2270"/>
        <v>114</v>
      </c>
      <c r="I5385" t="str">
        <f t="shared" si="2271"/>
        <v>DAX</v>
      </c>
      <c r="J5385">
        <f t="shared" si="2272"/>
        <v>11225</v>
      </c>
      <c r="K5385">
        <f t="shared" si="2273"/>
        <v>12414</v>
      </c>
      <c r="L5385">
        <f t="shared" si="2274"/>
        <v>11819.5</v>
      </c>
      <c r="M5385">
        <f t="shared" si="2275"/>
        <v>594.5</v>
      </c>
      <c r="N5385">
        <f t="shared" si="2279"/>
        <v>1189</v>
      </c>
      <c r="O5385">
        <f t="shared" si="2276"/>
        <v>12088</v>
      </c>
      <c r="P5385">
        <f t="shared" si="2277"/>
        <v>0.45164003364171573</v>
      </c>
      <c r="Q5385" t="str">
        <f t="shared" si="2280"/>
        <v>7.14% | 2.7%</v>
      </c>
      <c r="R5385" t="str">
        <f t="shared" si="2278"/>
        <v>BEARISH</v>
      </c>
      <c r="S5385">
        <f t="shared" si="2281"/>
        <v>-1</v>
      </c>
    </row>
    <row r="5386" spans="1:19" hidden="1" x14ac:dyDescent="0.25">
      <c r="A5386" s="5" t="str">
        <f t="shared" si="2282"/>
        <v>44139VIX</v>
      </c>
      <c r="B5386" s="6" t="s">
        <v>17</v>
      </c>
      <c r="C5386" s="6">
        <v>30.97</v>
      </c>
      <c r="D5386" s="6">
        <v>42.93</v>
      </c>
      <c r="E5386" s="6">
        <v>35.549999999999997</v>
      </c>
      <c r="F5386" t="str">
        <f t="shared" si="2268"/>
        <v>WED</v>
      </c>
      <c r="G5386" s="1">
        <f t="shared" si="2269"/>
        <v>44139</v>
      </c>
      <c r="H5386" s="2">
        <f t="shared" ca="1" si="2270"/>
        <v>114</v>
      </c>
      <c r="I5386" t="str">
        <f t="shared" si="2271"/>
        <v>VIX</v>
      </c>
      <c r="J5386">
        <f t="shared" si="2272"/>
        <v>30.97</v>
      </c>
      <c r="K5386">
        <f t="shared" si="2273"/>
        <v>42.93</v>
      </c>
      <c r="L5386">
        <f t="shared" si="2274"/>
        <v>36.950000000000003</v>
      </c>
      <c r="M5386">
        <f t="shared" si="2275"/>
        <v>5.979999999999972</v>
      </c>
      <c r="N5386">
        <f t="shared" si="2279"/>
        <v>11.96</v>
      </c>
      <c r="O5386">
        <f t="shared" si="2276"/>
        <v>35.549999999999997</v>
      </c>
      <c r="P5386">
        <f t="shared" si="2277"/>
        <v>-0.23411371237458398</v>
      </c>
      <c r="Q5386" t="str">
        <f t="shared" si="2280"/>
        <v>12.88% | 20.76%</v>
      </c>
      <c r="R5386" t="str">
        <f t="shared" si="2278"/>
        <v>BULLISH</v>
      </c>
      <c r="S5386">
        <f t="shared" si="2281"/>
        <v>1</v>
      </c>
    </row>
    <row r="5387" spans="1:19" hidden="1" x14ac:dyDescent="0.25">
      <c r="A5387" s="5" t="str">
        <f t="shared" si="2282"/>
        <v>44139USD</v>
      </c>
      <c r="B5387" s="6" t="s">
        <v>94</v>
      </c>
      <c r="C5387" s="6">
        <v>92.32</v>
      </c>
      <c r="D5387" s="6">
        <v>94.4</v>
      </c>
      <c r="E5387" s="6">
        <v>93.56</v>
      </c>
      <c r="F5387" t="str">
        <f t="shared" si="2268"/>
        <v>WED</v>
      </c>
      <c r="G5387" s="1">
        <f t="shared" si="2269"/>
        <v>44139</v>
      </c>
      <c r="H5387" s="2">
        <f t="shared" ca="1" si="2270"/>
        <v>114</v>
      </c>
      <c r="I5387" t="str">
        <f t="shared" si="2271"/>
        <v>USD</v>
      </c>
      <c r="J5387">
        <f t="shared" si="2272"/>
        <v>92.32</v>
      </c>
      <c r="K5387">
        <f t="shared" si="2273"/>
        <v>94.4</v>
      </c>
      <c r="L5387">
        <f t="shared" si="2274"/>
        <v>93.36</v>
      </c>
      <c r="M5387">
        <f t="shared" si="2275"/>
        <v>1.0400000000000063</v>
      </c>
      <c r="N5387">
        <f t="shared" si="2279"/>
        <v>2.0800000000000125</v>
      </c>
      <c r="O5387">
        <f t="shared" si="2276"/>
        <v>93.56</v>
      </c>
      <c r="P5387">
        <f t="shared" si="2277"/>
        <v>0.19230769230769387</v>
      </c>
      <c r="Q5387" t="str">
        <f t="shared" si="2280"/>
        <v>1.33% | 0.9%</v>
      </c>
      <c r="R5387" t="str">
        <f t="shared" si="2278"/>
        <v>BEARISH</v>
      </c>
      <c r="S5387">
        <f t="shared" si="2281"/>
        <v>-1</v>
      </c>
    </row>
    <row r="5388" spans="1:19" hidden="1" x14ac:dyDescent="0.25">
      <c r="A5388" s="5" t="str">
        <f t="shared" si="2282"/>
        <v>44139EUR/USD</v>
      </c>
      <c r="B5388" s="6" t="s">
        <v>99</v>
      </c>
      <c r="C5388" s="6">
        <v>1.1599999999999999</v>
      </c>
      <c r="D5388" s="6">
        <v>1.1890000000000001</v>
      </c>
      <c r="E5388" s="6">
        <v>1.1719999999999999</v>
      </c>
      <c r="F5388" t="str">
        <f t="shared" si="2268"/>
        <v>WED</v>
      </c>
      <c r="G5388" s="1">
        <f t="shared" si="2269"/>
        <v>44139</v>
      </c>
      <c r="H5388" s="2">
        <f t="shared" ca="1" si="2270"/>
        <v>114</v>
      </c>
      <c r="I5388" t="str">
        <f t="shared" si="2271"/>
        <v>EUR/USD</v>
      </c>
      <c r="J5388">
        <f t="shared" si="2272"/>
        <v>1.1599999999999999</v>
      </c>
      <c r="K5388">
        <f t="shared" si="2273"/>
        <v>1.1890000000000001</v>
      </c>
      <c r="L5388">
        <f t="shared" si="2274"/>
        <v>1.1745000000000001</v>
      </c>
      <c r="M5388">
        <f t="shared" si="2275"/>
        <v>1.4500000000000068E-2</v>
      </c>
      <c r="N5388">
        <f t="shared" si="2279"/>
        <v>2.9000000000000137E-2</v>
      </c>
      <c r="O5388">
        <f t="shared" si="2276"/>
        <v>1.1719999999999999</v>
      </c>
      <c r="P5388">
        <f t="shared" si="2277"/>
        <v>-0.17241379310345911</v>
      </c>
      <c r="Q5388" t="str">
        <f t="shared" si="2280"/>
        <v>1.02% | 1.45%</v>
      </c>
      <c r="R5388" t="str">
        <f t="shared" si="2278"/>
        <v>BULLISH</v>
      </c>
      <c r="S5388">
        <f t="shared" si="2281"/>
        <v>1</v>
      </c>
    </row>
    <row r="5389" spans="1:19" hidden="1" x14ac:dyDescent="0.25">
      <c r="A5389" s="5" t="str">
        <f t="shared" si="2282"/>
        <v>44139USD/JPY</v>
      </c>
      <c r="B5389" s="6" t="s">
        <v>20</v>
      </c>
      <c r="C5389" s="6">
        <v>104.12</v>
      </c>
      <c r="D5389" s="6">
        <v>105.21</v>
      </c>
      <c r="E5389" s="6">
        <v>104.54</v>
      </c>
      <c r="F5389" t="str">
        <f t="shared" si="2268"/>
        <v>WED</v>
      </c>
      <c r="G5389" s="1">
        <f t="shared" si="2269"/>
        <v>44139</v>
      </c>
      <c r="H5389" s="2">
        <f t="shared" ca="1" si="2270"/>
        <v>114</v>
      </c>
      <c r="I5389" t="str">
        <f t="shared" si="2271"/>
        <v>USD/JPY</v>
      </c>
      <c r="J5389">
        <f t="shared" si="2272"/>
        <v>104.12</v>
      </c>
      <c r="K5389">
        <f t="shared" si="2273"/>
        <v>105.21</v>
      </c>
      <c r="L5389">
        <f t="shared" si="2274"/>
        <v>104.66499999999999</v>
      </c>
      <c r="M5389">
        <f t="shared" si="2275"/>
        <v>0.5449999999999946</v>
      </c>
      <c r="N5389">
        <f t="shared" si="2279"/>
        <v>1.0899999999999892</v>
      </c>
      <c r="O5389">
        <f t="shared" si="2276"/>
        <v>104.54</v>
      </c>
      <c r="P5389">
        <f t="shared" si="2277"/>
        <v>-0.22935779816511381</v>
      </c>
      <c r="Q5389" t="str">
        <f t="shared" si="2280"/>
        <v>0.4% | 0.64%</v>
      </c>
      <c r="R5389" t="str">
        <f t="shared" si="2278"/>
        <v>BEARISH</v>
      </c>
      <c r="S5389">
        <f t="shared" si="2281"/>
        <v>-1</v>
      </c>
    </row>
    <row r="5390" spans="1:19" hidden="1" x14ac:dyDescent="0.25">
      <c r="A5390" s="5" t="str">
        <f t="shared" si="2282"/>
        <v>44139GBP/USD</v>
      </c>
      <c r="B5390" s="6" t="s">
        <v>102</v>
      </c>
      <c r="C5390" s="6">
        <v>1.2889999999999999</v>
      </c>
      <c r="D5390" s="6">
        <v>1.3149999999999999</v>
      </c>
      <c r="E5390" s="6">
        <v>1.3049999999999999</v>
      </c>
      <c r="F5390" t="str">
        <f t="shared" si="2268"/>
        <v>WED</v>
      </c>
      <c r="G5390" s="1">
        <f t="shared" si="2269"/>
        <v>44139</v>
      </c>
      <c r="H5390" s="2">
        <f t="shared" ca="1" si="2270"/>
        <v>114</v>
      </c>
      <c r="I5390" t="str">
        <f t="shared" si="2271"/>
        <v>GBP/USD</v>
      </c>
      <c r="J5390">
        <f t="shared" si="2272"/>
        <v>1.2889999999999999</v>
      </c>
      <c r="K5390">
        <f t="shared" si="2273"/>
        <v>1.3149999999999999</v>
      </c>
      <c r="L5390">
        <f t="shared" si="2274"/>
        <v>1.302</v>
      </c>
      <c r="M5390">
        <f t="shared" si="2275"/>
        <v>1.3000000000000012E-2</v>
      </c>
      <c r="N5390">
        <f t="shared" si="2279"/>
        <v>2.6000000000000023E-2</v>
      </c>
      <c r="O5390">
        <f t="shared" si="2276"/>
        <v>1.3049999999999999</v>
      </c>
      <c r="P5390">
        <f t="shared" si="2277"/>
        <v>0.23076923076922223</v>
      </c>
      <c r="Q5390" t="str">
        <f t="shared" si="2280"/>
        <v>1.23% | 0.77%</v>
      </c>
      <c r="R5390" t="str">
        <f t="shared" si="2278"/>
        <v>BULLISH</v>
      </c>
      <c r="S5390">
        <f t="shared" si="2281"/>
        <v>1</v>
      </c>
    </row>
    <row r="5391" spans="1:19" hidden="1" x14ac:dyDescent="0.25">
      <c r="A5391" s="5" t="str">
        <f t="shared" si="2282"/>
        <v>44139USD/CHF</v>
      </c>
      <c r="B5391" s="6" t="s">
        <v>76</v>
      </c>
      <c r="C5391" s="6">
        <v>0.9</v>
      </c>
      <c r="D5391" s="6">
        <v>0.92</v>
      </c>
      <c r="E5391" s="6">
        <v>0.91</v>
      </c>
      <c r="F5391" t="str">
        <f t="shared" si="2268"/>
        <v>WED</v>
      </c>
      <c r="G5391" s="1">
        <f t="shared" si="2269"/>
        <v>44139</v>
      </c>
      <c r="H5391" s="2">
        <f t="shared" ca="1" si="2270"/>
        <v>114</v>
      </c>
      <c r="I5391" t="str">
        <f t="shared" si="2271"/>
        <v>USD/CHF</v>
      </c>
      <c r="J5391">
        <f t="shared" si="2272"/>
        <v>0.9</v>
      </c>
      <c r="K5391">
        <f t="shared" si="2273"/>
        <v>0.92</v>
      </c>
      <c r="L5391">
        <f t="shared" si="2274"/>
        <v>0.91</v>
      </c>
      <c r="M5391">
        <f t="shared" si="2275"/>
        <v>1.0000000000000009E-2</v>
      </c>
      <c r="N5391">
        <f t="shared" si="2279"/>
        <v>2.0000000000000018E-2</v>
      </c>
      <c r="O5391">
        <f t="shared" si="2276"/>
        <v>0.91</v>
      </c>
      <c r="P5391">
        <f t="shared" si="2277"/>
        <v>0</v>
      </c>
      <c r="Q5391" t="str">
        <f t="shared" si="2280"/>
        <v>1.1% | 1.1%</v>
      </c>
      <c r="R5391" t="str">
        <f t="shared" si="2278"/>
        <v>BEARISH</v>
      </c>
      <c r="S5391">
        <f t="shared" si="2281"/>
        <v>-1</v>
      </c>
    </row>
    <row r="5392" spans="1:19" hidden="1" x14ac:dyDescent="0.25">
      <c r="A5392" s="5" t="str">
        <f t="shared" si="2282"/>
        <v>44139WTIC</v>
      </c>
      <c r="B5392" s="6" t="s">
        <v>23</v>
      </c>
      <c r="C5392" s="6">
        <v>34.93</v>
      </c>
      <c r="D5392" s="6">
        <v>41.07</v>
      </c>
      <c r="E5392" s="6">
        <v>37.659999999999997</v>
      </c>
      <c r="F5392" t="str">
        <f t="shared" si="2268"/>
        <v>WED</v>
      </c>
      <c r="G5392" s="1">
        <f t="shared" si="2269"/>
        <v>44139</v>
      </c>
      <c r="H5392" s="2">
        <f t="shared" ca="1" si="2270"/>
        <v>114</v>
      </c>
      <c r="I5392" t="str">
        <f t="shared" si="2271"/>
        <v>WTIC</v>
      </c>
      <c r="J5392">
        <f t="shared" si="2272"/>
        <v>34.93</v>
      </c>
      <c r="K5392">
        <f t="shared" si="2273"/>
        <v>41.07</v>
      </c>
      <c r="L5392">
        <f t="shared" si="2274"/>
        <v>38</v>
      </c>
      <c r="M5392">
        <f t="shared" si="2275"/>
        <v>3.0700000000000003</v>
      </c>
      <c r="N5392">
        <f t="shared" si="2279"/>
        <v>6.1400000000000006</v>
      </c>
      <c r="O5392">
        <f t="shared" si="2276"/>
        <v>37.659999999999997</v>
      </c>
      <c r="P5392">
        <f t="shared" si="2277"/>
        <v>-0.11074918566775355</v>
      </c>
      <c r="Q5392" t="str">
        <f t="shared" si="2280"/>
        <v>7.25% | 9.05%</v>
      </c>
      <c r="R5392" t="str">
        <f t="shared" si="2278"/>
        <v>BEARISH</v>
      </c>
      <c r="S5392">
        <f t="shared" si="2281"/>
        <v>-1</v>
      </c>
    </row>
    <row r="5393" spans="1:19" hidden="1" x14ac:dyDescent="0.25">
      <c r="A5393" s="5" t="str">
        <f t="shared" si="2282"/>
        <v>44139NATGAS</v>
      </c>
      <c r="B5393" s="6" t="s">
        <v>89</v>
      </c>
      <c r="C5393" s="6">
        <v>2.9</v>
      </c>
      <c r="D5393" s="6">
        <v>3.46</v>
      </c>
      <c r="E5393" s="6">
        <v>3.06</v>
      </c>
      <c r="F5393" t="str">
        <f t="shared" si="2268"/>
        <v>WED</v>
      </c>
      <c r="G5393" s="1">
        <f t="shared" si="2269"/>
        <v>44139</v>
      </c>
      <c r="H5393" s="2">
        <f t="shared" ca="1" si="2270"/>
        <v>114</v>
      </c>
      <c r="I5393" t="str">
        <f t="shared" si="2271"/>
        <v>NATGAS</v>
      </c>
      <c r="J5393">
        <f t="shared" si="2272"/>
        <v>2.9</v>
      </c>
      <c r="K5393">
        <f t="shared" si="2273"/>
        <v>3.46</v>
      </c>
      <c r="L5393">
        <f t="shared" si="2274"/>
        <v>3.1799999999999997</v>
      </c>
      <c r="M5393">
        <f t="shared" si="2275"/>
        <v>0.28000000000000003</v>
      </c>
      <c r="N5393">
        <f t="shared" si="2279"/>
        <v>0.56000000000000005</v>
      </c>
      <c r="O5393">
        <f t="shared" si="2276"/>
        <v>3.06</v>
      </c>
      <c r="P5393">
        <f t="shared" si="2277"/>
        <v>-0.42857142857142733</v>
      </c>
      <c r="Q5393" t="str">
        <f t="shared" si="2280"/>
        <v>5.23% | 13.07%</v>
      </c>
      <c r="R5393" t="str">
        <f t="shared" si="2278"/>
        <v>BULLISH</v>
      </c>
      <c r="S5393">
        <f t="shared" si="2281"/>
        <v>1</v>
      </c>
    </row>
    <row r="5394" spans="1:19" hidden="1" x14ac:dyDescent="0.25">
      <c r="A5394" s="5" t="str">
        <f t="shared" si="2282"/>
        <v>44139GOLD</v>
      </c>
      <c r="B5394" s="6" t="s">
        <v>25</v>
      </c>
      <c r="C5394" s="6">
        <v>1864</v>
      </c>
      <c r="D5394" s="6">
        <v>1931</v>
      </c>
      <c r="E5394" s="6">
        <v>1910</v>
      </c>
      <c r="F5394" t="str">
        <f t="shared" si="2268"/>
        <v>WED</v>
      </c>
      <c r="G5394" s="1">
        <f t="shared" si="2269"/>
        <v>44139</v>
      </c>
      <c r="H5394" s="2">
        <f t="shared" ca="1" si="2270"/>
        <v>114</v>
      </c>
      <c r="I5394" t="str">
        <f t="shared" si="2271"/>
        <v>GOLD</v>
      </c>
      <c r="J5394">
        <f t="shared" si="2272"/>
        <v>1864</v>
      </c>
      <c r="K5394">
        <f t="shared" si="2273"/>
        <v>1931</v>
      </c>
      <c r="L5394">
        <f t="shared" si="2274"/>
        <v>1897.5</v>
      </c>
      <c r="M5394">
        <f t="shared" si="2275"/>
        <v>33.5</v>
      </c>
      <c r="N5394">
        <f t="shared" si="2279"/>
        <v>67</v>
      </c>
      <c r="O5394">
        <f t="shared" si="2276"/>
        <v>1910</v>
      </c>
      <c r="P5394">
        <f t="shared" si="2277"/>
        <v>0.37313432835820898</v>
      </c>
      <c r="Q5394" t="str">
        <f t="shared" si="2280"/>
        <v>2.41% | 1.1%</v>
      </c>
      <c r="R5394" t="str">
        <f t="shared" si="2278"/>
        <v>BULLISH</v>
      </c>
      <c r="S5394">
        <f t="shared" si="2281"/>
        <v>1</v>
      </c>
    </row>
    <row r="5395" spans="1:19" hidden="1" x14ac:dyDescent="0.25">
      <c r="A5395" s="5" t="str">
        <f t="shared" si="2282"/>
        <v>44139SILVER</v>
      </c>
      <c r="B5395" s="6" t="s">
        <v>195</v>
      </c>
      <c r="C5395" s="6">
        <v>23.05</v>
      </c>
      <c r="D5395" s="6">
        <v>25.15</v>
      </c>
      <c r="E5395" s="6">
        <v>24.33</v>
      </c>
      <c r="F5395" t="str">
        <f t="shared" si="2268"/>
        <v>WED</v>
      </c>
      <c r="G5395" s="1">
        <f t="shared" si="2269"/>
        <v>44139</v>
      </c>
      <c r="H5395" s="2">
        <f t="shared" ca="1" si="2270"/>
        <v>114</v>
      </c>
      <c r="I5395" t="str">
        <f t="shared" si="2271"/>
        <v>SILVER</v>
      </c>
      <c r="J5395">
        <f t="shared" si="2272"/>
        <v>23.05</v>
      </c>
      <c r="K5395">
        <f t="shared" si="2273"/>
        <v>25.15</v>
      </c>
      <c r="L5395">
        <f t="shared" si="2274"/>
        <v>24.1</v>
      </c>
      <c r="M5395">
        <f t="shared" si="2275"/>
        <v>1.0499999999999989</v>
      </c>
      <c r="N5395">
        <f t="shared" si="2279"/>
        <v>2.0999999999999979</v>
      </c>
      <c r="O5395">
        <f t="shared" si="2276"/>
        <v>24.33</v>
      </c>
      <c r="P5395">
        <f t="shared" si="2277"/>
        <v>0.2190476190476163</v>
      </c>
      <c r="Q5395" t="str">
        <f t="shared" si="2280"/>
        <v>5.26% | 3.37%</v>
      </c>
      <c r="R5395" t="str">
        <f t="shared" si="2278"/>
        <v>BULLISH</v>
      </c>
      <c r="S5395">
        <f t="shared" si="2281"/>
        <v>1</v>
      </c>
    </row>
    <row r="5396" spans="1:19" hidden="1" x14ac:dyDescent="0.25">
      <c r="A5396" s="5" t="str">
        <f t="shared" si="2282"/>
        <v>44139COPPER</v>
      </c>
      <c r="B5396" s="6" t="s">
        <v>100</v>
      </c>
      <c r="C5396" s="6">
        <v>3.02</v>
      </c>
      <c r="D5396" s="6">
        <v>3.18</v>
      </c>
      <c r="E5396" s="6">
        <v>3.09</v>
      </c>
      <c r="F5396" t="str">
        <f t="shared" si="2268"/>
        <v>WED</v>
      </c>
      <c r="G5396" s="1">
        <f t="shared" si="2269"/>
        <v>44139</v>
      </c>
      <c r="H5396" s="2">
        <f t="shared" ca="1" si="2270"/>
        <v>114</v>
      </c>
      <c r="I5396" t="str">
        <f t="shared" si="2271"/>
        <v>COPPER</v>
      </c>
      <c r="J5396">
        <f t="shared" si="2272"/>
        <v>3.02</v>
      </c>
      <c r="K5396">
        <f t="shared" si="2273"/>
        <v>3.18</v>
      </c>
      <c r="L5396">
        <f t="shared" si="2274"/>
        <v>3.1</v>
      </c>
      <c r="M5396">
        <f t="shared" si="2275"/>
        <v>8.0000000000000071E-2</v>
      </c>
      <c r="N5396">
        <f t="shared" si="2279"/>
        <v>0.16000000000000014</v>
      </c>
      <c r="O5396">
        <f t="shared" si="2276"/>
        <v>3.09</v>
      </c>
      <c r="P5396">
        <f t="shared" si="2277"/>
        <v>-0.12500000000000278</v>
      </c>
      <c r="Q5396" t="str">
        <f t="shared" si="2280"/>
        <v>2.27% | 2.91%</v>
      </c>
      <c r="R5396" t="str">
        <f t="shared" si="2278"/>
        <v>BULLISH</v>
      </c>
      <c r="S5396">
        <f t="shared" si="2281"/>
        <v>1</v>
      </c>
    </row>
    <row r="5397" spans="1:19" hidden="1" x14ac:dyDescent="0.25">
      <c r="A5397" s="5" t="str">
        <f t="shared" si="2282"/>
        <v>44139MSFT</v>
      </c>
      <c r="B5397" s="6" t="s">
        <v>236</v>
      </c>
      <c r="C5397" s="6">
        <v>196</v>
      </c>
      <c r="D5397" s="6">
        <v>210</v>
      </c>
      <c r="E5397" s="6">
        <v>206</v>
      </c>
      <c r="F5397" t="str">
        <f t="shared" si="2268"/>
        <v>WED</v>
      </c>
      <c r="G5397" s="1">
        <f t="shared" si="2269"/>
        <v>44139</v>
      </c>
      <c r="H5397" s="2">
        <f t="shared" ca="1" si="2270"/>
        <v>114</v>
      </c>
      <c r="I5397" t="str">
        <f t="shared" si="2271"/>
        <v>MSFT</v>
      </c>
      <c r="J5397">
        <f t="shared" si="2272"/>
        <v>196</v>
      </c>
      <c r="K5397">
        <f t="shared" si="2273"/>
        <v>210</v>
      </c>
      <c r="L5397">
        <f t="shared" si="2274"/>
        <v>203</v>
      </c>
      <c r="M5397">
        <f t="shared" si="2275"/>
        <v>7</v>
      </c>
      <c r="N5397">
        <f t="shared" si="2279"/>
        <v>14</v>
      </c>
      <c r="O5397">
        <f t="shared" si="2276"/>
        <v>206</v>
      </c>
      <c r="P5397">
        <f t="shared" si="2277"/>
        <v>0.42857142857142855</v>
      </c>
      <c r="Q5397" t="str">
        <f t="shared" si="2280"/>
        <v>4.85% | 1.94%</v>
      </c>
      <c r="R5397" t="str">
        <f t="shared" si="2278"/>
        <v>BEARISH</v>
      </c>
      <c r="S5397">
        <f t="shared" si="2281"/>
        <v>-1</v>
      </c>
    </row>
    <row r="5398" spans="1:19" hidden="1" x14ac:dyDescent="0.25">
      <c r="A5398" s="5" t="str">
        <f t="shared" si="2282"/>
        <v>44139AAPL</v>
      </c>
      <c r="B5398" s="6" t="s">
        <v>68</v>
      </c>
      <c r="C5398" s="6">
        <v>106</v>
      </c>
      <c r="D5398" s="6">
        <v>114</v>
      </c>
      <c r="E5398" s="6">
        <v>110</v>
      </c>
      <c r="F5398" t="str">
        <f t="shared" si="2268"/>
        <v>WED</v>
      </c>
      <c r="G5398" s="1">
        <f t="shared" si="2269"/>
        <v>44139</v>
      </c>
      <c r="H5398" s="2">
        <f t="shared" ca="1" si="2270"/>
        <v>114</v>
      </c>
      <c r="I5398" t="str">
        <f t="shared" si="2271"/>
        <v>AAPL</v>
      </c>
      <c r="J5398">
        <f t="shared" si="2272"/>
        <v>106</v>
      </c>
      <c r="K5398">
        <f t="shared" si="2273"/>
        <v>114</v>
      </c>
      <c r="L5398">
        <f t="shared" si="2274"/>
        <v>110</v>
      </c>
      <c r="M5398">
        <f t="shared" si="2275"/>
        <v>4</v>
      </c>
      <c r="N5398">
        <f t="shared" si="2279"/>
        <v>8</v>
      </c>
      <c r="O5398">
        <f t="shared" si="2276"/>
        <v>110</v>
      </c>
      <c r="P5398">
        <f t="shared" si="2277"/>
        <v>0</v>
      </c>
      <c r="Q5398" t="str">
        <f t="shared" si="2280"/>
        <v>3.64% | 3.64%</v>
      </c>
      <c r="R5398" t="str">
        <f t="shared" si="2278"/>
        <v>BEARISH</v>
      </c>
      <c r="S5398">
        <f t="shared" si="2281"/>
        <v>-1</v>
      </c>
    </row>
    <row r="5399" spans="1:19" hidden="1" x14ac:dyDescent="0.25">
      <c r="A5399" s="5" t="str">
        <f t="shared" si="2282"/>
        <v>44139AMZN</v>
      </c>
      <c r="B5399" s="6" t="s">
        <v>73</v>
      </c>
      <c r="C5399" s="6">
        <v>2957</v>
      </c>
      <c r="D5399" s="6">
        <v>3180</v>
      </c>
      <c r="E5399" s="6">
        <v>3048</v>
      </c>
      <c r="F5399" t="str">
        <f t="shared" si="2268"/>
        <v>WED</v>
      </c>
      <c r="G5399" s="1">
        <f t="shared" si="2269"/>
        <v>44139</v>
      </c>
      <c r="H5399" s="2">
        <f t="shared" ca="1" si="2270"/>
        <v>114</v>
      </c>
      <c r="I5399" t="str">
        <f t="shared" si="2271"/>
        <v>AMZN</v>
      </c>
      <c r="J5399">
        <f t="shared" si="2272"/>
        <v>2957</v>
      </c>
      <c r="K5399">
        <f t="shared" si="2273"/>
        <v>3180</v>
      </c>
      <c r="L5399">
        <f t="shared" si="2274"/>
        <v>3068.5</v>
      </c>
      <c r="M5399">
        <f t="shared" si="2275"/>
        <v>111.5</v>
      </c>
      <c r="N5399">
        <f t="shared" si="2279"/>
        <v>223</v>
      </c>
      <c r="O5399">
        <f t="shared" si="2276"/>
        <v>3048</v>
      </c>
      <c r="P5399">
        <f t="shared" si="2277"/>
        <v>-0.18385650224215247</v>
      </c>
      <c r="Q5399" t="str">
        <f t="shared" si="2280"/>
        <v>2.99% | 4.33%</v>
      </c>
      <c r="R5399" t="str">
        <f t="shared" si="2278"/>
        <v>BEARISH</v>
      </c>
      <c r="S5399">
        <f t="shared" si="2281"/>
        <v>-1</v>
      </c>
    </row>
    <row r="5400" spans="1:19" hidden="1" x14ac:dyDescent="0.25">
      <c r="A5400" s="5" t="str">
        <f t="shared" si="2282"/>
        <v>44139FB</v>
      </c>
      <c r="B5400" s="6" t="s">
        <v>157</v>
      </c>
      <c r="C5400" s="6">
        <v>255</v>
      </c>
      <c r="D5400" s="6">
        <v>275</v>
      </c>
      <c r="E5400" s="6">
        <v>265</v>
      </c>
      <c r="F5400" t="str">
        <f t="shared" si="2268"/>
        <v>WED</v>
      </c>
      <c r="G5400" s="1">
        <f t="shared" si="2269"/>
        <v>44139</v>
      </c>
      <c r="H5400" s="2">
        <f t="shared" ca="1" si="2270"/>
        <v>114</v>
      </c>
      <c r="I5400" t="str">
        <f t="shared" si="2271"/>
        <v>FB</v>
      </c>
      <c r="J5400">
        <f t="shared" si="2272"/>
        <v>255</v>
      </c>
      <c r="K5400">
        <f t="shared" si="2273"/>
        <v>275</v>
      </c>
      <c r="L5400">
        <f t="shared" si="2274"/>
        <v>265</v>
      </c>
      <c r="M5400">
        <f t="shared" si="2275"/>
        <v>10</v>
      </c>
      <c r="N5400">
        <f t="shared" si="2279"/>
        <v>20</v>
      </c>
      <c r="O5400">
        <f t="shared" si="2276"/>
        <v>265</v>
      </c>
      <c r="P5400">
        <f t="shared" si="2277"/>
        <v>0</v>
      </c>
      <c r="Q5400" t="str">
        <f t="shared" si="2280"/>
        <v>3.77% | 3.77%</v>
      </c>
      <c r="R5400" t="str">
        <f t="shared" si="2278"/>
        <v>NEUTRAL</v>
      </c>
      <c r="S5400">
        <f t="shared" si="2281"/>
        <v>0</v>
      </c>
    </row>
    <row r="5401" spans="1:19" hidden="1" x14ac:dyDescent="0.25">
      <c r="A5401" s="5" t="str">
        <f t="shared" si="2282"/>
        <v>44139GOOGL</v>
      </c>
      <c r="B5401" s="6" t="s">
        <v>31</v>
      </c>
      <c r="C5401" s="6">
        <v>1526</v>
      </c>
      <c r="D5401" s="6">
        <v>1680</v>
      </c>
      <c r="E5401" s="6">
        <v>1645</v>
      </c>
      <c r="F5401" t="str">
        <f t="shared" si="2268"/>
        <v>WED</v>
      </c>
      <c r="G5401" s="1">
        <f t="shared" si="2269"/>
        <v>44139</v>
      </c>
      <c r="H5401" s="2">
        <f t="shared" ca="1" si="2270"/>
        <v>114</v>
      </c>
      <c r="I5401" t="str">
        <f t="shared" si="2271"/>
        <v>GOOGL</v>
      </c>
      <c r="J5401">
        <f t="shared" si="2272"/>
        <v>1526</v>
      </c>
      <c r="K5401">
        <f t="shared" si="2273"/>
        <v>1680</v>
      </c>
      <c r="L5401">
        <f t="shared" si="2274"/>
        <v>1603</v>
      </c>
      <c r="M5401">
        <f t="shared" si="2275"/>
        <v>77</v>
      </c>
      <c r="N5401">
        <f t="shared" si="2279"/>
        <v>154</v>
      </c>
      <c r="O5401">
        <f t="shared" si="2276"/>
        <v>1645</v>
      </c>
      <c r="P5401">
        <f t="shared" si="2277"/>
        <v>0.54545454545454541</v>
      </c>
      <c r="Q5401" t="str">
        <f t="shared" si="2280"/>
        <v>7.23% | 2.13%</v>
      </c>
      <c r="R5401" t="str">
        <f t="shared" si="2278"/>
        <v>BULLISH</v>
      </c>
      <c r="S5401">
        <f t="shared" si="2281"/>
        <v>1</v>
      </c>
    </row>
    <row r="5402" spans="1:19" hidden="1" x14ac:dyDescent="0.25">
      <c r="A5402" s="5" t="str">
        <f t="shared" si="2282"/>
        <v>44139NFLX</v>
      </c>
      <c r="B5402" s="6" t="s">
        <v>81</v>
      </c>
      <c r="C5402" s="6">
        <v>468</v>
      </c>
      <c r="D5402" s="6">
        <v>502</v>
      </c>
      <c r="E5402" s="6">
        <v>487</v>
      </c>
      <c r="F5402" t="str">
        <f t="shared" si="2268"/>
        <v>WED</v>
      </c>
      <c r="G5402" s="1">
        <f t="shared" si="2269"/>
        <v>44139</v>
      </c>
      <c r="H5402" s="2">
        <f t="shared" ca="1" si="2270"/>
        <v>114</v>
      </c>
      <c r="I5402" t="str">
        <f t="shared" si="2271"/>
        <v>NFLX</v>
      </c>
      <c r="J5402">
        <f t="shared" si="2272"/>
        <v>468</v>
      </c>
      <c r="K5402">
        <f t="shared" si="2273"/>
        <v>502</v>
      </c>
      <c r="L5402">
        <f t="shared" si="2274"/>
        <v>485</v>
      </c>
      <c r="M5402">
        <f t="shared" si="2275"/>
        <v>17</v>
      </c>
      <c r="N5402">
        <f t="shared" si="2279"/>
        <v>34</v>
      </c>
      <c r="O5402">
        <f t="shared" si="2276"/>
        <v>487</v>
      </c>
      <c r="P5402">
        <f t="shared" si="2277"/>
        <v>0.11764705882352941</v>
      </c>
      <c r="Q5402" t="str">
        <f t="shared" si="2280"/>
        <v>3.9% | 3.08%</v>
      </c>
      <c r="R5402" t="str">
        <f t="shared" si="2278"/>
        <v>BEARISH</v>
      </c>
      <c r="S5402">
        <f t="shared" si="2281"/>
        <v>-1</v>
      </c>
    </row>
    <row r="5403" spans="1:19" x14ac:dyDescent="0.25">
      <c r="A5403" s="5" t="str">
        <f t="shared" si="2282"/>
        <v>44139TSLA</v>
      </c>
      <c r="B5403" s="6" t="s">
        <v>71</v>
      </c>
      <c r="C5403" s="6">
        <v>374</v>
      </c>
      <c r="D5403" s="6">
        <v>441</v>
      </c>
      <c r="E5403" s="6">
        <v>423</v>
      </c>
      <c r="F5403" t="str">
        <f t="shared" si="2268"/>
        <v>WED</v>
      </c>
      <c r="G5403" s="1">
        <f t="shared" si="2269"/>
        <v>44139</v>
      </c>
      <c r="H5403" s="2">
        <f t="shared" ca="1" si="2270"/>
        <v>114</v>
      </c>
      <c r="I5403" t="str">
        <f t="shared" si="2271"/>
        <v>TSLA</v>
      </c>
      <c r="J5403">
        <f t="shared" si="2272"/>
        <v>374</v>
      </c>
      <c r="K5403">
        <f t="shared" si="2273"/>
        <v>441</v>
      </c>
      <c r="L5403">
        <f t="shared" si="2274"/>
        <v>407.5</v>
      </c>
      <c r="M5403">
        <f t="shared" si="2275"/>
        <v>33.5</v>
      </c>
      <c r="N5403">
        <f t="shared" si="2279"/>
        <v>67</v>
      </c>
      <c r="O5403">
        <f t="shared" si="2276"/>
        <v>423</v>
      </c>
      <c r="P5403">
        <f t="shared" si="2277"/>
        <v>0.46268656716417911</v>
      </c>
      <c r="Q5403" t="str">
        <f t="shared" si="2280"/>
        <v>11.58% | 4.26%</v>
      </c>
      <c r="R5403" t="str">
        <f t="shared" si="2278"/>
        <v>NEUTRAL</v>
      </c>
      <c r="S5403">
        <f t="shared" si="2281"/>
        <v>0</v>
      </c>
    </row>
    <row r="5404" spans="1:19" hidden="1" x14ac:dyDescent="0.25">
      <c r="A5404" s="5" t="str">
        <f t="shared" si="2282"/>
        <v>44139NYXBT</v>
      </c>
      <c r="B5404" s="6" t="s">
        <v>60</v>
      </c>
      <c r="C5404" s="6">
        <v>12709</v>
      </c>
      <c r="D5404" s="6">
        <v>13921</v>
      </c>
      <c r="E5404" s="6">
        <v>13758</v>
      </c>
      <c r="F5404" t="str">
        <f t="shared" si="2268"/>
        <v>WED</v>
      </c>
      <c r="G5404" s="1">
        <f t="shared" si="2269"/>
        <v>44139</v>
      </c>
      <c r="H5404" s="2">
        <f t="shared" ca="1" si="2270"/>
        <v>114</v>
      </c>
      <c r="I5404" t="str">
        <f t="shared" si="2271"/>
        <v>NYXBT</v>
      </c>
      <c r="J5404">
        <f t="shared" si="2272"/>
        <v>12709</v>
      </c>
      <c r="K5404">
        <f t="shared" si="2273"/>
        <v>13921</v>
      </c>
      <c r="L5404">
        <f t="shared" si="2274"/>
        <v>13315</v>
      </c>
      <c r="M5404">
        <f t="shared" si="2275"/>
        <v>606</v>
      </c>
      <c r="N5404">
        <f t="shared" si="2279"/>
        <v>1212</v>
      </c>
      <c r="O5404">
        <f t="shared" si="2276"/>
        <v>13758</v>
      </c>
      <c r="P5404">
        <f t="shared" si="2277"/>
        <v>0.73102310231023104</v>
      </c>
      <c r="Q5404" t="str">
        <f t="shared" si="2280"/>
        <v>7.62% | 1.18%</v>
      </c>
      <c r="R5404" t="str">
        <f t="shared" si="2278"/>
        <v>BULLISH</v>
      </c>
      <c r="S5404">
        <f t="shared" si="2281"/>
        <v>1</v>
      </c>
    </row>
    <row r="5405" spans="1:19" hidden="1" x14ac:dyDescent="0.25">
      <c r="A5405" s="5" t="str">
        <f t="shared" si="2282"/>
        <v>44140UST10Y</v>
      </c>
      <c r="B5405" s="6" t="s">
        <v>4</v>
      </c>
      <c r="C5405" s="6">
        <v>0.91</v>
      </c>
      <c r="D5405" s="6">
        <v>0.71</v>
      </c>
      <c r="E5405" s="6">
        <v>0.78</v>
      </c>
      <c r="F5405" t="str">
        <f t="shared" si="2268"/>
        <v>THU</v>
      </c>
      <c r="G5405" s="3">
        <f>DATE(2020,11,5)</f>
        <v>44140</v>
      </c>
      <c r="H5405" s="2">
        <f t="shared" ca="1" si="2270"/>
        <v>113</v>
      </c>
      <c r="I5405" t="str">
        <f t="shared" si="2271"/>
        <v>UST10Y</v>
      </c>
      <c r="J5405">
        <f t="shared" si="2272"/>
        <v>0.91</v>
      </c>
      <c r="K5405">
        <f t="shared" si="2273"/>
        <v>0.71</v>
      </c>
      <c r="L5405">
        <f t="shared" si="2274"/>
        <v>0.81</v>
      </c>
      <c r="M5405">
        <f t="shared" si="2275"/>
        <v>9.9999999999999492E-2</v>
      </c>
      <c r="N5405">
        <f t="shared" si="2279"/>
        <v>0.20000000000000007</v>
      </c>
      <c r="O5405">
        <f t="shared" si="2276"/>
        <v>0.78</v>
      </c>
      <c r="P5405">
        <f t="shared" si="2277"/>
        <v>-0.30000000000000177</v>
      </c>
      <c r="Q5405" t="str">
        <f t="shared" si="2280"/>
        <v>16.67% | 8.97%</v>
      </c>
      <c r="R5405" t="str">
        <f t="shared" si="2278"/>
        <v>BEARISH</v>
      </c>
      <c r="S5405">
        <f t="shared" si="2281"/>
        <v>-1</v>
      </c>
    </row>
    <row r="5406" spans="1:19" hidden="1" x14ac:dyDescent="0.25">
      <c r="A5406" s="5" t="str">
        <f t="shared" si="2282"/>
        <v>44140UST2Y</v>
      </c>
      <c r="B5406" s="6" t="s">
        <v>5</v>
      </c>
      <c r="C5406" s="6">
        <v>0.17</v>
      </c>
      <c r="D5406" s="6">
        <v>0.13</v>
      </c>
      <c r="E5406" s="6">
        <v>0.14000000000000001</v>
      </c>
      <c r="F5406" t="str">
        <f t="shared" ref="F5406:F5436" si="2283">UPPER(TEXT(G5406,"ddd"))</f>
        <v>THU</v>
      </c>
      <c r="G5406" s="3">
        <f t="shared" ref="G5406:G5435" si="2284">DATE(2020,11,5)</f>
        <v>44140</v>
      </c>
      <c r="H5406" s="2">
        <f t="shared" ref="H5406:H5436" ca="1" si="2285">TODAY()-G5406</f>
        <v>113</v>
      </c>
      <c r="I5406" t="str">
        <f t="shared" ref="I5406:I5436" si="2286">TRIM(LEFT(B5406,FIND(" ",B5406,1)))</f>
        <v>UST2Y</v>
      </c>
      <c r="J5406">
        <f t="shared" ref="J5406:J5436" si="2287">C5406</f>
        <v>0.17</v>
      </c>
      <c r="K5406">
        <f t="shared" ref="K5406:K5436" si="2288">D5406</f>
        <v>0.13</v>
      </c>
      <c r="L5406">
        <f t="shared" ref="L5406:L5436" si="2289">AVERAGE(J5406:K5406)</f>
        <v>0.15000000000000002</v>
      </c>
      <c r="M5406">
        <f t="shared" ref="M5406:M5436" si="2290">_xlfn.STDEV.P(J5406:K5406)</f>
        <v>1.9999999999999938E-2</v>
      </c>
      <c r="N5406">
        <f t="shared" si="2279"/>
        <v>4.0000000000000008E-2</v>
      </c>
      <c r="O5406">
        <f t="shared" ref="O5406:O5436" si="2291">E5406</f>
        <v>0.14000000000000001</v>
      </c>
      <c r="P5406">
        <f t="shared" ref="P5406:P5436" si="2292">(O5406-L5406)/M5406</f>
        <v>-0.500000000000002</v>
      </c>
      <c r="Q5406" t="str">
        <f t="shared" si="2280"/>
        <v>21.43% | 7.14%</v>
      </c>
      <c r="R5406" t="str">
        <f t="shared" ref="R5406:R5436" si="2293">MID(B5406,FIND("(",B5406,1)+1,FIND(")",B5406,1)-FIND("(",B5406,1)-1)</f>
        <v>BEARISH</v>
      </c>
      <c r="S5406">
        <f t="shared" si="2281"/>
        <v>-1</v>
      </c>
    </row>
    <row r="5407" spans="1:19" hidden="1" x14ac:dyDescent="0.25">
      <c r="A5407" s="5" t="str">
        <f t="shared" si="2282"/>
        <v>44140SPX</v>
      </c>
      <c r="B5407" s="6" t="s">
        <v>51</v>
      </c>
      <c r="C5407" s="6">
        <v>3220</v>
      </c>
      <c r="D5407" s="6">
        <v>3496</v>
      </c>
      <c r="E5407" s="6">
        <v>3443</v>
      </c>
      <c r="F5407" t="str">
        <f t="shared" si="2283"/>
        <v>THU</v>
      </c>
      <c r="G5407" s="3">
        <f t="shared" si="2284"/>
        <v>44140</v>
      </c>
      <c r="H5407" s="2">
        <f t="shared" ca="1" si="2285"/>
        <v>113</v>
      </c>
      <c r="I5407" t="str">
        <f t="shared" si="2286"/>
        <v>SPX</v>
      </c>
      <c r="J5407">
        <f t="shared" si="2287"/>
        <v>3220</v>
      </c>
      <c r="K5407">
        <f t="shared" si="2288"/>
        <v>3496</v>
      </c>
      <c r="L5407">
        <f t="shared" si="2289"/>
        <v>3358</v>
      </c>
      <c r="M5407">
        <f t="shared" si="2290"/>
        <v>138</v>
      </c>
      <c r="N5407">
        <f t="shared" si="2279"/>
        <v>276</v>
      </c>
      <c r="O5407">
        <f t="shared" si="2291"/>
        <v>3443</v>
      </c>
      <c r="P5407">
        <f t="shared" si="2292"/>
        <v>0.61594202898550721</v>
      </c>
      <c r="Q5407" t="str">
        <f t="shared" si="2280"/>
        <v>6.48% | 1.54%</v>
      </c>
      <c r="R5407" t="str">
        <f t="shared" si="2293"/>
        <v>NEUTRAL</v>
      </c>
      <c r="S5407">
        <f t="shared" si="2281"/>
        <v>0</v>
      </c>
    </row>
    <row r="5408" spans="1:19" hidden="1" x14ac:dyDescent="0.25">
      <c r="A5408" s="5" t="str">
        <f t="shared" si="2282"/>
        <v>44140RUT</v>
      </c>
      <c r="B5408" s="6" t="s">
        <v>7</v>
      </c>
      <c r="C5408" s="6">
        <v>1524</v>
      </c>
      <c r="D5408" s="6">
        <v>1654</v>
      </c>
      <c r="E5408" s="6">
        <v>1615</v>
      </c>
      <c r="F5408" t="str">
        <f t="shared" si="2283"/>
        <v>THU</v>
      </c>
      <c r="G5408" s="3">
        <f t="shared" si="2284"/>
        <v>44140</v>
      </c>
      <c r="H5408" s="2">
        <f t="shared" ca="1" si="2285"/>
        <v>113</v>
      </c>
      <c r="I5408" t="str">
        <f t="shared" si="2286"/>
        <v>RUT</v>
      </c>
      <c r="J5408">
        <f t="shared" si="2287"/>
        <v>1524</v>
      </c>
      <c r="K5408">
        <f t="shared" si="2288"/>
        <v>1654</v>
      </c>
      <c r="L5408">
        <f t="shared" si="2289"/>
        <v>1589</v>
      </c>
      <c r="M5408">
        <f t="shared" si="2290"/>
        <v>65</v>
      </c>
      <c r="N5408">
        <f t="shared" si="2279"/>
        <v>130</v>
      </c>
      <c r="O5408">
        <f t="shared" si="2291"/>
        <v>1615</v>
      </c>
      <c r="P5408">
        <f t="shared" si="2292"/>
        <v>0.4</v>
      </c>
      <c r="Q5408" t="str">
        <f t="shared" si="2280"/>
        <v>5.63% | 2.41%</v>
      </c>
      <c r="R5408" t="str">
        <f t="shared" si="2293"/>
        <v>BEARISH</v>
      </c>
      <c r="S5408">
        <f t="shared" si="2281"/>
        <v>-1</v>
      </c>
    </row>
    <row r="5409" spans="1:19" hidden="1" x14ac:dyDescent="0.25">
      <c r="A5409" s="5" t="str">
        <f t="shared" si="2282"/>
        <v>44140COMPQ</v>
      </c>
      <c r="B5409" s="6" t="s">
        <v>61</v>
      </c>
      <c r="C5409" s="6">
        <v>10707</v>
      </c>
      <c r="D5409" s="6">
        <v>11822</v>
      </c>
      <c r="E5409" s="6">
        <v>11590</v>
      </c>
      <c r="F5409" t="str">
        <f t="shared" si="2283"/>
        <v>THU</v>
      </c>
      <c r="G5409" s="3">
        <f t="shared" si="2284"/>
        <v>44140</v>
      </c>
      <c r="H5409" s="2">
        <f t="shared" ca="1" si="2285"/>
        <v>113</v>
      </c>
      <c r="I5409" t="str">
        <f t="shared" si="2286"/>
        <v>COMPQ</v>
      </c>
      <c r="J5409">
        <f t="shared" si="2287"/>
        <v>10707</v>
      </c>
      <c r="K5409">
        <f t="shared" si="2288"/>
        <v>11822</v>
      </c>
      <c r="L5409">
        <f t="shared" si="2289"/>
        <v>11264.5</v>
      </c>
      <c r="M5409">
        <f t="shared" si="2290"/>
        <v>557.5</v>
      </c>
      <c r="N5409">
        <f t="shared" si="2279"/>
        <v>1115</v>
      </c>
      <c r="O5409">
        <f t="shared" si="2291"/>
        <v>11590</v>
      </c>
      <c r="P5409">
        <f t="shared" si="2292"/>
        <v>0.58385650224215246</v>
      </c>
      <c r="Q5409" t="str">
        <f t="shared" si="2280"/>
        <v>7.62% | 2%</v>
      </c>
      <c r="R5409" t="str">
        <f t="shared" si="2293"/>
        <v>NEUTRAL</v>
      </c>
      <c r="S5409">
        <f t="shared" si="2281"/>
        <v>0</v>
      </c>
    </row>
    <row r="5410" spans="1:19" hidden="1" x14ac:dyDescent="0.25">
      <c r="A5410" s="5" t="str">
        <f t="shared" si="2282"/>
        <v>44140XLK</v>
      </c>
      <c r="B5410" s="6" t="s">
        <v>65</v>
      </c>
      <c r="C5410" s="6">
        <v>108.8</v>
      </c>
      <c r="D5410" s="6">
        <v>119.98</v>
      </c>
      <c r="E5410" s="6">
        <v>117.5</v>
      </c>
      <c r="F5410" t="str">
        <f t="shared" si="2283"/>
        <v>THU</v>
      </c>
      <c r="G5410" s="3">
        <f t="shared" si="2284"/>
        <v>44140</v>
      </c>
      <c r="H5410" s="2">
        <f t="shared" ca="1" si="2285"/>
        <v>113</v>
      </c>
      <c r="I5410" t="str">
        <f t="shared" si="2286"/>
        <v>XLK</v>
      </c>
      <c r="J5410">
        <f t="shared" si="2287"/>
        <v>108.8</v>
      </c>
      <c r="K5410">
        <f t="shared" si="2288"/>
        <v>119.98</v>
      </c>
      <c r="L5410">
        <f t="shared" si="2289"/>
        <v>114.39</v>
      </c>
      <c r="M5410">
        <f t="shared" si="2290"/>
        <v>5.5900000000000034</v>
      </c>
      <c r="N5410">
        <f t="shared" si="2279"/>
        <v>11.180000000000007</v>
      </c>
      <c r="O5410">
        <f t="shared" si="2291"/>
        <v>117.5</v>
      </c>
      <c r="P5410">
        <f t="shared" si="2292"/>
        <v>0.55635062611806751</v>
      </c>
      <c r="Q5410" t="str">
        <f t="shared" si="2280"/>
        <v>7.4% | 2.11%</v>
      </c>
      <c r="R5410" t="str">
        <f t="shared" si="2293"/>
        <v>BEARISH</v>
      </c>
      <c r="S5410">
        <f t="shared" si="2281"/>
        <v>-1</v>
      </c>
    </row>
    <row r="5411" spans="1:19" hidden="1" x14ac:dyDescent="0.25">
      <c r="A5411" s="5" t="str">
        <f t="shared" si="2282"/>
        <v>44140XLRE</v>
      </c>
      <c r="B5411" s="6" t="s">
        <v>156</v>
      </c>
      <c r="C5411" s="6">
        <v>33.65</v>
      </c>
      <c r="D5411" s="6">
        <v>36.229999999999997</v>
      </c>
      <c r="E5411" s="6">
        <v>35.64</v>
      </c>
      <c r="F5411" t="str">
        <f t="shared" si="2283"/>
        <v>THU</v>
      </c>
      <c r="G5411" s="3">
        <f t="shared" si="2284"/>
        <v>44140</v>
      </c>
      <c r="H5411" s="2">
        <f t="shared" ca="1" si="2285"/>
        <v>113</v>
      </c>
      <c r="I5411" t="str">
        <f t="shared" si="2286"/>
        <v>XLRE</v>
      </c>
      <c r="J5411">
        <f t="shared" si="2287"/>
        <v>33.65</v>
      </c>
      <c r="K5411">
        <f t="shared" si="2288"/>
        <v>36.229999999999997</v>
      </c>
      <c r="L5411">
        <f t="shared" si="2289"/>
        <v>34.94</v>
      </c>
      <c r="M5411">
        <f t="shared" si="2290"/>
        <v>1.2899999999999991</v>
      </c>
      <c r="N5411">
        <f t="shared" si="2279"/>
        <v>2.5799999999999983</v>
      </c>
      <c r="O5411">
        <f t="shared" si="2291"/>
        <v>35.64</v>
      </c>
      <c r="P5411">
        <f t="shared" si="2292"/>
        <v>0.5426356589147312</v>
      </c>
      <c r="Q5411" t="str">
        <f t="shared" si="2280"/>
        <v>5.58% | 1.66%</v>
      </c>
      <c r="R5411" t="str">
        <f t="shared" si="2293"/>
        <v>NEUTRAL</v>
      </c>
      <c r="S5411">
        <f t="shared" si="2281"/>
        <v>0</v>
      </c>
    </row>
    <row r="5412" spans="1:19" hidden="1" x14ac:dyDescent="0.25">
      <c r="A5412" s="5" t="str">
        <f t="shared" si="2282"/>
        <v>44140XLU</v>
      </c>
      <c r="B5412" s="6" t="s">
        <v>52</v>
      </c>
      <c r="C5412" s="6">
        <v>62.05</v>
      </c>
      <c r="D5412" s="6">
        <v>65.75</v>
      </c>
      <c r="E5412" s="6">
        <v>63.7</v>
      </c>
      <c r="F5412" t="str">
        <f t="shared" si="2283"/>
        <v>THU</v>
      </c>
      <c r="G5412" s="3">
        <f t="shared" si="2284"/>
        <v>44140</v>
      </c>
      <c r="H5412" s="2">
        <f t="shared" ca="1" si="2285"/>
        <v>113</v>
      </c>
      <c r="I5412" t="str">
        <f t="shared" si="2286"/>
        <v>XLU</v>
      </c>
      <c r="J5412">
        <f t="shared" si="2287"/>
        <v>62.05</v>
      </c>
      <c r="K5412">
        <f t="shared" si="2288"/>
        <v>65.75</v>
      </c>
      <c r="L5412">
        <f t="shared" si="2289"/>
        <v>63.9</v>
      </c>
      <c r="M5412">
        <f t="shared" si="2290"/>
        <v>1.8500000000000014</v>
      </c>
      <c r="N5412">
        <f t="shared" si="2279"/>
        <v>3.7000000000000028</v>
      </c>
      <c r="O5412">
        <f t="shared" si="2291"/>
        <v>63.7</v>
      </c>
      <c r="P5412">
        <f t="shared" si="2292"/>
        <v>-0.10810810810810573</v>
      </c>
      <c r="Q5412" t="str">
        <f t="shared" si="2280"/>
        <v>2.59% | 3.22%</v>
      </c>
      <c r="R5412" t="str">
        <f t="shared" si="2293"/>
        <v>BULLISH</v>
      </c>
      <c r="S5412">
        <f t="shared" si="2281"/>
        <v>1</v>
      </c>
    </row>
    <row r="5413" spans="1:19" hidden="1" x14ac:dyDescent="0.25">
      <c r="A5413" s="5" t="str">
        <f t="shared" si="2282"/>
        <v>44140XLF</v>
      </c>
      <c r="B5413" s="6" t="s">
        <v>12</v>
      </c>
      <c r="C5413" s="6">
        <v>23.22</v>
      </c>
      <c r="D5413" s="6">
        <v>25.38</v>
      </c>
      <c r="E5413" s="6">
        <v>24.56</v>
      </c>
      <c r="F5413" t="str">
        <f t="shared" si="2283"/>
        <v>THU</v>
      </c>
      <c r="G5413" s="3">
        <f t="shared" si="2284"/>
        <v>44140</v>
      </c>
      <c r="H5413" s="2">
        <f t="shared" ca="1" si="2285"/>
        <v>113</v>
      </c>
      <c r="I5413" t="str">
        <f t="shared" si="2286"/>
        <v>XLF</v>
      </c>
      <c r="J5413">
        <f t="shared" si="2287"/>
        <v>23.22</v>
      </c>
      <c r="K5413">
        <f t="shared" si="2288"/>
        <v>25.38</v>
      </c>
      <c r="L5413">
        <f t="shared" si="2289"/>
        <v>24.299999999999997</v>
      </c>
      <c r="M5413">
        <f t="shared" si="2290"/>
        <v>1.08</v>
      </c>
      <c r="N5413">
        <f t="shared" si="2279"/>
        <v>2.16</v>
      </c>
      <c r="O5413">
        <f t="shared" si="2291"/>
        <v>24.56</v>
      </c>
      <c r="P5413">
        <f t="shared" si="2292"/>
        <v>0.24074074074074217</v>
      </c>
      <c r="Q5413" t="str">
        <f t="shared" si="2280"/>
        <v>5.46% | 3.34%</v>
      </c>
      <c r="R5413" t="str">
        <f t="shared" si="2293"/>
        <v>BEARISH</v>
      </c>
      <c r="S5413">
        <f t="shared" si="2281"/>
        <v>-1</v>
      </c>
    </row>
    <row r="5414" spans="1:19" hidden="1" x14ac:dyDescent="0.25">
      <c r="A5414" s="5" t="str">
        <f t="shared" si="2282"/>
        <v>44140SSEC</v>
      </c>
      <c r="B5414" s="6" t="s">
        <v>104</v>
      </c>
      <c r="C5414" s="6">
        <v>3215</v>
      </c>
      <c r="D5414" s="6">
        <v>3338</v>
      </c>
      <c r="E5414" s="6">
        <v>3320</v>
      </c>
      <c r="F5414" t="str">
        <f t="shared" si="2283"/>
        <v>THU</v>
      </c>
      <c r="G5414" s="3">
        <f t="shared" si="2284"/>
        <v>44140</v>
      </c>
      <c r="H5414" s="2">
        <f t="shared" ca="1" si="2285"/>
        <v>113</v>
      </c>
      <c r="I5414" t="str">
        <f t="shared" si="2286"/>
        <v>SSEC</v>
      </c>
      <c r="J5414">
        <f t="shared" si="2287"/>
        <v>3215</v>
      </c>
      <c r="K5414">
        <f t="shared" si="2288"/>
        <v>3338</v>
      </c>
      <c r="L5414">
        <f t="shared" si="2289"/>
        <v>3276.5</v>
      </c>
      <c r="M5414">
        <f t="shared" si="2290"/>
        <v>61.5</v>
      </c>
      <c r="N5414">
        <f t="shared" si="2279"/>
        <v>123</v>
      </c>
      <c r="O5414">
        <f t="shared" si="2291"/>
        <v>3320</v>
      </c>
      <c r="P5414">
        <f t="shared" si="2292"/>
        <v>0.70731707317073167</v>
      </c>
      <c r="Q5414" t="str">
        <f t="shared" si="2280"/>
        <v>3.16% | 0.54%</v>
      </c>
      <c r="R5414" t="str">
        <f t="shared" si="2293"/>
        <v>BULLISH</v>
      </c>
      <c r="S5414">
        <f t="shared" si="2281"/>
        <v>1</v>
      </c>
    </row>
    <row r="5415" spans="1:19" hidden="1" x14ac:dyDescent="0.25">
      <c r="A5415" s="5" t="str">
        <f t="shared" si="2282"/>
        <v>44140NIKK</v>
      </c>
      <c r="B5415" s="6" t="s">
        <v>91</v>
      </c>
      <c r="C5415" s="6">
        <v>23044</v>
      </c>
      <c r="D5415" s="6">
        <v>24166</v>
      </c>
      <c r="E5415" s="6">
        <v>24105</v>
      </c>
      <c r="F5415" t="str">
        <f t="shared" si="2283"/>
        <v>THU</v>
      </c>
      <c r="G5415" s="3">
        <f t="shared" si="2284"/>
        <v>44140</v>
      </c>
      <c r="H5415" s="2">
        <f t="shared" ca="1" si="2285"/>
        <v>113</v>
      </c>
      <c r="I5415" t="str">
        <f t="shared" si="2286"/>
        <v>NIKK</v>
      </c>
      <c r="J5415">
        <f t="shared" si="2287"/>
        <v>23044</v>
      </c>
      <c r="K5415">
        <f t="shared" si="2288"/>
        <v>24166</v>
      </c>
      <c r="L5415">
        <f t="shared" si="2289"/>
        <v>23605</v>
      </c>
      <c r="M5415">
        <f t="shared" si="2290"/>
        <v>561</v>
      </c>
      <c r="N5415">
        <f t="shared" si="2279"/>
        <v>1122</v>
      </c>
      <c r="O5415">
        <f t="shared" si="2291"/>
        <v>24105</v>
      </c>
      <c r="P5415">
        <f t="shared" si="2292"/>
        <v>0.89126559714795006</v>
      </c>
      <c r="Q5415" t="str">
        <f t="shared" si="2280"/>
        <v>4.4% | 0.25%</v>
      </c>
      <c r="R5415" t="str">
        <f t="shared" si="2293"/>
        <v>BULLISH</v>
      </c>
      <c r="S5415">
        <f t="shared" si="2281"/>
        <v>1</v>
      </c>
    </row>
    <row r="5416" spans="1:19" hidden="1" x14ac:dyDescent="0.25">
      <c r="A5416" s="5" t="str">
        <f t="shared" si="2282"/>
        <v>44140DAX</v>
      </c>
      <c r="B5416" s="6" t="s">
        <v>16</v>
      </c>
      <c r="C5416" s="6">
        <v>11239</v>
      </c>
      <c r="D5416" s="6">
        <v>12565</v>
      </c>
      <c r="E5416" s="6">
        <v>12324</v>
      </c>
      <c r="F5416" t="str">
        <f t="shared" si="2283"/>
        <v>THU</v>
      </c>
      <c r="G5416" s="3">
        <f t="shared" si="2284"/>
        <v>44140</v>
      </c>
      <c r="H5416" s="2">
        <f t="shared" ca="1" si="2285"/>
        <v>113</v>
      </c>
      <c r="I5416" t="str">
        <f t="shared" si="2286"/>
        <v>DAX</v>
      </c>
      <c r="J5416">
        <f t="shared" si="2287"/>
        <v>11239</v>
      </c>
      <c r="K5416">
        <f t="shared" si="2288"/>
        <v>12565</v>
      </c>
      <c r="L5416">
        <f t="shared" si="2289"/>
        <v>11902</v>
      </c>
      <c r="M5416">
        <f t="shared" si="2290"/>
        <v>663</v>
      </c>
      <c r="N5416">
        <f t="shared" si="2279"/>
        <v>1326</v>
      </c>
      <c r="O5416">
        <f t="shared" si="2291"/>
        <v>12324</v>
      </c>
      <c r="P5416">
        <f t="shared" si="2292"/>
        <v>0.63650075414781293</v>
      </c>
      <c r="Q5416" t="str">
        <f t="shared" si="2280"/>
        <v>8.8% | 1.96%</v>
      </c>
      <c r="R5416" t="str">
        <f t="shared" si="2293"/>
        <v>BEARISH</v>
      </c>
      <c r="S5416">
        <f t="shared" si="2281"/>
        <v>-1</v>
      </c>
    </row>
    <row r="5417" spans="1:19" hidden="1" x14ac:dyDescent="0.25">
      <c r="A5417" s="5" t="str">
        <f t="shared" si="2282"/>
        <v>44140VIX</v>
      </c>
      <c r="B5417" s="6" t="s">
        <v>17</v>
      </c>
      <c r="C5417" s="6">
        <v>27.47</v>
      </c>
      <c r="D5417" s="6">
        <v>40.61</v>
      </c>
      <c r="E5417" s="6">
        <v>29.57</v>
      </c>
      <c r="F5417" t="str">
        <f t="shared" si="2283"/>
        <v>THU</v>
      </c>
      <c r="G5417" s="3">
        <f t="shared" si="2284"/>
        <v>44140</v>
      </c>
      <c r="H5417" s="2">
        <f t="shared" ca="1" si="2285"/>
        <v>113</v>
      </c>
      <c r="I5417" t="str">
        <f t="shared" si="2286"/>
        <v>VIX</v>
      </c>
      <c r="J5417">
        <f t="shared" si="2287"/>
        <v>27.47</v>
      </c>
      <c r="K5417">
        <f t="shared" si="2288"/>
        <v>40.61</v>
      </c>
      <c r="L5417">
        <f t="shared" si="2289"/>
        <v>34.04</v>
      </c>
      <c r="M5417">
        <f t="shared" si="2290"/>
        <v>6.5700000000000163</v>
      </c>
      <c r="N5417">
        <f t="shared" si="2279"/>
        <v>13.14</v>
      </c>
      <c r="O5417">
        <f t="shared" si="2291"/>
        <v>29.57</v>
      </c>
      <c r="P5417">
        <f t="shared" si="2292"/>
        <v>-0.6803652968036511</v>
      </c>
      <c r="Q5417" t="str">
        <f t="shared" si="2280"/>
        <v>7.1% | 37.34%</v>
      </c>
      <c r="R5417" t="str">
        <f t="shared" si="2293"/>
        <v>BULLISH</v>
      </c>
      <c r="S5417">
        <f t="shared" si="2281"/>
        <v>1</v>
      </c>
    </row>
    <row r="5418" spans="1:19" hidden="1" x14ac:dyDescent="0.25">
      <c r="A5418" s="5" t="str">
        <f t="shared" si="2282"/>
        <v>44140USD</v>
      </c>
      <c r="B5418" s="6" t="s">
        <v>94</v>
      </c>
      <c r="C5418" s="6">
        <v>92.33</v>
      </c>
      <c r="D5418" s="6">
        <v>94.1</v>
      </c>
      <c r="E5418" s="6">
        <v>93.41</v>
      </c>
      <c r="F5418" t="str">
        <f t="shared" si="2283"/>
        <v>THU</v>
      </c>
      <c r="G5418" s="3">
        <f t="shared" si="2284"/>
        <v>44140</v>
      </c>
      <c r="H5418" s="2">
        <f t="shared" ca="1" si="2285"/>
        <v>113</v>
      </c>
      <c r="I5418" t="str">
        <f t="shared" si="2286"/>
        <v>USD</v>
      </c>
      <c r="J5418">
        <f t="shared" si="2287"/>
        <v>92.33</v>
      </c>
      <c r="K5418">
        <f t="shared" si="2288"/>
        <v>94.1</v>
      </c>
      <c r="L5418">
        <f t="shared" si="2289"/>
        <v>93.215000000000003</v>
      </c>
      <c r="M5418">
        <f t="shared" si="2290"/>
        <v>0.88499999999999801</v>
      </c>
      <c r="N5418">
        <f t="shared" si="2279"/>
        <v>1.769999999999996</v>
      </c>
      <c r="O5418">
        <f t="shared" si="2291"/>
        <v>93.41</v>
      </c>
      <c r="P5418">
        <f t="shared" si="2292"/>
        <v>0.22033898305084024</v>
      </c>
      <c r="Q5418" t="str">
        <f t="shared" si="2280"/>
        <v>1.16% | 0.74%</v>
      </c>
      <c r="R5418" t="str">
        <f t="shared" si="2293"/>
        <v>BEARISH</v>
      </c>
      <c r="S5418">
        <f t="shared" si="2281"/>
        <v>-1</v>
      </c>
    </row>
    <row r="5419" spans="1:19" hidden="1" x14ac:dyDescent="0.25">
      <c r="A5419" s="5" t="str">
        <f t="shared" si="2282"/>
        <v>44140EUR/USD</v>
      </c>
      <c r="B5419" s="6" t="s">
        <v>99</v>
      </c>
      <c r="C5419" s="6">
        <v>1.161</v>
      </c>
      <c r="D5419" s="6">
        <v>1.1879999999999999</v>
      </c>
      <c r="E5419" s="6">
        <v>1.1719999999999999</v>
      </c>
      <c r="F5419" t="str">
        <f t="shared" si="2283"/>
        <v>THU</v>
      </c>
      <c r="G5419" s="3">
        <f t="shared" si="2284"/>
        <v>44140</v>
      </c>
      <c r="H5419" s="2">
        <f t="shared" ca="1" si="2285"/>
        <v>113</v>
      </c>
      <c r="I5419" t="str">
        <f t="shared" si="2286"/>
        <v>EUR/USD</v>
      </c>
      <c r="J5419">
        <f t="shared" si="2287"/>
        <v>1.161</v>
      </c>
      <c r="K5419">
        <f t="shared" si="2288"/>
        <v>1.1879999999999999</v>
      </c>
      <c r="L5419">
        <f t="shared" si="2289"/>
        <v>1.1745000000000001</v>
      </c>
      <c r="M5419">
        <f t="shared" si="2290"/>
        <v>1.3499999999999956E-2</v>
      </c>
      <c r="N5419">
        <f t="shared" si="2279"/>
        <v>2.6999999999999913E-2</v>
      </c>
      <c r="O5419">
        <f t="shared" si="2291"/>
        <v>1.1719999999999999</v>
      </c>
      <c r="P5419">
        <f t="shared" si="2292"/>
        <v>-0.18518518518519828</v>
      </c>
      <c r="Q5419" t="str">
        <f t="shared" si="2280"/>
        <v>0.94% | 1.37%</v>
      </c>
      <c r="R5419" t="str">
        <f t="shared" si="2293"/>
        <v>BULLISH</v>
      </c>
      <c r="S5419">
        <f t="shared" si="2281"/>
        <v>1</v>
      </c>
    </row>
    <row r="5420" spans="1:19" hidden="1" x14ac:dyDescent="0.25">
      <c r="A5420" s="5" t="str">
        <f t="shared" si="2282"/>
        <v>44140USD/JPY</v>
      </c>
      <c r="B5420" s="6" t="s">
        <v>20</v>
      </c>
      <c r="C5420" s="6">
        <v>104.2</v>
      </c>
      <c r="D5420" s="6">
        <v>105.13</v>
      </c>
      <c r="E5420" s="6">
        <v>104.5</v>
      </c>
      <c r="F5420" t="str">
        <f t="shared" si="2283"/>
        <v>THU</v>
      </c>
      <c r="G5420" s="3">
        <f t="shared" si="2284"/>
        <v>44140</v>
      </c>
      <c r="H5420" s="2">
        <f t="shared" ca="1" si="2285"/>
        <v>113</v>
      </c>
      <c r="I5420" t="str">
        <f t="shared" si="2286"/>
        <v>USD/JPY</v>
      </c>
      <c r="J5420">
        <f t="shared" si="2287"/>
        <v>104.2</v>
      </c>
      <c r="K5420">
        <f t="shared" si="2288"/>
        <v>105.13</v>
      </c>
      <c r="L5420">
        <f t="shared" si="2289"/>
        <v>104.66499999999999</v>
      </c>
      <c r="M5420">
        <f t="shared" si="2290"/>
        <v>0.46499999999999631</v>
      </c>
      <c r="N5420">
        <f t="shared" si="2279"/>
        <v>0.92999999999999261</v>
      </c>
      <c r="O5420">
        <f t="shared" si="2291"/>
        <v>104.5</v>
      </c>
      <c r="P5420">
        <f t="shared" si="2292"/>
        <v>-0.35483870967740505</v>
      </c>
      <c r="Q5420" t="str">
        <f t="shared" si="2280"/>
        <v>0.29% | 0.6%</v>
      </c>
      <c r="R5420" t="str">
        <f t="shared" si="2293"/>
        <v>BEARISH</v>
      </c>
      <c r="S5420">
        <f t="shared" si="2281"/>
        <v>-1</v>
      </c>
    </row>
    <row r="5421" spans="1:19" hidden="1" x14ac:dyDescent="0.25">
      <c r="A5421" s="5" t="str">
        <f t="shared" si="2282"/>
        <v>44140GBP/USD</v>
      </c>
      <c r="B5421" s="6" t="s">
        <v>102</v>
      </c>
      <c r="C5421" s="6">
        <v>1.29</v>
      </c>
      <c r="D5421" s="6">
        <v>1.3129999999999999</v>
      </c>
      <c r="E5421" s="6">
        <v>1.2989999999999999</v>
      </c>
      <c r="F5421" t="str">
        <f t="shared" si="2283"/>
        <v>THU</v>
      </c>
      <c r="G5421" s="3">
        <f t="shared" si="2284"/>
        <v>44140</v>
      </c>
      <c r="H5421" s="2">
        <f t="shared" ca="1" si="2285"/>
        <v>113</v>
      </c>
      <c r="I5421" t="str">
        <f t="shared" si="2286"/>
        <v>GBP/USD</v>
      </c>
      <c r="J5421">
        <f t="shared" si="2287"/>
        <v>1.29</v>
      </c>
      <c r="K5421">
        <f t="shared" si="2288"/>
        <v>1.3129999999999999</v>
      </c>
      <c r="L5421">
        <f t="shared" si="2289"/>
        <v>1.3014999999999999</v>
      </c>
      <c r="M5421">
        <f t="shared" si="2290"/>
        <v>1.1499999999999955E-2</v>
      </c>
      <c r="N5421">
        <f t="shared" si="2279"/>
        <v>2.2999999999999909E-2</v>
      </c>
      <c r="O5421">
        <f t="shared" si="2291"/>
        <v>1.2989999999999999</v>
      </c>
      <c r="P5421">
        <f t="shared" si="2292"/>
        <v>-0.21739130434782231</v>
      </c>
      <c r="Q5421" t="str">
        <f t="shared" si="2280"/>
        <v>0.69% | 1.08%</v>
      </c>
      <c r="R5421" t="str">
        <f t="shared" si="2293"/>
        <v>BULLISH</v>
      </c>
      <c r="S5421">
        <f t="shared" si="2281"/>
        <v>1</v>
      </c>
    </row>
    <row r="5422" spans="1:19" hidden="1" x14ac:dyDescent="0.25">
      <c r="A5422" s="5" t="str">
        <f t="shared" si="2282"/>
        <v>44140USD/CHF</v>
      </c>
      <c r="B5422" s="6" t="s">
        <v>76</v>
      </c>
      <c r="C5422" s="6">
        <v>0.9</v>
      </c>
      <c r="D5422" s="6">
        <v>0.92</v>
      </c>
      <c r="E5422" s="6">
        <v>0.91</v>
      </c>
      <c r="F5422" t="str">
        <f t="shared" si="2283"/>
        <v>THU</v>
      </c>
      <c r="G5422" s="3">
        <f t="shared" si="2284"/>
        <v>44140</v>
      </c>
      <c r="H5422" s="2">
        <f t="shared" ca="1" si="2285"/>
        <v>113</v>
      </c>
      <c r="I5422" t="str">
        <f t="shared" si="2286"/>
        <v>USD/CHF</v>
      </c>
      <c r="J5422">
        <f t="shared" si="2287"/>
        <v>0.9</v>
      </c>
      <c r="K5422">
        <f t="shared" si="2288"/>
        <v>0.92</v>
      </c>
      <c r="L5422">
        <f t="shared" si="2289"/>
        <v>0.91</v>
      </c>
      <c r="M5422">
        <f t="shared" si="2290"/>
        <v>1.0000000000000009E-2</v>
      </c>
      <c r="N5422">
        <f t="shared" si="2279"/>
        <v>2.0000000000000018E-2</v>
      </c>
      <c r="O5422">
        <f t="shared" si="2291"/>
        <v>0.91</v>
      </c>
      <c r="P5422">
        <f t="shared" si="2292"/>
        <v>0</v>
      </c>
      <c r="Q5422" t="str">
        <f t="shared" si="2280"/>
        <v>1.1% | 1.1%</v>
      </c>
      <c r="R5422" t="str">
        <f t="shared" si="2293"/>
        <v>BEARISH</v>
      </c>
      <c r="S5422">
        <f t="shared" si="2281"/>
        <v>-1</v>
      </c>
    </row>
    <row r="5423" spans="1:19" hidden="1" x14ac:dyDescent="0.25">
      <c r="A5423" s="5" t="str">
        <f t="shared" si="2282"/>
        <v>44140WTIC</v>
      </c>
      <c r="B5423" s="6" t="s">
        <v>23</v>
      </c>
      <c r="C5423" s="6">
        <v>35.1</v>
      </c>
      <c r="D5423" s="6">
        <v>40.700000000000003</v>
      </c>
      <c r="E5423" s="6">
        <v>39.15</v>
      </c>
      <c r="F5423" t="str">
        <f t="shared" si="2283"/>
        <v>THU</v>
      </c>
      <c r="G5423" s="3">
        <f t="shared" si="2284"/>
        <v>44140</v>
      </c>
      <c r="H5423" s="2">
        <f t="shared" ca="1" si="2285"/>
        <v>113</v>
      </c>
      <c r="I5423" t="str">
        <f t="shared" si="2286"/>
        <v>WTIC</v>
      </c>
      <c r="J5423">
        <f t="shared" si="2287"/>
        <v>35.1</v>
      </c>
      <c r="K5423">
        <f t="shared" si="2288"/>
        <v>40.700000000000003</v>
      </c>
      <c r="L5423">
        <f t="shared" si="2289"/>
        <v>37.900000000000006</v>
      </c>
      <c r="M5423">
        <f t="shared" si="2290"/>
        <v>2.8000000000000007</v>
      </c>
      <c r="N5423">
        <f t="shared" si="2279"/>
        <v>5.6000000000000014</v>
      </c>
      <c r="O5423">
        <f t="shared" si="2291"/>
        <v>39.15</v>
      </c>
      <c r="P5423">
        <f t="shared" si="2292"/>
        <v>0.44642857142856879</v>
      </c>
      <c r="Q5423" t="str">
        <f t="shared" si="2280"/>
        <v>10.34% | 3.96%</v>
      </c>
      <c r="R5423" t="str">
        <f t="shared" si="2293"/>
        <v>BEARISH</v>
      </c>
      <c r="S5423">
        <f t="shared" si="2281"/>
        <v>-1</v>
      </c>
    </row>
    <row r="5424" spans="1:19" hidden="1" x14ac:dyDescent="0.25">
      <c r="A5424" s="5" t="str">
        <f t="shared" si="2282"/>
        <v>44140NATGAS</v>
      </c>
      <c r="B5424" s="6" t="s">
        <v>89</v>
      </c>
      <c r="C5424" s="6">
        <v>2.91</v>
      </c>
      <c r="D5424" s="6">
        <v>3.44</v>
      </c>
      <c r="E5424" s="6">
        <v>3.05</v>
      </c>
      <c r="F5424" t="str">
        <f t="shared" si="2283"/>
        <v>THU</v>
      </c>
      <c r="G5424" s="3">
        <f t="shared" si="2284"/>
        <v>44140</v>
      </c>
      <c r="H5424" s="2">
        <f t="shared" ca="1" si="2285"/>
        <v>113</v>
      </c>
      <c r="I5424" t="str">
        <f t="shared" si="2286"/>
        <v>NATGAS</v>
      </c>
      <c r="J5424">
        <f t="shared" si="2287"/>
        <v>2.91</v>
      </c>
      <c r="K5424">
        <f t="shared" si="2288"/>
        <v>3.44</v>
      </c>
      <c r="L5424">
        <f t="shared" si="2289"/>
        <v>3.1749999999999998</v>
      </c>
      <c r="M5424">
        <f t="shared" si="2290"/>
        <v>0.2649999999999999</v>
      </c>
      <c r="N5424">
        <f t="shared" si="2279"/>
        <v>0.5299999999999998</v>
      </c>
      <c r="O5424">
        <f t="shared" si="2291"/>
        <v>3.05</v>
      </c>
      <c r="P5424">
        <f t="shared" si="2292"/>
        <v>-0.47169811320754734</v>
      </c>
      <c r="Q5424" t="str">
        <f t="shared" si="2280"/>
        <v>4.59% | 12.79%</v>
      </c>
      <c r="R5424" t="str">
        <f t="shared" si="2293"/>
        <v>BULLISH</v>
      </c>
      <c r="S5424">
        <f t="shared" si="2281"/>
        <v>1</v>
      </c>
    </row>
    <row r="5425" spans="1:19" hidden="1" x14ac:dyDescent="0.25">
      <c r="A5425" s="5" t="str">
        <f t="shared" si="2282"/>
        <v>44140GOLD</v>
      </c>
      <c r="B5425" s="6" t="s">
        <v>25</v>
      </c>
      <c r="C5425" s="6">
        <v>1863</v>
      </c>
      <c r="D5425" s="6">
        <v>1929</v>
      </c>
      <c r="E5425" s="6">
        <v>1896</v>
      </c>
      <c r="F5425" t="str">
        <f t="shared" si="2283"/>
        <v>THU</v>
      </c>
      <c r="G5425" s="3">
        <f t="shared" si="2284"/>
        <v>44140</v>
      </c>
      <c r="H5425" s="2">
        <f t="shared" ca="1" si="2285"/>
        <v>113</v>
      </c>
      <c r="I5425" t="str">
        <f t="shared" si="2286"/>
        <v>GOLD</v>
      </c>
      <c r="J5425">
        <f t="shared" si="2287"/>
        <v>1863</v>
      </c>
      <c r="K5425">
        <f t="shared" si="2288"/>
        <v>1929</v>
      </c>
      <c r="L5425">
        <f t="shared" si="2289"/>
        <v>1896</v>
      </c>
      <c r="M5425">
        <f t="shared" si="2290"/>
        <v>33</v>
      </c>
      <c r="N5425">
        <f t="shared" si="2279"/>
        <v>66</v>
      </c>
      <c r="O5425">
        <f t="shared" si="2291"/>
        <v>1896</v>
      </c>
      <c r="P5425">
        <f t="shared" si="2292"/>
        <v>0</v>
      </c>
      <c r="Q5425" t="str">
        <f t="shared" si="2280"/>
        <v>1.74% | 1.74%</v>
      </c>
      <c r="R5425" t="str">
        <f t="shared" si="2293"/>
        <v>BULLISH</v>
      </c>
      <c r="S5425">
        <f t="shared" si="2281"/>
        <v>1</v>
      </c>
    </row>
    <row r="5426" spans="1:19" hidden="1" x14ac:dyDescent="0.25">
      <c r="A5426" s="5" t="str">
        <f t="shared" si="2282"/>
        <v>44140SILVER</v>
      </c>
      <c r="B5426" s="6" t="s">
        <v>195</v>
      </c>
      <c r="C5426" s="6">
        <v>23.19</v>
      </c>
      <c r="D5426" s="6">
        <v>24.99</v>
      </c>
      <c r="E5426" s="6">
        <v>23.89</v>
      </c>
      <c r="F5426" t="str">
        <f t="shared" si="2283"/>
        <v>THU</v>
      </c>
      <c r="G5426" s="3">
        <f t="shared" si="2284"/>
        <v>44140</v>
      </c>
      <c r="H5426" s="2">
        <f t="shared" ca="1" si="2285"/>
        <v>113</v>
      </c>
      <c r="I5426" t="str">
        <f t="shared" si="2286"/>
        <v>SILVER</v>
      </c>
      <c r="J5426">
        <f t="shared" si="2287"/>
        <v>23.19</v>
      </c>
      <c r="K5426">
        <f t="shared" si="2288"/>
        <v>24.99</v>
      </c>
      <c r="L5426">
        <f t="shared" si="2289"/>
        <v>24.09</v>
      </c>
      <c r="M5426">
        <f t="shared" si="2290"/>
        <v>0.89999999999999858</v>
      </c>
      <c r="N5426">
        <f t="shared" si="2279"/>
        <v>1.7999999999999972</v>
      </c>
      <c r="O5426">
        <f t="shared" si="2291"/>
        <v>23.89</v>
      </c>
      <c r="P5426">
        <f t="shared" si="2292"/>
        <v>-0.22222222222222179</v>
      </c>
      <c r="Q5426" t="str">
        <f t="shared" si="2280"/>
        <v>2.93% | 4.6%</v>
      </c>
      <c r="R5426" t="str">
        <f t="shared" si="2293"/>
        <v>BULLISH</v>
      </c>
      <c r="S5426">
        <f t="shared" si="2281"/>
        <v>1</v>
      </c>
    </row>
    <row r="5427" spans="1:19" hidden="1" x14ac:dyDescent="0.25">
      <c r="A5427" s="5" t="str">
        <f t="shared" si="2282"/>
        <v>44140COPPER</v>
      </c>
      <c r="B5427" s="6" t="s">
        <v>100</v>
      </c>
      <c r="C5427" s="6">
        <v>3.03</v>
      </c>
      <c r="D5427" s="6">
        <v>3.17</v>
      </c>
      <c r="E5427" s="6">
        <v>3.11</v>
      </c>
      <c r="F5427" t="str">
        <f t="shared" si="2283"/>
        <v>THU</v>
      </c>
      <c r="G5427" s="3">
        <f t="shared" si="2284"/>
        <v>44140</v>
      </c>
      <c r="H5427" s="2">
        <f t="shared" ca="1" si="2285"/>
        <v>113</v>
      </c>
      <c r="I5427" t="str">
        <f t="shared" si="2286"/>
        <v>COPPER</v>
      </c>
      <c r="J5427">
        <f t="shared" si="2287"/>
        <v>3.03</v>
      </c>
      <c r="K5427">
        <f t="shared" si="2288"/>
        <v>3.17</v>
      </c>
      <c r="L5427">
        <f t="shared" si="2289"/>
        <v>3.0999999999999996</v>
      </c>
      <c r="M5427">
        <f t="shared" si="2290"/>
        <v>7.0000000000000062E-2</v>
      </c>
      <c r="N5427">
        <f t="shared" si="2279"/>
        <v>0.14000000000000012</v>
      </c>
      <c r="O5427">
        <f t="shared" si="2291"/>
        <v>3.11</v>
      </c>
      <c r="P5427">
        <f t="shared" si="2292"/>
        <v>0.14285714285714604</v>
      </c>
      <c r="Q5427" t="str">
        <f t="shared" si="2280"/>
        <v>2.57% | 1.93%</v>
      </c>
      <c r="R5427" t="str">
        <f t="shared" si="2293"/>
        <v>BULLISH</v>
      </c>
      <c r="S5427">
        <f t="shared" si="2281"/>
        <v>1</v>
      </c>
    </row>
    <row r="5428" spans="1:19" hidden="1" x14ac:dyDescent="0.25">
      <c r="A5428" s="5" t="str">
        <f t="shared" si="2282"/>
        <v>44140MSFT</v>
      </c>
      <c r="B5428" s="6" t="s">
        <v>27</v>
      </c>
      <c r="C5428" s="6">
        <v>197</v>
      </c>
      <c r="D5428" s="6">
        <v>222</v>
      </c>
      <c r="E5428" s="6">
        <v>216</v>
      </c>
      <c r="F5428" t="str">
        <f t="shared" si="2283"/>
        <v>THU</v>
      </c>
      <c r="G5428" s="3">
        <f t="shared" si="2284"/>
        <v>44140</v>
      </c>
      <c r="H5428" s="2">
        <f t="shared" ca="1" si="2285"/>
        <v>113</v>
      </c>
      <c r="I5428" t="str">
        <f t="shared" si="2286"/>
        <v>MSFT</v>
      </c>
      <c r="J5428">
        <f t="shared" si="2287"/>
        <v>197</v>
      </c>
      <c r="K5428">
        <f t="shared" si="2288"/>
        <v>222</v>
      </c>
      <c r="L5428">
        <f t="shared" si="2289"/>
        <v>209.5</v>
      </c>
      <c r="M5428">
        <f t="shared" si="2290"/>
        <v>12.5</v>
      </c>
      <c r="N5428">
        <f t="shared" si="2279"/>
        <v>25</v>
      </c>
      <c r="O5428">
        <f t="shared" si="2291"/>
        <v>216</v>
      </c>
      <c r="P5428">
        <f t="shared" si="2292"/>
        <v>0.52</v>
      </c>
      <c r="Q5428" t="str">
        <f t="shared" si="2280"/>
        <v>8.8% | 2.78%</v>
      </c>
      <c r="R5428" t="str">
        <f t="shared" si="2293"/>
        <v>BULLISH</v>
      </c>
      <c r="S5428">
        <f t="shared" si="2281"/>
        <v>1</v>
      </c>
    </row>
    <row r="5429" spans="1:19" hidden="1" x14ac:dyDescent="0.25">
      <c r="A5429" s="5" t="str">
        <f t="shared" si="2282"/>
        <v>44140AAPL</v>
      </c>
      <c r="B5429" s="6" t="s">
        <v>28</v>
      </c>
      <c r="C5429" s="6">
        <v>107</v>
      </c>
      <c r="D5429" s="6">
        <v>120</v>
      </c>
      <c r="E5429" s="6">
        <v>114</v>
      </c>
      <c r="F5429" t="str">
        <f t="shared" si="2283"/>
        <v>THU</v>
      </c>
      <c r="G5429" s="3">
        <f t="shared" si="2284"/>
        <v>44140</v>
      </c>
      <c r="H5429" s="2">
        <f t="shared" ca="1" si="2285"/>
        <v>113</v>
      </c>
      <c r="I5429" t="str">
        <f t="shared" si="2286"/>
        <v>AAPL</v>
      </c>
      <c r="J5429">
        <f t="shared" si="2287"/>
        <v>107</v>
      </c>
      <c r="K5429">
        <f t="shared" si="2288"/>
        <v>120</v>
      </c>
      <c r="L5429">
        <f t="shared" si="2289"/>
        <v>113.5</v>
      </c>
      <c r="M5429">
        <f t="shared" si="2290"/>
        <v>6.5</v>
      </c>
      <c r="N5429">
        <f t="shared" si="2279"/>
        <v>13</v>
      </c>
      <c r="O5429">
        <f t="shared" si="2291"/>
        <v>114</v>
      </c>
      <c r="P5429">
        <f t="shared" si="2292"/>
        <v>7.6923076923076927E-2</v>
      </c>
      <c r="Q5429" t="str">
        <f t="shared" si="2280"/>
        <v>6.14% | 5.26%</v>
      </c>
      <c r="R5429" t="str">
        <f t="shared" si="2293"/>
        <v>BULLISH</v>
      </c>
      <c r="S5429">
        <f t="shared" si="2281"/>
        <v>1</v>
      </c>
    </row>
    <row r="5430" spans="1:19" hidden="1" x14ac:dyDescent="0.25">
      <c r="A5430" s="5" t="str">
        <f t="shared" si="2282"/>
        <v>44140AMZN</v>
      </c>
      <c r="B5430" s="6" t="s">
        <v>29</v>
      </c>
      <c r="C5430" s="6">
        <v>2967</v>
      </c>
      <c r="D5430" s="6">
        <v>3351</v>
      </c>
      <c r="E5430" s="6">
        <v>3241</v>
      </c>
      <c r="F5430" t="str">
        <f t="shared" si="2283"/>
        <v>THU</v>
      </c>
      <c r="G5430" s="3">
        <f t="shared" si="2284"/>
        <v>44140</v>
      </c>
      <c r="H5430" s="2">
        <f t="shared" ca="1" si="2285"/>
        <v>113</v>
      </c>
      <c r="I5430" t="str">
        <f t="shared" si="2286"/>
        <v>AMZN</v>
      </c>
      <c r="J5430">
        <f t="shared" si="2287"/>
        <v>2967</v>
      </c>
      <c r="K5430">
        <f t="shared" si="2288"/>
        <v>3351</v>
      </c>
      <c r="L5430">
        <f t="shared" si="2289"/>
        <v>3159</v>
      </c>
      <c r="M5430">
        <f t="shared" si="2290"/>
        <v>192</v>
      </c>
      <c r="N5430">
        <f t="shared" si="2279"/>
        <v>384</v>
      </c>
      <c r="O5430">
        <f t="shared" si="2291"/>
        <v>3241</v>
      </c>
      <c r="P5430">
        <f t="shared" si="2292"/>
        <v>0.42708333333333331</v>
      </c>
      <c r="Q5430" t="str">
        <f t="shared" si="2280"/>
        <v>8.45% | 3.39%</v>
      </c>
      <c r="R5430" t="str">
        <f t="shared" si="2293"/>
        <v>BULLISH</v>
      </c>
      <c r="S5430">
        <f t="shared" si="2281"/>
        <v>1</v>
      </c>
    </row>
    <row r="5431" spans="1:19" hidden="1" x14ac:dyDescent="0.25">
      <c r="A5431" s="5" t="str">
        <f t="shared" si="2282"/>
        <v>44140FB</v>
      </c>
      <c r="B5431" s="6" t="s">
        <v>30</v>
      </c>
      <c r="C5431" s="6">
        <v>260</v>
      </c>
      <c r="D5431" s="6">
        <v>296</v>
      </c>
      <c r="E5431" s="6">
        <v>287</v>
      </c>
      <c r="F5431" t="str">
        <f t="shared" si="2283"/>
        <v>THU</v>
      </c>
      <c r="G5431" s="3">
        <f t="shared" si="2284"/>
        <v>44140</v>
      </c>
      <c r="H5431" s="2">
        <f t="shared" ca="1" si="2285"/>
        <v>113</v>
      </c>
      <c r="I5431" t="str">
        <f t="shared" si="2286"/>
        <v>FB</v>
      </c>
      <c r="J5431">
        <f t="shared" si="2287"/>
        <v>260</v>
      </c>
      <c r="K5431">
        <f t="shared" si="2288"/>
        <v>296</v>
      </c>
      <c r="L5431">
        <f t="shared" si="2289"/>
        <v>278</v>
      </c>
      <c r="M5431">
        <f t="shared" si="2290"/>
        <v>18</v>
      </c>
      <c r="N5431">
        <f t="shared" si="2279"/>
        <v>36</v>
      </c>
      <c r="O5431">
        <f t="shared" si="2291"/>
        <v>287</v>
      </c>
      <c r="P5431">
        <f t="shared" si="2292"/>
        <v>0.5</v>
      </c>
      <c r="Q5431" t="str">
        <f t="shared" si="2280"/>
        <v>9.41% | 3.14%</v>
      </c>
      <c r="R5431" t="str">
        <f t="shared" si="2293"/>
        <v>BULLISH</v>
      </c>
      <c r="S5431">
        <f t="shared" si="2281"/>
        <v>1</v>
      </c>
    </row>
    <row r="5432" spans="1:19" hidden="1" x14ac:dyDescent="0.25">
      <c r="A5432" s="5" t="str">
        <f t="shared" si="2282"/>
        <v>44140GOOGL</v>
      </c>
      <c r="B5432" s="6" t="s">
        <v>31</v>
      </c>
      <c r="C5432" s="6">
        <v>1612</v>
      </c>
      <c r="D5432" s="6">
        <v>1787</v>
      </c>
      <c r="E5432" s="6">
        <v>1745</v>
      </c>
      <c r="F5432" t="str">
        <f t="shared" si="2283"/>
        <v>THU</v>
      </c>
      <c r="G5432" s="3">
        <f t="shared" si="2284"/>
        <v>44140</v>
      </c>
      <c r="H5432" s="2">
        <f t="shared" ca="1" si="2285"/>
        <v>113</v>
      </c>
      <c r="I5432" t="str">
        <f t="shared" si="2286"/>
        <v>GOOGL</v>
      </c>
      <c r="J5432">
        <f t="shared" si="2287"/>
        <v>1612</v>
      </c>
      <c r="K5432">
        <f t="shared" si="2288"/>
        <v>1787</v>
      </c>
      <c r="L5432">
        <f t="shared" si="2289"/>
        <v>1699.5</v>
      </c>
      <c r="M5432">
        <f t="shared" si="2290"/>
        <v>87.5</v>
      </c>
      <c r="N5432">
        <f t="shared" si="2279"/>
        <v>175</v>
      </c>
      <c r="O5432">
        <f t="shared" si="2291"/>
        <v>1745</v>
      </c>
      <c r="P5432">
        <f t="shared" si="2292"/>
        <v>0.52</v>
      </c>
      <c r="Q5432" t="str">
        <f t="shared" si="2280"/>
        <v>7.62% | 2.41%</v>
      </c>
      <c r="R5432" t="str">
        <f t="shared" si="2293"/>
        <v>BULLISH</v>
      </c>
      <c r="S5432">
        <f t="shared" si="2281"/>
        <v>1</v>
      </c>
    </row>
    <row r="5433" spans="1:19" hidden="1" x14ac:dyDescent="0.25">
      <c r="A5433" s="5" t="str">
        <f t="shared" si="2282"/>
        <v>44140NFLX</v>
      </c>
      <c r="B5433" s="6" t="s">
        <v>81</v>
      </c>
      <c r="C5433" s="6">
        <v>472</v>
      </c>
      <c r="D5433" s="6">
        <v>510</v>
      </c>
      <c r="E5433" s="6">
        <v>496</v>
      </c>
      <c r="F5433" t="str">
        <f t="shared" si="2283"/>
        <v>THU</v>
      </c>
      <c r="G5433" s="3">
        <f t="shared" si="2284"/>
        <v>44140</v>
      </c>
      <c r="H5433" s="2">
        <f t="shared" ca="1" si="2285"/>
        <v>113</v>
      </c>
      <c r="I5433" t="str">
        <f t="shared" si="2286"/>
        <v>NFLX</v>
      </c>
      <c r="J5433">
        <f t="shared" si="2287"/>
        <v>472</v>
      </c>
      <c r="K5433">
        <f t="shared" si="2288"/>
        <v>510</v>
      </c>
      <c r="L5433">
        <f t="shared" si="2289"/>
        <v>491</v>
      </c>
      <c r="M5433">
        <f t="shared" si="2290"/>
        <v>19</v>
      </c>
      <c r="N5433">
        <f t="shared" si="2279"/>
        <v>38</v>
      </c>
      <c r="O5433">
        <f t="shared" si="2291"/>
        <v>496</v>
      </c>
      <c r="P5433">
        <f t="shared" si="2292"/>
        <v>0.26315789473684209</v>
      </c>
      <c r="Q5433" t="str">
        <f t="shared" si="2280"/>
        <v>4.84% | 2.82%</v>
      </c>
      <c r="R5433" t="str">
        <f t="shared" si="2293"/>
        <v>BEARISH</v>
      </c>
      <c r="S5433">
        <f t="shared" si="2281"/>
        <v>-1</v>
      </c>
    </row>
    <row r="5434" spans="1:19" x14ac:dyDescent="0.25">
      <c r="A5434" s="5" t="str">
        <f t="shared" si="2282"/>
        <v>44140TSLA</v>
      </c>
      <c r="B5434" s="6" t="s">
        <v>71</v>
      </c>
      <c r="C5434" s="6">
        <v>388</v>
      </c>
      <c r="D5434" s="6">
        <v>441</v>
      </c>
      <c r="E5434" s="6">
        <v>420</v>
      </c>
      <c r="F5434" t="str">
        <f t="shared" si="2283"/>
        <v>THU</v>
      </c>
      <c r="G5434" s="3">
        <f t="shared" si="2284"/>
        <v>44140</v>
      </c>
      <c r="H5434" s="2">
        <f t="shared" ca="1" si="2285"/>
        <v>113</v>
      </c>
      <c r="I5434" t="str">
        <f t="shared" si="2286"/>
        <v>TSLA</v>
      </c>
      <c r="J5434">
        <f t="shared" si="2287"/>
        <v>388</v>
      </c>
      <c r="K5434">
        <f t="shared" si="2288"/>
        <v>441</v>
      </c>
      <c r="L5434">
        <f t="shared" si="2289"/>
        <v>414.5</v>
      </c>
      <c r="M5434">
        <f t="shared" si="2290"/>
        <v>26.5</v>
      </c>
      <c r="N5434">
        <f t="shared" si="2279"/>
        <v>53</v>
      </c>
      <c r="O5434">
        <f t="shared" si="2291"/>
        <v>420</v>
      </c>
      <c r="P5434">
        <f t="shared" si="2292"/>
        <v>0.20754716981132076</v>
      </c>
      <c r="Q5434" t="str">
        <f t="shared" si="2280"/>
        <v>7.62% | 5%</v>
      </c>
      <c r="R5434" t="str">
        <f t="shared" si="2293"/>
        <v>NEUTRAL</v>
      </c>
      <c r="S5434">
        <f t="shared" si="2281"/>
        <v>0</v>
      </c>
    </row>
    <row r="5435" spans="1:19" hidden="1" x14ac:dyDescent="0.25">
      <c r="A5435" s="5" t="str">
        <f t="shared" si="2282"/>
        <v>44140NYXBT</v>
      </c>
      <c r="B5435" s="6" t="s">
        <v>60</v>
      </c>
      <c r="C5435" s="6">
        <v>12896</v>
      </c>
      <c r="D5435" s="6">
        <v>14598</v>
      </c>
      <c r="E5435" s="6">
        <v>13905</v>
      </c>
      <c r="F5435" t="str">
        <f t="shared" si="2283"/>
        <v>THU</v>
      </c>
      <c r="G5435" s="3">
        <f t="shared" si="2284"/>
        <v>44140</v>
      </c>
      <c r="H5435" s="2">
        <f t="shared" ca="1" si="2285"/>
        <v>113</v>
      </c>
      <c r="I5435" t="str">
        <f t="shared" si="2286"/>
        <v>NYXBT</v>
      </c>
      <c r="J5435">
        <f t="shared" si="2287"/>
        <v>12896</v>
      </c>
      <c r="K5435">
        <f t="shared" si="2288"/>
        <v>14598</v>
      </c>
      <c r="L5435">
        <f t="shared" si="2289"/>
        <v>13747</v>
      </c>
      <c r="M5435">
        <f t="shared" si="2290"/>
        <v>851</v>
      </c>
      <c r="N5435">
        <f t="shared" si="2279"/>
        <v>1702</v>
      </c>
      <c r="O5435">
        <f t="shared" si="2291"/>
        <v>13905</v>
      </c>
      <c r="P5435">
        <f t="shared" si="2292"/>
        <v>0.18566392479435959</v>
      </c>
      <c r="Q5435" t="str">
        <f t="shared" si="2280"/>
        <v>7.26% | 4.98%</v>
      </c>
      <c r="R5435" t="str">
        <f t="shared" si="2293"/>
        <v>BULLISH</v>
      </c>
      <c r="S5435">
        <f t="shared" si="2281"/>
        <v>1</v>
      </c>
    </row>
    <row r="5436" spans="1:19" hidden="1" x14ac:dyDescent="0.25">
      <c r="A5436" s="5" t="str">
        <f t="shared" si="2282"/>
        <v>44141UST10Y</v>
      </c>
      <c r="B5436" s="6" t="s">
        <v>4</v>
      </c>
      <c r="C5436" s="6">
        <v>0.92</v>
      </c>
      <c r="D5436" s="6">
        <v>0.72</v>
      </c>
      <c r="E5436" s="6">
        <v>0.79</v>
      </c>
      <c r="F5436" t="str">
        <f t="shared" si="2283"/>
        <v>FRI</v>
      </c>
      <c r="G5436" s="1">
        <f>DATE(2020,11,6)</f>
        <v>44141</v>
      </c>
      <c r="H5436" s="2">
        <f t="shared" ca="1" si="2285"/>
        <v>112</v>
      </c>
      <c r="I5436" t="str">
        <f t="shared" si="2286"/>
        <v>UST10Y</v>
      </c>
      <c r="J5436">
        <f t="shared" si="2287"/>
        <v>0.92</v>
      </c>
      <c r="K5436">
        <f t="shared" si="2288"/>
        <v>0.72</v>
      </c>
      <c r="L5436">
        <f t="shared" si="2289"/>
        <v>0.82000000000000006</v>
      </c>
      <c r="M5436">
        <f t="shared" si="2290"/>
        <v>9.9999999999999492E-2</v>
      </c>
      <c r="N5436">
        <f t="shared" si="2279"/>
        <v>0.20000000000000007</v>
      </c>
      <c r="O5436">
        <f t="shared" si="2291"/>
        <v>0.79</v>
      </c>
      <c r="P5436">
        <f t="shared" si="2292"/>
        <v>-0.30000000000000177</v>
      </c>
      <c r="Q5436" t="str">
        <f t="shared" si="2280"/>
        <v>16.46% | 8.86%</v>
      </c>
      <c r="R5436" t="str">
        <f t="shared" si="2293"/>
        <v>BEARISH</v>
      </c>
      <c r="S5436">
        <f t="shared" si="2281"/>
        <v>-1</v>
      </c>
    </row>
    <row r="5437" spans="1:19" hidden="1" x14ac:dyDescent="0.25">
      <c r="A5437" s="5" t="str">
        <f t="shared" si="2282"/>
        <v>44141UST2Y</v>
      </c>
      <c r="B5437" s="6" t="s">
        <v>5</v>
      </c>
      <c r="C5437" s="6">
        <v>0.17</v>
      </c>
      <c r="D5437" s="6">
        <v>0.13</v>
      </c>
      <c r="E5437" s="6">
        <v>0.14000000000000001</v>
      </c>
      <c r="F5437" t="str">
        <f t="shared" ref="F5437:F5468" si="2294">UPPER(TEXT(G5437,"ddd"))</f>
        <v>FRI</v>
      </c>
      <c r="G5437" s="1">
        <f t="shared" ref="G5437:G5467" si="2295">DATE(2020,11,6)</f>
        <v>44141</v>
      </c>
      <c r="H5437" s="2">
        <f t="shared" ref="H5437:H5468" ca="1" si="2296">TODAY()-G5437</f>
        <v>112</v>
      </c>
      <c r="I5437" t="str">
        <f t="shared" ref="I5437:I5468" si="2297">TRIM(LEFT(B5437,FIND(" ",B5437,1)))</f>
        <v>UST2Y</v>
      </c>
      <c r="J5437">
        <f t="shared" ref="J5437:J5468" si="2298">C5437</f>
        <v>0.17</v>
      </c>
      <c r="K5437">
        <f t="shared" ref="K5437:K5468" si="2299">D5437</f>
        <v>0.13</v>
      </c>
      <c r="L5437">
        <f t="shared" ref="L5437:L5468" si="2300">AVERAGE(J5437:K5437)</f>
        <v>0.15000000000000002</v>
      </c>
      <c r="M5437">
        <f t="shared" ref="M5437:M5468" si="2301">_xlfn.STDEV.P(J5437:K5437)</f>
        <v>1.9999999999999938E-2</v>
      </c>
      <c r="N5437">
        <f t="shared" si="2279"/>
        <v>4.0000000000000008E-2</v>
      </c>
      <c r="O5437">
        <f t="shared" ref="O5437:O5468" si="2302">E5437</f>
        <v>0.14000000000000001</v>
      </c>
      <c r="P5437">
        <f t="shared" ref="P5437:P5468" si="2303">(O5437-L5437)/M5437</f>
        <v>-0.500000000000002</v>
      </c>
      <c r="Q5437" t="str">
        <f t="shared" si="2280"/>
        <v>21.43% | 7.14%</v>
      </c>
      <c r="R5437" t="str">
        <f t="shared" ref="R5437:R5468" si="2304">MID(B5437,FIND("(",B5437,1)+1,FIND(")",B5437,1)-FIND("(",B5437,1)-1)</f>
        <v>BEARISH</v>
      </c>
      <c r="S5437">
        <f t="shared" si="2281"/>
        <v>-1</v>
      </c>
    </row>
    <row r="5438" spans="1:19" hidden="1" x14ac:dyDescent="0.25">
      <c r="A5438" s="5" t="str">
        <f t="shared" si="2282"/>
        <v>44141SPX</v>
      </c>
      <c r="B5438" s="6" t="s">
        <v>51</v>
      </c>
      <c r="C5438" s="6">
        <v>3209</v>
      </c>
      <c r="D5438" s="6">
        <v>3519</v>
      </c>
      <c r="E5438" s="6">
        <v>3510</v>
      </c>
      <c r="F5438" t="str">
        <f t="shared" si="2294"/>
        <v>FRI</v>
      </c>
      <c r="G5438" s="1">
        <f t="shared" si="2295"/>
        <v>44141</v>
      </c>
      <c r="H5438" s="2">
        <f t="shared" ca="1" si="2296"/>
        <v>112</v>
      </c>
      <c r="I5438" t="str">
        <f t="shared" si="2297"/>
        <v>SPX</v>
      </c>
      <c r="J5438">
        <f t="shared" si="2298"/>
        <v>3209</v>
      </c>
      <c r="K5438">
        <f t="shared" si="2299"/>
        <v>3519</v>
      </c>
      <c r="L5438">
        <f t="shared" si="2300"/>
        <v>3364</v>
      </c>
      <c r="M5438">
        <f t="shared" si="2301"/>
        <v>155</v>
      </c>
      <c r="N5438">
        <f t="shared" si="2279"/>
        <v>310</v>
      </c>
      <c r="O5438">
        <f t="shared" si="2302"/>
        <v>3510</v>
      </c>
      <c r="P5438">
        <f t="shared" si="2303"/>
        <v>0.9419354838709677</v>
      </c>
      <c r="Q5438" t="str">
        <f t="shared" si="2280"/>
        <v>8.58% | 0.26%</v>
      </c>
      <c r="R5438" t="str">
        <f t="shared" si="2304"/>
        <v>NEUTRAL</v>
      </c>
      <c r="S5438">
        <f t="shared" si="2281"/>
        <v>0</v>
      </c>
    </row>
    <row r="5439" spans="1:19" hidden="1" x14ac:dyDescent="0.25">
      <c r="A5439" s="5" t="str">
        <f t="shared" si="2282"/>
        <v>44141RUT</v>
      </c>
      <c r="B5439" s="6" t="s">
        <v>240</v>
      </c>
      <c r="C5439" s="6">
        <v>1518</v>
      </c>
      <c r="D5439" s="6">
        <v>1668</v>
      </c>
      <c r="E5439" s="6">
        <v>1660</v>
      </c>
      <c r="F5439" t="str">
        <f t="shared" si="2294"/>
        <v>FRI</v>
      </c>
      <c r="G5439" s="1">
        <f t="shared" si="2295"/>
        <v>44141</v>
      </c>
      <c r="H5439" s="2">
        <f t="shared" ca="1" si="2296"/>
        <v>112</v>
      </c>
      <c r="I5439" t="str">
        <f t="shared" si="2297"/>
        <v>RUT</v>
      </c>
      <c r="J5439">
        <f t="shared" si="2298"/>
        <v>1518</v>
      </c>
      <c r="K5439">
        <f t="shared" si="2299"/>
        <v>1668</v>
      </c>
      <c r="L5439">
        <f t="shared" si="2300"/>
        <v>1593</v>
      </c>
      <c r="M5439">
        <f t="shared" si="2301"/>
        <v>75</v>
      </c>
      <c r="N5439">
        <f t="shared" si="2279"/>
        <v>150</v>
      </c>
      <c r="O5439">
        <f t="shared" si="2302"/>
        <v>1660</v>
      </c>
      <c r="P5439">
        <f t="shared" si="2303"/>
        <v>0.89333333333333331</v>
      </c>
      <c r="Q5439" t="str">
        <f t="shared" si="2280"/>
        <v>8.55% | 0.48%</v>
      </c>
      <c r="R5439" t="str">
        <f t="shared" si="2304"/>
        <v>NEUTRAL</v>
      </c>
      <c r="S5439">
        <f t="shared" si="2281"/>
        <v>0</v>
      </c>
    </row>
    <row r="5440" spans="1:19" hidden="1" x14ac:dyDescent="0.25">
      <c r="A5440" s="5" t="str">
        <f t="shared" si="2282"/>
        <v>44141COMPQ</v>
      </c>
      <c r="B5440" s="6" t="s">
        <v>61</v>
      </c>
      <c r="C5440" s="6">
        <v>10696</v>
      </c>
      <c r="D5440" s="6">
        <v>11915</v>
      </c>
      <c r="E5440" s="6">
        <v>11890</v>
      </c>
      <c r="F5440" t="str">
        <f t="shared" si="2294"/>
        <v>FRI</v>
      </c>
      <c r="G5440" s="1">
        <f t="shared" si="2295"/>
        <v>44141</v>
      </c>
      <c r="H5440" s="2">
        <f t="shared" ca="1" si="2296"/>
        <v>112</v>
      </c>
      <c r="I5440" t="str">
        <f t="shared" si="2297"/>
        <v>COMPQ</v>
      </c>
      <c r="J5440">
        <f t="shared" si="2298"/>
        <v>10696</v>
      </c>
      <c r="K5440">
        <f t="shared" si="2299"/>
        <v>11915</v>
      </c>
      <c r="L5440">
        <f t="shared" si="2300"/>
        <v>11305.5</v>
      </c>
      <c r="M5440">
        <f t="shared" si="2301"/>
        <v>609.5</v>
      </c>
      <c r="N5440">
        <f t="shared" si="2279"/>
        <v>1219</v>
      </c>
      <c r="O5440">
        <f t="shared" si="2302"/>
        <v>11890</v>
      </c>
      <c r="P5440">
        <f t="shared" si="2303"/>
        <v>0.95898277276456112</v>
      </c>
      <c r="Q5440" t="str">
        <f t="shared" si="2280"/>
        <v>10.04% | 0.21%</v>
      </c>
      <c r="R5440" t="str">
        <f t="shared" si="2304"/>
        <v>NEUTRAL</v>
      </c>
      <c r="S5440">
        <f t="shared" si="2281"/>
        <v>0</v>
      </c>
    </row>
    <row r="5441" spans="1:19" hidden="1" x14ac:dyDescent="0.25">
      <c r="A5441" s="5" t="str">
        <f t="shared" si="2282"/>
        <v>44141XLK</v>
      </c>
      <c r="B5441" s="6" t="s">
        <v>10</v>
      </c>
      <c r="C5441" s="6">
        <v>108.43</v>
      </c>
      <c r="D5441" s="6">
        <v>122.05</v>
      </c>
      <c r="E5441" s="6">
        <v>121.15</v>
      </c>
      <c r="F5441" t="str">
        <f t="shared" si="2294"/>
        <v>FRI</v>
      </c>
      <c r="G5441" s="1">
        <f t="shared" si="2295"/>
        <v>44141</v>
      </c>
      <c r="H5441" s="2">
        <f t="shared" ca="1" si="2296"/>
        <v>112</v>
      </c>
      <c r="I5441" t="str">
        <f t="shared" si="2297"/>
        <v>XLK</v>
      </c>
      <c r="J5441">
        <f t="shared" si="2298"/>
        <v>108.43</v>
      </c>
      <c r="K5441">
        <f t="shared" si="2299"/>
        <v>122.05</v>
      </c>
      <c r="L5441">
        <f t="shared" si="2300"/>
        <v>115.24000000000001</v>
      </c>
      <c r="M5441">
        <f t="shared" si="2301"/>
        <v>6.8099999999999952</v>
      </c>
      <c r="N5441">
        <f t="shared" si="2279"/>
        <v>13.61999999999999</v>
      </c>
      <c r="O5441">
        <f t="shared" si="2302"/>
        <v>121.15</v>
      </c>
      <c r="P5441">
        <f t="shared" si="2303"/>
        <v>0.86784140969163004</v>
      </c>
      <c r="Q5441" t="str">
        <f t="shared" si="2280"/>
        <v>10.5% | 0.74%</v>
      </c>
      <c r="R5441" t="str">
        <f t="shared" si="2304"/>
        <v>BULLISH</v>
      </c>
      <c r="S5441">
        <f t="shared" si="2281"/>
        <v>1</v>
      </c>
    </row>
    <row r="5442" spans="1:19" hidden="1" x14ac:dyDescent="0.25">
      <c r="A5442" s="5" t="str">
        <f t="shared" si="2282"/>
        <v>44141XLRE</v>
      </c>
      <c r="B5442" s="6" t="s">
        <v>97</v>
      </c>
      <c r="C5442" s="6">
        <v>33.700000000000003</v>
      </c>
      <c r="D5442" s="6">
        <v>36.28</v>
      </c>
      <c r="E5442" s="6">
        <v>35.770000000000003</v>
      </c>
      <c r="F5442" t="str">
        <f t="shared" si="2294"/>
        <v>FRI</v>
      </c>
      <c r="G5442" s="1">
        <f t="shared" si="2295"/>
        <v>44141</v>
      </c>
      <c r="H5442" s="2">
        <f t="shared" ca="1" si="2296"/>
        <v>112</v>
      </c>
      <c r="I5442" t="str">
        <f t="shared" si="2297"/>
        <v>XLRE</v>
      </c>
      <c r="J5442">
        <f t="shared" si="2298"/>
        <v>33.700000000000003</v>
      </c>
      <c r="K5442">
        <f t="shared" si="2299"/>
        <v>36.28</v>
      </c>
      <c r="L5442">
        <f t="shared" si="2300"/>
        <v>34.99</v>
      </c>
      <c r="M5442">
        <f t="shared" si="2301"/>
        <v>1.2899999999999991</v>
      </c>
      <c r="N5442">
        <f t="shared" si="2279"/>
        <v>2.5799999999999983</v>
      </c>
      <c r="O5442">
        <f t="shared" si="2302"/>
        <v>35.770000000000003</v>
      </c>
      <c r="P5442">
        <f t="shared" si="2303"/>
        <v>0.60465116279069897</v>
      </c>
      <c r="Q5442" t="str">
        <f t="shared" si="2280"/>
        <v>5.79% | 1.43%</v>
      </c>
      <c r="R5442" t="str">
        <f t="shared" si="2304"/>
        <v>BULLISH</v>
      </c>
      <c r="S5442">
        <f t="shared" si="2281"/>
        <v>1</v>
      </c>
    </row>
    <row r="5443" spans="1:19" hidden="1" x14ac:dyDescent="0.25">
      <c r="A5443" s="5" t="str">
        <f t="shared" si="2282"/>
        <v>44141XLU</v>
      </c>
      <c r="B5443" s="6" t="s">
        <v>52</v>
      </c>
      <c r="C5443" s="6">
        <v>62.09</v>
      </c>
      <c r="D5443" s="6">
        <v>65.75</v>
      </c>
      <c r="E5443" s="6">
        <v>64.27</v>
      </c>
      <c r="F5443" t="str">
        <f t="shared" si="2294"/>
        <v>FRI</v>
      </c>
      <c r="G5443" s="1">
        <f t="shared" si="2295"/>
        <v>44141</v>
      </c>
      <c r="H5443" s="2">
        <f t="shared" ca="1" si="2296"/>
        <v>112</v>
      </c>
      <c r="I5443" t="str">
        <f t="shared" si="2297"/>
        <v>XLU</v>
      </c>
      <c r="J5443">
        <f t="shared" si="2298"/>
        <v>62.09</v>
      </c>
      <c r="K5443">
        <f t="shared" si="2299"/>
        <v>65.75</v>
      </c>
      <c r="L5443">
        <f t="shared" si="2300"/>
        <v>63.92</v>
      </c>
      <c r="M5443">
        <f t="shared" si="2301"/>
        <v>1.8299999999999983</v>
      </c>
      <c r="N5443">
        <f t="shared" ref="N5443:N5506" si="2305">ABS(K5443-J5443)</f>
        <v>3.6599999999999966</v>
      </c>
      <c r="O5443">
        <f t="shared" si="2302"/>
        <v>64.27</v>
      </c>
      <c r="P5443">
        <f t="shared" si="2303"/>
        <v>0.19125683060108997</v>
      </c>
      <c r="Q5443" t="str">
        <f t="shared" ref="Q5443:Q5506" si="2306">ROUND(ABS(100*(O5443-J5443)/O5443),2)&amp;"% | "&amp;ROUND(ABS(100*(K5443-O5443)/O5443),2)&amp;"%"</f>
        <v>3.39% | 2.3%</v>
      </c>
      <c r="R5443" t="str">
        <f t="shared" si="2304"/>
        <v>BULLISH</v>
      </c>
      <c r="S5443">
        <f t="shared" ref="S5443:S5506" si="2307">IF(R5443="BEARISH",-1,IF(R5443="NEUTRAL",0,IF(R5443="BULLISH",1,99)))</f>
        <v>1</v>
      </c>
    </row>
    <row r="5444" spans="1:19" hidden="1" x14ac:dyDescent="0.25">
      <c r="A5444" s="5" t="str">
        <f t="shared" si="2282"/>
        <v>44141XLF</v>
      </c>
      <c r="B5444" s="6" t="s">
        <v>12</v>
      </c>
      <c r="C5444" s="6">
        <v>23.26</v>
      </c>
      <c r="D5444" s="6">
        <v>25.42</v>
      </c>
      <c r="E5444" s="6">
        <v>25.16</v>
      </c>
      <c r="F5444" t="str">
        <f t="shared" si="2294"/>
        <v>FRI</v>
      </c>
      <c r="G5444" s="1">
        <f t="shared" si="2295"/>
        <v>44141</v>
      </c>
      <c r="H5444" s="2">
        <f t="shared" ca="1" si="2296"/>
        <v>112</v>
      </c>
      <c r="I5444" t="str">
        <f t="shared" si="2297"/>
        <v>XLF</v>
      </c>
      <c r="J5444">
        <f t="shared" si="2298"/>
        <v>23.26</v>
      </c>
      <c r="K5444">
        <f t="shared" si="2299"/>
        <v>25.42</v>
      </c>
      <c r="L5444">
        <f t="shared" si="2300"/>
        <v>24.340000000000003</v>
      </c>
      <c r="M5444">
        <f t="shared" si="2301"/>
        <v>1.08</v>
      </c>
      <c r="N5444">
        <f t="shared" si="2305"/>
        <v>2.16</v>
      </c>
      <c r="O5444">
        <f t="shared" si="2302"/>
        <v>25.16</v>
      </c>
      <c r="P5444">
        <f t="shared" si="2303"/>
        <v>0.75925925925925619</v>
      </c>
      <c r="Q5444" t="str">
        <f t="shared" si="2306"/>
        <v>7.55% | 1.03%</v>
      </c>
      <c r="R5444" t="str">
        <f t="shared" si="2304"/>
        <v>BEARISH</v>
      </c>
      <c r="S5444">
        <f t="shared" si="2307"/>
        <v>-1</v>
      </c>
    </row>
    <row r="5445" spans="1:19" hidden="1" x14ac:dyDescent="0.25">
      <c r="A5445" s="5" t="str">
        <f t="shared" si="2282"/>
        <v>44141SSEC</v>
      </c>
      <c r="B5445" s="6" t="s">
        <v>104</v>
      </c>
      <c r="C5445" s="6">
        <v>3205</v>
      </c>
      <c r="D5445" s="6">
        <v>3335</v>
      </c>
      <c r="E5445" s="6">
        <v>3312</v>
      </c>
      <c r="F5445" t="str">
        <f t="shared" si="2294"/>
        <v>FRI</v>
      </c>
      <c r="G5445" s="1">
        <f t="shared" si="2295"/>
        <v>44141</v>
      </c>
      <c r="H5445" s="2">
        <f t="shared" ca="1" si="2296"/>
        <v>112</v>
      </c>
      <c r="I5445" t="str">
        <f t="shared" si="2297"/>
        <v>SSEC</v>
      </c>
      <c r="J5445">
        <f t="shared" si="2298"/>
        <v>3205</v>
      </c>
      <c r="K5445">
        <f t="shared" si="2299"/>
        <v>3335</v>
      </c>
      <c r="L5445">
        <f t="shared" si="2300"/>
        <v>3270</v>
      </c>
      <c r="M5445">
        <f t="shared" si="2301"/>
        <v>65</v>
      </c>
      <c r="N5445">
        <f t="shared" si="2305"/>
        <v>130</v>
      </c>
      <c r="O5445">
        <f t="shared" si="2302"/>
        <v>3312</v>
      </c>
      <c r="P5445">
        <f t="shared" si="2303"/>
        <v>0.64615384615384619</v>
      </c>
      <c r="Q5445" t="str">
        <f t="shared" si="2306"/>
        <v>3.23% | 0.69%</v>
      </c>
      <c r="R5445" t="str">
        <f t="shared" si="2304"/>
        <v>BULLISH</v>
      </c>
      <c r="S5445">
        <f t="shared" si="2307"/>
        <v>1</v>
      </c>
    </row>
    <row r="5446" spans="1:19" hidden="1" x14ac:dyDescent="0.25">
      <c r="A5446" s="5" t="str">
        <f t="shared" si="2282"/>
        <v>44141NIKK</v>
      </c>
      <c r="B5446" s="6" t="s">
        <v>91</v>
      </c>
      <c r="C5446" s="6">
        <v>23050</v>
      </c>
      <c r="D5446" s="6">
        <v>24395</v>
      </c>
      <c r="E5446" s="6">
        <v>24325</v>
      </c>
      <c r="F5446" t="str">
        <f t="shared" si="2294"/>
        <v>FRI</v>
      </c>
      <c r="G5446" s="1">
        <f t="shared" si="2295"/>
        <v>44141</v>
      </c>
      <c r="H5446" s="2">
        <f t="shared" ca="1" si="2296"/>
        <v>112</v>
      </c>
      <c r="I5446" t="str">
        <f t="shared" si="2297"/>
        <v>NIKK</v>
      </c>
      <c r="J5446">
        <f t="shared" si="2298"/>
        <v>23050</v>
      </c>
      <c r="K5446">
        <f t="shared" si="2299"/>
        <v>24395</v>
      </c>
      <c r="L5446">
        <f t="shared" si="2300"/>
        <v>23722.5</v>
      </c>
      <c r="M5446">
        <f t="shared" si="2301"/>
        <v>672.5</v>
      </c>
      <c r="N5446">
        <f t="shared" si="2305"/>
        <v>1345</v>
      </c>
      <c r="O5446">
        <f t="shared" si="2302"/>
        <v>24325</v>
      </c>
      <c r="P5446">
        <f t="shared" si="2303"/>
        <v>0.89591078066914498</v>
      </c>
      <c r="Q5446" t="str">
        <f t="shared" si="2306"/>
        <v>5.24% | 0.29%</v>
      </c>
      <c r="R5446" t="str">
        <f t="shared" si="2304"/>
        <v>BULLISH</v>
      </c>
      <c r="S5446">
        <f t="shared" si="2307"/>
        <v>1</v>
      </c>
    </row>
    <row r="5447" spans="1:19" hidden="1" x14ac:dyDescent="0.25">
      <c r="A5447" s="5" t="str">
        <f t="shared" ref="A5447:A5510" si="2308">G5447&amp;I5447</f>
        <v>44141DAX</v>
      </c>
      <c r="B5447" s="6" t="s">
        <v>16</v>
      </c>
      <c r="C5447" s="6">
        <v>11242</v>
      </c>
      <c r="D5447" s="6">
        <v>12665</v>
      </c>
      <c r="E5447" s="6">
        <v>12568</v>
      </c>
      <c r="F5447" t="str">
        <f t="shared" si="2294"/>
        <v>FRI</v>
      </c>
      <c r="G5447" s="1">
        <f t="shared" si="2295"/>
        <v>44141</v>
      </c>
      <c r="H5447" s="2">
        <f t="shared" ca="1" si="2296"/>
        <v>112</v>
      </c>
      <c r="I5447" t="str">
        <f t="shared" si="2297"/>
        <v>DAX</v>
      </c>
      <c r="J5447">
        <f t="shared" si="2298"/>
        <v>11242</v>
      </c>
      <c r="K5447">
        <f t="shared" si="2299"/>
        <v>12665</v>
      </c>
      <c r="L5447">
        <f t="shared" si="2300"/>
        <v>11953.5</v>
      </c>
      <c r="M5447">
        <f t="shared" si="2301"/>
        <v>711.5</v>
      </c>
      <c r="N5447">
        <f t="shared" si="2305"/>
        <v>1423</v>
      </c>
      <c r="O5447">
        <f t="shared" si="2302"/>
        <v>12568</v>
      </c>
      <c r="P5447">
        <f t="shared" si="2303"/>
        <v>0.8636683063949403</v>
      </c>
      <c r="Q5447" t="str">
        <f t="shared" si="2306"/>
        <v>10.55% | 0.77%</v>
      </c>
      <c r="R5447" t="str">
        <f t="shared" si="2304"/>
        <v>BEARISH</v>
      </c>
      <c r="S5447">
        <f t="shared" si="2307"/>
        <v>-1</v>
      </c>
    </row>
    <row r="5448" spans="1:19" hidden="1" x14ac:dyDescent="0.25">
      <c r="A5448" s="5" t="str">
        <f t="shared" si="2308"/>
        <v>44141VIX</v>
      </c>
      <c r="B5448" s="6" t="s">
        <v>17</v>
      </c>
      <c r="C5448" s="6">
        <v>26.6</v>
      </c>
      <c r="D5448" s="6">
        <v>42.55</v>
      </c>
      <c r="E5448" s="6">
        <v>27.58</v>
      </c>
      <c r="F5448" t="str">
        <f t="shared" si="2294"/>
        <v>FRI</v>
      </c>
      <c r="G5448" s="1">
        <f t="shared" si="2295"/>
        <v>44141</v>
      </c>
      <c r="H5448" s="2">
        <f t="shared" ca="1" si="2296"/>
        <v>112</v>
      </c>
      <c r="I5448" t="str">
        <f t="shared" si="2297"/>
        <v>VIX</v>
      </c>
      <c r="J5448">
        <f t="shared" si="2298"/>
        <v>26.6</v>
      </c>
      <c r="K5448">
        <f t="shared" si="2299"/>
        <v>42.55</v>
      </c>
      <c r="L5448">
        <f t="shared" si="2300"/>
        <v>34.575000000000003</v>
      </c>
      <c r="M5448">
        <f t="shared" si="2301"/>
        <v>7.9749999999999881</v>
      </c>
      <c r="N5448">
        <f t="shared" si="2305"/>
        <v>15.949999999999996</v>
      </c>
      <c r="O5448">
        <f t="shared" si="2302"/>
        <v>27.58</v>
      </c>
      <c r="P5448">
        <f t="shared" si="2303"/>
        <v>-0.87711598746081698</v>
      </c>
      <c r="Q5448" t="str">
        <f t="shared" si="2306"/>
        <v>3.55% | 54.28%</v>
      </c>
      <c r="R5448" t="str">
        <f t="shared" si="2304"/>
        <v>BULLISH</v>
      </c>
      <c r="S5448">
        <f t="shared" si="2307"/>
        <v>1</v>
      </c>
    </row>
    <row r="5449" spans="1:19" hidden="1" x14ac:dyDescent="0.25">
      <c r="A5449" s="5" t="str">
        <f t="shared" si="2308"/>
        <v>44141USD</v>
      </c>
      <c r="B5449" s="6" t="s">
        <v>94</v>
      </c>
      <c r="C5449" s="6">
        <v>92.31</v>
      </c>
      <c r="D5449" s="6">
        <v>94.04</v>
      </c>
      <c r="E5449" s="6">
        <v>92.52</v>
      </c>
      <c r="F5449" t="str">
        <f t="shared" si="2294"/>
        <v>FRI</v>
      </c>
      <c r="G5449" s="1">
        <f t="shared" si="2295"/>
        <v>44141</v>
      </c>
      <c r="H5449" s="2">
        <f t="shared" ca="1" si="2296"/>
        <v>112</v>
      </c>
      <c r="I5449" t="str">
        <f t="shared" si="2297"/>
        <v>USD</v>
      </c>
      <c r="J5449">
        <f t="shared" si="2298"/>
        <v>92.31</v>
      </c>
      <c r="K5449">
        <f t="shared" si="2299"/>
        <v>94.04</v>
      </c>
      <c r="L5449">
        <f t="shared" si="2300"/>
        <v>93.175000000000011</v>
      </c>
      <c r="M5449">
        <f t="shared" si="2301"/>
        <v>0.86500000000000199</v>
      </c>
      <c r="N5449">
        <f t="shared" si="2305"/>
        <v>1.730000000000004</v>
      </c>
      <c r="O5449">
        <f t="shared" si="2302"/>
        <v>92.52</v>
      </c>
      <c r="P5449">
        <f t="shared" si="2303"/>
        <v>-0.75722543352602756</v>
      </c>
      <c r="Q5449" t="str">
        <f t="shared" si="2306"/>
        <v>0.23% | 1.64%</v>
      </c>
      <c r="R5449" t="str">
        <f t="shared" si="2304"/>
        <v>BEARISH</v>
      </c>
      <c r="S5449">
        <f t="shared" si="2307"/>
        <v>-1</v>
      </c>
    </row>
    <row r="5450" spans="1:19" hidden="1" x14ac:dyDescent="0.25">
      <c r="A5450" s="5" t="str">
        <f t="shared" si="2308"/>
        <v>44141EUR/USD</v>
      </c>
      <c r="B5450" s="6" t="s">
        <v>99</v>
      </c>
      <c r="C5450" s="6">
        <v>1.161</v>
      </c>
      <c r="D5450" s="6">
        <v>1.1890000000000001</v>
      </c>
      <c r="E5450" s="6">
        <v>1.1830000000000001</v>
      </c>
      <c r="F5450" t="str">
        <f t="shared" si="2294"/>
        <v>FRI</v>
      </c>
      <c r="G5450" s="1">
        <f t="shared" si="2295"/>
        <v>44141</v>
      </c>
      <c r="H5450" s="2">
        <f t="shared" ca="1" si="2296"/>
        <v>112</v>
      </c>
      <c r="I5450" t="str">
        <f t="shared" si="2297"/>
        <v>EUR/USD</v>
      </c>
      <c r="J5450">
        <f t="shared" si="2298"/>
        <v>1.161</v>
      </c>
      <c r="K5450">
        <f t="shared" si="2299"/>
        <v>1.1890000000000001</v>
      </c>
      <c r="L5450">
        <f t="shared" si="2300"/>
        <v>1.175</v>
      </c>
      <c r="M5450">
        <f t="shared" si="2301"/>
        <v>1.4000000000000012E-2</v>
      </c>
      <c r="N5450">
        <f t="shared" si="2305"/>
        <v>2.8000000000000025E-2</v>
      </c>
      <c r="O5450">
        <f t="shared" si="2302"/>
        <v>1.1830000000000001</v>
      </c>
      <c r="P5450">
        <f t="shared" si="2303"/>
        <v>0.5714285714285714</v>
      </c>
      <c r="Q5450" t="str">
        <f t="shared" si="2306"/>
        <v>1.86% | 0.51%</v>
      </c>
      <c r="R5450" t="str">
        <f t="shared" si="2304"/>
        <v>BULLISH</v>
      </c>
      <c r="S5450">
        <f t="shared" si="2307"/>
        <v>1</v>
      </c>
    </row>
    <row r="5451" spans="1:19" hidden="1" x14ac:dyDescent="0.25">
      <c r="A5451" s="5" t="str">
        <f t="shared" si="2308"/>
        <v>44141USD/JPY</v>
      </c>
      <c r="B5451" s="6" t="s">
        <v>20</v>
      </c>
      <c r="C5451" s="6">
        <v>103.12</v>
      </c>
      <c r="D5451" s="6">
        <v>105</v>
      </c>
      <c r="E5451" s="6">
        <v>103.5</v>
      </c>
      <c r="F5451" t="str">
        <f t="shared" si="2294"/>
        <v>FRI</v>
      </c>
      <c r="G5451" s="1">
        <f t="shared" si="2295"/>
        <v>44141</v>
      </c>
      <c r="H5451" s="2">
        <f t="shared" ca="1" si="2296"/>
        <v>112</v>
      </c>
      <c r="I5451" t="str">
        <f t="shared" si="2297"/>
        <v>USD/JPY</v>
      </c>
      <c r="J5451">
        <f t="shared" si="2298"/>
        <v>103.12</v>
      </c>
      <c r="K5451">
        <f t="shared" si="2299"/>
        <v>105</v>
      </c>
      <c r="L5451">
        <f t="shared" si="2300"/>
        <v>104.06</v>
      </c>
      <c r="M5451">
        <f t="shared" si="2301"/>
        <v>0.93999999999999773</v>
      </c>
      <c r="N5451">
        <f t="shared" si="2305"/>
        <v>1.8799999999999955</v>
      </c>
      <c r="O5451">
        <f t="shared" si="2302"/>
        <v>103.5</v>
      </c>
      <c r="P5451">
        <f t="shared" si="2303"/>
        <v>-0.59574468085106769</v>
      </c>
      <c r="Q5451" t="str">
        <f t="shared" si="2306"/>
        <v>0.37% | 1.45%</v>
      </c>
      <c r="R5451" t="str">
        <f t="shared" si="2304"/>
        <v>BEARISH</v>
      </c>
      <c r="S5451">
        <f t="shared" si="2307"/>
        <v>-1</v>
      </c>
    </row>
    <row r="5452" spans="1:19" hidden="1" x14ac:dyDescent="0.25">
      <c r="A5452" s="5" t="str">
        <f t="shared" si="2308"/>
        <v>44141GBP/USD</v>
      </c>
      <c r="B5452" s="6" t="s">
        <v>102</v>
      </c>
      <c r="C5452" s="6">
        <v>1.2909999999999999</v>
      </c>
      <c r="D5452" s="6">
        <v>1.3149999999999999</v>
      </c>
      <c r="E5452" s="6">
        <v>1.3149999999999999</v>
      </c>
      <c r="F5452" t="str">
        <f t="shared" si="2294"/>
        <v>FRI</v>
      </c>
      <c r="G5452" s="1">
        <f t="shared" si="2295"/>
        <v>44141</v>
      </c>
      <c r="H5452" s="2">
        <f t="shared" ca="1" si="2296"/>
        <v>112</v>
      </c>
      <c r="I5452" t="str">
        <f t="shared" si="2297"/>
        <v>GBP/USD</v>
      </c>
      <c r="J5452">
        <f t="shared" si="2298"/>
        <v>1.2909999999999999</v>
      </c>
      <c r="K5452">
        <f t="shared" si="2299"/>
        <v>1.3149999999999999</v>
      </c>
      <c r="L5452">
        <f t="shared" si="2300"/>
        <v>1.3029999999999999</v>
      </c>
      <c r="M5452">
        <f t="shared" si="2301"/>
        <v>1.2000000000000011E-2</v>
      </c>
      <c r="N5452">
        <f t="shared" si="2305"/>
        <v>2.4000000000000021E-2</v>
      </c>
      <c r="O5452">
        <f t="shared" si="2302"/>
        <v>1.3149999999999999</v>
      </c>
      <c r="P5452">
        <f t="shared" si="2303"/>
        <v>1</v>
      </c>
      <c r="Q5452" t="str">
        <f t="shared" si="2306"/>
        <v>1.83% | 0%</v>
      </c>
      <c r="R5452" t="str">
        <f t="shared" si="2304"/>
        <v>BULLISH</v>
      </c>
      <c r="S5452">
        <f t="shared" si="2307"/>
        <v>1</v>
      </c>
    </row>
    <row r="5453" spans="1:19" hidden="1" x14ac:dyDescent="0.25">
      <c r="A5453" s="5" t="str">
        <f t="shared" si="2308"/>
        <v>44141CAD/USD</v>
      </c>
      <c r="B5453" s="6" t="s">
        <v>244</v>
      </c>
      <c r="C5453" s="6">
        <v>0.75</v>
      </c>
      <c r="D5453" s="6">
        <v>0.77</v>
      </c>
      <c r="E5453" s="6">
        <v>0.76</v>
      </c>
      <c r="F5453" t="str">
        <f t="shared" si="2294"/>
        <v>FRI</v>
      </c>
      <c r="G5453" s="1">
        <f t="shared" si="2295"/>
        <v>44141</v>
      </c>
      <c r="H5453" s="2">
        <f t="shared" ca="1" si="2296"/>
        <v>112</v>
      </c>
      <c r="I5453" t="str">
        <f t="shared" si="2297"/>
        <v>CAD/USD</v>
      </c>
      <c r="J5453">
        <f t="shared" si="2298"/>
        <v>0.75</v>
      </c>
      <c r="K5453">
        <f t="shared" si="2299"/>
        <v>0.77</v>
      </c>
      <c r="L5453">
        <f t="shared" si="2300"/>
        <v>0.76</v>
      </c>
      <c r="M5453">
        <f t="shared" si="2301"/>
        <v>1.0000000000000009E-2</v>
      </c>
      <c r="N5453">
        <f t="shared" si="2305"/>
        <v>2.0000000000000018E-2</v>
      </c>
      <c r="O5453">
        <f t="shared" si="2302"/>
        <v>0.76</v>
      </c>
      <c r="P5453">
        <f t="shared" si="2303"/>
        <v>0</v>
      </c>
      <c r="Q5453" t="str">
        <f t="shared" si="2306"/>
        <v>1.32% | 1.32%</v>
      </c>
      <c r="R5453" t="str">
        <f t="shared" si="2304"/>
        <v>BULLISH</v>
      </c>
      <c r="S5453">
        <f t="shared" si="2307"/>
        <v>1</v>
      </c>
    </row>
    <row r="5454" spans="1:19" hidden="1" x14ac:dyDescent="0.25">
      <c r="A5454" s="5" t="str">
        <f t="shared" si="2308"/>
        <v>44141USD/CHF</v>
      </c>
      <c r="B5454" s="6" t="s">
        <v>76</v>
      </c>
      <c r="C5454" s="6">
        <v>0.9</v>
      </c>
      <c r="D5454" s="6">
        <v>0.92</v>
      </c>
      <c r="E5454" s="6">
        <v>0.9</v>
      </c>
      <c r="F5454" t="str">
        <f t="shared" si="2294"/>
        <v>FRI</v>
      </c>
      <c r="G5454" s="1">
        <f t="shared" si="2295"/>
        <v>44141</v>
      </c>
      <c r="H5454" s="2">
        <f t="shared" ca="1" si="2296"/>
        <v>112</v>
      </c>
      <c r="I5454" t="str">
        <f t="shared" si="2297"/>
        <v>USD/CHF</v>
      </c>
      <c r="J5454">
        <f t="shared" si="2298"/>
        <v>0.9</v>
      </c>
      <c r="K5454">
        <f t="shared" si="2299"/>
        <v>0.92</v>
      </c>
      <c r="L5454">
        <f t="shared" si="2300"/>
        <v>0.91</v>
      </c>
      <c r="M5454">
        <f t="shared" si="2301"/>
        <v>1.0000000000000009E-2</v>
      </c>
      <c r="N5454">
        <f t="shared" si="2305"/>
        <v>2.0000000000000018E-2</v>
      </c>
      <c r="O5454">
        <f t="shared" si="2302"/>
        <v>0.9</v>
      </c>
      <c r="P5454">
        <f t="shared" si="2303"/>
        <v>-1</v>
      </c>
      <c r="Q5454" t="str">
        <f t="shared" si="2306"/>
        <v>0% | 2.22%</v>
      </c>
      <c r="R5454" t="str">
        <f t="shared" si="2304"/>
        <v>BEARISH</v>
      </c>
      <c r="S5454">
        <f t="shared" si="2307"/>
        <v>-1</v>
      </c>
    </row>
    <row r="5455" spans="1:19" hidden="1" x14ac:dyDescent="0.25">
      <c r="A5455" s="5" t="str">
        <f t="shared" si="2308"/>
        <v>44141WTIC</v>
      </c>
      <c r="B5455" s="6" t="s">
        <v>23</v>
      </c>
      <c r="C5455" s="6">
        <v>35.229999999999997</v>
      </c>
      <c r="D5455" s="6">
        <v>40.299999999999997</v>
      </c>
      <c r="E5455" s="6">
        <v>38.79</v>
      </c>
      <c r="F5455" t="str">
        <f t="shared" si="2294"/>
        <v>FRI</v>
      </c>
      <c r="G5455" s="1">
        <f t="shared" si="2295"/>
        <v>44141</v>
      </c>
      <c r="H5455" s="2">
        <f t="shared" ca="1" si="2296"/>
        <v>112</v>
      </c>
      <c r="I5455" t="str">
        <f t="shared" si="2297"/>
        <v>WTIC</v>
      </c>
      <c r="J5455">
        <f t="shared" si="2298"/>
        <v>35.229999999999997</v>
      </c>
      <c r="K5455">
        <f t="shared" si="2299"/>
        <v>40.299999999999997</v>
      </c>
      <c r="L5455">
        <f t="shared" si="2300"/>
        <v>37.765000000000001</v>
      </c>
      <c r="M5455">
        <f t="shared" si="2301"/>
        <v>2.5350000000000001</v>
      </c>
      <c r="N5455">
        <f t="shared" si="2305"/>
        <v>5.07</v>
      </c>
      <c r="O5455">
        <f t="shared" si="2302"/>
        <v>38.79</v>
      </c>
      <c r="P5455">
        <f t="shared" si="2303"/>
        <v>0.40433925049309605</v>
      </c>
      <c r="Q5455" t="str">
        <f t="shared" si="2306"/>
        <v>9.18% | 3.89%</v>
      </c>
      <c r="R5455" t="str">
        <f t="shared" si="2304"/>
        <v>BEARISH</v>
      </c>
      <c r="S5455">
        <f t="shared" si="2307"/>
        <v>-1</v>
      </c>
    </row>
    <row r="5456" spans="1:19" hidden="1" x14ac:dyDescent="0.25">
      <c r="A5456" s="5" t="str">
        <f t="shared" si="2308"/>
        <v>44141NATGAS</v>
      </c>
      <c r="B5456" s="6" t="s">
        <v>89</v>
      </c>
      <c r="C5456" s="6">
        <v>2.89</v>
      </c>
      <c r="D5456" s="6">
        <v>3.46</v>
      </c>
      <c r="E5456" s="6">
        <v>2.94</v>
      </c>
      <c r="F5456" t="str">
        <f t="shared" si="2294"/>
        <v>FRI</v>
      </c>
      <c r="G5456" s="1">
        <f t="shared" si="2295"/>
        <v>44141</v>
      </c>
      <c r="H5456" s="2">
        <f t="shared" ca="1" si="2296"/>
        <v>112</v>
      </c>
      <c r="I5456" t="str">
        <f t="shared" si="2297"/>
        <v>NATGAS</v>
      </c>
      <c r="J5456">
        <f t="shared" si="2298"/>
        <v>2.89</v>
      </c>
      <c r="K5456">
        <f t="shared" si="2299"/>
        <v>3.46</v>
      </c>
      <c r="L5456">
        <f t="shared" si="2300"/>
        <v>3.1749999999999998</v>
      </c>
      <c r="M5456">
        <f t="shared" si="2301"/>
        <v>0.28499999999999992</v>
      </c>
      <c r="N5456">
        <f t="shared" si="2305"/>
        <v>0.56999999999999984</v>
      </c>
      <c r="O5456">
        <f t="shared" si="2302"/>
        <v>2.94</v>
      </c>
      <c r="P5456">
        <f t="shared" si="2303"/>
        <v>-0.82456140350877172</v>
      </c>
      <c r="Q5456" t="str">
        <f t="shared" si="2306"/>
        <v>1.7% | 17.69%</v>
      </c>
      <c r="R5456" t="str">
        <f t="shared" si="2304"/>
        <v>BULLISH</v>
      </c>
      <c r="S5456">
        <f t="shared" si="2307"/>
        <v>1</v>
      </c>
    </row>
    <row r="5457" spans="1:19" hidden="1" x14ac:dyDescent="0.25">
      <c r="A5457" s="5" t="str">
        <f t="shared" si="2308"/>
        <v>44141GOLD</v>
      </c>
      <c r="B5457" s="6" t="s">
        <v>25</v>
      </c>
      <c r="C5457" s="6">
        <v>1864</v>
      </c>
      <c r="D5457" s="6">
        <v>1957</v>
      </c>
      <c r="E5457" s="6">
        <v>1946</v>
      </c>
      <c r="F5457" t="str">
        <f t="shared" si="2294"/>
        <v>FRI</v>
      </c>
      <c r="G5457" s="1">
        <f t="shared" si="2295"/>
        <v>44141</v>
      </c>
      <c r="H5457" s="2">
        <f t="shared" ca="1" si="2296"/>
        <v>112</v>
      </c>
      <c r="I5457" t="str">
        <f t="shared" si="2297"/>
        <v>GOLD</v>
      </c>
      <c r="J5457">
        <f t="shared" si="2298"/>
        <v>1864</v>
      </c>
      <c r="K5457">
        <f t="shared" si="2299"/>
        <v>1957</v>
      </c>
      <c r="L5457">
        <f t="shared" si="2300"/>
        <v>1910.5</v>
      </c>
      <c r="M5457">
        <f t="shared" si="2301"/>
        <v>46.5</v>
      </c>
      <c r="N5457">
        <f t="shared" si="2305"/>
        <v>93</v>
      </c>
      <c r="O5457">
        <f t="shared" si="2302"/>
        <v>1946</v>
      </c>
      <c r="P5457">
        <f t="shared" si="2303"/>
        <v>0.76344086021505375</v>
      </c>
      <c r="Q5457" t="str">
        <f t="shared" si="2306"/>
        <v>4.21% | 0.57%</v>
      </c>
      <c r="R5457" t="str">
        <f t="shared" si="2304"/>
        <v>BULLISH</v>
      </c>
      <c r="S5457">
        <f t="shared" si="2307"/>
        <v>1</v>
      </c>
    </row>
    <row r="5458" spans="1:19" hidden="1" x14ac:dyDescent="0.25">
      <c r="A5458" s="5" t="str">
        <f t="shared" si="2308"/>
        <v>44141SILVER</v>
      </c>
      <c r="B5458" s="6" t="s">
        <v>195</v>
      </c>
      <c r="C5458" s="6">
        <v>23.09</v>
      </c>
      <c r="D5458" s="6">
        <v>25.93</v>
      </c>
      <c r="E5458" s="6">
        <v>25.19</v>
      </c>
      <c r="F5458" t="str">
        <f t="shared" si="2294"/>
        <v>FRI</v>
      </c>
      <c r="G5458" s="1">
        <f t="shared" si="2295"/>
        <v>44141</v>
      </c>
      <c r="H5458" s="2">
        <f t="shared" ca="1" si="2296"/>
        <v>112</v>
      </c>
      <c r="I5458" t="str">
        <f t="shared" si="2297"/>
        <v>SILVER</v>
      </c>
      <c r="J5458">
        <f t="shared" si="2298"/>
        <v>23.09</v>
      </c>
      <c r="K5458">
        <f t="shared" si="2299"/>
        <v>25.93</v>
      </c>
      <c r="L5458">
        <f t="shared" si="2300"/>
        <v>24.509999999999998</v>
      </c>
      <c r="M5458">
        <f t="shared" si="2301"/>
        <v>1.42</v>
      </c>
      <c r="N5458">
        <f t="shared" si="2305"/>
        <v>2.84</v>
      </c>
      <c r="O5458">
        <f t="shared" si="2302"/>
        <v>25.19</v>
      </c>
      <c r="P5458">
        <f t="shared" si="2303"/>
        <v>0.47887323943662202</v>
      </c>
      <c r="Q5458" t="str">
        <f t="shared" si="2306"/>
        <v>8.34% | 2.94%</v>
      </c>
      <c r="R5458" t="str">
        <f t="shared" si="2304"/>
        <v>BULLISH</v>
      </c>
      <c r="S5458">
        <f t="shared" si="2307"/>
        <v>1</v>
      </c>
    </row>
    <row r="5459" spans="1:19" hidden="1" x14ac:dyDescent="0.25">
      <c r="A5459" s="5" t="str">
        <f t="shared" si="2308"/>
        <v>44141COPPER</v>
      </c>
      <c r="B5459" s="6" t="s">
        <v>100</v>
      </c>
      <c r="C5459" s="6">
        <v>3.03</v>
      </c>
      <c r="D5459" s="6">
        <v>3.16</v>
      </c>
      <c r="E5459" s="6">
        <v>3.11</v>
      </c>
      <c r="F5459" t="str">
        <f t="shared" si="2294"/>
        <v>FRI</v>
      </c>
      <c r="G5459" s="1">
        <f t="shared" si="2295"/>
        <v>44141</v>
      </c>
      <c r="H5459" s="2">
        <f t="shared" ca="1" si="2296"/>
        <v>112</v>
      </c>
      <c r="I5459" t="str">
        <f t="shared" si="2297"/>
        <v>COPPER</v>
      </c>
      <c r="J5459">
        <f t="shared" si="2298"/>
        <v>3.03</v>
      </c>
      <c r="K5459">
        <f t="shared" si="2299"/>
        <v>3.16</v>
      </c>
      <c r="L5459">
        <f t="shared" si="2300"/>
        <v>3.0949999999999998</v>
      </c>
      <c r="M5459">
        <f t="shared" si="2301"/>
        <v>6.5000000000000169E-2</v>
      </c>
      <c r="N5459">
        <f t="shared" si="2305"/>
        <v>0.13000000000000034</v>
      </c>
      <c r="O5459">
        <f t="shared" si="2302"/>
        <v>3.11</v>
      </c>
      <c r="P5459">
        <f t="shared" si="2303"/>
        <v>0.23076923076923209</v>
      </c>
      <c r="Q5459" t="str">
        <f t="shared" si="2306"/>
        <v>2.57% | 1.61%</v>
      </c>
      <c r="R5459" t="str">
        <f t="shared" si="2304"/>
        <v>BULLISH</v>
      </c>
      <c r="S5459">
        <f t="shared" si="2307"/>
        <v>1</v>
      </c>
    </row>
    <row r="5460" spans="1:19" hidden="1" x14ac:dyDescent="0.25">
      <c r="A5460" s="5" t="str">
        <f t="shared" si="2308"/>
        <v>44141MSFT</v>
      </c>
      <c r="B5460" s="6" t="s">
        <v>27</v>
      </c>
      <c r="C5460" s="6">
        <v>196</v>
      </c>
      <c r="D5460" s="6">
        <v>224</v>
      </c>
      <c r="E5460" s="6">
        <v>223</v>
      </c>
      <c r="F5460" t="str">
        <f t="shared" si="2294"/>
        <v>FRI</v>
      </c>
      <c r="G5460" s="1">
        <f t="shared" si="2295"/>
        <v>44141</v>
      </c>
      <c r="H5460" s="2">
        <f t="shared" ca="1" si="2296"/>
        <v>112</v>
      </c>
      <c r="I5460" t="str">
        <f t="shared" si="2297"/>
        <v>MSFT</v>
      </c>
      <c r="J5460">
        <f t="shared" si="2298"/>
        <v>196</v>
      </c>
      <c r="K5460">
        <f t="shared" si="2299"/>
        <v>224</v>
      </c>
      <c r="L5460">
        <f t="shared" si="2300"/>
        <v>210</v>
      </c>
      <c r="M5460">
        <f t="shared" si="2301"/>
        <v>14</v>
      </c>
      <c r="N5460">
        <f t="shared" si="2305"/>
        <v>28</v>
      </c>
      <c r="O5460">
        <f t="shared" si="2302"/>
        <v>223</v>
      </c>
      <c r="P5460">
        <f t="shared" si="2303"/>
        <v>0.9285714285714286</v>
      </c>
      <c r="Q5460" t="str">
        <f t="shared" si="2306"/>
        <v>12.11% | 0.45%</v>
      </c>
      <c r="R5460" t="str">
        <f t="shared" si="2304"/>
        <v>BULLISH</v>
      </c>
      <c r="S5460">
        <f t="shared" si="2307"/>
        <v>1</v>
      </c>
    </row>
    <row r="5461" spans="1:19" hidden="1" x14ac:dyDescent="0.25">
      <c r="A5461" s="5" t="str">
        <f t="shared" si="2308"/>
        <v>44141AAPL</v>
      </c>
      <c r="B5461" s="6" t="s">
        <v>28</v>
      </c>
      <c r="C5461" s="6">
        <v>106</v>
      </c>
      <c r="D5461" s="6">
        <v>121</v>
      </c>
      <c r="E5461" s="6">
        <v>119</v>
      </c>
      <c r="F5461" t="str">
        <f t="shared" si="2294"/>
        <v>FRI</v>
      </c>
      <c r="G5461" s="1">
        <f t="shared" si="2295"/>
        <v>44141</v>
      </c>
      <c r="H5461" s="2">
        <f t="shared" ca="1" si="2296"/>
        <v>112</v>
      </c>
      <c r="I5461" t="str">
        <f t="shared" si="2297"/>
        <v>AAPL</v>
      </c>
      <c r="J5461">
        <f t="shared" si="2298"/>
        <v>106</v>
      </c>
      <c r="K5461">
        <f t="shared" si="2299"/>
        <v>121</v>
      </c>
      <c r="L5461">
        <f t="shared" si="2300"/>
        <v>113.5</v>
      </c>
      <c r="M5461">
        <f t="shared" si="2301"/>
        <v>7.5</v>
      </c>
      <c r="N5461">
        <f t="shared" si="2305"/>
        <v>15</v>
      </c>
      <c r="O5461">
        <f t="shared" si="2302"/>
        <v>119</v>
      </c>
      <c r="P5461">
        <f t="shared" si="2303"/>
        <v>0.73333333333333328</v>
      </c>
      <c r="Q5461" t="str">
        <f t="shared" si="2306"/>
        <v>10.92% | 1.68%</v>
      </c>
      <c r="R5461" t="str">
        <f t="shared" si="2304"/>
        <v>BULLISH</v>
      </c>
      <c r="S5461">
        <f t="shared" si="2307"/>
        <v>1</v>
      </c>
    </row>
    <row r="5462" spans="1:19" hidden="1" x14ac:dyDescent="0.25">
      <c r="A5462" s="5" t="str">
        <f t="shared" si="2308"/>
        <v>44141AMZN</v>
      </c>
      <c r="B5462" s="6" t="s">
        <v>29</v>
      </c>
      <c r="C5462" s="6">
        <v>2960</v>
      </c>
      <c r="D5462" s="6">
        <v>3385</v>
      </c>
      <c r="E5462" s="6">
        <v>3322</v>
      </c>
      <c r="F5462" t="str">
        <f t="shared" si="2294"/>
        <v>FRI</v>
      </c>
      <c r="G5462" s="1">
        <f t="shared" si="2295"/>
        <v>44141</v>
      </c>
      <c r="H5462" s="2">
        <f t="shared" ca="1" si="2296"/>
        <v>112</v>
      </c>
      <c r="I5462" t="str">
        <f t="shared" si="2297"/>
        <v>AMZN</v>
      </c>
      <c r="J5462">
        <f t="shared" si="2298"/>
        <v>2960</v>
      </c>
      <c r="K5462">
        <f t="shared" si="2299"/>
        <v>3385</v>
      </c>
      <c r="L5462">
        <f t="shared" si="2300"/>
        <v>3172.5</v>
      </c>
      <c r="M5462">
        <f t="shared" si="2301"/>
        <v>212.5</v>
      </c>
      <c r="N5462">
        <f t="shared" si="2305"/>
        <v>425</v>
      </c>
      <c r="O5462">
        <f t="shared" si="2302"/>
        <v>3322</v>
      </c>
      <c r="P5462">
        <f t="shared" si="2303"/>
        <v>0.70352941176470585</v>
      </c>
      <c r="Q5462" t="str">
        <f t="shared" si="2306"/>
        <v>10.9% | 1.9%</v>
      </c>
      <c r="R5462" t="str">
        <f t="shared" si="2304"/>
        <v>BULLISH</v>
      </c>
      <c r="S5462">
        <f t="shared" si="2307"/>
        <v>1</v>
      </c>
    </row>
    <row r="5463" spans="1:19" hidden="1" x14ac:dyDescent="0.25">
      <c r="A5463" s="5" t="str">
        <f t="shared" si="2308"/>
        <v>44141FB</v>
      </c>
      <c r="B5463" s="6" t="s">
        <v>30</v>
      </c>
      <c r="C5463" s="6">
        <v>261</v>
      </c>
      <c r="D5463" s="6">
        <v>298</v>
      </c>
      <c r="E5463" s="6">
        <v>294</v>
      </c>
      <c r="F5463" t="str">
        <f t="shared" si="2294"/>
        <v>FRI</v>
      </c>
      <c r="G5463" s="1">
        <f t="shared" si="2295"/>
        <v>44141</v>
      </c>
      <c r="H5463" s="2">
        <f t="shared" ca="1" si="2296"/>
        <v>112</v>
      </c>
      <c r="I5463" t="str">
        <f t="shared" si="2297"/>
        <v>FB</v>
      </c>
      <c r="J5463">
        <f t="shared" si="2298"/>
        <v>261</v>
      </c>
      <c r="K5463">
        <f t="shared" si="2299"/>
        <v>298</v>
      </c>
      <c r="L5463">
        <f t="shared" si="2300"/>
        <v>279.5</v>
      </c>
      <c r="M5463">
        <f t="shared" si="2301"/>
        <v>18.5</v>
      </c>
      <c r="N5463">
        <f t="shared" si="2305"/>
        <v>37</v>
      </c>
      <c r="O5463">
        <f t="shared" si="2302"/>
        <v>294</v>
      </c>
      <c r="P5463">
        <f t="shared" si="2303"/>
        <v>0.78378378378378377</v>
      </c>
      <c r="Q5463" t="str">
        <f t="shared" si="2306"/>
        <v>11.22% | 1.36%</v>
      </c>
      <c r="R5463" t="str">
        <f t="shared" si="2304"/>
        <v>BULLISH</v>
      </c>
      <c r="S5463">
        <f t="shared" si="2307"/>
        <v>1</v>
      </c>
    </row>
    <row r="5464" spans="1:19" hidden="1" x14ac:dyDescent="0.25">
      <c r="A5464" s="5" t="str">
        <f t="shared" si="2308"/>
        <v>44141GOOGL</v>
      </c>
      <c r="B5464" s="6" t="s">
        <v>31</v>
      </c>
      <c r="C5464" s="6">
        <v>1620</v>
      </c>
      <c r="D5464" s="6">
        <v>1786</v>
      </c>
      <c r="E5464" s="6">
        <v>1762</v>
      </c>
      <c r="F5464" t="str">
        <f t="shared" si="2294"/>
        <v>FRI</v>
      </c>
      <c r="G5464" s="1">
        <f t="shared" si="2295"/>
        <v>44141</v>
      </c>
      <c r="H5464" s="2">
        <f t="shared" ca="1" si="2296"/>
        <v>112</v>
      </c>
      <c r="I5464" t="str">
        <f t="shared" si="2297"/>
        <v>GOOGL</v>
      </c>
      <c r="J5464">
        <f t="shared" si="2298"/>
        <v>1620</v>
      </c>
      <c r="K5464">
        <f t="shared" si="2299"/>
        <v>1786</v>
      </c>
      <c r="L5464">
        <f t="shared" si="2300"/>
        <v>1703</v>
      </c>
      <c r="M5464">
        <f t="shared" si="2301"/>
        <v>83</v>
      </c>
      <c r="N5464">
        <f t="shared" si="2305"/>
        <v>166</v>
      </c>
      <c r="O5464">
        <f t="shared" si="2302"/>
        <v>1762</v>
      </c>
      <c r="P5464">
        <f t="shared" si="2303"/>
        <v>0.71084337349397586</v>
      </c>
      <c r="Q5464" t="str">
        <f t="shared" si="2306"/>
        <v>8.06% | 1.36%</v>
      </c>
      <c r="R5464" t="str">
        <f t="shared" si="2304"/>
        <v>BULLISH</v>
      </c>
      <c r="S5464">
        <f t="shared" si="2307"/>
        <v>1</v>
      </c>
    </row>
    <row r="5465" spans="1:19" hidden="1" x14ac:dyDescent="0.25">
      <c r="A5465" s="5" t="str">
        <f t="shared" si="2308"/>
        <v>44141NFLX</v>
      </c>
      <c r="B5465" s="6" t="s">
        <v>81</v>
      </c>
      <c r="C5465" s="6">
        <v>469</v>
      </c>
      <c r="D5465" s="6">
        <v>516</v>
      </c>
      <c r="E5465" s="6">
        <v>513</v>
      </c>
      <c r="F5465" t="str">
        <f t="shared" si="2294"/>
        <v>FRI</v>
      </c>
      <c r="G5465" s="1">
        <f t="shared" si="2295"/>
        <v>44141</v>
      </c>
      <c r="H5465" s="2">
        <f t="shared" ca="1" si="2296"/>
        <v>112</v>
      </c>
      <c r="I5465" t="str">
        <f t="shared" si="2297"/>
        <v>NFLX</v>
      </c>
      <c r="J5465">
        <f t="shared" si="2298"/>
        <v>469</v>
      </c>
      <c r="K5465">
        <f t="shared" si="2299"/>
        <v>516</v>
      </c>
      <c r="L5465">
        <f t="shared" si="2300"/>
        <v>492.5</v>
      </c>
      <c r="M5465">
        <f t="shared" si="2301"/>
        <v>23.5</v>
      </c>
      <c r="N5465">
        <f t="shared" si="2305"/>
        <v>47</v>
      </c>
      <c r="O5465">
        <f t="shared" si="2302"/>
        <v>513</v>
      </c>
      <c r="P5465">
        <f t="shared" si="2303"/>
        <v>0.87234042553191493</v>
      </c>
      <c r="Q5465" t="str">
        <f t="shared" si="2306"/>
        <v>8.58% | 0.58%</v>
      </c>
      <c r="R5465" t="str">
        <f t="shared" si="2304"/>
        <v>BEARISH</v>
      </c>
      <c r="S5465">
        <f t="shared" si="2307"/>
        <v>-1</v>
      </c>
    </row>
    <row r="5466" spans="1:19" x14ac:dyDescent="0.25">
      <c r="A5466" s="5" t="str">
        <f t="shared" si="2308"/>
        <v>44141TSLA</v>
      </c>
      <c r="B5466" s="6" t="s">
        <v>71</v>
      </c>
      <c r="C5466" s="6">
        <v>385</v>
      </c>
      <c r="D5466" s="6">
        <v>445</v>
      </c>
      <c r="E5466" s="6">
        <v>438</v>
      </c>
      <c r="F5466" t="str">
        <f t="shared" si="2294"/>
        <v>FRI</v>
      </c>
      <c r="G5466" s="1">
        <f t="shared" si="2295"/>
        <v>44141</v>
      </c>
      <c r="H5466" s="2">
        <f t="shared" ca="1" si="2296"/>
        <v>112</v>
      </c>
      <c r="I5466" t="str">
        <f t="shared" si="2297"/>
        <v>TSLA</v>
      </c>
      <c r="J5466">
        <f t="shared" si="2298"/>
        <v>385</v>
      </c>
      <c r="K5466">
        <f t="shared" si="2299"/>
        <v>445</v>
      </c>
      <c r="L5466">
        <f t="shared" si="2300"/>
        <v>415</v>
      </c>
      <c r="M5466">
        <f t="shared" si="2301"/>
        <v>30</v>
      </c>
      <c r="N5466">
        <f t="shared" si="2305"/>
        <v>60</v>
      </c>
      <c r="O5466">
        <f t="shared" si="2302"/>
        <v>438</v>
      </c>
      <c r="P5466">
        <f t="shared" si="2303"/>
        <v>0.76666666666666672</v>
      </c>
      <c r="Q5466" t="str">
        <f t="shared" si="2306"/>
        <v>12.1% | 1.6%</v>
      </c>
      <c r="R5466" t="str">
        <f t="shared" si="2304"/>
        <v>NEUTRAL</v>
      </c>
      <c r="S5466">
        <f t="shared" si="2307"/>
        <v>0</v>
      </c>
    </row>
    <row r="5467" spans="1:19" hidden="1" x14ac:dyDescent="0.25">
      <c r="A5467" s="5" t="str">
        <f t="shared" si="2308"/>
        <v>44141NYXBT</v>
      </c>
      <c r="B5467" s="6" t="s">
        <v>60</v>
      </c>
      <c r="C5467" s="6">
        <v>13634</v>
      </c>
      <c r="D5467" s="6">
        <v>15789</v>
      </c>
      <c r="E5467" s="6">
        <v>14945</v>
      </c>
      <c r="F5467" t="str">
        <f t="shared" si="2294"/>
        <v>FRI</v>
      </c>
      <c r="G5467" s="1">
        <f t="shared" si="2295"/>
        <v>44141</v>
      </c>
      <c r="H5467" s="2">
        <f t="shared" ca="1" si="2296"/>
        <v>112</v>
      </c>
      <c r="I5467" t="str">
        <f t="shared" si="2297"/>
        <v>NYXBT</v>
      </c>
      <c r="J5467">
        <f t="shared" si="2298"/>
        <v>13634</v>
      </c>
      <c r="K5467">
        <f t="shared" si="2299"/>
        <v>15789</v>
      </c>
      <c r="L5467">
        <f t="shared" si="2300"/>
        <v>14711.5</v>
      </c>
      <c r="M5467">
        <f t="shared" si="2301"/>
        <v>1077.5</v>
      </c>
      <c r="N5467">
        <f t="shared" si="2305"/>
        <v>2155</v>
      </c>
      <c r="O5467">
        <f t="shared" si="2302"/>
        <v>14945</v>
      </c>
      <c r="P5467">
        <f t="shared" si="2303"/>
        <v>0.21670533642691414</v>
      </c>
      <c r="Q5467" t="str">
        <f t="shared" si="2306"/>
        <v>8.77% | 5.65%</v>
      </c>
      <c r="R5467" t="str">
        <f t="shared" si="2304"/>
        <v>BULLISH</v>
      </c>
      <c r="S5467">
        <f t="shared" si="2307"/>
        <v>1</v>
      </c>
    </row>
    <row r="5468" spans="1:19" hidden="1" x14ac:dyDescent="0.25">
      <c r="A5468" s="5" t="str">
        <f t="shared" si="2308"/>
        <v>44144UST10Y</v>
      </c>
      <c r="B5468" s="6" t="s">
        <v>4</v>
      </c>
      <c r="C5468" s="6">
        <v>0.92</v>
      </c>
      <c r="D5468" s="6">
        <v>0.73</v>
      </c>
      <c r="E5468" s="6">
        <v>0.83</v>
      </c>
      <c r="F5468" t="str">
        <f t="shared" si="2294"/>
        <v>MON</v>
      </c>
      <c r="G5468" s="3">
        <f>DATE(2020,11,9)</f>
        <v>44144</v>
      </c>
      <c r="H5468" s="2">
        <f t="shared" ca="1" si="2296"/>
        <v>109</v>
      </c>
      <c r="I5468" t="str">
        <f t="shared" si="2297"/>
        <v>UST10Y</v>
      </c>
      <c r="J5468">
        <f t="shared" si="2298"/>
        <v>0.92</v>
      </c>
      <c r="K5468">
        <f t="shared" si="2299"/>
        <v>0.73</v>
      </c>
      <c r="L5468">
        <f t="shared" si="2300"/>
        <v>0.82499999999999996</v>
      </c>
      <c r="M5468">
        <f t="shared" si="2301"/>
        <v>9.500000000000032E-2</v>
      </c>
      <c r="N5468">
        <f t="shared" si="2305"/>
        <v>0.19000000000000006</v>
      </c>
      <c r="O5468">
        <f t="shared" si="2302"/>
        <v>0.83</v>
      </c>
      <c r="P5468">
        <f t="shared" si="2303"/>
        <v>5.2631578947368293E-2</v>
      </c>
      <c r="Q5468" t="str">
        <f t="shared" si="2306"/>
        <v>10.84% | 12.05%</v>
      </c>
      <c r="R5468" t="str">
        <f t="shared" si="2304"/>
        <v>BEARISH</v>
      </c>
      <c r="S5468">
        <f t="shared" si="2307"/>
        <v>-1</v>
      </c>
    </row>
    <row r="5469" spans="1:19" hidden="1" x14ac:dyDescent="0.25">
      <c r="A5469" s="5" t="str">
        <f t="shared" si="2308"/>
        <v>44144UST2Y</v>
      </c>
      <c r="B5469" s="6" t="s">
        <v>5</v>
      </c>
      <c r="C5469" s="6">
        <v>0.17</v>
      </c>
      <c r="D5469" s="6">
        <v>0.13</v>
      </c>
      <c r="E5469" s="6">
        <v>0.16</v>
      </c>
      <c r="F5469" t="str">
        <f t="shared" ref="F5469:F5500" si="2309">UPPER(TEXT(G5469,"ddd"))</f>
        <v>MON</v>
      </c>
      <c r="G5469" s="3">
        <f t="shared" ref="G5469:G5499" si="2310">DATE(2020,11,9)</f>
        <v>44144</v>
      </c>
      <c r="H5469" s="2">
        <f t="shared" ref="H5469:H5500" ca="1" si="2311">TODAY()-G5469</f>
        <v>109</v>
      </c>
      <c r="I5469" t="str">
        <f t="shared" ref="I5469:I5500" si="2312">TRIM(LEFT(B5469,FIND(" ",B5469,1)))</f>
        <v>UST2Y</v>
      </c>
      <c r="J5469">
        <f t="shared" ref="J5469:J5500" si="2313">C5469</f>
        <v>0.17</v>
      </c>
      <c r="K5469">
        <f t="shared" ref="K5469:K5500" si="2314">D5469</f>
        <v>0.13</v>
      </c>
      <c r="L5469">
        <f t="shared" ref="L5469:L5500" si="2315">AVERAGE(J5469:K5469)</f>
        <v>0.15000000000000002</v>
      </c>
      <c r="M5469">
        <f t="shared" ref="M5469:M5500" si="2316">_xlfn.STDEV.P(J5469:K5469)</f>
        <v>1.9999999999999938E-2</v>
      </c>
      <c r="N5469">
        <f t="shared" si="2305"/>
        <v>4.0000000000000008E-2</v>
      </c>
      <c r="O5469">
        <f t="shared" ref="O5469:O5500" si="2317">E5469</f>
        <v>0.16</v>
      </c>
      <c r="P5469">
        <f t="shared" ref="P5469:P5500" si="2318">(O5469-L5469)/M5469</f>
        <v>0.50000000000000056</v>
      </c>
      <c r="Q5469" t="str">
        <f t="shared" si="2306"/>
        <v>6.25% | 18.75%</v>
      </c>
      <c r="R5469" t="str">
        <f t="shared" ref="R5469:R5500" si="2319">MID(B5469,FIND("(",B5469,1)+1,FIND(")",B5469,1)-FIND("(",B5469,1)-1)</f>
        <v>BEARISH</v>
      </c>
      <c r="S5469">
        <f t="shared" si="2307"/>
        <v>-1</v>
      </c>
    </row>
    <row r="5470" spans="1:19" hidden="1" x14ac:dyDescent="0.25">
      <c r="A5470" s="5" t="str">
        <f t="shared" si="2308"/>
        <v>44144SPX</v>
      </c>
      <c r="B5470" s="6" t="s">
        <v>93</v>
      </c>
      <c r="C5470" s="6">
        <v>3263</v>
      </c>
      <c r="D5470" s="6">
        <v>3564</v>
      </c>
      <c r="E5470" s="6">
        <v>3509</v>
      </c>
      <c r="F5470" t="str">
        <f t="shared" si="2309"/>
        <v>MON</v>
      </c>
      <c r="G5470" s="3">
        <f t="shared" si="2310"/>
        <v>44144</v>
      </c>
      <c r="H5470" s="2">
        <f t="shared" ca="1" si="2311"/>
        <v>109</v>
      </c>
      <c r="I5470" t="str">
        <f t="shared" si="2312"/>
        <v>SPX</v>
      </c>
      <c r="J5470">
        <f t="shared" si="2313"/>
        <v>3263</v>
      </c>
      <c r="K5470">
        <f t="shared" si="2314"/>
        <v>3564</v>
      </c>
      <c r="L5470">
        <f t="shared" si="2315"/>
        <v>3413.5</v>
      </c>
      <c r="M5470">
        <f t="shared" si="2316"/>
        <v>150.5</v>
      </c>
      <c r="N5470">
        <f t="shared" si="2305"/>
        <v>301</v>
      </c>
      <c r="O5470">
        <f t="shared" si="2317"/>
        <v>3509</v>
      </c>
      <c r="P5470">
        <f t="shared" si="2318"/>
        <v>0.63455149501661134</v>
      </c>
      <c r="Q5470" t="str">
        <f t="shared" si="2306"/>
        <v>7.01% | 1.57%</v>
      </c>
      <c r="R5470" t="str">
        <f t="shared" si="2319"/>
        <v>BULLISH</v>
      </c>
      <c r="S5470">
        <f t="shared" si="2307"/>
        <v>1</v>
      </c>
    </row>
    <row r="5471" spans="1:19" hidden="1" x14ac:dyDescent="0.25">
      <c r="A5471" s="5" t="str">
        <f t="shared" si="2308"/>
        <v>44144RUT</v>
      </c>
      <c r="B5471" s="6" t="s">
        <v>240</v>
      </c>
      <c r="C5471" s="6">
        <v>1514</v>
      </c>
      <c r="D5471" s="6">
        <v>1674</v>
      </c>
      <c r="E5471" s="6">
        <v>1644</v>
      </c>
      <c r="F5471" t="str">
        <f t="shared" si="2309"/>
        <v>MON</v>
      </c>
      <c r="G5471" s="3">
        <f t="shared" si="2310"/>
        <v>44144</v>
      </c>
      <c r="H5471" s="2">
        <f t="shared" ca="1" si="2311"/>
        <v>109</v>
      </c>
      <c r="I5471" t="str">
        <f t="shared" si="2312"/>
        <v>RUT</v>
      </c>
      <c r="J5471">
        <f t="shared" si="2313"/>
        <v>1514</v>
      </c>
      <c r="K5471">
        <f t="shared" si="2314"/>
        <v>1674</v>
      </c>
      <c r="L5471">
        <f t="shared" si="2315"/>
        <v>1594</v>
      </c>
      <c r="M5471">
        <f t="shared" si="2316"/>
        <v>80</v>
      </c>
      <c r="N5471">
        <f t="shared" si="2305"/>
        <v>160</v>
      </c>
      <c r="O5471">
        <f t="shared" si="2317"/>
        <v>1644</v>
      </c>
      <c r="P5471">
        <f t="shared" si="2318"/>
        <v>0.625</v>
      </c>
      <c r="Q5471" t="str">
        <f t="shared" si="2306"/>
        <v>7.91% | 1.82%</v>
      </c>
      <c r="R5471" t="str">
        <f t="shared" si="2319"/>
        <v>NEUTRAL</v>
      </c>
      <c r="S5471">
        <f t="shared" si="2307"/>
        <v>0</v>
      </c>
    </row>
    <row r="5472" spans="1:19" hidden="1" x14ac:dyDescent="0.25">
      <c r="A5472" s="5" t="str">
        <f t="shared" si="2308"/>
        <v>44144COMPQ</v>
      </c>
      <c r="B5472" s="6" t="s">
        <v>8</v>
      </c>
      <c r="C5472" s="6">
        <v>10712</v>
      </c>
      <c r="D5472" s="6">
        <v>12056</v>
      </c>
      <c r="E5472" s="6">
        <v>11895</v>
      </c>
      <c r="F5472" t="str">
        <f t="shared" si="2309"/>
        <v>MON</v>
      </c>
      <c r="G5472" s="3">
        <f t="shared" si="2310"/>
        <v>44144</v>
      </c>
      <c r="H5472" s="2">
        <f t="shared" ca="1" si="2311"/>
        <v>109</v>
      </c>
      <c r="I5472" t="str">
        <f t="shared" si="2312"/>
        <v>COMPQ</v>
      </c>
      <c r="J5472">
        <f t="shared" si="2313"/>
        <v>10712</v>
      </c>
      <c r="K5472">
        <f t="shared" si="2314"/>
        <v>12056</v>
      </c>
      <c r="L5472">
        <f t="shared" si="2315"/>
        <v>11384</v>
      </c>
      <c r="M5472">
        <f t="shared" si="2316"/>
        <v>672</v>
      </c>
      <c r="N5472">
        <f t="shared" si="2305"/>
        <v>1344</v>
      </c>
      <c r="O5472">
        <f t="shared" si="2317"/>
        <v>11895</v>
      </c>
      <c r="P5472">
        <f t="shared" si="2318"/>
        <v>0.76041666666666663</v>
      </c>
      <c r="Q5472" t="str">
        <f t="shared" si="2306"/>
        <v>9.95% | 1.35%</v>
      </c>
      <c r="R5472" t="str">
        <f t="shared" si="2319"/>
        <v>BULLISH</v>
      </c>
      <c r="S5472">
        <f t="shared" si="2307"/>
        <v>1</v>
      </c>
    </row>
    <row r="5473" spans="1:19" hidden="1" x14ac:dyDescent="0.25">
      <c r="A5473" s="5" t="str">
        <f t="shared" si="2308"/>
        <v>44144XLK</v>
      </c>
      <c r="B5473" s="6" t="s">
        <v>10</v>
      </c>
      <c r="C5473" s="6">
        <v>109.31</v>
      </c>
      <c r="D5473" s="6">
        <v>123.36</v>
      </c>
      <c r="E5473" s="6">
        <v>121.58</v>
      </c>
      <c r="F5473" t="str">
        <f t="shared" si="2309"/>
        <v>MON</v>
      </c>
      <c r="G5473" s="3">
        <f t="shared" si="2310"/>
        <v>44144</v>
      </c>
      <c r="H5473" s="2">
        <f t="shared" ca="1" si="2311"/>
        <v>109</v>
      </c>
      <c r="I5473" t="str">
        <f t="shared" si="2312"/>
        <v>XLK</v>
      </c>
      <c r="J5473">
        <f t="shared" si="2313"/>
        <v>109.31</v>
      </c>
      <c r="K5473">
        <f t="shared" si="2314"/>
        <v>123.36</v>
      </c>
      <c r="L5473">
        <f t="shared" si="2315"/>
        <v>116.33500000000001</v>
      </c>
      <c r="M5473">
        <f t="shared" si="2316"/>
        <v>7.0249999999999986</v>
      </c>
      <c r="N5473">
        <f t="shared" si="2305"/>
        <v>14.049999999999997</v>
      </c>
      <c r="O5473">
        <f t="shared" si="2317"/>
        <v>121.58</v>
      </c>
      <c r="P5473">
        <f t="shared" si="2318"/>
        <v>0.74661921708184931</v>
      </c>
      <c r="Q5473" t="str">
        <f t="shared" si="2306"/>
        <v>10.09% | 1.46%</v>
      </c>
      <c r="R5473" t="str">
        <f t="shared" si="2319"/>
        <v>BULLISH</v>
      </c>
      <c r="S5473">
        <f t="shared" si="2307"/>
        <v>1</v>
      </c>
    </row>
    <row r="5474" spans="1:19" hidden="1" x14ac:dyDescent="0.25">
      <c r="A5474" s="5" t="str">
        <f t="shared" si="2308"/>
        <v>44144XLRE</v>
      </c>
      <c r="B5474" s="6" t="s">
        <v>97</v>
      </c>
      <c r="C5474" s="6">
        <v>33.9</v>
      </c>
      <c r="D5474" s="6">
        <v>36.32</v>
      </c>
      <c r="E5474" s="6">
        <v>35.630000000000003</v>
      </c>
      <c r="F5474" t="str">
        <f t="shared" si="2309"/>
        <v>MON</v>
      </c>
      <c r="G5474" s="3">
        <f t="shared" si="2310"/>
        <v>44144</v>
      </c>
      <c r="H5474" s="2">
        <f t="shared" ca="1" si="2311"/>
        <v>109</v>
      </c>
      <c r="I5474" t="str">
        <f t="shared" si="2312"/>
        <v>XLRE</v>
      </c>
      <c r="J5474">
        <f t="shared" si="2313"/>
        <v>33.9</v>
      </c>
      <c r="K5474">
        <f t="shared" si="2314"/>
        <v>36.32</v>
      </c>
      <c r="L5474">
        <f t="shared" si="2315"/>
        <v>35.11</v>
      </c>
      <c r="M5474">
        <f t="shared" si="2316"/>
        <v>1.2100000000000009</v>
      </c>
      <c r="N5474">
        <f t="shared" si="2305"/>
        <v>2.4200000000000017</v>
      </c>
      <c r="O5474">
        <f t="shared" si="2317"/>
        <v>35.630000000000003</v>
      </c>
      <c r="P5474">
        <f t="shared" si="2318"/>
        <v>0.42975206611570477</v>
      </c>
      <c r="Q5474" t="str">
        <f t="shared" si="2306"/>
        <v>4.86% | 1.94%</v>
      </c>
      <c r="R5474" t="str">
        <f t="shared" si="2319"/>
        <v>BULLISH</v>
      </c>
      <c r="S5474">
        <f t="shared" si="2307"/>
        <v>1</v>
      </c>
    </row>
    <row r="5475" spans="1:19" hidden="1" x14ac:dyDescent="0.25">
      <c r="A5475" s="5" t="str">
        <f t="shared" si="2308"/>
        <v>44144XLU</v>
      </c>
      <c r="B5475" s="6" t="s">
        <v>52</v>
      </c>
      <c r="C5475" s="6">
        <v>62.1</v>
      </c>
      <c r="D5475" s="6">
        <v>65.37</v>
      </c>
      <c r="E5475" s="6">
        <v>64.13</v>
      </c>
      <c r="F5475" t="str">
        <f t="shared" si="2309"/>
        <v>MON</v>
      </c>
      <c r="G5475" s="3">
        <f t="shared" si="2310"/>
        <v>44144</v>
      </c>
      <c r="H5475" s="2">
        <f t="shared" ca="1" si="2311"/>
        <v>109</v>
      </c>
      <c r="I5475" t="str">
        <f t="shared" si="2312"/>
        <v>XLU</v>
      </c>
      <c r="J5475">
        <f t="shared" si="2313"/>
        <v>62.1</v>
      </c>
      <c r="K5475">
        <f t="shared" si="2314"/>
        <v>65.37</v>
      </c>
      <c r="L5475">
        <f t="shared" si="2315"/>
        <v>63.734999999999999</v>
      </c>
      <c r="M5475">
        <f t="shared" si="2316"/>
        <v>1.6350000000000016</v>
      </c>
      <c r="N5475">
        <f t="shared" si="2305"/>
        <v>3.2700000000000031</v>
      </c>
      <c r="O5475">
        <f t="shared" si="2317"/>
        <v>64.13</v>
      </c>
      <c r="P5475">
        <f t="shared" si="2318"/>
        <v>0.24159021406727563</v>
      </c>
      <c r="Q5475" t="str">
        <f t="shared" si="2306"/>
        <v>3.17% | 1.93%</v>
      </c>
      <c r="R5475" t="str">
        <f t="shared" si="2319"/>
        <v>BULLISH</v>
      </c>
      <c r="S5475">
        <f t="shared" si="2307"/>
        <v>1</v>
      </c>
    </row>
    <row r="5476" spans="1:19" hidden="1" x14ac:dyDescent="0.25">
      <c r="A5476" s="5" t="str">
        <f t="shared" si="2308"/>
        <v>44144XLF</v>
      </c>
      <c r="B5476" s="6" t="s">
        <v>12</v>
      </c>
      <c r="C5476" s="6">
        <v>23.29</v>
      </c>
      <c r="D5476" s="6">
        <v>25.48</v>
      </c>
      <c r="E5476" s="6">
        <v>24.96</v>
      </c>
      <c r="F5476" t="str">
        <f t="shared" si="2309"/>
        <v>MON</v>
      </c>
      <c r="G5476" s="3">
        <f t="shared" si="2310"/>
        <v>44144</v>
      </c>
      <c r="H5476" s="2">
        <f t="shared" ca="1" si="2311"/>
        <v>109</v>
      </c>
      <c r="I5476" t="str">
        <f t="shared" si="2312"/>
        <v>XLF</v>
      </c>
      <c r="J5476">
        <f t="shared" si="2313"/>
        <v>23.29</v>
      </c>
      <c r="K5476">
        <f t="shared" si="2314"/>
        <v>25.48</v>
      </c>
      <c r="L5476">
        <f t="shared" si="2315"/>
        <v>24.384999999999998</v>
      </c>
      <c r="M5476">
        <f t="shared" si="2316"/>
        <v>1.0950000000000006</v>
      </c>
      <c r="N5476">
        <f t="shared" si="2305"/>
        <v>2.1900000000000013</v>
      </c>
      <c r="O5476">
        <f t="shared" si="2317"/>
        <v>24.96</v>
      </c>
      <c r="P5476">
        <f t="shared" si="2318"/>
        <v>0.5251141552511438</v>
      </c>
      <c r="Q5476" t="str">
        <f t="shared" si="2306"/>
        <v>6.69% | 2.08%</v>
      </c>
      <c r="R5476" t="str">
        <f t="shared" si="2319"/>
        <v>BEARISH</v>
      </c>
      <c r="S5476">
        <f t="shared" si="2307"/>
        <v>-1</v>
      </c>
    </row>
    <row r="5477" spans="1:19" hidden="1" x14ac:dyDescent="0.25">
      <c r="A5477" s="5" t="str">
        <f t="shared" si="2308"/>
        <v>44144SSEC</v>
      </c>
      <c r="B5477" s="6" t="s">
        <v>104</v>
      </c>
      <c r="C5477" s="6">
        <v>3245</v>
      </c>
      <c r="D5477" s="6">
        <v>3390</v>
      </c>
      <c r="E5477" s="6">
        <v>3373</v>
      </c>
      <c r="F5477" t="str">
        <f t="shared" si="2309"/>
        <v>MON</v>
      </c>
      <c r="G5477" s="3">
        <f t="shared" si="2310"/>
        <v>44144</v>
      </c>
      <c r="H5477" s="2">
        <f t="shared" ca="1" si="2311"/>
        <v>109</v>
      </c>
      <c r="I5477" t="str">
        <f t="shared" si="2312"/>
        <v>SSEC</v>
      </c>
      <c r="J5477">
        <f t="shared" si="2313"/>
        <v>3245</v>
      </c>
      <c r="K5477">
        <f t="shared" si="2314"/>
        <v>3390</v>
      </c>
      <c r="L5477">
        <f t="shared" si="2315"/>
        <v>3317.5</v>
      </c>
      <c r="M5477">
        <f t="shared" si="2316"/>
        <v>72.5</v>
      </c>
      <c r="N5477">
        <f t="shared" si="2305"/>
        <v>145</v>
      </c>
      <c r="O5477">
        <f t="shared" si="2317"/>
        <v>3373</v>
      </c>
      <c r="P5477">
        <f t="shared" si="2318"/>
        <v>0.76551724137931032</v>
      </c>
      <c r="Q5477" t="str">
        <f t="shared" si="2306"/>
        <v>3.79% | 0.5%</v>
      </c>
      <c r="R5477" t="str">
        <f t="shared" si="2319"/>
        <v>BULLISH</v>
      </c>
      <c r="S5477">
        <f t="shared" si="2307"/>
        <v>1</v>
      </c>
    </row>
    <row r="5478" spans="1:19" hidden="1" x14ac:dyDescent="0.25">
      <c r="A5478" s="5" t="str">
        <f t="shared" si="2308"/>
        <v>44144NIKK</v>
      </c>
      <c r="B5478" s="6" t="s">
        <v>91</v>
      </c>
      <c r="C5478" s="6">
        <v>23503</v>
      </c>
      <c r="D5478" s="6">
        <v>25356</v>
      </c>
      <c r="E5478" s="6">
        <v>24839</v>
      </c>
      <c r="F5478" t="str">
        <f t="shared" si="2309"/>
        <v>MON</v>
      </c>
      <c r="G5478" s="3">
        <f t="shared" si="2310"/>
        <v>44144</v>
      </c>
      <c r="H5478" s="2">
        <f t="shared" ca="1" si="2311"/>
        <v>109</v>
      </c>
      <c r="I5478" t="str">
        <f t="shared" si="2312"/>
        <v>NIKK</v>
      </c>
      <c r="J5478">
        <f t="shared" si="2313"/>
        <v>23503</v>
      </c>
      <c r="K5478">
        <f t="shared" si="2314"/>
        <v>25356</v>
      </c>
      <c r="L5478">
        <f t="shared" si="2315"/>
        <v>24429.5</v>
      </c>
      <c r="M5478">
        <f t="shared" si="2316"/>
        <v>926.5</v>
      </c>
      <c r="N5478">
        <f t="shared" si="2305"/>
        <v>1853</v>
      </c>
      <c r="O5478">
        <f t="shared" si="2317"/>
        <v>24839</v>
      </c>
      <c r="P5478">
        <f t="shared" si="2318"/>
        <v>0.44198596869940637</v>
      </c>
      <c r="Q5478" t="str">
        <f t="shared" si="2306"/>
        <v>5.38% | 2.08%</v>
      </c>
      <c r="R5478" t="str">
        <f t="shared" si="2319"/>
        <v>BULLISH</v>
      </c>
      <c r="S5478">
        <f t="shared" si="2307"/>
        <v>1</v>
      </c>
    </row>
    <row r="5479" spans="1:19" hidden="1" x14ac:dyDescent="0.25">
      <c r="A5479" s="5" t="str">
        <f t="shared" si="2308"/>
        <v>44144DAX</v>
      </c>
      <c r="B5479" s="6" t="s">
        <v>16</v>
      </c>
      <c r="C5479" s="6">
        <v>11521</v>
      </c>
      <c r="D5479" s="6">
        <v>12793</v>
      </c>
      <c r="E5479" s="6">
        <v>12480</v>
      </c>
      <c r="F5479" t="str">
        <f t="shared" si="2309"/>
        <v>MON</v>
      </c>
      <c r="G5479" s="3">
        <f t="shared" si="2310"/>
        <v>44144</v>
      </c>
      <c r="H5479" s="2">
        <f t="shared" ca="1" si="2311"/>
        <v>109</v>
      </c>
      <c r="I5479" t="str">
        <f t="shared" si="2312"/>
        <v>DAX</v>
      </c>
      <c r="J5479">
        <f t="shared" si="2313"/>
        <v>11521</v>
      </c>
      <c r="K5479">
        <f t="shared" si="2314"/>
        <v>12793</v>
      </c>
      <c r="L5479">
        <f t="shared" si="2315"/>
        <v>12157</v>
      </c>
      <c r="M5479">
        <f t="shared" si="2316"/>
        <v>636</v>
      </c>
      <c r="N5479">
        <f t="shared" si="2305"/>
        <v>1272</v>
      </c>
      <c r="O5479">
        <f t="shared" si="2317"/>
        <v>12480</v>
      </c>
      <c r="P5479">
        <f t="shared" si="2318"/>
        <v>0.50786163522012584</v>
      </c>
      <c r="Q5479" t="str">
        <f t="shared" si="2306"/>
        <v>7.68% | 2.51%</v>
      </c>
      <c r="R5479" t="str">
        <f t="shared" si="2319"/>
        <v>BEARISH</v>
      </c>
      <c r="S5479">
        <f t="shared" si="2307"/>
        <v>-1</v>
      </c>
    </row>
    <row r="5480" spans="1:19" hidden="1" x14ac:dyDescent="0.25">
      <c r="A5480" s="5" t="str">
        <f t="shared" si="2308"/>
        <v>44144VIX</v>
      </c>
      <c r="B5480" s="6" t="s">
        <v>17</v>
      </c>
      <c r="C5480" s="6">
        <v>23.57</v>
      </c>
      <c r="D5480" s="6">
        <v>43.6</v>
      </c>
      <c r="E5480" s="6">
        <v>24.86</v>
      </c>
      <c r="F5480" t="str">
        <f t="shared" si="2309"/>
        <v>MON</v>
      </c>
      <c r="G5480" s="3">
        <f t="shared" si="2310"/>
        <v>44144</v>
      </c>
      <c r="H5480" s="2">
        <f t="shared" ca="1" si="2311"/>
        <v>109</v>
      </c>
      <c r="I5480" t="str">
        <f t="shared" si="2312"/>
        <v>VIX</v>
      </c>
      <c r="J5480">
        <f t="shared" si="2313"/>
        <v>23.57</v>
      </c>
      <c r="K5480">
        <f t="shared" si="2314"/>
        <v>43.6</v>
      </c>
      <c r="L5480">
        <f t="shared" si="2315"/>
        <v>33.585000000000001</v>
      </c>
      <c r="M5480">
        <f t="shared" si="2316"/>
        <v>10.014999999999997</v>
      </c>
      <c r="N5480">
        <f t="shared" si="2305"/>
        <v>20.03</v>
      </c>
      <c r="O5480">
        <f t="shared" si="2317"/>
        <v>24.86</v>
      </c>
      <c r="P5480">
        <f t="shared" si="2318"/>
        <v>-0.87119321018472329</v>
      </c>
      <c r="Q5480" t="str">
        <f t="shared" si="2306"/>
        <v>5.19% | 75.38%</v>
      </c>
      <c r="R5480" t="str">
        <f t="shared" si="2319"/>
        <v>BULLISH</v>
      </c>
      <c r="S5480">
        <f t="shared" si="2307"/>
        <v>1</v>
      </c>
    </row>
    <row r="5481" spans="1:19" hidden="1" x14ac:dyDescent="0.25">
      <c r="A5481" s="5" t="str">
        <f t="shared" si="2308"/>
        <v>44144USD</v>
      </c>
      <c r="B5481" s="6" t="s">
        <v>94</v>
      </c>
      <c r="C5481" s="6">
        <v>92.01</v>
      </c>
      <c r="D5481" s="6">
        <v>93.37</v>
      </c>
      <c r="E5481" s="6">
        <v>92.22</v>
      </c>
      <c r="F5481" t="str">
        <f t="shared" si="2309"/>
        <v>MON</v>
      </c>
      <c r="G5481" s="3">
        <f t="shared" si="2310"/>
        <v>44144</v>
      </c>
      <c r="H5481" s="2">
        <f t="shared" ca="1" si="2311"/>
        <v>109</v>
      </c>
      <c r="I5481" t="str">
        <f t="shared" si="2312"/>
        <v>USD</v>
      </c>
      <c r="J5481">
        <f t="shared" si="2313"/>
        <v>92.01</v>
      </c>
      <c r="K5481">
        <f t="shared" si="2314"/>
        <v>93.37</v>
      </c>
      <c r="L5481">
        <f t="shared" si="2315"/>
        <v>92.69</v>
      </c>
      <c r="M5481">
        <f t="shared" si="2316"/>
        <v>0.67999999999999972</v>
      </c>
      <c r="N5481">
        <f t="shared" si="2305"/>
        <v>1.3599999999999994</v>
      </c>
      <c r="O5481">
        <f t="shared" si="2317"/>
        <v>92.22</v>
      </c>
      <c r="P5481">
        <f t="shared" si="2318"/>
        <v>-0.69117647058823395</v>
      </c>
      <c r="Q5481" t="str">
        <f t="shared" si="2306"/>
        <v>0.23% | 1.25%</v>
      </c>
      <c r="R5481" t="str">
        <f t="shared" si="2319"/>
        <v>BEARISH</v>
      </c>
      <c r="S5481">
        <f t="shared" si="2307"/>
        <v>-1</v>
      </c>
    </row>
    <row r="5482" spans="1:19" hidden="1" x14ac:dyDescent="0.25">
      <c r="A5482" s="5" t="str">
        <f t="shared" si="2308"/>
        <v>44144EUR/USD</v>
      </c>
      <c r="B5482" s="6" t="s">
        <v>99</v>
      </c>
      <c r="C5482" s="6">
        <v>1.159</v>
      </c>
      <c r="D5482" s="6">
        <v>1.1890000000000001</v>
      </c>
      <c r="E5482" s="6">
        <v>1.1879999999999999</v>
      </c>
      <c r="F5482" t="str">
        <f t="shared" si="2309"/>
        <v>MON</v>
      </c>
      <c r="G5482" s="3">
        <f t="shared" si="2310"/>
        <v>44144</v>
      </c>
      <c r="H5482" s="2">
        <f t="shared" ca="1" si="2311"/>
        <v>109</v>
      </c>
      <c r="I5482" t="str">
        <f t="shared" si="2312"/>
        <v>EUR/USD</v>
      </c>
      <c r="J5482">
        <f t="shared" si="2313"/>
        <v>1.159</v>
      </c>
      <c r="K5482">
        <f t="shared" si="2314"/>
        <v>1.1890000000000001</v>
      </c>
      <c r="L5482">
        <f t="shared" si="2315"/>
        <v>1.1739999999999999</v>
      </c>
      <c r="M5482">
        <f t="shared" si="2316"/>
        <v>1.5000000000000013E-2</v>
      </c>
      <c r="N5482">
        <f t="shared" si="2305"/>
        <v>3.0000000000000027E-2</v>
      </c>
      <c r="O5482">
        <f t="shared" si="2317"/>
        <v>1.1879999999999999</v>
      </c>
      <c r="P5482">
        <f t="shared" si="2318"/>
        <v>0.93333333333333335</v>
      </c>
      <c r="Q5482" t="str">
        <f t="shared" si="2306"/>
        <v>2.44% | 0.08%</v>
      </c>
      <c r="R5482" t="str">
        <f t="shared" si="2319"/>
        <v>BULLISH</v>
      </c>
      <c r="S5482">
        <f t="shared" si="2307"/>
        <v>1</v>
      </c>
    </row>
    <row r="5483" spans="1:19" hidden="1" x14ac:dyDescent="0.25">
      <c r="A5483" s="5" t="str">
        <f t="shared" si="2308"/>
        <v>44144USD/JPY</v>
      </c>
      <c r="B5483" s="6" t="s">
        <v>20</v>
      </c>
      <c r="C5483" s="6">
        <v>103.21</v>
      </c>
      <c r="D5483" s="6">
        <v>104.8</v>
      </c>
      <c r="E5483" s="6">
        <v>103.32</v>
      </c>
      <c r="F5483" t="str">
        <f t="shared" si="2309"/>
        <v>MON</v>
      </c>
      <c r="G5483" s="3">
        <f t="shared" si="2310"/>
        <v>44144</v>
      </c>
      <c r="H5483" s="2">
        <f t="shared" ca="1" si="2311"/>
        <v>109</v>
      </c>
      <c r="I5483" t="str">
        <f t="shared" si="2312"/>
        <v>USD/JPY</v>
      </c>
      <c r="J5483">
        <f t="shared" si="2313"/>
        <v>103.21</v>
      </c>
      <c r="K5483">
        <f t="shared" si="2314"/>
        <v>104.8</v>
      </c>
      <c r="L5483">
        <f t="shared" si="2315"/>
        <v>104.005</v>
      </c>
      <c r="M5483">
        <f t="shared" si="2316"/>
        <v>0.79500000000000171</v>
      </c>
      <c r="N5483">
        <f t="shared" si="2305"/>
        <v>1.5900000000000034</v>
      </c>
      <c r="O5483">
        <f t="shared" si="2317"/>
        <v>103.32</v>
      </c>
      <c r="P5483">
        <f t="shared" si="2318"/>
        <v>-0.86163522012578719</v>
      </c>
      <c r="Q5483" t="str">
        <f t="shared" si="2306"/>
        <v>0.11% | 1.43%</v>
      </c>
      <c r="R5483" t="str">
        <f t="shared" si="2319"/>
        <v>BEARISH</v>
      </c>
      <c r="S5483">
        <f t="shared" si="2307"/>
        <v>-1</v>
      </c>
    </row>
    <row r="5484" spans="1:19" hidden="1" x14ac:dyDescent="0.25">
      <c r="A5484" s="5" t="str">
        <f t="shared" si="2308"/>
        <v>44144GBP/USD</v>
      </c>
      <c r="B5484" s="6" t="s">
        <v>102</v>
      </c>
      <c r="C5484" s="6">
        <v>1.2889999999999999</v>
      </c>
      <c r="D5484" s="6">
        <v>1.319</v>
      </c>
      <c r="E5484" s="6">
        <v>1.3140000000000001</v>
      </c>
      <c r="F5484" t="str">
        <f t="shared" si="2309"/>
        <v>MON</v>
      </c>
      <c r="G5484" s="3">
        <f t="shared" si="2310"/>
        <v>44144</v>
      </c>
      <c r="H5484" s="2">
        <f t="shared" ca="1" si="2311"/>
        <v>109</v>
      </c>
      <c r="I5484" t="str">
        <f t="shared" si="2312"/>
        <v>GBP/USD</v>
      </c>
      <c r="J5484">
        <f t="shared" si="2313"/>
        <v>1.2889999999999999</v>
      </c>
      <c r="K5484">
        <f t="shared" si="2314"/>
        <v>1.319</v>
      </c>
      <c r="L5484">
        <f t="shared" si="2315"/>
        <v>1.3039999999999998</v>
      </c>
      <c r="M5484">
        <f t="shared" si="2316"/>
        <v>1.5000000000000013E-2</v>
      </c>
      <c r="N5484">
        <f t="shared" si="2305"/>
        <v>3.0000000000000027E-2</v>
      </c>
      <c r="O5484">
        <f t="shared" si="2317"/>
        <v>1.3140000000000001</v>
      </c>
      <c r="P5484">
        <f t="shared" si="2318"/>
        <v>0.66666666666668151</v>
      </c>
      <c r="Q5484" t="str">
        <f t="shared" si="2306"/>
        <v>1.9% | 0.38%</v>
      </c>
      <c r="R5484" t="str">
        <f t="shared" si="2319"/>
        <v>BULLISH</v>
      </c>
      <c r="S5484">
        <f t="shared" si="2307"/>
        <v>1</v>
      </c>
    </row>
    <row r="5485" spans="1:19" hidden="1" x14ac:dyDescent="0.25">
      <c r="A5485" s="5" t="str">
        <f t="shared" si="2308"/>
        <v>44144CAD/USD</v>
      </c>
      <c r="B5485" s="6" t="s">
        <v>244</v>
      </c>
      <c r="C5485" s="6">
        <v>0.75</v>
      </c>
      <c r="D5485" s="6">
        <v>0.77</v>
      </c>
      <c r="E5485" s="6">
        <v>0.76</v>
      </c>
      <c r="F5485" t="str">
        <f t="shared" si="2309"/>
        <v>MON</v>
      </c>
      <c r="G5485" s="3">
        <f t="shared" si="2310"/>
        <v>44144</v>
      </c>
      <c r="H5485" s="2">
        <f t="shared" ca="1" si="2311"/>
        <v>109</v>
      </c>
      <c r="I5485" t="str">
        <f t="shared" si="2312"/>
        <v>CAD/USD</v>
      </c>
      <c r="J5485">
        <f t="shared" si="2313"/>
        <v>0.75</v>
      </c>
      <c r="K5485">
        <f t="shared" si="2314"/>
        <v>0.77</v>
      </c>
      <c r="L5485">
        <f t="shared" si="2315"/>
        <v>0.76</v>
      </c>
      <c r="M5485">
        <f t="shared" si="2316"/>
        <v>1.0000000000000009E-2</v>
      </c>
      <c r="N5485">
        <f t="shared" si="2305"/>
        <v>2.0000000000000018E-2</v>
      </c>
      <c r="O5485">
        <f t="shared" si="2317"/>
        <v>0.76</v>
      </c>
      <c r="P5485">
        <f t="shared" si="2318"/>
        <v>0</v>
      </c>
      <c r="Q5485" t="str">
        <f t="shared" si="2306"/>
        <v>1.32% | 1.32%</v>
      </c>
      <c r="R5485" t="str">
        <f t="shared" si="2319"/>
        <v>BULLISH</v>
      </c>
      <c r="S5485">
        <f t="shared" si="2307"/>
        <v>1</v>
      </c>
    </row>
    <row r="5486" spans="1:19" hidden="1" x14ac:dyDescent="0.25">
      <c r="A5486" s="5" t="str">
        <f t="shared" si="2308"/>
        <v>44144USD/CHF</v>
      </c>
      <c r="B5486" s="6" t="s">
        <v>76</v>
      </c>
      <c r="C5486" s="6">
        <v>0.9</v>
      </c>
      <c r="D5486" s="6">
        <v>0.92</v>
      </c>
      <c r="E5486" s="6">
        <v>0.9</v>
      </c>
      <c r="F5486" t="str">
        <f t="shared" si="2309"/>
        <v>MON</v>
      </c>
      <c r="G5486" s="3">
        <f t="shared" si="2310"/>
        <v>44144</v>
      </c>
      <c r="H5486" s="2">
        <f t="shared" ca="1" si="2311"/>
        <v>109</v>
      </c>
      <c r="I5486" t="str">
        <f t="shared" si="2312"/>
        <v>USD/CHF</v>
      </c>
      <c r="J5486">
        <f t="shared" si="2313"/>
        <v>0.9</v>
      </c>
      <c r="K5486">
        <f t="shared" si="2314"/>
        <v>0.92</v>
      </c>
      <c r="L5486">
        <f t="shared" si="2315"/>
        <v>0.91</v>
      </c>
      <c r="M5486">
        <f t="shared" si="2316"/>
        <v>1.0000000000000009E-2</v>
      </c>
      <c r="N5486">
        <f t="shared" si="2305"/>
        <v>2.0000000000000018E-2</v>
      </c>
      <c r="O5486">
        <f t="shared" si="2317"/>
        <v>0.9</v>
      </c>
      <c r="P5486">
        <f t="shared" si="2318"/>
        <v>-1</v>
      </c>
      <c r="Q5486" t="str">
        <f t="shared" si="2306"/>
        <v>0% | 2.22%</v>
      </c>
      <c r="R5486" t="str">
        <f t="shared" si="2319"/>
        <v>BEARISH</v>
      </c>
      <c r="S5486">
        <f t="shared" si="2307"/>
        <v>-1</v>
      </c>
    </row>
    <row r="5487" spans="1:19" hidden="1" x14ac:dyDescent="0.25">
      <c r="A5487" s="5" t="str">
        <f t="shared" si="2308"/>
        <v>44144WTIC</v>
      </c>
      <c r="B5487" s="6" t="s">
        <v>23</v>
      </c>
      <c r="C5487" s="6">
        <v>35.22</v>
      </c>
      <c r="D5487" s="6">
        <v>40.19</v>
      </c>
      <c r="E5487" s="6">
        <v>37.14</v>
      </c>
      <c r="F5487" t="str">
        <f t="shared" si="2309"/>
        <v>MON</v>
      </c>
      <c r="G5487" s="3">
        <f t="shared" si="2310"/>
        <v>44144</v>
      </c>
      <c r="H5487" s="2">
        <f t="shared" ca="1" si="2311"/>
        <v>109</v>
      </c>
      <c r="I5487" t="str">
        <f t="shared" si="2312"/>
        <v>WTIC</v>
      </c>
      <c r="J5487">
        <f t="shared" si="2313"/>
        <v>35.22</v>
      </c>
      <c r="K5487">
        <f t="shared" si="2314"/>
        <v>40.19</v>
      </c>
      <c r="L5487">
        <f t="shared" si="2315"/>
        <v>37.704999999999998</v>
      </c>
      <c r="M5487">
        <f t="shared" si="2316"/>
        <v>2.4849999999999994</v>
      </c>
      <c r="N5487">
        <f t="shared" si="2305"/>
        <v>4.9699999999999989</v>
      </c>
      <c r="O5487">
        <f t="shared" si="2317"/>
        <v>37.14</v>
      </c>
      <c r="P5487">
        <f t="shared" si="2318"/>
        <v>-0.22736418511066311</v>
      </c>
      <c r="Q5487" t="str">
        <f t="shared" si="2306"/>
        <v>5.17% | 8.21%</v>
      </c>
      <c r="R5487" t="str">
        <f t="shared" si="2319"/>
        <v>BEARISH</v>
      </c>
      <c r="S5487">
        <f t="shared" si="2307"/>
        <v>-1</v>
      </c>
    </row>
    <row r="5488" spans="1:19" hidden="1" x14ac:dyDescent="0.25">
      <c r="A5488" s="5" t="str">
        <f t="shared" si="2308"/>
        <v>44144NATGAS</v>
      </c>
      <c r="B5488" s="6" t="s">
        <v>89</v>
      </c>
      <c r="C5488" s="6">
        <v>2.81</v>
      </c>
      <c r="D5488" s="6">
        <v>3.48</v>
      </c>
      <c r="E5488" s="6">
        <v>2.89</v>
      </c>
      <c r="F5488" t="str">
        <f t="shared" si="2309"/>
        <v>MON</v>
      </c>
      <c r="G5488" s="3">
        <f t="shared" si="2310"/>
        <v>44144</v>
      </c>
      <c r="H5488" s="2">
        <f t="shared" ca="1" si="2311"/>
        <v>109</v>
      </c>
      <c r="I5488" t="str">
        <f t="shared" si="2312"/>
        <v>NATGAS</v>
      </c>
      <c r="J5488">
        <f t="shared" si="2313"/>
        <v>2.81</v>
      </c>
      <c r="K5488">
        <f t="shared" si="2314"/>
        <v>3.48</v>
      </c>
      <c r="L5488">
        <f t="shared" si="2315"/>
        <v>3.145</v>
      </c>
      <c r="M5488">
        <f t="shared" si="2316"/>
        <v>0.33500000000000069</v>
      </c>
      <c r="N5488">
        <f t="shared" si="2305"/>
        <v>0.66999999999999993</v>
      </c>
      <c r="O5488">
        <f t="shared" si="2317"/>
        <v>2.89</v>
      </c>
      <c r="P5488">
        <f t="shared" si="2318"/>
        <v>-0.76119402985074436</v>
      </c>
      <c r="Q5488" t="str">
        <f t="shared" si="2306"/>
        <v>2.77% | 20.42%</v>
      </c>
      <c r="R5488" t="str">
        <f t="shared" si="2319"/>
        <v>BULLISH</v>
      </c>
      <c r="S5488">
        <f t="shared" si="2307"/>
        <v>1</v>
      </c>
    </row>
    <row r="5489" spans="1:19" hidden="1" x14ac:dyDescent="0.25">
      <c r="A5489" s="5" t="str">
        <f t="shared" si="2308"/>
        <v>44144GOLD</v>
      </c>
      <c r="B5489" s="6" t="s">
        <v>25</v>
      </c>
      <c r="C5489" s="6">
        <v>1850</v>
      </c>
      <c r="D5489" s="6">
        <v>1962</v>
      </c>
      <c r="E5489" s="6">
        <v>1951</v>
      </c>
      <c r="F5489" t="str">
        <f t="shared" si="2309"/>
        <v>MON</v>
      </c>
      <c r="G5489" s="3">
        <f t="shared" si="2310"/>
        <v>44144</v>
      </c>
      <c r="H5489" s="2">
        <f t="shared" ca="1" si="2311"/>
        <v>109</v>
      </c>
      <c r="I5489" t="str">
        <f t="shared" si="2312"/>
        <v>GOLD</v>
      </c>
      <c r="J5489">
        <f t="shared" si="2313"/>
        <v>1850</v>
      </c>
      <c r="K5489">
        <f t="shared" si="2314"/>
        <v>1962</v>
      </c>
      <c r="L5489">
        <f t="shared" si="2315"/>
        <v>1906</v>
      </c>
      <c r="M5489">
        <f t="shared" si="2316"/>
        <v>56</v>
      </c>
      <c r="N5489">
        <f t="shared" si="2305"/>
        <v>112</v>
      </c>
      <c r="O5489">
        <f t="shared" si="2317"/>
        <v>1951</v>
      </c>
      <c r="P5489">
        <f t="shared" si="2318"/>
        <v>0.8035714285714286</v>
      </c>
      <c r="Q5489" t="str">
        <f t="shared" si="2306"/>
        <v>5.18% | 0.56%</v>
      </c>
      <c r="R5489" t="str">
        <f t="shared" si="2319"/>
        <v>BULLISH</v>
      </c>
      <c r="S5489">
        <f t="shared" si="2307"/>
        <v>1</v>
      </c>
    </row>
    <row r="5490" spans="1:19" hidden="1" x14ac:dyDescent="0.25">
      <c r="A5490" s="5" t="str">
        <f t="shared" si="2308"/>
        <v>44144SILVER</v>
      </c>
      <c r="B5490" s="6" t="s">
        <v>195</v>
      </c>
      <c r="C5490" s="6">
        <v>23.79</v>
      </c>
      <c r="D5490" s="6">
        <v>25.98</v>
      </c>
      <c r="E5490" s="6">
        <v>25.66</v>
      </c>
      <c r="F5490" t="str">
        <f t="shared" si="2309"/>
        <v>MON</v>
      </c>
      <c r="G5490" s="3">
        <f t="shared" si="2310"/>
        <v>44144</v>
      </c>
      <c r="H5490" s="2">
        <f t="shared" ca="1" si="2311"/>
        <v>109</v>
      </c>
      <c r="I5490" t="str">
        <f t="shared" si="2312"/>
        <v>SILVER</v>
      </c>
      <c r="J5490">
        <f t="shared" si="2313"/>
        <v>23.79</v>
      </c>
      <c r="K5490">
        <f t="shared" si="2314"/>
        <v>25.98</v>
      </c>
      <c r="L5490">
        <f t="shared" si="2315"/>
        <v>24.884999999999998</v>
      </c>
      <c r="M5490">
        <f t="shared" si="2316"/>
        <v>1.0950000000000006</v>
      </c>
      <c r="N5490">
        <f t="shared" si="2305"/>
        <v>2.1900000000000013</v>
      </c>
      <c r="O5490">
        <f t="shared" si="2317"/>
        <v>25.66</v>
      </c>
      <c r="P5490">
        <f t="shared" si="2318"/>
        <v>0.70776255707762714</v>
      </c>
      <c r="Q5490" t="str">
        <f t="shared" si="2306"/>
        <v>7.29% | 1.25%</v>
      </c>
      <c r="R5490" t="str">
        <f t="shared" si="2319"/>
        <v>BULLISH</v>
      </c>
      <c r="S5490">
        <f t="shared" si="2307"/>
        <v>1</v>
      </c>
    </row>
    <row r="5491" spans="1:19" hidden="1" x14ac:dyDescent="0.25">
      <c r="A5491" s="5" t="str">
        <f t="shared" si="2308"/>
        <v>44144COPPER</v>
      </c>
      <c r="B5491" s="6" t="s">
        <v>100</v>
      </c>
      <c r="C5491" s="6">
        <v>3.03</v>
      </c>
      <c r="D5491" s="6">
        <v>3.17</v>
      </c>
      <c r="E5491" s="6">
        <v>3.15</v>
      </c>
      <c r="F5491" t="str">
        <f t="shared" si="2309"/>
        <v>MON</v>
      </c>
      <c r="G5491" s="3">
        <f t="shared" si="2310"/>
        <v>44144</v>
      </c>
      <c r="H5491" s="2">
        <f t="shared" ca="1" si="2311"/>
        <v>109</v>
      </c>
      <c r="I5491" t="str">
        <f t="shared" si="2312"/>
        <v>COPPER</v>
      </c>
      <c r="J5491">
        <f t="shared" si="2313"/>
        <v>3.03</v>
      </c>
      <c r="K5491">
        <f t="shared" si="2314"/>
        <v>3.17</v>
      </c>
      <c r="L5491">
        <f t="shared" si="2315"/>
        <v>3.0999999999999996</v>
      </c>
      <c r="M5491">
        <f t="shared" si="2316"/>
        <v>7.0000000000000062E-2</v>
      </c>
      <c r="N5491">
        <f t="shared" si="2305"/>
        <v>0.14000000000000012</v>
      </c>
      <c r="O5491">
        <f t="shared" si="2317"/>
        <v>3.15</v>
      </c>
      <c r="P5491">
        <f t="shared" si="2318"/>
        <v>0.71428571428571741</v>
      </c>
      <c r="Q5491" t="str">
        <f t="shared" si="2306"/>
        <v>3.81% | 0.63%</v>
      </c>
      <c r="R5491" t="str">
        <f t="shared" si="2319"/>
        <v>BULLISH</v>
      </c>
      <c r="S5491">
        <f t="shared" si="2307"/>
        <v>1</v>
      </c>
    </row>
    <row r="5492" spans="1:19" hidden="1" x14ac:dyDescent="0.25">
      <c r="A5492" s="5" t="str">
        <f t="shared" si="2308"/>
        <v>44144MSFT</v>
      </c>
      <c r="B5492" s="6" t="s">
        <v>27</v>
      </c>
      <c r="C5492" s="6">
        <v>196</v>
      </c>
      <c r="D5492" s="6">
        <v>228</v>
      </c>
      <c r="E5492" s="6">
        <v>223</v>
      </c>
      <c r="F5492" t="str">
        <f t="shared" si="2309"/>
        <v>MON</v>
      </c>
      <c r="G5492" s="3">
        <f t="shared" si="2310"/>
        <v>44144</v>
      </c>
      <c r="H5492" s="2">
        <f t="shared" ca="1" si="2311"/>
        <v>109</v>
      </c>
      <c r="I5492" t="str">
        <f t="shared" si="2312"/>
        <v>MSFT</v>
      </c>
      <c r="J5492">
        <f t="shared" si="2313"/>
        <v>196</v>
      </c>
      <c r="K5492">
        <f t="shared" si="2314"/>
        <v>228</v>
      </c>
      <c r="L5492">
        <f t="shared" si="2315"/>
        <v>212</v>
      </c>
      <c r="M5492">
        <f t="shared" si="2316"/>
        <v>16</v>
      </c>
      <c r="N5492">
        <f t="shared" si="2305"/>
        <v>32</v>
      </c>
      <c r="O5492">
        <f t="shared" si="2317"/>
        <v>223</v>
      </c>
      <c r="P5492">
        <f t="shared" si="2318"/>
        <v>0.6875</v>
      </c>
      <c r="Q5492" t="str">
        <f t="shared" si="2306"/>
        <v>12.11% | 2.24%</v>
      </c>
      <c r="R5492" t="str">
        <f t="shared" si="2319"/>
        <v>BULLISH</v>
      </c>
      <c r="S5492">
        <f t="shared" si="2307"/>
        <v>1</v>
      </c>
    </row>
    <row r="5493" spans="1:19" hidden="1" x14ac:dyDescent="0.25">
      <c r="A5493" s="5" t="str">
        <f t="shared" si="2308"/>
        <v>44144AAPL</v>
      </c>
      <c r="B5493" s="6" t="s">
        <v>28</v>
      </c>
      <c r="C5493" s="6">
        <v>107</v>
      </c>
      <c r="D5493" s="6">
        <v>122</v>
      </c>
      <c r="E5493" s="6">
        <v>118</v>
      </c>
      <c r="F5493" t="str">
        <f t="shared" si="2309"/>
        <v>MON</v>
      </c>
      <c r="G5493" s="3">
        <f t="shared" si="2310"/>
        <v>44144</v>
      </c>
      <c r="H5493" s="2">
        <f t="shared" ca="1" si="2311"/>
        <v>109</v>
      </c>
      <c r="I5493" t="str">
        <f t="shared" si="2312"/>
        <v>AAPL</v>
      </c>
      <c r="J5493">
        <f t="shared" si="2313"/>
        <v>107</v>
      </c>
      <c r="K5493">
        <f t="shared" si="2314"/>
        <v>122</v>
      </c>
      <c r="L5493">
        <f t="shared" si="2315"/>
        <v>114.5</v>
      </c>
      <c r="M5493">
        <f t="shared" si="2316"/>
        <v>7.5</v>
      </c>
      <c r="N5493">
        <f t="shared" si="2305"/>
        <v>15</v>
      </c>
      <c r="O5493">
        <f t="shared" si="2317"/>
        <v>118</v>
      </c>
      <c r="P5493">
        <f t="shared" si="2318"/>
        <v>0.46666666666666667</v>
      </c>
      <c r="Q5493" t="str">
        <f t="shared" si="2306"/>
        <v>9.32% | 3.39%</v>
      </c>
      <c r="R5493" t="str">
        <f t="shared" si="2319"/>
        <v>BULLISH</v>
      </c>
      <c r="S5493">
        <f t="shared" si="2307"/>
        <v>1</v>
      </c>
    </row>
    <row r="5494" spans="1:19" hidden="1" x14ac:dyDescent="0.25">
      <c r="A5494" s="5" t="str">
        <f t="shared" si="2308"/>
        <v>44144AMZN</v>
      </c>
      <c r="B5494" s="6" t="s">
        <v>29</v>
      </c>
      <c r="C5494" s="6">
        <v>2957</v>
      </c>
      <c r="D5494" s="6">
        <v>3415</v>
      </c>
      <c r="E5494" s="6">
        <v>3311</v>
      </c>
      <c r="F5494" t="str">
        <f t="shared" si="2309"/>
        <v>MON</v>
      </c>
      <c r="G5494" s="3">
        <f t="shared" si="2310"/>
        <v>44144</v>
      </c>
      <c r="H5494" s="2">
        <f t="shared" ca="1" si="2311"/>
        <v>109</v>
      </c>
      <c r="I5494" t="str">
        <f t="shared" si="2312"/>
        <v>AMZN</v>
      </c>
      <c r="J5494">
        <f t="shared" si="2313"/>
        <v>2957</v>
      </c>
      <c r="K5494">
        <f t="shared" si="2314"/>
        <v>3415</v>
      </c>
      <c r="L5494">
        <f t="shared" si="2315"/>
        <v>3186</v>
      </c>
      <c r="M5494">
        <f t="shared" si="2316"/>
        <v>229</v>
      </c>
      <c r="N5494">
        <f t="shared" si="2305"/>
        <v>458</v>
      </c>
      <c r="O5494">
        <f t="shared" si="2317"/>
        <v>3311</v>
      </c>
      <c r="P5494">
        <f t="shared" si="2318"/>
        <v>0.54585152838427953</v>
      </c>
      <c r="Q5494" t="str">
        <f t="shared" si="2306"/>
        <v>10.69% | 3.14%</v>
      </c>
      <c r="R5494" t="str">
        <f t="shared" si="2319"/>
        <v>BULLISH</v>
      </c>
      <c r="S5494">
        <f t="shared" si="2307"/>
        <v>1</v>
      </c>
    </row>
    <row r="5495" spans="1:19" hidden="1" x14ac:dyDescent="0.25">
      <c r="A5495" s="5" t="str">
        <f t="shared" si="2308"/>
        <v>44144FB</v>
      </c>
      <c r="B5495" s="6" t="s">
        <v>30</v>
      </c>
      <c r="C5495" s="6">
        <v>261</v>
      </c>
      <c r="D5495" s="6">
        <v>303</v>
      </c>
      <c r="E5495" s="6">
        <v>293</v>
      </c>
      <c r="F5495" t="str">
        <f t="shared" si="2309"/>
        <v>MON</v>
      </c>
      <c r="G5495" s="3">
        <f t="shared" si="2310"/>
        <v>44144</v>
      </c>
      <c r="H5495" s="2">
        <f t="shared" ca="1" si="2311"/>
        <v>109</v>
      </c>
      <c r="I5495" t="str">
        <f t="shared" si="2312"/>
        <v>FB</v>
      </c>
      <c r="J5495">
        <f t="shared" si="2313"/>
        <v>261</v>
      </c>
      <c r="K5495">
        <f t="shared" si="2314"/>
        <v>303</v>
      </c>
      <c r="L5495">
        <f t="shared" si="2315"/>
        <v>282</v>
      </c>
      <c r="M5495">
        <f t="shared" si="2316"/>
        <v>21</v>
      </c>
      <c r="N5495">
        <f t="shared" si="2305"/>
        <v>42</v>
      </c>
      <c r="O5495">
        <f t="shared" si="2317"/>
        <v>293</v>
      </c>
      <c r="P5495">
        <f t="shared" si="2318"/>
        <v>0.52380952380952384</v>
      </c>
      <c r="Q5495" t="str">
        <f t="shared" si="2306"/>
        <v>10.92% | 3.41%</v>
      </c>
      <c r="R5495" t="str">
        <f t="shared" si="2319"/>
        <v>BULLISH</v>
      </c>
      <c r="S5495">
        <f t="shared" si="2307"/>
        <v>1</v>
      </c>
    </row>
    <row r="5496" spans="1:19" hidden="1" x14ac:dyDescent="0.25">
      <c r="A5496" s="5" t="str">
        <f t="shared" si="2308"/>
        <v>44144GOOGL</v>
      </c>
      <c r="B5496" s="6" t="s">
        <v>31</v>
      </c>
      <c r="C5496" s="6">
        <v>1608</v>
      </c>
      <c r="D5496" s="6">
        <v>1820</v>
      </c>
      <c r="E5496" s="6">
        <v>1759</v>
      </c>
      <c r="F5496" t="str">
        <f t="shared" si="2309"/>
        <v>MON</v>
      </c>
      <c r="G5496" s="3">
        <f t="shared" si="2310"/>
        <v>44144</v>
      </c>
      <c r="H5496" s="2">
        <f t="shared" ca="1" si="2311"/>
        <v>109</v>
      </c>
      <c r="I5496" t="str">
        <f t="shared" si="2312"/>
        <v>GOOGL</v>
      </c>
      <c r="J5496">
        <f t="shared" si="2313"/>
        <v>1608</v>
      </c>
      <c r="K5496">
        <f t="shared" si="2314"/>
        <v>1820</v>
      </c>
      <c r="L5496">
        <f t="shared" si="2315"/>
        <v>1714</v>
      </c>
      <c r="M5496">
        <f t="shared" si="2316"/>
        <v>106</v>
      </c>
      <c r="N5496">
        <f t="shared" si="2305"/>
        <v>212</v>
      </c>
      <c r="O5496">
        <f t="shared" si="2317"/>
        <v>1759</v>
      </c>
      <c r="P5496">
        <f t="shared" si="2318"/>
        <v>0.42452830188679247</v>
      </c>
      <c r="Q5496" t="str">
        <f t="shared" si="2306"/>
        <v>8.58% | 3.47%</v>
      </c>
      <c r="R5496" t="str">
        <f t="shared" si="2319"/>
        <v>BULLISH</v>
      </c>
      <c r="S5496">
        <f t="shared" si="2307"/>
        <v>1</v>
      </c>
    </row>
    <row r="5497" spans="1:19" hidden="1" x14ac:dyDescent="0.25">
      <c r="A5497" s="5" t="str">
        <f t="shared" si="2308"/>
        <v>44144NFLX</v>
      </c>
      <c r="B5497" s="6" t="s">
        <v>81</v>
      </c>
      <c r="C5497" s="6">
        <v>469</v>
      </c>
      <c r="D5497" s="6">
        <v>521</v>
      </c>
      <c r="E5497" s="6">
        <v>514</v>
      </c>
      <c r="F5497" t="str">
        <f t="shared" si="2309"/>
        <v>MON</v>
      </c>
      <c r="G5497" s="3">
        <f t="shared" si="2310"/>
        <v>44144</v>
      </c>
      <c r="H5497" s="2">
        <f t="shared" ca="1" si="2311"/>
        <v>109</v>
      </c>
      <c r="I5497" t="str">
        <f t="shared" si="2312"/>
        <v>NFLX</v>
      </c>
      <c r="J5497">
        <f t="shared" si="2313"/>
        <v>469</v>
      </c>
      <c r="K5497">
        <f t="shared" si="2314"/>
        <v>521</v>
      </c>
      <c r="L5497">
        <f t="shared" si="2315"/>
        <v>495</v>
      </c>
      <c r="M5497">
        <f t="shared" si="2316"/>
        <v>26</v>
      </c>
      <c r="N5497">
        <f t="shared" si="2305"/>
        <v>52</v>
      </c>
      <c r="O5497">
        <f t="shared" si="2317"/>
        <v>514</v>
      </c>
      <c r="P5497">
        <f t="shared" si="2318"/>
        <v>0.73076923076923073</v>
      </c>
      <c r="Q5497" t="str">
        <f t="shared" si="2306"/>
        <v>8.75% | 1.36%</v>
      </c>
      <c r="R5497" t="str">
        <f t="shared" si="2319"/>
        <v>BEARISH</v>
      </c>
      <c r="S5497">
        <f t="shared" si="2307"/>
        <v>-1</v>
      </c>
    </row>
    <row r="5498" spans="1:19" x14ac:dyDescent="0.25">
      <c r="A5498" s="5" t="str">
        <f t="shared" si="2308"/>
        <v>44144TSLA</v>
      </c>
      <c r="B5498" s="6" t="s">
        <v>71</v>
      </c>
      <c r="C5498" s="6">
        <v>387</v>
      </c>
      <c r="D5498" s="6">
        <v>447</v>
      </c>
      <c r="E5498" s="6">
        <v>429</v>
      </c>
      <c r="F5498" t="str">
        <f t="shared" si="2309"/>
        <v>MON</v>
      </c>
      <c r="G5498" s="3">
        <f t="shared" si="2310"/>
        <v>44144</v>
      </c>
      <c r="H5498" s="2">
        <f t="shared" ca="1" si="2311"/>
        <v>109</v>
      </c>
      <c r="I5498" t="str">
        <f t="shared" si="2312"/>
        <v>TSLA</v>
      </c>
      <c r="J5498">
        <f t="shared" si="2313"/>
        <v>387</v>
      </c>
      <c r="K5498">
        <f t="shared" si="2314"/>
        <v>447</v>
      </c>
      <c r="L5498">
        <f t="shared" si="2315"/>
        <v>417</v>
      </c>
      <c r="M5498">
        <f t="shared" si="2316"/>
        <v>30</v>
      </c>
      <c r="N5498">
        <f t="shared" si="2305"/>
        <v>60</v>
      </c>
      <c r="O5498">
        <f t="shared" si="2317"/>
        <v>429</v>
      </c>
      <c r="P5498">
        <f t="shared" si="2318"/>
        <v>0.4</v>
      </c>
      <c r="Q5498" t="str">
        <f t="shared" si="2306"/>
        <v>9.79% | 4.2%</v>
      </c>
      <c r="R5498" t="str">
        <f t="shared" si="2319"/>
        <v>NEUTRAL</v>
      </c>
      <c r="S5498">
        <f t="shared" si="2307"/>
        <v>0</v>
      </c>
    </row>
    <row r="5499" spans="1:19" hidden="1" x14ac:dyDescent="0.25">
      <c r="A5499" s="5" t="str">
        <f t="shared" si="2308"/>
        <v>44144NYXBT</v>
      </c>
      <c r="B5499" s="6" t="s">
        <v>60</v>
      </c>
      <c r="C5499" s="6">
        <v>12733</v>
      </c>
      <c r="D5499" s="6">
        <v>15595</v>
      </c>
      <c r="E5499" s="6">
        <v>15485</v>
      </c>
      <c r="F5499" t="str">
        <f t="shared" si="2309"/>
        <v>MON</v>
      </c>
      <c r="G5499" s="3">
        <f t="shared" si="2310"/>
        <v>44144</v>
      </c>
      <c r="H5499" s="2">
        <f t="shared" ca="1" si="2311"/>
        <v>109</v>
      </c>
      <c r="I5499" t="str">
        <f t="shared" si="2312"/>
        <v>NYXBT</v>
      </c>
      <c r="J5499">
        <f t="shared" si="2313"/>
        <v>12733</v>
      </c>
      <c r="K5499">
        <f t="shared" si="2314"/>
        <v>15595</v>
      </c>
      <c r="L5499">
        <f t="shared" si="2315"/>
        <v>14164</v>
      </c>
      <c r="M5499">
        <f t="shared" si="2316"/>
        <v>1431</v>
      </c>
      <c r="N5499">
        <f t="shared" si="2305"/>
        <v>2862</v>
      </c>
      <c r="O5499">
        <f t="shared" si="2317"/>
        <v>15485</v>
      </c>
      <c r="P5499">
        <f t="shared" si="2318"/>
        <v>0.92313067784765901</v>
      </c>
      <c r="Q5499" t="str">
        <f t="shared" si="2306"/>
        <v>17.77% | 0.71%</v>
      </c>
      <c r="R5499" t="str">
        <f t="shared" si="2319"/>
        <v>BULLISH</v>
      </c>
      <c r="S5499">
        <f t="shared" si="2307"/>
        <v>1</v>
      </c>
    </row>
    <row r="5500" spans="1:19" hidden="1" x14ac:dyDescent="0.25">
      <c r="A5500" s="5" t="str">
        <f t="shared" si="2308"/>
        <v>44145UST10Y</v>
      </c>
      <c r="B5500" s="6" t="s">
        <v>246</v>
      </c>
      <c r="C5500" s="6">
        <v>0.97</v>
      </c>
      <c r="D5500" s="6">
        <v>0.74</v>
      </c>
      <c r="E5500" s="6">
        <v>0.96</v>
      </c>
      <c r="F5500" t="str">
        <f t="shared" si="2309"/>
        <v>TUE</v>
      </c>
      <c r="G5500" s="1">
        <f>DATE(2020,11,10)</f>
        <v>44145</v>
      </c>
      <c r="H5500" s="2">
        <f t="shared" ca="1" si="2311"/>
        <v>108</v>
      </c>
      <c r="I5500" t="str">
        <f t="shared" si="2312"/>
        <v>UST10Y</v>
      </c>
      <c r="J5500">
        <f t="shared" si="2313"/>
        <v>0.97</v>
      </c>
      <c r="K5500">
        <f t="shared" si="2314"/>
        <v>0.74</v>
      </c>
      <c r="L5500">
        <f t="shared" si="2315"/>
        <v>0.85499999999999998</v>
      </c>
      <c r="M5500">
        <f t="shared" si="2316"/>
        <v>0.11500000000000019</v>
      </c>
      <c r="N5500">
        <f t="shared" si="2305"/>
        <v>0.22999999999999998</v>
      </c>
      <c r="O5500">
        <f t="shared" si="2317"/>
        <v>0.96</v>
      </c>
      <c r="P5500">
        <f t="shared" si="2318"/>
        <v>0.91304347826086796</v>
      </c>
      <c r="Q5500" t="str">
        <f t="shared" si="2306"/>
        <v>1.04% | 22.92%</v>
      </c>
      <c r="R5500" t="str">
        <f t="shared" si="2319"/>
        <v>NEUTRAL</v>
      </c>
      <c r="S5500">
        <f t="shared" si="2307"/>
        <v>0</v>
      </c>
    </row>
    <row r="5501" spans="1:19" hidden="1" x14ac:dyDescent="0.25">
      <c r="A5501" s="5" t="str">
        <f t="shared" si="2308"/>
        <v>44145UST2Y</v>
      </c>
      <c r="B5501" s="6" t="s">
        <v>5</v>
      </c>
      <c r="C5501" s="6">
        <v>0.18</v>
      </c>
      <c r="D5501" s="6">
        <v>0.13</v>
      </c>
      <c r="E5501" s="6">
        <v>0.17</v>
      </c>
      <c r="F5501" t="str">
        <f t="shared" ref="F5501:F5532" si="2320">UPPER(TEXT(G5501,"ddd"))</f>
        <v>TUE</v>
      </c>
      <c r="G5501" s="1">
        <f t="shared" ref="G5501:G5531" si="2321">DATE(2020,11,10)</f>
        <v>44145</v>
      </c>
      <c r="H5501" s="2">
        <f t="shared" ref="H5501:H5532" ca="1" si="2322">TODAY()-G5501</f>
        <v>108</v>
      </c>
      <c r="I5501" t="str">
        <f t="shared" ref="I5501:I5532" si="2323">TRIM(LEFT(B5501,FIND(" ",B5501,1)))</f>
        <v>UST2Y</v>
      </c>
      <c r="J5501">
        <f t="shared" ref="J5501:J5532" si="2324">C5501</f>
        <v>0.18</v>
      </c>
      <c r="K5501">
        <f t="shared" ref="K5501:K5532" si="2325">D5501</f>
        <v>0.13</v>
      </c>
      <c r="L5501">
        <f t="shared" ref="L5501:L5532" si="2326">AVERAGE(J5501:K5501)</f>
        <v>0.155</v>
      </c>
      <c r="M5501">
        <f t="shared" ref="M5501:M5532" si="2327">_xlfn.STDEV.P(J5501:K5501)</f>
        <v>2.4999999999999942E-2</v>
      </c>
      <c r="N5501">
        <f t="shared" si="2305"/>
        <v>4.9999999999999989E-2</v>
      </c>
      <c r="O5501">
        <f t="shared" ref="O5501:O5532" si="2328">E5501</f>
        <v>0.17</v>
      </c>
      <c r="P5501">
        <f t="shared" ref="P5501:P5532" si="2329">(O5501-L5501)/M5501</f>
        <v>0.60000000000000187</v>
      </c>
      <c r="Q5501" t="str">
        <f t="shared" si="2306"/>
        <v>5.88% | 23.53%</v>
      </c>
      <c r="R5501" t="str">
        <f t="shared" ref="R5501:R5532" si="2330">MID(B5501,FIND("(",B5501,1)+1,FIND(")",B5501,1)-FIND("(",B5501,1)-1)</f>
        <v>BEARISH</v>
      </c>
      <c r="S5501">
        <f t="shared" si="2307"/>
        <v>-1</v>
      </c>
    </row>
    <row r="5502" spans="1:19" hidden="1" x14ac:dyDescent="0.25">
      <c r="A5502" s="5" t="str">
        <f t="shared" si="2308"/>
        <v>44145SPX</v>
      </c>
      <c r="B5502" s="6" t="s">
        <v>93</v>
      </c>
      <c r="C5502" s="6">
        <v>3346</v>
      </c>
      <c r="D5502" s="6">
        <v>3605</v>
      </c>
      <c r="E5502" s="6">
        <v>3550</v>
      </c>
      <c r="F5502" t="str">
        <f t="shared" si="2320"/>
        <v>TUE</v>
      </c>
      <c r="G5502" s="1">
        <f t="shared" si="2321"/>
        <v>44145</v>
      </c>
      <c r="H5502" s="2">
        <f t="shared" ca="1" si="2322"/>
        <v>108</v>
      </c>
      <c r="I5502" t="str">
        <f t="shared" si="2323"/>
        <v>SPX</v>
      </c>
      <c r="J5502">
        <f t="shared" si="2324"/>
        <v>3346</v>
      </c>
      <c r="K5502">
        <f t="shared" si="2325"/>
        <v>3605</v>
      </c>
      <c r="L5502">
        <f t="shared" si="2326"/>
        <v>3475.5</v>
      </c>
      <c r="M5502">
        <f t="shared" si="2327"/>
        <v>129.5</v>
      </c>
      <c r="N5502">
        <f t="shared" si="2305"/>
        <v>259</v>
      </c>
      <c r="O5502">
        <f t="shared" si="2328"/>
        <v>3550</v>
      </c>
      <c r="P5502">
        <f t="shared" si="2329"/>
        <v>0.57528957528957525</v>
      </c>
      <c r="Q5502" t="str">
        <f t="shared" si="2306"/>
        <v>5.75% | 1.55%</v>
      </c>
      <c r="R5502" t="str">
        <f t="shared" si="2330"/>
        <v>BULLISH</v>
      </c>
      <c r="S5502">
        <f t="shared" si="2307"/>
        <v>1</v>
      </c>
    </row>
    <row r="5503" spans="1:19" hidden="1" x14ac:dyDescent="0.25">
      <c r="A5503" s="5" t="str">
        <f t="shared" si="2308"/>
        <v>44145RUT</v>
      </c>
      <c r="B5503" s="6" t="s">
        <v>247</v>
      </c>
      <c r="C5503" s="6">
        <v>1548</v>
      </c>
      <c r="D5503" s="6">
        <v>1716</v>
      </c>
      <c r="E5503" s="6">
        <v>1705</v>
      </c>
      <c r="F5503" t="str">
        <f t="shared" si="2320"/>
        <v>TUE</v>
      </c>
      <c r="G5503" s="1">
        <f t="shared" si="2321"/>
        <v>44145</v>
      </c>
      <c r="H5503" s="2">
        <f t="shared" ca="1" si="2322"/>
        <v>108</v>
      </c>
      <c r="I5503" t="str">
        <f t="shared" si="2323"/>
        <v>RUT</v>
      </c>
      <c r="J5503">
        <f t="shared" si="2324"/>
        <v>1548</v>
      </c>
      <c r="K5503">
        <f t="shared" si="2325"/>
        <v>1716</v>
      </c>
      <c r="L5503">
        <f t="shared" si="2326"/>
        <v>1632</v>
      </c>
      <c r="M5503">
        <f t="shared" si="2327"/>
        <v>84</v>
      </c>
      <c r="N5503">
        <f t="shared" si="2305"/>
        <v>168</v>
      </c>
      <c r="O5503">
        <f t="shared" si="2328"/>
        <v>1705</v>
      </c>
      <c r="P5503">
        <f t="shared" si="2329"/>
        <v>0.86904761904761907</v>
      </c>
      <c r="Q5503" t="str">
        <f t="shared" si="2306"/>
        <v>9.21% | 0.65%</v>
      </c>
      <c r="R5503" t="str">
        <f t="shared" si="2330"/>
        <v>BULLISH</v>
      </c>
      <c r="S5503">
        <f t="shared" si="2307"/>
        <v>1</v>
      </c>
    </row>
    <row r="5504" spans="1:19" hidden="1" x14ac:dyDescent="0.25">
      <c r="A5504" s="5" t="str">
        <f t="shared" si="2308"/>
        <v>44145COMPQ</v>
      </c>
      <c r="B5504" s="6" t="s">
        <v>61</v>
      </c>
      <c r="C5504" s="6">
        <v>10616</v>
      </c>
      <c r="D5504" s="6">
        <v>12056</v>
      </c>
      <c r="E5504" s="6">
        <v>11713</v>
      </c>
      <c r="F5504" t="str">
        <f t="shared" si="2320"/>
        <v>TUE</v>
      </c>
      <c r="G5504" s="1">
        <f t="shared" si="2321"/>
        <v>44145</v>
      </c>
      <c r="H5504" s="2">
        <f t="shared" ca="1" si="2322"/>
        <v>108</v>
      </c>
      <c r="I5504" t="str">
        <f t="shared" si="2323"/>
        <v>COMPQ</v>
      </c>
      <c r="J5504">
        <f t="shared" si="2324"/>
        <v>10616</v>
      </c>
      <c r="K5504">
        <f t="shared" si="2325"/>
        <v>12056</v>
      </c>
      <c r="L5504">
        <f t="shared" si="2326"/>
        <v>11336</v>
      </c>
      <c r="M5504">
        <f t="shared" si="2327"/>
        <v>720</v>
      </c>
      <c r="N5504">
        <f t="shared" si="2305"/>
        <v>1440</v>
      </c>
      <c r="O5504">
        <f t="shared" si="2328"/>
        <v>11713</v>
      </c>
      <c r="P5504">
        <f t="shared" si="2329"/>
        <v>0.52361111111111114</v>
      </c>
      <c r="Q5504" t="str">
        <f t="shared" si="2306"/>
        <v>9.37% | 2.93%</v>
      </c>
      <c r="R5504" t="str">
        <f t="shared" si="2330"/>
        <v>NEUTRAL</v>
      </c>
      <c r="S5504">
        <f t="shared" si="2307"/>
        <v>0</v>
      </c>
    </row>
    <row r="5505" spans="1:19" hidden="1" x14ac:dyDescent="0.25">
      <c r="A5505" s="5" t="str">
        <f t="shared" si="2308"/>
        <v>44145XLK</v>
      </c>
      <c r="B5505" s="6" t="s">
        <v>10</v>
      </c>
      <c r="C5505" s="6">
        <v>113.8</v>
      </c>
      <c r="D5505" s="6">
        <v>124.36</v>
      </c>
      <c r="E5505" s="6">
        <v>120.7</v>
      </c>
      <c r="F5505" t="str">
        <f t="shared" si="2320"/>
        <v>TUE</v>
      </c>
      <c r="G5505" s="1">
        <f t="shared" si="2321"/>
        <v>44145</v>
      </c>
      <c r="H5505" s="2">
        <f t="shared" ca="1" si="2322"/>
        <v>108</v>
      </c>
      <c r="I5505" t="str">
        <f t="shared" si="2323"/>
        <v>XLK</v>
      </c>
      <c r="J5505">
        <f t="shared" si="2324"/>
        <v>113.8</v>
      </c>
      <c r="K5505">
        <f t="shared" si="2325"/>
        <v>124.36</v>
      </c>
      <c r="L5505">
        <f t="shared" si="2326"/>
        <v>119.08</v>
      </c>
      <c r="M5505">
        <f t="shared" si="2327"/>
        <v>5.2800000000000011</v>
      </c>
      <c r="N5505">
        <f t="shared" si="2305"/>
        <v>10.560000000000002</v>
      </c>
      <c r="O5505">
        <f t="shared" si="2328"/>
        <v>120.7</v>
      </c>
      <c r="P5505">
        <f t="shared" si="2329"/>
        <v>0.3068181818181826</v>
      </c>
      <c r="Q5505" t="str">
        <f t="shared" si="2306"/>
        <v>5.72% | 3.03%</v>
      </c>
      <c r="R5505" t="str">
        <f t="shared" si="2330"/>
        <v>BULLISH</v>
      </c>
      <c r="S5505">
        <f t="shared" si="2307"/>
        <v>1</v>
      </c>
    </row>
    <row r="5506" spans="1:19" hidden="1" x14ac:dyDescent="0.25">
      <c r="A5506" s="5" t="str">
        <f t="shared" si="2308"/>
        <v>44145XLRE</v>
      </c>
      <c r="B5506" s="6" t="s">
        <v>97</v>
      </c>
      <c r="C5506" s="6">
        <v>33.99</v>
      </c>
      <c r="D5506" s="6">
        <v>36.92</v>
      </c>
      <c r="E5506" s="6">
        <v>36.57</v>
      </c>
      <c r="F5506" t="str">
        <f t="shared" si="2320"/>
        <v>TUE</v>
      </c>
      <c r="G5506" s="1">
        <f t="shared" si="2321"/>
        <v>44145</v>
      </c>
      <c r="H5506" s="2">
        <f t="shared" ca="1" si="2322"/>
        <v>108</v>
      </c>
      <c r="I5506" t="str">
        <f t="shared" si="2323"/>
        <v>XLRE</v>
      </c>
      <c r="J5506">
        <f t="shared" si="2324"/>
        <v>33.99</v>
      </c>
      <c r="K5506">
        <f t="shared" si="2325"/>
        <v>36.92</v>
      </c>
      <c r="L5506">
        <f t="shared" si="2326"/>
        <v>35.454999999999998</v>
      </c>
      <c r="M5506">
        <f t="shared" si="2327"/>
        <v>1.4649999999999999</v>
      </c>
      <c r="N5506">
        <f t="shared" si="2305"/>
        <v>2.9299999999999997</v>
      </c>
      <c r="O5506">
        <f t="shared" si="2328"/>
        <v>36.57</v>
      </c>
      <c r="P5506">
        <f t="shared" si="2329"/>
        <v>0.76109215017064991</v>
      </c>
      <c r="Q5506" t="str">
        <f t="shared" si="2306"/>
        <v>7.05% | 0.96%</v>
      </c>
      <c r="R5506" t="str">
        <f t="shared" si="2330"/>
        <v>BULLISH</v>
      </c>
      <c r="S5506">
        <f t="shared" si="2307"/>
        <v>1</v>
      </c>
    </row>
    <row r="5507" spans="1:19" hidden="1" x14ac:dyDescent="0.25">
      <c r="A5507" s="5" t="str">
        <f t="shared" si="2308"/>
        <v>44145XLU</v>
      </c>
      <c r="B5507" s="6" t="s">
        <v>52</v>
      </c>
      <c r="C5507" s="6">
        <v>62.11</v>
      </c>
      <c r="D5507" s="6">
        <v>65.75</v>
      </c>
      <c r="E5507" s="6">
        <v>65.319999999999993</v>
      </c>
      <c r="F5507" t="str">
        <f t="shared" si="2320"/>
        <v>TUE</v>
      </c>
      <c r="G5507" s="1">
        <f t="shared" si="2321"/>
        <v>44145</v>
      </c>
      <c r="H5507" s="2">
        <f t="shared" ca="1" si="2322"/>
        <v>108</v>
      </c>
      <c r="I5507" t="str">
        <f t="shared" si="2323"/>
        <v>XLU</v>
      </c>
      <c r="J5507">
        <f t="shared" si="2324"/>
        <v>62.11</v>
      </c>
      <c r="K5507">
        <f t="shared" si="2325"/>
        <v>65.75</v>
      </c>
      <c r="L5507">
        <f t="shared" si="2326"/>
        <v>63.93</v>
      </c>
      <c r="M5507">
        <f t="shared" si="2327"/>
        <v>1.8200000000000003</v>
      </c>
      <c r="N5507">
        <f t="shared" ref="N5507:N5570" si="2331">ABS(K5507-J5507)</f>
        <v>3.6400000000000006</v>
      </c>
      <c r="O5507">
        <f t="shared" si="2328"/>
        <v>65.319999999999993</v>
      </c>
      <c r="P5507">
        <f t="shared" si="2329"/>
        <v>0.76373626373626002</v>
      </c>
      <c r="Q5507" t="str">
        <f t="shared" ref="Q5507:Q5570" si="2332">ROUND(ABS(100*(O5507-J5507)/O5507),2)&amp;"% | "&amp;ROUND(ABS(100*(K5507-O5507)/O5507),2)&amp;"%"</f>
        <v>4.91% | 0.66%</v>
      </c>
      <c r="R5507" t="str">
        <f t="shared" si="2330"/>
        <v>BULLISH</v>
      </c>
      <c r="S5507">
        <f t="shared" ref="S5507:S5570" si="2333">IF(R5507="BEARISH",-1,IF(R5507="NEUTRAL",0,IF(R5507="BULLISH",1,99)))</f>
        <v>1</v>
      </c>
    </row>
    <row r="5508" spans="1:19" hidden="1" x14ac:dyDescent="0.25">
      <c r="A5508" s="5" t="str">
        <f t="shared" si="2308"/>
        <v>44145XLF</v>
      </c>
      <c r="B5508" s="6" t="s">
        <v>248</v>
      </c>
      <c r="C5508" s="6">
        <v>24.4</v>
      </c>
      <c r="D5508" s="6">
        <v>27.56</v>
      </c>
      <c r="E5508" s="6">
        <v>27.01</v>
      </c>
      <c r="F5508" t="str">
        <f t="shared" si="2320"/>
        <v>TUE</v>
      </c>
      <c r="G5508" s="1">
        <f t="shared" si="2321"/>
        <v>44145</v>
      </c>
      <c r="H5508" s="2">
        <f t="shared" ca="1" si="2322"/>
        <v>108</v>
      </c>
      <c r="I5508" t="str">
        <f t="shared" si="2323"/>
        <v>XLF</v>
      </c>
      <c r="J5508">
        <f t="shared" si="2324"/>
        <v>24.4</v>
      </c>
      <c r="K5508">
        <f t="shared" si="2325"/>
        <v>27.56</v>
      </c>
      <c r="L5508">
        <f t="shared" si="2326"/>
        <v>25.979999999999997</v>
      </c>
      <c r="M5508">
        <f t="shared" si="2327"/>
        <v>1.58</v>
      </c>
      <c r="N5508">
        <f t="shared" si="2331"/>
        <v>3.16</v>
      </c>
      <c r="O5508">
        <f t="shared" si="2328"/>
        <v>27.01</v>
      </c>
      <c r="P5508">
        <f t="shared" si="2329"/>
        <v>0.65189873417721811</v>
      </c>
      <c r="Q5508" t="str">
        <f t="shared" si="2332"/>
        <v>9.66% | 2.04%</v>
      </c>
      <c r="R5508" t="str">
        <f t="shared" si="2330"/>
        <v>NEUTRAL</v>
      </c>
      <c r="S5508">
        <f t="shared" si="2333"/>
        <v>0</v>
      </c>
    </row>
    <row r="5509" spans="1:19" hidden="1" x14ac:dyDescent="0.25">
      <c r="A5509" s="5" t="str">
        <f t="shared" si="2308"/>
        <v>44145SSEC</v>
      </c>
      <c r="B5509" s="6" t="s">
        <v>104</v>
      </c>
      <c r="C5509" s="6">
        <v>3248</v>
      </c>
      <c r="D5509" s="6">
        <v>3391</v>
      </c>
      <c r="E5509" s="6">
        <v>3360</v>
      </c>
      <c r="F5509" t="str">
        <f t="shared" si="2320"/>
        <v>TUE</v>
      </c>
      <c r="G5509" s="1">
        <f t="shared" si="2321"/>
        <v>44145</v>
      </c>
      <c r="H5509" s="2">
        <f t="shared" ca="1" si="2322"/>
        <v>108</v>
      </c>
      <c r="I5509" t="str">
        <f t="shared" si="2323"/>
        <v>SSEC</v>
      </c>
      <c r="J5509">
        <f t="shared" si="2324"/>
        <v>3248</v>
      </c>
      <c r="K5509">
        <f t="shared" si="2325"/>
        <v>3391</v>
      </c>
      <c r="L5509">
        <f t="shared" si="2326"/>
        <v>3319.5</v>
      </c>
      <c r="M5509">
        <f t="shared" si="2327"/>
        <v>71.5</v>
      </c>
      <c r="N5509">
        <f t="shared" si="2331"/>
        <v>143</v>
      </c>
      <c r="O5509">
        <f t="shared" si="2328"/>
        <v>3360</v>
      </c>
      <c r="P5509">
        <f t="shared" si="2329"/>
        <v>0.56643356643356646</v>
      </c>
      <c r="Q5509" t="str">
        <f t="shared" si="2332"/>
        <v>3.33% | 0.92%</v>
      </c>
      <c r="R5509" t="str">
        <f t="shared" si="2330"/>
        <v>BULLISH</v>
      </c>
      <c r="S5509">
        <f t="shared" si="2333"/>
        <v>1</v>
      </c>
    </row>
    <row r="5510" spans="1:19" hidden="1" x14ac:dyDescent="0.25">
      <c r="A5510" s="5" t="str">
        <f t="shared" si="2308"/>
        <v>44145NIKK</v>
      </c>
      <c r="B5510" s="6" t="s">
        <v>91</v>
      </c>
      <c r="C5510" s="6">
        <v>23709</v>
      </c>
      <c r="D5510" s="6">
        <v>24964</v>
      </c>
      <c r="E5510" s="6">
        <v>24905</v>
      </c>
      <c r="F5510" t="str">
        <f t="shared" si="2320"/>
        <v>TUE</v>
      </c>
      <c r="G5510" s="1">
        <f t="shared" si="2321"/>
        <v>44145</v>
      </c>
      <c r="H5510" s="2">
        <f t="shared" ca="1" si="2322"/>
        <v>108</v>
      </c>
      <c r="I5510" t="str">
        <f t="shared" si="2323"/>
        <v>NIKK</v>
      </c>
      <c r="J5510">
        <f t="shared" si="2324"/>
        <v>23709</v>
      </c>
      <c r="K5510">
        <f t="shared" si="2325"/>
        <v>24964</v>
      </c>
      <c r="L5510">
        <f t="shared" si="2326"/>
        <v>24336.5</v>
      </c>
      <c r="M5510">
        <f t="shared" si="2327"/>
        <v>627.5</v>
      </c>
      <c r="N5510">
        <f t="shared" si="2331"/>
        <v>1255</v>
      </c>
      <c r="O5510">
        <f t="shared" si="2328"/>
        <v>24905</v>
      </c>
      <c r="P5510">
        <f t="shared" si="2329"/>
        <v>0.9059760956175299</v>
      </c>
      <c r="Q5510" t="str">
        <f t="shared" si="2332"/>
        <v>4.8% | 0.24%</v>
      </c>
      <c r="R5510" t="str">
        <f t="shared" si="2330"/>
        <v>BULLISH</v>
      </c>
      <c r="S5510">
        <f t="shared" si="2333"/>
        <v>1</v>
      </c>
    </row>
    <row r="5511" spans="1:19" hidden="1" x14ac:dyDescent="0.25">
      <c r="A5511" s="5" t="str">
        <f t="shared" ref="A5511:A5574" si="2334">G5511&amp;I5511</f>
        <v>44145DAX</v>
      </c>
      <c r="B5511" s="6" t="s">
        <v>16</v>
      </c>
      <c r="C5511" s="6">
        <v>11565</v>
      </c>
      <c r="D5511" s="6">
        <v>13147</v>
      </c>
      <c r="E5511" s="6">
        <v>13095</v>
      </c>
      <c r="F5511" t="str">
        <f t="shared" si="2320"/>
        <v>TUE</v>
      </c>
      <c r="G5511" s="1">
        <f t="shared" si="2321"/>
        <v>44145</v>
      </c>
      <c r="H5511" s="2">
        <f t="shared" ca="1" si="2322"/>
        <v>108</v>
      </c>
      <c r="I5511" t="str">
        <f t="shared" si="2323"/>
        <v>DAX</v>
      </c>
      <c r="J5511">
        <f t="shared" si="2324"/>
        <v>11565</v>
      </c>
      <c r="K5511">
        <f t="shared" si="2325"/>
        <v>13147</v>
      </c>
      <c r="L5511">
        <f t="shared" si="2326"/>
        <v>12356</v>
      </c>
      <c r="M5511">
        <f t="shared" si="2327"/>
        <v>791</v>
      </c>
      <c r="N5511">
        <f t="shared" si="2331"/>
        <v>1582</v>
      </c>
      <c r="O5511">
        <f t="shared" si="2328"/>
        <v>13095</v>
      </c>
      <c r="P5511">
        <f t="shared" si="2329"/>
        <v>0.93426042983565105</v>
      </c>
      <c r="Q5511" t="str">
        <f t="shared" si="2332"/>
        <v>11.68% | 0.4%</v>
      </c>
      <c r="R5511" t="str">
        <f t="shared" si="2330"/>
        <v>BEARISH</v>
      </c>
      <c r="S5511">
        <f t="shared" si="2333"/>
        <v>-1</v>
      </c>
    </row>
    <row r="5512" spans="1:19" hidden="1" x14ac:dyDescent="0.25">
      <c r="A5512" s="5" t="str">
        <f t="shared" si="2334"/>
        <v>44145VIX</v>
      </c>
      <c r="B5512" s="6" t="s">
        <v>159</v>
      </c>
      <c r="C5512" s="6">
        <v>23.4</v>
      </c>
      <c r="D5512" s="6">
        <v>32.950000000000003</v>
      </c>
      <c r="E5512" s="6">
        <v>25.75</v>
      </c>
      <c r="F5512" t="str">
        <f t="shared" si="2320"/>
        <v>TUE</v>
      </c>
      <c r="G5512" s="1">
        <f t="shared" si="2321"/>
        <v>44145</v>
      </c>
      <c r="H5512" s="2">
        <f t="shared" ca="1" si="2322"/>
        <v>108</v>
      </c>
      <c r="I5512" t="str">
        <f t="shared" si="2323"/>
        <v>VIX</v>
      </c>
      <c r="J5512">
        <f t="shared" si="2324"/>
        <v>23.4</v>
      </c>
      <c r="K5512">
        <f t="shared" si="2325"/>
        <v>32.950000000000003</v>
      </c>
      <c r="L5512">
        <f t="shared" si="2326"/>
        <v>28.175000000000001</v>
      </c>
      <c r="M5512">
        <f t="shared" si="2327"/>
        <v>4.7749999999999968</v>
      </c>
      <c r="N5512">
        <f t="shared" si="2331"/>
        <v>9.5500000000000043</v>
      </c>
      <c r="O5512">
        <f t="shared" si="2328"/>
        <v>25.75</v>
      </c>
      <c r="P5512">
        <f t="shared" si="2329"/>
        <v>-0.50785340314136174</v>
      </c>
      <c r="Q5512" t="str">
        <f t="shared" si="2332"/>
        <v>9.13% | 27.96%</v>
      </c>
      <c r="R5512" t="str">
        <f t="shared" si="2330"/>
        <v>NEUTRAL</v>
      </c>
      <c r="S5512">
        <f t="shared" si="2333"/>
        <v>0</v>
      </c>
    </row>
    <row r="5513" spans="1:19" hidden="1" x14ac:dyDescent="0.25">
      <c r="A5513" s="5" t="str">
        <f t="shared" si="2334"/>
        <v>44145USD</v>
      </c>
      <c r="B5513" s="6" t="s">
        <v>94</v>
      </c>
      <c r="C5513" s="6">
        <v>92</v>
      </c>
      <c r="D5513" s="6">
        <v>93.43</v>
      </c>
      <c r="E5513" s="6">
        <v>92.71</v>
      </c>
      <c r="F5513" t="str">
        <f t="shared" si="2320"/>
        <v>TUE</v>
      </c>
      <c r="G5513" s="1">
        <f t="shared" si="2321"/>
        <v>44145</v>
      </c>
      <c r="H5513" s="2">
        <f t="shared" ca="1" si="2322"/>
        <v>108</v>
      </c>
      <c r="I5513" t="str">
        <f t="shared" si="2323"/>
        <v>USD</v>
      </c>
      <c r="J5513">
        <f t="shared" si="2324"/>
        <v>92</v>
      </c>
      <c r="K5513">
        <f t="shared" si="2325"/>
        <v>93.43</v>
      </c>
      <c r="L5513">
        <f t="shared" si="2326"/>
        <v>92.715000000000003</v>
      </c>
      <c r="M5513">
        <f t="shared" si="2327"/>
        <v>0.71500000000000341</v>
      </c>
      <c r="N5513">
        <f t="shared" si="2331"/>
        <v>1.4300000000000068</v>
      </c>
      <c r="O5513">
        <f t="shared" si="2328"/>
        <v>92.71</v>
      </c>
      <c r="P5513">
        <f t="shared" si="2329"/>
        <v>-6.9930069930204753E-3</v>
      </c>
      <c r="Q5513" t="str">
        <f t="shared" si="2332"/>
        <v>0.77% | 0.78%</v>
      </c>
      <c r="R5513" t="str">
        <f t="shared" si="2330"/>
        <v>BEARISH</v>
      </c>
      <c r="S5513">
        <f t="shared" si="2333"/>
        <v>-1</v>
      </c>
    </row>
    <row r="5514" spans="1:19" hidden="1" x14ac:dyDescent="0.25">
      <c r="A5514" s="5" t="str">
        <f t="shared" si="2334"/>
        <v>44145EUR/USD</v>
      </c>
      <c r="B5514" s="6" t="s">
        <v>99</v>
      </c>
      <c r="C5514" s="6">
        <v>1.159</v>
      </c>
      <c r="D5514" s="6">
        <v>1.1890000000000001</v>
      </c>
      <c r="E5514" s="6">
        <v>1.181</v>
      </c>
      <c r="F5514" t="str">
        <f t="shared" si="2320"/>
        <v>TUE</v>
      </c>
      <c r="G5514" s="1">
        <f t="shared" si="2321"/>
        <v>44145</v>
      </c>
      <c r="H5514" s="2">
        <f t="shared" ca="1" si="2322"/>
        <v>108</v>
      </c>
      <c r="I5514" t="str">
        <f t="shared" si="2323"/>
        <v>EUR/USD</v>
      </c>
      <c r="J5514">
        <f t="shared" si="2324"/>
        <v>1.159</v>
      </c>
      <c r="K5514">
        <f t="shared" si="2325"/>
        <v>1.1890000000000001</v>
      </c>
      <c r="L5514">
        <f t="shared" si="2326"/>
        <v>1.1739999999999999</v>
      </c>
      <c r="M5514">
        <f t="shared" si="2327"/>
        <v>1.5000000000000013E-2</v>
      </c>
      <c r="N5514">
        <f t="shared" si="2331"/>
        <v>3.0000000000000027E-2</v>
      </c>
      <c r="O5514">
        <f t="shared" si="2328"/>
        <v>1.181</v>
      </c>
      <c r="P5514">
        <f t="shared" si="2329"/>
        <v>0.46666666666667406</v>
      </c>
      <c r="Q5514" t="str">
        <f t="shared" si="2332"/>
        <v>1.86% | 0.68%</v>
      </c>
      <c r="R5514" t="str">
        <f t="shared" si="2330"/>
        <v>BULLISH</v>
      </c>
      <c r="S5514">
        <f t="shared" si="2333"/>
        <v>1</v>
      </c>
    </row>
    <row r="5515" spans="1:19" hidden="1" x14ac:dyDescent="0.25">
      <c r="A5515" s="5" t="str">
        <f t="shared" si="2334"/>
        <v>44145USD/JPY</v>
      </c>
      <c r="B5515" s="6" t="s">
        <v>20</v>
      </c>
      <c r="C5515" s="6">
        <v>103.22</v>
      </c>
      <c r="D5515" s="6">
        <v>105.62</v>
      </c>
      <c r="E5515" s="6">
        <v>105.38</v>
      </c>
      <c r="F5515" t="str">
        <f t="shared" si="2320"/>
        <v>TUE</v>
      </c>
      <c r="G5515" s="1">
        <f t="shared" si="2321"/>
        <v>44145</v>
      </c>
      <c r="H5515" s="2">
        <f t="shared" ca="1" si="2322"/>
        <v>108</v>
      </c>
      <c r="I5515" t="str">
        <f t="shared" si="2323"/>
        <v>USD/JPY</v>
      </c>
      <c r="J5515">
        <f t="shared" si="2324"/>
        <v>103.22</v>
      </c>
      <c r="K5515">
        <f t="shared" si="2325"/>
        <v>105.62</v>
      </c>
      <c r="L5515">
        <f t="shared" si="2326"/>
        <v>104.42</v>
      </c>
      <c r="M5515">
        <f t="shared" si="2327"/>
        <v>1.2000000000000028</v>
      </c>
      <c r="N5515">
        <f t="shared" si="2331"/>
        <v>2.4000000000000057</v>
      </c>
      <c r="O5515">
        <f t="shared" si="2328"/>
        <v>105.38</v>
      </c>
      <c r="P5515">
        <f t="shared" si="2329"/>
        <v>0.79999999999999294</v>
      </c>
      <c r="Q5515" t="str">
        <f t="shared" si="2332"/>
        <v>2.05% | 0.23%</v>
      </c>
      <c r="R5515" t="str">
        <f t="shared" si="2330"/>
        <v>BEARISH</v>
      </c>
      <c r="S5515">
        <f t="shared" si="2333"/>
        <v>-1</v>
      </c>
    </row>
    <row r="5516" spans="1:19" hidden="1" x14ac:dyDescent="0.25">
      <c r="A5516" s="5" t="str">
        <f t="shared" si="2334"/>
        <v>44145GBP/USD</v>
      </c>
      <c r="B5516" s="6" t="s">
        <v>102</v>
      </c>
      <c r="C5516" s="6">
        <v>1.2929999999999999</v>
      </c>
      <c r="D5516" s="6">
        <v>1.3240000000000001</v>
      </c>
      <c r="E5516" s="6">
        <v>1.3160000000000001</v>
      </c>
      <c r="F5516" t="str">
        <f t="shared" si="2320"/>
        <v>TUE</v>
      </c>
      <c r="G5516" s="1">
        <f t="shared" si="2321"/>
        <v>44145</v>
      </c>
      <c r="H5516" s="2">
        <f t="shared" ca="1" si="2322"/>
        <v>108</v>
      </c>
      <c r="I5516" t="str">
        <f t="shared" si="2323"/>
        <v>GBP/USD</v>
      </c>
      <c r="J5516">
        <f t="shared" si="2324"/>
        <v>1.2929999999999999</v>
      </c>
      <c r="K5516">
        <f t="shared" si="2325"/>
        <v>1.3240000000000001</v>
      </c>
      <c r="L5516">
        <f t="shared" si="2326"/>
        <v>1.3085</v>
      </c>
      <c r="M5516">
        <f t="shared" si="2327"/>
        <v>1.5500000000000069E-2</v>
      </c>
      <c r="N5516">
        <f t="shared" si="2331"/>
        <v>3.1000000000000139E-2</v>
      </c>
      <c r="O5516">
        <f t="shared" si="2328"/>
        <v>1.3160000000000001</v>
      </c>
      <c r="P5516">
        <f t="shared" si="2329"/>
        <v>0.48387096774193733</v>
      </c>
      <c r="Q5516" t="str">
        <f t="shared" si="2332"/>
        <v>1.75% | 0.61%</v>
      </c>
      <c r="R5516" t="str">
        <f t="shared" si="2330"/>
        <v>BULLISH</v>
      </c>
      <c r="S5516">
        <f t="shared" si="2333"/>
        <v>1</v>
      </c>
    </row>
    <row r="5517" spans="1:19" hidden="1" x14ac:dyDescent="0.25">
      <c r="A5517" s="5" t="str">
        <f t="shared" si="2334"/>
        <v>44145CAD/USD</v>
      </c>
      <c r="B5517" s="6" t="s">
        <v>244</v>
      </c>
      <c r="C5517" s="6">
        <v>0.75</v>
      </c>
      <c r="D5517" s="6">
        <v>0.77</v>
      </c>
      <c r="E5517" s="6">
        <v>0.76</v>
      </c>
      <c r="F5517" t="str">
        <f t="shared" si="2320"/>
        <v>TUE</v>
      </c>
      <c r="G5517" s="1">
        <f t="shared" si="2321"/>
        <v>44145</v>
      </c>
      <c r="H5517" s="2">
        <f t="shared" ca="1" si="2322"/>
        <v>108</v>
      </c>
      <c r="I5517" t="str">
        <f t="shared" si="2323"/>
        <v>CAD/USD</v>
      </c>
      <c r="J5517">
        <f t="shared" si="2324"/>
        <v>0.75</v>
      </c>
      <c r="K5517">
        <f t="shared" si="2325"/>
        <v>0.77</v>
      </c>
      <c r="L5517">
        <f t="shared" si="2326"/>
        <v>0.76</v>
      </c>
      <c r="M5517">
        <f t="shared" si="2327"/>
        <v>1.0000000000000009E-2</v>
      </c>
      <c r="N5517">
        <f t="shared" si="2331"/>
        <v>2.0000000000000018E-2</v>
      </c>
      <c r="O5517">
        <f t="shared" si="2328"/>
        <v>0.76</v>
      </c>
      <c r="P5517">
        <f t="shared" si="2329"/>
        <v>0</v>
      </c>
      <c r="Q5517" t="str">
        <f t="shared" si="2332"/>
        <v>1.32% | 1.32%</v>
      </c>
      <c r="R5517" t="str">
        <f t="shared" si="2330"/>
        <v>BULLISH</v>
      </c>
      <c r="S5517">
        <f t="shared" si="2333"/>
        <v>1</v>
      </c>
    </row>
    <row r="5518" spans="1:19" hidden="1" x14ac:dyDescent="0.25">
      <c r="A5518" s="5" t="str">
        <f t="shared" si="2334"/>
        <v>44145USD/CHF</v>
      </c>
      <c r="B5518" s="6" t="s">
        <v>76</v>
      </c>
      <c r="C5518" s="6">
        <v>0.9</v>
      </c>
      <c r="D5518" s="6">
        <v>0.92</v>
      </c>
      <c r="E5518" s="6">
        <v>0.91</v>
      </c>
      <c r="F5518" t="str">
        <f t="shared" si="2320"/>
        <v>TUE</v>
      </c>
      <c r="G5518" s="1">
        <f t="shared" si="2321"/>
        <v>44145</v>
      </c>
      <c r="H5518" s="2">
        <f t="shared" ca="1" si="2322"/>
        <v>108</v>
      </c>
      <c r="I5518" t="str">
        <f t="shared" si="2323"/>
        <v>USD/CHF</v>
      </c>
      <c r="J5518">
        <f t="shared" si="2324"/>
        <v>0.9</v>
      </c>
      <c r="K5518">
        <f t="shared" si="2325"/>
        <v>0.92</v>
      </c>
      <c r="L5518">
        <f t="shared" si="2326"/>
        <v>0.91</v>
      </c>
      <c r="M5518">
        <f t="shared" si="2327"/>
        <v>1.0000000000000009E-2</v>
      </c>
      <c r="N5518">
        <f t="shared" si="2331"/>
        <v>2.0000000000000018E-2</v>
      </c>
      <c r="O5518">
        <f t="shared" si="2328"/>
        <v>0.91</v>
      </c>
      <c r="P5518">
        <f t="shared" si="2329"/>
        <v>0</v>
      </c>
      <c r="Q5518" t="str">
        <f t="shared" si="2332"/>
        <v>1.1% | 1.1%</v>
      </c>
      <c r="R5518" t="str">
        <f t="shared" si="2330"/>
        <v>BEARISH</v>
      </c>
      <c r="S5518">
        <f t="shared" si="2333"/>
        <v>-1</v>
      </c>
    </row>
    <row r="5519" spans="1:19" hidden="1" x14ac:dyDescent="0.25">
      <c r="A5519" s="5" t="str">
        <f t="shared" si="2334"/>
        <v>44145WTIC</v>
      </c>
      <c r="B5519" s="6" t="s">
        <v>158</v>
      </c>
      <c r="C5519" s="6">
        <v>36.18</v>
      </c>
      <c r="D5519" s="6">
        <v>41.31</v>
      </c>
      <c r="E5519" s="6">
        <v>40.29</v>
      </c>
      <c r="F5519" t="str">
        <f t="shared" si="2320"/>
        <v>TUE</v>
      </c>
      <c r="G5519" s="1">
        <f t="shared" si="2321"/>
        <v>44145</v>
      </c>
      <c r="H5519" s="2">
        <f t="shared" ca="1" si="2322"/>
        <v>108</v>
      </c>
      <c r="I5519" t="str">
        <f t="shared" si="2323"/>
        <v>WTIC</v>
      </c>
      <c r="J5519">
        <f t="shared" si="2324"/>
        <v>36.18</v>
      </c>
      <c r="K5519">
        <f t="shared" si="2325"/>
        <v>41.31</v>
      </c>
      <c r="L5519">
        <f t="shared" si="2326"/>
        <v>38.745000000000005</v>
      </c>
      <c r="M5519">
        <f t="shared" si="2327"/>
        <v>2.5650000000000013</v>
      </c>
      <c r="N5519">
        <f t="shared" si="2331"/>
        <v>5.1300000000000026</v>
      </c>
      <c r="O5519">
        <f t="shared" si="2328"/>
        <v>40.29</v>
      </c>
      <c r="P5519">
        <f t="shared" si="2329"/>
        <v>0.60233918128654729</v>
      </c>
      <c r="Q5519" t="str">
        <f t="shared" si="2332"/>
        <v>10.2% | 2.53%</v>
      </c>
      <c r="R5519" t="str">
        <f t="shared" si="2330"/>
        <v>BULLISH</v>
      </c>
      <c r="S5519">
        <f t="shared" si="2333"/>
        <v>1</v>
      </c>
    </row>
    <row r="5520" spans="1:19" hidden="1" x14ac:dyDescent="0.25">
      <c r="A5520" s="5" t="str">
        <f t="shared" si="2334"/>
        <v>44145NATGAS</v>
      </c>
      <c r="B5520" s="6" t="s">
        <v>89</v>
      </c>
      <c r="C5520" s="6">
        <v>2.75</v>
      </c>
      <c r="D5520" s="6">
        <v>3.48</v>
      </c>
      <c r="E5520" s="6">
        <v>2.86</v>
      </c>
      <c r="F5520" t="str">
        <f t="shared" si="2320"/>
        <v>TUE</v>
      </c>
      <c r="G5520" s="1">
        <f t="shared" si="2321"/>
        <v>44145</v>
      </c>
      <c r="H5520" s="2">
        <f t="shared" ca="1" si="2322"/>
        <v>108</v>
      </c>
      <c r="I5520" t="str">
        <f t="shared" si="2323"/>
        <v>NATGAS</v>
      </c>
      <c r="J5520">
        <f t="shared" si="2324"/>
        <v>2.75</v>
      </c>
      <c r="K5520">
        <f t="shared" si="2325"/>
        <v>3.48</v>
      </c>
      <c r="L5520">
        <f t="shared" si="2326"/>
        <v>3.1150000000000002</v>
      </c>
      <c r="M5520">
        <f t="shared" si="2327"/>
        <v>0.36499999999999688</v>
      </c>
      <c r="N5520">
        <f t="shared" si="2331"/>
        <v>0.73</v>
      </c>
      <c r="O5520">
        <f t="shared" si="2328"/>
        <v>2.86</v>
      </c>
      <c r="P5520">
        <f t="shared" si="2329"/>
        <v>-0.69863013698630827</v>
      </c>
      <c r="Q5520" t="str">
        <f t="shared" si="2332"/>
        <v>3.85% | 21.68%</v>
      </c>
      <c r="R5520" t="str">
        <f t="shared" si="2330"/>
        <v>BULLISH</v>
      </c>
      <c r="S5520">
        <f t="shared" si="2333"/>
        <v>1</v>
      </c>
    </row>
    <row r="5521" spans="1:19" hidden="1" x14ac:dyDescent="0.25">
      <c r="A5521" s="5" t="str">
        <f t="shared" si="2334"/>
        <v>44145GOLD</v>
      </c>
      <c r="B5521" s="6" t="s">
        <v>249</v>
      </c>
      <c r="C5521" s="6">
        <v>1850</v>
      </c>
      <c r="D5521" s="6">
        <v>1951</v>
      </c>
      <c r="E5521" s="6">
        <v>1854</v>
      </c>
      <c r="F5521" t="str">
        <f t="shared" si="2320"/>
        <v>TUE</v>
      </c>
      <c r="G5521" s="1">
        <f t="shared" si="2321"/>
        <v>44145</v>
      </c>
      <c r="H5521" s="2">
        <f t="shared" ca="1" si="2322"/>
        <v>108</v>
      </c>
      <c r="I5521" t="str">
        <f t="shared" si="2323"/>
        <v>GOLD</v>
      </c>
      <c r="J5521">
        <f t="shared" si="2324"/>
        <v>1850</v>
      </c>
      <c r="K5521">
        <f t="shared" si="2325"/>
        <v>1951</v>
      </c>
      <c r="L5521">
        <f t="shared" si="2326"/>
        <v>1900.5</v>
      </c>
      <c r="M5521">
        <f t="shared" si="2327"/>
        <v>50.5</v>
      </c>
      <c r="N5521">
        <f t="shared" si="2331"/>
        <v>101</v>
      </c>
      <c r="O5521">
        <f t="shared" si="2328"/>
        <v>1854</v>
      </c>
      <c r="P5521">
        <f t="shared" si="2329"/>
        <v>-0.92079207920792083</v>
      </c>
      <c r="Q5521" t="str">
        <f t="shared" si="2332"/>
        <v>0.22% | 5.23%</v>
      </c>
      <c r="R5521" t="str">
        <f t="shared" si="2330"/>
        <v>NEUTRAL</v>
      </c>
      <c r="S5521">
        <f t="shared" si="2333"/>
        <v>0</v>
      </c>
    </row>
    <row r="5522" spans="1:19" hidden="1" x14ac:dyDescent="0.25">
      <c r="A5522" s="5" t="str">
        <f t="shared" si="2334"/>
        <v>44145SILVER</v>
      </c>
      <c r="B5522" s="6" t="s">
        <v>241</v>
      </c>
      <c r="C5522" s="6">
        <v>22.51</v>
      </c>
      <c r="D5522" s="6">
        <v>25.7</v>
      </c>
      <c r="E5522" s="6">
        <v>23.7</v>
      </c>
      <c r="F5522" t="str">
        <f t="shared" si="2320"/>
        <v>TUE</v>
      </c>
      <c r="G5522" s="1">
        <f t="shared" si="2321"/>
        <v>44145</v>
      </c>
      <c r="H5522" s="2">
        <f t="shared" ca="1" si="2322"/>
        <v>108</v>
      </c>
      <c r="I5522" t="str">
        <f t="shared" si="2323"/>
        <v>SILVER</v>
      </c>
      <c r="J5522">
        <f t="shared" si="2324"/>
        <v>22.51</v>
      </c>
      <c r="K5522">
        <f t="shared" si="2325"/>
        <v>25.7</v>
      </c>
      <c r="L5522">
        <f t="shared" si="2326"/>
        <v>24.105</v>
      </c>
      <c r="M5522">
        <f t="shared" si="2327"/>
        <v>1.5949999999999989</v>
      </c>
      <c r="N5522">
        <f t="shared" si="2331"/>
        <v>3.1899999999999977</v>
      </c>
      <c r="O5522">
        <f t="shared" si="2328"/>
        <v>23.7</v>
      </c>
      <c r="P5522">
        <f t="shared" si="2329"/>
        <v>-0.25391849529780652</v>
      </c>
      <c r="Q5522" t="str">
        <f t="shared" si="2332"/>
        <v>5.02% | 8.44%</v>
      </c>
      <c r="R5522" t="str">
        <f t="shared" si="2330"/>
        <v>NEUTRAL</v>
      </c>
      <c r="S5522">
        <f t="shared" si="2333"/>
        <v>0</v>
      </c>
    </row>
    <row r="5523" spans="1:19" hidden="1" x14ac:dyDescent="0.25">
      <c r="A5523" s="5" t="str">
        <f t="shared" si="2334"/>
        <v>44145COPPER</v>
      </c>
      <c r="B5523" s="6" t="s">
        <v>100</v>
      </c>
      <c r="C5523" s="6">
        <v>3.04</v>
      </c>
      <c r="D5523" s="6">
        <v>3.19</v>
      </c>
      <c r="E5523" s="6">
        <v>3.16</v>
      </c>
      <c r="F5523" t="str">
        <f t="shared" si="2320"/>
        <v>TUE</v>
      </c>
      <c r="G5523" s="1">
        <f t="shared" si="2321"/>
        <v>44145</v>
      </c>
      <c r="H5523" s="2">
        <f t="shared" ca="1" si="2322"/>
        <v>108</v>
      </c>
      <c r="I5523" t="str">
        <f t="shared" si="2323"/>
        <v>COPPER</v>
      </c>
      <c r="J5523">
        <f t="shared" si="2324"/>
        <v>3.04</v>
      </c>
      <c r="K5523">
        <f t="shared" si="2325"/>
        <v>3.19</v>
      </c>
      <c r="L5523">
        <f t="shared" si="2326"/>
        <v>3.1150000000000002</v>
      </c>
      <c r="M5523">
        <f t="shared" si="2327"/>
        <v>7.4999999999999956E-2</v>
      </c>
      <c r="N5523">
        <f t="shared" si="2331"/>
        <v>0.14999999999999991</v>
      </c>
      <c r="O5523">
        <f t="shared" si="2328"/>
        <v>3.16</v>
      </c>
      <c r="P5523">
        <f t="shared" si="2329"/>
        <v>0.59999999999999942</v>
      </c>
      <c r="Q5523" t="str">
        <f t="shared" si="2332"/>
        <v>3.8% | 0.95%</v>
      </c>
      <c r="R5523" t="str">
        <f t="shared" si="2330"/>
        <v>BULLISH</v>
      </c>
      <c r="S5523">
        <f t="shared" si="2333"/>
        <v>1</v>
      </c>
    </row>
    <row r="5524" spans="1:19" hidden="1" x14ac:dyDescent="0.25">
      <c r="A5524" s="5" t="str">
        <f t="shared" si="2334"/>
        <v>44145MSFT</v>
      </c>
      <c r="B5524" s="6" t="s">
        <v>27</v>
      </c>
      <c r="C5524" s="6">
        <v>196</v>
      </c>
      <c r="D5524" s="6">
        <v>228</v>
      </c>
      <c r="E5524" s="6">
        <v>218</v>
      </c>
      <c r="F5524" t="str">
        <f t="shared" si="2320"/>
        <v>TUE</v>
      </c>
      <c r="G5524" s="1">
        <f t="shared" si="2321"/>
        <v>44145</v>
      </c>
      <c r="H5524" s="2">
        <f t="shared" ca="1" si="2322"/>
        <v>108</v>
      </c>
      <c r="I5524" t="str">
        <f t="shared" si="2323"/>
        <v>MSFT</v>
      </c>
      <c r="J5524">
        <f t="shared" si="2324"/>
        <v>196</v>
      </c>
      <c r="K5524">
        <f t="shared" si="2325"/>
        <v>228</v>
      </c>
      <c r="L5524">
        <f t="shared" si="2326"/>
        <v>212</v>
      </c>
      <c r="M5524">
        <f t="shared" si="2327"/>
        <v>16</v>
      </c>
      <c r="N5524">
        <f t="shared" si="2331"/>
        <v>32</v>
      </c>
      <c r="O5524">
        <f t="shared" si="2328"/>
        <v>218</v>
      </c>
      <c r="P5524">
        <f t="shared" si="2329"/>
        <v>0.375</v>
      </c>
      <c r="Q5524" t="str">
        <f t="shared" si="2332"/>
        <v>10.09% | 4.59%</v>
      </c>
      <c r="R5524" t="str">
        <f t="shared" si="2330"/>
        <v>BULLISH</v>
      </c>
      <c r="S5524">
        <f t="shared" si="2333"/>
        <v>1</v>
      </c>
    </row>
    <row r="5525" spans="1:19" hidden="1" x14ac:dyDescent="0.25">
      <c r="A5525" s="5" t="str">
        <f t="shared" si="2334"/>
        <v>44145AAPL</v>
      </c>
      <c r="B5525" s="6" t="s">
        <v>63</v>
      </c>
      <c r="C5525" s="6">
        <v>105</v>
      </c>
      <c r="D5525" s="6">
        <v>121</v>
      </c>
      <c r="E5525" s="6">
        <v>116</v>
      </c>
      <c r="F5525" t="str">
        <f t="shared" si="2320"/>
        <v>TUE</v>
      </c>
      <c r="G5525" s="1">
        <f t="shared" si="2321"/>
        <v>44145</v>
      </c>
      <c r="H5525" s="2">
        <f t="shared" ca="1" si="2322"/>
        <v>108</v>
      </c>
      <c r="I5525" t="str">
        <f t="shared" si="2323"/>
        <v>AAPL</v>
      </c>
      <c r="J5525">
        <f t="shared" si="2324"/>
        <v>105</v>
      </c>
      <c r="K5525">
        <f t="shared" si="2325"/>
        <v>121</v>
      </c>
      <c r="L5525">
        <f t="shared" si="2326"/>
        <v>113</v>
      </c>
      <c r="M5525">
        <f t="shared" si="2327"/>
        <v>8</v>
      </c>
      <c r="N5525">
        <f t="shared" si="2331"/>
        <v>16</v>
      </c>
      <c r="O5525">
        <f t="shared" si="2328"/>
        <v>116</v>
      </c>
      <c r="P5525">
        <f t="shared" si="2329"/>
        <v>0.375</v>
      </c>
      <c r="Q5525" t="str">
        <f t="shared" si="2332"/>
        <v>9.48% | 4.31%</v>
      </c>
      <c r="R5525" t="str">
        <f t="shared" si="2330"/>
        <v>NEUTRAL</v>
      </c>
      <c r="S5525">
        <f t="shared" si="2333"/>
        <v>0</v>
      </c>
    </row>
    <row r="5526" spans="1:19" hidden="1" x14ac:dyDescent="0.25">
      <c r="A5526" s="5" t="str">
        <f t="shared" si="2334"/>
        <v>44145AMZN</v>
      </c>
      <c r="B5526" s="6" t="s">
        <v>69</v>
      </c>
      <c r="C5526" s="6">
        <v>2933</v>
      </c>
      <c r="D5526" s="6">
        <v>3376</v>
      </c>
      <c r="E5526" s="6">
        <v>3143</v>
      </c>
      <c r="F5526" t="str">
        <f t="shared" si="2320"/>
        <v>TUE</v>
      </c>
      <c r="G5526" s="1">
        <f t="shared" si="2321"/>
        <v>44145</v>
      </c>
      <c r="H5526" s="2">
        <f t="shared" ca="1" si="2322"/>
        <v>108</v>
      </c>
      <c r="I5526" t="str">
        <f t="shared" si="2323"/>
        <v>AMZN</v>
      </c>
      <c r="J5526">
        <f t="shared" si="2324"/>
        <v>2933</v>
      </c>
      <c r="K5526">
        <f t="shared" si="2325"/>
        <v>3376</v>
      </c>
      <c r="L5526">
        <f t="shared" si="2326"/>
        <v>3154.5</v>
      </c>
      <c r="M5526">
        <f t="shared" si="2327"/>
        <v>221.5</v>
      </c>
      <c r="N5526">
        <f t="shared" si="2331"/>
        <v>443</v>
      </c>
      <c r="O5526">
        <f t="shared" si="2328"/>
        <v>3143</v>
      </c>
      <c r="P5526">
        <f t="shared" si="2329"/>
        <v>-5.1918735891647853E-2</v>
      </c>
      <c r="Q5526" t="str">
        <f t="shared" si="2332"/>
        <v>6.68% | 7.41%</v>
      </c>
      <c r="R5526" t="str">
        <f t="shared" si="2330"/>
        <v>NEUTRAL</v>
      </c>
      <c r="S5526">
        <f t="shared" si="2333"/>
        <v>0</v>
      </c>
    </row>
    <row r="5527" spans="1:19" hidden="1" x14ac:dyDescent="0.25">
      <c r="A5527" s="5" t="str">
        <f t="shared" si="2334"/>
        <v>44145FB</v>
      </c>
      <c r="B5527" s="6" t="s">
        <v>30</v>
      </c>
      <c r="C5527" s="6">
        <v>253</v>
      </c>
      <c r="D5527" s="6">
        <v>301</v>
      </c>
      <c r="E5527" s="6">
        <v>278</v>
      </c>
      <c r="F5527" t="str">
        <f t="shared" si="2320"/>
        <v>TUE</v>
      </c>
      <c r="G5527" s="1">
        <f t="shared" si="2321"/>
        <v>44145</v>
      </c>
      <c r="H5527" s="2">
        <f t="shared" ca="1" si="2322"/>
        <v>108</v>
      </c>
      <c r="I5527" t="str">
        <f t="shared" si="2323"/>
        <v>FB</v>
      </c>
      <c r="J5527">
        <f t="shared" si="2324"/>
        <v>253</v>
      </c>
      <c r="K5527">
        <f t="shared" si="2325"/>
        <v>301</v>
      </c>
      <c r="L5527">
        <f t="shared" si="2326"/>
        <v>277</v>
      </c>
      <c r="M5527">
        <f t="shared" si="2327"/>
        <v>24</v>
      </c>
      <c r="N5527">
        <f t="shared" si="2331"/>
        <v>48</v>
      </c>
      <c r="O5527">
        <f t="shared" si="2328"/>
        <v>278</v>
      </c>
      <c r="P5527">
        <f t="shared" si="2329"/>
        <v>4.1666666666666664E-2</v>
      </c>
      <c r="Q5527" t="str">
        <f t="shared" si="2332"/>
        <v>8.99% | 8.27%</v>
      </c>
      <c r="R5527" t="str">
        <f t="shared" si="2330"/>
        <v>BULLISH</v>
      </c>
      <c r="S5527">
        <f t="shared" si="2333"/>
        <v>1</v>
      </c>
    </row>
    <row r="5528" spans="1:19" hidden="1" x14ac:dyDescent="0.25">
      <c r="A5528" s="5" t="str">
        <f t="shared" si="2334"/>
        <v>44145GOOGL</v>
      </c>
      <c r="B5528" s="6" t="s">
        <v>31</v>
      </c>
      <c r="C5528" s="6">
        <v>1610</v>
      </c>
      <c r="D5528" s="6">
        <v>1847</v>
      </c>
      <c r="E5528" s="6">
        <v>1761</v>
      </c>
      <c r="F5528" t="str">
        <f t="shared" si="2320"/>
        <v>TUE</v>
      </c>
      <c r="G5528" s="1">
        <f t="shared" si="2321"/>
        <v>44145</v>
      </c>
      <c r="H5528" s="2">
        <f t="shared" ca="1" si="2322"/>
        <v>108</v>
      </c>
      <c r="I5528" t="str">
        <f t="shared" si="2323"/>
        <v>GOOGL</v>
      </c>
      <c r="J5528">
        <f t="shared" si="2324"/>
        <v>1610</v>
      </c>
      <c r="K5528">
        <f t="shared" si="2325"/>
        <v>1847</v>
      </c>
      <c r="L5528">
        <f t="shared" si="2326"/>
        <v>1728.5</v>
      </c>
      <c r="M5528">
        <f t="shared" si="2327"/>
        <v>118.5</v>
      </c>
      <c r="N5528">
        <f t="shared" si="2331"/>
        <v>237</v>
      </c>
      <c r="O5528">
        <f t="shared" si="2328"/>
        <v>1761</v>
      </c>
      <c r="P5528">
        <f t="shared" si="2329"/>
        <v>0.27426160337552741</v>
      </c>
      <c r="Q5528" t="str">
        <f t="shared" si="2332"/>
        <v>8.57% | 4.88%</v>
      </c>
      <c r="R5528" t="str">
        <f t="shared" si="2330"/>
        <v>BULLISH</v>
      </c>
      <c r="S5528">
        <f t="shared" si="2333"/>
        <v>1</v>
      </c>
    </row>
    <row r="5529" spans="1:19" hidden="1" x14ac:dyDescent="0.25">
      <c r="A5529" s="5" t="str">
        <f t="shared" si="2334"/>
        <v>44145NFLX</v>
      </c>
      <c r="B5529" s="6" t="s">
        <v>81</v>
      </c>
      <c r="C5529" s="6">
        <v>458</v>
      </c>
      <c r="D5529" s="6">
        <v>499</v>
      </c>
      <c r="E5529" s="6">
        <v>470</v>
      </c>
      <c r="F5529" t="str">
        <f t="shared" si="2320"/>
        <v>TUE</v>
      </c>
      <c r="G5529" s="1">
        <f t="shared" si="2321"/>
        <v>44145</v>
      </c>
      <c r="H5529" s="2">
        <f t="shared" ca="1" si="2322"/>
        <v>108</v>
      </c>
      <c r="I5529" t="str">
        <f t="shared" si="2323"/>
        <v>NFLX</v>
      </c>
      <c r="J5529">
        <f t="shared" si="2324"/>
        <v>458</v>
      </c>
      <c r="K5529">
        <f t="shared" si="2325"/>
        <v>499</v>
      </c>
      <c r="L5529">
        <f t="shared" si="2326"/>
        <v>478.5</v>
      </c>
      <c r="M5529">
        <f t="shared" si="2327"/>
        <v>20.5</v>
      </c>
      <c r="N5529">
        <f t="shared" si="2331"/>
        <v>41</v>
      </c>
      <c r="O5529">
        <f t="shared" si="2328"/>
        <v>470</v>
      </c>
      <c r="P5529">
        <f t="shared" si="2329"/>
        <v>-0.41463414634146339</v>
      </c>
      <c r="Q5529" t="str">
        <f t="shared" si="2332"/>
        <v>2.55% | 6.17%</v>
      </c>
      <c r="R5529" t="str">
        <f t="shared" si="2330"/>
        <v>BEARISH</v>
      </c>
      <c r="S5529">
        <f t="shared" si="2333"/>
        <v>-1</v>
      </c>
    </row>
    <row r="5530" spans="1:19" x14ac:dyDescent="0.25">
      <c r="A5530" s="5" t="str">
        <f t="shared" si="2334"/>
        <v>44145TSLA</v>
      </c>
      <c r="B5530" s="6" t="s">
        <v>71</v>
      </c>
      <c r="C5530" s="6">
        <v>385</v>
      </c>
      <c r="D5530" s="6">
        <v>445</v>
      </c>
      <c r="E5530" s="6">
        <v>421</v>
      </c>
      <c r="F5530" t="str">
        <f t="shared" si="2320"/>
        <v>TUE</v>
      </c>
      <c r="G5530" s="1">
        <f t="shared" si="2321"/>
        <v>44145</v>
      </c>
      <c r="H5530" s="2">
        <f t="shared" ca="1" si="2322"/>
        <v>108</v>
      </c>
      <c r="I5530" t="str">
        <f t="shared" si="2323"/>
        <v>TSLA</v>
      </c>
      <c r="J5530">
        <f t="shared" si="2324"/>
        <v>385</v>
      </c>
      <c r="K5530">
        <f t="shared" si="2325"/>
        <v>445</v>
      </c>
      <c r="L5530">
        <f t="shared" si="2326"/>
        <v>415</v>
      </c>
      <c r="M5530">
        <f t="shared" si="2327"/>
        <v>30</v>
      </c>
      <c r="N5530">
        <f t="shared" si="2331"/>
        <v>60</v>
      </c>
      <c r="O5530">
        <f t="shared" si="2328"/>
        <v>421</v>
      </c>
      <c r="P5530">
        <f t="shared" si="2329"/>
        <v>0.2</v>
      </c>
      <c r="Q5530" t="str">
        <f t="shared" si="2332"/>
        <v>8.55% | 5.7%</v>
      </c>
      <c r="R5530" t="str">
        <f t="shared" si="2330"/>
        <v>NEUTRAL</v>
      </c>
      <c r="S5530">
        <f t="shared" si="2333"/>
        <v>0</v>
      </c>
    </row>
    <row r="5531" spans="1:19" hidden="1" x14ac:dyDescent="0.25">
      <c r="A5531" s="5" t="str">
        <f t="shared" si="2334"/>
        <v>44145NYXBT</v>
      </c>
      <c r="B5531" s="6" t="s">
        <v>60</v>
      </c>
      <c r="C5531" s="6">
        <v>14017</v>
      </c>
      <c r="D5531" s="6">
        <v>15697</v>
      </c>
      <c r="E5531" s="6">
        <v>15020</v>
      </c>
      <c r="F5531" t="str">
        <f t="shared" si="2320"/>
        <v>TUE</v>
      </c>
      <c r="G5531" s="1">
        <f t="shared" si="2321"/>
        <v>44145</v>
      </c>
      <c r="H5531" s="2">
        <f t="shared" ca="1" si="2322"/>
        <v>108</v>
      </c>
      <c r="I5531" t="str">
        <f t="shared" si="2323"/>
        <v>NYXBT</v>
      </c>
      <c r="J5531">
        <f t="shared" si="2324"/>
        <v>14017</v>
      </c>
      <c r="K5531">
        <f t="shared" si="2325"/>
        <v>15697</v>
      </c>
      <c r="L5531">
        <f t="shared" si="2326"/>
        <v>14857</v>
      </c>
      <c r="M5531">
        <f t="shared" si="2327"/>
        <v>840</v>
      </c>
      <c r="N5531">
        <f t="shared" si="2331"/>
        <v>1680</v>
      </c>
      <c r="O5531">
        <f t="shared" si="2328"/>
        <v>15020</v>
      </c>
      <c r="P5531">
        <f t="shared" si="2329"/>
        <v>0.19404761904761905</v>
      </c>
      <c r="Q5531" t="str">
        <f t="shared" si="2332"/>
        <v>6.68% | 4.51%</v>
      </c>
      <c r="R5531" t="str">
        <f t="shared" si="2330"/>
        <v>BULLISH</v>
      </c>
      <c r="S5531">
        <f t="shared" si="2333"/>
        <v>1</v>
      </c>
    </row>
    <row r="5532" spans="1:19" hidden="1" x14ac:dyDescent="0.25">
      <c r="A5532" s="5" t="str">
        <f t="shared" si="2334"/>
        <v>44146UST10Y</v>
      </c>
      <c r="B5532" s="6" t="s">
        <v>246</v>
      </c>
      <c r="C5532" s="6">
        <v>0.99</v>
      </c>
      <c r="D5532" s="6">
        <v>0.74</v>
      </c>
      <c r="E5532" s="6">
        <v>0.98</v>
      </c>
      <c r="F5532" t="str">
        <f t="shared" si="2320"/>
        <v>WED</v>
      </c>
      <c r="G5532" s="3">
        <f>DATE(2020,11,11)</f>
        <v>44146</v>
      </c>
      <c r="H5532" s="2">
        <f t="shared" ca="1" si="2322"/>
        <v>107</v>
      </c>
      <c r="I5532" t="str">
        <f t="shared" si="2323"/>
        <v>UST10Y</v>
      </c>
      <c r="J5532">
        <f t="shared" si="2324"/>
        <v>0.99</v>
      </c>
      <c r="K5532">
        <f t="shared" si="2325"/>
        <v>0.74</v>
      </c>
      <c r="L5532">
        <f t="shared" si="2326"/>
        <v>0.86499999999999999</v>
      </c>
      <c r="M5532">
        <f t="shared" si="2327"/>
        <v>0.12499999999999956</v>
      </c>
      <c r="N5532">
        <f t="shared" si="2331"/>
        <v>0.25</v>
      </c>
      <c r="O5532">
        <f t="shared" si="2328"/>
        <v>0.98</v>
      </c>
      <c r="P5532">
        <f t="shared" si="2329"/>
        <v>0.92000000000000315</v>
      </c>
      <c r="Q5532" t="str">
        <f t="shared" si="2332"/>
        <v>1.02% | 24.49%</v>
      </c>
      <c r="R5532" t="str">
        <f t="shared" si="2330"/>
        <v>NEUTRAL</v>
      </c>
      <c r="S5532">
        <f t="shared" si="2333"/>
        <v>0</v>
      </c>
    </row>
    <row r="5533" spans="1:19" hidden="1" x14ac:dyDescent="0.25">
      <c r="A5533" s="5" t="str">
        <f t="shared" si="2334"/>
        <v>44146UST2Y</v>
      </c>
      <c r="B5533" s="6" t="s">
        <v>5</v>
      </c>
      <c r="C5533" s="6">
        <v>0.19</v>
      </c>
      <c r="D5533" s="6">
        <v>0.13</v>
      </c>
      <c r="E5533" s="6">
        <v>0.19</v>
      </c>
      <c r="F5533" t="str">
        <f t="shared" ref="F5533:F5564" si="2335">UPPER(TEXT(G5533,"ddd"))</f>
        <v>WED</v>
      </c>
      <c r="G5533" s="3">
        <f t="shared" ref="G5533:G5563" si="2336">DATE(2020,11,11)</f>
        <v>44146</v>
      </c>
      <c r="H5533" s="2">
        <f t="shared" ref="H5533:H5564" ca="1" si="2337">TODAY()-G5533</f>
        <v>107</v>
      </c>
      <c r="I5533" t="str">
        <f t="shared" ref="I5533:I5564" si="2338">TRIM(LEFT(B5533,FIND(" ",B5533,1)))</f>
        <v>UST2Y</v>
      </c>
      <c r="J5533">
        <f t="shared" ref="J5533:J5564" si="2339">C5533</f>
        <v>0.19</v>
      </c>
      <c r="K5533">
        <f t="shared" ref="K5533:K5564" si="2340">D5533</f>
        <v>0.13</v>
      </c>
      <c r="L5533">
        <f t="shared" ref="L5533:L5564" si="2341">AVERAGE(J5533:K5533)</f>
        <v>0.16</v>
      </c>
      <c r="M5533">
        <f t="shared" ref="M5533:M5564" si="2342">_xlfn.STDEV.P(J5533:K5533)</f>
        <v>3.0000000000000023E-2</v>
      </c>
      <c r="N5533">
        <f t="shared" si="2331"/>
        <v>0.06</v>
      </c>
      <c r="O5533">
        <f t="shared" ref="O5533:O5564" si="2343">E5533</f>
        <v>0.19</v>
      </c>
      <c r="P5533">
        <f t="shared" ref="P5533:P5564" si="2344">(O5533-L5533)/M5533</f>
        <v>0.99999999999999922</v>
      </c>
      <c r="Q5533" t="str">
        <f t="shared" si="2332"/>
        <v>0% | 31.58%</v>
      </c>
      <c r="R5533" t="str">
        <f t="shared" ref="R5533:R5564" si="2345">MID(B5533,FIND("(",B5533,1)+1,FIND(")",B5533,1)-FIND("(",B5533,1)-1)</f>
        <v>BEARISH</v>
      </c>
      <c r="S5533">
        <f t="shared" si="2333"/>
        <v>-1</v>
      </c>
    </row>
    <row r="5534" spans="1:19" hidden="1" x14ac:dyDescent="0.25">
      <c r="A5534" s="5" t="str">
        <f t="shared" si="2334"/>
        <v>44146SPX</v>
      </c>
      <c r="B5534" s="6" t="s">
        <v>93</v>
      </c>
      <c r="C5534" s="6">
        <v>3352</v>
      </c>
      <c r="D5534" s="6">
        <v>3675</v>
      </c>
      <c r="E5534" s="6">
        <v>3545</v>
      </c>
      <c r="F5534" t="str">
        <f t="shared" si="2335"/>
        <v>WED</v>
      </c>
      <c r="G5534" s="3">
        <f t="shared" si="2336"/>
        <v>44146</v>
      </c>
      <c r="H5534" s="2">
        <f t="shared" ca="1" si="2337"/>
        <v>107</v>
      </c>
      <c r="I5534" t="str">
        <f t="shared" si="2338"/>
        <v>SPX</v>
      </c>
      <c r="J5534">
        <f t="shared" si="2339"/>
        <v>3352</v>
      </c>
      <c r="K5534">
        <f t="shared" si="2340"/>
        <v>3675</v>
      </c>
      <c r="L5534">
        <f t="shared" si="2341"/>
        <v>3513.5</v>
      </c>
      <c r="M5534">
        <f t="shared" si="2342"/>
        <v>161.5</v>
      </c>
      <c r="N5534">
        <f t="shared" si="2331"/>
        <v>323</v>
      </c>
      <c r="O5534">
        <f t="shared" si="2343"/>
        <v>3545</v>
      </c>
      <c r="P5534">
        <f t="shared" si="2344"/>
        <v>0.19504643962848298</v>
      </c>
      <c r="Q5534" t="str">
        <f t="shared" si="2332"/>
        <v>5.44% | 3.67%</v>
      </c>
      <c r="R5534" t="str">
        <f t="shared" si="2345"/>
        <v>BULLISH</v>
      </c>
      <c r="S5534">
        <f t="shared" si="2333"/>
        <v>1</v>
      </c>
    </row>
    <row r="5535" spans="1:19" hidden="1" x14ac:dyDescent="0.25">
      <c r="A5535" s="5" t="str">
        <f t="shared" si="2334"/>
        <v>44146RUT</v>
      </c>
      <c r="B5535" s="6" t="s">
        <v>247</v>
      </c>
      <c r="C5535" s="6">
        <v>1636</v>
      </c>
      <c r="D5535" s="6">
        <v>1772</v>
      </c>
      <c r="E5535" s="6">
        <v>1737</v>
      </c>
      <c r="F5535" t="str">
        <f t="shared" si="2335"/>
        <v>WED</v>
      </c>
      <c r="G5535" s="3">
        <f t="shared" si="2336"/>
        <v>44146</v>
      </c>
      <c r="H5535" s="2">
        <f t="shared" ca="1" si="2337"/>
        <v>107</v>
      </c>
      <c r="I5535" t="str">
        <f t="shared" si="2338"/>
        <v>RUT</v>
      </c>
      <c r="J5535">
        <f t="shared" si="2339"/>
        <v>1636</v>
      </c>
      <c r="K5535">
        <f t="shared" si="2340"/>
        <v>1772</v>
      </c>
      <c r="L5535">
        <f t="shared" si="2341"/>
        <v>1704</v>
      </c>
      <c r="M5535">
        <f t="shared" si="2342"/>
        <v>68</v>
      </c>
      <c r="N5535">
        <f t="shared" si="2331"/>
        <v>136</v>
      </c>
      <c r="O5535">
        <f t="shared" si="2343"/>
        <v>1737</v>
      </c>
      <c r="P5535">
        <f t="shared" si="2344"/>
        <v>0.48529411764705882</v>
      </c>
      <c r="Q5535" t="str">
        <f t="shared" si="2332"/>
        <v>5.81% | 2.01%</v>
      </c>
      <c r="R5535" t="str">
        <f t="shared" si="2345"/>
        <v>BULLISH</v>
      </c>
      <c r="S5535">
        <f t="shared" si="2333"/>
        <v>1</v>
      </c>
    </row>
    <row r="5536" spans="1:19" hidden="1" x14ac:dyDescent="0.25">
      <c r="A5536" s="5" t="str">
        <f t="shared" si="2334"/>
        <v>44146COMPQ</v>
      </c>
      <c r="B5536" s="6" t="s">
        <v>61</v>
      </c>
      <c r="C5536" s="6">
        <v>10709</v>
      </c>
      <c r="D5536" s="6">
        <v>11999</v>
      </c>
      <c r="E5536" s="6">
        <v>11553</v>
      </c>
      <c r="F5536" t="str">
        <f t="shared" si="2335"/>
        <v>WED</v>
      </c>
      <c r="G5536" s="3">
        <f t="shared" si="2336"/>
        <v>44146</v>
      </c>
      <c r="H5536" s="2">
        <f t="shared" ca="1" si="2337"/>
        <v>107</v>
      </c>
      <c r="I5536" t="str">
        <f t="shared" si="2338"/>
        <v>COMPQ</v>
      </c>
      <c r="J5536">
        <f t="shared" si="2339"/>
        <v>10709</v>
      </c>
      <c r="K5536">
        <f t="shared" si="2340"/>
        <v>11999</v>
      </c>
      <c r="L5536">
        <f t="shared" si="2341"/>
        <v>11354</v>
      </c>
      <c r="M5536">
        <f t="shared" si="2342"/>
        <v>645</v>
      </c>
      <c r="N5536">
        <f t="shared" si="2331"/>
        <v>1290</v>
      </c>
      <c r="O5536">
        <f t="shared" si="2343"/>
        <v>11553</v>
      </c>
      <c r="P5536">
        <f t="shared" si="2344"/>
        <v>0.30852713178294572</v>
      </c>
      <c r="Q5536" t="str">
        <f t="shared" si="2332"/>
        <v>7.31% | 3.86%</v>
      </c>
      <c r="R5536" t="str">
        <f t="shared" si="2345"/>
        <v>NEUTRAL</v>
      </c>
      <c r="S5536">
        <f t="shared" si="2333"/>
        <v>0</v>
      </c>
    </row>
    <row r="5537" spans="1:19" hidden="1" x14ac:dyDescent="0.25">
      <c r="A5537" s="5" t="str">
        <f t="shared" si="2334"/>
        <v>44146XLK</v>
      </c>
      <c r="B5537" s="6" t="s">
        <v>62</v>
      </c>
      <c r="C5537" s="6">
        <v>108.32</v>
      </c>
      <c r="D5537" s="6">
        <v>124.65</v>
      </c>
      <c r="E5537" s="6">
        <v>118.45</v>
      </c>
      <c r="F5537" t="str">
        <f t="shared" si="2335"/>
        <v>WED</v>
      </c>
      <c r="G5537" s="3">
        <f t="shared" si="2336"/>
        <v>44146</v>
      </c>
      <c r="H5537" s="2">
        <f t="shared" ca="1" si="2337"/>
        <v>107</v>
      </c>
      <c r="I5537" t="str">
        <f t="shared" si="2338"/>
        <v>XLK</v>
      </c>
      <c r="J5537">
        <f t="shared" si="2339"/>
        <v>108.32</v>
      </c>
      <c r="K5537">
        <f t="shared" si="2340"/>
        <v>124.65</v>
      </c>
      <c r="L5537">
        <f t="shared" si="2341"/>
        <v>116.485</v>
      </c>
      <c r="M5537">
        <f t="shared" si="2342"/>
        <v>8.1650000000000063</v>
      </c>
      <c r="N5537">
        <f t="shared" si="2331"/>
        <v>16.330000000000013</v>
      </c>
      <c r="O5537">
        <f t="shared" si="2343"/>
        <v>118.45</v>
      </c>
      <c r="P5537">
        <f t="shared" si="2344"/>
        <v>0.24066135946111475</v>
      </c>
      <c r="Q5537" t="str">
        <f t="shared" si="2332"/>
        <v>8.55% | 5.23%</v>
      </c>
      <c r="R5537" t="str">
        <f t="shared" si="2345"/>
        <v>NEUTRAL</v>
      </c>
      <c r="S5537">
        <f t="shared" si="2333"/>
        <v>0</v>
      </c>
    </row>
    <row r="5538" spans="1:19" hidden="1" x14ac:dyDescent="0.25">
      <c r="A5538" s="5" t="str">
        <f t="shared" si="2334"/>
        <v>44146XLU</v>
      </c>
      <c r="B5538" s="6" t="s">
        <v>52</v>
      </c>
      <c r="C5538" s="6">
        <v>63.08</v>
      </c>
      <c r="D5538" s="6">
        <v>66.97</v>
      </c>
      <c r="E5538" s="6">
        <v>66.260000000000005</v>
      </c>
      <c r="F5538" t="str">
        <f t="shared" si="2335"/>
        <v>WED</v>
      </c>
      <c r="G5538" s="3">
        <f t="shared" si="2336"/>
        <v>44146</v>
      </c>
      <c r="H5538" s="2">
        <f t="shared" ca="1" si="2337"/>
        <v>107</v>
      </c>
      <c r="I5538" t="str">
        <f t="shared" si="2338"/>
        <v>XLU</v>
      </c>
      <c r="J5538">
        <f t="shared" si="2339"/>
        <v>63.08</v>
      </c>
      <c r="K5538">
        <f t="shared" si="2340"/>
        <v>66.97</v>
      </c>
      <c r="L5538">
        <f t="shared" si="2341"/>
        <v>65.025000000000006</v>
      </c>
      <c r="M5538">
        <f t="shared" si="2342"/>
        <v>1.9450000000000003</v>
      </c>
      <c r="N5538">
        <f t="shared" si="2331"/>
        <v>3.8900000000000006</v>
      </c>
      <c r="O5538">
        <f t="shared" si="2343"/>
        <v>66.260000000000005</v>
      </c>
      <c r="P5538">
        <f t="shared" si="2344"/>
        <v>0.63496143958868856</v>
      </c>
      <c r="Q5538" t="str">
        <f t="shared" si="2332"/>
        <v>4.8% | 1.07%</v>
      </c>
      <c r="R5538" t="str">
        <f t="shared" si="2345"/>
        <v>BULLISH</v>
      </c>
      <c r="S5538">
        <f t="shared" si="2333"/>
        <v>1</v>
      </c>
    </row>
    <row r="5539" spans="1:19" hidden="1" x14ac:dyDescent="0.25">
      <c r="A5539" s="5" t="str">
        <f t="shared" si="2334"/>
        <v>44146XLF</v>
      </c>
      <c r="B5539" s="6" t="s">
        <v>248</v>
      </c>
      <c r="C5539" s="6">
        <v>24.2</v>
      </c>
      <c r="D5539" s="6">
        <v>27.59</v>
      </c>
      <c r="E5539" s="6">
        <v>27.15</v>
      </c>
      <c r="F5539" t="str">
        <f t="shared" si="2335"/>
        <v>WED</v>
      </c>
      <c r="G5539" s="3">
        <f t="shared" si="2336"/>
        <v>44146</v>
      </c>
      <c r="H5539" s="2">
        <f t="shared" ca="1" si="2337"/>
        <v>107</v>
      </c>
      <c r="I5539" t="str">
        <f t="shared" si="2338"/>
        <v>XLF</v>
      </c>
      <c r="J5539">
        <f t="shared" si="2339"/>
        <v>24.2</v>
      </c>
      <c r="K5539">
        <f t="shared" si="2340"/>
        <v>27.59</v>
      </c>
      <c r="L5539">
        <f t="shared" si="2341"/>
        <v>25.895</v>
      </c>
      <c r="M5539">
        <f t="shared" si="2342"/>
        <v>1.6950000000000003</v>
      </c>
      <c r="N5539">
        <f t="shared" si="2331"/>
        <v>3.3900000000000006</v>
      </c>
      <c r="O5539">
        <f t="shared" si="2343"/>
        <v>27.15</v>
      </c>
      <c r="P5539">
        <f t="shared" si="2344"/>
        <v>0.74041297935103179</v>
      </c>
      <c r="Q5539" t="str">
        <f t="shared" si="2332"/>
        <v>10.87% | 1.62%</v>
      </c>
      <c r="R5539" t="str">
        <f t="shared" si="2345"/>
        <v>NEUTRAL</v>
      </c>
      <c r="S5539">
        <f t="shared" si="2333"/>
        <v>0</v>
      </c>
    </row>
    <row r="5540" spans="1:19" hidden="1" x14ac:dyDescent="0.25">
      <c r="A5540" s="5" t="str">
        <f t="shared" si="2334"/>
        <v>44146XLE</v>
      </c>
      <c r="B5540" s="6" t="s">
        <v>250</v>
      </c>
      <c r="C5540" s="6">
        <v>26.05</v>
      </c>
      <c r="D5540" s="6">
        <v>36.32</v>
      </c>
      <c r="E5540" s="6">
        <v>34.130000000000003</v>
      </c>
      <c r="F5540" t="str">
        <f t="shared" si="2335"/>
        <v>WED</v>
      </c>
      <c r="G5540" s="3">
        <f t="shared" si="2336"/>
        <v>44146</v>
      </c>
      <c r="H5540" s="2">
        <f t="shared" ca="1" si="2337"/>
        <v>107</v>
      </c>
      <c r="I5540" t="str">
        <f t="shared" si="2338"/>
        <v>XLE</v>
      </c>
      <c r="J5540">
        <f t="shared" si="2339"/>
        <v>26.05</v>
      </c>
      <c r="K5540">
        <f t="shared" si="2340"/>
        <v>36.32</v>
      </c>
      <c r="L5540">
        <f t="shared" si="2341"/>
        <v>31.185000000000002</v>
      </c>
      <c r="M5540">
        <f t="shared" si="2342"/>
        <v>5.1349999999999936</v>
      </c>
      <c r="N5540">
        <f t="shared" si="2331"/>
        <v>10.27</v>
      </c>
      <c r="O5540">
        <f t="shared" si="2343"/>
        <v>34.130000000000003</v>
      </c>
      <c r="P5540">
        <f t="shared" si="2344"/>
        <v>0.57351509250243504</v>
      </c>
      <c r="Q5540" t="str">
        <f t="shared" si="2332"/>
        <v>23.67% | 6.42%</v>
      </c>
      <c r="R5540" t="str">
        <f t="shared" si="2345"/>
        <v>BULLISH</v>
      </c>
      <c r="S5540">
        <f t="shared" si="2333"/>
        <v>1</v>
      </c>
    </row>
    <row r="5541" spans="1:19" hidden="1" x14ac:dyDescent="0.25">
      <c r="A5541" s="5" t="str">
        <f t="shared" si="2334"/>
        <v>44146SSEC</v>
      </c>
      <c r="B5541" s="6" t="s">
        <v>104</v>
      </c>
      <c r="C5541" s="6">
        <v>3251</v>
      </c>
      <c r="D5541" s="6">
        <v>3395</v>
      </c>
      <c r="E5541" s="6">
        <v>3342</v>
      </c>
      <c r="F5541" t="str">
        <f t="shared" si="2335"/>
        <v>WED</v>
      </c>
      <c r="G5541" s="3">
        <f t="shared" si="2336"/>
        <v>44146</v>
      </c>
      <c r="H5541" s="2">
        <f t="shared" ca="1" si="2337"/>
        <v>107</v>
      </c>
      <c r="I5541" t="str">
        <f t="shared" si="2338"/>
        <v>SSEC</v>
      </c>
      <c r="J5541">
        <f t="shared" si="2339"/>
        <v>3251</v>
      </c>
      <c r="K5541">
        <f t="shared" si="2340"/>
        <v>3395</v>
      </c>
      <c r="L5541">
        <f t="shared" si="2341"/>
        <v>3323</v>
      </c>
      <c r="M5541">
        <f t="shared" si="2342"/>
        <v>72</v>
      </c>
      <c r="N5541">
        <f t="shared" si="2331"/>
        <v>144</v>
      </c>
      <c r="O5541">
        <f t="shared" si="2343"/>
        <v>3342</v>
      </c>
      <c r="P5541">
        <f t="shared" si="2344"/>
        <v>0.2638888888888889</v>
      </c>
      <c r="Q5541" t="str">
        <f t="shared" si="2332"/>
        <v>2.72% | 1.59%</v>
      </c>
      <c r="R5541" t="str">
        <f t="shared" si="2345"/>
        <v>BULLISH</v>
      </c>
      <c r="S5541">
        <f t="shared" si="2333"/>
        <v>1</v>
      </c>
    </row>
    <row r="5542" spans="1:19" hidden="1" x14ac:dyDescent="0.25">
      <c r="A5542" s="5" t="str">
        <f t="shared" si="2334"/>
        <v>44146NIKK</v>
      </c>
      <c r="B5542" s="6" t="s">
        <v>91</v>
      </c>
      <c r="C5542" s="6">
        <v>23777</v>
      </c>
      <c r="D5542" s="6">
        <v>25508</v>
      </c>
      <c r="E5542" s="6">
        <v>25349</v>
      </c>
      <c r="F5542" t="str">
        <f t="shared" si="2335"/>
        <v>WED</v>
      </c>
      <c r="G5542" s="3">
        <f t="shared" si="2336"/>
        <v>44146</v>
      </c>
      <c r="H5542" s="2">
        <f t="shared" ca="1" si="2337"/>
        <v>107</v>
      </c>
      <c r="I5542" t="str">
        <f t="shared" si="2338"/>
        <v>NIKK</v>
      </c>
      <c r="J5542">
        <f t="shared" si="2339"/>
        <v>23777</v>
      </c>
      <c r="K5542">
        <f t="shared" si="2340"/>
        <v>25508</v>
      </c>
      <c r="L5542">
        <f t="shared" si="2341"/>
        <v>24642.5</v>
      </c>
      <c r="M5542">
        <f t="shared" si="2342"/>
        <v>865.5</v>
      </c>
      <c r="N5542">
        <f t="shared" si="2331"/>
        <v>1731</v>
      </c>
      <c r="O5542">
        <f t="shared" si="2343"/>
        <v>25349</v>
      </c>
      <c r="P5542">
        <f t="shared" si="2344"/>
        <v>0.81629116117850953</v>
      </c>
      <c r="Q5542" t="str">
        <f t="shared" si="2332"/>
        <v>6.2% | 0.63%</v>
      </c>
      <c r="R5542" t="str">
        <f t="shared" si="2345"/>
        <v>BULLISH</v>
      </c>
      <c r="S5542">
        <f t="shared" si="2333"/>
        <v>1</v>
      </c>
    </row>
    <row r="5543" spans="1:19" hidden="1" x14ac:dyDescent="0.25">
      <c r="A5543" s="5" t="str">
        <f t="shared" si="2334"/>
        <v>44146DAX</v>
      </c>
      <c r="B5543" s="6" t="s">
        <v>16</v>
      </c>
      <c r="C5543" s="6">
        <v>11601</v>
      </c>
      <c r="D5543" s="6">
        <v>13420</v>
      </c>
      <c r="E5543" s="6">
        <v>13163</v>
      </c>
      <c r="F5543" t="str">
        <f t="shared" si="2335"/>
        <v>WED</v>
      </c>
      <c r="G5543" s="3">
        <f t="shared" si="2336"/>
        <v>44146</v>
      </c>
      <c r="H5543" s="2">
        <f t="shared" ca="1" si="2337"/>
        <v>107</v>
      </c>
      <c r="I5543" t="str">
        <f t="shared" si="2338"/>
        <v>DAX</v>
      </c>
      <c r="J5543">
        <f t="shared" si="2339"/>
        <v>11601</v>
      </c>
      <c r="K5543">
        <f t="shared" si="2340"/>
        <v>13420</v>
      </c>
      <c r="L5543">
        <f t="shared" si="2341"/>
        <v>12510.5</v>
      </c>
      <c r="M5543">
        <f t="shared" si="2342"/>
        <v>909.5</v>
      </c>
      <c r="N5543">
        <f t="shared" si="2331"/>
        <v>1819</v>
      </c>
      <c r="O5543">
        <f t="shared" si="2343"/>
        <v>13163</v>
      </c>
      <c r="P5543">
        <f t="shared" si="2344"/>
        <v>0.71742715777899946</v>
      </c>
      <c r="Q5543" t="str">
        <f t="shared" si="2332"/>
        <v>11.87% | 1.95%</v>
      </c>
      <c r="R5543" t="str">
        <f t="shared" si="2345"/>
        <v>BEARISH</v>
      </c>
      <c r="S5543">
        <f t="shared" si="2333"/>
        <v>-1</v>
      </c>
    </row>
    <row r="5544" spans="1:19" hidden="1" x14ac:dyDescent="0.25">
      <c r="A5544" s="5" t="str">
        <f t="shared" si="2334"/>
        <v>44146VIX</v>
      </c>
      <c r="B5544" s="6" t="s">
        <v>159</v>
      </c>
      <c r="C5544" s="6">
        <v>23.27</v>
      </c>
      <c r="D5544" s="6">
        <v>42.14</v>
      </c>
      <c r="E5544" s="6">
        <v>24.8</v>
      </c>
      <c r="F5544" t="str">
        <f t="shared" si="2335"/>
        <v>WED</v>
      </c>
      <c r="G5544" s="3">
        <f t="shared" si="2336"/>
        <v>44146</v>
      </c>
      <c r="H5544" s="2">
        <f t="shared" ca="1" si="2337"/>
        <v>107</v>
      </c>
      <c r="I5544" t="str">
        <f t="shared" si="2338"/>
        <v>VIX</v>
      </c>
      <c r="J5544">
        <f t="shared" si="2339"/>
        <v>23.27</v>
      </c>
      <c r="K5544">
        <f t="shared" si="2340"/>
        <v>42.14</v>
      </c>
      <c r="L5544">
        <f t="shared" si="2341"/>
        <v>32.704999999999998</v>
      </c>
      <c r="M5544">
        <f t="shared" si="2342"/>
        <v>9.4350000000000129</v>
      </c>
      <c r="N5544">
        <f t="shared" si="2331"/>
        <v>18.87</v>
      </c>
      <c r="O5544">
        <f t="shared" si="2343"/>
        <v>24.8</v>
      </c>
      <c r="P5544">
        <f t="shared" si="2344"/>
        <v>-0.83783783783783639</v>
      </c>
      <c r="Q5544" t="str">
        <f t="shared" si="2332"/>
        <v>6.17% | 69.92%</v>
      </c>
      <c r="R5544" t="str">
        <f t="shared" si="2345"/>
        <v>NEUTRAL</v>
      </c>
      <c r="S5544">
        <f t="shared" si="2333"/>
        <v>0</v>
      </c>
    </row>
    <row r="5545" spans="1:19" hidden="1" x14ac:dyDescent="0.25">
      <c r="A5545" s="5" t="str">
        <f t="shared" si="2334"/>
        <v>44146USD</v>
      </c>
      <c r="B5545" s="6" t="s">
        <v>94</v>
      </c>
      <c r="C5545" s="6">
        <v>92</v>
      </c>
      <c r="D5545" s="6">
        <v>93.43</v>
      </c>
      <c r="E5545" s="6">
        <v>92.74</v>
      </c>
      <c r="F5545" t="str">
        <f t="shared" si="2335"/>
        <v>WED</v>
      </c>
      <c r="G5545" s="3">
        <f t="shared" si="2336"/>
        <v>44146</v>
      </c>
      <c r="H5545" s="2">
        <f t="shared" ca="1" si="2337"/>
        <v>107</v>
      </c>
      <c r="I5545" t="str">
        <f t="shared" si="2338"/>
        <v>USD</v>
      </c>
      <c r="J5545">
        <f t="shared" si="2339"/>
        <v>92</v>
      </c>
      <c r="K5545">
        <f t="shared" si="2340"/>
        <v>93.43</v>
      </c>
      <c r="L5545">
        <f t="shared" si="2341"/>
        <v>92.715000000000003</v>
      </c>
      <c r="M5545">
        <f t="shared" si="2342"/>
        <v>0.71500000000000341</v>
      </c>
      <c r="N5545">
        <f t="shared" si="2331"/>
        <v>1.4300000000000068</v>
      </c>
      <c r="O5545">
        <f t="shared" si="2343"/>
        <v>92.74</v>
      </c>
      <c r="P5545">
        <f t="shared" si="2344"/>
        <v>3.4965034965022873E-2</v>
      </c>
      <c r="Q5545" t="str">
        <f t="shared" si="2332"/>
        <v>0.8% | 0.74%</v>
      </c>
      <c r="R5545" t="str">
        <f t="shared" si="2345"/>
        <v>BEARISH</v>
      </c>
      <c r="S5545">
        <f t="shared" si="2333"/>
        <v>-1</v>
      </c>
    </row>
    <row r="5546" spans="1:19" hidden="1" x14ac:dyDescent="0.25">
      <c r="A5546" s="5" t="str">
        <f t="shared" si="2334"/>
        <v>44146EUR/USD</v>
      </c>
      <c r="B5546" s="6" t="s">
        <v>99</v>
      </c>
      <c r="C5546" s="6">
        <v>1.159</v>
      </c>
      <c r="D5546" s="6">
        <v>1.1910000000000001</v>
      </c>
      <c r="E5546" s="6">
        <v>1.181</v>
      </c>
      <c r="F5546" t="str">
        <f t="shared" si="2335"/>
        <v>WED</v>
      </c>
      <c r="G5546" s="3">
        <f t="shared" si="2336"/>
        <v>44146</v>
      </c>
      <c r="H5546" s="2">
        <f t="shared" ca="1" si="2337"/>
        <v>107</v>
      </c>
      <c r="I5546" t="str">
        <f t="shared" si="2338"/>
        <v>EUR/USD</v>
      </c>
      <c r="J5546">
        <f t="shared" si="2339"/>
        <v>1.159</v>
      </c>
      <c r="K5546">
        <f t="shared" si="2340"/>
        <v>1.1910000000000001</v>
      </c>
      <c r="L5546">
        <f t="shared" si="2341"/>
        <v>1.175</v>
      </c>
      <c r="M5546">
        <f t="shared" si="2342"/>
        <v>1.6000000000000014E-2</v>
      </c>
      <c r="N5546">
        <f t="shared" si="2331"/>
        <v>3.2000000000000028E-2</v>
      </c>
      <c r="O5546">
        <f t="shared" si="2343"/>
        <v>1.181</v>
      </c>
      <c r="P5546">
        <f t="shared" si="2344"/>
        <v>0.375</v>
      </c>
      <c r="Q5546" t="str">
        <f t="shared" si="2332"/>
        <v>1.86% | 0.85%</v>
      </c>
      <c r="R5546" t="str">
        <f t="shared" si="2345"/>
        <v>BULLISH</v>
      </c>
      <c r="S5546">
        <f t="shared" si="2333"/>
        <v>1</v>
      </c>
    </row>
    <row r="5547" spans="1:19" hidden="1" x14ac:dyDescent="0.25">
      <c r="A5547" s="5" t="str">
        <f t="shared" si="2334"/>
        <v>44146USD/JPY</v>
      </c>
      <c r="B5547" s="6" t="s">
        <v>20</v>
      </c>
      <c r="C5547" s="6">
        <v>103.2</v>
      </c>
      <c r="D5547" s="6">
        <v>105.84</v>
      </c>
      <c r="E5547" s="6">
        <v>105.29</v>
      </c>
      <c r="F5547" t="str">
        <f t="shared" si="2335"/>
        <v>WED</v>
      </c>
      <c r="G5547" s="3">
        <f t="shared" si="2336"/>
        <v>44146</v>
      </c>
      <c r="H5547" s="2">
        <f t="shared" ca="1" si="2337"/>
        <v>107</v>
      </c>
      <c r="I5547" t="str">
        <f t="shared" si="2338"/>
        <v>USD/JPY</v>
      </c>
      <c r="J5547">
        <f t="shared" si="2339"/>
        <v>103.2</v>
      </c>
      <c r="K5547">
        <f t="shared" si="2340"/>
        <v>105.84</v>
      </c>
      <c r="L5547">
        <f t="shared" si="2341"/>
        <v>104.52000000000001</v>
      </c>
      <c r="M5547">
        <f t="shared" si="2342"/>
        <v>1.3200000000000003</v>
      </c>
      <c r="N5547">
        <f t="shared" si="2331"/>
        <v>2.6400000000000006</v>
      </c>
      <c r="O5547">
        <f t="shared" si="2343"/>
        <v>105.29</v>
      </c>
      <c r="P5547">
        <f t="shared" si="2344"/>
        <v>0.58333333333333015</v>
      </c>
      <c r="Q5547" t="str">
        <f t="shared" si="2332"/>
        <v>1.98% | 0.52%</v>
      </c>
      <c r="R5547" t="str">
        <f t="shared" si="2345"/>
        <v>BEARISH</v>
      </c>
      <c r="S5547">
        <f t="shared" si="2333"/>
        <v>-1</v>
      </c>
    </row>
    <row r="5548" spans="1:19" hidden="1" x14ac:dyDescent="0.25">
      <c r="A5548" s="5" t="str">
        <f t="shared" si="2334"/>
        <v>44146GBP/USD</v>
      </c>
      <c r="B5548" s="6" t="s">
        <v>102</v>
      </c>
      <c r="C5548" s="6">
        <v>1.294</v>
      </c>
      <c r="D5548" s="6">
        <v>1.329</v>
      </c>
      <c r="E5548" s="6">
        <v>1.327</v>
      </c>
      <c r="F5548" t="str">
        <f t="shared" si="2335"/>
        <v>WED</v>
      </c>
      <c r="G5548" s="3">
        <f t="shared" si="2336"/>
        <v>44146</v>
      </c>
      <c r="H5548" s="2">
        <f t="shared" ca="1" si="2337"/>
        <v>107</v>
      </c>
      <c r="I5548" t="str">
        <f t="shared" si="2338"/>
        <v>GBP/USD</v>
      </c>
      <c r="J5548">
        <f t="shared" si="2339"/>
        <v>1.294</v>
      </c>
      <c r="K5548">
        <f t="shared" si="2340"/>
        <v>1.329</v>
      </c>
      <c r="L5548">
        <f t="shared" si="2341"/>
        <v>1.3115000000000001</v>
      </c>
      <c r="M5548">
        <f t="shared" si="2342"/>
        <v>1.749999999999996E-2</v>
      </c>
      <c r="N5548">
        <f t="shared" si="2331"/>
        <v>3.499999999999992E-2</v>
      </c>
      <c r="O5548">
        <f t="shared" si="2343"/>
        <v>1.327</v>
      </c>
      <c r="P5548">
        <f t="shared" si="2344"/>
        <v>0.88571428571427901</v>
      </c>
      <c r="Q5548" t="str">
        <f t="shared" si="2332"/>
        <v>2.49% | 0.15%</v>
      </c>
      <c r="R5548" t="str">
        <f t="shared" si="2345"/>
        <v>BULLISH</v>
      </c>
      <c r="S5548">
        <f t="shared" si="2333"/>
        <v>1</v>
      </c>
    </row>
    <row r="5549" spans="1:19" hidden="1" x14ac:dyDescent="0.25">
      <c r="A5549" s="5" t="str">
        <f t="shared" si="2334"/>
        <v>44146CAD/USD</v>
      </c>
      <c r="B5549" s="6" t="s">
        <v>244</v>
      </c>
      <c r="C5549" s="6">
        <v>0.75</v>
      </c>
      <c r="D5549" s="6">
        <v>0.77</v>
      </c>
      <c r="E5549" s="6">
        <v>0.76</v>
      </c>
      <c r="F5549" t="str">
        <f t="shared" si="2335"/>
        <v>WED</v>
      </c>
      <c r="G5549" s="3">
        <f t="shared" si="2336"/>
        <v>44146</v>
      </c>
      <c r="H5549" s="2">
        <f t="shared" ca="1" si="2337"/>
        <v>107</v>
      </c>
      <c r="I5549" t="str">
        <f t="shared" si="2338"/>
        <v>CAD/USD</v>
      </c>
      <c r="J5549">
        <f t="shared" si="2339"/>
        <v>0.75</v>
      </c>
      <c r="K5549">
        <f t="shared" si="2340"/>
        <v>0.77</v>
      </c>
      <c r="L5549">
        <f t="shared" si="2341"/>
        <v>0.76</v>
      </c>
      <c r="M5549">
        <f t="shared" si="2342"/>
        <v>1.0000000000000009E-2</v>
      </c>
      <c r="N5549">
        <f t="shared" si="2331"/>
        <v>2.0000000000000018E-2</v>
      </c>
      <c r="O5549">
        <f t="shared" si="2343"/>
        <v>0.76</v>
      </c>
      <c r="P5549">
        <f t="shared" si="2344"/>
        <v>0</v>
      </c>
      <c r="Q5549" t="str">
        <f t="shared" si="2332"/>
        <v>1.32% | 1.32%</v>
      </c>
      <c r="R5549" t="str">
        <f t="shared" si="2345"/>
        <v>BULLISH</v>
      </c>
      <c r="S5549">
        <f t="shared" si="2333"/>
        <v>1</v>
      </c>
    </row>
    <row r="5550" spans="1:19" hidden="1" x14ac:dyDescent="0.25">
      <c r="A5550" s="5" t="str">
        <f t="shared" si="2334"/>
        <v>44146USD/CHF</v>
      </c>
      <c r="B5550" s="6" t="s">
        <v>76</v>
      </c>
      <c r="C5550" s="6">
        <v>0.9</v>
      </c>
      <c r="D5550" s="6">
        <v>0.92</v>
      </c>
      <c r="E5550" s="6">
        <v>0.91</v>
      </c>
      <c r="F5550" t="str">
        <f t="shared" si="2335"/>
        <v>WED</v>
      </c>
      <c r="G5550" s="3">
        <f t="shared" si="2336"/>
        <v>44146</v>
      </c>
      <c r="H5550" s="2">
        <f t="shared" ca="1" si="2337"/>
        <v>107</v>
      </c>
      <c r="I5550" t="str">
        <f t="shared" si="2338"/>
        <v>USD/CHF</v>
      </c>
      <c r="J5550">
        <f t="shared" si="2339"/>
        <v>0.9</v>
      </c>
      <c r="K5550">
        <f t="shared" si="2340"/>
        <v>0.92</v>
      </c>
      <c r="L5550">
        <f t="shared" si="2341"/>
        <v>0.91</v>
      </c>
      <c r="M5550">
        <f t="shared" si="2342"/>
        <v>1.0000000000000009E-2</v>
      </c>
      <c r="N5550">
        <f t="shared" si="2331"/>
        <v>2.0000000000000018E-2</v>
      </c>
      <c r="O5550">
        <f t="shared" si="2343"/>
        <v>0.91</v>
      </c>
      <c r="P5550">
        <f t="shared" si="2344"/>
        <v>0</v>
      </c>
      <c r="Q5550" t="str">
        <f t="shared" si="2332"/>
        <v>1.1% | 1.1%</v>
      </c>
      <c r="R5550" t="str">
        <f t="shared" si="2345"/>
        <v>BEARISH</v>
      </c>
      <c r="S5550">
        <f t="shared" si="2333"/>
        <v>-1</v>
      </c>
    </row>
    <row r="5551" spans="1:19" hidden="1" x14ac:dyDescent="0.25">
      <c r="A5551" s="5" t="str">
        <f t="shared" si="2334"/>
        <v>44146WTIC</v>
      </c>
      <c r="B5551" s="6" t="s">
        <v>158</v>
      </c>
      <c r="C5551" s="6">
        <v>36.32</v>
      </c>
      <c r="D5551" s="6">
        <v>43.01</v>
      </c>
      <c r="E5551" s="6">
        <v>41.36</v>
      </c>
      <c r="F5551" t="str">
        <f t="shared" si="2335"/>
        <v>WED</v>
      </c>
      <c r="G5551" s="3">
        <f t="shared" si="2336"/>
        <v>44146</v>
      </c>
      <c r="H5551" s="2">
        <f t="shared" ca="1" si="2337"/>
        <v>107</v>
      </c>
      <c r="I5551" t="str">
        <f t="shared" si="2338"/>
        <v>WTIC</v>
      </c>
      <c r="J5551">
        <f t="shared" si="2339"/>
        <v>36.32</v>
      </c>
      <c r="K5551">
        <f t="shared" si="2340"/>
        <v>43.01</v>
      </c>
      <c r="L5551">
        <f t="shared" si="2341"/>
        <v>39.664999999999999</v>
      </c>
      <c r="M5551">
        <f t="shared" si="2342"/>
        <v>3.3449999999999989</v>
      </c>
      <c r="N5551">
        <f t="shared" si="2331"/>
        <v>6.6899999999999977</v>
      </c>
      <c r="O5551">
        <f t="shared" si="2343"/>
        <v>41.36</v>
      </c>
      <c r="P5551">
        <f t="shared" si="2344"/>
        <v>0.50672645739910338</v>
      </c>
      <c r="Q5551" t="str">
        <f t="shared" si="2332"/>
        <v>12.19% | 3.99%</v>
      </c>
      <c r="R5551" t="str">
        <f t="shared" si="2345"/>
        <v>BULLISH</v>
      </c>
      <c r="S5551">
        <f t="shared" si="2333"/>
        <v>1</v>
      </c>
    </row>
    <row r="5552" spans="1:19" hidden="1" x14ac:dyDescent="0.25">
      <c r="A5552" s="5" t="str">
        <f t="shared" si="2334"/>
        <v>44146NATGAS</v>
      </c>
      <c r="B5552" s="6" t="s">
        <v>89</v>
      </c>
      <c r="C5552" s="6">
        <v>2.71</v>
      </c>
      <c r="D5552" s="6">
        <v>3.43</v>
      </c>
      <c r="E5552" s="6">
        <v>2.95</v>
      </c>
      <c r="F5552" t="str">
        <f t="shared" si="2335"/>
        <v>WED</v>
      </c>
      <c r="G5552" s="3">
        <f t="shared" si="2336"/>
        <v>44146</v>
      </c>
      <c r="H5552" s="2">
        <f t="shared" ca="1" si="2337"/>
        <v>107</v>
      </c>
      <c r="I5552" t="str">
        <f t="shared" si="2338"/>
        <v>NATGAS</v>
      </c>
      <c r="J5552">
        <f t="shared" si="2339"/>
        <v>2.71</v>
      </c>
      <c r="K5552">
        <f t="shared" si="2340"/>
        <v>3.43</v>
      </c>
      <c r="L5552">
        <f t="shared" si="2341"/>
        <v>3.0700000000000003</v>
      </c>
      <c r="M5552">
        <f t="shared" si="2342"/>
        <v>0.35999999999999993</v>
      </c>
      <c r="N5552">
        <f t="shared" si="2331"/>
        <v>0.7200000000000002</v>
      </c>
      <c r="O5552">
        <f t="shared" si="2343"/>
        <v>2.95</v>
      </c>
      <c r="P5552">
        <f t="shared" si="2344"/>
        <v>-0.3333333333333337</v>
      </c>
      <c r="Q5552" t="str">
        <f t="shared" si="2332"/>
        <v>8.14% | 16.27%</v>
      </c>
      <c r="R5552" t="str">
        <f t="shared" si="2345"/>
        <v>BULLISH</v>
      </c>
      <c r="S5552">
        <f t="shared" si="2333"/>
        <v>1</v>
      </c>
    </row>
    <row r="5553" spans="1:19" hidden="1" x14ac:dyDescent="0.25">
      <c r="A5553" s="5" t="str">
        <f t="shared" si="2334"/>
        <v>44146GOLD</v>
      </c>
      <c r="B5553" s="6" t="s">
        <v>249</v>
      </c>
      <c r="C5553" s="6">
        <v>1834</v>
      </c>
      <c r="D5553" s="6">
        <v>1962</v>
      </c>
      <c r="E5553" s="6">
        <v>1876</v>
      </c>
      <c r="F5553" t="str">
        <f t="shared" si="2335"/>
        <v>WED</v>
      </c>
      <c r="G5553" s="3">
        <f t="shared" si="2336"/>
        <v>44146</v>
      </c>
      <c r="H5553" s="2">
        <f t="shared" ca="1" si="2337"/>
        <v>107</v>
      </c>
      <c r="I5553" t="str">
        <f t="shared" si="2338"/>
        <v>GOLD</v>
      </c>
      <c r="J5553">
        <f t="shared" si="2339"/>
        <v>1834</v>
      </c>
      <c r="K5553">
        <f t="shared" si="2340"/>
        <v>1962</v>
      </c>
      <c r="L5553">
        <f t="shared" si="2341"/>
        <v>1898</v>
      </c>
      <c r="M5553">
        <f t="shared" si="2342"/>
        <v>64</v>
      </c>
      <c r="N5553">
        <f t="shared" si="2331"/>
        <v>128</v>
      </c>
      <c r="O5553">
        <f t="shared" si="2343"/>
        <v>1876</v>
      </c>
      <c r="P5553">
        <f t="shared" si="2344"/>
        <v>-0.34375</v>
      </c>
      <c r="Q5553" t="str">
        <f t="shared" si="2332"/>
        <v>2.24% | 4.58%</v>
      </c>
      <c r="R5553" t="str">
        <f t="shared" si="2345"/>
        <v>NEUTRAL</v>
      </c>
      <c r="S5553">
        <f t="shared" si="2333"/>
        <v>0</v>
      </c>
    </row>
    <row r="5554" spans="1:19" hidden="1" x14ac:dyDescent="0.25">
      <c r="A5554" s="5" t="str">
        <f t="shared" si="2334"/>
        <v>44146SILVER</v>
      </c>
      <c r="B5554" s="6" t="s">
        <v>241</v>
      </c>
      <c r="C5554" s="6">
        <v>22.43</v>
      </c>
      <c r="D5554" s="6">
        <v>25.71</v>
      </c>
      <c r="E5554" s="6">
        <v>24.46</v>
      </c>
      <c r="F5554" t="str">
        <f t="shared" si="2335"/>
        <v>WED</v>
      </c>
      <c r="G5554" s="3">
        <f t="shared" si="2336"/>
        <v>44146</v>
      </c>
      <c r="H5554" s="2">
        <f t="shared" ca="1" si="2337"/>
        <v>107</v>
      </c>
      <c r="I5554" t="str">
        <f t="shared" si="2338"/>
        <v>SILVER</v>
      </c>
      <c r="J5554">
        <f t="shared" si="2339"/>
        <v>22.43</v>
      </c>
      <c r="K5554">
        <f t="shared" si="2340"/>
        <v>25.71</v>
      </c>
      <c r="L5554">
        <f t="shared" si="2341"/>
        <v>24.07</v>
      </c>
      <c r="M5554">
        <f t="shared" si="2342"/>
        <v>1.6400000000000006</v>
      </c>
      <c r="N5554">
        <f t="shared" si="2331"/>
        <v>3.2800000000000011</v>
      </c>
      <c r="O5554">
        <f t="shared" si="2343"/>
        <v>24.46</v>
      </c>
      <c r="P5554">
        <f t="shared" si="2344"/>
        <v>0.23780487804878075</v>
      </c>
      <c r="Q5554" t="str">
        <f t="shared" si="2332"/>
        <v>8.3% | 5.11%</v>
      </c>
      <c r="R5554" t="str">
        <f t="shared" si="2345"/>
        <v>NEUTRAL</v>
      </c>
      <c r="S5554">
        <f t="shared" si="2333"/>
        <v>0</v>
      </c>
    </row>
    <row r="5555" spans="1:19" hidden="1" x14ac:dyDescent="0.25">
      <c r="A5555" s="5" t="str">
        <f t="shared" si="2334"/>
        <v>44146COPPER</v>
      </c>
      <c r="B5555" s="6" t="s">
        <v>100</v>
      </c>
      <c r="C5555" s="6">
        <v>3.03</v>
      </c>
      <c r="D5555" s="6">
        <v>3.19</v>
      </c>
      <c r="E5555" s="6">
        <v>3.16</v>
      </c>
      <c r="F5555" t="str">
        <f t="shared" si="2335"/>
        <v>WED</v>
      </c>
      <c r="G5555" s="3">
        <f t="shared" si="2336"/>
        <v>44146</v>
      </c>
      <c r="H5555" s="2">
        <f t="shared" ca="1" si="2337"/>
        <v>107</v>
      </c>
      <c r="I5555" t="str">
        <f t="shared" si="2338"/>
        <v>COPPER</v>
      </c>
      <c r="J5555">
        <f t="shared" si="2339"/>
        <v>3.03</v>
      </c>
      <c r="K5555">
        <f t="shared" si="2340"/>
        <v>3.19</v>
      </c>
      <c r="L5555">
        <f t="shared" si="2341"/>
        <v>3.11</v>
      </c>
      <c r="M5555">
        <f t="shared" si="2342"/>
        <v>8.0000000000000071E-2</v>
      </c>
      <c r="N5555">
        <f t="shared" si="2331"/>
        <v>0.16000000000000014</v>
      </c>
      <c r="O5555">
        <f t="shared" si="2343"/>
        <v>3.16</v>
      </c>
      <c r="P5555">
        <f t="shared" si="2344"/>
        <v>0.62500000000000278</v>
      </c>
      <c r="Q5555" t="str">
        <f t="shared" si="2332"/>
        <v>4.11% | 0.95%</v>
      </c>
      <c r="R5555" t="str">
        <f t="shared" si="2345"/>
        <v>BULLISH</v>
      </c>
      <c r="S5555">
        <f t="shared" si="2333"/>
        <v>1</v>
      </c>
    </row>
    <row r="5556" spans="1:19" hidden="1" x14ac:dyDescent="0.25">
      <c r="A5556" s="5" t="str">
        <f t="shared" si="2334"/>
        <v>44146MSFT</v>
      </c>
      <c r="B5556" s="6" t="s">
        <v>235</v>
      </c>
      <c r="C5556" s="6">
        <v>195</v>
      </c>
      <c r="D5556" s="6">
        <v>224</v>
      </c>
      <c r="E5556" s="6">
        <v>211</v>
      </c>
      <c r="F5556" t="str">
        <f t="shared" si="2335"/>
        <v>WED</v>
      </c>
      <c r="G5556" s="3">
        <f t="shared" si="2336"/>
        <v>44146</v>
      </c>
      <c r="H5556" s="2">
        <f t="shared" ca="1" si="2337"/>
        <v>107</v>
      </c>
      <c r="I5556" t="str">
        <f t="shared" si="2338"/>
        <v>MSFT</v>
      </c>
      <c r="J5556">
        <f t="shared" si="2339"/>
        <v>195</v>
      </c>
      <c r="K5556">
        <f t="shared" si="2340"/>
        <v>224</v>
      </c>
      <c r="L5556">
        <f t="shared" si="2341"/>
        <v>209.5</v>
      </c>
      <c r="M5556">
        <f t="shared" si="2342"/>
        <v>14.5</v>
      </c>
      <c r="N5556">
        <f t="shared" si="2331"/>
        <v>29</v>
      </c>
      <c r="O5556">
        <f t="shared" si="2343"/>
        <v>211</v>
      </c>
      <c r="P5556">
        <f t="shared" si="2344"/>
        <v>0.10344827586206896</v>
      </c>
      <c r="Q5556" t="str">
        <f t="shared" si="2332"/>
        <v>7.58% | 6.16%</v>
      </c>
      <c r="R5556" t="str">
        <f t="shared" si="2345"/>
        <v>NEUTRAL</v>
      </c>
      <c r="S5556">
        <f t="shared" si="2333"/>
        <v>0</v>
      </c>
    </row>
    <row r="5557" spans="1:19" hidden="1" x14ac:dyDescent="0.25">
      <c r="A5557" s="5" t="str">
        <f t="shared" si="2334"/>
        <v>44146AAPL</v>
      </c>
      <c r="B5557" s="6" t="s">
        <v>63</v>
      </c>
      <c r="C5557" s="6">
        <v>106</v>
      </c>
      <c r="D5557" s="6">
        <v>121</v>
      </c>
      <c r="E5557" s="6">
        <v>115</v>
      </c>
      <c r="F5557" t="str">
        <f t="shared" si="2335"/>
        <v>WED</v>
      </c>
      <c r="G5557" s="3">
        <f t="shared" si="2336"/>
        <v>44146</v>
      </c>
      <c r="H5557" s="2">
        <f t="shared" ca="1" si="2337"/>
        <v>107</v>
      </c>
      <c r="I5557" t="str">
        <f t="shared" si="2338"/>
        <v>AAPL</v>
      </c>
      <c r="J5557">
        <f t="shared" si="2339"/>
        <v>106</v>
      </c>
      <c r="K5557">
        <f t="shared" si="2340"/>
        <v>121</v>
      </c>
      <c r="L5557">
        <f t="shared" si="2341"/>
        <v>113.5</v>
      </c>
      <c r="M5557">
        <f t="shared" si="2342"/>
        <v>7.5</v>
      </c>
      <c r="N5557">
        <f t="shared" si="2331"/>
        <v>15</v>
      </c>
      <c r="O5557">
        <f t="shared" si="2343"/>
        <v>115</v>
      </c>
      <c r="P5557">
        <f t="shared" si="2344"/>
        <v>0.2</v>
      </c>
      <c r="Q5557" t="str">
        <f t="shared" si="2332"/>
        <v>7.83% | 5.22%</v>
      </c>
      <c r="R5557" t="str">
        <f t="shared" si="2345"/>
        <v>NEUTRAL</v>
      </c>
      <c r="S5557">
        <f t="shared" si="2333"/>
        <v>0</v>
      </c>
    </row>
    <row r="5558" spans="1:19" hidden="1" x14ac:dyDescent="0.25">
      <c r="A5558" s="5" t="str">
        <f t="shared" si="2334"/>
        <v>44146AMZN</v>
      </c>
      <c r="B5558" s="6" t="s">
        <v>73</v>
      </c>
      <c r="C5558" s="6">
        <v>2910</v>
      </c>
      <c r="D5558" s="6">
        <v>3196</v>
      </c>
      <c r="E5558" s="6">
        <v>3035</v>
      </c>
      <c r="F5558" t="str">
        <f t="shared" si="2335"/>
        <v>WED</v>
      </c>
      <c r="G5558" s="3">
        <f t="shared" si="2336"/>
        <v>44146</v>
      </c>
      <c r="H5558" s="2">
        <f t="shared" ca="1" si="2337"/>
        <v>107</v>
      </c>
      <c r="I5558" t="str">
        <f t="shared" si="2338"/>
        <v>AMZN</v>
      </c>
      <c r="J5558">
        <f t="shared" si="2339"/>
        <v>2910</v>
      </c>
      <c r="K5558">
        <f t="shared" si="2340"/>
        <v>3196</v>
      </c>
      <c r="L5558">
        <f t="shared" si="2341"/>
        <v>3053</v>
      </c>
      <c r="M5558">
        <f t="shared" si="2342"/>
        <v>143</v>
      </c>
      <c r="N5558">
        <f t="shared" si="2331"/>
        <v>286</v>
      </c>
      <c r="O5558">
        <f t="shared" si="2343"/>
        <v>3035</v>
      </c>
      <c r="P5558">
        <f t="shared" si="2344"/>
        <v>-0.12587412587412589</v>
      </c>
      <c r="Q5558" t="str">
        <f t="shared" si="2332"/>
        <v>4.12% | 5.3%</v>
      </c>
      <c r="R5558" t="str">
        <f t="shared" si="2345"/>
        <v>BEARISH</v>
      </c>
      <c r="S5558">
        <f t="shared" si="2333"/>
        <v>-1</v>
      </c>
    </row>
    <row r="5559" spans="1:19" hidden="1" x14ac:dyDescent="0.25">
      <c r="A5559" s="5" t="str">
        <f t="shared" si="2334"/>
        <v>44146FB</v>
      </c>
      <c r="B5559" s="6" t="s">
        <v>30</v>
      </c>
      <c r="C5559" s="6">
        <v>253</v>
      </c>
      <c r="D5559" s="6">
        <v>300</v>
      </c>
      <c r="E5559" s="6">
        <v>272</v>
      </c>
      <c r="F5559" t="str">
        <f t="shared" si="2335"/>
        <v>WED</v>
      </c>
      <c r="G5559" s="3">
        <f t="shared" si="2336"/>
        <v>44146</v>
      </c>
      <c r="H5559" s="2">
        <f t="shared" ca="1" si="2337"/>
        <v>107</v>
      </c>
      <c r="I5559" t="str">
        <f t="shared" si="2338"/>
        <v>FB</v>
      </c>
      <c r="J5559">
        <f t="shared" si="2339"/>
        <v>253</v>
      </c>
      <c r="K5559">
        <f t="shared" si="2340"/>
        <v>300</v>
      </c>
      <c r="L5559">
        <f t="shared" si="2341"/>
        <v>276.5</v>
      </c>
      <c r="M5559">
        <f t="shared" si="2342"/>
        <v>23.5</v>
      </c>
      <c r="N5559">
        <f t="shared" si="2331"/>
        <v>47</v>
      </c>
      <c r="O5559">
        <f t="shared" si="2343"/>
        <v>272</v>
      </c>
      <c r="P5559">
        <f t="shared" si="2344"/>
        <v>-0.19148936170212766</v>
      </c>
      <c r="Q5559" t="str">
        <f t="shared" si="2332"/>
        <v>6.99% | 10.29%</v>
      </c>
      <c r="R5559" t="str">
        <f t="shared" si="2345"/>
        <v>BULLISH</v>
      </c>
      <c r="S5559">
        <f t="shared" si="2333"/>
        <v>1</v>
      </c>
    </row>
    <row r="5560" spans="1:19" hidden="1" x14ac:dyDescent="0.25">
      <c r="A5560" s="5" t="str">
        <f t="shared" si="2334"/>
        <v>44146GOOGL</v>
      </c>
      <c r="B5560" s="6" t="s">
        <v>31</v>
      </c>
      <c r="C5560" s="6">
        <v>1620</v>
      </c>
      <c r="D5560" s="6">
        <v>1840</v>
      </c>
      <c r="E5560" s="6">
        <v>1737</v>
      </c>
      <c r="F5560" t="str">
        <f t="shared" si="2335"/>
        <v>WED</v>
      </c>
      <c r="G5560" s="3">
        <f t="shared" si="2336"/>
        <v>44146</v>
      </c>
      <c r="H5560" s="2">
        <f t="shared" ca="1" si="2337"/>
        <v>107</v>
      </c>
      <c r="I5560" t="str">
        <f t="shared" si="2338"/>
        <v>GOOGL</v>
      </c>
      <c r="J5560">
        <f t="shared" si="2339"/>
        <v>1620</v>
      </c>
      <c r="K5560">
        <f t="shared" si="2340"/>
        <v>1840</v>
      </c>
      <c r="L5560">
        <f t="shared" si="2341"/>
        <v>1730</v>
      </c>
      <c r="M5560">
        <f t="shared" si="2342"/>
        <v>110</v>
      </c>
      <c r="N5560">
        <f t="shared" si="2331"/>
        <v>220</v>
      </c>
      <c r="O5560">
        <f t="shared" si="2343"/>
        <v>1737</v>
      </c>
      <c r="P5560">
        <f t="shared" si="2344"/>
        <v>6.363636363636363E-2</v>
      </c>
      <c r="Q5560" t="str">
        <f t="shared" si="2332"/>
        <v>6.74% | 5.93%</v>
      </c>
      <c r="R5560" t="str">
        <f t="shared" si="2345"/>
        <v>BULLISH</v>
      </c>
      <c r="S5560">
        <f t="shared" si="2333"/>
        <v>1</v>
      </c>
    </row>
    <row r="5561" spans="1:19" hidden="1" x14ac:dyDescent="0.25">
      <c r="A5561" s="5" t="str">
        <f t="shared" si="2334"/>
        <v>44146NFLX</v>
      </c>
      <c r="B5561" s="6" t="s">
        <v>81</v>
      </c>
      <c r="C5561" s="6">
        <v>458</v>
      </c>
      <c r="D5561" s="6">
        <v>499</v>
      </c>
      <c r="E5561" s="6">
        <v>480</v>
      </c>
      <c r="F5561" t="str">
        <f t="shared" si="2335"/>
        <v>WED</v>
      </c>
      <c r="G5561" s="3">
        <f t="shared" si="2336"/>
        <v>44146</v>
      </c>
      <c r="H5561" s="2">
        <f t="shared" ca="1" si="2337"/>
        <v>107</v>
      </c>
      <c r="I5561" t="str">
        <f t="shared" si="2338"/>
        <v>NFLX</v>
      </c>
      <c r="J5561">
        <f t="shared" si="2339"/>
        <v>458</v>
      </c>
      <c r="K5561">
        <f t="shared" si="2340"/>
        <v>499</v>
      </c>
      <c r="L5561">
        <f t="shared" si="2341"/>
        <v>478.5</v>
      </c>
      <c r="M5561">
        <f t="shared" si="2342"/>
        <v>20.5</v>
      </c>
      <c r="N5561">
        <f t="shared" si="2331"/>
        <v>41</v>
      </c>
      <c r="O5561">
        <f t="shared" si="2343"/>
        <v>480</v>
      </c>
      <c r="P5561">
        <f t="shared" si="2344"/>
        <v>7.3170731707317069E-2</v>
      </c>
      <c r="Q5561" t="str">
        <f t="shared" si="2332"/>
        <v>4.58% | 3.96%</v>
      </c>
      <c r="R5561" t="str">
        <f t="shared" si="2345"/>
        <v>BEARISH</v>
      </c>
      <c r="S5561">
        <f t="shared" si="2333"/>
        <v>-1</v>
      </c>
    </row>
    <row r="5562" spans="1:19" x14ac:dyDescent="0.25">
      <c r="A5562" s="5" t="str">
        <f t="shared" si="2334"/>
        <v>44146TSLA</v>
      </c>
      <c r="B5562" s="6" t="s">
        <v>71</v>
      </c>
      <c r="C5562" s="6">
        <v>379</v>
      </c>
      <c r="D5562" s="6">
        <v>444</v>
      </c>
      <c r="E5562" s="6">
        <v>410</v>
      </c>
      <c r="F5562" t="str">
        <f t="shared" si="2335"/>
        <v>WED</v>
      </c>
      <c r="G5562" s="3">
        <f t="shared" si="2336"/>
        <v>44146</v>
      </c>
      <c r="H5562" s="2">
        <f t="shared" ca="1" si="2337"/>
        <v>107</v>
      </c>
      <c r="I5562" t="str">
        <f t="shared" si="2338"/>
        <v>TSLA</v>
      </c>
      <c r="J5562">
        <f t="shared" si="2339"/>
        <v>379</v>
      </c>
      <c r="K5562">
        <f t="shared" si="2340"/>
        <v>444</v>
      </c>
      <c r="L5562">
        <f t="shared" si="2341"/>
        <v>411.5</v>
      </c>
      <c r="M5562">
        <f t="shared" si="2342"/>
        <v>32.5</v>
      </c>
      <c r="N5562">
        <f t="shared" si="2331"/>
        <v>65</v>
      </c>
      <c r="O5562">
        <f t="shared" si="2343"/>
        <v>410</v>
      </c>
      <c r="P5562">
        <f t="shared" si="2344"/>
        <v>-4.6153846153846156E-2</v>
      </c>
      <c r="Q5562" t="str">
        <f t="shared" si="2332"/>
        <v>7.56% | 8.29%</v>
      </c>
      <c r="R5562" t="str">
        <f t="shared" si="2345"/>
        <v>NEUTRAL</v>
      </c>
      <c r="S5562">
        <f t="shared" si="2333"/>
        <v>0</v>
      </c>
    </row>
    <row r="5563" spans="1:19" hidden="1" x14ac:dyDescent="0.25">
      <c r="A5563" s="5" t="str">
        <f t="shared" si="2334"/>
        <v>44146NYXBT</v>
      </c>
      <c r="B5563" s="6" t="s">
        <v>60</v>
      </c>
      <c r="C5563" s="6">
        <v>13173</v>
      </c>
      <c r="D5563" s="6">
        <v>15898</v>
      </c>
      <c r="E5563" s="6">
        <v>15127</v>
      </c>
      <c r="F5563" t="str">
        <f t="shared" si="2335"/>
        <v>WED</v>
      </c>
      <c r="G5563" s="3">
        <f t="shared" si="2336"/>
        <v>44146</v>
      </c>
      <c r="H5563" s="2">
        <f t="shared" ca="1" si="2337"/>
        <v>107</v>
      </c>
      <c r="I5563" t="str">
        <f t="shared" si="2338"/>
        <v>NYXBT</v>
      </c>
      <c r="J5563">
        <f t="shared" si="2339"/>
        <v>13173</v>
      </c>
      <c r="K5563">
        <f t="shared" si="2340"/>
        <v>15898</v>
      </c>
      <c r="L5563">
        <f t="shared" si="2341"/>
        <v>14535.5</v>
      </c>
      <c r="M5563">
        <f t="shared" si="2342"/>
        <v>1362.5</v>
      </c>
      <c r="N5563">
        <f t="shared" si="2331"/>
        <v>2725</v>
      </c>
      <c r="O5563">
        <f t="shared" si="2343"/>
        <v>15127</v>
      </c>
      <c r="P5563">
        <f t="shared" si="2344"/>
        <v>0.43412844036697246</v>
      </c>
      <c r="Q5563" t="str">
        <f t="shared" si="2332"/>
        <v>12.92% | 5.1%</v>
      </c>
      <c r="R5563" t="str">
        <f t="shared" si="2345"/>
        <v>BULLISH</v>
      </c>
      <c r="S5563">
        <f t="shared" si="2333"/>
        <v>1</v>
      </c>
    </row>
    <row r="5564" spans="1:19" hidden="1" x14ac:dyDescent="0.25">
      <c r="A5564" s="5" t="str">
        <f t="shared" si="2334"/>
        <v>44147UST10Y</v>
      </c>
      <c r="B5564" s="6" t="s">
        <v>246</v>
      </c>
      <c r="C5564" s="6">
        <v>0.99</v>
      </c>
      <c r="D5564" s="6">
        <v>0.76</v>
      </c>
      <c r="E5564" s="6">
        <v>0.98</v>
      </c>
      <c r="F5564" t="str">
        <f t="shared" si="2335"/>
        <v>THU</v>
      </c>
      <c r="G5564" s="1">
        <f>DATE(2020,11,12)</f>
        <v>44147</v>
      </c>
      <c r="H5564" s="2">
        <f t="shared" ca="1" si="2337"/>
        <v>106</v>
      </c>
      <c r="I5564" t="str">
        <f t="shared" si="2338"/>
        <v>UST10Y</v>
      </c>
      <c r="J5564">
        <f t="shared" si="2339"/>
        <v>0.99</v>
      </c>
      <c r="K5564">
        <f t="shared" si="2340"/>
        <v>0.76</v>
      </c>
      <c r="L5564">
        <f t="shared" si="2341"/>
        <v>0.875</v>
      </c>
      <c r="M5564">
        <f t="shared" si="2342"/>
        <v>0.11500000000000019</v>
      </c>
      <c r="N5564">
        <f t="shared" si="2331"/>
        <v>0.22999999999999998</v>
      </c>
      <c r="O5564">
        <f t="shared" si="2343"/>
        <v>0.98</v>
      </c>
      <c r="P5564">
        <f t="shared" si="2344"/>
        <v>0.91304347826086796</v>
      </c>
      <c r="Q5564" t="str">
        <f t="shared" si="2332"/>
        <v>1.02% | 22.45%</v>
      </c>
      <c r="R5564" t="str">
        <f t="shared" si="2345"/>
        <v>NEUTRAL</v>
      </c>
      <c r="S5564">
        <f t="shared" si="2333"/>
        <v>0</v>
      </c>
    </row>
    <row r="5565" spans="1:19" hidden="1" x14ac:dyDescent="0.25">
      <c r="A5565" s="5" t="str">
        <f t="shared" si="2334"/>
        <v>44147UST2Y</v>
      </c>
      <c r="B5565" s="6" t="s">
        <v>5</v>
      </c>
      <c r="C5565" s="6">
        <v>0.19</v>
      </c>
      <c r="D5565" s="6">
        <v>0.13</v>
      </c>
      <c r="E5565" s="6">
        <v>0.19</v>
      </c>
      <c r="F5565" t="str">
        <f t="shared" ref="F5565:F5596" si="2346">UPPER(TEXT(G5565,"ddd"))</f>
        <v>THU</v>
      </c>
      <c r="G5565" s="1">
        <f t="shared" ref="G5565:G5595" si="2347">DATE(2020,11,12)</f>
        <v>44147</v>
      </c>
      <c r="H5565" s="2">
        <f t="shared" ref="H5565:H5596" ca="1" si="2348">TODAY()-G5565</f>
        <v>106</v>
      </c>
      <c r="I5565" t="str">
        <f t="shared" ref="I5565:I5596" si="2349">TRIM(LEFT(B5565,FIND(" ",B5565,1)))</f>
        <v>UST2Y</v>
      </c>
      <c r="J5565">
        <f t="shared" ref="J5565:J5596" si="2350">C5565</f>
        <v>0.19</v>
      </c>
      <c r="K5565">
        <f t="shared" ref="K5565:K5596" si="2351">D5565</f>
        <v>0.13</v>
      </c>
      <c r="L5565">
        <f t="shared" ref="L5565:L5596" si="2352">AVERAGE(J5565:K5565)</f>
        <v>0.16</v>
      </c>
      <c r="M5565">
        <f t="shared" ref="M5565:M5596" si="2353">_xlfn.STDEV.P(J5565:K5565)</f>
        <v>3.0000000000000023E-2</v>
      </c>
      <c r="N5565">
        <f t="shared" si="2331"/>
        <v>0.06</v>
      </c>
      <c r="O5565">
        <f t="shared" ref="O5565:O5596" si="2354">E5565</f>
        <v>0.19</v>
      </c>
      <c r="P5565">
        <f t="shared" ref="P5565:P5596" si="2355">(O5565-L5565)/M5565</f>
        <v>0.99999999999999922</v>
      </c>
      <c r="Q5565" t="str">
        <f t="shared" si="2332"/>
        <v>0% | 31.58%</v>
      </c>
      <c r="R5565" t="str">
        <f t="shared" ref="R5565:R5596" si="2356">MID(B5565,FIND("(",B5565,1)+1,FIND(")",B5565,1)-FIND("(",B5565,1)-1)</f>
        <v>BEARISH</v>
      </c>
      <c r="S5565">
        <f t="shared" si="2333"/>
        <v>-1</v>
      </c>
    </row>
    <row r="5566" spans="1:19" hidden="1" x14ac:dyDescent="0.25">
      <c r="A5566" s="5" t="str">
        <f t="shared" si="2334"/>
        <v>44147SPX</v>
      </c>
      <c r="B5566" s="6" t="s">
        <v>93</v>
      </c>
      <c r="C5566" s="6">
        <v>3357</v>
      </c>
      <c r="D5566" s="6">
        <v>3580</v>
      </c>
      <c r="E5566" s="6">
        <v>3572</v>
      </c>
      <c r="F5566" t="str">
        <f t="shared" si="2346"/>
        <v>THU</v>
      </c>
      <c r="G5566" s="1">
        <f t="shared" si="2347"/>
        <v>44147</v>
      </c>
      <c r="H5566" s="2">
        <f t="shared" ca="1" si="2348"/>
        <v>106</v>
      </c>
      <c r="I5566" t="str">
        <f t="shared" si="2349"/>
        <v>SPX</v>
      </c>
      <c r="J5566">
        <f t="shared" si="2350"/>
        <v>3357</v>
      </c>
      <c r="K5566">
        <f t="shared" si="2351"/>
        <v>3580</v>
      </c>
      <c r="L5566">
        <f t="shared" si="2352"/>
        <v>3468.5</v>
      </c>
      <c r="M5566">
        <f t="shared" si="2353"/>
        <v>111.5</v>
      </c>
      <c r="N5566">
        <f t="shared" si="2331"/>
        <v>223</v>
      </c>
      <c r="O5566">
        <f t="shared" si="2354"/>
        <v>3572</v>
      </c>
      <c r="P5566">
        <f t="shared" si="2355"/>
        <v>0.9282511210762332</v>
      </c>
      <c r="Q5566" t="str">
        <f t="shared" si="2332"/>
        <v>6.02% | 0.22%</v>
      </c>
      <c r="R5566" t="str">
        <f t="shared" si="2356"/>
        <v>BULLISH</v>
      </c>
      <c r="S5566">
        <f t="shared" si="2333"/>
        <v>1</v>
      </c>
    </row>
    <row r="5567" spans="1:19" hidden="1" x14ac:dyDescent="0.25">
      <c r="A5567" s="5" t="str">
        <f t="shared" si="2334"/>
        <v>44147RUT</v>
      </c>
      <c r="B5567" s="6" t="s">
        <v>247</v>
      </c>
      <c r="C5567" s="6">
        <v>1555</v>
      </c>
      <c r="D5567" s="6">
        <v>1747</v>
      </c>
      <c r="E5567" s="6">
        <v>1736</v>
      </c>
      <c r="F5567" t="str">
        <f t="shared" si="2346"/>
        <v>THU</v>
      </c>
      <c r="G5567" s="1">
        <f t="shared" si="2347"/>
        <v>44147</v>
      </c>
      <c r="H5567" s="2">
        <f t="shared" ca="1" si="2348"/>
        <v>106</v>
      </c>
      <c r="I5567" t="str">
        <f t="shared" si="2349"/>
        <v>RUT</v>
      </c>
      <c r="J5567">
        <f t="shared" si="2350"/>
        <v>1555</v>
      </c>
      <c r="K5567">
        <f t="shared" si="2351"/>
        <v>1747</v>
      </c>
      <c r="L5567">
        <f t="shared" si="2352"/>
        <v>1651</v>
      </c>
      <c r="M5567">
        <f t="shared" si="2353"/>
        <v>96</v>
      </c>
      <c r="N5567">
        <f t="shared" si="2331"/>
        <v>192</v>
      </c>
      <c r="O5567">
        <f t="shared" si="2354"/>
        <v>1736</v>
      </c>
      <c r="P5567">
        <f t="shared" si="2355"/>
        <v>0.88541666666666663</v>
      </c>
      <c r="Q5567" t="str">
        <f t="shared" si="2332"/>
        <v>10.43% | 0.63%</v>
      </c>
      <c r="R5567" t="str">
        <f t="shared" si="2356"/>
        <v>BULLISH</v>
      </c>
      <c r="S5567">
        <f t="shared" si="2333"/>
        <v>1</v>
      </c>
    </row>
    <row r="5568" spans="1:19" hidden="1" x14ac:dyDescent="0.25">
      <c r="A5568" s="5" t="str">
        <f t="shared" si="2334"/>
        <v>44147COMPQ</v>
      </c>
      <c r="B5568" s="6" t="s">
        <v>8</v>
      </c>
      <c r="C5568" s="6">
        <v>10765</v>
      </c>
      <c r="D5568" s="6">
        <v>12056</v>
      </c>
      <c r="E5568" s="6">
        <v>11786</v>
      </c>
      <c r="F5568" t="str">
        <f t="shared" si="2346"/>
        <v>THU</v>
      </c>
      <c r="G5568" s="1">
        <f t="shared" si="2347"/>
        <v>44147</v>
      </c>
      <c r="H5568" s="2">
        <f t="shared" ca="1" si="2348"/>
        <v>106</v>
      </c>
      <c r="I5568" t="str">
        <f t="shared" si="2349"/>
        <v>COMPQ</v>
      </c>
      <c r="J5568">
        <f t="shared" si="2350"/>
        <v>10765</v>
      </c>
      <c r="K5568">
        <f t="shared" si="2351"/>
        <v>12056</v>
      </c>
      <c r="L5568">
        <f t="shared" si="2352"/>
        <v>11410.5</v>
      </c>
      <c r="M5568">
        <f t="shared" si="2353"/>
        <v>645.5</v>
      </c>
      <c r="N5568">
        <f t="shared" si="2331"/>
        <v>1291</v>
      </c>
      <c r="O5568">
        <f t="shared" si="2354"/>
        <v>11786</v>
      </c>
      <c r="P5568">
        <f t="shared" si="2355"/>
        <v>0.58171959721146393</v>
      </c>
      <c r="Q5568" t="str">
        <f t="shared" si="2332"/>
        <v>8.66% | 2.29%</v>
      </c>
      <c r="R5568" t="str">
        <f t="shared" si="2356"/>
        <v>BULLISH</v>
      </c>
      <c r="S5568">
        <f t="shared" si="2333"/>
        <v>1</v>
      </c>
    </row>
    <row r="5569" spans="1:19" hidden="1" x14ac:dyDescent="0.25">
      <c r="A5569" s="5" t="str">
        <f t="shared" si="2334"/>
        <v>44147XLK</v>
      </c>
      <c r="B5569" s="6" t="s">
        <v>10</v>
      </c>
      <c r="C5569" s="6">
        <v>108.99</v>
      </c>
      <c r="D5569" s="6">
        <v>125.72</v>
      </c>
      <c r="E5569" s="6">
        <v>121.26</v>
      </c>
      <c r="F5569" t="str">
        <f t="shared" si="2346"/>
        <v>THU</v>
      </c>
      <c r="G5569" s="1">
        <f t="shared" si="2347"/>
        <v>44147</v>
      </c>
      <c r="H5569" s="2">
        <f t="shared" ca="1" si="2348"/>
        <v>106</v>
      </c>
      <c r="I5569" t="str">
        <f t="shared" si="2349"/>
        <v>XLK</v>
      </c>
      <c r="J5569">
        <f t="shared" si="2350"/>
        <v>108.99</v>
      </c>
      <c r="K5569">
        <f t="shared" si="2351"/>
        <v>125.72</v>
      </c>
      <c r="L5569">
        <f t="shared" si="2352"/>
        <v>117.35499999999999</v>
      </c>
      <c r="M5569">
        <f t="shared" si="2353"/>
        <v>8.365000000000002</v>
      </c>
      <c r="N5569">
        <f t="shared" si="2331"/>
        <v>16.730000000000004</v>
      </c>
      <c r="O5569">
        <f t="shared" si="2354"/>
        <v>121.26</v>
      </c>
      <c r="P5569">
        <f t="shared" si="2355"/>
        <v>0.46682606096832213</v>
      </c>
      <c r="Q5569" t="str">
        <f t="shared" si="2332"/>
        <v>10.12% | 3.68%</v>
      </c>
      <c r="R5569" t="str">
        <f t="shared" si="2356"/>
        <v>BULLISH</v>
      </c>
      <c r="S5569">
        <f t="shared" si="2333"/>
        <v>1</v>
      </c>
    </row>
    <row r="5570" spans="1:19" hidden="1" x14ac:dyDescent="0.25">
      <c r="A5570" s="5" t="str">
        <f t="shared" si="2334"/>
        <v>44147XLU</v>
      </c>
      <c r="B5570" s="6" t="s">
        <v>52</v>
      </c>
      <c r="C5570" s="6">
        <v>63.61</v>
      </c>
      <c r="D5570" s="6">
        <v>67.22</v>
      </c>
      <c r="E5570" s="6">
        <v>66.510000000000005</v>
      </c>
      <c r="F5570" t="str">
        <f t="shared" si="2346"/>
        <v>THU</v>
      </c>
      <c r="G5570" s="1">
        <f t="shared" si="2347"/>
        <v>44147</v>
      </c>
      <c r="H5570" s="2">
        <f t="shared" ca="1" si="2348"/>
        <v>106</v>
      </c>
      <c r="I5570" t="str">
        <f t="shared" si="2349"/>
        <v>XLU</v>
      </c>
      <c r="J5570">
        <f t="shared" si="2350"/>
        <v>63.61</v>
      </c>
      <c r="K5570">
        <f t="shared" si="2351"/>
        <v>67.22</v>
      </c>
      <c r="L5570">
        <f t="shared" si="2352"/>
        <v>65.414999999999992</v>
      </c>
      <c r="M5570">
        <f t="shared" si="2353"/>
        <v>1.8049999999999997</v>
      </c>
      <c r="N5570">
        <f t="shared" si="2331"/>
        <v>3.6099999999999994</v>
      </c>
      <c r="O5570">
        <f t="shared" si="2354"/>
        <v>66.510000000000005</v>
      </c>
      <c r="P5570">
        <f t="shared" si="2355"/>
        <v>0.60664819944599069</v>
      </c>
      <c r="Q5570" t="str">
        <f t="shared" si="2332"/>
        <v>4.36% | 1.07%</v>
      </c>
      <c r="R5570" t="str">
        <f t="shared" si="2356"/>
        <v>BULLISH</v>
      </c>
      <c r="S5570">
        <f t="shared" si="2333"/>
        <v>1</v>
      </c>
    </row>
    <row r="5571" spans="1:19" hidden="1" x14ac:dyDescent="0.25">
      <c r="A5571" s="5" t="str">
        <f t="shared" si="2334"/>
        <v>44147XLF</v>
      </c>
      <c r="B5571" s="6" t="s">
        <v>248</v>
      </c>
      <c r="C5571" s="6">
        <v>24.21</v>
      </c>
      <c r="D5571" s="6">
        <v>27.86</v>
      </c>
      <c r="E5571" s="6">
        <v>27.04</v>
      </c>
      <c r="F5571" t="str">
        <f t="shared" si="2346"/>
        <v>THU</v>
      </c>
      <c r="G5571" s="1">
        <f t="shared" si="2347"/>
        <v>44147</v>
      </c>
      <c r="H5571" s="2">
        <f t="shared" ca="1" si="2348"/>
        <v>106</v>
      </c>
      <c r="I5571" t="str">
        <f t="shared" si="2349"/>
        <v>XLF</v>
      </c>
      <c r="J5571">
        <f t="shared" si="2350"/>
        <v>24.21</v>
      </c>
      <c r="K5571">
        <f t="shared" si="2351"/>
        <v>27.86</v>
      </c>
      <c r="L5571">
        <f t="shared" si="2352"/>
        <v>26.035</v>
      </c>
      <c r="M5571">
        <f t="shared" si="2353"/>
        <v>1.8249999999999993</v>
      </c>
      <c r="N5571">
        <f t="shared" ref="N5571:N5634" si="2357">ABS(K5571-J5571)</f>
        <v>3.6499999999999986</v>
      </c>
      <c r="O5571">
        <f t="shared" si="2354"/>
        <v>27.04</v>
      </c>
      <c r="P5571">
        <f t="shared" si="2355"/>
        <v>0.55068493150684894</v>
      </c>
      <c r="Q5571" t="str">
        <f t="shared" ref="Q5571:Q5634" si="2358">ROUND(ABS(100*(O5571-J5571)/O5571),2)&amp;"% | "&amp;ROUND(ABS(100*(K5571-O5571)/O5571),2)&amp;"%"</f>
        <v>10.47% | 3.03%</v>
      </c>
      <c r="R5571" t="str">
        <f t="shared" si="2356"/>
        <v>NEUTRAL</v>
      </c>
      <c r="S5571">
        <f t="shared" ref="S5571:S5634" si="2359">IF(R5571="BEARISH",-1,IF(R5571="NEUTRAL",0,IF(R5571="BULLISH",1,99)))</f>
        <v>0</v>
      </c>
    </row>
    <row r="5572" spans="1:19" hidden="1" x14ac:dyDescent="0.25">
      <c r="A5572" s="5" t="str">
        <f t="shared" si="2334"/>
        <v>44147XLE</v>
      </c>
      <c r="B5572" s="6" t="s">
        <v>250</v>
      </c>
      <c r="C5572" s="6">
        <v>30.6</v>
      </c>
      <c r="D5572" s="6">
        <v>34.99</v>
      </c>
      <c r="E5572" s="6">
        <v>33.78</v>
      </c>
      <c r="F5572" t="str">
        <f t="shared" si="2346"/>
        <v>THU</v>
      </c>
      <c r="G5572" s="1">
        <f t="shared" si="2347"/>
        <v>44147</v>
      </c>
      <c r="H5572" s="2">
        <f t="shared" ca="1" si="2348"/>
        <v>106</v>
      </c>
      <c r="I5572" t="str">
        <f t="shared" si="2349"/>
        <v>XLE</v>
      </c>
      <c r="J5572">
        <f t="shared" si="2350"/>
        <v>30.6</v>
      </c>
      <c r="K5572">
        <f t="shared" si="2351"/>
        <v>34.99</v>
      </c>
      <c r="L5572">
        <f t="shared" si="2352"/>
        <v>32.795000000000002</v>
      </c>
      <c r="M5572">
        <f t="shared" si="2353"/>
        <v>2.1950000000000003</v>
      </c>
      <c r="N5572">
        <f t="shared" si="2357"/>
        <v>4.3900000000000006</v>
      </c>
      <c r="O5572">
        <f t="shared" si="2354"/>
        <v>33.78</v>
      </c>
      <c r="P5572">
        <f t="shared" si="2355"/>
        <v>0.44874715261958964</v>
      </c>
      <c r="Q5572" t="str">
        <f t="shared" si="2358"/>
        <v>9.41% | 3.58%</v>
      </c>
      <c r="R5572" t="str">
        <f t="shared" si="2356"/>
        <v>BULLISH</v>
      </c>
      <c r="S5572">
        <f t="shared" si="2359"/>
        <v>1</v>
      </c>
    </row>
    <row r="5573" spans="1:19" hidden="1" x14ac:dyDescent="0.25">
      <c r="A5573" s="5" t="str">
        <f t="shared" si="2334"/>
        <v>44147SSEC</v>
      </c>
      <c r="B5573" s="6" t="s">
        <v>104</v>
      </c>
      <c r="C5573" s="6">
        <v>3187</v>
      </c>
      <c r="D5573" s="6">
        <v>3405</v>
      </c>
      <c r="E5573" s="6">
        <v>3338</v>
      </c>
      <c r="F5573" t="str">
        <f t="shared" si="2346"/>
        <v>THU</v>
      </c>
      <c r="G5573" s="1">
        <f t="shared" si="2347"/>
        <v>44147</v>
      </c>
      <c r="H5573" s="2">
        <f t="shared" ca="1" si="2348"/>
        <v>106</v>
      </c>
      <c r="I5573" t="str">
        <f t="shared" si="2349"/>
        <v>SSEC</v>
      </c>
      <c r="J5573">
        <f t="shared" si="2350"/>
        <v>3187</v>
      </c>
      <c r="K5573">
        <f t="shared" si="2351"/>
        <v>3405</v>
      </c>
      <c r="L5573">
        <f t="shared" si="2352"/>
        <v>3296</v>
      </c>
      <c r="M5573">
        <f t="shared" si="2353"/>
        <v>109</v>
      </c>
      <c r="N5573">
        <f t="shared" si="2357"/>
        <v>218</v>
      </c>
      <c r="O5573">
        <f t="shared" si="2354"/>
        <v>3338</v>
      </c>
      <c r="P5573">
        <f t="shared" si="2355"/>
        <v>0.38532110091743121</v>
      </c>
      <c r="Q5573" t="str">
        <f t="shared" si="2358"/>
        <v>4.52% | 2.01%</v>
      </c>
      <c r="R5573" t="str">
        <f t="shared" si="2356"/>
        <v>BULLISH</v>
      </c>
      <c r="S5573">
        <f t="shared" si="2359"/>
        <v>1</v>
      </c>
    </row>
    <row r="5574" spans="1:19" hidden="1" x14ac:dyDescent="0.25">
      <c r="A5574" s="5" t="str">
        <f t="shared" si="2334"/>
        <v>44147NIKK</v>
      </c>
      <c r="B5574" s="6" t="s">
        <v>91</v>
      </c>
      <c r="C5574" s="6">
        <v>24011</v>
      </c>
      <c r="D5574" s="6">
        <v>25660</v>
      </c>
      <c r="E5574" s="6">
        <v>25520</v>
      </c>
      <c r="F5574" t="str">
        <f t="shared" si="2346"/>
        <v>THU</v>
      </c>
      <c r="G5574" s="1">
        <f t="shared" si="2347"/>
        <v>44147</v>
      </c>
      <c r="H5574" s="2">
        <f t="shared" ca="1" si="2348"/>
        <v>106</v>
      </c>
      <c r="I5574" t="str">
        <f t="shared" si="2349"/>
        <v>NIKK</v>
      </c>
      <c r="J5574">
        <f t="shared" si="2350"/>
        <v>24011</v>
      </c>
      <c r="K5574">
        <f t="shared" si="2351"/>
        <v>25660</v>
      </c>
      <c r="L5574">
        <f t="shared" si="2352"/>
        <v>24835.5</v>
      </c>
      <c r="M5574">
        <f t="shared" si="2353"/>
        <v>824.5</v>
      </c>
      <c r="N5574">
        <f t="shared" si="2357"/>
        <v>1649</v>
      </c>
      <c r="O5574">
        <f t="shared" si="2354"/>
        <v>25520</v>
      </c>
      <c r="P5574">
        <f t="shared" si="2355"/>
        <v>0.8302001212856277</v>
      </c>
      <c r="Q5574" t="str">
        <f t="shared" si="2358"/>
        <v>5.91% | 0.55%</v>
      </c>
      <c r="R5574" t="str">
        <f t="shared" si="2356"/>
        <v>BULLISH</v>
      </c>
      <c r="S5574">
        <f t="shared" si="2359"/>
        <v>1</v>
      </c>
    </row>
    <row r="5575" spans="1:19" hidden="1" x14ac:dyDescent="0.25">
      <c r="A5575" s="5" t="str">
        <f t="shared" ref="A5575:A5638" si="2360">G5575&amp;I5575</f>
        <v>44147DAX</v>
      </c>
      <c r="B5575" s="6" t="s">
        <v>16</v>
      </c>
      <c r="C5575" s="6">
        <v>11600</v>
      </c>
      <c r="D5575" s="6">
        <v>13316</v>
      </c>
      <c r="E5575" s="6">
        <v>13216</v>
      </c>
      <c r="F5575" t="str">
        <f t="shared" si="2346"/>
        <v>THU</v>
      </c>
      <c r="G5575" s="1">
        <f t="shared" si="2347"/>
        <v>44147</v>
      </c>
      <c r="H5575" s="2">
        <f t="shared" ca="1" si="2348"/>
        <v>106</v>
      </c>
      <c r="I5575" t="str">
        <f t="shared" si="2349"/>
        <v>DAX</v>
      </c>
      <c r="J5575">
        <f t="shared" si="2350"/>
        <v>11600</v>
      </c>
      <c r="K5575">
        <f t="shared" si="2351"/>
        <v>13316</v>
      </c>
      <c r="L5575">
        <f t="shared" si="2352"/>
        <v>12458</v>
      </c>
      <c r="M5575">
        <f t="shared" si="2353"/>
        <v>858</v>
      </c>
      <c r="N5575">
        <f t="shared" si="2357"/>
        <v>1716</v>
      </c>
      <c r="O5575">
        <f t="shared" si="2354"/>
        <v>13216</v>
      </c>
      <c r="P5575">
        <f t="shared" si="2355"/>
        <v>0.8834498834498834</v>
      </c>
      <c r="Q5575" t="str">
        <f t="shared" si="2358"/>
        <v>12.23% | 0.76%</v>
      </c>
      <c r="R5575" t="str">
        <f t="shared" si="2356"/>
        <v>BEARISH</v>
      </c>
      <c r="S5575">
        <f t="shared" si="2359"/>
        <v>-1</v>
      </c>
    </row>
    <row r="5576" spans="1:19" hidden="1" x14ac:dyDescent="0.25">
      <c r="A5576" s="5" t="str">
        <f t="shared" si="2360"/>
        <v>44147VIX</v>
      </c>
      <c r="B5576" s="6" t="s">
        <v>96</v>
      </c>
      <c r="C5576" s="6">
        <v>22.68</v>
      </c>
      <c r="D5576" s="6">
        <v>39.49</v>
      </c>
      <c r="E5576" s="6">
        <v>23.45</v>
      </c>
      <c r="F5576" t="str">
        <f t="shared" si="2346"/>
        <v>THU</v>
      </c>
      <c r="G5576" s="1">
        <f t="shared" si="2347"/>
        <v>44147</v>
      </c>
      <c r="H5576" s="2">
        <f t="shared" ca="1" si="2348"/>
        <v>106</v>
      </c>
      <c r="I5576" t="str">
        <f t="shared" si="2349"/>
        <v>VIX</v>
      </c>
      <c r="J5576">
        <f t="shared" si="2350"/>
        <v>22.68</v>
      </c>
      <c r="K5576">
        <f t="shared" si="2351"/>
        <v>39.49</v>
      </c>
      <c r="L5576">
        <f t="shared" si="2352"/>
        <v>31.085000000000001</v>
      </c>
      <c r="M5576">
        <f t="shared" si="2353"/>
        <v>8.4050000000000029</v>
      </c>
      <c r="N5576">
        <f t="shared" si="2357"/>
        <v>16.810000000000002</v>
      </c>
      <c r="O5576">
        <f t="shared" si="2354"/>
        <v>23.45</v>
      </c>
      <c r="P5576">
        <f t="shared" si="2355"/>
        <v>-0.90838786436644836</v>
      </c>
      <c r="Q5576" t="str">
        <f t="shared" si="2358"/>
        <v>3.28% | 68.4%</v>
      </c>
      <c r="R5576" t="str">
        <f t="shared" si="2356"/>
        <v>BEARISH</v>
      </c>
      <c r="S5576">
        <f t="shared" si="2359"/>
        <v>-1</v>
      </c>
    </row>
    <row r="5577" spans="1:19" hidden="1" x14ac:dyDescent="0.25">
      <c r="A5577" s="5" t="str">
        <f t="shared" si="2360"/>
        <v>44147USD</v>
      </c>
      <c r="B5577" s="6" t="s">
        <v>94</v>
      </c>
      <c r="C5577" s="6">
        <v>91.78</v>
      </c>
      <c r="D5577" s="6">
        <v>93.25</v>
      </c>
      <c r="E5577" s="6">
        <v>93.02</v>
      </c>
      <c r="F5577" t="str">
        <f t="shared" si="2346"/>
        <v>THU</v>
      </c>
      <c r="G5577" s="1">
        <f t="shared" si="2347"/>
        <v>44147</v>
      </c>
      <c r="H5577" s="2">
        <f t="shared" ca="1" si="2348"/>
        <v>106</v>
      </c>
      <c r="I5577" t="str">
        <f t="shared" si="2349"/>
        <v>USD</v>
      </c>
      <c r="J5577">
        <f t="shared" si="2350"/>
        <v>91.78</v>
      </c>
      <c r="K5577">
        <f t="shared" si="2351"/>
        <v>93.25</v>
      </c>
      <c r="L5577">
        <f t="shared" si="2352"/>
        <v>92.515000000000001</v>
      </c>
      <c r="M5577">
        <f t="shared" si="2353"/>
        <v>0.73499999999999943</v>
      </c>
      <c r="N5577">
        <f t="shared" si="2357"/>
        <v>1.4699999999999989</v>
      </c>
      <c r="O5577">
        <f t="shared" si="2354"/>
        <v>93.02</v>
      </c>
      <c r="P5577">
        <f t="shared" si="2355"/>
        <v>0.68707482993196711</v>
      </c>
      <c r="Q5577" t="str">
        <f t="shared" si="2358"/>
        <v>1.33% | 0.25%</v>
      </c>
      <c r="R5577" t="str">
        <f t="shared" si="2356"/>
        <v>BEARISH</v>
      </c>
      <c r="S5577">
        <f t="shared" si="2359"/>
        <v>-1</v>
      </c>
    </row>
    <row r="5578" spans="1:19" hidden="1" x14ac:dyDescent="0.25">
      <c r="A5578" s="5" t="str">
        <f t="shared" si="2360"/>
        <v>44147EUR/USD</v>
      </c>
      <c r="B5578" s="6" t="s">
        <v>99</v>
      </c>
      <c r="C5578" s="6">
        <v>1.161</v>
      </c>
      <c r="D5578" s="6">
        <v>1.1910000000000001</v>
      </c>
      <c r="E5578" s="6">
        <v>1.1779999999999999</v>
      </c>
      <c r="F5578" t="str">
        <f t="shared" si="2346"/>
        <v>THU</v>
      </c>
      <c r="G5578" s="1">
        <f t="shared" si="2347"/>
        <v>44147</v>
      </c>
      <c r="H5578" s="2">
        <f t="shared" ca="1" si="2348"/>
        <v>106</v>
      </c>
      <c r="I5578" t="str">
        <f t="shared" si="2349"/>
        <v>EUR/USD</v>
      </c>
      <c r="J5578">
        <f t="shared" si="2350"/>
        <v>1.161</v>
      </c>
      <c r="K5578">
        <f t="shared" si="2351"/>
        <v>1.1910000000000001</v>
      </c>
      <c r="L5578">
        <f t="shared" si="2352"/>
        <v>1.1760000000000002</v>
      </c>
      <c r="M5578">
        <f t="shared" si="2353"/>
        <v>1.5000000000000013E-2</v>
      </c>
      <c r="N5578">
        <f t="shared" si="2357"/>
        <v>3.0000000000000027E-2</v>
      </c>
      <c r="O5578">
        <f t="shared" si="2354"/>
        <v>1.1779999999999999</v>
      </c>
      <c r="P5578">
        <f t="shared" si="2355"/>
        <v>0.13333333333331854</v>
      </c>
      <c r="Q5578" t="str">
        <f t="shared" si="2358"/>
        <v>1.44% | 1.1%</v>
      </c>
      <c r="R5578" t="str">
        <f t="shared" si="2356"/>
        <v>BULLISH</v>
      </c>
      <c r="S5578">
        <f t="shared" si="2359"/>
        <v>1</v>
      </c>
    </row>
    <row r="5579" spans="1:19" hidden="1" x14ac:dyDescent="0.25">
      <c r="A5579" s="5" t="str">
        <f t="shared" si="2360"/>
        <v>44147USD/JPY</v>
      </c>
      <c r="B5579" s="6" t="s">
        <v>20</v>
      </c>
      <c r="C5579" s="6">
        <v>103.19</v>
      </c>
      <c r="D5579" s="6">
        <v>106.14</v>
      </c>
      <c r="E5579" s="6">
        <v>105.42</v>
      </c>
      <c r="F5579" t="str">
        <f t="shared" si="2346"/>
        <v>THU</v>
      </c>
      <c r="G5579" s="1">
        <f t="shared" si="2347"/>
        <v>44147</v>
      </c>
      <c r="H5579" s="2">
        <f t="shared" ca="1" si="2348"/>
        <v>106</v>
      </c>
      <c r="I5579" t="str">
        <f t="shared" si="2349"/>
        <v>USD/JPY</v>
      </c>
      <c r="J5579">
        <f t="shared" si="2350"/>
        <v>103.19</v>
      </c>
      <c r="K5579">
        <f t="shared" si="2351"/>
        <v>106.14</v>
      </c>
      <c r="L5579">
        <f t="shared" si="2352"/>
        <v>104.66499999999999</v>
      </c>
      <c r="M5579">
        <f t="shared" si="2353"/>
        <v>1.4750000000000014</v>
      </c>
      <c r="N5579">
        <f t="shared" si="2357"/>
        <v>2.9500000000000028</v>
      </c>
      <c r="O5579">
        <f t="shared" si="2354"/>
        <v>105.42</v>
      </c>
      <c r="P5579">
        <f t="shared" si="2355"/>
        <v>0.51186440677966705</v>
      </c>
      <c r="Q5579" t="str">
        <f t="shared" si="2358"/>
        <v>2.12% | 0.68%</v>
      </c>
      <c r="R5579" t="str">
        <f t="shared" si="2356"/>
        <v>BEARISH</v>
      </c>
      <c r="S5579">
        <f t="shared" si="2359"/>
        <v>-1</v>
      </c>
    </row>
    <row r="5580" spans="1:19" hidden="1" x14ac:dyDescent="0.25">
      <c r="A5580" s="5" t="str">
        <f t="shared" si="2360"/>
        <v>44147GBP/USD</v>
      </c>
      <c r="B5580" s="6" t="s">
        <v>102</v>
      </c>
      <c r="C5580" s="6">
        <v>1.29</v>
      </c>
      <c r="D5580" s="6">
        <v>1.331</v>
      </c>
      <c r="E5580" s="6">
        <v>1.3220000000000001</v>
      </c>
      <c r="F5580" t="str">
        <f t="shared" si="2346"/>
        <v>THU</v>
      </c>
      <c r="G5580" s="1">
        <f t="shared" si="2347"/>
        <v>44147</v>
      </c>
      <c r="H5580" s="2">
        <f t="shared" ca="1" si="2348"/>
        <v>106</v>
      </c>
      <c r="I5580" t="str">
        <f t="shared" si="2349"/>
        <v>GBP/USD</v>
      </c>
      <c r="J5580">
        <f t="shared" si="2350"/>
        <v>1.29</v>
      </c>
      <c r="K5580">
        <f t="shared" si="2351"/>
        <v>1.331</v>
      </c>
      <c r="L5580">
        <f t="shared" si="2352"/>
        <v>1.3105</v>
      </c>
      <c r="M5580">
        <f t="shared" si="2353"/>
        <v>2.0499999999999963E-2</v>
      </c>
      <c r="N5580">
        <f t="shared" si="2357"/>
        <v>4.0999999999999925E-2</v>
      </c>
      <c r="O5580">
        <f t="shared" si="2354"/>
        <v>1.3220000000000001</v>
      </c>
      <c r="P5580">
        <f t="shared" si="2355"/>
        <v>0.56097560975610183</v>
      </c>
      <c r="Q5580" t="str">
        <f t="shared" si="2358"/>
        <v>2.42% | 0.68%</v>
      </c>
      <c r="R5580" t="str">
        <f t="shared" si="2356"/>
        <v>BULLISH</v>
      </c>
      <c r="S5580">
        <f t="shared" si="2359"/>
        <v>1</v>
      </c>
    </row>
    <row r="5581" spans="1:19" hidden="1" x14ac:dyDescent="0.25">
      <c r="A5581" s="5" t="str">
        <f t="shared" si="2360"/>
        <v>44147CAD/USD</v>
      </c>
      <c r="B5581" s="6" t="s">
        <v>244</v>
      </c>
      <c r="C5581" s="6">
        <v>0.75</v>
      </c>
      <c r="D5581" s="6">
        <v>0.77</v>
      </c>
      <c r="E5581" s="6">
        <v>0.76</v>
      </c>
      <c r="F5581" t="str">
        <f t="shared" si="2346"/>
        <v>THU</v>
      </c>
      <c r="G5581" s="1">
        <f t="shared" si="2347"/>
        <v>44147</v>
      </c>
      <c r="H5581" s="2">
        <f t="shared" ca="1" si="2348"/>
        <v>106</v>
      </c>
      <c r="I5581" t="str">
        <f t="shared" si="2349"/>
        <v>CAD/USD</v>
      </c>
      <c r="J5581">
        <f t="shared" si="2350"/>
        <v>0.75</v>
      </c>
      <c r="K5581">
        <f t="shared" si="2351"/>
        <v>0.77</v>
      </c>
      <c r="L5581">
        <f t="shared" si="2352"/>
        <v>0.76</v>
      </c>
      <c r="M5581">
        <f t="shared" si="2353"/>
        <v>1.0000000000000009E-2</v>
      </c>
      <c r="N5581">
        <f t="shared" si="2357"/>
        <v>2.0000000000000018E-2</v>
      </c>
      <c r="O5581">
        <f t="shared" si="2354"/>
        <v>0.76</v>
      </c>
      <c r="P5581">
        <f t="shared" si="2355"/>
        <v>0</v>
      </c>
      <c r="Q5581" t="str">
        <f t="shared" si="2358"/>
        <v>1.32% | 1.32%</v>
      </c>
      <c r="R5581" t="str">
        <f t="shared" si="2356"/>
        <v>BULLISH</v>
      </c>
      <c r="S5581">
        <f t="shared" si="2359"/>
        <v>1</v>
      </c>
    </row>
    <row r="5582" spans="1:19" hidden="1" x14ac:dyDescent="0.25">
      <c r="A5582" s="5" t="str">
        <f t="shared" si="2360"/>
        <v>44147USD/CHF</v>
      </c>
      <c r="B5582" s="6" t="s">
        <v>76</v>
      </c>
      <c r="C5582" s="6">
        <v>0.9</v>
      </c>
      <c r="D5582" s="6">
        <v>0.92</v>
      </c>
      <c r="E5582" s="6">
        <v>0.91</v>
      </c>
      <c r="F5582" t="str">
        <f t="shared" si="2346"/>
        <v>THU</v>
      </c>
      <c r="G5582" s="1">
        <f t="shared" si="2347"/>
        <v>44147</v>
      </c>
      <c r="H5582" s="2">
        <f t="shared" ca="1" si="2348"/>
        <v>106</v>
      </c>
      <c r="I5582" t="str">
        <f t="shared" si="2349"/>
        <v>USD/CHF</v>
      </c>
      <c r="J5582">
        <f t="shared" si="2350"/>
        <v>0.9</v>
      </c>
      <c r="K5582">
        <f t="shared" si="2351"/>
        <v>0.92</v>
      </c>
      <c r="L5582">
        <f t="shared" si="2352"/>
        <v>0.91</v>
      </c>
      <c r="M5582">
        <f t="shared" si="2353"/>
        <v>1.0000000000000009E-2</v>
      </c>
      <c r="N5582">
        <f t="shared" si="2357"/>
        <v>2.0000000000000018E-2</v>
      </c>
      <c r="O5582">
        <f t="shared" si="2354"/>
        <v>0.91</v>
      </c>
      <c r="P5582">
        <f t="shared" si="2355"/>
        <v>0</v>
      </c>
      <c r="Q5582" t="str">
        <f t="shared" si="2358"/>
        <v>1.1% | 1.1%</v>
      </c>
      <c r="R5582" t="str">
        <f t="shared" si="2356"/>
        <v>BEARISH</v>
      </c>
      <c r="S5582">
        <f t="shared" si="2359"/>
        <v>-1</v>
      </c>
    </row>
    <row r="5583" spans="1:19" hidden="1" x14ac:dyDescent="0.25">
      <c r="A5583" s="5" t="str">
        <f t="shared" si="2360"/>
        <v>44147WTIC</v>
      </c>
      <c r="B5583" s="6" t="s">
        <v>158</v>
      </c>
      <c r="C5583" s="6">
        <v>38.619999999999997</v>
      </c>
      <c r="D5583" s="6">
        <v>42.64</v>
      </c>
      <c r="E5583" s="6">
        <v>41.45</v>
      </c>
      <c r="F5583" t="str">
        <f t="shared" si="2346"/>
        <v>THU</v>
      </c>
      <c r="G5583" s="1">
        <f t="shared" si="2347"/>
        <v>44147</v>
      </c>
      <c r="H5583" s="2">
        <f t="shared" ca="1" si="2348"/>
        <v>106</v>
      </c>
      <c r="I5583" t="str">
        <f t="shared" si="2349"/>
        <v>WTIC</v>
      </c>
      <c r="J5583">
        <f t="shared" si="2350"/>
        <v>38.619999999999997</v>
      </c>
      <c r="K5583">
        <f t="shared" si="2351"/>
        <v>42.64</v>
      </c>
      <c r="L5583">
        <f t="shared" si="2352"/>
        <v>40.629999999999995</v>
      </c>
      <c r="M5583">
        <f t="shared" si="2353"/>
        <v>2.0100000000000016</v>
      </c>
      <c r="N5583">
        <f t="shared" si="2357"/>
        <v>4.0200000000000031</v>
      </c>
      <c r="O5583">
        <f t="shared" si="2354"/>
        <v>41.45</v>
      </c>
      <c r="P5583">
        <f t="shared" si="2355"/>
        <v>0.40796019900497849</v>
      </c>
      <c r="Q5583" t="str">
        <f t="shared" si="2358"/>
        <v>6.83% | 2.87%</v>
      </c>
      <c r="R5583" t="str">
        <f t="shared" si="2356"/>
        <v>BULLISH</v>
      </c>
      <c r="S5583">
        <f t="shared" si="2359"/>
        <v>1</v>
      </c>
    </row>
    <row r="5584" spans="1:19" hidden="1" x14ac:dyDescent="0.25">
      <c r="A5584" s="5" t="str">
        <f t="shared" si="2360"/>
        <v>44147NATGAS</v>
      </c>
      <c r="B5584" s="6" t="s">
        <v>89</v>
      </c>
      <c r="C5584" s="6">
        <v>2.71</v>
      </c>
      <c r="D5584" s="6">
        <v>3.39</v>
      </c>
      <c r="E5584" s="6">
        <v>3.03</v>
      </c>
      <c r="F5584" t="str">
        <f t="shared" si="2346"/>
        <v>THU</v>
      </c>
      <c r="G5584" s="1">
        <f t="shared" si="2347"/>
        <v>44147</v>
      </c>
      <c r="H5584" s="2">
        <f t="shared" ca="1" si="2348"/>
        <v>106</v>
      </c>
      <c r="I5584" t="str">
        <f t="shared" si="2349"/>
        <v>NATGAS</v>
      </c>
      <c r="J5584">
        <f t="shared" si="2350"/>
        <v>2.71</v>
      </c>
      <c r="K5584">
        <f t="shared" si="2351"/>
        <v>3.39</v>
      </c>
      <c r="L5584">
        <f t="shared" si="2352"/>
        <v>3.05</v>
      </c>
      <c r="M5584">
        <f t="shared" si="2353"/>
        <v>0.34000000000000347</v>
      </c>
      <c r="N5584">
        <f t="shared" si="2357"/>
        <v>0.68000000000000016</v>
      </c>
      <c r="O5584">
        <f t="shared" si="2354"/>
        <v>3.03</v>
      </c>
      <c r="P5584">
        <f t="shared" si="2355"/>
        <v>-5.8823529411764157E-2</v>
      </c>
      <c r="Q5584" t="str">
        <f t="shared" si="2358"/>
        <v>10.56% | 11.88%</v>
      </c>
      <c r="R5584" t="str">
        <f t="shared" si="2356"/>
        <v>BULLISH</v>
      </c>
      <c r="S5584">
        <f t="shared" si="2359"/>
        <v>1</v>
      </c>
    </row>
    <row r="5585" spans="1:19" hidden="1" x14ac:dyDescent="0.25">
      <c r="A5585" s="5" t="str">
        <f t="shared" si="2360"/>
        <v>44147GOLD</v>
      </c>
      <c r="B5585" s="6" t="s">
        <v>249</v>
      </c>
      <c r="C5585" s="6">
        <v>1830</v>
      </c>
      <c r="D5585" s="6">
        <v>1962</v>
      </c>
      <c r="E5585" s="6">
        <v>1861</v>
      </c>
      <c r="F5585" t="str">
        <f t="shared" si="2346"/>
        <v>THU</v>
      </c>
      <c r="G5585" s="1">
        <f t="shared" si="2347"/>
        <v>44147</v>
      </c>
      <c r="H5585" s="2">
        <f t="shared" ca="1" si="2348"/>
        <v>106</v>
      </c>
      <c r="I5585" t="str">
        <f t="shared" si="2349"/>
        <v>GOLD</v>
      </c>
      <c r="J5585">
        <f t="shared" si="2350"/>
        <v>1830</v>
      </c>
      <c r="K5585">
        <f t="shared" si="2351"/>
        <v>1962</v>
      </c>
      <c r="L5585">
        <f t="shared" si="2352"/>
        <v>1896</v>
      </c>
      <c r="M5585">
        <f t="shared" si="2353"/>
        <v>66</v>
      </c>
      <c r="N5585">
        <f t="shared" si="2357"/>
        <v>132</v>
      </c>
      <c r="O5585">
        <f t="shared" si="2354"/>
        <v>1861</v>
      </c>
      <c r="P5585">
        <f t="shared" si="2355"/>
        <v>-0.53030303030303028</v>
      </c>
      <c r="Q5585" t="str">
        <f t="shared" si="2358"/>
        <v>1.67% | 5.43%</v>
      </c>
      <c r="R5585" t="str">
        <f t="shared" si="2356"/>
        <v>NEUTRAL</v>
      </c>
      <c r="S5585">
        <f t="shared" si="2359"/>
        <v>0</v>
      </c>
    </row>
    <row r="5586" spans="1:19" hidden="1" x14ac:dyDescent="0.25">
      <c r="A5586" s="5" t="str">
        <f t="shared" si="2360"/>
        <v>44147SILVER</v>
      </c>
      <c r="B5586" s="6" t="s">
        <v>241</v>
      </c>
      <c r="C5586" s="6">
        <v>22.4</v>
      </c>
      <c r="D5586" s="6">
        <v>25.7</v>
      </c>
      <c r="E5586" s="6">
        <v>24.27</v>
      </c>
      <c r="F5586" t="str">
        <f t="shared" si="2346"/>
        <v>THU</v>
      </c>
      <c r="G5586" s="1">
        <f t="shared" si="2347"/>
        <v>44147</v>
      </c>
      <c r="H5586" s="2">
        <f t="shared" ca="1" si="2348"/>
        <v>106</v>
      </c>
      <c r="I5586" t="str">
        <f t="shared" si="2349"/>
        <v>SILVER</v>
      </c>
      <c r="J5586">
        <f t="shared" si="2350"/>
        <v>22.4</v>
      </c>
      <c r="K5586">
        <f t="shared" si="2351"/>
        <v>25.7</v>
      </c>
      <c r="L5586">
        <f t="shared" si="2352"/>
        <v>24.049999999999997</v>
      </c>
      <c r="M5586">
        <f t="shared" si="2353"/>
        <v>1.6500000000000004</v>
      </c>
      <c r="N5586">
        <f t="shared" si="2357"/>
        <v>3.3000000000000007</v>
      </c>
      <c r="O5586">
        <f t="shared" si="2354"/>
        <v>24.27</v>
      </c>
      <c r="P5586">
        <f t="shared" si="2355"/>
        <v>0.13333333333333477</v>
      </c>
      <c r="Q5586" t="str">
        <f t="shared" si="2358"/>
        <v>7.7% | 5.89%</v>
      </c>
      <c r="R5586" t="str">
        <f t="shared" si="2356"/>
        <v>NEUTRAL</v>
      </c>
      <c r="S5586">
        <f t="shared" si="2359"/>
        <v>0</v>
      </c>
    </row>
    <row r="5587" spans="1:19" hidden="1" x14ac:dyDescent="0.25">
      <c r="A5587" s="5" t="str">
        <f t="shared" si="2360"/>
        <v>44147COPPER</v>
      </c>
      <c r="B5587" s="6" t="s">
        <v>100</v>
      </c>
      <c r="C5587" s="6">
        <v>3.05</v>
      </c>
      <c r="D5587" s="6">
        <v>3.2</v>
      </c>
      <c r="E5587" s="6">
        <v>3.13</v>
      </c>
      <c r="F5587" t="str">
        <f t="shared" si="2346"/>
        <v>THU</v>
      </c>
      <c r="G5587" s="1">
        <f t="shared" si="2347"/>
        <v>44147</v>
      </c>
      <c r="H5587" s="2">
        <f t="shared" ca="1" si="2348"/>
        <v>106</v>
      </c>
      <c r="I5587" t="str">
        <f t="shared" si="2349"/>
        <v>COPPER</v>
      </c>
      <c r="J5587">
        <f t="shared" si="2350"/>
        <v>3.05</v>
      </c>
      <c r="K5587">
        <f t="shared" si="2351"/>
        <v>3.2</v>
      </c>
      <c r="L5587">
        <f t="shared" si="2352"/>
        <v>3.125</v>
      </c>
      <c r="M5587">
        <f t="shared" si="2353"/>
        <v>7.5000000000000178E-2</v>
      </c>
      <c r="N5587">
        <f t="shared" si="2357"/>
        <v>0.15000000000000036</v>
      </c>
      <c r="O5587">
        <f t="shared" si="2354"/>
        <v>3.13</v>
      </c>
      <c r="P5587">
        <f t="shared" si="2355"/>
        <v>6.6666666666665084E-2</v>
      </c>
      <c r="Q5587" t="str">
        <f t="shared" si="2358"/>
        <v>2.56% | 2.24%</v>
      </c>
      <c r="R5587" t="str">
        <f t="shared" si="2356"/>
        <v>BULLISH</v>
      </c>
      <c r="S5587">
        <f t="shared" si="2359"/>
        <v>1</v>
      </c>
    </row>
    <row r="5588" spans="1:19" hidden="1" x14ac:dyDescent="0.25">
      <c r="A5588" s="5" t="str">
        <f t="shared" si="2360"/>
        <v>44147MSFT</v>
      </c>
      <c r="B5588" s="6" t="s">
        <v>235</v>
      </c>
      <c r="C5588" s="6">
        <v>197</v>
      </c>
      <c r="D5588" s="6">
        <v>229</v>
      </c>
      <c r="E5588" s="6">
        <v>216</v>
      </c>
      <c r="F5588" t="str">
        <f t="shared" si="2346"/>
        <v>THU</v>
      </c>
      <c r="G5588" s="1">
        <f t="shared" si="2347"/>
        <v>44147</v>
      </c>
      <c r="H5588" s="2">
        <f t="shared" ca="1" si="2348"/>
        <v>106</v>
      </c>
      <c r="I5588" t="str">
        <f t="shared" si="2349"/>
        <v>MSFT</v>
      </c>
      <c r="J5588">
        <f t="shared" si="2350"/>
        <v>197</v>
      </c>
      <c r="K5588">
        <f t="shared" si="2351"/>
        <v>229</v>
      </c>
      <c r="L5588">
        <f t="shared" si="2352"/>
        <v>213</v>
      </c>
      <c r="M5588">
        <f t="shared" si="2353"/>
        <v>16</v>
      </c>
      <c r="N5588">
        <f t="shared" si="2357"/>
        <v>32</v>
      </c>
      <c r="O5588">
        <f t="shared" si="2354"/>
        <v>216</v>
      </c>
      <c r="P5588">
        <f t="shared" si="2355"/>
        <v>0.1875</v>
      </c>
      <c r="Q5588" t="str">
        <f t="shared" si="2358"/>
        <v>8.8% | 6.02%</v>
      </c>
      <c r="R5588" t="str">
        <f t="shared" si="2356"/>
        <v>NEUTRAL</v>
      </c>
      <c r="S5588">
        <f t="shared" si="2359"/>
        <v>0</v>
      </c>
    </row>
    <row r="5589" spans="1:19" hidden="1" x14ac:dyDescent="0.25">
      <c r="A5589" s="5" t="str">
        <f t="shared" si="2360"/>
        <v>44147AAPL</v>
      </c>
      <c r="B5589" s="6" t="s">
        <v>63</v>
      </c>
      <c r="C5589" s="6">
        <v>106</v>
      </c>
      <c r="D5589" s="6">
        <v>123</v>
      </c>
      <c r="E5589" s="6">
        <v>119</v>
      </c>
      <c r="F5589" t="str">
        <f t="shared" si="2346"/>
        <v>THU</v>
      </c>
      <c r="G5589" s="1">
        <f t="shared" si="2347"/>
        <v>44147</v>
      </c>
      <c r="H5589" s="2">
        <f t="shared" ca="1" si="2348"/>
        <v>106</v>
      </c>
      <c r="I5589" t="str">
        <f t="shared" si="2349"/>
        <v>AAPL</v>
      </c>
      <c r="J5589">
        <f t="shared" si="2350"/>
        <v>106</v>
      </c>
      <c r="K5589">
        <f t="shared" si="2351"/>
        <v>123</v>
      </c>
      <c r="L5589">
        <f t="shared" si="2352"/>
        <v>114.5</v>
      </c>
      <c r="M5589">
        <f t="shared" si="2353"/>
        <v>8.5</v>
      </c>
      <c r="N5589">
        <f t="shared" si="2357"/>
        <v>17</v>
      </c>
      <c r="O5589">
        <f t="shared" si="2354"/>
        <v>119</v>
      </c>
      <c r="P5589">
        <f t="shared" si="2355"/>
        <v>0.52941176470588236</v>
      </c>
      <c r="Q5589" t="str">
        <f t="shared" si="2358"/>
        <v>10.92% | 3.36%</v>
      </c>
      <c r="R5589" t="str">
        <f t="shared" si="2356"/>
        <v>NEUTRAL</v>
      </c>
      <c r="S5589">
        <f t="shared" si="2359"/>
        <v>0</v>
      </c>
    </row>
    <row r="5590" spans="1:19" hidden="1" x14ac:dyDescent="0.25">
      <c r="A5590" s="5" t="str">
        <f t="shared" si="2360"/>
        <v>44147AMZN</v>
      </c>
      <c r="B5590" s="6" t="s">
        <v>73</v>
      </c>
      <c r="C5590" s="6">
        <v>2910</v>
      </c>
      <c r="D5590" s="6">
        <v>3206</v>
      </c>
      <c r="E5590" s="6">
        <v>3137</v>
      </c>
      <c r="F5590" t="str">
        <f t="shared" si="2346"/>
        <v>THU</v>
      </c>
      <c r="G5590" s="1">
        <f t="shared" si="2347"/>
        <v>44147</v>
      </c>
      <c r="H5590" s="2">
        <f t="shared" ca="1" si="2348"/>
        <v>106</v>
      </c>
      <c r="I5590" t="str">
        <f t="shared" si="2349"/>
        <v>AMZN</v>
      </c>
      <c r="J5590">
        <f t="shared" si="2350"/>
        <v>2910</v>
      </c>
      <c r="K5590">
        <f t="shared" si="2351"/>
        <v>3206</v>
      </c>
      <c r="L5590">
        <f t="shared" si="2352"/>
        <v>3058</v>
      </c>
      <c r="M5590">
        <f t="shared" si="2353"/>
        <v>148</v>
      </c>
      <c r="N5590">
        <f t="shared" si="2357"/>
        <v>296</v>
      </c>
      <c r="O5590">
        <f t="shared" si="2354"/>
        <v>3137</v>
      </c>
      <c r="P5590">
        <f t="shared" si="2355"/>
        <v>0.53378378378378377</v>
      </c>
      <c r="Q5590" t="str">
        <f t="shared" si="2358"/>
        <v>7.24% | 2.2%</v>
      </c>
      <c r="R5590" t="str">
        <f t="shared" si="2356"/>
        <v>BEARISH</v>
      </c>
      <c r="S5590">
        <f t="shared" si="2359"/>
        <v>-1</v>
      </c>
    </row>
    <row r="5591" spans="1:19" hidden="1" x14ac:dyDescent="0.25">
      <c r="A5591" s="5" t="str">
        <f t="shared" si="2360"/>
        <v>44147FB</v>
      </c>
      <c r="B5591" s="6" t="s">
        <v>30</v>
      </c>
      <c r="C5591" s="6">
        <v>253</v>
      </c>
      <c r="D5591" s="6">
        <v>301</v>
      </c>
      <c r="E5591" s="6">
        <v>276</v>
      </c>
      <c r="F5591" t="str">
        <f t="shared" si="2346"/>
        <v>THU</v>
      </c>
      <c r="G5591" s="1">
        <f t="shared" si="2347"/>
        <v>44147</v>
      </c>
      <c r="H5591" s="2">
        <f t="shared" ca="1" si="2348"/>
        <v>106</v>
      </c>
      <c r="I5591" t="str">
        <f t="shared" si="2349"/>
        <v>FB</v>
      </c>
      <c r="J5591">
        <f t="shared" si="2350"/>
        <v>253</v>
      </c>
      <c r="K5591">
        <f t="shared" si="2351"/>
        <v>301</v>
      </c>
      <c r="L5591">
        <f t="shared" si="2352"/>
        <v>277</v>
      </c>
      <c r="M5591">
        <f t="shared" si="2353"/>
        <v>24</v>
      </c>
      <c r="N5591">
        <f t="shared" si="2357"/>
        <v>48</v>
      </c>
      <c r="O5591">
        <f t="shared" si="2354"/>
        <v>276</v>
      </c>
      <c r="P5591">
        <f t="shared" si="2355"/>
        <v>-4.1666666666666664E-2</v>
      </c>
      <c r="Q5591" t="str">
        <f t="shared" si="2358"/>
        <v>8.33% | 9.06%</v>
      </c>
      <c r="R5591" t="str">
        <f t="shared" si="2356"/>
        <v>BULLISH</v>
      </c>
      <c r="S5591">
        <f t="shared" si="2359"/>
        <v>1</v>
      </c>
    </row>
    <row r="5592" spans="1:19" hidden="1" x14ac:dyDescent="0.25">
      <c r="A5592" s="5" t="str">
        <f t="shared" si="2360"/>
        <v>44147GOOGL</v>
      </c>
      <c r="B5592" s="6" t="s">
        <v>31</v>
      </c>
      <c r="C5592" s="6">
        <v>1621</v>
      </c>
      <c r="D5592" s="6">
        <v>1838</v>
      </c>
      <c r="E5592" s="6">
        <v>1747</v>
      </c>
      <c r="F5592" t="str">
        <f t="shared" si="2346"/>
        <v>THU</v>
      </c>
      <c r="G5592" s="1">
        <f t="shared" si="2347"/>
        <v>44147</v>
      </c>
      <c r="H5592" s="2">
        <f t="shared" ca="1" si="2348"/>
        <v>106</v>
      </c>
      <c r="I5592" t="str">
        <f t="shared" si="2349"/>
        <v>GOOGL</v>
      </c>
      <c r="J5592">
        <f t="shared" si="2350"/>
        <v>1621</v>
      </c>
      <c r="K5592">
        <f t="shared" si="2351"/>
        <v>1838</v>
      </c>
      <c r="L5592">
        <f t="shared" si="2352"/>
        <v>1729.5</v>
      </c>
      <c r="M5592">
        <f t="shared" si="2353"/>
        <v>108.5</v>
      </c>
      <c r="N5592">
        <f t="shared" si="2357"/>
        <v>217</v>
      </c>
      <c r="O5592">
        <f t="shared" si="2354"/>
        <v>1747</v>
      </c>
      <c r="P5592">
        <f t="shared" si="2355"/>
        <v>0.16129032258064516</v>
      </c>
      <c r="Q5592" t="str">
        <f t="shared" si="2358"/>
        <v>7.21% | 5.21%</v>
      </c>
      <c r="R5592" t="str">
        <f t="shared" si="2356"/>
        <v>BULLISH</v>
      </c>
      <c r="S5592">
        <f t="shared" si="2359"/>
        <v>1</v>
      </c>
    </row>
    <row r="5593" spans="1:19" hidden="1" x14ac:dyDescent="0.25">
      <c r="A5593" s="5" t="str">
        <f t="shared" si="2360"/>
        <v>44147NFLX</v>
      </c>
      <c r="B5593" s="6" t="s">
        <v>81</v>
      </c>
      <c r="C5593" s="6">
        <v>459</v>
      </c>
      <c r="D5593" s="6">
        <v>499</v>
      </c>
      <c r="E5593" s="6">
        <v>490</v>
      </c>
      <c r="F5593" t="str">
        <f t="shared" si="2346"/>
        <v>THU</v>
      </c>
      <c r="G5593" s="1">
        <f t="shared" si="2347"/>
        <v>44147</v>
      </c>
      <c r="H5593" s="2">
        <f t="shared" ca="1" si="2348"/>
        <v>106</v>
      </c>
      <c r="I5593" t="str">
        <f t="shared" si="2349"/>
        <v>NFLX</v>
      </c>
      <c r="J5593">
        <f t="shared" si="2350"/>
        <v>459</v>
      </c>
      <c r="K5593">
        <f t="shared" si="2351"/>
        <v>499</v>
      </c>
      <c r="L5593">
        <f t="shared" si="2352"/>
        <v>479</v>
      </c>
      <c r="M5593">
        <f t="shared" si="2353"/>
        <v>20</v>
      </c>
      <c r="N5593">
        <f t="shared" si="2357"/>
        <v>40</v>
      </c>
      <c r="O5593">
        <f t="shared" si="2354"/>
        <v>490</v>
      </c>
      <c r="P5593">
        <f t="shared" si="2355"/>
        <v>0.55000000000000004</v>
      </c>
      <c r="Q5593" t="str">
        <f t="shared" si="2358"/>
        <v>6.33% | 1.84%</v>
      </c>
      <c r="R5593" t="str">
        <f t="shared" si="2356"/>
        <v>BEARISH</v>
      </c>
      <c r="S5593">
        <f t="shared" si="2359"/>
        <v>-1</v>
      </c>
    </row>
    <row r="5594" spans="1:19" x14ac:dyDescent="0.25">
      <c r="A5594" s="5" t="str">
        <f t="shared" si="2360"/>
        <v>44147TSLA</v>
      </c>
      <c r="B5594" s="6" t="s">
        <v>71</v>
      </c>
      <c r="C5594" s="6">
        <v>386</v>
      </c>
      <c r="D5594" s="6">
        <v>446</v>
      </c>
      <c r="E5594" s="6">
        <v>417</v>
      </c>
      <c r="F5594" t="str">
        <f t="shared" si="2346"/>
        <v>THU</v>
      </c>
      <c r="G5594" s="1">
        <f t="shared" si="2347"/>
        <v>44147</v>
      </c>
      <c r="H5594" s="2">
        <f t="shared" ca="1" si="2348"/>
        <v>106</v>
      </c>
      <c r="I5594" t="str">
        <f t="shared" si="2349"/>
        <v>TSLA</v>
      </c>
      <c r="J5594">
        <f t="shared" si="2350"/>
        <v>386</v>
      </c>
      <c r="K5594">
        <f t="shared" si="2351"/>
        <v>446</v>
      </c>
      <c r="L5594">
        <f t="shared" si="2352"/>
        <v>416</v>
      </c>
      <c r="M5594">
        <f t="shared" si="2353"/>
        <v>30</v>
      </c>
      <c r="N5594">
        <f t="shared" si="2357"/>
        <v>60</v>
      </c>
      <c r="O5594">
        <f t="shared" si="2354"/>
        <v>417</v>
      </c>
      <c r="P5594">
        <f t="shared" si="2355"/>
        <v>3.3333333333333333E-2</v>
      </c>
      <c r="Q5594" t="str">
        <f t="shared" si="2358"/>
        <v>7.43% | 6.95%</v>
      </c>
      <c r="R5594" t="str">
        <f t="shared" si="2356"/>
        <v>NEUTRAL</v>
      </c>
      <c r="S5594">
        <f t="shared" si="2359"/>
        <v>0</v>
      </c>
    </row>
    <row r="5595" spans="1:19" hidden="1" x14ac:dyDescent="0.25">
      <c r="A5595" s="5" t="str">
        <f t="shared" si="2360"/>
        <v>44147NYXBT</v>
      </c>
      <c r="B5595" s="6" t="s">
        <v>60</v>
      </c>
      <c r="C5595" s="6">
        <v>13268</v>
      </c>
      <c r="D5595" s="6">
        <v>16318</v>
      </c>
      <c r="E5595" s="6">
        <v>15675</v>
      </c>
      <c r="F5595" t="str">
        <f t="shared" si="2346"/>
        <v>THU</v>
      </c>
      <c r="G5595" s="1">
        <f t="shared" si="2347"/>
        <v>44147</v>
      </c>
      <c r="H5595" s="2">
        <f t="shared" ca="1" si="2348"/>
        <v>106</v>
      </c>
      <c r="I5595" t="str">
        <f t="shared" si="2349"/>
        <v>NYXBT</v>
      </c>
      <c r="J5595">
        <f t="shared" si="2350"/>
        <v>13268</v>
      </c>
      <c r="K5595">
        <f t="shared" si="2351"/>
        <v>16318</v>
      </c>
      <c r="L5595">
        <f t="shared" si="2352"/>
        <v>14793</v>
      </c>
      <c r="M5595">
        <f t="shared" si="2353"/>
        <v>1525</v>
      </c>
      <c r="N5595">
        <f t="shared" si="2357"/>
        <v>3050</v>
      </c>
      <c r="O5595">
        <f t="shared" si="2354"/>
        <v>15675</v>
      </c>
      <c r="P5595">
        <f t="shared" si="2355"/>
        <v>0.5783606557377049</v>
      </c>
      <c r="Q5595" t="str">
        <f t="shared" si="2358"/>
        <v>15.36% | 4.1%</v>
      </c>
      <c r="R5595" t="str">
        <f t="shared" si="2356"/>
        <v>BULLISH</v>
      </c>
      <c r="S5595">
        <f t="shared" si="2359"/>
        <v>1</v>
      </c>
    </row>
    <row r="5596" spans="1:19" hidden="1" x14ac:dyDescent="0.25">
      <c r="A5596" s="5" t="str">
        <f t="shared" si="2360"/>
        <v>44148UST10Y</v>
      </c>
      <c r="B5596" s="6" t="s">
        <v>246</v>
      </c>
      <c r="C5596" s="6">
        <v>0.99</v>
      </c>
      <c r="D5596" s="6">
        <v>0.75</v>
      </c>
      <c r="E5596" s="6">
        <v>0.88</v>
      </c>
      <c r="F5596" t="str">
        <f t="shared" si="2346"/>
        <v>FRI</v>
      </c>
      <c r="G5596" s="3">
        <f>DATE(2020,11,13)</f>
        <v>44148</v>
      </c>
      <c r="H5596" s="2">
        <f t="shared" ca="1" si="2348"/>
        <v>105</v>
      </c>
      <c r="I5596" t="str">
        <f t="shared" si="2349"/>
        <v>UST10Y</v>
      </c>
      <c r="J5596">
        <f t="shared" si="2350"/>
        <v>0.99</v>
      </c>
      <c r="K5596">
        <f t="shared" si="2351"/>
        <v>0.75</v>
      </c>
      <c r="L5596">
        <f t="shared" si="2352"/>
        <v>0.87</v>
      </c>
      <c r="M5596">
        <f t="shared" si="2353"/>
        <v>0.11999999999999987</v>
      </c>
      <c r="N5596">
        <f t="shared" si="2357"/>
        <v>0.24</v>
      </c>
      <c r="O5596">
        <f t="shared" si="2354"/>
        <v>0.88</v>
      </c>
      <c r="P5596">
        <f t="shared" si="2355"/>
        <v>8.3333333333333495E-2</v>
      </c>
      <c r="Q5596" t="str">
        <f t="shared" si="2358"/>
        <v>12.5% | 14.77%</v>
      </c>
      <c r="R5596" t="str">
        <f t="shared" si="2356"/>
        <v>NEUTRAL</v>
      </c>
      <c r="S5596">
        <f t="shared" si="2359"/>
        <v>0</v>
      </c>
    </row>
    <row r="5597" spans="1:19" hidden="1" x14ac:dyDescent="0.25">
      <c r="A5597" s="5" t="str">
        <f t="shared" si="2360"/>
        <v>44148UST2Y</v>
      </c>
      <c r="B5597" s="6" t="s">
        <v>5</v>
      </c>
      <c r="C5597" s="6">
        <v>0.19</v>
      </c>
      <c r="D5597" s="6">
        <v>0.13</v>
      </c>
      <c r="E5597" s="6">
        <v>0.17</v>
      </c>
      <c r="F5597" t="str">
        <f t="shared" ref="F5597:F5628" si="2361">UPPER(TEXT(G5597,"ddd"))</f>
        <v>FRI</v>
      </c>
      <c r="G5597" s="3">
        <f t="shared" ref="G5597:G5627" si="2362">DATE(2020,11,13)</f>
        <v>44148</v>
      </c>
      <c r="H5597" s="2">
        <f t="shared" ref="H5597:H5628" ca="1" si="2363">TODAY()-G5597</f>
        <v>105</v>
      </c>
      <c r="I5597" t="str">
        <f t="shared" ref="I5597:I5628" si="2364">TRIM(LEFT(B5597,FIND(" ",B5597,1)))</f>
        <v>UST2Y</v>
      </c>
      <c r="J5597">
        <f t="shared" ref="J5597:J5628" si="2365">C5597</f>
        <v>0.19</v>
      </c>
      <c r="K5597">
        <f t="shared" ref="K5597:K5628" si="2366">D5597</f>
        <v>0.13</v>
      </c>
      <c r="L5597">
        <f t="shared" ref="L5597:L5628" si="2367">AVERAGE(J5597:K5597)</f>
        <v>0.16</v>
      </c>
      <c r="M5597">
        <f t="shared" ref="M5597:M5628" si="2368">_xlfn.STDEV.P(J5597:K5597)</f>
        <v>3.0000000000000023E-2</v>
      </c>
      <c r="N5597">
        <f t="shared" si="2357"/>
        <v>0.06</v>
      </c>
      <c r="O5597">
        <f t="shared" ref="O5597:O5628" si="2369">E5597</f>
        <v>0.17</v>
      </c>
      <c r="P5597">
        <f t="shared" ref="P5597:P5628" si="2370">(O5597-L5597)/M5597</f>
        <v>0.33333333333333337</v>
      </c>
      <c r="Q5597" t="str">
        <f t="shared" si="2358"/>
        <v>11.76% | 23.53%</v>
      </c>
      <c r="R5597" t="str">
        <f t="shared" ref="R5597:R5628" si="2371">MID(B5597,FIND("(",B5597,1)+1,FIND(")",B5597,1)-FIND("(",B5597,1)-1)</f>
        <v>BEARISH</v>
      </c>
      <c r="S5597">
        <f t="shared" si="2359"/>
        <v>-1</v>
      </c>
    </row>
    <row r="5598" spans="1:19" hidden="1" x14ac:dyDescent="0.25">
      <c r="A5598" s="5" t="str">
        <f t="shared" si="2360"/>
        <v>44148SPX</v>
      </c>
      <c r="B5598" s="6" t="s">
        <v>93</v>
      </c>
      <c r="C5598" s="6">
        <v>3362</v>
      </c>
      <c r="D5598" s="6">
        <v>3580</v>
      </c>
      <c r="E5598" s="6">
        <v>3537</v>
      </c>
      <c r="F5598" t="str">
        <f t="shared" si="2361"/>
        <v>FRI</v>
      </c>
      <c r="G5598" s="3">
        <f t="shared" si="2362"/>
        <v>44148</v>
      </c>
      <c r="H5598" s="2">
        <f t="shared" ca="1" si="2363"/>
        <v>105</v>
      </c>
      <c r="I5598" t="str">
        <f t="shared" si="2364"/>
        <v>SPX</v>
      </c>
      <c r="J5598">
        <f t="shared" si="2365"/>
        <v>3362</v>
      </c>
      <c r="K5598">
        <f t="shared" si="2366"/>
        <v>3580</v>
      </c>
      <c r="L5598">
        <f t="shared" si="2367"/>
        <v>3471</v>
      </c>
      <c r="M5598">
        <f t="shared" si="2368"/>
        <v>109</v>
      </c>
      <c r="N5598">
        <f t="shared" si="2357"/>
        <v>218</v>
      </c>
      <c r="O5598">
        <f t="shared" si="2369"/>
        <v>3537</v>
      </c>
      <c r="P5598">
        <f t="shared" si="2370"/>
        <v>0.60550458715596334</v>
      </c>
      <c r="Q5598" t="str">
        <f t="shared" si="2358"/>
        <v>4.95% | 1.22%</v>
      </c>
      <c r="R5598" t="str">
        <f t="shared" si="2371"/>
        <v>BULLISH</v>
      </c>
      <c r="S5598">
        <f t="shared" si="2359"/>
        <v>1</v>
      </c>
    </row>
    <row r="5599" spans="1:19" hidden="1" x14ac:dyDescent="0.25">
      <c r="A5599" s="5" t="str">
        <f t="shared" si="2360"/>
        <v>44148RUT</v>
      </c>
      <c r="B5599" s="6" t="s">
        <v>247</v>
      </c>
      <c r="C5599" s="6">
        <v>1558</v>
      </c>
      <c r="D5599" s="6">
        <v>1738</v>
      </c>
      <c r="E5599" s="6">
        <v>1708</v>
      </c>
      <c r="F5599" t="str">
        <f t="shared" si="2361"/>
        <v>FRI</v>
      </c>
      <c r="G5599" s="3">
        <f t="shared" si="2362"/>
        <v>44148</v>
      </c>
      <c r="H5599" s="2">
        <f t="shared" ca="1" si="2363"/>
        <v>105</v>
      </c>
      <c r="I5599" t="str">
        <f t="shared" si="2364"/>
        <v>RUT</v>
      </c>
      <c r="J5599">
        <f t="shared" si="2365"/>
        <v>1558</v>
      </c>
      <c r="K5599">
        <f t="shared" si="2366"/>
        <v>1738</v>
      </c>
      <c r="L5599">
        <f t="shared" si="2367"/>
        <v>1648</v>
      </c>
      <c r="M5599">
        <f t="shared" si="2368"/>
        <v>90</v>
      </c>
      <c r="N5599">
        <f t="shared" si="2357"/>
        <v>180</v>
      </c>
      <c r="O5599">
        <f t="shared" si="2369"/>
        <v>1708</v>
      </c>
      <c r="P5599">
        <f t="shared" si="2370"/>
        <v>0.66666666666666663</v>
      </c>
      <c r="Q5599" t="str">
        <f t="shared" si="2358"/>
        <v>8.78% | 1.76%</v>
      </c>
      <c r="R5599" t="str">
        <f t="shared" si="2371"/>
        <v>BULLISH</v>
      </c>
      <c r="S5599">
        <f t="shared" si="2359"/>
        <v>1</v>
      </c>
    </row>
    <row r="5600" spans="1:19" hidden="1" x14ac:dyDescent="0.25">
      <c r="A5600" s="5" t="str">
        <f t="shared" si="2360"/>
        <v>44148COMPQ</v>
      </c>
      <c r="B5600" s="6" t="s">
        <v>8</v>
      </c>
      <c r="C5600" s="6">
        <v>10964</v>
      </c>
      <c r="D5600" s="6">
        <v>12056</v>
      </c>
      <c r="E5600" s="6">
        <v>11709</v>
      </c>
      <c r="F5600" t="str">
        <f t="shared" si="2361"/>
        <v>FRI</v>
      </c>
      <c r="G5600" s="3">
        <f t="shared" si="2362"/>
        <v>44148</v>
      </c>
      <c r="H5600" s="2">
        <f t="shared" ca="1" si="2363"/>
        <v>105</v>
      </c>
      <c r="I5600" t="str">
        <f t="shared" si="2364"/>
        <v>COMPQ</v>
      </c>
      <c r="J5600">
        <f t="shared" si="2365"/>
        <v>10964</v>
      </c>
      <c r="K5600">
        <f t="shared" si="2366"/>
        <v>12056</v>
      </c>
      <c r="L5600">
        <f t="shared" si="2367"/>
        <v>11510</v>
      </c>
      <c r="M5600">
        <f t="shared" si="2368"/>
        <v>546</v>
      </c>
      <c r="N5600">
        <f t="shared" si="2357"/>
        <v>1092</v>
      </c>
      <c r="O5600">
        <f t="shared" si="2369"/>
        <v>11709</v>
      </c>
      <c r="P5600">
        <f t="shared" si="2370"/>
        <v>0.36446886446886445</v>
      </c>
      <c r="Q5600" t="str">
        <f t="shared" si="2358"/>
        <v>6.36% | 2.96%</v>
      </c>
      <c r="R5600" t="str">
        <f t="shared" si="2371"/>
        <v>BULLISH</v>
      </c>
      <c r="S5600">
        <f t="shared" si="2359"/>
        <v>1</v>
      </c>
    </row>
    <row r="5601" spans="1:19" hidden="1" x14ac:dyDescent="0.25">
      <c r="A5601" s="5" t="str">
        <f t="shared" si="2360"/>
        <v>44148XLK</v>
      </c>
      <c r="B5601" s="6" t="s">
        <v>10</v>
      </c>
      <c r="C5601" s="6">
        <v>111.12</v>
      </c>
      <c r="D5601" s="6">
        <v>125.62</v>
      </c>
      <c r="E5601" s="6">
        <v>120.18</v>
      </c>
      <c r="F5601" t="str">
        <f t="shared" si="2361"/>
        <v>FRI</v>
      </c>
      <c r="G5601" s="3">
        <f t="shared" si="2362"/>
        <v>44148</v>
      </c>
      <c r="H5601" s="2">
        <f t="shared" ca="1" si="2363"/>
        <v>105</v>
      </c>
      <c r="I5601" t="str">
        <f t="shared" si="2364"/>
        <v>XLK</v>
      </c>
      <c r="J5601">
        <f t="shared" si="2365"/>
        <v>111.12</v>
      </c>
      <c r="K5601">
        <f t="shared" si="2366"/>
        <v>125.62</v>
      </c>
      <c r="L5601">
        <f t="shared" si="2367"/>
        <v>118.37</v>
      </c>
      <c r="M5601">
        <f t="shared" si="2368"/>
        <v>7.25</v>
      </c>
      <c r="N5601">
        <f t="shared" si="2357"/>
        <v>14.5</v>
      </c>
      <c r="O5601">
        <f t="shared" si="2369"/>
        <v>120.18</v>
      </c>
      <c r="P5601">
        <f t="shared" si="2370"/>
        <v>0.24965517241379342</v>
      </c>
      <c r="Q5601" t="str">
        <f t="shared" si="2358"/>
        <v>7.54% | 4.53%</v>
      </c>
      <c r="R5601" t="str">
        <f t="shared" si="2371"/>
        <v>BULLISH</v>
      </c>
      <c r="S5601">
        <f t="shared" si="2359"/>
        <v>1</v>
      </c>
    </row>
    <row r="5602" spans="1:19" hidden="1" x14ac:dyDescent="0.25">
      <c r="A5602" s="5" t="str">
        <f t="shared" si="2360"/>
        <v>44148XLU</v>
      </c>
      <c r="B5602" s="6" t="s">
        <v>52</v>
      </c>
      <c r="C5602" s="6">
        <v>62.98</v>
      </c>
      <c r="D5602" s="6">
        <v>67.02</v>
      </c>
      <c r="E5602" s="6">
        <v>65.44</v>
      </c>
      <c r="F5602" t="str">
        <f t="shared" si="2361"/>
        <v>FRI</v>
      </c>
      <c r="G5602" s="3">
        <f t="shared" si="2362"/>
        <v>44148</v>
      </c>
      <c r="H5602" s="2">
        <f t="shared" ca="1" si="2363"/>
        <v>105</v>
      </c>
      <c r="I5602" t="str">
        <f t="shared" si="2364"/>
        <v>XLU</v>
      </c>
      <c r="J5602">
        <f t="shared" si="2365"/>
        <v>62.98</v>
      </c>
      <c r="K5602">
        <f t="shared" si="2366"/>
        <v>67.02</v>
      </c>
      <c r="L5602">
        <f t="shared" si="2367"/>
        <v>65</v>
      </c>
      <c r="M5602">
        <f t="shared" si="2368"/>
        <v>2.0199999999999996</v>
      </c>
      <c r="N5602">
        <f t="shared" si="2357"/>
        <v>4.0399999999999991</v>
      </c>
      <c r="O5602">
        <f t="shared" si="2369"/>
        <v>65.44</v>
      </c>
      <c r="P5602">
        <f t="shared" si="2370"/>
        <v>0.21782178217821674</v>
      </c>
      <c r="Q5602" t="str">
        <f t="shared" si="2358"/>
        <v>3.76% | 2.41%</v>
      </c>
      <c r="R5602" t="str">
        <f t="shared" si="2371"/>
        <v>BULLISH</v>
      </c>
      <c r="S5602">
        <f t="shared" si="2359"/>
        <v>1</v>
      </c>
    </row>
    <row r="5603" spans="1:19" hidden="1" x14ac:dyDescent="0.25">
      <c r="A5603" s="5" t="str">
        <f t="shared" si="2360"/>
        <v>44148XLF</v>
      </c>
      <c r="B5603" s="6" t="s">
        <v>248</v>
      </c>
      <c r="C5603" s="6">
        <v>24.11</v>
      </c>
      <c r="D5603" s="6">
        <v>27.99</v>
      </c>
      <c r="E5603" s="6">
        <v>26.59</v>
      </c>
      <c r="F5603" t="str">
        <f t="shared" si="2361"/>
        <v>FRI</v>
      </c>
      <c r="G5603" s="3">
        <f t="shared" si="2362"/>
        <v>44148</v>
      </c>
      <c r="H5603" s="2">
        <f t="shared" ca="1" si="2363"/>
        <v>105</v>
      </c>
      <c r="I5603" t="str">
        <f t="shared" si="2364"/>
        <v>XLF</v>
      </c>
      <c r="J5603">
        <f t="shared" si="2365"/>
        <v>24.11</v>
      </c>
      <c r="K5603">
        <f t="shared" si="2366"/>
        <v>27.99</v>
      </c>
      <c r="L5603">
        <f t="shared" si="2367"/>
        <v>26.049999999999997</v>
      </c>
      <c r="M5603">
        <f t="shared" si="2368"/>
        <v>1.9399999999999997</v>
      </c>
      <c r="N5603">
        <f t="shared" si="2357"/>
        <v>3.879999999999999</v>
      </c>
      <c r="O5603">
        <f t="shared" si="2369"/>
        <v>26.59</v>
      </c>
      <c r="P5603">
        <f t="shared" si="2370"/>
        <v>0.27835051546391898</v>
      </c>
      <c r="Q5603" t="str">
        <f t="shared" si="2358"/>
        <v>9.33% | 5.27%</v>
      </c>
      <c r="R5603" t="str">
        <f t="shared" si="2371"/>
        <v>NEUTRAL</v>
      </c>
      <c r="S5603">
        <f t="shared" si="2359"/>
        <v>0</v>
      </c>
    </row>
    <row r="5604" spans="1:19" hidden="1" x14ac:dyDescent="0.25">
      <c r="A5604" s="5" t="str">
        <f t="shared" si="2360"/>
        <v>44148XLE</v>
      </c>
      <c r="B5604" s="6" t="s">
        <v>250</v>
      </c>
      <c r="C5604" s="6">
        <v>30.74</v>
      </c>
      <c r="D5604" s="6">
        <v>35.340000000000003</v>
      </c>
      <c r="E5604" s="6">
        <v>32.69</v>
      </c>
      <c r="F5604" t="str">
        <f t="shared" si="2361"/>
        <v>FRI</v>
      </c>
      <c r="G5604" s="3">
        <f t="shared" si="2362"/>
        <v>44148</v>
      </c>
      <c r="H5604" s="2">
        <f t="shared" ca="1" si="2363"/>
        <v>105</v>
      </c>
      <c r="I5604" t="str">
        <f t="shared" si="2364"/>
        <v>XLE</v>
      </c>
      <c r="J5604">
        <f t="shared" si="2365"/>
        <v>30.74</v>
      </c>
      <c r="K5604">
        <f t="shared" si="2366"/>
        <v>35.340000000000003</v>
      </c>
      <c r="L5604">
        <f t="shared" si="2367"/>
        <v>33.04</v>
      </c>
      <c r="M5604">
        <f t="shared" si="2368"/>
        <v>2.3000000000000025</v>
      </c>
      <c r="N5604">
        <f t="shared" si="2357"/>
        <v>4.600000000000005</v>
      </c>
      <c r="O5604">
        <f t="shared" si="2369"/>
        <v>32.69</v>
      </c>
      <c r="P5604">
        <f t="shared" si="2370"/>
        <v>-0.15217391304347871</v>
      </c>
      <c r="Q5604" t="str">
        <f t="shared" si="2358"/>
        <v>5.97% | 8.11%</v>
      </c>
      <c r="R5604" t="str">
        <f t="shared" si="2371"/>
        <v>BULLISH</v>
      </c>
      <c r="S5604">
        <f t="shared" si="2359"/>
        <v>1</v>
      </c>
    </row>
    <row r="5605" spans="1:19" hidden="1" x14ac:dyDescent="0.25">
      <c r="A5605" s="5" t="str">
        <f t="shared" si="2360"/>
        <v>44148SSEC</v>
      </c>
      <c r="B5605" s="6" t="s">
        <v>104</v>
      </c>
      <c r="C5605" s="6">
        <v>3224</v>
      </c>
      <c r="D5605" s="6">
        <v>3405</v>
      </c>
      <c r="E5605" s="6">
        <v>3310</v>
      </c>
      <c r="F5605" t="str">
        <f t="shared" si="2361"/>
        <v>FRI</v>
      </c>
      <c r="G5605" s="3">
        <f t="shared" si="2362"/>
        <v>44148</v>
      </c>
      <c r="H5605" s="2">
        <f t="shared" ca="1" si="2363"/>
        <v>105</v>
      </c>
      <c r="I5605" t="str">
        <f t="shared" si="2364"/>
        <v>SSEC</v>
      </c>
      <c r="J5605">
        <f t="shared" si="2365"/>
        <v>3224</v>
      </c>
      <c r="K5605">
        <f t="shared" si="2366"/>
        <v>3405</v>
      </c>
      <c r="L5605">
        <f t="shared" si="2367"/>
        <v>3314.5</v>
      </c>
      <c r="M5605">
        <f t="shared" si="2368"/>
        <v>90.5</v>
      </c>
      <c r="N5605">
        <f t="shared" si="2357"/>
        <v>181</v>
      </c>
      <c r="O5605">
        <f t="shared" si="2369"/>
        <v>3310</v>
      </c>
      <c r="P5605">
        <f t="shared" si="2370"/>
        <v>-4.9723756906077346E-2</v>
      </c>
      <c r="Q5605" t="str">
        <f t="shared" si="2358"/>
        <v>2.6% | 2.87%</v>
      </c>
      <c r="R5605" t="str">
        <f t="shared" si="2371"/>
        <v>BULLISH</v>
      </c>
      <c r="S5605">
        <f t="shared" si="2359"/>
        <v>1</v>
      </c>
    </row>
    <row r="5606" spans="1:19" hidden="1" x14ac:dyDescent="0.25">
      <c r="A5606" s="5" t="str">
        <f t="shared" si="2360"/>
        <v>44148NIKK</v>
      </c>
      <c r="B5606" s="6" t="s">
        <v>91</v>
      </c>
      <c r="C5606" s="6">
        <v>24324</v>
      </c>
      <c r="D5606" s="6">
        <v>26022</v>
      </c>
      <c r="E5606" s="6">
        <v>25385</v>
      </c>
      <c r="F5606" t="str">
        <f t="shared" si="2361"/>
        <v>FRI</v>
      </c>
      <c r="G5606" s="3">
        <f t="shared" si="2362"/>
        <v>44148</v>
      </c>
      <c r="H5606" s="2">
        <f t="shared" ca="1" si="2363"/>
        <v>105</v>
      </c>
      <c r="I5606" t="str">
        <f t="shared" si="2364"/>
        <v>NIKK</v>
      </c>
      <c r="J5606">
        <f t="shared" si="2365"/>
        <v>24324</v>
      </c>
      <c r="K5606">
        <f t="shared" si="2366"/>
        <v>26022</v>
      </c>
      <c r="L5606">
        <f t="shared" si="2367"/>
        <v>25173</v>
      </c>
      <c r="M5606">
        <f t="shared" si="2368"/>
        <v>849</v>
      </c>
      <c r="N5606">
        <f t="shared" si="2357"/>
        <v>1698</v>
      </c>
      <c r="O5606">
        <f t="shared" si="2369"/>
        <v>25385</v>
      </c>
      <c r="P5606">
        <f t="shared" si="2370"/>
        <v>0.24970553592461719</v>
      </c>
      <c r="Q5606" t="str">
        <f t="shared" si="2358"/>
        <v>4.18% | 2.51%</v>
      </c>
      <c r="R5606" t="str">
        <f t="shared" si="2371"/>
        <v>BULLISH</v>
      </c>
      <c r="S5606">
        <f t="shared" si="2359"/>
        <v>1</v>
      </c>
    </row>
    <row r="5607" spans="1:19" hidden="1" x14ac:dyDescent="0.25">
      <c r="A5607" s="5" t="str">
        <f t="shared" si="2360"/>
        <v>44148DAX</v>
      </c>
      <c r="B5607" s="6" t="s">
        <v>16</v>
      </c>
      <c r="C5607" s="6">
        <v>11662</v>
      </c>
      <c r="D5607" s="6">
        <v>13319</v>
      </c>
      <c r="E5607" s="6">
        <v>13052</v>
      </c>
      <c r="F5607" t="str">
        <f t="shared" si="2361"/>
        <v>FRI</v>
      </c>
      <c r="G5607" s="3">
        <f t="shared" si="2362"/>
        <v>44148</v>
      </c>
      <c r="H5607" s="2">
        <f t="shared" ca="1" si="2363"/>
        <v>105</v>
      </c>
      <c r="I5607" t="str">
        <f t="shared" si="2364"/>
        <v>DAX</v>
      </c>
      <c r="J5607">
        <f t="shared" si="2365"/>
        <v>11662</v>
      </c>
      <c r="K5607">
        <f t="shared" si="2366"/>
        <v>13319</v>
      </c>
      <c r="L5607">
        <f t="shared" si="2367"/>
        <v>12490.5</v>
      </c>
      <c r="M5607">
        <f t="shared" si="2368"/>
        <v>828.5</v>
      </c>
      <c r="N5607">
        <f t="shared" si="2357"/>
        <v>1657</v>
      </c>
      <c r="O5607">
        <f t="shared" si="2369"/>
        <v>13052</v>
      </c>
      <c r="P5607">
        <f t="shared" si="2370"/>
        <v>0.6777308388654194</v>
      </c>
      <c r="Q5607" t="str">
        <f t="shared" si="2358"/>
        <v>10.65% | 2.05%</v>
      </c>
      <c r="R5607" t="str">
        <f t="shared" si="2371"/>
        <v>BEARISH</v>
      </c>
      <c r="S5607">
        <f t="shared" si="2359"/>
        <v>-1</v>
      </c>
    </row>
    <row r="5608" spans="1:19" hidden="1" x14ac:dyDescent="0.25">
      <c r="A5608" s="5" t="str">
        <f t="shared" si="2360"/>
        <v>44148VIX</v>
      </c>
      <c r="B5608" s="6" t="s">
        <v>96</v>
      </c>
      <c r="C5608" s="6">
        <v>22.84</v>
      </c>
      <c r="D5608" s="6">
        <v>37.65</v>
      </c>
      <c r="E5608" s="6">
        <v>25.35</v>
      </c>
      <c r="F5608" t="str">
        <f t="shared" si="2361"/>
        <v>FRI</v>
      </c>
      <c r="G5608" s="3">
        <f t="shared" si="2362"/>
        <v>44148</v>
      </c>
      <c r="H5608" s="2">
        <f t="shared" ca="1" si="2363"/>
        <v>105</v>
      </c>
      <c r="I5608" t="str">
        <f t="shared" si="2364"/>
        <v>VIX</v>
      </c>
      <c r="J5608">
        <f t="shared" si="2365"/>
        <v>22.84</v>
      </c>
      <c r="K5608">
        <f t="shared" si="2366"/>
        <v>37.65</v>
      </c>
      <c r="L5608">
        <f t="shared" si="2367"/>
        <v>30.244999999999997</v>
      </c>
      <c r="M5608">
        <f t="shared" si="2368"/>
        <v>7.4050000000000074</v>
      </c>
      <c r="N5608">
        <f t="shared" si="2357"/>
        <v>14.809999999999999</v>
      </c>
      <c r="O5608">
        <f t="shared" si="2369"/>
        <v>25.35</v>
      </c>
      <c r="P5608">
        <f t="shared" si="2370"/>
        <v>-0.66103983794733168</v>
      </c>
      <c r="Q5608" t="str">
        <f t="shared" si="2358"/>
        <v>9.9% | 48.52%</v>
      </c>
      <c r="R5608" t="str">
        <f t="shared" si="2371"/>
        <v>BEARISH</v>
      </c>
      <c r="S5608">
        <f t="shared" si="2359"/>
        <v>-1</v>
      </c>
    </row>
    <row r="5609" spans="1:19" hidden="1" x14ac:dyDescent="0.25">
      <c r="A5609" s="5" t="str">
        <f t="shared" si="2360"/>
        <v>44148USD</v>
      </c>
      <c r="B5609" s="6" t="s">
        <v>94</v>
      </c>
      <c r="C5609" s="6">
        <v>91.82</v>
      </c>
      <c r="D5609" s="6">
        <v>93.31</v>
      </c>
      <c r="E5609" s="6">
        <v>92.96</v>
      </c>
      <c r="F5609" t="str">
        <f t="shared" si="2361"/>
        <v>FRI</v>
      </c>
      <c r="G5609" s="3">
        <f t="shared" si="2362"/>
        <v>44148</v>
      </c>
      <c r="H5609" s="2">
        <f t="shared" ca="1" si="2363"/>
        <v>105</v>
      </c>
      <c r="I5609" t="str">
        <f t="shared" si="2364"/>
        <v>USD</v>
      </c>
      <c r="J5609">
        <f t="shared" si="2365"/>
        <v>91.82</v>
      </c>
      <c r="K5609">
        <f t="shared" si="2366"/>
        <v>93.31</v>
      </c>
      <c r="L5609">
        <f t="shared" si="2367"/>
        <v>92.564999999999998</v>
      </c>
      <c r="M5609">
        <f t="shared" si="2368"/>
        <v>0.74500000000000455</v>
      </c>
      <c r="N5609">
        <f t="shared" si="2357"/>
        <v>1.4900000000000091</v>
      </c>
      <c r="O5609">
        <f t="shared" si="2369"/>
        <v>92.96</v>
      </c>
      <c r="P5609">
        <f t="shared" si="2370"/>
        <v>0.53020134228187066</v>
      </c>
      <c r="Q5609" t="str">
        <f t="shared" si="2358"/>
        <v>1.23% | 0.38%</v>
      </c>
      <c r="R5609" t="str">
        <f t="shared" si="2371"/>
        <v>BEARISH</v>
      </c>
      <c r="S5609">
        <f t="shared" si="2359"/>
        <v>-1</v>
      </c>
    </row>
    <row r="5610" spans="1:19" hidden="1" x14ac:dyDescent="0.25">
      <c r="A5610" s="5" t="str">
        <f t="shared" si="2360"/>
        <v>44148EUR/USD</v>
      </c>
      <c r="B5610" s="6" t="s">
        <v>99</v>
      </c>
      <c r="C5610" s="6">
        <v>1.163</v>
      </c>
      <c r="D5610" s="6">
        <v>1.1919999999999999</v>
      </c>
      <c r="E5610" s="6">
        <v>1.181</v>
      </c>
      <c r="F5610" t="str">
        <f t="shared" si="2361"/>
        <v>FRI</v>
      </c>
      <c r="G5610" s="3">
        <f t="shared" si="2362"/>
        <v>44148</v>
      </c>
      <c r="H5610" s="2">
        <f t="shared" ca="1" si="2363"/>
        <v>105</v>
      </c>
      <c r="I5610" t="str">
        <f t="shared" si="2364"/>
        <v>EUR/USD</v>
      </c>
      <c r="J5610">
        <f t="shared" si="2365"/>
        <v>1.163</v>
      </c>
      <c r="K5610">
        <f t="shared" si="2366"/>
        <v>1.1919999999999999</v>
      </c>
      <c r="L5610">
        <f t="shared" si="2367"/>
        <v>1.1775</v>
      </c>
      <c r="M5610">
        <f t="shared" si="2368"/>
        <v>1.4499999999999957E-2</v>
      </c>
      <c r="N5610">
        <f t="shared" si="2357"/>
        <v>2.8999999999999915E-2</v>
      </c>
      <c r="O5610">
        <f t="shared" si="2369"/>
        <v>1.181</v>
      </c>
      <c r="P5610">
        <f t="shared" si="2370"/>
        <v>0.24137931034483234</v>
      </c>
      <c r="Q5610" t="str">
        <f t="shared" si="2358"/>
        <v>1.52% | 0.93%</v>
      </c>
      <c r="R5610" t="str">
        <f t="shared" si="2371"/>
        <v>BULLISH</v>
      </c>
      <c r="S5610">
        <f t="shared" si="2359"/>
        <v>1</v>
      </c>
    </row>
    <row r="5611" spans="1:19" hidden="1" x14ac:dyDescent="0.25">
      <c r="A5611" s="5" t="str">
        <f t="shared" si="2360"/>
        <v>44148USD/JPY</v>
      </c>
      <c r="B5611" s="6" t="s">
        <v>20</v>
      </c>
      <c r="C5611" s="6">
        <v>103.16</v>
      </c>
      <c r="D5611" s="6">
        <v>106.14</v>
      </c>
      <c r="E5611" s="6">
        <v>105.13</v>
      </c>
      <c r="F5611" t="str">
        <f t="shared" si="2361"/>
        <v>FRI</v>
      </c>
      <c r="G5611" s="3">
        <f t="shared" si="2362"/>
        <v>44148</v>
      </c>
      <c r="H5611" s="2">
        <f t="shared" ca="1" si="2363"/>
        <v>105</v>
      </c>
      <c r="I5611" t="str">
        <f t="shared" si="2364"/>
        <v>USD/JPY</v>
      </c>
      <c r="J5611">
        <f t="shared" si="2365"/>
        <v>103.16</v>
      </c>
      <c r="K5611">
        <f t="shared" si="2366"/>
        <v>106.14</v>
      </c>
      <c r="L5611">
        <f t="shared" si="2367"/>
        <v>104.65</v>
      </c>
      <c r="M5611">
        <f t="shared" si="2368"/>
        <v>1.490000000000002</v>
      </c>
      <c r="N5611">
        <f t="shared" si="2357"/>
        <v>2.980000000000004</v>
      </c>
      <c r="O5611">
        <f t="shared" si="2369"/>
        <v>105.13</v>
      </c>
      <c r="P5611">
        <f t="shared" si="2370"/>
        <v>0.32214765100670412</v>
      </c>
      <c r="Q5611" t="str">
        <f t="shared" si="2358"/>
        <v>1.87% | 0.96%</v>
      </c>
      <c r="R5611" t="str">
        <f t="shared" si="2371"/>
        <v>BEARISH</v>
      </c>
      <c r="S5611">
        <f t="shared" si="2359"/>
        <v>-1</v>
      </c>
    </row>
    <row r="5612" spans="1:19" hidden="1" x14ac:dyDescent="0.25">
      <c r="A5612" s="5" t="str">
        <f t="shared" si="2360"/>
        <v>44148GBP/USD</v>
      </c>
      <c r="B5612" s="6" t="s">
        <v>102</v>
      </c>
      <c r="C5612" s="6">
        <v>1.2909999999999999</v>
      </c>
      <c r="D5612" s="6">
        <v>1.333</v>
      </c>
      <c r="E5612" s="6">
        <v>1.3120000000000001</v>
      </c>
      <c r="F5612" t="str">
        <f t="shared" si="2361"/>
        <v>FRI</v>
      </c>
      <c r="G5612" s="3">
        <f t="shared" si="2362"/>
        <v>44148</v>
      </c>
      <c r="H5612" s="2">
        <f t="shared" ca="1" si="2363"/>
        <v>105</v>
      </c>
      <c r="I5612" t="str">
        <f t="shared" si="2364"/>
        <v>GBP/USD</v>
      </c>
      <c r="J5612">
        <f t="shared" si="2365"/>
        <v>1.2909999999999999</v>
      </c>
      <c r="K5612">
        <f t="shared" si="2366"/>
        <v>1.333</v>
      </c>
      <c r="L5612">
        <f t="shared" si="2367"/>
        <v>1.3119999999999998</v>
      </c>
      <c r="M5612">
        <f t="shared" si="2368"/>
        <v>2.1000000000000019E-2</v>
      </c>
      <c r="N5612">
        <f t="shared" si="2357"/>
        <v>4.2000000000000037E-2</v>
      </c>
      <c r="O5612">
        <f t="shared" si="2369"/>
        <v>1.3120000000000001</v>
      </c>
      <c r="P5612">
        <f t="shared" si="2370"/>
        <v>1.0573552615477672E-14</v>
      </c>
      <c r="Q5612" t="str">
        <f t="shared" si="2358"/>
        <v>1.6% | 1.6%</v>
      </c>
      <c r="R5612" t="str">
        <f t="shared" si="2371"/>
        <v>BULLISH</v>
      </c>
      <c r="S5612">
        <f t="shared" si="2359"/>
        <v>1</v>
      </c>
    </row>
    <row r="5613" spans="1:19" hidden="1" x14ac:dyDescent="0.25">
      <c r="A5613" s="5" t="str">
        <f t="shared" si="2360"/>
        <v>44148CAD/USD</v>
      </c>
      <c r="B5613" s="6" t="s">
        <v>244</v>
      </c>
      <c r="C5613" s="6">
        <v>0.75</v>
      </c>
      <c r="D5613" s="6">
        <v>0.77</v>
      </c>
      <c r="E5613" s="6">
        <v>0.76</v>
      </c>
      <c r="F5613" t="str">
        <f t="shared" si="2361"/>
        <v>FRI</v>
      </c>
      <c r="G5613" s="3">
        <f t="shared" si="2362"/>
        <v>44148</v>
      </c>
      <c r="H5613" s="2">
        <f t="shared" ca="1" si="2363"/>
        <v>105</v>
      </c>
      <c r="I5613" t="str">
        <f t="shared" si="2364"/>
        <v>CAD/USD</v>
      </c>
      <c r="J5613">
        <f t="shared" si="2365"/>
        <v>0.75</v>
      </c>
      <c r="K5613">
        <f t="shared" si="2366"/>
        <v>0.77</v>
      </c>
      <c r="L5613">
        <f t="shared" si="2367"/>
        <v>0.76</v>
      </c>
      <c r="M5613">
        <f t="shared" si="2368"/>
        <v>1.0000000000000009E-2</v>
      </c>
      <c r="N5613">
        <f t="shared" si="2357"/>
        <v>2.0000000000000018E-2</v>
      </c>
      <c r="O5613">
        <f t="shared" si="2369"/>
        <v>0.76</v>
      </c>
      <c r="P5613">
        <f t="shared" si="2370"/>
        <v>0</v>
      </c>
      <c r="Q5613" t="str">
        <f t="shared" si="2358"/>
        <v>1.32% | 1.32%</v>
      </c>
      <c r="R5613" t="str">
        <f t="shared" si="2371"/>
        <v>BULLISH</v>
      </c>
      <c r="S5613">
        <f t="shared" si="2359"/>
        <v>1</v>
      </c>
    </row>
    <row r="5614" spans="1:19" hidden="1" x14ac:dyDescent="0.25">
      <c r="A5614" s="5" t="str">
        <f t="shared" si="2360"/>
        <v>44148USD/CHF</v>
      </c>
      <c r="B5614" s="6" t="s">
        <v>76</v>
      </c>
      <c r="C5614" s="6">
        <v>0.9</v>
      </c>
      <c r="D5614" s="6">
        <v>0.92</v>
      </c>
      <c r="E5614" s="6">
        <v>0.91</v>
      </c>
      <c r="F5614" t="str">
        <f t="shared" si="2361"/>
        <v>FRI</v>
      </c>
      <c r="G5614" s="3">
        <f t="shared" si="2362"/>
        <v>44148</v>
      </c>
      <c r="H5614" s="2">
        <f t="shared" ca="1" si="2363"/>
        <v>105</v>
      </c>
      <c r="I5614" t="str">
        <f t="shared" si="2364"/>
        <v>USD/CHF</v>
      </c>
      <c r="J5614">
        <f t="shared" si="2365"/>
        <v>0.9</v>
      </c>
      <c r="K5614">
        <f t="shared" si="2366"/>
        <v>0.92</v>
      </c>
      <c r="L5614">
        <f t="shared" si="2367"/>
        <v>0.91</v>
      </c>
      <c r="M5614">
        <f t="shared" si="2368"/>
        <v>1.0000000000000009E-2</v>
      </c>
      <c r="N5614">
        <f t="shared" si="2357"/>
        <v>2.0000000000000018E-2</v>
      </c>
      <c r="O5614">
        <f t="shared" si="2369"/>
        <v>0.91</v>
      </c>
      <c r="P5614">
        <f t="shared" si="2370"/>
        <v>0</v>
      </c>
      <c r="Q5614" t="str">
        <f t="shared" si="2358"/>
        <v>1.1% | 1.1%</v>
      </c>
      <c r="R5614" t="str">
        <f t="shared" si="2371"/>
        <v>BEARISH</v>
      </c>
      <c r="S5614">
        <f t="shared" si="2359"/>
        <v>-1</v>
      </c>
    </row>
    <row r="5615" spans="1:19" hidden="1" x14ac:dyDescent="0.25">
      <c r="A5615" s="5" t="str">
        <f t="shared" si="2360"/>
        <v>44148WTIC</v>
      </c>
      <c r="B5615" s="6" t="s">
        <v>158</v>
      </c>
      <c r="C5615" s="6">
        <v>38.31</v>
      </c>
      <c r="D5615" s="6">
        <v>42.87</v>
      </c>
      <c r="E5615" s="6">
        <v>41.12</v>
      </c>
      <c r="F5615" t="str">
        <f t="shared" si="2361"/>
        <v>FRI</v>
      </c>
      <c r="G5615" s="3">
        <f t="shared" si="2362"/>
        <v>44148</v>
      </c>
      <c r="H5615" s="2">
        <f t="shared" ca="1" si="2363"/>
        <v>105</v>
      </c>
      <c r="I5615" t="str">
        <f t="shared" si="2364"/>
        <v>WTIC</v>
      </c>
      <c r="J5615">
        <f t="shared" si="2365"/>
        <v>38.31</v>
      </c>
      <c r="K5615">
        <f t="shared" si="2366"/>
        <v>42.87</v>
      </c>
      <c r="L5615">
        <f t="shared" si="2367"/>
        <v>40.590000000000003</v>
      </c>
      <c r="M5615">
        <f t="shared" si="2368"/>
        <v>2.2799999999999976</v>
      </c>
      <c r="N5615">
        <f t="shared" si="2357"/>
        <v>4.5599999999999952</v>
      </c>
      <c r="O5615">
        <f t="shared" si="2369"/>
        <v>41.12</v>
      </c>
      <c r="P5615">
        <f t="shared" si="2370"/>
        <v>0.23245614035087483</v>
      </c>
      <c r="Q5615" t="str">
        <f t="shared" si="2358"/>
        <v>6.83% | 4.26%</v>
      </c>
      <c r="R5615" t="str">
        <f t="shared" si="2371"/>
        <v>BULLISH</v>
      </c>
      <c r="S5615">
        <f t="shared" si="2359"/>
        <v>1</v>
      </c>
    </row>
    <row r="5616" spans="1:19" hidden="1" x14ac:dyDescent="0.25">
      <c r="A5616" s="5" t="str">
        <f t="shared" si="2360"/>
        <v>44148NATGAS</v>
      </c>
      <c r="B5616" s="6" t="s">
        <v>89</v>
      </c>
      <c r="C5616" s="6">
        <v>2.73</v>
      </c>
      <c r="D5616" s="6">
        <v>3.25</v>
      </c>
      <c r="E5616" s="6">
        <v>2.98</v>
      </c>
      <c r="F5616" t="str">
        <f t="shared" si="2361"/>
        <v>FRI</v>
      </c>
      <c r="G5616" s="3">
        <f t="shared" si="2362"/>
        <v>44148</v>
      </c>
      <c r="H5616" s="2">
        <f t="shared" ca="1" si="2363"/>
        <v>105</v>
      </c>
      <c r="I5616" t="str">
        <f t="shared" si="2364"/>
        <v>NATGAS</v>
      </c>
      <c r="J5616">
        <f t="shared" si="2365"/>
        <v>2.73</v>
      </c>
      <c r="K5616">
        <f t="shared" si="2366"/>
        <v>3.25</v>
      </c>
      <c r="L5616">
        <f t="shared" si="2367"/>
        <v>2.99</v>
      </c>
      <c r="M5616">
        <f t="shared" si="2368"/>
        <v>0.26</v>
      </c>
      <c r="N5616">
        <f t="shared" si="2357"/>
        <v>0.52</v>
      </c>
      <c r="O5616">
        <f t="shared" si="2369"/>
        <v>2.98</v>
      </c>
      <c r="P5616">
        <f t="shared" si="2370"/>
        <v>-3.8461538461539352E-2</v>
      </c>
      <c r="Q5616" t="str">
        <f t="shared" si="2358"/>
        <v>8.39% | 9.06%</v>
      </c>
      <c r="R5616" t="str">
        <f t="shared" si="2371"/>
        <v>BULLISH</v>
      </c>
      <c r="S5616">
        <f t="shared" si="2359"/>
        <v>1</v>
      </c>
    </row>
    <row r="5617" spans="1:19" hidden="1" x14ac:dyDescent="0.25">
      <c r="A5617" s="5" t="str">
        <f t="shared" si="2360"/>
        <v>44148GOLD</v>
      </c>
      <c r="B5617" s="6" t="s">
        <v>249</v>
      </c>
      <c r="C5617" s="6">
        <v>1829</v>
      </c>
      <c r="D5617" s="6">
        <v>1899</v>
      </c>
      <c r="E5617" s="6">
        <v>1873</v>
      </c>
      <c r="F5617" t="str">
        <f t="shared" si="2361"/>
        <v>FRI</v>
      </c>
      <c r="G5617" s="3">
        <f t="shared" si="2362"/>
        <v>44148</v>
      </c>
      <c r="H5617" s="2">
        <f t="shared" ca="1" si="2363"/>
        <v>105</v>
      </c>
      <c r="I5617" t="str">
        <f t="shared" si="2364"/>
        <v>GOLD</v>
      </c>
      <c r="J5617">
        <f t="shared" si="2365"/>
        <v>1829</v>
      </c>
      <c r="K5617">
        <f t="shared" si="2366"/>
        <v>1899</v>
      </c>
      <c r="L5617">
        <f t="shared" si="2367"/>
        <v>1864</v>
      </c>
      <c r="M5617">
        <f t="shared" si="2368"/>
        <v>35</v>
      </c>
      <c r="N5617">
        <f t="shared" si="2357"/>
        <v>70</v>
      </c>
      <c r="O5617">
        <f t="shared" si="2369"/>
        <v>1873</v>
      </c>
      <c r="P5617">
        <f t="shared" si="2370"/>
        <v>0.25714285714285712</v>
      </c>
      <c r="Q5617" t="str">
        <f t="shared" si="2358"/>
        <v>2.35% | 1.39%</v>
      </c>
      <c r="R5617" t="str">
        <f t="shared" si="2371"/>
        <v>NEUTRAL</v>
      </c>
      <c r="S5617">
        <f t="shared" si="2359"/>
        <v>0</v>
      </c>
    </row>
    <row r="5618" spans="1:19" hidden="1" x14ac:dyDescent="0.25">
      <c r="A5618" s="5" t="str">
        <f t="shared" si="2360"/>
        <v>44148SILVER</v>
      </c>
      <c r="B5618" s="6" t="s">
        <v>241</v>
      </c>
      <c r="C5618" s="6">
        <v>22.24</v>
      </c>
      <c r="D5618" s="6">
        <v>25.63</v>
      </c>
      <c r="E5618" s="6">
        <v>24.31</v>
      </c>
      <c r="F5618" t="str">
        <f t="shared" si="2361"/>
        <v>FRI</v>
      </c>
      <c r="G5618" s="3">
        <f t="shared" si="2362"/>
        <v>44148</v>
      </c>
      <c r="H5618" s="2">
        <f t="shared" ca="1" si="2363"/>
        <v>105</v>
      </c>
      <c r="I5618" t="str">
        <f t="shared" si="2364"/>
        <v>SILVER</v>
      </c>
      <c r="J5618">
        <f t="shared" si="2365"/>
        <v>22.24</v>
      </c>
      <c r="K5618">
        <f t="shared" si="2366"/>
        <v>25.63</v>
      </c>
      <c r="L5618">
        <f t="shared" si="2367"/>
        <v>23.934999999999999</v>
      </c>
      <c r="M5618">
        <f t="shared" si="2368"/>
        <v>1.6950000000000003</v>
      </c>
      <c r="N5618">
        <f t="shared" si="2357"/>
        <v>3.3900000000000006</v>
      </c>
      <c r="O5618">
        <f t="shared" si="2369"/>
        <v>24.31</v>
      </c>
      <c r="P5618">
        <f t="shared" si="2370"/>
        <v>0.2212389380530973</v>
      </c>
      <c r="Q5618" t="str">
        <f t="shared" si="2358"/>
        <v>8.52% | 5.43%</v>
      </c>
      <c r="R5618" t="str">
        <f t="shared" si="2371"/>
        <v>NEUTRAL</v>
      </c>
      <c r="S5618">
        <f t="shared" si="2359"/>
        <v>0</v>
      </c>
    </row>
    <row r="5619" spans="1:19" hidden="1" x14ac:dyDescent="0.25">
      <c r="A5619" s="5" t="str">
        <f t="shared" si="2360"/>
        <v>44148COPPER</v>
      </c>
      <c r="B5619" s="6" t="s">
        <v>100</v>
      </c>
      <c r="C5619" s="6">
        <v>3.06</v>
      </c>
      <c r="D5619" s="6">
        <v>3.2</v>
      </c>
      <c r="E5619" s="6">
        <v>3.14</v>
      </c>
      <c r="F5619" t="str">
        <f t="shared" si="2361"/>
        <v>FRI</v>
      </c>
      <c r="G5619" s="3">
        <f t="shared" si="2362"/>
        <v>44148</v>
      </c>
      <c r="H5619" s="2">
        <f t="shared" ca="1" si="2363"/>
        <v>105</v>
      </c>
      <c r="I5619" t="str">
        <f t="shared" si="2364"/>
        <v>COPPER</v>
      </c>
      <c r="J5619">
        <f t="shared" si="2365"/>
        <v>3.06</v>
      </c>
      <c r="K5619">
        <f t="shared" si="2366"/>
        <v>3.2</v>
      </c>
      <c r="L5619">
        <f t="shared" si="2367"/>
        <v>3.13</v>
      </c>
      <c r="M5619">
        <f t="shared" si="2368"/>
        <v>7.0000000000000062E-2</v>
      </c>
      <c r="N5619">
        <f t="shared" si="2357"/>
        <v>0.14000000000000012</v>
      </c>
      <c r="O5619">
        <f t="shared" si="2369"/>
        <v>3.14</v>
      </c>
      <c r="P5619">
        <f t="shared" si="2370"/>
        <v>0.14285714285714604</v>
      </c>
      <c r="Q5619" t="str">
        <f t="shared" si="2358"/>
        <v>2.55% | 1.91%</v>
      </c>
      <c r="R5619" t="str">
        <f t="shared" si="2371"/>
        <v>BULLISH</v>
      </c>
      <c r="S5619">
        <f t="shared" si="2359"/>
        <v>1</v>
      </c>
    </row>
    <row r="5620" spans="1:19" hidden="1" x14ac:dyDescent="0.25">
      <c r="A5620" s="5" t="str">
        <f t="shared" si="2360"/>
        <v>44148MSFT</v>
      </c>
      <c r="B5620" s="6" t="s">
        <v>235</v>
      </c>
      <c r="C5620" s="6">
        <v>200</v>
      </c>
      <c r="D5620" s="6">
        <v>229</v>
      </c>
      <c r="E5620" s="6">
        <v>215</v>
      </c>
      <c r="F5620" t="str">
        <f t="shared" si="2361"/>
        <v>FRI</v>
      </c>
      <c r="G5620" s="3">
        <f t="shared" si="2362"/>
        <v>44148</v>
      </c>
      <c r="H5620" s="2">
        <f t="shared" ca="1" si="2363"/>
        <v>105</v>
      </c>
      <c r="I5620" t="str">
        <f t="shared" si="2364"/>
        <v>MSFT</v>
      </c>
      <c r="J5620">
        <f t="shared" si="2365"/>
        <v>200</v>
      </c>
      <c r="K5620">
        <f t="shared" si="2366"/>
        <v>229</v>
      </c>
      <c r="L5620">
        <f t="shared" si="2367"/>
        <v>214.5</v>
      </c>
      <c r="M5620">
        <f t="shared" si="2368"/>
        <v>14.5</v>
      </c>
      <c r="N5620">
        <f t="shared" si="2357"/>
        <v>29</v>
      </c>
      <c r="O5620">
        <f t="shared" si="2369"/>
        <v>215</v>
      </c>
      <c r="P5620">
        <f t="shared" si="2370"/>
        <v>3.4482758620689655E-2</v>
      </c>
      <c r="Q5620" t="str">
        <f t="shared" si="2358"/>
        <v>6.98% | 6.51%</v>
      </c>
      <c r="R5620" t="str">
        <f t="shared" si="2371"/>
        <v>NEUTRAL</v>
      </c>
      <c r="S5620">
        <f t="shared" si="2359"/>
        <v>0</v>
      </c>
    </row>
    <row r="5621" spans="1:19" hidden="1" x14ac:dyDescent="0.25">
      <c r="A5621" s="5" t="str">
        <f t="shared" si="2360"/>
        <v>44148AAPL</v>
      </c>
      <c r="B5621" s="6" t="s">
        <v>28</v>
      </c>
      <c r="C5621" s="6">
        <v>108</v>
      </c>
      <c r="D5621" s="6">
        <v>125</v>
      </c>
      <c r="E5621" s="6">
        <v>119</v>
      </c>
      <c r="F5621" t="str">
        <f t="shared" si="2361"/>
        <v>FRI</v>
      </c>
      <c r="G5621" s="3">
        <f t="shared" si="2362"/>
        <v>44148</v>
      </c>
      <c r="H5621" s="2">
        <f t="shared" ca="1" si="2363"/>
        <v>105</v>
      </c>
      <c r="I5621" t="str">
        <f t="shared" si="2364"/>
        <v>AAPL</v>
      </c>
      <c r="J5621">
        <f t="shared" si="2365"/>
        <v>108</v>
      </c>
      <c r="K5621">
        <f t="shared" si="2366"/>
        <v>125</v>
      </c>
      <c r="L5621">
        <f t="shared" si="2367"/>
        <v>116.5</v>
      </c>
      <c r="M5621">
        <f t="shared" si="2368"/>
        <v>8.5</v>
      </c>
      <c r="N5621">
        <f t="shared" si="2357"/>
        <v>17</v>
      </c>
      <c r="O5621">
        <f t="shared" si="2369"/>
        <v>119</v>
      </c>
      <c r="P5621">
        <f t="shared" si="2370"/>
        <v>0.29411764705882354</v>
      </c>
      <c r="Q5621" t="str">
        <f t="shared" si="2358"/>
        <v>9.24% | 5.04%</v>
      </c>
      <c r="R5621" t="str">
        <f t="shared" si="2371"/>
        <v>BULLISH</v>
      </c>
      <c r="S5621">
        <f t="shared" si="2359"/>
        <v>1</v>
      </c>
    </row>
    <row r="5622" spans="1:19" hidden="1" x14ac:dyDescent="0.25">
      <c r="A5622" s="5" t="str">
        <f t="shared" si="2360"/>
        <v>44148AMZN</v>
      </c>
      <c r="B5622" s="6" t="s">
        <v>73</v>
      </c>
      <c r="C5622" s="6">
        <v>2918</v>
      </c>
      <c r="D5622" s="6">
        <v>3197</v>
      </c>
      <c r="E5622" s="6">
        <v>3110</v>
      </c>
      <c r="F5622" t="str">
        <f t="shared" si="2361"/>
        <v>FRI</v>
      </c>
      <c r="G5622" s="3">
        <f t="shared" si="2362"/>
        <v>44148</v>
      </c>
      <c r="H5622" s="2">
        <f t="shared" ca="1" si="2363"/>
        <v>105</v>
      </c>
      <c r="I5622" t="str">
        <f t="shared" si="2364"/>
        <v>AMZN</v>
      </c>
      <c r="J5622">
        <f t="shared" si="2365"/>
        <v>2918</v>
      </c>
      <c r="K5622">
        <f t="shared" si="2366"/>
        <v>3197</v>
      </c>
      <c r="L5622">
        <f t="shared" si="2367"/>
        <v>3057.5</v>
      </c>
      <c r="M5622">
        <f t="shared" si="2368"/>
        <v>139.5</v>
      </c>
      <c r="N5622">
        <f t="shared" si="2357"/>
        <v>279</v>
      </c>
      <c r="O5622">
        <f t="shared" si="2369"/>
        <v>3110</v>
      </c>
      <c r="P5622">
        <f t="shared" si="2370"/>
        <v>0.37634408602150538</v>
      </c>
      <c r="Q5622" t="str">
        <f t="shared" si="2358"/>
        <v>6.17% | 2.8%</v>
      </c>
      <c r="R5622" t="str">
        <f t="shared" si="2371"/>
        <v>BEARISH</v>
      </c>
      <c r="S5622">
        <f t="shared" si="2359"/>
        <v>-1</v>
      </c>
    </row>
    <row r="5623" spans="1:19" hidden="1" x14ac:dyDescent="0.25">
      <c r="A5623" s="5" t="str">
        <f t="shared" si="2360"/>
        <v>44148FB</v>
      </c>
      <c r="B5623" s="6" t="s">
        <v>30</v>
      </c>
      <c r="C5623" s="6">
        <v>255</v>
      </c>
      <c r="D5623" s="6">
        <v>300</v>
      </c>
      <c r="E5623" s="6">
        <v>275</v>
      </c>
      <c r="F5623" t="str">
        <f t="shared" si="2361"/>
        <v>FRI</v>
      </c>
      <c r="G5623" s="3">
        <f t="shared" si="2362"/>
        <v>44148</v>
      </c>
      <c r="H5623" s="2">
        <f t="shared" ca="1" si="2363"/>
        <v>105</v>
      </c>
      <c r="I5623" t="str">
        <f t="shared" si="2364"/>
        <v>FB</v>
      </c>
      <c r="J5623">
        <f t="shared" si="2365"/>
        <v>255</v>
      </c>
      <c r="K5623">
        <f t="shared" si="2366"/>
        <v>300</v>
      </c>
      <c r="L5623">
        <f t="shared" si="2367"/>
        <v>277.5</v>
      </c>
      <c r="M5623">
        <f t="shared" si="2368"/>
        <v>22.5</v>
      </c>
      <c r="N5623">
        <f t="shared" si="2357"/>
        <v>45</v>
      </c>
      <c r="O5623">
        <f t="shared" si="2369"/>
        <v>275</v>
      </c>
      <c r="P5623">
        <f t="shared" si="2370"/>
        <v>-0.1111111111111111</v>
      </c>
      <c r="Q5623" t="str">
        <f t="shared" si="2358"/>
        <v>7.27% | 9.09%</v>
      </c>
      <c r="R5623" t="str">
        <f t="shared" si="2371"/>
        <v>BULLISH</v>
      </c>
      <c r="S5623">
        <f t="shared" si="2359"/>
        <v>1</v>
      </c>
    </row>
    <row r="5624" spans="1:19" hidden="1" x14ac:dyDescent="0.25">
      <c r="A5624" s="5" t="str">
        <f t="shared" si="2360"/>
        <v>44148GOOGL</v>
      </c>
      <c r="B5624" s="6" t="s">
        <v>31</v>
      </c>
      <c r="C5624" s="6">
        <v>1637</v>
      </c>
      <c r="D5624" s="6">
        <v>1829</v>
      </c>
      <c r="E5624" s="6">
        <v>1742</v>
      </c>
      <c r="F5624" t="str">
        <f t="shared" si="2361"/>
        <v>FRI</v>
      </c>
      <c r="G5624" s="3">
        <f t="shared" si="2362"/>
        <v>44148</v>
      </c>
      <c r="H5624" s="2">
        <f t="shared" ca="1" si="2363"/>
        <v>105</v>
      </c>
      <c r="I5624" t="str">
        <f t="shared" si="2364"/>
        <v>GOOGL</v>
      </c>
      <c r="J5624">
        <f t="shared" si="2365"/>
        <v>1637</v>
      </c>
      <c r="K5624">
        <f t="shared" si="2366"/>
        <v>1829</v>
      </c>
      <c r="L5624">
        <f t="shared" si="2367"/>
        <v>1733</v>
      </c>
      <c r="M5624">
        <f t="shared" si="2368"/>
        <v>96</v>
      </c>
      <c r="N5624">
        <f t="shared" si="2357"/>
        <v>192</v>
      </c>
      <c r="O5624">
        <f t="shared" si="2369"/>
        <v>1742</v>
      </c>
      <c r="P5624">
        <f t="shared" si="2370"/>
        <v>9.375E-2</v>
      </c>
      <c r="Q5624" t="str">
        <f t="shared" si="2358"/>
        <v>6.03% | 4.99%</v>
      </c>
      <c r="R5624" t="str">
        <f t="shared" si="2371"/>
        <v>BULLISH</v>
      </c>
      <c r="S5624">
        <f t="shared" si="2359"/>
        <v>1</v>
      </c>
    </row>
    <row r="5625" spans="1:19" hidden="1" x14ac:dyDescent="0.25">
      <c r="A5625" s="5" t="str">
        <f t="shared" si="2360"/>
        <v>44148NFLX</v>
      </c>
      <c r="B5625" s="6" t="s">
        <v>81</v>
      </c>
      <c r="C5625" s="6">
        <v>461</v>
      </c>
      <c r="D5625" s="6">
        <v>499</v>
      </c>
      <c r="E5625" s="6">
        <v>486</v>
      </c>
      <c r="F5625" t="str">
        <f t="shared" si="2361"/>
        <v>FRI</v>
      </c>
      <c r="G5625" s="3">
        <f t="shared" si="2362"/>
        <v>44148</v>
      </c>
      <c r="H5625" s="2">
        <f t="shared" ca="1" si="2363"/>
        <v>105</v>
      </c>
      <c r="I5625" t="str">
        <f t="shared" si="2364"/>
        <v>NFLX</v>
      </c>
      <c r="J5625">
        <f t="shared" si="2365"/>
        <v>461</v>
      </c>
      <c r="K5625">
        <f t="shared" si="2366"/>
        <v>499</v>
      </c>
      <c r="L5625">
        <f t="shared" si="2367"/>
        <v>480</v>
      </c>
      <c r="M5625">
        <f t="shared" si="2368"/>
        <v>19</v>
      </c>
      <c r="N5625">
        <f t="shared" si="2357"/>
        <v>38</v>
      </c>
      <c r="O5625">
        <f t="shared" si="2369"/>
        <v>486</v>
      </c>
      <c r="P5625">
        <f t="shared" si="2370"/>
        <v>0.31578947368421051</v>
      </c>
      <c r="Q5625" t="str">
        <f t="shared" si="2358"/>
        <v>5.14% | 2.67%</v>
      </c>
      <c r="R5625" t="str">
        <f t="shared" si="2371"/>
        <v>BEARISH</v>
      </c>
      <c r="S5625">
        <f t="shared" si="2359"/>
        <v>-1</v>
      </c>
    </row>
    <row r="5626" spans="1:19" x14ac:dyDescent="0.25">
      <c r="A5626" s="5" t="str">
        <f t="shared" si="2360"/>
        <v>44148TSLA</v>
      </c>
      <c r="B5626" s="6" t="s">
        <v>71</v>
      </c>
      <c r="C5626" s="6">
        <v>391</v>
      </c>
      <c r="D5626" s="6">
        <v>441</v>
      </c>
      <c r="E5626" s="6">
        <v>411</v>
      </c>
      <c r="F5626" t="str">
        <f t="shared" si="2361"/>
        <v>FRI</v>
      </c>
      <c r="G5626" s="3">
        <f t="shared" si="2362"/>
        <v>44148</v>
      </c>
      <c r="H5626" s="2">
        <f t="shared" ca="1" si="2363"/>
        <v>105</v>
      </c>
      <c r="I5626" t="str">
        <f t="shared" si="2364"/>
        <v>TSLA</v>
      </c>
      <c r="J5626">
        <f t="shared" si="2365"/>
        <v>391</v>
      </c>
      <c r="K5626">
        <f t="shared" si="2366"/>
        <v>441</v>
      </c>
      <c r="L5626">
        <f t="shared" si="2367"/>
        <v>416</v>
      </c>
      <c r="M5626">
        <f t="shared" si="2368"/>
        <v>25</v>
      </c>
      <c r="N5626">
        <f t="shared" si="2357"/>
        <v>50</v>
      </c>
      <c r="O5626">
        <f t="shared" si="2369"/>
        <v>411</v>
      </c>
      <c r="P5626">
        <f t="shared" si="2370"/>
        <v>-0.2</v>
      </c>
      <c r="Q5626" t="str">
        <f t="shared" si="2358"/>
        <v>4.87% | 7.3%</v>
      </c>
      <c r="R5626" t="str">
        <f t="shared" si="2371"/>
        <v>NEUTRAL</v>
      </c>
      <c r="S5626">
        <f t="shared" si="2359"/>
        <v>0</v>
      </c>
    </row>
    <row r="5627" spans="1:19" hidden="1" x14ac:dyDescent="0.25">
      <c r="A5627" s="5" t="str">
        <f t="shared" si="2360"/>
        <v>44148NYXBT</v>
      </c>
      <c r="B5627" s="6" t="s">
        <v>60</v>
      </c>
      <c r="C5627" s="6">
        <v>14829</v>
      </c>
      <c r="D5627" s="6">
        <v>16597</v>
      </c>
      <c r="E5627" s="6">
        <v>16114</v>
      </c>
      <c r="F5627" t="str">
        <f t="shared" si="2361"/>
        <v>FRI</v>
      </c>
      <c r="G5627" s="3">
        <f t="shared" si="2362"/>
        <v>44148</v>
      </c>
      <c r="H5627" s="2">
        <f t="shared" ca="1" si="2363"/>
        <v>105</v>
      </c>
      <c r="I5627" t="str">
        <f t="shared" si="2364"/>
        <v>NYXBT</v>
      </c>
      <c r="J5627">
        <f t="shared" si="2365"/>
        <v>14829</v>
      </c>
      <c r="K5627">
        <f t="shared" si="2366"/>
        <v>16597</v>
      </c>
      <c r="L5627">
        <f t="shared" si="2367"/>
        <v>15713</v>
      </c>
      <c r="M5627">
        <f t="shared" si="2368"/>
        <v>884</v>
      </c>
      <c r="N5627">
        <f t="shared" si="2357"/>
        <v>1768</v>
      </c>
      <c r="O5627">
        <f t="shared" si="2369"/>
        <v>16114</v>
      </c>
      <c r="P5627">
        <f t="shared" si="2370"/>
        <v>0.45361990950226244</v>
      </c>
      <c r="Q5627" t="str">
        <f t="shared" si="2358"/>
        <v>7.97% | 3%</v>
      </c>
      <c r="R5627" t="str">
        <f t="shared" si="2371"/>
        <v>BULLISH</v>
      </c>
      <c r="S5627">
        <f t="shared" si="2359"/>
        <v>1</v>
      </c>
    </row>
    <row r="5628" spans="1:19" hidden="1" x14ac:dyDescent="0.25">
      <c r="A5628" s="5" t="str">
        <f t="shared" si="2360"/>
        <v>44151UST10Y</v>
      </c>
      <c r="B5628" s="6" t="s">
        <v>246</v>
      </c>
      <c r="C5628" s="6">
        <v>1</v>
      </c>
      <c r="D5628" s="6">
        <v>0.76</v>
      </c>
      <c r="E5628" s="6">
        <v>0.89</v>
      </c>
      <c r="F5628" t="str">
        <f t="shared" si="2361"/>
        <v>MON</v>
      </c>
      <c r="G5628" s="1">
        <f>DATE(2020,11,16)</f>
        <v>44151</v>
      </c>
      <c r="H5628" s="2">
        <f t="shared" ca="1" si="2363"/>
        <v>102</v>
      </c>
      <c r="I5628" t="str">
        <f t="shared" si="2364"/>
        <v>UST10Y</v>
      </c>
      <c r="J5628">
        <f t="shared" si="2365"/>
        <v>1</v>
      </c>
      <c r="K5628">
        <f t="shared" si="2366"/>
        <v>0.76</v>
      </c>
      <c r="L5628">
        <f t="shared" si="2367"/>
        <v>0.88</v>
      </c>
      <c r="M5628">
        <f t="shared" si="2368"/>
        <v>0.11999999999999987</v>
      </c>
      <c r="N5628">
        <f t="shared" si="2357"/>
        <v>0.24</v>
      </c>
      <c r="O5628">
        <f t="shared" si="2369"/>
        <v>0.89</v>
      </c>
      <c r="P5628">
        <f t="shared" si="2370"/>
        <v>8.3333333333333495E-2</v>
      </c>
      <c r="Q5628" t="str">
        <f t="shared" si="2358"/>
        <v>12.36% | 14.61%</v>
      </c>
      <c r="R5628" t="str">
        <f t="shared" si="2371"/>
        <v>NEUTRAL</v>
      </c>
      <c r="S5628">
        <f t="shared" si="2359"/>
        <v>0</v>
      </c>
    </row>
    <row r="5629" spans="1:19" hidden="1" x14ac:dyDescent="0.25">
      <c r="A5629" s="5" t="str">
        <f t="shared" si="2360"/>
        <v>44151UST2Y</v>
      </c>
      <c r="B5629" s="6" t="s">
        <v>5</v>
      </c>
      <c r="C5629" s="6">
        <v>0.19</v>
      </c>
      <c r="D5629" s="6">
        <v>0.13</v>
      </c>
      <c r="E5629" s="6">
        <v>0.17</v>
      </c>
      <c r="F5629" t="str">
        <f t="shared" ref="F5629:F5660" si="2372">UPPER(TEXT(G5629,"ddd"))</f>
        <v>MON</v>
      </c>
      <c r="G5629" s="1">
        <f t="shared" ref="G5629:G5659" si="2373">DATE(2020,11,16)</f>
        <v>44151</v>
      </c>
      <c r="H5629" s="2">
        <f t="shared" ref="H5629:H5660" ca="1" si="2374">TODAY()-G5629</f>
        <v>102</v>
      </c>
      <c r="I5629" t="str">
        <f t="shared" ref="I5629:I5660" si="2375">TRIM(LEFT(B5629,FIND(" ",B5629,1)))</f>
        <v>UST2Y</v>
      </c>
      <c r="J5629">
        <f t="shared" ref="J5629:J5660" si="2376">C5629</f>
        <v>0.19</v>
      </c>
      <c r="K5629">
        <f t="shared" ref="K5629:K5660" si="2377">D5629</f>
        <v>0.13</v>
      </c>
      <c r="L5629">
        <f t="shared" ref="L5629:L5660" si="2378">AVERAGE(J5629:K5629)</f>
        <v>0.16</v>
      </c>
      <c r="M5629">
        <f t="shared" ref="M5629:M5660" si="2379">_xlfn.STDEV.P(J5629:K5629)</f>
        <v>3.0000000000000023E-2</v>
      </c>
      <c r="N5629">
        <f t="shared" si="2357"/>
        <v>0.06</v>
      </c>
      <c r="O5629">
        <f t="shared" ref="O5629:O5660" si="2380">E5629</f>
        <v>0.17</v>
      </c>
      <c r="P5629">
        <f t="shared" ref="P5629:P5660" si="2381">(O5629-L5629)/M5629</f>
        <v>0.33333333333333337</v>
      </c>
      <c r="Q5629" t="str">
        <f t="shared" si="2358"/>
        <v>11.76% | 23.53%</v>
      </c>
      <c r="R5629" t="str">
        <f t="shared" ref="R5629:R5660" si="2382">MID(B5629,FIND("(",B5629,1)+1,FIND(")",B5629,1)-FIND("(",B5629,1)-1)</f>
        <v>BEARISH</v>
      </c>
      <c r="S5629">
        <f t="shared" si="2359"/>
        <v>-1</v>
      </c>
    </row>
    <row r="5630" spans="1:19" hidden="1" x14ac:dyDescent="0.25">
      <c r="A5630" s="5" t="str">
        <f t="shared" si="2360"/>
        <v>44151SPX</v>
      </c>
      <c r="B5630" s="6" t="s">
        <v>93</v>
      </c>
      <c r="C5630" s="6">
        <v>3385</v>
      </c>
      <c r="D5630" s="6">
        <v>3644</v>
      </c>
      <c r="E5630" s="6">
        <v>3585</v>
      </c>
      <c r="F5630" t="str">
        <f t="shared" si="2372"/>
        <v>MON</v>
      </c>
      <c r="G5630" s="1">
        <f t="shared" si="2373"/>
        <v>44151</v>
      </c>
      <c r="H5630" s="2">
        <f t="shared" ca="1" si="2374"/>
        <v>102</v>
      </c>
      <c r="I5630" t="str">
        <f t="shared" si="2375"/>
        <v>SPX</v>
      </c>
      <c r="J5630">
        <f t="shared" si="2376"/>
        <v>3385</v>
      </c>
      <c r="K5630">
        <f t="shared" si="2377"/>
        <v>3644</v>
      </c>
      <c r="L5630">
        <f t="shared" si="2378"/>
        <v>3514.5</v>
      </c>
      <c r="M5630">
        <f t="shared" si="2379"/>
        <v>129.5</v>
      </c>
      <c r="N5630">
        <f t="shared" si="2357"/>
        <v>259</v>
      </c>
      <c r="O5630">
        <f t="shared" si="2380"/>
        <v>3585</v>
      </c>
      <c r="P5630">
        <f t="shared" si="2381"/>
        <v>0.54440154440154442</v>
      </c>
      <c r="Q5630" t="str">
        <f t="shared" si="2358"/>
        <v>5.58% | 1.65%</v>
      </c>
      <c r="R5630" t="str">
        <f t="shared" si="2382"/>
        <v>BULLISH</v>
      </c>
      <c r="S5630">
        <f t="shared" si="2359"/>
        <v>1</v>
      </c>
    </row>
    <row r="5631" spans="1:19" hidden="1" x14ac:dyDescent="0.25">
      <c r="A5631" s="5" t="str">
        <f t="shared" si="2360"/>
        <v>44151RUT</v>
      </c>
      <c r="B5631" s="6" t="s">
        <v>247</v>
      </c>
      <c r="C5631" s="6">
        <v>1584</v>
      </c>
      <c r="D5631" s="6">
        <v>1784</v>
      </c>
      <c r="E5631" s="6">
        <v>1744</v>
      </c>
      <c r="F5631" t="str">
        <f t="shared" si="2372"/>
        <v>MON</v>
      </c>
      <c r="G5631" s="1">
        <f t="shared" si="2373"/>
        <v>44151</v>
      </c>
      <c r="H5631" s="2">
        <f t="shared" ca="1" si="2374"/>
        <v>102</v>
      </c>
      <c r="I5631" t="str">
        <f t="shared" si="2375"/>
        <v>RUT</v>
      </c>
      <c r="J5631">
        <f t="shared" si="2376"/>
        <v>1584</v>
      </c>
      <c r="K5631">
        <f t="shared" si="2377"/>
        <v>1784</v>
      </c>
      <c r="L5631">
        <f t="shared" si="2378"/>
        <v>1684</v>
      </c>
      <c r="M5631">
        <f t="shared" si="2379"/>
        <v>100</v>
      </c>
      <c r="N5631">
        <f t="shared" si="2357"/>
        <v>200</v>
      </c>
      <c r="O5631">
        <f t="shared" si="2380"/>
        <v>1744</v>
      </c>
      <c r="P5631">
        <f t="shared" si="2381"/>
        <v>0.6</v>
      </c>
      <c r="Q5631" t="str">
        <f t="shared" si="2358"/>
        <v>9.17% | 2.29%</v>
      </c>
      <c r="R5631" t="str">
        <f t="shared" si="2382"/>
        <v>BULLISH</v>
      </c>
      <c r="S5631">
        <f t="shared" si="2359"/>
        <v>1</v>
      </c>
    </row>
    <row r="5632" spans="1:19" hidden="1" x14ac:dyDescent="0.25">
      <c r="A5632" s="5" t="str">
        <f t="shared" si="2360"/>
        <v>44151COMPQ</v>
      </c>
      <c r="B5632" s="6" t="s">
        <v>8</v>
      </c>
      <c r="C5632" s="6">
        <v>11239</v>
      </c>
      <c r="D5632" s="6">
        <v>12115</v>
      </c>
      <c r="E5632" s="6">
        <v>11829</v>
      </c>
      <c r="F5632" t="str">
        <f t="shared" si="2372"/>
        <v>MON</v>
      </c>
      <c r="G5632" s="1">
        <f t="shared" si="2373"/>
        <v>44151</v>
      </c>
      <c r="H5632" s="2">
        <f t="shared" ca="1" si="2374"/>
        <v>102</v>
      </c>
      <c r="I5632" t="str">
        <f t="shared" si="2375"/>
        <v>COMPQ</v>
      </c>
      <c r="J5632">
        <f t="shared" si="2376"/>
        <v>11239</v>
      </c>
      <c r="K5632">
        <f t="shared" si="2377"/>
        <v>12115</v>
      </c>
      <c r="L5632">
        <f t="shared" si="2378"/>
        <v>11677</v>
      </c>
      <c r="M5632">
        <f t="shared" si="2379"/>
        <v>438</v>
      </c>
      <c r="N5632">
        <f t="shared" si="2357"/>
        <v>876</v>
      </c>
      <c r="O5632">
        <f t="shared" si="2380"/>
        <v>11829</v>
      </c>
      <c r="P5632">
        <f t="shared" si="2381"/>
        <v>0.34703196347031962</v>
      </c>
      <c r="Q5632" t="str">
        <f t="shared" si="2358"/>
        <v>4.99% | 2.42%</v>
      </c>
      <c r="R5632" t="str">
        <f t="shared" si="2382"/>
        <v>BULLISH</v>
      </c>
      <c r="S5632">
        <f t="shared" si="2359"/>
        <v>1</v>
      </c>
    </row>
    <row r="5633" spans="1:19" hidden="1" x14ac:dyDescent="0.25">
      <c r="A5633" s="5" t="str">
        <f t="shared" si="2360"/>
        <v>44151XLK</v>
      </c>
      <c r="B5633" s="6" t="s">
        <v>10</v>
      </c>
      <c r="C5633" s="6">
        <v>113.51</v>
      </c>
      <c r="D5633" s="6">
        <v>124.99</v>
      </c>
      <c r="E5633" s="6">
        <v>121.2</v>
      </c>
      <c r="F5633" t="str">
        <f t="shared" si="2372"/>
        <v>MON</v>
      </c>
      <c r="G5633" s="1">
        <f t="shared" si="2373"/>
        <v>44151</v>
      </c>
      <c r="H5633" s="2">
        <f t="shared" ca="1" si="2374"/>
        <v>102</v>
      </c>
      <c r="I5633" t="str">
        <f t="shared" si="2375"/>
        <v>XLK</v>
      </c>
      <c r="J5633">
        <f t="shared" si="2376"/>
        <v>113.51</v>
      </c>
      <c r="K5633">
        <f t="shared" si="2377"/>
        <v>124.99</v>
      </c>
      <c r="L5633">
        <f t="shared" si="2378"/>
        <v>119.25</v>
      </c>
      <c r="M5633">
        <f t="shared" si="2379"/>
        <v>5.7399999999999949</v>
      </c>
      <c r="N5633">
        <f t="shared" si="2357"/>
        <v>11.47999999999999</v>
      </c>
      <c r="O5633">
        <f t="shared" si="2380"/>
        <v>121.2</v>
      </c>
      <c r="P5633">
        <f t="shared" si="2381"/>
        <v>0.33972125435540151</v>
      </c>
      <c r="Q5633" t="str">
        <f t="shared" si="2358"/>
        <v>6.34% | 3.13%</v>
      </c>
      <c r="R5633" t="str">
        <f t="shared" si="2382"/>
        <v>BULLISH</v>
      </c>
      <c r="S5633">
        <f t="shared" si="2359"/>
        <v>1</v>
      </c>
    </row>
    <row r="5634" spans="1:19" hidden="1" x14ac:dyDescent="0.25">
      <c r="A5634" s="5" t="str">
        <f t="shared" si="2360"/>
        <v>44151XLU</v>
      </c>
      <c r="B5634" s="6" t="s">
        <v>52</v>
      </c>
      <c r="C5634" s="6">
        <v>63.14</v>
      </c>
      <c r="D5634" s="6">
        <v>67.17</v>
      </c>
      <c r="E5634" s="6">
        <v>66.09</v>
      </c>
      <c r="F5634" t="str">
        <f t="shared" si="2372"/>
        <v>MON</v>
      </c>
      <c r="G5634" s="1">
        <f t="shared" si="2373"/>
        <v>44151</v>
      </c>
      <c r="H5634" s="2">
        <f t="shared" ca="1" si="2374"/>
        <v>102</v>
      </c>
      <c r="I5634" t="str">
        <f t="shared" si="2375"/>
        <v>XLU</v>
      </c>
      <c r="J5634">
        <f t="shared" si="2376"/>
        <v>63.14</v>
      </c>
      <c r="K5634">
        <f t="shared" si="2377"/>
        <v>67.17</v>
      </c>
      <c r="L5634">
        <f t="shared" si="2378"/>
        <v>65.155000000000001</v>
      </c>
      <c r="M5634">
        <f t="shared" si="2379"/>
        <v>2.0150000000000006</v>
      </c>
      <c r="N5634">
        <f t="shared" si="2357"/>
        <v>4.0300000000000011</v>
      </c>
      <c r="O5634">
        <f t="shared" si="2380"/>
        <v>66.09</v>
      </c>
      <c r="P5634">
        <f t="shared" si="2381"/>
        <v>0.4640198511166263</v>
      </c>
      <c r="Q5634" t="str">
        <f t="shared" si="2358"/>
        <v>4.46% | 1.63%</v>
      </c>
      <c r="R5634" t="str">
        <f t="shared" si="2382"/>
        <v>BULLISH</v>
      </c>
      <c r="S5634">
        <f t="shared" si="2359"/>
        <v>1</v>
      </c>
    </row>
    <row r="5635" spans="1:19" hidden="1" x14ac:dyDescent="0.25">
      <c r="A5635" s="5" t="str">
        <f t="shared" si="2360"/>
        <v>44151XLF</v>
      </c>
      <c r="B5635" s="6" t="s">
        <v>252</v>
      </c>
      <c r="C5635" s="6">
        <v>24.69</v>
      </c>
      <c r="D5635" s="6">
        <v>28.25</v>
      </c>
      <c r="E5635" s="6">
        <v>27.03</v>
      </c>
      <c r="F5635" t="str">
        <f t="shared" si="2372"/>
        <v>MON</v>
      </c>
      <c r="G5635" s="1">
        <f t="shared" si="2373"/>
        <v>44151</v>
      </c>
      <c r="H5635" s="2">
        <f t="shared" ca="1" si="2374"/>
        <v>102</v>
      </c>
      <c r="I5635" t="str">
        <f t="shared" si="2375"/>
        <v>XLF</v>
      </c>
      <c r="J5635">
        <f t="shared" si="2376"/>
        <v>24.69</v>
      </c>
      <c r="K5635">
        <f t="shared" si="2377"/>
        <v>28.25</v>
      </c>
      <c r="L5635">
        <f t="shared" si="2378"/>
        <v>26.47</v>
      </c>
      <c r="M5635">
        <f t="shared" si="2379"/>
        <v>1.7799999999999994</v>
      </c>
      <c r="N5635">
        <f t="shared" ref="N5635:N5698" si="2383">ABS(K5635-J5635)</f>
        <v>3.5599999999999987</v>
      </c>
      <c r="O5635">
        <f t="shared" si="2380"/>
        <v>27.03</v>
      </c>
      <c r="P5635">
        <f t="shared" si="2381"/>
        <v>0.31460674157303509</v>
      </c>
      <c r="Q5635" t="str">
        <f t="shared" ref="Q5635:Q5698" si="2384">ROUND(ABS(100*(O5635-J5635)/O5635),2)&amp;"% | "&amp;ROUND(ABS(100*(K5635-O5635)/O5635),2)&amp;"%"</f>
        <v>8.66% | 4.51%</v>
      </c>
      <c r="R5635" t="str">
        <f t="shared" si="2382"/>
        <v>BULLISH</v>
      </c>
      <c r="S5635">
        <f t="shared" ref="S5635:S5698" si="2385">IF(R5635="BEARISH",-1,IF(R5635="NEUTRAL",0,IF(R5635="BULLISH",1,99)))</f>
        <v>1</v>
      </c>
    </row>
    <row r="5636" spans="1:19" hidden="1" x14ac:dyDescent="0.25">
      <c r="A5636" s="5" t="str">
        <f t="shared" si="2360"/>
        <v>44151XLE</v>
      </c>
      <c r="B5636" s="6" t="s">
        <v>250</v>
      </c>
      <c r="C5636" s="6">
        <v>30.94</v>
      </c>
      <c r="D5636" s="6">
        <v>35.96</v>
      </c>
      <c r="E5636" s="6">
        <v>33.880000000000003</v>
      </c>
      <c r="F5636" t="str">
        <f t="shared" si="2372"/>
        <v>MON</v>
      </c>
      <c r="G5636" s="1">
        <f t="shared" si="2373"/>
        <v>44151</v>
      </c>
      <c r="H5636" s="2">
        <f t="shared" ca="1" si="2374"/>
        <v>102</v>
      </c>
      <c r="I5636" t="str">
        <f t="shared" si="2375"/>
        <v>XLE</v>
      </c>
      <c r="J5636">
        <f t="shared" si="2376"/>
        <v>30.94</v>
      </c>
      <c r="K5636">
        <f t="shared" si="2377"/>
        <v>35.96</v>
      </c>
      <c r="L5636">
        <f t="shared" si="2378"/>
        <v>33.450000000000003</v>
      </c>
      <c r="M5636">
        <f t="shared" si="2379"/>
        <v>2.5099999999999998</v>
      </c>
      <c r="N5636">
        <f t="shared" si="2383"/>
        <v>5.0199999999999996</v>
      </c>
      <c r="O5636">
        <f t="shared" si="2380"/>
        <v>33.880000000000003</v>
      </c>
      <c r="P5636">
        <f t="shared" si="2381"/>
        <v>0.17131474103585648</v>
      </c>
      <c r="Q5636" t="str">
        <f t="shared" si="2384"/>
        <v>8.68% | 6.14%</v>
      </c>
      <c r="R5636" t="str">
        <f t="shared" si="2382"/>
        <v>BULLISH</v>
      </c>
      <c r="S5636">
        <f t="shared" si="2385"/>
        <v>1</v>
      </c>
    </row>
    <row r="5637" spans="1:19" hidden="1" x14ac:dyDescent="0.25">
      <c r="A5637" s="5" t="str">
        <f t="shared" si="2360"/>
        <v>44151SSEC</v>
      </c>
      <c r="B5637" s="6" t="s">
        <v>104</v>
      </c>
      <c r="C5637" s="6">
        <v>3255</v>
      </c>
      <c r="D5637" s="6">
        <v>3398</v>
      </c>
      <c r="E5637" s="6">
        <v>3346</v>
      </c>
      <c r="F5637" t="str">
        <f t="shared" si="2372"/>
        <v>MON</v>
      </c>
      <c r="G5637" s="1">
        <f t="shared" si="2373"/>
        <v>44151</v>
      </c>
      <c r="H5637" s="2">
        <f t="shared" ca="1" si="2374"/>
        <v>102</v>
      </c>
      <c r="I5637" t="str">
        <f t="shared" si="2375"/>
        <v>SSEC</v>
      </c>
      <c r="J5637">
        <f t="shared" si="2376"/>
        <v>3255</v>
      </c>
      <c r="K5637">
        <f t="shared" si="2377"/>
        <v>3398</v>
      </c>
      <c r="L5637">
        <f t="shared" si="2378"/>
        <v>3326.5</v>
      </c>
      <c r="M5637">
        <f t="shared" si="2379"/>
        <v>71.5</v>
      </c>
      <c r="N5637">
        <f t="shared" si="2383"/>
        <v>143</v>
      </c>
      <c r="O5637">
        <f t="shared" si="2380"/>
        <v>3346</v>
      </c>
      <c r="P5637">
        <f t="shared" si="2381"/>
        <v>0.27272727272727271</v>
      </c>
      <c r="Q5637" t="str">
        <f t="shared" si="2384"/>
        <v>2.72% | 1.55%</v>
      </c>
      <c r="R5637" t="str">
        <f t="shared" si="2382"/>
        <v>BULLISH</v>
      </c>
      <c r="S5637">
        <f t="shared" si="2385"/>
        <v>1</v>
      </c>
    </row>
    <row r="5638" spans="1:19" hidden="1" x14ac:dyDescent="0.25">
      <c r="A5638" s="5" t="str">
        <f t="shared" si="2360"/>
        <v>44151NIKK</v>
      </c>
      <c r="B5638" s="6" t="s">
        <v>91</v>
      </c>
      <c r="C5638" s="6">
        <v>24502</v>
      </c>
      <c r="D5638" s="6">
        <v>26098</v>
      </c>
      <c r="E5638" s="6">
        <v>25906</v>
      </c>
      <c r="F5638" t="str">
        <f t="shared" si="2372"/>
        <v>MON</v>
      </c>
      <c r="G5638" s="1">
        <f t="shared" si="2373"/>
        <v>44151</v>
      </c>
      <c r="H5638" s="2">
        <f t="shared" ca="1" si="2374"/>
        <v>102</v>
      </c>
      <c r="I5638" t="str">
        <f t="shared" si="2375"/>
        <v>NIKK</v>
      </c>
      <c r="J5638">
        <f t="shared" si="2376"/>
        <v>24502</v>
      </c>
      <c r="K5638">
        <f t="shared" si="2377"/>
        <v>26098</v>
      </c>
      <c r="L5638">
        <f t="shared" si="2378"/>
        <v>25300</v>
      </c>
      <c r="M5638">
        <f t="shared" si="2379"/>
        <v>798</v>
      </c>
      <c r="N5638">
        <f t="shared" si="2383"/>
        <v>1596</v>
      </c>
      <c r="O5638">
        <f t="shared" si="2380"/>
        <v>25906</v>
      </c>
      <c r="P5638">
        <f t="shared" si="2381"/>
        <v>0.75939849624060152</v>
      </c>
      <c r="Q5638" t="str">
        <f t="shared" si="2384"/>
        <v>5.42% | 0.74%</v>
      </c>
      <c r="R5638" t="str">
        <f t="shared" si="2382"/>
        <v>BULLISH</v>
      </c>
      <c r="S5638">
        <f t="shared" si="2385"/>
        <v>1</v>
      </c>
    </row>
    <row r="5639" spans="1:19" hidden="1" x14ac:dyDescent="0.25">
      <c r="A5639" s="5" t="str">
        <f t="shared" ref="A5639:A5702" si="2386">G5639&amp;I5639</f>
        <v>44151DAX</v>
      </c>
      <c r="B5639" s="6" t="s">
        <v>16</v>
      </c>
      <c r="C5639" s="6">
        <v>11995</v>
      </c>
      <c r="D5639" s="6">
        <v>13279</v>
      </c>
      <c r="E5639" s="6">
        <v>13076</v>
      </c>
      <c r="F5639" t="str">
        <f t="shared" si="2372"/>
        <v>MON</v>
      </c>
      <c r="G5639" s="1">
        <f t="shared" si="2373"/>
        <v>44151</v>
      </c>
      <c r="H5639" s="2">
        <f t="shared" ca="1" si="2374"/>
        <v>102</v>
      </c>
      <c r="I5639" t="str">
        <f t="shared" si="2375"/>
        <v>DAX</v>
      </c>
      <c r="J5639">
        <f t="shared" si="2376"/>
        <v>11995</v>
      </c>
      <c r="K5639">
        <f t="shared" si="2377"/>
        <v>13279</v>
      </c>
      <c r="L5639">
        <f t="shared" si="2378"/>
        <v>12637</v>
      </c>
      <c r="M5639">
        <f t="shared" si="2379"/>
        <v>642</v>
      </c>
      <c r="N5639">
        <f t="shared" si="2383"/>
        <v>1284</v>
      </c>
      <c r="O5639">
        <f t="shared" si="2380"/>
        <v>13076</v>
      </c>
      <c r="P5639">
        <f t="shared" si="2381"/>
        <v>0.68380062305295952</v>
      </c>
      <c r="Q5639" t="str">
        <f t="shared" si="2384"/>
        <v>8.27% | 1.55%</v>
      </c>
      <c r="R5639" t="str">
        <f t="shared" si="2382"/>
        <v>BEARISH</v>
      </c>
      <c r="S5639">
        <f t="shared" si="2385"/>
        <v>-1</v>
      </c>
    </row>
    <row r="5640" spans="1:19" hidden="1" x14ac:dyDescent="0.25">
      <c r="A5640" s="5" t="str">
        <f t="shared" si="2386"/>
        <v>44151VIX</v>
      </c>
      <c r="B5640" s="6" t="s">
        <v>96</v>
      </c>
      <c r="C5640" s="6">
        <v>19.25</v>
      </c>
      <c r="D5640" s="6">
        <v>34.01</v>
      </c>
      <c r="E5640" s="6">
        <v>23.1</v>
      </c>
      <c r="F5640" t="str">
        <f t="shared" si="2372"/>
        <v>MON</v>
      </c>
      <c r="G5640" s="1">
        <f t="shared" si="2373"/>
        <v>44151</v>
      </c>
      <c r="H5640" s="2">
        <f t="shared" ca="1" si="2374"/>
        <v>102</v>
      </c>
      <c r="I5640" t="str">
        <f t="shared" si="2375"/>
        <v>VIX</v>
      </c>
      <c r="J5640">
        <f t="shared" si="2376"/>
        <v>19.25</v>
      </c>
      <c r="K5640">
        <f t="shared" si="2377"/>
        <v>34.01</v>
      </c>
      <c r="L5640">
        <f t="shared" si="2378"/>
        <v>26.63</v>
      </c>
      <c r="M5640">
        <f t="shared" si="2379"/>
        <v>7.3799999999999972</v>
      </c>
      <c r="N5640">
        <f t="shared" si="2383"/>
        <v>14.759999999999998</v>
      </c>
      <c r="O5640">
        <f t="shared" si="2380"/>
        <v>23.1</v>
      </c>
      <c r="P5640">
        <f t="shared" si="2381"/>
        <v>-0.4783197831978318</v>
      </c>
      <c r="Q5640" t="str">
        <f t="shared" si="2384"/>
        <v>16.67% | 47.23%</v>
      </c>
      <c r="R5640" t="str">
        <f t="shared" si="2382"/>
        <v>BEARISH</v>
      </c>
      <c r="S5640">
        <f t="shared" si="2385"/>
        <v>-1</v>
      </c>
    </row>
    <row r="5641" spans="1:19" hidden="1" x14ac:dyDescent="0.25">
      <c r="A5641" s="5" t="str">
        <f t="shared" si="2386"/>
        <v>44151USD</v>
      </c>
      <c r="B5641" s="6" t="s">
        <v>94</v>
      </c>
      <c r="C5641" s="6">
        <v>91.99</v>
      </c>
      <c r="D5641" s="6">
        <v>93.37</v>
      </c>
      <c r="E5641" s="6">
        <v>92.75</v>
      </c>
      <c r="F5641" t="str">
        <f t="shared" si="2372"/>
        <v>MON</v>
      </c>
      <c r="G5641" s="1">
        <f t="shared" si="2373"/>
        <v>44151</v>
      </c>
      <c r="H5641" s="2">
        <f t="shared" ca="1" si="2374"/>
        <v>102</v>
      </c>
      <c r="I5641" t="str">
        <f t="shared" si="2375"/>
        <v>USD</v>
      </c>
      <c r="J5641">
        <f t="shared" si="2376"/>
        <v>91.99</v>
      </c>
      <c r="K5641">
        <f t="shared" si="2377"/>
        <v>93.37</v>
      </c>
      <c r="L5641">
        <f t="shared" si="2378"/>
        <v>92.68</v>
      </c>
      <c r="M5641">
        <f t="shared" si="2379"/>
        <v>0.69000000000000483</v>
      </c>
      <c r="N5641">
        <f t="shared" si="2383"/>
        <v>1.3800000000000097</v>
      </c>
      <c r="O5641">
        <f t="shared" si="2380"/>
        <v>92.75</v>
      </c>
      <c r="P5641">
        <f t="shared" si="2381"/>
        <v>0.10144927536230824</v>
      </c>
      <c r="Q5641" t="str">
        <f t="shared" si="2384"/>
        <v>0.82% | 0.67%</v>
      </c>
      <c r="R5641" t="str">
        <f t="shared" si="2382"/>
        <v>BEARISH</v>
      </c>
      <c r="S5641">
        <f t="shared" si="2385"/>
        <v>-1</v>
      </c>
    </row>
    <row r="5642" spans="1:19" hidden="1" x14ac:dyDescent="0.25">
      <c r="A5642" s="5" t="str">
        <f t="shared" si="2386"/>
        <v>44151EUR/USD</v>
      </c>
      <c r="B5642" s="6" t="s">
        <v>99</v>
      </c>
      <c r="C5642" s="6">
        <v>1.169</v>
      </c>
      <c r="D5642" s="6">
        <v>1.1890000000000001</v>
      </c>
      <c r="E5642" s="6">
        <v>1.1830000000000001</v>
      </c>
      <c r="F5642" t="str">
        <f t="shared" si="2372"/>
        <v>MON</v>
      </c>
      <c r="G5642" s="1">
        <f t="shared" si="2373"/>
        <v>44151</v>
      </c>
      <c r="H5642" s="2">
        <f t="shared" ca="1" si="2374"/>
        <v>102</v>
      </c>
      <c r="I5642" t="str">
        <f t="shared" si="2375"/>
        <v>EUR/USD</v>
      </c>
      <c r="J5642">
        <f t="shared" si="2376"/>
        <v>1.169</v>
      </c>
      <c r="K5642">
        <f t="shared" si="2377"/>
        <v>1.1890000000000001</v>
      </c>
      <c r="L5642">
        <f t="shared" si="2378"/>
        <v>1.179</v>
      </c>
      <c r="M5642">
        <f t="shared" si="2379"/>
        <v>1.0000000000000009E-2</v>
      </c>
      <c r="N5642">
        <f t="shared" si="2383"/>
        <v>2.0000000000000018E-2</v>
      </c>
      <c r="O5642">
        <f t="shared" si="2380"/>
        <v>1.1830000000000001</v>
      </c>
      <c r="P5642">
        <f t="shared" si="2381"/>
        <v>0.4</v>
      </c>
      <c r="Q5642" t="str">
        <f t="shared" si="2384"/>
        <v>1.18% | 0.51%</v>
      </c>
      <c r="R5642" t="str">
        <f t="shared" si="2382"/>
        <v>BULLISH</v>
      </c>
      <c r="S5642">
        <f t="shared" si="2385"/>
        <v>1</v>
      </c>
    </row>
    <row r="5643" spans="1:19" hidden="1" x14ac:dyDescent="0.25">
      <c r="A5643" s="5" t="str">
        <f t="shared" si="2386"/>
        <v>44151USD/JPY</v>
      </c>
      <c r="B5643" s="6" t="s">
        <v>20</v>
      </c>
      <c r="C5643" s="6">
        <v>103.14</v>
      </c>
      <c r="D5643" s="6">
        <v>106.11</v>
      </c>
      <c r="E5643" s="6">
        <v>104.58</v>
      </c>
      <c r="F5643" t="str">
        <f t="shared" si="2372"/>
        <v>MON</v>
      </c>
      <c r="G5643" s="1">
        <f t="shared" si="2373"/>
        <v>44151</v>
      </c>
      <c r="H5643" s="2">
        <f t="shared" ca="1" si="2374"/>
        <v>102</v>
      </c>
      <c r="I5643" t="str">
        <f t="shared" si="2375"/>
        <v>USD/JPY</v>
      </c>
      <c r="J5643">
        <f t="shared" si="2376"/>
        <v>103.14</v>
      </c>
      <c r="K5643">
        <f t="shared" si="2377"/>
        <v>106.11</v>
      </c>
      <c r="L5643">
        <f t="shared" si="2378"/>
        <v>104.625</v>
      </c>
      <c r="M5643">
        <f t="shared" si="2379"/>
        <v>1.4849999999999994</v>
      </c>
      <c r="N5643">
        <f t="shared" si="2383"/>
        <v>2.9699999999999989</v>
      </c>
      <c r="O5643">
        <f t="shared" si="2380"/>
        <v>104.58</v>
      </c>
      <c r="P5643">
        <f t="shared" si="2381"/>
        <v>-3.0303030303031463E-2</v>
      </c>
      <c r="Q5643" t="str">
        <f t="shared" si="2384"/>
        <v>1.38% | 1.46%</v>
      </c>
      <c r="R5643" t="str">
        <f t="shared" si="2382"/>
        <v>BEARISH</v>
      </c>
      <c r="S5643">
        <f t="shared" si="2385"/>
        <v>-1</v>
      </c>
    </row>
    <row r="5644" spans="1:19" hidden="1" x14ac:dyDescent="0.25">
      <c r="A5644" s="5" t="str">
        <f t="shared" si="2386"/>
        <v>44151GBP/USD</v>
      </c>
      <c r="B5644" s="6" t="s">
        <v>102</v>
      </c>
      <c r="C5644" s="6">
        <v>1.2969999999999999</v>
      </c>
      <c r="D5644" s="6">
        <v>1.3320000000000001</v>
      </c>
      <c r="E5644" s="6">
        <v>1.32</v>
      </c>
      <c r="F5644" t="str">
        <f t="shared" si="2372"/>
        <v>MON</v>
      </c>
      <c r="G5644" s="1">
        <f t="shared" si="2373"/>
        <v>44151</v>
      </c>
      <c r="H5644" s="2">
        <f t="shared" ca="1" si="2374"/>
        <v>102</v>
      </c>
      <c r="I5644" t="str">
        <f t="shared" si="2375"/>
        <v>GBP/USD</v>
      </c>
      <c r="J5644">
        <f t="shared" si="2376"/>
        <v>1.2969999999999999</v>
      </c>
      <c r="K5644">
        <f t="shared" si="2377"/>
        <v>1.3320000000000001</v>
      </c>
      <c r="L5644">
        <f t="shared" si="2378"/>
        <v>1.3145</v>
      </c>
      <c r="M5644">
        <f t="shared" si="2379"/>
        <v>1.7500000000000071E-2</v>
      </c>
      <c r="N5644">
        <f t="shared" si="2383"/>
        <v>3.5000000000000142E-2</v>
      </c>
      <c r="O5644">
        <f t="shared" si="2380"/>
        <v>1.32</v>
      </c>
      <c r="P5644">
        <f t="shared" si="2381"/>
        <v>0.31428571428571644</v>
      </c>
      <c r="Q5644" t="str">
        <f t="shared" si="2384"/>
        <v>1.74% | 0.91%</v>
      </c>
      <c r="R5644" t="str">
        <f t="shared" si="2382"/>
        <v>BULLISH</v>
      </c>
      <c r="S5644">
        <f t="shared" si="2385"/>
        <v>1</v>
      </c>
    </row>
    <row r="5645" spans="1:19" hidden="1" x14ac:dyDescent="0.25">
      <c r="A5645" s="5" t="str">
        <f t="shared" si="2386"/>
        <v>44151CAD/USD</v>
      </c>
      <c r="B5645" s="6" t="s">
        <v>244</v>
      </c>
      <c r="C5645" s="6">
        <v>0.75</v>
      </c>
      <c r="D5645" s="6">
        <v>0.77</v>
      </c>
      <c r="E5645" s="6">
        <v>0.76</v>
      </c>
      <c r="F5645" t="str">
        <f t="shared" si="2372"/>
        <v>MON</v>
      </c>
      <c r="G5645" s="1">
        <f t="shared" si="2373"/>
        <v>44151</v>
      </c>
      <c r="H5645" s="2">
        <f t="shared" ca="1" si="2374"/>
        <v>102</v>
      </c>
      <c r="I5645" t="str">
        <f t="shared" si="2375"/>
        <v>CAD/USD</v>
      </c>
      <c r="J5645">
        <f t="shared" si="2376"/>
        <v>0.75</v>
      </c>
      <c r="K5645">
        <f t="shared" si="2377"/>
        <v>0.77</v>
      </c>
      <c r="L5645">
        <f t="shared" si="2378"/>
        <v>0.76</v>
      </c>
      <c r="M5645">
        <f t="shared" si="2379"/>
        <v>1.0000000000000009E-2</v>
      </c>
      <c r="N5645">
        <f t="shared" si="2383"/>
        <v>2.0000000000000018E-2</v>
      </c>
      <c r="O5645">
        <f t="shared" si="2380"/>
        <v>0.76</v>
      </c>
      <c r="P5645">
        <f t="shared" si="2381"/>
        <v>0</v>
      </c>
      <c r="Q5645" t="str">
        <f t="shared" si="2384"/>
        <v>1.32% | 1.32%</v>
      </c>
      <c r="R5645" t="str">
        <f t="shared" si="2382"/>
        <v>BULLISH</v>
      </c>
      <c r="S5645">
        <f t="shared" si="2385"/>
        <v>1</v>
      </c>
    </row>
    <row r="5646" spans="1:19" hidden="1" x14ac:dyDescent="0.25">
      <c r="A5646" s="5" t="str">
        <f t="shared" si="2386"/>
        <v>44151USD/CHF</v>
      </c>
      <c r="B5646" s="6" t="s">
        <v>76</v>
      </c>
      <c r="C5646" s="6">
        <v>0.9</v>
      </c>
      <c r="D5646" s="6">
        <v>0.92</v>
      </c>
      <c r="E5646" s="6">
        <v>0.91</v>
      </c>
      <c r="F5646" t="str">
        <f t="shared" si="2372"/>
        <v>MON</v>
      </c>
      <c r="G5646" s="1">
        <f t="shared" si="2373"/>
        <v>44151</v>
      </c>
      <c r="H5646" s="2">
        <f t="shared" ca="1" si="2374"/>
        <v>102</v>
      </c>
      <c r="I5646" t="str">
        <f t="shared" si="2375"/>
        <v>USD/CHF</v>
      </c>
      <c r="J5646">
        <f t="shared" si="2376"/>
        <v>0.9</v>
      </c>
      <c r="K5646">
        <f t="shared" si="2377"/>
        <v>0.92</v>
      </c>
      <c r="L5646">
        <f t="shared" si="2378"/>
        <v>0.91</v>
      </c>
      <c r="M5646">
        <f t="shared" si="2379"/>
        <v>1.0000000000000009E-2</v>
      </c>
      <c r="N5646">
        <f t="shared" si="2383"/>
        <v>2.0000000000000018E-2</v>
      </c>
      <c r="O5646">
        <f t="shared" si="2380"/>
        <v>0.91</v>
      </c>
      <c r="P5646">
        <f t="shared" si="2381"/>
        <v>0</v>
      </c>
      <c r="Q5646" t="str">
        <f t="shared" si="2384"/>
        <v>1.1% | 1.1%</v>
      </c>
      <c r="R5646" t="str">
        <f t="shared" si="2382"/>
        <v>BEARISH</v>
      </c>
      <c r="S5646">
        <f t="shared" si="2385"/>
        <v>-1</v>
      </c>
    </row>
    <row r="5647" spans="1:19" hidden="1" x14ac:dyDescent="0.25">
      <c r="A5647" s="5" t="str">
        <f t="shared" si="2386"/>
        <v>44151WTIC</v>
      </c>
      <c r="B5647" s="6" t="s">
        <v>158</v>
      </c>
      <c r="C5647" s="6">
        <v>36.979999999999997</v>
      </c>
      <c r="D5647" s="6">
        <v>42.77</v>
      </c>
      <c r="E5647" s="6">
        <v>40.130000000000003</v>
      </c>
      <c r="F5647" t="str">
        <f t="shared" si="2372"/>
        <v>MON</v>
      </c>
      <c r="G5647" s="1">
        <f t="shared" si="2373"/>
        <v>44151</v>
      </c>
      <c r="H5647" s="2">
        <f t="shared" ca="1" si="2374"/>
        <v>102</v>
      </c>
      <c r="I5647" t="str">
        <f t="shared" si="2375"/>
        <v>WTIC</v>
      </c>
      <c r="J5647">
        <f t="shared" si="2376"/>
        <v>36.979999999999997</v>
      </c>
      <c r="K5647">
        <f t="shared" si="2377"/>
        <v>42.77</v>
      </c>
      <c r="L5647">
        <f t="shared" si="2378"/>
        <v>39.875</v>
      </c>
      <c r="M5647">
        <f t="shared" si="2379"/>
        <v>2.8950000000000031</v>
      </c>
      <c r="N5647">
        <f t="shared" si="2383"/>
        <v>5.7900000000000063</v>
      </c>
      <c r="O5647">
        <f t="shared" si="2380"/>
        <v>40.130000000000003</v>
      </c>
      <c r="P5647">
        <f t="shared" si="2381"/>
        <v>8.808290155440493E-2</v>
      </c>
      <c r="Q5647" t="str">
        <f t="shared" si="2384"/>
        <v>7.85% | 6.58%</v>
      </c>
      <c r="R5647" t="str">
        <f t="shared" si="2382"/>
        <v>BULLISH</v>
      </c>
      <c r="S5647">
        <f t="shared" si="2385"/>
        <v>1</v>
      </c>
    </row>
    <row r="5648" spans="1:19" hidden="1" x14ac:dyDescent="0.25">
      <c r="A5648" s="5" t="str">
        <f t="shared" si="2386"/>
        <v>44151NATGAS</v>
      </c>
      <c r="B5648" s="6" t="s">
        <v>89</v>
      </c>
      <c r="C5648" s="6">
        <v>2.77</v>
      </c>
      <c r="D5648" s="6">
        <v>3.12</v>
      </c>
      <c r="E5648" s="6">
        <v>2.99</v>
      </c>
      <c r="F5648" t="str">
        <f t="shared" si="2372"/>
        <v>MON</v>
      </c>
      <c r="G5648" s="1">
        <f t="shared" si="2373"/>
        <v>44151</v>
      </c>
      <c r="H5648" s="2">
        <f t="shared" ca="1" si="2374"/>
        <v>102</v>
      </c>
      <c r="I5648" t="str">
        <f t="shared" si="2375"/>
        <v>NATGAS</v>
      </c>
      <c r="J5648">
        <f t="shared" si="2376"/>
        <v>2.77</v>
      </c>
      <c r="K5648">
        <f t="shared" si="2377"/>
        <v>3.12</v>
      </c>
      <c r="L5648">
        <f t="shared" si="2378"/>
        <v>2.9450000000000003</v>
      </c>
      <c r="M5648">
        <f t="shared" si="2379"/>
        <v>0.17500000000000004</v>
      </c>
      <c r="N5648">
        <f t="shared" si="2383"/>
        <v>0.35000000000000009</v>
      </c>
      <c r="O5648">
        <f t="shared" si="2380"/>
        <v>2.99</v>
      </c>
      <c r="P5648">
        <f t="shared" si="2381"/>
        <v>0.25714285714285667</v>
      </c>
      <c r="Q5648" t="str">
        <f t="shared" si="2384"/>
        <v>7.36% | 4.35%</v>
      </c>
      <c r="R5648" t="str">
        <f t="shared" si="2382"/>
        <v>BULLISH</v>
      </c>
      <c r="S5648">
        <f t="shared" si="2385"/>
        <v>1</v>
      </c>
    </row>
    <row r="5649" spans="1:19" hidden="1" x14ac:dyDescent="0.25">
      <c r="A5649" s="5" t="str">
        <f t="shared" si="2386"/>
        <v>44151GOLD</v>
      </c>
      <c r="B5649" s="6" t="s">
        <v>25</v>
      </c>
      <c r="C5649" s="6">
        <v>1830</v>
      </c>
      <c r="D5649" s="6">
        <v>1961</v>
      </c>
      <c r="E5649" s="6">
        <v>1886</v>
      </c>
      <c r="F5649" t="str">
        <f t="shared" si="2372"/>
        <v>MON</v>
      </c>
      <c r="G5649" s="1">
        <f t="shared" si="2373"/>
        <v>44151</v>
      </c>
      <c r="H5649" s="2">
        <f t="shared" ca="1" si="2374"/>
        <v>102</v>
      </c>
      <c r="I5649" t="str">
        <f t="shared" si="2375"/>
        <v>GOLD</v>
      </c>
      <c r="J5649">
        <f t="shared" si="2376"/>
        <v>1830</v>
      </c>
      <c r="K5649">
        <f t="shared" si="2377"/>
        <v>1961</v>
      </c>
      <c r="L5649">
        <f t="shared" si="2378"/>
        <v>1895.5</v>
      </c>
      <c r="M5649">
        <f t="shared" si="2379"/>
        <v>65.5</v>
      </c>
      <c r="N5649">
        <f t="shared" si="2383"/>
        <v>131</v>
      </c>
      <c r="O5649">
        <f t="shared" si="2380"/>
        <v>1886</v>
      </c>
      <c r="P5649">
        <f t="shared" si="2381"/>
        <v>-0.14503816793893129</v>
      </c>
      <c r="Q5649" t="str">
        <f t="shared" si="2384"/>
        <v>2.97% | 3.98%</v>
      </c>
      <c r="R5649" t="str">
        <f t="shared" si="2382"/>
        <v>BULLISH</v>
      </c>
      <c r="S5649">
        <f t="shared" si="2385"/>
        <v>1</v>
      </c>
    </row>
    <row r="5650" spans="1:19" hidden="1" x14ac:dyDescent="0.25">
      <c r="A5650" s="5" t="str">
        <f t="shared" si="2386"/>
        <v>44151SILVER</v>
      </c>
      <c r="B5650" s="6" t="s">
        <v>195</v>
      </c>
      <c r="C5650" s="6">
        <v>23.05</v>
      </c>
      <c r="D5650" s="6">
        <v>25.87</v>
      </c>
      <c r="E5650" s="6">
        <v>24.77</v>
      </c>
      <c r="F5650" t="str">
        <f t="shared" si="2372"/>
        <v>MON</v>
      </c>
      <c r="G5650" s="1">
        <f t="shared" si="2373"/>
        <v>44151</v>
      </c>
      <c r="H5650" s="2">
        <f t="shared" ca="1" si="2374"/>
        <v>102</v>
      </c>
      <c r="I5650" t="str">
        <f t="shared" si="2375"/>
        <v>SILVER</v>
      </c>
      <c r="J5650">
        <f t="shared" si="2376"/>
        <v>23.05</v>
      </c>
      <c r="K5650">
        <f t="shared" si="2377"/>
        <v>25.87</v>
      </c>
      <c r="L5650">
        <f t="shared" si="2378"/>
        <v>24.46</v>
      </c>
      <c r="M5650">
        <f t="shared" si="2379"/>
        <v>1.4100000000000001</v>
      </c>
      <c r="N5650">
        <f t="shared" si="2383"/>
        <v>2.8200000000000003</v>
      </c>
      <c r="O5650">
        <f t="shared" si="2380"/>
        <v>24.77</v>
      </c>
      <c r="P5650">
        <f t="shared" si="2381"/>
        <v>0.21985815602836786</v>
      </c>
      <c r="Q5650" t="str">
        <f t="shared" si="2384"/>
        <v>6.94% | 4.44%</v>
      </c>
      <c r="R5650" t="str">
        <f t="shared" si="2382"/>
        <v>BULLISH</v>
      </c>
      <c r="S5650">
        <f t="shared" si="2385"/>
        <v>1</v>
      </c>
    </row>
    <row r="5651" spans="1:19" hidden="1" x14ac:dyDescent="0.25">
      <c r="A5651" s="5" t="str">
        <f t="shared" si="2386"/>
        <v>44151COPPER</v>
      </c>
      <c r="B5651" s="6" t="s">
        <v>100</v>
      </c>
      <c r="C5651" s="6">
        <v>3.09</v>
      </c>
      <c r="D5651" s="6">
        <v>3.26</v>
      </c>
      <c r="E5651" s="6">
        <v>3.18</v>
      </c>
      <c r="F5651" t="str">
        <f t="shared" si="2372"/>
        <v>MON</v>
      </c>
      <c r="G5651" s="1">
        <f t="shared" si="2373"/>
        <v>44151</v>
      </c>
      <c r="H5651" s="2">
        <f t="shared" ca="1" si="2374"/>
        <v>102</v>
      </c>
      <c r="I5651" t="str">
        <f t="shared" si="2375"/>
        <v>COPPER</v>
      </c>
      <c r="J5651">
        <f t="shared" si="2376"/>
        <v>3.09</v>
      </c>
      <c r="K5651">
        <f t="shared" si="2377"/>
        <v>3.26</v>
      </c>
      <c r="L5651">
        <f t="shared" si="2378"/>
        <v>3.1749999999999998</v>
      </c>
      <c r="M5651">
        <f t="shared" si="2379"/>
        <v>8.4999999999999964E-2</v>
      </c>
      <c r="N5651">
        <f t="shared" si="2383"/>
        <v>0.16999999999999993</v>
      </c>
      <c r="O5651">
        <f t="shared" si="2380"/>
        <v>3.18</v>
      </c>
      <c r="P5651">
        <f t="shared" si="2381"/>
        <v>5.8823529411768702E-2</v>
      </c>
      <c r="Q5651" t="str">
        <f t="shared" si="2384"/>
        <v>2.83% | 2.52%</v>
      </c>
      <c r="R5651" t="str">
        <f t="shared" si="2382"/>
        <v>BULLISH</v>
      </c>
      <c r="S5651">
        <f t="shared" si="2385"/>
        <v>1</v>
      </c>
    </row>
    <row r="5652" spans="1:19" hidden="1" x14ac:dyDescent="0.25">
      <c r="A5652" s="5" t="str">
        <f t="shared" si="2386"/>
        <v>44151MSFT</v>
      </c>
      <c r="B5652" s="6" t="s">
        <v>27</v>
      </c>
      <c r="C5652" s="6">
        <v>205</v>
      </c>
      <c r="D5652" s="6">
        <v>228</v>
      </c>
      <c r="E5652" s="6">
        <v>216</v>
      </c>
      <c r="F5652" t="str">
        <f t="shared" si="2372"/>
        <v>MON</v>
      </c>
      <c r="G5652" s="1">
        <f t="shared" si="2373"/>
        <v>44151</v>
      </c>
      <c r="H5652" s="2">
        <f t="shared" ca="1" si="2374"/>
        <v>102</v>
      </c>
      <c r="I5652" t="str">
        <f t="shared" si="2375"/>
        <v>MSFT</v>
      </c>
      <c r="J5652">
        <f t="shared" si="2376"/>
        <v>205</v>
      </c>
      <c r="K5652">
        <f t="shared" si="2377"/>
        <v>228</v>
      </c>
      <c r="L5652">
        <f t="shared" si="2378"/>
        <v>216.5</v>
      </c>
      <c r="M5652">
        <f t="shared" si="2379"/>
        <v>11.5</v>
      </c>
      <c r="N5652">
        <f t="shared" si="2383"/>
        <v>23</v>
      </c>
      <c r="O5652">
        <f t="shared" si="2380"/>
        <v>216</v>
      </c>
      <c r="P5652">
        <f t="shared" si="2381"/>
        <v>-4.3478260869565216E-2</v>
      </c>
      <c r="Q5652" t="str">
        <f t="shared" si="2384"/>
        <v>5.09% | 5.56%</v>
      </c>
      <c r="R5652" t="str">
        <f t="shared" si="2382"/>
        <v>BULLISH</v>
      </c>
      <c r="S5652">
        <f t="shared" si="2385"/>
        <v>1</v>
      </c>
    </row>
    <row r="5653" spans="1:19" hidden="1" x14ac:dyDescent="0.25">
      <c r="A5653" s="5" t="str">
        <f t="shared" si="2386"/>
        <v>44151AAPL</v>
      </c>
      <c r="B5653" s="6" t="s">
        <v>28</v>
      </c>
      <c r="C5653" s="6">
        <v>110</v>
      </c>
      <c r="D5653" s="6">
        <v>124</v>
      </c>
      <c r="E5653" s="6">
        <v>119</v>
      </c>
      <c r="F5653" t="str">
        <f t="shared" si="2372"/>
        <v>MON</v>
      </c>
      <c r="G5653" s="1">
        <f t="shared" si="2373"/>
        <v>44151</v>
      </c>
      <c r="H5653" s="2">
        <f t="shared" ca="1" si="2374"/>
        <v>102</v>
      </c>
      <c r="I5653" t="str">
        <f t="shared" si="2375"/>
        <v>AAPL</v>
      </c>
      <c r="J5653">
        <f t="shared" si="2376"/>
        <v>110</v>
      </c>
      <c r="K5653">
        <f t="shared" si="2377"/>
        <v>124</v>
      </c>
      <c r="L5653">
        <f t="shared" si="2378"/>
        <v>117</v>
      </c>
      <c r="M5653">
        <f t="shared" si="2379"/>
        <v>7</v>
      </c>
      <c r="N5653">
        <f t="shared" si="2383"/>
        <v>14</v>
      </c>
      <c r="O5653">
        <f t="shared" si="2380"/>
        <v>119</v>
      </c>
      <c r="P5653">
        <f t="shared" si="2381"/>
        <v>0.2857142857142857</v>
      </c>
      <c r="Q5653" t="str">
        <f t="shared" si="2384"/>
        <v>7.56% | 4.2%</v>
      </c>
      <c r="R5653" t="str">
        <f t="shared" si="2382"/>
        <v>BULLISH</v>
      </c>
      <c r="S5653">
        <f t="shared" si="2385"/>
        <v>1</v>
      </c>
    </row>
    <row r="5654" spans="1:19" hidden="1" x14ac:dyDescent="0.25">
      <c r="A5654" s="5" t="str">
        <f t="shared" si="2386"/>
        <v>44151AMZN</v>
      </c>
      <c r="B5654" s="6" t="s">
        <v>69</v>
      </c>
      <c r="C5654" s="6">
        <v>2956</v>
      </c>
      <c r="D5654" s="6">
        <v>3194</v>
      </c>
      <c r="E5654" s="6">
        <v>3128</v>
      </c>
      <c r="F5654" t="str">
        <f t="shared" si="2372"/>
        <v>MON</v>
      </c>
      <c r="G5654" s="1">
        <f t="shared" si="2373"/>
        <v>44151</v>
      </c>
      <c r="H5654" s="2">
        <f t="shared" ca="1" si="2374"/>
        <v>102</v>
      </c>
      <c r="I5654" t="str">
        <f t="shared" si="2375"/>
        <v>AMZN</v>
      </c>
      <c r="J5654">
        <f t="shared" si="2376"/>
        <v>2956</v>
      </c>
      <c r="K5654">
        <f t="shared" si="2377"/>
        <v>3194</v>
      </c>
      <c r="L5654">
        <f t="shared" si="2378"/>
        <v>3075</v>
      </c>
      <c r="M5654">
        <f t="shared" si="2379"/>
        <v>119</v>
      </c>
      <c r="N5654">
        <f t="shared" si="2383"/>
        <v>238</v>
      </c>
      <c r="O5654">
        <f t="shared" si="2380"/>
        <v>3128</v>
      </c>
      <c r="P5654">
        <f t="shared" si="2381"/>
        <v>0.44537815126050423</v>
      </c>
      <c r="Q5654" t="str">
        <f t="shared" si="2384"/>
        <v>5.5% | 2.11%</v>
      </c>
      <c r="R5654" t="str">
        <f t="shared" si="2382"/>
        <v>NEUTRAL</v>
      </c>
      <c r="S5654">
        <f t="shared" si="2385"/>
        <v>0</v>
      </c>
    </row>
    <row r="5655" spans="1:19" hidden="1" x14ac:dyDescent="0.25">
      <c r="A5655" s="5" t="str">
        <f t="shared" si="2386"/>
        <v>44151FB</v>
      </c>
      <c r="B5655" s="6" t="s">
        <v>30</v>
      </c>
      <c r="C5655" s="6">
        <v>260</v>
      </c>
      <c r="D5655" s="6">
        <v>299</v>
      </c>
      <c r="E5655" s="6">
        <v>276</v>
      </c>
      <c r="F5655" t="str">
        <f t="shared" si="2372"/>
        <v>MON</v>
      </c>
      <c r="G5655" s="1">
        <f t="shared" si="2373"/>
        <v>44151</v>
      </c>
      <c r="H5655" s="2">
        <f t="shared" ca="1" si="2374"/>
        <v>102</v>
      </c>
      <c r="I5655" t="str">
        <f t="shared" si="2375"/>
        <v>FB</v>
      </c>
      <c r="J5655">
        <f t="shared" si="2376"/>
        <v>260</v>
      </c>
      <c r="K5655">
        <f t="shared" si="2377"/>
        <v>299</v>
      </c>
      <c r="L5655">
        <f t="shared" si="2378"/>
        <v>279.5</v>
      </c>
      <c r="M5655">
        <f t="shared" si="2379"/>
        <v>19.5</v>
      </c>
      <c r="N5655">
        <f t="shared" si="2383"/>
        <v>39</v>
      </c>
      <c r="O5655">
        <f t="shared" si="2380"/>
        <v>276</v>
      </c>
      <c r="P5655">
        <f t="shared" si="2381"/>
        <v>-0.17948717948717949</v>
      </c>
      <c r="Q5655" t="str">
        <f t="shared" si="2384"/>
        <v>5.8% | 8.33%</v>
      </c>
      <c r="R5655" t="str">
        <f t="shared" si="2382"/>
        <v>BULLISH</v>
      </c>
      <c r="S5655">
        <f t="shared" si="2385"/>
        <v>1</v>
      </c>
    </row>
    <row r="5656" spans="1:19" hidden="1" x14ac:dyDescent="0.25">
      <c r="A5656" s="5" t="str">
        <f t="shared" si="2386"/>
        <v>44151GOOGL</v>
      </c>
      <c r="B5656" s="6" t="s">
        <v>31</v>
      </c>
      <c r="C5656" s="6">
        <v>1665</v>
      </c>
      <c r="D5656" s="6">
        <v>1820</v>
      </c>
      <c r="E5656" s="6">
        <v>1772</v>
      </c>
      <c r="F5656" t="str">
        <f t="shared" si="2372"/>
        <v>MON</v>
      </c>
      <c r="G5656" s="1">
        <f t="shared" si="2373"/>
        <v>44151</v>
      </c>
      <c r="H5656" s="2">
        <f t="shared" ca="1" si="2374"/>
        <v>102</v>
      </c>
      <c r="I5656" t="str">
        <f t="shared" si="2375"/>
        <v>GOOGL</v>
      </c>
      <c r="J5656">
        <f t="shared" si="2376"/>
        <v>1665</v>
      </c>
      <c r="K5656">
        <f t="shared" si="2377"/>
        <v>1820</v>
      </c>
      <c r="L5656">
        <f t="shared" si="2378"/>
        <v>1742.5</v>
      </c>
      <c r="M5656">
        <f t="shared" si="2379"/>
        <v>77.5</v>
      </c>
      <c r="N5656">
        <f t="shared" si="2383"/>
        <v>155</v>
      </c>
      <c r="O5656">
        <f t="shared" si="2380"/>
        <v>1772</v>
      </c>
      <c r="P5656">
        <f t="shared" si="2381"/>
        <v>0.38064516129032255</v>
      </c>
      <c r="Q5656" t="str">
        <f t="shared" si="2384"/>
        <v>6.04% | 2.71%</v>
      </c>
      <c r="R5656" t="str">
        <f t="shared" si="2382"/>
        <v>BULLISH</v>
      </c>
      <c r="S5656">
        <f t="shared" si="2385"/>
        <v>1</v>
      </c>
    </row>
    <row r="5657" spans="1:19" hidden="1" x14ac:dyDescent="0.25">
      <c r="A5657" s="5" t="str">
        <f t="shared" si="2386"/>
        <v>44151NFLX</v>
      </c>
      <c r="B5657" s="6" t="s">
        <v>81</v>
      </c>
      <c r="C5657" s="6">
        <v>461</v>
      </c>
      <c r="D5657" s="6">
        <v>497</v>
      </c>
      <c r="E5657" s="6">
        <v>482</v>
      </c>
      <c r="F5657" t="str">
        <f t="shared" si="2372"/>
        <v>MON</v>
      </c>
      <c r="G5657" s="1">
        <f t="shared" si="2373"/>
        <v>44151</v>
      </c>
      <c r="H5657" s="2">
        <f t="shared" ca="1" si="2374"/>
        <v>102</v>
      </c>
      <c r="I5657" t="str">
        <f t="shared" si="2375"/>
        <v>NFLX</v>
      </c>
      <c r="J5657">
        <f t="shared" si="2376"/>
        <v>461</v>
      </c>
      <c r="K5657">
        <f t="shared" si="2377"/>
        <v>497</v>
      </c>
      <c r="L5657">
        <f t="shared" si="2378"/>
        <v>479</v>
      </c>
      <c r="M5657">
        <f t="shared" si="2379"/>
        <v>18</v>
      </c>
      <c r="N5657">
        <f t="shared" si="2383"/>
        <v>36</v>
      </c>
      <c r="O5657">
        <f t="shared" si="2380"/>
        <v>482</v>
      </c>
      <c r="P5657">
        <f t="shared" si="2381"/>
        <v>0.16666666666666666</v>
      </c>
      <c r="Q5657" t="str">
        <f t="shared" si="2384"/>
        <v>4.36% | 3.11%</v>
      </c>
      <c r="R5657" t="str">
        <f t="shared" si="2382"/>
        <v>BEARISH</v>
      </c>
      <c r="S5657">
        <f t="shared" si="2385"/>
        <v>-1</v>
      </c>
    </row>
    <row r="5658" spans="1:19" x14ac:dyDescent="0.25">
      <c r="A5658" s="5" t="str">
        <f t="shared" si="2386"/>
        <v>44151TSLA</v>
      </c>
      <c r="B5658" s="6" t="s">
        <v>71</v>
      </c>
      <c r="C5658" s="6">
        <v>399</v>
      </c>
      <c r="D5658" s="6">
        <v>440</v>
      </c>
      <c r="E5658" s="6">
        <v>408</v>
      </c>
      <c r="F5658" t="str">
        <f t="shared" si="2372"/>
        <v>MON</v>
      </c>
      <c r="G5658" s="1">
        <f t="shared" si="2373"/>
        <v>44151</v>
      </c>
      <c r="H5658" s="2">
        <f t="shared" ca="1" si="2374"/>
        <v>102</v>
      </c>
      <c r="I5658" t="str">
        <f t="shared" si="2375"/>
        <v>TSLA</v>
      </c>
      <c r="J5658">
        <f t="shared" si="2376"/>
        <v>399</v>
      </c>
      <c r="K5658">
        <f t="shared" si="2377"/>
        <v>440</v>
      </c>
      <c r="L5658">
        <f t="shared" si="2378"/>
        <v>419.5</v>
      </c>
      <c r="M5658">
        <f t="shared" si="2379"/>
        <v>20.5</v>
      </c>
      <c r="N5658">
        <f t="shared" si="2383"/>
        <v>41</v>
      </c>
      <c r="O5658">
        <f t="shared" si="2380"/>
        <v>408</v>
      </c>
      <c r="P5658">
        <f t="shared" si="2381"/>
        <v>-0.56097560975609762</v>
      </c>
      <c r="Q5658" t="str">
        <f t="shared" si="2384"/>
        <v>2.21% | 7.84%</v>
      </c>
      <c r="R5658" t="str">
        <f t="shared" si="2382"/>
        <v>NEUTRAL</v>
      </c>
      <c r="S5658">
        <f t="shared" si="2385"/>
        <v>0</v>
      </c>
    </row>
    <row r="5659" spans="1:19" hidden="1" x14ac:dyDescent="0.25">
      <c r="A5659" s="5" t="str">
        <f t="shared" si="2386"/>
        <v>44151NYXBT</v>
      </c>
      <c r="B5659" s="6" t="s">
        <v>60</v>
      </c>
      <c r="C5659" s="6">
        <v>15109</v>
      </c>
      <c r="D5659" s="6">
        <v>16939</v>
      </c>
      <c r="E5659" s="6">
        <v>16136</v>
      </c>
      <c r="F5659" t="str">
        <f t="shared" si="2372"/>
        <v>MON</v>
      </c>
      <c r="G5659" s="1">
        <f t="shared" si="2373"/>
        <v>44151</v>
      </c>
      <c r="H5659" s="2">
        <f t="shared" ca="1" si="2374"/>
        <v>102</v>
      </c>
      <c r="I5659" t="str">
        <f t="shared" si="2375"/>
        <v>NYXBT</v>
      </c>
      <c r="J5659">
        <f t="shared" si="2376"/>
        <v>15109</v>
      </c>
      <c r="K5659">
        <f t="shared" si="2377"/>
        <v>16939</v>
      </c>
      <c r="L5659">
        <f t="shared" si="2378"/>
        <v>16024</v>
      </c>
      <c r="M5659">
        <f t="shared" si="2379"/>
        <v>915</v>
      </c>
      <c r="N5659">
        <f t="shared" si="2383"/>
        <v>1830</v>
      </c>
      <c r="O5659">
        <f t="shared" si="2380"/>
        <v>16136</v>
      </c>
      <c r="P5659">
        <f t="shared" si="2381"/>
        <v>0.12240437158469945</v>
      </c>
      <c r="Q5659" t="str">
        <f t="shared" si="2384"/>
        <v>6.36% | 4.98%</v>
      </c>
      <c r="R5659" t="str">
        <f t="shared" si="2382"/>
        <v>BULLISH</v>
      </c>
      <c r="S5659">
        <f t="shared" si="2385"/>
        <v>1</v>
      </c>
    </row>
    <row r="5660" spans="1:19" hidden="1" x14ac:dyDescent="0.25">
      <c r="A5660" s="5" t="str">
        <f t="shared" si="2386"/>
        <v>44152UST10Y</v>
      </c>
      <c r="B5660" s="6" t="s">
        <v>246</v>
      </c>
      <c r="C5660" s="6">
        <v>1.01</v>
      </c>
      <c r="D5660" s="6">
        <v>0.77</v>
      </c>
      <c r="E5660" s="6">
        <v>0.91</v>
      </c>
      <c r="F5660" t="str">
        <f t="shared" si="2372"/>
        <v>TUE</v>
      </c>
      <c r="G5660" s="3">
        <f>DATE(2020,11,17)</f>
        <v>44152</v>
      </c>
      <c r="H5660" s="2">
        <f t="shared" ca="1" si="2374"/>
        <v>101</v>
      </c>
      <c r="I5660" t="str">
        <f t="shared" si="2375"/>
        <v>UST10Y</v>
      </c>
      <c r="J5660">
        <f t="shared" si="2376"/>
        <v>1.01</v>
      </c>
      <c r="K5660">
        <f t="shared" si="2377"/>
        <v>0.77</v>
      </c>
      <c r="L5660">
        <f t="shared" si="2378"/>
        <v>0.89</v>
      </c>
      <c r="M5660">
        <f t="shared" si="2379"/>
        <v>0.11999999999999987</v>
      </c>
      <c r="N5660">
        <f t="shared" si="2383"/>
        <v>0.24</v>
      </c>
      <c r="O5660">
        <f t="shared" si="2380"/>
        <v>0.91</v>
      </c>
      <c r="P5660">
        <f t="shared" si="2381"/>
        <v>0.16666666666666699</v>
      </c>
      <c r="Q5660" t="str">
        <f t="shared" si="2384"/>
        <v>10.99% | 15.38%</v>
      </c>
      <c r="R5660" t="str">
        <f t="shared" si="2382"/>
        <v>NEUTRAL</v>
      </c>
      <c r="S5660">
        <f t="shared" si="2385"/>
        <v>0</v>
      </c>
    </row>
    <row r="5661" spans="1:19" hidden="1" x14ac:dyDescent="0.25">
      <c r="A5661" s="5" t="str">
        <f t="shared" si="2386"/>
        <v>44152UST2Y</v>
      </c>
      <c r="B5661" s="6" t="s">
        <v>253</v>
      </c>
      <c r="C5661" s="6">
        <v>0.2</v>
      </c>
      <c r="D5661" s="6">
        <v>0.14000000000000001</v>
      </c>
      <c r="E5661" s="6">
        <v>0.19</v>
      </c>
      <c r="F5661" t="str">
        <f t="shared" ref="F5661:F5691" si="2387">UPPER(TEXT(G5661,"ddd"))</f>
        <v>TUE</v>
      </c>
      <c r="G5661" s="3">
        <f t="shared" ref="G5661:G5690" si="2388">DATE(2020,11,17)</f>
        <v>44152</v>
      </c>
      <c r="H5661" s="2">
        <f t="shared" ref="H5661:H5691" ca="1" si="2389">TODAY()-G5661</f>
        <v>101</v>
      </c>
      <c r="I5661" t="str">
        <f t="shared" ref="I5661:I5691" si="2390">TRIM(LEFT(B5661,FIND(" ",B5661,1)))</f>
        <v>UST2Y</v>
      </c>
      <c r="J5661">
        <f t="shared" ref="J5661:J5691" si="2391">C5661</f>
        <v>0.2</v>
      </c>
      <c r="K5661">
        <f t="shared" ref="K5661:K5691" si="2392">D5661</f>
        <v>0.14000000000000001</v>
      </c>
      <c r="L5661">
        <f t="shared" ref="L5661:L5691" si="2393">AVERAGE(J5661:K5661)</f>
        <v>0.17</v>
      </c>
      <c r="M5661">
        <f t="shared" ref="M5661:M5691" si="2394">_xlfn.STDEV.P(J5661:K5661)</f>
        <v>3.0000000000000023E-2</v>
      </c>
      <c r="N5661">
        <f t="shared" si="2383"/>
        <v>0.06</v>
      </c>
      <c r="O5661">
        <f t="shared" ref="O5661:O5691" si="2395">E5661</f>
        <v>0.19</v>
      </c>
      <c r="P5661">
        <f t="shared" ref="P5661:P5691" si="2396">(O5661-L5661)/M5661</f>
        <v>0.66666666666666585</v>
      </c>
      <c r="Q5661" t="str">
        <f t="shared" si="2384"/>
        <v>5.26% | 26.32%</v>
      </c>
      <c r="R5661" t="str">
        <f t="shared" ref="R5661:R5691" si="2397">MID(B5661,FIND("(",B5661,1)+1,FIND(")",B5661,1)-FIND("(",B5661,1)-1)</f>
        <v>NEUTRAL</v>
      </c>
      <c r="S5661">
        <f t="shared" si="2385"/>
        <v>0</v>
      </c>
    </row>
    <row r="5662" spans="1:19" hidden="1" x14ac:dyDescent="0.25">
      <c r="A5662" s="5" t="str">
        <f t="shared" si="2386"/>
        <v>44152SPX</v>
      </c>
      <c r="B5662" s="6" t="s">
        <v>93</v>
      </c>
      <c r="C5662" s="6">
        <v>3445</v>
      </c>
      <c r="D5662" s="6">
        <v>3642</v>
      </c>
      <c r="E5662" s="6">
        <v>3626</v>
      </c>
      <c r="F5662" t="str">
        <f t="shared" si="2387"/>
        <v>TUE</v>
      </c>
      <c r="G5662" s="3">
        <f t="shared" si="2388"/>
        <v>44152</v>
      </c>
      <c r="H5662" s="2">
        <f t="shared" ca="1" si="2389"/>
        <v>101</v>
      </c>
      <c r="I5662" t="str">
        <f t="shared" si="2390"/>
        <v>SPX</v>
      </c>
      <c r="J5662">
        <f t="shared" si="2391"/>
        <v>3445</v>
      </c>
      <c r="K5662">
        <f t="shared" si="2392"/>
        <v>3642</v>
      </c>
      <c r="L5662">
        <f t="shared" si="2393"/>
        <v>3543.5</v>
      </c>
      <c r="M5662">
        <f t="shared" si="2394"/>
        <v>98.5</v>
      </c>
      <c r="N5662">
        <f t="shared" si="2383"/>
        <v>197</v>
      </c>
      <c r="O5662">
        <f t="shared" si="2395"/>
        <v>3626</v>
      </c>
      <c r="P5662">
        <f t="shared" si="2396"/>
        <v>0.8375634517766497</v>
      </c>
      <c r="Q5662" t="str">
        <f t="shared" si="2384"/>
        <v>4.99% | 0.44%</v>
      </c>
      <c r="R5662" t="str">
        <f t="shared" si="2397"/>
        <v>BULLISH</v>
      </c>
      <c r="S5662">
        <f t="shared" si="2385"/>
        <v>1</v>
      </c>
    </row>
    <row r="5663" spans="1:19" hidden="1" x14ac:dyDescent="0.25">
      <c r="A5663" s="5" t="str">
        <f t="shared" si="2386"/>
        <v>44152RUT</v>
      </c>
      <c r="B5663" s="6" t="s">
        <v>247</v>
      </c>
      <c r="C5663" s="6">
        <v>1643</v>
      </c>
      <c r="D5663" s="6">
        <v>1805</v>
      </c>
      <c r="E5663" s="6">
        <v>1785</v>
      </c>
      <c r="F5663" t="str">
        <f t="shared" si="2387"/>
        <v>TUE</v>
      </c>
      <c r="G5663" s="3">
        <f t="shared" si="2388"/>
        <v>44152</v>
      </c>
      <c r="H5663" s="2">
        <f t="shared" ca="1" si="2389"/>
        <v>101</v>
      </c>
      <c r="I5663" t="str">
        <f t="shared" si="2390"/>
        <v>RUT</v>
      </c>
      <c r="J5663">
        <f t="shared" si="2391"/>
        <v>1643</v>
      </c>
      <c r="K5663">
        <f t="shared" si="2392"/>
        <v>1805</v>
      </c>
      <c r="L5663">
        <f t="shared" si="2393"/>
        <v>1724</v>
      </c>
      <c r="M5663">
        <f t="shared" si="2394"/>
        <v>81</v>
      </c>
      <c r="N5663">
        <f t="shared" si="2383"/>
        <v>162</v>
      </c>
      <c r="O5663">
        <f t="shared" si="2395"/>
        <v>1785</v>
      </c>
      <c r="P5663">
        <f t="shared" si="2396"/>
        <v>0.75308641975308643</v>
      </c>
      <c r="Q5663" t="str">
        <f t="shared" si="2384"/>
        <v>7.96% | 1.12%</v>
      </c>
      <c r="R5663" t="str">
        <f t="shared" si="2397"/>
        <v>BULLISH</v>
      </c>
      <c r="S5663">
        <f t="shared" si="2385"/>
        <v>1</v>
      </c>
    </row>
    <row r="5664" spans="1:19" hidden="1" x14ac:dyDescent="0.25">
      <c r="A5664" s="5" t="str">
        <f t="shared" si="2386"/>
        <v>44152COMPQ</v>
      </c>
      <c r="B5664" s="6" t="s">
        <v>8</v>
      </c>
      <c r="C5664" s="6">
        <v>11503</v>
      </c>
      <c r="D5664" s="6">
        <v>12028</v>
      </c>
      <c r="E5664" s="6">
        <v>11924</v>
      </c>
      <c r="F5664" t="str">
        <f t="shared" si="2387"/>
        <v>TUE</v>
      </c>
      <c r="G5664" s="3">
        <f t="shared" si="2388"/>
        <v>44152</v>
      </c>
      <c r="H5664" s="2">
        <f t="shared" ca="1" si="2389"/>
        <v>101</v>
      </c>
      <c r="I5664" t="str">
        <f t="shared" si="2390"/>
        <v>COMPQ</v>
      </c>
      <c r="J5664">
        <f t="shared" si="2391"/>
        <v>11503</v>
      </c>
      <c r="K5664">
        <f t="shared" si="2392"/>
        <v>12028</v>
      </c>
      <c r="L5664">
        <f t="shared" si="2393"/>
        <v>11765.5</v>
      </c>
      <c r="M5664">
        <f t="shared" si="2394"/>
        <v>262.5</v>
      </c>
      <c r="N5664">
        <f t="shared" si="2383"/>
        <v>525</v>
      </c>
      <c r="O5664">
        <f t="shared" si="2395"/>
        <v>11924</v>
      </c>
      <c r="P5664">
        <f t="shared" si="2396"/>
        <v>0.6038095238095238</v>
      </c>
      <c r="Q5664" t="str">
        <f t="shared" si="2384"/>
        <v>3.53% | 0.87%</v>
      </c>
      <c r="R5664" t="str">
        <f t="shared" si="2397"/>
        <v>BULLISH</v>
      </c>
      <c r="S5664">
        <f t="shared" si="2385"/>
        <v>1</v>
      </c>
    </row>
    <row r="5665" spans="1:19" hidden="1" x14ac:dyDescent="0.25">
      <c r="A5665" s="5" t="str">
        <f t="shared" si="2386"/>
        <v>44152XLK</v>
      </c>
      <c r="B5665" s="6" t="s">
        <v>10</v>
      </c>
      <c r="C5665" s="6">
        <v>117.04</v>
      </c>
      <c r="D5665" s="6">
        <v>123.73</v>
      </c>
      <c r="E5665" s="6">
        <v>122.37</v>
      </c>
      <c r="F5665" t="str">
        <f t="shared" si="2387"/>
        <v>TUE</v>
      </c>
      <c r="G5665" s="3">
        <f t="shared" si="2388"/>
        <v>44152</v>
      </c>
      <c r="H5665" s="2">
        <f t="shared" ca="1" si="2389"/>
        <v>101</v>
      </c>
      <c r="I5665" t="str">
        <f t="shared" si="2390"/>
        <v>XLK</v>
      </c>
      <c r="J5665">
        <f t="shared" si="2391"/>
        <v>117.04</v>
      </c>
      <c r="K5665">
        <f t="shared" si="2392"/>
        <v>123.73</v>
      </c>
      <c r="L5665">
        <f t="shared" si="2393"/>
        <v>120.38500000000001</v>
      </c>
      <c r="M5665">
        <f t="shared" si="2394"/>
        <v>3.3449999999999989</v>
      </c>
      <c r="N5665">
        <f t="shared" si="2383"/>
        <v>6.6899999999999977</v>
      </c>
      <c r="O5665">
        <f t="shared" si="2395"/>
        <v>122.37</v>
      </c>
      <c r="P5665">
        <f t="shared" si="2396"/>
        <v>0.59342301943198805</v>
      </c>
      <c r="Q5665" t="str">
        <f t="shared" si="2384"/>
        <v>4.36% | 1.11%</v>
      </c>
      <c r="R5665" t="str">
        <f t="shared" si="2397"/>
        <v>BULLISH</v>
      </c>
      <c r="S5665">
        <f t="shared" si="2385"/>
        <v>1</v>
      </c>
    </row>
    <row r="5666" spans="1:19" hidden="1" x14ac:dyDescent="0.25">
      <c r="A5666" s="5" t="str">
        <f t="shared" si="2386"/>
        <v>44152XLU</v>
      </c>
      <c r="B5666" s="6" t="s">
        <v>52</v>
      </c>
      <c r="C5666" s="6">
        <v>63.26</v>
      </c>
      <c r="D5666" s="6">
        <v>67.8</v>
      </c>
      <c r="E5666" s="6">
        <v>66.760000000000005</v>
      </c>
      <c r="F5666" t="str">
        <f t="shared" si="2387"/>
        <v>TUE</v>
      </c>
      <c r="G5666" s="3">
        <f t="shared" si="2388"/>
        <v>44152</v>
      </c>
      <c r="H5666" s="2">
        <f t="shared" ca="1" si="2389"/>
        <v>101</v>
      </c>
      <c r="I5666" t="str">
        <f t="shared" si="2390"/>
        <v>XLU</v>
      </c>
      <c r="J5666">
        <f t="shared" si="2391"/>
        <v>63.26</v>
      </c>
      <c r="K5666">
        <f t="shared" si="2392"/>
        <v>67.8</v>
      </c>
      <c r="L5666">
        <f t="shared" si="2393"/>
        <v>65.53</v>
      </c>
      <c r="M5666">
        <f t="shared" si="2394"/>
        <v>2.2699999999999996</v>
      </c>
      <c r="N5666">
        <f t="shared" si="2383"/>
        <v>4.5399999999999991</v>
      </c>
      <c r="O5666">
        <f t="shared" si="2395"/>
        <v>66.760000000000005</v>
      </c>
      <c r="P5666">
        <f t="shared" si="2396"/>
        <v>0.54185022026431906</v>
      </c>
      <c r="Q5666" t="str">
        <f t="shared" si="2384"/>
        <v>5.24% | 1.56%</v>
      </c>
      <c r="R5666" t="str">
        <f t="shared" si="2397"/>
        <v>BULLISH</v>
      </c>
      <c r="S5666">
        <f t="shared" si="2385"/>
        <v>1</v>
      </c>
    </row>
    <row r="5667" spans="1:19" hidden="1" x14ac:dyDescent="0.25">
      <c r="A5667" s="5" t="str">
        <f t="shared" si="2386"/>
        <v>44152XLE</v>
      </c>
      <c r="B5667" s="6" t="s">
        <v>250</v>
      </c>
      <c r="C5667" s="6">
        <v>31.32</v>
      </c>
      <c r="D5667" s="6">
        <v>37.200000000000003</v>
      </c>
      <c r="E5667" s="6">
        <v>36.11</v>
      </c>
      <c r="F5667" t="str">
        <f t="shared" si="2387"/>
        <v>TUE</v>
      </c>
      <c r="G5667" s="3">
        <f t="shared" si="2388"/>
        <v>44152</v>
      </c>
      <c r="H5667" s="2">
        <f t="shared" ca="1" si="2389"/>
        <v>101</v>
      </c>
      <c r="I5667" t="str">
        <f t="shared" si="2390"/>
        <v>XLE</v>
      </c>
      <c r="J5667">
        <f t="shared" si="2391"/>
        <v>31.32</v>
      </c>
      <c r="K5667">
        <f t="shared" si="2392"/>
        <v>37.200000000000003</v>
      </c>
      <c r="L5667">
        <f t="shared" si="2393"/>
        <v>34.260000000000005</v>
      </c>
      <c r="M5667">
        <f t="shared" si="2394"/>
        <v>2.9400000000000013</v>
      </c>
      <c r="N5667">
        <f t="shared" si="2383"/>
        <v>5.8800000000000026</v>
      </c>
      <c r="O5667">
        <f t="shared" si="2395"/>
        <v>36.11</v>
      </c>
      <c r="P5667">
        <f t="shared" si="2396"/>
        <v>0.62925170068026992</v>
      </c>
      <c r="Q5667" t="str">
        <f t="shared" si="2384"/>
        <v>13.27% | 3.02%</v>
      </c>
      <c r="R5667" t="str">
        <f t="shared" si="2397"/>
        <v>BULLISH</v>
      </c>
      <c r="S5667">
        <f t="shared" si="2385"/>
        <v>1</v>
      </c>
    </row>
    <row r="5668" spans="1:19" hidden="1" x14ac:dyDescent="0.25">
      <c r="A5668" s="5" t="str">
        <f t="shared" si="2386"/>
        <v>44152SSEC</v>
      </c>
      <c r="B5668" s="6" t="s">
        <v>104</v>
      </c>
      <c r="C5668" s="6">
        <v>3266</v>
      </c>
      <c r="D5668" s="6">
        <v>3396</v>
      </c>
      <c r="E5668" s="6">
        <v>3339</v>
      </c>
      <c r="F5668" t="str">
        <f t="shared" si="2387"/>
        <v>TUE</v>
      </c>
      <c r="G5668" s="3">
        <f t="shared" si="2388"/>
        <v>44152</v>
      </c>
      <c r="H5668" s="2">
        <f t="shared" ca="1" si="2389"/>
        <v>101</v>
      </c>
      <c r="I5668" t="str">
        <f t="shared" si="2390"/>
        <v>SSEC</v>
      </c>
      <c r="J5668">
        <f t="shared" si="2391"/>
        <v>3266</v>
      </c>
      <c r="K5668">
        <f t="shared" si="2392"/>
        <v>3396</v>
      </c>
      <c r="L5668">
        <f t="shared" si="2393"/>
        <v>3331</v>
      </c>
      <c r="M5668">
        <f t="shared" si="2394"/>
        <v>65</v>
      </c>
      <c r="N5668">
        <f t="shared" si="2383"/>
        <v>130</v>
      </c>
      <c r="O5668">
        <f t="shared" si="2395"/>
        <v>3339</v>
      </c>
      <c r="P5668">
        <f t="shared" si="2396"/>
        <v>0.12307692307692308</v>
      </c>
      <c r="Q5668" t="str">
        <f t="shared" si="2384"/>
        <v>2.19% | 1.71%</v>
      </c>
      <c r="R5668" t="str">
        <f t="shared" si="2397"/>
        <v>BULLISH</v>
      </c>
      <c r="S5668">
        <f t="shared" si="2385"/>
        <v>1</v>
      </c>
    </row>
    <row r="5669" spans="1:19" hidden="1" x14ac:dyDescent="0.25">
      <c r="A5669" s="5" t="str">
        <f t="shared" si="2386"/>
        <v>44152NIKK</v>
      </c>
      <c r="B5669" s="6" t="s">
        <v>91</v>
      </c>
      <c r="C5669" s="6">
        <v>24862</v>
      </c>
      <c r="D5669" s="6">
        <v>26277</v>
      </c>
      <c r="E5669" s="6">
        <v>26014</v>
      </c>
      <c r="F5669" t="str">
        <f t="shared" si="2387"/>
        <v>TUE</v>
      </c>
      <c r="G5669" s="3">
        <f t="shared" si="2388"/>
        <v>44152</v>
      </c>
      <c r="H5669" s="2">
        <f t="shared" ca="1" si="2389"/>
        <v>101</v>
      </c>
      <c r="I5669" t="str">
        <f t="shared" si="2390"/>
        <v>NIKK</v>
      </c>
      <c r="J5669">
        <f t="shared" si="2391"/>
        <v>24862</v>
      </c>
      <c r="K5669">
        <f t="shared" si="2392"/>
        <v>26277</v>
      </c>
      <c r="L5669">
        <f t="shared" si="2393"/>
        <v>25569.5</v>
      </c>
      <c r="M5669">
        <f t="shared" si="2394"/>
        <v>707.5</v>
      </c>
      <c r="N5669">
        <f t="shared" si="2383"/>
        <v>1415</v>
      </c>
      <c r="O5669">
        <f t="shared" si="2395"/>
        <v>26014</v>
      </c>
      <c r="P5669">
        <f t="shared" si="2396"/>
        <v>0.62826855123674907</v>
      </c>
      <c r="Q5669" t="str">
        <f t="shared" si="2384"/>
        <v>4.43% | 1.01%</v>
      </c>
      <c r="R5669" t="str">
        <f t="shared" si="2397"/>
        <v>BULLISH</v>
      </c>
      <c r="S5669">
        <f t="shared" si="2385"/>
        <v>1</v>
      </c>
    </row>
    <row r="5670" spans="1:19" hidden="1" x14ac:dyDescent="0.25">
      <c r="A5670" s="5" t="str">
        <f t="shared" si="2386"/>
        <v>44152DAX</v>
      </c>
      <c r="B5670" s="6" t="s">
        <v>16</v>
      </c>
      <c r="C5670" s="6">
        <v>12206</v>
      </c>
      <c r="D5670" s="6">
        <v>13549</v>
      </c>
      <c r="E5670" s="6">
        <v>13138</v>
      </c>
      <c r="F5670" t="str">
        <f t="shared" si="2387"/>
        <v>TUE</v>
      </c>
      <c r="G5670" s="3">
        <f t="shared" si="2388"/>
        <v>44152</v>
      </c>
      <c r="H5670" s="2">
        <f t="shared" ca="1" si="2389"/>
        <v>101</v>
      </c>
      <c r="I5670" t="str">
        <f t="shared" si="2390"/>
        <v>DAX</v>
      </c>
      <c r="J5670">
        <f t="shared" si="2391"/>
        <v>12206</v>
      </c>
      <c r="K5670">
        <f t="shared" si="2392"/>
        <v>13549</v>
      </c>
      <c r="L5670">
        <f t="shared" si="2393"/>
        <v>12877.5</v>
      </c>
      <c r="M5670">
        <f t="shared" si="2394"/>
        <v>671.5</v>
      </c>
      <c r="N5670">
        <f t="shared" si="2383"/>
        <v>1343</v>
      </c>
      <c r="O5670">
        <f t="shared" si="2395"/>
        <v>13138</v>
      </c>
      <c r="P5670">
        <f t="shared" si="2396"/>
        <v>0.38793745346239761</v>
      </c>
      <c r="Q5670" t="str">
        <f t="shared" si="2384"/>
        <v>7.09% | 3.13%</v>
      </c>
      <c r="R5670" t="str">
        <f t="shared" si="2397"/>
        <v>BEARISH</v>
      </c>
      <c r="S5670">
        <f t="shared" si="2385"/>
        <v>-1</v>
      </c>
    </row>
    <row r="5671" spans="1:19" hidden="1" x14ac:dyDescent="0.25">
      <c r="A5671" s="5" t="str">
        <f t="shared" si="2386"/>
        <v>44152VIX</v>
      </c>
      <c r="B5671" s="6" t="s">
        <v>96</v>
      </c>
      <c r="C5671" s="6">
        <v>20.78</v>
      </c>
      <c r="D5671" s="6">
        <v>29.55</v>
      </c>
      <c r="E5671" s="6">
        <v>22.45</v>
      </c>
      <c r="F5671" t="str">
        <f t="shared" si="2387"/>
        <v>TUE</v>
      </c>
      <c r="G5671" s="3">
        <f t="shared" si="2388"/>
        <v>44152</v>
      </c>
      <c r="H5671" s="2">
        <f t="shared" ca="1" si="2389"/>
        <v>101</v>
      </c>
      <c r="I5671" t="str">
        <f t="shared" si="2390"/>
        <v>VIX</v>
      </c>
      <c r="J5671">
        <f t="shared" si="2391"/>
        <v>20.78</v>
      </c>
      <c r="K5671">
        <f t="shared" si="2392"/>
        <v>29.55</v>
      </c>
      <c r="L5671">
        <f t="shared" si="2393"/>
        <v>25.164999999999999</v>
      </c>
      <c r="M5671">
        <f t="shared" si="2394"/>
        <v>4.3850000000000078</v>
      </c>
      <c r="N5671">
        <f t="shared" si="2383"/>
        <v>8.77</v>
      </c>
      <c r="O5671">
        <f t="shared" si="2395"/>
        <v>22.45</v>
      </c>
      <c r="P5671">
        <f t="shared" si="2396"/>
        <v>-0.61915621436715962</v>
      </c>
      <c r="Q5671" t="str">
        <f t="shared" si="2384"/>
        <v>7.44% | 31.63%</v>
      </c>
      <c r="R5671" t="str">
        <f t="shared" si="2397"/>
        <v>BEARISH</v>
      </c>
      <c r="S5671">
        <f t="shared" si="2385"/>
        <v>-1</v>
      </c>
    </row>
    <row r="5672" spans="1:19" hidden="1" x14ac:dyDescent="0.25">
      <c r="A5672" s="5" t="str">
        <f t="shared" si="2386"/>
        <v>44152USD</v>
      </c>
      <c r="B5672" s="6" t="s">
        <v>94</v>
      </c>
      <c r="C5672" s="6">
        <v>92.04</v>
      </c>
      <c r="D5672" s="6">
        <v>93.39</v>
      </c>
      <c r="E5672" s="6">
        <v>92.63</v>
      </c>
      <c r="F5672" t="str">
        <f t="shared" si="2387"/>
        <v>TUE</v>
      </c>
      <c r="G5672" s="3">
        <f t="shared" si="2388"/>
        <v>44152</v>
      </c>
      <c r="H5672" s="2">
        <f t="shared" ca="1" si="2389"/>
        <v>101</v>
      </c>
      <c r="I5672" t="str">
        <f t="shared" si="2390"/>
        <v>USD</v>
      </c>
      <c r="J5672">
        <f t="shared" si="2391"/>
        <v>92.04</v>
      </c>
      <c r="K5672">
        <f t="shared" si="2392"/>
        <v>93.39</v>
      </c>
      <c r="L5672">
        <f t="shared" si="2393"/>
        <v>92.715000000000003</v>
      </c>
      <c r="M5672">
        <f t="shared" si="2394"/>
        <v>0.67499999999999716</v>
      </c>
      <c r="N5672">
        <f t="shared" si="2383"/>
        <v>1.3499999999999943</v>
      </c>
      <c r="O5672">
        <f t="shared" si="2395"/>
        <v>92.63</v>
      </c>
      <c r="P5672">
        <f t="shared" si="2396"/>
        <v>-0.12592592592593824</v>
      </c>
      <c r="Q5672" t="str">
        <f t="shared" si="2384"/>
        <v>0.64% | 0.82%</v>
      </c>
      <c r="R5672" t="str">
        <f t="shared" si="2397"/>
        <v>BEARISH</v>
      </c>
      <c r="S5672">
        <f t="shared" si="2385"/>
        <v>-1</v>
      </c>
    </row>
    <row r="5673" spans="1:19" hidden="1" x14ac:dyDescent="0.25">
      <c r="A5673" s="5" t="str">
        <f t="shared" si="2386"/>
        <v>44152EUR/USD</v>
      </c>
      <c r="B5673" s="6" t="s">
        <v>99</v>
      </c>
      <c r="C5673" s="6">
        <v>1.171</v>
      </c>
      <c r="D5673" s="6">
        <v>1.1890000000000001</v>
      </c>
      <c r="E5673" s="6">
        <v>1.1850000000000001</v>
      </c>
      <c r="F5673" t="str">
        <f t="shared" si="2387"/>
        <v>TUE</v>
      </c>
      <c r="G5673" s="3">
        <f t="shared" si="2388"/>
        <v>44152</v>
      </c>
      <c r="H5673" s="2">
        <f t="shared" ca="1" si="2389"/>
        <v>101</v>
      </c>
      <c r="I5673" t="str">
        <f t="shared" si="2390"/>
        <v>EUR/USD</v>
      </c>
      <c r="J5673">
        <f t="shared" si="2391"/>
        <v>1.171</v>
      </c>
      <c r="K5673">
        <f t="shared" si="2392"/>
        <v>1.1890000000000001</v>
      </c>
      <c r="L5673">
        <f t="shared" si="2393"/>
        <v>1.1800000000000002</v>
      </c>
      <c r="M5673">
        <f t="shared" si="2394"/>
        <v>9.000000000000008E-3</v>
      </c>
      <c r="N5673">
        <f t="shared" si="2383"/>
        <v>1.8000000000000016E-2</v>
      </c>
      <c r="O5673">
        <f t="shared" si="2395"/>
        <v>1.1850000000000001</v>
      </c>
      <c r="P5673">
        <f t="shared" si="2396"/>
        <v>0.55555555555554326</v>
      </c>
      <c r="Q5673" t="str">
        <f t="shared" si="2384"/>
        <v>1.18% | 0.34%</v>
      </c>
      <c r="R5673" t="str">
        <f t="shared" si="2397"/>
        <v>BULLISH</v>
      </c>
      <c r="S5673">
        <f t="shared" si="2385"/>
        <v>1</v>
      </c>
    </row>
    <row r="5674" spans="1:19" hidden="1" x14ac:dyDescent="0.25">
      <c r="A5674" s="5" t="str">
        <f t="shared" si="2386"/>
        <v>44152USD/JPY</v>
      </c>
      <c r="B5674" s="6" t="s">
        <v>20</v>
      </c>
      <c r="C5674" s="6">
        <v>103.14</v>
      </c>
      <c r="D5674" s="6">
        <v>105.63</v>
      </c>
      <c r="E5674" s="6">
        <v>104.57</v>
      </c>
      <c r="F5674" t="str">
        <f t="shared" si="2387"/>
        <v>TUE</v>
      </c>
      <c r="G5674" s="3">
        <f t="shared" si="2388"/>
        <v>44152</v>
      </c>
      <c r="H5674" s="2">
        <f t="shared" ca="1" si="2389"/>
        <v>101</v>
      </c>
      <c r="I5674" t="str">
        <f t="shared" si="2390"/>
        <v>USD/JPY</v>
      </c>
      <c r="J5674">
        <f t="shared" si="2391"/>
        <v>103.14</v>
      </c>
      <c r="K5674">
        <f t="shared" si="2392"/>
        <v>105.63</v>
      </c>
      <c r="L5674">
        <f t="shared" si="2393"/>
        <v>104.38499999999999</v>
      </c>
      <c r="M5674">
        <f t="shared" si="2394"/>
        <v>1.2449999999999974</v>
      </c>
      <c r="N5674">
        <f t="shared" si="2383"/>
        <v>2.4899999999999949</v>
      </c>
      <c r="O5674">
        <f t="shared" si="2395"/>
        <v>104.57</v>
      </c>
      <c r="P5674">
        <f t="shared" si="2396"/>
        <v>0.14859437751004229</v>
      </c>
      <c r="Q5674" t="str">
        <f t="shared" si="2384"/>
        <v>1.37% | 1.01%</v>
      </c>
      <c r="R5674" t="str">
        <f t="shared" si="2397"/>
        <v>BEARISH</v>
      </c>
      <c r="S5674">
        <f t="shared" si="2385"/>
        <v>-1</v>
      </c>
    </row>
    <row r="5675" spans="1:19" hidden="1" x14ac:dyDescent="0.25">
      <c r="A5675" s="5" t="str">
        <f t="shared" si="2386"/>
        <v>44152GBP/USD</v>
      </c>
      <c r="B5675" s="6" t="s">
        <v>102</v>
      </c>
      <c r="C5675" s="6">
        <v>1.3</v>
      </c>
      <c r="D5675" s="6">
        <v>1.3320000000000001</v>
      </c>
      <c r="E5675" s="6">
        <v>1.32</v>
      </c>
      <c r="F5675" t="str">
        <f t="shared" si="2387"/>
        <v>TUE</v>
      </c>
      <c r="G5675" s="3">
        <f t="shared" si="2388"/>
        <v>44152</v>
      </c>
      <c r="H5675" s="2">
        <f t="shared" ca="1" si="2389"/>
        <v>101</v>
      </c>
      <c r="I5675" t="str">
        <f t="shared" si="2390"/>
        <v>GBP/USD</v>
      </c>
      <c r="J5675">
        <f t="shared" si="2391"/>
        <v>1.3</v>
      </c>
      <c r="K5675">
        <f t="shared" si="2392"/>
        <v>1.3320000000000001</v>
      </c>
      <c r="L5675">
        <f t="shared" si="2393"/>
        <v>1.3160000000000001</v>
      </c>
      <c r="M5675">
        <f t="shared" si="2394"/>
        <v>1.6000000000000014E-2</v>
      </c>
      <c r="N5675">
        <f t="shared" si="2383"/>
        <v>3.2000000000000028E-2</v>
      </c>
      <c r="O5675">
        <f t="shared" si="2395"/>
        <v>1.32</v>
      </c>
      <c r="P5675">
        <f t="shared" si="2396"/>
        <v>0.25</v>
      </c>
      <c r="Q5675" t="str">
        <f t="shared" si="2384"/>
        <v>1.52% | 0.91%</v>
      </c>
      <c r="R5675" t="str">
        <f t="shared" si="2397"/>
        <v>BULLISH</v>
      </c>
      <c r="S5675">
        <f t="shared" si="2385"/>
        <v>1</v>
      </c>
    </row>
    <row r="5676" spans="1:19" hidden="1" x14ac:dyDescent="0.25">
      <c r="A5676" s="5" t="str">
        <f t="shared" si="2386"/>
        <v>44152CAD/USD</v>
      </c>
      <c r="B5676" s="6" t="s">
        <v>244</v>
      </c>
      <c r="C5676" s="6">
        <v>0.75</v>
      </c>
      <c r="D5676" s="6">
        <v>0.77</v>
      </c>
      <c r="E5676" s="6">
        <v>0.76</v>
      </c>
      <c r="F5676" t="str">
        <f t="shared" si="2387"/>
        <v>TUE</v>
      </c>
      <c r="G5676" s="3">
        <f t="shared" si="2388"/>
        <v>44152</v>
      </c>
      <c r="H5676" s="2">
        <f t="shared" ca="1" si="2389"/>
        <v>101</v>
      </c>
      <c r="I5676" t="str">
        <f t="shared" si="2390"/>
        <v>CAD/USD</v>
      </c>
      <c r="J5676">
        <f t="shared" si="2391"/>
        <v>0.75</v>
      </c>
      <c r="K5676">
        <f t="shared" si="2392"/>
        <v>0.77</v>
      </c>
      <c r="L5676">
        <f t="shared" si="2393"/>
        <v>0.76</v>
      </c>
      <c r="M5676">
        <f t="shared" si="2394"/>
        <v>1.0000000000000009E-2</v>
      </c>
      <c r="N5676">
        <f t="shared" si="2383"/>
        <v>2.0000000000000018E-2</v>
      </c>
      <c r="O5676">
        <f t="shared" si="2395"/>
        <v>0.76</v>
      </c>
      <c r="P5676">
        <f t="shared" si="2396"/>
        <v>0</v>
      </c>
      <c r="Q5676" t="str">
        <f t="shared" si="2384"/>
        <v>1.32% | 1.32%</v>
      </c>
      <c r="R5676" t="str">
        <f t="shared" si="2397"/>
        <v>BULLISH</v>
      </c>
      <c r="S5676">
        <f t="shared" si="2385"/>
        <v>1</v>
      </c>
    </row>
    <row r="5677" spans="1:19" hidden="1" x14ac:dyDescent="0.25">
      <c r="A5677" s="5" t="str">
        <f t="shared" si="2386"/>
        <v>44152USD/CHF</v>
      </c>
      <c r="B5677" s="6" t="s">
        <v>76</v>
      </c>
      <c r="C5677" s="6">
        <v>0.9</v>
      </c>
      <c r="D5677" s="6">
        <v>0.92</v>
      </c>
      <c r="E5677" s="6">
        <v>0.91</v>
      </c>
      <c r="F5677" t="str">
        <f t="shared" si="2387"/>
        <v>TUE</v>
      </c>
      <c r="G5677" s="3">
        <f t="shared" si="2388"/>
        <v>44152</v>
      </c>
      <c r="H5677" s="2">
        <f t="shared" ca="1" si="2389"/>
        <v>101</v>
      </c>
      <c r="I5677" t="str">
        <f t="shared" si="2390"/>
        <v>USD/CHF</v>
      </c>
      <c r="J5677">
        <f t="shared" si="2391"/>
        <v>0.9</v>
      </c>
      <c r="K5677">
        <f t="shared" si="2392"/>
        <v>0.92</v>
      </c>
      <c r="L5677">
        <f t="shared" si="2393"/>
        <v>0.91</v>
      </c>
      <c r="M5677">
        <f t="shared" si="2394"/>
        <v>1.0000000000000009E-2</v>
      </c>
      <c r="N5677">
        <f t="shared" si="2383"/>
        <v>2.0000000000000018E-2</v>
      </c>
      <c r="O5677">
        <f t="shared" si="2395"/>
        <v>0.91</v>
      </c>
      <c r="P5677">
        <f t="shared" si="2396"/>
        <v>0</v>
      </c>
      <c r="Q5677" t="str">
        <f t="shared" si="2384"/>
        <v>1.1% | 1.1%</v>
      </c>
      <c r="R5677" t="str">
        <f t="shared" si="2397"/>
        <v>BEARISH</v>
      </c>
      <c r="S5677">
        <f t="shared" si="2385"/>
        <v>-1</v>
      </c>
    </row>
    <row r="5678" spans="1:19" hidden="1" x14ac:dyDescent="0.25">
      <c r="A5678" s="5" t="str">
        <f t="shared" si="2386"/>
        <v>44152WTIC</v>
      </c>
      <c r="B5678" s="6" t="s">
        <v>158</v>
      </c>
      <c r="C5678" s="6">
        <v>37.4</v>
      </c>
      <c r="D5678" s="6">
        <v>42.97</v>
      </c>
      <c r="E5678" s="6">
        <v>41.34</v>
      </c>
      <c r="F5678" t="str">
        <f t="shared" si="2387"/>
        <v>TUE</v>
      </c>
      <c r="G5678" s="3">
        <f t="shared" si="2388"/>
        <v>44152</v>
      </c>
      <c r="H5678" s="2">
        <f t="shared" ca="1" si="2389"/>
        <v>101</v>
      </c>
      <c r="I5678" t="str">
        <f t="shared" si="2390"/>
        <v>WTIC</v>
      </c>
      <c r="J5678">
        <f t="shared" si="2391"/>
        <v>37.4</v>
      </c>
      <c r="K5678">
        <f t="shared" si="2392"/>
        <v>42.97</v>
      </c>
      <c r="L5678">
        <f t="shared" si="2393"/>
        <v>40.185000000000002</v>
      </c>
      <c r="M5678">
        <f t="shared" si="2394"/>
        <v>2.7850000000000001</v>
      </c>
      <c r="N5678">
        <f t="shared" si="2383"/>
        <v>5.57</v>
      </c>
      <c r="O5678">
        <f t="shared" si="2395"/>
        <v>41.34</v>
      </c>
      <c r="P5678">
        <f t="shared" si="2396"/>
        <v>0.41472172351885139</v>
      </c>
      <c r="Q5678" t="str">
        <f t="shared" si="2384"/>
        <v>9.53% | 3.94%</v>
      </c>
      <c r="R5678" t="str">
        <f t="shared" si="2397"/>
        <v>BULLISH</v>
      </c>
      <c r="S5678">
        <f t="shared" si="2385"/>
        <v>1</v>
      </c>
    </row>
    <row r="5679" spans="1:19" hidden="1" x14ac:dyDescent="0.25">
      <c r="A5679" s="5" t="str">
        <f t="shared" si="2386"/>
        <v>44152NATGAS</v>
      </c>
      <c r="B5679" s="6" t="s">
        <v>89</v>
      </c>
      <c r="C5679" s="6">
        <v>2.63</v>
      </c>
      <c r="D5679" s="6">
        <v>3.14</v>
      </c>
      <c r="E5679" s="6">
        <v>2.7</v>
      </c>
      <c r="F5679" t="str">
        <f t="shared" si="2387"/>
        <v>TUE</v>
      </c>
      <c r="G5679" s="3">
        <f t="shared" si="2388"/>
        <v>44152</v>
      </c>
      <c r="H5679" s="2">
        <f t="shared" ca="1" si="2389"/>
        <v>101</v>
      </c>
      <c r="I5679" t="str">
        <f t="shared" si="2390"/>
        <v>NATGAS</v>
      </c>
      <c r="J5679">
        <f t="shared" si="2391"/>
        <v>2.63</v>
      </c>
      <c r="K5679">
        <f t="shared" si="2392"/>
        <v>3.14</v>
      </c>
      <c r="L5679">
        <f t="shared" si="2393"/>
        <v>2.8849999999999998</v>
      </c>
      <c r="M5679">
        <f t="shared" si="2394"/>
        <v>0.25500000000000012</v>
      </c>
      <c r="N5679">
        <f t="shared" si="2383"/>
        <v>0.51000000000000023</v>
      </c>
      <c r="O5679">
        <f t="shared" si="2395"/>
        <v>2.7</v>
      </c>
      <c r="P5679">
        <f t="shared" si="2396"/>
        <v>-0.72549019607842946</v>
      </c>
      <c r="Q5679" t="str">
        <f t="shared" si="2384"/>
        <v>2.59% | 16.3%</v>
      </c>
      <c r="R5679" t="str">
        <f t="shared" si="2397"/>
        <v>BULLISH</v>
      </c>
      <c r="S5679">
        <f t="shared" si="2385"/>
        <v>1</v>
      </c>
    </row>
    <row r="5680" spans="1:19" hidden="1" x14ac:dyDescent="0.25">
      <c r="A5680" s="5" t="str">
        <f t="shared" si="2386"/>
        <v>44152GOLD</v>
      </c>
      <c r="B5680" s="6" t="s">
        <v>249</v>
      </c>
      <c r="C5680" s="6">
        <v>1827</v>
      </c>
      <c r="D5680" s="6">
        <v>1907</v>
      </c>
      <c r="E5680" s="6">
        <v>1887</v>
      </c>
      <c r="F5680" t="str">
        <f t="shared" si="2387"/>
        <v>TUE</v>
      </c>
      <c r="G5680" s="3">
        <f t="shared" si="2388"/>
        <v>44152</v>
      </c>
      <c r="H5680" s="2">
        <f t="shared" ca="1" si="2389"/>
        <v>101</v>
      </c>
      <c r="I5680" t="str">
        <f t="shared" si="2390"/>
        <v>GOLD</v>
      </c>
      <c r="J5680">
        <f t="shared" si="2391"/>
        <v>1827</v>
      </c>
      <c r="K5680">
        <f t="shared" si="2392"/>
        <v>1907</v>
      </c>
      <c r="L5680">
        <f t="shared" si="2393"/>
        <v>1867</v>
      </c>
      <c r="M5680">
        <f t="shared" si="2394"/>
        <v>40</v>
      </c>
      <c r="N5680">
        <f t="shared" si="2383"/>
        <v>80</v>
      </c>
      <c r="O5680">
        <f t="shared" si="2395"/>
        <v>1887</v>
      </c>
      <c r="P5680">
        <f t="shared" si="2396"/>
        <v>0.5</v>
      </c>
      <c r="Q5680" t="str">
        <f t="shared" si="2384"/>
        <v>3.18% | 1.06%</v>
      </c>
      <c r="R5680" t="str">
        <f t="shared" si="2397"/>
        <v>NEUTRAL</v>
      </c>
      <c r="S5680">
        <f t="shared" si="2385"/>
        <v>0</v>
      </c>
    </row>
    <row r="5681" spans="1:19" hidden="1" x14ac:dyDescent="0.25">
      <c r="A5681" s="5" t="str">
        <f t="shared" si="2386"/>
        <v>44152SILVER</v>
      </c>
      <c r="B5681" s="6" t="s">
        <v>241</v>
      </c>
      <c r="C5681" s="6">
        <v>23.14</v>
      </c>
      <c r="D5681" s="6">
        <v>25.74</v>
      </c>
      <c r="E5681" s="6">
        <v>24.8</v>
      </c>
      <c r="F5681" t="str">
        <f t="shared" si="2387"/>
        <v>TUE</v>
      </c>
      <c r="G5681" s="3">
        <f t="shared" si="2388"/>
        <v>44152</v>
      </c>
      <c r="H5681" s="2">
        <f t="shared" ca="1" si="2389"/>
        <v>101</v>
      </c>
      <c r="I5681" t="str">
        <f t="shared" si="2390"/>
        <v>SILVER</v>
      </c>
      <c r="J5681">
        <f t="shared" si="2391"/>
        <v>23.14</v>
      </c>
      <c r="K5681">
        <f t="shared" si="2392"/>
        <v>25.74</v>
      </c>
      <c r="L5681">
        <f t="shared" si="2393"/>
        <v>24.439999999999998</v>
      </c>
      <c r="M5681">
        <f t="shared" si="2394"/>
        <v>1.2999999999999989</v>
      </c>
      <c r="N5681">
        <f t="shared" si="2383"/>
        <v>2.5999999999999979</v>
      </c>
      <c r="O5681">
        <f t="shared" si="2395"/>
        <v>24.8</v>
      </c>
      <c r="P5681">
        <f t="shared" si="2396"/>
        <v>0.27692307692307944</v>
      </c>
      <c r="Q5681" t="str">
        <f t="shared" si="2384"/>
        <v>6.69% | 3.79%</v>
      </c>
      <c r="R5681" t="str">
        <f t="shared" si="2397"/>
        <v>NEUTRAL</v>
      </c>
      <c r="S5681">
        <f t="shared" si="2385"/>
        <v>0</v>
      </c>
    </row>
    <row r="5682" spans="1:19" hidden="1" x14ac:dyDescent="0.25">
      <c r="A5682" s="5" t="str">
        <f t="shared" si="2386"/>
        <v>44152COPPER</v>
      </c>
      <c r="B5682" s="6" t="s">
        <v>100</v>
      </c>
      <c r="C5682" s="6">
        <v>3.11</v>
      </c>
      <c r="D5682" s="6">
        <v>3.25</v>
      </c>
      <c r="E5682" s="6">
        <v>3.22</v>
      </c>
      <c r="F5682" t="str">
        <f t="shared" si="2387"/>
        <v>TUE</v>
      </c>
      <c r="G5682" s="3">
        <f t="shared" si="2388"/>
        <v>44152</v>
      </c>
      <c r="H5682" s="2">
        <f t="shared" ca="1" si="2389"/>
        <v>101</v>
      </c>
      <c r="I5682" t="str">
        <f t="shared" si="2390"/>
        <v>COPPER</v>
      </c>
      <c r="J5682">
        <f t="shared" si="2391"/>
        <v>3.11</v>
      </c>
      <c r="K5682">
        <f t="shared" si="2392"/>
        <v>3.25</v>
      </c>
      <c r="L5682">
        <f t="shared" si="2393"/>
        <v>3.1799999999999997</v>
      </c>
      <c r="M5682">
        <f t="shared" si="2394"/>
        <v>7.0000000000000062E-2</v>
      </c>
      <c r="N5682">
        <f t="shared" si="2383"/>
        <v>0.14000000000000012</v>
      </c>
      <c r="O5682">
        <f t="shared" si="2395"/>
        <v>3.22</v>
      </c>
      <c r="P5682">
        <f t="shared" si="2396"/>
        <v>0.57142857142857773</v>
      </c>
      <c r="Q5682" t="str">
        <f t="shared" si="2384"/>
        <v>3.42% | 0.93%</v>
      </c>
      <c r="R5682" t="str">
        <f t="shared" si="2397"/>
        <v>BULLISH</v>
      </c>
      <c r="S5682">
        <f t="shared" si="2385"/>
        <v>1</v>
      </c>
    </row>
    <row r="5683" spans="1:19" hidden="1" x14ac:dyDescent="0.25">
      <c r="A5683" s="5" t="str">
        <f t="shared" si="2386"/>
        <v>44152MSFT</v>
      </c>
      <c r="B5683" s="6" t="s">
        <v>27</v>
      </c>
      <c r="C5683" s="6">
        <v>209</v>
      </c>
      <c r="D5683" s="6">
        <v>225</v>
      </c>
      <c r="E5683" s="6">
        <v>217</v>
      </c>
      <c r="F5683" t="str">
        <f t="shared" si="2387"/>
        <v>TUE</v>
      </c>
      <c r="G5683" s="3">
        <f t="shared" si="2388"/>
        <v>44152</v>
      </c>
      <c r="H5683" s="2">
        <f t="shared" ca="1" si="2389"/>
        <v>101</v>
      </c>
      <c r="I5683" t="str">
        <f t="shared" si="2390"/>
        <v>MSFT</v>
      </c>
      <c r="J5683">
        <f t="shared" si="2391"/>
        <v>209</v>
      </c>
      <c r="K5683">
        <f t="shared" si="2392"/>
        <v>225</v>
      </c>
      <c r="L5683">
        <f t="shared" si="2393"/>
        <v>217</v>
      </c>
      <c r="M5683">
        <f t="shared" si="2394"/>
        <v>8</v>
      </c>
      <c r="N5683">
        <f t="shared" si="2383"/>
        <v>16</v>
      </c>
      <c r="O5683">
        <f t="shared" si="2395"/>
        <v>217</v>
      </c>
      <c r="P5683">
        <f t="shared" si="2396"/>
        <v>0</v>
      </c>
      <c r="Q5683" t="str">
        <f t="shared" si="2384"/>
        <v>3.69% | 3.69%</v>
      </c>
      <c r="R5683" t="str">
        <f t="shared" si="2397"/>
        <v>BULLISH</v>
      </c>
      <c r="S5683">
        <f t="shared" si="2385"/>
        <v>1</v>
      </c>
    </row>
    <row r="5684" spans="1:19" hidden="1" x14ac:dyDescent="0.25">
      <c r="A5684" s="5" t="str">
        <f t="shared" si="2386"/>
        <v>44152AAPL</v>
      </c>
      <c r="B5684" s="6" t="s">
        <v>28</v>
      </c>
      <c r="C5684" s="6">
        <v>112</v>
      </c>
      <c r="D5684" s="6">
        <v>123</v>
      </c>
      <c r="E5684" s="6">
        <v>120</v>
      </c>
      <c r="F5684" t="str">
        <f t="shared" si="2387"/>
        <v>TUE</v>
      </c>
      <c r="G5684" s="3">
        <f t="shared" si="2388"/>
        <v>44152</v>
      </c>
      <c r="H5684" s="2">
        <f t="shared" ca="1" si="2389"/>
        <v>101</v>
      </c>
      <c r="I5684" t="str">
        <f t="shared" si="2390"/>
        <v>AAPL</v>
      </c>
      <c r="J5684">
        <f t="shared" si="2391"/>
        <v>112</v>
      </c>
      <c r="K5684">
        <f t="shared" si="2392"/>
        <v>123</v>
      </c>
      <c r="L5684">
        <f t="shared" si="2393"/>
        <v>117.5</v>
      </c>
      <c r="M5684">
        <f t="shared" si="2394"/>
        <v>5.5</v>
      </c>
      <c r="N5684">
        <f t="shared" si="2383"/>
        <v>11</v>
      </c>
      <c r="O5684">
        <f t="shared" si="2395"/>
        <v>120</v>
      </c>
      <c r="P5684">
        <f t="shared" si="2396"/>
        <v>0.45454545454545453</v>
      </c>
      <c r="Q5684" t="str">
        <f t="shared" si="2384"/>
        <v>6.67% | 2.5%</v>
      </c>
      <c r="R5684" t="str">
        <f t="shared" si="2397"/>
        <v>BULLISH</v>
      </c>
      <c r="S5684">
        <f t="shared" si="2385"/>
        <v>1</v>
      </c>
    </row>
    <row r="5685" spans="1:19" hidden="1" x14ac:dyDescent="0.25">
      <c r="A5685" s="5" t="str">
        <f t="shared" si="2386"/>
        <v>44152AMZN</v>
      </c>
      <c r="B5685" s="6" t="s">
        <v>69</v>
      </c>
      <c r="C5685" s="6">
        <v>2971</v>
      </c>
      <c r="D5685" s="6">
        <v>3191</v>
      </c>
      <c r="E5685" s="6">
        <v>3131</v>
      </c>
      <c r="F5685" t="str">
        <f t="shared" si="2387"/>
        <v>TUE</v>
      </c>
      <c r="G5685" s="3">
        <f t="shared" si="2388"/>
        <v>44152</v>
      </c>
      <c r="H5685" s="2">
        <f t="shared" ca="1" si="2389"/>
        <v>101</v>
      </c>
      <c r="I5685" t="str">
        <f t="shared" si="2390"/>
        <v>AMZN</v>
      </c>
      <c r="J5685">
        <f t="shared" si="2391"/>
        <v>2971</v>
      </c>
      <c r="K5685">
        <f t="shared" si="2392"/>
        <v>3191</v>
      </c>
      <c r="L5685">
        <f t="shared" si="2393"/>
        <v>3081</v>
      </c>
      <c r="M5685">
        <f t="shared" si="2394"/>
        <v>110</v>
      </c>
      <c r="N5685">
        <f t="shared" si="2383"/>
        <v>220</v>
      </c>
      <c r="O5685">
        <f t="shared" si="2395"/>
        <v>3131</v>
      </c>
      <c r="P5685">
        <f t="shared" si="2396"/>
        <v>0.45454545454545453</v>
      </c>
      <c r="Q5685" t="str">
        <f t="shared" si="2384"/>
        <v>5.11% | 1.92%</v>
      </c>
      <c r="R5685" t="str">
        <f t="shared" si="2397"/>
        <v>NEUTRAL</v>
      </c>
      <c r="S5685">
        <f t="shared" si="2385"/>
        <v>0</v>
      </c>
    </row>
    <row r="5686" spans="1:19" hidden="1" x14ac:dyDescent="0.25">
      <c r="A5686" s="5" t="str">
        <f t="shared" si="2386"/>
        <v>44152FB</v>
      </c>
      <c r="B5686" s="6" t="s">
        <v>30</v>
      </c>
      <c r="C5686" s="6">
        <v>264</v>
      </c>
      <c r="D5686" s="6">
        <v>297</v>
      </c>
      <c r="E5686" s="6">
        <v>278</v>
      </c>
      <c r="F5686" t="str">
        <f t="shared" si="2387"/>
        <v>TUE</v>
      </c>
      <c r="G5686" s="3">
        <f t="shared" si="2388"/>
        <v>44152</v>
      </c>
      <c r="H5686" s="2">
        <f t="shared" ca="1" si="2389"/>
        <v>101</v>
      </c>
      <c r="I5686" t="str">
        <f t="shared" si="2390"/>
        <v>FB</v>
      </c>
      <c r="J5686">
        <f t="shared" si="2391"/>
        <v>264</v>
      </c>
      <c r="K5686">
        <f t="shared" si="2392"/>
        <v>297</v>
      </c>
      <c r="L5686">
        <f t="shared" si="2393"/>
        <v>280.5</v>
      </c>
      <c r="M5686">
        <f t="shared" si="2394"/>
        <v>16.5</v>
      </c>
      <c r="N5686">
        <f t="shared" si="2383"/>
        <v>33</v>
      </c>
      <c r="O5686">
        <f t="shared" si="2395"/>
        <v>278</v>
      </c>
      <c r="P5686">
        <f t="shared" si="2396"/>
        <v>-0.15151515151515152</v>
      </c>
      <c r="Q5686" t="str">
        <f t="shared" si="2384"/>
        <v>5.04% | 6.83%</v>
      </c>
      <c r="R5686" t="str">
        <f t="shared" si="2397"/>
        <v>BULLISH</v>
      </c>
      <c r="S5686">
        <f t="shared" si="2385"/>
        <v>1</v>
      </c>
    </row>
    <row r="5687" spans="1:19" hidden="1" x14ac:dyDescent="0.25">
      <c r="A5687" s="5" t="str">
        <f t="shared" si="2386"/>
        <v>44152GOOGL</v>
      </c>
      <c r="B5687" s="6" t="s">
        <v>31</v>
      </c>
      <c r="C5687" s="6">
        <v>1701</v>
      </c>
      <c r="D5687" s="6">
        <v>1790</v>
      </c>
      <c r="E5687" s="6">
        <v>1774</v>
      </c>
      <c r="F5687" t="str">
        <f t="shared" si="2387"/>
        <v>TUE</v>
      </c>
      <c r="G5687" s="3">
        <f t="shared" si="2388"/>
        <v>44152</v>
      </c>
      <c r="H5687" s="2">
        <f t="shared" ca="1" si="2389"/>
        <v>101</v>
      </c>
      <c r="I5687" t="str">
        <f t="shared" si="2390"/>
        <v>GOOGL</v>
      </c>
      <c r="J5687">
        <f t="shared" si="2391"/>
        <v>1701</v>
      </c>
      <c r="K5687">
        <f t="shared" si="2392"/>
        <v>1790</v>
      </c>
      <c r="L5687">
        <f t="shared" si="2393"/>
        <v>1745.5</v>
      </c>
      <c r="M5687">
        <f t="shared" si="2394"/>
        <v>44.5</v>
      </c>
      <c r="N5687">
        <f t="shared" si="2383"/>
        <v>89</v>
      </c>
      <c r="O5687">
        <f t="shared" si="2395"/>
        <v>1774</v>
      </c>
      <c r="P5687">
        <f t="shared" si="2396"/>
        <v>0.6404494382022472</v>
      </c>
      <c r="Q5687" t="str">
        <f t="shared" si="2384"/>
        <v>4.11% | 0.9%</v>
      </c>
      <c r="R5687" t="str">
        <f t="shared" si="2397"/>
        <v>BULLISH</v>
      </c>
      <c r="S5687">
        <f t="shared" si="2385"/>
        <v>1</v>
      </c>
    </row>
    <row r="5688" spans="1:19" hidden="1" x14ac:dyDescent="0.25">
      <c r="A5688" s="5" t="str">
        <f t="shared" si="2386"/>
        <v>44152NFLX</v>
      </c>
      <c r="B5688" s="6" t="s">
        <v>81</v>
      </c>
      <c r="C5688" s="6">
        <v>459</v>
      </c>
      <c r="D5688" s="6">
        <v>496</v>
      </c>
      <c r="E5688" s="6">
        <v>479</v>
      </c>
      <c r="F5688" t="str">
        <f t="shared" si="2387"/>
        <v>TUE</v>
      </c>
      <c r="G5688" s="3">
        <f t="shared" si="2388"/>
        <v>44152</v>
      </c>
      <c r="H5688" s="2">
        <f t="shared" ca="1" si="2389"/>
        <v>101</v>
      </c>
      <c r="I5688" t="str">
        <f t="shared" si="2390"/>
        <v>NFLX</v>
      </c>
      <c r="J5688">
        <f t="shared" si="2391"/>
        <v>459</v>
      </c>
      <c r="K5688">
        <f t="shared" si="2392"/>
        <v>496</v>
      </c>
      <c r="L5688">
        <f t="shared" si="2393"/>
        <v>477.5</v>
      </c>
      <c r="M5688">
        <f t="shared" si="2394"/>
        <v>18.5</v>
      </c>
      <c r="N5688">
        <f t="shared" si="2383"/>
        <v>37</v>
      </c>
      <c r="O5688">
        <f t="shared" si="2395"/>
        <v>479</v>
      </c>
      <c r="P5688">
        <f t="shared" si="2396"/>
        <v>8.1081081081081086E-2</v>
      </c>
      <c r="Q5688" t="str">
        <f t="shared" si="2384"/>
        <v>4.18% | 3.55%</v>
      </c>
      <c r="R5688" t="str">
        <f t="shared" si="2397"/>
        <v>BEARISH</v>
      </c>
      <c r="S5688">
        <f t="shared" si="2385"/>
        <v>-1</v>
      </c>
    </row>
    <row r="5689" spans="1:19" x14ac:dyDescent="0.25">
      <c r="A5689" s="5" t="str">
        <f t="shared" si="2386"/>
        <v>44152TSLA</v>
      </c>
      <c r="B5689" s="6" t="s">
        <v>71</v>
      </c>
      <c r="C5689" s="6">
        <v>399</v>
      </c>
      <c r="D5689" s="6">
        <v>465</v>
      </c>
      <c r="E5689" s="6">
        <v>408</v>
      </c>
      <c r="F5689" t="str">
        <f t="shared" si="2387"/>
        <v>TUE</v>
      </c>
      <c r="G5689" s="3">
        <f t="shared" si="2388"/>
        <v>44152</v>
      </c>
      <c r="H5689" s="2">
        <f t="shared" ca="1" si="2389"/>
        <v>101</v>
      </c>
      <c r="I5689" t="str">
        <f t="shared" si="2390"/>
        <v>TSLA</v>
      </c>
      <c r="J5689">
        <f t="shared" si="2391"/>
        <v>399</v>
      </c>
      <c r="K5689">
        <f t="shared" si="2392"/>
        <v>465</v>
      </c>
      <c r="L5689">
        <f t="shared" si="2393"/>
        <v>432</v>
      </c>
      <c r="M5689">
        <f t="shared" si="2394"/>
        <v>33</v>
      </c>
      <c r="N5689">
        <f t="shared" si="2383"/>
        <v>66</v>
      </c>
      <c r="O5689">
        <f t="shared" si="2395"/>
        <v>408</v>
      </c>
      <c r="P5689">
        <f t="shared" si="2396"/>
        <v>-0.72727272727272729</v>
      </c>
      <c r="Q5689" t="str">
        <f t="shared" si="2384"/>
        <v>2.21% | 13.97%</v>
      </c>
      <c r="R5689" t="str">
        <f t="shared" si="2397"/>
        <v>NEUTRAL</v>
      </c>
      <c r="S5689">
        <f t="shared" si="2385"/>
        <v>0</v>
      </c>
    </row>
    <row r="5690" spans="1:19" hidden="1" x14ac:dyDescent="0.25">
      <c r="A5690" s="5" t="str">
        <f t="shared" si="2386"/>
        <v>44152NYXBT</v>
      </c>
      <c r="B5690" s="6" t="s">
        <v>60</v>
      </c>
      <c r="C5690" s="6">
        <v>15417</v>
      </c>
      <c r="D5690" s="6">
        <v>16908</v>
      </c>
      <c r="E5690" s="6">
        <v>16438</v>
      </c>
      <c r="F5690" t="str">
        <f t="shared" si="2387"/>
        <v>TUE</v>
      </c>
      <c r="G5690" s="3">
        <f t="shared" si="2388"/>
        <v>44152</v>
      </c>
      <c r="H5690" s="2">
        <f t="shared" ca="1" si="2389"/>
        <v>101</v>
      </c>
      <c r="I5690" t="str">
        <f t="shared" si="2390"/>
        <v>NYXBT</v>
      </c>
      <c r="J5690">
        <f t="shared" si="2391"/>
        <v>15417</v>
      </c>
      <c r="K5690">
        <f t="shared" si="2392"/>
        <v>16908</v>
      </c>
      <c r="L5690">
        <f t="shared" si="2393"/>
        <v>16162.5</v>
      </c>
      <c r="M5690">
        <f t="shared" si="2394"/>
        <v>745.5</v>
      </c>
      <c r="N5690">
        <f t="shared" si="2383"/>
        <v>1491</v>
      </c>
      <c r="O5690">
        <f t="shared" si="2395"/>
        <v>16438</v>
      </c>
      <c r="P5690">
        <f t="shared" si="2396"/>
        <v>0.36955063715627096</v>
      </c>
      <c r="Q5690" t="str">
        <f t="shared" si="2384"/>
        <v>6.21% | 2.86%</v>
      </c>
      <c r="R5690" t="str">
        <f t="shared" si="2397"/>
        <v>BULLISH</v>
      </c>
      <c r="S5690">
        <f t="shared" si="2385"/>
        <v>1</v>
      </c>
    </row>
    <row r="5691" spans="1:19" hidden="1" x14ac:dyDescent="0.25">
      <c r="A5691" s="5" t="str">
        <f t="shared" si="2386"/>
        <v>44153UST10Y</v>
      </c>
      <c r="B5691" s="6" t="s">
        <v>246</v>
      </c>
      <c r="C5691" s="6">
        <v>0.99</v>
      </c>
      <c r="D5691" s="6">
        <v>0.77</v>
      </c>
      <c r="E5691" s="6">
        <v>0.87</v>
      </c>
      <c r="F5691" t="str">
        <f t="shared" si="2387"/>
        <v>WED</v>
      </c>
      <c r="G5691" s="1">
        <f>DATE(2020,11,18)</f>
        <v>44153</v>
      </c>
      <c r="H5691" s="2">
        <f t="shared" ca="1" si="2389"/>
        <v>100</v>
      </c>
      <c r="I5691" t="str">
        <f t="shared" si="2390"/>
        <v>UST10Y</v>
      </c>
      <c r="J5691">
        <f t="shared" si="2391"/>
        <v>0.99</v>
      </c>
      <c r="K5691">
        <f t="shared" si="2392"/>
        <v>0.77</v>
      </c>
      <c r="L5691">
        <f t="shared" si="2393"/>
        <v>0.88</v>
      </c>
      <c r="M5691">
        <f t="shared" si="2394"/>
        <v>0.11</v>
      </c>
      <c r="N5691">
        <f t="shared" si="2383"/>
        <v>0.21999999999999997</v>
      </c>
      <c r="O5691">
        <f t="shared" si="2395"/>
        <v>0.87</v>
      </c>
      <c r="P5691">
        <f t="shared" si="2396"/>
        <v>-9.0909090909090995E-2</v>
      </c>
      <c r="Q5691" t="str">
        <f t="shared" si="2384"/>
        <v>13.79% | 11.49%</v>
      </c>
      <c r="R5691" t="str">
        <f t="shared" si="2397"/>
        <v>NEUTRAL</v>
      </c>
      <c r="S5691">
        <f t="shared" si="2385"/>
        <v>0</v>
      </c>
    </row>
    <row r="5692" spans="1:19" hidden="1" x14ac:dyDescent="0.25">
      <c r="A5692" s="5" t="str">
        <f t="shared" si="2386"/>
        <v>44153UST2Y</v>
      </c>
      <c r="B5692" s="6" t="s">
        <v>253</v>
      </c>
      <c r="C5692" s="6">
        <v>0.2</v>
      </c>
      <c r="D5692" s="6">
        <v>0.14000000000000001</v>
      </c>
      <c r="E5692" s="6">
        <v>0.18</v>
      </c>
      <c r="F5692" t="str">
        <f t="shared" ref="F5692:F5721" si="2398">UPPER(TEXT(G5692,"ddd"))</f>
        <v>WED</v>
      </c>
      <c r="G5692" s="1">
        <f t="shared" ref="G5692:G5720" si="2399">DATE(2020,11,18)</f>
        <v>44153</v>
      </c>
      <c r="H5692" s="2">
        <f t="shared" ref="H5692:H5721" ca="1" si="2400">TODAY()-G5692</f>
        <v>100</v>
      </c>
      <c r="I5692" t="str">
        <f t="shared" ref="I5692:I5721" si="2401">TRIM(LEFT(B5692,FIND(" ",B5692,1)))</f>
        <v>UST2Y</v>
      </c>
      <c r="J5692">
        <f t="shared" ref="J5692:J5721" si="2402">C5692</f>
        <v>0.2</v>
      </c>
      <c r="K5692">
        <f t="shared" ref="K5692:K5721" si="2403">D5692</f>
        <v>0.14000000000000001</v>
      </c>
      <c r="L5692">
        <f t="shared" ref="L5692:L5721" si="2404">AVERAGE(J5692:K5692)</f>
        <v>0.17</v>
      </c>
      <c r="M5692">
        <f t="shared" ref="M5692:M5721" si="2405">_xlfn.STDEV.P(J5692:K5692)</f>
        <v>3.0000000000000023E-2</v>
      </c>
      <c r="N5692">
        <f t="shared" si="2383"/>
        <v>0.06</v>
      </c>
      <c r="O5692">
        <f t="shared" ref="O5692:O5721" si="2406">E5692</f>
        <v>0.18</v>
      </c>
      <c r="P5692">
        <f t="shared" ref="P5692:P5721" si="2407">(O5692-L5692)/M5692</f>
        <v>0.33333333333333243</v>
      </c>
      <c r="Q5692" t="str">
        <f t="shared" si="2384"/>
        <v>11.11% | 22.22%</v>
      </c>
      <c r="R5692" t="str">
        <f t="shared" ref="R5692:R5721" si="2408">MID(B5692,FIND("(",B5692,1)+1,FIND(")",B5692,1)-FIND("(",B5692,1)-1)</f>
        <v>NEUTRAL</v>
      </c>
      <c r="S5692">
        <f t="shared" si="2385"/>
        <v>0</v>
      </c>
    </row>
    <row r="5693" spans="1:19" hidden="1" x14ac:dyDescent="0.25">
      <c r="A5693" s="5" t="str">
        <f t="shared" si="2386"/>
        <v>44153SPX</v>
      </c>
      <c r="B5693" s="6" t="s">
        <v>93</v>
      </c>
      <c r="C5693" s="6">
        <v>3482</v>
      </c>
      <c r="D5693" s="6">
        <v>3640</v>
      </c>
      <c r="E5693" s="6">
        <v>3609</v>
      </c>
      <c r="F5693" t="str">
        <f t="shared" si="2398"/>
        <v>WED</v>
      </c>
      <c r="G5693" s="1">
        <f t="shared" si="2399"/>
        <v>44153</v>
      </c>
      <c r="H5693" s="2">
        <f t="shared" ca="1" si="2400"/>
        <v>100</v>
      </c>
      <c r="I5693" t="str">
        <f t="shared" si="2401"/>
        <v>SPX</v>
      </c>
      <c r="J5693">
        <f t="shared" si="2402"/>
        <v>3482</v>
      </c>
      <c r="K5693">
        <f t="shared" si="2403"/>
        <v>3640</v>
      </c>
      <c r="L5693">
        <f t="shared" si="2404"/>
        <v>3561</v>
      </c>
      <c r="M5693">
        <f t="shared" si="2405"/>
        <v>79</v>
      </c>
      <c r="N5693">
        <f t="shared" si="2383"/>
        <v>158</v>
      </c>
      <c r="O5693">
        <f t="shared" si="2406"/>
        <v>3609</v>
      </c>
      <c r="P5693">
        <f t="shared" si="2407"/>
        <v>0.60759493670886078</v>
      </c>
      <c r="Q5693" t="str">
        <f t="shared" si="2384"/>
        <v>3.52% | 0.86%</v>
      </c>
      <c r="R5693" t="str">
        <f t="shared" si="2408"/>
        <v>BULLISH</v>
      </c>
      <c r="S5693">
        <f t="shared" si="2385"/>
        <v>1</v>
      </c>
    </row>
    <row r="5694" spans="1:19" hidden="1" x14ac:dyDescent="0.25">
      <c r="A5694" s="5" t="str">
        <f t="shared" si="2386"/>
        <v>44153RUT</v>
      </c>
      <c r="B5694" s="6" t="s">
        <v>247</v>
      </c>
      <c r="C5694" s="6">
        <v>1651</v>
      </c>
      <c r="D5694" s="6">
        <v>1865</v>
      </c>
      <c r="E5694" s="6">
        <v>1791</v>
      </c>
      <c r="F5694" t="str">
        <f t="shared" si="2398"/>
        <v>WED</v>
      </c>
      <c r="G5694" s="1">
        <f t="shared" si="2399"/>
        <v>44153</v>
      </c>
      <c r="H5694" s="2">
        <f t="shared" ca="1" si="2400"/>
        <v>100</v>
      </c>
      <c r="I5694" t="str">
        <f t="shared" si="2401"/>
        <v>RUT</v>
      </c>
      <c r="J5694">
        <f t="shared" si="2402"/>
        <v>1651</v>
      </c>
      <c r="K5694">
        <f t="shared" si="2403"/>
        <v>1865</v>
      </c>
      <c r="L5694">
        <f t="shared" si="2404"/>
        <v>1758</v>
      </c>
      <c r="M5694">
        <f t="shared" si="2405"/>
        <v>107</v>
      </c>
      <c r="N5694">
        <f t="shared" si="2383"/>
        <v>214</v>
      </c>
      <c r="O5694">
        <f t="shared" si="2406"/>
        <v>1791</v>
      </c>
      <c r="P5694">
        <f t="shared" si="2407"/>
        <v>0.30841121495327101</v>
      </c>
      <c r="Q5694" t="str">
        <f t="shared" si="2384"/>
        <v>7.82% | 4.13%</v>
      </c>
      <c r="R5694" t="str">
        <f t="shared" si="2408"/>
        <v>BULLISH</v>
      </c>
      <c r="S5694">
        <f t="shared" si="2385"/>
        <v>1</v>
      </c>
    </row>
    <row r="5695" spans="1:19" hidden="1" x14ac:dyDescent="0.25">
      <c r="A5695" s="5" t="str">
        <f t="shared" si="2386"/>
        <v>44153COMPQ</v>
      </c>
      <c r="B5695" s="6" t="s">
        <v>8</v>
      </c>
      <c r="C5695" s="6">
        <v>11541</v>
      </c>
      <c r="D5695" s="6">
        <v>12035</v>
      </c>
      <c r="E5695" s="6">
        <v>11899</v>
      </c>
      <c r="F5695" t="str">
        <f t="shared" si="2398"/>
        <v>WED</v>
      </c>
      <c r="G5695" s="1">
        <f t="shared" si="2399"/>
        <v>44153</v>
      </c>
      <c r="H5695" s="2">
        <f t="shared" ca="1" si="2400"/>
        <v>100</v>
      </c>
      <c r="I5695" t="str">
        <f t="shared" si="2401"/>
        <v>COMPQ</v>
      </c>
      <c r="J5695">
        <f t="shared" si="2402"/>
        <v>11541</v>
      </c>
      <c r="K5695">
        <f t="shared" si="2403"/>
        <v>12035</v>
      </c>
      <c r="L5695">
        <f t="shared" si="2404"/>
        <v>11788</v>
      </c>
      <c r="M5695">
        <f t="shared" si="2405"/>
        <v>247</v>
      </c>
      <c r="N5695">
        <f t="shared" si="2383"/>
        <v>494</v>
      </c>
      <c r="O5695">
        <f t="shared" si="2406"/>
        <v>11899</v>
      </c>
      <c r="P5695">
        <f t="shared" si="2407"/>
        <v>0.44939271255060731</v>
      </c>
      <c r="Q5695" t="str">
        <f t="shared" si="2384"/>
        <v>3.01% | 1.14%</v>
      </c>
      <c r="R5695" t="str">
        <f t="shared" si="2408"/>
        <v>BULLISH</v>
      </c>
      <c r="S5695">
        <f t="shared" si="2385"/>
        <v>1</v>
      </c>
    </row>
    <row r="5696" spans="1:19" hidden="1" x14ac:dyDescent="0.25">
      <c r="A5696" s="5" t="str">
        <f t="shared" si="2386"/>
        <v>44153XLK</v>
      </c>
      <c r="B5696" s="6" t="s">
        <v>10</v>
      </c>
      <c r="C5696" s="6">
        <v>117.93</v>
      </c>
      <c r="D5696" s="6">
        <v>123.37</v>
      </c>
      <c r="E5696" s="6">
        <v>121.69</v>
      </c>
      <c r="F5696" t="str">
        <f t="shared" si="2398"/>
        <v>WED</v>
      </c>
      <c r="G5696" s="1">
        <f t="shared" si="2399"/>
        <v>44153</v>
      </c>
      <c r="H5696" s="2">
        <f t="shared" ca="1" si="2400"/>
        <v>100</v>
      </c>
      <c r="I5696" t="str">
        <f t="shared" si="2401"/>
        <v>XLK</v>
      </c>
      <c r="J5696">
        <f t="shared" si="2402"/>
        <v>117.93</v>
      </c>
      <c r="K5696">
        <f t="shared" si="2403"/>
        <v>123.37</v>
      </c>
      <c r="L5696">
        <f t="shared" si="2404"/>
        <v>120.65</v>
      </c>
      <c r="M5696">
        <f t="shared" si="2405"/>
        <v>2.7199999999999989</v>
      </c>
      <c r="N5696">
        <f t="shared" si="2383"/>
        <v>5.4399999999999977</v>
      </c>
      <c r="O5696">
        <f t="shared" si="2406"/>
        <v>121.69</v>
      </c>
      <c r="P5696">
        <f t="shared" si="2407"/>
        <v>0.38235294117646784</v>
      </c>
      <c r="Q5696" t="str">
        <f t="shared" si="2384"/>
        <v>3.09% | 1.38%</v>
      </c>
      <c r="R5696" t="str">
        <f t="shared" si="2408"/>
        <v>BULLISH</v>
      </c>
      <c r="S5696">
        <f t="shared" si="2385"/>
        <v>1</v>
      </c>
    </row>
    <row r="5697" spans="1:19" hidden="1" x14ac:dyDescent="0.25">
      <c r="A5697" s="5" t="str">
        <f t="shared" si="2386"/>
        <v>44153XLU</v>
      </c>
      <c r="B5697" s="6" t="s">
        <v>52</v>
      </c>
      <c r="C5697" s="6">
        <v>63.33</v>
      </c>
      <c r="D5697" s="6">
        <v>67.430000000000007</v>
      </c>
      <c r="E5697" s="6">
        <v>65.45</v>
      </c>
      <c r="F5697" t="str">
        <f t="shared" si="2398"/>
        <v>WED</v>
      </c>
      <c r="G5697" s="1">
        <f t="shared" si="2399"/>
        <v>44153</v>
      </c>
      <c r="H5697" s="2">
        <f t="shared" ca="1" si="2400"/>
        <v>100</v>
      </c>
      <c r="I5697" t="str">
        <f t="shared" si="2401"/>
        <v>XLU</v>
      </c>
      <c r="J5697">
        <f t="shared" si="2402"/>
        <v>63.33</v>
      </c>
      <c r="K5697">
        <f t="shared" si="2403"/>
        <v>67.430000000000007</v>
      </c>
      <c r="L5697">
        <f t="shared" si="2404"/>
        <v>65.38</v>
      </c>
      <c r="M5697">
        <f t="shared" si="2405"/>
        <v>2.0500000000000043</v>
      </c>
      <c r="N5697">
        <f t="shared" si="2383"/>
        <v>4.1000000000000085</v>
      </c>
      <c r="O5697">
        <f t="shared" si="2406"/>
        <v>65.45</v>
      </c>
      <c r="P5697">
        <f t="shared" si="2407"/>
        <v>3.4146341463418169E-2</v>
      </c>
      <c r="Q5697" t="str">
        <f t="shared" si="2384"/>
        <v>3.24% | 3.03%</v>
      </c>
      <c r="R5697" t="str">
        <f t="shared" si="2408"/>
        <v>BULLISH</v>
      </c>
      <c r="S5697">
        <f t="shared" si="2385"/>
        <v>1</v>
      </c>
    </row>
    <row r="5698" spans="1:19" hidden="1" x14ac:dyDescent="0.25">
      <c r="A5698" s="5" t="str">
        <f t="shared" si="2386"/>
        <v>44153XLE</v>
      </c>
      <c r="B5698" s="6" t="s">
        <v>250</v>
      </c>
      <c r="C5698" s="6">
        <v>31.58</v>
      </c>
      <c r="D5698" s="6">
        <v>38.119999999999997</v>
      </c>
      <c r="E5698" s="6">
        <v>36.479999999999997</v>
      </c>
      <c r="F5698" t="str">
        <f t="shared" si="2398"/>
        <v>WED</v>
      </c>
      <c r="G5698" s="1">
        <f t="shared" si="2399"/>
        <v>44153</v>
      </c>
      <c r="H5698" s="2">
        <f t="shared" ca="1" si="2400"/>
        <v>100</v>
      </c>
      <c r="I5698" t="str">
        <f t="shared" si="2401"/>
        <v>XLE</v>
      </c>
      <c r="J5698">
        <f t="shared" si="2402"/>
        <v>31.58</v>
      </c>
      <c r="K5698">
        <f t="shared" si="2403"/>
        <v>38.119999999999997</v>
      </c>
      <c r="L5698">
        <f t="shared" si="2404"/>
        <v>34.849999999999994</v>
      </c>
      <c r="M5698">
        <f t="shared" si="2405"/>
        <v>3.2699999999999996</v>
      </c>
      <c r="N5698">
        <f t="shared" si="2383"/>
        <v>6.5399999999999991</v>
      </c>
      <c r="O5698">
        <f t="shared" si="2406"/>
        <v>36.479999999999997</v>
      </c>
      <c r="P5698">
        <f t="shared" si="2407"/>
        <v>0.49847094801223324</v>
      </c>
      <c r="Q5698" t="str">
        <f t="shared" si="2384"/>
        <v>13.43% | 4.5%</v>
      </c>
      <c r="R5698" t="str">
        <f t="shared" si="2408"/>
        <v>BULLISH</v>
      </c>
      <c r="S5698">
        <f t="shared" si="2385"/>
        <v>1</v>
      </c>
    </row>
    <row r="5699" spans="1:19" hidden="1" x14ac:dyDescent="0.25">
      <c r="A5699" s="5" t="str">
        <f t="shared" si="2386"/>
        <v>44153SSEC</v>
      </c>
      <c r="B5699" s="6" t="s">
        <v>104</v>
      </c>
      <c r="C5699" s="6">
        <v>3278</v>
      </c>
      <c r="D5699" s="6">
        <v>3399</v>
      </c>
      <c r="E5699" s="6">
        <v>3347</v>
      </c>
      <c r="F5699" t="str">
        <f t="shared" si="2398"/>
        <v>WED</v>
      </c>
      <c r="G5699" s="1">
        <f t="shared" si="2399"/>
        <v>44153</v>
      </c>
      <c r="H5699" s="2">
        <f t="shared" ca="1" si="2400"/>
        <v>100</v>
      </c>
      <c r="I5699" t="str">
        <f t="shared" si="2401"/>
        <v>SSEC</v>
      </c>
      <c r="J5699">
        <f t="shared" si="2402"/>
        <v>3278</v>
      </c>
      <c r="K5699">
        <f t="shared" si="2403"/>
        <v>3399</v>
      </c>
      <c r="L5699">
        <f t="shared" si="2404"/>
        <v>3338.5</v>
      </c>
      <c r="M5699">
        <f t="shared" si="2405"/>
        <v>60.5</v>
      </c>
      <c r="N5699">
        <f t="shared" ref="N5699:N5762" si="2409">ABS(K5699-J5699)</f>
        <v>121</v>
      </c>
      <c r="O5699">
        <f t="shared" si="2406"/>
        <v>3347</v>
      </c>
      <c r="P5699">
        <f t="shared" si="2407"/>
        <v>0.14049586776859505</v>
      </c>
      <c r="Q5699" t="str">
        <f t="shared" ref="Q5699:Q5762" si="2410">ROUND(ABS(100*(O5699-J5699)/O5699),2)&amp;"% | "&amp;ROUND(ABS(100*(K5699-O5699)/O5699),2)&amp;"%"</f>
        <v>2.06% | 1.55%</v>
      </c>
      <c r="R5699" t="str">
        <f t="shared" si="2408"/>
        <v>BULLISH</v>
      </c>
      <c r="S5699">
        <f t="shared" ref="S5699:S5762" si="2411">IF(R5699="BEARISH",-1,IF(R5699="NEUTRAL",0,IF(R5699="BULLISH",1,99)))</f>
        <v>1</v>
      </c>
    </row>
    <row r="5700" spans="1:19" hidden="1" x14ac:dyDescent="0.25">
      <c r="A5700" s="5" t="str">
        <f t="shared" si="2386"/>
        <v>44153NIKK</v>
      </c>
      <c r="B5700" s="6" t="s">
        <v>91</v>
      </c>
      <c r="C5700" s="6">
        <v>25101</v>
      </c>
      <c r="D5700" s="6">
        <v>26399</v>
      </c>
      <c r="E5700" s="6">
        <v>25728</v>
      </c>
      <c r="F5700" t="str">
        <f t="shared" si="2398"/>
        <v>WED</v>
      </c>
      <c r="G5700" s="1">
        <f t="shared" si="2399"/>
        <v>44153</v>
      </c>
      <c r="H5700" s="2">
        <f t="shared" ca="1" si="2400"/>
        <v>100</v>
      </c>
      <c r="I5700" t="str">
        <f t="shared" si="2401"/>
        <v>NIKK</v>
      </c>
      <c r="J5700">
        <f t="shared" si="2402"/>
        <v>25101</v>
      </c>
      <c r="K5700">
        <f t="shared" si="2403"/>
        <v>26399</v>
      </c>
      <c r="L5700">
        <f t="shared" si="2404"/>
        <v>25750</v>
      </c>
      <c r="M5700">
        <f t="shared" si="2405"/>
        <v>649</v>
      </c>
      <c r="N5700">
        <f t="shared" si="2409"/>
        <v>1298</v>
      </c>
      <c r="O5700">
        <f t="shared" si="2406"/>
        <v>25728</v>
      </c>
      <c r="P5700">
        <f t="shared" si="2407"/>
        <v>-3.3898305084745763E-2</v>
      </c>
      <c r="Q5700" t="str">
        <f t="shared" si="2410"/>
        <v>2.44% | 2.61%</v>
      </c>
      <c r="R5700" t="str">
        <f t="shared" si="2408"/>
        <v>BULLISH</v>
      </c>
      <c r="S5700">
        <f t="shared" si="2411"/>
        <v>1</v>
      </c>
    </row>
    <row r="5701" spans="1:19" hidden="1" x14ac:dyDescent="0.25">
      <c r="A5701" s="5" t="str">
        <f t="shared" si="2386"/>
        <v>44153DAX</v>
      </c>
      <c r="B5701" s="6" t="s">
        <v>16</v>
      </c>
      <c r="C5701" s="6">
        <v>12461</v>
      </c>
      <c r="D5701" s="6">
        <v>13301</v>
      </c>
      <c r="E5701" s="6">
        <v>13133</v>
      </c>
      <c r="F5701" t="str">
        <f t="shared" si="2398"/>
        <v>WED</v>
      </c>
      <c r="G5701" s="1">
        <f t="shared" si="2399"/>
        <v>44153</v>
      </c>
      <c r="H5701" s="2">
        <f t="shared" ca="1" si="2400"/>
        <v>100</v>
      </c>
      <c r="I5701" t="str">
        <f t="shared" si="2401"/>
        <v>DAX</v>
      </c>
      <c r="J5701">
        <f t="shared" si="2402"/>
        <v>12461</v>
      </c>
      <c r="K5701">
        <f t="shared" si="2403"/>
        <v>13301</v>
      </c>
      <c r="L5701">
        <f t="shared" si="2404"/>
        <v>12881</v>
      </c>
      <c r="M5701">
        <f t="shared" si="2405"/>
        <v>420</v>
      </c>
      <c r="N5701">
        <f t="shared" si="2409"/>
        <v>840</v>
      </c>
      <c r="O5701">
        <f t="shared" si="2406"/>
        <v>13133</v>
      </c>
      <c r="P5701">
        <f t="shared" si="2407"/>
        <v>0.6</v>
      </c>
      <c r="Q5701" t="str">
        <f t="shared" si="2410"/>
        <v>5.12% | 1.28%</v>
      </c>
      <c r="R5701" t="str">
        <f t="shared" si="2408"/>
        <v>BEARISH</v>
      </c>
      <c r="S5701">
        <f t="shared" si="2411"/>
        <v>-1</v>
      </c>
    </row>
    <row r="5702" spans="1:19" hidden="1" x14ac:dyDescent="0.25">
      <c r="A5702" s="5" t="str">
        <f t="shared" si="2386"/>
        <v>44153VIX</v>
      </c>
      <c r="B5702" s="6" t="s">
        <v>96</v>
      </c>
      <c r="C5702" s="6">
        <v>21.19</v>
      </c>
      <c r="D5702" s="6">
        <v>27.99</v>
      </c>
      <c r="E5702" s="6">
        <v>22.71</v>
      </c>
      <c r="F5702" t="str">
        <f t="shared" si="2398"/>
        <v>WED</v>
      </c>
      <c r="G5702" s="1">
        <f t="shared" si="2399"/>
        <v>44153</v>
      </c>
      <c r="H5702" s="2">
        <f t="shared" ca="1" si="2400"/>
        <v>100</v>
      </c>
      <c r="I5702" t="str">
        <f t="shared" si="2401"/>
        <v>VIX</v>
      </c>
      <c r="J5702">
        <f t="shared" si="2402"/>
        <v>21.19</v>
      </c>
      <c r="K5702">
        <f t="shared" si="2403"/>
        <v>27.99</v>
      </c>
      <c r="L5702">
        <f t="shared" si="2404"/>
        <v>24.59</v>
      </c>
      <c r="M5702">
        <f t="shared" si="2405"/>
        <v>3.4000000000000088</v>
      </c>
      <c r="N5702">
        <f t="shared" si="2409"/>
        <v>6.7999999999999972</v>
      </c>
      <c r="O5702">
        <f t="shared" si="2406"/>
        <v>22.71</v>
      </c>
      <c r="P5702">
        <f t="shared" si="2407"/>
        <v>-0.55294117647058649</v>
      </c>
      <c r="Q5702" t="str">
        <f t="shared" si="2410"/>
        <v>6.69% | 23.25%</v>
      </c>
      <c r="R5702" t="str">
        <f t="shared" si="2408"/>
        <v>BEARISH</v>
      </c>
      <c r="S5702">
        <f t="shared" si="2411"/>
        <v>-1</v>
      </c>
    </row>
    <row r="5703" spans="1:19" hidden="1" x14ac:dyDescent="0.25">
      <c r="A5703" s="5" t="str">
        <f t="shared" ref="A5703:A5766" si="2412">G5703&amp;I5703</f>
        <v>44153USD</v>
      </c>
      <c r="B5703" s="6" t="s">
        <v>94</v>
      </c>
      <c r="C5703" s="6">
        <v>92.17</v>
      </c>
      <c r="D5703" s="6">
        <v>93.1</v>
      </c>
      <c r="E5703" s="6">
        <v>92.4</v>
      </c>
      <c r="F5703" t="str">
        <f t="shared" si="2398"/>
        <v>WED</v>
      </c>
      <c r="G5703" s="1">
        <f t="shared" si="2399"/>
        <v>44153</v>
      </c>
      <c r="H5703" s="2">
        <f t="shared" ca="1" si="2400"/>
        <v>100</v>
      </c>
      <c r="I5703" t="str">
        <f t="shared" si="2401"/>
        <v>USD</v>
      </c>
      <c r="J5703">
        <f t="shared" si="2402"/>
        <v>92.17</v>
      </c>
      <c r="K5703">
        <f t="shared" si="2403"/>
        <v>93.1</v>
      </c>
      <c r="L5703">
        <f t="shared" si="2404"/>
        <v>92.634999999999991</v>
      </c>
      <c r="M5703">
        <f t="shared" si="2405"/>
        <v>0.46499999999999631</v>
      </c>
      <c r="N5703">
        <f t="shared" si="2409"/>
        <v>0.92999999999999261</v>
      </c>
      <c r="O5703">
        <f t="shared" si="2406"/>
        <v>92.4</v>
      </c>
      <c r="P5703">
        <f t="shared" si="2407"/>
        <v>-0.50537634408599375</v>
      </c>
      <c r="Q5703" t="str">
        <f t="shared" si="2410"/>
        <v>0.25% | 0.76%</v>
      </c>
      <c r="R5703" t="str">
        <f t="shared" si="2408"/>
        <v>BEARISH</v>
      </c>
      <c r="S5703">
        <f t="shared" si="2411"/>
        <v>-1</v>
      </c>
    </row>
    <row r="5704" spans="1:19" hidden="1" x14ac:dyDescent="0.25">
      <c r="A5704" s="5" t="str">
        <f t="shared" si="2412"/>
        <v>44153EUR/USD</v>
      </c>
      <c r="B5704" s="6" t="s">
        <v>99</v>
      </c>
      <c r="C5704" s="6">
        <v>1.1739999999999999</v>
      </c>
      <c r="D5704" s="6">
        <v>1.1890000000000001</v>
      </c>
      <c r="E5704" s="6">
        <v>1.1859999999999999</v>
      </c>
      <c r="F5704" t="str">
        <f t="shared" si="2398"/>
        <v>WED</v>
      </c>
      <c r="G5704" s="1">
        <f t="shared" si="2399"/>
        <v>44153</v>
      </c>
      <c r="H5704" s="2">
        <f t="shared" ca="1" si="2400"/>
        <v>100</v>
      </c>
      <c r="I5704" t="str">
        <f t="shared" si="2401"/>
        <v>EUR/USD</v>
      </c>
      <c r="J5704">
        <f t="shared" si="2402"/>
        <v>1.1739999999999999</v>
      </c>
      <c r="K5704">
        <f t="shared" si="2403"/>
        <v>1.1890000000000001</v>
      </c>
      <c r="L5704">
        <f t="shared" si="2404"/>
        <v>1.1815</v>
      </c>
      <c r="M5704">
        <f t="shared" si="2405"/>
        <v>7.5000000000000622E-3</v>
      </c>
      <c r="N5704">
        <f t="shared" si="2409"/>
        <v>1.5000000000000124E-2</v>
      </c>
      <c r="O5704">
        <f t="shared" si="2406"/>
        <v>1.1859999999999999</v>
      </c>
      <c r="P5704">
        <f t="shared" si="2407"/>
        <v>0.59999999999998821</v>
      </c>
      <c r="Q5704" t="str">
        <f t="shared" si="2410"/>
        <v>1.01% | 0.25%</v>
      </c>
      <c r="R5704" t="str">
        <f t="shared" si="2408"/>
        <v>BULLISH</v>
      </c>
      <c r="S5704">
        <f t="shared" si="2411"/>
        <v>1</v>
      </c>
    </row>
    <row r="5705" spans="1:19" hidden="1" x14ac:dyDescent="0.25">
      <c r="A5705" s="5" t="str">
        <f t="shared" si="2412"/>
        <v>44153USD/JPY</v>
      </c>
      <c r="B5705" s="6" t="s">
        <v>20</v>
      </c>
      <c r="C5705" s="6">
        <v>103.14</v>
      </c>
      <c r="D5705" s="6">
        <v>105.6</v>
      </c>
      <c r="E5705" s="6">
        <v>104.19</v>
      </c>
      <c r="F5705" t="str">
        <f t="shared" si="2398"/>
        <v>WED</v>
      </c>
      <c r="G5705" s="1">
        <f t="shared" si="2399"/>
        <v>44153</v>
      </c>
      <c r="H5705" s="2">
        <f t="shared" ca="1" si="2400"/>
        <v>100</v>
      </c>
      <c r="I5705" t="str">
        <f t="shared" si="2401"/>
        <v>USD/JPY</v>
      </c>
      <c r="J5705">
        <f t="shared" si="2402"/>
        <v>103.14</v>
      </c>
      <c r="K5705">
        <f t="shared" si="2403"/>
        <v>105.6</v>
      </c>
      <c r="L5705">
        <f t="shared" si="2404"/>
        <v>104.37</v>
      </c>
      <c r="M5705">
        <f t="shared" si="2405"/>
        <v>1.2299999999999969</v>
      </c>
      <c r="N5705">
        <f t="shared" si="2409"/>
        <v>2.4599999999999937</v>
      </c>
      <c r="O5705">
        <f t="shared" si="2406"/>
        <v>104.19</v>
      </c>
      <c r="P5705">
        <f t="shared" si="2407"/>
        <v>-0.14634146341464008</v>
      </c>
      <c r="Q5705" t="str">
        <f t="shared" si="2410"/>
        <v>1.01% | 1.35%</v>
      </c>
      <c r="R5705" t="str">
        <f t="shared" si="2408"/>
        <v>BEARISH</v>
      </c>
      <c r="S5705">
        <f t="shared" si="2411"/>
        <v>-1</v>
      </c>
    </row>
    <row r="5706" spans="1:19" hidden="1" x14ac:dyDescent="0.25">
      <c r="A5706" s="5" t="str">
        <f t="shared" si="2412"/>
        <v>44153GBP/USD</v>
      </c>
      <c r="B5706" s="6" t="s">
        <v>102</v>
      </c>
      <c r="C5706" s="6">
        <v>1.306</v>
      </c>
      <c r="D5706" s="6">
        <v>1.331</v>
      </c>
      <c r="E5706" s="6">
        <v>1.3260000000000001</v>
      </c>
      <c r="F5706" t="str">
        <f t="shared" si="2398"/>
        <v>WED</v>
      </c>
      <c r="G5706" s="1">
        <f t="shared" si="2399"/>
        <v>44153</v>
      </c>
      <c r="H5706" s="2">
        <f t="shared" ca="1" si="2400"/>
        <v>100</v>
      </c>
      <c r="I5706" t="str">
        <f t="shared" si="2401"/>
        <v>GBP/USD</v>
      </c>
      <c r="J5706">
        <f t="shared" si="2402"/>
        <v>1.306</v>
      </c>
      <c r="K5706">
        <f t="shared" si="2403"/>
        <v>1.331</v>
      </c>
      <c r="L5706">
        <f t="shared" si="2404"/>
        <v>1.3185</v>
      </c>
      <c r="M5706">
        <f t="shared" si="2405"/>
        <v>1.2499999999999956E-2</v>
      </c>
      <c r="N5706">
        <f t="shared" si="2409"/>
        <v>2.4999999999999911E-2</v>
      </c>
      <c r="O5706">
        <f t="shared" si="2406"/>
        <v>1.3260000000000001</v>
      </c>
      <c r="P5706">
        <f t="shared" si="2407"/>
        <v>0.60000000000000708</v>
      </c>
      <c r="Q5706" t="str">
        <f t="shared" si="2410"/>
        <v>1.51% | 0.38%</v>
      </c>
      <c r="R5706" t="str">
        <f t="shared" si="2408"/>
        <v>BULLISH</v>
      </c>
      <c r="S5706">
        <f t="shared" si="2411"/>
        <v>1</v>
      </c>
    </row>
    <row r="5707" spans="1:19" hidden="1" x14ac:dyDescent="0.25">
      <c r="A5707" s="5" t="str">
        <f t="shared" si="2412"/>
        <v>44153CAD/USD</v>
      </c>
      <c r="B5707" s="6" t="s">
        <v>244</v>
      </c>
      <c r="C5707" s="6">
        <v>0.75</v>
      </c>
      <c r="D5707" s="6">
        <v>0.77</v>
      </c>
      <c r="E5707" s="6">
        <v>0.76</v>
      </c>
      <c r="F5707" t="str">
        <f t="shared" si="2398"/>
        <v>WED</v>
      </c>
      <c r="G5707" s="1">
        <f t="shared" si="2399"/>
        <v>44153</v>
      </c>
      <c r="H5707" s="2">
        <f t="shared" ca="1" si="2400"/>
        <v>100</v>
      </c>
      <c r="I5707" t="str">
        <f t="shared" si="2401"/>
        <v>CAD/USD</v>
      </c>
      <c r="J5707">
        <f t="shared" si="2402"/>
        <v>0.75</v>
      </c>
      <c r="K5707">
        <f t="shared" si="2403"/>
        <v>0.77</v>
      </c>
      <c r="L5707">
        <f t="shared" si="2404"/>
        <v>0.76</v>
      </c>
      <c r="M5707">
        <f t="shared" si="2405"/>
        <v>1.0000000000000009E-2</v>
      </c>
      <c r="N5707">
        <f t="shared" si="2409"/>
        <v>2.0000000000000018E-2</v>
      </c>
      <c r="O5707">
        <f t="shared" si="2406"/>
        <v>0.76</v>
      </c>
      <c r="P5707">
        <f t="shared" si="2407"/>
        <v>0</v>
      </c>
      <c r="Q5707" t="str">
        <f t="shared" si="2410"/>
        <v>1.32% | 1.32%</v>
      </c>
      <c r="R5707" t="str">
        <f t="shared" si="2408"/>
        <v>BULLISH</v>
      </c>
      <c r="S5707">
        <f t="shared" si="2411"/>
        <v>1</v>
      </c>
    </row>
    <row r="5708" spans="1:19" hidden="1" x14ac:dyDescent="0.25">
      <c r="A5708" s="5" t="str">
        <f t="shared" si="2412"/>
        <v>44153USD/CHF</v>
      </c>
      <c r="B5708" s="6" t="s">
        <v>76</v>
      </c>
      <c r="C5708" s="6">
        <v>0.9</v>
      </c>
      <c r="D5708" s="6">
        <v>0.92</v>
      </c>
      <c r="E5708" s="6">
        <v>0.91</v>
      </c>
      <c r="F5708" t="str">
        <f t="shared" si="2398"/>
        <v>WED</v>
      </c>
      <c r="G5708" s="1">
        <f t="shared" si="2399"/>
        <v>44153</v>
      </c>
      <c r="H5708" s="2">
        <f t="shared" ca="1" si="2400"/>
        <v>100</v>
      </c>
      <c r="I5708" t="str">
        <f t="shared" si="2401"/>
        <v>USD/CHF</v>
      </c>
      <c r="J5708">
        <f t="shared" si="2402"/>
        <v>0.9</v>
      </c>
      <c r="K5708">
        <f t="shared" si="2403"/>
        <v>0.92</v>
      </c>
      <c r="L5708">
        <f t="shared" si="2404"/>
        <v>0.91</v>
      </c>
      <c r="M5708">
        <f t="shared" si="2405"/>
        <v>1.0000000000000009E-2</v>
      </c>
      <c r="N5708">
        <f t="shared" si="2409"/>
        <v>2.0000000000000018E-2</v>
      </c>
      <c r="O5708">
        <f t="shared" si="2406"/>
        <v>0.91</v>
      </c>
      <c r="P5708">
        <f t="shared" si="2407"/>
        <v>0</v>
      </c>
      <c r="Q5708" t="str">
        <f t="shared" si="2410"/>
        <v>1.1% | 1.1%</v>
      </c>
      <c r="R5708" t="str">
        <f t="shared" si="2408"/>
        <v>BEARISH</v>
      </c>
      <c r="S5708">
        <f t="shared" si="2411"/>
        <v>-1</v>
      </c>
    </row>
    <row r="5709" spans="1:19" hidden="1" x14ac:dyDescent="0.25">
      <c r="A5709" s="5" t="str">
        <f t="shared" si="2412"/>
        <v>44153WTIC</v>
      </c>
      <c r="B5709" s="6" t="s">
        <v>158</v>
      </c>
      <c r="C5709" s="6">
        <v>37.49</v>
      </c>
      <c r="D5709" s="6">
        <v>43.25</v>
      </c>
      <c r="E5709" s="6">
        <v>41.43</v>
      </c>
      <c r="F5709" t="str">
        <f t="shared" si="2398"/>
        <v>WED</v>
      </c>
      <c r="G5709" s="1">
        <f t="shared" si="2399"/>
        <v>44153</v>
      </c>
      <c r="H5709" s="2">
        <f t="shared" ca="1" si="2400"/>
        <v>100</v>
      </c>
      <c r="I5709" t="str">
        <f t="shared" si="2401"/>
        <v>WTIC</v>
      </c>
      <c r="J5709">
        <f t="shared" si="2402"/>
        <v>37.49</v>
      </c>
      <c r="K5709">
        <f t="shared" si="2403"/>
        <v>43.25</v>
      </c>
      <c r="L5709">
        <f t="shared" si="2404"/>
        <v>40.370000000000005</v>
      </c>
      <c r="M5709">
        <f t="shared" si="2405"/>
        <v>2.8799999999999994</v>
      </c>
      <c r="N5709">
        <f t="shared" si="2409"/>
        <v>5.759999999999998</v>
      </c>
      <c r="O5709">
        <f t="shared" si="2406"/>
        <v>41.43</v>
      </c>
      <c r="P5709">
        <f t="shared" si="2407"/>
        <v>0.36805555555555397</v>
      </c>
      <c r="Q5709" t="str">
        <f t="shared" si="2410"/>
        <v>9.51% | 4.39%</v>
      </c>
      <c r="R5709" t="str">
        <f t="shared" si="2408"/>
        <v>BULLISH</v>
      </c>
      <c r="S5709">
        <f t="shared" si="2411"/>
        <v>1</v>
      </c>
    </row>
    <row r="5710" spans="1:19" hidden="1" x14ac:dyDescent="0.25">
      <c r="A5710" s="5" t="str">
        <f t="shared" si="2412"/>
        <v>44153NATGAS</v>
      </c>
      <c r="B5710" s="6" t="s">
        <v>89</v>
      </c>
      <c r="C5710" s="6">
        <v>2.65</v>
      </c>
      <c r="D5710" s="6">
        <v>3.15</v>
      </c>
      <c r="E5710" s="6">
        <v>2.69</v>
      </c>
      <c r="F5710" t="str">
        <f t="shared" si="2398"/>
        <v>WED</v>
      </c>
      <c r="G5710" s="1">
        <f t="shared" si="2399"/>
        <v>44153</v>
      </c>
      <c r="H5710" s="2">
        <f t="shared" ca="1" si="2400"/>
        <v>100</v>
      </c>
      <c r="I5710" t="str">
        <f t="shared" si="2401"/>
        <v>NATGAS</v>
      </c>
      <c r="J5710">
        <f t="shared" si="2402"/>
        <v>2.65</v>
      </c>
      <c r="K5710">
        <f t="shared" si="2403"/>
        <v>3.15</v>
      </c>
      <c r="L5710">
        <f t="shared" si="2404"/>
        <v>2.9</v>
      </c>
      <c r="M5710">
        <f t="shared" si="2405"/>
        <v>0.25</v>
      </c>
      <c r="N5710">
        <f t="shared" si="2409"/>
        <v>0.5</v>
      </c>
      <c r="O5710">
        <f t="shared" si="2406"/>
        <v>2.69</v>
      </c>
      <c r="P5710">
        <f t="shared" si="2407"/>
        <v>-0.83999999999999986</v>
      </c>
      <c r="Q5710" t="str">
        <f t="shared" si="2410"/>
        <v>1.49% | 17.1%</v>
      </c>
      <c r="R5710" t="str">
        <f t="shared" si="2408"/>
        <v>BULLISH</v>
      </c>
      <c r="S5710">
        <f t="shared" si="2411"/>
        <v>1</v>
      </c>
    </row>
    <row r="5711" spans="1:19" hidden="1" x14ac:dyDescent="0.25">
      <c r="A5711" s="5" t="str">
        <f t="shared" si="2412"/>
        <v>44153GOLD</v>
      </c>
      <c r="B5711" s="6" t="s">
        <v>85</v>
      </c>
      <c r="C5711" s="6">
        <v>1821</v>
      </c>
      <c r="D5711" s="6">
        <v>1899</v>
      </c>
      <c r="E5711" s="6">
        <v>1885</v>
      </c>
      <c r="F5711" t="str">
        <f t="shared" si="2398"/>
        <v>WED</v>
      </c>
      <c r="G5711" s="1">
        <f t="shared" si="2399"/>
        <v>44153</v>
      </c>
      <c r="H5711" s="2">
        <f t="shared" ca="1" si="2400"/>
        <v>100</v>
      </c>
      <c r="I5711" t="str">
        <f t="shared" si="2401"/>
        <v>GOLD</v>
      </c>
      <c r="J5711">
        <f t="shared" si="2402"/>
        <v>1821</v>
      </c>
      <c r="K5711">
        <f t="shared" si="2403"/>
        <v>1899</v>
      </c>
      <c r="L5711">
        <f t="shared" si="2404"/>
        <v>1860</v>
      </c>
      <c r="M5711">
        <f t="shared" si="2405"/>
        <v>39</v>
      </c>
      <c r="N5711">
        <f t="shared" si="2409"/>
        <v>78</v>
      </c>
      <c r="O5711">
        <f t="shared" si="2406"/>
        <v>1885</v>
      </c>
      <c r="P5711">
        <f t="shared" si="2407"/>
        <v>0.64102564102564108</v>
      </c>
      <c r="Q5711" t="str">
        <f t="shared" si="2410"/>
        <v>3.4% | 0.74%</v>
      </c>
      <c r="R5711" t="str">
        <f t="shared" si="2408"/>
        <v>BEARISH</v>
      </c>
      <c r="S5711">
        <f t="shared" si="2411"/>
        <v>-1</v>
      </c>
    </row>
    <row r="5712" spans="1:19" hidden="1" x14ac:dyDescent="0.25">
      <c r="A5712" s="5" t="str">
        <f t="shared" si="2412"/>
        <v>44153COPPER</v>
      </c>
      <c r="B5712" s="6" t="s">
        <v>100</v>
      </c>
      <c r="C5712" s="6">
        <v>3.12</v>
      </c>
      <c r="D5712" s="6">
        <v>3.25</v>
      </c>
      <c r="E5712" s="6">
        <v>3.2</v>
      </c>
      <c r="F5712" t="str">
        <f t="shared" si="2398"/>
        <v>WED</v>
      </c>
      <c r="G5712" s="1">
        <f t="shared" si="2399"/>
        <v>44153</v>
      </c>
      <c r="H5712" s="2">
        <f t="shared" ca="1" si="2400"/>
        <v>100</v>
      </c>
      <c r="I5712" t="str">
        <f t="shared" si="2401"/>
        <v>COPPER</v>
      </c>
      <c r="J5712">
        <f t="shared" si="2402"/>
        <v>3.12</v>
      </c>
      <c r="K5712">
        <f t="shared" si="2403"/>
        <v>3.25</v>
      </c>
      <c r="L5712">
        <f t="shared" si="2404"/>
        <v>3.1850000000000001</v>
      </c>
      <c r="M5712">
        <f t="shared" si="2405"/>
        <v>6.4999999999999947E-2</v>
      </c>
      <c r="N5712">
        <f t="shared" si="2409"/>
        <v>0.12999999999999989</v>
      </c>
      <c r="O5712">
        <f t="shared" si="2406"/>
        <v>3.2</v>
      </c>
      <c r="P5712">
        <f t="shared" si="2407"/>
        <v>0.23076923076923286</v>
      </c>
      <c r="Q5712" t="str">
        <f t="shared" si="2410"/>
        <v>2.5% | 1.56%</v>
      </c>
      <c r="R5712" t="str">
        <f t="shared" si="2408"/>
        <v>BULLISH</v>
      </c>
      <c r="S5712">
        <f t="shared" si="2411"/>
        <v>1</v>
      </c>
    </row>
    <row r="5713" spans="1:19" hidden="1" x14ac:dyDescent="0.25">
      <c r="A5713" s="5" t="str">
        <f t="shared" si="2412"/>
        <v>44153MSFT</v>
      </c>
      <c r="B5713" s="6" t="s">
        <v>235</v>
      </c>
      <c r="C5713" s="6">
        <v>209</v>
      </c>
      <c r="D5713" s="6">
        <v>225</v>
      </c>
      <c r="E5713" s="6">
        <v>214</v>
      </c>
      <c r="F5713" t="str">
        <f t="shared" si="2398"/>
        <v>WED</v>
      </c>
      <c r="G5713" s="1">
        <f t="shared" si="2399"/>
        <v>44153</v>
      </c>
      <c r="H5713" s="2">
        <f t="shared" ca="1" si="2400"/>
        <v>100</v>
      </c>
      <c r="I5713" t="str">
        <f t="shared" si="2401"/>
        <v>MSFT</v>
      </c>
      <c r="J5713">
        <f t="shared" si="2402"/>
        <v>209</v>
      </c>
      <c r="K5713">
        <f t="shared" si="2403"/>
        <v>225</v>
      </c>
      <c r="L5713">
        <f t="shared" si="2404"/>
        <v>217</v>
      </c>
      <c r="M5713">
        <f t="shared" si="2405"/>
        <v>8</v>
      </c>
      <c r="N5713">
        <f t="shared" si="2409"/>
        <v>16</v>
      </c>
      <c r="O5713">
        <f t="shared" si="2406"/>
        <v>214</v>
      </c>
      <c r="P5713">
        <f t="shared" si="2407"/>
        <v>-0.375</v>
      </c>
      <c r="Q5713" t="str">
        <f t="shared" si="2410"/>
        <v>2.34% | 5.14%</v>
      </c>
      <c r="R5713" t="str">
        <f t="shared" si="2408"/>
        <v>NEUTRAL</v>
      </c>
      <c r="S5713">
        <f t="shared" si="2411"/>
        <v>0</v>
      </c>
    </row>
    <row r="5714" spans="1:19" hidden="1" x14ac:dyDescent="0.25">
      <c r="A5714" s="5" t="str">
        <f t="shared" si="2412"/>
        <v>44153AAPL</v>
      </c>
      <c r="B5714" s="6" t="s">
        <v>28</v>
      </c>
      <c r="C5714" s="6">
        <v>114</v>
      </c>
      <c r="D5714" s="6">
        <v>122</v>
      </c>
      <c r="E5714" s="6">
        <v>119</v>
      </c>
      <c r="F5714" t="str">
        <f t="shared" si="2398"/>
        <v>WED</v>
      </c>
      <c r="G5714" s="1">
        <f t="shared" si="2399"/>
        <v>44153</v>
      </c>
      <c r="H5714" s="2">
        <f t="shared" ca="1" si="2400"/>
        <v>100</v>
      </c>
      <c r="I5714" t="str">
        <f t="shared" si="2401"/>
        <v>AAPL</v>
      </c>
      <c r="J5714">
        <f t="shared" si="2402"/>
        <v>114</v>
      </c>
      <c r="K5714">
        <f t="shared" si="2403"/>
        <v>122</v>
      </c>
      <c r="L5714">
        <f t="shared" si="2404"/>
        <v>118</v>
      </c>
      <c r="M5714">
        <f t="shared" si="2405"/>
        <v>4</v>
      </c>
      <c r="N5714">
        <f t="shared" si="2409"/>
        <v>8</v>
      </c>
      <c r="O5714">
        <f t="shared" si="2406"/>
        <v>119</v>
      </c>
      <c r="P5714">
        <f t="shared" si="2407"/>
        <v>0.25</v>
      </c>
      <c r="Q5714" t="str">
        <f t="shared" si="2410"/>
        <v>4.2% | 2.52%</v>
      </c>
      <c r="R5714" t="str">
        <f t="shared" si="2408"/>
        <v>BULLISH</v>
      </c>
      <c r="S5714">
        <f t="shared" si="2411"/>
        <v>1</v>
      </c>
    </row>
    <row r="5715" spans="1:19" hidden="1" x14ac:dyDescent="0.25">
      <c r="A5715" s="5" t="str">
        <f t="shared" si="2412"/>
        <v>44153AMZN</v>
      </c>
      <c r="B5715" s="6" t="s">
        <v>69</v>
      </c>
      <c r="C5715" s="6">
        <v>2980</v>
      </c>
      <c r="D5715" s="6">
        <v>3198</v>
      </c>
      <c r="E5715" s="6">
        <v>3135</v>
      </c>
      <c r="F5715" t="str">
        <f t="shared" si="2398"/>
        <v>WED</v>
      </c>
      <c r="G5715" s="1">
        <f t="shared" si="2399"/>
        <v>44153</v>
      </c>
      <c r="H5715" s="2">
        <f t="shared" ca="1" si="2400"/>
        <v>100</v>
      </c>
      <c r="I5715" t="str">
        <f t="shared" si="2401"/>
        <v>AMZN</v>
      </c>
      <c r="J5715">
        <f t="shared" si="2402"/>
        <v>2980</v>
      </c>
      <c r="K5715">
        <f t="shared" si="2403"/>
        <v>3198</v>
      </c>
      <c r="L5715">
        <f t="shared" si="2404"/>
        <v>3089</v>
      </c>
      <c r="M5715">
        <f t="shared" si="2405"/>
        <v>109</v>
      </c>
      <c r="N5715">
        <f t="shared" si="2409"/>
        <v>218</v>
      </c>
      <c r="O5715">
        <f t="shared" si="2406"/>
        <v>3135</v>
      </c>
      <c r="P5715">
        <f t="shared" si="2407"/>
        <v>0.42201834862385323</v>
      </c>
      <c r="Q5715" t="str">
        <f t="shared" si="2410"/>
        <v>4.94% | 2.01%</v>
      </c>
      <c r="R5715" t="str">
        <f t="shared" si="2408"/>
        <v>NEUTRAL</v>
      </c>
      <c r="S5715">
        <f t="shared" si="2411"/>
        <v>0</v>
      </c>
    </row>
    <row r="5716" spans="1:19" hidden="1" x14ac:dyDescent="0.25">
      <c r="A5716" s="5" t="str">
        <f t="shared" si="2412"/>
        <v>44153FB</v>
      </c>
      <c r="B5716" s="6" t="s">
        <v>30</v>
      </c>
      <c r="C5716" s="6">
        <v>264</v>
      </c>
      <c r="D5716" s="6">
        <v>294</v>
      </c>
      <c r="E5716" s="6">
        <v>275</v>
      </c>
      <c r="F5716" t="str">
        <f t="shared" si="2398"/>
        <v>WED</v>
      </c>
      <c r="G5716" s="1">
        <f t="shared" si="2399"/>
        <v>44153</v>
      </c>
      <c r="H5716" s="2">
        <f t="shared" ca="1" si="2400"/>
        <v>100</v>
      </c>
      <c r="I5716" t="str">
        <f t="shared" si="2401"/>
        <v>FB</v>
      </c>
      <c r="J5716">
        <f t="shared" si="2402"/>
        <v>264</v>
      </c>
      <c r="K5716">
        <f t="shared" si="2403"/>
        <v>294</v>
      </c>
      <c r="L5716">
        <f t="shared" si="2404"/>
        <v>279</v>
      </c>
      <c r="M5716">
        <f t="shared" si="2405"/>
        <v>15</v>
      </c>
      <c r="N5716">
        <f t="shared" si="2409"/>
        <v>30</v>
      </c>
      <c r="O5716">
        <f t="shared" si="2406"/>
        <v>275</v>
      </c>
      <c r="P5716">
        <f t="shared" si="2407"/>
        <v>-0.26666666666666666</v>
      </c>
      <c r="Q5716" t="str">
        <f t="shared" si="2410"/>
        <v>4% | 6.91%</v>
      </c>
      <c r="R5716" t="str">
        <f t="shared" si="2408"/>
        <v>BULLISH</v>
      </c>
      <c r="S5716">
        <f t="shared" si="2411"/>
        <v>1</v>
      </c>
    </row>
    <row r="5717" spans="1:19" hidden="1" x14ac:dyDescent="0.25">
      <c r="A5717" s="5" t="str">
        <f t="shared" si="2412"/>
        <v>44153GOOGL</v>
      </c>
      <c r="B5717" s="6" t="s">
        <v>31</v>
      </c>
      <c r="C5717" s="6">
        <v>1713</v>
      </c>
      <c r="D5717" s="6">
        <v>1785</v>
      </c>
      <c r="E5717" s="6">
        <v>1761</v>
      </c>
      <c r="F5717" t="str">
        <f t="shared" si="2398"/>
        <v>WED</v>
      </c>
      <c r="G5717" s="1">
        <f t="shared" si="2399"/>
        <v>44153</v>
      </c>
      <c r="H5717" s="2">
        <f t="shared" ca="1" si="2400"/>
        <v>100</v>
      </c>
      <c r="I5717" t="str">
        <f t="shared" si="2401"/>
        <v>GOOGL</v>
      </c>
      <c r="J5717">
        <f t="shared" si="2402"/>
        <v>1713</v>
      </c>
      <c r="K5717">
        <f t="shared" si="2403"/>
        <v>1785</v>
      </c>
      <c r="L5717">
        <f t="shared" si="2404"/>
        <v>1749</v>
      </c>
      <c r="M5717">
        <f t="shared" si="2405"/>
        <v>36</v>
      </c>
      <c r="N5717">
        <f t="shared" si="2409"/>
        <v>72</v>
      </c>
      <c r="O5717">
        <f t="shared" si="2406"/>
        <v>1761</v>
      </c>
      <c r="P5717">
        <f t="shared" si="2407"/>
        <v>0.33333333333333331</v>
      </c>
      <c r="Q5717" t="str">
        <f t="shared" si="2410"/>
        <v>2.73% | 1.36%</v>
      </c>
      <c r="R5717" t="str">
        <f t="shared" si="2408"/>
        <v>BULLISH</v>
      </c>
      <c r="S5717">
        <f t="shared" si="2411"/>
        <v>1</v>
      </c>
    </row>
    <row r="5718" spans="1:19" hidden="1" x14ac:dyDescent="0.25">
      <c r="A5718" s="5" t="str">
        <f t="shared" si="2412"/>
        <v>44153NFLX</v>
      </c>
      <c r="B5718" s="6" t="s">
        <v>81</v>
      </c>
      <c r="C5718" s="6">
        <v>459</v>
      </c>
      <c r="D5718" s="6">
        <v>496</v>
      </c>
      <c r="E5718" s="6">
        <v>480</v>
      </c>
      <c r="F5718" t="str">
        <f t="shared" si="2398"/>
        <v>WED</v>
      </c>
      <c r="G5718" s="1">
        <f t="shared" si="2399"/>
        <v>44153</v>
      </c>
      <c r="H5718" s="2">
        <f t="shared" ca="1" si="2400"/>
        <v>100</v>
      </c>
      <c r="I5718" t="str">
        <f t="shared" si="2401"/>
        <v>NFLX</v>
      </c>
      <c r="J5718">
        <f t="shared" si="2402"/>
        <v>459</v>
      </c>
      <c r="K5718">
        <f t="shared" si="2403"/>
        <v>496</v>
      </c>
      <c r="L5718">
        <f t="shared" si="2404"/>
        <v>477.5</v>
      </c>
      <c r="M5718">
        <f t="shared" si="2405"/>
        <v>18.5</v>
      </c>
      <c r="N5718">
        <f t="shared" si="2409"/>
        <v>37</v>
      </c>
      <c r="O5718">
        <f t="shared" si="2406"/>
        <v>480</v>
      </c>
      <c r="P5718">
        <f t="shared" si="2407"/>
        <v>0.13513513513513514</v>
      </c>
      <c r="Q5718" t="str">
        <f t="shared" si="2410"/>
        <v>4.38% | 3.33%</v>
      </c>
      <c r="R5718" t="str">
        <f t="shared" si="2408"/>
        <v>BEARISH</v>
      </c>
      <c r="S5718">
        <f t="shared" si="2411"/>
        <v>-1</v>
      </c>
    </row>
    <row r="5719" spans="1:19" x14ac:dyDescent="0.25">
      <c r="A5719" s="5" t="str">
        <f t="shared" si="2412"/>
        <v>44153TSLA</v>
      </c>
      <c r="B5719" s="6" t="s">
        <v>71</v>
      </c>
      <c r="C5719" s="6">
        <v>395</v>
      </c>
      <c r="D5719" s="6">
        <v>451</v>
      </c>
      <c r="E5719" s="6">
        <v>441</v>
      </c>
      <c r="F5719" t="str">
        <f t="shared" si="2398"/>
        <v>WED</v>
      </c>
      <c r="G5719" s="1">
        <f t="shared" si="2399"/>
        <v>44153</v>
      </c>
      <c r="H5719" s="2">
        <f t="shared" ca="1" si="2400"/>
        <v>100</v>
      </c>
      <c r="I5719" t="str">
        <f t="shared" si="2401"/>
        <v>TSLA</v>
      </c>
      <c r="J5719">
        <f t="shared" si="2402"/>
        <v>395</v>
      </c>
      <c r="K5719">
        <f t="shared" si="2403"/>
        <v>451</v>
      </c>
      <c r="L5719">
        <f t="shared" si="2404"/>
        <v>423</v>
      </c>
      <c r="M5719">
        <f t="shared" si="2405"/>
        <v>28</v>
      </c>
      <c r="N5719">
        <f t="shared" si="2409"/>
        <v>56</v>
      </c>
      <c r="O5719">
        <f t="shared" si="2406"/>
        <v>441</v>
      </c>
      <c r="P5719">
        <f t="shared" si="2407"/>
        <v>0.6428571428571429</v>
      </c>
      <c r="Q5719" t="str">
        <f t="shared" si="2410"/>
        <v>10.43% | 2.27%</v>
      </c>
      <c r="R5719" t="str">
        <f t="shared" si="2408"/>
        <v>NEUTRAL</v>
      </c>
      <c r="S5719">
        <f t="shared" si="2411"/>
        <v>0</v>
      </c>
    </row>
    <row r="5720" spans="1:19" hidden="1" x14ac:dyDescent="0.25">
      <c r="A5720" s="5" t="str">
        <f t="shared" si="2412"/>
        <v>44153NYXBT</v>
      </c>
      <c r="B5720" s="6" t="s">
        <v>60</v>
      </c>
      <c r="C5720" s="6">
        <v>15908</v>
      </c>
      <c r="D5720" s="6">
        <v>18279</v>
      </c>
      <c r="E5720" s="6">
        <v>17332</v>
      </c>
      <c r="F5720" t="str">
        <f t="shared" si="2398"/>
        <v>WED</v>
      </c>
      <c r="G5720" s="1">
        <f t="shared" si="2399"/>
        <v>44153</v>
      </c>
      <c r="H5720" s="2">
        <f t="shared" ca="1" si="2400"/>
        <v>100</v>
      </c>
      <c r="I5720" t="str">
        <f t="shared" si="2401"/>
        <v>NYXBT</v>
      </c>
      <c r="J5720">
        <f t="shared" si="2402"/>
        <v>15908</v>
      </c>
      <c r="K5720">
        <f t="shared" si="2403"/>
        <v>18279</v>
      </c>
      <c r="L5720">
        <f t="shared" si="2404"/>
        <v>17093.5</v>
      </c>
      <c r="M5720">
        <f t="shared" si="2405"/>
        <v>1185.5</v>
      </c>
      <c r="N5720">
        <f t="shared" si="2409"/>
        <v>2371</v>
      </c>
      <c r="O5720">
        <f t="shared" si="2406"/>
        <v>17332</v>
      </c>
      <c r="P5720">
        <f t="shared" si="2407"/>
        <v>0.20118093631379164</v>
      </c>
      <c r="Q5720" t="str">
        <f t="shared" si="2410"/>
        <v>8.22% | 5.46%</v>
      </c>
      <c r="R5720" t="str">
        <f t="shared" si="2408"/>
        <v>BULLISH</v>
      </c>
      <c r="S5720">
        <f t="shared" si="2411"/>
        <v>1</v>
      </c>
    </row>
    <row r="5721" spans="1:19" hidden="1" x14ac:dyDescent="0.25">
      <c r="A5721" s="5" t="str">
        <f t="shared" si="2412"/>
        <v>44154UST10Y</v>
      </c>
      <c r="B5721" s="6" t="s">
        <v>246</v>
      </c>
      <c r="C5721" s="6">
        <v>0.99</v>
      </c>
      <c r="D5721" s="6">
        <v>0.79</v>
      </c>
      <c r="E5721" s="6">
        <v>0.88</v>
      </c>
      <c r="F5721" t="str">
        <f t="shared" si="2398"/>
        <v>THU</v>
      </c>
      <c r="G5721" s="3">
        <f>DATE(2020,11,19)</f>
        <v>44154</v>
      </c>
      <c r="H5721" s="2">
        <f t="shared" ca="1" si="2400"/>
        <v>99</v>
      </c>
      <c r="I5721" t="str">
        <f t="shared" si="2401"/>
        <v>UST10Y</v>
      </c>
      <c r="J5721">
        <f t="shared" si="2402"/>
        <v>0.99</v>
      </c>
      <c r="K5721">
        <f t="shared" si="2403"/>
        <v>0.79</v>
      </c>
      <c r="L5721">
        <f t="shared" si="2404"/>
        <v>0.89</v>
      </c>
      <c r="M5721">
        <f t="shared" si="2405"/>
        <v>0.10000000000000005</v>
      </c>
      <c r="N5721">
        <f t="shared" si="2409"/>
        <v>0.19999999999999996</v>
      </c>
      <c r="O5721">
        <f t="shared" si="2406"/>
        <v>0.88</v>
      </c>
      <c r="P5721">
        <f t="shared" si="2407"/>
        <v>-0.10000000000000005</v>
      </c>
      <c r="Q5721" t="str">
        <f t="shared" si="2410"/>
        <v>12.5% | 10.23%</v>
      </c>
      <c r="R5721" t="str">
        <f t="shared" si="2408"/>
        <v>NEUTRAL</v>
      </c>
      <c r="S5721">
        <f t="shared" si="2411"/>
        <v>0</v>
      </c>
    </row>
    <row r="5722" spans="1:19" hidden="1" x14ac:dyDescent="0.25">
      <c r="A5722" s="5" t="str">
        <f t="shared" si="2412"/>
        <v>44154UST2Y</v>
      </c>
      <c r="B5722" s="6" t="s">
        <v>253</v>
      </c>
      <c r="C5722" s="6">
        <v>0.19</v>
      </c>
      <c r="D5722" s="6">
        <v>0.14000000000000001</v>
      </c>
      <c r="E5722" s="6">
        <v>0.16</v>
      </c>
      <c r="F5722" t="str">
        <f t="shared" ref="F5722:F5752" si="2413">UPPER(TEXT(G5722,"ddd"))</f>
        <v>THU</v>
      </c>
      <c r="G5722" s="3">
        <f t="shared" ref="G5722:G5751" si="2414">DATE(2020,11,19)</f>
        <v>44154</v>
      </c>
      <c r="H5722" s="2">
        <f t="shared" ref="H5722:H5752" ca="1" si="2415">TODAY()-G5722</f>
        <v>99</v>
      </c>
      <c r="I5722" t="str">
        <f t="shared" ref="I5722:I5752" si="2416">TRIM(LEFT(B5722,FIND(" ",B5722,1)))</f>
        <v>UST2Y</v>
      </c>
      <c r="J5722">
        <f t="shared" ref="J5722:J5752" si="2417">C5722</f>
        <v>0.19</v>
      </c>
      <c r="K5722">
        <f t="shared" ref="K5722:K5752" si="2418">D5722</f>
        <v>0.14000000000000001</v>
      </c>
      <c r="L5722">
        <f t="shared" ref="L5722:L5752" si="2419">AVERAGE(J5722:K5722)</f>
        <v>0.16500000000000001</v>
      </c>
      <c r="M5722">
        <f t="shared" ref="M5722:M5752" si="2420">_xlfn.STDEV.P(J5722:K5722)</f>
        <v>2.4999999999999942E-2</v>
      </c>
      <c r="N5722">
        <f t="shared" si="2409"/>
        <v>4.9999999999999989E-2</v>
      </c>
      <c r="O5722">
        <f t="shared" ref="O5722:O5752" si="2421">E5722</f>
        <v>0.16</v>
      </c>
      <c r="P5722">
        <f t="shared" ref="P5722:P5752" si="2422">(O5722-L5722)/M5722</f>
        <v>-0.20000000000000065</v>
      </c>
      <c r="Q5722" t="str">
        <f t="shared" si="2410"/>
        <v>18.75% | 12.5%</v>
      </c>
      <c r="R5722" t="str">
        <f t="shared" ref="R5722:R5752" si="2423">MID(B5722,FIND("(",B5722,1)+1,FIND(")",B5722,1)-FIND("(",B5722,1)-1)</f>
        <v>NEUTRAL</v>
      </c>
      <c r="S5722">
        <f t="shared" si="2411"/>
        <v>0</v>
      </c>
    </row>
    <row r="5723" spans="1:19" hidden="1" x14ac:dyDescent="0.25">
      <c r="A5723" s="5" t="str">
        <f t="shared" si="2412"/>
        <v>44154SPX</v>
      </c>
      <c r="B5723" s="6" t="s">
        <v>93</v>
      </c>
      <c r="C5723" s="6">
        <v>3482</v>
      </c>
      <c r="D5723" s="6">
        <v>3637</v>
      </c>
      <c r="E5723" s="6">
        <v>3567</v>
      </c>
      <c r="F5723" t="str">
        <f t="shared" si="2413"/>
        <v>THU</v>
      </c>
      <c r="G5723" s="3">
        <f t="shared" si="2414"/>
        <v>44154</v>
      </c>
      <c r="H5723" s="2">
        <f t="shared" ca="1" si="2415"/>
        <v>99</v>
      </c>
      <c r="I5723" t="str">
        <f t="shared" si="2416"/>
        <v>SPX</v>
      </c>
      <c r="J5723">
        <f t="shared" si="2417"/>
        <v>3482</v>
      </c>
      <c r="K5723">
        <f t="shared" si="2418"/>
        <v>3637</v>
      </c>
      <c r="L5723">
        <f t="shared" si="2419"/>
        <v>3559.5</v>
      </c>
      <c r="M5723">
        <f t="shared" si="2420"/>
        <v>77.5</v>
      </c>
      <c r="N5723">
        <f t="shared" si="2409"/>
        <v>155</v>
      </c>
      <c r="O5723">
        <f t="shared" si="2421"/>
        <v>3567</v>
      </c>
      <c r="P5723">
        <f t="shared" si="2422"/>
        <v>9.6774193548387094E-2</v>
      </c>
      <c r="Q5723" t="str">
        <f t="shared" si="2410"/>
        <v>2.38% | 1.96%</v>
      </c>
      <c r="R5723" t="str">
        <f t="shared" si="2423"/>
        <v>BULLISH</v>
      </c>
      <c r="S5723">
        <f t="shared" si="2411"/>
        <v>1</v>
      </c>
    </row>
    <row r="5724" spans="1:19" hidden="1" x14ac:dyDescent="0.25">
      <c r="A5724" s="5" t="str">
        <f t="shared" si="2412"/>
        <v>44154RUT</v>
      </c>
      <c r="B5724" s="6" t="s">
        <v>247</v>
      </c>
      <c r="C5724" s="6">
        <v>1669</v>
      </c>
      <c r="D5724" s="6">
        <v>1788</v>
      </c>
      <c r="E5724" s="6">
        <v>1769</v>
      </c>
      <c r="F5724" t="str">
        <f t="shared" si="2413"/>
        <v>THU</v>
      </c>
      <c r="G5724" s="3">
        <f t="shared" si="2414"/>
        <v>44154</v>
      </c>
      <c r="H5724" s="2">
        <f t="shared" ca="1" si="2415"/>
        <v>99</v>
      </c>
      <c r="I5724" t="str">
        <f t="shared" si="2416"/>
        <v>RUT</v>
      </c>
      <c r="J5724">
        <f t="shared" si="2417"/>
        <v>1669</v>
      </c>
      <c r="K5724">
        <f t="shared" si="2418"/>
        <v>1788</v>
      </c>
      <c r="L5724">
        <f t="shared" si="2419"/>
        <v>1728.5</v>
      </c>
      <c r="M5724">
        <f t="shared" si="2420"/>
        <v>59.5</v>
      </c>
      <c r="N5724">
        <f t="shared" si="2409"/>
        <v>119</v>
      </c>
      <c r="O5724">
        <f t="shared" si="2421"/>
        <v>1769</v>
      </c>
      <c r="P5724">
        <f t="shared" si="2422"/>
        <v>0.68067226890756305</v>
      </c>
      <c r="Q5724" t="str">
        <f t="shared" si="2410"/>
        <v>5.65% | 1.07%</v>
      </c>
      <c r="R5724" t="str">
        <f t="shared" si="2423"/>
        <v>BULLISH</v>
      </c>
      <c r="S5724">
        <f t="shared" si="2411"/>
        <v>1</v>
      </c>
    </row>
    <row r="5725" spans="1:19" hidden="1" x14ac:dyDescent="0.25">
      <c r="A5725" s="5" t="str">
        <f t="shared" si="2412"/>
        <v>44154COMPQ</v>
      </c>
      <c r="B5725" s="6" t="s">
        <v>8</v>
      </c>
      <c r="C5725" s="6">
        <v>11508</v>
      </c>
      <c r="D5725" s="6">
        <v>12022</v>
      </c>
      <c r="E5725" s="6">
        <v>11801</v>
      </c>
      <c r="F5725" t="str">
        <f t="shared" si="2413"/>
        <v>THU</v>
      </c>
      <c r="G5725" s="3">
        <f t="shared" si="2414"/>
        <v>44154</v>
      </c>
      <c r="H5725" s="2">
        <f t="shared" ca="1" si="2415"/>
        <v>99</v>
      </c>
      <c r="I5725" t="str">
        <f t="shared" si="2416"/>
        <v>COMPQ</v>
      </c>
      <c r="J5725">
        <f t="shared" si="2417"/>
        <v>11508</v>
      </c>
      <c r="K5725">
        <f t="shared" si="2418"/>
        <v>12022</v>
      </c>
      <c r="L5725">
        <f t="shared" si="2419"/>
        <v>11765</v>
      </c>
      <c r="M5725">
        <f t="shared" si="2420"/>
        <v>257</v>
      </c>
      <c r="N5725">
        <f t="shared" si="2409"/>
        <v>514</v>
      </c>
      <c r="O5725">
        <f t="shared" si="2421"/>
        <v>11801</v>
      </c>
      <c r="P5725">
        <f t="shared" si="2422"/>
        <v>0.14007782101167315</v>
      </c>
      <c r="Q5725" t="str">
        <f t="shared" si="2410"/>
        <v>2.48% | 1.87%</v>
      </c>
      <c r="R5725" t="str">
        <f t="shared" si="2423"/>
        <v>BULLISH</v>
      </c>
      <c r="S5725">
        <f t="shared" si="2411"/>
        <v>1</v>
      </c>
    </row>
    <row r="5726" spans="1:19" hidden="1" x14ac:dyDescent="0.25">
      <c r="A5726" s="5" t="str">
        <f t="shared" si="2412"/>
        <v>44154XLK</v>
      </c>
      <c r="B5726" s="6" t="s">
        <v>10</v>
      </c>
      <c r="C5726" s="6">
        <v>117.97</v>
      </c>
      <c r="D5726" s="6">
        <v>123.11</v>
      </c>
      <c r="E5726" s="6">
        <v>120.39</v>
      </c>
      <c r="F5726" t="str">
        <f t="shared" si="2413"/>
        <v>THU</v>
      </c>
      <c r="G5726" s="3">
        <f t="shared" si="2414"/>
        <v>44154</v>
      </c>
      <c r="H5726" s="2">
        <f t="shared" ca="1" si="2415"/>
        <v>99</v>
      </c>
      <c r="I5726" t="str">
        <f t="shared" si="2416"/>
        <v>XLK</v>
      </c>
      <c r="J5726">
        <f t="shared" si="2417"/>
        <v>117.97</v>
      </c>
      <c r="K5726">
        <f t="shared" si="2418"/>
        <v>123.11</v>
      </c>
      <c r="L5726">
        <f t="shared" si="2419"/>
        <v>120.53999999999999</v>
      </c>
      <c r="M5726">
        <f t="shared" si="2420"/>
        <v>2.5700000000000003</v>
      </c>
      <c r="N5726">
        <f t="shared" si="2409"/>
        <v>5.1400000000000006</v>
      </c>
      <c r="O5726">
        <f t="shared" si="2421"/>
        <v>120.39</v>
      </c>
      <c r="P5726">
        <f t="shared" si="2422"/>
        <v>-5.836575875486049E-2</v>
      </c>
      <c r="Q5726" t="str">
        <f t="shared" si="2410"/>
        <v>2.01% | 2.26%</v>
      </c>
      <c r="R5726" t="str">
        <f t="shared" si="2423"/>
        <v>BULLISH</v>
      </c>
      <c r="S5726">
        <f t="shared" si="2411"/>
        <v>1</v>
      </c>
    </row>
    <row r="5727" spans="1:19" hidden="1" x14ac:dyDescent="0.25">
      <c r="A5727" s="5" t="str">
        <f t="shared" si="2412"/>
        <v>44154XLU</v>
      </c>
      <c r="B5727" s="6" t="s">
        <v>52</v>
      </c>
      <c r="C5727" s="6">
        <v>63.38</v>
      </c>
      <c r="D5727" s="6">
        <v>67.42</v>
      </c>
      <c r="E5727" s="6">
        <v>64.17</v>
      </c>
      <c r="F5727" t="str">
        <f t="shared" si="2413"/>
        <v>THU</v>
      </c>
      <c r="G5727" s="3">
        <f t="shared" si="2414"/>
        <v>44154</v>
      </c>
      <c r="H5727" s="2">
        <f t="shared" ca="1" si="2415"/>
        <v>99</v>
      </c>
      <c r="I5727" t="str">
        <f t="shared" si="2416"/>
        <v>XLU</v>
      </c>
      <c r="J5727">
        <f t="shared" si="2417"/>
        <v>63.38</v>
      </c>
      <c r="K5727">
        <f t="shared" si="2418"/>
        <v>67.42</v>
      </c>
      <c r="L5727">
        <f t="shared" si="2419"/>
        <v>65.400000000000006</v>
      </c>
      <c r="M5727">
        <f t="shared" si="2420"/>
        <v>2.0199999999999996</v>
      </c>
      <c r="N5727">
        <f t="shared" si="2409"/>
        <v>4.0399999999999991</v>
      </c>
      <c r="O5727">
        <f t="shared" si="2421"/>
        <v>64.17</v>
      </c>
      <c r="P5727">
        <f t="shared" si="2422"/>
        <v>-0.60891089108911101</v>
      </c>
      <c r="Q5727" t="str">
        <f t="shared" si="2410"/>
        <v>1.23% | 5.06%</v>
      </c>
      <c r="R5727" t="str">
        <f t="shared" si="2423"/>
        <v>BULLISH</v>
      </c>
      <c r="S5727">
        <f t="shared" si="2411"/>
        <v>1</v>
      </c>
    </row>
    <row r="5728" spans="1:19" hidden="1" x14ac:dyDescent="0.25">
      <c r="A5728" s="5" t="str">
        <f t="shared" si="2412"/>
        <v>44154XLE</v>
      </c>
      <c r="B5728" s="6" t="s">
        <v>250</v>
      </c>
      <c r="C5728" s="6">
        <v>31.98</v>
      </c>
      <c r="D5728" s="6">
        <v>38.130000000000003</v>
      </c>
      <c r="E5728" s="6">
        <v>35.42</v>
      </c>
      <c r="F5728" t="str">
        <f t="shared" si="2413"/>
        <v>THU</v>
      </c>
      <c r="G5728" s="3">
        <f t="shared" si="2414"/>
        <v>44154</v>
      </c>
      <c r="H5728" s="2">
        <f t="shared" ca="1" si="2415"/>
        <v>99</v>
      </c>
      <c r="I5728" t="str">
        <f t="shared" si="2416"/>
        <v>XLE</v>
      </c>
      <c r="J5728">
        <f t="shared" si="2417"/>
        <v>31.98</v>
      </c>
      <c r="K5728">
        <f t="shared" si="2418"/>
        <v>38.130000000000003</v>
      </c>
      <c r="L5728">
        <f t="shared" si="2419"/>
        <v>35.055</v>
      </c>
      <c r="M5728">
        <f t="shared" si="2420"/>
        <v>3.0750000000000011</v>
      </c>
      <c r="N5728">
        <f t="shared" si="2409"/>
        <v>6.1500000000000021</v>
      </c>
      <c r="O5728">
        <f t="shared" si="2421"/>
        <v>35.42</v>
      </c>
      <c r="P5728">
        <f t="shared" si="2422"/>
        <v>0.11869918699187053</v>
      </c>
      <c r="Q5728" t="str">
        <f t="shared" si="2410"/>
        <v>9.71% | 7.65%</v>
      </c>
      <c r="R5728" t="str">
        <f t="shared" si="2423"/>
        <v>BULLISH</v>
      </c>
      <c r="S5728">
        <f t="shared" si="2411"/>
        <v>1</v>
      </c>
    </row>
    <row r="5729" spans="1:19" hidden="1" x14ac:dyDescent="0.25">
      <c r="A5729" s="5" t="str">
        <f t="shared" si="2412"/>
        <v>44154GDX</v>
      </c>
      <c r="B5729" s="6" t="s">
        <v>254</v>
      </c>
      <c r="C5729" s="6">
        <v>34.15</v>
      </c>
      <c r="D5729" s="6">
        <v>38.479999999999997</v>
      </c>
      <c r="E5729" s="6">
        <v>35.82</v>
      </c>
      <c r="F5729" t="str">
        <f t="shared" si="2413"/>
        <v>THU</v>
      </c>
      <c r="G5729" s="3">
        <f t="shared" si="2414"/>
        <v>44154</v>
      </c>
      <c r="H5729" s="2">
        <f t="shared" ca="1" si="2415"/>
        <v>99</v>
      </c>
      <c r="I5729" t="str">
        <f t="shared" si="2416"/>
        <v>GDX</v>
      </c>
      <c r="J5729">
        <f t="shared" si="2417"/>
        <v>34.15</v>
      </c>
      <c r="K5729">
        <f t="shared" si="2418"/>
        <v>38.479999999999997</v>
      </c>
      <c r="L5729">
        <f t="shared" si="2419"/>
        <v>36.314999999999998</v>
      </c>
      <c r="M5729">
        <f t="shared" si="2420"/>
        <v>2.1649999999999991</v>
      </c>
      <c r="N5729">
        <f t="shared" si="2409"/>
        <v>4.3299999999999983</v>
      </c>
      <c r="O5729">
        <f t="shared" si="2421"/>
        <v>35.82</v>
      </c>
      <c r="P5729">
        <f t="shared" si="2422"/>
        <v>-0.22863741339491808</v>
      </c>
      <c r="Q5729" t="str">
        <f t="shared" si="2410"/>
        <v>4.66% | 7.43%</v>
      </c>
      <c r="R5729" t="str">
        <f t="shared" si="2423"/>
        <v>BEARISH</v>
      </c>
      <c r="S5729">
        <f t="shared" si="2411"/>
        <v>-1</v>
      </c>
    </row>
    <row r="5730" spans="1:19" hidden="1" x14ac:dyDescent="0.25">
      <c r="A5730" s="5" t="str">
        <f t="shared" si="2412"/>
        <v>44154SSEC</v>
      </c>
      <c r="B5730" s="6" t="s">
        <v>104</v>
      </c>
      <c r="C5730" s="6">
        <v>3300</v>
      </c>
      <c r="D5730" s="6">
        <v>3401</v>
      </c>
      <c r="E5730" s="6">
        <v>3363</v>
      </c>
      <c r="F5730" t="str">
        <f t="shared" si="2413"/>
        <v>THU</v>
      </c>
      <c r="G5730" s="3">
        <f t="shared" si="2414"/>
        <v>44154</v>
      </c>
      <c r="H5730" s="2">
        <f t="shared" ca="1" si="2415"/>
        <v>99</v>
      </c>
      <c r="I5730" t="str">
        <f t="shared" si="2416"/>
        <v>SSEC</v>
      </c>
      <c r="J5730">
        <f t="shared" si="2417"/>
        <v>3300</v>
      </c>
      <c r="K5730">
        <f t="shared" si="2418"/>
        <v>3401</v>
      </c>
      <c r="L5730">
        <f t="shared" si="2419"/>
        <v>3350.5</v>
      </c>
      <c r="M5730">
        <f t="shared" si="2420"/>
        <v>50.5</v>
      </c>
      <c r="N5730">
        <f t="shared" si="2409"/>
        <v>101</v>
      </c>
      <c r="O5730">
        <f t="shared" si="2421"/>
        <v>3363</v>
      </c>
      <c r="P5730">
        <f t="shared" si="2422"/>
        <v>0.24752475247524752</v>
      </c>
      <c r="Q5730" t="str">
        <f t="shared" si="2410"/>
        <v>1.87% | 1.13%</v>
      </c>
      <c r="R5730" t="str">
        <f t="shared" si="2423"/>
        <v>BULLISH</v>
      </c>
      <c r="S5730">
        <f t="shared" si="2411"/>
        <v>1</v>
      </c>
    </row>
    <row r="5731" spans="1:19" hidden="1" x14ac:dyDescent="0.25">
      <c r="A5731" s="5" t="str">
        <f t="shared" si="2412"/>
        <v>44154NIKK</v>
      </c>
      <c r="B5731" s="6" t="s">
        <v>91</v>
      </c>
      <c r="C5731" s="6">
        <v>24614</v>
      </c>
      <c r="D5731" s="6">
        <v>26371</v>
      </c>
      <c r="E5731" s="6">
        <v>25634</v>
      </c>
      <c r="F5731" t="str">
        <f t="shared" si="2413"/>
        <v>THU</v>
      </c>
      <c r="G5731" s="3">
        <f t="shared" si="2414"/>
        <v>44154</v>
      </c>
      <c r="H5731" s="2">
        <f t="shared" ca="1" si="2415"/>
        <v>99</v>
      </c>
      <c r="I5731" t="str">
        <f t="shared" si="2416"/>
        <v>NIKK</v>
      </c>
      <c r="J5731">
        <f t="shared" si="2417"/>
        <v>24614</v>
      </c>
      <c r="K5731">
        <f t="shared" si="2418"/>
        <v>26371</v>
      </c>
      <c r="L5731">
        <f t="shared" si="2419"/>
        <v>25492.5</v>
      </c>
      <c r="M5731">
        <f t="shared" si="2420"/>
        <v>878.5</v>
      </c>
      <c r="N5731">
        <f t="shared" si="2409"/>
        <v>1757</v>
      </c>
      <c r="O5731">
        <f t="shared" si="2421"/>
        <v>25634</v>
      </c>
      <c r="P5731">
        <f t="shared" si="2422"/>
        <v>0.16107000569151964</v>
      </c>
      <c r="Q5731" t="str">
        <f t="shared" si="2410"/>
        <v>3.98% | 2.88%</v>
      </c>
      <c r="R5731" t="str">
        <f t="shared" si="2423"/>
        <v>BULLISH</v>
      </c>
      <c r="S5731">
        <f t="shared" si="2411"/>
        <v>1</v>
      </c>
    </row>
    <row r="5732" spans="1:19" hidden="1" x14ac:dyDescent="0.25">
      <c r="A5732" s="5" t="str">
        <f t="shared" si="2412"/>
        <v>44154DAX</v>
      </c>
      <c r="B5732" s="6" t="s">
        <v>16</v>
      </c>
      <c r="C5732" s="6">
        <v>12508</v>
      </c>
      <c r="D5732" s="6">
        <v>13296</v>
      </c>
      <c r="E5732" s="6">
        <v>13201</v>
      </c>
      <c r="F5732" t="str">
        <f t="shared" si="2413"/>
        <v>THU</v>
      </c>
      <c r="G5732" s="3">
        <f t="shared" si="2414"/>
        <v>44154</v>
      </c>
      <c r="H5732" s="2">
        <f t="shared" ca="1" si="2415"/>
        <v>99</v>
      </c>
      <c r="I5732" t="str">
        <f t="shared" si="2416"/>
        <v>DAX</v>
      </c>
      <c r="J5732">
        <f t="shared" si="2417"/>
        <v>12508</v>
      </c>
      <c r="K5732">
        <f t="shared" si="2418"/>
        <v>13296</v>
      </c>
      <c r="L5732">
        <f t="shared" si="2419"/>
        <v>12902</v>
      </c>
      <c r="M5732">
        <f t="shared" si="2420"/>
        <v>394</v>
      </c>
      <c r="N5732">
        <f t="shared" si="2409"/>
        <v>788</v>
      </c>
      <c r="O5732">
        <f t="shared" si="2421"/>
        <v>13201</v>
      </c>
      <c r="P5732">
        <f t="shared" si="2422"/>
        <v>0.75888324873096447</v>
      </c>
      <c r="Q5732" t="str">
        <f t="shared" si="2410"/>
        <v>5.25% | 0.72%</v>
      </c>
      <c r="R5732" t="str">
        <f t="shared" si="2423"/>
        <v>BEARISH</v>
      </c>
      <c r="S5732">
        <f t="shared" si="2411"/>
        <v>-1</v>
      </c>
    </row>
    <row r="5733" spans="1:19" hidden="1" x14ac:dyDescent="0.25">
      <c r="A5733" s="5" t="str">
        <f t="shared" si="2412"/>
        <v>44154VIX</v>
      </c>
      <c r="B5733" s="6" t="s">
        <v>96</v>
      </c>
      <c r="C5733" s="6">
        <v>21.68</v>
      </c>
      <c r="D5733" s="6">
        <v>27.97</v>
      </c>
      <c r="E5733" s="6">
        <v>23.84</v>
      </c>
      <c r="F5733" t="str">
        <f t="shared" si="2413"/>
        <v>THU</v>
      </c>
      <c r="G5733" s="3">
        <f t="shared" si="2414"/>
        <v>44154</v>
      </c>
      <c r="H5733" s="2">
        <f t="shared" ca="1" si="2415"/>
        <v>99</v>
      </c>
      <c r="I5733" t="str">
        <f t="shared" si="2416"/>
        <v>VIX</v>
      </c>
      <c r="J5733">
        <f t="shared" si="2417"/>
        <v>21.68</v>
      </c>
      <c r="K5733">
        <f t="shared" si="2418"/>
        <v>27.97</v>
      </c>
      <c r="L5733">
        <f t="shared" si="2419"/>
        <v>24.824999999999999</v>
      </c>
      <c r="M5733">
        <f t="shared" si="2420"/>
        <v>3.1450000000000022</v>
      </c>
      <c r="N5733">
        <f t="shared" si="2409"/>
        <v>6.2899999999999991</v>
      </c>
      <c r="O5733">
        <f t="shared" si="2421"/>
        <v>23.84</v>
      </c>
      <c r="P5733">
        <f t="shared" si="2422"/>
        <v>-0.31319554848966574</v>
      </c>
      <c r="Q5733" t="str">
        <f t="shared" si="2410"/>
        <v>9.06% | 17.32%</v>
      </c>
      <c r="R5733" t="str">
        <f t="shared" si="2423"/>
        <v>BEARISH</v>
      </c>
      <c r="S5733">
        <f t="shared" si="2411"/>
        <v>-1</v>
      </c>
    </row>
    <row r="5734" spans="1:19" hidden="1" x14ac:dyDescent="0.25">
      <c r="A5734" s="5" t="str">
        <f t="shared" si="2412"/>
        <v>44154USD</v>
      </c>
      <c r="B5734" s="6" t="s">
        <v>94</v>
      </c>
      <c r="C5734" s="6">
        <v>92.15</v>
      </c>
      <c r="D5734" s="6">
        <v>93.18</v>
      </c>
      <c r="E5734" s="6">
        <v>92.31</v>
      </c>
      <c r="F5734" t="str">
        <f t="shared" si="2413"/>
        <v>THU</v>
      </c>
      <c r="G5734" s="3">
        <f t="shared" si="2414"/>
        <v>44154</v>
      </c>
      <c r="H5734" s="2">
        <f t="shared" ca="1" si="2415"/>
        <v>99</v>
      </c>
      <c r="I5734" t="str">
        <f t="shared" si="2416"/>
        <v>USD</v>
      </c>
      <c r="J5734">
        <f t="shared" si="2417"/>
        <v>92.15</v>
      </c>
      <c r="K5734">
        <f t="shared" si="2418"/>
        <v>93.18</v>
      </c>
      <c r="L5734">
        <f t="shared" si="2419"/>
        <v>92.665000000000006</v>
      </c>
      <c r="M5734">
        <f t="shared" si="2420"/>
        <v>0.51500000000000057</v>
      </c>
      <c r="N5734">
        <f t="shared" si="2409"/>
        <v>1.0300000000000011</v>
      </c>
      <c r="O5734">
        <f t="shared" si="2421"/>
        <v>92.31</v>
      </c>
      <c r="P5734">
        <f t="shared" si="2422"/>
        <v>-0.68932038834952147</v>
      </c>
      <c r="Q5734" t="str">
        <f t="shared" si="2410"/>
        <v>0.17% | 0.94%</v>
      </c>
      <c r="R5734" t="str">
        <f t="shared" si="2423"/>
        <v>BEARISH</v>
      </c>
      <c r="S5734">
        <f t="shared" si="2411"/>
        <v>-1</v>
      </c>
    </row>
    <row r="5735" spans="1:19" hidden="1" x14ac:dyDescent="0.25">
      <c r="A5735" s="5" t="str">
        <f t="shared" si="2412"/>
        <v>44154EUR/USD</v>
      </c>
      <c r="B5735" s="6" t="s">
        <v>99</v>
      </c>
      <c r="C5735" s="6">
        <v>1.175</v>
      </c>
      <c r="D5735" s="6">
        <v>1.1890000000000001</v>
      </c>
      <c r="E5735" s="6">
        <v>1.1850000000000001</v>
      </c>
      <c r="F5735" t="str">
        <f t="shared" si="2413"/>
        <v>THU</v>
      </c>
      <c r="G5735" s="3">
        <f t="shared" si="2414"/>
        <v>44154</v>
      </c>
      <c r="H5735" s="2">
        <f t="shared" ca="1" si="2415"/>
        <v>99</v>
      </c>
      <c r="I5735" t="str">
        <f t="shared" si="2416"/>
        <v>EUR/USD</v>
      </c>
      <c r="J5735">
        <f t="shared" si="2417"/>
        <v>1.175</v>
      </c>
      <c r="K5735">
        <f t="shared" si="2418"/>
        <v>1.1890000000000001</v>
      </c>
      <c r="L5735">
        <f t="shared" si="2419"/>
        <v>1.1819999999999999</v>
      </c>
      <c r="M5735">
        <f t="shared" si="2420"/>
        <v>7.0000000000000062E-3</v>
      </c>
      <c r="N5735">
        <f t="shared" si="2409"/>
        <v>1.4000000000000012E-2</v>
      </c>
      <c r="O5735">
        <f t="shared" si="2421"/>
        <v>1.1850000000000001</v>
      </c>
      <c r="P5735">
        <f t="shared" si="2422"/>
        <v>0.42857142857144442</v>
      </c>
      <c r="Q5735" t="str">
        <f t="shared" si="2410"/>
        <v>0.84% | 0.34%</v>
      </c>
      <c r="R5735" t="str">
        <f t="shared" si="2423"/>
        <v>BULLISH</v>
      </c>
      <c r="S5735">
        <f t="shared" si="2411"/>
        <v>1</v>
      </c>
    </row>
    <row r="5736" spans="1:19" hidden="1" x14ac:dyDescent="0.25">
      <c r="A5736" s="5" t="str">
        <f t="shared" si="2412"/>
        <v>44154USD/JPY</v>
      </c>
      <c r="B5736" s="6" t="s">
        <v>20</v>
      </c>
      <c r="C5736" s="6">
        <v>103.21</v>
      </c>
      <c r="D5736" s="6">
        <v>105.45</v>
      </c>
      <c r="E5736" s="6">
        <v>103.86</v>
      </c>
      <c r="F5736" t="str">
        <f t="shared" si="2413"/>
        <v>THU</v>
      </c>
      <c r="G5736" s="3">
        <f t="shared" si="2414"/>
        <v>44154</v>
      </c>
      <c r="H5736" s="2">
        <f t="shared" ca="1" si="2415"/>
        <v>99</v>
      </c>
      <c r="I5736" t="str">
        <f t="shared" si="2416"/>
        <v>USD/JPY</v>
      </c>
      <c r="J5736">
        <f t="shared" si="2417"/>
        <v>103.21</v>
      </c>
      <c r="K5736">
        <f t="shared" si="2418"/>
        <v>105.45</v>
      </c>
      <c r="L5736">
        <f t="shared" si="2419"/>
        <v>104.33</v>
      </c>
      <c r="M5736">
        <f t="shared" si="2420"/>
        <v>1.1200000000000045</v>
      </c>
      <c r="N5736">
        <f t="shared" si="2409"/>
        <v>2.2400000000000091</v>
      </c>
      <c r="O5736">
        <f t="shared" si="2421"/>
        <v>103.86</v>
      </c>
      <c r="P5736">
        <f t="shared" si="2422"/>
        <v>-0.41964285714285443</v>
      </c>
      <c r="Q5736" t="str">
        <f t="shared" si="2410"/>
        <v>0.63% | 1.53%</v>
      </c>
      <c r="R5736" t="str">
        <f t="shared" si="2423"/>
        <v>BEARISH</v>
      </c>
      <c r="S5736">
        <f t="shared" si="2411"/>
        <v>-1</v>
      </c>
    </row>
    <row r="5737" spans="1:19" hidden="1" x14ac:dyDescent="0.25">
      <c r="A5737" s="5" t="str">
        <f t="shared" si="2412"/>
        <v>44154GBP/USD</v>
      </c>
      <c r="B5737" s="6" t="s">
        <v>102</v>
      </c>
      <c r="C5737" s="6">
        <v>1.3089999999999999</v>
      </c>
      <c r="D5737" s="6">
        <v>1.3320000000000001</v>
      </c>
      <c r="E5737" s="6">
        <v>1.327</v>
      </c>
      <c r="F5737" t="str">
        <f t="shared" si="2413"/>
        <v>THU</v>
      </c>
      <c r="G5737" s="3">
        <f t="shared" si="2414"/>
        <v>44154</v>
      </c>
      <c r="H5737" s="2">
        <f t="shared" ca="1" si="2415"/>
        <v>99</v>
      </c>
      <c r="I5737" t="str">
        <f t="shared" si="2416"/>
        <v>GBP/USD</v>
      </c>
      <c r="J5737">
        <f t="shared" si="2417"/>
        <v>1.3089999999999999</v>
      </c>
      <c r="K5737">
        <f t="shared" si="2418"/>
        <v>1.3320000000000001</v>
      </c>
      <c r="L5737">
        <f t="shared" si="2419"/>
        <v>1.3205</v>
      </c>
      <c r="M5737">
        <f t="shared" si="2420"/>
        <v>1.1500000000000066E-2</v>
      </c>
      <c r="N5737">
        <f t="shared" si="2409"/>
        <v>2.3000000000000131E-2</v>
      </c>
      <c r="O5737">
        <f t="shared" si="2421"/>
        <v>1.327</v>
      </c>
      <c r="P5737">
        <f t="shared" si="2422"/>
        <v>0.56521739130434023</v>
      </c>
      <c r="Q5737" t="str">
        <f t="shared" si="2410"/>
        <v>1.36% | 0.38%</v>
      </c>
      <c r="R5737" t="str">
        <f t="shared" si="2423"/>
        <v>BULLISH</v>
      </c>
      <c r="S5737">
        <f t="shared" si="2411"/>
        <v>1</v>
      </c>
    </row>
    <row r="5738" spans="1:19" hidden="1" x14ac:dyDescent="0.25">
      <c r="A5738" s="5" t="str">
        <f t="shared" si="2412"/>
        <v>44154CAD/USD</v>
      </c>
      <c r="B5738" s="6" t="s">
        <v>244</v>
      </c>
      <c r="C5738" s="6">
        <v>0.75</v>
      </c>
      <c r="D5738" s="6">
        <v>0.77</v>
      </c>
      <c r="E5738" s="6">
        <v>0.76</v>
      </c>
      <c r="F5738" t="str">
        <f t="shared" si="2413"/>
        <v>THU</v>
      </c>
      <c r="G5738" s="3">
        <f t="shared" si="2414"/>
        <v>44154</v>
      </c>
      <c r="H5738" s="2">
        <f t="shared" ca="1" si="2415"/>
        <v>99</v>
      </c>
      <c r="I5738" t="str">
        <f t="shared" si="2416"/>
        <v>CAD/USD</v>
      </c>
      <c r="J5738">
        <f t="shared" si="2417"/>
        <v>0.75</v>
      </c>
      <c r="K5738">
        <f t="shared" si="2418"/>
        <v>0.77</v>
      </c>
      <c r="L5738">
        <f t="shared" si="2419"/>
        <v>0.76</v>
      </c>
      <c r="M5738">
        <f t="shared" si="2420"/>
        <v>1.0000000000000009E-2</v>
      </c>
      <c r="N5738">
        <f t="shared" si="2409"/>
        <v>2.0000000000000018E-2</v>
      </c>
      <c r="O5738">
        <f t="shared" si="2421"/>
        <v>0.76</v>
      </c>
      <c r="P5738">
        <f t="shared" si="2422"/>
        <v>0</v>
      </c>
      <c r="Q5738" t="str">
        <f t="shared" si="2410"/>
        <v>1.32% | 1.32%</v>
      </c>
      <c r="R5738" t="str">
        <f t="shared" si="2423"/>
        <v>BULLISH</v>
      </c>
      <c r="S5738">
        <f t="shared" si="2411"/>
        <v>1</v>
      </c>
    </row>
    <row r="5739" spans="1:19" hidden="1" x14ac:dyDescent="0.25">
      <c r="A5739" s="5" t="str">
        <f t="shared" si="2412"/>
        <v>44154USD/CHF</v>
      </c>
      <c r="B5739" s="6" t="s">
        <v>76</v>
      </c>
      <c r="C5739" s="6">
        <v>0.9</v>
      </c>
      <c r="D5739" s="6">
        <v>0.92</v>
      </c>
      <c r="E5739" s="6">
        <v>0.91</v>
      </c>
      <c r="F5739" t="str">
        <f t="shared" si="2413"/>
        <v>THU</v>
      </c>
      <c r="G5739" s="3">
        <f t="shared" si="2414"/>
        <v>44154</v>
      </c>
      <c r="H5739" s="2">
        <f t="shared" ca="1" si="2415"/>
        <v>99</v>
      </c>
      <c r="I5739" t="str">
        <f t="shared" si="2416"/>
        <v>USD/CHF</v>
      </c>
      <c r="J5739">
        <f t="shared" si="2417"/>
        <v>0.9</v>
      </c>
      <c r="K5739">
        <f t="shared" si="2418"/>
        <v>0.92</v>
      </c>
      <c r="L5739">
        <f t="shared" si="2419"/>
        <v>0.91</v>
      </c>
      <c r="M5739">
        <f t="shared" si="2420"/>
        <v>1.0000000000000009E-2</v>
      </c>
      <c r="N5739">
        <f t="shared" si="2409"/>
        <v>2.0000000000000018E-2</v>
      </c>
      <c r="O5739">
        <f t="shared" si="2421"/>
        <v>0.91</v>
      </c>
      <c r="P5739">
        <f t="shared" si="2422"/>
        <v>0</v>
      </c>
      <c r="Q5739" t="str">
        <f t="shared" si="2410"/>
        <v>1.1% | 1.1%</v>
      </c>
      <c r="R5739" t="str">
        <f t="shared" si="2423"/>
        <v>BEARISH</v>
      </c>
      <c r="S5739">
        <f t="shared" si="2411"/>
        <v>-1</v>
      </c>
    </row>
    <row r="5740" spans="1:19" hidden="1" x14ac:dyDescent="0.25">
      <c r="A5740" s="5" t="str">
        <f t="shared" si="2412"/>
        <v>44154WTIC</v>
      </c>
      <c r="B5740" s="6" t="s">
        <v>158</v>
      </c>
      <c r="C5740" s="6">
        <v>37.99</v>
      </c>
      <c r="D5740" s="6">
        <v>43.47</v>
      </c>
      <c r="E5740" s="6">
        <v>42.01</v>
      </c>
      <c r="F5740" t="str">
        <f t="shared" si="2413"/>
        <v>THU</v>
      </c>
      <c r="G5740" s="3">
        <f t="shared" si="2414"/>
        <v>44154</v>
      </c>
      <c r="H5740" s="2">
        <f t="shared" ca="1" si="2415"/>
        <v>99</v>
      </c>
      <c r="I5740" t="str">
        <f t="shared" si="2416"/>
        <v>WTIC</v>
      </c>
      <c r="J5740">
        <f t="shared" si="2417"/>
        <v>37.99</v>
      </c>
      <c r="K5740">
        <f t="shared" si="2418"/>
        <v>43.47</v>
      </c>
      <c r="L5740">
        <f t="shared" si="2419"/>
        <v>40.730000000000004</v>
      </c>
      <c r="M5740">
        <f t="shared" si="2420"/>
        <v>2.7399999999999984</v>
      </c>
      <c r="N5740">
        <f t="shared" si="2409"/>
        <v>5.4799999999999969</v>
      </c>
      <c r="O5740">
        <f t="shared" si="2421"/>
        <v>42.01</v>
      </c>
      <c r="P5740">
        <f t="shared" si="2422"/>
        <v>0.46715328467153094</v>
      </c>
      <c r="Q5740" t="str">
        <f t="shared" si="2410"/>
        <v>9.57% | 3.48%</v>
      </c>
      <c r="R5740" t="str">
        <f t="shared" si="2423"/>
        <v>BULLISH</v>
      </c>
      <c r="S5740">
        <f t="shared" si="2411"/>
        <v>1</v>
      </c>
    </row>
    <row r="5741" spans="1:19" hidden="1" x14ac:dyDescent="0.25">
      <c r="A5741" s="5" t="str">
        <f t="shared" si="2412"/>
        <v>44154NATGAS</v>
      </c>
      <c r="B5741" s="6" t="s">
        <v>89</v>
      </c>
      <c r="C5741" s="6">
        <v>2.6</v>
      </c>
      <c r="D5741" s="6">
        <v>3.13</v>
      </c>
      <c r="E5741" s="6">
        <v>2.71</v>
      </c>
      <c r="F5741" t="str">
        <f t="shared" si="2413"/>
        <v>THU</v>
      </c>
      <c r="G5741" s="3">
        <f t="shared" si="2414"/>
        <v>44154</v>
      </c>
      <c r="H5741" s="2">
        <f t="shared" ca="1" si="2415"/>
        <v>99</v>
      </c>
      <c r="I5741" t="str">
        <f t="shared" si="2416"/>
        <v>NATGAS</v>
      </c>
      <c r="J5741">
        <f t="shared" si="2417"/>
        <v>2.6</v>
      </c>
      <c r="K5741">
        <f t="shared" si="2418"/>
        <v>3.13</v>
      </c>
      <c r="L5741">
        <f t="shared" si="2419"/>
        <v>2.8650000000000002</v>
      </c>
      <c r="M5741">
        <f t="shared" si="2420"/>
        <v>0.2649999999999999</v>
      </c>
      <c r="N5741">
        <f t="shared" si="2409"/>
        <v>0.5299999999999998</v>
      </c>
      <c r="O5741">
        <f t="shared" si="2421"/>
        <v>2.71</v>
      </c>
      <c r="P5741">
        <f t="shared" si="2422"/>
        <v>-0.58490566037735969</v>
      </c>
      <c r="Q5741" t="str">
        <f t="shared" si="2410"/>
        <v>4.06% | 15.5%</v>
      </c>
      <c r="R5741" t="str">
        <f t="shared" si="2423"/>
        <v>BULLISH</v>
      </c>
      <c r="S5741">
        <f t="shared" si="2411"/>
        <v>1</v>
      </c>
    </row>
    <row r="5742" spans="1:19" hidden="1" x14ac:dyDescent="0.25">
      <c r="A5742" s="5" t="str">
        <f t="shared" si="2412"/>
        <v>44154GOLD</v>
      </c>
      <c r="B5742" s="6" t="s">
        <v>85</v>
      </c>
      <c r="C5742" s="6">
        <v>1827</v>
      </c>
      <c r="D5742" s="6">
        <v>1895</v>
      </c>
      <c r="E5742" s="6">
        <v>1873</v>
      </c>
      <c r="F5742" t="str">
        <f t="shared" si="2413"/>
        <v>THU</v>
      </c>
      <c r="G5742" s="3">
        <f t="shared" si="2414"/>
        <v>44154</v>
      </c>
      <c r="H5742" s="2">
        <f t="shared" ca="1" si="2415"/>
        <v>99</v>
      </c>
      <c r="I5742" t="str">
        <f t="shared" si="2416"/>
        <v>GOLD</v>
      </c>
      <c r="J5742">
        <f t="shared" si="2417"/>
        <v>1827</v>
      </c>
      <c r="K5742">
        <f t="shared" si="2418"/>
        <v>1895</v>
      </c>
      <c r="L5742">
        <f t="shared" si="2419"/>
        <v>1861</v>
      </c>
      <c r="M5742">
        <f t="shared" si="2420"/>
        <v>34</v>
      </c>
      <c r="N5742">
        <f t="shared" si="2409"/>
        <v>68</v>
      </c>
      <c r="O5742">
        <f t="shared" si="2421"/>
        <v>1873</v>
      </c>
      <c r="P5742">
        <f t="shared" si="2422"/>
        <v>0.35294117647058826</v>
      </c>
      <c r="Q5742" t="str">
        <f t="shared" si="2410"/>
        <v>2.46% | 1.17%</v>
      </c>
      <c r="R5742" t="str">
        <f t="shared" si="2423"/>
        <v>BEARISH</v>
      </c>
      <c r="S5742">
        <f t="shared" si="2411"/>
        <v>-1</v>
      </c>
    </row>
    <row r="5743" spans="1:19" hidden="1" x14ac:dyDescent="0.25">
      <c r="A5743" s="5" t="str">
        <f t="shared" si="2412"/>
        <v>44154COPPER</v>
      </c>
      <c r="B5743" s="6" t="s">
        <v>100</v>
      </c>
      <c r="C5743" s="6">
        <v>3.11</v>
      </c>
      <c r="D5743" s="6">
        <v>3.24</v>
      </c>
      <c r="E5743" s="6">
        <v>3.2</v>
      </c>
      <c r="F5743" t="str">
        <f t="shared" si="2413"/>
        <v>THU</v>
      </c>
      <c r="G5743" s="3">
        <f t="shared" si="2414"/>
        <v>44154</v>
      </c>
      <c r="H5743" s="2">
        <f t="shared" ca="1" si="2415"/>
        <v>99</v>
      </c>
      <c r="I5743" t="str">
        <f t="shared" si="2416"/>
        <v>COPPER</v>
      </c>
      <c r="J5743">
        <f t="shared" si="2417"/>
        <v>3.11</v>
      </c>
      <c r="K5743">
        <f t="shared" si="2418"/>
        <v>3.24</v>
      </c>
      <c r="L5743">
        <f t="shared" si="2419"/>
        <v>3.1749999999999998</v>
      </c>
      <c r="M5743">
        <f t="shared" si="2420"/>
        <v>6.5000000000000169E-2</v>
      </c>
      <c r="N5743">
        <f t="shared" si="2409"/>
        <v>0.13000000000000034</v>
      </c>
      <c r="O5743">
        <f t="shared" si="2421"/>
        <v>3.2</v>
      </c>
      <c r="P5743">
        <f t="shared" si="2422"/>
        <v>0.38461538461538908</v>
      </c>
      <c r="Q5743" t="str">
        <f t="shared" si="2410"/>
        <v>2.81% | 1.25%</v>
      </c>
      <c r="R5743" t="str">
        <f t="shared" si="2423"/>
        <v>BULLISH</v>
      </c>
      <c r="S5743">
        <f t="shared" si="2411"/>
        <v>1</v>
      </c>
    </row>
    <row r="5744" spans="1:19" hidden="1" x14ac:dyDescent="0.25">
      <c r="A5744" s="5" t="str">
        <f t="shared" si="2412"/>
        <v>44154MSFT</v>
      </c>
      <c r="B5744" s="6" t="s">
        <v>235</v>
      </c>
      <c r="C5744" s="6">
        <v>207</v>
      </c>
      <c r="D5744" s="6">
        <v>221</v>
      </c>
      <c r="E5744" s="6">
        <v>211</v>
      </c>
      <c r="F5744" t="str">
        <f t="shared" si="2413"/>
        <v>THU</v>
      </c>
      <c r="G5744" s="3">
        <f t="shared" si="2414"/>
        <v>44154</v>
      </c>
      <c r="H5744" s="2">
        <f t="shared" ca="1" si="2415"/>
        <v>99</v>
      </c>
      <c r="I5744" t="str">
        <f t="shared" si="2416"/>
        <v>MSFT</v>
      </c>
      <c r="J5744">
        <f t="shared" si="2417"/>
        <v>207</v>
      </c>
      <c r="K5744">
        <f t="shared" si="2418"/>
        <v>221</v>
      </c>
      <c r="L5744">
        <f t="shared" si="2419"/>
        <v>214</v>
      </c>
      <c r="M5744">
        <f t="shared" si="2420"/>
        <v>7</v>
      </c>
      <c r="N5744">
        <f t="shared" si="2409"/>
        <v>14</v>
      </c>
      <c r="O5744">
        <f t="shared" si="2421"/>
        <v>211</v>
      </c>
      <c r="P5744">
        <f t="shared" si="2422"/>
        <v>-0.42857142857142855</v>
      </c>
      <c r="Q5744" t="str">
        <f t="shared" si="2410"/>
        <v>1.9% | 4.74%</v>
      </c>
      <c r="R5744" t="str">
        <f t="shared" si="2423"/>
        <v>NEUTRAL</v>
      </c>
      <c r="S5744">
        <f t="shared" si="2411"/>
        <v>0</v>
      </c>
    </row>
    <row r="5745" spans="1:19" hidden="1" x14ac:dyDescent="0.25">
      <c r="A5745" s="5" t="str">
        <f t="shared" si="2412"/>
        <v>44154AAPL</v>
      </c>
      <c r="B5745" s="6" t="s">
        <v>28</v>
      </c>
      <c r="C5745" s="6">
        <v>114</v>
      </c>
      <c r="D5745" s="6">
        <v>121</v>
      </c>
      <c r="E5745" s="6">
        <v>118</v>
      </c>
      <c r="F5745" t="str">
        <f t="shared" si="2413"/>
        <v>THU</v>
      </c>
      <c r="G5745" s="3">
        <f t="shared" si="2414"/>
        <v>44154</v>
      </c>
      <c r="H5745" s="2">
        <f t="shared" ca="1" si="2415"/>
        <v>99</v>
      </c>
      <c r="I5745" t="str">
        <f t="shared" si="2416"/>
        <v>AAPL</v>
      </c>
      <c r="J5745">
        <f t="shared" si="2417"/>
        <v>114</v>
      </c>
      <c r="K5745">
        <f t="shared" si="2418"/>
        <v>121</v>
      </c>
      <c r="L5745">
        <f t="shared" si="2419"/>
        <v>117.5</v>
      </c>
      <c r="M5745">
        <f t="shared" si="2420"/>
        <v>3.5</v>
      </c>
      <c r="N5745">
        <f t="shared" si="2409"/>
        <v>7</v>
      </c>
      <c r="O5745">
        <f t="shared" si="2421"/>
        <v>118</v>
      </c>
      <c r="P5745">
        <f t="shared" si="2422"/>
        <v>0.14285714285714285</v>
      </c>
      <c r="Q5745" t="str">
        <f t="shared" si="2410"/>
        <v>3.39% | 2.54%</v>
      </c>
      <c r="R5745" t="str">
        <f t="shared" si="2423"/>
        <v>BULLISH</v>
      </c>
      <c r="S5745">
        <f t="shared" si="2411"/>
        <v>1</v>
      </c>
    </row>
    <row r="5746" spans="1:19" hidden="1" x14ac:dyDescent="0.25">
      <c r="A5746" s="5" t="str">
        <f t="shared" si="2412"/>
        <v>44154AMZN</v>
      </c>
      <c r="B5746" s="6" t="s">
        <v>73</v>
      </c>
      <c r="C5746" s="6">
        <v>2988</v>
      </c>
      <c r="D5746" s="6">
        <v>3194</v>
      </c>
      <c r="E5746" s="6">
        <v>3105</v>
      </c>
      <c r="F5746" t="str">
        <f t="shared" si="2413"/>
        <v>THU</v>
      </c>
      <c r="G5746" s="3">
        <f t="shared" si="2414"/>
        <v>44154</v>
      </c>
      <c r="H5746" s="2">
        <f t="shared" ca="1" si="2415"/>
        <v>99</v>
      </c>
      <c r="I5746" t="str">
        <f t="shared" si="2416"/>
        <v>AMZN</v>
      </c>
      <c r="J5746">
        <f t="shared" si="2417"/>
        <v>2988</v>
      </c>
      <c r="K5746">
        <f t="shared" si="2418"/>
        <v>3194</v>
      </c>
      <c r="L5746">
        <f t="shared" si="2419"/>
        <v>3091</v>
      </c>
      <c r="M5746">
        <f t="shared" si="2420"/>
        <v>103</v>
      </c>
      <c r="N5746">
        <f t="shared" si="2409"/>
        <v>206</v>
      </c>
      <c r="O5746">
        <f t="shared" si="2421"/>
        <v>3105</v>
      </c>
      <c r="P5746">
        <f t="shared" si="2422"/>
        <v>0.13592233009708737</v>
      </c>
      <c r="Q5746" t="str">
        <f t="shared" si="2410"/>
        <v>3.77% | 2.87%</v>
      </c>
      <c r="R5746" t="str">
        <f t="shared" si="2423"/>
        <v>BEARISH</v>
      </c>
      <c r="S5746">
        <f t="shared" si="2411"/>
        <v>-1</v>
      </c>
    </row>
    <row r="5747" spans="1:19" hidden="1" x14ac:dyDescent="0.25">
      <c r="A5747" s="5" t="str">
        <f t="shared" si="2412"/>
        <v>44154FB</v>
      </c>
      <c r="B5747" s="6" t="s">
        <v>157</v>
      </c>
      <c r="C5747" s="6">
        <v>264</v>
      </c>
      <c r="D5747" s="6">
        <v>288</v>
      </c>
      <c r="E5747" s="6">
        <v>271</v>
      </c>
      <c r="F5747" t="str">
        <f t="shared" si="2413"/>
        <v>THU</v>
      </c>
      <c r="G5747" s="3">
        <f t="shared" si="2414"/>
        <v>44154</v>
      </c>
      <c r="H5747" s="2">
        <f t="shared" ca="1" si="2415"/>
        <v>99</v>
      </c>
      <c r="I5747" t="str">
        <f t="shared" si="2416"/>
        <v>FB</v>
      </c>
      <c r="J5747">
        <f t="shared" si="2417"/>
        <v>264</v>
      </c>
      <c r="K5747">
        <f t="shared" si="2418"/>
        <v>288</v>
      </c>
      <c r="L5747">
        <f t="shared" si="2419"/>
        <v>276</v>
      </c>
      <c r="M5747">
        <f t="shared" si="2420"/>
        <v>12</v>
      </c>
      <c r="N5747">
        <f t="shared" si="2409"/>
        <v>24</v>
      </c>
      <c r="O5747">
        <f t="shared" si="2421"/>
        <v>271</v>
      </c>
      <c r="P5747">
        <f t="shared" si="2422"/>
        <v>-0.41666666666666669</v>
      </c>
      <c r="Q5747" t="str">
        <f t="shared" si="2410"/>
        <v>2.58% | 6.27%</v>
      </c>
      <c r="R5747" t="str">
        <f t="shared" si="2423"/>
        <v>NEUTRAL</v>
      </c>
      <c r="S5747">
        <f t="shared" si="2411"/>
        <v>0</v>
      </c>
    </row>
    <row r="5748" spans="1:19" hidden="1" x14ac:dyDescent="0.25">
      <c r="A5748" s="5" t="str">
        <f t="shared" si="2412"/>
        <v>44154GOOGL</v>
      </c>
      <c r="B5748" s="6" t="s">
        <v>31</v>
      </c>
      <c r="C5748" s="6">
        <v>1719</v>
      </c>
      <c r="D5748" s="6">
        <v>1782</v>
      </c>
      <c r="E5748" s="6">
        <v>1740</v>
      </c>
      <c r="F5748" t="str">
        <f t="shared" si="2413"/>
        <v>THU</v>
      </c>
      <c r="G5748" s="3">
        <f t="shared" si="2414"/>
        <v>44154</v>
      </c>
      <c r="H5748" s="2">
        <f t="shared" ca="1" si="2415"/>
        <v>99</v>
      </c>
      <c r="I5748" t="str">
        <f t="shared" si="2416"/>
        <v>GOOGL</v>
      </c>
      <c r="J5748">
        <f t="shared" si="2417"/>
        <v>1719</v>
      </c>
      <c r="K5748">
        <f t="shared" si="2418"/>
        <v>1782</v>
      </c>
      <c r="L5748">
        <f t="shared" si="2419"/>
        <v>1750.5</v>
      </c>
      <c r="M5748">
        <f t="shared" si="2420"/>
        <v>31.5</v>
      </c>
      <c r="N5748">
        <f t="shared" si="2409"/>
        <v>63</v>
      </c>
      <c r="O5748">
        <f t="shared" si="2421"/>
        <v>1740</v>
      </c>
      <c r="P5748">
        <f t="shared" si="2422"/>
        <v>-0.33333333333333331</v>
      </c>
      <c r="Q5748" t="str">
        <f t="shared" si="2410"/>
        <v>1.21% | 2.41%</v>
      </c>
      <c r="R5748" t="str">
        <f t="shared" si="2423"/>
        <v>BULLISH</v>
      </c>
      <c r="S5748">
        <f t="shared" si="2411"/>
        <v>1</v>
      </c>
    </row>
    <row r="5749" spans="1:19" hidden="1" x14ac:dyDescent="0.25">
      <c r="A5749" s="5" t="str">
        <f t="shared" si="2412"/>
        <v>44154NFLX</v>
      </c>
      <c r="B5749" s="6" t="s">
        <v>81</v>
      </c>
      <c r="C5749" s="6">
        <v>459</v>
      </c>
      <c r="D5749" s="6">
        <v>495</v>
      </c>
      <c r="E5749" s="6">
        <v>481</v>
      </c>
      <c r="F5749" t="str">
        <f t="shared" si="2413"/>
        <v>THU</v>
      </c>
      <c r="G5749" s="3">
        <f t="shared" si="2414"/>
        <v>44154</v>
      </c>
      <c r="H5749" s="2">
        <f t="shared" ca="1" si="2415"/>
        <v>99</v>
      </c>
      <c r="I5749" t="str">
        <f t="shared" si="2416"/>
        <v>NFLX</v>
      </c>
      <c r="J5749">
        <f t="shared" si="2417"/>
        <v>459</v>
      </c>
      <c r="K5749">
        <f t="shared" si="2418"/>
        <v>495</v>
      </c>
      <c r="L5749">
        <f t="shared" si="2419"/>
        <v>477</v>
      </c>
      <c r="M5749">
        <f t="shared" si="2420"/>
        <v>18</v>
      </c>
      <c r="N5749">
        <f t="shared" si="2409"/>
        <v>36</v>
      </c>
      <c r="O5749">
        <f t="shared" si="2421"/>
        <v>481</v>
      </c>
      <c r="P5749">
        <f t="shared" si="2422"/>
        <v>0.22222222222222221</v>
      </c>
      <c r="Q5749" t="str">
        <f t="shared" si="2410"/>
        <v>4.57% | 2.91%</v>
      </c>
      <c r="R5749" t="str">
        <f t="shared" si="2423"/>
        <v>BEARISH</v>
      </c>
      <c r="S5749">
        <f t="shared" si="2411"/>
        <v>-1</v>
      </c>
    </row>
    <row r="5750" spans="1:19" x14ac:dyDescent="0.25">
      <c r="A5750" s="5" t="str">
        <f t="shared" si="2412"/>
        <v>44154TSLA</v>
      </c>
      <c r="B5750" s="6" t="s">
        <v>33</v>
      </c>
      <c r="C5750" s="6">
        <v>388</v>
      </c>
      <c r="D5750" s="6">
        <v>509</v>
      </c>
      <c r="E5750" s="6">
        <v>486</v>
      </c>
      <c r="F5750" t="str">
        <f t="shared" si="2413"/>
        <v>THU</v>
      </c>
      <c r="G5750" s="3">
        <f t="shared" si="2414"/>
        <v>44154</v>
      </c>
      <c r="H5750" s="2">
        <f t="shared" ca="1" si="2415"/>
        <v>99</v>
      </c>
      <c r="I5750" t="str">
        <f t="shared" si="2416"/>
        <v>TSLA</v>
      </c>
      <c r="J5750">
        <f t="shared" si="2417"/>
        <v>388</v>
      </c>
      <c r="K5750">
        <f t="shared" si="2418"/>
        <v>509</v>
      </c>
      <c r="L5750">
        <f t="shared" si="2419"/>
        <v>448.5</v>
      </c>
      <c r="M5750">
        <f t="shared" si="2420"/>
        <v>60.5</v>
      </c>
      <c r="N5750">
        <f t="shared" si="2409"/>
        <v>121</v>
      </c>
      <c r="O5750">
        <f t="shared" si="2421"/>
        <v>486</v>
      </c>
      <c r="P5750">
        <f t="shared" si="2422"/>
        <v>0.6198347107438017</v>
      </c>
      <c r="Q5750" t="str">
        <f t="shared" si="2410"/>
        <v>20.16% | 4.73%</v>
      </c>
      <c r="R5750" t="str">
        <f t="shared" si="2423"/>
        <v>BULLISH</v>
      </c>
      <c r="S5750">
        <f t="shared" si="2411"/>
        <v>1</v>
      </c>
    </row>
    <row r="5751" spans="1:19" hidden="1" x14ac:dyDescent="0.25">
      <c r="A5751" s="5" t="str">
        <f t="shared" si="2412"/>
        <v>44154NYXBT</v>
      </c>
      <c r="B5751" s="6" t="s">
        <v>60</v>
      </c>
      <c r="C5751" s="6">
        <v>16103</v>
      </c>
      <c r="D5751" s="6">
        <v>17915</v>
      </c>
      <c r="E5751" s="6">
        <v>17786</v>
      </c>
      <c r="F5751" t="str">
        <f t="shared" si="2413"/>
        <v>THU</v>
      </c>
      <c r="G5751" s="3">
        <f t="shared" si="2414"/>
        <v>44154</v>
      </c>
      <c r="H5751" s="2">
        <f t="shared" ca="1" si="2415"/>
        <v>99</v>
      </c>
      <c r="I5751" t="str">
        <f t="shared" si="2416"/>
        <v>NYXBT</v>
      </c>
      <c r="J5751">
        <f t="shared" si="2417"/>
        <v>16103</v>
      </c>
      <c r="K5751">
        <f t="shared" si="2418"/>
        <v>17915</v>
      </c>
      <c r="L5751">
        <f t="shared" si="2419"/>
        <v>17009</v>
      </c>
      <c r="M5751">
        <f t="shared" si="2420"/>
        <v>906</v>
      </c>
      <c r="N5751">
        <f t="shared" si="2409"/>
        <v>1812</v>
      </c>
      <c r="O5751">
        <f t="shared" si="2421"/>
        <v>17786</v>
      </c>
      <c r="P5751">
        <f t="shared" si="2422"/>
        <v>0.85761589403973515</v>
      </c>
      <c r="Q5751" t="str">
        <f t="shared" si="2410"/>
        <v>9.46% | 0.73%</v>
      </c>
      <c r="R5751" t="str">
        <f t="shared" si="2423"/>
        <v>BULLISH</v>
      </c>
      <c r="S5751">
        <f t="shared" si="2411"/>
        <v>1</v>
      </c>
    </row>
    <row r="5752" spans="1:19" hidden="1" x14ac:dyDescent="0.25">
      <c r="A5752" s="5" t="str">
        <f t="shared" si="2412"/>
        <v>44155UST10Y</v>
      </c>
      <c r="B5752" s="6" t="s">
        <v>246</v>
      </c>
      <c r="C5752" s="6">
        <v>0.99</v>
      </c>
      <c r="D5752" s="6">
        <v>0.81</v>
      </c>
      <c r="E5752" s="6">
        <v>0.86</v>
      </c>
      <c r="F5752" t="str">
        <f t="shared" si="2413"/>
        <v>FRI</v>
      </c>
      <c r="G5752" s="1">
        <f>DATE(2020,11,20)</f>
        <v>44155</v>
      </c>
      <c r="H5752" s="2">
        <f t="shared" ca="1" si="2415"/>
        <v>98</v>
      </c>
      <c r="I5752" t="str">
        <f t="shared" si="2416"/>
        <v>UST10Y</v>
      </c>
      <c r="J5752">
        <f t="shared" si="2417"/>
        <v>0.99</v>
      </c>
      <c r="K5752">
        <f t="shared" si="2418"/>
        <v>0.81</v>
      </c>
      <c r="L5752">
        <f t="shared" si="2419"/>
        <v>0.9</v>
      </c>
      <c r="M5752">
        <f t="shared" si="2420"/>
        <v>8.9999999999999969E-2</v>
      </c>
      <c r="N5752">
        <f t="shared" si="2409"/>
        <v>0.17999999999999994</v>
      </c>
      <c r="O5752">
        <f t="shared" si="2421"/>
        <v>0.86</v>
      </c>
      <c r="P5752">
        <f t="shared" si="2422"/>
        <v>-0.44444444444444497</v>
      </c>
      <c r="Q5752" t="str">
        <f t="shared" si="2410"/>
        <v>15.12% | 5.81%</v>
      </c>
      <c r="R5752" t="str">
        <f t="shared" si="2423"/>
        <v>NEUTRAL</v>
      </c>
      <c r="S5752">
        <f t="shared" si="2411"/>
        <v>0</v>
      </c>
    </row>
    <row r="5753" spans="1:19" hidden="1" x14ac:dyDescent="0.25">
      <c r="A5753" s="5" t="str">
        <f t="shared" si="2412"/>
        <v>44155UST2Y</v>
      </c>
      <c r="B5753" s="6" t="s">
        <v>253</v>
      </c>
      <c r="C5753" s="6">
        <v>0.19</v>
      </c>
      <c r="D5753" s="6">
        <v>0.14000000000000001</v>
      </c>
      <c r="E5753" s="6">
        <v>0.18</v>
      </c>
      <c r="F5753" t="str">
        <f t="shared" ref="F5753:F5783" si="2424">UPPER(TEXT(G5753,"ddd"))</f>
        <v>FRI</v>
      </c>
      <c r="G5753" s="1">
        <f t="shared" ref="G5753:G5782" si="2425">DATE(2020,11,20)</f>
        <v>44155</v>
      </c>
      <c r="H5753" s="2">
        <f t="shared" ref="H5753:H5783" ca="1" si="2426">TODAY()-G5753</f>
        <v>98</v>
      </c>
      <c r="I5753" t="str">
        <f t="shared" ref="I5753:I5783" si="2427">TRIM(LEFT(B5753,FIND(" ",B5753,1)))</f>
        <v>UST2Y</v>
      </c>
      <c r="J5753">
        <f t="shared" ref="J5753:J5783" si="2428">C5753</f>
        <v>0.19</v>
      </c>
      <c r="K5753">
        <f t="shared" ref="K5753:K5783" si="2429">D5753</f>
        <v>0.14000000000000001</v>
      </c>
      <c r="L5753">
        <f t="shared" ref="L5753:L5783" si="2430">AVERAGE(J5753:K5753)</f>
        <v>0.16500000000000001</v>
      </c>
      <c r="M5753">
        <f t="shared" ref="M5753:M5783" si="2431">_xlfn.STDEV.P(J5753:K5753)</f>
        <v>2.4999999999999942E-2</v>
      </c>
      <c r="N5753">
        <f t="shared" si="2409"/>
        <v>4.9999999999999989E-2</v>
      </c>
      <c r="O5753">
        <f t="shared" ref="O5753:O5783" si="2432">E5753</f>
        <v>0.18</v>
      </c>
      <c r="P5753">
        <f t="shared" ref="P5753:P5783" si="2433">(O5753-L5753)/M5753</f>
        <v>0.60000000000000075</v>
      </c>
      <c r="Q5753" t="str">
        <f t="shared" si="2410"/>
        <v>5.56% | 22.22%</v>
      </c>
      <c r="R5753" t="str">
        <f t="shared" ref="R5753:R5783" si="2434">MID(B5753,FIND("(",B5753,1)+1,FIND(")",B5753,1)-FIND("(",B5753,1)-1)</f>
        <v>NEUTRAL</v>
      </c>
      <c r="S5753">
        <f t="shared" si="2411"/>
        <v>0</v>
      </c>
    </row>
    <row r="5754" spans="1:19" hidden="1" x14ac:dyDescent="0.25">
      <c r="A5754" s="5" t="str">
        <f t="shared" si="2412"/>
        <v>44155SPX</v>
      </c>
      <c r="B5754" s="6" t="s">
        <v>93</v>
      </c>
      <c r="C5754" s="6">
        <v>3490</v>
      </c>
      <c r="D5754" s="6">
        <v>3635</v>
      </c>
      <c r="E5754" s="6">
        <v>3581</v>
      </c>
      <c r="F5754" t="str">
        <f t="shared" si="2424"/>
        <v>FRI</v>
      </c>
      <c r="G5754" s="1">
        <f t="shared" si="2425"/>
        <v>44155</v>
      </c>
      <c r="H5754" s="2">
        <f t="shared" ca="1" si="2426"/>
        <v>98</v>
      </c>
      <c r="I5754" t="str">
        <f t="shared" si="2427"/>
        <v>SPX</v>
      </c>
      <c r="J5754">
        <f t="shared" si="2428"/>
        <v>3490</v>
      </c>
      <c r="K5754">
        <f t="shared" si="2429"/>
        <v>3635</v>
      </c>
      <c r="L5754">
        <f t="shared" si="2430"/>
        <v>3562.5</v>
      </c>
      <c r="M5754">
        <f t="shared" si="2431"/>
        <v>72.5</v>
      </c>
      <c r="N5754">
        <f t="shared" si="2409"/>
        <v>145</v>
      </c>
      <c r="O5754">
        <f t="shared" si="2432"/>
        <v>3581</v>
      </c>
      <c r="P5754">
        <f t="shared" si="2433"/>
        <v>0.25517241379310346</v>
      </c>
      <c r="Q5754" t="str">
        <f t="shared" si="2410"/>
        <v>2.54% | 1.51%</v>
      </c>
      <c r="R5754" t="str">
        <f t="shared" si="2434"/>
        <v>BULLISH</v>
      </c>
      <c r="S5754">
        <f t="shared" si="2411"/>
        <v>1</v>
      </c>
    </row>
    <row r="5755" spans="1:19" hidden="1" x14ac:dyDescent="0.25">
      <c r="A5755" s="5" t="str">
        <f t="shared" si="2412"/>
        <v>44155RUT</v>
      </c>
      <c r="B5755" s="6" t="s">
        <v>247</v>
      </c>
      <c r="C5755" s="6">
        <v>1693</v>
      </c>
      <c r="D5755" s="6">
        <v>1813</v>
      </c>
      <c r="E5755" s="6">
        <v>1784</v>
      </c>
      <c r="F5755" t="str">
        <f t="shared" si="2424"/>
        <v>FRI</v>
      </c>
      <c r="G5755" s="1">
        <f t="shared" si="2425"/>
        <v>44155</v>
      </c>
      <c r="H5755" s="2">
        <f t="shared" ca="1" si="2426"/>
        <v>98</v>
      </c>
      <c r="I5755" t="str">
        <f t="shared" si="2427"/>
        <v>RUT</v>
      </c>
      <c r="J5755">
        <f t="shared" si="2428"/>
        <v>1693</v>
      </c>
      <c r="K5755">
        <f t="shared" si="2429"/>
        <v>1813</v>
      </c>
      <c r="L5755">
        <f t="shared" si="2430"/>
        <v>1753</v>
      </c>
      <c r="M5755">
        <f t="shared" si="2431"/>
        <v>60</v>
      </c>
      <c r="N5755">
        <f t="shared" si="2409"/>
        <v>120</v>
      </c>
      <c r="O5755">
        <f t="shared" si="2432"/>
        <v>1784</v>
      </c>
      <c r="P5755">
        <f t="shared" si="2433"/>
        <v>0.51666666666666672</v>
      </c>
      <c r="Q5755" t="str">
        <f t="shared" si="2410"/>
        <v>5.1% | 1.63%</v>
      </c>
      <c r="R5755" t="str">
        <f t="shared" si="2434"/>
        <v>BULLISH</v>
      </c>
      <c r="S5755">
        <f t="shared" si="2411"/>
        <v>1</v>
      </c>
    </row>
    <row r="5756" spans="1:19" hidden="1" x14ac:dyDescent="0.25">
      <c r="A5756" s="5" t="str">
        <f t="shared" si="2412"/>
        <v>44155COMPQ</v>
      </c>
      <c r="B5756" s="6" t="s">
        <v>8</v>
      </c>
      <c r="C5756" s="6">
        <v>11556</v>
      </c>
      <c r="D5756" s="6">
        <v>12021</v>
      </c>
      <c r="E5756" s="6">
        <v>11904</v>
      </c>
      <c r="F5756" t="str">
        <f t="shared" si="2424"/>
        <v>FRI</v>
      </c>
      <c r="G5756" s="1">
        <f t="shared" si="2425"/>
        <v>44155</v>
      </c>
      <c r="H5756" s="2">
        <f t="shared" ca="1" si="2426"/>
        <v>98</v>
      </c>
      <c r="I5756" t="str">
        <f t="shared" si="2427"/>
        <v>COMPQ</v>
      </c>
      <c r="J5756">
        <f t="shared" si="2428"/>
        <v>11556</v>
      </c>
      <c r="K5756">
        <f t="shared" si="2429"/>
        <v>12021</v>
      </c>
      <c r="L5756">
        <f t="shared" si="2430"/>
        <v>11788.5</v>
      </c>
      <c r="M5756">
        <f t="shared" si="2431"/>
        <v>232.5</v>
      </c>
      <c r="N5756">
        <f t="shared" si="2409"/>
        <v>465</v>
      </c>
      <c r="O5756">
        <f t="shared" si="2432"/>
        <v>11904</v>
      </c>
      <c r="P5756">
        <f t="shared" si="2433"/>
        <v>0.49677419354838709</v>
      </c>
      <c r="Q5756" t="str">
        <f t="shared" si="2410"/>
        <v>2.92% | 0.98%</v>
      </c>
      <c r="R5756" t="str">
        <f t="shared" si="2434"/>
        <v>BULLISH</v>
      </c>
      <c r="S5756">
        <f t="shared" si="2411"/>
        <v>1</v>
      </c>
    </row>
    <row r="5757" spans="1:19" hidden="1" x14ac:dyDescent="0.25">
      <c r="A5757" s="5" t="str">
        <f t="shared" si="2412"/>
        <v>44155XLK</v>
      </c>
      <c r="B5757" s="6" t="s">
        <v>10</v>
      </c>
      <c r="C5757" s="6">
        <v>118.14</v>
      </c>
      <c r="D5757" s="6">
        <v>123.12</v>
      </c>
      <c r="E5757" s="6">
        <v>121.36</v>
      </c>
      <c r="F5757" t="str">
        <f t="shared" si="2424"/>
        <v>FRI</v>
      </c>
      <c r="G5757" s="1">
        <f t="shared" si="2425"/>
        <v>44155</v>
      </c>
      <c r="H5757" s="2">
        <f t="shared" ca="1" si="2426"/>
        <v>98</v>
      </c>
      <c r="I5757" t="str">
        <f t="shared" si="2427"/>
        <v>XLK</v>
      </c>
      <c r="J5757">
        <f t="shared" si="2428"/>
        <v>118.14</v>
      </c>
      <c r="K5757">
        <f t="shared" si="2429"/>
        <v>123.12</v>
      </c>
      <c r="L5757">
        <f t="shared" si="2430"/>
        <v>120.63</v>
      </c>
      <c r="M5757">
        <f t="shared" si="2431"/>
        <v>2.490000000000002</v>
      </c>
      <c r="N5757">
        <f t="shared" si="2409"/>
        <v>4.980000000000004</v>
      </c>
      <c r="O5757">
        <f t="shared" si="2432"/>
        <v>121.36</v>
      </c>
      <c r="P5757">
        <f t="shared" si="2433"/>
        <v>0.29317269076305358</v>
      </c>
      <c r="Q5757" t="str">
        <f t="shared" si="2410"/>
        <v>2.65% | 1.45%</v>
      </c>
      <c r="R5757" t="str">
        <f t="shared" si="2434"/>
        <v>BULLISH</v>
      </c>
      <c r="S5757">
        <f t="shared" si="2411"/>
        <v>1</v>
      </c>
    </row>
    <row r="5758" spans="1:19" hidden="1" x14ac:dyDescent="0.25">
      <c r="A5758" s="5" t="str">
        <f t="shared" si="2412"/>
        <v>44155XLU</v>
      </c>
      <c r="B5758" s="6" t="s">
        <v>52</v>
      </c>
      <c r="C5758" s="6">
        <v>63.18</v>
      </c>
      <c r="D5758" s="6">
        <v>67.55</v>
      </c>
      <c r="E5758" s="6">
        <v>63.53</v>
      </c>
      <c r="F5758" t="str">
        <f t="shared" si="2424"/>
        <v>FRI</v>
      </c>
      <c r="G5758" s="1">
        <f t="shared" si="2425"/>
        <v>44155</v>
      </c>
      <c r="H5758" s="2">
        <f t="shared" ca="1" si="2426"/>
        <v>98</v>
      </c>
      <c r="I5758" t="str">
        <f t="shared" si="2427"/>
        <v>XLU</v>
      </c>
      <c r="J5758">
        <f t="shared" si="2428"/>
        <v>63.18</v>
      </c>
      <c r="K5758">
        <f t="shared" si="2429"/>
        <v>67.55</v>
      </c>
      <c r="L5758">
        <f t="shared" si="2430"/>
        <v>65.364999999999995</v>
      </c>
      <c r="M5758">
        <f t="shared" si="2431"/>
        <v>2.1849999999999987</v>
      </c>
      <c r="N5758">
        <f t="shared" si="2409"/>
        <v>4.3699999999999974</v>
      </c>
      <c r="O5758">
        <f t="shared" si="2432"/>
        <v>63.53</v>
      </c>
      <c r="P5758">
        <f t="shared" si="2433"/>
        <v>-0.83981693363844157</v>
      </c>
      <c r="Q5758" t="str">
        <f t="shared" si="2410"/>
        <v>0.55% | 6.33%</v>
      </c>
      <c r="R5758" t="str">
        <f t="shared" si="2434"/>
        <v>BULLISH</v>
      </c>
      <c r="S5758">
        <f t="shared" si="2411"/>
        <v>1</v>
      </c>
    </row>
    <row r="5759" spans="1:19" hidden="1" x14ac:dyDescent="0.25">
      <c r="A5759" s="5" t="str">
        <f t="shared" si="2412"/>
        <v>44155XLE</v>
      </c>
      <c r="B5759" s="6" t="s">
        <v>250</v>
      </c>
      <c r="C5759" s="6">
        <v>32.229999999999997</v>
      </c>
      <c r="D5759" s="6">
        <v>38.03</v>
      </c>
      <c r="E5759" s="6">
        <v>36</v>
      </c>
      <c r="F5759" t="str">
        <f t="shared" si="2424"/>
        <v>FRI</v>
      </c>
      <c r="G5759" s="1">
        <f t="shared" si="2425"/>
        <v>44155</v>
      </c>
      <c r="H5759" s="2">
        <f t="shared" ca="1" si="2426"/>
        <v>98</v>
      </c>
      <c r="I5759" t="str">
        <f t="shared" si="2427"/>
        <v>XLE</v>
      </c>
      <c r="J5759">
        <f t="shared" si="2428"/>
        <v>32.229999999999997</v>
      </c>
      <c r="K5759">
        <f t="shared" si="2429"/>
        <v>38.03</v>
      </c>
      <c r="L5759">
        <f t="shared" si="2430"/>
        <v>35.129999999999995</v>
      </c>
      <c r="M5759">
        <f t="shared" si="2431"/>
        <v>2.9000000000000017</v>
      </c>
      <c r="N5759">
        <f t="shared" si="2409"/>
        <v>5.8000000000000043</v>
      </c>
      <c r="O5759">
        <f t="shared" si="2432"/>
        <v>36</v>
      </c>
      <c r="P5759">
        <f t="shared" si="2433"/>
        <v>0.30000000000000138</v>
      </c>
      <c r="Q5759" t="str">
        <f t="shared" si="2410"/>
        <v>10.47% | 5.64%</v>
      </c>
      <c r="R5759" t="str">
        <f t="shared" si="2434"/>
        <v>BULLISH</v>
      </c>
      <c r="S5759">
        <f t="shared" si="2411"/>
        <v>1</v>
      </c>
    </row>
    <row r="5760" spans="1:19" hidden="1" x14ac:dyDescent="0.25">
      <c r="A5760" s="5" t="str">
        <f t="shared" si="2412"/>
        <v>44155GDX</v>
      </c>
      <c r="B5760" s="6" t="s">
        <v>254</v>
      </c>
      <c r="C5760" s="6">
        <v>34.96</v>
      </c>
      <c r="D5760" s="6">
        <v>38.24</v>
      </c>
      <c r="E5760" s="6">
        <v>35.520000000000003</v>
      </c>
      <c r="F5760" t="str">
        <f t="shared" si="2424"/>
        <v>FRI</v>
      </c>
      <c r="G5760" s="1">
        <f t="shared" si="2425"/>
        <v>44155</v>
      </c>
      <c r="H5760" s="2">
        <f t="shared" ca="1" si="2426"/>
        <v>98</v>
      </c>
      <c r="I5760" t="str">
        <f t="shared" si="2427"/>
        <v>GDX</v>
      </c>
      <c r="J5760">
        <f t="shared" si="2428"/>
        <v>34.96</v>
      </c>
      <c r="K5760">
        <f t="shared" si="2429"/>
        <v>38.24</v>
      </c>
      <c r="L5760">
        <f t="shared" si="2430"/>
        <v>36.6</v>
      </c>
      <c r="M5760">
        <f t="shared" si="2431"/>
        <v>1.6400000000000006</v>
      </c>
      <c r="N5760">
        <f t="shared" si="2409"/>
        <v>3.2800000000000011</v>
      </c>
      <c r="O5760">
        <f t="shared" si="2432"/>
        <v>35.520000000000003</v>
      </c>
      <c r="P5760">
        <f t="shared" si="2433"/>
        <v>-0.65853658536585236</v>
      </c>
      <c r="Q5760" t="str">
        <f t="shared" si="2410"/>
        <v>1.58% | 7.66%</v>
      </c>
      <c r="R5760" t="str">
        <f t="shared" si="2434"/>
        <v>BEARISH</v>
      </c>
      <c r="S5760">
        <f t="shared" si="2411"/>
        <v>-1</v>
      </c>
    </row>
    <row r="5761" spans="1:19" hidden="1" x14ac:dyDescent="0.25">
      <c r="A5761" s="5" t="str">
        <f t="shared" si="2412"/>
        <v>44155SSEC</v>
      </c>
      <c r="B5761" s="6" t="s">
        <v>104</v>
      </c>
      <c r="C5761" s="6">
        <v>3310</v>
      </c>
      <c r="D5761" s="6">
        <v>3399</v>
      </c>
      <c r="E5761" s="6">
        <v>3377</v>
      </c>
      <c r="F5761" t="str">
        <f t="shared" si="2424"/>
        <v>FRI</v>
      </c>
      <c r="G5761" s="1">
        <f t="shared" si="2425"/>
        <v>44155</v>
      </c>
      <c r="H5761" s="2">
        <f t="shared" ca="1" si="2426"/>
        <v>98</v>
      </c>
      <c r="I5761" t="str">
        <f t="shared" si="2427"/>
        <v>SSEC</v>
      </c>
      <c r="J5761">
        <f t="shared" si="2428"/>
        <v>3310</v>
      </c>
      <c r="K5761">
        <f t="shared" si="2429"/>
        <v>3399</v>
      </c>
      <c r="L5761">
        <f t="shared" si="2430"/>
        <v>3354.5</v>
      </c>
      <c r="M5761">
        <f t="shared" si="2431"/>
        <v>44.5</v>
      </c>
      <c r="N5761">
        <f t="shared" si="2409"/>
        <v>89</v>
      </c>
      <c r="O5761">
        <f t="shared" si="2432"/>
        <v>3377</v>
      </c>
      <c r="P5761">
        <f t="shared" si="2433"/>
        <v>0.5056179775280899</v>
      </c>
      <c r="Q5761" t="str">
        <f t="shared" si="2410"/>
        <v>1.98% | 0.65%</v>
      </c>
      <c r="R5761" t="str">
        <f t="shared" si="2434"/>
        <v>BULLISH</v>
      </c>
      <c r="S5761">
        <f t="shared" si="2411"/>
        <v>1</v>
      </c>
    </row>
    <row r="5762" spans="1:19" hidden="1" x14ac:dyDescent="0.25">
      <c r="A5762" s="5" t="str">
        <f t="shared" si="2412"/>
        <v>44155NIKK</v>
      </c>
      <c r="B5762" s="6" t="s">
        <v>91</v>
      </c>
      <c r="C5762" s="6">
        <v>24720</v>
      </c>
      <c r="D5762" s="6">
        <v>26252</v>
      </c>
      <c r="E5762" s="6">
        <v>25527</v>
      </c>
      <c r="F5762" t="str">
        <f t="shared" si="2424"/>
        <v>FRI</v>
      </c>
      <c r="G5762" s="1">
        <f t="shared" si="2425"/>
        <v>44155</v>
      </c>
      <c r="H5762" s="2">
        <f t="shared" ca="1" si="2426"/>
        <v>98</v>
      </c>
      <c r="I5762" t="str">
        <f t="shared" si="2427"/>
        <v>NIKK</v>
      </c>
      <c r="J5762">
        <f t="shared" si="2428"/>
        <v>24720</v>
      </c>
      <c r="K5762">
        <f t="shared" si="2429"/>
        <v>26252</v>
      </c>
      <c r="L5762">
        <f t="shared" si="2430"/>
        <v>25486</v>
      </c>
      <c r="M5762">
        <f t="shared" si="2431"/>
        <v>766</v>
      </c>
      <c r="N5762">
        <f t="shared" si="2409"/>
        <v>1532</v>
      </c>
      <c r="O5762">
        <f t="shared" si="2432"/>
        <v>25527</v>
      </c>
      <c r="P5762">
        <f t="shared" si="2433"/>
        <v>5.3524804177545689E-2</v>
      </c>
      <c r="Q5762" t="str">
        <f t="shared" si="2410"/>
        <v>3.16% | 2.84%</v>
      </c>
      <c r="R5762" t="str">
        <f t="shared" si="2434"/>
        <v>BULLISH</v>
      </c>
      <c r="S5762">
        <f t="shared" si="2411"/>
        <v>1</v>
      </c>
    </row>
    <row r="5763" spans="1:19" hidden="1" x14ac:dyDescent="0.25">
      <c r="A5763" s="5" t="str">
        <f t="shared" si="2412"/>
        <v>44155DAX</v>
      </c>
      <c r="B5763" s="6" t="s">
        <v>16</v>
      </c>
      <c r="C5763" s="6">
        <v>12675</v>
      </c>
      <c r="D5763" s="6">
        <v>13266</v>
      </c>
      <c r="E5763" s="6">
        <v>13086</v>
      </c>
      <c r="F5763" t="str">
        <f t="shared" si="2424"/>
        <v>FRI</v>
      </c>
      <c r="G5763" s="1">
        <f t="shared" si="2425"/>
        <v>44155</v>
      </c>
      <c r="H5763" s="2">
        <f t="shared" ca="1" si="2426"/>
        <v>98</v>
      </c>
      <c r="I5763" t="str">
        <f t="shared" si="2427"/>
        <v>DAX</v>
      </c>
      <c r="J5763">
        <f t="shared" si="2428"/>
        <v>12675</v>
      </c>
      <c r="K5763">
        <f t="shared" si="2429"/>
        <v>13266</v>
      </c>
      <c r="L5763">
        <f t="shared" si="2430"/>
        <v>12970.5</v>
      </c>
      <c r="M5763">
        <f t="shared" si="2431"/>
        <v>295.5</v>
      </c>
      <c r="N5763">
        <f t="shared" ref="N5763:N5826" si="2435">ABS(K5763-J5763)</f>
        <v>591</v>
      </c>
      <c r="O5763">
        <f t="shared" si="2432"/>
        <v>13086</v>
      </c>
      <c r="P5763">
        <f t="shared" si="2433"/>
        <v>0.39086294416243655</v>
      </c>
      <c r="Q5763" t="str">
        <f t="shared" ref="Q5763:Q5826" si="2436">ROUND(ABS(100*(O5763-J5763)/O5763),2)&amp;"% | "&amp;ROUND(ABS(100*(K5763-O5763)/O5763),2)&amp;"%"</f>
        <v>3.14% | 1.38%</v>
      </c>
      <c r="R5763" t="str">
        <f t="shared" si="2434"/>
        <v>BEARISH</v>
      </c>
      <c r="S5763">
        <f t="shared" ref="S5763:S5783" si="2437">IF(R5763="BEARISH",-1,IF(R5763="NEUTRAL",0,IF(R5763="BULLISH",1,99)))</f>
        <v>-1</v>
      </c>
    </row>
    <row r="5764" spans="1:19" hidden="1" x14ac:dyDescent="0.25">
      <c r="A5764" s="5" t="str">
        <f t="shared" si="2412"/>
        <v>44155VIX</v>
      </c>
      <c r="B5764" s="6" t="s">
        <v>96</v>
      </c>
      <c r="C5764" s="6">
        <v>21.4</v>
      </c>
      <c r="D5764" s="6">
        <v>27.65</v>
      </c>
      <c r="E5764" s="6">
        <v>23.11</v>
      </c>
      <c r="F5764" t="str">
        <f t="shared" si="2424"/>
        <v>FRI</v>
      </c>
      <c r="G5764" s="1">
        <f t="shared" si="2425"/>
        <v>44155</v>
      </c>
      <c r="H5764" s="2">
        <f t="shared" ca="1" si="2426"/>
        <v>98</v>
      </c>
      <c r="I5764" t="str">
        <f t="shared" si="2427"/>
        <v>VIX</v>
      </c>
      <c r="J5764">
        <f t="shared" si="2428"/>
        <v>21.4</v>
      </c>
      <c r="K5764">
        <f t="shared" si="2429"/>
        <v>27.65</v>
      </c>
      <c r="L5764">
        <f t="shared" si="2430"/>
        <v>24.524999999999999</v>
      </c>
      <c r="M5764">
        <f t="shared" si="2431"/>
        <v>3.125</v>
      </c>
      <c r="N5764">
        <f t="shared" si="2435"/>
        <v>6.25</v>
      </c>
      <c r="O5764">
        <f t="shared" si="2432"/>
        <v>23.11</v>
      </c>
      <c r="P5764">
        <f t="shared" si="2433"/>
        <v>-0.4527999999999997</v>
      </c>
      <c r="Q5764" t="str">
        <f t="shared" si="2436"/>
        <v>7.4% | 19.65%</v>
      </c>
      <c r="R5764" t="str">
        <f t="shared" si="2434"/>
        <v>BEARISH</v>
      </c>
      <c r="S5764">
        <f t="shared" si="2437"/>
        <v>-1</v>
      </c>
    </row>
    <row r="5765" spans="1:19" hidden="1" x14ac:dyDescent="0.25">
      <c r="A5765" s="5" t="str">
        <f t="shared" si="2412"/>
        <v>44155USD</v>
      </c>
      <c r="B5765" s="6" t="s">
        <v>94</v>
      </c>
      <c r="C5765" s="6">
        <v>92.04</v>
      </c>
      <c r="D5765" s="6">
        <v>93.16</v>
      </c>
      <c r="E5765" s="6">
        <v>92.28</v>
      </c>
      <c r="F5765" t="str">
        <f t="shared" si="2424"/>
        <v>FRI</v>
      </c>
      <c r="G5765" s="1">
        <f t="shared" si="2425"/>
        <v>44155</v>
      </c>
      <c r="H5765" s="2">
        <f t="shared" ca="1" si="2426"/>
        <v>98</v>
      </c>
      <c r="I5765" t="str">
        <f t="shared" si="2427"/>
        <v>USD</v>
      </c>
      <c r="J5765">
        <f t="shared" si="2428"/>
        <v>92.04</v>
      </c>
      <c r="K5765">
        <f t="shared" si="2429"/>
        <v>93.16</v>
      </c>
      <c r="L5765">
        <f t="shared" si="2430"/>
        <v>92.6</v>
      </c>
      <c r="M5765">
        <f t="shared" si="2431"/>
        <v>0.55999999999999517</v>
      </c>
      <c r="N5765">
        <f t="shared" si="2435"/>
        <v>1.1199999999999903</v>
      </c>
      <c r="O5765">
        <f t="shared" si="2432"/>
        <v>92.28</v>
      </c>
      <c r="P5765">
        <f t="shared" si="2433"/>
        <v>-0.57142857142856418</v>
      </c>
      <c r="Q5765" t="str">
        <f t="shared" si="2436"/>
        <v>0.26% | 0.95%</v>
      </c>
      <c r="R5765" t="str">
        <f t="shared" si="2434"/>
        <v>BEARISH</v>
      </c>
      <c r="S5765">
        <f t="shared" si="2437"/>
        <v>-1</v>
      </c>
    </row>
    <row r="5766" spans="1:19" hidden="1" x14ac:dyDescent="0.25">
      <c r="A5766" s="5" t="str">
        <f t="shared" si="2412"/>
        <v>44155EUR/USD</v>
      </c>
      <c r="B5766" s="6" t="s">
        <v>99</v>
      </c>
      <c r="C5766" s="6">
        <v>1.1739999999999999</v>
      </c>
      <c r="D5766" s="6">
        <v>1.19</v>
      </c>
      <c r="E5766" s="6">
        <v>1.1879999999999999</v>
      </c>
      <c r="F5766" t="str">
        <f t="shared" si="2424"/>
        <v>FRI</v>
      </c>
      <c r="G5766" s="1">
        <f t="shared" si="2425"/>
        <v>44155</v>
      </c>
      <c r="H5766" s="2">
        <f t="shared" ca="1" si="2426"/>
        <v>98</v>
      </c>
      <c r="I5766" t="str">
        <f t="shared" si="2427"/>
        <v>EUR/USD</v>
      </c>
      <c r="J5766">
        <f t="shared" si="2428"/>
        <v>1.1739999999999999</v>
      </c>
      <c r="K5766">
        <f t="shared" si="2429"/>
        <v>1.19</v>
      </c>
      <c r="L5766">
        <f t="shared" si="2430"/>
        <v>1.1819999999999999</v>
      </c>
      <c r="M5766">
        <f t="shared" si="2431"/>
        <v>8.0000000000000071E-3</v>
      </c>
      <c r="N5766">
        <f t="shared" si="2435"/>
        <v>1.6000000000000014E-2</v>
      </c>
      <c r="O5766">
        <f t="shared" si="2432"/>
        <v>1.1879999999999999</v>
      </c>
      <c r="P5766">
        <f t="shared" si="2433"/>
        <v>0.75</v>
      </c>
      <c r="Q5766" t="str">
        <f t="shared" si="2436"/>
        <v>1.18% | 0.17%</v>
      </c>
      <c r="R5766" t="str">
        <f t="shared" si="2434"/>
        <v>BULLISH</v>
      </c>
      <c r="S5766">
        <f t="shared" si="2437"/>
        <v>1</v>
      </c>
    </row>
    <row r="5767" spans="1:19" hidden="1" x14ac:dyDescent="0.25">
      <c r="A5767" s="5" t="str">
        <f t="shared" ref="A5767:A5830" si="2438">G5767&amp;I5767</f>
        <v>44155USD/JPY</v>
      </c>
      <c r="B5767" s="6" t="s">
        <v>20</v>
      </c>
      <c r="C5767" s="6">
        <v>103.22</v>
      </c>
      <c r="D5767" s="6">
        <v>105.42</v>
      </c>
      <c r="E5767" s="6">
        <v>103.75</v>
      </c>
      <c r="F5767" t="str">
        <f t="shared" si="2424"/>
        <v>FRI</v>
      </c>
      <c r="G5767" s="1">
        <f t="shared" si="2425"/>
        <v>44155</v>
      </c>
      <c r="H5767" s="2">
        <f t="shared" ca="1" si="2426"/>
        <v>98</v>
      </c>
      <c r="I5767" t="str">
        <f t="shared" si="2427"/>
        <v>USD/JPY</v>
      </c>
      <c r="J5767">
        <f t="shared" si="2428"/>
        <v>103.22</v>
      </c>
      <c r="K5767">
        <f t="shared" si="2429"/>
        <v>105.42</v>
      </c>
      <c r="L5767">
        <f t="shared" si="2430"/>
        <v>104.32</v>
      </c>
      <c r="M5767">
        <f t="shared" si="2431"/>
        <v>1.1000000000000014</v>
      </c>
      <c r="N5767">
        <f t="shared" si="2435"/>
        <v>2.2000000000000028</v>
      </c>
      <c r="O5767">
        <f t="shared" si="2432"/>
        <v>103.75</v>
      </c>
      <c r="P5767">
        <f t="shared" si="2433"/>
        <v>-0.5181818181818113</v>
      </c>
      <c r="Q5767" t="str">
        <f t="shared" si="2436"/>
        <v>0.51% | 1.61%</v>
      </c>
      <c r="R5767" t="str">
        <f t="shared" si="2434"/>
        <v>BEARISH</v>
      </c>
      <c r="S5767">
        <f t="shared" si="2437"/>
        <v>-1</v>
      </c>
    </row>
    <row r="5768" spans="1:19" hidden="1" x14ac:dyDescent="0.25">
      <c r="A5768" s="5" t="str">
        <f t="shared" si="2438"/>
        <v>44155GBP/USD</v>
      </c>
      <c r="B5768" s="6" t="s">
        <v>102</v>
      </c>
      <c r="C5768" s="6">
        <v>1.3109999999999999</v>
      </c>
      <c r="D5768" s="6">
        <v>1.333</v>
      </c>
      <c r="E5768" s="6">
        <v>1.327</v>
      </c>
      <c r="F5768" t="str">
        <f t="shared" si="2424"/>
        <v>FRI</v>
      </c>
      <c r="G5768" s="1">
        <f t="shared" si="2425"/>
        <v>44155</v>
      </c>
      <c r="H5768" s="2">
        <f t="shared" ca="1" si="2426"/>
        <v>98</v>
      </c>
      <c r="I5768" t="str">
        <f t="shared" si="2427"/>
        <v>GBP/USD</v>
      </c>
      <c r="J5768">
        <f t="shared" si="2428"/>
        <v>1.3109999999999999</v>
      </c>
      <c r="K5768">
        <f t="shared" si="2429"/>
        <v>1.333</v>
      </c>
      <c r="L5768">
        <f t="shared" si="2430"/>
        <v>1.3220000000000001</v>
      </c>
      <c r="M5768">
        <f t="shared" si="2431"/>
        <v>1.100000000000001E-2</v>
      </c>
      <c r="N5768">
        <f t="shared" si="2435"/>
        <v>2.200000000000002E-2</v>
      </c>
      <c r="O5768">
        <f t="shared" si="2432"/>
        <v>1.327</v>
      </c>
      <c r="P5768">
        <f t="shared" si="2433"/>
        <v>0.45454545454544443</v>
      </c>
      <c r="Q5768" t="str">
        <f t="shared" si="2436"/>
        <v>1.21% | 0.45%</v>
      </c>
      <c r="R5768" t="str">
        <f t="shared" si="2434"/>
        <v>BULLISH</v>
      </c>
      <c r="S5768">
        <f t="shared" si="2437"/>
        <v>1</v>
      </c>
    </row>
    <row r="5769" spans="1:19" hidden="1" x14ac:dyDescent="0.25">
      <c r="A5769" s="5" t="str">
        <f t="shared" si="2438"/>
        <v>44155CAD/USD</v>
      </c>
      <c r="B5769" s="6" t="s">
        <v>244</v>
      </c>
      <c r="C5769" s="6">
        <v>0.75</v>
      </c>
      <c r="D5769" s="6">
        <v>0.77</v>
      </c>
      <c r="E5769" s="6">
        <v>0.76</v>
      </c>
      <c r="F5769" t="str">
        <f t="shared" si="2424"/>
        <v>FRI</v>
      </c>
      <c r="G5769" s="1">
        <f t="shared" si="2425"/>
        <v>44155</v>
      </c>
      <c r="H5769" s="2">
        <f t="shared" ca="1" si="2426"/>
        <v>98</v>
      </c>
      <c r="I5769" t="str">
        <f t="shared" si="2427"/>
        <v>CAD/USD</v>
      </c>
      <c r="J5769">
        <f t="shared" si="2428"/>
        <v>0.75</v>
      </c>
      <c r="K5769">
        <f t="shared" si="2429"/>
        <v>0.77</v>
      </c>
      <c r="L5769">
        <f t="shared" si="2430"/>
        <v>0.76</v>
      </c>
      <c r="M5769">
        <f t="shared" si="2431"/>
        <v>1.0000000000000009E-2</v>
      </c>
      <c r="N5769">
        <f t="shared" si="2435"/>
        <v>2.0000000000000018E-2</v>
      </c>
      <c r="O5769">
        <f t="shared" si="2432"/>
        <v>0.76</v>
      </c>
      <c r="P5769">
        <f t="shared" si="2433"/>
        <v>0</v>
      </c>
      <c r="Q5769" t="str">
        <f t="shared" si="2436"/>
        <v>1.32% | 1.32%</v>
      </c>
      <c r="R5769" t="str">
        <f t="shared" si="2434"/>
        <v>BULLISH</v>
      </c>
      <c r="S5769">
        <f t="shared" si="2437"/>
        <v>1</v>
      </c>
    </row>
    <row r="5770" spans="1:19" hidden="1" x14ac:dyDescent="0.25">
      <c r="A5770" s="5" t="str">
        <f t="shared" si="2438"/>
        <v>44155USD/CHF</v>
      </c>
      <c r="B5770" s="6" t="s">
        <v>76</v>
      </c>
      <c r="C5770" s="6">
        <v>0.9</v>
      </c>
      <c r="D5770" s="6">
        <v>0.92</v>
      </c>
      <c r="E5770" s="6">
        <v>0.91</v>
      </c>
      <c r="F5770" t="str">
        <f t="shared" si="2424"/>
        <v>FRI</v>
      </c>
      <c r="G5770" s="1">
        <f t="shared" si="2425"/>
        <v>44155</v>
      </c>
      <c r="H5770" s="2">
        <f t="shared" ca="1" si="2426"/>
        <v>98</v>
      </c>
      <c r="I5770" t="str">
        <f t="shared" si="2427"/>
        <v>USD/CHF</v>
      </c>
      <c r="J5770">
        <f t="shared" si="2428"/>
        <v>0.9</v>
      </c>
      <c r="K5770">
        <f t="shared" si="2429"/>
        <v>0.92</v>
      </c>
      <c r="L5770">
        <f t="shared" si="2430"/>
        <v>0.91</v>
      </c>
      <c r="M5770">
        <f t="shared" si="2431"/>
        <v>1.0000000000000009E-2</v>
      </c>
      <c r="N5770">
        <f t="shared" si="2435"/>
        <v>2.0000000000000018E-2</v>
      </c>
      <c r="O5770">
        <f t="shared" si="2432"/>
        <v>0.91</v>
      </c>
      <c r="P5770">
        <f t="shared" si="2433"/>
        <v>0</v>
      </c>
      <c r="Q5770" t="str">
        <f t="shared" si="2436"/>
        <v>1.1% | 1.1%</v>
      </c>
      <c r="R5770" t="str">
        <f t="shared" si="2434"/>
        <v>BEARISH</v>
      </c>
      <c r="S5770">
        <f t="shared" si="2437"/>
        <v>-1</v>
      </c>
    </row>
    <row r="5771" spans="1:19" hidden="1" x14ac:dyDescent="0.25">
      <c r="A5771" s="5" t="str">
        <f t="shared" si="2438"/>
        <v>44155WTIC</v>
      </c>
      <c r="B5771" s="6" t="s">
        <v>158</v>
      </c>
      <c r="C5771" s="6">
        <v>39.729999999999997</v>
      </c>
      <c r="D5771" s="6">
        <v>42.63</v>
      </c>
      <c r="E5771" s="6">
        <v>41.9</v>
      </c>
      <c r="F5771" t="str">
        <f t="shared" si="2424"/>
        <v>FRI</v>
      </c>
      <c r="G5771" s="1">
        <f t="shared" si="2425"/>
        <v>44155</v>
      </c>
      <c r="H5771" s="2">
        <f t="shared" ca="1" si="2426"/>
        <v>98</v>
      </c>
      <c r="I5771" t="str">
        <f t="shared" si="2427"/>
        <v>WTIC</v>
      </c>
      <c r="J5771">
        <f t="shared" si="2428"/>
        <v>39.729999999999997</v>
      </c>
      <c r="K5771">
        <f t="shared" si="2429"/>
        <v>42.63</v>
      </c>
      <c r="L5771">
        <f t="shared" si="2430"/>
        <v>41.18</v>
      </c>
      <c r="M5771">
        <f t="shared" si="2431"/>
        <v>1.4500000000000028</v>
      </c>
      <c r="N5771">
        <f t="shared" si="2435"/>
        <v>2.9000000000000057</v>
      </c>
      <c r="O5771">
        <f t="shared" si="2432"/>
        <v>41.9</v>
      </c>
      <c r="P5771">
        <f t="shared" si="2433"/>
        <v>0.49655172413792925</v>
      </c>
      <c r="Q5771" t="str">
        <f t="shared" si="2436"/>
        <v>5.18% | 1.74%</v>
      </c>
      <c r="R5771" t="str">
        <f t="shared" si="2434"/>
        <v>BULLISH</v>
      </c>
      <c r="S5771">
        <f t="shared" si="2437"/>
        <v>1</v>
      </c>
    </row>
    <row r="5772" spans="1:19" hidden="1" x14ac:dyDescent="0.25">
      <c r="A5772" s="5" t="str">
        <f t="shared" si="2438"/>
        <v>44155NATGAS</v>
      </c>
      <c r="B5772" s="6" t="s">
        <v>89</v>
      </c>
      <c r="C5772" s="6">
        <v>2.54</v>
      </c>
      <c r="D5772" s="6">
        <v>3.15</v>
      </c>
      <c r="E5772" s="6">
        <v>2.59</v>
      </c>
      <c r="F5772" t="str">
        <f t="shared" si="2424"/>
        <v>FRI</v>
      </c>
      <c r="G5772" s="1">
        <f t="shared" si="2425"/>
        <v>44155</v>
      </c>
      <c r="H5772" s="2">
        <f t="shared" ca="1" si="2426"/>
        <v>98</v>
      </c>
      <c r="I5772" t="str">
        <f t="shared" si="2427"/>
        <v>NATGAS</v>
      </c>
      <c r="J5772">
        <f t="shared" si="2428"/>
        <v>2.54</v>
      </c>
      <c r="K5772">
        <f t="shared" si="2429"/>
        <v>3.15</v>
      </c>
      <c r="L5772">
        <f t="shared" si="2430"/>
        <v>2.8449999999999998</v>
      </c>
      <c r="M5772">
        <f t="shared" si="2431"/>
        <v>0.30500000000000133</v>
      </c>
      <c r="N5772">
        <f t="shared" si="2435"/>
        <v>0.60999999999999988</v>
      </c>
      <c r="O5772">
        <f t="shared" si="2432"/>
        <v>2.59</v>
      </c>
      <c r="P5772">
        <f t="shared" si="2433"/>
        <v>-0.83606557377048785</v>
      </c>
      <c r="Q5772" t="str">
        <f t="shared" si="2436"/>
        <v>1.93% | 21.62%</v>
      </c>
      <c r="R5772" t="str">
        <f t="shared" si="2434"/>
        <v>BULLISH</v>
      </c>
      <c r="S5772">
        <f t="shared" si="2437"/>
        <v>1</v>
      </c>
    </row>
    <row r="5773" spans="1:19" hidden="1" x14ac:dyDescent="0.25">
      <c r="A5773" s="5" t="str">
        <f t="shared" si="2438"/>
        <v>44155GOLD</v>
      </c>
      <c r="B5773" s="6" t="s">
        <v>85</v>
      </c>
      <c r="C5773" s="6">
        <v>1840</v>
      </c>
      <c r="D5773" s="6">
        <v>1894</v>
      </c>
      <c r="E5773" s="6">
        <v>1861</v>
      </c>
      <c r="F5773" t="str">
        <f t="shared" si="2424"/>
        <v>FRI</v>
      </c>
      <c r="G5773" s="1">
        <f t="shared" si="2425"/>
        <v>44155</v>
      </c>
      <c r="H5773" s="2">
        <f t="shared" ca="1" si="2426"/>
        <v>98</v>
      </c>
      <c r="I5773" t="str">
        <f t="shared" si="2427"/>
        <v>GOLD</v>
      </c>
      <c r="J5773">
        <f t="shared" si="2428"/>
        <v>1840</v>
      </c>
      <c r="K5773">
        <f t="shared" si="2429"/>
        <v>1894</v>
      </c>
      <c r="L5773">
        <f t="shared" si="2430"/>
        <v>1867</v>
      </c>
      <c r="M5773">
        <f t="shared" si="2431"/>
        <v>27</v>
      </c>
      <c r="N5773">
        <f t="shared" si="2435"/>
        <v>54</v>
      </c>
      <c r="O5773">
        <f t="shared" si="2432"/>
        <v>1861</v>
      </c>
      <c r="P5773">
        <f t="shared" si="2433"/>
        <v>-0.22222222222222221</v>
      </c>
      <c r="Q5773" t="str">
        <f t="shared" si="2436"/>
        <v>1.13% | 1.77%</v>
      </c>
      <c r="R5773" t="str">
        <f t="shared" si="2434"/>
        <v>BEARISH</v>
      </c>
      <c r="S5773">
        <f t="shared" si="2437"/>
        <v>-1</v>
      </c>
    </row>
    <row r="5774" spans="1:19" hidden="1" x14ac:dyDescent="0.25">
      <c r="A5774" s="5" t="str">
        <f t="shared" si="2438"/>
        <v>44155COPPER</v>
      </c>
      <c r="B5774" s="6" t="s">
        <v>100</v>
      </c>
      <c r="C5774" s="6">
        <v>3.12</v>
      </c>
      <c r="D5774" s="6">
        <v>3.3</v>
      </c>
      <c r="E5774" s="6">
        <v>3.2</v>
      </c>
      <c r="F5774" t="str">
        <f t="shared" si="2424"/>
        <v>FRI</v>
      </c>
      <c r="G5774" s="1">
        <f t="shared" si="2425"/>
        <v>44155</v>
      </c>
      <c r="H5774" s="2">
        <f t="shared" ca="1" si="2426"/>
        <v>98</v>
      </c>
      <c r="I5774" t="str">
        <f t="shared" si="2427"/>
        <v>COPPER</v>
      </c>
      <c r="J5774">
        <f t="shared" si="2428"/>
        <v>3.12</v>
      </c>
      <c r="K5774">
        <f t="shared" si="2429"/>
        <v>3.3</v>
      </c>
      <c r="L5774">
        <f t="shared" si="2430"/>
        <v>3.21</v>
      </c>
      <c r="M5774">
        <f t="shared" si="2431"/>
        <v>8.9999999999999858E-2</v>
      </c>
      <c r="N5774">
        <f t="shared" si="2435"/>
        <v>0.17999999999999972</v>
      </c>
      <c r="O5774">
        <f t="shared" si="2432"/>
        <v>3.2</v>
      </c>
      <c r="P5774">
        <f t="shared" si="2433"/>
        <v>-0.11111111111110891</v>
      </c>
      <c r="Q5774" t="str">
        <f t="shared" si="2436"/>
        <v>2.5% | 3.12%</v>
      </c>
      <c r="R5774" t="str">
        <f t="shared" si="2434"/>
        <v>BULLISH</v>
      </c>
      <c r="S5774">
        <f t="shared" si="2437"/>
        <v>1</v>
      </c>
    </row>
    <row r="5775" spans="1:19" hidden="1" x14ac:dyDescent="0.25">
      <c r="A5775" s="5" t="str">
        <f t="shared" si="2438"/>
        <v>44155MSFT</v>
      </c>
      <c r="B5775" s="6" t="s">
        <v>27</v>
      </c>
      <c r="C5775" s="6">
        <v>208</v>
      </c>
      <c r="D5775" s="6">
        <v>220</v>
      </c>
      <c r="E5775" s="6">
        <v>212</v>
      </c>
      <c r="F5775" t="str">
        <f t="shared" si="2424"/>
        <v>FRI</v>
      </c>
      <c r="G5775" s="1">
        <f t="shared" si="2425"/>
        <v>44155</v>
      </c>
      <c r="H5775" s="2">
        <f t="shared" ca="1" si="2426"/>
        <v>98</v>
      </c>
      <c r="I5775" t="str">
        <f t="shared" si="2427"/>
        <v>MSFT</v>
      </c>
      <c r="J5775">
        <f t="shared" si="2428"/>
        <v>208</v>
      </c>
      <c r="K5775">
        <f t="shared" si="2429"/>
        <v>220</v>
      </c>
      <c r="L5775">
        <f t="shared" si="2430"/>
        <v>214</v>
      </c>
      <c r="M5775">
        <f t="shared" si="2431"/>
        <v>6</v>
      </c>
      <c r="N5775">
        <f t="shared" si="2435"/>
        <v>12</v>
      </c>
      <c r="O5775">
        <f t="shared" si="2432"/>
        <v>212</v>
      </c>
      <c r="P5775">
        <f t="shared" si="2433"/>
        <v>-0.33333333333333331</v>
      </c>
      <c r="Q5775" t="str">
        <f t="shared" si="2436"/>
        <v>1.89% | 3.77%</v>
      </c>
      <c r="R5775" t="str">
        <f t="shared" si="2434"/>
        <v>BULLISH</v>
      </c>
      <c r="S5775">
        <f t="shared" si="2437"/>
        <v>1</v>
      </c>
    </row>
    <row r="5776" spans="1:19" hidden="1" x14ac:dyDescent="0.25">
      <c r="A5776" s="5" t="str">
        <f t="shared" si="2438"/>
        <v>44155AAPL</v>
      </c>
      <c r="B5776" s="6" t="s">
        <v>28</v>
      </c>
      <c r="C5776" s="6">
        <v>115</v>
      </c>
      <c r="D5776" s="6">
        <v>122</v>
      </c>
      <c r="E5776" s="6">
        <v>118</v>
      </c>
      <c r="F5776" t="str">
        <f t="shared" si="2424"/>
        <v>FRI</v>
      </c>
      <c r="G5776" s="1">
        <f t="shared" si="2425"/>
        <v>44155</v>
      </c>
      <c r="H5776" s="2">
        <f t="shared" ca="1" si="2426"/>
        <v>98</v>
      </c>
      <c r="I5776" t="str">
        <f t="shared" si="2427"/>
        <v>AAPL</v>
      </c>
      <c r="J5776">
        <f t="shared" si="2428"/>
        <v>115</v>
      </c>
      <c r="K5776">
        <f t="shared" si="2429"/>
        <v>122</v>
      </c>
      <c r="L5776">
        <f t="shared" si="2430"/>
        <v>118.5</v>
      </c>
      <c r="M5776">
        <f t="shared" si="2431"/>
        <v>3.5</v>
      </c>
      <c r="N5776">
        <f t="shared" si="2435"/>
        <v>7</v>
      </c>
      <c r="O5776">
        <f t="shared" si="2432"/>
        <v>118</v>
      </c>
      <c r="P5776">
        <f t="shared" si="2433"/>
        <v>-0.14285714285714285</v>
      </c>
      <c r="Q5776" t="str">
        <f t="shared" si="2436"/>
        <v>2.54% | 3.39%</v>
      </c>
      <c r="R5776" t="str">
        <f t="shared" si="2434"/>
        <v>BULLISH</v>
      </c>
      <c r="S5776">
        <f t="shared" si="2437"/>
        <v>1</v>
      </c>
    </row>
    <row r="5777" spans="1:19" hidden="1" x14ac:dyDescent="0.25">
      <c r="A5777" s="5" t="str">
        <f t="shared" si="2438"/>
        <v>44155AMZN</v>
      </c>
      <c r="B5777" s="6" t="s">
        <v>69</v>
      </c>
      <c r="C5777" s="6">
        <v>2993</v>
      </c>
      <c r="D5777" s="6">
        <v>3188</v>
      </c>
      <c r="E5777" s="6">
        <v>3117</v>
      </c>
      <c r="F5777" t="str">
        <f t="shared" si="2424"/>
        <v>FRI</v>
      </c>
      <c r="G5777" s="1">
        <f t="shared" si="2425"/>
        <v>44155</v>
      </c>
      <c r="H5777" s="2">
        <f t="shared" ca="1" si="2426"/>
        <v>98</v>
      </c>
      <c r="I5777" t="str">
        <f t="shared" si="2427"/>
        <v>AMZN</v>
      </c>
      <c r="J5777">
        <f t="shared" si="2428"/>
        <v>2993</v>
      </c>
      <c r="K5777">
        <f t="shared" si="2429"/>
        <v>3188</v>
      </c>
      <c r="L5777">
        <f t="shared" si="2430"/>
        <v>3090.5</v>
      </c>
      <c r="M5777">
        <f t="shared" si="2431"/>
        <v>97.5</v>
      </c>
      <c r="N5777">
        <f t="shared" si="2435"/>
        <v>195</v>
      </c>
      <c r="O5777">
        <f t="shared" si="2432"/>
        <v>3117</v>
      </c>
      <c r="P5777">
        <f t="shared" si="2433"/>
        <v>0.27179487179487177</v>
      </c>
      <c r="Q5777" t="str">
        <f t="shared" si="2436"/>
        <v>3.98% | 2.28%</v>
      </c>
      <c r="R5777" t="str">
        <f t="shared" si="2434"/>
        <v>NEUTRAL</v>
      </c>
      <c r="S5777">
        <f t="shared" si="2437"/>
        <v>0</v>
      </c>
    </row>
    <row r="5778" spans="1:19" hidden="1" x14ac:dyDescent="0.25">
      <c r="A5778" s="5" t="str">
        <f t="shared" si="2438"/>
        <v>44155FB</v>
      </c>
      <c r="B5778" s="6" t="s">
        <v>157</v>
      </c>
      <c r="C5778" s="6">
        <v>265</v>
      </c>
      <c r="D5778" s="6">
        <v>283</v>
      </c>
      <c r="E5778" s="6">
        <v>272</v>
      </c>
      <c r="F5778" t="str">
        <f t="shared" si="2424"/>
        <v>FRI</v>
      </c>
      <c r="G5778" s="1">
        <f t="shared" si="2425"/>
        <v>44155</v>
      </c>
      <c r="H5778" s="2">
        <f t="shared" ca="1" si="2426"/>
        <v>98</v>
      </c>
      <c r="I5778" t="str">
        <f t="shared" si="2427"/>
        <v>FB</v>
      </c>
      <c r="J5778">
        <f t="shared" si="2428"/>
        <v>265</v>
      </c>
      <c r="K5778">
        <f t="shared" si="2429"/>
        <v>283</v>
      </c>
      <c r="L5778">
        <f t="shared" si="2430"/>
        <v>274</v>
      </c>
      <c r="M5778">
        <f t="shared" si="2431"/>
        <v>9</v>
      </c>
      <c r="N5778">
        <f t="shared" si="2435"/>
        <v>18</v>
      </c>
      <c r="O5778">
        <f t="shared" si="2432"/>
        <v>272</v>
      </c>
      <c r="P5778">
        <f t="shared" si="2433"/>
        <v>-0.22222222222222221</v>
      </c>
      <c r="Q5778" t="str">
        <f t="shared" si="2436"/>
        <v>2.57% | 4.04%</v>
      </c>
      <c r="R5778" t="str">
        <f t="shared" si="2434"/>
        <v>NEUTRAL</v>
      </c>
      <c r="S5778">
        <f t="shared" si="2437"/>
        <v>0</v>
      </c>
    </row>
    <row r="5779" spans="1:19" hidden="1" x14ac:dyDescent="0.25">
      <c r="A5779" s="5" t="str">
        <f t="shared" si="2438"/>
        <v>44155GOOGL</v>
      </c>
      <c r="B5779" s="6" t="s">
        <v>31</v>
      </c>
      <c r="C5779" s="6">
        <v>1725</v>
      </c>
      <c r="D5779" s="6">
        <v>1786</v>
      </c>
      <c r="E5779" s="6">
        <v>1758</v>
      </c>
      <c r="F5779" t="str">
        <f t="shared" si="2424"/>
        <v>FRI</v>
      </c>
      <c r="G5779" s="1">
        <f t="shared" si="2425"/>
        <v>44155</v>
      </c>
      <c r="H5779" s="2">
        <f t="shared" ca="1" si="2426"/>
        <v>98</v>
      </c>
      <c r="I5779" t="str">
        <f t="shared" si="2427"/>
        <v>GOOGL</v>
      </c>
      <c r="J5779">
        <f t="shared" si="2428"/>
        <v>1725</v>
      </c>
      <c r="K5779">
        <f t="shared" si="2429"/>
        <v>1786</v>
      </c>
      <c r="L5779">
        <f t="shared" si="2430"/>
        <v>1755.5</v>
      </c>
      <c r="M5779">
        <f t="shared" si="2431"/>
        <v>30.5</v>
      </c>
      <c r="N5779">
        <f t="shared" si="2435"/>
        <v>61</v>
      </c>
      <c r="O5779">
        <f t="shared" si="2432"/>
        <v>1758</v>
      </c>
      <c r="P5779">
        <f t="shared" si="2433"/>
        <v>8.1967213114754092E-2</v>
      </c>
      <c r="Q5779" t="str">
        <f t="shared" si="2436"/>
        <v>1.88% | 1.59%</v>
      </c>
      <c r="R5779" t="str">
        <f t="shared" si="2434"/>
        <v>BULLISH</v>
      </c>
      <c r="S5779">
        <f t="shared" si="2437"/>
        <v>1</v>
      </c>
    </row>
    <row r="5780" spans="1:19" hidden="1" x14ac:dyDescent="0.25">
      <c r="A5780" s="5" t="str">
        <f t="shared" si="2438"/>
        <v>44155NFLX</v>
      </c>
      <c r="B5780" s="6" t="s">
        <v>81</v>
      </c>
      <c r="C5780" s="6">
        <v>461</v>
      </c>
      <c r="D5780" s="6">
        <v>495</v>
      </c>
      <c r="E5780" s="6">
        <v>484</v>
      </c>
      <c r="F5780" t="str">
        <f t="shared" si="2424"/>
        <v>FRI</v>
      </c>
      <c r="G5780" s="1">
        <f t="shared" si="2425"/>
        <v>44155</v>
      </c>
      <c r="H5780" s="2">
        <f t="shared" ca="1" si="2426"/>
        <v>98</v>
      </c>
      <c r="I5780" t="str">
        <f t="shared" si="2427"/>
        <v>NFLX</v>
      </c>
      <c r="J5780">
        <f t="shared" si="2428"/>
        <v>461</v>
      </c>
      <c r="K5780">
        <f t="shared" si="2429"/>
        <v>495</v>
      </c>
      <c r="L5780">
        <f t="shared" si="2430"/>
        <v>478</v>
      </c>
      <c r="M5780">
        <f t="shared" si="2431"/>
        <v>17</v>
      </c>
      <c r="N5780">
        <f t="shared" si="2435"/>
        <v>34</v>
      </c>
      <c r="O5780">
        <f t="shared" si="2432"/>
        <v>484</v>
      </c>
      <c r="P5780">
        <f t="shared" si="2433"/>
        <v>0.35294117647058826</v>
      </c>
      <c r="Q5780" t="str">
        <f t="shared" si="2436"/>
        <v>4.75% | 2.27%</v>
      </c>
      <c r="R5780" t="str">
        <f t="shared" si="2434"/>
        <v>BEARISH</v>
      </c>
      <c r="S5780">
        <f t="shared" si="2437"/>
        <v>-1</v>
      </c>
    </row>
    <row r="5781" spans="1:19" x14ac:dyDescent="0.25">
      <c r="A5781" s="5" t="str">
        <f t="shared" si="2438"/>
        <v>44155TSLA</v>
      </c>
      <c r="B5781" s="6" t="s">
        <v>33</v>
      </c>
      <c r="C5781" s="6">
        <v>430</v>
      </c>
      <c r="D5781" s="6">
        <v>505</v>
      </c>
      <c r="E5781" s="6">
        <v>499</v>
      </c>
      <c r="F5781" t="str">
        <f t="shared" si="2424"/>
        <v>FRI</v>
      </c>
      <c r="G5781" s="1">
        <f t="shared" si="2425"/>
        <v>44155</v>
      </c>
      <c r="H5781" s="2">
        <f t="shared" ca="1" si="2426"/>
        <v>98</v>
      </c>
      <c r="I5781" t="str">
        <f t="shared" si="2427"/>
        <v>TSLA</v>
      </c>
      <c r="J5781">
        <f t="shared" si="2428"/>
        <v>430</v>
      </c>
      <c r="K5781">
        <f t="shared" si="2429"/>
        <v>505</v>
      </c>
      <c r="L5781">
        <f t="shared" si="2430"/>
        <v>467.5</v>
      </c>
      <c r="M5781">
        <f t="shared" si="2431"/>
        <v>37.5</v>
      </c>
      <c r="N5781">
        <f t="shared" si="2435"/>
        <v>75</v>
      </c>
      <c r="O5781">
        <f t="shared" si="2432"/>
        <v>499</v>
      </c>
      <c r="P5781">
        <f t="shared" si="2433"/>
        <v>0.84</v>
      </c>
      <c r="Q5781" t="str">
        <f t="shared" si="2436"/>
        <v>13.83% | 1.2%</v>
      </c>
      <c r="R5781" t="str">
        <f t="shared" si="2434"/>
        <v>BULLISH</v>
      </c>
      <c r="S5781">
        <f t="shared" si="2437"/>
        <v>1</v>
      </c>
    </row>
    <row r="5782" spans="1:19" hidden="1" x14ac:dyDescent="0.25">
      <c r="A5782" s="5" t="str">
        <f t="shared" si="2438"/>
        <v>44155NYXBT</v>
      </c>
      <c r="B5782" s="6" t="s">
        <v>60</v>
      </c>
      <c r="C5782" s="6">
        <v>16403</v>
      </c>
      <c r="D5782" s="6">
        <v>18704</v>
      </c>
      <c r="E5782" s="6">
        <v>18087</v>
      </c>
      <c r="F5782" t="str">
        <f t="shared" si="2424"/>
        <v>FRI</v>
      </c>
      <c r="G5782" s="1">
        <f t="shared" si="2425"/>
        <v>44155</v>
      </c>
      <c r="H5782" s="2">
        <f t="shared" ca="1" si="2426"/>
        <v>98</v>
      </c>
      <c r="I5782" t="str">
        <f t="shared" si="2427"/>
        <v>NYXBT</v>
      </c>
      <c r="J5782">
        <f t="shared" si="2428"/>
        <v>16403</v>
      </c>
      <c r="K5782">
        <f t="shared" si="2429"/>
        <v>18704</v>
      </c>
      <c r="L5782">
        <f t="shared" si="2430"/>
        <v>17553.5</v>
      </c>
      <c r="M5782">
        <f t="shared" si="2431"/>
        <v>1150.5</v>
      </c>
      <c r="N5782">
        <f t="shared" si="2435"/>
        <v>2301</v>
      </c>
      <c r="O5782">
        <f t="shared" si="2432"/>
        <v>18087</v>
      </c>
      <c r="P5782">
        <f t="shared" si="2433"/>
        <v>0.46371142981312474</v>
      </c>
      <c r="Q5782" t="str">
        <f t="shared" si="2436"/>
        <v>9.31% | 3.41%</v>
      </c>
      <c r="R5782" t="str">
        <f t="shared" si="2434"/>
        <v>BULLISH</v>
      </c>
      <c r="S5782">
        <f t="shared" si="2437"/>
        <v>1</v>
      </c>
    </row>
    <row r="5783" spans="1:19" hidden="1" x14ac:dyDescent="0.25">
      <c r="A5783" s="5" t="str">
        <f t="shared" si="2438"/>
        <v>44158UST10Y</v>
      </c>
      <c r="B5783" s="6" t="s">
        <v>246</v>
      </c>
      <c r="C5783" s="6">
        <v>0.98</v>
      </c>
      <c r="D5783" s="6">
        <v>0.81</v>
      </c>
      <c r="E5783" s="6">
        <v>0.83</v>
      </c>
      <c r="F5783" t="str">
        <f t="shared" si="2424"/>
        <v>MON</v>
      </c>
      <c r="G5783" s="3">
        <f>DATE(2020,11,23)</f>
        <v>44158</v>
      </c>
      <c r="H5783" s="2">
        <f t="shared" ca="1" si="2426"/>
        <v>95</v>
      </c>
      <c r="I5783" t="str">
        <f t="shared" si="2427"/>
        <v>UST10Y</v>
      </c>
      <c r="J5783">
        <f t="shared" si="2428"/>
        <v>0.98</v>
      </c>
      <c r="K5783">
        <f t="shared" si="2429"/>
        <v>0.81</v>
      </c>
      <c r="L5783">
        <f t="shared" si="2430"/>
        <v>0.89500000000000002</v>
      </c>
      <c r="M5783">
        <f t="shared" si="2431"/>
        <v>8.4999999999999964E-2</v>
      </c>
      <c r="N5783">
        <f t="shared" si="2435"/>
        <v>0.16999999999999993</v>
      </c>
      <c r="O5783">
        <f t="shared" si="2432"/>
        <v>0.83</v>
      </c>
      <c r="P5783">
        <f t="shared" si="2433"/>
        <v>-0.76470588235294212</v>
      </c>
      <c r="Q5783" t="str">
        <f t="shared" si="2436"/>
        <v>18.07% | 2.41%</v>
      </c>
      <c r="R5783" t="str">
        <f t="shared" si="2434"/>
        <v>NEUTRAL</v>
      </c>
      <c r="S5783">
        <f t="shared" si="2437"/>
        <v>0</v>
      </c>
    </row>
    <row r="5784" spans="1:19" hidden="1" x14ac:dyDescent="0.25">
      <c r="A5784" s="5" t="str">
        <f t="shared" si="2438"/>
        <v>44158UST2Y</v>
      </c>
      <c r="B5784" s="6" t="s">
        <v>253</v>
      </c>
      <c r="C5784" s="6">
        <v>0.2</v>
      </c>
      <c r="D5784" s="6">
        <v>0.14000000000000001</v>
      </c>
      <c r="E5784" s="6">
        <v>0.16</v>
      </c>
      <c r="F5784" t="str">
        <f t="shared" ref="F5784:F5814" si="2439">UPPER(TEXT(G5784,"ddd"))</f>
        <v>MON</v>
      </c>
      <c r="G5784" s="3">
        <f t="shared" ref="G5784:G5813" si="2440">DATE(2020,11,23)</f>
        <v>44158</v>
      </c>
      <c r="H5784" s="2">
        <f t="shared" ref="H5784:H5814" ca="1" si="2441">TODAY()-G5784</f>
        <v>95</v>
      </c>
      <c r="I5784" t="str">
        <f t="shared" ref="I5784:I5814" si="2442">TRIM(LEFT(B5784,FIND(" ",B5784,1)))</f>
        <v>UST2Y</v>
      </c>
      <c r="J5784">
        <f t="shared" ref="J5784:J5814" si="2443">C5784</f>
        <v>0.2</v>
      </c>
      <c r="K5784">
        <f t="shared" ref="K5784:K5814" si="2444">D5784</f>
        <v>0.14000000000000001</v>
      </c>
      <c r="L5784">
        <f t="shared" ref="L5784:L5814" si="2445">AVERAGE(J5784:K5784)</f>
        <v>0.17</v>
      </c>
      <c r="M5784">
        <f t="shared" ref="M5784:M5814" si="2446">_xlfn.STDEV.P(J5784:K5784)</f>
        <v>3.0000000000000023E-2</v>
      </c>
      <c r="N5784">
        <f t="shared" si="2435"/>
        <v>0.06</v>
      </c>
      <c r="O5784">
        <f t="shared" ref="O5784:O5814" si="2447">E5784</f>
        <v>0.16</v>
      </c>
      <c r="P5784">
        <f t="shared" ref="P5784:P5814" si="2448">(O5784-L5784)/M5784</f>
        <v>-0.33333333333333337</v>
      </c>
      <c r="Q5784" t="str">
        <f t="shared" si="2436"/>
        <v>25% | 12.5%</v>
      </c>
      <c r="R5784" t="str">
        <f t="shared" ref="R5784:R5814" si="2449">MID(B5784,FIND("(",B5784,1)+1,FIND(")",B5784,1)-FIND("(",B5784,1)-1)</f>
        <v>NEUTRAL</v>
      </c>
      <c r="S5784">
        <f t="shared" ref="S5784:S5814" si="2450">IF(R5784="BEARISH",-1,IF(R5784="NEUTRAL",0,IF(R5784="BULLISH",1,99)))</f>
        <v>0</v>
      </c>
    </row>
    <row r="5785" spans="1:19" hidden="1" x14ac:dyDescent="0.25">
      <c r="A5785" s="5" t="str">
        <f t="shared" si="2438"/>
        <v>44158SPX</v>
      </c>
      <c r="B5785" s="6" t="s">
        <v>93</v>
      </c>
      <c r="C5785" s="6">
        <v>3511</v>
      </c>
      <c r="D5785" s="6">
        <v>3632</v>
      </c>
      <c r="E5785" s="6">
        <v>3557</v>
      </c>
      <c r="F5785" t="str">
        <f t="shared" si="2439"/>
        <v>MON</v>
      </c>
      <c r="G5785" s="3">
        <f t="shared" si="2440"/>
        <v>44158</v>
      </c>
      <c r="H5785" s="2">
        <f t="shared" ca="1" si="2441"/>
        <v>95</v>
      </c>
      <c r="I5785" t="str">
        <f t="shared" si="2442"/>
        <v>SPX</v>
      </c>
      <c r="J5785">
        <f t="shared" si="2443"/>
        <v>3511</v>
      </c>
      <c r="K5785">
        <f t="shared" si="2444"/>
        <v>3632</v>
      </c>
      <c r="L5785">
        <f t="shared" si="2445"/>
        <v>3571.5</v>
      </c>
      <c r="M5785">
        <f t="shared" si="2446"/>
        <v>60.5</v>
      </c>
      <c r="N5785">
        <f t="shared" si="2435"/>
        <v>121</v>
      </c>
      <c r="O5785">
        <f t="shared" si="2447"/>
        <v>3557</v>
      </c>
      <c r="P5785">
        <f t="shared" si="2448"/>
        <v>-0.23966942148760331</v>
      </c>
      <c r="Q5785" t="str">
        <f t="shared" si="2436"/>
        <v>1.29% | 2.11%</v>
      </c>
      <c r="R5785" t="str">
        <f t="shared" si="2449"/>
        <v>BULLISH</v>
      </c>
      <c r="S5785">
        <f t="shared" si="2450"/>
        <v>1</v>
      </c>
    </row>
    <row r="5786" spans="1:19" hidden="1" x14ac:dyDescent="0.25">
      <c r="A5786" s="5" t="str">
        <f t="shared" si="2438"/>
        <v>44158RUT</v>
      </c>
      <c r="B5786" s="6" t="s">
        <v>247</v>
      </c>
      <c r="C5786" s="6">
        <v>1704</v>
      </c>
      <c r="D5786" s="6">
        <v>1814</v>
      </c>
      <c r="E5786" s="6">
        <v>1785</v>
      </c>
      <c r="F5786" t="str">
        <f t="shared" si="2439"/>
        <v>MON</v>
      </c>
      <c r="G5786" s="3">
        <f t="shared" si="2440"/>
        <v>44158</v>
      </c>
      <c r="H5786" s="2">
        <f t="shared" ca="1" si="2441"/>
        <v>95</v>
      </c>
      <c r="I5786" t="str">
        <f t="shared" si="2442"/>
        <v>RUT</v>
      </c>
      <c r="J5786">
        <f t="shared" si="2443"/>
        <v>1704</v>
      </c>
      <c r="K5786">
        <f t="shared" si="2444"/>
        <v>1814</v>
      </c>
      <c r="L5786">
        <f t="shared" si="2445"/>
        <v>1759</v>
      </c>
      <c r="M5786">
        <f t="shared" si="2446"/>
        <v>55</v>
      </c>
      <c r="N5786">
        <f t="shared" si="2435"/>
        <v>110</v>
      </c>
      <c r="O5786">
        <f t="shared" si="2447"/>
        <v>1785</v>
      </c>
      <c r="P5786">
        <f t="shared" si="2448"/>
        <v>0.47272727272727272</v>
      </c>
      <c r="Q5786" t="str">
        <f t="shared" si="2436"/>
        <v>4.54% | 1.62%</v>
      </c>
      <c r="R5786" t="str">
        <f t="shared" si="2449"/>
        <v>BULLISH</v>
      </c>
      <c r="S5786">
        <f t="shared" si="2450"/>
        <v>1</v>
      </c>
    </row>
    <row r="5787" spans="1:19" hidden="1" x14ac:dyDescent="0.25">
      <c r="A5787" s="5" t="str">
        <f t="shared" si="2438"/>
        <v>44158COMPQ</v>
      </c>
      <c r="B5787" s="6" t="s">
        <v>8</v>
      </c>
      <c r="C5787" s="6">
        <v>11577</v>
      </c>
      <c r="D5787" s="6">
        <v>12029</v>
      </c>
      <c r="E5787" s="6">
        <v>11854</v>
      </c>
      <c r="F5787" t="str">
        <f t="shared" si="2439"/>
        <v>MON</v>
      </c>
      <c r="G5787" s="3">
        <f t="shared" si="2440"/>
        <v>44158</v>
      </c>
      <c r="H5787" s="2">
        <f t="shared" ca="1" si="2441"/>
        <v>95</v>
      </c>
      <c r="I5787" t="str">
        <f t="shared" si="2442"/>
        <v>COMPQ</v>
      </c>
      <c r="J5787">
        <f t="shared" si="2443"/>
        <v>11577</v>
      </c>
      <c r="K5787">
        <f t="shared" si="2444"/>
        <v>12029</v>
      </c>
      <c r="L5787">
        <f t="shared" si="2445"/>
        <v>11803</v>
      </c>
      <c r="M5787">
        <f t="shared" si="2446"/>
        <v>226</v>
      </c>
      <c r="N5787">
        <f t="shared" si="2435"/>
        <v>452</v>
      </c>
      <c r="O5787">
        <f t="shared" si="2447"/>
        <v>11854</v>
      </c>
      <c r="P5787">
        <f t="shared" si="2448"/>
        <v>0.22566371681415928</v>
      </c>
      <c r="Q5787" t="str">
        <f t="shared" si="2436"/>
        <v>2.34% | 1.48%</v>
      </c>
      <c r="R5787" t="str">
        <f t="shared" si="2449"/>
        <v>BULLISH</v>
      </c>
      <c r="S5787">
        <f t="shared" si="2450"/>
        <v>1</v>
      </c>
    </row>
    <row r="5788" spans="1:19" hidden="1" x14ac:dyDescent="0.25">
      <c r="A5788" s="5" t="str">
        <f t="shared" si="2438"/>
        <v>44158XLK</v>
      </c>
      <c r="B5788" s="6" t="s">
        <v>10</v>
      </c>
      <c r="C5788" s="6">
        <v>118.22</v>
      </c>
      <c r="D5788" s="6">
        <v>123.13</v>
      </c>
      <c r="E5788" s="6">
        <v>120.11</v>
      </c>
      <c r="F5788" t="str">
        <f t="shared" si="2439"/>
        <v>MON</v>
      </c>
      <c r="G5788" s="3">
        <f t="shared" si="2440"/>
        <v>44158</v>
      </c>
      <c r="H5788" s="2">
        <f t="shared" ca="1" si="2441"/>
        <v>95</v>
      </c>
      <c r="I5788" t="str">
        <f t="shared" si="2442"/>
        <v>XLK</v>
      </c>
      <c r="J5788">
        <f t="shared" si="2443"/>
        <v>118.22</v>
      </c>
      <c r="K5788">
        <f t="shared" si="2444"/>
        <v>123.13</v>
      </c>
      <c r="L5788">
        <f t="shared" si="2445"/>
        <v>120.675</v>
      </c>
      <c r="M5788">
        <f t="shared" si="2446"/>
        <v>2.4549999999999983</v>
      </c>
      <c r="N5788">
        <f t="shared" si="2435"/>
        <v>4.9099999999999966</v>
      </c>
      <c r="O5788">
        <f t="shared" si="2447"/>
        <v>120.11</v>
      </c>
      <c r="P5788">
        <f t="shared" si="2448"/>
        <v>-0.23014256619144527</v>
      </c>
      <c r="Q5788" t="str">
        <f t="shared" si="2436"/>
        <v>1.57% | 2.51%</v>
      </c>
      <c r="R5788" t="str">
        <f t="shared" si="2449"/>
        <v>BULLISH</v>
      </c>
      <c r="S5788">
        <f t="shared" si="2450"/>
        <v>1</v>
      </c>
    </row>
    <row r="5789" spans="1:19" hidden="1" x14ac:dyDescent="0.25">
      <c r="A5789" s="5" t="str">
        <f t="shared" si="2438"/>
        <v>44158XLU</v>
      </c>
      <c r="B5789" s="6" t="s">
        <v>80</v>
      </c>
      <c r="C5789" s="6">
        <v>62.33</v>
      </c>
      <c r="D5789" s="6">
        <v>67.540000000000006</v>
      </c>
      <c r="E5789" s="6">
        <v>63.54</v>
      </c>
      <c r="F5789" t="str">
        <f t="shared" si="2439"/>
        <v>MON</v>
      </c>
      <c r="G5789" s="3">
        <f t="shared" si="2440"/>
        <v>44158</v>
      </c>
      <c r="H5789" s="2">
        <f t="shared" ca="1" si="2441"/>
        <v>95</v>
      </c>
      <c r="I5789" t="str">
        <f t="shared" si="2442"/>
        <v>XLU</v>
      </c>
      <c r="J5789">
        <f t="shared" si="2443"/>
        <v>62.33</v>
      </c>
      <c r="K5789">
        <f t="shared" si="2444"/>
        <v>67.540000000000006</v>
      </c>
      <c r="L5789">
        <f t="shared" si="2445"/>
        <v>64.935000000000002</v>
      </c>
      <c r="M5789">
        <f t="shared" si="2446"/>
        <v>2.605000000000004</v>
      </c>
      <c r="N5789">
        <f t="shared" si="2435"/>
        <v>5.210000000000008</v>
      </c>
      <c r="O5789">
        <f t="shared" si="2447"/>
        <v>63.54</v>
      </c>
      <c r="P5789">
        <f t="shared" si="2448"/>
        <v>-0.53550863723608488</v>
      </c>
      <c r="Q5789" t="str">
        <f t="shared" si="2436"/>
        <v>1.9% | 6.3%</v>
      </c>
      <c r="R5789" t="str">
        <f t="shared" si="2449"/>
        <v>NEUTRAL</v>
      </c>
      <c r="S5789">
        <f t="shared" si="2450"/>
        <v>0</v>
      </c>
    </row>
    <row r="5790" spans="1:19" hidden="1" x14ac:dyDescent="0.25">
      <c r="A5790" s="5" t="str">
        <f t="shared" si="2438"/>
        <v>44158XLE</v>
      </c>
      <c r="B5790" s="6" t="s">
        <v>250</v>
      </c>
      <c r="C5790" s="6">
        <v>32.58</v>
      </c>
      <c r="D5790" s="6">
        <v>38.04</v>
      </c>
      <c r="E5790" s="6">
        <v>35.81</v>
      </c>
      <c r="F5790" t="str">
        <f t="shared" si="2439"/>
        <v>MON</v>
      </c>
      <c r="G5790" s="3">
        <f t="shared" si="2440"/>
        <v>44158</v>
      </c>
      <c r="H5790" s="2">
        <f t="shared" ca="1" si="2441"/>
        <v>95</v>
      </c>
      <c r="I5790" t="str">
        <f t="shared" si="2442"/>
        <v>XLE</v>
      </c>
      <c r="J5790">
        <f t="shared" si="2443"/>
        <v>32.58</v>
      </c>
      <c r="K5790">
        <f t="shared" si="2444"/>
        <v>38.04</v>
      </c>
      <c r="L5790">
        <f t="shared" si="2445"/>
        <v>35.31</v>
      </c>
      <c r="M5790">
        <f t="shared" si="2446"/>
        <v>2.7300000000000004</v>
      </c>
      <c r="N5790">
        <f t="shared" si="2435"/>
        <v>5.4600000000000009</v>
      </c>
      <c r="O5790">
        <f t="shared" si="2447"/>
        <v>35.81</v>
      </c>
      <c r="P5790">
        <f t="shared" si="2448"/>
        <v>0.18315018315018311</v>
      </c>
      <c r="Q5790" t="str">
        <f t="shared" si="2436"/>
        <v>9.02% | 6.23%</v>
      </c>
      <c r="R5790" t="str">
        <f t="shared" si="2449"/>
        <v>BULLISH</v>
      </c>
      <c r="S5790">
        <f t="shared" si="2450"/>
        <v>1</v>
      </c>
    </row>
    <row r="5791" spans="1:19" hidden="1" x14ac:dyDescent="0.25">
      <c r="A5791" s="5" t="str">
        <f t="shared" si="2438"/>
        <v>44158GDX</v>
      </c>
      <c r="B5791" s="6" t="s">
        <v>254</v>
      </c>
      <c r="C5791" s="6">
        <v>34.97</v>
      </c>
      <c r="D5791" s="6">
        <v>38.090000000000003</v>
      </c>
      <c r="E5791" s="6">
        <v>35.9</v>
      </c>
      <c r="F5791" t="str">
        <f t="shared" si="2439"/>
        <v>MON</v>
      </c>
      <c r="G5791" s="3">
        <f t="shared" si="2440"/>
        <v>44158</v>
      </c>
      <c r="H5791" s="2">
        <f t="shared" ca="1" si="2441"/>
        <v>95</v>
      </c>
      <c r="I5791" t="str">
        <f t="shared" si="2442"/>
        <v>GDX</v>
      </c>
      <c r="J5791">
        <f t="shared" si="2443"/>
        <v>34.97</v>
      </c>
      <c r="K5791">
        <f t="shared" si="2444"/>
        <v>38.090000000000003</v>
      </c>
      <c r="L5791">
        <f t="shared" si="2445"/>
        <v>36.53</v>
      </c>
      <c r="M5791">
        <f t="shared" si="2446"/>
        <v>1.5600000000000023</v>
      </c>
      <c r="N5791">
        <f t="shared" si="2435"/>
        <v>3.1200000000000045</v>
      </c>
      <c r="O5791">
        <f t="shared" si="2447"/>
        <v>35.9</v>
      </c>
      <c r="P5791">
        <f t="shared" si="2448"/>
        <v>-0.40384615384615491</v>
      </c>
      <c r="Q5791" t="str">
        <f t="shared" si="2436"/>
        <v>2.59% | 6.1%</v>
      </c>
      <c r="R5791" t="str">
        <f t="shared" si="2449"/>
        <v>BEARISH</v>
      </c>
      <c r="S5791">
        <f t="shared" si="2450"/>
        <v>-1</v>
      </c>
    </row>
    <row r="5792" spans="1:19" hidden="1" x14ac:dyDescent="0.25">
      <c r="A5792" s="5" t="str">
        <f t="shared" si="2438"/>
        <v>44158SSEC</v>
      </c>
      <c r="B5792" s="6" t="s">
        <v>104</v>
      </c>
      <c r="C5792" s="6">
        <v>3320</v>
      </c>
      <c r="D5792" s="6">
        <v>3430</v>
      </c>
      <c r="E5792" s="6">
        <v>3414</v>
      </c>
      <c r="F5792" t="str">
        <f t="shared" si="2439"/>
        <v>MON</v>
      </c>
      <c r="G5792" s="3">
        <f t="shared" si="2440"/>
        <v>44158</v>
      </c>
      <c r="H5792" s="2">
        <f t="shared" ca="1" si="2441"/>
        <v>95</v>
      </c>
      <c r="I5792" t="str">
        <f t="shared" si="2442"/>
        <v>SSEC</v>
      </c>
      <c r="J5792">
        <f t="shared" si="2443"/>
        <v>3320</v>
      </c>
      <c r="K5792">
        <f t="shared" si="2444"/>
        <v>3430</v>
      </c>
      <c r="L5792">
        <f t="shared" si="2445"/>
        <v>3375</v>
      </c>
      <c r="M5792">
        <f t="shared" si="2446"/>
        <v>55</v>
      </c>
      <c r="N5792">
        <f t="shared" si="2435"/>
        <v>110</v>
      </c>
      <c r="O5792">
        <f t="shared" si="2447"/>
        <v>3414</v>
      </c>
      <c r="P5792">
        <f t="shared" si="2448"/>
        <v>0.70909090909090911</v>
      </c>
      <c r="Q5792" t="str">
        <f t="shared" si="2436"/>
        <v>2.75% | 0.47%</v>
      </c>
      <c r="R5792" t="str">
        <f t="shared" si="2449"/>
        <v>BULLISH</v>
      </c>
      <c r="S5792">
        <f t="shared" si="2450"/>
        <v>1</v>
      </c>
    </row>
    <row r="5793" spans="1:19" hidden="1" x14ac:dyDescent="0.25">
      <c r="A5793" s="5" t="str">
        <f t="shared" si="2438"/>
        <v>44158NIKK</v>
      </c>
      <c r="B5793" s="6" t="s">
        <v>91</v>
      </c>
      <c r="C5793" s="6">
        <v>24902</v>
      </c>
      <c r="D5793" s="6">
        <v>26193</v>
      </c>
      <c r="E5793" s="6">
        <v>25527</v>
      </c>
      <c r="F5793" t="str">
        <f t="shared" si="2439"/>
        <v>MON</v>
      </c>
      <c r="G5793" s="3">
        <f t="shared" si="2440"/>
        <v>44158</v>
      </c>
      <c r="H5793" s="2">
        <f t="shared" ca="1" si="2441"/>
        <v>95</v>
      </c>
      <c r="I5793" t="str">
        <f t="shared" si="2442"/>
        <v>NIKK</v>
      </c>
      <c r="J5793">
        <f t="shared" si="2443"/>
        <v>24902</v>
      </c>
      <c r="K5793">
        <f t="shared" si="2444"/>
        <v>26193</v>
      </c>
      <c r="L5793">
        <f t="shared" si="2445"/>
        <v>25547.5</v>
      </c>
      <c r="M5793">
        <f t="shared" si="2446"/>
        <v>645.5</v>
      </c>
      <c r="N5793">
        <f t="shared" si="2435"/>
        <v>1291</v>
      </c>
      <c r="O5793">
        <f t="shared" si="2447"/>
        <v>25527</v>
      </c>
      <c r="P5793">
        <f t="shared" si="2448"/>
        <v>-3.1758326878388844E-2</v>
      </c>
      <c r="Q5793" t="str">
        <f t="shared" si="2436"/>
        <v>2.45% | 2.61%</v>
      </c>
      <c r="R5793" t="str">
        <f t="shared" si="2449"/>
        <v>BULLISH</v>
      </c>
      <c r="S5793">
        <f t="shared" si="2450"/>
        <v>1</v>
      </c>
    </row>
    <row r="5794" spans="1:19" hidden="1" x14ac:dyDescent="0.25">
      <c r="A5794" s="5" t="str">
        <f t="shared" si="2438"/>
        <v>44158DAX</v>
      </c>
      <c r="B5794" s="6" t="s">
        <v>16</v>
      </c>
      <c r="C5794" s="6">
        <v>12795</v>
      </c>
      <c r="D5794" s="6">
        <v>13258</v>
      </c>
      <c r="E5794" s="6">
        <v>13137</v>
      </c>
      <c r="F5794" t="str">
        <f t="shared" si="2439"/>
        <v>MON</v>
      </c>
      <c r="G5794" s="3">
        <f t="shared" si="2440"/>
        <v>44158</v>
      </c>
      <c r="H5794" s="2">
        <f t="shared" ca="1" si="2441"/>
        <v>95</v>
      </c>
      <c r="I5794" t="str">
        <f t="shared" si="2442"/>
        <v>DAX</v>
      </c>
      <c r="J5794">
        <f t="shared" si="2443"/>
        <v>12795</v>
      </c>
      <c r="K5794">
        <f t="shared" si="2444"/>
        <v>13258</v>
      </c>
      <c r="L5794">
        <f t="shared" si="2445"/>
        <v>13026.5</v>
      </c>
      <c r="M5794">
        <f t="shared" si="2446"/>
        <v>231.5</v>
      </c>
      <c r="N5794">
        <f t="shared" si="2435"/>
        <v>463</v>
      </c>
      <c r="O5794">
        <f t="shared" si="2447"/>
        <v>13137</v>
      </c>
      <c r="P5794">
        <f t="shared" si="2448"/>
        <v>0.47732181425485959</v>
      </c>
      <c r="Q5794" t="str">
        <f t="shared" si="2436"/>
        <v>2.6% | 0.92%</v>
      </c>
      <c r="R5794" t="str">
        <f t="shared" si="2449"/>
        <v>BEARISH</v>
      </c>
      <c r="S5794">
        <f t="shared" si="2450"/>
        <v>-1</v>
      </c>
    </row>
    <row r="5795" spans="1:19" hidden="1" x14ac:dyDescent="0.25">
      <c r="A5795" s="5" t="str">
        <f t="shared" si="2438"/>
        <v>44158VIX</v>
      </c>
      <c r="B5795" s="6" t="s">
        <v>96</v>
      </c>
      <c r="C5795" s="6">
        <v>21.72</v>
      </c>
      <c r="D5795" s="6">
        <v>27.76</v>
      </c>
      <c r="E5795" s="6">
        <v>23.7</v>
      </c>
      <c r="F5795" t="str">
        <f t="shared" si="2439"/>
        <v>MON</v>
      </c>
      <c r="G5795" s="3">
        <f t="shared" si="2440"/>
        <v>44158</v>
      </c>
      <c r="H5795" s="2">
        <f t="shared" ca="1" si="2441"/>
        <v>95</v>
      </c>
      <c r="I5795" t="str">
        <f t="shared" si="2442"/>
        <v>VIX</v>
      </c>
      <c r="J5795">
        <f t="shared" si="2443"/>
        <v>21.72</v>
      </c>
      <c r="K5795">
        <f t="shared" si="2444"/>
        <v>27.76</v>
      </c>
      <c r="L5795">
        <f t="shared" si="2445"/>
        <v>24.740000000000002</v>
      </c>
      <c r="M5795">
        <f t="shared" si="2446"/>
        <v>3.019999999999984</v>
      </c>
      <c r="N5795">
        <f t="shared" si="2435"/>
        <v>6.0400000000000027</v>
      </c>
      <c r="O5795">
        <f t="shared" si="2447"/>
        <v>23.7</v>
      </c>
      <c r="P5795">
        <f t="shared" si="2448"/>
        <v>-0.34437086092715502</v>
      </c>
      <c r="Q5795" t="str">
        <f t="shared" si="2436"/>
        <v>8.35% | 17.13%</v>
      </c>
      <c r="R5795" t="str">
        <f t="shared" si="2449"/>
        <v>BEARISH</v>
      </c>
      <c r="S5795">
        <f t="shared" si="2450"/>
        <v>-1</v>
      </c>
    </row>
    <row r="5796" spans="1:19" hidden="1" x14ac:dyDescent="0.25">
      <c r="A5796" s="5" t="str">
        <f t="shared" si="2438"/>
        <v>44158USD</v>
      </c>
      <c r="B5796" s="6" t="s">
        <v>94</v>
      </c>
      <c r="C5796" s="6">
        <v>92.01</v>
      </c>
      <c r="D5796" s="6">
        <v>93.12</v>
      </c>
      <c r="E5796" s="6">
        <v>92.39</v>
      </c>
      <c r="F5796" t="str">
        <f t="shared" si="2439"/>
        <v>MON</v>
      </c>
      <c r="G5796" s="3">
        <f t="shared" si="2440"/>
        <v>44158</v>
      </c>
      <c r="H5796" s="2">
        <f t="shared" ca="1" si="2441"/>
        <v>95</v>
      </c>
      <c r="I5796" t="str">
        <f t="shared" si="2442"/>
        <v>USD</v>
      </c>
      <c r="J5796">
        <f t="shared" si="2443"/>
        <v>92.01</v>
      </c>
      <c r="K5796">
        <f t="shared" si="2444"/>
        <v>93.12</v>
      </c>
      <c r="L5796">
        <f t="shared" si="2445"/>
        <v>92.564999999999998</v>
      </c>
      <c r="M5796">
        <f t="shared" si="2446"/>
        <v>0.55499999999999972</v>
      </c>
      <c r="N5796">
        <f t="shared" si="2435"/>
        <v>1.1099999999999994</v>
      </c>
      <c r="O5796">
        <f t="shared" si="2447"/>
        <v>92.39</v>
      </c>
      <c r="P5796">
        <f t="shared" si="2448"/>
        <v>-0.31531531531531037</v>
      </c>
      <c r="Q5796" t="str">
        <f t="shared" si="2436"/>
        <v>0.41% | 0.79%</v>
      </c>
      <c r="R5796" t="str">
        <f t="shared" si="2449"/>
        <v>BEARISH</v>
      </c>
      <c r="S5796">
        <f t="shared" si="2450"/>
        <v>-1</v>
      </c>
    </row>
    <row r="5797" spans="1:19" hidden="1" x14ac:dyDescent="0.25">
      <c r="A5797" s="5" t="str">
        <f t="shared" si="2438"/>
        <v>44158EUR/USD</v>
      </c>
      <c r="B5797" s="6" t="s">
        <v>99</v>
      </c>
      <c r="C5797" s="6">
        <v>1.1759999999999999</v>
      </c>
      <c r="D5797" s="6">
        <v>1.1910000000000001</v>
      </c>
      <c r="E5797" s="6">
        <v>1.1859999999999999</v>
      </c>
      <c r="F5797" t="str">
        <f t="shared" si="2439"/>
        <v>MON</v>
      </c>
      <c r="G5797" s="3">
        <f t="shared" si="2440"/>
        <v>44158</v>
      </c>
      <c r="H5797" s="2">
        <f t="shared" ca="1" si="2441"/>
        <v>95</v>
      </c>
      <c r="I5797" t="str">
        <f t="shared" si="2442"/>
        <v>EUR/USD</v>
      </c>
      <c r="J5797">
        <f t="shared" si="2443"/>
        <v>1.1759999999999999</v>
      </c>
      <c r="K5797">
        <f t="shared" si="2444"/>
        <v>1.1910000000000001</v>
      </c>
      <c r="L5797">
        <f t="shared" si="2445"/>
        <v>1.1835</v>
      </c>
      <c r="M5797">
        <f t="shared" si="2446"/>
        <v>7.5000000000000622E-3</v>
      </c>
      <c r="N5797">
        <f t="shared" si="2435"/>
        <v>1.5000000000000124E-2</v>
      </c>
      <c r="O5797">
        <f t="shared" si="2447"/>
        <v>1.1859999999999999</v>
      </c>
      <c r="P5797">
        <f t="shared" si="2448"/>
        <v>0.33333333333332349</v>
      </c>
      <c r="Q5797" t="str">
        <f t="shared" si="2436"/>
        <v>0.84% | 0.42%</v>
      </c>
      <c r="R5797" t="str">
        <f t="shared" si="2449"/>
        <v>BULLISH</v>
      </c>
      <c r="S5797">
        <f t="shared" si="2450"/>
        <v>1</v>
      </c>
    </row>
    <row r="5798" spans="1:19" hidden="1" x14ac:dyDescent="0.25">
      <c r="A5798" s="5" t="str">
        <f t="shared" si="2438"/>
        <v>44158USD/JPY</v>
      </c>
      <c r="B5798" s="6" t="s">
        <v>20</v>
      </c>
      <c r="C5798" s="6">
        <v>103.23</v>
      </c>
      <c r="D5798" s="6">
        <v>105.37</v>
      </c>
      <c r="E5798" s="6">
        <v>103.82</v>
      </c>
      <c r="F5798" t="str">
        <f t="shared" si="2439"/>
        <v>MON</v>
      </c>
      <c r="G5798" s="3">
        <f t="shared" si="2440"/>
        <v>44158</v>
      </c>
      <c r="H5798" s="2">
        <f t="shared" ca="1" si="2441"/>
        <v>95</v>
      </c>
      <c r="I5798" t="str">
        <f t="shared" si="2442"/>
        <v>USD/JPY</v>
      </c>
      <c r="J5798">
        <f t="shared" si="2443"/>
        <v>103.23</v>
      </c>
      <c r="K5798">
        <f t="shared" si="2444"/>
        <v>105.37</v>
      </c>
      <c r="L5798">
        <f t="shared" si="2445"/>
        <v>104.30000000000001</v>
      </c>
      <c r="M5798">
        <f t="shared" si="2446"/>
        <v>1.0700000000000003</v>
      </c>
      <c r="N5798">
        <f t="shared" si="2435"/>
        <v>2.1400000000000006</v>
      </c>
      <c r="O5798">
        <f t="shared" si="2447"/>
        <v>103.82</v>
      </c>
      <c r="P5798">
        <f t="shared" si="2448"/>
        <v>-0.44859813084113837</v>
      </c>
      <c r="Q5798" t="str">
        <f t="shared" si="2436"/>
        <v>0.57% | 1.49%</v>
      </c>
      <c r="R5798" t="str">
        <f t="shared" si="2449"/>
        <v>BEARISH</v>
      </c>
      <c r="S5798">
        <f t="shared" si="2450"/>
        <v>-1</v>
      </c>
    </row>
    <row r="5799" spans="1:19" hidden="1" x14ac:dyDescent="0.25">
      <c r="A5799" s="5" t="str">
        <f t="shared" si="2438"/>
        <v>44158GBP/USD</v>
      </c>
      <c r="B5799" s="6" t="s">
        <v>102</v>
      </c>
      <c r="C5799" s="6">
        <v>1.3120000000000001</v>
      </c>
      <c r="D5799" s="6">
        <v>1.3380000000000001</v>
      </c>
      <c r="E5799" s="6">
        <v>1.329</v>
      </c>
      <c r="F5799" t="str">
        <f t="shared" si="2439"/>
        <v>MON</v>
      </c>
      <c r="G5799" s="3">
        <f t="shared" si="2440"/>
        <v>44158</v>
      </c>
      <c r="H5799" s="2">
        <f t="shared" ca="1" si="2441"/>
        <v>95</v>
      </c>
      <c r="I5799" t="str">
        <f t="shared" si="2442"/>
        <v>GBP/USD</v>
      </c>
      <c r="J5799">
        <f t="shared" si="2443"/>
        <v>1.3120000000000001</v>
      </c>
      <c r="K5799">
        <f t="shared" si="2444"/>
        <v>1.3380000000000001</v>
      </c>
      <c r="L5799">
        <f t="shared" si="2445"/>
        <v>1.3250000000000002</v>
      </c>
      <c r="M5799">
        <f t="shared" si="2446"/>
        <v>1.3000000000000012E-2</v>
      </c>
      <c r="N5799">
        <f t="shared" si="2435"/>
        <v>2.6000000000000023E-2</v>
      </c>
      <c r="O5799">
        <f t="shared" si="2447"/>
        <v>1.329</v>
      </c>
      <c r="P5799">
        <f t="shared" si="2448"/>
        <v>0.30769230769229061</v>
      </c>
      <c r="Q5799" t="str">
        <f t="shared" si="2436"/>
        <v>1.28% | 0.68%</v>
      </c>
      <c r="R5799" t="str">
        <f t="shared" si="2449"/>
        <v>BULLISH</v>
      </c>
      <c r="S5799">
        <f t="shared" si="2450"/>
        <v>1</v>
      </c>
    </row>
    <row r="5800" spans="1:19" hidden="1" x14ac:dyDescent="0.25">
      <c r="A5800" s="5" t="str">
        <f t="shared" si="2438"/>
        <v>44158CAD/USD</v>
      </c>
      <c r="B5800" s="6" t="s">
        <v>244</v>
      </c>
      <c r="C5800" s="6">
        <v>0.75</v>
      </c>
      <c r="D5800" s="6">
        <v>0.77</v>
      </c>
      <c r="E5800" s="6">
        <v>0.76</v>
      </c>
      <c r="F5800" t="str">
        <f t="shared" si="2439"/>
        <v>MON</v>
      </c>
      <c r="G5800" s="3">
        <f t="shared" si="2440"/>
        <v>44158</v>
      </c>
      <c r="H5800" s="2">
        <f t="shared" ca="1" si="2441"/>
        <v>95</v>
      </c>
      <c r="I5800" t="str">
        <f t="shared" si="2442"/>
        <v>CAD/USD</v>
      </c>
      <c r="J5800">
        <f t="shared" si="2443"/>
        <v>0.75</v>
      </c>
      <c r="K5800">
        <f t="shared" si="2444"/>
        <v>0.77</v>
      </c>
      <c r="L5800">
        <f t="shared" si="2445"/>
        <v>0.76</v>
      </c>
      <c r="M5800">
        <f t="shared" si="2446"/>
        <v>1.0000000000000009E-2</v>
      </c>
      <c r="N5800">
        <f t="shared" si="2435"/>
        <v>2.0000000000000018E-2</v>
      </c>
      <c r="O5800">
        <f t="shared" si="2447"/>
        <v>0.76</v>
      </c>
      <c r="P5800">
        <f t="shared" si="2448"/>
        <v>0</v>
      </c>
      <c r="Q5800" t="str">
        <f t="shared" si="2436"/>
        <v>1.32% | 1.32%</v>
      </c>
      <c r="R5800" t="str">
        <f t="shared" si="2449"/>
        <v>BULLISH</v>
      </c>
      <c r="S5800">
        <f t="shared" si="2450"/>
        <v>1</v>
      </c>
    </row>
    <row r="5801" spans="1:19" hidden="1" x14ac:dyDescent="0.25">
      <c r="A5801" s="5" t="str">
        <f t="shared" si="2438"/>
        <v>44158USD/CHF</v>
      </c>
      <c r="B5801" s="6" t="s">
        <v>76</v>
      </c>
      <c r="C5801" s="6">
        <v>0.9</v>
      </c>
      <c r="D5801" s="6">
        <v>0.92</v>
      </c>
      <c r="E5801" s="6">
        <v>0.91</v>
      </c>
      <c r="F5801" t="str">
        <f t="shared" si="2439"/>
        <v>MON</v>
      </c>
      <c r="G5801" s="3">
        <f t="shared" si="2440"/>
        <v>44158</v>
      </c>
      <c r="H5801" s="2">
        <f t="shared" ca="1" si="2441"/>
        <v>95</v>
      </c>
      <c r="I5801" t="str">
        <f t="shared" si="2442"/>
        <v>USD/CHF</v>
      </c>
      <c r="J5801">
        <f t="shared" si="2443"/>
        <v>0.9</v>
      </c>
      <c r="K5801">
        <f t="shared" si="2444"/>
        <v>0.92</v>
      </c>
      <c r="L5801">
        <f t="shared" si="2445"/>
        <v>0.91</v>
      </c>
      <c r="M5801">
        <f t="shared" si="2446"/>
        <v>1.0000000000000009E-2</v>
      </c>
      <c r="N5801">
        <f t="shared" si="2435"/>
        <v>2.0000000000000018E-2</v>
      </c>
      <c r="O5801">
        <f t="shared" si="2447"/>
        <v>0.91</v>
      </c>
      <c r="P5801">
        <f t="shared" si="2448"/>
        <v>0</v>
      </c>
      <c r="Q5801" t="str">
        <f t="shared" si="2436"/>
        <v>1.1% | 1.1%</v>
      </c>
      <c r="R5801" t="str">
        <f t="shared" si="2449"/>
        <v>BEARISH</v>
      </c>
      <c r="S5801">
        <f t="shared" si="2450"/>
        <v>-1</v>
      </c>
    </row>
    <row r="5802" spans="1:19" hidden="1" x14ac:dyDescent="0.25">
      <c r="A5802" s="5" t="str">
        <f t="shared" si="2438"/>
        <v>44158WTIC</v>
      </c>
      <c r="B5802" s="6" t="s">
        <v>158</v>
      </c>
      <c r="C5802" s="6">
        <v>39.799999999999997</v>
      </c>
      <c r="D5802" s="6">
        <v>43.48</v>
      </c>
      <c r="E5802" s="6">
        <v>42.42</v>
      </c>
      <c r="F5802" t="str">
        <f t="shared" si="2439"/>
        <v>MON</v>
      </c>
      <c r="G5802" s="3">
        <f t="shared" si="2440"/>
        <v>44158</v>
      </c>
      <c r="H5802" s="2">
        <f t="shared" ca="1" si="2441"/>
        <v>95</v>
      </c>
      <c r="I5802" t="str">
        <f t="shared" si="2442"/>
        <v>WTIC</v>
      </c>
      <c r="J5802">
        <f t="shared" si="2443"/>
        <v>39.799999999999997</v>
      </c>
      <c r="K5802">
        <f t="shared" si="2444"/>
        <v>43.48</v>
      </c>
      <c r="L5802">
        <f t="shared" si="2445"/>
        <v>41.64</v>
      </c>
      <c r="M5802">
        <f t="shared" si="2446"/>
        <v>1.8399999999999999</v>
      </c>
      <c r="N5802">
        <f t="shared" si="2435"/>
        <v>3.6799999999999997</v>
      </c>
      <c r="O5802">
        <f t="shared" si="2447"/>
        <v>42.42</v>
      </c>
      <c r="P5802">
        <f t="shared" si="2448"/>
        <v>0.42391304347826153</v>
      </c>
      <c r="Q5802" t="str">
        <f t="shared" si="2436"/>
        <v>6.18% | 2.5%</v>
      </c>
      <c r="R5802" t="str">
        <f t="shared" si="2449"/>
        <v>BULLISH</v>
      </c>
      <c r="S5802">
        <f t="shared" si="2450"/>
        <v>1</v>
      </c>
    </row>
    <row r="5803" spans="1:19" hidden="1" x14ac:dyDescent="0.25">
      <c r="A5803" s="5" t="str">
        <f t="shared" si="2438"/>
        <v>44158NATGAS</v>
      </c>
      <c r="B5803" s="6" t="s">
        <v>89</v>
      </c>
      <c r="C5803" s="6">
        <v>2.54</v>
      </c>
      <c r="D5803" s="6">
        <v>3.14</v>
      </c>
      <c r="E5803" s="6">
        <v>2.77</v>
      </c>
      <c r="F5803" t="str">
        <f t="shared" si="2439"/>
        <v>MON</v>
      </c>
      <c r="G5803" s="3">
        <f t="shared" si="2440"/>
        <v>44158</v>
      </c>
      <c r="H5803" s="2">
        <f t="shared" ca="1" si="2441"/>
        <v>95</v>
      </c>
      <c r="I5803" t="str">
        <f t="shared" si="2442"/>
        <v>NATGAS</v>
      </c>
      <c r="J5803">
        <f t="shared" si="2443"/>
        <v>2.54</v>
      </c>
      <c r="K5803">
        <f t="shared" si="2444"/>
        <v>3.14</v>
      </c>
      <c r="L5803">
        <f t="shared" si="2445"/>
        <v>2.84</v>
      </c>
      <c r="M5803">
        <f t="shared" si="2446"/>
        <v>0.29999999999999977</v>
      </c>
      <c r="N5803">
        <f t="shared" si="2435"/>
        <v>0.60000000000000009</v>
      </c>
      <c r="O5803">
        <f t="shared" si="2447"/>
        <v>2.77</v>
      </c>
      <c r="P5803">
        <f t="shared" si="2448"/>
        <v>-0.23333333333333298</v>
      </c>
      <c r="Q5803" t="str">
        <f t="shared" si="2436"/>
        <v>8.3% | 13.36%</v>
      </c>
      <c r="R5803" t="str">
        <f t="shared" si="2449"/>
        <v>BULLISH</v>
      </c>
      <c r="S5803">
        <f t="shared" si="2450"/>
        <v>1</v>
      </c>
    </row>
    <row r="5804" spans="1:19" hidden="1" x14ac:dyDescent="0.25">
      <c r="A5804" s="5" t="str">
        <f t="shared" si="2438"/>
        <v>44158GOLD</v>
      </c>
      <c r="B5804" s="6" t="s">
        <v>85</v>
      </c>
      <c r="C5804" s="6">
        <v>1846</v>
      </c>
      <c r="D5804" s="6">
        <v>1895</v>
      </c>
      <c r="E5804" s="6">
        <v>1872</v>
      </c>
      <c r="F5804" t="str">
        <f t="shared" si="2439"/>
        <v>MON</v>
      </c>
      <c r="G5804" s="3">
        <f t="shared" si="2440"/>
        <v>44158</v>
      </c>
      <c r="H5804" s="2">
        <f t="shared" ca="1" si="2441"/>
        <v>95</v>
      </c>
      <c r="I5804" t="str">
        <f t="shared" si="2442"/>
        <v>GOLD</v>
      </c>
      <c r="J5804">
        <f t="shared" si="2443"/>
        <v>1846</v>
      </c>
      <c r="K5804">
        <f t="shared" si="2444"/>
        <v>1895</v>
      </c>
      <c r="L5804">
        <f t="shared" si="2445"/>
        <v>1870.5</v>
      </c>
      <c r="M5804">
        <f t="shared" si="2446"/>
        <v>24.5</v>
      </c>
      <c r="N5804">
        <f t="shared" si="2435"/>
        <v>49</v>
      </c>
      <c r="O5804">
        <f t="shared" si="2447"/>
        <v>1872</v>
      </c>
      <c r="P5804">
        <f t="shared" si="2448"/>
        <v>6.1224489795918366E-2</v>
      </c>
      <c r="Q5804" t="str">
        <f t="shared" si="2436"/>
        <v>1.39% | 1.23%</v>
      </c>
      <c r="R5804" t="str">
        <f t="shared" si="2449"/>
        <v>BEARISH</v>
      </c>
      <c r="S5804">
        <f t="shared" si="2450"/>
        <v>-1</v>
      </c>
    </row>
    <row r="5805" spans="1:19" hidden="1" x14ac:dyDescent="0.25">
      <c r="A5805" s="5" t="str">
        <f t="shared" si="2438"/>
        <v>44158COPPER</v>
      </c>
      <c r="B5805" s="6" t="s">
        <v>100</v>
      </c>
      <c r="C5805" s="6">
        <v>3.14</v>
      </c>
      <c r="D5805" s="6">
        <v>3.31</v>
      </c>
      <c r="E5805" s="6">
        <v>3.29</v>
      </c>
      <c r="F5805" t="str">
        <f t="shared" si="2439"/>
        <v>MON</v>
      </c>
      <c r="G5805" s="3">
        <f t="shared" si="2440"/>
        <v>44158</v>
      </c>
      <c r="H5805" s="2">
        <f t="shared" ca="1" si="2441"/>
        <v>95</v>
      </c>
      <c r="I5805" t="str">
        <f t="shared" si="2442"/>
        <v>COPPER</v>
      </c>
      <c r="J5805">
        <f t="shared" si="2443"/>
        <v>3.14</v>
      </c>
      <c r="K5805">
        <f t="shared" si="2444"/>
        <v>3.31</v>
      </c>
      <c r="L5805">
        <f t="shared" si="2445"/>
        <v>3.2250000000000001</v>
      </c>
      <c r="M5805">
        <f t="shared" si="2446"/>
        <v>8.4999999999999964E-2</v>
      </c>
      <c r="N5805">
        <f t="shared" si="2435"/>
        <v>0.16999999999999993</v>
      </c>
      <c r="O5805">
        <f t="shared" si="2447"/>
        <v>3.29</v>
      </c>
      <c r="P5805">
        <f t="shared" si="2448"/>
        <v>0.7647058823529409</v>
      </c>
      <c r="Q5805" t="str">
        <f t="shared" si="2436"/>
        <v>4.56% | 0.61%</v>
      </c>
      <c r="R5805" t="str">
        <f t="shared" si="2449"/>
        <v>BULLISH</v>
      </c>
      <c r="S5805">
        <f t="shared" si="2450"/>
        <v>1</v>
      </c>
    </row>
    <row r="5806" spans="1:19" hidden="1" x14ac:dyDescent="0.25">
      <c r="A5806" s="5" t="str">
        <f t="shared" si="2438"/>
        <v>44158MSFT</v>
      </c>
      <c r="B5806" s="6" t="s">
        <v>235</v>
      </c>
      <c r="C5806" s="6">
        <v>207</v>
      </c>
      <c r="D5806" s="6">
        <v>219</v>
      </c>
      <c r="E5806" s="6">
        <v>210</v>
      </c>
      <c r="F5806" t="str">
        <f t="shared" si="2439"/>
        <v>MON</v>
      </c>
      <c r="G5806" s="3">
        <f t="shared" si="2440"/>
        <v>44158</v>
      </c>
      <c r="H5806" s="2">
        <f t="shared" ca="1" si="2441"/>
        <v>95</v>
      </c>
      <c r="I5806" t="str">
        <f t="shared" si="2442"/>
        <v>MSFT</v>
      </c>
      <c r="J5806">
        <f t="shared" si="2443"/>
        <v>207</v>
      </c>
      <c r="K5806">
        <f t="shared" si="2444"/>
        <v>219</v>
      </c>
      <c r="L5806">
        <f t="shared" si="2445"/>
        <v>213</v>
      </c>
      <c r="M5806">
        <f t="shared" si="2446"/>
        <v>6</v>
      </c>
      <c r="N5806">
        <f t="shared" si="2435"/>
        <v>12</v>
      </c>
      <c r="O5806">
        <f t="shared" si="2447"/>
        <v>210</v>
      </c>
      <c r="P5806">
        <f t="shared" si="2448"/>
        <v>-0.5</v>
      </c>
      <c r="Q5806" t="str">
        <f t="shared" si="2436"/>
        <v>1.43% | 4.29%</v>
      </c>
      <c r="R5806" t="str">
        <f t="shared" si="2449"/>
        <v>NEUTRAL</v>
      </c>
      <c r="S5806">
        <f t="shared" si="2450"/>
        <v>0</v>
      </c>
    </row>
    <row r="5807" spans="1:19" hidden="1" x14ac:dyDescent="0.25">
      <c r="A5807" s="5" t="str">
        <f t="shared" si="2438"/>
        <v>44158AAPL</v>
      </c>
      <c r="B5807" s="6" t="s">
        <v>28</v>
      </c>
      <c r="C5807" s="6">
        <v>115</v>
      </c>
      <c r="D5807" s="6">
        <v>122</v>
      </c>
      <c r="E5807" s="6">
        <v>117</v>
      </c>
      <c r="F5807" t="str">
        <f t="shared" si="2439"/>
        <v>MON</v>
      </c>
      <c r="G5807" s="3">
        <f t="shared" si="2440"/>
        <v>44158</v>
      </c>
      <c r="H5807" s="2">
        <f t="shared" ca="1" si="2441"/>
        <v>95</v>
      </c>
      <c r="I5807" t="str">
        <f t="shared" si="2442"/>
        <v>AAPL</v>
      </c>
      <c r="J5807">
        <f t="shared" si="2443"/>
        <v>115</v>
      </c>
      <c r="K5807">
        <f t="shared" si="2444"/>
        <v>122</v>
      </c>
      <c r="L5807">
        <f t="shared" si="2445"/>
        <v>118.5</v>
      </c>
      <c r="M5807">
        <f t="shared" si="2446"/>
        <v>3.5</v>
      </c>
      <c r="N5807">
        <f t="shared" si="2435"/>
        <v>7</v>
      </c>
      <c r="O5807">
        <f t="shared" si="2447"/>
        <v>117</v>
      </c>
      <c r="P5807">
        <f t="shared" si="2448"/>
        <v>-0.42857142857142855</v>
      </c>
      <c r="Q5807" t="str">
        <f t="shared" si="2436"/>
        <v>1.71% | 4.27%</v>
      </c>
      <c r="R5807" t="str">
        <f t="shared" si="2449"/>
        <v>BULLISH</v>
      </c>
      <c r="S5807">
        <f t="shared" si="2450"/>
        <v>1</v>
      </c>
    </row>
    <row r="5808" spans="1:19" hidden="1" x14ac:dyDescent="0.25">
      <c r="A5808" s="5" t="str">
        <f t="shared" si="2438"/>
        <v>44158AMZN</v>
      </c>
      <c r="B5808" s="6" t="s">
        <v>69</v>
      </c>
      <c r="C5808" s="6">
        <v>3011</v>
      </c>
      <c r="D5808" s="6">
        <v>3180</v>
      </c>
      <c r="E5808" s="6">
        <v>3099</v>
      </c>
      <c r="F5808" t="str">
        <f t="shared" si="2439"/>
        <v>MON</v>
      </c>
      <c r="G5808" s="3">
        <f t="shared" si="2440"/>
        <v>44158</v>
      </c>
      <c r="H5808" s="2">
        <f t="shared" ca="1" si="2441"/>
        <v>95</v>
      </c>
      <c r="I5808" t="str">
        <f t="shared" si="2442"/>
        <v>AMZN</v>
      </c>
      <c r="J5808">
        <f t="shared" si="2443"/>
        <v>3011</v>
      </c>
      <c r="K5808">
        <f t="shared" si="2444"/>
        <v>3180</v>
      </c>
      <c r="L5808">
        <f t="shared" si="2445"/>
        <v>3095.5</v>
      </c>
      <c r="M5808">
        <f t="shared" si="2446"/>
        <v>84.5</v>
      </c>
      <c r="N5808">
        <f t="shared" si="2435"/>
        <v>169</v>
      </c>
      <c r="O5808">
        <f t="shared" si="2447"/>
        <v>3099</v>
      </c>
      <c r="P5808">
        <f t="shared" si="2448"/>
        <v>4.142011834319527E-2</v>
      </c>
      <c r="Q5808" t="str">
        <f t="shared" si="2436"/>
        <v>2.84% | 2.61%</v>
      </c>
      <c r="R5808" t="str">
        <f t="shared" si="2449"/>
        <v>NEUTRAL</v>
      </c>
      <c r="S5808">
        <f t="shared" si="2450"/>
        <v>0</v>
      </c>
    </row>
    <row r="5809" spans="1:19" hidden="1" x14ac:dyDescent="0.25">
      <c r="A5809" s="5" t="str">
        <f t="shared" si="2438"/>
        <v>44158FB</v>
      </c>
      <c r="B5809" s="6" t="s">
        <v>157</v>
      </c>
      <c r="C5809" s="6">
        <v>264</v>
      </c>
      <c r="D5809" s="6">
        <v>281</v>
      </c>
      <c r="E5809" s="6">
        <v>269</v>
      </c>
      <c r="F5809" t="str">
        <f t="shared" si="2439"/>
        <v>MON</v>
      </c>
      <c r="G5809" s="3">
        <f t="shared" si="2440"/>
        <v>44158</v>
      </c>
      <c r="H5809" s="2">
        <f t="shared" ca="1" si="2441"/>
        <v>95</v>
      </c>
      <c r="I5809" t="str">
        <f t="shared" si="2442"/>
        <v>FB</v>
      </c>
      <c r="J5809">
        <f t="shared" si="2443"/>
        <v>264</v>
      </c>
      <c r="K5809">
        <f t="shared" si="2444"/>
        <v>281</v>
      </c>
      <c r="L5809">
        <f t="shared" si="2445"/>
        <v>272.5</v>
      </c>
      <c r="M5809">
        <f t="shared" si="2446"/>
        <v>8.5</v>
      </c>
      <c r="N5809">
        <f t="shared" si="2435"/>
        <v>17</v>
      </c>
      <c r="O5809">
        <f t="shared" si="2447"/>
        <v>269</v>
      </c>
      <c r="P5809">
        <f t="shared" si="2448"/>
        <v>-0.41176470588235292</v>
      </c>
      <c r="Q5809" t="str">
        <f t="shared" si="2436"/>
        <v>1.86% | 4.46%</v>
      </c>
      <c r="R5809" t="str">
        <f t="shared" si="2449"/>
        <v>NEUTRAL</v>
      </c>
      <c r="S5809">
        <f t="shared" si="2450"/>
        <v>0</v>
      </c>
    </row>
    <row r="5810" spans="1:19" hidden="1" x14ac:dyDescent="0.25">
      <c r="A5810" s="5" t="str">
        <f t="shared" si="2438"/>
        <v>44158GOOGL</v>
      </c>
      <c r="B5810" s="6" t="s">
        <v>31</v>
      </c>
      <c r="C5810" s="6">
        <v>1723</v>
      </c>
      <c r="D5810" s="6">
        <v>1783</v>
      </c>
      <c r="E5810" s="6">
        <v>1736</v>
      </c>
      <c r="F5810" t="str">
        <f t="shared" si="2439"/>
        <v>MON</v>
      </c>
      <c r="G5810" s="3">
        <f t="shared" si="2440"/>
        <v>44158</v>
      </c>
      <c r="H5810" s="2">
        <f t="shared" ca="1" si="2441"/>
        <v>95</v>
      </c>
      <c r="I5810" t="str">
        <f t="shared" si="2442"/>
        <v>GOOGL</v>
      </c>
      <c r="J5810">
        <f t="shared" si="2443"/>
        <v>1723</v>
      </c>
      <c r="K5810">
        <f t="shared" si="2444"/>
        <v>1783</v>
      </c>
      <c r="L5810">
        <f t="shared" si="2445"/>
        <v>1753</v>
      </c>
      <c r="M5810">
        <f t="shared" si="2446"/>
        <v>30</v>
      </c>
      <c r="N5810">
        <f t="shared" si="2435"/>
        <v>60</v>
      </c>
      <c r="O5810">
        <f t="shared" si="2447"/>
        <v>1736</v>
      </c>
      <c r="P5810">
        <f t="shared" si="2448"/>
        <v>-0.56666666666666665</v>
      </c>
      <c r="Q5810" t="str">
        <f t="shared" si="2436"/>
        <v>0.75% | 2.71%</v>
      </c>
      <c r="R5810" t="str">
        <f t="shared" si="2449"/>
        <v>BULLISH</v>
      </c>
      <c r="S5810">
        <f t="shared" si="2450"/>
        <v>1</v>
      </c>
    </row>
    <row r="5811" spans="1:19" hidden="1" x14ac:dyDescent="0.25">
      <c r="A5811" s="5" t="str">
        <f t="shared" si="2438"/>
        <v>44158NFLX</v>
      </c>
      <c r="B5811" s="6" t="s">
        <v>81</v>
      </c>
      <c r="C5811" s="6">
        <v>468</v>
      </c>
      <c r="D5811" s="6">
        <v>495</v>
      </c>
      <c r="E5811" s="6">
        <v>488</v>
      </c>
      <c r="F5811" t="str">
        <f t="shared" si="2439"/>
        <v>MON</v>
      </c>
      <c r="G5811" s="3">
        <f t="shared" si="2440"/>
        <v>44158</v>
      </c>
      <c r="H5811" s="2">
        <f t="shared" ca="1" si="2441"/>
        <v>95</v>
      </c>
      <c r="I5811" t="str">
        <f t="shared" si="2442"/>
        <v>NFLX</v>
      </c>
      <c r="J5811">
        <f t="shared" si="2443"/>
        <v>468</v>
      </c>
      <c r="K5811">
        <f t="shared" si="2444"/>
        <v>495</v>
      </c>
      <c r="L5811">
        <f t="shared" si="2445"/>
        <v>481.5</v>
      </c>
      <c r="M5811">
        <f t="shared" si="2446"/>
        <v>13.5</v>
      </c>
      <c r="N5811">
        <f t="shared" si="2435"/>
        <v>27</v>
      </c>
      <c r="O5811">
        <f t="shared" si="2447"/>
        <v>488</v>
      </c>
      <c r="P5811">
        <f t="shared" si="2448"/>
        <v>0.48148148148148145</v>
      </c>
      <c r="Q5811" t="str">
        <f t="shared" si="2436"/>
        <v>4.1% | 1.43%</v>
      </c>
      <c r="R5811" t="str">
        <f t="shared" si="2449"/>
        <v>BEARISH</v>
      </c>
      <c r="S5811">
        <f t="shared" si="2450"/>
        <v>-1</v>
      </c>
    </row>
    <row r="5812" spans="1:19" x14ac:dyDescent="0.25">
      <c r="A5812" s="5" t="str">
        <f t="shared" si="2438"/>
        <v>44158TSLA</v>
      </c>
      <c r="B5812" s="6" t="s">
        <v>33</v>
      </c>
      <c r="C5812" s="6">
        <v>433</v>
      </c>
      <c r="D5812" s="6">
        <v>516</v>
      </c>
      <c r="E5812" s="6">
        <v>489</v>
      </c>
      <c r="F5812" t="str">
        <f t="shared" si="2439"/>
        <v>MON</v>
      </c>
      <c r="G5812" s="3">
        <f t="shared" si="2440"/>
        <v>44158</v>
      </c>
      <c r="H5812" s="2">
        <f t="shared" ca="1" si="2441"/>
        <v>95</v>
      </c>
      <c r="I5812" t="str">
        <f t="shared" si="2442"/>
        <v>TSLA</v>
      </c>
      <c r="J5812">
        <f t="shared" si="2443"/>
        <v>433</v>
      </c>
      <c r="K5812">
        <f t="shared" si="2444"/>
        <v>516</v>
      </c>
      <c r="L5812">
        <f t="shared" si="2445"/>
        <v>474.5</v>
      </c>
      <c r="M5812">
        <f t="shared" si="2446"/>
        <v>41.5</v>
      </c>
      <c r="N5812">
        <f t="shared" si="2435"/>
        <v>83</v>
      </c>
      <c r="O5812">
        <f t="shared" si="2447"/>
        <v>489</v>
      </c>
      <c r="P5812">
        <f t="shared" si="2448"/>
        <v>0.3493975903614458</v>
      </c>
      <c r="Q5812" t="str">
        <f t="shared" si="2436"/>
        <v>11.45% | 5.52%</v>
      </c>
      <c r="R5812" t="str">
        <f t="shared" si="2449"/>
        <v>BULLISH</v>
      </c>
      <c r="S5812">
        <f t="shared" si="2450"/>
        <v>1</v>
      </c>
    </row>
    <row r="5813" spans="1:19" hidden="1" x14ac:dyDescent="0.25">
      <c r="A5813" s="5" t="str">
        <f t="shared" si="2438"/>
        <v>44158NYXBT</v>
      </c>
      <c r="B5813" s="6" t="s">
        <v>60</v>
      </c>
      <c r="C5813" s="6">
        <v>16814</v>
      </c>
      <c r="D5813" s="6">
        <v>19115</v>
      </c>
      <c r="E5813" s="6">
        <v>18721</v>
      </c>
      <c r="F5813" t="str">
        <f t="shared" si="2439"/>
        <v>MON</v>
      </c>
      <c r="G5813" s="3">
        <f t="shared" si="2440"/>
        <v>44158</v>
      </c>
      <c r="H5813" s="2">
        <f t="shared" ca="1" si="2441"/>
        <v>95</v>
      </c>
      <c r="I5813" t="str">
        <f t="shared" si="2442"/>
        <v>NYXBT</v>
      </c>
      <c r="J5813">
        <f t="shared" si="2443"/>
        <v>16814</v>
      </c>
      <c r="K5813">
        <f t="shared" si="2444"/>
        <v>19115</v>
      </c>
      <c r="L5813">
        <f t="shared" si="2445"/>
        <v>17964.5</v>
      </c>
      <c r="M5813">
        <f t="shared" si="2446"/>
        <v>1150.5</v>
      </c>
      <c r="N5813">
        <f t="shared" si="2435"/>
        <v>2301</v>
      </c>
      <c r="O5813">
        <f t="shared" si="2447"/>
        <v>18721</v>
      </c>
      <c r="P5813">
        <f t="shared" si="2448"/>
        <v>0.65754019991308121</v>
      </c>
      <c r="Q5813" t="str">
        <f t="shared" si="2436"/>
        <v>10.19% | 2.1%</v>
      </c>
      <c r="R5813" t="str">
        <f t="shared" si="2449"/>
        <v>BULLISH</v>
      </c>
      <c r="S5813">
        <f t="shared" si="2450"/>
        <v>1</v>
      </c>
    </row>
    <row r="5814" spans="1:19" hidden="1" x14ac:dyDescent="0.25">
      <c r="A5814" s="5" t="str">
        <f t="shared" si="2438"/>
        <v>44159UST10Y</v>
      </c>
      <c r="B5814" s="6" t="s">
        <v>246</v>
      </c>
      <c r="C5814" s="6">
        <v>0.97</v>
      </c>
      <c r="D5814" s="6">
        <v>0.83</v>
      </c>
      <c r="E5814" s="6">
        <v>0.86</v>
      </c>
      <c r="F5814" t="str">
        <f t="shared" si="2439"/>
        <v>TUE</v>
      </c>
      <c r="G5814" s="1">
        <f>DATE(2020,11,24)</f>
        <v>44159</v>
      </c>
      <c r="H5814" s="2">
        <f t="shared" ca="1" si="2441"/>
        <v>94</v>
      </c>
      <c r="I5814" t="str">
        <f t="shared" si="2442"/>
        <v>UST10Y</v>
      </c>
      <c r="J5814">
        <f t="shared" si="2443"/>
        <v>0.97</v>
      </c>
      <c r="K5814">
        <f t="shared" si="2444"/>
        <v>0.83</v>
      </c>
      <c r="L5814">
        <f t="shared" si="2445"/>
        <v>0.89999999999999991</v>
      </c>
      <c r="M5814">
        <f t="shared" si="2446"/>
        <v>7.0000000000000007E-2</v>
      </c>
      <c r="N5814">
        <f t="shared" si="2435"/>
        <v>0.14000000000000001</v>
      </c>
      <c r="O5814">
        <f t="shared" si="2447"/>
        <v>0.86</v>
      </c>
      <c r="P5814">
        <f t="shared" si="2448"/>
        <v>-0.57142857142857029</v>
      </c>
      <c r="Q5814" t="str">
        <f t="shared" si="2436"/>
        <v>12.79% | 3.49%</v>
      </c>
      <c r="R5814" t="str">
        <f t="shared" si="2449"/>
        <v>NEUTRAL</v>
      </c>
      <c r="S5814">
        <f t="shared" si="2450"/>
        <v>0</v>
      </c>
    </row>
    <row r="5815" spans="1:19" hidden="1" x14ac:dyDescent="0.25">
      <c r="A5815" s="5" t="str">
        <f t="shared" si="2438"/>
        <v>44159UST2Y</v>
      </c>
      <c r="B5815" s="6" t="s">
        <v>253</v>
      </c>
      <c r="C5815" s="6">
        <v>0.19</v>
      </c>
      <c r="D5815" s="6">
        <v>0.14000000000000001</v>
      </c>
      <c r="E5815" s="6">
        <v>0.16</v>
      </c>
      <c r="F5815" t="str">
        <f t="shared" ref="F5815:F5845" si="2451">UPPER(TEXT(G5815,"ddd"))</f>
        <v>TUE</v>
      </c>
      <c r="G5815" s="1">
        <f t="shared" ref="G5815:G5844" si="2452">DATE(2020,11,24)</f>
        <v>44159</v>
      </c>
      <c r="H5815" s="2">
        <f t="shared" ref="H5815:H5845" ca="1" si="2453">TODAY()-G5815</f>
        <v>94</v>
      </c>
      <c r="I5815" t="str">
        <f t="shared" ref="I5815:I5845" si="2454">TRIM(LEFT(B5815,FIND(" ",B5815,1)))</f>
        <v>UST2Y</v>
      </c>
      <c r="J5815">
        <f t="shared" ref="J5815:J5845" si="2455">C5815</f>
        <v>0.19</v>
      </c>
      <c r="K5815">
        <f t="shared" ref="K5815:K5845" si="2456">D5815</f>
        <v>0.14000000000000001</v>
      </c>
      <c r="L5815">
        <f t="shared" ref="L5815:L5845" si="2457">AVERAGE(J5815:K5815)</f>
        <v>0.16500000000000001</v>
      </c>
      <c r="M5815">
        <f t="shared" ref="M5815:M5845" si="2458">_xlfn.STDEV.P(J5815:K5815)</f>
        <v>2.4999999999999942E-2</v>
      </c>
      <c r="N5815">
        <f t="shared" si="2435"/>
        <v>4.9999999999999989E-2</v>
      </c>
      <c r="O5815">
        <f t="shared" ref="O5815:O5845" si="2459">E5815</f>
        <v>0.16</v>
      </c>
      <c r="P5815">
        <f t="shared" ref="P5815:P5845" si="2460">(O5815-L5815)/M5815</f>
        <v>-0.20000000000000065</v>
      </c>
      <c r="Q5815" t="str">
        <f t="shared" si="2436"/>
        <v>18.75% | 12.5%</v>
      </c>
      <c r="R5815" t="str">
        <f t="shared" ref="R5815:R5845" si="2461">MID(B5815,FIND("(",B5815,1)+1,FIND(")",B5815,1)-FIND("(",B5815,1)-1)</f>
        <v>NEUTRAL</v>
      </c>
      <c r="S5815">
        <f t="shared" ref="S5815:S5845" si="2462">IF(R5815="BEARISH",-1,IF(R5815="NEUTRAL",0,IF(R5815="BULLISH",1,99)))</f>
        <v>0</v>
      </c>
    </row>
    <row r="5816" spans="1:19" hidden="1" x14ac:dyDescent="0.25">
      <c r="A5816" s="5" t="str">
        <f t="shared" si="2438"/>
        <v>44159SPX</v>
      </c>
      <c r="B5816" s="6" t="s">
        <v>93</v>
      </c>
      <c r="C5816" s="6">
        <v>3519</v>
      </c>
      <c r="D5816" s="6">
        <v>3631</v>
      </c>
      <c r="E5816" s="6">
        <v>3577</v>
      </c>
      <c r="F5816" t="str">
        <f t="shared" si="2451"/>
        <v>TUE</v>
      </c>
      <c r="G5816" s="1">
        <f t="shared" si="2452"/>
        <v>44159</v>
      </c>
      <c r="H5816" s="2">
        <f t="shared" ca="1" si="2453"/>
        <v>94</v>
      </c>
      <c r="I5816" t="str">
        <f t="shared" si="2454"/>
        <v>SPX</v>
      </c>
      <c r="J5816">
        <f t="shared" si="2455"/>
        <v>3519</v>
      </c>
      <c r="K5816">
        <f t="shared" si="2456"/>
        <v>3631</v>
      </c>
      <c r="L5816">
        <f t="shared" si="2457"/>
        <v>3575</v>
      </c>
      <c r="M5816">
        <f t="shared" si="2458"/>
        <v>56</v>
      </c>
      <c r="N5816">
        <f t="shared" si="2435"/>
        <v>112</v>
      </c>
      <c r="O5816">
        <f t="shared" si="2459"/>
        <v>3577</v>
      </c>
      <c r="P5816">
        <f t="shared" si="2460"/>
        <v>3.5714285714285712E-2</v>
      </c>
      <c r="Q5816" t="str">
        <f t="shared" si="2436"/>
        <v>1.62% | 1.51%</v>
      </c>
      <c r="R5816" t="str">
        <f t="shared" si="2461"/>
        <v>BULLISH</v>
      </c>
      <c r="S5816">
        <f t="shared" si="2462"/>
        <v>1</v>
      </c>
    </row>
    <row r="5817" spans="1:19" hidden="1" x14ac:dyDescent="0.25">
      <c r="A5817" s="5" t="str">
        <f t="shared" si="2438"/>
        <v>44159RUT</v>
      </c>
      <c r="B5817" s="6" t="s">
        <v>247</v>
      </c>
      <c r="C5817" s="6">
        <v>1718</v>
      </c>
      <c r="D5817" s="6">
        <v>1833</v>
      </c>
      <c r="E5817" s="6">
        <v>1818</v>
      </c>
      <c r="F5817" t="str">
        <f t="shared" si="2451"/>
        <v>TUE</v>
      </c>
      <c r="G5817" s="1">
        <f t="shared" si="2452"/>
        <v>44159</v>
      </c>
      <c r="H5817" s="2">
        <f t="shared" ca="1" si="2453"/>
        <v>94</v>
      </c>
      <c r="I5817" t="str">
        <f t="shared" si="2454"/>
        <v>RUT</v>
      </c>
      <c r="J5817">
        <f t="shared" si="2455"/>
        <v>1718</v>
      </c>
      <c r="K5817">
        <f t="shared" si="2456"/>
        <v>1833</v>
      </c>
      <c r="L5817">
        <f t="shared" si="2457"/>
        <v>1775.5</v>
      </c>
      <c r="M5817">
        <f t="shared" si="2458"/>
        <v>57.5</v>
      </c>
      <c r="N5817">
        <f t="shared" si="2435"/>
        <v>115</v>
      </c>
      <c r="O5817">
        <f t="shared" si="2459"/>
        <v>1818</v>
      </c>
      <c r="P5817">
        <f t="shared" si="2460"/>
        <v>0.73913043478260865</v>
      </c>
      <c r="Q5817" t="str">
        <f t="shared" si="2436"/>
        <v>5.5% | 0.83%</v>
      </c>
      <c r="R5817" t="str">
        <f t="shared" si="2461"/>
        <v>BULLISH</v>
      </c>
      <c r="S5817">
        <f t="shared" si="2462"/>
        <v>1</v>
      </c>
    </row>
    <row r="5818" spans="1:19" hidden="1" x14ac:dyDescent="0.25">
      <c r="A5818" s="5" t="str">
        <f t="shared" si="2438"/>
        <v>44159COMPQ</v>
      </c>
      <c r="B5818" s="6" t="s">
        <v>8</v>
      </c>
      <c r="C5818" s="6">
        <v>11641</v>
      </c>
      <c r="D5818" s="6">
        <v>12003</v>
      </c>
      <c r="E5818" s="6">
        <v>11880</v>
      </c>
      <c r="F5818" t="str">
        <f t="shared" si="2451"/>
        <v>TUE</v>
      </c>
      <c r="G5818" s="1">
        <f t="shared" si="2452"/>
        <v>44159</v>
      </c>
      <c r="H5818" s="2">
        <f t="shared" ca="1" si="2453"/>
        <v>94</v>
      </c>
      <c r="I5818" t="str">
        <f t="shared" si="2454"/>
        <v>COMPQ</v>
      </c>
      <c r="J5818">
        <f t="shared" si="2455"/>
        <v>11641</v>
      </c>
      <c r="K5818">
        <f t="shared" si="2456"/>
        <v>12003</v>
      </c>
      <c r="L5818">
        <f t="shared" si="2457"/>
        <v>11822</v>
      </c>
      <c r="M5818">
        <f t="shared" si="2458"/>
        <v>181</v>
      </c>
      <c r="N5818">
        <f t="shared" si="2435"/>
        <v>362</v>
      </c>
      <c r="O5818">
        <f t="shared" si="2459"/>
        <v>11880</v>
      </c>
      <c r="P5818">
        <f t="shared" si="2460"/>
        <v>0.32044198895027626</v>
      </c>
      <c r="Q5818" t="str">
        <f t="shared" si="2436"/>
        <v>2.01% | 1.04%</v>
      </c>
      <c r="R5818" t="str">
        <f t="shared" si="2461"/>
        <v>BULLISH</v>
      </c>
      <c r="S5818">
        <f t="shared" si="2462"/>
        <v>1</v>
      </c>
    </row>
    <row r="5819" spans="1:19" hidden="1" x14ac:dyDescent="0.25">
      <c r="A5819" s="5" t="str">
        <f t="shared" si="2438"/>
        <v>44159XLK</v>
      </c>
      <c r="B5819" s="6" t="s">
        <v>10</v>
      </c>
      <c r="C5819" s="6">
        <v>118.52</v>
      </c>
      <c r="D5819" s="6">
        <v>122.95</v>
      </c>
      <c r="E5819" s="6">
        <v>120.08</v>
      </c>
      <c r="F5819" t="str">
        <f t="shared" si="2451"/>
        <v>TUE</v>
      </c>
      <c r="G5819" s="1">
        <f t="shared" si="2452"/>
        <v>44159</v>
      </c>
      <c r="H5819" s="2">
        <f t="shared" ca="1" si="2453"/>
        <v>94</v>
      </c>
      <c r="I5819" t="str">
        <f t="shared" si="2454"/>
        <v>XLK</v>
      </c>
      <c r="J5819">
        <f t="shared" si="2455"/>
        <v>118.52</v>
      </c>
      <c r="K5819">
        <f t="shared" si="2456"/>
        <v>122.95</v>
      </c>
      <c r="L5819">
        <f t="shared" si="2457"/>
        <v>120.735</v>
      </c>
      <c r="M5819">
        <f t="shared" si="2458"/>
        <v>2.2150000000000034</v>
      </c>
      <c r="N5819">
        <f t="shared" si="2435"/>
        <v>4.4300000000000068</v>
      </c>
      <c r="O5819">
        <f t="shared" si="2459"/>
        <v>120.08</v>
      </c>
      <c r="P5819">
        <f t="shared" si="2460"/>
        <v>-0.29571106094808131</v>
      </c>
      <c r="Q5819" t="str">
        <f t="shared" si="2436"/>
        <v>1.3% | 2.39%</v>
      </c>
      <c r="R5819" t="str">
        <f t="shared" si="2461"/>
        <v>BULLISH</v>
      </c>
      <c r="S5819">
        <f t="shared" si="2462"/>
        <v>1</v>
      </c>
    </row>
    <row r="5820" spans="1:19" hidden="1" x14ac:dyDescent="0.25">
      <c r="A5820" s="5" t="str">
        <f t="shared" si="2438"/>
        <v>44159XLU</v>
      </c>
      <c r="B5820" s="6" t="s">
        <v>80</v>
      </c>
      <c r="C5820" s="6">
        <v>62.31</v>
      </c>
      <c r="D5820" s="6">
        <v>65.55</v>
      </c>
      <c r="E5820" s="6">
        <v>63.55</v>
      </c>
      <c r="F5820" t="str">
        <f t="shared" si="2451"/>
        <v>TUE</v>
      </c>
      <c r="G5820" s="1">
        <f t="shared" si="2452"/>
        <v>44159</v>
      </c>
      <c r="H5820" s="2">
        <f t="shared" ca="1" si="2453"/>
        <v>94</v>
      </c>
      <c r="I5820" t="str">
        <f t="shared" si="2454"/>
        <v>XLU</v>
      </c>
      <c r="J5820">
        <f t="shared" si="2455"/>
        <v>62.31</v>
      </c>
      <c r="K5820">
        <f t="shared" si="2456"/>
        <v>65.55</v>
      </c>
      <c r="L5820">
        <f t="shared" si="2457"/>
        <v>63.93</v>
      </c>
      <c r="M5820">
        <f t="shared" si="2458"/>
        <v>1.6199999999999974</v>
      </c>
      <c r="N5820">
        <f t="shared" si="2435"/>
        <v>3.2399999999999949</v>
      </c>
      <c r="O5820">
        <f t="shared" si="2459"/>
        <v>63.55</v>
      </c>
      <c r="P5820">
        <f t="shared" si="2460"/>
        <v>-0.23456790123456986</v>
      </c>
      <c r="Q5820" t="str">
        <f t="shared" si="2436"/>
        <v>1.95% | 3.15%</v>
      </c>
      <c r="R5820" t="str">
        <f t="shared" si="2461"/>
        <v>NEUTRAL</v>
      </c>
      <c r="S5820">
        <f t="shared" si="2462"/>
        <v>0</v>
      </c>
    </row>
    <row r="5821" spans="1:19" hidden="1" x14ac:dyDescent="0.25">
      <c r="A5821" s="5" t="str">
        <f t="shared" si="2438"/>
        <v>44159XLE</v>
      </c>
      <c r="B5821" s="6" t="s">
        <v>250</v>
      </c>
      <c r="C5821" s="6">
        <v>33.119999999999997</v>
      </c>
      <c r="D5821" s="6">
        <v>38.9</v>
      </c>
      <c r="E5821" s="6">
        <v>38.340000000000003</v>
      </c>
      <c r="F5821" t="str">
        <f t="shared" si="2451"/>
        <v>TUE</v>
      </c>
      <c r="G5821" s="1">
        <f t="shared" si="2452"/>
        <v>44159</v>
      </c>
      <c r="H5821" s="2">
        <f t="shared" ca="1" si="2453"/>
        <v>94</v>
      </c>
      <c r="I5821" t="str">
        <f t="shared" si="2454"/>
        <v>XLE</v>
      </c>
      <c r="J5821">
        <f t="shared" si="2455"/>
        <v>33.119999999999997</v>
      </c>
      <c r="K5821">
        <f t="shared" si="2456"/>
        <v>38.9</v>
      </c>
      <c r="L5821">
        <f t="shared" si="2457"/>
        <v>36.01</v>
      </c>
      <c r="M5821">
        <f t="shared" si="2458"/>
        <v>2.8900000000000006</v>
      </c>
      <c r="N5821">
        <f t="shared" si="2435"/>
        <v>5.7800000000000011</v>
      </c>
      <c r="O5821">
        <f t="shared" si="2459"/>
        <v>38.340000000000003</v>
      </c>
      <c r="P5821">
        <f t="shared" si="2460"/>
        <v>0.80622837370242384</v>
      </c>
      <c r="Q5821" t="str">
        <f t="shared" si="2436"/>
        <v>13.62% | 1.46%</v>
      </c>
      <c r="R5821" t="str">
        <f t="shared" si="2461"/>
        <v>BULLISH</v>
      </c>
      <c r="S5821">
        <f t="shared" si="2462"/>
        <v>1</v>
      </c>
    </row>
    <row r="5822" spans="1:19" hidden="1" x14ac:dyDescent="0.25">
      <c r="A5822" s="5" t="str">
        <f t="shared" si="2438"/>
        <v>44159GDX</v>
      </c>
      <c r="B5822" s="6" t="s">
        <v>254</v>
      </c>
      <c r="C5822" s="6">
        <v>34.06</v>
      </c>
      <c r="D5822" s="6">
        <v>36.950000000000003</v>
      </c>
      <c r="E5822" s="6">
        <v>34.36</v>
      </c>
      <c r="F5822" t="str">
        <f t="shared" si="2451"/>
        <v>TUE</v>
      </c>
      <c r="G5822" s="1">
        <f t="shared" si="2452"/>
        <v>44159</v>
      </c>
      <c r="H5822" s="2">
        <f t="shared" ca="1" si="2453"/>
        <v>94</v>
      </c>
      <c r="I5822" t="str">
        <f t="shared" si="2454"/>
        <v>GDX</v>
      </c>
      <c r="J5822">
        <f t="shared" si="2455"/>
        <v>34.06</v>
      </c>
      <c r="K5822">
        <f t="shared" si="2456"/>
        <v>36.950000000000003</v>
      </c>
      <c r="L5822">
        <f t="shared" si="2457"/>
        <v>35.505000000000003</v>
      </c>
      <c r="M5822">
        <f t="shared" si="2458"/>
        <v>1.4450000000000003</v>
      </c>
      <c r="N5822">
        <f t="shared" si="2435"/>
        <v>2.8900000000000006</v>
      </c>
      <c r="O5822">
        <f t="shared" si="2459"/>
        <v>34.36</v>
      </c>
      <c r="P5822">
        <f t="shared" si="2460"/>
        <v>-0.79238754325259719</v>
      </c>
      <c r="Q5822" t="str">
        <f t="shared" si="2436"/>
        <v>0.87% | 7.54%</v>
      </c>
      <c r="R5822" t="str">
        <f t="shared" si="2461"/>
        <v>BEARISH</v>
      </c>
      <c r="S5822">
        <f t="shared" si="2462"/>
        <v>-1</v>
      </c>
    </row>
    <row r="5823" spans="1:19" hidden="1" x14ac:dyDescent="0.25">
      <c r="A5823" s="5" t="str">
        <f t="shared" si="2438"/>
        <v>44159SSEC</v>
      </c>
      <c r="B5823" s="6" t="s">
        <v>104</v>
      </c>
      <c r="C5823" s="6">
        <v>3327</v>
      </c>
      <c r="D5823" s="6">
        <v>3428</v>
      </c>
      <c r="E5823" s="6">
        <v>3402</v>
      </c>
      <c r="F5823" t="str">
        <f t="shared" si="2451"/>
        <v>TUE</v>
      </c>
      <c r="G5823" s="1">
        <f t="shared" si="2452"/>
        <v>44159</v>
      </c>
      <c r="H5823" s="2">
        <f t="shared" ca="1" si="2453"/>
        <v>94</v>
      </c>
      <c r="I5823" t="str">
        <f t="shared" si="2454"/>
        <v>SSEC</v>
      </c>
      <c r="J5823">
        <f t="shared" si="2455"/>
        <v>3327</v>
      </c>
      <c r="K5823">
        <f t="shared" si="2456"/>
        <v>3428</v>
      </c>
      <c r="L5823">
        <f t="shared" si="2457"/>
        <v>3377.5</v>
      </c>
      <c r="M5823">
        <f t="shared" si="2458"/>
        <v>50.5</v>
      </c>
      <c r="N5823">
        <f t="shared" si="2435"/>
        <v>101</v>
      </c>
      <c r="O5823">
        <f t="shared" si="2459"/>
        <v>3402</v>
      </c>
      <c r="P5823">
        <f t="shared" si="2460"/>
        <v>0.48514851485148514</v>
      </c>
      <c r="Q5823" t="str">
        <f t="shared" si="2436"/>
        <v>2.2% | 0.76%</v>
      </c>
      <c r="R5823" t="str">
        <f t="shared" si="2461"/>
        <v>BULLISH</v>
      </c>
      <c r="S5823">
        <f t="shared" si="2462"/>
        <v>1</v>
      </c>
    </row>
    <row r="5824" spans="1:19" hidden="1" x14ac:dyDescent="0.25">
      <c r="A5824" s="5" t="str">
        <f t="shared" si="2438"/>
        <v>44159NIKK</v>
      </c>
      <c r="B5824" s="6" t="s">
        <v>91</v>
      </c>
      <c r="C5824" s="6">
        <v>24952</v>
      </c>
      <c r="D5824" s="6">
        <v>26292</v>
      </c>
      <c r="E5824" s="6">
        <v>26165</v>
      </c>
      <c r="F5824" t="str">
        <f t="shared" si="2451"/>
        <v>TUE</v>
      </c>
      <c r="G5824" s="1">
        <f t="shared" si="2452"/>
        <v>44159</v>
      </c>
      <c r="H5824" s="2">
        <f t="shared" ca="1" si="2453"/>
        <v>94</v>
      </c>
      <c r="I5824" t="str">
        <f t="shared" si="2454"/>
        <v>NIKK</v>
      </c>
      <c r="J5824">
        <f t="shared" si="2455"/>
        <v>24952</v>
      </c>
      <c r="K5824">
        <f t="shared" si="2456"/>
        <v>26292</v>
      </c>
      <c r="L5824">
        <f t="shared" si="2457"/>
        <v>25622</v>
      </c>
      <c r="M5824">
        <f t="shared" si="2458"/>
        <v>670</v>
      </c>
      <c r="N5824">
        <f t="shared" si="2435"/>
        <v>1340</v>
      </c>
      <c r="O5824">
        <f t="shared" si="2459"/>
        <v>26165</v>
      </c>
      <c r="P5824">
        <f t="shared" si="2460"/>
        <v>0.81044776119402984</v>
      </c>
      <c r="Q5824" t="str">
        <f t="shared" si="2436"/>
        <v>4.64% | 0.49%</v>
      </c>
      <c r="R5824" t="str">
        <f t="shared" si="2461"/>
        <v>BULLISH</v>
      </c>
      <c r="S5824">
        <f t="shared" si="2462"/>
        <v>1</v>
      </c>
    </row>
    <row r="5825" spans="1:19" hidden="1" x14ac:dyDescent="0.25">
      <c r="A5825" s="5" t="str">
        <f t="shared" si="2438"/>
        <v>44159DAX</v>
      </c>
      <c r="B5825" s="6" t="s">
        <v>16</v>
      </c>
      <c r="C5825" s="6">
        <v>12801</v>
      </c>
      <c r="D5825" s="6">
        <v>13332</v>
      </c>
      <c r="E5825" s="6">
        <v>13126</v>
      </c>
      <c r="F5825" t="str">
        <f t="shared" si="2451"/>
        <v>TUE</v>
      </c>
      <c r="G5825" s="1">
        <f t="shared" si="2452"/>
        <v>44159</v>
      </c>
      <c r="H5825" s="2">
        <f t="shared" ca="1" si="2453"/>
        <v>94</v>
      </c>
      <c r="I5825" t="str">
        <f t="shared" si="2454"/>
        <v>DAX</v>
      </c>
      <c r="J5825">
        <f t="shared" si="2455"/>
        <v>12801</v>
      </c>
      <c r="K5825">
        <f t="shared" si="2456"/>
        <v>13332</v>
      </c>
      <c r="L5825">
        <f t="shared" si="2457"/>
        <v>13066.5</v>
      </c>
      <c r="M5825">
        <f t="shared" si="2458"/>
        <v>265.5</v>
      </c>
      <c r="N5825">
        <f t="shared" si="2435"/>
        <v>531</v>
      </c>
      <c r="O5825">
        <f t="shared" si="2459"/>
        <v>13126</v>
      </c>
      <c r="P5825">
        <f t="shared" si="2460"/>
        <v>0.22410546139359699</v>
      </c>
      <c r="Q5825" t="str">
        <f t="shared" si="2436"/>
        <v>2.48% | 1.57%</v>
      </c>
      <c r="R5825" t="str">
        <f t="shared" si="2461"/>
        <v>BEARISH</v>
      </c>
      <c r="S5825">
        <f t="shared" si="2462"/>
        <v>-1</v>
      </c>
    </row>
    <row r="5826" spans="1:19" hidden="1" x14ac:dyDescent="0.25">
      <c r="A5826" s="5" t="str">
        <f t="shared" si="2438"/>
        <v>44159VIX</v>
      </c>
      <c r="B5826" s="6" t="s">
        <v>96</v>
      </c>
      <c r="C5826" s="6">
        <v>21.42</v>
      </c>
      <c r="D5826" s="6">
        <v>27.43</v>
      </c>
      <c r="E5826" s="6">
        <v>22.66</v>
      </c>
      <c r="F5826" t="str">
        <f t="shared" si="2451"/>
        <v>TUE</v>
      </c>
      <c r="G5826" s="1">
        <f t="shared" si="2452"/>
        <v>44159</v>
      </c>
      <c r="H5826" s="2">
        <f t="shared" ca="1" si="2453"/>
        <v>94</v>
      </c>
      <c r="I5826" t="str">
        <f t="shared" si="2454"/>
        <v>VIX</v>
      </c>
      <c r="J5826">
        <f t="shared" si="2455"/>
        <v>21.42</v>
      </c>
      <c r="K5826">
        <f t="shared" si="2456"/>
        <v>27.43</v>
      </c>
      <c r="L5826">
        <f t="shared" si="2457"/>
        <v>24.425000000000001</v>
      </c>
      <c r="M5826">
        <f t="shared" si="2458"/>
        <v>3.0050000000000039</v>
      </c>
      <c r="N5826">
        <f t="shared" si="2435"/>
        <v>6.009999999999998</v>
      </c>
      <c r="O5826">
        <f t="shared" si="2459"/>
        <v>22.66</v>
      </c>
      <c r="P5826">
        <f t="shared" si="2460"/>
        <v>-0.58735440931780314</v>
      </c>
      <c r="Q5826" t="str">
        <f t="shared" si="2436"/>
        <v>5.47% | 21.05%</v>
      </c>
      <c r="R5826" t="str">
        <f t="shared" si="2461"/>
        <v>BEARISH</v>
      </c>
      <c r="S5826">
        <f t="shared" si="2462"/>
        <v>-1</v>
      </c>
    </row>
    <row r="5827" spans="1:19" hidden="1" x14ac:dyDescent="0.25">
      <c r="A5827" s="5" t="str">
        <f t="shared" si="2438"/>
        <v>44159USD</v>
      </c>
      <c r="B5827" s="6" t="s">
        <v>94</v>
      </c>
      <c r="C5827" s="6">
        <v>91.96</v>
      </c>
      <c r="D5827" s="6">
        <v>92.99</v>
      </c>
      <c r="E5827" s="6">
        <v>92.49</v>
      </c>
      <c r="F5827" t="str">
        <f t="shared" si="2451"/>
        <v>TUE</v>
      </c>
      <c r="G5827" s="1">
        <f t="shared" si="2452"/>
        <v>44159</v>
      </c>
      <c r="H5827" s="2">
        <f t="shared" ca="1" si="2453"/>
        <v>94</v>
      </c>
      <c r="I5827" t="str">
        <f t="shared" si="2454"/>
        <v>USD</v>
      </c>
      <c r="J5827">
        <f t="shared" si="2455"/>
        <v>91.96</v>
      </c>
      <c r="K5827">
        <f t="shared" si="2456"/>
        <v>92.99</v>
      </c>
      <c r="L5827">
        <f t="shared" si="2457"/>
        <v>92.474999999999994</v>
      </c>
      <c r="M5827">
        <f t="shared" si="2458"/>
        <v>0.51500000000000057</v>
      </c>
      <c r="N5827">
        <f t="shared" ref="N5827:N5890" si="2463">ABS(K5827-J5827)</f>
        <v>1.0300000000000011</v>
      </c>
      <c r="O5827">
        <f t="shared" si="2459"/>
        <v>92.49</v>
      </c>
      <c r="P5827">
        <f t="shared" si="2460"/>
        <v>2.9126213592234083E-2</v>
      </c>
      <c r="Q5827" t="str">
        <f t="shared" ref="Q5827:Q5890" si="2464">ROUND(ABS(100*(O5827-J5827)/O5827),2)&amp;"% | "&amp;ROUND(ABS(100*(K5827-O5827)/O5827),2)&amp;"%"</f>
        <v>0.57% | 0.54%</v>
      </c>
      <c r="R5827" t="str">
        <f t="shared" si="2461"/>
        <v>BEARISH</v>
      </c>
      <c r="S5827">
        <f t="shared" si="2462"/>
        <v>-1</v>
      </c>
    </row>
    <row r="5828" spans="1:19" hidden="1" x14ac:dyDescent="0.25">
      <c r="A5828" s="5" t="str">
        <f t="shared" si="2438"/>
        <v>44159EUR/USD</v>
      </c>
      <c r="B5828" s="6" t="s">
        <v>99</v>
      </c>
      <c r="C5828" s="6">
        <v>1.177</v>
      </c>
      <c r="D5828" s="6">
        <v>1.1910000000000001</v>
      </c>
      <c r="E5828" s="6">
        <v>1.1839999999999999</v>
      </c>
      <c r="F5828" t="str">
        <f t="shared" si="2451"/>
        <v>TUE</v>
      </c>
      <c r="G5828" s="1">
        <f t="shared" si="2452"/>
        <v>44159</v>
      </c>
      <c r="H5828" s="2">
        <f t="shared" ca="1" si="2453"/>
        <v>94</v>
      </c>
      <c r="I5828" t="str">
        <f t="shared" si="2454"/>
        <v>EUR/USD</v>
      </c>
      <c r="J5828">
        <f t="shared" si="2455"/>
        <v>1.177</v>
      </c>
      <c r="K5828">
        <f t="shared" si="2456"/>
        <v>1.1910000000000001</v>
      </c>
      <c r="L5828">
        <f t="shared" si="2457"/>
        <v>1.1840000000000002</v>
      </c>
      <c r="M5828">
        <f t="shared" si="2458"/>
        <v>7.0000000000000062E-3</v>
      </c>
      <c r="N5828">
        <f t="shared" si="2463"/>
        <v>1.4000000000000012E-2</v>
      </c>
      <c r="O5828">
        <f t="shared" si="2459"/>
        <v>1.1839999999999999</v>
      </c>
      <c r="P5828">
        <f t="shared" si="2460"/>
        <v>-3.1720657846433013E-14</v>
      </c>
      <c r="Q5828" t="str">
        <f t="shared" si="2464"/>
        <v>0.59% | 0.59%</v>
      </c>
      <c r="R5828" t="str">
        <f t="shared" si="2461"/>
        <v>BULLISH</v>
      </c>
      <c r="S5828">
        <f t="shared" si="2462"/>
        <v>1</v>
      </c>
    </row>
    <row r="5829" spans="1:19" hidden="1" x14ac:dyDescent="0.25">
      <c r="A5829" s="5" t="str">
        <f t="shared" si="2438"/>
        <v>44159USD/JPY</v>
      </c>
      <c r="B5829" s="6" t="s">
        <v>20</v>
      </c>
      <c r="C5829" s="6">
        <v>103.3</v>
      </c>
      <c r="D5829" s="6">
        <v>105.38</v>
      </c>
      <c r="E5829" s="6">
        <v>104.57</v>
      </c>
      <c r="F5829" t="str">
        <f t="shared" si="2451"/>
        <v>TUE</v>
      </c>
      <c r="G5829" s="1">
        <f t="shared" si="2452"/>
        <v>44159</v>
      </c>
      <c r="H5829" s="2">
        <f t="shared" ca="1" si="2453"/>
        <v>94</v>
      </c>
      <c r="I5829" t="str">
        <f t="shared" si="2454"/>
        <v>USD/JPY</v>
      </c>
      <c r="J5829">
        <f t="shared" si="2455"/>
        <v>103.3</v>
      </c>
      <c r="K5829">
        <f t="shared" si="2456"/>
        <v>105.38</v>
      </c>
      <c r="L5829">
        <f t="shared" si="2457"/>
        <v>104.34</v>
      </c>
      <c r="M5829">
        <f t="shared" si="2458"/>
        <v>1.0399999999999991</v>
      </c>
      <c r="N5829">
        <f t="shared" si="2463"/>
        <v>2.0799999999999983</v>
      </c>
      <c r="O5829">
        <f t="shared" si="2459"/>
        <v>104.57</v>
      </c>
      <c r="P5829">
        <f t="shared" si="2460"/>
        <v>0.22115384615383649</v>
      </c>
      <c r="Q5829" t="str">
        <f t="shared" si="2464"/>
        <v>1.21% | 0.77%</v>
      </c>
      <c r="R5829" t="str">
        <f t="shared" si="2461"/>
        <v>BEARISH</v>
      </c>
      <c r="S5829">
        <f t="shared" si="2462"/>
        <v>-1</v>
      </c>
    </row>
    <row r="5830" spans="1:19" hidden="1" x14ac:dyDescent="0.25">
      <c r="A5830" s="5" t="str">
        <f t="shared" si="2438"/>
        <v>44159GBP/USD</v>
      </c>
      <c r="B5830" s="6" t="s">
        <v>102</v>
      </c>
      <c r="C5830" s="6">
        <v>1.3140000000000001</v>
      </c>
      <c r="D5830" s="6">
        <v>1.337</v>
      </c>
      <c r="E5830" s="6">
        <v>1.3320000000000001</v>
      </c>
      <c r="F5830" t="str">
        <f t="shared" si="2451"/>
        <v>TUE</v>
      </c>
      <c r="G5830" s="1">
        <f t="shared" si="2452"/>
        <v>44159</v>
      </c>
      <c r="H5830" s="2">
        <f t="shared" ca="1" si="2453"/>
        <v>94</v>
      </c>
      <c r="I5830" t="str">
        <f t="shared" si="2454"/>
        <v>GBP/USD</v>
      </c>
      <c r="J5830">
        <f t="shared" si="2455"/>
        <v>1.3140000000000001</v>
      </c>
      <c r="K5830">
        <f t="shared" si="2456"/>
        <v>1.337</v>
      </c>
      <c r="L5830">
        <f t="shared" si="2457"/>
        <v>1.3254999999999999</v>
      </c>
      <c r="M5830">
        <f t="shared" si="2458"/>
        <v>1.1499999999999955E-2</v>
      </c>
      <c r="N5830">
        <f t="shared" si="2463"/>
        <v>2.2999999999999909E-2</v>
      </c>
      <c r="O5830">
        <f t="shared" si="2459"/>
        <v>1.3320000000000001</v>
      </c>
      <c r="P5830">
        <f t="shared" si="2460"/>
        <v>0.56521739130436499</v>
      </c>
      <c r="Q5830" t="str">
        <f t="shared" si="2464"/>
        <v>1.35% | 0.38%</v>
      </c>
      <c r="R5830" t="str">
        <f t="shared" si="2461"/>
        <v>BULLISH</v>
      </c>
      <c r="S5830">
        <f t="shared" si="2462"/>
        <v>1</v>
      </c>
    </row>
    <row r="5831" spans="1:19" hidden="1" x14ac:dyDescent="0.25">
      <c r="A5831" s="5" t="str">
        <f t="shared" ref="A5831:A5894" si="2465">G5831&amp;I5831</f>
        <v>44159CAD/USD</v>
      </c>
      <c r="B5831" s="6" t="s">
        <v>244</v>
      </c>
      <c r="C5831" s="6">
        <v>0.75</v>
      </c>
      <c r="D5831" s="6">
        <v>0.77</v>
      </c>
      <c r="E5831" s="6">
        <v>0.76</v>
      </c>
      <c r="F5831" t="str">
        <f t="shared" si="2451"/>
        <v>TUE</v>
      </c>
      <c r="G5831" s="1">
        <f t="shared" si="2452"/>
        <v>44159</v>
      </c>
      <c r="H5831" s="2">
        <f t="shared" ca="1" si="2453"/>
        <v>94</v>
      </c>
      <c r="I5831" t="str">
        <f t="shared" si="2454"/>
        <v>CAD/USD</v>
      </c>
      <c r="J5831">
        <f t="shared" si="2455"/>
        <v>0.75</v>
      </c>
      <c r="K5831">
        <f t="shared" si="2456"/>
        <v>0.77</v>
      </c>
      <c r="L5831">
        <f t="shared" si="2457"/>
        <v>0.76</v>
      </c>
      <c r="M5831">
        <f t="shared" si="2458"/>
        <v>1.0000000000000009E-2</v>
      </c>
      <c r="N5831">
        <f t="shared" si="2463"/>
        <v>2.0000000000000018E-2</v>
      </c>
      <c r="O5831">
        <f t="shared" si="2459"/>
        <v>0.76</v>
      </c>
      <c r="P5831">
        <f t="shared" si="2460"/>
        <v>0</v>
      </c>
      <c r="Q5831" t="str">
        <f t="shared" si="2464"/>
        <v>1.32% | 1.32%</v>
      </c>
      <c r="R5831" t="str">
        <f t="shared" si="2461"/>
        <v>BULLISH</v>
      </c>
      <c r="S5831">
        <f t="shared" si="2462"/>
        <v>1</v>
      </c>
    </row>
    <row r="5832" spans="1:19" hidden="1" x14ac:dyDescent="0.25">
      <c r="A5832" s="5" t="str">
        <f t="shared" si="2465"/>
        <v>44159USD/CHF</v>
      </c>
      <c r="B5832" s="6" t="s">
        <v>76</v>
      </c>
      <c r="C5832" s="6">
        <v>0.9</v>
      </c>
      <c r="D5832" s="6">
        <v>0.92</v>
      </c>
      <c r="E5832" s="6">
        <v>0.91</v>
      </c>
      <c r="F5832" t="str">
        <f t="shared" si="2451"/>
        <v>TUE</v>
      </c>
      <c r="G5832" s="1">
        <f t="shared" si="2452"/>
        <v>44159</v>
      </c>
      <c r="H5832" s="2">
        <f t="shared" ca="1" si="2453"/>
        <v>94</v>
      </c>
      <c r="I5832" t="str">
        <f t="shared" si="2454"/>
        <v>USD/CHF</v>
      </c>
      <c r="J5832">
        <f t="shared" si="2455"/>
        <v>0.9</v>
      </c>
      <c r="K5832">
        <f t="shared" si="2456"/>
        <v>0.92</v>
      </c>
      <c r="L5832">
        <f t="shared" si="2457"/>
        <v>0.91</v>
      </c>
      <c r="M5832">
        <f t="shared" si="2458"/>
        <v>1.0000000000000009E-2</v>
      </c>
      <c r="N5832">
        <f t="shared" si="2463"/>
        <v>2.0000000000000018E-2</v>
      </c>
      <c r="O5832">
        <f t="shared" si="2459"/>
        <v>0.91</v>
      </c>
      <c r="P5832">
        <f t="shared" si="2460"/>
        <v>0</v>
      </c>
      <c r="Q5832" t="str">
        <f t="shared" si="2464"/>
        <v>1.1% | 1.1%</v>
      </c>
      <c r="R5832" t="str">
        <f t="shared" si="2461"/>
        <v>BEARISH</v>
      </c>
      <c r="S5832">
        <f t="shared" si="2462"/>
        <v>-1</v>
      </c>
    </row>
    <row r="5833" spans="1:19" hidden="1" x14ac:dyDescent="0.25">
      <c r="A5833" s="5" t="str">
        <f t="shared" si="2465"/>
        <v>44159WTIC</v>
      </c>
      <c r="B5833" s="6" t="s">
        <v>158</v>
      </c>
      <c r="C5833" s="6">
        <v>40.46</v>
      </c>
      <c r="D5833" s="6">
        <v>43.61</v>
      </c>
      <c r="E5833" s="6">
        <v>43.06</v>
      </c>
      <c r="F5833" t="str">
        <f t="shared" si="2451"/>
        <v>TUE</v>
      </c>
      <c r="G5833" s="1">
        <f t="shared" si="2452"/>
        <v>44159</v>
      </c>
      <c r="H5833" s="2">
        <f t="shared" ca="1" si="2453"/>
        <v>94</v>
      </c>
      <c r="I5833" t="str">
        <f t="shared" si="2454"/>
        <v>WTIC</v>
      </c>
      <c r="J5833">
        <f t="shared" si="2455"/>
        <v>40.46</v>
      </c>
      <c r="K5833">
        <f t="shared" si="2456"/>
        <v>43.61</v>
      </c>
      <c r="L5833">
        <f t="shared" si="2457"/>
        <v>42.034999999999997</v>
      </c>
      <c r="M5833">
        <f t="shared" si="2458"/>
        <v>1.5749999999999993</v>
      </c>
      <c r="N5833">
        <f t="shared" si="2463"/>
        <v>3.1499999999999986</v>
      </c>
      <c r="O5833">
        <f t="shared" si="2459"/>
        <v>43.06</v>
      </c>
      <c r="P5833">
        <f t="shared" si="2460"/>
        <v>0.6507936507936547</v>
      </c>
      <c r="Q5833" t="str">
        <f t="shared" si="2464"/>
        <v>6.04% | 1.28%</v>
      </c>
      <c r="R5833" t="str">
        <f t="shared" si="2461"/>
        <v>BULLISH</v>
      </c>
      <c r="S5833">
        <f t="shared" si="2462"/>
        <v>1</v>
      </c>
    </row>
    <row r="5834" spans="1:19" hidden="1" x14ac:dyDescent="0.25">
      <c r="A5834" s="5" t="str">
        <f t="shared" si="2465"/>
        <v>44159NATGAS</v>
      </c>
      <c r="B5834" s="6" t="s">
        <v>89</v>
      </c>
      <c r="C5834" s="6">
        <v>2.52</v>
      </c>
      <c r="D5834" s="6">
        <v>3.13</v>
      </c>
      <c r="E5834" s="6">
        <v>2.82</v>
      </c>
      <c r="F5834" t="str">
        <f t="shared" si="2451"/>
        <v>TUE</v>
      </c>
      <c r="G5834" s="1">
        <f t="shared" si="2452"/>
        <v>44159</v>
      </c>
      <c r="H5834" s="2">
        <f t="shared" ca="1" si="2453"/>
        <v>94</v>
      </c>
      <c r="I5834" t="str">
        <f t="shared" si="2454"/>
        <v>NATGAS</v>
      </c>
      <c r="J5834">
        <f t="shared" si="2455"/>
        <v>2.52</v>
      </c>
      <c r="K5834">
        <f t="shared" si="2456"/>
        <v>3.13</v>
      </c>
      <c r="L5834">
        <f t="shared" si="2457"/>
        <v>2.8250000000000002</v>
      </c>
      <c r="M5834">
        <f t="shared" si="2458"/>
        <v>0.30499999999999988</v>
      </c>
      <c r="N5834">
        <f t="shared" si="2463"/>
        <v>0.60999999999999988</v>
      </c>
      <c r="O5834">
        <f t="shared" si="2459"/>
        <v>2.82</v>
      </c>
      <c r="P5834">
        <f t="shared" si="2460"/>
        <v>-1.6393442622951934E-2</v>
      </c>
      <c r="Q5834" t="str">
        <f t="shared" si="2464"/>
        <v>10.64% | 10.99%</v>
      </c>
      <c r="R5834" t="str">
        <f t="shared" si="2461"/>
        <v>BULLISH</v>
      </c>
      <c r="S5834">
        <f t="shared" si="2462"/>
        <v>1</v>
      </c>
    </row>
    <row r="5835" spans="1:19" hidden="1" x14ac:dyDescent="0.25">
      <c r="A5835" s="5" t="str">
        <f t="shared" si="2465"/>
        <v>44159GOLD</v>
      </c>
      <c r="B5835" s="6" t="s">
        <v>85</v>
      </c>
      <c r="C5835" s="6">
        <v>1818</v>
      </c>
      <c r="D5835" s="6">
        <v>1886</v>
      </c>
      <c r="E5835" s="6">
        <v>1837</v>
      </c>
      <c r="F5835" t="str">
        <f t="shared" si="2451"/>
        <v>TUE</v>
      </c>
      <c r="G5835" s="1">
        <f t="shared" si="2452"/>
        <v>44159</v>
      </c>
      <c r="H5835" s="2">
        <f t="shared" ca="1" si="2453"/>
        <v>94</v>
      </c>
      <c r="I5835" t="str">
        <f t="shared" si="2454"/>
        <v>GOLD</v>
      </c>
      <c r="J5835">
        <f t="shared" si="2455"/>
        <v>1818</v>
      </c>
      <c r="K5835">
        <f t="shared" si="2456"/>
        <v>1886</v>
      </c>
      <c r="L5835">
        <f t="shared" si="2457"/>
        <v>1852</v>
      </c>
      <c r="M5835">
        <f t="shared" si="2458"/>
        <v>34</v>
      </c>
      <c r="N5835">
        <f t="shared" si="2463"/>
        <v>68</v>
      </c>
      <c r="O5835">
        <f t="shared" si="2459"/>
        <v>1837</v>
      </c>
      <c r="P5835">
        <f t="shared" si="2460"/>
        <v>-0.44117647058823528</v>
      </c>
      <c r="Q5835" t="str">
        <f t="shared" si="2464"/>
        <v>1.03% | 2.67%</v>
      </c>
      <c r="R5835" t="str">
        <f t="shared" si="2461"/>
        <v>BEARISH</v>
      </c>
      <c r="S5835">
        <f t="shared" si="2462"/>
        <v>-1</v>
      </c>
    </row>
    <row r="5836" spans="1:19" hidden="1" x14ac:dyDescent="0.25">
      <c r="A5836" s="5" t="str">
        <f t="shared" si="2465"/>
        <v>44159COPPER</v>
      </c>
      <c r="B5836" s="6" t="s">
        <v>100</v>
      </c>
      <c r="C5836" s="6">
        <v>3.15</v>
      </c>
      <c r="D5836" s="6">
        <v>3.33</v>
      </c>
      <c r="E5836" s="6">
        <v>3.26</v>
      </c>
      <c r="F5836" t="str">
        <f t="shared" si="2451"/>
        <v>TUE</v>
      </c>
      <c r="G5836" s="1">
        <f t="shared" si="2452"/>
        <v>44159</v>
      </c>
      <c r="H5836" s="2">
        <f t="shared" ca="1" si="2453"/>
        <v>94</v>
      </c>
      <c r="I5836" t="str">
        <f t="shared" si="2454"/>
        <v>COPPER</v>
      </c>
      <c r="J5836">
        <f t="shared" si="2455"/>
        <v>3.15</v>
      </c>
      <c r="K5836">
        <f t="shared" si="2456"/>
        <v>3.33</v>
      </c>
      <c r="L5836">
        <f t="shared" si="2457"/>
        <v>3.24</v>
      </c>
      <c r="M5836">
        <f t="shared" si="2458"/>
        <v>9.000000000000008E-2</v>
      </c>
      <c r="N5836">
        <f t="shared" si="2463"/>
        <v>0.18000000000000016</v>
      </c>
      <c r="O5836">
        <f t="shared" si="2459"/>
        <v>3.26</v>
      </c>
      <c r="P5836">
        <f t="shared" si="2460"/>
        <v>0.2222222222222173</v>
      </c>
      <c r="Q5836" t="str">
        <f t="shared" si="2464"/>
        <v>3.37% | 2.15%</v>
      </c>
      <c r="R5836" t="str">
        <f t="shared" si="2461"/>
        <v>BULLISH</v>
      </c>
      <c r="S5836">
        <f t="shared" si="2462"/>
        <v>1</v>
      </c>
    </row>
    <row r="5837" spans="1:19" hidden="1" x14ac:dyDescent="0.25">
      <c r="A5837" s="5" t="str">
        <f t="shared" si="2465"/>
        <v>44159MSFT</v>
      </c>
      <c r="B5837" s="6" t="s">
        <v>235</v>
      </c>
      <c r="C5837" s="6">
        <v>208</v>
      </c>
      <c r="D5837" s="6">
        <v>219</v>
      </c>
      <c r="E5837" s="6">
        <v>210</v>
      </c>
      <c r="F5837" t="str">
        <f t="shared" si="2451"/>
        <v>TUE</v>
      </c>
      <c r="G5837" s="1">
        <f t="shared" si="2452"/>
        <v>44159</v>
      </c>
      <c r="H5837" s="2">
        <f t="shared" ca="1" si="2453"/>
        <v>94</v>
      </c>
      <c r="I5837" t="str">
        <f t="shared" si="2454"/>
        <v>MSFT</v>
      </c>
      <c r="J5837">
        <f t="shared" si="2455"/>
        <v>208</v>
      </c>
      <c r="K5837">
        <f t="shared" si="2456"/>
        <v>219</v>
      </c>
      <c r="L5837">
        <f t="shared" si="2457"/>
        <v>213.5</v>
      </c>
      <c r="M5837">
        <f t="shared" si="2458"/>
        <v>5.5</v>
      </c>
      <c r="N5837">
        <f t="shared" si="2463"/>
        <v>11</v>
      </c>
      <c r="O5837">
        <f t="shared" si="2459"/>
        <v>210</v>
      </c>
      <c r="P5837">
        <f t="shared" si="2460"/>
        <v>-0.63636363636363635</v>
      </c>
      <c r="Q5837" t="str">
        <f t="shared" si="2464"/>
        <v>0.95% | 4.29%</v>
      </c>
      <c r="R5837" t="str">
        <f t="shared" si="2461"/>
        <v>NEUTRAL</v>
      </c>
      <c r="S5837">
        <f t="shared" si="2462"/>
        <v>0</v>
      </c>
    </row>
    <row r="5838" spans="1:19" hidden="1" x14ac:dyDescent="0.25">
      <c r="A5838" s="5" t="str">
        <f t="shared" si="2465"/>
        <v>44159AAPL</v>
      </c>
      <c r="B5838" s="6" t="s">
        <v>28</v>
      </c>
      <c r="C5838" s="6">
        <v>112</v>
      </c>
      <c r="D5838" s="6">
        <v>122</v>
      </c>
      <c r="E5838" s="6">
        <v>113</v>
      </c>
      <c r="F5838" t="str">
        <f t="shared" si="2451"/>
        <v>TUE</v>
      </c>
      <c r="G5838" s="1">
        <f t="shared" si="2452"/>
        <v>44159</v>
      </c>
      <c r="H5838" s="2">
        <f t="shared" ca="1" si="2453"/>
        <v>94</v>
      </c>
      <c r="I5838" t="str">
        <f t="shared" si="2454"/>
        <v>AAPL</v>
      </c>
      <c r="J5838">
        <f t="shared" si="2455"/>
        <v>112</v>
      </c>
      <c r="K5838">
        <f t="shared" si="2456"/>
        <v>122</v>
      </c>
      <c r="L5838">
        <f t="shared" si="2457"/>
        <v>117</v>
      </c>
      <c r="M5838">
        <f t="shared" si="2458"/>
        <v>5</v>
      </c>
      <c r="N5838">
        <f t="shared" si="2463"/>
        <v>10</v>
      </c>
      <c r="O5838">
        <f t="shared" si="2459"/>
        <v>113</v>
      </c>
      <c r="P5838">
        <f t="shared" si="2460"/>
        <v>-0.8</v>
      </c>
      <c r="Q5838" t="str">
        <f t="shared" si="2464"/>
        <v>0.88% | 7.96%</v>
      </c>
      <c r="R5838" t="str">
        <f t="shared" si="2461"/>
        <v>BULLISH</v>
      </c>
      <c r="S5838">
        <f t="shared" si="2462"/>
        <v>1</v>
      </c>
    </row>
    <row r="5839" spans="1:19" hidden="1" x14ac:dyDescent="0.25">
      <c r="A5839" s="5" t="str">
        <f t="shared" si="2465"/>
        <v>44159AMZN</v>
      </c>
      <c r="B5839" s="6" t="s">
        <v>69</v>
      </c>
      <c r="C5839" s="6">
        <v>3018</v>
      </c>
      <c r="D5839" s="6">
        <v>3172</v>
      </c>
      <c r="E5839" s="6">
        <v>3098</v>
      </c>
      <c r="F5839" t="str">
        <f t="shared" si="2451"/>
        <v>TUE</v>
      </c>
      <c r="G5839" s="1">
        <f t="shared" si="2452"/>
        <v>44159</v>
      </c>
      <c r="H5839" s="2">
        <f t="shared" ca="1" si="2453"/>
        <v>94</v>
      </c>
      <c r="I5839" t="str">
        <f t="shared" si="2454"/>
        <v>AMZN</v>
      </c>
      <c r="J5839">
        <f t="shared" si="2455"/>
        <v>3018</v>
      </c>
      <c r="K5839">
        <f t="shared" si="2456"/>
        <v>3172</v>
      </c>
      <c r="L5839">
        <f t="shared" si="2457"/>
        <v>3095</v>
      </c>
      <c r="M5839">
        <f t="shared" si="2458"/>
        <v>77</v>
      </c>
      <c r="N5839">
        <f t="shared" si="2463"/>
        <v>154</v>
      </c>
      <c r="O5839">
        <f t="shared" si="2459"/>
        <v>3098</v>
      </c>
      <c r="P5839">
        <f t="shared" si="2460"/>
        <v>3.896103896103896E-2</v>
      </c>
      <c r="Q5839" t="str">
        <f t="shared" si="2464"/>
        <v>2.58% | 2.39%</v>
      </c>
      <c r="R5839" t="str">
        <f t="shared" si="2461"/>
        <v>NEUTRAL</v>
      </c>
      <c r="S5839">
        <f t="shared" si="2462"/>
        <v>0</v>
      </c>
    </row>
    <row r="5840" spans="1:19" hidden="1" x14ac:dyDescent="0.25">
      <c r="A5840" s="5" t="str">
        <f t="shared" si="2465"/>
        <v>44159FB</v>
      </c>
      <c r="B5840" s="6" t="s">
        <v>157</v>
      </c>
      <c r="C5840" s="6">
        <v>264</v>
      </c>
      <c r="D5840" s="6">
        <v>281</v>
      </c>
      <c r="E5840" s="6">
        <v>268</v>
      </c>
      <c r="F5840" t="str">
        <f t="shared" si="2451"/>
        <v>TUE</v>
      </c>
      <c r="G5840" s="1">
        <f t="shared" si="2452"/>
        <v>44159</v>
      </c>
      <c r="H5840" s="2">
        <f t="shared" ca="1" si="2453"/>
        <v>94</v>
      </c>
      <c r="I5840" t="str">
        <f t="shared" si="2454"/>
        <v>FB</v>
      </c>
      <c r="J5840">
        <f t="shared" si="2455"/>
        <v>264</v>
      </c>
      <c r="K5840">
        <f t="shared" si="2456"/>
        <v>281</v>
      </c>
      <c r="L5840">
        <f t="shared" si="2457"/>
        <v>272.5</v>
      </c>
      <c r="M5840">
        <f t="shared" si="2458"/>
        <v>8.5</v>
      </c>
      <c r="N5840">
        <f t="shared" si="2463"/>
        <v>17</v>
      </c>
      <c r="O5840">
        <f t="shared" si="2459"/>
        <v>268</v>
      </c>
      <c r="P5840">
        <f t="shared" si="2460"/>
        <v>-0.52941176470588236</v>
      </c>
      <c r="Q5840" t="str">
        <f t="shared" si="2464"/>
        <v>1.49% | 4.85%</v>
      </c>
      <c r="R5840" t="str">
        <f t="shared" si="2461"/>
        <v>NEUTRAL</v>
      </c>
      <c r="S5840">
        <f t="shared" si="2462"/>
        <v>0</v>
      </c>
    </row>
    <row r="5841" spans="1:19" hidden="1" x14ac:dyDescent="0.25">
      <c r="A5841" s="5" t="str">
        <f t="shared" si="2465"/>
        <v>44159GOOGL</v>
      </c>
      <c r="B5841" s="6" t="s">
        <v>31</v>
      </c>
      <c r="C5841" s="6">
        <v>1718</v>
      </c>
      <c r="D5841" s="6">
        <v>1783</v>
      </c>
      <c r="E5841" s="6">
        <v>1727</v>
      </c>
      <c r="F5841" t="str">
        <f t="shared" si="2451"/>
        <v>TUE</v>
      </c>
      <c r="G5841" s="1">
        <f t="shared" si="2452"/>
        <v>44159</v>
      </c>
      <c r="H5841" s="2">
        <f t="shared" ca="1" si="2453"/>
        <v>94</v>
      </c>
      <c r="I5841" t="str">
        <f t="shared" si="2454"/>
        <v>GOOGL</v>
      </c>
      <c r="J5841">
        <f t="shared" si="2455"/>
        <v>1718</v>
      </c>
      <c r="K5841">
        <f t="shared" si="2456"/>
        <v>1783</v>
      </c>
      <c r="L5841">
        <f t="shared" si="2457"/>
        <v>1750.5</v>
      </c>
      <c r="M5841">
        <f t="shared" si="2458"/>
        <v>32.5</v>
      </c>
      <c r="N5841">
        <f t="shared" si="2463"/>
        <v>65</v>
      </c>
      <c r="O5841">
        <f t="shared" si="2459"/>
        <v>1727</v>
      </c>
      <c r="P5841">
        <f t="shared" si="2460"/>
        <v>-0.72307692307692306</v>
      </c>
      <c r="Q5841" t="str">
        <f t="shared" si="2464"/>
        <v>0.52% | 3.24%</v>
      </c>
      <c r="R5841" t="str">
        <f t="shared" si="2461"/>
        <v>BULLISH</v>
      </c>
      <c r="S5841">
        <f t="shared" si="2462"/>
        <v>1</v>
      </c>
    </row>
    <row r="5842" spans="1:19" hidden="1" x14ac:dyDescent="0.25">
      <c r="A5842" s="5" t="str">
        <f t="shared" si="2465"/>
        <v>44159NFLX</v>
      </c>
      <c r="B5842" s="6" t="s">
        <v>81</v>
      </c>
      <c r="C5842" s="6">
        <v>468</v>
      </c>
      <c r="D5842" s="6">
        <v>493</v>
      </c>
      <c r="E5842" s="6">
        <v>476</v>
      </c>
      <c r="F5842" t="str">
        <f t="shared" si="2451"/>
        <v>TUE</v>
      </c>
      <c r="G5842" s="1">
        <f t="shared" si="2452"/>
        <v>44159</v>
      </c>
      <c r="H5842" s="2">
        <f t="shared" ca="1" si="2453"/>
        <v>94</v>
      </c>
      <c r="I5842" t="str">
        <f t="shared" si="2454"/>
        <v>NFLX</v>
      </c>
      <c r="J5842">
        <f t="shared" si="2455"/>
        <v>468</v>
      </c>
      <c r="K5842">
        <f t="shared" si="2456"/>
        <v>493</v>
      </c>
      <c r="L5842">
        <f t="shared" si="2457"/>
        <v>480.5</v>
      </c>
      <c r="M5842">
        <f t="shared" si="2458"/>
        <v>12.5</v>
      </c>
      <c r="N5842">
        <f t="shared" si="2463"/>
        <v>25</v>
      </c>
      <c r="O5842">
        <f t="shared" si="2459"/>
        <v>476</v>
      </c>
      <c r="P5842">
        <f t="shared" si="2460"/>
        <v>-0.36</v>
      </c>
      <c r="Q5842" t="str">
        <f t="shared" si="2464"/>
        <v>1.68% | 3.57%</v>
      </c>
      <c r="R5842" t="str">
        <f t="shared" si="2461"/>
        <v>BEARISH</v>
      </c>
      <c r="S5842">
        <f t="shared" si="2462"/>
        <v>-1</v>
      </c>
    </row>
    <row r="5843" spans="1:19" x14ac:dyDescent="0.25">
      <c r="A5843" s="5" t="str">
        <f t="shared" si="2465"/>
        <v>44159TSLA</v>
      </c>
      <c r="B5843" s="6" t="s">
        <v>33</v>
      </c>
      <c r="C5843" s="6">
        <v>454</v>
      </c>
      <c r="D5843" s="6">
        <v>544</v>
      </c>
      <c r="E5843" s="6">
        <v>521</v>
      </c>
      <c r="F5843" t="str">
        <f t="shared" si="2451"/>
        <v>TUE</v>
      </c>
      <c r="G5843" s="1">
        <f t="shared" si="2452"/>
        <v>44159</v>
      </c>
      <c r="H5843" s="2">
        <f t="shared" ca="1" si="2453"/>
        <v>94</v>
      </c>
      <c r="I5843" t="str">
        <f t="shared" si="2454"/>
        <v>TSLA</v>
      </c>
      <c r="J5843">
        <f t="shared" si="2455"/>
        <v>454</v>
      </c>
      <c r="K5843">
        <f t="shared" si="2456"/>
        <v>544</v>
      </c>
      <c r="L5843">
        <f t="shared" si="2457"/>
        <v>499</v>
      </c>
      <c r="M5843">
        <f t="shared" si="2458"/>
        <v>45</v>
      </c>
      <c r="N5843">
        <f t="shared" si="2463"/>
        <v>90</v>
      </c>
      <c r="O5843">
        <f t="shared" si="2459"/>
        <v>521</v>
      </c>
      <c r="P5843">
        <f t="shared" si="2460"/>
        <v>0.48888888888888887</v>
      </c>
      <c r="Q5843" t="str">
        <f t="shared" si="2464"/>
        <v>12.86% | 4.41%</v>
      </c>
      <c r="R5843" t="str">
        <f t="shared" si="2461"/>
        <v>BULLISH</v>
      </c>
      <c r="S5843">
        <f t="shared" si="2462"/>
        <v>1</v>
      </c>
    </row>
    <row r="5844" spans="1:19" hidden="1" x14ac:dyDescent="0.25">
      <c r="A5844" s="5" t="str">
        <f t="shared" si="2465"/>
        <v>44159NYXBT</v>
      </c>
      <c r="B5844" s="6" t="s">
        <v>60</v>
      </c>
      <c r="C5844" s="6">
        <v>17109</v>
      </c>
      <c r="D5844" s="6">
        <v>19291</v>
      </c>
      <c r="E5844" s="6">
        <v>18323</v>
      </c>
      <c r="F5844" t="str">
        <f t="shared" si="2451"/>
        <v>TUE</v>
      </c>
      <c r="G5844" s="1">
        <f t="shared" si="2452"/>
        <v>44159</v>
      </c>
      <c r="H5844" s="2">
        <f t="shared" ca="1" si="2453"/>
        <v>94</v>
      </c>
      <c r="I5844" t="str">
        <f t="shared" si="2454"/>
        <v>NYXBT</v>
      </c>
      <c r="J5844">
        <f t="shared" si="2455"/>
        <v>17109</v>
      </c>
      <c r="K5844">
        <f t="shared" si="2456"/>
        <v>19291</v>
      </c>
      <c r="L5844">
        <f t="shared" si="2457"/>
        <v>18200</v>
      </c>
      <c r="M5844">
        <f t="shared" si="2458"/>
        <v>1091</v>
      </c>
      <c r="N5844">
        <f t="shared" si="2463"/>
        <v>2182</v>
      </c>
      <c r="O5844">
        <f t="shared" si="2459"/>
        <v>18323</v>
      </c>
      <c r="P5844">
        <f t="shared" si="2460"/>
        <v>0.11274060494958753</v>
      </c>
      <c r="Q5844" t="str">
        <f t="shared" si="2464"/>
        <v>6.63% | 5.28%</v>
      </c>
      <c r="R5844" t="str">
        <f t="shared" si="2461"/>
        <v>BULLISH</v>
      </c>
      <c r="S5844">
        <f t="shared" si="2462"/>
        <v>1</v>
      </c>
    </row>
    <row r="5845" spans="1:19" hidden="1" x14ac:dyDescent="0.25">
      <c r="A5845" s="5" t="str">
        <f t="shared" si="2465"/>
        <v>44160UST10Y</v>
      </c>
      <c r="B5845" s="6" t="s">
        <v>246</v>
      </c>
      <c r="C5845" s="6">
        <v>0.96</v>
      </c>
      <c r="D5845" s="6">
        <v>0.82</v>
      </c>
      <c r="E5845" s="6">
        <v>0.88</v>
      </c>
      <c r="F5845" t="str">
        <f t="shared" si="2451"/>
        <v>WED</v>
      </c>
      <c r="G5845" s="3">
        <f>DATE(2020,11,25)</f>
        <v>44160</v>
      </c>
      <c r="H5845" s="2">
        <f t="shared" ca="1" si="2453"/>
        <v>93</v>
      </c>
      <c r="I5845" t="str">
        <f t="shared" si="2454"/>
        <v>UST10Y</v>
      </c>
      <c r="J5845">
        <f t="shared" si="2455"/>
        <v>0.96</v>
      </c>
      <c r="K5845">
        <f t="shared" si="2456"/>
        <v>0.82</v>
      </c>
      <c r="L5845">
        <f t="shared" si="2457"/>
        <v>0.8899999999999999</v>
      </c>
      <c r="M5845">
        <f t="shared" si="2458"/>
        <v>7.0000000000000007E-2</v>
      </c>
      <c r="N5845">
        <f t="shared" si="2463"/>
        <v>0.14000000000000001</v>
      </c>
      <c r="O5845">
        <f t="shared" si="2459"/>
        <v>0.88</v>
      </c>
      <c r="P5845">
        <f t="shared" si="2460"/>
        <v>-0.14285714285714138</v>
      </c>
      <c r="Q5845" t="str">
        <f t="shared" si="2464"/>
        <v>9.09% | 6.82%</v>
      </c>
      <c r="R5845" t="str">
        <f t="shared" si="2461"/>
        <v>NEUTRAL</v>
      </c>
      <c r="S5845">
        <f t="shared" si="2462"/>
        <v>0</v>
      </c>
    </row>
    <row r="5846" spans="1:19" hidden="1" x14ac:dyDescent="0.25">
      <c r="A5846" s="5" t="str">
        <f t="shared" si="2465"/>
        <v>44160UST2Y</v>
      </c>
      <c r="B5846" s="6" t="s">
        <v>253</v>
      </c>
      <c r="C5846" s="6">
        <v>0.19</v>
      </c>
      <c r="D5846" s="6">
        <v>0.14000000000000001</v>
      </c>
      <c r="E5846" s="6">
        <v>0.16</v>
      </c>
      <c r="F5846" t="str">
        <f t="shared" ref="F5846:F5875" si="2466">UPPER(TEXT(G5846,"ddd"))</f>
        <v>WED</v>
      </c>
      <c r="G5846" s="3">
        <f t="shared" ref="G5846:G5874" si="2467">DATE(2020,11,25)</f>
        <v>44160</v>
      </c>
      <c r="H5846" s="2">
        <f t="shared" ref="H5846:H5875" ca="1" si="2468">TODAY()-G5846</f>
        <v>93</v>
      </c>
      <c r="I5846" t="str">
        <f t="shared" ref="I5846:I5875" si="2469">TRIM(LEFT(B5846,FIND(" ",B5846,1)))</f>
        <v>UST2Y</v>
      </c>
      <c r="J5846">
        <f t="shared" ref="J5846:J5875" si="2470">C5846</f>
        <v>0.19</v>
      </c>
      <c r="K5846">
        <f t="shared" ref="K5846:K5875" si="2471">D5846</f>
        <v>0.14000000000000001</v>
      </c>
      <c r="L5846">
        <f t="shared" ref="L5846:L5875" si="2472">AVERAGE(J5846:K5846)</f>
        <v>0.16500000000000001</v>
      </c>
      <c r="M5846">
        <f t="shared" ref="M5846:M5875" si="2473">_xlfn.STDEV.P(J5846:K5846)</f>
        <v>2.4999999999999942E-2</v>
      </c>
      <c r="N5846">
        <f t="shared" si="2463"/>
        <v>4.9999999999999989E-2</v>
      </c>
      <c r="O5846">
        <f t="shared" ref="O5846:O5875" si="2474">E5846</f>
        <v>0.16</v>
      </c>
      <c r="P5846">
        <f t="shared" ref="P5846:P5875" si="2475">(O5846-L5846)/M5846</f>
        <v>-0.20000000000000065</v>
      </c>
      <c r="Q5846" t="str">
        <f t="shared" si="2464"/>
        <v>18.75% | 12.5%</v>
      </c>
      <c r="R5846" t="str">
        <f t="shared" ref="R5846:R5875" si="2476">MID(B5846,FIND("(",B5846,1)+1,FIND(")",B5846,1)-FIND("(",B5846,1)-1)</f>
        <v>NEUTRAL</v>
      </c>
      <c r="S5846">
        <f t="shared" ref="S5846:S5875" si="2477">IF(R5846="BEARISH",-1,IF(R5846="NEUTRAL",0,IF(R5846="BULLISH",1,99)))</f>
        <v>0</v>
      </c>
    </row>
    <row r="5847" spans="1:19" hidden="1" x14ac:dyDescent="0.25">
      <c r="A5847" s="5" t="str">
        <f t="shared" si="2465"/>
        <v>44160SPX</v>
      </c>
      <c r="B5847" s="6" t="s">
        <v>93</v>
      </c>
      <c r="C5847" s="6">
        <v>3526</v>
      </c>
      <c r="D5847" s="6">
        <v>3657</v>
      </c>
      <c r="E5847" s="6">
        <v>3635</v>
      </c>
      <c r="F5847" t="str">
        <f t="shared" si="2466"/>
        <v>WED</v>
      </c>
      <c r="G5847" s="3">
        <f t="shared" si="2467"/>
        <v>44160</v>
      </c>
      <c r="H5847" s="2">
        <f t="shared" ca="1" si="2468"/>
        <v>93</v>
      </c>
      <c r="I5847" t="str">
        <f t="shared" si="2469"/>
        <v>SPX</v>
      </c>
      <c r="J5847">
        <f t="shared" si="2470"/>
        <v>3526</v>
      </c>
      <c r="K5847">
        <f t="shared" si="2471"/>
        <v>3657</v>
      </c>
      <c r="L5847">
        <f t="shared" si="2472"/>
        <v>3591.5</v>
      </c>
      <c r="M5847">
        <f t="shared" si="2473"/>
        <v>65.5</v>
      </c>
      <c r="N5847">
        <f t="shared" si="2463"/>
        <v>131</v>
      </c>
      <c r="O5847">
        <f t="shared" si="2474"/>
        <v>3635</v>
      </c>
      <c r="P5847">
        <f t="shared" si="2475"/>
        <v>0.66412213740458015</v>
      </c>
      <c r="Q5847" t="str">
        <f t="shared" si="2464"/>
        <v>3% | 0.61%</v>
      </c>
      <c r="R5847" t="str">
        <f t="shared" si="2476"/>
        <v>BULLISH</v>
      </c>
      <c r="S5847">
        <f t="shared" si="2477"/>
        <v>1</v>
      </c>
    </row>
    <row r="5848" spans="1:19" hidden="1" x14ac:dyDescent="0.25">
      <c r="A5848" s="5" t="str">
        <f t="shared" si="2465"/>
        <v>44160RUT</v>
      </c>
      <c r="B5848" s="6" t="s">
        <v>247</v>
      </c>
      <c r="C5848" s="6">
        <v>1783</v>
      </c>
      <c r="D5848" s="6">
        <v>1863</v>
      </c>
      <c r="E5848" s="6">
        <v>1853</v>
      </c>
      <c r="F5848" t="str">
        <f t="shared" si="2466"/>
        <v>WED</v>
      </c>
      <c r="G5848" s="3">
        <f t="shared" si="2467"/>
        <v>44160</v>
      </c>
      <c r="H5848" s="2">
        <f t="shared" ca="1" si="2468"/>
        <v>93</v>
      </c>
      <c r="I5848" t="str">
        <f t="shared" si="2469"/>
        <v>RUT</v>
      </c>
      <c r="J5848">
        <f t="shared" si="2470"/>
        <v>1783</v>
      </c>
      <c r="K5848">
        <f t="shared" si="2471"/>
        <v>1863</v>
      </c>
      <c r="L5848">
        <f t="shared" si="2472"/>
        <v>1823</v>
      </c>
      <c r="M5848">
        <f t="shared" si="2473"/>
        <v>40</v>
      </c>
      <c r="N5848">
        <f t="shared" si="2463"/>
        <v>80</v>
      </c>
      <c r="O5848">
        <f t="shared" si="2474"/>
        <v>1853</v>
      </c>
      <c r="P5848">
        <f t="shared" si="2475"/>
        <v>0.75</v>
      </c>
      <c r="Q5848" t="str">
        <f t="shared" si="2464"/>
        <v>3.78% | 0.54%</v>
      </c>
      <c r="R5848" t="str">
        <f t="shared" si="2476"/>
        <v>BULLISH</v>
      </c>
      <c r="S5848">
        <f t="shared" si="2477"/>
        <v>1</v>
      </c>
    </row>
    <row r="5849" spans="1:19" hidden="1" x14ac:dyDescent="0.25">
      <c r="A5849" s="5" t="str">
        <f t="shared" si="2465"/>
        <v>44160COMPQ</v>
      </c>
      <c r="B5849" s="6" t="s">
        <v>8</v>
      </c>
      <c r="C5849" s="6">
        <v>11680</v>
      </c>
      <c r="D5849" s="6">
        <v>12094</v>
      </c>
      <c r="E5849" s="6">
        <v>12036</v>
      </c>
      <c r="F5849" t="str">
        <f t="shared" si="2466"/>
        <v>WED</v>
      </c>
      <c r="G5849" s="3">
        <f t="shared" si="2467"/>
        <v>44160</v>
      </c>
      <c r="H5849" s="2">
        <f t="shared" ca="1" si="2468"/>
        <v>93</v>
      </c>
      <c r="I5849" t="str">
        <f t="shared" si="2469"/>
        <v>COMPQ</v>
      </c>
      <c r="J5849">
        <f t="shared" si="2470"/>
        <v>11680</v>
      </c>
      <c r="K5849">
        <f t="shared" si="2471"/>
        <v>12094</v>
      </c>
      <c r="L5849">
        <f t="shared" si="2472"/>
        <v>11887</v>
      </c>
      <c r="M5849">
        <f t="shared" si="2473"/>
        <v>207</v>
      </c>
      <c r="N5849">
        <f t="shared" si="2463"/>
        <v>414</v>
      </c>
      <c r="O5849">
        <f t="shared" si="2474"/>
        <v>12036</v>
      </c>
      <c r="P5849">
        <f t="shared" si="2475"/>
        <v>0.71980676328502413</v>
      </c>
      <c r="Q5849" t="str">
        <f t="shared" si="2464"/>
        <v>2.96% | 0.48%</v>
      </c>
      <c r="R5849" t="str">
        <f t="shared" si="2476"/>
        <v>BULLISH</v>
      </c>
      <c r="S5849">
        <f t="shared" si="2477"/>
        <v>1</v>
      </c>
    </row>
    <row r="5850" spans="1:19" hidden="1" x14ac:dyDescent="0.25">
      <c r="A5850" s="5" t="str">
        <f t="shared" si="2465"/>
        <v>44160XLK</v>
      </c>
      <c r="B5850" s="6" t="s">
        <v>10</v>
      </c>
      <c r="C5850" s="6">
        <v>118.92</v>
      </c>
      <c r="D5850" s="6">
        <v>123.62</v>
      </c>
      <c r="E5850" s="6">
        <v>121.75</v>
      </c>
      <c r="F5850" t="str">
        <f t="shared" si="2466"/>
        <v>WED</v>
      </c>
      <c r="G5850" s="3">
        <f t="shared" si="2467"/>
        <v>44160</v>
      </c>
      <c r="H5850" s="2">
        <f t="shared" ca="1" si="2468"/>
        <v>93</v>
      </c>
      <c r="I5850" t="str">
        <f t="shared" si="2469"/>
        <v>XLK</v>
      </c>
      <c r="J5850">
        <f t="shared" si="2470"/>
        <v>118.92</v>
      </c>
      <c r="K5850">
        <f t="shared" si="2471"/>
        <v>123.62</v>
      </c>
      <c r="L5850">
        <f t="shared" si="2472"/>
        <v>121.27000000000001</v>
      </c>
      <c r="M5850">
        <f t="shared" si="2473"/>
        <v>2.3500000000000014</v>
      </c>
      <c r="N5850">
        <f t="shared" si="2463"/>
        <v>4.7000000000000028</v>
      </c>
      <c r="O5850">
        <f t="shared" si="2474"/>
        <v>121.75</v>
      </c>
      <c r="P5850">
        <f t="shared" si="2475"/>
        <v>0.20425531914893169</v>
      </c>
      <c r="Q5850" t="str">
        <f t="shared" si="2464"/>
        <v>2.32% | 1.54%</v>
      </c>
      <c r="R5850" t="str">
        <f t="shared" si="2476"/>
        <v>BULLISH</v>
      </c>
      <c r="S5850">
        <f t="shared" si="2477"/>
        <v>1</v>
      </c>
    </row>
    <row r="5851" spans="1:19" hidden="1" x14ac:dyDescent="0.25">
      <c r="A5851" s="5" t="str">
        <f t="shared" si="2465"/>
        <v>44160XLE</v>
      </c>
      <c r="B5851" s="6" t="s">
        <v>250</v>
      </c>
      <c r="C5851" s="6">
        <v>33.53</v>
      </c>
      <c r="D5851" s="6">
        <v>41.33</v>
      </c>
      <c r="E5851" s="6">
        <v>40.31</v>
      </c>
      <c r="F5851" t="str">
        <f t="shared" si="2466"/>
        <v>WED</v>
      </c>
      <c r="G5851" s="3">
        <f t="shared" si="2467"/>
        <v>44160</v>
      </c>
      <c r="H5851" s="2">
        <f t="shared" ca="1" si="2468"/>
        <v>93</v>
      </c>
      <c r="I5851" t="str">
        <f t="shared" si="2469"/>
        <v>XLE</v>
      </c>
      <c r="J5851">
        <f t="shared" si="2470"/>
        <v>33.53</v>
      </c>
      <c r="K5851">
        <f t="shared" si="2471"/>
        <v>41.33</v>
      </c>
      <c r="L5851">
        <f t="shared" si="2472"/>
        <v>37.43</v>
      </c>
      <c r="M5851">
        <f t="shared" si="2473"/>
        <v>3.9000000000000048</v>
      </c>
      <c r="N5851">
        <f t="shared" si="2463"/>
        <v>7.7999999999999972</v>
      </c>
      <c r="O5851">
        <f t="shared" si="2474"/>
        <v>40.31</v>
      </c>
      <c r="P5851">
        <f t="shared" si="2475"/>
        <v>0.73846153846153817</v>
      </c>
      <c r="Q5851" t="str">
        <f t="shared" si="2464"/>
        <v>16.82% | 2.53%</v>
      </c>
      <c r="R5851" t="str">
        <f t="shared" si="2476"/>
        <v>BULLISH</v>
      </c>
      <c r="S5851">
        <f t="shared" si="2477"/>
        <v>1</v>
      </c>
    </row>
    <row r="5852" spans="1:19" hidden="1" x14ac:dyDescent="0.25">
      <c r="A5852" s="5" t="str">
        <f t="shared" si="2465"/>
        <v>44160GDX</v>
      </c>
      <c r="B5852" s="6" t="s">
        <v>254</v>
      </c>
      <c r="C5852" s="6">
        <v>33.01</v>
      </c>
      <c r="D5852" s="6">
        <v>36.15</v>
      </c>
      <c r="E5852" s="6">
        <v>33.42</v>
      </c>
      <c r="F5852" t="str">
        <f t="shared" si="2466"/>
        <v>WED</v>
      </c>
      <c r="G5852" s="3">
        <f t="shared" si="2467"/>
        <v>44160</v>
      </c>
      <c r="H5852" s="2">
        <f t="shared" ca="1" si="2468"/>
        <v>93</v>
      </c>
      <c r="I5852" t="str">
        <f t="shared" si="2469"/>
        <v>GDX</v>
      </c>
      <c r="J5852">
        <f t="shared" si="2470"/>
        <v>33.01</v>
      </c>
      <c r="K5852">
        <f t="shared" si="2471"/>
        <v>36.15</v>
      </c>
      <c r="L5852">
        <f t="shared" si="2472"/>
        <v>34.58</v>
      </c>
      <c r="M5852">
        <f t="shared" si="2473"/>
        <v>1.5700000000000003</v>
      </c>
      <c r="N5852">
        <f t="shared" si="2463"/>
        <v>3.1400000000000006</v>
      </c>
      <c r="O5852">
        <f t="shared" si="2474"/>
        <v>33.42</v>
      </c>
      <c r="P5852">
        <f t="shared" si="2475"/>
        <v>-0.7388535031847111</v>
      </c>
      <c r="Q5852" t="str">
        <f t="shared" si="2464"/>
        <v>1.23% | 8.17%</v>
      </c>
      <c r="R5852" t="str">
        <f t="shared" si="2476"/>
        <v>BEARISH</v>
      </c>
      <c r="S5852">
        <f t="shared" si="2477"/>
        <v>-1</v>
      </c>
    </row>
    <row r="5853" spans="1:19" hidden="1" x14ac:dyDescent="0.25">
      <c r="A5853" s="5" t="str">
        <f t="shared" si="2465"/>
        <v>44160SSEC</v>
      </c>
      <c r="B5853" s="6" t="s">
        <v>104</v>
      </c>
      <c r="C5853" s="6">
        <v>3310</v>
      </c>
      <c r="D5853" s="6">
        <v>3425</v>
      </c>
      <c r="E5853" s="6">
        <v>3362</v>
      </c>
      <c r="F5853" t="str">
        <f t="shared" si="2466"/>
        <v>WED</v>
      </c>
      <c r="G5853" s="3">
        <f t="shared" si="2467"/>
        <v>44160</v>
      </c>
      <c r="H5853" s="2">
        <f t="shared" ca="1" si="2468"/>
        <v>93</v>
      </c>
      <c r="I5853" t="str">
        <f t="shared" si="2469"/>
        <v>SSEC</v>
      </c>
      <c r="J5853">
        <f t="shared" si="2470"/>
        <v>3310</v>
      </c>
      <c r="K5853">
        <f t="shared" si="2471"/>
        <v>3425</v>
      </c>
      <c r="L5853">
        <f t="shared" si="2472"/>
        <v>3367.5</v>
      </c>
      <c r="M5853">
        <f t="shared" si="2473"/>
        <v>57.5</v>
      </c>
      <c r="N5853">
        <f t="shared" si="2463"/>
        <v>115</v>
      </c>
      <c r="O5853">
        <f t="shared" si="2474"/>
        <v>3362</v>
      </c>
      <c r="P5853">
        <f t="shared" si="2475"/>
        <v>-9.5652173913043481E-2</v>
      </c>
      <c r="Q5853" t="str">
        <f t="shared" si="2464"/>
        <v>1.55% | 1.87%</v>
      </c>
      <c r="R5853" t="str">
        <f t="shared" si="2476"/>
        <v>BULLISH</v>
      </c>
      <c r="S5853">
        <f t="shared" si="2477"/>
        <v>1</v>
      </c>
    </row>
    <row r="5854" spans="1:19" hidden="1" x14ac:dyDescent="0.25">
      <c r="A5854" s="5" t="str">
        <f t="shared" si="2465"/>
        <v>44160NIKK</v>
      </c>
      <c r="B5854" s="6" t="s">
        <v>91</v>
      </c>
      <c r="C5854" s="6">
        <v>25159</v>
      </c>
      <c r="D5854" s="6">
        <v>26328</v>
      </c>
      <c r="E5854" s="6">
        <v>26296</v>
      </c>
      <c r="F5854" t="str">
        <f t="shared" si="2466"/>
        <v>WED</v>
      </c>
      <c r="G5854" s="3">
        <f t="shared" si="2467"/>
        <v>44160</v>
      </c>
      <c r="H5854" s="2">
        <f t="shared" ca="1" si="2468"/>
        <v>93</v>
      </c>
      <c r="I5854" t="str">
        <f t="shared" si="2469"/>
        <v>NIKK</v>
      </c>
      <c r="J5854">
        <f t="shared" si="2470"/>
        <v>25159</v>
      </c>
      <c r="K5854">
        <f t="shared" si="2471"/>
        <v>26328</v>
      </c>
      <c r="L5854">
        <f t="shared" si="2472"/>
        <v>25743.5</v>
      </c>
      <c r="M5854">
        <f t="shared" si="2473"/>
        <v>584.5</v>
      </c>
      <c r="N5854">
        <f t="shared" si="2463"/>
        <v>1169</v>
      </c>
      <c r="O5854">
        <f t="shared" si="2474"/>
        <v>26296</v>
      </c>
      <c r="P5854">
        <f t="shared" si="2475"/>
        <v>0.94525235243798122</v>
      </c>
      <c r="Q5854" t="str">
        <f t="shared" si="2464"/>
        <v>4.32% | 0.12%</v>
      </c>
      <c r="R5854" t="str">
        <f t="shared" si="2476"/>
        <v>BULLISH</v>
      </c>
      <c r="S5854">
        <f t="shared" si="2477"/>
        <v>1</v>
      </c>
    </row>
    <row r="5855" spans="1:19" hidden="1" x14ac:dyDescent="0.25">
      <c r="A5855" s="5" t="str">
        <f t="shared" si="2465"/>
        <v>44160DAX</v>
      </c>
      <c r="B5855" s="6" t="s">
        <v>16</v>
      </c>
      <c r="C5855" s="6">
        <v>12854</v>
      </c>
      <c r="D5855" s="6">
        <v>13294</v>
      </c>
      <c r="E5855" s="6">
        <v>13292</v>
      </c>
      <c r="F5855" t="str">
        <f t="shared" si="2466"/>
        <v>WED</v>
      </c>
      <c r="G5855" s="3">
        <f t="shared" si="2467"/>
        <v>44160</v>
      </c>
      <c r="H5855" s="2">
        <f t="shared" ca="1" si="2468"/>
        <v>93</v>
      </c>
      <c r="I5855" t="str">
        <f t="shared" si="2469"/>
        <v>DAX</v>
      </c>
      <c r="J5855">
        <f t="shared" si="2470"/>
        <v>12854</v>
      </c>
      <c r="K5855">
        <f t="shared" si="2471"/>
        <v>13294</v>
      </c>
      <c r="L5855">
        <f t="shared" si="2472"/>
        <v>13074</v>
      </c>
      <c r="M5855">
        <f t="shared" si="2473"/>
        <v>220</v>
      </c>
      <c r="N5855">
        <f t="shared" si="2463"/>
        <v>440</v>
      </c>
      <c r="O5855">
        <f t="shared" si="2474"/>
        <v>13292</v>
      </c>
      <c r="P5855">
        <f t="shared" si="2475"/>
        <v>0.99090909090909096</v>
      </c>
      <c r="Q5855" t="str">
        <f t="shared" si="2464"/>
        <v>3.3% | 0.02%</v>
      </c>
      <c r="R5855" t="str">
        <f t="shared" si="2476"/>
        <v>BEARISH</v>
      </c>
      <c r="S5855">
        <f t="shared" si="2477"/>
        <v>-1</v>
      </c>
    </row>
    <row r="5856" spans="1:19" hidden="1" x14ac:dyDescent="0.25">
      <c r="A5856" s="5" t="str">
        <f t="shared" si="2465"/>
        <v>44160VIX</v>
      </c>
      <c r="B5856" s="6" t="s">
        <v>96</v>
      </c>
      <c r="C5856" s="6">
        <v>20.190000000000001</v>
      </c>
      <c r="D5856" s="6">
        <v>26.19</v>
      </c>
      <c r="E5856" s="6">
        <v>21.64</v>
      </c>
      <c r="F5856" t="str">
        <f t="shared" si="2466"/>
        <v>WED</v>
      </c>
      <c r="G5856" s="3">
        <f t="shared" si="2467"/>
        <v>44160</v>
      </c>
      <c r="H5856" s="2">
        <f t="shared" ca="1" si="2468"/>
        <v>93</v>
      </c>
      <c r="I5856" t="str">
        <f t="shared" si="2469"/>
        <v>VIX</v>
      </c>
      <c r="J5856">
        <f t="shared" si="2470"/>
        <v>20.190000000000001</v>
      </c>
      <c r="K5856">
        <f t="shared" si="2471"/>
        <v>26.19</v>
      </c>
      <c r="L5856">
        <f t="shared" si="2472"/>
        <v>23.19</v>
      </c>
      <c r="M5856">
        <f t="shared" si="2473"/>
        <v>3</v>
      </c>
      <c r="N5856">
        <f t="shared" si="2463"/>
        <v>6</v>
      </c>
      <c r="O5856">
        <f t="shared" si="2474"/>
        <v>21.64</v>
      </c>
      <c r="P5856">
        <f t="shared" si="2475"/>
        <v>-0.51666666666666694</v>
      </c>
      <c r="Q5856" t="str">
        <f t="shared" si="2464"/>
        <v>6.7% | 21.03%</v>
      </c>
      <c r="R5856" t="str">
        <f t="shared" si="2476"/>
        <v>BEARISH</v>
      </c>
      <c r="S5856">
        <f t="shared" si="2477"/>
        <v>-1</v>
      </c>
    </row>
    <row r="5857" spans="1:19" hidden="1" x14ac:dyDescent="0.25">
      <c r="A5857" s="5" t="str">
        <f t="shared" si="2465"/>
        <v>44160USD</v>
      </c>
      <c r="B5857" s="6" t="s">
        <v>94</v>
      </c>
      <c r="C5857" s="6">
        <v>91.94</v>
      </c>
      <c r="D5857" s="6">
        <v>92.96</v>
      </c>
      <c r="E5857" s="6">
        <v>92.22</v>
      </c>
      <c r="F5857" t="str">
        <f t="shared" si="2466"/>
        <v>WED</v>
      </c>
      <c r="G5857" s="3">
        <f t="shared" si="2467"/>
        <v>44160</v>
      </c>
      <c r="H5857" s="2">
        <f t="shared" ca="1" si="2468"/>
        <v>93</v>
      </c>
      <c r="I5857" t="str">
        <f t="shared" si="2469"/>
        <v>USD</v>
      </c>
      <c r="J5857">
        <f t="shared" si="2470"/>
        <v>91.94</v>
      </c>
      <c r="K5857">
        <f t="shared" si="2471"/>
        <v>92.96</v>
      </c>
      <c r="L5857">
        <f t="shared" si="2472"/>
        <v>92.449999999999989</v>
      </c>
      <c r="M5857">
        <f t="shared" si="2473"/>
        <v>0.50999999999999801</v>
      </c>
      <c r="N5857">
        <f t="shared" si="2463"/>
        <v>1.019999999999996</v>
      </c>
      <c r="O5857">
        <f t="shared" si="2474"/>
        <v>92.22</v>
      </c>
      <c r="P5857">
        <f t="shared" si="2475"/>
        <v>-0.45098039215684443</v>
      </c>
      <c r="Q5857" t="str">
        <f t="shared" si="2464"/>
        <v>0.3% | 0.8%</v>
      </c>
      <c r="R5857" t="str">
        <f t="shared" si="2476"/>
        <v>BEARISH</v>
      </c>
      <c r="S5857">
        <f t="shared" si="2477"/>
        <v>-1</v>
      </c>
    </row>
    <row r="5858" spans="1:19" hidden="1" x14ac:dyDescent="0.25">
      <c r="A5858" s="5" t="str">
        <f t="shared" si="2465"/>
        <v>44160EUR/USD</v>
      </c>
      <c r="B5858" s="6" t="s">
        <v>99</v>
      </c>
      <c r="C5858" s="6">
        <v>1.179</v>
      </c>
      <c r="D5858" s="6">
        <v>1.1919999999999999</v>
      </c>
      <c r="E5858" s="6">
        <v>1.1890000000000001</v>
      </c>
      <c r="F5858" t="str">
        <f t="shared" si="2466"/>
        <v>WED</v>
      </c>
      <c r="G5858" s="3">
        <f t="shared" si="2467"/>
        <v>44160</v>
      </c>
      <c r="H5858" s="2">
        <f t="shared" ca="1" si="2468"/>
        <v>93</v>
      </c>
      <c r="I5858" t="str">
        <f t="shared" si="2469"/>
        <v>EUR/USD</v>
      </c>
      <c r="J5858">
        <f t="shared" si="2470"/>
        <v>1.179</v>
      </c>
      <c r="K5858">
        <f t="shared" si="2471"/>
        <v>1.1919999999999999</v>
      </c>
      <c r="L5858">
        <f t="shared" si="2472"/>
        <v>1.1855</v>
      </c>
      <c r="M5858">
        <f t="shared" si="2473"/>
        <v>6.4999999999999503E-3</v>
      </c>
      <c r="N5858">
        <f t="shared" si="2463"/>
        <v>1.2999999999999901E-2</v>
      </c>
      <c r="O5858">
        <f t="shared" si="2474"/>
        <v>1.1890000000000001</v>
      </c>
      <c r="P5858">
        <f t="shared" si="2475"/>
        <v>0.53846153846155165</v>
      </c>
      <c r="Q5858" t="str">
        <f t="shared" si="2464"/>
        <v>0.84% | 0.25%</v>
      </c>
      <c r="R5858" t="str">
        <f t="shared" si="2476"/>
        <v>BULLISH</v>
      </c>
      <c r="S5858">
        <f t="shared" si="2477"/>
        <v>1</v>
      </c>
    </row>
    <row r="5859" spans="1:19" hidden="1" x14ac:dyDescent="0.25">
      <c r="A5859" s="5" t="str">
        <f t="shared" si="2465"/>
        <v>44160USD/JPY</v>
      </c>
      <c r="B5859" s="6" t="s">
        <v>20</v>
      </c>
      <c r="C5859" s="6">
        <v>103.3</v>
      </c>
      <c r="D5859" s="6">
        <v>105.38</v>
      </c>
      <c r="E5859" s="6">
        <v>104.47</v>
      </c>
      <c r="F5859" t="str">
        <f t="shared" si="2466"/>
        <v>WED</v>
      </c>
      <c r="G5859" s="3">
        <f t="shared" si="2467"/>
        <v>44160</v>
      </c>
      <c r="H5859" s="2">
        <f t="shared" ca="1" si="2468"/>
        <v>93</v>
      </c>
      <c r="I5859" t="str">
        <f t="shared" si="2469"/>
        <v>USD/JPY</v>
      </c>
      <c r="J5859">
        <f t="shared" si="2470"/>
        <v>103.3</v>
      </c>
      <c r="K5859">
        <f t="shared" si="2471"/>
        <v>105.38</v>
      </c>
      <c r="L5859">
        <f t="shared" si="2472"/>
        <v>104.34</v>
      </c>
      <c r="M5859">
        <f t="shared" si="2473"/>
        <v>1.0399999999999991</v>
      </c>
      <c r="N5859">
        <f t="shared" si="2463"/>
        <v>2.0799999999999983</v>
      </c>
      <c r="O5859">
        <f t="shared" si="2474"/>
        <v>104.47</v>
      </c>
      <c r="P5859">
        <f t="shared" si="2475"/>
        <v>0.12499999999999573</v>
      </c>
      <c r="Q5859" t="str">
        <f t="shared" si="2464"/>
        <v>1.12% | 0.87%</v>
      </c>
      <c r="R5859" t="str">
        <f t="shared" si="2476"/>
        <v>BEARISH</v>
      </c>
      <c r="S5859">
        <f t="shared" si="2477"/>
        <v>-1</v>
      </c>
    </row>
    <row r="5860" spans="1:19" hidden="1" x14ac:dyDescent="0.25">
      <c r="A5860" s="5" t="str">
        <f t="shared" si="2465"/>
        <v>44160GBP/USD</v>
      </c>
      <c r="B5860" s="6" t="s">
        <v>102</v>
      </c>
      <c r="C5860" s="6">
        <v>1.3160000000000001</v>
      </c>
      <c r="D5860" s="6">
        <v>1.339</v>
      </c>
      <c r="E5860" s="6">
        <v>1.3360000000000001</v>
      </c>
      <c r="F5860" t="str">
        <f t="shared" si="2466"/>
        <v>WED</v>
      </c>
      <c r="G5860" s="3">
        <f t="shared" si="2467"/>
        <v>44160</v>
      </c>
      <c r="H5860" s="2">
        <f t="shared" ca="1" si="2468"/>
        <v>93</v>
      </c>
      <c r="I5860" t="str">
        <f t="shared" si="2469"/>
        <v>GBP/USD</v>
      </c>
      <c r="J5860">
        <f t="shared" si="2470"/>
        <v>1.3160000000000001</v>
      </c>
      <c r="K5860">
        <f t="shared" si="2471"/>
        <v>1.339</v>
      </c>
      <c r="L5860">
        <f t="shared" si="2472"/>
        <v>1.3275000000000001</v>
      </c>
      <c r="M5860">
        <f t="shared" si="2473"/>
        <v>1.1499999999999955E-2</v>
      </c>
      <c r="N5860">
        <f t="shared" si="2463"/>
        <v>2.2999999999999909E-2</v>
      </c>
      <c r="O5860">
        <f t="shared" si="2474"/>
        <v>1.3360000000000001</v>
      </c>
      <c r="P5860">
        <f t="shared" si="2475"/>
        <v>0.73913043478260743</v>
      </c>
      <c r="Q5860" t="str">
        <f t="shared" si="2464"/>
        <v>1.5% | 0.22%</v>
      </c>
      <c r="R5860" t="str">
        <f t="shared" si="2476"/>
        <v>BULLISH</v>
      </c>
      <c r="S5860">
        <f t="shared" si="2477"/>
        <v>1</v>
      </c>
    </row>
    <row r="5861" spans="1:19" hidden="1" x14ac:dyDescent="0.25">
      <c r="A5861" s="5" t="str">
        <f t="shared" si="2465"/>
        <v>44160CAD/USD</v>
      </c>
      <c r="B5861" s="6" t="s">
        <v>244</v>
      </c>
      <c r="C5861" s="6">
        <v>0.75</v>
      </c>
      <c r="D5861" s="6">
        <v>0.77</v>
      </c>
      <c r="E5861" s="6">
        <v>0.76</v>
      </c>
      <c r="F5861" t="str">
        <f t="shared" si="2466"/>
        <v>WED</v>
      </c>
      <c r="G5861" s="3">
        <f t="shared" si="2467"/>
        <v>44160</v>
      </c>
      <c r="H5861" s="2">
        <f t="shared" ca="1" si="2468"/>
        <v>93</v>
      </c>
      <c r="I5861" t="str">
        <f t="shared" si="2469"/>
        <v>CAD/USD</v>
      </c>
      <c r="J5861">
        <f t="shared" si="2470"/>
        <v>0.75</v>
      </c>
      <c r="K5861">
        <f t="shared" si="2471"/>
        <v>0.77</v>
      </c>
      <c r="L5861">
        <f t="shared" si="2472"/>
        <v>0.76</v>
      </c>
      <c r="M5861">
        <f t="shared" si="2473"/>
        <v>1.0000000000000009E-2</v>
      </c>
      <c r="N5861">
        <f t="shared" si="2463"/>
        <v>2.0000000000000018E-2</v>
      </c>
      <c r="O5861">
        <f t="shared" si="2474"/>
        <v>0.76</v>
      </c>
      <c r="P5861">
        <f t="shared" si="2475"/>
        <v>0</v>
      </c>
      <c r="Q5861" t="str">
        <f t="shared" si="2464"/>
        <v>1.32% | 1.32%</v>
      </c>
      <c r="R5861" t="str">
        <f t="shared" si="2476"/>
        <v>BULLISH</v>
      </c>
      <c r="S5861">
        <f t="shared" si="2477"/>
        <v>1</v>
      </c>
    </row>
    <row r="5862" spans="1:19" hidden="1" x14ac:dyDescent="0.25">
      <c r="A5862" s="5" t="str">
        <f t="shared" si="2465"/>
        <v>44160USD/CHF</v>
      </c>
      <c r="B5862" s="6" t="s">
        <v>76</v>
      </c>
      <c r="C5862" s="6">
        <v>0.9</v>
      </c>
      <c r="D5862" s="6">
        <v>0.92</v>
      </c>
      <c r="E5862" s="6">
        <v>0.91</v>
      </c>
      <c r="F5862" t="str">
        <f t="shared" si="2466"/>
        <v>WED</v>
      </c>
      <c r="G5862" s="3">
        <f t="shared" si="2467"/>
        <v>44160</v>
      </c>
      <c r="H5862" s="2">
        <f t="shared" ca="1" si="2468"/>
        <v>93</v>
      </c>
      <c r="I5862" t="str">
        <f t="shared" si="2469"/>
        <v>USD/CHF</v>
      </c>
      <c r="J5862">
        <f t="shared" si="2470"/>
        <v>0.9</v>
      </c>
      <c r="K5862">
        <f t="shared" si="2471"/>
        <v>0.92</v>
      </c>
      <c r="L5862">
        <f t="shared" si="2472"/>
        <v>0.91</v>
      </c>
      <c r="M5862">
        <f t="shared" si="2473"/>
        <v>1.0000000000000009E-2</v>
      </c>
      <c r="N5862">
        <f t="shared" si="2463"/>
        <v>2.0000000000000018E-2</v>
      </c>
      <c r="O5862">
        <f t="shared" si="2474"/>
        <v>0.91</v>
      </c>
      <c r="P5862">
        <f t="shared" si="2475"/>
        <v>0</v>
      </c>
      <c r="Q5862" t="str">
        <f t="shared" si="2464"/>
        <v>1.1% | 1.1%</v>
      </c>
      <c r="R5862" t="str">
        <f t="shared" si="2476"/>
        <v>BEARISH</v>
      </c>
      <c r="S5862">
        <f t="shared" si="2477"/>
        <v>-1</v>
      </c>
    </row>
    <row r="5863" spans="1:19" hidden="1" x14ac:dyDescent="0.25">
      <c r="A5863" s="5" t="str">
        <f t="shared" si="2465"/>
        <v>44160WTIC</v>
      </c>
      <c r="B5863" s="6" t="s">
        <v>158</v>
      </c>
      <c r="C5863" s="6">
        <v>40.98</v>
      </c>
      <c r="D5863" s="6">
        <v>45.77</v>
      </c>
      <c r="E5863" s="6">
        <v>44.91</v>
      </c>
      <c r="F5863" t="str">
        <f t="shared" si="2466"/>
        <v>WED</v>
      </c>
      <c r="G5863" s="3">
        <f t="shared" si="2467"/>
        <v>44160</v>
      </c>
      <c r="H5863" s="2">
        <f t="shared" ca="1" si="2468"/>
        <v>93</v>
      </c>
      <c r="I5863" t="str">
        <f t="shared" si="2469"/>
        <v>WTIC</v>
      </c>
      <c r="J5863">
        <f t="shared" si="2470"/>
        <v>40.98</v>
      </c>
      <c r="K5863">
        <f t="shared" si="2471"/>
        <v>45.77</v>
      </c>
      <c r="L5863">
        <f t="shared" si="2472"/>
        <v>43.375</v>
      </c>
      <c r="M5863">
        <f t="shared" si="2473"/>
        <v>2.3950000000000031</v>
      </c>
      <c r="N5863">
        <f t="shared" si="2463"/>
        <v>4.7900000000000063</v>
      </c>
      <c r="O5863">
        <f t="shared" si="2474"/>
        <v>44.91</v>
      </c>
      <c r="P5863">
        <f t="shared" si="2475"/>
        <v>0.64091858037578064</v>
      </c>
      <c r="Q5863" t="str">
        <f t="shared" si="2464"/>
        <v>8.75% | 1.91%</v>
      </c>
      <c r="R5863" t="str">
        <f t="shared" si="2476"/>
        <v>BULLISH</v>
      </c>
      <c r="S5863">
        <f t="shared" si="2477"/>
        <v>1</v>
      </c>
    </row>
    <row r="5864" spans="1:19" hidden="1" x14ac:dyDescent="0.25">
      <c r="A5864" s="5" t="str">
        <f t="shared" si="2465"/>
        <v>44160NATGAS</v>
      </c>
      <c r="B5864" s="6" t="s">
        <v>89</v>
      </c>
      <c r="C5864" s="6">
        <v>2.5099999999999998</v>
      </c>
      <c r="D5864" s="6">
        <v>3.09</v>
      </c>
      <c r="E5864" s="6">
        <v>2.9</v>
      </c>
      <c r="F5864" t="str">
        <f t="shared" si="2466"/>
        <v>WED</v>
      </c>
      <c r="G5864" s="3">
        <f t="shared" si="2467"/>
        <v>44160</v>
      </c>
      <c r="H5864" s="2">
        <f t="shared" ca="1" si="2468"/>
        <v>93</v>
      </c>
      <c r="I5864" t="str">
        <f t="shared" si="2469"/>
        <v>NATGAS</v>
      </c>
      <c r="J5864">
        <f t="shared" si="2470"/>
        <v>2.5099999999999998</v>
      </c>
      <c r="K5864">
        <f t="shared" si="2471"/>
        <v>3.09</v>
      </c>
      <c r="L5864">
        <f t="shared" si="2472"/>
        <v>2.8</v>
      </c>
      <c r="M5864">
        <f t="shared" si="2473"/>
        <v>0.29000000000000048</v>
      </c>
      <c r="N5864">
        <f t="shared" si="2463"/>
        <v>0.58000000000000007</v>
      </c>
      <c r="O5864">
        <f t="shared" si="2474"/>
        <v>2.9</v>
      </c>
      <c r="P5864">
        <f t="shared" si="2475"/>
        <v>0.3448275862068963</v>
      </c>
      <c r="Q5864" t="str">
        <f t="shared" si="2464"/>
        <v>13.45% | 6.55%</v>
      </c>
      <c r="R5864" t="str">
        <f t="shared" si="2476"/>
        <v>BULLISH</v>
      </c>
      <c r="S5864">
        <f t="shared" si="2477"/>
        <v>1</v>
      </c>
    </row>
    <row r="5865" spans="1:19" hidden="1" x14ac:dyDescent="0.25">
      <c r="A5865" s="5" t="str">
        <f t="shared" si="2465"/>
        <v>44160GOLD</v>
      </c>
      <c r="B5865" s="6" t="s">
        <v>85</v>
      </c>
      <c r="C5865" s="6">
        <v>1783</v>
      </c>
      <c r="D5865" s="6">
        <v>1881</v>
      </c>
      <c r="E5865" s="6">
        <v>1804</v>
      </c>
      <c r="F5865" t="str">
        <f t="shared" si="2466"/>
        <v>WED</v>
      </c>
      <c r="G5865" s="3">
        <f t="shared" si="2467"/>
        <v>44160</v>
      </c>
      <c r="H5865" s="2">
        <f t="shared" ca="1" si="2468"/>
        <v>93</v>
      </c>
      <c r="I5865" t="str">
        <f t="shared" si="2469"/>
        <v>GOLD</v>
      </c>
      <c r="J5865">
        <f t="shared" si="2470"/>
        <v>1783</v>
      </c>
      <c r="K5865">
        <f t="shared" si="2471"/>
        <v>1881</v>
      </c>
      <c r="L5865">
        <f t="shared" si="2472"/>
        <v>1832</v>
      </c>
      <c r="M5865">
        <f t="shared" si="2473"/>
        <v>49</v>
      </c>
      <c r="N5865">
        <f t="shared" si="2463"/>
        <v>98</v>
      </c>
      <c r="O5865">
        <f t="shared" si="2474"/>
        <v>1804</v>
      </c>
      <c r="P5865">
        <f t="shared" si="2475"/>
        <v>-0.5714285714285714</v>
      </c>
      <c r="Q5865" t="str">
        <f t="shared" si="2464"/>
        <v>1.16% | 4.27%</v>
      </c>
      <c r="R5865" t="str">
        <f t="shared" si="2476"/>
        <v>BEARISH</v>
      </c>
      <c r="S5865">
        <f t="shared" si="2477"/>
        <v>-1</v>
      </c>
    </row>
    <row r="5866" spans="1:19" hidden="1" x14ac:dyDescent="0.25">
      <c r="A5866" s="5" t="str">
        <f t="shared" si="2465"/>
        <v>44160COPPER</v>
      </c>
      <c r="B5866" s="6" t="s">
        <v>100</v>
      </c>
      <c r="C5866" s="6">
        <v>3.16</v>
      </c>
      <c r="D5866" s="6">
        <v>3.34</v>
      </c>
      <c r="E5866" s="6">
        <v>3.3</v>
      </c>
      <c r="F5866" t="str">
        <f t="shared" si="2466"/>
        <v>WED</v>
      </c>
      <c r="G5866" s="3">
        <f t="shared" si="2467"/>
        <v>44160</v>
      </c>
      <c r="H5866" s="2">
        <f t="shared" ca="1" si="2468"/>
        <v>93</v>
      </c>
      <c r="I5866" t="str">
        <f t="shared" si="2469"/>
        <v>COPPER</v>
      </c>
      <c r="J5866">
        <f t="shared" si="2470"/>
        <v>3.16</v>
      </c>
      <c r="K5866">
        <f t="shared" si="2471"/>
        <v>3.34</v>
      </c>
      <c r="L5866">
        <f t="shared" si="2472"/>
        <v>3.25</v>
      </c>
      <c r="M5866">
        <f t="shared" si="2473"/>
        <v>8.9999999999999858E-2</v>
      </c>
      <c r="N5866">
        <f t="shared" si="2463"/>
        <v>0.17999999999999972</v>
      </c>
      <c r="O5866">
        <f t="shared" si="2474"/>
        <v>3.3</v>
      </c>
      <c r="P5866">
        <f t="shared" si="2475"/>
        <v>0.55555555555555447</v>
      </c>
      <c r="Q5866" t="str">
        <f t="shared" si="2464"/>
        <v>4.24% | 1.21%</v>
      </c>
      <c r="R5866" t="str">
        <f t="shared" si="2476"/>
        <v>BULLISH</v>
      </c>
      <c r="S5866">
        <f t="shared" si="2477"/>
        <v>1</v>
      </c>
    </row>
    <row r="5867" spans="1:19" hidden="1" x14ac:dyDescent="0.25">
      <c r="A5867" s="5" t="str">
        <f t="shared" si="2465"/>
        <v>44160MSFT</v>
      </c>
      <c r="B5867" s="6" t="s">
        <v>27</v>
      </c>
      <c r="C5867" s="6">
        <v>208</v>
      </c>
      <c r="D5867" s="6">
        <v>219</v>
      </c>
      <c r="E5867" s="6">
        <v>213</v>
      </c>
      <c r="F5867" t="str">
        <f t="shared" si="2466"/>
        <v>WED</v>
      </c>
      <c r="G5867" s="3">
        <f t="shared" si="2467"/>
        <v>44160</v>
      </c>
      <c r="H5867" s="2">
        <f t="shared" ca="1" si="2468"/>
        <v>93</v>
      </c>
      <c r="I5867" t="str">
        <f t="shared" si="2469"/>
        <v>MSFT</v>
      </c>
      <c r="J5867">
        <f t="shared" si="2470"/>
        <v>208</v>
      </c>
      <c r="K5867">
        <f t="shared" si="2471"/>
        <v>219</v>
      </c>
      <c r="L5867">
        <f t="shared" si="2472"/>
        <v>213.5</v>
      </c>
      <c r="M5867">
        <f t="shared" si="2473"/>
        <v>5.5</v>
      </c>
      <c r="N5867">
        <f t="shared" si="2463"/>
        <v>11</v>
      </c>
      <c r="O5867">
        <f t="shared" si="2474"/>
        <v>213</v>
      </c>
      <c r="P5867">
        <f t="shared" si="2475"/>
        <v>-9.0909090909090912E-2</v>
      </c>
      <c r="Q5867" t="str">
        <f t="shared" si="2464"/>
        <v>2.35% | 2.82%</v>
      </c>
      <c r="R5867" t="str">
        <f t="shared" si="2476"/>
        <v>BULLISH</v>
      </c>
      <c r="S5867">
        <f t="shared" si="2477"/>
        <v>1</v>
      </c>
    </row>
    <row r="5868" spans="1:19" hidden="1" x14ac:dyDescent="0.25">
      <c r="A5868" s="5" t="str">
        <f t="shared" si="2465"/>
        <v>44160AAPL</v>
      </c>
      <c r="B5868" s="6" t="s">
        <v>28</v>
      </c>
      <c r="C5868" s="6">
        <v>113</v>
      </c>
      <c r="D5868" s="6">
        <v>122</v>
      </c>
      <c r="E5868" s="6">
        <v>115</v>
      </c>
      <c r="F5868" t="str">
        <f t="shared" si="2466"/>
        <v>WED</v>
      </c>
      <c r="G5868" s="3">
        <f t="shared" si="2467"/>
        <v>44160</v>
      </c>
      <c r="H5868" s="2">
        <f t="shared" ca="1" si="2468"/>
        <v>93</v>
      </c>
      <c r="I5868" t="str">
        <f t="shared" si="2469"/>
        <v>AAPL</v>
      </c>
      <c r="J5868">
        <f t="shared" si="2470"/>
        <v>113</v>
      </c>
      <c r="K5868">
        <f t="shared" si="2471"/>
        <v>122</v>
      </c>
      <c r="L5868">
        <f t="shared" si="2472"/>
        <v>117.5</v>
      </c>
      <c r="M5868">
        <f t="shared" si="2473"/>
        <v>4.5</v>
      </c>
      <c r="N5868">
        <f t="shared" si="2463"/>
        <v>9</v>
      </c>
      <c r="O5868">
        <f t="shared" si="2474"/>
        <v>115</v>
      </c>
      <c r="P5868">
        <f t="shared" si="2475"/>
        <v>-0.55555555555555558</v>
      </c>
      <c r="Q5868" t="str">
        <f t="shared" si="2464"/>
        <v>1.74% | 6.09%</v>
      </c>
      <c r="R5868" t="str">
        <f t="shared" si="2476"/>
        <v>BULLISH</v>
      </c>
      <c r="S5868">
        <f t="shared" si="2477"/>
        <v>1</v>
      </c>
    </row>
    <row r="5869" spans="1:19" hidden="1" x14ac:dyDescent="0.25">
      <c r="A5869" s="5" t="str">
        <f t="shared" si="2465"/>
        <v>44160AMZN</v>
      </c>
      <c r="B5869" s="6" t="s">
        <v>69</v>
      </c>
      <c r="C5869" s="6">
        <v>3055</v>
      </c>
      <c r="D5869" s="6">
        <v>3162</v>
      </c>
      <c r="E5869" s="6">
        <v>3118</v>
      </c>
      <c r="F5869" t="str">
        <f t="shared" si="2466"/>
        <v>WED</v>
      </c>
      <c r="G5869" s="3">
        <f t="shared" si="2467"/>
        <v>44160</v>
      </c>
      <c r="H5869" s="2">
        <f t="shared" ca="1" si="2468"/>
        <v>93</v>
      </c>
      <c r="I5869" t="str">
        <f t="shared" si="2469"/>
        <v>AMZN</v>
      </c>
      <c r="J5869">
        <f t="shared" si="2470"/>
        <v>3055</v>
      </c>
      <c r="K5869">
        <f t="shared" si="2471"/>
        <v>3162</v>
      </c>
      <c r="L5869">
        <f t="shared" si="2472"/>
        <v>3108.5</v>
      </c>
      <c r="M5869">
        <f t="shared" si="2473"/>
        <v>53.5</v>
      </c>
      <c r="N5869">
        <f t="shared" si="2463"/>
        <v>107</v>
      </c>
      <c r="O5869">
        <f t="shared" si="2474"/>
        <v>3118</v>
      </c>
      <c r="P5869">
        <f t="shared" si="2475"/>
        <v>0.17757009345794392</v>
      </c>
      <c r="Q5869" t="str">
        <f t="shared" si="2464"/>
        <v>2.02% | 1.41%</v>
      </c>
      <c r="R5869" t="str">
        <f t="shared" si="2476"/>
        <v>NEUTRAL</v>
      </c>
      <c r="S5869">
        <f t="shared" si="2477"/>
        <v>0</v>
      </c>
    </row>
    <row r="5870" spans="1:19" hidden="1" x14ac:dyDescent="0.25">
      <c r="A5870" s="5" t="str">
        <f t="shared" si="2465"/>
        <v>44160FB</v>
      </c>
      <c r="B5870" s="6" t="s">
        <v>30</v>
      </c>
      <c r="C5870" s="6">
        <v>266</v>
      </c>
      <c r="D5870" s="6">
        <v>283</v>
      </c>
      <c r="E5870" s="6">
        <v>276</v>
      </c>
      <c r="F5870" t="str">
        <f t="shared" si="2466"/>
        <v>WED</v>
      </c>
      <c r="G5870" s="3">
        <f t="shared" si="2467"/>
        <v>44160</v>
      </c>
      <c r="H5870" s="2">
        <f t="shared" ca="1" si="2468"/>
        <v>93</v>
      </c>
      <c r="I5870" t="str">
        <f t="shared" si="2469"/>
        <v>FB</v>
      </c>
      <c r="J5870">
        <f t="shared" si="2470"/>
        <v>266</v>
      </c>
      <c r="K5870">
        <f t="shared" si="2471"/>
        <v>283</v>
      </c>
      <c r="L5870">
        <f t="shared" si="2472"/>
        <v>274.5</v>
      </c>
      <c r="M5870">
        <f t="shared" si="2473"/>
        <v>8.5</v>
      </c>
      <c r="N5870">
        <f t="shared" si="2463"/>
        <v>17</v>
      </c>
      <c r="O5870">
        <f t="shared" si="2474"/>
        <v>276</v>
      </c>
      <c r="P5870">
        <f t="shared" si="2475"/>
        <v>0.17647058823529413</v>
      </c>
      <c r="Q5870" t="str">
        <f t="shared" si="2464"/>
        <v>3.62% | 2.54%</v>
      </c>
      <c r="R5870" t="str">
        <f t="shared" si="2476"/>
        <v>BULLISH</v>
      </c>
      <c r="S5870">
        <f t="shared" si="2477"/>
        <v>1</v>
      </c>
    </row>
    <row r="5871" spans="1:19" hidden="1" x14ac:dyDescent="0.25">
      <c r="A5871" s="5" t="str">
        <f t="shared" si="2465"/>
        <v>44160GOOGL</v>
      </c>
      <c r="B5871" s="6" t="s">
        <v>31</v>
      </c>
      <c r="C5871" s="6">
        <v>1720</v>
      </c>
      <c r="D5871" s="6">
        <v>1794</v>
      </c>
      <c r="E5871" s="6">
        <v>1763</v>
      </c>
      <c r="F5871" t="str">
        <f t="shared" si="2466"/>
        <v>WED</v>
      </c>
      <c r="G5871" s="3">
        <f t="shared" si="2467"/>
        <v>44160</v>
      </c>
      <c r="H5871" s="2">
        <f t="shared" ca="1" si="2468"/>
        <v>93</v>
      </c>
      <c r="I5871" t="str">
        <f t="shared" si="2469"/>
        <v>GOOGL</v>
      </c>
      <c r="J5871">
        <f t="shared" si="2470"/>
        <v>1720</v>
      </c>
      <c r="K5871">
        <f t="shared" si="2471"/>
        <v>1794</v>
      </c>
      <c r="L5871">
        <f t="shared" si="2472"/>
        <v>1757</v>
      </c>
      <c r="M5871">
        <f t="shared" si="2473"/>
        <v>37</v>
      </c>
      <c r="N5871">
        <f t="shared" si="2463"/>
        <v>74</v>
      </c>
      <c r="O5871">
        <f t="shared" si="2474"/>
        <v>1763</v>
      </c>
      <c r="P5871">
        <f t="shared" si="2475"/>
        <v>0.16216216216216217</v>
      </c>
      <c r="Q5871" t="str">
        <f t="shared" si="2464"/>
        <v>2.44% | 1.76%</v>
      </c>
      <c r="R5871" t="str">
        <f t="shared" si="2476"/>
        <v>BULLISH</v>
      </c>
      <c r="S5871">
        <f t="shared" si="2477"/>
        <v>1</v>
      </c>
    </row>
    <row r="5872" spans="1:19" hidden="1" x14ac:dyDescent="0.25">
      <c r="A5872" s="5" t="str">
        <f t="shared" si="2465"/>
        <v>44160NFLX</v>
      </c>
      <c r="B5872" s="6" t="s">
        <v>81</v>
      </c>
      <c r="C5872" s="6">
        <v>469</v>
      </c>
      <c r="D5872" s="6">
        <v>493</v>
      </c>
      <c r="E5872" s="6">
        <v>482</v>
      </c>
      <c r="F5872" t="str">
        <f t="shared" si="2466"/>
        <v>WED</v>
      </c>
      <c r="G5872" s="3">
        <f t="shared" si="2467"/>
        <v>44160</v>
      </c>
      <c r="H5872" s="2">
        <f t="shared" ca="1" si="2468"/>
        <v>93</v>
      </c>
      <c r="I5872" t="str">
        <f t="shared" si="2469"/>
        <v>NFLX</v>
      </c>
      <c r="J5872">
        <f t="shared" si="2470"/>
        <v>469</v>
      </c>
      <c r="K5872">
        <f t="shared" si="2471"/>
        <v>493</v>
      </c>
      <c r="L5872">
        <f t="shared" si="2472"/>
        <v>481</v>
      </c>
      <c r="M5872">
        <f t="shared" si="2473"/>
        <v>12</v>
      </c>
      <c r="N5872">
        <f t="shared" si="2463"/>
        <v>24</v>
      </c>
      <c r="O5872">
        <f t="shared" si="2474"/>
        <v>482</v>
      </c>
      <c r="P5872">
        <f t="shared" si="2475"/>
        <v>8.3333333333333329E-2</v>
      </c>
      <c r="Q5872" t="str">
        <f t="shared" si="2464"/>
        <v>2.7% | 2.28%</v>
      </c>
      <c r="R5872" t="str">
        <f t="shared" si="2476"/>
        <v>BEARISH</v>
      </c>
      <c r="S5872">
        <f t="shared" si="2477"/>
        <v>-1</v>
      </c>
    </row>
    <row r="5873" spans="1:19" x14ac:dyDescent="0.25">
      <c r="A5873" s="5" t="str">
        <f t="shared" si="2465"/>
        <v>44160TSLA</v>
      </c>
      <c r="B5873" s="6" t="s">
        <v>33</v>
      </c>
      <c r="C5873" s="6">
        <v>470</v>
      </c>
      <c r="D5873" s="6">
        <v>580</v>
      </c>
      <c r="E5873" s="6">
        <v>555</v>
      </c>
      <c r="F5873" t="str">
        <f t="shared" si="2466"/>
        <v>WED</v>
      </c>
      <c r="G5873" s="3">
        <f t="shared" si="2467"/>
        <v>44160</v>
      </c>
      <c r="H5873" s="2">
        <f t="shared" ca="1" si="2468"/>
        <v>93</v>
      </c>
      <c r="I5873" t="str">
        <f t="shared" si="2469"/>
        <v>TSLA</v>
      </c>
      <c r="J5873">
        <f t="shared" si="2470"/>
        <v>470</v>
      </c>
      <c r="K5873">
        <f t="shared" si="2471"/>
        <v>580</v>
      </c>
      <c r="L5873">
        <f t="shared" si="2472"/>
        <v>525</v>
      </c>
      <c r="M5873">
        <f t="shared" si="2473"/>
        <v>55</v>
      </c>
      <c r="N5873">
        <f t="shared" si="2463"/>
        <v>110</v>
      </c>
      <c r="O5873">
        <f t="shared" si="2474"/>
        <v>555</v>
      </c>
      <c r="P5873">
        <f t="shared" si="2475"/>
        <v>0.54545454545454541</v>
      </c>
      <c r="Q5873" t="str">
        <f t="shared" si="2464"/>
        <v>15.32% | 4.5%</v>
      </c>
      <c r="R5873" t="str">
        <f t="shared" si="2476"/>
        <v>BULLISH</v>
      </c>
      <c r="S5873">
        <f t="shared" si="2477"/>
        <v>1</v>
      </c>
    </row>
    <row r="5874" spans="1:19" hidden="1" x14ac:dyDescent="0.25">
      <c r="A5874" s="5" t="str">
        <f t="shared" si="2465"/>
        <v>44160NYXBT</v>
      </c>
      <c r="B5874" s="6" t="s">
        <v>60</v>
      </c>
      <c r="C5874" s="6">
        <v>17489</v>
      </c>
      <c r="D5874" s="6">
        <v>19802</v>
      </c>
      <c r="E5874" s="6">
        <v>19361</v>
      </c>
      <c r="F5874" t="str">
        <f t="shared" si="2466"/>
        <v>WED</v>
      </c>
      <c r="G5874" s="3">
        <f t="shared" si="2467"/>
        <v>44160</v>
      </c>
      <c r="H5874" s="2">
        <f t="shared" ca="1" si="2468"/>
        <v>93</v>
      </c>
      <c r="I5874" t="str">
        <f t="shared" si="2469"/>
        <v>NYXBT</v>
      </c>
      <c r="J5874">
        <f t="shared" si="2470"/>
        <v>17489</v>
      </c>
      <c r="K5874">
        <f t="shared" si="2471"/>
        <v>19802</v>
      </c>
      <c r="L5874">
        <f t="shared" si="2472"/>
        <v>18645.5</v>
      </c>
      <c r="M5874">
        <f t="shared" si="2473"/>
        <v>1156.5</v>
      </c>
      <c r="N5874">
        <f t="shared" si="2463"/>
        <v>2313</v>
      </c>
      <c r="O5874">
        <f t="shared" si="2474"/>
        <v>19361</v>
      </c>
      <c r="P5874">
        <f t="shared" si="2475"/>
        <v>0.61867704280155644</v>
      </c>
      <c r="Q5874" t="str">
        <f t="shared" si="2464"/>
        <v>9.67% | 2.28%</v>
      </c>
      <c r="R5874" t="str">
        <f t="shared" si="2476"/>
        <v>BULLISH</v>
      </c>
      <c r="S5874">
        <f t="shared" si="2477"/>
        <v>1</v>
      </c>
    </row>
    <row r="5875" spans="1:19" hidden="1" x14ac:dyDescent="0.25">
      <c r="A5875" s="5" t="str">
        <f t="shared" si="2465"/>
        <v>44162UST10Y</v>
      </c>
      <c r="B5875" s="6" t="s">
        <v>246</v>
      </c>
      <c r="C5875" s="6">
        <v>0.95</v>
      </c>
      <c r="D5875" s="6">
        <v>0.82</v>
      </c>
      <c r="E5875" s="6">
        <v>0.88</v>
      </c>
      <c r="F5875" t="str">
        <f t="shared" si="2466"/>
        <v>FRI</v>
      </c>
      <c r="G5875" s="1">
        <f>DATE(2020,11,27)</f>
        <v>44162</v>
      </c>
      <c r="H5875" s="2">
        <f t="shared" ca="1" si="2468"/>
        <v>91</v>
      </c>
      <c r="I5875" t="str">
        <f t="shared" si="2469"/>
        <v>UST10Y</v>
      </c>
      <c r="J5875">
        <f t="shared" si="2470"/>
        <v>0.95</v>
      </c>
      <c r="K5875">
        <f t="shared" si="2471"/>
        <v>0.82</v>
      </c>
      <c r="L5875">
        <f t="shared" si="2472"/>
        <v>0.88500000000000001</v>
      </c>
      <c r="M5875">
        <f t="shared" si="2473"/>
        <v>6.5000000000000002E-2</v>
      </c>
      <c r="N5875">
        <f t="shared" si="2463"/>
        <v>0.13</v>
      </c>
      <c r="O5875">
        <f t="shared" si="2474"/>
        <v>0.88</v>
      </c>
      <c r="P5875">
        <f t="shared" si="2475"/>
        <v>-7.6923076923076983E-2</v>
      </c>
      <c r="Q5875" t="str">
        <f t="shared" si="2464"/>
        <v>7.95% | 6.82%</v>
      </c>
      <c r="R5875" t="str">
        <f t="shared" si="2476"/>
        <v>NEUTRAL</v>
      </c>
      <c r="S5875">
        <f t="shared" si="2477"/>
        <v>0</v>
      </c>
    </row>
    <row r="5876" spans="1:19" hidden="1" x14ac:dyDescent="0.25">
      <c r="A5876" s="5" t="str">
        <f t="shared" si="2465"/>
        <v>44162UST2Y</v>
      </c>
      <c r="B5876" s="6" t="s">
        <v>253</v>
      </c>
      <c r="C5876" s="6">
        <v>0.19</v>
      </c>
      <c r="D5876" s="6">
        <v>0.14000000000000001</v>
      </c>
      <c r="E5876" s="6">
        <v>0.17</v>
      </c>
      <c r="F5876" t="str">
        <f t="shared" ref="F5876:F5905" si="2478">UPPER(TEXT(G5876,"ddd"))</f>
        <v>FRI</v>
      </c>
      <c r="G5876" s="1">
        <f t="shared" ref="G5876:G5904" si="2479">DATE(2020,11,27)</f>
        <v>44162</v>
      </c>
      <c r="H5876" s="2">
        <f t="shared" ref="H5876:H5905" ca="1" si="2480">TODAY()-G5876</f>
        <v>91</v>
      </c>
      <c r="I5876" t="str">
        <f t="shared" ref="I5876:I5905" si="2481">TRIM(LEFT(B5876,FIND(" ",B5876,1)))</f>
        <v>UST2Y</v>
      </c>
      <c r="J5876">
        <f t="shared" ref="J5876:J5905" si="2482">C5876</f>
        <v>0.19</v>
      </c>
      <c r="K5876">
        <f t="shared" ref="K5876:K5905" si="2483">D5876</f>
        <v>0.14000000000000001</v>
      </c>
      <c r="L5876">
        <f t="shared" ref="L5876:L5905" si="2484">AVERAGE(J5876:K5876)</f>
        <v>0.16500000000000001</v>
      </c>
      <c r="M5876">
        <f t="shared" ref="M5876:M5905" si="2485">_xlfn.STDEV.P(J5876:K5876)</f>
        <v>2.4999999999999942E-2</v>
      </c>
      <c r="N5876">
        <f t="shared" si="2463"/>
        <v>4.9999999999999989E-2</v>
      </c>
      <c r="O5876">
        <f t="shared" ref="O5876:O5905" si="2486">E5876</f>
        <v>0.17</v>
      </c>
      <c r="P5876">
        <f t="shared" ref="P5876:P5905" si="2487">(O5876-L5876)/M5876</f>
        <v>0.20000000000000065</v>
      </c>
      <c r="Q5876" t="str">
        <f t="shared" si="2464"/>
        <v>11.76% | 17.65%</v>
      </c>
      <c r="R5876" t="str">
        <f t="shared" ref="R5876:R5905" si="2488">MID(B5876,FIND("(",B5876,1)+1,FIND(")",B5876,1)-FIND("(",B5876,1)-1)</f>
        <v>NEUTRAL</v>
      </c>
      <c r="S5876">
        <f t="shared" ref="S5876:S5905" si="2489">IF(R5876="BEARISH",-1,IF(R5876="NEUTRAL",0,IF(R5876="BULLISH",1,99)))</f>
        <v>0</v>
      </c>
    </row>
    <row r="5877" spans="1:19" hidden="1" x14ac:dyDescent="0.25">
      <c r="A5877" s="5" t="str">
        <f t="shared" si="2465"/>
        <v>44162SPX</v>
      </c>
      <c r="B5877" s="6" t="s">
        <v>93</v>
      </c>
      <c r="C5877" s="6">
        <v>3532</v>
      </c>
      <c r="D5877" s="6">
        <v>3653</v>
      </c>
      <c r="E5877" s="6">
        <v>3629</v>
      </c>
      <c r="F5877" t="str">
        <f t="shared" si="2478"/>
        <v>FRI</v>
      </c>
      <c r="G5877" s="1">
        <f t="shared" si="2479"/>
        <v>44162</v>
      </c>
      <c r="H5877" s="2">
        <f t="shared" ca="1" si="2480"/>
        <v>91</v>
      </c>
      <c r="I5877" t="str">
        <f t="shared" si="2481"/>
        <v>SPX</v>
      </c>
      <c r="J5877">
        <f t="shared" si="2482"/>
        <v>3532</v>
      </c>
      <c r="K5877">
        <f t="shared" si="2483"/>
        <v>3653</v>
      </c>
      <c r="L5877">
        <f t="shared" si="2484"/>
        <v>3592.5</v>
      </c>
      <c r="M5877">
        <f t="shared" si="2485"/>
        <v>60.5</v>
      </c>
      <c r="N5877">
        <f t="shared" si="2463"/>
        <v>121</v>
      </c>
      <c r="O5877">
        <f t="shared" si="2486"/>
        <v>3629</v>
      </c>
      <c r="P5877">
        <f t="shared" si="2487"/>
        <v>0.60330578512396693</v>
      </c>
      <c r="Q5877" t="str">
        <f t="shared" si="2464"/>
        <v>2.67% | 0.66%</v>
      </c>
      <c r="R5877" t="str">
        <f t="shared" si="2488"/>
        <v>BULLISH</v>
      </c>
      <c r="S5877">
        <f t="shared" si="2489"/>
        <v>1</v>
      </c>
    </row>
    <row r="5878" spans="1:19" hidden="1" x14ac:dyDescent="0.25">
      <c r="A5878" s="5" t="str">
        <f t="shared" si="2465"/>
        <v>44162RUT</v>
      </c>
      <c r="B5878" s="6" t="s">
        <v>247</v>
      </c>
      <c r="C5878" s="6">
        <v>1789</v>
      </c>
      <c r="D5878" s="6">
        <v>1882</v>
      </c>
      <c r="E5878" s="6">
        <v>1845</v>
      </c>
      <c r="F5878" t="str">
        <f t="shared" si="2478"/>
        <v>FRI</v>
      </c>
      <c r="G5878" s="1">
        <f t="shared" si="2479"/>
        <v>44162</v>
      </c>
      <c r="H5878" s="2">
        <f t="shared" ca="1" si="2480"/>
        <v>91</v>
      </c>
      <c r="I5878" t="str">
        <f t="shared" si="2481"/>
        <v>RUT</v>
      </c>
      <c r="J5878">
        <f t="shared" si="2482"/>
        <v>1789</v>
      </c>
      <c r="K5878">
        <f t="shared" si="2483"/>
        <v>1882</v>
      </c>
      <c r="L5878">
        <f t="shared" si="2484"/>
        <v>1835.5</v>
      </c>
      <c r="M5878">
        <f t="shared" si="2485"/>
        <v>46.5</v>
      </c>
      <c r="N5878">
        <f t="shared" si="2463"/>
        <v>93</v>
      </c>
      <c r="O5878">
        <f t="shared" si="2486"/>
        <v>1845</v>
      </c>
      <c r="P5878">
        <f t="shared" si="2487"/>
        <v>0.20430107526881722</v>
      </c>
      <c r="Q5878" t="str">
        <f t="shared" si="2464"/>
        <v>3.04% | 2.01%</v>
      </c>
      <c r="R5878" t="str">
        <f t="shared" si="2488"/>
        <v>BULLISH</v>
      </c>
      <c r="S5878">
        <f t="shared" si="2489"/>
        <v>1</v>
      </c>
    </row>
    <row r="5879" spans="1:19" hidden="1" x14ac:dyDescent="0.25">
      <c r="A5879" s="5" t="str">
        <f t="shared" si="2465"/>
        <v>44162COMPQ</v>
      </c>
      <c r="B5879" s="6" t="s">
        <v>8</v>
      </c>
      <c r="C5879" s="6">
        <v>11714</v>
      </c>
      <c r="D5879" s="6">
        <v>12134</v>
      </c>
      <c r="E5879" s="6">
        <v>12094</v>
      </c>
      <c r="F5879" t="str">
        <f t="shared" si="2478"/>
        <v>FRI</v>
      </c>
      <c r="G5879" s="1">
        <f t="shared" si="2479"/>
        <v>44162</v>
      </c>
      <c r="H5879" s="2">
        <f t="shared" ca="1" si="2480"/>
        <v>91</v>
      </c>
      <c r="I5879" t="str">
        <f t="shared" si="2481"/>
        <v>COMPQ</v>
      </c>
      <c r="J5879">
        <f t="shared" si="2482"/>
        <v>11714</v>
      </c>
      <c r="K5879">
        <f t="shared" si="2483"/>
        <v>12134</v>
      </c>
      <c r="L5879">
        <f t="shared" si="2484"/>
        <v>11924</v>
      </c>
      <c r="M5879">
        <f t="shared" si="2485"/>
        <v>210</v>
      </c>
      <c r="N5879">
        <f t="shared" si="2463"/>
        <v>420</v>
      </c>
      <c r="O5879">
        <f t="shared" si="2486"/>
        <v>12094</v>
      </c>
      <c r="P5879">
        <f t="shared" si="2487"/>
        <v>0.80952380952380953</v>
      </c>
      <c r="Q5879" t="str">
        <f t="shared" si="2464"/>
        <v>3.14% | 0.33%</v>
      </c>
      <c r="R5879" t="str">
        <f t="shared" si="2488"/>
        <v>BULLISH</v>
      </c>
      <c r="S5879">
        <f t="shared" si="2489"/>
        <v>1</v>
      </c>
    </row>
    <row r="5880" spans="1:19" hidden="1" x14ac:dyDescent="0.25">
      <c r="A5880" s="5" t="str">
        <f t="shared" si="2465"/>
        <v>44162XLK</v>
      </c>
      <c r="B5880" s="6" t="s">
        <v>10</v>
      </c>
      <c r="C5880" s="6">
        <v>119.12</v>
      </c>
      <c r="D5880" s="6">
        <v>123.32</v>
      </c>
      <c r="E5880" s="6">
        <v>122.01</v>
      </c>
      <c r="F5880" t="str">
        <f t="shared" si="2478"/>
        <v>FRI</v>
      </c>
      <c r="G5880" s="1">
        <f t="shared" si="2479"/>
        <v>44162</v>
      </c>
      <c r="H5880" s="2">
        <f t="shared" ca="1" si="2480"/>
        <v>91</v>
      </c>
      <c r="I5880" t="str">
        <f t="shared" si="2481"/>
        <v>XLK</v>
      </c>
      <c r="J5880">
        <f t="shared" si="2482"/>
        <v>119.12</v>
      </c>
      <c r="K5880">
        <f t="shared" si="2483"/>
        <v>123.32</v>
      </c>
      <c r="L5880">
        <f t="shared" si="2484"/>
        <v>121.22</v>
      </c>
      <c r="M5880">
        <f t="shared" si="2485"/>
        <v>2.0999999999999943</v>
      </c>
      <c r="N5880">
        <f t="shared" si="2463"/>
        <v>4.1999999999999886</v>
      </c>
      <c r="O5880">
        <f t="shared" si="2486"/>
        <v>122.01</v>
      </c>
      <c r="P5880">
        <f t="shared" si="2487"/>
        <v>0.37619047619048018</v>
      </c>
      <c r="Q5880" t="str">
        <f t="shared" si="2464"/>
        <v>2.37% | 1.07%</v>
      </c>
      <c r="R5880" t="str">
        <f t="shared" si="2488"/>
        <v>BULLISH</v>
      </c>
      <c r="S5880">
        <f t="shared" si="2489"/>
        <v>1</v>
      </c>
    </row>
    <row r="5881" spans="1:19" hidden="1" x14ac:dyDescent="0.25">
      <c r="A5881" s="5" t="str">
        <f t="shared" si="2465"/>
        <v>44162XLE</v>
      </c>
      <c r="B5881" s="6" t="s">
        <v>250</v>
      </c>
      <c r="C5881" s="6">
        <v>33.950000000000003</v>
      </c>
      <c r="D5881" s="6">
        <v>40.94</v>
      </c>
      <c r="E5881" s="6">
        <v>39.369999999999997</v>
      </c>
      <c r="F5881" t="str">
        <f t="shared" si="2478"/>
        <v>FRI</v>
      </c>
      <c r="G5881" s="1">
        <f t="shared" si="2479"/>
        <v>44162</v>
      </c>
      <c r="H5881" s="2">
        <f t="shared" ca="1" si="2480"/>
        <v>91</v>
      </c>
      <c r="I5881" t="str">
        <f t="shared" si="2481"/>
        <v>XLE</v>
      </c>
      <c r="J5881">
        <f t="shared" si="2482"/>
        <v>33.950000000000003</v>
      </c>
      <c r="K5881">
        <f t="shared" si="2483"/>
        <v>40.94</v>
      </c>
      <c r="L5881">
        <f t="shared" si="2484"/>
        <v>37.445</v>
      </c>
      <c r="M5881">
        <f t="shared" si="2485"/>
        <v>3.4949999999999974</v>
      </c>
      <c r="N5881">
        <f t="shared" si="2463"/>
        <v>6.9899999999999949</v>
      </c>
      <c r="O5881">
        <f t="shared" si="2486"/>
        <v>39.369999999999997</v>
      </c>
      <c r="P5881">
        <f t="shared" si="2487"/>
        <v>0.55078683834048603</v>
      </c>
      <c r="Q5881" t="str">
        <f t="shared" si="2464"/>
        <v>13.77% | 3.99%</v>
      </c>
      <c r="R5881" t="str">
        <f t="shared" si="2488"/>
        <v>BULLISH</v>
      </c>
      <c r="S5881">
        <f t="shared" si="2489"/>
        <v>1</v>
      </c>
    </row>
    <row r="5882" spans="1:19" hidden="1" x14ac:dyDescent="0.25">
      <c r="A5882" s="5" t="str">
        <f t="shared" si="2465"/>
        <v>44162GDX</v>
      </c>
      <c r="B5882" s="6" t="s">
        <v>254</v>
      </c>
      <c r="C5882" s="6">
        <v>32.6</v>
      </c>
      <c r="D5882" s="6">
        <v>35.950000000000003</v>
      </c>
      <c r="E5882" s="6">
        <v>34.04</v>
      </c>
      <c r="F5882" t="str">
        <f t="shared" si="2478"/>
        <v>FRI</v>
      </c>
      <c r="G5882" s="1">
        <f t="shared" si="2479"/>
        <v>44162</v>
      </c>
      <c r="H5882" s="2">
        <f t="shared" ca="1" si="2480"/>
        <v>91</v>
      </c>
      <c r="I5882" t="str">
        <f t="shared" si="2481"/>
        <v>GDX</v>
      </c>
      <c r="J5882">
        <f t="shared" si="2482"/>
        <v>32.6</v>
      </c>
      <c r="K5882">
        <f t="shared" si="2483"/>
        <v>35.950000000000003</v>
      </c>
      <c r="L5882">
        <f t="shared" si="2484"/>
        <v>34.275000000000006</v>
      </c>
      <c r="M5882">
        <f t="shared" si="2485"/>
        <v>1.6750000000000007</v>
      </c>
      <c r="N5882">
        <f t="shared" si="2463"/>
        <v>3.3500000000000014</v>
      </c>
      <c r="O5882">
        <f t="shared" si="2486"/>
        <v>34.04</v>
      </c>
      <c r="P5882">
        <f t="shared" si="2487"/>
        <v>-0.1402985074626904</v>
      </c>
      <c r="Q5882" t="str">
        <f t="shared" si="2464"/>
        <v>4.23% | 5.61%</v>
      </c>
      <c r="R5882" t="str">
        <f t="shared" si="2488"/>
        <v>BEARISH</v>
      </c>
      <c r="S5882">
        <f t="shared" si="2489"/>
        <v>-1</v>
      </c>
    </row>
    <row r="5883" spans="1:19" hidden="1" x14ac:dyDescent="0.25">
      <c r="A5883" s="5" t="str">
        <f t="shared" si="2465"/>
        <v>44162SSEC</v>
      </c>
      <c r="B5883" s="6" t="s">
        <v>104</v>
      </c>
      <c r="C5883" s="6">
        <v>3322</v>
      </c>
      <c r="D5883" s="6">
        <v>3427</v>
      </c>
      <c r="E5883" s="6">
        <v>3408</v>
      </c>
      <c r="F5883" t="str">
        <f t="shared" si="2478"/>
        <v>FRI</v>
      </c>
      <c r="G5883" s="1">
        <f t="shared" si="2479"/>
        <v>44162</v>
      </c>
      <c r="H5883" s="2">
        <f t="shared" ca="1" si="2480"/>
        <v>91</v>
      </c>
      <c r="I5883" t="str">
        <f t="shared" si="2481"/>
        <v>SSEC</v>
      </c>
      <c r="J5883">
        <f t="shared" si="2482"/>
        <v>3322</v>
      </c>
      <c r="K5883">
        <f t="shared" si="2483"/>
        <v>3427</v>
      </c>
      <c r="L5883">
        <f t="shared" si="2484"/>
        <v>3374.5</v>
      </c>
      <c r="M5883">
        <f t="shared" si="2485"/>
        <v>52.5</v>
      </c>
      <c r="N5883">
        <f t="shared" si="2463"/>
        <v>105</v>
      </c>
      <c r="O5883">
        <f t="shared" si="2486"/>
        <v>3408</v>
      </c>
      <c r="P5883">
        <f t="shared" si="2487"/>
        <v>0.63809523809523805</v>
      </c>
      <c r="Q5883" t="str">
        <f t="shared" si="2464"/>
        <v>2.52% | 0.56%</v>
      </c>
      <c r="R5883" t="str">
        <f t="shared" si="2488"/>
        <v>BULLISH</v>
      </c>
      <c r="S5883">
        <f t="shared" si="2489"/>
        <v>1</v>
      </c>
    </row>
    <row r="5884" spans="1:19" hidden="1" x14ac:dyDescent="0.25">
      <c r="A5884" s="5" t="str">
        <f t="shared" si="2465"/>
        <v>44162NIKK</v>
      </c>
      <c r="B5884" s="6" t="s">
        <v>91</v>
      </c>
      <c r="C5884" s="6">
        <v>25199</v>
      </c>
      <c r="D5884" s="6">
        <v>26685</v>
      </c>
      <c r="E5884" s="6">
        <v>26644</v>
      </c>
      <c r="F5884" t="str">
        <f t="shared" si="2478"/>
        <v>FRI</v>
      </c>
      <c r="G5884" s="1">
        <f t="shared" si="2479"/>
        <v>44162</v>
      </c>
      <c r="H5884" s="2">
        <f t="shared" ca="1" si="2480"/>
        <v>91</v>
      </c>
      <c r="I5884" t="str">
        <f t="shared" si="2481"/>
        <v>NIKK</v>
      </c>
      <c r="J5884">
        <f t="shared" si="2482"/>
        <v>25199</v>
      </c>
      <c r="K5884">
        <f t="shared" si="2483"/>
        <v>26685</v>
      </c>
      <c r="L5884">
        <f t="shared" si="2484"/>
        <v>25942</v>
      </c>
      <c r="M5884">
        <f t="shared" si="2485"/>
        <v>743</v>
      </c>
      <c r="N5884">
        <f t="shared" si="2463"/>
        <v>1486</v>
      </c>
      <c r="O5884">
        <f t="shared" si="2486"/>
        <v>26644</v>
      </c>
      <c r="P5884">
        <f t="shared" si="2487"/>
        <v>0.94481830417227453</v>
      </c>
      <c r="Q5884" t="str">
        <f t="shared" si="2464"/>
        <v>5.42% | 0.15%</v>
      </c>
      <c r="R5884" t="str">
        <f t="shared" si="2488"/>
        <v>BULLISH</v>
      </c>
      <c r="S5884">
        <f t="shared" si="2489"/>
        <v>1</v>
      </c>
    </row>
    <row r="5885" spans="1:19" hidden="1" x14ac:dyDescent="0.25">
      <c r="A5885" s="5" t="str">
        <f t="shared" si="2465"/>
        <v>44162DAX</v>
      </c>
      <c r="B5885" s="6" t="s">
        <v>16</v>
      </c>
      <c r="C5885" s="6">
        <v>12904</v>
      </c>
      <c r="D5885" s="6">
        <v>13352</v>
      </c>
      <c r="E5885" s="6">
        <v>13286</v>
      </c>
      <c r="F5885" t="str">
        <f t="shared" si="2478"/>
        <v>FRI</v>
      </c>
      <c r="G5885" s="1">
        <f t="shared" si="2479"/>
        <v>44162</v>
      </c>
      <c r="H5885" s="2">
        <f t="shared" ca="1" si="2480"/>
        <v>91</v>
      </c>
      <c r="I5885" t="str">
        <f t="shared" si="2481"/>
        <v>DAX</v>
      </c>
      <c r="J5885">
        <f t="shared" si="2482"/>
        <v>12904</v>
      </c>
      <c r="K5885">
        <f t="shared" si="2483"/>
        <v>13352</v>
      </c>
      <c r="L5885">
        <f t="shared" si="2484"/>
        <v>13128</v>
      </c>
      <c r="M5885">
        <f t="shared" si="2485"/>
        <v>224</v>
      </c>
      <c r="N5885">
        <f t="shared" si="2463"/>
        <v>448</v>
      </c>
      <c r="O5885">
        <f t="shared" si="2486"/>
        <v>13286</v>
      </c>
      <c r="P5885">
        <f t="shared" si="2487"/>
        <v>0.7053571428571429</v>
      </c>
      <c r="Q5885" t="str">
        <f t="shared" si="2464"/>
        <v>2.88% | 0.5%</v>
      </c>
      <c r="R5885" t="str">
        <f t="shared" si="2488"/>
        <v>BEARISH</v>
      </c>
      <c r="S5885">
        <f t="shared" si="2489"/>
        <v>-1</v>
      </c>
    </row>
    <row r="5886" spans="1:19" hidden="1" x14ac:dyDescent="0.25">
      <c r="A5886" s="5" t="str">
        <f t="shared" si="2465"/>
        <v>44162VIX</v>
      </c>
      <c r="B5886" s="6" t="s">
        <v>96</v>
      </c>
      <c r="C5886" s="6">
        <v>21.01</v>
      </c>
      <c r="D5886" s="6">
        <v>25.92</v>
      </c>
      <c r="E5886" s="6">
        <v>21.25</v>
      </c>
      <c r="F5886" t="str">
        <f t="shared" si="2478"/>
        <v>FRI</v>
      </c>
      <c r="G5886" s="1">
        <f t="shared" si="2479"/>
        <v>44162</v>
      </c>
      <c r="H5886" s="2">
        <f t="shared" ca="1" si="2480"/>
        <v>91</v>
      </c>
      <c r="I5886" t="str">
        <f t="shared" si="2481"/>
        <v>VIX</v>
      </c>
      <c r="J5886">
        <f t="shared" si="2482"/>
        <v>21.01</v>
      </c>
      <c r="K5886">
        <f t="shared" si="2483"/>
        <v>25.92</v>
      </c>
      <c r="L5886">
        <f t="shared" si="2484"/>
        <v>23.465000000000003</v>
      </c>
      <c r="M5886">
        <f t="shared" si="2485"/>
        <v>2.4549999999999961</v>
      </c>
      <c r="N5886">
        <f t="shared" si="2463"/>
        <v>4.91</v>
      </c>
      <c r="O5886">
        <f t="shared" si="2486"/>
        <v>21.25</v>
      </c>
      <c r="P5886">
        <f t="shared" si="2487"/>
        <v>-0.90224032586558323</v>
      </c>
      <c r="Q5886" t="str">
        <f t="shared" si="2464"/>
        <v>1.13% | 21.98%</v>
      </c>
      <c r="R5886" t="str">
        <f t="shared" si="2488"/>
        <v>BEARISH</v>
      </c>
      <c r="S5886">
        <f t="shared" si="2489"/>
        <v>-1</v>
      </c>
    </row>
    <row r="5887" spans="1:19" hidden="1" x14ac:dyDescent="0.25">
      <c r="A5887" s="5" t="str">
        <f t="shared" si="2465"/>
        <v>44162USD</v>
      </c>
      <c r="B5887" s="6" t="s">
        <v>94</v>
      </c>
      <c r="C5887" s="6">
        <v>91.81</v>
      </c>
      <c r="D5887" s="6">
        <v>92.66</v>
      </c>
      <c r="E5887" s="6">
        <v>91.97</v>
      </c>
      <c r="F5887" t="str">
        <f t="shared" si="2478"/>
        <v>FRI</v>
      </c>
      <c r="G5887" s="1">
        <f t="shared" si="2479"/>
        <v>44162</v>
      </c>
      <c r="H5887" s="2">
        <f t="shared" ca="1" si="2480"/>
        <v>91</v>
      </c>
      <c r="I5887" t="str">
        <f t="shared" si="2481"/>
        <v>USD</v>
      </c>
      <c r="J5887">
        <f t="shared" si="2482"/>
        <v>91.81</v>
      </c>
      <c r="K5887">
        <f t="shared" si="2483"/>
        <v>92.66</v>
      </c>
      <c r="L5887">
        <f t="shared" si="2484"/>
        <v>92.234999999999999</v>
      </c>
      <c r="M5887">
        <f t="shared" si="2485"/>
        <v>0.42499999999999716</v>
      </c>
      <c r="N5887">
        <f t="shared" si="2463"/>
        <v>0.84999999999999432</v>
      </c>
      <c r="O5887">
        <f t="shared" si="2486"/>
        <v>91.97</v>
      </c>
      <c r="P5887">
        <f t="shared" si="2487"/>
        <v>-0.62352941176471144</v>
      </c>
      <c r="Q5887" t="str">
        <f t="shared" si="2464"/>
        <v>0.17% | 0.75%</v>
      </c>
      <c r="R5887" t="str">
        <f t="shared" si="2488"/>
        <v>BEARISH</v>
      </c>
      <c r="S5887">
        <f t="shared" si="2489"/>
        <v>-1</v>
      </c>
    </row>
    <row r="5888" spans="1:19" hidden="1" x14ac:dyDescent="0.25">
      <c r="A5888" s="5" t="str">
        <f t="shared" si="2465"/>
        <v>44162EUR/USD</v>
      </c>
      <c r="B5888" s="6" t="s">
        <v>99</v>
      </c>
      <c r="C5888" s="6">
        <v>1.181</v>
      </c>
      <c r="D5888" s="6">
        <v>1.1930000000000001</v>
      </c>
      <c r="E5888" s="6">
        <v>1.1910000000000001</v>
      </c>
      <c r="F5888" t="str">
        <f t="shared" si="2478"/>
        <v>FRI</v>
      </c>
      <c r="G5888" s="1">
        <f t="shared" si="2479"/>
        <v>44162</v>
      </c>
      <c r="H5888" s="2">
        <f t="shared" ca="1" si="2480"/>
        <v>91</v>
      </c>
      <c r="I5888" t="str">
        <f t="shared" si="2481"/>
        <v>EUR/USD</v>
      </c>
      <c r="J5888">
        <f t="shared" si="2482"/>
        <v>1.181</v>
      </c>
      <c r="K5888">
        <f t="shared" si="2483"/>
        <v>1.1930000000000001</v>
      </c>
      <c r="L5888">
        <f t="shared" si="2484"/>
        <v>1.1870000000000001</v>
      </c>
      <c r="M5888">
        <f t="shared" si="2485"/>
        <v>6.0000000000000053E-3</v>
      </c>
      <c r="N5888">
        <f t="shared" si="2463"/>
        <v>1.2000000000000011E-2</v>
      </c>
      <c r="O5888">
        <f t="shared" si="2486"/>
        <v>1.1910000000000001</v>
      </c>
      <c r="P5888">
        <f t="shared" si="2487"/>
        <v>0.66666666666666663</v>
      </c>
      <c r="Q5888" t="str">
        <f t="shared" si="2464"/>
        <v>0.84% | 0.17%</v>
      </c>
      <c r="R5888" t="str">
        <f t="shared" si="2488"/>
        <v>BULLISH</v>
      </c>
      <c r="S5888">
        <f t="shared" si="2489"/>
        <v>1</v>
      </c>
    </row>
    <row r="5889" spans="1:19" hidden="1" x14ac:dyDescent="0.25">
      <c r="A5889" s="5" t="str">
        <f t="shared" si="2465"/>
        <v>44162USD/JPY</v>
      </c>
      <c r="B5889" s="6" t="s">
        <v>20</v>
      </c>
      <c r="C5889" s="6">
        <v>103.39</v>
      </c>
      <c r="D5889" s="6">
        <v>105.31</v>
      </c>
      <c r="E5889" s="6">
        <v>104.46</v>
      </c>
      <c r="F5889" t="str">
        <f t="shared" si="2478"/>
        <v>FRI</v>
      </c>
      <c r="G5889" s="1">
        <f t="shared" si="2479"/>
        <v>44162</v>
      </c>
      <c r="H5889" s="2">
        <f t="shared" ca="1" si="2480"/>
        <v>91</v>
      </c>
      <c r="I5889" t="str">
        <f t="shared" si="2481"/>
        <v>USD/JPY</v>
      </c>
      <c r="J5889">
        <f t="shared" si="2482"/>
        <v>103.39</v>
      </c>
      <c r="K5889">
        <f t="shared" si="2483"/>
        <v>105.31</v>
      </c>
      <c r="L5889">
        <f t="shared" si="2484"/>
        <v>104.35</v>
      </c>
      <c r="M5889">
        <f t="shared" si="2485"/>
        <v>0.96000000000000085</v>
      </c>
      <c r="N5889">
        <f t="shared" si="2463"/>
        <v>1.9200000000000017</v>
      </c>
      <c r="O5889">
        <f t="shared" si="2486"/>
        <v>104.46</v>
      </c>
      <c r="P5889">
        <f t="shared" si="2487"/>
        <v>0.11458333333333263</v>
      </c>
      <c r="Q5889" t="str">
        <f t="shared" si="2464"/>
        <v>1.02% | 0.81%</v>
      </c>
      <c r="R5889" t="str">
        <f t="shared" si="2488"/>
        <v>BEARISH</v>
      </c>
      <c r="S5889">
        <f t="shared" si="2489"/>
        <v>-1</v>
      </c>
    </row>
    <row r="5890" spans="1:19" hidden="1" x14ac:dyDescent="0.25">
      <c r="A5890" s="5" t="str">
        <f t="shared" si="2465"/>
        <v>44162GBP/USD</v>
      </c>
      <c r="B5890" s="6" t="s">
        <v>102</v>
      </c>
      <c r="C5890" s="6">
        <v>1.3169999999999999</v>
      </c>
      <c r="D5890" s="6">
        <v>1.3420000000000001</v>
      </c>
      <c r="E5890" s="6">
        <v>1.339</v>
      </c>
      <c r="F5890" t="str">
        <f t="shared" si="2478"/>
        <v>FRI</v>
      </c>
      <c r="G5890" s="1">
        <f t="shared" si="2479"/>
        <v>44162</v>
      </c>
      <c r="H5890" s="2">
        <f t="shared" ca="1" si="2480"/>
        <v>91</v>
      </c>
      <c r="I5890" t="str">
        <f t="shared" si="2481"/>
        <v>GBP/USD</v>
      </c>
      <c r="J5890">
        <f t="shared" si="2482"/>
        <v>1.3169999999999999</v>
      </c>
      <c r="K5890">
        <f t="shared" si="2483"/>
        <v>1.3420000000000001</v>
      </c>
      <c r="L5890">
        <f t="shared" si="2484"/>
        <v>1.3294999999999999</v>
      </c>
      <c r="M5890">
        <f t="shared" si="2485"/>
        <v>1.2500000000000067E-2</v>
      </c>
      <c r="N5890">
        <f t="shared" si="2463"/>
        <v>2.5000000000000133E-2</v>
      </c>
      <c r="O5890">
        <f t="shared" si="2486"/>
        <v>1.339</v>
      </c>
      <c r="P5890">
        <f t="shared" si="2487"/>
        <v>0.76000000000000112</v>
      </c>
      <c r="Q5890" t="str">
        <f t="shared" si="2464"/>
        <v>1.64% | 0.22%</v>
      </c>
      <c r="R5890" t="str">
        <f t="shared" si="2488"/>
        <v>BULLISH</v>
      </c>
      <c r="S5890">
        <f t="shared" si="2489"/>
        <v>1</v>
      </c>
    </row>
    <row r="5891" spans="1:19" hidden="1" x14ac:dyDescent="0.25">
      <c r="A5891" s="5" t="str">
        <f t="shared" si="2465"/>
        <v>44162CAD/USD</v>
      </c>
      <c r="B5891" s="6" t="s">
        <v>244</v>
      </c>
      <c r="C5891" s="6">
        <v>0.76</v>
      </c>
      <c r="D5891" s="6">
        <v>0.78</v>
      </c>
      <c r="E5891" s="6">
        <v>0.76</v>
      </c>
      <c r="F5891" t="str">
        <f t="shared" si="2478"/>
        <v>FRI</v>
      </c>
      <c r="G5891" s="1">
        <f t="shared" si="2479"/>
        <v>44162</v>
      </c>
      <c r="H5891" s="2">
        <f t="shared" ca="1" si="2480"/>
        <v>91</v>
      </c>
      <c r="I5891" t="str">
        <f t="shared" si="2481"/>
        <v>CAD/USD</v>
      </c>
      <c r="J5891">
        <f t="shared" si="2482"/>
        <v>0.76</v>
      </c>
      <c r="K5891">
        <f t="shared" si="2483"/>
        <v>0.78</v>
      </c>
      <c r="L5891">
        <f t="shared" si="2484"/>
        <v>0.77</v>
      </c>
      <c r="M5891">
        <f t="shared" si="2485"/>
        <v>1.0000000000000009E-2</v>
      </c>
      <c r="N5891">
        <f t="shared" ref="N5891:N5954" si="2490">ABS(K5891-J5891)</f>
        <v>2.0000000000000018E-2</v>
      </c>
      <c r="O5891">
        <f t="shared" si="2486"/>
        <v>0.76</v>
      </c>
      <c r="P5891">
        <f t="shared" si="2487"/>
        <v>-1</v>
      </c>
      <c r="Q5891" t="str">
        <f t="shared" ref="Q5891:Q5954" si="2491">ROUND(ABS(100*(O5891-J5891)/O5891),2)&amp;"% | "&amp;ROUND(ABS(100*(K5891-O5891)/O5891),2)&amp;"%"</f>
        <v>0% | 2.63%</v>
      </c>
      <c r="R5891" t="str">
        <f t="shared" si="2488"/>
        <v>BULLISH</v>
      </c>
      <c r="S5891">
        <f t="shared" si="2489"/>
        <v>1</v>
      </c>
    </row>
    <row r="5892" spans="1:19" hidden="1" x14ac:dyDescent="0.25">
      <c r="A5892" s="5" t="str">
        <f t="shared" si="2465"/>
        <v>44162USD/CHF</v>
      </c>
      <c r="B5892" s="6" t="s">
        <v>76</v>
      </c>
      <c r="C5892" s="6">
        <v>0.9</v>
      </c>
      <c r="D5892" s="6">
        <v>0.92</v>
      </c>
      <c r="E5892" s="6">
        <v>0.9</v>
      </c>
      <c r="F5892" t="str">
        <f t="shared" si="2478"/>
        <v>FRI</v>
      </c>
      <c r="G5892" s="1">
        <f t="shared" si="2479"/>
        <v>44162</v>
      </c>
      <c r="H5892" s="2">
        <f t="shared" ca="1" si="2480"/>
        <v>91</v>
      </c>
      <c r="I5892" t="str">
        <f t="shared" si="2481"/>
        <v>USD/CHF</v>
      </c>
      <c r="J5892">
        <f t="shared" si="2482"/>
        <v>0.9</v>
      </c>
      <c r="K5892">
        <f t="shared" si="2483"/>
        <v>0.92</v>
      </c>
      <c r="L5892">
        <f t="shared" si="2484"/>
        <v>0.91</v>
      </c>
      <c r="M5892">
        <f t="shared" si="2485"/>
        <v>1.0000000000000009E-2</v>
      </c>
      <c r="N5892">
        <f t="shared" si="2490"/>
        <v>2.0000000000000018E-2</v>
      </c>
      <c r="O5892">
        <f t="shared" si="2486"/>
        <v>0.9</v>
      </c>
      <c r="P5892">
        <f t="shared" si="2487"/>
        <v>-1</v>
      </c>
      <c r="Q5892" t="str">
        <f t="shared" si="2491"/>
        <v>0% | 2.22%</v>
      </c>
      <c r="R5892" t="str">
        <f t="shared" si="2488"/>
        <v>BEARISH</v>
      </c>
      <c r="S5892">
        <f t="shared" si="2489"/>
        <v>-1</v>
      </c>
    </row>
    <row r="5893" spans="1:19" hidden="1" x14ac:dyDescent="0.25">
      <c r="A5893" s="5" t="str">
        <f t="shared" si="2465"/>
        <v>44162WTIC</v>
      </c>
      <c r="B5893" s="6" t="s">
        <v>158</v>
      </c>
      <c r="C5893" s="6">
        <v>42.05</v>
      </c>
      <c r="D5893" s="6">
        <v>45.99</v>
      </c>
      <c r="E5893" s="6">
        <v>45.71</v>
      </c>
      <c r="F5893" t="str">
        <f t="shared" si="2478"/>
        <v>FRI</v>
      </c>
      <c r="G5893" s="1">
        <f t="shared" si="2479"/>
        <v>44162</v>
      </c>
      <c r="H5893" s="2">
        <f t="shared" ca="1" si="2480"/>
        <v>91</v>
      </c>
      <c r="I5893" t="str">
        <f t="shared" si="2481"/>
        <v>WTIC</v>
      </c>
      <c r="J5893">
        <f t="shared" si="2482"/>
        <v>42.05</v>
      </c>
      <c r="K5893">
        <f t="shared" si="2483"/>
        <v>45.99</v>
      </c>
      <c r="L5893">
        <f t="shared" si="2484"/>
        <v>44.019999999999996</v>
      </c>
      <c r="M5893">
        <f t="shared" si="2485"/>
        <v>1.9700000000000024</v>
      </c>
      <c r="N5893">
        <f t="shared" si="2490"/>
        <v>3.9400000000000048</v>
      </c>
      <c r="O5893">
        <f t="shared" si="2486"/>
        <v>45.71</v>
      </c>
      <c r="P5893">
        <f t="shared" si="2487"/>
        <v>0.85786802030456988</v>
      </c>
      <c r="Q5893" t="str">
        <f t="shared" si="2491"/>
        <v>8.01% | 0.61%</v>
      </c>
      <c r="R5893" t="str">
        <f t="shared" si="2488"/>
        <v>BULLISH</v>
      </c>
      <c r="S5893">
        <f t="shared" si="2489"/>
        <v>1</v>
      </c>
    </row>
    <row r="5894" spans="1:19" hidden="1" x14ac:dyDescent="0.25">
      <c r="A5894" s="5" t="str">
        <f t="shared" si="2465"/>
        <v>44162NATGAS</v>
      </c>
      <c r="B5894" s="6" t="s">
        <v>89</v>
      </c>
      <c r="C5894" s="6">
        <v>2.5299999999999998</v>
      </c>
      <c r="D5894" s="6">
        <v>3.08</v>
      </c>
      <c r="E5894" s="6">
        <v>2.96</v>
      </c>
      <c r="F5894" t="str">
        <f t="shared" si="2478"/>
        <v>FRI</v>
      </c>
      <c r="G5894" s="1">
        <f t="shared" si="2479"/>
        <v>44162</v>
      </c>
      <c r="H5894" s="2">
        <f t="shared" ca="1" si="2480"/>
        <v>91</v>
      </c>
      <c r="I5894" t="str">
        <f t="shared" si="2481"/>
        <v>NATGAS</v>
      </c>
      <c r="J5894">
        <f t="shared" si="2482"/>
        <v>2.5299999999999998</v>
      </c>
      <c r="K5894">
        <f t="shared" si="2483"/>
        <v>3.08</v>
      </c>
      <c r="L5894">
        <f t="shared" si="2484"/>
        <v>2.8049999999999997</v>
      </c>
      <c r="M5894">
        <f t="shared" si="2485"/>
        <v>0.27500000000000013</v>
      </c>
      <c r="N5894">
        <f t="shared" si="2490"/>
        <v>0.55000000000000027</v>
      </c>
      <c r="O5894">
        <f t="shared" si="2486"/>
        <v>2.96</v>
      </c>
      <c r="P5894">
        <f t="shared" si="2487"/>
        <v>0.56363636363636427</v>
      </c>
      <c r="Q5894" t="str">
        <f t="shared" si="2491"/>
        <v>14.53% | 4.05%</v>
      </c>
      <c r="R5894" t="str">
        <f t="shared" si="2488"/>
        <v>BULLISH</v>
      </c>
      <c r="S5894">
        <f t="shared" si="2489"/>
        <v>1</v>
      </c>
    </row>
    <row r="5895" spans="1:19" hidden="1" x14ac:dyDescent="0.25">
      <c r="A5895" s="5" t="str">
        <f t="shared" ref="A5895:A5958" si="2492">G5895&amp;I5895</f>
        <v>44162GOLD</v>
      </c>
      <c r="B5895" s="6" t="s">
        <v>85</v>
      </c>
      <c r="C5895" s="6">
        <v>1784</v>
      </c>
      <c r="D5895" s="6">
        <v>1867</v>
      </c>
      <c r="E5895" s="6">
        <v>1805</v>
      </c>
      <c r="F5895" t="str">
        <f t="shared" si="2478"/>
        <v>FRI</v>
      </c>
      <c r="G5895" s="1">
        <f t="shared" si="2479"/>
        <v>44162</v>
      </c>
      <c r="H5895" s="2">
        <f t="shared" ca="1" si="2480"/>
        <v>91</v>
      </c>
      <c r="I5895" t="str">
        <f t="shared" si="2481"/>
        <v>GOLD</v>
      </c>
      <c r="J5895">
        <f t="shared" si="2482"/>
        <v>1784</v>
      </c>
      <c r="K5895">
        <f t="shared" si="2483"/>
        <v>1867</v>
      </c>
      <c r="L5895">
        <f t="shared" si="2484"/>
        <v>1825.5</v>
      </c>
      <c r="M5895">
        <f t="shared" si="2485"/>
        <v>41.5</v>
      </c>
      <c r="N5895">
        <f t="shared" si="2490"/>
        <v>83</v>
      </c>
      <c r="O5895">
        <f t="shared" si="2486"/>
        <v>1805</v>
      </c>
      <c r="P5895">
        <f t="shared" si="2487"/>
        <v>-0.49397590361445781</v>
      </c>
      <c r="Q5895" t="str">
        <f t="shared" si="2491"/>
        <v>1.16% | 3.43%</v>
      </c>
      <c r="R5895" t="str">
        <f t="shared" si="2488"/>
        <v>BEARISH</v>
      </c>
      <c r="S5895">
        <f t="shared" si="2489"/>
        <v>-1</v>
      </c>
    </row>
    <row r="5896" spans="1:19" hidden="1" x14ac:dyDescent="0.25">
      <c r="A5896" s="5" t="str">
        <f t="shared" si="2492"/>
        <v>44162COPPER</v>
      </c>
      <c r="B5896" s="6" t="s">
        <v>100</v>
      </c>
      <c r="C5896" s="6">
        <v>3.18</v>
      </c>
      <c r="D5896" s="6">
        <v>3.39</v>
      </c>
      <c r="E5896" s="6">
        <v>3.31</v>
      </c>
      <c r="F5896" t="str">
        <f t="shared" si="2478"/>
        <v>FRI</v>
      </c>
      <c r="G5896" s="1">
        <f t="shared" si="2479"/>
        <v>44162</v>
      </c>
      <c r="H5896" s="2">
        <f t="shared" ca="1" si="2480"/>
        <v>91</v>
      </c>
      <c r="I5896" t="str">
        <f t="shared" si="2481"/>
        <v>COPPER</v>
      </c>
      <c r="J5896">
        <f t="shared" si="2482"/>
        <v>3.18</v>
      </c>
      <c r="K5896">
        <f t="shared" si="2483"/>
        <v>3.39</v>
      </c>
      <c r="L5896">
        <f t="shared" si="2484"/>
        <v>3.2850000000000001</v>
      </c>
      <c r="M5896">
        <f t="shared" si="2485"/>
        <v>0.10499999999999998</v>
      </c>
      <c r="N5896">
        <f t="shared" si="2490"/>
        <v>0.20999999999999996</v>
      </c>
      <c r="O5896">
        <f t="shared" si="2486"/>
        <v>3.31</v>
      </c>
      <c r="P5896">
        <f t="shared" si="2487"/>
        <v>0.23809523809523728</v>
      </c>
      <c r="Q5896" t="str">
        <f t="shared" si="2491"/>
        <v>3.93% | 2.42%</v>
      </c>
      <c r="R5896" t="str">
        <f t="shared" si="2488"/>
        <v>BULLISH</v>
      </c>
      <c r="S5896">
        <f t="shared" si="2489"/>
        <v>1</v>
      </c>
    </row>
    <row r="5897" spans="1:19" hidden="1" x14ac:dyDescent="0.25">
      <c r="A5897" s="5" t="str">
        <f t="shared" si="2492"/>
        <v>44162MSFT</v>
      </c>
      <c r="B5897" s="6" t="s">
        <v>27</v>
      </c>
      <c r="C5897" s="6">
        <v>208</v>
      </c>
      <c r="D5897" s="6">
        <v>218</v>
      </c>
      <c r="E5897" s="6">
        <v>213</v>
      </c>
      <c r="F5897" t="str">
        <f t="shared" si="2478"/>
        <v>FRI</v>
      </c>
      <c r="G5897" s="1">
        <f t="shared" si="2479"/>
        <v>44162</v>
      </c>
      <c r="H5897" s="2">
        <f t="shared" ca="1" si="2480"/>
        <v>91</v>
      </c>
      <c r="I5897" t="str">
        <f t="shared" si="2481"/>
        <v>MSFT</v>
      </c>
      <c r="J5897">
        <f t="shared" si="2482"/>
        <v>208</v>
      </c>
      <c r="K5897">
        <f t="shared" si="2483"/>
        <v>218</v>
      </c>
      <c r="L5897">
        <f t="shared" si="2484"/>
        <v>213</v>
      </c>
      <c r="M5897">
        <f t="shared" si="2485"/>
        <v>5</v>
      </c>
      <c r="N5897">
        <f t="shared" si="2490"/>
        <v>10</v>
      </c>
      <c r="O5897">
        <f t="shared" si="2486"/>
        <v>213</v>
      </c>
      <c r="P5897">
        <f t="shared" si="2487"/>
        <v>0</v>
      </c>
      <c r="Q5897" t="str">
        <f t="shared" si="2491"/>
        <v>2.35% | 2.35%</v>
      </c>
      <c r="R5897" t="str">
        <f t="shared" si="2488"/>
        <v>BULLISH</v>
      </c>
      <c r="S5897">
        <f t="shared" si="2489"/>
        <v>1</v>
      </c>
    </row>
    <row r="5898" spans="1:19" hidden="1" x14ac:dyDescent="0.25">
      <c r="A5898" s="5" t="str">
        <f t="shared" si="2492"/>
        <v>44162AAPL</v>
      </c>
      <c r="B5898" s="6" t="s">
        <v>28</v>
      </c>
      <c r="C5898" s="6">
        <v>112</v>
      </c>
      <c r="D5898" s="6">
        <v>121</v>
      </c>
      <c r="E5898" s="6">
        <v>116</v>
      </c>
      <c r="F5898" t="str">
        <f t="shared" si="2478"/>
        <v>FRI</v>
      </c>
      <c r="G5898" s="1">
        <f t="shared" si="2479"/>
        <v>44162</v>
      </c>
      <c r="H5898" s="2">
        <f t="shared" ca="1" si="2480"/>
        <v>91</v>
      </c>
      <c r="I5898" t="str">
        <f t="shared" si="2481"/>
        <v>AAPL</v>
      </c>
      <c r="J5898">
        <f t="shared" si="2482"/>
        <v>112</v>
      </c>
      <c r="K5898">
        <f t="shared" si="2483"/>
        <v>121</v>
      </c>
      <c r="L5898">
        <f t="shared" si="2484"/>
        <v>116.5</v>
      </c>
      <c r="M5898">
        <f t="shared" si="2485"/>
        <v>4.5</v>
      </c>
      <c r="N5898">
        <f t="shared" si="2490"/>
        <v>9</v>
      </c>
      <c r="O5898">
        <f t="shared" si="2486"/>
        <v>116</v>
      </c>
      <c r="P5898">
        <f t="shared" si="2487"/>
        <v>-0.1111111111111111</v>
      </c>
      <c r="Q5898" t="str">
        <f t="shared" si="2491"/>
        <v>3.45% | 4.31%</v>
      </c>
      <c r="R5898" t="str">
        <f t="shared" si="2488"/>
        <v>BULLISH</v>
      </c>
      <c r="S5898">
        <f t="shared" si="2489"/>
        <v>1</v>
      </c>
    </row>
    <row r="5899" spans="1:19" hidden="1" x14ac:dyDescent="0.25">
      <c r="A5899" s="5" t="str">
        <f t="shared" si="2492"/>
        <v>44162AMZN</v>
      </c>
      <c r="B5899" s="6" t="s">
        <v>69</v>
      </c>
      <c r="C5899" s="6">
        <v>3064</v>
      </c>
      <c r="D5899" s="6">
        <v>3209</v>
      </c>
      <c r="E5899" s="6">
        <v>3185</v>
      </c>
      <c r="F5899" t="str">
        <f t="shared" si="2478"/>
        <v>FRI</v>
      </c>
      <c r="G5899" s="1">
        <f t="shared" si="2479"/>
        <v>44162</v>
      </c>
      <c r="H5899" s="2">
        <f t="shared" ca="1" si="2480"/>
        <v>91</v>
      </c>
      <c r="I5899" t="str">
        <f t="shared" si="2481"/>
        <v>AMZN</v>
      </c>
      <c r="J5899">
        <f t="shared" si="2482"/>
        <v>3064</v>
      </c>
      <c r="K5899">
        <f t="shared" si="2483"/>
        <v>3209</v>
      </c>
      <c r="L5899">
        <f t="shared" si="2484"/>
        <v>3136.5</v>
      </c>
      <c r="M5899">
        <f t="shared" si="2485"/>
        <v>72.5</v>
      </c>
      <c r="N5899">
        <f t="shared" si="2490"/>
        <v>145</v>
      </c>
      <c r="O5899">
        <f t="shared" si="2486"/>
        <v>3185</v>
      </c>
      <c r="P5899">
        <f t="shared" si="2487"/>
        <v>0.66896551724137931</v>
      </c>
      <c r="Q5899" t="str">
        <f t="shared" si="2491"/>
        <v>3.8% | 0.75%</v>
      </c>
      <c r="R5899" t="str">
        <f t="shared" si="2488"/>
        <v>NEUTRAL</v>
      </c>
      <c r="S5899">
        <f t="shared" si="2489"/>
        <v>0</v>
      </c>
    </row>
    <row r="5900" spans="1:19" hidden="1" x14ac:dyDescent="0.25">
      <c r="A5900" s="5" t="str">
        <f t="shared" si="2492"/>
        <v>44162FB</v>
      </c>
      <c r="B5900" s="6" t="s">
        <v>30</v>
      </c>
      <c r="C5900" s="6">
        <v>266</v>
      </c>
      <c r="D5900" s="6">
        <v>282</v>
      </c>
      <c r="E5900" s="6">
        <v>275</v>
      </c>
      <c r="F5900" t="str">
        <f t="shared" si="2478"/>
        <v>FRI</v>
      </c>
      <c r="G5900" s="1">
        <f t="shared" si="2479"/>
        <v>44162</v>
      </c>
      <c r="H5900" s="2">
        <f t="shared" ca="1" si="2480"/>
        <v>91</v>
      </c>
      <c r="I5900" t="str">
        <f t="shared" si="2481"/>
        <v>FB</v>
      </c>
      <c r="J5900">
        <f t="shared" si="2482"/>
        <v>266</v>
      </c>
      <c r="K5900">
        <f t="shared" si="2483"/>
        <v>282</v>
      </c>
      <c r="L5900">
        <f t="shared" si="2484"/>
        <v>274</v>
      </c>
      <c r="M5900">
        <f t="shared" si="2485"/>
        <v>8</v>
      </c>
      <c r="N5900">
        <f t="shared" si="2490"/>
        <v>16</v>
      </c>
      <c r="O5900">
        <f t="shared" si="2486"/>
        <v>275</v>
      </c>
      <c r="P5900">
        <f t="shared" si="2487"/>
        <v>0.125</v>
      </c>
      <c r="Q5900" t="str">
        <f t="shared" si="2491"/>
        <v>3.27% | 2.55%</v>
      </c>
      <c r="R5900" t="str">
        <f t="shared" si="2488"/>
        <v>BULLISH</v>
      </c>
      <c r="S5900">
        <f t="shared" si="2489"/>
        <v>1</v>
      </c>
    </row>
    <row r="5901" spans="1:19" hidden="1" x14ac:dyDescent="0.25">
      <c r="A5901" s="5" t="str">
        <f t="shared" si="2492"/>
        <v>44162GOOGL</v>
      </c>
      <c r="B5901" s="6" t="s">
        <v>31</v>
      </c>
      <c r="C5901" s="6">
        <v>1721</v>
      </c>
      <c r="D5901" s="6">
        <v>1792</v>
      </c>
      <c r="E5901" s="6">
        <v>1764</v>
      </c>
      <c r="F5901" t="str">
        <f t="shared" si="2478"/>
        <v>FRI</v>
      </c>
      <c r="G5901" s="1">
        <f t="shared" si="2479"/>
        <v>44162</v>
      </c>
      <c r="H5901" s="2">
        <f t="shared" ca="1" si="2480"/>
        <v>91</v>
      </c>
      <c r="I5901" t="str">
        <f t="shared" si="2481"/>
        <v>GOOGL</v>
      </c>
      <c r="J5901">
        <f t="shared" si="2482"/>
        <v>1721</v>
      </c>
      <c r="K5901">
        <f t="shared" si="2483"/>
        <v>1792</v>
      </c>
      <c r="L5901">
        <f t="shared" si="2484"/>
        <v>1756.5</v>
      </c>
      <c r="M5901">
        <f t="shared" si="2485"/>
        <v>35.5</v>
      </c>
      <c r="N5901">
        <f t="shared" si="2490"/>
        <v>71</v>
      </c>
      <c r="O5901">
        <f t="shared" si="2486"/>
        <v>1764</v>
      </c>
      <c r="P5901">
        <f t="shared" si="2487"/>
        <v>0.21126760563380281</v>
      </c>
      <c r="Q5901" t="str">
        <f t="shared" si="2491"/>
        <v>2.44% | 1.59%</v>
      </c>
      <c r="R5901" t="str">
        <f t="shared" si="2488"/>
        <v>BULLISH</v>
      </c>
      <c r="S5901">
        <f t="shared" si="2489"/>
        <v>1</v>
      </c>
    </row>
    <row r="5902" spans="1:19" hidden="1" x14ac:dyDescent="0.25">
      <c r="A5902" s="5" t="str">
        <f t="shared" si="2492"/>
        <v>44162NFLX</v>
      </c>
      <c r="B5902" s="6" t="s">
        <v>81</v>
      </c>
      <c r="C5902" s="6">
        <v>471</v>
      </c>
      <c r="D5902" s="6">
        <v>493</v>
      </c>
      <c r="E5902" s="6">
        <v>485</v>
      </c>
      <c r="F5902" t="str">
        <f t="shared" si="2478"/>
        <v>FRI</v>
      </c>
      <c r="G5902" s="1">
        <f t="shared" si="2479"/>
        <v>44162</v>
      </c>
      <c r="H5902" s="2">
        <f t="shared" ca="1" si="2480"/>
        <v>91</v>
      </c>
      <c r="I5902" t="str">
        <f t="shared" si="2481"/>
        <v>NFLX</v>
      </c>
      <c r="J5902">
        <f t="shared" si="2482"/>
        <v>471</v>
      </c>
      <c r="K5902">
        <f t="shared" si="2483"/>
        <v>493</v>
      </c>
      <c r="L5902">
        <f t="shared" si="2484"/>
        <v>482</v>
      </c>
      <c r="M5902">
        <f t="shared" si="2485"/>
        <v>11</v>
      </c>
      <c r="N5902">
        <f t="shared" si="2490"/>
        <v>22</v>
      </c>
      <c r="O5902">
        <f t="shared" si="2486"/>
        <v>485</v>
      </c>
      <c r="P5902">
        <f t="shared" si="2487"/>
        <v>0.27272727272727271</v>
      </c>
      <c r="Q5902" t="str">
        <f t="shared" si="2491"/>
        <v>2.89% | 1.65%</v>
      </c>
      <c r="R5902" t="str">
        <f t="shared" si="2488"/>
        <v>BEARISH</v>
      </c>
      <c r="S5902">
        <f t="shared" si="2489"/>
        <v>-1</v>
      </c>
    </row>
    <row r="5903" spans="1:19" x14ac:dyDescent="0.25">
      <c r="A5903" s="5" t="str">
        <f t="shared" si="2492"/>
        <v>44162TSLA</v>
      </c>
      <c r="B5903" s="6" t="s">
        <v>33</v>
      </c>
      <c r="C5903" s="6">
        <v>489</v>
      </c>
      <c r="D5903" s="6">
        <v>601</v>
      </c>
      <c r="E5903" s="6">
        <v>574</v>
      </c>
      <c r="F5903" t="str">
        <f t="shared" si="2478"/>
        <v>FRI</v>
      </c>
      <c r="G5903" s="1">
        <f t="shared" si="2479"/>
        <v>44162</v>
      </c>
      <c r="H5903" s="2">
        <f t="shared" ca="1" si="2480"/>
        <v>91</v>
      </c>
      <c r="I5903" t="str">
        <f t="shared" si="2481"/>
        <v>TSLA</v>
      </c>
      <c r="J5903">
        <f t="shared" si="2482"/>
        <v>489</v>
      </c>
      <c r="K5903">
        <f t="shared" si="2483"/>
        <v>601</v>
      </c>
      <c r="L5903">
        <f t="shared" si="2484"/>
        <v>545</v>
      </c>
      <c r="M5903">
        <f t="shared" si="2485"/>
        <v>56</v>
      </c>
      <c r="N5903">
        <f t="shared" si="2490"/>
        <v>112</v>
      </c>
      <c r="O5903">
        <f t="shared" si="2486"/>
        <v>574</v>
      </c>
      <c r="P5903">
        <f t="shared" si="2487"/>
        <v>0.5178571428571429</v>
      </c>
      <c r="Q5903" t="str">
        <f t="shared" si="2491"/>
        <v>14.81% | 4.7%</v>
      </c>
      <c r="R5903" t="str">
        <f t="shared" si="2488"/>
        <v>BULLISH</v>
      </c>
      <c r="S5903">
        <f t="shared" si="2489"/>
        <v>1</v>
      </c>
    </row>
    <row r="5904" spans="1:19" hidden="1" x14ac:dyDescent="0.25">
      <c r="A5904" s="5" t="str">
        <f t="shared" si="2492"/>
        <v>44162NYXBT</v>
      </c>
      <c r="B5904" s="6" t="s">
        <v>60</v>
      </c>
      <c r="C5904" s="6">
        <v>15831</v>
      </c>
      <c r="D5904" s="6">
        <v>19861</v>
      </c>
      <c r="E5904" s="6">
        <v>19197</v>
      </c>
      <c r="F5904" t="str">
        <f t="shared" si="2478"/>
        <v>FRI</v>
      </c>
      <c r="G5904" s="1">
        <f t="shared" si="2479"/>
        <v>44162</v>
      </c>
      <c r="H5904" s="2">
        <f t="shared" ca="1" si="2480"/>
        <v>91</v>
      </c>
      <c r="I5904" t="str">
        <f t="shared" si="2481"/>
        <v>NYXBT</v>
      </c>
      <c r="J5904">
        <f t="shared" si="2482"/>
        <v>15831</v>
      </c>
      <c r="K5904">
        <f t="shared" si="2483"/>
        <v>19861</v>
      </c>
      <c r="L5904">
        <f t="shared" si="2484"/>
        <v>17846</v>
      </c>
      <c r="M5904">
        <f t="shared" si="2485"/>
        <v>2015</v>
      </c>
      <c r="N5904">
        <f t="shared" si="2490"/>
        <v>4030</v>
      </c>
      <c r="O5904">
        <f t="shared" si="2486"/>
        <v>19197</v>
      </c>
      <c r="P5904">
        <f t="shared" si="2487"/>
        <v>0.67047146401985114</v>
      </c>
      <c r="Q5904" t="str">
        <f t="shared" si="2491"/>
        <v>17.53% | 3.46%</v>
      </c>
      <c r="R5904" t="str">
        <f t="shared" si="2488"/>
        <v>BULLISH</v>
      </c>
      <c r="S5904">
        <f t="shared" si="2489"/>
        <v>1</v>
      </c>
    </row>
    <row r="5905" spans="1:19" hidden="1" x14ac:dyDescent="0.25">
      <c r="A5905" s="5" t="str">
        <f t="shared" si="2492"/>
        <v>44165UST10Y</v>
      </c>
      <c r="B5905" s="6" t="s">
        <v>246</v>
      </c>
      <c r="C5905" s="6">
        <v>0.94</v>
      </c>
      <c r="D5905" s="6">
        <v>0.82</v>
      </c>
      <c r="E5905" s="6">
        <v>0.84</v>
      </c>
      <c r="F5905" t="str">
        <f t="shared" si="2478"/>
        <v>MON</v>
      </c>
      <c r="G5905" s="3">
        <f>DATE(2020,11,30)</f>
        <v>44165</v>
      </c>
      <c r="H5905" s="2">
        <f t="shared" ca="1" si="2480"/>
        <v>88</v>
      </c>
      <c r="I5905" t="str">
        <f t="shared" si="2481"/>
        <v>UST10Y</v>
      </c>
      <c r="J5905">
        <f t="shared" si="2482"/>
        <v>0.94</v>
      </c>
      <c r="K5905">
        <f t="shared" si="2483"/>
        <v>0.82</v>
      </c>
      <c r="L5905">
        <f t="shared" si="2484"/>
        <v>0.87999999999999989</v>
      </c>
      <c r="M5905">
        <f t="shared" si="2485"/>
        <v>0.06</v>
      </c>
      <c r="N5905">
        <f t="shared" si="2490"/>
        <v>0.12</v>
      </c>
      <c r="O5905">
        <f t="shared" si="2486"/>
        <v>0.84</v>
      </c>
      <c r="P5905">
        <f t="shared" si="2487"/>
        <v>-0.66666666666666541</v>
      </c>
      <c r="Q5905" t="str">
        <f t="shared" si="2491"/>
        <v>11.9% | 2.38%</v>
      </c>
      <c r="R5905" t="str">
        <f t="shared" si="2488"/>
        <v>NEUTRAL</v>
      </c>
      <c r="S5905">
        <f t="shared" si="2489"/>
        <v>0</v>
      </c>
    </row>
    <row r="5906" spans="1:19" hidden="1" x14ac:dyDescent="0.25">
      <c r="A5906" s="5" t="str">
        <f t="shared" si="2492"/>
        <v>44165UST2Y</v>
      </c>
      <c r="B5906" s="6" t="s">
        <v>253</v>
      </c>
      <c r="C5906" s="6">
        <v>0.19</v>
      </c>
      <c r="D5906" s="6">
        <v>0.14000000000000001</v>
      </c>
      <c r="E5906" s="6">
        <v>0.16</v>
      </c>
      <c r="F5906" t="str">
        <f t="shared" ref="F5906:F5936" si="2493">UPPER(TEXT(G5906,"ddd"))</f>
        <v>MON</v>
      </c>
      <c r="G5906" s="3">
        <f t="shared" ref="G5906:G5935" si="2494">DATE(2020,11,30)</f>
        <v>44165</v>
      </c>
      <c r="H5906" s="2">
        <f t="shared" ref="H5906:H5936" ca="1" si="2495">TODAY()-G5906</f>
        <v>88</v>
      </c>
      <c r="I5906" t="str">
        <f t="shared" ref="I5906:I5936" si="2496">TRIM(LEFT(B5906,FIND(" ",B5906,1)))</f>
        <v>UST2Y</v>
      </c>
      <c r="J5906">
        <f t="shared" ref="J5906:J5936" si="2497">C5906</f>
        <v>0.19</v>
      </c>
      <c r="K5906">
        <f t="shared" ref="K5906:K5936" si="2498">D5906</f>
        <v>0.14000000000000001</v>
      </c>
      <c r="L5906">
        <f t="shared" ref="L5906:L5936" si="2499">AVERAGE(J5906:K5906)</f>
        <v>0.16500000000000001</v>
      </c>
      <c r="M5906">
        <f t="shared" ref="M5906:M5936" si="2500">_xlfn.STDEV.P(J5906:K5906)</f>
        <v>2.4999999999999942E-2</v>
      </c>
      <c r="N5906">
        <f t="shared" si="2490"/>
        <v>4.9999999999999989E-2</v>
      </c>
      <c r="O5906">
        <f t="shared" ref="O5906:O5936" si="2501">E5906</f>
        <v>0.16</v>
      </c>
      <c r="P5906">
        <f t="shared" ref="P5906:P5936" si="2502">(O5906-L5906)/M5906</f>
        <v>-0.20000000000000065</v>
      </c>
      <c r="Q5906" t="str">
        <f t="shared" si="2491"/>
        <v>18.75% | 12.5%</v>
      </c>
      <c r="R5906" t="str">
        <f t="shared" ref="R5906:R5936" si="2503">MID(B5906,FIND("(",B5906,1)+1,FIND(")",B5906,1)-FIND("(",B5906,1)-1)</f>
        <v>NEUTRAL</v>
      </c>
      <c r="S5906">
        <f t="shared" ref="S5906:S5936" si="2504">IF(R5906="BEARISH",-1,IF(R5906="NEUTRAL",0,IF(R5906="BULLISH",1,99)))</f>
        <v>0</v>
      </c>
    </row>
    <row r="5907" spans="1:19" hidden="1" x14ac:dyDescent="0.25">
      <c r="A5907" s="5" t="str">
        <f t="shared" si="2492"/>
        <v>44165SPX</v>
      </c>
      <c r="B5907" s="6" t="s">
        <v>93</v>
      </c>
      <c r="C5907" s="6">
        <v>3541</v>
      </c>
      <c r="D5907" s="6">
        <v>3664</v>
      </c>
      <c r="E5907" s="6">
        <v>3638</v>
      </c>
      <c r="F5907" t="str">
        <f t="shared" si="2493"/>
        <v>MON</v>
      </c>
      <c r="G5907" s="3">
        <f t="shared" si="2494"/>
        <v>44165</v>
      </c>
      <c r="H5907" s="2">
        <f t="shared" ca="1" si="2495"/>
        <v>88</v>
      </c>
      <c r="I5907" t="str">
        <f t="shared" si="2496"/>
        <v>SPX</v>
      </c>
      <c r="J5907">
        <f t="shared" si="2497"/>
        <v>3541</v>
      </c>
      <c r="K5907">
        <f t="shared" si="2498"/>
        <v>3664</v>
      </c>
      <c r="L5907">
        <f t="shared" si="2499"/>
        <v>3602.5</v>
      </c>
      <c r="M5907">
        <f t="shared" si="2500"/>
        <v>61.5</v>
      </c>
      <c r="N5907">
        <f t="shared" si="2490"/>
        <v>123</v>
      </c>
      <c r="O5907">
        <f t="shared" si="2501"/>
        <v>3638</v>
      </c>
      <c r="P5907">
        <f t="shared" si="2502"/>
        <v>0.57723577235772361</v>
      </c>
      <c r="Q5907" t="str">
        <f t="shared" si="2491"/>
        <v>2.67% | 0.71%</v>
      </c>
      <c r="R5907" t="str">
        <f t="shared" si="2503"/>
        <v>BULLISH</v>
      </c>
      <c r="S5907">
        <f t="shared" si="2504"/>
        <v>1</v>
      </c>
    </row>
    <row r="5908" spans="1:19" hidden="1" x14ac:dyDescent="0.25">
      <c r="A5908" s="5" t="str">
        <f t="shared" si="2492"/>
        <v>44165RUT</v>
      </c>
      <c r="B5908" s="6" t="s">
        <v>247</v>
      </c>
      <c r="C5908" s="6">
        <v>1754</v>
      </c>
      <c r="D5908" s="6">
        <v>1877</v>
      </c>
      <c r="E5908" s="6">
        <v>1855</v>
      </c>
      <c r="F5908" t="str">
        <f t="shared" si="2493"/>
        <v>MON</v>
      </c>
      <c r="G5908" s="3">
        <f t="shared" si="2494"/>
        <v>44165</v>
      </c>
      <c r="H5908" s="2">
        <f t="shared" ca="1" si="2495"/>
        <v>88</v>
      </c>
      <c r="I5908" t="str">
        <f t="shared" si="2496"/>
        <v>RUT</v>
      </c>
      <c r="J5908">
        <f t="shared" si="2497"/>
        <v>1754</v>
      </c>
      <c r="K5908">
        <f t="shared" si="2498"/>
        <v>1877</v>
      </c>
      <c r="L5908">
        <f t="shared" si="2499"/>
        <v>1815.5</v>
      </c>
      <c r="M5908">
        <f t="shared" si="2500"/>
        <v>61.5</v>
      </c>
      <c r="N5908">
        <f t="shared" si="2490"/>
        <v>123</v>
      </c>
      <c r="O5908">
        <f t="shared" si="2501"/>
        <v>1855</v>
      </c>
      <c r="P5908">
        <f t="shared" si="2502"/>
        <v>0.64227642276422769</v>
      </c>
      <c r="Q5908" t="str">
        <f t="shared" si="2491"/>
        <v>5.44% | 1.19%</v>
      </c>
      <c r="R5908" t="str">
        <f t="shared" si="2503"/>
        <v>BULLISH</v>
      </c>
      <c r="S5908">
        <f t="shared" si="2504"/>
        <v>1</v>
      </c>
    </row>
    <row r="5909" spans="1:19" hidden="1" x14ac:dyDescent="0.25">
      <c r="A5909" s="5" t="str">
        <f t="shared" si="2492"/>
        <v>44165COMPQ</v>
      </c>
      <c r="B5909" s="6" t="s">
        <v>8</v>
      </c>
      <c r="C5909" s="6">
        <v>11729</v>
      </c>
      <c r="D5909" s="6">
        <v>12254</v>
      </c>
      <c r="E5909" s="6">
        <v>12205</v>
      </c>
      <c r="F5909" t="str">
        <f t="shared" si="2493"/>
        <v>MON</v>
      </c>
      <c r="G5909" s="3">
        <f t="shared" si="2494"/>
        <v>44165</v>
      </c>
      <c r="H5909" s="2">
        <f t="shared" ca="1" si="2495"/>
        <v>88</v>
      </c>
      <c r="I5909" t="str">
        <f t="shared" si="2496"/>
        <v>COMPQ</v>
      </c>
      <c r="J5909">
        <f t="shared" si="2497"/>
        <v>11729</v>
      </c>
      <c r="K5909">
        <f t="shared" si="2498"/>
        <v>12254</v>
      </c>
      <c r="L5909">
        <f t="shared" si="2499"/>
        <v>11991.5</v>
      </c>
      <c r="M5909">
        <f t="shared" si="2500"/>
        <v>262.5</v>
      </c>
      <c r="N5909">
        <f t="shared" si="2490"/>
        <v>525</v>
      </c>
      <c r="O5909">
        <f t="shared" si="2501"/>
        <v>12205</v>
      </c>
      <c r="P5909">
        <f t="shared" si="2502"/>
        <v>0.81333333333333335</v>
      </c>
      <c r="Q5909" t="str">
        <f t="shared" si="2491"/>
        <v>3.9% | 0.4%</v>
      </c>
      <c r="R5909" t="str">
        <f t="shared" si="2503"/>
        <v>BULLISH</v>
      </c>
      <c r="S5909">
        <f t="shared" si="2504"/>
        <v>1</v>
      </c>
    </row>
    <row r="5910" spans="1:19" hidden="1" x14ac:dyDescent="0.25">
      <c r="A5910" s="5" t="str">
        <f t="shared" si="2492"/>
        <v>44165XLK</v>
      </c>
      <c r="B5910" s="6" t="s">
        <v>10</v>
      </c>
      <c r="C5910" s="6">
        <v>119.55</v>
      </c>
      <c r="D5910" s="6">
        <v>124.21</v>
      </c>
      <c r="E5910" s="6">
        <v>122.66</v>
      </c>
      <c r="F5910" t="str">
        <f t="shared" si="2493"/>
        <v>MON</v>
      </c>
      <c r="G5910" s="3">
        <f t="shared" si="2494"/>
        <v>44165</v>
      </c>
      <c r="H5910" s="2">
        <f t="shared" ca="1" si="2495"/>
        <v>88</v>
      </c>
      <c r="I5910" t="str">
        <f t="shared" si="2496"/>
        <v>XLK</v>
      </c>
      <c r="J5910">
        <f t="shared" si="2497"/>
        <v>119.55</v>
      </c>
      <c r="K5910">
        <f t="shared" si="2498"/>
        <v>124.21</v>
      </c>
      <c r="L5910">
        <f t="shared" si="2499"/>
        <v>121.88</v>
      </c>
      <c r="M5910">
        <f t="shared" si="2500"/>
        <v>2.3299999999999983</v>
      </c>
      <c r="N5910">
        <f t="shared" si="2490"/>
        <v>4.6599999999999966</v>
      </c>
      <c r="O5910">
        <f t="shared" si="2501"/>
        <v>122.66</v>
      </c>
      <c r="P5910">
        <f t="shared" si="2502"/>
        <v>0.33476394849785479</v>
      </c>
      <c r="Q5910" t="str">
        <f t="shared" si="2491"/>
        <v>2.54% | 1.26%</v>
      </c>
      <c r="R5910" t="str">
        <f t="shared" si="2503"/>
        <v>BULLISH</v>
      </c>
      <c r="S5910">
        <f t="shared" si="2504"/>
        <v>1</v>
      </c>
    </row>
    <row r="5911" spans="1:19" hidden="1" x14ac:dyDescent="0.25">
      <c r="A5911" s="5" t="str">
        <f t="shared" si="2492"/>
        <v>44165XLE</v>
      </c>
      <c r="B5911" s="6" t="s">
        <v>250</v>
      </c>
      <c r="C5911" s="6">
        <v>34.29</v>
      </c>
      <c r="D5911" s="6">
        <v>40.93</v>
      </c>
      <c r="E5911" s="6">
        <v>38.909999999999997</v>
      </c>
      <c r="F5911" t="str">
        <f t="shared" si="2493"/>
        <v>MON</v>
      </c>
      <c r="G5911" s="3">
        <f t="shared" si="2494"/>
        <v>44165</v>
      </c>
      <c r="H5911" s="2">
        <f t="shared" ca="1" si="2495"/>
        <v>88</v>
      </c>
      <c r="I5911" t="str">
        <f t="shared" si="2496"/>
        <v>XLE</v>
      </c>
      <c r="J5911">
        <f t="shared" si="2497"/>
        <v>34.29</v>
      </c>
      <c r="K5911">
        <f t="shared" si="2498"/>
        <v>40.93</v>
      </c>
      <c r="L5911">
        <f t="shared" si="2499"/>
        <v>37.61</v>
      </c>
      <c r="M5911">
        <f t="shared" si="2500"/>
        <v>3.3200000000000003</v>
      </c>
      <c r="N5911">
        <f t="shared" si="2490"/>
        <v>6.6400000000000006</v>
      </c>
      <c r="O5911">
        <f t="shared" si="2501"/>
        <v>38.909999999999997</v>
      </c>
      <c r="P5911">
        <f t="shared" si="2502"/>
        <v>0.39156626506024006</v>
      </c>
      <c r="Q5911" t="str">
        <f t="shared" si="2491"/>
        <v>11.87% | 5.19%</v>
      </c>
      <c r="R5911" t="str">
        <f t="shared" si="2503"/>
        <v>BULLISH</v>
      </c>
      <c r="S5911">
        <f t="shared" si="2504"/>
        <v>1</v>
      </c>
    </row>
    <row r="5912" spans="1:19" hidden="1" x14ac:dyDescent="0.25">
      <c r="A5912" s="5" t="str">
        <f t="shared" si="2492"/>
        <v>44165XLU</v>
      </c>
      <c r="B5912" s="6" t="s">
        <v>82</v>
      </c>
      <c r="C5912" s="6">
        <v>62.1</v>
      </c>
      <c r="D5912" s="6">
        <v>66.400000000000006</v>
      </c>
      <c r="E5912" s="6">
        <v>63.76</v>
      </c>
      <c r="F5912" t="str">
        <f t="shared" si="2493"/>
        <v>MON</v>
      </c>
      <c r="G5912" s="3">
        <f t="shared" si="2494"/>
        <v>44165</v>
      </c>
      <c r="H5912" s="2">
        <f t="shared" ca="1" si="2495"/>
        <v>88</v>
      </c>
      <c r="I5912" t="str">
        <f t="shared" si="2496"/>
        <v>XLU</v>
      </c>
      <c r="J5912">
        <f t="shared" si="2497"/>
        <v>62.1</v>
      </c>
      <c r="K5912">
        <f t="shared" si="2498"/>
        <v>66.400000000000006</v>
      </c>
      <c r="L5912">
        <f t="shared" si="2499"/>
        <v>64.25</v>
      </c>
      <c r="M5912">
        <f t="shared" si="2500"/>
        <v>2.1500000000000021</v>
      </c>
      <c r="N5912">
        <f t="shared" si="2490"/>
        <v>4.3000000000000043</v>
      </c>
      <c r="O5912">
        <f t="shared" si="2501"/>
        <v>63.76</v>
      </c>
      <c r="P5912">
        <f t="shared" si="2502"/>
        <v>-0.22790697674418675</v>
      </c>
      <c r="Q5912" t="str">
        <f t="shared" si="2491"/>
        <v>2.6% | 4.14%</v>
      </c>
      <c r="R5912" t="str">
        <f t="shared" si="2503"/>
        <v>BEARISH</v>
      </c>
      <c r="S5912">
        <f t="shared" si="2504"/>
        <v>-1</v>
      </c>
    </row>
    <row r="5913" spans="1:19" hidden="1" x14ac:dyDescent="0.25">
      <c r="A5913" s="5" t="str">
        <f t="shared" si="2492"/>
        <v>44165GDX</v>
      </c>
      <c r="B5913" s="6" t="s">
        <v>254</v>
      </c>
      <c r="C5913" s="6">
        <v>32.33</v>
      </c>
      <c r="D5913" s="6">
        <v>35.729999999999997</v>
      </c>
      <c r="E5913" s="6">
        <v>34.229999999999997</v>
      </c>
      <c r="F5913" t="str">
        <f t="shared" si="2493"/>
        <v>MON</v>
      </c>
      <c r="G5913" s="3">
        <f t="shared" si="2494"/>
        <v>44165</v>
      </c>
      <c r="H5913" s="2">
        <f t="shared" ca="1" si="2495"/>
        <v>88</v>
      </c>
      <c r="I5913" t="str">
        <f t="shared" si="2496"/>
        <v>GDX</v>
      </c>
      <c r="J5913">
        <f t="shared" si="2497"/>
        <v>32.33</v>
      </c>
      <c r="K5913">
        <f t="shared" si="2498"/>
        <v>35.729999999999997</v>
      </c>
      <c r="L5913">
        <f t="shared" si="2499"/>
        <v>34.03</v>
      </c>
      <c r="M5913">
        <f t="shared" si="2500"/>
        <v>1.6999999999999993</v>
      </c>
      <c r="N5913">
        <f t="shared" si="2490"/>
        <v>3.3999999999999986</v>
      </c>
      <c r="O5913">
        <f t="shared" si="2501"/>
        <v>34.229999999999997</v>
      </c>
      <c r="P5913">
        <f t="shared" si="2502"/>
        <v>0.11764705882352695</v>
      </c>
      <c r="Q5913" t="str">
        <f t="shared" si="2491"/>
        <v>5.55% | 4.38%</v>
      </c>
      <c r="R5913" t="str">
        <f t="shared" si="2503"/>
        <v>BEARISH</v>
      </c>
      <c r="S5913">
        <f t="shared" si="2504"/>
        <v>-1</v>
      </c>
    </row>
    <row r="5914" spans="1:19" hidden="1" x14ac:dyDescent="0.25">
      <c r="A5914" s="5" t="str">
        <f t="shared" si="2492"/>
        <v>44165SSEC</v>
      </c>
      <c r="B5914" s="6" t="s">
        <v>104</v>
      </c>
      <c r="C5914" s="6">
        <v>3315</v>
      </c>
      <c r="D5914" s="6">
        <v>3436</v>
      </c>
      <c r="E5914" s="6">
        <v>3391</v>
      </c>
      <c r="F5914" t="str">
        <f t="shared" si="2493"/>
        <v>MON</v>
      </c>
      <c r="G5914" s="3">
        <f t="shared" si="2494"/>
        <v>44165</v>
      </c>
      <c r="H5914" s="2">
        <f t="shared" ca="1" si="2495"/>
        <v>88</v>
      </c>
      <c r="I5914" t="str">
        <f t="shared" si="2496"/>
        <v>SSEC</v>
      </c>
      <c r="J5914">
        <f t="shared" si="2497"/>
        <v>3315</v>
      </c>
      <c r="K5914">
        <f t="shared" si="2498"/>
        <v>3436</v>
      </c>
      <c r="L5914">
        <f t="shared" si="2499"/>
        <v>3375.5</v>
      </c>
      <c r="M5914">
        <f t="shared" si="2500"/>
        <v>60.5</v>
      </c>
      <c r="N5914">
        <f t="shared" si="2490"/>
        <v>121</v>
      </c>
      <c r="O5914">
        <f t="shared" si="2501"/>
        <v>3391</v>
      </c>
      <c r="P5914">
        <f t="shared" si="2502"/>
        <v>0.256198347107438</v>
      </c>
      <c r="Q5914" t="str">
        <f t="shared" si="2491"/>
        <v>2.24% | 1.33%</v>
      </c>
      <c r="R5914" t="str">
        <f t="shared" si="2503"/>
        <v>BULLISH</v>
      </c>
      <c r="S5914">
        <f t="shared" si="2504"/>
        <v>1</v>
      </c>
    </row>
    <row r="5915" spans="1:19" hidden="1" x14ac:dyDescent="0.25">
      <c r="A5915" s="5" t="str">
        <f t="shared" si="2492"/>
        <v>44165NIKK</v>
      </c>
      <c r="B5915" s="6" t="s">
        <v>91</v>
      </c>
      <c r="C5915" s="6">
        <v>25319</v>
      </c>
      <c r="D5915" s="6">
        <v>26799</v>
      </c>
      <c r="E5915" s="6">
        <v>26433</v>
      </c>
      <c r="F5915" t="str">
        <f t="shared" si="2493"/>
        <v>MON</v>
      </c>
      <c r="G5915" s="3">
        <f t="shared" si="2494"/>
        <v>44165</v>
      </c>
      <c r="H5915" s="2">
        <f t="shared" ca="1" si="2495"/>
        <v>88</v>
      </c>
      <c r="I5915" t="str">
        <f t="shared" si="2496"/>
        <v>NIKK</v>
      </c>
      <c r="J5915">
        <f t="shared" si="2497"/>
        <v>25319</v>
      </c>
      <c r="K5915">
        <f t="shared" si="2498"/>
        <v>26799</v>
      </c>
      <c r="L5915">
        <f t="shared" si="2499"/>
        <v>26059</v>
      </c>
      <c r="M5915">
        <f t="shared" si="2500"/>
        <v>740</v>
      </c>
      <c r="N5915">
        <f t="shared" si="2490"/>
        <v>1480</v>
      </c>
      <c r="O5915">
        <f t="shared" si="2501"/>
        <v>26433</v>
      </c>
      <c r="P5915">
        <f t="shared" si="2502"/>
        <v>0.50540540540540535</v>
      </c>
      <c r="Q5915" t="str">
        <f t="shared" si="2491"/>
        <v>4.21% | 1.38%</v>
      </c>
      <c r="R5915" t="str">
        <f t="shared" si="2503"/>
        <v>BULLISH</v>
      </c>
      <c r="S5915">
        <f t="shared" si="2504"/>
        <v>1</v>
      </c>
    </row>
    <row r="5916" spans="1:19" hidden="1" x14ac:dyDescent="0.25">
      <c r="A5916" s="5" t="str">
        <f t="shared" si="2492"/>
        <v>44165DAX</v>
      </c>
      <c r="B5916" s="6" t="s">
        <v>16</v>
      </c>
      <c r="C5916" s="6">
        <v>12954</v>
      </c>
      <c r="D5916" s="6">
        <v>13394</v>
      </c>
      <c r="E5916" s="6">
        <v>13335</v>
      </c>
      <c r="F5916" t="str">
        <f t="shared" si="2493"/>
        <v>MON</v>
      </c>
      <c r="G5916" s="3">
        <f t="shared" si="2494"/>
        <v>44165</v>
      </c>
      <c r="H5916" s="2">
        <f t="shared" ca="1" si="2495"/>
        <v>88</v>
      </c>
      <c r="I5916" t="str">
        <f t="shared" si="2496"/>
        <v>DAX</v>
      </c>
      <c r="J5916">
        <f t="shared" si="2497"/>
        <v>12954</v>
      </c>
      <c r="K5916">
        <f t="shared" si="2498"/>
        <v>13394</v>
      </c>
      <c r="L5916">
        <f t="shared" si="2499"/>
        <v>13174</v>
      </c>
      <c r="M5916">
        <f t="shared" si="2500"/>
        <v>220</v>
      </c>
      <c r="N5916">
        <f t="shared" si="2490"/>
        <v>440</v>
      </c>
      <c r="O5916">
        <f t="shared" si="2501"/>
        <v>13335</v>
      </c>
      <c r="P5916">
        <f t="shared" si="2502"/>
        <v>0.73181818181818181</v>
      </c>
      <c r="Q5916" t="str">
        <f t="shared" si="2491"/>
        <v>2.86% | 0.44%</v>
      </c>
      <c r="R5916" t="str">
        <f t="shared" si="2503"/>
        <v>BEARISH</v>
      </c>
      <c r="S5916">
        <f t="shared" si="2504"/>
        <v>-1</v>
      </c>
    </row>
    <row r="5917" spans="1:19" hidden="1" x14ac:dyDescent="0.25">
      <c r="A5917" s="5" t="str">
        <f t="shared" si="2492"/>
        <v>44165VIX</v>
      </c>
      <c r="B5917" s="6" t="s">
        <v>96</v>
      </c>
      <c r="C5917" s="6">
        <v>20.3</v>
      </c>
      <c r="D5917" s="6">
        <v>25.56</v>
      </c>
      <c r="E5917" s="6">
        <v>20.84</v>
      </c>
      <c r="F5917" t="str">
        <f t="shared" si="2493"/>
        <v>MON</v>
      </c>
      <c r="G5917" s="3">
        <f t="shared" si="2494"/>
        <v>44165</v>
      </c>
      <c r="H5917" s="2">
        <f t="shared" ca="1" si="2495"/>
        <v>88</v>
      </c>
      <c r="I5917" t="str">
        <f t="shared" si="2496"/>
        <v>VIX</v>
      </c>
      <c r="J5917">
        <f t="shared" si="2497"/>
        <v>20.3</v>
      </c>
      <c r="K5917">
        <f t="shared" si="2498"/>
        <v>25.56</v>
      </c>
      <c r="L5917">
        <f t="shared" si="2499"/>
        <v>22.93</v>
      </c>
      <c r="M5917">
        <f t="shared" si="2500"/>
        <v>2.6300000000000106</v>
      </c>
      <c r="N5917">
        <f t="shared" si="2490"/>
        <v>5.259999999999998</v>
      </c>
      <c r="O5917">
        <f t="shared" si="2501"/>
        <v>20.84</v>
      </c>
      <c r="P5917">
        <f t="shared" si="2502"/>
        <v>-0.79467680608364699</v>
      </c>
      <c r="Q5917" t="str">
        <f t="shared" si="2491"/>
        <v>2.59% | 22.65%</v>
      </c>
      <c r="R5917" t="str">
        <f t="shared" si="2503"/>
        <v>BEARISH</v>
      </c>
      <c r="S5917">
        <f t="shared" si="2504"/>
        <v>-1</v>
      </c>
    </row>
    <row r="5918" spans="1:19" hidden="1" x14ac:dyDescent="0.25">
      <c r="A5918" s="5" t="str">
        <f t="shared" si="2492"/>
        <v>44165USD</v>
      </c>
      <c r="B5918" s="6" t="s">
        <v>94</v>
      </c>
      <c r="C5918" s="6">
        <v>91.64</v>
      </c>
      <c r="D5918" s="6">
        <v>92.73</v>
      </c>
      <c r="E5918" s="6">
        <v>91.8</v>
      </c>
      <c r="F5918" t="str">
        <f t="shared" si="2493"/>
        <v>MON</v>
      </c>
      <c r="G5918" s="3">
        <f t="shared" si="2494"/>
        <v>44165</v>
      </c>
      <c r="H5918" s="2">
        <f t="shared" ca="1" si="2495"/>
        <v>88</v>
      </c>
      <c r="I5918" t="str">
        <f t="shared" si="2496"/>
        <v>USD</v>
      </c>
      <c r="J5918">
        <f t="shared" si="2497"/>
        <v>91.64</v>
      </c>
      <c r="K5918">
        <f t="shared" si="2498"/>
        <v>92.73</v>
      </c>
      <c r="L5918">
        <f t="shared" si="2499"/>
        <v>92.185000000000002</v>
      </c>
      <c r="M5918">
        <f t="shared" si="2500"/>
        <v>0.54500000000000171</v>
      </c>
      <c r="N5918">
        <f t="shared" si="2490"/>
        <v>1.0900000000000034</v>
      </c>
      <c r="O5918">
        <f t="shared" si="2501"/>
        <v>91.8</v>
      </c>
      <c r="P5918">
        <f t="shared" si="2502"/>
        <v>-0.70642201834863105</v>
      </c>
      <c r="Q5918" t="str">
        <f t="shared" si="2491"/>
        <v>0.17% | 1.01%</v>
      </c>
      <c r="R5918" t="str">
        <f t="shared" si="2503"/>
        <v>BEARISH</v>
      </c>
      <c r="S5918">
        <f t="shared" si="2504"/>
        <v>-1</v>
      </c>
    </row>
    <row r="5919" spans="1:19" hidden="1" x14ac:dyDescent="0.25">
      <c r="A5919" s="5" t="str">
        <f t="shared" si="2492"/>
        <v>44165EUR/USD</v>
      </c>
      <c r="B5919" s="6" t="s">
        <v>99</v>
      </c>
      <c r="C5919" s="6">
        <v>1.1830000000000001</v>
      </c>
      <c r="D5919" s="6">
        <v>1.196</v>
      </c>
      <c r="E5919" s="6">
        <v>1.196</v>
      </c>
      <c r="F5919" t="str">
        <f t="shared" si="2493"/>
        <v>MON</v>
      </c>
      <c r="G5919" s="3">
        <f t="shared" si="2494"/>
        <v>44165</v>
      </c>
      <c r="H5919" s="2">
        <f t="shared" ca="1" si="2495"/>
        <v>88</v>
      </c>
      <c r="I5919" t="str">
        <f t="shared" si="2496"/>
        <v>EUR/USD</v>
      </c>
      <c r="J5919">
        <f t="shared" si="2497"/>
        <v>1.1830000000000001</v>
      </c>
      <c r="K5919">
        <f t="shared" si="2498"/>
        <v>1.196</v>
      </c>
      <c r="L5919">
        <f t="shared" si="2499"/>
        <v>1.1895</v>
      </c>
      <c r="M5919">
        <f t="shared" si="2500"/>
        <v>6.4999999999999503E-3</v>
      </c>
      <c r="N5919">
        <f t="shared" si="2490"/>
        <v>1.2999999999999901E-2</v>
      </c>
      <c r="O5919">
        <f t="shared" si="2501"/>
        <v>1.196</v>
      </c>
      <c r="P5919">
        <f t="shared" si="2502"/>
        <v>1</v>
      </c>
      <c r="Q5919" t="str">
        <f t="shared" si="2491"/>
        <v>1.09% | 0%</v>
      </c>
      <c r="R5919" t="str">
        <f t="shared" si="2503"/>
        <v>BULLISH</v>
      </c>
      <c r="S5919">
        <f t="shared" si="2504"/>
        <v>1</v>
      </c>
    </row>
    <row r="5920" spans="1:19" hidden="1" x14ac:dyDescent="0.25">
      <c r="A5920" s="5" t="str">
        <f t="shared" si="2492"/>
        <v>44165USD/JPY</v>
      </c>
      <c r="B5920" s="6" t="s">
        <v>20</v>
      </c>
      <c r="C5920" s="6">
        <v>103.37</v>
      </c>
      <c r="D5920" s="6">
        <v>105.02</v>
      </c>
      <c r="E5920" s="6">
        <v>104.08</v>
      </c>
      <c r="F5920" t="str">
        <f t="shared" si="2493"/>
        <v>MON</v>
      </c>
      <c r="G5920" s="3">
        <f t="shared" si="2494"/>
        <v>44165</v>
      </c>
      <c r="H5920" s="2">
        <f t="shared" ca="1" si="2495"/>
        <v>88</v>
      </c>
      <c r="I5920" t="str">
        <f t="shared" si="2496"/>
        <v>USD/JPY</v>
      </c>
      <c r="J5920">
        <f t="shared" si="2497"/>
        <v>103.37</v>
      </c>
      <c r="K5920">
        <f t="shared" si="2498"/>
        <v>105.02</v>
      </c>
      <c r="L5920">
        <f t="shared" si="2499"/>
        <v>104.19499999999999</v>
      </c>
      <c r="M5920">
        <f t="shared" si="2500"/>
        <v>0.82499999999999574</v>
      </c>
      <c r="N5920">
        <f t="shared" si="2490"/>
        <v>1.6499999999999915</v>
      </c>
      <c r="O5920">
        <f t="shared" si="2501"/>
        <v>104.08</v>
      </c>
      <c r="P5920">
        <f t="shared" si="2502"/>
        <v>-0.13939393939393391</v>
      </c>
      <c r="Q5920" t="str">
        <f t="shared" si="2491"/>
        <v>0.68% | 0.9%</v>
      </c>
      <c r="R5920" t="str">
        <f t="shared" si="2503"/>
        <v>BEARISH</v>
      </c>
      <c r="S5920">
        <f t="shared" si="2504"/>
        <v>-1</v>
      </c>
    </row>
    <row r="5921" spans="1:19" hidden="1" x14ac:dyDescent="0.25">
      <c r="A5921" s="5" t="str">
        <f t="shared" si="2492"/>
        <v>44165GBP/USD</v>
      </c>
      <c r="B5921" s="6" t="s">
        <v>102</v>
      </c>
      <c r="C5921" s="6">
        <v>1.3180000000000001</v>
      </c>
      <c r="D5921" s="6">
        <v>1.341</v>
      </c>
      <c r="E5921" s="6">
        <v>1.33</v>
      </c>
      <c r="F5921" t="str">
        <f t="shared" si="2493"/>
        <v>MON</v>
      </c>
      <c r="G5921" s="3">
        <f t="shared" si="2494"/>
        <v>44165</v>
      </c>
      <c r="H5921" s="2">
        <f t="shared" ca="1" si="2495"/>
        <v>88</v>
      </c>
      <c r="I5921" t="str">
        <f t="shared" si="2496"/>
        <v>GBP/USD</v>
      </c>
      <c r="J5921">
        <f t="shared" si="2497"/>
        <v>1.3180000000000001</v>
      </c>
      <c r="K5921">
        <f t="shared" si="2498"/>
        <v>1.341</v>
      </c>
      <c r="L5921">
        <f t="shared" si="2499"/>
        <v>1.3294999999999999</v>
      </c>
      <c r="M5921">
        <f t="shared" si="2500"/>
        <v>1.1499999999999955E-2</v>
      </c>
      <c r="N5921">
        <f t="shared" si="2490"/>
        <v>2.2999999999999909E-2</v>
      </c>
      <c r="O5921">
        <f t="shared" si="2501"/>
        <v>1.33</v>
      </c>
      <c r="P5921">
        <f t="shared" si="2502"/>
        <v>4.3478260869579906E-2</v>
      </c>
      <c r="Q5921" t="str">
        <f t="shared" si="2491"/>
        <v>0.9% | 0.83%</v>
      </c>
      <c r="R5921" t="str">
        <f t="shared" si="2503"/>
        <v>BULLISH</v>
      </c>
      <c r="S5921">
        <f t="shared" si="2504"/>
        <v>1</v>
      </c>
    </row>
    <row r="5922" spans="1:19" hidden="1" x14ac:dyDescent="0.25">
      <c r="A5922" s="5" t="str">
        <f t="shared" si="2492"/>
        <v>44165CAD/USD</v>
      </c>
      <c r="B5922" s="6" t="s">
        <v>244</v>
      </c>
      <c r="C5922" s="6">
        <v>0.76</v>
      </c>
      <c r="D5922" s="6">
        <v>0.78</v>
      </c>
      <c r="E5922" s="6">
        <v>0.76</v>
      </c>
      <c r="F5922" t="str">
        <f t="shared" si="2493"/>
        <v>MON</v>
      </c>
      <c r="G5922" s="3">
        <f t="shared" si="2494"/>
        <v>44165</v>
      </c>
      <c r="H5922" s="2">
        <f t="shared" ca="1" si="2495"/>
        <v>88</v>
      </c>
      <c r="I5922" t="str">
        <f t="shared" si="2496"/>
        <v>CAD/USD</v>
      </c>
      <c r="J5922">
        <f t="shared" si="2497"/>
        <v>0.76</v>
      </c>
      <c r="K5922">
        <f t="shared" si="2498"/>
        <v>0.78</v>
      </c>
      <c r="L5922">
        <f t="shared" si="2499"/>
        <v>0.77</v>
      </c>
      <c r="M5922">
        <f t="shared" si="2500"/>
        <v>1.0000000000000009E-2</v>
      </c>
      <c r="N5922">
        <f t="shared" si="2490"/>
        <v>2.0000000000000018E-2</v>
      </c>
      <c r="O5922">
        <f t="shared" si="2501"/>
        <v>0.76</v>
      </c>
      <c r="P5922">
        <f t="shared" si="2502"/>
        <v>-1</v>
      </c>
      <c r="Q5922" t="str">
        <f t="shared" si="2491"/>
        <v>0% | 2.63%</v>
      </c>
      <c r="R5922" t="str">
        <f t="shared" si="2503"/>
        <v>BULLISH</v>
      </c>
      <c r="S5922">
        <f t="shared" si="2504"/>
        <v>1</v>
      </c>
    </row>
    <row r="5923" spans="1:19" hidden="1" x14ac:dyDescent="0.25">
      <c r="A5923" s="5" t="str">
        <f t="shared" si="2492"/>
        <v>44165USD/CHF</v>
      </c>
      <c r="B5923" s="6" t="s">
        <v>76</v>
      </c>
      <c r="C5923" s="6">
        <v>0.9</v>
      </c>
      <c r="D5923" s="6">
        <v>0.92</v>
      </c>
      <c r="E5923" s="6">
        <v>0.9</v>
      </c>
      <c r="F5923" t="str">
        <f t="shared" si="2493"/>
        <v>MON</v>
      </c>
      <c r="G5923" s="3">
        <f t="shared" si="2494"/>
        <v>44165</v>
      </c>
      <c r="H5923" s="2">
        <f t="shared" ca="1" si="2495"/>
        <v>88</v>
      </c>
      <c r="I5923" t="str">
        <f t="shared" si="2496"/>
        <v>USD/CHF</v>
      </c>
      <c r="J5923">
        <f t="shared" si="2497"/>
        <v>0.9</v>
      </c>
      <c r="K5923">
        <f t="shared" si="2498"/>
        <v>0.92</v>
      </c>
      <c r="L5923">
        <f t="shared" si="2499"/>
        <v>0.91</v>
      </c>
      <c r="M5923">
        <f t="shared" si="2500"/>
        <v>1.0000000000000009E-2</v>
      </c>
      <c r="N5923">
        <f t="shared" si="2490"/>
        <v>2.0000000000000018E-2</v>
      </c>
      <c r="O5923">
        <f t="shared" si="2501"/>
        <v>0.9</v>
      </c>
      <c r="P5923">
        <f t="shared" si="2502"/>
        <v>-1</v>
      </c>
      <c r="Q5923" t="str">
        <f t="shared" si="2491"/>
        <v>0% | 2.22%</v>
      </c>
      <c r="R5923" t="str">
        <f t="shared" si="2503"/>
        <v>BEARISH</v>
      </c>
      <c r="S5923">
        <f t="shared" si="2504"/>
        <v>-1</v>
      </c>
    </row>
    <row r="5924" spans="1:19" hidden="1" x14ac:dyDescent="0.25">
      <c r="A5924" s="5" t="str">
        <f t="shared" si="2492"/>
        <v>44165WTIC</v>
      </c>
      <c r="B5924" s="6" t="s">
        <v>158</v>
      </c>
      <c r="C5924" s="6">
        <v>41.46</v>
      </c>
      <c r="D5924" s="6">
        <v>46.58</v>
      </c>
      <c r="E5924" s="6">
        <v>45.53</v>
      </c>
      <c r="F5924" t="str">
        <f t="shared" si="2493"/>
        <v>MON</v>
      </c>
      <c r="G5924" s="3">
        <f t="shared" si="2494"/>
        <v>44165</v>
      </c>
      <c r="H5924" s="2">
        <f t="shared" ca="1" si="2495"/>
        <v>88</v>
      </c>
      <c r="I5924" t="str">
        <f t="shared" si="2496"/>
        <v>WTIC</v>
      </c>
      <c r="J5924">
        <f t="shared" si="2497"/>
        <v>41.46</v>
      </c>
      <c r="K5924">
        <f t="shared" si="2498"/>
        <v>46.58</v>
      </c>
      <c r="L5924">
        <f t="shared" si="2499"/>
        <v>44.019999999999996</v>
      </c>
      <c r="M5924">
        <f t="shared" si="2500"/>
        <v>2.5599999999999987</v>
      </c>
      <c r="N5924">
        <f t="shared" si="2490"/>
        <v>5.1199999999999974</v>
      </c>
      <c r="O5924">
        <f t="shared" si="2501"/>
        <v>45.53</v>
      </c>
      <c r="P5924">
        <f t="shared" si="2502"/>
        <v>0.58984375000000233</v>
      </c>
      <c r="Q5924" t="str">
        <f t="shared" si="2491"/>
        <v>8.94% | 2.31%</v>
      </c>
      <c r="R5924" t="str">
        <f t="shared" si="2503"/>
        <v>BULLISH</v>
      </c>
      <c r="S5924">
        <f t="shared" si="2504"/>
        <v>1</v>
      </c>
    </row>
    <row r="5925" spans="1:19" hidden="1" x14ac:dyDescent="0.25">
      <c r="A5925" s="5" t="str">
        <f t="shared" si="2492"/>
        <v>44165NATGAS</v>
      </c>
      <c r="B5925" s="6" t="s">
        <v>89</v>
      </c>
      <c r="C5925" s="6">
        <v>2.5499999999999998</v>
      </c>
      <c r="D5925" s="6">
        <v>3.03</v>
      </c>
      <c r="E5925" s="6">
        <v>2.84</v>
      </c>
      <c r="F5925" t="str">
        <f t="shared" si="2493"/>
        <v>MON</v>
      </c>
      <c r="G5925" s="3">
        <f t="shared" si="2494"/>
        <v>44165</v>
      </c>
      <c r="H5925" s="2">
        <f t="shared" ca="1" si="2495"/>
        <v>88</v>
      </c>
      <c r="I5925" t="str">
        <f t="shared" si="2496"/>
        <v>NATGAS</v>
      </c>
      <c r="J5925">
        <f t="shared" si="2497"/>
        <v>2.5499999999999998</v>
      </c>
      <c r="K5925">
        <f t="shared" si="2498"/>
        <v>3.03</v>
      </c>
      <c r="L5925">
        <f t="shared" si="2499"/>
        <v>2.79</v>
      </c>
      <c r="M5925">
        <f t="shared" si="2500"/>
        <v>0.24</v>
      </c>
      <c r="N5925">
        <f t="shared" si="2490"/>
        <v>0.48</v>
      </c>
      <c r="O5925">
        <f t="shared" si="2501"/>
        <v>2.84</v>
      </c>
      <c r="P5925">
        <f t="shared" si="2502"/>
        <v>0.20833333333333259</v>
      </c>
      <c r="Q5925" t="str">
        <f t="shared" si="2491"/>
        <v>10.21% | 6.69%</v>
      </c>
      <c r="R5925" t="str">
        <f t="shared" si="2503"/>
        <v>BULLISH</v>
      </c>
      <c r="S5925">
        <f t="shared" si="2504"/>
        <v>1</v>
      </c>
    </row>
    <row r="5926" spans="1:19" hidden="1" x14ac:dyDescent="0.25">
      <c r="A5926" s="5" t="str">
        <f t="shared" si="2492"/>
        <v>44165GOLD</v>
      </c>
      <c r="B5926" s="6" t="s">
        <v>85</v>
      </c>
      <c r="C5926" s="6">
        <v>1763</v>
      </c>
      <c r="D5926" s="6">
        <v>1847</v>
      </c>
      <c r="E5926" s="6">
        <v>1788</v>
      </c>
      <c r="F5926" t="str">
        <f t="shared" si="2493"/>
        <v>MON</v>
      </c>
      <c r="G5926" s="3">
        <f t="shared" si="2494"/>
        <v>44165</v>
      </c>
      <c r="H5926" s="2">
        <f t="shared" ca="1" si="2495"/>
        <v>88</v>
      </c>
      <c r="I5926" t="str">
        <f t="shared" si="2496"/>
        <v>GOLD</v>
      </c>
      <c r="J5926">
        <f t="shared" si="2497"/>
        <v>1763</v>
      </c>
      <c r="K5926">
        <f t="shared" si="2498"/>
        <v>1847</v>
      </c>
      <c r="L5926">
        <f t="shared" si="2499"/>
        <v>1805</v>
      </c>
      <c r="M5926">
        <f t="shared" si="2500"/>
        <v>42</v>
      </c>
      <c r="N5926">
        <f t="shared" si="2490"/>
        <v>84</v>
      </c>
      <c r="O5926">
        <f t="shared" si="2501"/>
        <v>1788</v>
      </c>
      <c r="P5926">
        <f t="shared" si="2502"/>
        <v>-0.40476190476190477</v>
      </c>
      <c r="Q5926" t="str">
        <f t="shared" si="2491"/>
        <v>1.4% | 3.3%</v>
      </c>
      <c r="R5926" t="str">
        <f t="shared" si="2503"/>
        <v>BEARISH</v>
      </c>
      <c r="S5926">
        <f t="shared" si="2504"/>
        <v>-1</v>
      </c>
    </row>
    <row r="5927" spans="1:19" hidden="1" x14ac:dyDescent="0.25">
      <c r="A5927" s="5" t="str">
        <f t="shared" si="2492"/>
        <v>44165COPPER</v>
      </c>
      <c r="B5927" s="6" t="s">
        <v>100</v>
      </c>
      <c r="C5927" s="6">
        <v>3.19</v>
      </c>
      <c r="D5927" s="6">
        <v>3.48</v>
      </c>
      <c r="E5927" s="6">
        <v>3.42</v>
      </c>
      <c r="F5927" t="str">
        <f t="shared" si="2493"/>
        <v>MON</v>
      </c>
      <c r="G5927" s="3">
        <f t="shared" si="2494"/>
        <v>44165</v>
      </c>
      <c r="H5927" s="2">
        <f t="shared" ca="1" si="2495"/>
        <v>88</v>
      </c>
      <c r="I5927" t="str">
        <f t="shared" si="2496"/>
        <v>COPPER</v>
      </c>
      <c r="J5927">
        <f t="shared" si="2497"/>
        <v>3.19</v>
      </c>
      <c r="K5927">
        <f t="shared" si="2498"/>
        <v>3.48</v>
      </c>
      <c r="L5927">
        <f t="shared" si="2499"/>
        <v>3.335</v>
      </c>
      <c r="M5927">
        <f t="shared" si="2500"/>
        <v>0.14500000000000002</v>
      </c>
      <c r="N5927">
        <f t="shared" si="2490"/>
        <v>0.29000000000000004</v>
      </c>
      <c r="O5927">
        <f t="shared" si="2501"/>
        <v>3.42</v>
      </c>
      <c r="P5927">
        <f t="shared" si="2502"/>
        <v>0.58620689655172387</v>
      </c>
      <c r="Q5927" t="str">
        <f t="shared" si="2491"/>
        <v>6.73% | 1.75%</v>
      </c>
      <c r="R5927" t="str">
        <f t="shared" si="2503"/>
        <v>BULLISH</v>
      </c>
      <c r="S5927">
        <f t="shared" si="2504"/>
        <v>1</v>
      </c>
    </row>
    <row r="5928" spans="1:19" hidden="1" x14ac:dyDescent="0.25">
      <c r="A5928" s="5" t="str">
        <f t="shared" si="2492"/>
        <v>44165MSFT</v>
      </c>
      <c r="B5928" s="6" t="s">
        <v>27</v>
      </c>
      <c r="C5928" s="6">
        <v>209</v>
      </c>
      <c r="D5928" s="6">
        <v>220</v>
      </c>
      <c r="E5928" s="6">
        <v>215</v>
      </c>
      <c r="F5928" t="str">
        <f t="shared" si="2493"/>
        <v>MON</v>
      </c>
      <c r="G5928" s="3">
        <f t="shared" si="2494"/>
        <v>44165</v>
      </c>
      <c r="H5928" s="2">
        <f t="shared" ca="1" si="2495"/>
        <v>88</v>
      </c>
      <c r="I5928" t="str">
        <f t="shared" si="2496"/>
        <v>MSFT</v>
      </c>
      <c r="J5928">
        <f t="shared" si="2497"/>
        <v>209</v>
      </c>
      <c r="K5928">
        <f t="shared" si="2498"/>
        <v>220</v>
      </c>
      <c r="L5928">
        <f t="shared" si="2499"/>
        <v>214.5</v>
      </c>
      <c r="M5928">
        <f t="shared" si="2500"/>
        <v>5.5</v>
      </c>
      <c r="N5928">
        <f t="shared" si="2490"/>
        <v>11</v>
      </c>
      <c r="O5928">
        <f t="shared" si="2501"/>
        <v>215</v>
      </c>
      <c r="P5928">
        <f t="shared" si="2502"/>
        <v>9.0909090909090912E-2</v>
      </c>
      <c r="Q5928" t="str">
        <f t="shared" si="2491"/>
        <v>2.79% | 2.33%</v>
      </c>
      <c r="R5928" t="str">
        <f t="shared" si="2503"/>
        <v>BULLISH</v>
      </c>
      <c r="S5928">
        <f t="shared" si="2504"/>
        <v>1</v>
      </c>
    </row>
    <row r="5929" spans="1:19" hidden="1" x14ac:dyDescent="0.25">
      <c r="A5929" s="5" t="str">
        <f t="shared" si="2492"/>
        <v>44165AAPL</v>
      </c>
      <c r="B5929" s="6" t="s">
        <v>28</v>
      </c>
      <c r="C5929" s="6">
        <v>113</v>
      </c>
      <c r="D5929" s="6">
        <v>122</v>
      </c>
      <c r="E5929" s="6">
        <v>116</v>
      </c>
      <c r="F5929" t="str">
        <f t="shared" si="2493"/>
        <v>MON</v>
      </c>
      <c r="G5929" s="3">
        <f t="shared" si="2494"/>
        <v>44165</v>
      </c>
      <c r="H5929" s="2">
        <f t="shared" ca="1" si="2495"/>
        <v>88</v>
      </c>
      <c r="I5929" t="str">
        <f t="shared" si="2496"/>
        <v>AAPL</v>
      </c>
      <c r="J5929">
        <f t="shared" si="2497"/>
        <v>113</v>
      </c>
      <c r="K5929">
        <f t="shared" si="2498"/>
        <v>122</v>
      </c>
      <c r="L5929">
        <f t="shared" si="2499"/>
        <v>117.5</v>
      </c>
      <c r="M5929">
        <f t="shared" si="2500"/>
        <v>4.5</v>
      </c>
      <c r="N5929">
        <f t="shared" si="2490"/>
        <v>9</v>
      </c>
      <c r="O5929">
        <f t="shared" si="2501"/>
        <v>116</v>
      </c>
      <c r="P5929">
        <f t="shared" si="2502"/>
        <v>-0.33333333333333331</v>
      </c>
      <c r="Q5929" t="str">
        <f t="shared" si="2491"/>
        <v>2.59% | 5.17%</v>
      </c>
      <c r="R5929" t="str">
        <f t="shared" si="2503"/>
        <v>BULLISH</v>
      </c>
      <c r="S5929">
        <f t="shared" si="2504"/>
        <v>1</v>
      </c>
    </row>
    <row r="5930" spans="1:19" hidden="1" x14ac:dyDescent="0.25">
      <c r="A5930" s="5" t="str">
        <f t="shared" si="2492"/>
        <v>44165AMZN</v>
      </c>
      <c r="B5930" s="6" t="s">
        <v>69</v>
      </c>
      <c r="C5930" s="6">
        <v>3065</v>
      </c>
      <c r="D5930" s="6">
        <v>3210</v>
      </c>
      <c r="E5930" s="6">
        <v>3195</v>
      </c>
      <c r="F5930" t="str">
        <f t="shared" si="2493"/>
        <v>MON</v>
      </c>
      <c r="G5930" s="3">
        <f t="shared" si="2494"/>
        <v>44165</v>
      </c>
      <c r="H5930" s="2">
        <f t="shared" ca="1" si="2495"/>
        <v>88</v>
      </c>
      <c r="I5930" t="str">
        <f t="shared" si="2496"/>
        <v>AMZN</v>
      </c>
      <c r="J5930">
        <f t="shared" si="2497"/>
        <v>3065</v>
      </c>
      <c r="K5930">
        <f t="shared" si="2498"/>
        <v>3210</v>
      </c>
      <c r="L5930">
        <f t="shared" si="2499"/>
        <v>3137.5</v>
      </c>
      <c r="M5930">
        <f t="shared" si="2500"/>
        <v>72.5</v>
      </c>
      <c r="N5930">
        <f t="shared" si="2490"/>
        <v>145</v>
      </c>
      <c r="O5930">
        <f t="shared" si="2501"/>
        <v>3195</v>
      </c>
      <c r="P5930">
        <f t="shared" si="2502"/>
        <v>0.7931034482758621</v>
      </c>
      <c r="Q5930" t="str">
        <f t="shared" si="2491"/>
        <v>4.07% | 0.47%</v>
      </c>
      <c r="R5930" t="str">
        <f t="shared" si="2503"/>
        <v>NEUTRAL</v>
      </c>
      <c r="S5930">
        <f t="shared" si="2504"/>
        <v>0</v>
      </c>
    </row>
    <row r="5931" spans="1:19" hidden="1" x14ac:dyDescent="0.25">
      <c r="A5931" s="5" t="str">
        <f t="shared" si="2492"/>
        <v>44165FB</v>
      </c>
      <c r="B5931" s="6" t="s">
        <v>30</v>
      </c>
      <c r="C5931" s="6">
        <v>265</v>
      </c>
      <c r="D5931" s="6">
        <v>283</v>
      </c>
      <c r="E5931" s="6">
        <v>277</v>
      </c>
      <c r="F5931" t="str">
        <f t="shared" si="2493"/>
        <v>MON</v>
      </c>
      <c r="G5931" s="3">
        <f t="shared" si="2494"/>
        <v>44165</v>
      </c>
      <c r="H5931" s="2">
        <f t="shared" ca="1" si="2495"/>
        <v>88</v>
      </c>
      <c r="I5931" t="str">
        <f t="shared" si="2496"/>
        <v>FB</v>
      </c>
      <c r="J5931">
        <f t="shared" si="2497"/>
        <v>265</v>
      </c>
      <c r="K5931">
        <f t="shared" si="2498"/>
        <v>283</v>
      </c>
      <c r="L5931">
        <f t="shared" si="2499"/>
        <v>274</v>
      </c>
      <c r="M5931">
        <f t="shared" si="2500"/>
        <v>9</v>
      </c>
      <c r="N5931">
        <f t="shared" si="2490"/>
        <v>18</v>
      </c>
      <c r="O5931">
        <f t="shared" si="2501"/>
        <v>277</v>
      </c>
      <c r="P5931">
        <f t="shared" si="2502"/>
        <v>0.33333333333333331</v>
      </c>
      <c r="Q5931" t="str">
        <f t="shared" si="2491"/>
        <v>4.33% | 2.17%</v>
      </c>
      <c r="R5931" t="str">
        <f t="shared" si="2503"/>
        <v>BULLISH</v>
      </c>
      <c r="S5931">
        <f t="shared" si="2504"/>
        <v>1</v>
      </c>
    </row>
    <row r="5932" spans="1:19" hidden="1" x14ac:dyDescent="0.25">
      <c r="A5932" s="5" t="str">
        <f t="shared" si="2492"/>
        <v>44165GOOGL</v>
      </c>
      <c r="B5932" s="6" t="s">
        <v>31</v>
      </c>
      <c r="C5932" s="6">
        <v>1722</v>
      </c>
      <c r="D5932" s="6">
        <v>1795</v>
      </c>
      <c r="E5932" s="6">
        <v>1787</v>
      </c>
      <c r="F5932" t="str">
        <f t="shared" si="2493"/>
        <v>MON</v>
      </c>
      <c r="G5932" s="3">
        <f t="shared" si="2494"/>
        <v>44165</v>
      </c>
      <c r="H5932" s="2">
        <f t="shared" ca="1" si="2495"/>
        <v>88</v>
      </c>
      <c r="I5932" t="str">
        <f t="shared" si="2496"/>
        <v>GOOGL</v>
      </c>
      <c r="J5932">
        <f t="shared" si="2497"/>
        <v>1722</v>
      </c>
      <c r="K5932">
        <f t="shared" si="2498"/>
        <v>1795</v>
      </c>
      <c r="L5932">
        <f t="shared" si="2499"/>
        <v>1758.5</v>
      </c>
      <c r="M5932">
        <f t="shared" si="2500"/>
        <v>36.5</v>
      </c>
      <c r="N5932">
        <f t="shared" si="2490"/>
        <v>73</v>
      </c>
      <c r="O5932">
        <f t="shared" si="2501"/>
        <v>1787</v>
      </c>
      <c r="P5932">
        <f t="shared" si="2502"/>
        <v>0.78082191780821919</v>
      </c>
      <c r="Q5932" t="str">
        <f t="shared" si="2491"/>
        <v>3.64% | 0.45%</v>
      </c>
      <c r="R5932" t="str">
        <f t="shared" si="2503"/>
        <v>BULLISH</v>
      </c>
      <c r="S5932">
        <f t="shared" si="2504"/>
        <v>1</v>
      </c>
    </row>
    <row r="5933" spans="1:19" hidden="1" x14ac:dyDescent="0.25">
      <c r="A5933" s="5" t="str">
        <f t="shared" si="2492"/>
        <v>44165NFLX</v>
      </c>
      <c r="B5933" s="6" t="s">
        <v>81</v>
      </c>
      <c r="C5933" s="6">
        <v>472</v>
      </c>
      <c r="D5933" s="6">
        <v>494</v>
      </c>
      <c r="E5933" s="6">
        <v>491</v>
      </c>
      <c r="F5933" t="str">
        <f t="shared" si="2493"/>
        <v>MON</v>
      </c>
      <c r="G5933" s="3">
        <f t="shared" si="2494"/>
        <v>44165</v>
      </c>
      <c r="H5933" s="2">
        <f t="shared" ca="1" si="2495"/>
        <v>88</v>
      </c>
      <c r="I5933" t="str">
        <f t="shared" si="2496"/>
        <v>NFLX</v>
      </c>
      <c r="J5933">
        <f t="shared" si="2497"/>
        <v>472</v>
      </c>
      <c r="K5933">
        <f t="shared" si="2498"/>
        <v>494</v>
      </c>
      <c r="L5933">
        <f t="shared" si="2499"/>
        <v>483</v>
      </c>
      <c r="M5933">
        <f t="shared" si="2500"/>
        <v>11</v>
      </c>
      <c r="N5933">
        <f t="shared" si="2490"/>
        <v>22</v>
      </c>
      <c r="O5933">
        <f t="shared" si="2501"/>
        <v>491</v>
      </c>
      <c r="P5933">
        <f t="shared" si="2502"/>
        <v>0.72727272727272729</v>
      </c>
      <c r="Q5933" t="str">
        <f t="shared" si="2491"/>
        <v>3.87% | 0.61%</v>
      </c>
      <c r="R5933" t="str">
        <f t="shared" si="2503"/>
        <v>BEARISH</v>
      </c>
      <c r="S5933">
        <f t="shared" si="2504"/>
        <v>-1</v>
      </c>
    </row>
    <row r="5934" spans="1:19" x14ac:dyDescent="0.25">
      <c r="A5934" s="5" t="str">
        <f t="shared" si="2492"/>
        <v>44165TSLA</v>
      </c>
      <c r="B5934" s="6" t="s">
        <v>33</v>
      </c>
      <c r="C5934" s="6">
        <v>507</v>
      </c>
      <c r="D5934" s="6">
        <v>619</v>
      </c>
      <c r="E5934" s="6">
        <v>585</v>
      </c>
      <c r="F5934" t="str">
        <f t="shared" si="2493"/>
        <v>MON</v>
      </c>
      <c r="G5934" s="3">
        <f t="shared" si="2494"/>
        <v>44165</v>
      </c>
      <c r="H5934" s="2">
        <f t="shared" ca="1" si="2495"/>
        <v>88</v>
      </c>
      <c r="I5934" t="str">
        <f t="shared" si="2496"/>
        <v>TSLA</v>
      </c>
      <c r="J5934">
        <f t="shared" si="2497"/>
        <v>507</v>
      </c>
      <c r="K5934">
        <f t="shared" si="2498"/>
        <v>619</v>
      </c>
      <c r="L5934">
        <f t="shared" si="2499"/>
        <v>563</v>
      </c>
      <c r="M5934">
        <f t="shared" si="2500"/>
        <v>56</v>
      </c>
      <c r="N5934">
        <f t="shared" si="2490"/>
        <v>112</v>
      </c>
      <c r="O5934">
        <f t="shared" si="2501"/>
        <v>585</v>
      </c>
      <c r="P5934">
        <f t="shared" si="2502"/>
        <v>0.39285714285714285</v>
      </c>
      <c r="Q5934" t="str">
        <f t="shared" si="2491"/>
        <v>13.33% | 5.81%</v>
      </c>
      <c r="R5934" t="str">
        <f t="shared" si="2503"/>
        <v>BULLISH</v>
      </c>
      <c r="S5934">
        <f t="shared" si="2504"/>
        <v>1</v>
      </c>
    </row>
    <row r="5935" spans="1:19" hidden="1" x14ac:dyDescent="0.25">
      <c r="A5935" s="5" t="str">
        <f t="shared" si="2492"/>
        <v>44165NYXBT</v>
      </c>
      <c r="B5935" s="6" t="s">
        <v>60</v>
      </c>
      <c r="C5935" s="6">
        <v>15793</v>
      </c>
      <c r="D5935" s="6">
        <v>19978</v>
      </c>
      <c r="E5935" s="6">
        <v>16563</v>
      </c>
      <c r="F5935" t="str">
        <f t="shared" si="2493"/>
        <v>MON</v>
      </c>
      <c r="G5935" s="3">
        <f t="shared" si="2494"/>
        <v>44165</v>
      </c>
      <c r="H5935" s="2">
        <f t="shared" ca="1" si="2495"/>
        <v>88</v>
      </c>
      <c r="I5935" t="str">
        <f t="shared" si="2496"/>
        <v>NYXBT</v>
      </c>
      <c r="J5935">
        <f t="shared" si="2497"/>
        <v>15793</v>
      </c>
      <c r="K5935">
        <f t="shared" si="2498"/>
        <v>19978</v>
      </c>
      <c r="L5935">
        <f t="shared" si="2499"/>
        <v>17885.5</v>
      </c>
      <c r="M5935">
        <f t="shared" si="2500"/>
        <v>2092.5</v>
      </c>
      <c r="N5935">
        <f t="shared" si="2490"/>
        <v>4185</v>
      </c>
      <c r="O5935">
        <f t="shared" si="2501"/>
        <v>16563</v>
      </c>
      <c r="P5935">
        <f t="shared" si="2502"/>
        <v>-0.63201911589008364</v>
      </c>
      <c r="Q5935" t="str">
        <f t="shared" si="2491"/>
        <v>4.65% | 20.62%</v>
      </c>
      <c r="R5935" t="str">
        <f t="shared" si="2503"/>
        <v>BULLISH</v>
      </c>
      <c r="S5935">
        <f t="shared" si="2504"/>
        <v>1</v>
      </c>
    </row>
    <row r="5936" spans="1:19" hidden="1" x14ac:dyDescent="0.25">
      <c r="A5936" s="5" t="str">
        <f t="shared" si="2492"/>
        <v>44166UST10Y</v>
      </c>
      <c r="B5936" s="6" t="s">
        <v>246</v>
      </c>
      <c r="C5936" s="6">
        <v>0.92</v>
      </c>
      <c r="D5936" s="6">
        <v>0.82</v>
      </c>
      <c r="E5936" s="6">
        <v>0.84</v>
      </c>
      <c r="F5936" t="str">
        <f t="shared" si="2493"/>
        <v>TUE</v>
      </c>
      <c r="G5936" s="1">
        <f>DATE(2020,12,1)</f>
        <v>44166</v>
      </c>
      <c r="H5936" s="2">
        <f t="shared" ca="1" si="2495"/>
        <v>87</v>
      </c>
      <c r="I5936" t="str">
        <f t="shared" si="2496"/>
        <v>UST10Y</v>
      </c>
      <c r="J5936">
        <f t="shared" si="2497"/>
        <v>0.92</v>
      </c>
      <c r="K5936">
        <f t="shared" si="2498"/>
        <v>0.82</v>
      </c>
      <c r="L5936">
        <f t="shared" si="2499"/>
        <v>0.87</v>
      </c>
      <c r="M5936">
        <f t="shared" si="2500"/>
        <v>5.0000000000000044E-2</v>
      </c>
      <c r="N5936">
        <f t="shared" si="2490"/>
        <v>0.10000000000000009</v>
      </c>
      <c r="O5936">
        <f t="shared" si="2501"/>
        <v>0.84</v>
      </c>
      <c r="P5936">
        <f t="shared" si="2502"/>
        <v>-0.6</v>
      </c>
      <c r="Q5936" t="str">
        <f t="shared" si="2491"/>
        <v>9.52% | 2.38%</v>
      </c>
      <c r="R5936" t="str">
        <f t="shared" si="2503"/>
        <v>NEUTRAL</v>
      </c>
      <c r="S5936">
        <f t="shared" si="2504"/>
        <v>0</v>
      </c>
    </row>
    <row r="5937" spans="1:19" hidden="1" x14ac:dyDescent="0.25">
      <c r="A5937" s="5" t="str">
        <f t="shared" si="2492"/>
        <v>44166UST2Y</v>
      </c>
      <c r="B5937" s="6" t="s">
        <v>253</v>
      </c>
      <c r="C5937" s="6">
        <v>0.19</v>
      </c>
      <c r="D5937" s="6">
        <v>0.14000000000000001</v>
      </c>
      <c r="E5937" s="6">
        <v>0.16</v>
      </c>
      <c r="F5937" t="str">
        <f t="shared" ref="F5937:F5967" si="2505">UPPER(TEXT(G5937,"ddd"))</f>
        <v>TUE</v>
      </c>
      <c r="G5937" s="1">
        <f t="shared" ref="G5937:G5966" si="2506">DATE(2020,12,1)</f>
        <v>44166</v>
      </c>
      <c r="H5937" s="2">
        <f t="shared" ref="H5937:H5967" ca="1" si="2507">TODAY()-G5937</f>
        <v>87</v>
      </c>
      <c r="I5937" t="str">
        <f t="shared" ref="I5937:I5967" si="2508">TRIM(LEFT(B5937,FIND(" ",B5937,1)))</f>
        <v>UST2Y</v>
      </c>
      <c r="J5937">
        <f t="shared" ref="J5937:J5967" si="2509">C5937</f>
        <v>0.19</v>
      </c>
      <c r="K5937">
        <f t="shared" ref="K5937:K5967" si="2510">D5937</f>
        <v>0.14000000000000001</v>
      </c>
      <c r="L5937">
        <f t="shared" ref="L5937:L5967" si="2511">AVERAGE(J5937:K5937)</f>
        <v>0.16500000000000001</v>
      </c>
      <c r="M5937">
        <f t="shared" ref="M5937:M5967" si="2512">_xlfn.STDEV.P(J5937:K5937)</f>
        <v>2.4999999999999942E-2</v>
      </c>
      <c r="N5937">
        <f t="shared" si="2490"/>
        <v>4.9999999999999989E-2</v>
      </c>
      <c r="O5937">
        <f t="shared" ref="O5937:O5967" si="2513">E5937</f>
        <v>0.16</v>
      </c>
      <c r="P5937">
        <f t="shared" ref="P5937:P5967" si="2514">(O5937-L5937)/M5937</f>
        <v>-0.20000000000000065</v>
      </c>
      <c r="Q5937" t="str">
        <f t="shared" si="2491"/>
        <v>18.75% | 12.5%</v>
      </c>
      <c r="R5937" t="str">
        <f t="shared" ref="R5937:R5967" si="2515">MID(B5937,FIND("(",B5937,1)+1,FIND(")",B5937,1)-FIND("(",B5937,1)-1)</f>
        <v>NEUTRAL</v>
      </c>
      <c r="S5937">
        <f t="shared" ref="S5937:S5967" si="2516">IF(R5937="BEARISH",-1,IF(R5937="NEUTRAL",0,IF(R5937="BULLISH",1,99)))</f>
        <v>0</v>
      </c>
    </row>
    <row r="5938" spans="1:19" hidden="1" x14ac:dyDescent="0.25">
      <c r="A5938" s="5" t="str">
        <f t="shared" si="2492"/>
        <v>44166SPX</v>
      </c>
      <c r="B5938" s="6" t="s">
        <v>93</v>
      </c>
      <c r="C5938" s="6">
        <v>3544</v>
      </c>
      <c r="D5938" s="6">
        <v>3664</v>
      </c>
      <c r="E5938" s="6">
        <v>3621</v>
      </c>
      <c r="F5938" t="str">
        <f t="shared" si="2505"/>
        <v>TUE</v>
      </c>
      <c r="G5938" s="1">
        <f t="shared" si="2506"/>
        <v>44166</v>
      </c>
      <c r="H5938" s="2">
        <f t="shared" ca="1" si="2507"/>
        <v>87</v>
      </c>
      <c r="I5938" t="str">
        <f t="shared" si="2508"/>
        <v>SPX</v>
      </c>
      <c r="J5938">
        <f t="shared" si="2509"/>
        <v>3544</v>
      </c>
      <c r="K5938">
        <f t="shared" si="2510"/>
        <v>3664</v>
      </c>
      <c r="L5938">
        <f t="shared" si="2511"/>
        <v>3604</v>
      </c>
      <c r="M5938">
        <f t="shared" si="2512"/>
        <v>60</v>
      </c>
      <c r="N5938">
        <f t="shared" si="2490"/>
        <v>120</v>
      </c>
      <c r="O5938">
        <f t="shared" si="2513"/>
        <v>3621</v>
      </c>
      <c r="P5938">
        <f t="shared" si="2514"/>
        <v>0.28333333333333333</v>
      </c>
      <c r="Q5938" t="str">
        <f t="shared" si="2491"/>
        <v>2.13% | 1.19%</v>
      </c>
      <c r="R5938" t="str">
        <f t="shared" si="2515"/>
        <v>BULLISH</v>
      </c>
      <c r="S5938">
        <f t="shared" si="2516"/>
        <v>1</v>
      </c>
    </row>
    <row r="5939" spans="1:19" hidden="1" x14ac:dyDescent="0.25">
      <c r="A5939" s="5" t="str">
        <f t="shared" si="2492"/>
        <v>44166RUT</v>
      </c>
      <c r="B5939" s="6" t="s">
        <v>247</v>
      </c>
      <c r="C5939" s="6">
        <v>1750</v>
      </c>
      <c r="D5939" s="6">
        <v>1874</v>
      </c>
      <c r="E5939" s="6">
        <v>1819</v>
      </c>
      <c r="F5939" t="str">
        <f t="shared" si="2505"/>
        <v>TUE</v>
      </c>
      <c r="G5939" s="1">
        <f t="shared" si="2506"/>
        <v>44166</v>
      </c>
      <c r="H5939" s="2">
        <f t="shared" ca="1" si="2507"/>
        <v>87</v>
      </c>
      <c r="I5939" t="str">
        <f t="shared" si="2508"/>
        <v>RUT</v>
      </c>
      <c r="J5939">
        <f t="shared" si="2509"/>
        <v>1750</v>
      </c>
      <c r="K5939">
        <f t="shared" si="2510"/>
        <v>1874</v>
      </c>
      <c r="L5939">
        <f t="shared" si="2511"/>
        <v>1812</v>
      </c>
      <c r="M5939">
        <f t="shared" si="2512"/>
        <v>62</v>
      </c>
      <c r="N5939">
        <f t="shared" si="2490"/>
        <v>124</v>
      </c>
      <c r="O5939">
        <f t="shared" si="2513"/>
        <v>1819</v>
      </c>
      <c r="P5939">
        <f t="shared" si="2514"/>
        <v>0.11290322580645161</v>
      </c>
      <c r="Q5939" t="str">
        <f t="shared" si="2491"/>
        <v>3.79% | 3.02%</v>
      </c>
      <c r="R5939" t="str">
        <f t="shared" si="2515"/>
        <v>BULLISH</v>
      </c>
      <c r="S5939">
        <f t="shared" si="2516"/>
        <v>1</v>
      </c>
    </row>
    <row r="5940" spans="1:19" hidden="1" x14ac:dyDescent="0.25">
      <c r="A5940" s="5" t="str">
        <f t="shared" si="2492"/>
        <v>44166COMPQ</v>
      </c>
      <c r="B5940" s="6" t="s">
        <v>8</v>
      </c>
      <c r="C5940" s="6">
        <v>11762</v>
      </c>
      <c r="D5940" s="6">
        <v>12292</v>
      </c>
      <c r="E5940" s="6">
        <v>12198</v>
      </c>
      <c r="F5940" t="str">
        <f t="shared" si="2505"/>
        <v>TUE</v>
      </c>
      <c r="G5940" s="1">
        <f t="shared" si="2506"/>
        <v>44166</v>
      </c>
      <c r="H5940" s="2">
        <f t="shared" ca="1" si="2507"/>
        <v>87</v>
      </c>
      <c r="I5940" t="str">
        <f t="shared" si="2508"/>
        <v>COMPQ</v>
      </c>
      <c r="J5940">
        <f t="shared" si="2509"/>
        <v>11762</v>
      </c>
      <c r="K5940">
        <f t="shared" si="2510"/>
        <v>12292</v>
      </c>
      <c r="L5940">
        <f t="shared" si="2511"/>
        <v>12027</v>
      </c>
      <c r="M5940">
        <f t="shared" si="2512"/>
        <v>265</v>
      </c>
      <c r="N5940">
        <f t="shared" si="2490"/>
        <v>530</v>
      </c>
      <c r="O5940">
        <f t="shared" si="2513"/>
        <v>12198</v>
      </c>
      <c r="P5940">
        <f t="shared" si="2514"/>
        <v>0.6452830188679245</v>
      </c>
      <c r="Q5940" t="str">
        <f t="shared" si="2491"/>
        <v>3.57% | 0.77%</v>
      </c>
      <c r="R5940" t="str">
        <f t="shared" si="2515"/>
        <v>BULLISH</v>
      </c>
      <c r="S5940">
        <f t="shared" si="2516"/>
        <v>1</v>
      </c>
    </row>
    <row r="5941" spans="1:19" hidden="1" x14ac:dyDescent="0.25">
      <c r="A5941" s="5" t="str">
        <f t="shared" si="2492"/>
        <v>44166XLK</v>
      </c>
      <c r="B5941" s="6" t="s">
        <v>10</v>
      </c>
      <c r="C5941" s="6">
        <v>119.9</v>
      </c>
      <c r="D5941" s="6">
        <v>124.42</v>
      </c>
      <c r="E5941" s="6">
        <v>123.48</v>
      </c>
      <c r="F5941" t="str">
        <f t="shared" si="2505"/>
        <v>TUE</v>
      </c>
      <c r="G5941" s="1">
        <f t="shared" si="2506"/>
        <v>44166</v>
      </c>
      <c r="H5941" s="2">
        <f t="shared" ca="1" si="2507"/>
        <v>87</v>
      </c>
      <c r="I5941" t="str">
        <f t="shared" si="2508"/>
        <v>XLK</v>
      </c>
      <c r="J5941">
        <f t="shared" si="2509"/>
        <v>119.9</v>
      </c>
      <c r="K5941">
        <f t="shared" si="2510"/>
        <v>124.42</v>
      </c>
      <c r="L5941">
        <f t="shared" si="2511"/>
        <v>122.16</v>
      </c>
      <c r="M5941">
        <f t="shared" si="2512"/>
        <v>2.259999999999998</v>
      </c>
      <c r="N5941">
        <f t="shared" si="2490"/>
        <v>4.519999999999996</v>
      </c>
      <c r="O5941">
        <f t="shared" si="2513"/>
        <v>123.48</v>
      </c>
      <c r="P5941">
        <f t="shared" si="2514"/>
        <v>0.58407079646018079</v>
      </c>
      <c r="Q5941" t="str">
        <f t="shared" si="2491"/>
        <v>2.9% | 0.76%</v>
      </c>
      <c r="R5941" t="str">
        <f t="shared" si="2515"/>
        <v>BULLISH</v>
      </c>
      <c r="S5941">
        <f t="shared" si="2516"/>
        <v>1</v>
      </c>
    </row>
    <row r="5942" spans="1:19" hidden="1" x14ac:dyDescent="0.25">
      <c r="A5942" s="5" t="str">
        <f t="shared" si="2492"/>
        <v>44166XLE</v>
      </c>
      <c r="B5942" s="6" t="s">
        <v>250</v>
      </c>
      <c r="C5942" s="6">
        <v>34.44</v>
      </c>
      <c r="D5942" s="6">
        <v>40.92</v>
      </c>
      <c r="E5942" s="6">
        <v>36.76</v>
      </c>
      <c r="F5942" t="str">
        <f t="shared" si="2505"/>
        <v>TUE</v>
      </c>
      <c r="G5942" s="1">
        <f t="shared" si="2506"/>
        <v>44166</v>
      </c>
      <c r="H5942" s="2">
        <f t="shared" ca="1" si="2507"/>
        <v>87</v>
      </c>
      <c r="I5942" t="str">
        <f t="shared" si="2508"/>
        <v>XLE</v>
      </c>
      <c r="J5942">
        <f t="shared" si="2509"/>
        <v>34.44</v>
      </c>
      <c r="K5942">
        <f t="shared" si="2510"/>
        <v>40.92</v>
      </c>
      <c r="L5942">
        <f t="shared" si="2511"/>
        <v>37.68</v>
      </c>
      <c r="M5942">
        <f t="shared" si="2512"/>
        <v>3.240000000000002</v>
      </c>
      <c r="N5942">
        <f t="shared" si="2490"/>
        <v>6.480000000000004</v>
      </c>
      <c r="O5942">
        <f t="shared" si="2513"/>
        <v>36.76</v>
      </c>
      <c r="P5942">
        <f t="shared" si="2514"/>
        <v>-0.28395061728395099</v>
      </c>
      <c r="Q5942" t="str">
        <f t="shared" si="2491"/>
        <v>6.31% | 11.32%</v>
      </c>
      <c r="R5942" t="str">
        <f t="shared" si="2515"/>
        <v>BULLISH</v>
      </c>
      <c r="S5942">
        <f t="shared" si="2516"/>
        <v>1</v>
      </c>
    </row>
    <row r="5943" spans="1:19" hidden="1" x14ac:dyDescent="0.25">
      <c r="A5943" s="5" t="str">
        <f t="shared" si="2492"/>
        <v>44166XLU</v>
      </c>
      <c r="B5943" s="6" t="s">
        <v>82</v>
      </c>
      <c r="C5943" s="6">
        <v>62.09</v>
      </c>
      <c r="D5943" s="6">
        <v>65.349999999999994</v>
      </c>
      <c r="E5943" s="6">
        <v>62.84</v>
      </c>
      <c r="F5943" t="str">
        <f t="shared" si="2505"/>
        <v>TUE</v>
      </c>
      <c r="G5943" s="1">
        <f t="shared" si="2506"/>
        <v>44166</v>
      </c>
      <c r="H5943" s="2">
        <f t="shared" ca="1" si="2507"/>
        <v>87</v>
      </c>
      <c r="I5943" t="str">
        <f t="shared" si="2508"/>
        <v>XLU</v>
      </c>
      <c r="J5943">
        <f t="shared" si="2509"/>
        <v>62.09</v>
      </c>
      <c r="K5943">
        <f t="shared" si="2510"/>
        <v>65.349999999999994</v>
      </c>
      <c r="L5943">
        <f t="shared" si="2511"/>
        <v>63.72</v>
      </c>
      <c r="M5943">
        <f t="shared" si="2512"/>
        <v>1.6299999999999955</v>
      </c>
      <c r="N5943">
        <f t="shared" si="2490"/>
        <v>3.2599999999999909</v>
      </c>
      <c r="O5943">
        <f t="shared" si="2513"/>
        <v>62.84</v>
      </c>
      <c r="P5943">
        <f t="shared" si="2514"/>
        <v>-0.5398773006134957</v>
      </c>
      <c r="Q5943" t="str">
        <f t="shared" si="2491"/>
        <v>1.19% | 3.99%</v>
      </c>
      <c r="R5943" t="str">
        <f t="shared" si="2515"/>
        <v>BEARISH</v>
      </c>
      <c r="S5943">
        <f t="shared" si="2516"/>
        <v>-1</v>
      </c>
    </row>
    <row r="5944" spans="1:19" hidden="1" x14ac:dyDescent="0.25">
      <c r="A5944" s="5" t="str">
        <f t="shared" si="2492"/>
        <v>44166GDX</v>
      </c>
      <c r="B5944" s="6" t="s">
        <v>254</v>
      </c>
      <c r="C5944" s="6">
        <v>32.479999999999997</v>
      </c>
      <c r="D5944" s="6">
        <v>36.08</v>
      </c>
      <c r="E5944" s="6">
        <v>34.68</v>
      </c>
      <c r="F5944" t="str">
        <f t="shared" si="2505"/>
        <v>TUE</v>
      </c>
      <c r="G5944" s="1">
        <f t="shared" si="2506"/>
        <v>44166</v>
      </c>
      <c r="H5944" s="2">
        <f t="shared" ca="1" si="2507"/>
        <v>87</v>
      </c>
      <c r="I5944" t="str">
        <f t="shared" si="2508"/>
        <v>GDX</v>
      </c>
      <c r="J5944">
        <f t="shared" si="2509"/>
        <v>32.479999999999997</v>
      </c>
      <c r="K5944">
        <f t="shared" si="2510"/>
        <v>36.08</v>
      </c>
      <c r="L5944">
        <f t="shared" si="2511"/>
        <v>34.28</v>
      </c>
      <c r="M5944">
        <f t="shared" si="2512"/>
        <v>1.8000000000000007</v>
      </c>
      <c r="N5944">
        <f t="shared" si="2490"/>
        <v>3.6000000000000014</v>
      </c>
      <c r="O5944">
        <f t="shared" si="2513"/>
        <v>34.68</v>
      </c>
      <c r="P5944">
        <f t="shared" si="2514"/>
        <v>0.22222222222222135</v>
      </c>
      <c r="Q5944" t="str">
        <f t="shared" si="2491"/>
        <v>6.34% | 4.04%</v>
      </c>
      <c r="R5944" t="str">
        <f t="shared" si="2515"/>
        <v>BEARISH</v>
      </c>
      <c r="S5944">
        <f t="shared" si="2516"/>
        <v>-1</v>
      </c>
    </row>
    <row r="5945" spans="1:19" hidden="1" x14ac:dyDescent="0.25">
      <c r="A5945" s="5" t="str">
        <f t="shared" si="2492"/>
        <v>44166SSEC</v>
      </c>
      <c r="B5945" s="6" t="s">
        <v>104</v>
      </c>
      <c r="C5945" s="6">
        <v>3345</v>
      </c>
      <c r="D5945" s="6">
        <v>3466</v>
      </c>
      <c r="E5945" s="6">
        <v>3451</v>
      </c>
      <c r="F5945" t="str">
        <f t="shared" si="2505"/>
        <v>TUE</v>
      </c>
      <c r="G5945" s="1">
        <f t="shared" si="2506"/>
        <v>44166</v>
      </c>
      <c r="H5945" s="2">
        <f t="shared" ca="1" si="2507"/>
        <v>87</v>
      </c>
      <c r="I5945" t="str">
        <f t="shared" si="2508"/>
        <v>SSEC</v>
      </c>
      <c r="J5945">
        <f t="shared" si="2509"/>
        <v>3345</v>
      </c>
      <c r="K5945">
        <f t="shared" si="2510"/>
        <v>3466</v>
      </c>
      <c r="L5945">
        <f t="shared" si="2511"/>
        <v>3405.5</v>
      </c>
      <c r="M5945">
        <f t="shared" si="2512"/>
        <v>60.5</v>
      </c>
      <c r="N5945">
        <f t="shared" si="2490"/>
        <v>121</v>
      </c>
      <c r="O5945">
        <f t="shared" si="2513"/>
        <v>3451</v>
      </c>
      <c r="P5945">
        <f t="shared" si="2514"/>
        <v>0.75206611570247939</v>
      </c>
      <c r="Q5945" t="str">
        <f t="shared" si="2491"/>
        <v>3.07% | 0.43%</v>
      </c>
      <c r="R5945" t="str">
        <f t="shared" si="2515"/>
        <v>BULLISH</v>
      </c>
      <c r="S5945">
        <f t="shared" si="2516"/>
        <v>1</v>
      </c>
    </row>
    <row r="5946" spans="1:19" hidden="1" x14ac:dyDescent="0.25">
      <c r="A5946" s="5" t="str">
        <f t="shared" si="2492"/>
        <v>44166NIKK</v>
      </c>
      <c r="B5946" s="6" t="s">
        <v>91</v>
      </c>
      <c r="C5946" s="6">
        <v>26101</v>
      </c>
      <c r="D5946" s="6">
        <v>26978</v>
      </c>
      <c r="E5946" s="6">
        <v>26787</v>
      </c>
      <c r="F5946" t="str">
        <f t="shared" si="2505"/>
        <v>TUE</v>
      </c>
      <c r="G5946" s="1">
        <f t="shared" si="2506"/>
        <v>44166</v>
      </c>
      <c r="H5946" s="2">
        <f t="shared" ca="1" si="2507"/>
        <v>87</v>
      </c>
      <c r="I5946" t="str">
        <f t="shared" si="2508"/>
        <v>NIKK</v>
      </c>
      <c r="J5946">
        <f t="shared" si="2509"/>
        <v>26101</v>
      </c>
      <c r="K5946">
        <f t="shared" si="2510"/>
        <v>26978</v>
      </c>
      <c r="L5946">
        <f t="shared" si="2511"/>
        <v>26539.5</v>
      </c>
      <c r="M5946">
        <f t="shared" si="2512"/>
        <v>438.5</v>
      </c>
      <c r="N5946">
        <f t="shared" si="2490"/>
        <v>877</v>
      </c>
      <c r="O5946">
        <f t="shared" si="2513"/>
        <v>26787</v>
      </c>
      <c r="P5946">
        <f t="shared" si="2514"/>
        <v>0.56442417331813</v>
      </c>
      <c r="Q5946" t="str">
        <f t="shared" si="2491"/>
        <v>2.56% | 0.71%</v>
      </c>
      <c r="R5946" t="str">
        <f t="shared" si="2515"/>
        <v>BULLISH</v>
      </c>
      <c r="S5946">
        <f t="shared" si="2516"/>
        <v>1</v>
      </c>
    </row>
    <row r="5947" spans="1:19" hidden="1" x14ac:dyDescent="0.25">
      <c r="A5947" s="5" t="str">
        <f t="shared" si="2492"/>
        <v>44166DAX</v>
      </c>
      <c r="B5947" s="6" t="s">
        <v>92</v>
      </c>
      <c r="C5947" s="6">
        <v>13005</v>
      </c>
      <c r="D5947" s="6">
        <v>13499</v>
      </c>
      <c r="E5947" s="6">
        <v>13291</v>
      </c>
      <c r="F5947" t="str">
        <f t="shared" si="2505"/>
        <v>TUE</v>
      </c>
      <c r="G5947" s="1">
        <f t="shared" si="2506"/>
        <v>44166</v>
      </c>
      <c r="H5947" s="2">
        <f t="shared" ca="1" si="2507"/>
        <v>87</v>
      </c>
      <c r="I5947" t="str">
        <f t="shared" si="2508"/>
        <v>DAX</v>
      </c>
      <c r="J5947">
        <f t="shared" si="2509"/>
        <v>13005</v>
      </c>
      <c r="K5947">
        <f t="shared" si="2510"/>
        <v>13499</v>
      </c>
      <c r="L5947">
        <f t="shared" si="2511"/>
        <v>13252</v>
      </c>
      <c r="M5947">
        <f t="shared" si="2512"/>
        <v>247</v>
      </c>
      <c r="N5947">
        <f t="shared" si="2490"/>
        <v>494</v>
      </c>
      <c r="O5947">
        <f t="shared" si="2513"/>
        <v>13291</v>
      </c>
      <c r="P5947">
        <f t="shared" si="2514"/>
        <v>0.15789473684210525</v>
      </c>
      <c r="Q5947" t="str">
        <f t="shared" si="2491"/>
        <v>2.15% | 1.56%</v>
      </c>
      <c r="R5947" t="str">
        <f t="shared" si="2515"/>
        <v>NEUTRAL</v>
      </c>
      <c r="S5947">
        <f t="shared" si="2516"/>
        <v>0</v>
      </c>
    </row>
    <row r="5948" spans="1:19" hidden="1" x14ac:dyDescent="0.25">
      <c r="A5948" s="5" t="str">
        <f t="shared" si="2492"/>
        <v>44166VIX</v>
      </c>
      <c r="B5948" s="6" t="s">
        <v>96</v>
      </c>
      <c r="C5948" s="6">
        <v>19.45</v>
      </c>
      <c r="D5948" s="6">
        <v>24.76</v>
      </c>
      <c r="E5948" s="6">
        <v>20.57</v>
      </c>
      <c r="F5948" t="str">
        <f t="shared" si="2505"/>
        <v>TUE</v>
      </c>
      <c r="G5948" s="1">
        <f t="shared" si="2506"/>
        <v>44166</v>
      </c>
      <c r="H5948" s="2">
        <f t="shared" ca="1" si="2507"/>
        <v>87</v>
      </c>
      <c r="I5948" t="str">
        <f t="shared" si="2508"/>
        <v>VIX</v>
      </c>
      <c r="J5948">
        <f t="shared" si="2509"/>
        <v>19.45</v>
      </c>
      <c r="K5948">
        <f t="shared" si="2510"/>
        <v>24.76</v>
      </c>
      <c r="L5948">
        <f t="shared" si="2511"/>
        <v>22.105</v>
      </c>
      <c r="M5948">
        <f t="shared" si="2512"/>
        <v>2.6550000000000056</v>
      </c>
      <c r="N5948">
        <f t="shared" si="2490"/>
        <v>5.3100000000000023</v>
      </c>
      <c r="O5948">
        <f t="shared" si="2513"/>
        <v>20.57</v>
      </c>
      <c r="P5948">
        <f t="shared" si="2514"/>
        <v>-0.57815442561205155</v>
      </c>
      <c r="Q5948" t="str">
        <f t="shared" si="2491"/>
        <v>5.44% | 20.37%</v>
      </c>
      <c r="R5948" t="str">
        <f t="shared" si="2515"/>
        <v>BEARISH</v>
      </c>
      <c r="S5948">
        <f t="shared" si="2516"/>
        <v>-1</v>
      </c>
    </row>
    <row r="5949" spans="1:19" hidden="1" x14ac:dyDescent="0.25">
      <c r="A5949" s="5" t="str">
        <f t="shared" si="2492"/>
        <v>44166USD</v>
      </c>
      <c r="B5949" s="6" t="s">
        <v>94</v>
      </c>
      <c r="C5949" s="6">
        <v>91.51</v>
      </c>
      <c r="D5949" s="6">
        <v>92.65</v>
      </c>
      <c r="E5949" s="6">
        <v>91.86</v>
      </c>
      <c r="F5949" t="str">
        <f t="shared" si="2505"/>
        <v>TUE</v>
      </c>
      <c r="G5949" s="1">
        <f t="shared" si="2506"/>
        <v>44166</v>
      </c>
      <c r="H5949" s="2">
        <f t="shared" ca="1" si="2507"/>
        <v>87</v>
      </c>
      <c r="I5949" t="str">
        <f t="shared" si="2508"/>
        <v>USD</v>
      </c>
      <c r="J5949">
        <f t="shared" si="2509"/>
        <v>91.51</v>
      </c>
      <c r="K5949">
        <f t="shared" si="2510"/>
        <v>92.65</v>
      </c>
      <c r="L5949">
        <f t="shared" si="2511"/>
        <v>92.080000000000013</v>
      </c>
      <c r="M5949">
        <f t="shared" si="2512"/>
        <v>0.57000000000000028</v>
      </c>
      <c r="N5949">
        <f t="shared" si="2490"/>
        <v>1.1400000000000006</v>
      </c>
      <c r="O5949">
        <f t="shared" si="2513"/>
        <v>91.86</v>
      </c>
      <c r="P5949">
        <f t="shared" si="2514"/>
        <v>-0.38596491228072449</v>
      </c>
      <c r="Q5949" t="str">
        <f t="shared" si="2491"/>
        <v>0.38% | 0.86%</v>
      </c>
      <c r="R5949" t="str">
        <f t="shared" si="2515"/>
        <v>BEARISH</v>
      </c>
      <c r="S5949">
        <f t="shared" si="2516"/>
        <v>-1</v>
      </c>
    </row>
    <row r="5950" spans="1:19" hidden="1" x14ac:dyDescent="0.25">
      <c r="A5950" s="5" t="str">
        <f t="shared" si="2492"/>
        <v>44166EUR/USD</v>
      </c>
      <c r="B5950" s="6" t="s">
        <v>99</v>
      </c>
      <c r="C5950" s="6">
        <v>1.1839999999999999</v>
      </c>
      <c r="D5950" s="6">
        <v>1.1970000000000001</v>
      </c>
      <c r="E5950" s="6">
        <v>1.1930000000000001</v>
      </c>
      <c r="F5950" t="str">
        <f t="shared" si="2505"/>
        <v>TUE</v>
      </c>
      <c r="G5950" s="1">
        <f t="shared" si="2506"/>
        <v>44166</v>
      </c>
      <c r="H5950" s="2">
        <f t="shared" ca="1" si="2507"/>
        <v>87</v>
      </c>
      <c r="I5950" t="str">
        <f t="shared" si="2508"/>
        <v>EUR/USD</v>
      </c>
      <c r="J5950">
        <f t="shared" si="2509"/>
        <v>1.1839999999999999</v>
      </c>
      <c r="K5950">
        <f t="shared" si="2510"/>
        <v>1.1970000000000001</v>
      </c>
      <c r="L5950">
        <f t="shared" si="2511"/>
        <v>1.1905000000000001</v>
      </c>
      <c r="M5950">
        <f t="shared" si="2512"/>
        <v>6.5000000000000613E-3</v>
      </c>
      <c r="N5950">
        <f t="shared" si="2490"/>
        <v>1.3000000000000123E-2</v>
      </c>
      <c r="O5950">
        <f t="shared" si="2513"/>
        <v>1.1930000000000001</v>
      </c>
      <c r="P5950">
        <f t="shared" si="2514"/>
        <v>0.38461538461537281</v>
      </c>
      <c r="Q5950" t="str">
        <f t="shared" si="2491"/>
        <v>0.75% | 0.34%</v>
      </c>
      <c r="R5950" t="str">
        <f t="shared" si="2515"/>
        <v>BULLISH</v>
      </c>
      <c r="S5950">
        <f t="shared" si="2516"/>
        <v>1</v>
      </c>
    </row>
    <row r="5951" spans="1:19" hidden="1" x14ac:dyDescent="0.25">
      <c r="A5951" s="5" t="str">
        <f t="shared" si="2492"/>
        <v>44166USD/JPY</v>
      </c>
      <c r="B5951" s="6" t="s">
        <v>20</v>
      </c>
      <c r="C5951" s="6">
        <v>103.51</v>
      </c>
      <c r="D5951" s="6">
        <v>105.16</v>
      </c>
      <c r="E5951" s="6">
        <v>104.38</v>
      </c>
      <c r="F5951" t="str">
        <f t="shared" si="2505"/>
        <v>TUE</v>
      </c>
      <c r="G5951" s="1">
        <f t="shared" si="2506"/>
        <v>44166</v>
      </c>
      <c r="H5951" s="2">
        <f t="shared" ca="1" si="2507"/>
        <v>87</v>
      </c>
      <c r="I5951" t="str">
        <f t="shared" si="2508"/>
        <v>USD/JPY</v>
      </c>
      <c r="J5951">
        <f t="shared" si="2509"/>
        <v>103.51</v>
      </c>
      <c r="K5951">
        <f t="shared" si="2510"/>
        <v>105.16</v>
      </c>
      <c r="L5951">
        <f t="shared" si="2511"/>
        <v>104.33500000000001</v>
      </c>
      <c r="M5951">
        <f t="shared" si="2512"/>
        <v>0.82499999999999574</v>
      </c>
      <c r="N5951">
        <f t="shared" si="2490"/>
        <v>1.6499999999999915</v>
      </c>
      <c r="O5951">
        <f t="shared" si="2513"/>
        <v>104.38</v>
      </c>
      <c r="P5951">
        <f t="shared" si="2514"/>
        <v>5.4545454545439666E-2</v>
      </c>
      <c r="Q5951" t="str">
        <f t="shared" si="2491"/>
        <v>0.83% | 0.75%</v>
      </c>
      <c r="R5951" t="str">
        <f t="shared" si="2515"/>
        <v>BEARISH</v>
      </c>
      <c r="S5951">
        <f t="shared" si="2516"/>
        <v>-1</v>
      </c>
    </row>
    <row r="5952" spans="1:19" hidden="1" x14ac:dyDescent="0.25">
      <c r="A5952" s="5" t="str">
        <f t="shared" si="2492"/>
        <v>44166GBP/USD</v>
      </c>
      <c r="B5952" s="6" t="s">
        <v>102</v>
      </c>
      <c r="C5952" s="6">
        <v>1.32</v>
      </c>
      <c r="D5952" s="6">
        <v>1.341</v>
      </c>
      <c r="E5952" s="6">
        <v>1.3320000000000001</v>
      </c>
      <c r="F5952" t="str">
        <f t="shared" si="2505"/>
        <v>TUE</v>
      </c>
      <c r="G5952" s="1">
        <f t="shared" si="2506"/>
        <v>44166</v>
      </c>
      <c r="H5952" s="2">
        <f t="shared" ca="1" si="2507"/>
        <v>87</v>
      </c>
      <c r="I5952" t="str">
        <f t="shared" si="2508"/>
        <v>GBP/USD</v>
      </c>
      <c r="J5952">
        <f t="shared" si="2509"/>
        <v>1.32</v>
      </c>
      <c r="K5952">
        <f t="shared" si="2510"/>
        <v>1.341</v>
      </c>
      <c r="L5952">
        <f t="shared" si="2511"/>
        <v>1.3305</v>
      </c>
      <c r="M5952">
        <f t="shared" si="2512"/>
        <v>1.0499999999999954E-2</v>
      </c>
      <c r="N5952">
        <f t="shared" si="2490"/>
        <v>2.0999999999999908E-2</v>
      </c>
      <c r="O5952">
        <f t="shared" si="2513"/>
        <v>1.3320000000000001</v>
      </c>
      <c r="P5952">
        <f t="shared" si="2514"/>
        <v>0.1428571428571489</v>
      </c>
      <c r="Q5952" t="str">
        <f t="shared" si="2491"/>
        <v>0.9% | 0.68%</v>
      </c>
      <c r="R5952" t="str">
        <f t="shared" si="2515"/>
        <v>BULLISH</v>
      </c>
      <c r="S5952">
        <f t="shared" si="2516"/>
        <v>1</v>
      </c>
    </row>
    <row r="5953" spans="1:19" hidden="1" x14ac:dyDescent="0.25">
      <c r="A5953" s="5" t="str">
        <f t="shared" si="2492"/>
        <v>44166CAD/USD</v>
      </c>
      <c r="B5953" s="6" t="s">
        <v>244</v>
      </c>
      <c r="C5953" s="6">
        <v>0.76</v>
      </c>
      <c r="D5953" s="6">
        <v>0.78</v>
      </c>
      <c r="E5953" s="6">
        <v>0.76</v>
      </c>
      <c r="F5953" t="str">
        <f t="shared" si="2505"/>
        <v>TUE</v>
      </c>
      <c r="G5953" s="1">
        <f t="shared" si="2506"/>
        <v>44166</v>
      </c>
      <c r="H5953" s="2">
        <f t="shared" ca="1" si="2507"/>
        <v>87</v>
      </c>
      <c r="I5953" t="str">
        <f t="shared" si="2508"/>
        <v>CAD/USD</v>
      </c>
      <c r="J5953">
        <f t="shared" si="2509"/>
        <v>0.76</v>
      </c>
      <c r="K5953">
        <f t="shared" si="2510"/>
        <v>0.78</v>
      </c>
      <c r="L5953">
        <f t="shared" si="2511"/>
        <v>0.77</v>
      </c>
      <c r="M5953">
        <f t="shared" si="2512"/>
        <v>1.0000000000000009E-2</v>
      </c>
      <c r="N5953">
        <f t="shared" si="2490"/>
        <v>2.0000000000000018E-2</v>
      </c>
      <c r="O5953">
        <f t="shared" si="2513"/>
        <v>0.76</v>
      </c>
      <c r="P5953">
        <f t="shared" si="2514"/>
        <v>-1</v>
      </c>
      <c r="Q5953" t="str">
        <f t="shared" si="2491"/>
        <v>0% | 2.63%</v>
      </c>
      <c r="R5953" t="str">
        <f t="shared" si="2515"/>
        <v>BULLISH</v>
      </c>
      <c r="S5953">
        <f t="shared" si="2516"/>
        <v>1</v>
      </c>
    </row>
    <row r="5954" spans="1:19" hidden="1" x14ac:dyDescent="0.25">
      <c r="A5954" s="5" t="str">
        <f t="shared" si="2492"/>
        <v>44166USD/CHF</v>
      </c>
      <c r="B5954" s="6" t="s">
        <v>76</v>
      </c>
      <c r="C5954" s="6">
        <v>0.9</v>
      </c>
      <c r="D5954" s="6">
        <v>0.92</v>
      </c>
      <c r="E5954" s="6">
        <v>0.9</v>
      </c>
      <c r="F5954" t="str">
        <f t="shared" si="2505"/>
        <v>TUE</v>
      </c>
      <c r="G5954" s="1">
        <f t="shared" si="2506"/>
        <v>44166</v>
      </c>
      <c r="H5954" s="2">
        <f t="shared" ca="1" si="2507"/>
        <v>87</v>
      </c>
      <c r="I5954" t="str">
        <f t="shared" si="2508"/>
        <v>USD/CHF</v>
      </c>
      <c r="J5954">
        <f t="shared" si="2509"/>
        <v>0.9</v>
      </c>
      <c r="K5954">
        <f t="shared" si="2510"/>
        <v>0.92</v>
      </c>
      <c r="L5954">
        <f t="shared" si="2511"/>
        <v>0.91</v>
      </c>
      <c r="M5954">
        <f t="shared" si="2512"/>
        <v>1.0000000000000009E-2</v>
      </c>
      <c r="N5954">
        <f t="shared" si="2490"/>
        <v>2.0000000000000018E-2</v>
      </c>
      <c r="O5954">
        <f t="shared" si="2513"/>
        <v>0.9</v>
      </c>
      <c r="P5954">
        <f t="shared" si="2514"/>
        <v>-1</v>
      </c>
      <c r="Q5954" t="str">
        <f t="shared" si="2491"/>
        <v>0% | 2.22%</v>
      </c>
      <c r="R5954" t="str">
        <f t="shared" si="2515"/>
        <v>BEARISH</v>
      </c>
      <c r="S5954">
        <f t="shared" si="2516"/>
        <v>-1</v>
      </c>
    </row>
    <row r="5955" spans="1:19" hidden="1" x14ac:dyDescent="0.25">
      <c r="A5955" s="5" t="str">
        <f t="shared" si="2492"/>
        <v>44166WTIC</v>
      </c>
      <c r="B5955" s="6" t="s">
        <v>158</v>
      </c>
      <c r="C5955" s="6">
        <v>41.93</v>
      </c>
      <c r="D5955" s="6">
        <v>46.94</v>
      </c>
      <c r="E5955" s="6">
        <v>45.34</v>
      </c>
      <c r="F5955" t="str">
        <f t="shared" si="2505"/>
        <v>TUE</v>
      </c>
      <c r="G5955" s="1">
        <f t="shared" si="2506"/>
        <v>44166</v>
      </c>
      <c r="H5955" s="2">
        <f t="shared" ca="1" si="2507"/>
        <v>87</v>
      </c>
      <c r="I5955" t="str">
        <f t="shared" si="2508"/>
        <v>WTIC</v>
      </c>
      <c r="J5955">
        <f t="shared" si="2509"/>
        <v>41.93</v>
      </c>
      <c r="K5955">
        <f t="shared" si="2510"/>
        <v>46.94</v>
      </c>
      <c r="L5955">
        <f t="shared" si="2511"/>
        <v>44.435000000000002</v>
      </c>
      <c r="M5955">
        <f t="shared" si="2512"/>
        <v>2.504999999999999</v>
      </c>
      <c r="N5955">
        <f t="shared" ref="N5955:N6018" si="2517">ABS(K5955-J5955)</f>
        <v>5.009999999999998</v>
      </c>
      <c r="O5955">
        <f t="shared" si="2513"/>
        <v>45.34</v>
      </c>
      <c r="P5955">
        <f t="shared" si="2514"/>
        <v>0.36127744510978105</v>
      </c>
      <c r="Q5955" t="str">
        <f t="shared" ref="Q5955:Q6018" si="2518">ROUND(ABS(100*(O5955-J5955)/O5955),2)&amp;"% | "&amp;ROUND(ABS(100*(K5955-O5955)/O5955),2)&amp;"%"</f>
        <v>7.52% | 3.53%</v>
      </c>
      <c r="R5955" t="str">
        <f t="shared" si="2515"/>
        <v>BULLISH</v>
      </c>
      <c r="S5955">
        <f t="shared" si="2516"/>
        <v>1</v>
      </c>
    </row>
    <row r="5956" spans="1:19" hidden="1" x14ac:dyDescent="0.25">
      <c r="A5956" s="5" t="str">
        <f t="shared" si="2492"/>
        <v>44166NATGAS</v>
      </c>
      <c r="B5956" s="6" t="s">
        <v>89</v>
      </c>
      <c r="C5956" s="6">
        <v>2.57</v>
      </c>
      <c r="D5956" s="6">
        <v>3.05</v>
      </c>
      <c r="E5956" s="6">
        <v>2.88</v>
      </c>
      <c r="F5956" t="str">
        <f t="shared" si="2505"/>
        <v>TUE</v>
      </c>
      <c r="G5956" s="1">
        <f t="shared" si="2506"/>
        <v>44166</v>
      </c>
      <c r="H5956" s="2">
        <f t="shared" ca="1" si="2507"/>
        <v>87</v>
      </c>
      <c r="I5956" t="str">
        <f t="shared" si="2508"/>
        <v>NATGAS</v>
      </c>
      <c r="J5956">
        <f t="shared" si="2509"/>
        <v>2.57</v>
      </c>
      <c r="K5956">
        <f t="shared" si="2510"/>
        <v>3.05</v>
      </c>
      <c r="L5956">
        <f t="shared" si="2511"/>
        <v>2.8099999999999996</v>
      </c>
      <c r="M5956">
        <f t="shared" si="2512"/>
        <v>0.24</v>
      </c>
      <c r="N5956">
        <f t="shared" si="2517"/>
        <v>0.48</v>
      </c>
      <c r="O5956">
        <f t="shared" si="2513"/>
        <v>2.88</v>
      </c>
      <c r="P5956">
        <f t="shared" si="2514"/>
        <v>0.29166666666666785</v>
      </c>
      <c r="Q5956" t="str">
        <f t="shared" si="2518"/>
        <v>10.76% | 5.9%</v>
      </c>
      <c r="R5956" t="str">
        <f t="shared" si="2515"/>
        <v>BULLISH</v>
      </c>
      <c r="S5956">
        <f t="shared" si="2516"/>
        <v>1</v>
      </c>
    </row>
    <row r="5957" spans="1:19" hidden="1" x14ac:dyDescent="0.25">
      <c r="A5957" s="5" t="str">
        <f t="shared" si="2492"/>
        <v>44166GOLD</v>
      </c>
      <c r="B5957" s="6" t="s">
        <v>85</v>
      </c>
      <c r="C5957" s="6">
        <v>1756</v>
      </c>
      <c r="D5957" s="6">
        <v>1834</v>
      </c>
      <c r="E5957" s="6">
        <v>1780</v>
      </c>
      <c r="F5957" t="str">
        <f t="shared" si="2505"/>
        <v>TUE</v>
      </c>
      <c r="G5957" s="1">
        <f t="shared" si="2506"/>
        <v>44166</v>
      </c>
      <c r="H5957" s="2">
        <f t="shared" ca="1" si="2507"/>
        <v>87</v>
      </c>
      <c r="I5957" t="str">
        <f t="shared" si="2508"/>
        <v>GOLD</v>
      </c>
      <c r="J5957">
        <f t="shared" si="2509"/>
        <v>1756</v>
      </c>
      <c r="K5957">
        <f t="shared" si="2510"/>
        <v>1834</v>
      </c>
      <c r="L5957">
        <f t="shared" si="2511"/>
        <v>1795</v>
      </c>
      <c r="M5957">
        <f t="shared" si="2512"/>
        <v>39</v>
      </c>
      <c r="N5957">
        <f t="shared" si="2517"/>
        <v>78</v>
      </c>
      <c r="O5957">
        <f t="shared" si="2513"/>
        <v>1780</v>
      </c>
      <c r="P5957">
        <f t="shared" si="2514"/>
        <v>-0.38461538461538464</v>
      </c>
      <c r="Q5957" t="str">
        <f t="shared" si="2518"/>
        <v>1.35% | 3.03%</v>
      </c>
      <c r="R5957" t="str">
        <f t="shared" si="2515"/>
        <v>BEARISH</v>
      </c>
      <c r="S5957">
        <f t="shared" si="2516"/>
        <v>-1</v>
      </c>
    </row>
    <row r="5958" spans="1:19" hidden="1" x14ac:dyDescent="0.25">
      <c r="A5958" s="5" t="str">
        <f t="shared" si="2492"/>
        <v>44166COPPER</v>
      </c>
      <c r="B5958" s="6" t="s">
        <v>100</v>
      </c>
      <c r="C5958" s="6">
        <v>3.21</v>
      </c>
      <c r="D5958" s="6">
        <v>3.5</v>
      </c>
      <c r="E5958" s="6">
        <v>3.44</v>
      </c>
      <c r="F5958" t="str">
        <f t="shared" si="2505"/>
        <v>TUE</v>
      </c>
      <c r="G5958" s="1">
        <f t="shared" si="2506"/>
        <v>44166</v>
      </c>
      <c r="H5958" s="2">
        <f t="shared" ca="1" si="2507"/>
        <v>87</v>
      </c>
      <c r="I5958" t="str">
        <f t="shared" si="2508"/>
        <v>COPPER</v>
      </c>
      <c r="J5958">
        <f t="shared" si="2509"/>
        <v>3.21</v>
      </c>
      <c r="K5958">
        <f t="shared" si="2510"/>
        <v>3.5</v>
      </c>
      <c r="L5958">
        <f t="shared" si="2511"/>
        <v>3.355</v>
      </c>
      <c r="M5958">
        <f t="shared" si="2512"/>
        <v>0.14500000000000002</v>
      </c>
      <c r="N5958">
        <f t="shared" si="2517"/>
        <v>0.29000000000000004</v>
      </c>
      <c r="O5958">
        <f t="shared" si="2513"/>
        <v>3.44</v>
      </c>
      <c r="P5958">
        <f t="shared" si="2514"/>
        <v>0.58620689655172387</v>
      </c>
      <c r="Q5958" t="str">
        <f t="shared" si="2518"/>
        <v>6.69% | 1.74%</v>
      </c>
      <c r="R5958" t="str">
        <f t="shared" si="2515"/>
        <v>BULLISH</v>
      </c>
      <c r="S5958">
        <f t="shared" si="2516"/>
        <v>1</v>
      </c>
    </row>
    <row r="5959" spans="1:19" hidden="1" x14ac:dyDescent="0.25">
      <c r="A5959" s="5" t="str">
        <f t="shared" ref="A5959:A6022" si="2519">G5959&amp;I5959</f>
        <v>44166MSFT</v>
      </c>
      <c r="B5959" s="6" t="s">
        <v>27</v>
      </c>
      <c r="C5959" s="6">
        <v>209</v>
      </c>
      <c r="D5959" s="6">
        <v>218</v>
      </c>
      <c r="E5959" s="6">
        <v>214</v>
      </c>
      <c r="F5959" t="str">
        <f t="shared" si="2505"/>
        <v>TUE</v>
      </c>
      <c r="G5959" s="1">
        <f t="shared" si="2506"/>
        <v>44166</v>
      </c>
      <c r="H5959" s="2">
        <f t="shared" ca="1" si="2507"/>
        <v>87</v>
      </c>
      <c r="I5959" t="str">
        <f t="shared" si="2508"/>
        <v>MSFT</v>
      </c>
      <c r="J5959">
        <f t="shared" si="2509"/>
        <v>209</v>
      </c>
      <c r="K5959">
        <f t="shared" si="2510"/>
        <v>218</v>
      </c>
      <c r="L5959">
        <f t="shared" si="2511"/>
        <v>213.5</v>
      </c>
      <c r="M5959">
        <f t="shared" si="2512"/>
        <v>4.5</v>
      </c>
      <c r="N5959">
        <f t="shared" si="2517"/>
        <v>9</v>
      </c>
      <c r="O5959">
        <f t="shared" si="2513"/>
        <v>214</v>
      </c>
      <c r="P5959">
        <f t="shared" si="2514"/>
        <v>0.1111111111111111</v>
      </c>
      <c r="Q5959" t="str">
        <f t="shared" si="2518"/>
        <v>2.34% | 1.87%</v>
      </c>
      <c r="R5959" t="str">
        <f t="shared" si="2515"/>
        <v>BULLISH</v>
      </c>
      <c r="S5959">
        <f t="shared" si="2516"/>
        <v>1</v>
      </c>
    </row>
    <row r="5960" spans="1:19" hidden="1" x14ac:dyDescent="0.25">
      <c r="A5960" s="5" t="str">
        <f t="shared" si="2519"/>
        <v>44166AAPL</v>
      </c>
      <c r="B5960" s="6" t="s">
        <v>28</v>
      </c>
      <c r="C5960" s="6">
        <v>113</v>
      </c>
      <c r="D5960" s="6">
        <v>122</v>
      </c>
      <c r="E5960" s="6">
        <v>119</v>
      </c>
      <c r="F5960" t="str">
        <f t="shared" si="2505"/>
        <v>TUE</v>
      </c>
      <c r="G5960" s="1">
        <f t="shared" si="2506"/>
        <v>44166</v>
      </c>
      <c r="H5960" s="2">
        <f t="shared" ca="1" si="2507"/>
        <v>87</v>
      </c>
      <c r="I5960" t="str">
        <f t="shared" si="2508"/>
        <v>AAPL</v>
      </c>
      <c r="J5960">
        <f t="shared" si="2509"/>
        <v>113</v>
      </c>
      <c r="K5960">
        <f t="shared" si="2510"/>
        <v>122</v>
      </c>
      <c r="L5960">
        <f t="shared" si="2511"/>
        <v>117.5</v>
      </c>
      <c r="M5960">
        <f t="shared" si="2512"/>
        <v>4.5</v>
      </c>
      <c r="N5960">
        <f t="shared" si="2517"/>
        <v>9</v>
      </c>
      <c r="O5960">
        <f t="shared" si="2513"/>
        <v>119</v>
      </c>
      <c r="P5960">
        <f t="shared" si="2514"/>
        <v>0.33333333333333331</v>
      </c>
      <c r="Q5960" t="str">
        <f t="shared" si="2518"/>
        <v>5.04% | 2.52%</v>
      </c>
      <c r="R5960" t="str">
        <f t="shared" si="2515"/>
        <v>BULLISH</v>
      </c>
      <c r="S5960">
        <f t="shared" si="2516"/>
        <v>1</v>
      </c>
    </row>
    <row r="5961" spans="1:19" hidden="1" x14ac:dyDescent="0.25">
      <c r="A5961" s="5" t="str">
        <f t="shared" si="2519"/>
        <v>44166AMZN</v>
      </c>
      <c r="B5961" s="6" t="s">
        <v>69</v>
      </c>
      <c r="C5961" s="6">
        <v>3062</v>
      </c>
      <c r="D5961" s="6">
        <v>3209</v>
      </c>
      <c r="E5961" s="6">
        <v>3168</v>
      </c>
      <c r="F5961" t="str">
        <f t="shared" si="2505"/>
        <v>TUE</v>
      </c>
      <c r="G5961" s="1">
        <f t="shared" si="2506"/>
        <v>44166</v>
      </c>
      <c r="H5961" s="2">
        <f t="shared" ca="1" si="2507"/>
        <v>87</v>
      </c>
      <c r="I5961" t="str">
        <f t="shared" si="2508"/>
        <v>AMZN</v>
      </c>
      <c r="J5961">
        <f t="shared" si="2509"/>
        <v>3062</v>
      </c>
      <c r="K5961">
        <f t="shared" si="2510"/>
        <v>3209</v>
      </c>
      <c r="L5961">
        <f t="shared" si="2511"/>
        <v>3135.5</v>
      </c>
      <c r="M5961">
        <f t="shared" si="2512"/>
        <v>73.5</v>
      </c>
      <c r="N5961">
        <f t="shared" si="2517"/>
        <v>147</v>
      </c>
      <c r="O5961">
        <f t="shared" si="2513"/>
        <v>3168</v>
      </c>
      <c r="P5961">
        <f t="shared" si="2514"/>
        <v>0.44217687074829931</v>
      </c>
      <c r="Q5961" t="str">
        <f t="shared" si="2518"/>
        <v>3.35% | 1.29%</v>
      </c>
      <c r="R5961" t="str">
        <f t="shared" si="2515"/>
        <v>NEUTRAL</v>
      </c>
      <c r="S5961">
        <f t="shared" si="2516"/>
        <v>0</v>
      </c>
    </row>
    <row r="5962" spans="1:19" hidden="1" x14ac:dyDescent="0.25">
      <c r="A5962" s="5" t="str">
        <f t="shared" si="2519"/>
        <v>44166FB</v>
      </c>
      <c r="B5962" s="6" t="s">
        <v>30</v>
      </c>
      <c r="C5962" s="6">
        <v>266</v>
      </c>
      <c r="D5962" s="6">
        <v>282</v>
      </c>
      <c r="E5962" s="6">
        <v>276</v>
      </c>
      <c r="F5962" t="str">
        <f t="shared" si="2505"/>
        <v>TUE</v>
      </c>
      <c r="G5962" s="1">
        <f t="shared" si="2506"/>
        <v>44166</v>
      </c>
      <c r="H5962" s="2">
        <f t="shared" ca="1" si="2507"/>
        <v>87</v>
      </c>
      <c r="I5962" t="str">
        <f t="shared" si="2508"/>
        <v>FB</v>
      </c>
      <c r="J5962">
        <f t="shared" si="2509"/>
        <v>266</v>
      </c>
      <c r="K5962">
        <f t="shared" si="2510"/>
        <v>282</v>
      </c>
      <c r="L5962">
        <f t="shared" si="2511"/>
        <v>274</v>
      </c>
      <c r="M5962">
        <f t="shared" si="2512"/>
        <v>8</v>
      </c>
      <c r="N5962">
        <f t="shared" si="2517"/>
        <v>16</v>
      </c>
      <c r="O5962">
        <f t="shared" si="2513"/>
        <v>276</v>
      </c>
      <c r="P5962">
        <f t="shared" si="2514"/>
        <v>0.25</v>
      </c>
      <c r="Q5962" t="str">
        <f t="shared" si="2518"/>
        <v>3.62% | 2.17%</v>
      </c>
      <c r="R5962" t="str">
        <f t="shared" si="2515"/>
        <v>BULLISH</v>
      </c>
      <c r="S5962">
        <f t="shared" si="2516"/>
        <v>1</v>
      </c>
    </row>
    <row r="5963" spans="1:19" hidden="1" x14ac:dyDescent="0.25">
      <c r="A5963" s="5" t="str">
        <f t="shared" si="2519"/>
        <v>44166GOOGL</v>
      </c>
      <c r="B5963" s="6" t="s">
        <v>31</v>
      </c>
      <c r="C5963" s="6">
        <v>1720</v>
      </c>
      <c r="D5963" s="6">
        <v>1790</v>
      </c>
      <c r="E5963" s="6">
        <v>1754</v>
      </c>
      <c r="F5963" t="str">
        <f t="shared" si="2505"/>
        <v>TUE</v>
      </c>
      <c r="G5963" s="1">
        <f t="shared" si="2506"/>
        <v>44166</v>
      </c>
      <c r="H5963" s="2">
        <f t="shared" ca="1" si="2507"/>
        <v>87</v>
      </c>
      <c r="I5963" t="str">
        <f t="shared" si="2508"/>
        <v>GOOGL</v>
      </c>
      <c r="J5963">
        <f t="shared" si="2509"/>
        <v>1720</v>
      </c>
      <c r="K5963">
        <f t="shared" si="2510"/>
        <v>1790</v>
      </c>
      <c r="L5963">
        <f t="shared" si="2511"/>
        <v>1755</v>
      </c>
      <c r="M5963">
        <f t="shared" si="2512"/>
        <v>35</v>
      </c>
      <c r="N5963">
        <f t="shared" si="2517"/>
        <v>70</v>
      </c>
      <c r="O5963">
        <f t="shared" si="2513"/>
        <v>1754</v>
      </c>
      <c r="P5963">
        <f t="shared" si="2514"/>
        <v>-2.8571428571428571E-2</v>
      </c>
      <c r="Q5963" t="str">
        <f t="shared" si="2518"/>
        <v>1.94% | 2.05%</v>
      </c>
      <c r="R5963" t="str">
        <f t="shared" si="2515"/>
        <v>BULLISH</v>
      </c>
      <c r="S5963">
        <f t="shared" si="2516"/>
        <v>1</v>
      </c>
    </row>
    <row r="5964" spans="1:19" hidden="1" x14ac:dyDescent="0.25">
      <c r="A5964" s="5" t="str">
        <f t="shared" si="2519"/>
        <v>44166NFLX</v>
      </c>
      <c r="B5964" s="6" t="s">
        <v>81</v>
      </c>
      <c r="C5964" s="6">
        <v>473</v>
      </c>
      <c r="D5964" s="6">
        <v>496</v>
      </c>
      <c r="E5964" s="6">
        <v>490</v>
      </c>
      <c r="F5964" t="str">
        <f t="shared" si="2505"/>
        <v>TUE</v>
      </c>
      <c r="G5964" s="1">
        <f t="shared" si="2506"/>
        <v>44166</v>
      </c>
      <c r="H5964" s="2">
        <f t="shared" ca="1" si="2507"/>
        <v>87</v>
      </c>
      <c r="I5964" t="str">
        <f t="shared" si="2508"/>
        <v>NFLX</v>
      </c>
      <c r="J5964">
        <f t="shared" si="2509"/>
        <v>473</v>
      </c>
      <c r="K5964">
        <f t="shared" si="2510"/>
        <v>496</v>
      </c>
      <c r="L5964">
        <f t="shared" si="2511"/>
        <v>484.5</v>
      </c>
      <c r="M5964">
        <f t="shared" si="2512"/>
        <v>11.5</v>
      </c>
      <c r="N5964">
        <f t="shared" si="2517"/>
        <v>23</v>
      </c>
      <c r="O5964">
        <f t="shared" si="2513"/>
        <v>490</v>
      </c>
      <c r="P5964">
        <f t="shared" si="2514"/>
        <v>0.47826086956521741</v>
      </c>
      <c r="Q5964" t="str">
        <f t="shared" si="2518"/>
        <v>3.47% | 1.22%</v>
      </c>
      <c r="R5964" t="str">
        <f t="shared" si="2515"/>
        <v>BEARISH</v>
      </c>
      <c r="S5964">
        <f t="shared" si="2516"/>
        <v>-1</v>
      </c>
    </row>
    <row r="5965" spans="1:19" x14ac:dyDescent="0.25">
      <c r="A5965" s="5" t="str">
        <f t="shared" si="2519"/>
        <v>44166TSLA</v>
      </c>
      <c r="B5965" s="6" t="s">
        <v>33</v>
      </c>
      <c r="C5965" s="6">
        <v>514</v>
      </c>
      <c r="D5965" s="6">
        <v>618</v>
      </c>
      <c r="E5965" s="6">
        <v>567</v>
      </c>
      <c r="F5965" t="str">
        <f t="shared" si="2505"/>
        <v>TUE</v>
      </c>
      <c r="G5965" s="1">
        <f t="shared" si="2506"/>
        <v>44166</v>
      </c>
      <c r="H5965" s="2">
        <f t="shared" ca="1" si="2507"/>
        <v>87</v>
      </c>
      <c r="I5965" t="str">
        <f t="shared" si="2508"/>
        <v>TSLA</v>
      </c>
      <c r="J5965">
        <f t="shared" si="2509"/>
        <v>514</v>
      </c>
      <c r="K5965">
        <f t="shared" si="2510"/>
        <v>618</v>
      </c>
      <c r="L5965">
        <f t="shared" si="2511"/>
        <v>566</v>
      </c>
      <c r="M5965">
        <f t="shared" si="2512"/>
        <v>52</v>
      </c>
      <c r="N5965">
        <f t="shared" si="2517"/>
        <v>104</v>
      </c>
      <c r="O5965">
        <f t="shared" si="2513"/>
        <v>567</v>
      </c>
      <c r="P5965">
        <f t="shared" si="2514"/>
        <v>1.9230769230769232E-2</v>
      </c>
      <c r="Q5965" t="str">
        <f t="shared" si="2518"/>
        <v>9.35% | 8.99%</v>
      </c>
      <c r="R5965" t="str">
        <f t="shared" si="2515"/>
        <v>BULLISH</v>
      </c>
      <c r="S5965">
        <f t="shared" si="2516"/>
        <v>1</v>
      </c>
    </row>
    <row r="5966" spans="1:19" hidden="1" x14ac:dyDescent="0.25">
      <c r="A5966" s="5" t="str">
        <f t="shared" si="2519"/>
        <v>44166NYXBT</v>
      </c>
      <c r="B5966" s="6" t="s">
        <v>60</v>
      </c>
      <c r="C5966" s="6">
        <v>16667</v>
      </c>
      <c r="D5966" s="6">
        <v>20279</v>
      </c>
      <c r="E5966" s="6">
        <v>19494</v>
      </c>
      <c r="F5966" t="str">
        <f t="shared" si="2505"/>
        <v>TUE</v>
      </c>
      <c r="G5966" s="1">
        <f t="shared" si="2506"/>
        <v>44166</v>
      </c>
      <c r="H5966" s="2">
        <f t="shared" ca="1" si="2507"/>
        <v>87</v>
      </c>
      <c r="I5966" t="str">
        <f t="shared" si="2508"/>
        <v>NYXBT</v>
      </c>
      <c r="J5966">
        <f t="shared" si="2509"/>
        <v>16667</v>
      </c>
      <c r="K5966">
        <f t="shared" si="2510"/>
        <v>20279</v>
      </c>
      <c r="L5966">
        <f t="shared" si="2511"/>
        <v>18473</v>
      </c>
      <c r="M5966">
        <f t="shared" si="2512"/>
        <v>1806</v>
      </c>
      <c r="N5966">
        <f t="shared" si="2517"/>
        <v>3612</v>
      </c>
      <c r="O5966">
        <f t="shared" si="2513"/>
        <v>19494</v>
      </c>
      <c r="P5966">
        <f t="shared" si="2514"/>
        <v>0.56533776301218164</v>
      </c>
      <c r="Q5966" t="str">
        <f t="shared" si="2518"/>
        <v>14.5% | 4.03%</v>
      </c>
      <c r="R5966" t="str">
        <f t="shared" si="2515"/>
        <v>BULLISH</v>
      </c>
      <c r="S5966">
        <f t="shared" si="2516"/>
        <v>1</v>
      </c>
    </row>
    <row r="5967" spans="1:19" hidden="1" x14ac:dyDescent="0.25">
      <c r="A5967" s="5" t="str">
        <f t="shared" si="2519"/>
        <v>44167UST10Y</v>
      </c>
      <c r="B5967" s="6" t="s">
        <v>246</v>
      </c>
      <c r="C5967" s="6">
        <v>0.95</v>
      </c>
      <c r="D5967" s="6">
        <v>0.81</v>
      </c>
      <c r="E5967" s="6">
        <v>0.92</v>
      </c>
      <c r="F5967" t="str">
        <f t="shared" si="2505"/>
        <v>WED</v>
      </c>
      <c r="G5967" s="3">
        <f>DATE(2020,12,2)</f>
        <v>44167</v>
      </c>
      <c r="H5967" s="2">
        <f t="shared" ca="1" si="2507"/>
        <v>86</v>
      </c>
      <c r="I5967" t="str">
        <f t="shared" si="2508"/>
        <v>UST10Y</v>
      </c>
      <c r="J5967">
        <f t="shared" si="2509"/>
        <v>0.95</v>
      </c>
      <c r="K5967">
        <f t="shared" si="2510"/>
        <v>0.81</v>
      </c>
      <c r="L5967">
        <f t="shared" si="2511"/>
        <v>0.88</v>
      </c>
      <c r="M5967">
        <f t="shared" si="2512"/>
        <v>6.9999999999999951E-2</v>
      </c>
      <c r="N5967">
        <f t="shared" si="2517"/>
        <v>0.1399999999999999</v>
      </c>
      <c r="O5967">
        <f t="shared" si="2513"/>
        <v>0.92</v>
      </c>
      <c r="P5967">
        <f t="shared" si="2514"/>
        <v>0.57142857142857229</v>
      </c>
      <c r="Q5967" t="str">
        <f t="shared" si="2518"/>
        <v>3.26% | 11.96%</v>
      </c>
      <c r="R5967" t="str">
        <f t="shared" si="2515"/>
        <v>NEUTRAL</v>
      </c>
      <c r="S5967">
        <f t="shared" si="2516"/>
        <v>0</v>
      </c>
    </row>
    <row r="5968" spans="1:19" hidden="1" x14ac:dyDescent="0.25">
      <c r="A5968" s="5" t="str">
        <f t="shared" si="2519"/>
        <v>44167UST2Y</v>
      </c>
      <c r="B5968" s="6" t="s">
        <v>253</v>
      </c>
      <c r="C5968" s="6">
        <v>0.19</v>
      </c>
      <c r="D5968" s="6">
        <v>0.15</v>
      </c>
      <c r="E5968" s="6">
        <v>0.17</v>
      </c>
      <c r="F5968" t="str">
        <f t="shared" ref="F5968:F5998" si="2520">UPPER(TEXT(G5968,"ddd"))</f>
        <v>WED</v>
      </c>
      <c r="G5968" s="3">
        <f t="shared" ref="G5968:G5997" si="2521">DATE(2020,12,2)</f>
        <v>44167</v>
      </c>
      <c r="H5968" s="2">
        <f t="shared" ref="H5968:H5998" ca="1" si="2522">TODAY()-G5968</f>
        <v>86</v>
      </c>
      <c r="I5968" t="str">
        <f t="shared" ref="I5968:I5998" si="2523">TRIM(LEFT(B5968,FIND(" ",B5968,1)))</f>
        <v>UST2Y</v>
      </c>
      <c r="J5968">
        <f t="shared" ref="J5968:J5998" si="2524">C5968</f>
        <v>0.19</v>
      </c>
      <c r="K5968">
        <f t="shared" ref="K5968:K5998" si="2525">D5968</f>
        <v>0.15</v>
      </c>
      <c r="L5968">
        <f t="shared" ref="L5968:L5998" si="2526">AVERAGE(J5968:K5968)</f>
        <v>0.16999999999999998</v>
      </c>
      <c r="M5968">
        <f t="shared" ref="M5968:M5998" si="2527">_xlfn.STDEV.P(J5968:K5968)</f>
        <v>2.0000000000000111E-2</v>
      </c>
      <c r="N5968">
        <f t="shared" si="2517"/>
        <v>4.0000000000000008E-2</v>
      </c>
      <c r="O5968">
        <f t="shared" ref="O5968:O5998" si="2528">E5968</f>
        <v>0.17</v>
      </c>
      <c r="P5968">
        <f t="shared" ref="P5968:P5998" si="2529">(O5968-L5968)/M5968</f>
        <v>1.387778780781438E-15</v>
      </c>
      <c r="Q5968" t="str">
        <f t="shared" si="2518"/>
        <v>11.76% | 11.76%</v>
      </c>
      <c r="R5968" t="str">
        <f t="shared" ref="R5968:R5998" si="2530">MID(B5968,FIND("(",B5968,1)+1,FIND(")",B5968,1)-FIND("(",B5968,1)-1)</f>
        <v>NEUTRAL</v>
      </c>
      <c r="S5968">
        <f t="shared" ref="S5968:S5998" si="2531">IF(R5968="BEARISH",-1,IF(R5968="NEUTRAL",0,IF(R5968="BULLISH",1,99)))</f>
        <v>0</v>
      </c>
    </row>
    <row r="5969" spans="1:19" hidden="1" x14ac:dyDescent="0.25">
      <c r="A5969" s="5" t="str">
        <f t="shared" si="2519"/>
        <v>44167SPX</v>
      </c>
      <c r="B5969" s="6" t="s">
        <v>93</v>
      </c>
      <c r="C5969" s="6">
        <v>3543</v>
      </c>
      <c r="D5969" s="6">
        <v>3682</v>
      </c>
      <c r="E5969" s="6">
        <v>3662</v>
      </c>
      <c r="F5969" t="str">
        <f t="shared" si="2520"/>
        <v>WED</v>
      </c>
      <c r="G5969" s="3">
        <f t="shared" si="2521"/>
        <v>44167</v>
      </c>
      <c r="H5969" s="2">
        <f t="shared" ca="1" si="2522"/>
        <v>86</v>
      </c>
      <c r="I5969" t="str">
        <f t="shared" si="2523"/>
        <v>SPX</v>
      </c>
      <c r="J5969">
        <f t="shared" si="2524"/>
        <v>3543</v>
      </c>
      <c r="K5969">
        <f t="shared" si="2525"/>
        <v>3682</v>
      </c>
      <c r="L5969">
        <f t="shared" si="2526"/>
        <v>3612.5</v>
      </c>
      <c r="M5969">
        <f t="shared" si="2527"/>
        <v>69.5</v>
      </c>
      <c r="N5969">
        <f t="shared" si="2517"/>
        <v>139</v>
      </c>
      <c r="O5969">
        <f t="shared" si="2528"/>
        <v>3662</v>
      </c>
      <c r="P5969">
        <f t="shared" si="2529"/>
        <v>0.71223021582733814</v>
      </c>
      <c r="Q5969" t="str">
        <f t="shared" si="2518"/>
        <v>3.25% | 0.55%</v>
      </c>
      <c r="R5969" t="str">
        <f t="shared" si="2530"/>
        <v>BULLISH</v>
      </c>
      <c r="S5969">
        <f t="shared" si="2531"/>
        <v>1</v>
      </c>
    </row>
    <row r="5970" spans="1:19" hidden="1" x14ac:dyDescent="0.25">
      <c r="A5970" s="5" t="str">
        <f t="shared" si="2519"/>
        <v>44167RUT</v>
      </c>
      <c r="B5970" s="6" t="s">
        <v>247</v>
      </c>
      <c r="C5970" s="6">
        <v>1755</v>
      </c>
      <c r="D5970" s="6">
        <v>1877</v>
      </c>
      <c r="E5970" s="6">
        <v>1836</v>
      </c>
      <c r="F5970" t="str">
        <f t="shared" si="2520"/>
        <v>WED</v>
      </c>
      <c r="G5970" s="3">
        <f t="shared" si="2521"/>
        <v>44167</v>
      </c>
      <c r="H5970" s="2">
        <f t="shared" ca="1" si="2522"/>
        <v>86</v>
      </c>
      <c r="I5970" t="str">
        <f t="shared" si="2523"/>
        <v>RUT</v>
      </c>
      <c r="J5970">
        <f t="shared" si="2524"/>
        <v>1755</v>
      </c>
      <c r="K5970">
        <f t="shared" si="2525"/>
        <v>1877</v>
      </c>
      <c r="L5970">
        <f t="shared" si="2526"/>
        <v>1816</v>
      </c>
      <c r="M5970">
        <f t="shared" si="2527"/>
        <v>61</v>
      </c>
      <c r="N5970">
        <f t="shared" si="2517"/>
        <v>122</v>
      </c>
      <c r="O5970">
        <f t="shared" si="2528"/>
        <v>1836</v>
      </c>
      <c r="P5970">
        <f t="shared" si="2529"/>
        <v>0.32786885245901637</v>
      </c>
      <c r="Q5970" t="str">
        <f t="shared" si="2518"/>
        <v>4.41% | 2.23%</v>
      </c>
      <c r="R5970" t="str">
        <f t="shared" si="2530"/>
        <v>BULLISH</v>
      </c>
      <c r="S5970">
        <f t="shared" si="2531"/>
        <v>1</v>
      </c>
    </row>
    <row r="5971" spans="1:19" hidden="1" x14ac:dyDescent="0.25">
      <c r="A5971" s="5" t="str">
        <f t="shared" si="2519"/>
        <v>44167COMPQ</v>
      </c>
      <c r="B5971" s="6" t="s">
        <v>8</v>
      </c>
      <c r="C5971" s="6">
        <v>11814</v>
      </c>
      <c r="D5971" s="6">
        <v>12399</v>
      </c>
      <c r="E5971" s="6">
        <v>12355</v>
      </c>
      <c r="F5971" t="str">
        <f t="shared" si="2520"/>
        <v>WED</v>
      </c>
      <c r="G5971" s="3">
        <f t="shared" si="2521"/>
        <v>44167</v>
      </c>
      <c r="H5971" s="2">
        <f t="shared" ca="1" si="2522"/>
        <v>86</v>
      </c>
      <c r="I5971" t="str">
        <f t="shared" si="2523"/>
        <v>COMPQ</v>
      </c>
      <c r="J5971">
        <f t="shared" si="2524"/>
        <v>11814</v>
      </c>
      <c r="K5971">
        <f t="shared" si="2525"/>
        <v>12399</v>
      </c>
      <c r="L5971">
        <f t="shared" si="2526"/>
        <v>12106.5</v>
      </c>
      <c r="M5971">
        <f t="shared" si="2527"/>
        <v>292.5</v>
      </c>
      <c r="N5971">
        <f t="shared" si="2517"/>
        <v>585</v>
      </c>
      <c r="O5971">
        <f t="shared" si="2528"/>
        <v>12355</v>
      </c>
      <c r="P5971">
        <f t="shared" si="2529"/>
        <v>0.84957264957264955</v>
      </c>
      <c r="Q5971" t="str">
        <f t="shared" si="2518"/>
        <v>4.38% | 0.36%</v>
      </c>
      <c r="R5971" t="str">
        <f t="shared" si="2530"/>
        <v>BULLISH</v>
      </c>
      <c r="S5971">
        <f t="shared" si="2531"/>
        <v>1</v>
      </c>
    </row>
    <row r="5972" spans="1:19" hidden="1" x14ac:dyDescent="0.25">
      <c r="A5972" s="5" t="str">
        <f t="shared" si="2519"/>
        <v>44167XLK</v>
      </c>
      <c r="B5972" s="6" t="s">
        <v>10</v>
      </c>
      <c r="C5972" s="6">
        <v>120.09</v>
      </c>
      <c r="D5972" s="6">
        <v>125.36</v>
      </c>
      <c r="E5972" s="6">
        <v>125.06</v>
      </c>
      <c r="F5972" t="str">
        <f t="shared" si="2520"/>
        <v>WED</v>
      </c>
      <c r="G5972" s="3">
        <f t="shared" si="2521"/>
        <v>44167</v>
      </c>
      <c r="H5972" s="2">
        <f t="shared" ca="1" si="2522"/>
        <v>86</v>
      </c>
      <c r="I5972" t="str">
        <f t="shared" si="2523"/>
        <v>XLK</v>
      </c>
      <c r="J5972">
        <f t="shared" si="2524"/>
        <v>120.09</v>
      </c>
      <c r="K5972">
        <f t="shared" si="2525"/>
        <v>125.36</v>
      </c>
      <c r="L5972">
        <f t="shared" si="2526"/>
        <v>122.72499999999999</v>
      </c>
      <c r="M5972">
        <f t="shared" si="2527"/>
        <v>2.634999999999998</v>
      </c>
      <c r="N5972">
        <f t="shared" si="2517"/>
        <v>5.269999999999996</v>
      </c>
      <c r="O5972">
        <f t="shared" si="2528"/>
        <v>125.06</v>
      </c>
      <c r="P5972">
        <f t="shared" si="2529"/>
        <v>0.88614800759013657</v>
      </c>
      <c r="Q5972" t="str">
        <f t="shared" si="2518"/>
        <v>3.97% | 0.24%</v>
      </c>
      <c r="R5972" t="str">
        <f t="shared" si="2530"/>
        <v>BULLISH</v>
      </c>
      <c r="S5972">
        <f t="shared" si="2531"/>
        <v>1</v>
      </c>
    </row>
    <row r="5973" spans="1:19" hidden="1" x14ac:dyDescent="0.25">
      <c r="A5973" s="5" t="str">
        <f t="shared" si="2519"/>
        <v>44167XLE</v>
      </c>
      <c r="B5973" s="6" t="s">
        <v>250</v>
      </c>
      <c r="C5973" s="6">
        <v>34.53</v>
      </c>
      <c r="D5973" s="6">
        <v>40.85</v>
      </c>
      <c r="E5973" s="6">
        <v>36.93</v>
      </c>
      <c r="F5973" t="str">
        <f t="shared" si="2520"/>
        <v>WED</v>
      </c>
      <c r="G5973" s="3">
        <f t="shared" si="2521"/>
        <v>44167</v>
      </c>
      <c r="H5973" s="2">
        <f t="shared" ca="1" si="2522"/>
        <v>86</v>
      </c>
      <c r="I5973" t="str">
        <f t="shared" si="2523"/>
        <v>XLE</v>
      </c>
      <c r="J5973">
        <f t="shared" si="2524"/>
        <v>34.53</v>
      </c>
      <c r="K5973">
        <f t="shared" si="2525"/>
        <v>40.85</v>
      </c>
      <c r="L5973">
        <f t="shared" si="2526"/>
        <v>37.69</v>
      </c>
      <c r="M5973">
        <f t="shared" si="2527"/>
        <v>3.16</v>
      </c>
      <c r="N5973">
        <f t="shared" si="2517"/>
        <v>6.32</v>
      </c>
      <c r="O5973">
        <f t="shared" si="2528"/>
        <v>36.93</v>
      </c>
      <c r="P5973">
        <f t="shared" si="2529"/>
        <v>-0.24050632911392342</v>
      </c>
      <c r="Q5973" t="str">
        <f t="shared" si="2518"/>
        <v>6.5% | 10.61%</v>
      </c>
      <c r="R5973" t="str">
        <f t="shared" si="2530"/>
        <v>BULLISH</v>
      </c>
      <c r="S5973">
        <f t="shared" si="2531"/>
        <v>1</v>
      </c>
    </row>
    <row r="5974" spans="1:19" hidden="1" x14ac:dyDescent="0.25">
      <c r="A5974" s="5" t="str">
        <f t="shared" si="2519"/>
        <v>44167XLU</v>
      </c>
      <c r="B5974" s="6" t="s">
        <v>82</v>
      </c>
      <c r="C5974" s="6">
        <v>62.07</v>
      </c>
      <c r="D5974" s="6">
        <v>64.8</v>
      </c>
      <c r="E5974" s="6">
        <v>63.28</v>
      </c>
      <c r="F5974" t="str">
        <f t="shared" si="2520"/>
        <v>WED</v>
      </c>
      <c r="G5974" s="3">
        <f t="shared" si="2521"/>
        <v>44167</v>
      </c>
      <c r="H5974" s="2">
        <f t="shared" ca="1" si="2522"/>
        <v>86</v>
      </c>
      <c r="I5974" t="str">
        <f t="shared" si="2523"/>
        <v>XLU</v>
      </c>
      <c r="J5974">
        <f t="shared" si="2524"/>
        <v>62.07</v>
      </c>
      <c r="K5974">
        <f t="shared" si="2525"/>
        <v>64.8</v>
      </c>
      <c r="L5974">
        <f t="shared" si="2526"/>
        <v>63.435000000000002</v>
      </c>
      <c r="M5974">
        <f t="shared" si="2527"/>
        <v>1.3649999999999984</v>
      </c>
      <c r="N5974">
        <f t="shared" si="2517"/>
        <v>2.7299999999999969</v>
      </c>
      <c r="O5974">
        <f t="shared" si="2528"/>
        <v>63.28</v>
      </c>
      <c r="P5974">
        <f t="shared" si="2529"/>
        <v>-0.11355311355311451</v>
      </c>
      <c r="Q5974" t="str">
        <f t="shared" si="2518"/>
        <v>1.91% | 2.4%</v>
      </c>
      <c r="R5974" t="str">
        <f t="shared" si="2530"/>
        <v>BEARISH</v>
      </c>
      <c r="S5974">
        <f t="shared" si="2531"/>
        <v>-1</v>
      </c>
    </row>
    <row r="5975" spans="1:19" hidden="1" x14ac:dyDescent="0.25">
      <c r="A5975" s="5" t="str">
        <f t="shared" si="2519"/>
        <v>44167GDX</v>
      </c>
      <c r="B5975" s="6" t="s">
        <v>254</v>
      </c>
      <c r="C5975" s="6">
        <v>33.01</v>
      </c>
      <c r="D5975" s="6">
        <v>36.799999999999997</v>
      </c>
      <c r="E5975" s="6">
        <v>35.96</v>
      </c>
      <c r="F5975" t="str">
        <f t="shared" si="2520"/>
        <v>WED</v>
      </c>
      <c r="G5975" s="3">
        <f t="shared" si="2521"/>
        <v>44167</v>
      </c>
      <c r="H5975" s="2">
        <f t="shared" ca="1" si="2522"/>
        <v>86</v>
      </c>
      <c r="I5975" t="str">
        <f t="shared" si="2523"/>
        <v>GDX</v>
      </c>
      <c r="J5975">
        <f t="shared" si="2524"/>
        <v>33.01</v>
      </c>
      <c r="K5975">
        <f t="shared" si="2525"/>
        <v>36.799999999999997</v>
      </c>
      <c r="L5975">
        <f t="shared" si="2526"/>
        <v>34.905000000000001</v>
      </c>
      <c r="M5975">
        <f t="shared" si="2527"/>
        <v>1.8949999999999996</v>
      </c>
      <c r="N5975">
        <f t="shared" si="2517"/>
        <v>3.7899999999999991</v>
      </c>
      <c r="O5975">
        <f t="shared" si="2528"/>
        <v>35.96</v>
      </c>
      <c r="P5975">
        <f t="shared" si="2529"/>
        <v>0.55672823218997358</v>
      </c>
      <c r="Q5975" t="str">
        <f t="shared" si="2518"/>
        <v>8.2% | 2.34%</v>
      </c>
      <c r="R5975" t="str">
        <f t="shared" si="2530"/>
        <v>BEARISH</v>
      </c>
      <c r="S5975">
        <f t="shared" si="2531"/>
        <v>-1</v>
      </c>
    </row>
    <row r="5976" spans="1:19" hidden="1" x14ac:dyDescent="0.25">
      <c r="A5976" s="5" t="str">
        <f t="shared" si="2519"/>
        <v>44167SSEC</v>
      </c>
      <c r="B5976" s="6" t="s">
        <v>104</v>
      </c>
      <c r="C5976" s="6">
        <v>3355</v>
      </c>
      <c r="D5976" s="6">
        <v>3468</v>
      </c>
      <c r="E5976" s="6">
        <v>3449</v>
      </c>
      <c r="F5976" t="str">
        <f t="shared" si="2520"/>
        <v>WED</v>
      </c>
      <c r="G5976" s="3">
        <f t="shared" si="2521"/>
        <v>44167</v>
      </c>
      <c r="H5976" s="2">
        <f t="shared" ca="1" si="2522"/>
        <v>86</v>
      </c>
      <c r="I5976" t="str">
        <f t="shared" si="2523"/>
        <v>SSEC</v>
      </c>
      <c r="J5976">
        <f t="shared" si="2524"/>
        <v>3355</v>
      </c>
      <c r="K5976">
        <f t="shared" si="2525"/>
        <v>3468</v>
      </c>
      <c r="L5976">
        <f t="shared" si="2526"/>
        <v>3411.5</v>
      </c>
      <c r="M5976">
        <f t="shared" si="2527"/>
        <v>56.5</v>
      </c>
      <c r="N5976">
        <f t="shared" si="2517"/>
        <v>113</v>
      </c>
      <c r="O5976">
        <f t="shared" si="2528"/>
        <v>3449</v>
      </c>
      <c r="P5976">
        <f t="shared" si="2529"/>
        <v>0.66371681415929207</v>
      </c>
      <c r="Q5976" t="str">
        <f t="shared" si="2518"/>
        <v>2.73% | 0.55%</v>
      </c>
      <c r="R5976" t="str">
        <f t="shared" si="2530"/>
        <v>BULLISH</v>
      </c>
      <c r="S5976">
        <f t="shared" si="2531"/>
        <v>1</v>
      </c>
    </row>
    <row r="5977" spans="1:19" hidden="1" x14ac:dyDescent="0.25">
      <c r="A5977" s="5" t="str">
        <f t="shared" si="2519"/>
        <v>44167NIKK</v>
      </c>
      <c r="B5977" s="6" t="s">
        <v>91</v>
      </c>
      <c r="C5977" s="6">
        <v>25325</v>
      </c>
      <c r="D5977" s="6">
        <v>27078</v>
      </c>
      <c r="E5977" s="6">
        <v>26800</v>
      </c>
      <c r="F5977" t="str">
        <f t="shared" si="2520"/>
        <v>WED</v>
      </c>
      <c r="G5977" s="3">
        <f t="shared" si="2521"/>
        <v>44167</v>
      </c>
      <c r="H5977" s="2">
        <f t="shared" ca="1" si="2522"/>
        <v>86</v>
      </c>
      <c r="I5977" t="str">
        <f t="shared" si="2523"/>
        <v>NIKK</v>
      </c>
      <c r="J5977">
        <f t="shared" si="2524"/>
        <v>25325</v>
      </c>
      <c r="K5977">
        <f t="shared" si="2525"/>
        <v>27078</v>
      </c>
      <c r="L5977">
        <f t="shared" si="2526"/>
        <v>26201.5</v>
      </c>
      <c r="M5977">
        <f t="shared" si="2527"/>
        <v>876.5</v>
      </c>
      <c r="N5977">
        <f t="shared" si="2517"/>
        <v>1753</v>
      </c>
      <c r="O5977">
        <f t="shared" si="2528"/>
        <v>26800</v>
      </c>
      <c r="P5977">
        <f t="shared" si="2529"/>
        <v>0.68282943525385054</v>
      </c>
      <c r="Q5977" t="str">
        <f t="shared" si="2518"/>
        <v>5.5% | 1.04%</v>
      </c>
      <c r="R5977" t="str">
        <f t="shared" si="2530"/>
        <v>BULLISH</v>
      </c>
      <c r="S5977">
        <f t="shared" si="2531"/>
        <v>1</v>
      </c>
    </row>
    <row r="5978" spans="1:19" hidden="1" x14ac:dyDescent="0.25">
      <c r="A5978" s="5" t="str">
        <f t="shared" si="2519"/>
        <v>44167DAX</v>
      </c>
      <c r="B5978" s="6" t="s">
        <v>92</v>
      </c>
      <c r="C5978" s="6">
        <v>12999</v>
      </c>
      <c r="D5978" s="6">
        <v>13443</v>
      </c>
      <c r="E5978" s="6">
        <v>13382</v>
      </c>
      <c r="F5978" t="str">
        <f t="shared" si="2520"/>
        <v>WED</v>
      </c>
      <c r="G5978" s="3">
        <f t="shared" si="2521"/>
        <v>44167</v>
      </c>
      <c r="H5978" s="2">
        <f t="shared" ca="1" si="2522"/>
        <v>86</v>
      </c>
      <c r="I5978" t="str">
        <f t="shared" si="2523"/>
        <v>DAX</v>
      </c>
      <c r="J5978">
        <f t="shared" si="2524"/>
        <v>12999</v>
      </c>
      <c r="K5978">
        <f t="shared" si="2525"/>
        <v>13443</v>
      </c>
      <c r="L5978">
        <f t="shared" si="2526"/>
        <v>13221</v>
      </c>
      <c r="M5978">
        <f t="shared" si="2527"/>
        <v>222</v>
      </c>
      <c r="N5978">
        <f t="shared" si="2517"/>
        <v>444</v>
      </c>
      <c r="O5978">
        <f t="shared" si="2528"/>
        <v>13382</v>
      </c>
      <c r="P5978">
        <f t="shared" si="2529"/>
        <v>0.72522522522522526</v>
      </c>
      <c r="Q5978" t="str">
        <f t="shared" si="2518"/>
        <v>2.86% | 0.46%</v>
      </c>
      <c r="R5978" t="str">
        <f t="shared" si="2530"/>
        <v>NEUTRAL</v>
      </c>
      <c r="S5978">
        <f t="shared" si="2531"/>
        <v>0</v>
      </c>
    </row>
    <row r="5979" spans="1:19" hidden="1" x14ac:dyDescent="0.25">
      <c r="A5979" s="5" t="str">
        <f t="shared" si="2519"/>
        <v>44167VIX</v>
      </c>
      <c r="B5979" s="6" t="s">
        <v>96</v>
      </c>
      <c r="C5979" s="6">
        <v>19.489999999999998</v>
      </c>
      <c r="D5979" s="6">
        <v>24.9</v>
      </c>
      <c r="E5979" s="6">
        <v>20.77</v>
      </c>
      <c r="F5979" t="str">
        <f t="shared" si="2520"/>
        <v>WED</v>
      </c>
      <c r="G5979" s="3">
        <f t="shared" si="2521"/>
        <v>44167</v>
      </c>
      <c r="H5979" s="2">
        <f t="shared" ca="1" si="2522"/>
        <v>86</v>
      </c>
      <c r="I5979" t="str">
        <f t="shared" si="2523"/>
        <v>VIX</v>
      </c>
      <c r="J5979">
        <f t="shared" si="2524"/>
        <v>19.489999999999998</v>
      </c>
      <c r="K5979">
        <f t="shared" si="2525"/>
        <v>24.9</v>
      </c>
      <c r="L5979">
        <f t="shared" si="2526"/>
        <v>22.195</v>
      </c>
      <c r="M5979">
        <f t="shared" si="2527"/>
        <v>2.7049999999999899</v>
      </c>
      <c r="N5979">
        <f t="shared" si="2517"/>
        <v>5.41</v>
      </c>
      <c r="O5979">
        <f t="shared" si="2528"/>
        <v>20.77</v>
      </c>
      <c r="P5979">
        <f t="shared" si="2529"/>
        <v>-0.52680221811460481</v>
      </c>
      <c r="Q5979" t="str">
        <f t="shared" si="2518"/>
        <v>6.16% | 19.88%</v>
      </c>
      <c r="R5979" t="str">
        <f t="shared" si="2530"/>
        <v>BEARISH</v>
      </c>
      <c r="S5979">
        <f t="shared" si="2531"/>
        <v>-1</v>
      </c>
    </row>
    <row r="5980" spans="1:19" hidden="1" x14ac:dyDescent="0.25">
      <c r="A5980" s="5" t="str">
        <f t="shared" si="2519"/>
        <v>44167USD</v>
      </c>
      <c r="B5980" s="6" t="s">
        <v>94</v>
      </c>
      <c r="C5980" s="6">
        <v>91.11</v>
      </c>
      <c r="D5980" s="6">
        <v>92.55</v>
      </c>
      <c r="E5980" s="6">
        <v>91.3</v>
      </c>
      <c r="F5980" t="str">
        <f t="shared" si="2520"/>
        <v>WED</v>
      </c>
      <c r="G5980" s="3">
        <f t="shared" si="2521"/>
        <v>44167</v>
      </c>
      <c r="H5980" s="2">
        <f t="shared" ca="1" si="2522"/>
        <v>86</v>
      </c>
      <c r="I5980" t="str">
        <f t="shared" si="2523"/>
        <v>USD</v>
      </c>
      <c r="J5980">
        <f t="shared" si="2524"/>
        <v>91.11</v>
      </c>
      <c r="K5980">
        <f t="shared" si="2525"/>
        <v>92.55</v>
      </c>
      <c r="L5980">
        <f t="shared" si="2526"/>
        <v>91.83</v>
      </c>
      <c r="M5980">
        <f t="shared" si="2527"/>
        <v>0.71999999999999886</v>
      </c>
      <c r="N5980">
        <f t="shared" si="2517"/>
        <v>1.4399999999999977</v>
      </c>
      <c r="O5980">
        <f t="shared" si="2528"/>
        <v>91.3</v>
      </c>
      <c r="P5980">
        <f t="shared" si="2529"/>
        <v>-0.73611111111111382</v>
      </c>
      <c r="Q5980" t="str">
        <f t="shared" si="2518"/>
        <v>0.21% | 1.37%</v>
      </c>
      <c r="R5980" t="str">
        <f t="shared" si="2530"/>
        <v>BEARISH</v>
      </c>
      <c r="S5980">
        <f t="shared" si="2531"/>
        <v>-1</v>
      </c>
    </row>
    <row r="5981" spans="1:19" hidden="1" x14ac:dyDescent="0.25">
      <c r="A5981" s="5" t="str">
        <f t="shared" si="2519"/>
        <v>44167EUR/USD</v>
      </c>
      <c r="B5981" s="6" t="s">
        <v>99</v>
      </c>
      <c r="C5981" s="6">
        <v>1.1859999999999999</v>
      </c>
      <c r="D5981" s="6">
        <v>1.2070000000000001</v>
      </c>
      <c r="E5981" s="6">
        <v>1.2070000000000001</v>
      </c>
      <c r="F5981" t="str">
        <f t="shared" si="2520"/>
        <v>WED</v>
      </c>
      <c r="G5981" s="3">
        <f t="shared" si="2521"/>
        <v>44167</v>
      </c>
      <c r="H5981" s="2">
        <f t="shared" ca="1" si="2522"/>
        <v>86</v>
      </c>
      <c r="I5981" t="str">
        <f t="shared" si="2523"/>
        <v>EUR/USD</v>
      </c>
      <c r="J5981">
        <f t="shared" si="2524"/>
        <v>1.1859999999999999</v>
      </c>
      <c r="K5981">
        <f t="shared" si="2525"/>
        <v>1.2070000000000001</v>
      </c>
      <c r="L5981">
        <f t="shared" si="2526"/>
        <v>1.1964999999999999</v>
      </c>
      <c r="M5981">
        <f t="shared" si="2527"/>
        <v>1.0500000000000065E-2</v>
      </c>
      <c r="N5981">
        <f t="shared" si="2517"/>
        <v>2.100000000000013E-2</v>
      </c>
      <c r="O5981">
        <f t="shared" si="2528"/>
        <v>1.2070000000000001</v>
      </c>
      <c r="P5981">
        <f t="shared" si="2529"/>
        <v>1.0000000000000107</v>
      </c>
      <c r="Q5981" t="str">
        <f t="shared" si="2518"/>
        <v>1.74% | 0%</v>
      </c>
      <c r="R5981" t="str">
        <f t="shared" si="2530"/>
        <v>BULLISH</v>
      </c>
      <c r="S5981">
        <f t="shared" si="2531"/>
        <v>1</v>
      </c>
    </row>
    <row r="5982" spans="1:19" hidden="1" x14ac:dyDescent="0.25">
      <c r="A5982" s="5" t="str">
        <f t="shared" si="2519"/>
        <v>44167USD/JPY</v>
      </c>
      <c r="B5982" s="6" t="s">
        <v>20</v>
      </c>
      <c r="C5982" s="6">
        <v>103.45</v>
      </c>
      <c r="D5982" s="6">
        <v>105.01</v>
      </c>
      <c r="E5982" s="6">
        <v>104.33</v>
      </c>
      <c r="F5982" t="str">
        <f t="shared" si="2520"/>
        <v>WED</v>
      </c>
      <c r="G5982" s="3">
        <f t="shared" si="2521"/>
        <v>44167</v>
      </c>
      <c r="H5982" s="2">
        <f t="shared" ca="1" si="2522"/>
        <v>86</v>
      </c>
      <c r="I5982" t="str">
        <f t="shared" si="2523"/>
        <v>USD/JPY</v>
      </c>
      <c r="J5982">
        <f t="shared" si="2524"/>
        <v>103.45</v>
      </c>
      <c r="K5982">
        <f t="shared" si="2525"/>
        <v>105.01</v>
      </c>
      <c r="L5982">
        <f t="shared" si="2526"/>
        <v>104.23</v>
      </c>
      <c r="M5982">
        <f t="shared" si="2527"/>
        <v>0.78000000000000114</v>
      </c>
      <c r="N5982">
        <f t="shared" si="2517"/>
        <v>1.5600000000000023</v>
      </c>
      <c r="O5982">
        <f t="shared" si="2528"/>
        <v>104.33</v>
      </c>
      <c r="P5982">
        <f t="shared" si="2529"/>
        <v>0.12820512820512073</v>
      </c>
      <c r="Q5982" t="str">
        <f t="shared" si="2518"/>
        <v>0.84% | 0.65%</v>
      </c>
      <c r="R5982" t="str">
        <f t="shared" si="2530"/>
        <v>BEARISH</v>
      </c>
      <c r="S5982">
        <f t="shared" si="2531"/>
        <v>-1</v>
      </c>
    </row>
    <row r="5983" spans="1:19" hidden="1" x14ac:dyDescent="0.25">
      <c r="A5983" s="5" t="str">
        <f t="shared" si="2519"/>
        <v>44167GBP/USD</v>
      </c>
      <c r="B5983" s="6" t="s">
        <v>102</v>
      </c>
      <c r="C5983" s="6">
        <v>1.3220000000000001</v>
      </c>
      <c r="D5983" s="6">
        <v>1.3440000000000001</v>
      </c>
      <c r="E5983" s="6">
        <v>1.3420000000000001</v>
      </c>
      <c r="F5983" t="str">
        <f t="shared" si="2520"/>
        <v>WED</v>
      </c>
      <c r="G5983" s="3">
        <f t="shared" si="2521"/>
        <v>44167</v>
      </c>
      <c r="H5983" s="2">
        <f t="shared" ca="1" si="2522"/>
        <v>86</v>
      </c>
      <c r="I5983" t="str">
        <f t="shared" si="2523"/>
        <v>GBP/USD</v>
      </c>
      <c r="J5983">
        <f t="shared" si="2524"/>
        <v>1.3220000000000001</v>
      </c>
      <c r="K5983">
        <f t="shared" si="2525"/>
        <v>1.3440000000000001</v>
      </c>
      <c r="L5983">
        <f t="shared" si="2526"/>
        <v>1.3330000000000002</v>
      </c>
      <c r="M5983">
        <f t="shared" si="2527"/>
        <v>1.100000000000001E-2</v>
      </c>
      <c r="N5983">
        <f t="shared" si="2517"/>
        <v>2.200000000000002E-2</v>
      </c>
      <c r="O5983">
        <f t="shared" si="2528"/>
        <v>1.3420000000000001</v>
      </c>
      <c r="P5983">
        <f t="shared" si="2529"/>
        <v>0.81818181818180813</v>
      </c>
      <c r="Q5983" t="str">
        <f t="shared" si="2518"/>
        <v>1.49% | 0.15%</v>
      </c>
      <c r="R5983" t="str">
        <f t="shared" si="2530"/>
        <v>BULLISH</v>
      </c>
      <c r="S5983">
        <f t="shared" si="2531"/>
        <v>1</v>
      </c>
    </row>
    <row r="5984" spans="1:19" hidden="1" x14ac:dyDescent="0.25">
      <c r="A5984" s="5" t="str">
        <f t="shared" si="2519"/>
        <v>44167CAD/USD</v>
      </c>
      <c r="B5984" s="6" t="s">
        <v>244</v>
      </c>
      <c r="C5984" s="6">
        <v>0.76</v>
      </c>
      <c r="D5984" s="6">
        <v>0.78</v>
      </c>
      <c r="E5984" s="6">
        <v>0.77</v>
      </c>
      <c r="F5984" t="str">
        <f t="shared" si="2520"/>
        <v>WED</v>
      </c>
      <c r="G5984" s="3">
        <f t="shared" si="2521"/>
        <v>44167</v>
      </c>
      <c r="H5984" s="2">
        <f t="shared" ca="1" si="2522"/>
        <v>86</v>
      </c>
      <c r="I5984" t="str">
        <f t="shared" si="2523"/>
        <v>CAD/USD</v>
      </c>
      <c r="J5984">
        <f t="shared" si="2524"/>
        <v>0.76</v>
      </c>
      <c r="K5984">
        <f t="shared" si="2525"/>
        <v>0.78</v>
      </c>
      <c r="L5984">
        <f t="shared" si="2526"/>
        <v>0.77</v>
      </c>
      <c r="M5984">
        <f t="shared" si="2527"/>
        <v>1.0000000000000009E-2</v>
      </c>
      <c r="N5984">
        <f t="shared" si="2517"/>
        <v>2.0000000000000018E-2</v>
      </c>
      <c r="O5984">
        <f t="shared" si="2528"/>
        <v>0.77</v>
      </c>
      <c r="P5984">
        <f t="shared" si="2529"/>
        <v>0</v>
      </c>
      <c r="Q5984" t="str">
        <f t="shared" si="2518"/>
        <v>1.3% | 1.3%</v>
      </c>
      <c r="R5984" t="str">
        <f t="shared" si="2530"/>
        <v>BULLISH</v>
      </c>
      <c r="S5984">
        <f t="shared" si="2531"/>
        <v>1</v>
      </c>
    </row>
    <row r="5985" spans="1:19" hidden="1" x14ac:dyDescent="0.25">
      <c r="A5985" s="5" t="str">
        <f t="shared" si="2519"/>
        <v>44167USD/CHF</v>
      </c>
      <c r="B5985" s="6" t="s">
        <v>76</v>
      </c>
      <c r="C5985" s="6">
        <v>0.89</v>
      </c>
      <c r="D5985" s="6">
        <v>0.91</v>
      </c>
      <c r="E5985" s="6">
        <v>0.9</v>
      </c>
      <c r="F5985" t="str">
        <f t="shared" si="2520"/>
        <v>WED</v>
      </c>
      <c r="G5985" s="3">
        <f t="shared" si="2521"/>
        <v>44167</v>
      </c>
      <c r="H5985" s="2">
        <f t="shared" ca="1" si="2522"/>
        <v>86</v>
      </c>
      <c r="I5985" t="str">
        <f t="shared" si="2523"/>
        <v>USD/CHF</v>
      </c>
      <c r="J5985">
        <f t="shared" si="2524"/>
        <v>0.89</v>
      </c>
      <c r="K5985">
        <f t="shared" si="2525"/>
        <v>0.91</v>
      </c>
      <c r="L5985">
        <f t="shared" si="2526"/>
        <v>0.9</v>
      </c>
      <c r="M5985">
        <f t="shared" si="2527"/>
        <v>1.0000000000000009E-2</v>
      </c>
      <c r="N5985">
        <f t="shared" si="2517"/>
        <v>2.0000000000000018E-2</v>
      </c>
      <c r="O5985">
        <f t="shared" si="2528"/>
        <v>0.9</v>
      </c>
      <c r="P5985">
        <f t="shared" si="2529"/>
        <v>0</v>
      </c>
      <c r="Q5985" t="str">
        <f t="shared" si="2518"/>
        <v>1.11% | 1.11%</v>
      </c>
      <c r="R5985" t="str">
        <f t="shared" si="2530"/>
        <v>BEARISH</v>
      </c>
      <c r="S5985">
        <f t="shared" si="2531"/>
        <v>-1</v>
      </c>
    </row>
    <row r="5986" spans="1:19" hidden="1" x14ac:dyDescent="0.25">
      <c r="A5986" s="5" t="str">
        <f t="shared" si="2519"/>
        <v>44167WTIC</v>
      </c>
      <c r="B5986" s="6" t="s">
        <v>158</v>
      </c>
      <c r="C5986" s="6">
        <v>41.94</v>
      </c>
      <c r="D5986" s="6">
        <v>46.97</v>
      </c>
      <c r="E5986" s="6">
        <v>44.55</v>
      </c>
      <c r="F5986" t="str">
        <f t="shared" si="2520"/>
        <v>WED</v>
      </c>
      <c r="G5986" s="3">
        <f t="shared" si="2521"/>
        <v>44167</v>
      </c>
      <c r="H5986" s="2">
        <f t="shared" ca="1" si="2522"/>
        <v>86</v>
      </c>
      <c r="I5986" t="str">
        <f t="shared" si="2523"/>
        <v>WTIC</v>
      </c>
      <c r="J5986">
        <f t="shared" si="2524"/>
        <v>41.94</v>
      </c>
      <c r="K5986">
        <f t="shared" si="2525"/>
        <v>46.97</v>
      </c>
      <c r="L5986">
        <f t="shared" si="2526"/>
        <v>44.454999999999998</v>
      </c>
      <c r="M5986">
        <f t="shared" si="2527"/>
        <v>2.5150000000000006</v>
      </c>
      <c r="N5986">
        <f t="shared" si="2517"/>
        <v>5.0300000000000011</v>
      </c>
      <c r="O5986">
        <f t="shared" si="2528"/>
        <v>44.55</v>
      </c>
      <c r="P5986">
        <f t="shared" si="2529"/>
        <v>3.7773359840953813E-2</v>
      </c>
      <c r="Q5986" t="str">
        <f t="shared" si="2518"/>
        <v>5.86% | 5.43%</v>
      </c>
      <c r="R5986" t="str">
        <f t="shared" si="2530"/>
        <v>BULLISH</v>
      </c>
      <c r="S5986">
        <f t="shared" si="2531"/>
        <v>1</v>
      </c>
    </row>
    <row r="5987" spans="1:19" hidden="1" x14ac:dyDescent="0.25">
      <c r="A5987" s="5" t="str">
        <f t="shared" si="2519"/>
        <v>44167NATGAS</v>
      </c>
      <c r="B5987" s="6" t="s">
        <v>89</v>
      </c>
      <c r="C5987" s="6">
        <v>2.58</v>
      </c>
      <c r="D5987" s="6">
        <v>3.06</v>
      </c>
      <c r="E5987" s="6">
        <v>2.88</v>
      </c>
      <c r="F5987" t="str">
        <f t="shared" si="2520"/>
        <v>WED</v>
      </c>
      <c r="G5987" s="3">
        <f t="shared" si="2521"/>
        <v>44167</v>
      </c>
      <c r="H5987" s="2">
        <f t="shared" ca="1" si="2522"/>
        <v>86</v>
      </c>
      <c r="I5987" t="str">
        <f t="shared" si="2523"/>
        <v>NATGAS</v>
      </c>
      <c r="J5987">
        <f t="shared" si="2524"/>
        <v>2.58</v>
      </c>
      <c r="K5987">
        <f t="shared" si="2525"/>
        <v>3.06</v>
      </c>
      <c r="L5987">
        <f t="shared" si="2526"/>
        <v>2.8200000000000003</v>
      </c>
      <c r="M5987">
        <f t="shared" si="2527"/>
        <v>0.24</v>
      </c>
      <c r="N5987">
        <f t="shared" si="2517"/>
        <v>0.48</v>
      </c>
      <c r="O5987">
        <f t="shared" si="2528"/>
        <v>2.88</v>
      </c>
      <c r="P5987">
        <f t="shared" si="2529"/>
        <v>0.24999999999999839</v>
      </c>
      <c r="Q5987" t="str">
        <f t="shared" si="2518"/>
        <v>10.42% | 6.25%</v>
      </c>
      <c r="R5987" t="str">
        <f t="shared" si="2530"/>
        <v>BULLISH</v>
      </c>
      <c r="S5987">
        <f t="shared" si="2531"/>
        <v>1</v>
      </c>
    </row>
    <row r="5988" spans="1:19" hidden="1" x14ac:dyDescent="0.25">
      <c r="A5988" s="5" t="str">
        <f t="shared" si="2519"/>
        <v>44167GOLD</v>
      </c>
      <c r="B5988" s="6" t="s">
        <v>85</v>
      </c>
      <c r="C5988" s="6">
        <v>1757</v>
      </c>
      <c r="D5988" s="6">
        <v>1839</v>
      </c>
      <c r="E5988" s="6">
        <v>1818</v>
      </c>
      <c r="F5988" t="str">
        <f t="shared" si="2520"/>
        <v>WED</v>
      </c>
      <c r="G5988" s="3">
        <f t="shared" si="2521"/>
        <v>44167</v>
      </c>
      <c r="H5988" s="2">
        <f t="shared" ca="1" si="2522"/>
        <v>86</v>
      </c>
      <c r="I5988" t="str">
        <f t="shared" si="2523"/>
        <v>GOLD</v>
      </c>
      <c r="J5988">
        <f t="shared" si="2524"/>
        <v>1757</v>
      </c>
      <c r="K5988">
        <f t="shared" si="2525"/>
        <v>1839</v>
      </c>
      <c r="L5988">
        <f t="shared" si="2526"/>
        <v>1798</v>
      </c>
      <c r="M5988">
        <f t="shared" si="2527"/>
        <v>41</v>
      </c>
      <c r="N5988">
        <f t="shared" si="2517"/>
        <v>82</v>
      </c>
      <c r="O5988">
        <f t="shared" si="2528"/>
        <v>1818</v>
      </c>
      <c r="P5988">
        <f t="shared" si="2529"/>
        <v>0.48780487804878048</v>
      </c>
      <c r="Q5988" t="str">
        <f t="shared" si="2518"/>
        <v>3.36% | 1.16%</v>
      </c>
      <c r="R5988" t="str">
        <f t="shared" si="2530"/>
        <v>BEARISH</v>
      </c>
      <c r="S5988">
        <f t="shared" si="2531"/>
        <v>-1</v>
      </c>
    </row>
    <row r="5989" spans="1:19" hidden="1" x14ac:dyDescent="0.25">
      <c r="A5989" s="5" t="str">
        <f t="shared" si="2519"/>
        <v>44167COPPER</v>
      </c>
      <c r="B5989" s="6" t="s">
        <v>100</v>
      </c>
      <c r="C5989" s="6">
        <v>3.23</v>
      </c>
      <c r="D5989" s="6">
        <v>3.53</v>
      </c>
      <c r="E5989" s="6">
        <v>3.48</v>
      </c>
      <c r="F5989" t="str">
        <f t="shared" si="2520"/>
        <v>WED</v>
      </c>
      <c r="G5989" s="3">
        <f t="shared" si="2521"/>
        <v>44167</v>
      </c>
      <c r="H5989" s="2">
        <f t="shared" ca="1" si="2522"/>
        <v>86</v>
      </c>
      <c r="I5989" t="str">
        <f t="shared" si="2523"/>
        <v>COPPER</v>
      </c>
      <c r="J5989">
        <f t="shared" si="2524"/>
        <v>3.23</v>
      </c>
      <c r="K5989">
        <f t="shared" si="2525"/>
        <v>3.53</v>
      </c>
      <c r="L5989">
        <f t="shared" si="2526"/>
        <v>3.38</v>
      </c>
      <c r="M5989">
        <f t="shared" si="2527"/>
        <v>0.14999999999999991</v>
      </c>
      <c r="N5989">
        <f t="shared" si="2517"/>
        <v>0.29999999999999982</v>
      </c>
      <c r="O5989">
        <f t="shared" si="2528"/>
        <v>3.48</v>
      </c>
      <c r="P5989">
        <f t="shared" si="2529"/>
        <v>0.66666666666666763</v>
      </c>
      <c r="Q5989" t="str">
        <f t="shared" si="2518"/>
        <v>7.18% | 1.44%</v>
      </c>
      <c r="R5989" t="str">
        <f t="shared" si="2530"/>
        <v>BULLISH</v>
      </c>
      <c r="S5989">
        <f t="shared" si="2531"/>
        <v>1</v>
      </c>
    </row>
    <row r="5990" spans="1:19" hidden="1" x14ac:dyDescent="0.25">
      <c r="A5990" s="5" t="str">
        <f t="shared" si="2519"/>
        <v>44167MSFT</v>
      </c>
      <c r="B5990" s="6" t="s">
        <v>27</v>
      </c>
      <c r="C5990" s="6">
        <v>208</v>
      </c>
      <c r="D5990" s="6">
        <v>218</v>
      </c>
      <c r="E5990" s="6">
        <v>216</v>
      </c>
      <c r="F5990" t="str">
        <f t="shared" si="2520"/>
        <v>WED</v>
      </c>
      <c r="G5990" s="3">
        <f t="shared" si="2521"/>
        <v>44167</v>
      </c>
      <c r="H5990" s="2">
        <f t="shared" ca="1" si="2522"/>
        <v>86</v>
      </c>
      <c r="I5990" t="str">
        <f t="shared" si="2523"/>
        <v>MSFT</v>
      </c>
      <c r="J5990">
        <f t="shared" si="2524"/>
        <v>208</v>
      </c>
      <c r="K5990">
        <f t="shared" si="2525"/>
        <v>218</v>
      </c>
      <c r="L5990">
        <f t="shared" si="2526"/>
        <v>213</v>
      </c>
      <c r="M5990">
        <f t="shared" si="2527"/>
        <v>5</v>
      </c>
      <c r="N5990">
        <f t="shared" si="2517"/>
        <v>10</v>
      </c>
      <c r="O5990">
        <f t="shared" si="2528"/>
        <v>216</v>
      </c>
      <c r="P5990">
        <f t="shared" si="2529"/>
        <v>0.6</v>
      </c>
      <c r="Q5990" t="str">
        <f t="shared" si="2518"/>
        <v>3.7% | 0.93%</v>
      </c>
      <c r="R5990" t="str">
        <f t="shared" si="2530"/>
        <v>BULLISH</v>
      </c>
      <c r="S5990">
        <f t="shared" si="2531"/>
        <v>1</v>
      </c>
    </row>
    <row r="5991" spans="1:19" hidden="1" x14ac:dyDescent="0.25">
      <c r="A5991" s="5" t="str">
        <f t="shared" si="2519"/>
        <v>44167AAPL</v>
      </c>
      <c r="B5991" s="6" t="s">
        <v>28</v>
      </c>
      <c r="C5991" s="6">
        <v>113</v>
      </c>
      <c r="D5991" s="6">
        <v>123</v>
      </c>
      <c r="E5991" s="6">
        <v>122</v>
      </c>
      <c r="F5991" t="str">
        <f t="shared" si="2520"/>
        <v>WED</v>
      </c>
      <c r="G5991" s="3">
        <f t="shared" si="2521"/>
        <v>44167</v>
      </c>
      <c r="H5991" s="2">
        <f t="shared" ca="1" si="2522"/>
        <v>86</v>
      </c>
      <c r="I5991" t="str">
        <f t="shared" si="2523"/>
        <v>AAPL</v>
      </c>
      <c r="J5991">
        <f t="shared" si="2524"/>
        <v>113</v>
      </c>
      <c r="K5991">
        <f t="shared" si="2525"/>
        <v>123</v>
      </c>
      <c r="L5991">
        <f t="shared" si="2526"/>
        <v>118</v>
      </c>
      <c r="M5991">
        <f t="shared" si="2527"/>
        <v>5</v>
      </c>
      <c r="N5991">
        <f t="shared" si="2517"/>
        <v>10</v>
      </c>
      <c r="O5991">
        <f t="shared" si="2528"/>
        <v>122</v>
      </c>
      <c r="P5991">
        <f t="shared" si="2529"/>
        <v>0.8</v>
      </c>
      <c r="Q5991" t="str">
        <f t="shared" si="2518"/>
        <v>7.38% | 0.82%</v>
      </c>
      <c r="R5991" t="str">
        <f t="shared" si="2530"/>
        <v>BULLISH</v>
      </c>
      <c r="S5991">
        <f t="shared" si="2531"/>
        <v>1</v>
      </c>
    </row>
    <row r="5992" spans="1:19" hidden="1" x14ac:dyDescent="0.25">
      <c r="A5992" s="5" t="str">
        <f t="shared" si="2519"/>
        <v>44167AMZN</v>
      </c>
      <c r="B5992" s="6" t="s">
        <v>69</v>
      </c>
      <c r="C5992" s="6">
        <v>3055</v>
      </c>
      <c r="D5992" s="6">
        <v>3234</v>
      </c>
      <c r="E5992" s="6">
        <v>3220</v>
      </c>
      <c r="F5992" t="str">
        <f t="shared" si="2520"/>
        <v>WED</v>
      </c>
      <c r="G5992" s="3">
        <f t="shared" si="2521"/>
        <v>44167</v>
      </c>
      <c r="H5992" s="2">
        <f t="shared" ca="1" si="2522"/>
        <v>86</v>
      </c>
      <c r="I5992" t="str">
        <f t="shared" si="2523"/>
        <v>AMZN</v>
      </c>
      <c r="J5992">
        <f t="shared" si="2524"/>
        <v>3055</v>
      </c>
      <c r="K5992">
        <f t="shared" si="2525"/>
        <v>3234</v>
      </c>
      <c r="L5992">
        <f t="shared" si="2526"/>
        <v>3144.5</v>
      </c>
      <c r="M5992">
        <f t="shared" si="2527"/>
        <v>89.5</v>
      </c>
      <c r="N5992">
        <f t="shared" si="2517"/>
        <v>179</v>
      </c>
      <c r="O5992">
        <f t="shared" si="2528"/>
        <v>3220</v>
      </c>
      <c r="P5992">
        <f t="shared" si="2529"/>
        <v>0.84357541899441346</v>
      </c>
      <c r="Q5992" t="str">
        <f t="shared" si="2518"/>
        <v>5.12% | 0.43%</v>
      </c>
      <c r="R5992" t="str">
        <f t="shared" si="2530"/>
        <v>NEUTRAL</v>
      </c>
      <c r="S5992">
        <f t="shared" si="2531"/>
        <v>0</v>
      </c>
    </row>
    <row r="5993" spans="1:19" hidden="1" x14ac:dyDescent="0.25">
      <c r="A5993" s="5" t="str">
        <f t="shared" si="2519"/>
        <v>44167FB</v>
      </c>
      <c r="B5993" s="6" t="s">
        <v>30</v>
      </c>
      <c r="C5993" s="6">
        <v>266</v>
      </c>
      <c r="D5993" s="6">
        <v>288</v>
      </c>
      <c r="E5993" s="6">
        <v>286</v>
      </c>
      <c r="F5993" t="str">
        <f t="shared" si="2520"/>
        <v>WED</v>
      </c>
      <c r="G5993" s="3">
        <f t="shared" si="2521"/>
        <v>44167</v>
      </c>
      <c r="H5993" s="2">
        <f t="shared" ca="1" si="2522"/>
        <v>86</v>
      </c>
      <c r="I5993" t="str">
        <f t="shared" si="2523"/>
        <v>FB</v>
      </c>
      <c r="J5993">
        <f t="shared" si="2524"/>
        <v>266</v>
      </c>
      <c r="K5993">
        <f t="shared" si="2525"/>
        <v>288</v>
      </c>
      <c r="L5993">
        <f t="shared" si="2526"/>
        <v>277</v>
      </c>
      <c r="M5993">
        <f t="shared" si="2527"/>
        <v>11</v>
      </c>
      <c r="N5993">
        <f t="shared" si="2517"/>
        <v>22</v>
      </c>
      <c r="O5993">
        <f t="shared" si="2528"/>
        <v>286</v>
      </c>
      <c r="P5993">
        <f t="shared" si="2529"/>
        <v>0.81818181818181823</v>
      </c>
      <c r="Q5993" t="str">
        <f t="shared" si="2518"/>
        <v>6.99% | 0.7%</v>
      </c>
      <c r="R5993" t="str">
        <f t="shared" si="2530"/>
        <v>BULLISH</v>
      </c>
      <c r="S5993">
        <f t="shared" si="2531"/>
        <v>1</v>
      </c>
    </row>
    <row r="5994" spans="1:19" hidden="1" x14ac:dyDescent="0.25">
      <c r="A5994" s="5" t="str">
        <f t="shared" si="2519"/>
        <v>44167GOOGL</v>
      </c>
      <c r="B5994" s="6" t="s">
        <v>31</v>
      </c>
      <c r="C5994" s="6">
        <v>1721</v>
      </c>
      <c r="D5994" s="6">
        <v>1805</v>
      </c>
      <c r="E5994" s="6">
        <v>1795</v>
      </c>
      <c r="F5994" t="str">
        <f t="shared" si="2520"/>
        <v>WED</v>
      </c>
      <c r="G5994" s="3">
        <f t="shared" si="2521"/>
        <v>44167</v>
      </c>
      <c r="H5994" s="2">
        <f t="shared" ca="1" si="2522"/>
        <v>86</v>
      </c>
      <c r="I5994" t="str">
        <f t="shared" si="2523"/>
        <v>GOOGL</v>
      </c>
      <c r="J5994">
        <f t="shared" si="2524"/>
        <v>1721</v>
      </c>
      <c r="K5994">
        <f t="shared" si="2525"/>
        <v>1805</v>
      </c>
      <c r="L5994">
        <f t="shared" si="2526"/>
        <v>1763</v>
      </c>
      <c r="M5994">
        <f t="shared" si="2527"/>
        <v>42</v>
      </c>
      <c r="N5994">
        <f t="shared" si="2517"/>
        <v>84</v>
      </c>
      <c r="O5994">
        <f t="shared" si="2528"/>
        <v>1795</v>
      </c>
      <c r="P5994">
        <f t="shared" si="2529"/>
        <v>0.76190476190476186</v>
      </c>
      <c r="Q5994" t="str">
        <f t="shared" si="2518"/>
        <v>4.12% | 0.56%</v>
      </c>
      <c r="R5994" t="str">
        <f t="shared" si="2530"/>
        <v>BULLISH</v>
      </c>
      <c r="S5994">
        <f t="shared" si="2531"/>
        <v>1</v>
      </c>
    </row>
    <row r="5995" spans="1:19" hidden="1" x14ac:dyDescent="0.25">
      <c r="A5995" s="5" t="str">
        <f t="shared" si="2519"/>
        <v>44167NFLX</v>
      </c>
      <c r="B5995" s="6" t="s">
        <v>81</v>
      </c>
      <c r="C5995" s="6">
        <v>481</v>
      </c>
      <c r="D5995" s="6">
        <v>509</v>
      </c>
      <c r="E5995" s="6">
        <v>504</v>
      </c>
      <c r="F5995" t="str">
        <f t="shared" si="2520"/>
        <v>WED</v>
      </c>
      <c r="G5995" s="3">
        <f t="shared" si="2521"/>
        <v>44167</v>
      </c>
      <c r="H5995" s="2">
        <f t="shared" ca="1" si="2522"/>
        <v>86</v>
      </c>
      <c r="I5995" t="str">
        <f t="shared" si="2523"/>
        <v>NFLX</v>
      </c>
      <c r="J5995">
        <f t="shared" si="2524"/>
        <v>481</v>
      </c>
      <c r="K5995">
        <f t="shared" si="2525"/>
        <v>509</v>
      </c>
      <c r="L5995">
        <f t="shared" si="2526"/>
        <v>495</v>
      </c>
      <c r="M5995">
        <f t="shared" si="2527"/>
        <v>14</v>
      </c>
      <c r="N5995">
        <f t="shared" si="2517"/>
        <v>28</v>
      </c>
      <c r="O5995">
        <f t="shared" si="2528"/>
        <v>504</v>
      </c>
      <c r="P5995">
        <f t="shared" si="2529"/>
        <v>0.6428571428571429</v>
      </c>
      <c r="Q5995" t="str">
        <f t="shared" si="2518"/>
        <v>4.56% | 0.99%</v>
      </c>
      <c r="R5995" t="str">
        <f t="shared" si="2530"/>
        <v>BEARISH</v>
      </c>
      <c r="S5995">
        <f t="shared" si="2531"/>
        <v>-1</v>
      </c>
    </row>
    <row r="5996" spans="1:19" x14ac:dyDescent="0.25">
      <c r="A5996" s="5" t="str">
        <f t="shared" si="2519"/>
        <v>44167TSLA</v>
      </c>
      <c r="B5996" s="6" t="s">
        <v>33</v>
      </c>
      <c r="C5996" s="6">
        <v>514</v>
      </c>
      <c r="D5996" s="6">
        <v>619</v>
      </c>
      <c r="E5996" s="6">
        <v>584</v>
      </c>
      <c r="F5996" t="str">
        <f t="shared" si="2520"/>
        <v>WED</v>
      </c>
      <c r="G5996" s="3">
        <f t="shared" si="2521"/>
        <v>44167</v>
      </c>
      <c r="H5996" s="2">
        <f t="shared" ca="1" si="2522"/>
        <v>86</v>
      </c>
      <c r="I5996" t="str">
        <f t="shared" si="2523"/>
        <v>TSLA</v>
      </c>
      <c r="J5996">
        <f t="shared" si="2524"/>
        <v>514</v>
      </c>
      <c r="K5996">
        <f t="shared" si="2525"/>
        <v>619</v>
      </c>
      <c r="L5996">
        <f t="shared" si="2526"/>
        <v>566.5</v>
      </c>
      <c r="M5996">
        <f t="shared" si="2527"/>
        <v>52.5</v>
      </c>
      <c r="N5996">
        <f t="shared" si="2517"/>
        <v>105</v>
      </c>
      <c r="O5996">
        <f t="shared" si="2528"/>
        <v>584</v>
      </c>
      <c r="P5996">
        <f t="shared" si="2529"/>
        <v>0.33333333333333331</v>
      </c>
      <c r="Q5996" t="str">
        <f t="shared" si="2518"/>
        <v>11.99% | 5.99%</v>
      </c>
      <c r="R5996" t="str">
        <f t="shared" si="2530"/>
        <v>BULLISH</v>
      </c>
      <c r="S5996">
        <f t="shared" si="2531"/>
        <v>1</v>
      </c>
    </row>
    <row r="5997" spans="1:19" hidden="1" x14ac:dyDescent="0.25">
      <c r="A5997" s="5" t="str">
        <f t="shared" si="2519"/>
        <v>44167NYXBT</v>
      </c>
      <c r="B5997" s="6" t="s">
        <v>60</v>
      </c>
      <c r="C5997" s="6">
        <v>16717</v>
      </c>
      <c r="D5997" s="6">
        <v>20355</v>
      </c>
      <c r="E5997" s="6">
        <v>19327</v>
      </c>
      <c r="F5997" t="str">
        <f t="shared" si="2520"/>
        <v>WED</v>
      </c>
      <c r="G5997" s="3">
        <f t="shared" si="2521"/>
        <v>44167</v>
      </c>
      <c r="H5997" s="2">
        <f t="shared" ca="1" si="2522"/>
        <v>86</v>
      </c>
      <c r="I5997" t="str">
        <f t="shared" si="2523"/>
        <v>NYXBT</v>
      </c>
      <c r="J5997">
        <f t="shared" si="2524"/>
        <v>16717</v>
      </c>
      <c r="K5997">
        <f t="shared" si="2525"/>
        <v>20355</v>
      </c>
      <c r="L5997">
        <f t="shared" si="2526"/>
        <v>18536</v>
      </c>
      <c r="M5997">
        <f t="shared" si="2527"/>
        <v>1819</v>
      </c>
      <c r="N5997">
        <f t="shared" si="2517"/>
        <v>3638</v>
      </c>
      <c r="O5997">
        <f t="shared" si="2528"/>
        <v>19327</v>
      </c>
      <c r="P5997">
        <f t="shared" si="2529"/>
        <v>0.43485431555799892</v>
      </c>
      <c r="Q5997" t="str">
        <f t="shared" si="2518"/>
        <v>13.5% | 5.32%</v>
      </c>
      <c r="R5997" t="str">
        <f t="shared" si="2530"/>
        <v>BULLISH</v>
      </c>
      <c r="S5997">
        <f t="shared" si="2531"/>
        <v>1</v>
      </c>
    </row>
    <row r="5998" spans="1:19" hidden="1" x14ac:dyDescent="0.25">
      <c r="A5998" s="5" t="str">
        <f t="shared" si="2519"/>
        <v>44168UST10Y</v>
      </c>
      <c r="B5998" s="6" t="s">
        <v>246</v>
      </c>
      <c r="C5998" s="6">
        <v>0.97</v>
      </c>
      <c r="D5998" s="6">
        <v>0.81</v>
      </c>
      <c r="E5998" s="6">
        <v>0.95</v>
      </c>
      <c r="F5998" t="str">
        <f t="shared" si="2520"/>
        <v>THU</v>
      </c>
      <c r="G5998" s="1">
        <f>DATE(2020,12,3)</f>
        <v>44168</v>
      </c>
      <c r="H5998" s="2">
        <f t="shared" ca="1" si="2522"/>
        <v>85</v>
      </c>
      <c r="I5998" t="str">
        <f t="shared" si="2523"/>
        <v>UST10Y</v>
      </c>
      <c r="J5998">
        <f t="shared" si="2524"/>
        <v>0.97</v>
      </c>
      <c r="K5998">
        <f t="shared" si="2525"/>
        <v>0.81</v>
      </c>
      <c r="L5998">
        <f t="shared" si="2526"/>
        <v>0.89</v>
      </c>
      <c r="M5998">
        <f t="shared" si="2527"/>
        <v>7.999999999999996E-2</v>
      </c>
      <c r="N5998">
        <f t="shared" si="2517"/>
        <v>0.15999999999999992</v>
      </c>
      <c r="O5998">
        <f t="shared" si="2528"/>
        <v>0.95</v>
      </c>
      <c r="P5998">
        <f t="shared" si="2529"/>
        <v>0.74999999999999967</v>
      </c>
      <c r="Q5998" t="str">
        <f t="shared" si="2518"/>
        <v>2.11% | 14.74%</v>
      </c>
      <c r="R5998" t="str">
        <f t="shared" si="2530"/>
        <v>NEUTRAL</v>
      </c>
      <c r="S5998">
        <f t="shared" si="2531"/>
        <v>0</v>
      </c>
    </row>
    <row r="5999" spans="1:19" hidden="1" x14ac:dyDescent="0.25">
      <c r="A5999" s="5" t="str">
        <f t="shared" si="2519"/>
        <v>44168UST2Y</v>
      </c>
      <c r="B5999" s="6" t="s">
        <v>253</v>
      </c>
      <c r="C5999" s="6">
        <v>0.19</v>
      </c>
      <c r="D5999" s="6">
        <v>0.15</v>
      </c>
      <c r="E5999" s="6">
        <v>0.16</v>
      </c>
      <c r="F5999" t="str">
        <f t="shared" ref="F5999:F6029" si="2532">UPPER(TEXT(G5999,"ddd"))</f>
        <v>THU</v>
      </c>
      <c r="G5999" s="1">
        <f t="shared" ref="G5999:G6028" si="2533">DATE(2020,12,3)</f>
        <v>44168</v>
      </c>
      <c r="H5999" s="2">
        <f t="shared" ref="H5999:H6029" ca="1" si="2534">TODAY()-G5999</f>
        <v>85</v>
      </c>
      <c r="I5999" t="str">
        <f t="shared" ref="I5999:I6029" si="2535">TRIM(LEFT(B5999,FIND(" ",B5999,1)))</f>
        <v>UST2Y</v>
      </c>
      <c r="J5999">
        <f t="shared" ref="J5999:J6029" si="2536">C5999</f>
        <v>0.19</v>
      </c>
      <c r="K5999">
        <f t="shared" ref="K5999:K6029" si="2537">D5999</f>
        <v>0.15</v>
      </c>
      <c r="L5999">
        <f t="shared" ref="L5999:L6029" si="2538">AVERAGE(J5999:K5999)</f>
        <v>0.16999999999999998</v>
      </c>
      <c r="M5999">
        <f t="shared" ref="M5999:M6029" si="2539">_xlfn.STDEV.P(J5999:K5999)</f>
        <v>2.0000000000000111E-2</v>
      </c>
      <c r="N5999">
        <f t="shared" si="2517"/>
        <v>4.0000000000000008E-2</v>
      </c>
      <c r="O5999">
        <f t="shared" ref="O5999:O6029" si="2540">E5999</f>
        <v>0.16</v>
      </c>
      <c r="P5999">
        <f t="shared" ref="P5999:P6029" si="2541">(O5999-L5999)/M5999</f>
        <v>-0.49999999999999628</v>
      </c>
      <c r="Q5999" t="str">
        <f t="shared" si="2518"/>
        <v>18.75% | 6.25%</v>
      </c>
      <c r="R5999" t="str">
        <f t="shared" ref="R5999:R6029" si="2542">MID(B5999,FIND("(",B5999,1)+1,FIND(")",B5999,1)-FIND("(",B5999,1)-1)</f>
        <v>NEUTRAL</v>
      </c>
      <c r="S5999">
        <f t="shared" ref="S5999:S6029" si="2543">IF(R5999="BEARISH",-1,IF(R5999="NEUTRAL",0,IF(R5999="BULLISH",1,99)))</f>
        <v>0</v>
      </c>
    </row>
    <row r="6000" spans="1:19" hidden="1" x14ac:dyDescent="0.25">
      <c r="A6000" s="5" t="str">
        <f t="shared" si="2519"/>
        <v>44168SPX</v>
      </c>
      <c r="B6000" s="6" t="s">
        <v>93</v>
      </c>
      <c r="C6000" s="6">
        <v>3552</v>
      </c>
      <c r="D6000" s="6">
        <v>3699</v>
      </c>
      <c r="E6000" s="6">
        <v>3669</v>
      </c>
      <c r="F6000" t="str">
        <f t="shared" si="2532"/>
        <v>THU</v>
      </c>
      <c r="G6000" s="1">
        <f t="shared" si="2533"/>
        <v>44168</v>
      </c>
      <c r="H6000" s="2">
        <f t="shared" ca="1" si="2534"/>
        <v>85</v>
      </c>
      <c r="I6000" t="str">
        <f t="shared" si="2535"/>
        <v>SPX</v>
      </c>
      <c r="J6000">
        <f t="shared" si="2536"/>
        <v>3552</v>
      </c>
      <c r="K6000">
        <f t="shared" si="2537"/>
        <v>3699</v>
      </c>
      <c r="L6000">
        <f t="shared" si="2538"/>
        <v>3625.5</v>
      </c>
      <c r="M6000">
        <f t="shared" si="2539"/>
        <v>73.5</v>
      </c>
      <c r="N6000">
        <f t="shared" si="2517"/>
        <v>147</v>
      </c>
      <c r="O6000">
        <f t="shared" si="2540"/>
        <v>3669</v>
      </c>
      <c r="P6000">
        <f t="shared" si="2541"/>
        <v>0.59183673469387754</v>
      </c>
      <c r="Q6000" t="str">
        <f t="shared" si="2518"/>
        <v>3.19% | 0.82%</v>
      </c>
      <c r="R6000" t="str">
        <f t="shared" si="2542"/>
        <v>BULLISH</v>
      </c>
      <c r="S6000">
        <f t="shared" si="2543"/>
        <v>1</v>
      </c>
    </row>
    <row r="6001" spans="1:19" hidden="1" x14ac:dyDescent="0.25">
      <c r="A6001" s="5" t="str">
        <f t="shared" si="2519"/>
        <v>44168RUT</v>
      </c>
      <c r="B6001" s="6" t="s">
        <v>247</v>
      </c>
      <c r="C6001" s="6">
        <v>1774</v>
      </c>
      <c r="D6001" s="6">
        <v>1878</v>
      </c>
      <c r="E6001" s="6">
        <v>1838</v>
      </c>
      <c r="F6001" t="str">
        <f t="shared" si="2532"/>
        <v>THU</v>
      </c>
      <c r="G6001" s="1">
        <f t="shared" si="2533"/>
        <v>44168</v>
      </c>
      <c r="H6001" s="2">
        <f t="shared" ca="1" si="2534"/>
        <v>85</v>
      </c>
      <c r="I6001" t="str">
        <f t="shared" si="2535"/>
        <v>RUT</v>
      </c>
      <c r="J6001">
        <f t="shared" si="2536"/>
        <v>1774</v>
      </c>
      <c r="K6001">
        <f t="shared" si="2537"/>
        <v>1878</v>
      </c>
      <c r="L6001">
        <f t="shared" si="2538"/>
        <v>1826</v>
      </c>
      <c r="M6001">
        <f t="shared" si="2539"/>
        <v>52</v>
      </c>
      <c r="N6001">
        <f t="shared" si="2517"/>
        <v>104</v>
      </c>
      <c r="O6001">
        <f t="shared" si="2540"/>
        <v>1838</v>
      </c>
      <c r="P6001">
        <f t="shared" si="2541"/>
        <v>0.23076923076923078</v>
      </c>
      <c r="Q6001" t="str">
        <f t="shared" si="2518"/>
        <v>3.48% | 2.18%</v>
      </c>
      <c r="R6001" t="str">
        <f t="shared" si="2542"/>
        <v>BULLISH</v>
      </c>
      <c r="S6001">
        <f t="shared" si="2543"/>
        <v>1</v>
      </c>
    </row>
    <row r="6002" spans="1:19" hidden="1" x14ac:dyDescent="0.25">
      <c r="A6002" s="5" t="str">
        <f t="shared" si="2519"/>
        <v>44168COMPQ</v>
      </c>
      <c r="B6002" s="6" t="s">
        <v>8</v>
      </c>
      <c r="C6002" s="6">
        <v>11840</v>
      </c>
      <c r="D6002" s="6">
        <v>12472</v>
      </c>
      <c r="E6002" s="6">
        <v>12349</v>
      </c>
      <c r="F6002" t="str">
        <f t="shared" si="2532"/>
        <v>THU</v>
      </c>
      <c r="G6002" s="1">
        <f t="shared" si="2533"/>
        <v>44168</v>
      </c>
      <c r="H6002" s="2">
        <f t="shared" ca="1" si="2534"/>
        <v>85</v>
      </c>
      <c r="I6002" t="str">
        <f t="shared" si="2535"/>
        <v>COMPQ</v>
      </c>
      <c r="J6002">
        <f t="shared" si="2536"/>
        <v>11840</v>
      </c>
      <c r="K6002">
        <f t="shared" si="2537"/>
        <v>12472</v>
      </c>
      <c r="L6002">
        <f t="shared" si="2538"/>
        <v>12156</v>
      </c>
      <c r="M6002">
        <f t="shared" si="2539"/>
        <v>316</v>
      </c>
      <c r="N6002">
        <f t="shared" si="2517"/>
        <v>632</v>
      </c>
      <c r="O6002">
        <f t="shared" si="2540"/>
        <v>12349</v>
      </c>
      <c r="P6002">
        <f t="shared" si="2541"/>
        <v>0.61075949367088611</v>
      </c>
      <c r="Q6002" t="str">
        <f t="shared" si="2518"/>
        <v>4.12% | 1%</v>
      </c>
      <c r="R6002" t="str">
        <f t="shared" si="2542"/>
        <v>BULLISH</v>
      </c>
      <c r="S6002">
        <f t="shared" si="2543"/>
        <v>1</v>
      </c>
    </row>
    <row r="6003" spans="1:19" hidden="1" x14ac:dyDescent="0.25">
      <c r="A6003" s="5" t="str">
        <f t="shared" si="2519"/>
        <v>44168XLK</v>
      </c>
      <c r="B6003" s="6" t="s">
        <v>10</v>
      </c>
      <c r="C6003" s="6">
        <v>120.32</v>
      </c>
      <c r="D6003" s="6">
        <v>125.92</v>
      </c>
      <c r="E6003" s="6">
        <v>124.87</v>
      </c>
      <c r="F6003" t="str">
        <f t="shared" si="2532"/>
        <v>THU</v>
      </c>
      <c r="G6003" s="1">
        <f t="shared" si="2533"/>
        <v>44168</v>
      </c>
      <c r="H6003" s="2">
        <f t="shared" ca="1" si="2534"/>
        <v>85</v>
      </c>
      <c r="I6003" t="str">
        <f t="shared" si="2535"/>
        <v>XLK</v>
      </c>
      <c r="J6003">
        <f t="shared" si="2536"/>
        <v>120.32</v>
      </c>
      <c r="K6003">
        <f t="shared" si="2537"/>
        <v>125.92</v>
      </c>
      <c r="L6003">
        <f t="shared" si="2538"/>
        <v>123.12</v>
      </c>
      <c r="M6003">
        <f t="shared" si="2539"/>
        <v>2.8000000000000043</v>
      </c>
      <c r="N6003">
        <f t="shared" si="2517"/>
        <v>5.6000000000000085</v>
      </c>
      <c r="O6003">
        <f t="shared" si="2540"/>
        <v>124.87</v>
      </c>
      <c r="P6003">
        <f t="shared" si="2541"/>
        <v>0.624999999999999</v>
      </c>
      <c r="Q6003" t="str">
        <f t="shared" si="2518"/>
        <v>3.64% | 0.84%</v>
      </c>
      <c r="R6003" t="str">
        <f t="shared" si="2542"/>
        <v>BULLISH</v>
      </c>
      <c r="S6003">
        <f t="shared" si="2543"/>
        <v>1</v>
      </c>
    </row>
    <row r="6004" spans="1:19" hidden="1" x14ac:dyDescent="0.25">
      <c r="A6004" s="5" t="str">
        <f t="shared" si="2519"/>
        <v>44168XLE</v>
      </c>
      <c r="B6004" s="6" t="s">
        <v>250</v>
      </c>
      <c r="C6004" s="6">
        <v>34.89</v>
      </c>
      <c r="D6004" s="6">
        <v>40.86</v>
      </c>
      <c r="E6004" s="6">
        <v>38.130000000000003</v>
      </c>
      <c r="F6004" t="str">
        <f t="shared" si="2532"/>
        <v>THU</v>
      </c>
      <c r="G6004" s="1">
        <f t="shared" si="2533"/>
        <v>44168</v>
      </c>
      <c r="H6004" s="2">
        <f t="shared" ca="1" si="2534"/>
        <v>85</v>
      </c>
      <c r="I6004" t="str">
        <f t="shared" si="2535"/>
        <v>XLE</v>
      </c>
      <c r="J6004">
        <f t="shared" si="2536"/>
        <v>34.89</v>
      </c>
      <c r="K6004">
        <f t="shared" si="2537"/>
        <v>40.86</v>
      </c>
      <c r="L6004">
        <f t="shared" si="2538"/>
        <v>37.875</v>
      </c>
      <c r="M6004">
        <f t="shared" si="2539"/>
        <v>2.9849999999999994</v>
      </c>
      <c r="N6004">
        <f t="shared" si="2517"/>
        <v>5.9699999999999989</v>
      </c>
      <c r="O6004">
        <f t="shared" si="2540"/>
        <v>38.130000000000003</v>
      </c>
      <c r="P6004">
        <f t="shared" si="2541"/>
        <v>8.5427135678392829E-2</v>
      </c>
      <c r="Q6004" t="str">
        <f t="shared" si="2518"/>
        <v>8.5% | 7.16%</v>
      </c>
      <c r="R6004" t="str">
        <f t="shared" si="2542"/>
        <v>BULLISH</v>
      </c>
      <c r="S6004">
        <f t="shared" si="2543"/>
        <v>1</v>
      </c>
    </row>
    <row r="6005" spans="1:19" hidden="1" x14ac:dyDescent="0.25">
      <c r="A6005" s="5" t="str">
        <f t="shared" si="2519"/>
        <v>44168XLU</v>
      </c>
      <c r="B6005" s="6" t="s">
        <v>82</v>
      </c>
      <c r="C6005" s="6">
        <v>62.1</v>
      </c>
      <c r="D6005" s="6">
        <v>64.73</v>
      </c>
      <c r="E6005" s="6">
        <v>63.7</v>
      </c>
      <c r="F6005" t="str">
        <f t="shared" si="2532"/>
        <v>THU</v>
      </c>
      <c r="G6005" s="1">
        <f t="shared" si="2533"/>
        <v>44168</v>
      </c>
      <c r="H6005" s="2">
        <f t="shared" ca="1" si="2534"/>
        <v>85</v>
      </c>
      <c r="I6005" t="str">
        <f t="shared" si="2535"/>
        <v>XLU</v>
      </c>
      <c r="J6005">
        <f t="shared" si="2536"/>
        <v>62.1</v>
      </c>
      <c r="K6005">
        <f t="shared" si="2537"/>
        <v>64.73</v>
      </c>
      <c r="L6005">
        <f t="shared" si="2538"/>
        <v>63.415000000000006</v>
      </c>
      <c r="M6005">
        <f t="shared" si="2539"/>
        <v>1.3150000000000013</v>
      </c>
      <c r="N6005">
        <f t="shared" si="2517"/>
        <v>2.6300000000000026</v>
      </c>
      <c r="O6005">
        <f t="shared" si="2540"/>
        <v>63.7</v>
      </c>
      <c r="P6005">
        <f t="shared" si="2541"/>
        <v>0.21673003802281088</v>
      </c>
      <c r="Q6005" t="str">
        <f t="shared" si="2518"/>
        <v>2.51% | 1.62%</v>
      </c>
      <c r="R6005" t="str">
        <f t="shared" si="2542"/>
        <v>BEARISH</v>
      </c>
      <c r="S6005">
        <f t="shared" si="2543"/>
        <v>-1</v>
      </c>
    </row>
    <row r="6006" spans="1:19" hidden="1" x14ac:dyDescent="0.25">
      <c r="A6006" s="5" t="str">
        <f t="shared" si="2519"/>
        <v>44168GDX</v>
      </c>
      <c r="B6006" s="6" t="s">
        <v>254</v>
      </c>
      <c r="C6006" s="6">
        <v>33.03</v>
      </c>
      <c r="D6006" s="6">
        <v>36.79</v>
      </c>
      <c r="E6006" s="6">
        <v>35.97</v>
      </c>
      <c r="F6006" t="str">
        <f t="shared" si="2532"/>
        <v>THU</v>
      </c>
      <c r="G6006" s="1">
        <f t="shared" si="2533"/>
        <v>44168</v>
      </c>
      <c r="H6006" s="2">
        <f t="shared" ca="1" si="2534"/>
        <v>85</v>
      </c>
      <c r="I6006" t="str">
        <f t="shared" si="2535"/>
        <v>GDX</v>
      </c>
      <c r="J6006">
        <f t="shared" si="2536"/>
        <v>33.03</v>
      </c>
      <c r="K6006">
        <f t="shared" si="2537"/>
        <v>36.79</v>
      </c>
      <c r="L6006">
        <f t="shared" si="2538"/>
        <v>34.909999999999997</v>
      </c>
      <c r="M6006">
        <f t="shared" si="2539"/>
        <v>1.879999999999999</v>
      </c>
      <c r="N6006">
        <f t="shared" si="2517"/>
        <v>3.759999999999998</v>
      </c>
      <c r="O6006">
        <f t="shared" si="2540"/>
        <v>35.97</v>
      </c>
      <c r="P6006">
        <f t="shared" si="2541"/>
        <v>0.56382978723404409</v>
      </c>
      <c r="Q6006" t="str">
        <f t="shared" si="2518"/>
        <v>8.17% | 2.28%</v>
      </c>
      <c r="R6006" t="str">
        <f t="shared" si="2542"/>
        <v>BEARISH</v>
      </c>
      <c r="S6006">
        <f t="shared" si="2543"/>
        <v>-1</v>
      </c>
    </row>
    <row r="6007" spans="1:19" hidden="1" x14ac:dyDescent="0.25">
      <c r="A6007" s="5" t="str">
        <f t="shared" si="2519"/>
        <v>44168SSEC</v>
      </c>
      <c r="B6007" s="6" t="s">
        <v>104</v>
      </c>
      <c r="C6007" s="6">
        <v>3361</v>
      </c>
      <c r="D6007" s="6">
        <v>3473</v>
      </c>
      <c r="E6007" s="6">
        <v>3442</v>
      </c>
      <c r="F6007" t="str">
        <f t="shared" si="2532"/>
        <v>THU</v>
      </c>
      <c r="G6007" s="1">
        <f t="shared" si="2533"/>
        <v>44168</v>
      </c>
      <c r="H6007" s="2">
        <f t="shared" ca="1" si="2534"/>
        <v>85</v>
      </c>
      <c r="I6007" t="str">
        <f t="shared" si="2535"/>
        <v>SSEC</v>
      </c>
      <c r="J6007">
        <f t="shared" si="2536"/>
        <v>3361</v>
      </c>
      <c r="K6007">
        <f t="shared" si="2537"/>
        <v>3473</v>
      </c>
      <c r="L6007">
        <f t="shared" si="2538"/>
        <v>3417</v>
      </c>
      <c r="M6007">
        <f t="shared" si="2539"/>
        <v>56</v>
      </c>
      <c r="N6007">
        <f t="shared" si="2517"/>
        <v>112</v>
      </c>
      <c r="O6007">
        <f t="shared" si="2540"/>
        <v>3442</v>
      </c>
      <c r="P6007">
        <f t="shared" si="2541"/>
        <v>0.44642857142857145</v>
      </c>
      <c r="Q6007" t="str">
        <f t="shared" si="2518"/>
        <v>2.35% | 0.9%</v>
      </c>
      <c r="R6007" t="str">
        <f t="shared" si="2542"/>
        <v>BULLISH</v>
      </c>
      <c r="S6007">
        <f t="shared" si="2543"/>
        <v>1</v>
      </c>
    </row>
    <row r="6008" spans="1:19" hidden="1" x14ac:dyDescent="0.25">
      <c r="A6008" s="5" t="str">
        <f t="shared" si="2519"/>
        <v>44168NIKK</v>
      </c>
      <c r="B6008" s="6" t="s">
        <v>91</v>
      </c>
      <c r="C6008" s="6">
        <v>25555</v>
      </c>
      <c r="D6008" s="6">
        <v>27200</v>
      </c>
      <c r="E6008" s="6">
        <v>26809</v>
      </c>
      <c r="F6008" t="str">
        <f t="shared" si="2532"/>
        <v>THU</v>
      </c>
      <c r="G6008" s="1">
        <f t="shared" si="2533"/>
        <v>44168</v>
      </c>
      <c r="H6008" s="2">
        <f t="shared" ca="1" si="2534"/>
        <v>85</v>
      </c>
      <c r="I6008" t="str">
        <f t="shared" si="2535"/>
        <v>NIKK</v>
      </c>
      <c r="J6008">
        <f t="shared" si="2536"/>
        <v>25555</v>
      </c>
      <c r="K6008">
        <f t="shared" si="2537"/>
        <v>27200</v>
      </c>
      <c r="L6008">
        <f t="shared" si="2538"/>
        <v>26377.5</v>
      </c>
      <c r="M6008">
        <f t="shared" si="2539"/>
        <v>822.5</v>
      </c>
      <c r="N6008">
        <f t="shared" si="2517"/>
        <v>1645</v>
      </c>
      <c r="O6008">
        <f t="shared" si="2540"/>
        <v>26809</v>
      </c>
      <c r="P6008">
        <f t="shared" si="2541"/>
        <v>0.52462006079027357</v>
      </c>
      <c r="Q6008" t="str">
        <f t="shared" si="2518"/>
        <v>4.68% | 1.46%</v>
      </c>
      <c r="R6008" t="str">
        <f t="shared" si="2542"/>
        <v>BULLISH</v>
      </c>
      <c r="S6008">
        <f t="shared" si="2543"/>
        <v>1</v>
      </c>
    </row>
    <row r="6009" spans="1:19" hidden="1" x14ac:dyDescent="0.25">
      <c r="A6009" s="5" t="str">
        <f t="shared" si="2519"/>
        <v>44168DAX</v>
      </c>
      <c r="B6009" s="6" t="s">
        <v>92</v>
      </c>
      <c r="C6009" s="6">
        <v>13011</v>
      </c>
      <c r="D6009" s="6">
        <v>13453</v>
      </c>
      <c r="E6009" s="6">
        <v>13313</v>
      </c>
      <c r="F6009" t="str">
        <f t="shared" si="2532"/>
        <v>THU</v>
      </c>
      <c r="G6009" s="1">
        <f t="shared" si="2533"/>
        <v>44168</v>
      </c>
      <c r="H6009" s="2">
        <f t="shared" ca="1" si="2534"/>
        <v>85</v>
      </c>
      <c r="I6009" t="str">
        <f t="shared" si="2535"/>
        <v>DAX</v>
      </c>
      <c r="J6009">
        <f t="shared" si="2536"/>
        <v>13011</v>
      </c>
      <c r="K6009">
        <f t="shared" si="2537"/>
        <v>13453</v>
      </c>
      <c r="L6009">
        <f t="shared" si="2538"/>
        <v>13232</v>
      </c>
      <c r="M6009">
        <f t="shared" si="2539"/>
        <v>221</v>
      </c>
      <c r="N6009">
        <f t="shared" si="2517"/>
        <v>442</v>
      </c>
      <c r="O6009">
        <f t="shared" si="2540"/>
        <v>13313</v>
      </c>
      <c r="P6009">
        <f t="shared" si="2541"/>
        <v>0.36651583710407237</v>
      </c>
      <c r="Q6009" t="str">
        <f t="shared" si="2518"/>
        <v>2.27% | 1.05%</v>
      </c>
      <c r="R6009" t="str">
        <f t="shared" si="2542"/>
        <v>NEUTRAL</v>
      </c>
      <c r="S6009">
        <f t="shared" si="2543"/>
        <v>0</v>
      </c>
    </row>
    <row r="6010" spans="1:19" hidden="1" x14ac:dyDescent="0.25">
      <c r="A6010" s="5" t="str">
        <f t="shared" si="2519"/>
        <v>44168VIX</v>
      </c>
      <c r="B6010" s="6" t="s">
        <v>96</v>
      </c>
      <c r="C6010" s="6">
        <v>19.510000000000002</v>
      </c>
      <c r="D6010" s="6">
        <v>23.98</v>
      </c>
      <c r="E6010" s="6">
        <v>21.17</v>
      </c>
      <c r="F6010" t="str">
        <f t="shared" si="2532"/>
        <v>THU</v>
      </c>
      <c r="G6010" s="1">
        <f t="shared" si="2533"/>
        <v>44168</v>
      </c>
      <c r="H6010" s="2">
        <f t="shared" ca="1" si="2534"/>
        <v>85</v>
      </c>
      <c r="I6010" t="str">
        <f t="shared" si="2535"/>
        <v>VIX</v>
      </c>
      <c r="J6010">
        <f t="shared" si="2536"/>
        <v>19.510000000000002</v>
      </c>
      <c r="K6010">
        <f t="shared" si="2537"/>
        <v>23.98</v>
      </c>
      <c r="L6010">
        <f t="shared" si="2538"/>
        <v>21.745000000000001</v>
      </c>
      <c r="M6010">
        <f t="shared" si="2539"/>
        <v>2.2350000000000012</v>
      </c>
      <c r="N6010">
        <f t="shared" si="2517"/>
        <v>4.4699999999999989</v>
      </c>
      <c r="O6010">
        <f t="shared" si="2540"/>
        <v>21.17</v>
      </c>
      <c r="P6010">
        <f t="shared" si="2541"/>
        <v>-0.25727069351230381</v>
      </c>
      <c r="Q6010" t="str">
        <f t="shared" si="2518"/>
        <v>7.84% | 13.27%</v>
      </c>
      <c r="R6010" t="str">
        <f t="shared" si="2542"/>
        <v>BEARISH</v>
      </c>
      <c r="S6010">
        <f t="shared" si="2543"/>
        <v>-1</v>
      </c>
    </row>
    <row r="6011" spans="1:19" hidden="1" x14ac:dyDescent="0.25">
      <c r="A6011" s="5" t="str">
        <f t="shared" si="2519"/>
        <v>44168USD</v>
      </c>
      <c r="B6011" s="6" t="s">
        <v>94</v>
      </c>
      <c r="C6011" s="6">
        <v>90.93</v>
      </c>
      <c r="D6011" s="6">
        <v>92.46</v>
      </c>
      <c r="E6011" s="6">
        <v>91.11</v>
      </c>
      <c r="F6011" t="str">
        <f t="shared" si="2532"/>
        <v>THU</v>
      </c>
      <c r="G6011" s="1">
        <f t="shared" si="2533"/>
        <v>44168</v>
      </c>
      <c r="H6011" s="2">
        <f t="shared" ca="1" si="2534"/>
        <v>85</v>
      </c>
      <c r="I6011" t="str">
        <f t="shared" si="2535"/>
        <v>USD</v>
      </c>
      <c r="J6011">
        <f t="shared" si="2536"/>
        <v>90.93</v>
      </c>
      <c r="K6011">
        <f t="shared" si="2537"/>
        <v>92.46</v>
      </c>
      <c r="L6011">
        <f t="shared" si="2538"/>
        <v>91.694999999999993</v>
      </c>
      <c r="M6011">
        <f t="shared" si="2539"/>
        <v>0.76499999999999346</v>
      </c>
      <c r="N6011">
        <f t="shared" si="2517"/>
        <v>1.5299999999999869</v>
      </c>
      <c r="O6011">
        <f t="shared" si="2540"/>
        <v>91.11</v>
      </c>
      <c r="P6011">
        <f t="shared" si="2541"/>
        <v>-0.76470588235293957</v>
      </c>
      <c r="Q6011" t="str">
        <f t="shared" si="2518"/>
        <v>0.2% | 1.48%</v>
      </c>
      <c r="R6011" t="str">
        <f t="shared" si="2542"/>
        <v>BEARISH</v>
      </c>
      <c r="S6011">
        <f t="shared" si="2543"/>
        <v>-1</v>
      </c>
    </row>
    <row r="6012" spans="1:19" hidden="1" x14ac:dyDescent="0.25">
      <c r="A6012" s="5" t="str">
        <f t="shared" si="2519"/>
        <v>44168EUR/USD</v>
      </c>
      <c r="B6012" s="6" t="s">
        <v>99</v>
      </c>
      <c r="C6012" s="6">
        <v>1.1879999999999999</v>
      </c>
      <c r="D6012" s="6">
        <v>1.212</v>
      </c>
      <c r="E6012" s="6">
        <v>1.212</v>
      </c>
      <c r="F6012" t="str">
        <f t="shared" si="2532"/>
        <v>THU</v>
      </c>
      <c r="G6012" s="1">
        <f t="shared" si="2533"/>
        <v>44168</v>
      </c>
      <c r="H6012" s="2">
        <f t="shared" ca="1" si="2534"/>
        <v>85</v>
      </c>
      <c r="I6012" t="str">
        <f t="shared" si="2535"/>
        <v>EUR/USD</v>
      </c>
      <c r="J6012">
        <f t="shared" si="2536"/>
        <v>1.1879999999999999</v>
      </c>
      <c r="K6012">
        <f t="shared" si="2537"/>
        <v>1.212</v>
      </c>
      <c r="L6012">
        <f t="shared" si="2538"/>
        <v>1.2</v>
      </c>
      <c r="M6012">
        <f t="shared" si="2539"/>
        <v>1.2000000000000011E-2</v>
      </c>
      <c r="N6012">
        <f t="shared" si="2517"/>
        <v>2.4000000000000021E-2</v>
      </c>
      <c r="O6012">
        <f t="shared" si="2540"/>
        <v>1.212</v>
      </c>
      <c r="P6012">
        <f t="shared" si="2541"/>
        <v>1</v>
      </c>
      <c r="Q6012" t="str">
        <f t="shared" si="2518"/>
        <v>1.98% | 0%</v>
      </c>
      <c r="R6012" t="str">
        <f t="shared" si="2542"/>
        <v>BULLISH</v>
      </c>
      <c r="S6012">
        <f t="shared" si="2543"/>
        <v>1</v>
      </c>
    </row>
    <row r="6013" spans="1:19" hidden="1" x14ac:dyDescent="0.25">
      <c r="A6013" s="5" t="str">
        <f t="shared" si="2519"/>
        <v>44168USD/JPY</v>
      </c>
      <c r="B6013" s="6" t="s">
        <v>20</v>
      </c>
      <c r="C6013" s="6">
        <v>103.49</v>
      </c>
      <c r="D6013" s="6">
        <v>105</v>
      </c>
      <c r="E6013" s="6">
        <v>104.42</v>
      </c>
      <c r="F6013" t="str">
        <f t="shared" si="2532"/>
        <v>THU</v>
      </c>
      <c r="G6013" s="1">
        <f t="shared" si="2533"/>
        <v>44168</v>
      </c>
      <c r="H6013" s="2">
        <f t="shared" ca="1" si="2534"/>
        <v>85</v>
      </c>
      <c r="I6013" t="str">
        <f t="shared" si="2535"/>
        <v>USD/JPY</v>
      </c>
      <c r="J6013">
        <f t="shared" si="2536"/>
        <v>103.49</v>
      </c>
      <c r="K6013">
        <f t="shared" si="2537"/>
        <v>105</v>
      </c>
      <c r="L6013">
        <f t="shared" si="2538"/>
        <v>104.245</v>
      </c>
      <c r="M6013">
        <f t="shared" si="2539"/>
        <v>0.75500000000000256</v>
      </c>
      <c r="N6013">
        <f t="shared" si="2517"/>
        <v>1.5100000000000051</v>
      </c>
      <c r="O6013">
        <f t="shared" si="2540"/>
        <v>104.42</v>
      </c>
      <c r="P6013">
        <f t="shared" si="2541"/>
        <v>0.23178807947019411</v>
      </c>
      <c r="Q6013" t="str">
        <f t="shared" si="2518"/>
        <v>0.89% | 0.56%</v>
      </c>
      <c r="R6013" t="str">
        <f t="shared" si="2542"/>
        <v>BEARISH</v>
      </c>
      <c r="S6013">
        <f t="shared" si="2543"/>
        <v>-1</v>
      </c>
    </row>
    <row r="6014" spans="1:19" hidden="1" x14ac:dyDescent="0.25">
      <c r="A6014" s="5" t="str">
        <f t="shared" si="2519"/>
        <v>44168GBP/USD</v>
      </c>
      <c r="B6014" s="6" t="s">
        <v>102</v>
      </c>
      <c r="C6014" s="6">
        <v>1.323</v>
      </c>
      <c r="D6014" s="6">
        <v>1.3440000000000001</v>
      </c>
      <c r="E6014" s="6">
        <v>1.337</v>
      </c>
      <c r="F6014" t="str">
        <f t="shared" si="2532"/>
        <v>THU</v>
      </c>
      <c r="G6014" s="1">
        <f t="shared" si="2533"/>
        <v>44168</v>
      </c>
      <c r="H6014" s="2">
        <f t="shared" ca="1" si="2534"/>
        <v>85</v>
      </c>
      <c r="I6014" t="str">
        <f t="shared" si="2535"/>
        <v>GBP/USD</v>
      </c>
      <c r="J6014">
        <f t="shared" si="2536"/>
        <v>1.323</v>
      </c>
      <c r="K6014">
        <f t="shared" si="2537"/>
        <v>1.3440000000000001</v>
      </c>
      <c r="L6014">
        <f t="shared" si="2538"/>
        <v>1.3334999999999999</v>
      </c>
      <c r="M6014">
        <f t="shared" si="2539"/>
        <v>1.0500000000000065E-2</v>
      </c>
      <c r="N6014">
        <f t="shared" si="2517"/>
        <v>2.100000000000013E-2</v>
      </c>
      <c r="O6014">
        <f t="shared" si="2540"/>
        <v>1.337</v>
      </c>
      <c r="P6014">
        <f t="shared" si="2541"/>
        <v>0.33333333333333687</v>
      </c>
      <c r="Q6014" t="str">
        <f t="shared" si="2518"/>
        <v>1.05% | 0.52%</v>
      </c>
      <c r="R6014" t="str">
        <f t="shared" si="2542"/>
        <v>BULLISH</v>
      </c>
      <c r="S6014">
        <f t="shared" si="2543"/>
        <v>1</v>
      </c>
    </row>
    <row r="6015" spans="1:19" hidden="1" x14ac:dyDescent="0.25">
      <c r="A6015" s="5" t="str">
        <f t="shared" si="2519"/>
        <v>44168CAD/USD</v>
      </c>
      <c r="B6015" s="6" t="s">
        <v>244</v>
      </c>
      <c r="C6015" s="6">
        <v>0.76</v>
      </c>
      <c r="D6015" s="6">
        <v>0.78</v>
      </c>
      <c r="E6015" s="6">
        <v>0.77</v>
      </c>
      <c r="F6015" t="str">
        <f t="shared" si="2532"/>
        <v>THU</v>
      </c>
      <c r="G6015" s="1">
        <f t="shared" si="2533"/>
        <v>44168</v>
      </c>
      <c r="H6015" s="2">
        <f t="shared" ca="1" si="2534"/>
        <v>85</v>
      </c>
      <c r="I6015" t="str">
        <f t="shared" si="2535"/>
        <v>CAD/USD</v>
      </c>
      <c r="J6015">
        <f t="shared" si="2536"/>
        <v>0.76</v>
      </c>
      <c r="K6015">
        <f t="shared" si="2537"/>
        <v>0.78</v>
      </c>
      <c r="L6015">
        <f t="shared" si="2538"/>
        <v>0.77</v>
      </c>
      <c r="M6015">
        <f t="shared" si="2539"/>
        <v>1.0000000000000009E-2</v>
      </c>
      <c r="N6015">
        <f t="shared" si="2517"/>
        <v>2.0000000000000018E-2</v>
      </c>
      <c r="O6015">
        <f t="shared" si="2540"/>
        <v>0.77</v>
      </c>
      <c r="P6015">
        <f t="shared" si="2541"/>
        <v>0</v>
      </c>
      <c r="Q6015" t="str">
        <f t="shared" si="2518"/>
        <v>1.3% | 1.3%</v>
      </c>
      <c r="R6015" t="str">
        <f t="shared" si="2542"/>
        <v>BULLISH</v>
      </c>
      <c r="S6015">
        <f t="shared" si="2543"/>
        <v>1</v>
      </c>
    </row>
    <row r="6016" spans="1:19" hidden="1" x14ac:dyDescent="0.25">
      <c r="A6016" s="5" t="str">
        <f t="shared" si="2519"/>
        <v>44168USD/CHF</v>
      </c>
      <c r="B6016" s="6" t="s">
        <v>76</v>
      </c>
      <c r="C6016" s="6">
        <v>0.89</v>
      </c>
      <c r="D6016" s="6">
        <v>0.91</v>
      </c>
      <c r="E6016" s="6">
        <v>0.89</v>
      </c>
      <c r="F6016" t="str">
        <f t="shared" si="2532"/>
        <v>THU</v>
      </c>
      <c r="G6016" s="1">
        <f t="shared" si="2533"/>
        <v>44168</v>
      </c>
      <c r="H6016" s="2">
        <f t="shared" ca="1" si="2534"/>
        <v>85</v>
      </c>
      <c r="I6016" t="str">
        <f t="shared" si="2535"/>
        <v>USD/CHF</v>
      </c>
      <c r="J6016">
        <f t="shared" si="2536"/>
        <v>0.89</v>
      </c>
      <c r="K6016">
        <f t="shared" si="2537"/>
        <v>0.91</v>
      </c>
      <c r="L6016">
        <f t="shared" si="2538"/>
        <v>0.9</v>
      </c>
      <c r="M6016">
        <f t="shared" si="2539"/>
        <v>1.0000000000000009E-2</v>
      </c>
      <c r="N6016">
        <f t="shared" si="2517"/>
        <v>2.0000000000000018E-2</v>
      </c>
      <c r="O6016">
        <f t="shared" si="2540"/>
        <v>0.89</v>
      </c>
      <c r="P6016">
        <f t="shared" si="2541"/>
        <v>-1</v>
      </c>
      <c r="Q6016" t="str">
        <f t="shared" si="2518"/>
        <v>0% | 2.25%</v>
      </c>
      <c r="R6016" t="str">
        <f t="shared" si="2542"/>
        <v>BEARISH</v>
      </c>
      <c r="S6016">
        <f t="shared" si="2543"/>
        <v>-1</v>
      </c>
    </row>
    <row r="6017" spans="1:19" hidden="1" x14ac:dyDescent="0.25">
      <c r="A6017" s="5" t="str">
        <f t="shared" si="2519"/>
        <v>44168WTIC</v>
      </c>
      <c r="B6017" s="6" t="s">
        <v>158</v>
      </c>
      <c r="C6017" s="6">
        <v>42.07</v>
      </c>
      <c r="D6017" s="6">
        <v>47.13</v>
      </c>
      <c r="E6017" s="6">
        <v>45.28</v>
      </c>
      <c r="F6017" t="str">
        <f t="shared" si="2532"/>
        <v>THU</v>
      </c>
      <c r="G6017" s="1">
        <f t="shared" si="2533"/>
        <v>44168</v>
      </c>
      <c r="H6017" s="2">
        <f t="shared" ca="1" si="2534"/>
        <v>85</v>
      </c>
      <c r="I6017" t="str">
        <f t="shared" si="2535"/>
        <v>WTIC</v>
      </c>
      <c r="J6017">
        <f t="shared" si="2536"/>
        <v>42.07</v>
      </c>
      <c r="K6017">
        <f t="shared" si="2537"/>
        <v>47.13</v>
      </c>
      <c r="L6017">
        <f t="shared" si="2538"/>
        <v>44.6</v>
      </c>
      <c r="M6017">
        <f t="shared" si="2539"/>
        <v>2.5300000000000011</v>
      </c>
      <c r="N6017">
        <f t="shared" si="2517"/>
        <v>5.0600000000000023</v>
      </c>
      <c r="O6017">
        <f t="shared" si="2540"/>
        <v>45.28</v>
      </c>
      <c r="P6017">
        <f t="shared" si="2541"/>
        <v>0.26877470355731203</v>
      </c>
      <c r="Q6017" t="str">
        <f t="shared" si="2518"/>
        <v>7.09% | 4.09%</v>
      </c>
      <c r="R6017" t="str">
        <f t="shared" si="2542"/>
        <v>BULLISH</v>
      </c>
      <c r="S6017">
        <f t="shared" si="2543"/>
        <v>1</v>
      </c>
    </row>
    <row r="6018" spans="1:19" hidden="1" x14ac:dyDescent="0.25">
      <c r="A6018" s="5" t="str">
        <f t="shared" si="2519"/>
        <v>44168NATGAS</v>
      </c>
      <c r="B6018" s="6" t="s">
        <v>89</v>
      </c>
      <c r="C6018" s="6">
        <v>2.58</v>
      </c>
      <c r="D6018" s="6">
        <v>3.04</v>
      </c>
      <c r="E6018" s="6">
        <v>2.78</v>
      </c>
      <c r="F6018" t="str">
        <f t="shared" si="2532"/>
        <v>THU</v>
      </c>
      <c r="G6018" s="1">
        <f t="shared" si="2533"/>
        <v>44168</v>
      </c>
      <c r="H6018" s="2">
        <f t="shared" ca="1" si="2534"/>
        <v>85</v>
      </c>
      <c r="I6018" t="str">
        <f t="shared" si="2535"/>
        <v>NATGAS</v>
      </c>
      <c r="J6018">
        <f t="shared" si="2536"/>
        <v>2.58</v>
      </c>
      <c r="K6018">
        <f t="shared" si="2537"/>
        <v>3.04</v>
      </c>
      <c r="L6018">
        <f t="shared" si="2538"/>
        <v>2.81</v>
      </c>
      <c r="M6018">
        <f t="shared" si="2539"/>
        <v>0.22999999999999998</v>
      </c>
      <c r="N6018">
        <f t="shared" si="2517"/>
        <v>0.45999999999999996</v>
      </c>
      <c r="O6018">
        <f t="shared" si="2540"/>
        <v>2.78</v>
      </c>
      <c r="P6018">
        <f t="shared" si="2541"/>
        <v>-0.13043478260869673</v>
      </c>
      <c r="Q6018" t="str">
        <f t="shared" si="2518"/>
        <v>7.19% | 9.35%</v>
      </c>
      <c r="R6018" t="str">
        <f t="shared" si="2542"/>
        <v>BULLISH</v>
      </c>
      <c r="S6018">
        <f t="shared" si="2543"/>
        <v>1</v>
      </c>
    </row>
    <row r="6019" spans="1:19" hidden="1" x14ac:dyDescent="0.25">
      <c r="A6019" s="5" t="str">
        <f t="shared" si="2519"/>
        <v>44168GOLD</v>
      </c>
      <c r="B6019" s="6" t="s">
        <v>85</v>
      </c>
      <c r="C6019" s="6">
        <v>1759</v>
      </c>
      <c r="D6019" s="6">
        <v>1854</v>
      </c>
      <c r="E6019" s="6">
        <v>1830</v>
      </c>
      <c r="F6019" t="str">
        <f t="shared" si="2532"/>
        <v>THU</v>
      </c>
      <c r="G6019" s="1">
        <f t="shared" si="2533"/>
        <v>44168</v>
      </c>
      <c r="H6019" s="2">
        <f t="shared" ca="1" si="2534"/>
        <v>85</v>
      </c>
      <c r="I6019" t="str">
        <f t="shared" si="2535"/>
        <v>GOLD</v>
      </c>
      <c r="J6019">
        <f t="shared" si="2536"/>
        <v>1759</v>
      </c>
      <c r="K6019">
        <f t="shared" si="2537"/>
        <v>1854</v>
      </c>
      <c r="L6019">
        <f t="shared" si="2538"/>
        <v>1806.5</v>
      </c>
      <c r="M6019">
        <f t="shared" si="2539"/>
        <v>47.5</v>
      </c>
      <c r="N6019">
        <f t="shared" ref="N6019:N6082" si="2544">ABS(K6019-J6019)</f>
        <v>95</v>
      </c>
      <c r="O6019">
        <f t="shared" si="2540"/>
        <v>1830</v>
      </c>
      <c r="P6019">
        <f t="shared" si="2541"/>
        <v>0.49473684210526314</v>
      </c>
      <c r="Q6019" t="str">
        <f t="shared" ref="Q6019:Q6082" si="2545">ROUND(ABS(100*(O6019-J6019)/O6019),2)&amp;"% | "&amp;ROUND(ABS(100*(K6019-O6019)/O6019),2)&amp;"%"</f>
        <v>3.88% | 1.31%</v>
      </c>
      <c r="R6019" t="str">
        <f t="shared" si="2542"/>
        <v>BEARISH</v>
      </c>
      <c r="S6019">
        <f t="shared" si="2543"/>
        <v>-1</v>
      </c>
    </row>
    <row r="6020" spans="1:19" hidden="1" x14ac:dyDescent="0.25">
      <c r="A6020" s="5" t="str">
        <f t="shared" si="2519"/>
        <v>44168COPPER</v>
      </c>
      <c r="B6020" s="6" t="s">
        <v>100</v>
      </c>
      <c r="C6020" s="6">
        <v>3.25</v>
      </c>
      <c r="D6020" s="6">
        <v>3.53</v>
      </c>
      <c r="E6020" s="6">
        <v>3.49</v>
      </c>
      <c r="F6020" t="str">
        <f t="shared" si="2532"/>
        <v>THU</v>
      </c>
      <c r="G6020" s="1">
        <f t="shared" si="2533"/>
        <v>44168</v>
      </c>
      <c r="H6020" s="2">
        <f t="shared" ca="1" si="2534"/>
        <v>85</v>
      </c>
      <c r="I6020" t="str">
        <f t="shared" si="2535"/>
        <v>COPPER</v>
      </c>
      <c r="J6020">
        <f t="shared" si="2536"/>
        <v>3.25</v>
      </c>
      <c r="K6020">
        <f t="shared" si="2537"/>
        <v>3.53</v>
      </c>
      <c r="L6020">
        <f t="shared" si="2538"/>
        <v>3.3899999999999997</v>
      </c>
      <c r="M6020">
        <f t="shared" si="2539"/>
        <v>0.1399999999999999</v>
      </c>
      <c r="N6020">
        <f t="shared" si="2544"/>
        <v>0.2799999999999998</v>
      </c>
      <c r="O6020">
        <f t="shared" si="2540"/>
        <v>3.49</v>
      </c>
      <c r="P6020">
        <f t="shared" si="2541"/>
        <v>0.71428571428571863</v>
      </c>
      <c r="Q6020" t="str">
        <f t="shared" si="2545"/>
        <v>6.88% | 1.15%</v>
      </c>
      <c r="R6020" t="str">
        <f t="shared" si="2542"/>
        <v>BULLISH</v>
      </c>
      <c r="S6020">
        <f t="shared" si="2543"/>
        <v>1</v>
      </c>
    </row>
    <row r="6021" spans="1:19" hidden="1" x14ac:dyDescent="0.25">
      <c r="A6021" s="5" t="str">
        <f t="shared" si="2519"/>
        <v>44168MSFT</v>
      </c>
      <c r="B6021" s="6" t="s">
        <v>27</v>
      </c>
      <c r="C6021" s="6">
        <v>209</v>
      </c>
      <c r="D6021" s="6">
        <v>218</v>
      </c>
      <c r="E6021" s="6">
        <v>215</v>
      </c>
      <c r="F6021" t="str">
        <f t="shared" si="2532"/>
        <v>THU</v>
      </c>
      <c r="G6021" s="1">
        <f t="shared" si="2533"/>
        <v>44168</v>
      </c>
      <c r="H6021" s="2">
        <f t="shared" ca="1" si="2534"/>
        <v>85</v>
      </c>
      <c r="I6021" t="str">
        <f t="shared" si="2535"/>
        <v>MSFT</v>
      </c>
      <c r="J6021">
        <f t="shared" si="2536"/>
        <v>209</v>
      </c>
      <c r="K6021">
        <f t="shared" si="2537"/>
        <v>218</v>
      </c>
      <c r="L6021">
        <f t="shared" si="2538"/>
        <v>213.5</v>
      </c>
      <c r="M6021">
        <f t="shared" si="2539"/>
        <v>4.5</v>
      </c>
      <c r="N6021">
        <f t="shared" si="2544"/>
        <v>9</v>
      </c>
      <c r="O6021">
        <f t="shared" si="2540"/>
        <v>215</v>
      </c>
      <c r="P6021">
        <f t="shared" si="2541"/>
        <v>0.33333333333333331</v>
      </c>
      <c r="Q6021" t="str">
        <f t="shared" si="2545"/>
        <v>2.79% | 1.4%</v>
      </c>
      <c r="R6021" t="str">
        <f t="shared" si="2542"/>
        <v>BULLISH</v>
      </c>
      <c r="S6021">
        <f t="shared" si="2543"/>
        <v>1</v>
      </c>
    </row>
    <row r="6022" spans="1:19" hidden="1" x14ac:dyDescent="0.25">
      <c r="A6022" s="5" t="str">
        <f t="shared" si="2519"/>
        <v>44168AAPL</v>
      </c>
      <c r="B6022" s="6" t="s">
        <v>28</v>
      </c>
      <c r="C6022" s="6">
        <v>113</v>
      </c>
      <c r="D6022" s="6">
        <v>124</v>
      </c>
      <c r="E6022" s="6">
        <v>123</v>
      </c>
      <c r="F6022" t="str">
        <f t="shared" si="2532"/>
        <v>THU</v>
      </c>
      <c r="G6022" s="1">
        <f t="shared" si="2533"/>
        <v>44168</v>
      </c>
      <c r="H6022" s="2">
        <f t="shared" ca="1" si="2534"/>
        <v>85</v>
      </c>
      <c r="I6022" t="str">
        <f t="shared" si="2535"/>
        <v>AAPL</v>
      </c>
      <c r="J6022">
        <f t="shared" si="2536"/>
        <v>113</v>
      </c>
      <c r="K6022">
        <f t="shared" si="2537"/>
        <v>124</v>
      </c>
      <c r="L6022">
        <f t="shared" si="2538"/>
        <v>118.5</v>
      </c>
      <c r="M6022">
        <f t="shared" si="2539"/>
        <v>5.5</v>
      </c>
      <c r="N6022">
        <f t="shared" si="2544"/>
        <v>11</v>
      </c>
      <c r="O6022">
        <f t="shared" si="2540"/>
        <v>123</v>
      </c>
      <c r="P6022">
        <f t="shared" si="2541"/>
        <v>0.81818181818181823</v>
      </c>
      <c r="Q6022" t="str">
        <f t="shared" si="2545"/>
        <v>8.13% | 0.81%</v>
      </c>
      <c r="R6022" t="str">
        <f t="shared" si="2542"/>
        <v>BULLISH</v>
      </c>
      <c r="S6022">
        <f t="shared" si="2543"/>
        <v>1</v>
      </c>
    </row>
    <row r="6023" spans="1:19" hidden="1" x14ac:dyDescent="0.25">
      <c r="A6023" s="5" t="str">
        <f t="shared" ref="A6023:A6086" si="2546">G6023&amp;I6023</f>
        <v>44168AMZN</v>
      </c>
      <c r="B6023" s="6" t="s">
        <v>69</v>
      </c>
      <c r="C6023" s="6">
        <v>3055</v>
      </c>
      <c r="D6023" s="6">
        <v>3250</v>
      </c>
      <c r="E6023" s="6">
        <v>3203</v>
      </c>
      <c r="F6023" t="str">
        <f t="shared" si="2532"/>
        <v>THU</v>
      </c>
      <c r="G6023" s="1">
        <f t="shared" si="2533"/>
        <v>44168</v>
      </c>
      <c r="H6023" s="2">
        <f t="shared" ca="1" si="2534"/>
        <v>85</v>
      </c>
      <c r="I6023" t="str">
        <f t="shared" si="2535"/>
        <v>AMZN</v>
      </c>
      <c r="J6023">
        <f t="shared" si="2536"/>
        <v>3055</v>
      </c>
      <c r="K6023">
        <f t="shared" si="2537"/>
        <v>3250</v>
      </c>
      <c r="L6023">
        <f t="shared" si="2538"/>
        <v>3152.5</v>
      </c>
      <c r="M6023">
        <f t="shared" si="2539"/>
        <v>97.5</v>
      </c>
      <c r="N6023">
        <f t="shared" si="2544"/>
        <v>195</v>
      </c>
      <c r="O6023">
        <f t="shared" si="2540"/>
        <v>3203</v>
      </c>
      <c r="P6023">
        <f t="shared" si="2541"/>
        <v>0.517948717948718</v>
      </c>
      <c r="Q6023" t="str">
        <f t="shared" si="2545"/>
        <v>4.62% | 1.47%</v>
      </c>
      <c r="R6023" t="str">
        <f t="shared" si="2542"/>
        <v>NEUTRAL</v>
      </c>
      <c r="S6023">
        <f t="shared" si="2543"/>
        <v>0</v>
      </c>
    </row>
    <row r="6024" spans="1:19" hidden="1" x14ac:dyDescent="0.25">
      <c r="A6024" s="5" t="str">
        <f t="shared" si="2546"/>
        <v>44168FB</v>
      </c>
      <c r="B6024" s="6" t="s">
        <v>30</v>
      </c>
      <c r="C6024" s="6">
        <v>267</v>
      </c>
      <c r="D6024" s="6">
        <v>291</v>
      </c>
      <c r="E6024" s="6">
        <v>287</v>
      </c>
      <c r="F6024" t="str">
        <f t="shared" si="2532"/>
        <v>THU</v>
      </c>
      <c r="G6024" s="1">
        <f t="shared" si="2533"/>
        <v>44168</v>
      </c>
      <c r="H6024" s="2">
        <f t="shared" ca="1" si="2534"/>
        <v>85</v>
      </c>
      <c r="I6024" t="str">
        <f t="shared" si="2535"/>
        <v>FB</v>
      </c>
      <c r="J6024">
        <f t="shared" si="2536"/>
        <v>267</v>
      </c>
      <c r="K6024">
        <f t="shared" si="2537"/>
        <v>291</v>
      </c>
      <c r="L6024">
        <f t="shared" si="2538"/>
        <v>279</v>
      </c>
      <c r="M6024">
        <f t="shared" si="2539"/>
        <v>12</v>
      </c>
      <c r="N6024">
        <f t="shared" si="2544"/>
        <v>24</v>
      </c>
      <c r="O6024">
        <f t="shared" si="2540"/>
        <v>287</v>
      </c>
      <c r="P6024">
        <f t="shared" si="2541"/>
        <v>0.66666666666666663</v>
      </c>
      <c r="Q6024" t="str">
        <f t="shared" si="2545"/>
        <v>6.97% | 1.39%</v>
      </c>
      <c r="R6024" t="str">
        <f t="shared" si="2542"/>
        <v>BULLISH</v>
      </c>
      <c r="S6024">
        <f t="shared" si="2543"/>
        <v>1</v>
      </c>
    </row>
    <row r="6025" spans="1:19" hidden="1" x14ac:dyDescent="0.25">
      <c r="A6025" s="5" t="str">
        <f t="shared" si="2546"/>
        <v>44168GOOGL</v>
      </c>
      <c r="B6025" s="6" t="s">
        <v>31</v>
      </c>
      <c r="C6025" s="6">
        <v>1729</v>
      </c>
      <c r="D6025" s="6">
        <v>1844</v>
      </c>
      <c r="E6025" s="6">
        <v>1824</v>
      </c>
      <c r="F6025" t="str">
        <f t="shared" si="2532"/>
        <v>THU</v>
      </c>
      <c r="G6025" s="1">
        <f t="shared" si="2533"/>
        <v>44168</v>
      </c>
      <c r="H6025" s="2">
        <f t="shared" ca="1" si="2534"/>
        <v>85</v>
      </c>
      <c r="I6025" t="str">
        <f t="shared" si="2535"/>
        <v>GOOGL</v>
      </c>
      <c r="J6025">
        <f t="shared" si="2536"/>
        <v>1729</v>
      </c>
      <c r="K6025">
        <f t="shared" si="2537"/>
        <v>1844</v>
      </c>
      <c r="L6025">
        <f t="shared" si="2538"/>
        <v>1786.5</v>
      </c>
      <c r="M6025">
        <f t="shared" si="2539"/>
        <v>57.5</v>
      </c>
      <c r="N6025">
        <f t="shared" si="2544"/>
        <v>115</v>
      </c>
      <c r="O6025">
        <f t="shared" si="2540"/>
        <v>1824</v>
      </c>
      <c r="P6025">
        <f t="shared" si="2541"/>
        <v>0.65217391304347827</v>
      </c>
      <c r="Q6025" t="str">
        <f t="shared" si="2545"/>
        <v>5.21% | 1.1%</v>
      </c>
      <c r="R6025" t="str">
        <f t="shared" si="2542"/>
        <v>BULLISH</v>
      </c>
      <c r="S6025">
        <f t="shared" si="2543"/>
        <v>1</v>
      </c>
    </row>
    <row r="6026" spans="1:19" hidden="1" x14ac:dyDescent="0.25">
      <c r="A6026" s="5" t="str">
        <f t="shared" si="2546"/>
        <v>44168NFLX</v>
      </c>
      <c r="B6026" s="6" t="s">
        <v>81</v>
      </c>
      <c r="C6026" s="6">
        <v>470</v>
      </c>
      <c r="D6026" s="6">
        <v>509</v>
      </c>
      <c r="E6026" s="6">
        <v>503</v>
      </c>
      <c r="F6026" t="str">
        <f t="shared" si="2532"/>
        <v>THU</v>
      </c>
      <c r="G6026" s="1">
        <f t="shared" si="2533"/>
        <v>44168</v>
      </c>
      <c r="H6026" s="2">
        <f t="shared" ca="1" si="2534"/>
        <v>85</v>
      </c>
      <c r="I6026" t="str">
        <f t="shared" si="2535"/>
        <v>NFLX</v>
      </c>
      <c r="J6026">
        <f t="shared" si="2536"/>
        <v>470</v>
      </c>
      <c r="K6026">
        <f t="shared" si="2537"/>
        <v>509</v>
      </c>
      <c r="L6026">
        <f t="shared" si="2538"/>
        <v>489.5</v>
      </c>
      <c r="M6026">
        <f t="shared" si="2539"/>
        <v>19.5</v>
      </c>
      <c r="N6026">
        <f t="shared" si="2544"/>
        <v>39</v>
      </c>
      <c r="O6026">
        <f t="shared" si="2540"/>
        <v>503</v>
      </c>
      <c r="P6026">
        <f t="shared" si="2541"/>
        <v>0.69230769230769229</v>
      </c>
      <c r="Q6026" t="str">
        <f t="shared" si="2545"/>
        <v>6.56% | 1.19%</v>
      </c>
      <c r="R6026" t="str">
        <f t="shared" si="2542"/>
        <v>BEARISH</v>
      </c>
      <c r="S6026">
        <f t="shared" si="2543"/>
        <v>-1</v>
      </c>
    </row>
    <row r="6027" spans="1:19" x14ac:dyDescent="0.25">
      <c r="A6027" s="5" t="str">
        <f t="shared" si="2546"/>
        <v>44168TSLA</v>
      </c>
      <c r="B6027" s="6" t="s">
        <v>33</v>
      </c>
      <c r="C6027" s="6">
        <v>497</v>
      </c>
      <c r="D6027" s="6">
        <v>619</v>
      </c>
      <c r="E6027" s="6">
        <v>568</v>
      </c>
      <c r="F6027" t="str">
        <f t="shared" si="2532"/>
        <v>THU</v>
      </c>
      <c r="G6027" s="1">
        <f t="shared" si="2533"/>
        <v>44168</v>
      </c>
      <c r="H6027" s="2">
        <f t="shared" ca="1" si="2534"/>
        <v>85</v>
      </c>
      <c r="I6027" t="str">
        <f t="shared" si="2535"/>
        <v>TSLA</v>
      </c>
      <c r="J6027">
        <f t="shared" si="2536"/>
        <v>497</v>
      </c>
      <c r="K6027">
        <f t="shared" si="2537"/>
        <v>619</v>
      </c>
      <c r="L6027">
        <f t="shared" si="2538"/>
        <v>558</v>
      </c>
      <c r="M6027">
        <f t="shared" si="2539"/>
        <v>61</v>
      </c>
      <c r="N6027">
        <f t="shared" si="2544"/>
        <v>122</v>
      </c>
      <c r="O6027">
        <f t="shared" si="2540"/>
        <v>568</v>
      </c>
      <c r="P6027">
        <f t="shared" si="2541"/>
        <v>0.16393442622950818</v>
      </c>
      <c r="Q6027" t="str">
        <f t="shared" si="2545"/>
        <v>12.5% | 8.98%</v>
      </c>
      <c r="R6027" t="str">
        <f t="shared" si="2542"/>
        <v>BULLISH</v>
      </c>
      <c r="S6027">
        <f t="shared" si="2543"/>
        <v>1</v>
      </c>
    </row>
    <row r="6028" spans="1:19" hidden="1" x14ac:dyDescent="0.25">
      <c r="A6028" s="5" t="str">
        <f t="shared" si="2546"/>
        <v>44168NYXBT</v>
      </c>
      <c r="B6028" s="6" t="s">
        <v>60</v>
      </c>
      <c r="C6028" s="6">
        <v>16925</v>
      </c>
      <c r="D6028" s="6">
        <v>20502</v>
      </c>
      <c r="E6028" s="6">
        <v>18885</v>
      </c>
      <c r="F6028" t="str">
        <f t="shared" si="2532"/>
        <v>THU</v>
      </c>
      <c r="G6028" s="1">
        <f t="shared" si="2533"/>
        <v>44168</v>
      </c>
      <c r="H6028" s="2">
        <f t="shared" ca="1" si="2534"/>
        <v>85</v>
      </c>
      <c r="I6028" t="str">
        <f t="shared" si="2535"/>
        <v>NYXBT</v>
      </c>
      <c r="J6028">
        <f t="shared" si="2536"/>
        <v>16925</v>
      </c>
      <c r="K6028">
        <f t="shared" si="2537"/>
        <v>20502</v>
      </c>
      <c r="L6028">
        <f t="shared" si="2538"/>
        <v>18713.5</v>
      </c>
      <c r="M6028">
        <f t="shared" si="2539"/>
        <v>1788.5</v>
      </c>
      <c r="N6028">
        <f t="shared" si="2544"/>
        <v>3577</v>
      </c>
      <c r="O6028">
        <f t="shared" si="2540"/>
        <v>18885</v>
      </c>
      <c r="P6028">
        <f t="shared" si="2541"/>
        <v>9.5890410958904104E-2</v>
      </c>
      <c r="Q6028" t="str">
        <f t="shared" si="2545"/>
        <v>10.38% | 8.56%</v>
      </c>
      <c r="R6028" t="str">
        <f t="shared" si="2542"/>
        <v>BULLISH</v>
      </c>
      <c r="S6028">
        <f t="shared" si="2543"/>
        <v>1</v>
      </c>
    </row>
    <row r="6029" spans="1:19" hidden="1" x14ac:dyDescent="0.25">
      <c r="A6029" s="5" t="str">
        <f t="shared" si="2546"/>
        <v>44169UST10Y</v>
      </c>
      <c r="B6029" s="6" t="s">
        <v>246</v>
      </c>
      <c r="C6029" s="6">
        <v>0.98</v>
      </c>
      <c r="D6029" s="6">
        <v>0.81</v>
      </c>
      <c r="E6029" s="6">
        <v>0.92</v>
      </c>
      <c r="F6029" t="str">
        <f t="shared" si="2532"/>
        <v>FRI</v>
      </c>
      <c r="G6029" s="3">
        <f>DATE(2020,12,4)</f>
        <v>44169</v>
      </c>
      <c r="H6029" s="2">
        <f t="shared" ca="1" si="2534"/>
        <v>84</v>
      </c>
      <c r="I6029" t="str">
        <f t="shared" si="2535"/>
        <v>UST10Y</v>
      </c>
      <c r="J6029">
        <f t="shared" si="2536"/>
        <v>0.98</v>
      </c>
      <c r="K6029">
        <f t="shared" si="2537"/>
        <v>0.81</v>
      </c>
      <c r="L6029">
        <f t="shared" si="2538"/>
        <v>0.89500000000000002</v>
      </c>
      <c r="M6029">
        <f t="shared" si="2539"/>
        <v>8.4999999999999964E-2</v>
      </c>
      <c r="N6029">
        <f t="shared" si="2544"/>
        <v>0.16999999999999993</v>
      </c>
      <c r="O6029">
        <f t="shared" si="2540"/>
        <v>0.92</v>
      </c>
      <c r="P6029">
        <f t="shared" si="2541"/>
        <v>0.29411764705882393</v>
      </c>
      <c r="Q6029" t="str">
        <f t="shared" si="2545"/>
        <v>6.52% | 11.96%</v>
      </c>
      <c r="R6029" t="str">
        <f t="shared" si="2542"/>
        <v>NEUTRAL</v>
      </c>
      <c r="S6029">
        <f t="shared" si="2543"/>
        <v>0</v>
      </c>
    </row>
    <row r="6030" spans="1:19" hidden="1" x14ac:dyDescent="0.25">
      <c r="A6030" s="5" t="str">
        <f t="shared" si="2546"/>
        <v>44169UST2Y</v>
      </c>
      <c r="B6030" s="6" t="s">
        <v>253</v>
      </c>
      <c r="C6030" s="6">
        <v>0.18</v>
      </c>
      <c r="D6030" s="6">
        <v>0.15</v>
      </c>
      <c r="E6030" s="6">
        <v>0.16</v>
      </c>
      <c r="F6030" t="str">
        <f t="shared" ref="F6030:F6060" si="2547">UPPER(TEXT(G6030,"ddd"))</f>
        <v>FRI</v>
      </c>
      <c r="G6030" s="3">
        <f t="shared" ref="G6030:G6059" si="2548">DATE(2020,12,4)</f>
        <v>44169</v>
      </c>
      <c r="H6030" s="2">
        <f t="shared" ref="H6030:H6060" ca="1" si="2549">TODAY()-G6030</f>
        <v>84</v>
      </c>
      <c r="I6030" t="str">
        <f t="shared" ref="I6030:I6060" si="2550">TRIM(LEFT(B6030,FIND(" ",B6030,1)))</f>
        <v>UST2Y</v>
      </c>
      <c r="J6030">
        <f t="shared" ref="J6030:J6060" si="2551">C6030</f>
        <v>0.18</v>
      </c>
      <c r="K6030">
        <f t="shared" ref="K6030:K6060" si="2552">D6030</f>
        <v>0.15</v>
      </c>
      <c r="L6030">
        <f t="shared" ref="L6030:L6060" si="2553">AVERAGE(J6030:K6030)</f>
        <v>0.16499999999999998</v>
      </c>
      <c r="M6030">
        <f t="shared" ref="M6030:M6060" si="2554">_xlfn.STDEV.P(J6030:K6030)</f>
        <v>1.4999999999999999E-2</v>
      </c>
      <c r="N6030">
        <f t="shared" si="2544"/>
        <v>0.03</v>
      </c>
      <c r="O6030">
        <f t="shared" ref="O6030:O6060" si="2555">E6030</f>
        <v>0.16</v>
      </c>
      <c r="P6030">
        <f t="shared" ref="P6030:P6060" si="2556">(O6030-L6030)/M6030</f>
        <v>-0.33333333333333182</v>
      </c>
      <c r="Q6030" t="str">
        <f t="shared" si="2545"/>
        <v>12.5% | 6.25%</v>
      </c>
      <c r="R6030" t="str">
        <f t="shared" ref="R6030:R6060" si="2557">MID(B6030,FIND("(",B6030,1)+1,FIND(")",B6030,1)-FIND("(",B6030,1)-1)</f>
        <v>NEUTRAL</v>
      </c>
      <c r="S6030">
        <f t="shared" ref="S6030:S6060" si="2558">IF(R6030="BEARISH",-1,IF(R6030="NEUTRAL",0,IF(R6030="BULLISH",1,99)))</f>
        <v>0</v>
      </c>
    </row>
    <row r="6031" spans="1:19" hidden="1" x14ac:dyDescent="0.25">
      <c r="A6031" s="5" t="str">
        <f t="shared" si="2546"/>
        <v>44169SPX</v>
      </c>
      <c r="B6031" s="6" t="s">
        <v>93</v>
      </c>
      <c r="C6031" s="6">
        <v>3562</v>
      </c>
      <c r="D6031" s="6">
        <v>3705</v>
      </c>
      <c r="E6031" s="6">
        <v>3666</v>
      </c>
      <c r="F6031" t="str">
        <f t="shared" si="2547"/>
        <v>FRI</v>
      </c>
      <c r="G6031" s="3">
        <f t="shared" si="2548"/>
        <v>44169</v>
      </c>
      <c r="H6031" s="2">
        <f t="shared" ca="1" si="2549"/>
        <v>84</v>
      </c>
      <c r="I6031" t="str">
        <f t="shared" si="2550"/>
        <v>SPX</v>
      </c>
      <c r="J6031">
        <f t="shared" si="2551"/>
        <v>3562</v>
      </c>
      <c r="K6031">
        <f t="shared" si="2552"/>
        <v>3705</v>
      </c>
      <c r="L6031">
        <f t="shared" si="2553"/>
        <v>3633.5</v>
      </c>
      <c r="M6031">
        <f t="shared" si="2554"/>
        <v>71.5</v>
      </c>
      <c r="N6031">
        <f t="shared" si="2544"/>
        <v>143</v>
      </c>
      <c r="O6031">
        <f t="shared" si="2555"/>
        <v>3666</v>
      </c>
      <c r="P6031">
        <f t="shared" si="2556"/>
        <v>0.45454545454545453</v>
      </c>
      <c r="Q6031" t="str">
        <f t="shared" si="2545"/>
        <v>2.84% | 1.06%</v>
      </c>
      <c r="R6031" t="str">
        <f t="shared" si="2557"/>
        <v>BULLISH</v>
      </c>
      <c r="S6031">
        <f t="shared" si="2558"/>
        <v>1</v>
      </c>
    </row>
    <row r="6032" spans="1:19" hidden="1" x14ac:dyDescent="0.25">
      <c r="A6032" s="5" t="str">
        <f t="shared" si="2546"/>
        <v>44169RUT</v>
      </c>
      <c r="B6032" s="6" t="s">
        <v>247</v>
      </c>
      <c r="C6032" s="6">
        <v>1798</v>
      </c>
      <c r="D6032" s="6">
        <v>1874</v>
      </c>
      <c r="E6032" s="6">
        <v>1848</v>
      </c>
      <c r="F6032" t="str">
        <f t="shared" si="2547"/>
        <v>FRI</v>
      </c>
      <c r="G6032" s="3">
        <f t="shared" si="2548"/>
        <v>44169</v>
      </c>
      <c r="H6032" s="2">
        <f t="shared" ca="1" si="2549"/>
        <v>84</v>
      </c>
      <c r="I6032" t="str">
        <f t="shared" si="2550"/>
        <v>RUT</v>
      </c>
      <c r="J6032">
        <f t="shared" si="2551"/>
        <v>1798</v>
      </c>
      <c r="K6032">
        <f t="shared" si="2552"/>
        <v>1874</v>
      </c>
      <c r="L6032">
        <f t="shared" si="2553"/>
        <v>1836</v>
      </c>
      <c r="M6032">
        <f t="shared" si="2554"/>
        <v>38</v>
      </c>
      <c r="N6032">
        <f t="shared" si="2544"/>
        <v>76</v>
      </c>
      <c r="O6032">
        <f t="shared" si="2555"/>
        <v>1848</v>
      </c>
      <c r="P6032">
        <f t="shared" si="2556"/>
        <v>0.31578947368421051</v>
      </c>
      <c r="Q6032" t="str">
        <f t="shared" si="2545"/>
        <v>2.71% | 1.41%</v>
      </c>
      <c r="R6032" t="str">
        <f t="shared" si="2557"/>
        <v>BULLISH</v>
      </c>
      <c r="S6032">
        <f t="shared" si="2558"/>
        <v>1</v>
      </c>
    </row>
    <row r="6033" spans="1:19" hidden="1" x14ac:dyDescent="0.25">
      <c r="A6033" s="5" t="str">
        <f t="shared" si="2546"/>
        <v>44169COMPQ</v>
      </c>
      <c r="B6033" s="6" t="s">
        <v>8</v>
      </c>
      <c r="C6033" s="6">
        <v>11891</v>
      </c>
      <c r="D6033" s="6">
        <v>12534</v>
      </c>
      <c r="E6033" s="6">
        <v>12377</v>
      </c>
      <c r="F6033" t="str">
        <f t="shared" si="2547"/>
        <v>FRI</v>
      </c>
      <c r="G6033" s="3">
        <f t="shared" si="2548"/>
        <v>44169</v>
      </c>
      <c r="H6033" s="2">
        <f t="shared" ca="1" si="2549"/>
        <v>84</v>
      </c>
      <c r="I6033" t="str">
        <f t="shared" si="2550"/>
        <v>COMPQ</v>
      </c>
      <c r="J6033">
        <f t="shared" si="2551"/>
        <v>11891</v>
      </c>
      <c r="K6033">
        <f t="shared" si="2552"/>
        <v>12534</v>
      </c>
      <c r="L6033">
        <f t="shared" si="2553"/>
        <v>12212.5</v>
      </c>
      <c r="M6033">
        <f t="shared" si="2554"/>
        <v>321.5</v>
      </c>
      <c r="N6033">
        <f t="shared" si="2544"/>
        <v>643</v>
      </c>
      <c r="O6033">
        <f t="shared" si="2555"/>
        <v>12377</v>
      </c>
      <c r="P6033">
        <f t="shared" si="2556"/>
        <v>0.51166407465007779</v>
      </c>
      <c r="Q6033" t="str">
        <f t="shared" si="2545"/>
        <v>3.93% | 1.27%</v>
      </c>
      <c r="R6033" t="str">
        <f t="shared" si="2557"/>
        <v>BULLISH</v>
      </c>
      <c r="S6033">
        <f t="shared" si="2558"/>
        <v>1</v>
      </c>
    </row>
    <row r="6034" spans="1:19" hidden="1" x14ac:dyDescent="0.25">
      <c r="A6034" s="5" t="str">
        <f t="shared" si="2546"/>
        <v>44169XLK</v>
      </c>
      <c r="B6034" s="6" t="s">
        <v>10</v>
      </c>
      <c r="C6034" s="6">
        <v>120.9</v>
      </c>
      <c r="D6034" s="6">
        <v>126.72</v>
      </c>
      <c r="E6034" s="6">
        <v>124.79</v>
      </c>
      <c r="F6034" t="str">
        <f t="shared" si="2547"/>
        <v>FRI</v>
      </c>
      <c r="G6034" s="3">
        <f t="shared" si="2548"/>
        <v>44169</v>
      </c>
      <c r="H6034" s="2">
        <f t="shared" ca="1" si="2549"/>
        <v>84</v>
      </c>
      <c r="I6034" t="str">
        <f t="shared" si="2550"/>
        <v>XLK</v>
      </c>
      <c r="J6034">
        <f t="shared" si="2551"/>
        <v>120.9</v>
      </c>
      <c r="K6034">
        <f t="shared" si="2552"/>
        <v>126.72</v>
      </c>
      <c r="L6034">
        <f t="shared" si="2553"/>
        <v>123.81</v>
      </c>
      <c r="M6034">
        <f t="shared" si="2554"/>
        <v>2.9099999999999966</v>
      </c>
      <c r="N6034">
        <f t="shared" si="2544"/>
        <v>5.8199999999999932</v>
      </c>
      <c r="O6034">
        <f t="shared" si="2555"/>
        <v>124.79</v>
      </c>
      <c r="P6034">
        <f t="shared" si="2556"/>
        <v>0.33676975945017357</v>
      </c>
      <c r="Q6034" t="str">
        <f t="shared" si="2545"/>
        <v>3.12% | 1.55%</v>
      </c>
      <c r="R6034" t="str">
        <f t="shared" si="2557"/>
        <v>BULLISH</v>
      </c>
      <c r="S6034">
        <f t="shared" si="2558"/>
        <v>1</v>
      </c>
    </row>
    <row r="6035" spans="1:19" hidden="1" x14ac:dyDescent="0.25">
      <c r="A6035" s="5" t="str">
        <f t="shared" si="2546"/>
        <v>44169XLE</v>
      </c>
      <c r="B6035" s="6" t="s">
        <v>250</v>
      </c>
      <c r="C6035" s="6">
        <v>35.56</v>
      </c>
      <c r="D6035" s="6">
        <v>40.869999999999997</v>
      </c>
      <c r="E6035" s="6">
        <v>38.53</v>
      </c>
      <c r="F6035" t="str">
        <f t="shared" si="2547"/>
        <v>FRI</v>
      </c>
      <c r="G6035" s="3">
        <f t="shared" si="2548"/>
        <v>44169</v>
      </c>
      <c r="H6035" s="2">
        <f t="shared" ca="1" si="2549"/>
        <v>84</v>
      </c>
      <c r="I6035" t="str">
        <f t="shared" si="2550"/>
        <v>XLE</v>
      </c>
      <c r="J6035">
        <f t="shared" si="2551"/>
        <v>35.56</v>
      </c>
      <c r="K6035">
        <f t="shared" si="2552"/>
        <v>40.869999999999997</v>
      </c>
      <c r="L6035">
        <f t="shared" si="2553"/>
        <v>38.215000000000003</v>
      </c>
      <c r="M6035">
        <f t="shared" si="2554"/>
        <v>2.6549999999999976</v>
      </c>
      <c r="N6035">
        <f t="shared" si="2544"/>
        <v>5.3099999999999952</v>
      </c>
      <c r="O6035">
        <f t="shared" si="2555"/>
        <v>38.53</v>
      </c>
      <c r="P6035">
        <f t="shared" si="2556"/>
        <v>0.11864406779660942</v>
      </c>
      <c r="Q6035" t="str">
        <f t="shared" si="2545"/>
        <v>7.71% | 6.07%</v>
      </c>
      <c r="R6035" t="str">
        <f t="shared" si="2557"/>
        <v>BULLISH</v>
      </c>
      <c r="S6035">
        <f t="shared" si="2558"/>
        <v>1</v>
      </c>
    </row>
    <row r="6036" spans="1:19" hidden="1" x14ac:dyDescent="0.25">
      <c r="A6036" s="5" t="str">
        <f t="shared" si="2546"/>
        <v>44169XLU</v>
      </c>
      <c r="B6036" s="6" t="s">
        <v>82</v>
      </c>
      <c r="C6036" s="6">
        <v>62.03</v>
      </c>
      <c r="D6036" s="6">
        <v>64.650000000000006</v>
      </c>
      <c r="E6036" s="6">
        <v>63.04</v>
      </c>
      <c r="F6036" t="str">
        <f t="shared" si="2547"/>
        <v>FRI</v>
      </c>
      <c r="G6036" s="3">
        <f t="shared" si="2548"/>
        <v>44169</v>
      </c>
      <c r="H6036" s="2">
        <f t="shared" ca="1" si="2549"/>
        <v>84</v>
      </c>
      <c r="I6036" t="str">
        <f t="shared" si="2550"/>
        <v>XLU</v>
      </c>
      <c r="J6036">
        <f t="shared" si="2551"/>
        <v>62.03</v>
      </c>
      <c r="K6036">
        <f t="shared" si="2552"/>
        <v>64.650000000000006</v>
      </c>
      <c r="L6036">
        <f t="shared" si="2553"/>
        <v>63.34</v>
      </c>
      <c r="M6036">
        <f t="shared" si="2554"/>
        <v>1.3100000000000023</v>
      </c>
      <c r="N6036">
        <f t="shared" si="2544"/>
        <v>2.6200000000000045</v>
      </c>
      <c r="O6036">
        <f t="shared" si="2555"/>
        <v>63.04</v>
      </c>
      <c r="P6036">
        <f t="shared" si="2556"/>
        <v>-0.22900763358778911</v>
      </c>
      <c r="Q6036" t="str">
        <f t="shared" si="2545"/>
        <v>1.6% | 2.55%</v>
      </c>
      <c r="R6036" t="str">
        <f t="shared" si="2557"/>
        <v>BEARISH</v>
      </c>
      <c r="S6036">
        <f t="shared" si="2558"/>
        <v>-1</v>
      </c>
    </row>
    <row r="6037" spans="1:19" hidden="1" x14ac:dyDescent="0.25">
      <c r="A6037" s="5" t="str">
        <f t="shared" si="2546"/>
        <v>44169GDX</v>
      </c>
      <c r="B6037" s="6" t="s">
        <v>254</v>
      </c>
      <c r="C6037" s="6">
        <v>33.01</v>
      </c>
      <c r="D6037" s="6">
        <v>36.76</v>
      </c>
      <c r="E6037" s="6">
        <v>35.51</v>
      </c>
      <c r="F6037" t="str">
        <f t="shared" si="2547"/>
        <v>FRI</v>
      </c>
      <c r="G6037" s="3">
        <f t="shared" si="2548"/>
        <v>44169</v>
      </c>
      <c r="H6037" s="2">
        <f t="shared" ca="1" si="2549"/>
        <v>84</v>
      </c>
      <c r="I6037" t="str">
        <f t="shared" si="2550"/>
        <v>GDX</v>
      </c>
      <c r="J6037">
        <f t="shared" si="2551"/>
        <v>33.01</v>
      </c>
      <c r="K6037">
        <f t="shared" si="2552"/>
        <v>36.76</v>
      </c>
      <c r="L6037">
        <f t="shared" si="2553"/>
        <v>34.884999999999998</v>
      </c>
      <c r="M6037">
        <f t="shared" si="2554"/>
        <v>1.875</v>
      </c>
      <c r="N6037">
        <f t="shared" si="2544"/>
        <v>3.75</v>
      </c>
      <c r="O6037">
        <f t="shared" si="2555"/>
        <v>35.51</v>
      </c>
      <c r="P6037">
        <f t="shared" si="2556"/>
        <v>0.33333333333333331</v>
      </c>
      <c r="Q6037" t="str">
        <f t="shared" si="2545"/>
        <v>7.04% | 3.52%</v>
      </c>
      <c r="R6037" t="str">
        <f t="shared" si="2557"/>
        <v>BEARISH</v>
      </c>
      <c r="S6037">
        <f t="shared" si="2558"/>
        <v>-1</v>
      </c>
    </row>
    <row r="6038" spans="1:19" hidden="1" x14ac:dyDescent="0.25">
      <c r="A6038" s="5" t="str">
        <f t="shared" si="2546"/>
        <v>44169SSEC</v>
      </c>
      <c r="B6038" s="6" t="s">
        <v>104</v>
      </c>
      <c r="C6038" s="6">
        <v>3367</v>
      </c>
      <c r="D6038" s="6">
        <v>3475</v>
      </c>
      <c r="E6038" s="6">
        <v>3444</v>
      </c>
      <c r="F6038" t="str">
        <f t="shared" si="2547"/>
        <v>FRI</v>
      </c>
      <c r="G6038" s="3">
        <f t="shared" si="2548"/>
        <v>44169</v>
      </c>
      <c r="H6038" s="2">
        <f t="shared" ca="1" si="2549"/>
        <v>84</v>
      </c>
      <c r="I6038" t="str">
        <f t="shared" si="2550"/>
        <v>SSEC</v>
      </c>
      <c r="J6038">
        <f t="shared" si="2551"/>
        <v>3367</v>
      </c>
      <c r="K6038">
        <f t="shared" si="2552"/>
        <v>3475</v>
      </c>
      <c r="L6038">
        <f t="shared" si="2553"/>
        <v>3421</v>
      </c>
      <c r="M6038">
        <f t="shared" si="2554"/>
        <v>54</v>
      </c>
      <c r="N6038">
        <f t="shared" si="2544"/>
        <v>108</v>
      </c>
      <c r="O6038">
        <f t="shared" si="2555"/>
        <v>3444</v>
      </c>
      <c r="P6038">
        <f t="shared" si="2556"/>
        <v>0.42592592592592593</v>
      </c>
      <c r="Q6038" t="str">
        <f t="shared" si="2545"/>
        <v>2.24% | 0.9%</v>
      </c>
      <c r="R6038" t="str">
        <f t="shared" si="2557"/>
        <v>BULLISH</v>
      </c>
      <c r="S6038">
        <f t="shared" si="2558"/>
        <v>1</v>
      </c>
    </row>
    <row r="6039" spans="1:19" hidden="1" x14ac:dyDescent="0.25">
      <c r="A6039" s="5" t="str">
        <f t="shared" si="2546"/>
        <v>44169NIKK</v>
      </c>
      <c r="B6039" s="6" t="s">
        <v>91</v>
      </c>
      <c r="C6039" s="6">
        <v>25675</v>
      </c>
      <c r="D6039" s="6">
        <v>27234</v>
      </c>
      <c r="E6039" s="6">
        <v>26751</v>
      </c>
      <c r="F6039" t="str">
        <f t="shared" si="2547"/>
        <v>FRI</v>
      </c>
      <c r="G6039" s="3">
        <f t="shared" si="2548"/>
        <v>44169</v>
      </c>
      <c r="H6039" s="2">
        <f t="shared" ca="1" si="2549"/>
        <v>84</v>
      </c>
      <c r="I6039" t="str">
        <f t="shared" si="2550"/>
        <v>NIKK</v>
      </c>
      <c r="J6039">
        <f t="shared" si="2551"/>
        <v>25675</v>
      </c>
      <c r="K6039">
        <f t="shared" si="2552"/>
        <v>27234</v>
      </c>
      <c r="L6039">
        <f t="shared" si="2553"/>
        <v>26454.5</v>
      </c>
      <c r="M6039">
        <f t="shared" si="2554"/>
        <v>779.5</v>
      </c>
      <c r="N6039">
        <f t="shared" si="2544"/>
        <v>1559</v>
      </c>
      <c r="O6039">
        <f t="shared" si="2555"/>
        <v>26751</v>
      </c>
      <c r="P6039">
        <f t="shared" si="2556"/>
        <v>0.38037203335471453</v>
      </c>
      <c r="Q6039" t="str">
        <f t="shared" si="2545"/>
        <v>4.02% | 1.81%</v>
      </c>
      <c r="R6039" t="str">
        <f t="shared" si="2557"/>
        <v>BULLISH</v>
      </c>
      <c r="S6039">
        <f t="shared" si="2558"/>
        <v>1</v>
      </c>
    </row>
    <row r="6040" spans="1:19" hidden="1" x14ac:dyDescent="0.25">
      <c r="A6040" s="5" t="str">
        <f t="shared" si="2546"/>
        <v>44169DAX</v>
      </c>
      <c r="B6040" s="6" t="s">
        <v>92</v>
      </c>
      <c r="C6040" s="6">
        <v>13037</v>
      </c>
      <c r="D6040" s="6">
        <v>13419</v>
      </c>
      <c r="E6040" s="6">
        <v>13252</v>
      </c>
      <c r="F6040" t="str">
        <f t="shared" si="2547"/>
        <v>FRI</v>
      </c>
      <c r="G6040" s="3">
        <f t="shared" si="2548"/>
        <v>44169</v>
      </c>
      <c r="H6040" s="2">
        <f t="shared" ca="1" si="2549"/>
        <v>84</v>
      </c>
      <c r="I6040" t="str">
        <f t="shared" si="2550"/>
        <v>DAX</v>
      </c>
      <c r="J6040">
        <f t="shared" si="2551"/>
        <v>13037</v>
      </c>
      <c r="K6040">
        <f t="shared" si="2552"/>
        <v>13419</v>
      </c>
      <c r="L6040">
        <f t="shared" si="2553"/>
        <v>13228</v>
      </c>
      <c r="M6040">
        <f t="shared" si="2554"/>
        <v>191</v>
      </c>
      <c r="N6040">
        <f t="shared" si="2544"/>
        <v>382</v>
      </c>
      <c r="O6040">
        <f t="shared" si="2555"/>
        <v>13252</v>
      </c>
      <c r="P6040">
        <f t="shared" si="2556"/>
        <v>0.1256544502617801</v>
      </c>
      <c r="Q6040" t="str">
        <f t="shared" si="2545"/>
        <v>1.62% | 1.26%</v>
      </c>
      <c r="R6040" t="str">
        <f t="shared" si="2557"/>
        <v>NEUTRAL</v>
      </c>
      <c r="S6040">
        <f t="shared" si="2558"/>
        <v>0</v>
      </c>
    </row>
    <row r="6041" spans="1:19" hidden="1" x14ac:dyDescent="0.25">
      <c r="A6041" s="5" t="str">
        <f t="shared" si="2546"/>
        <v>44169VIX</v>
      </c>
      <c r="B6041" s="6" t="s">
        <v>96</v>
      </c>
      <c r="C6041" s="6">
        <v>19.53</v>
      </c>
      <c r="D6041" s="6">
        <v>23.66</v>
      </c>
      <c r="E6041" s="6">
        <v>21.28</v>
      </c>
      <c r="F6041" t="str">
        <f t="shared" si="2547"/>
        <v>FRI</v>
      </c>
      <c r="G6041" s="3">
        <f t="shared" si="2548"/>
        <v>44169</v>
      </c>
      <c r="H6041" s="2">
        <f t="shared" ca="1" si="2549"/>
        <v>84</v>
      </c>
      <c r="I6041" t="str">
        <f t="shared" si="2550"/>
        <v>VIX</v>
      </c>
      <c r="J6041">
        <f t="shared" si="2551"/>
        <v>19.53</v>
      </c>
      <c r="K6041">
        <f t="shared" si="2552"/>
        <v>23.66</v>
      </c>
      <c r="L6041">
        <f t="shared" si="2553"/>
        <v>21.594999999999999</v>
      </c>
      <c r="M6041">
        <f t="shared" si="2554"/>
        <v>2.0649999999999995</v>
      </c>
      <c r="N6041">
        <f t="shared" si="2544"/>
        <v>4.129999999999999</v>
      </c>
      <c r="O6041">
        <f t="shared" si="2555"/>
        <v>21.28</v>
      </c>
      <c r="P6041">
        <f t="shared" si="2556"/>
        <v>-0.15254237288135486</v>
      </c>
      <c r="Q6041" t="str">
        <f t="shared" si="2545"/>
        <v>8.22% | 11.18%</v>
      </c>
      <c r="R6041" t="str">
        <f t="shared" si="2557"/>
        <v>BEARISH</v>
      </c>
      <c r="S6041">
        <f t="shared" si="2558"/>
        <v>-1</v>
      </c>
    </row>
    <row r="6042" spans="1:19" hidden="1" x14ac:dyDescent="0.25">
      <c r="A6042" s="5" t="str">
        <f t="shared" si="2546"/>
        <v>44169USD</v>
      </c>
      <c r="B6042" s="6" t="s">
        <v>94</v>
      </c>
      <c r="C6042" s="6">
        <v>90.42</v>
      </c>
      <c r="D6042" s="6">
        <v>92.23</v>
      </c>
      <c r="E6042" s="6">
        <v>90.72</v>
      </c>
      <c r="F6042" t="str">
        <f t="shared" si="2547"/>
        <v>FRI</v>
      </c>
      <c r="G6042" s="3">
        <f t="shared" si="2548"/>
        <v>44169</v>
      </c>
      <c r="H6042" s="2">
        <f t="shared" ca="1" si="2549"/>
        <v>84</v>
      </c>
      <c r="I6042" t="str">
        <f t="shared" si="2550"/>
        <v>USD</v>
      </c>
      <c r="J6042">
        <f t="shared" si="2551"/>
        <v>90.42</v>
      </c>
      <c r="K6042">
        <f t="shared" si="2552"/>
        <v>92.23</v>
      </c>
      <c r="L6042">
        <f t="shared" si="2553"/>
        <v>91.325000000000003</v>
      </c>
      <c r="M6042">
        <f t="shared" si="2554"/>
        <v>0.90500000000000114</v>
      </c>
      <c r="N6042">
        <f t="shared" si="2544"/>
        <v>1.8100000000000023</v>
      </c>
      <c r="O6042">
        <f t="shared" si="2555"/>
        <v>90.72</v>
      </c>
      <c r="P6042">
        <f t="shared" si="2556"/>
        <v>-0.66850828729282119</v>
      </c>
      <c r="Q6042" t="str">
        <f t="shared" si="2545"/>
        <v>0.33% | 1.66%</v>
      </c>
      <c r="R6042" t="str">
        <f t="shared" si="2557"/>
        <v>BEARISH</v>
      </c>
      <c r="S6042">
        <f t="shared" si="2558"/>
        <v>-1</v>
      </c>
    </row>
    <row r="6043" spans="1:19" hidden="1" x14ac:dyDescent="0.25">
      <c r="A6043" s="5" t="str">
        <f t="shared" si="2546"/>
        <v>44169EUR/USD</v>
      </c>
      <c r="B6043" s="6" t="s">
        <v>99</v>
      </c>
      <c r="C6043" s="6">
        <v>1.1890000000000001</v>
      </c>
      <c r="D6043" s="6">
        <v>1.218</v>
      </c>
      <c r="E6043" s="6">
        <v>1.2150000000000001</v>
      </c>
      <c r="F6043" t="str">
        <f t="shared" si="2547"/>
        <v>FRI</v>
      </c>
      <c r="G6043" s="3">
        <f t="shared" si="2548"/>
        <v>44169</v>
      </c>
      <c r="H6043" s="2">
        <f t="shared" ca="1" si="2549"/>
        <v>84</v>
      </c>
      <c r="I6043" t="str">
        <f t="shared" si="2550"/>
        <v>EUR/USD</v>
      </c>
      <c r="J6043">
        <f t="shared" si="2551"/>
        <v>1.1890000000000001</v>
      </c>
      <c r="K6043">
        <f t="shared" si="2552"/>
        <v>1.218</v>
      </c>
      <c r="L6043">
        <f t="shared" si="2553"/>
        <v>1.2035</v>
      </c>
      <c r="M6043">
        <f t="shared" si="2554"/>
        <v>1.4499999999999957E-2</v>
      </c>
      <c r="N6043">
        <f t="shared" si="2544"/>
        <v>2.8999999999999915E-2</v>
      </c>
      <c r="O6043">
        <f t="shared" si="2555"/>
        <v>1.2150000000000001</v>
      </c>
      <c r="P6043">
        <f t="shared" si="2556"/>
        <v>0.79310344827586898</v>
      </c>
      <c r="Q6043" t="str">
        <f t="shared" si="2545"/>
        <v>2.14% | 0.25%</v>
      </c>
      <c r="R6043" t="str">
        <f t="shared" si="2557"/>
        <v>BULLISH</v>
      </c>
      <c r="S6043">
        <f t="shared" si="2558"/>
        <v>1</v>
      </c>
    </row>
    <row r="6044" spans="1:19" hidden="1" x14ac:dyDescent="0.25">
      <c r="A6044" s="5" t="str">
        <f t="shared" si="2546"/>
        <v>44169USD/JPY</v>
      </c>
      <c r="B6044" s="6" t="s">
        <v>20</v>
      </c>
      <c r="C6044" s="6">
        <v>103.24</v>
      </c>
      <c r="D6044" s="6">
        <v>104.89</v>
      </c>
      <c r="E6044" s="6">
        <v>103.86</v>
      </c>
      <c r="F6044" t="str">
        <f t="shared" si="2547"/>
        <v>FRI</v>
      </c>
      <c r="G6044" s="3">
        <f t="shared" si="2548"/>
        <v>44169</v>
      </c>
      <c r="H6044" s="2">
        <f t="shared" ca="1" si="2549"/>
        <v>84</v>
      </c>
      <c r="I6044" t="str">
        <f t="shared" si="2550"/>
        <v>USD/JPY</v>
      </c>
      <c r="J6044">
        <f t="shared" si="2551"/>
        <v>103.24</v>
      </c>
      <c r="K6044">
        <f t="shared" si="2552"/>
        <v>104.89</v>
      </c>
      <c r="L6044">
        <f t="shared" si="2553"/>
        <v>104.065</v>
      </c>
      <c r="M6044">
        <f t="shared" si="2554"/>
        <v>0.82500000000000284</v>
      </c>
      <c r="N6044">
        <f t="shared" si="2544"/>
        <v>1.6500000000000057</v>
      </c>
      <c r="O6044">
        <f t="shared" si="2555"/>
        <v>103.86</v>
      </c>
      <c r="P6044">
        <f t="shared" si="2556"/>
        <v>-0.24848484848484556</v>
      </c>
      <c r="Q6044" t="str">
        <f t="shared" si="2545"/>
        <v>0.6% | 0.99%</v>
      </c>
      <c r="R6044" t="str">
        <f t="shared" si="2557"/>
        <v>BEARISH</v>
      </c>
      <c r="S6044">
        <f t="shared" si="2558"/>
        <v>-1</v>
      </c>
    </row>
    <row r="6045" spans="1:19" hidden="1" x14ac:dyDescent="0.25">
      <c r="A6045" s="5" t="str">
        <f t="shared" si="2546"/>
        <v>44169GBP/USD</v>
      </c>
      <c r="B6045" s="6" t="s">
        <v>102</v>
      </c>
      <c r="C6045" s="6">
        <v>1.3260000000000001</v>
      </c>
      <c r="D6045" s="6">
        <v>1.3480000000000001</v>
      </c>
      <c r="E6045" s="6">
        <v>1.3460000000000001</v>
      </c>
      <c r="F6045" t="str">
        <f t="shared" si="2547"/>
        <v>FRI</v>
      </c>
      <c r="G6045" s="3">
        <f t="shared" si="2548"/>
        <v>44169</v>
      </c>
      <c r="H6045" s="2">
        <f t="shared" ca="1" si="2549"/>
        <v>84</v>
      </c>
      <c r="I6045" t="str">
        <f t="shared" si="2550"/>
        <v>GBP/USD</v>
      </c>
      <c r="J6045">
        <f t="shared" si="2551"/>
        <v>1.3260000000000001</v>
      </c>
      <c r="K6045">
        <f t="shared" si="2552"/>
        <v>1.3480000000000001</v>
      </c>
      <c r="L6045">
        <f t="shared" si="2553"/>
        <v>1.3370000000000002</v>
      </c>
      <c r="M6045">
        <f t="shared" si="2554"/>
        <v>1.100000000000001E-2</v>
      </c>
      <c r="N6045">
        <f t="shared" si="2544"/>
        <v>2.200000000000002E-2</v>
      </c>
      <c r="O6045">
        <f t="shared" si="2555"/>
        <v>1.3460000000000001</v>
      </c>
      <c r="P6045">
        <f t="shared" si="2556"/>
        <v>0.81818181818180813</v>
      </c>
      <c r="Q6045" t="str">
        <f t="shared" si="2545"/>
        <v>1.49% | 0.15%</v>
      </c>
      <c r="R6045" t="str">
        <f t="shared" si="2557"/>
        <v>BULLISH</v>
      </c>
      <c r="S6045">
        <f t="shared" si="2558"/>
        <v>1</v>
      </c>
    </row>
    <row r="6046" spans="1:19" hidden="1" x14ac:dyDescent="0.25">
      <c r="A6046" s="5" t="str">
        <f t="shared" si="2546"/>
        <v>44169CAD/USD</v>
      </c>
      <c r="B6046" s="6" t="s">
        <v>244</v>
      </c>
      <c r="C6046" s="6">
        <v>0.76</v>
      </c>
      <c r="D6046" s="6">
        <v>0.78</v>
      </c>
      <c r="E6046" s="6">
        <v>0.77</v>
      </c>
      <c r="F6046" t="str">
        <f t="shared" si="2547"/>
        <v>FRI</v>
      </c>
      <c r="G6046" s="3">
        <f t="shared" si="2548"/>
        <v>44169</v>
      </c>
      <c r="H6046" s="2">
        <f t="shared" ca="1" si="2549"/>
        <v>84</v>
      </c>
      <c r="I6046" t="str">
        <f t="shared" si="2550"/>
        <v>CAD/USD</v>
      </c>
      <c r="J6046">
        <f t="shared" si="2551"/>
        <v>0.76</v>
      </c>
      <c r="K6046">
        <f t="shared" si="2552"/>
        <v>0.78</v>
      </c>
      <c r="L6046">
        <f t="shared" si="2553"/>
        <v>0.77</v>
      </c>
      <c r="M6046">
        <f t="shared" si="2554"/>
        <v>1.0000000000000009E-2</v>
      </c>
      <c r="N6046">
        <f t="shared" si="2544"/>
        <v>2.0000000000000018E-2</v>
      </c>
      <c r="O6046">
        <f t="shared" si="2555"/>
        <v>0.77</v>
      </c>
      <c r="P6046">
        <f t="shared" si="2556"/>
        <v>0</v>
      </c>
      <c r="Q6046" t="str">
        <f t="shared" si="2545"/>
        <v>1.3% | 1.3%</v>
      </c>
      <c r="R6046" t="str">
        <f t="shared" si="2557"/>
        <v>BULLISH</v>
      </c>
      <c r="S6046">
        <f t="shared" si="2558"/>
        <v>1</v>
      </c>
    </row>
    <row r="6047" spans="1:19" hidden="1" x14ac:dyDescent="0.25">
      <c r="A6047" s="5" t="str">
        <f t="shared" si="2546"/>
        <v>44169USD/CHF</v>
      </c>
      <c r="B6047" s="6" t="s">
        <v>76</v>
      </c>
      <c r="C6047" s="6">
        <v>0.89</v>
      </c>
      <c r="D6047" s="6">
        <v>0.91</v>
      </c>
      <c r="E6047" s="6">
        <v>0.89</v>
      </c>
      <c r="F6047" t="str">
        <f t="shared" si="2547"/>
        <v>FRI</v>
      </c>
      <c r="G6047" s="3">
        <f t="shared" si="2548"/>
        <v>44169</v>
      </c>
      <c r="H6047" s="2">
        <f t="shared" ca="1" si="2549"/>
        <v>84</v>
      </c>
      <c r="I6047" t="str">
        <f t="shared" si="2550"/>
        <v>USD/CHF</v>
      </c>
      <c r="J6047">
        <f t="shared" si="2551"/>
        <v>0.89</v>
      </c>
      <c r="K6047">
        <f t="shared" si="2552"/>
        <v>0.91</v>
      </c>
      <c r="L6047">
        <f t="shared" si="2553"/>
        <v>0.9</v>
      </c>
      <c r="M6047">
        <f t="shared" si="2554"/>
        <v>1.0000000000000009E-2</v>
      </c>
      <c r="N6047">
        <f t="shared" si="2544"/>
        <v>2.0000000000000018E-2</v>
      </c>
      <c r="O6047">
        <f t="shared" si="2555"/>
        <v>0.89</v>
      </c>
      <c r="P6047">
        <f t="shared" si="2556"/>
        <v>-1</v>
      </c>
      <c r="Q6047" t="str">
        <f t="shared" si="2545"/>
        <v>0% | 2.25%</v>
      </c>
      <c r="R6047" t="str">
        <f t="shared" si="2557"/>
        <v>BEARISH</v>
      </c>
      <c r="S6047">
        <f t="shared" si="2558"/>
        <v>-1</v>
      </c>
    </row>
    <row r="6048" spans="1:19" hidden="1" x14ac:dyDescent="0.25">
      <c r="A6048" s="5" t="str">
        <f t="shared" si="2546"/>
        <v>44169WTIC</v>
      </c>
      <c r="B6048" s="6" t="s">
        <v>158</v>
      </c>
      <c r="C6048" s="6">
        <v>42.49</v>
      </c>
      <c r="D6048" s="6">
        <v>47.06</v>
      </c>
      <c r="E6048" s="6">
        <v>45.64</v>
      </c>
      <c r="F6048" t="str">
        <f t="shared" si="2547"/>
        <v>FRI</v>
      </c>
      <c r="G6048" s="3">
        <f t="shared" si="2548"/>
        <v>44169</v>
      </c>
      <c r="H6048" s="2">
        <f t="shared" ca="1" si="2549"/>
        <v>84</v>
      </c>
      <c r="I6048" t="str">
        <f t="shared" si="2550"/>
        <v>WTIC</v>
      </c>
      <c r="J6048">
        <f t="shared" si="2551"/>
        <v>42.49</v>
      </c>
      <c r="K6048">
        <f t="shared" si="2552"/>
        <v>47.06</v>
      </c>
      <c r="L6048">
        <f t="shared" si="2553"/>
        <v>44.775000000000006</v>
      </c>
      <c r="M6048">
        <f t="shared" si="2554"/>
        <v>2.2850000000000001</v>
      </c>
      <c r="N6048">
        <f t="shared" si="2544"/>
        <v>4.57</v>
      </c>
      <c r="O6048">
        <f t="shared" si="2555"/>
        <v>45.64</v>
      </c>
      <c r="P6048">
        <f t="shared" si="2556"/>
        <v>0.37855579868708744</v>
      </c>
      <c r="Q6048" t="str">
        <f t="shared" si="2545"/>
        <v>6.9% | 3.11%</v>
      </c>
      <c r="R6048" t="str">
        <f t="shared" si="2557"/>
        <v>BULLISH</v>
      </c>
      <c r="S6048">
        <f t="shared" si="2558"/>
        <v>1</v>
      </c>
    </row>
    <row r="6049" spans="1:19" hidden="1" x14ac:dyDescent="0.25">
      <c r="A6049" s="5" t="str">
        <f t="shared" si="2546"/>
        <v>44169NATGAS</v>
      </c>
      <c r="B6049" s="6" t="s">
        <v>89</v>
      </c>
      <c r="C6049" s="6">
        <v>2.4300000000000002</v>
      </c>
      <c r="D6049" s="6">
        <v>3.05</v>
      </c>
      <c r="E6049" s="6">
        <v>2.5099999999999998</v>
      </c>
      <c r="F6049" t="str">
        <f t="shared" si="2547"/>
        <v>FRI</v>
      </c>
      <c r="G6049" s="3">
        <f t="shared" si="2548"/>
        <v>44169</v>
      </c>
      <c r="H6049" s="2">
        <f t="shared" ca="1" si="2549"/>
        <v>84</v>
      </c>
      <c r="I6049" t="str">
        <f t="shared" si="2550"/>
        <v>NATGAS</v>
      </c>
      <c r="J6049">
        <f t="shared" si="2551"/>
        <v>2.4300000000000002</v>
      </c>
      <c r="K6049">
        <f t="shared" si="2552"/>
        <v>3.05</v>
      </c>
      <c r="L6049">
        <f t="shared" si="2553"/>
        <v>2.74</v>
      </c>
      <c r="M6049">
        <f t="shared" si="2554"/>
        <v>0.30999999999999833</v>
      </c>
      <c r="N6049">
        <f t="shared" si="2544"/>
        <v>0.61999999999999966</v>
      </c>
      <c r="O6049">
        <f t="shared" si="2555"/>
        <v>2.5099999999999998</v>
      </c>
      <c r="P6049">
        <f t="shared" si="2556"/>
        <v>-0.74193548387097308</v>
      </c>
      <c r="Q6049" t="str">
        <f t="shared" si="2545"/>
        <v>3.19% | 21.51%</v>
      </c>
      <c r="R6049" t="str">
        <f t="shared" si="2557"/>
        <v>BULLISH</v>
      </c>
      <c r="S6049">
        <f t="shared" si="2558"/>
        <v>1</v>
      </c>
    </row>
    <row r="6050" spans="1:19" hidden="1" x14ac:dyDescent="0.25">
      <c r="A6050" s="5" t="str">
        <f t="shared" si="2546"/>
        <v>44169GOLD</v>
      </c>
      <c r="B6050" s="6" t="s">
        <v>85</v>
      </c>
      <c r="C6050" s="6">
        <v>1761</v>
      </c>
      <c r="D6050" s="6">
        <v>1867</v>
      </c>
      <c r="E6050" s="6">
        <v>1841</v>
      </c>
      <c r="F6050" t="str">
        <f t="shared" si="2547"/>
        <v>FRI</v>
      </c>
      <c r="G6050" s="3">
        <f t="shared" si="2548"/>
        <v>44169</v>
      </c>
      <c r="H6050" s="2">
        <f t="shared" ca="1" si="2549"/>
        <v>84</v>
      </c>
      <c r="I6050" t="str">
        <f t="shared" si="2550"/>
        <v>GOLD</v>
      </c>
      <c r="J6050">
        <f t="shared" si="2551"/>
        <v>1761</v>
      </c>
      <c r="K6050">
        <f t="shared" si="2552"/>
        <v>1867</v>
      </c>
      <c r="L6050">
        <f t="shared" si="2553"/>
        <v>1814</v>
      </c>
      <c r="M6050">
        <f t="shared" si="2554"/>
        <v>53</v>
      </c>
      <c r="N6050">
        <f t="shared" si="2544"/>
        <v>106</v>
      </c>
      <c r="O6050">
        <f t="shared" si="2555"/>
        <v>1841</v>
      </c>
      <c r="P6050">
        <f t="shared" si="2556"/>
        <v>0.50943396226415094</v>
      </c>
      <c r="Q6050" t="str">
        <f t="shared" si="2545"/>
        <v>4.35% | 1.41%</v>
      </c>
      <c r="R6050" t="str">
        <f t="shared" si="2557"/>
        <v>BEARISH</v>
      </c>
      <c r="S6050">
        <f t="shared" si="2558"/>
        <v>-1</v>
      </c>
    </row>
    <row r="6051" spans="1:19" hidden="1" x14ac:dyDescent="0.25">
      <c r="A6051" s="5" t="str">
        <f t="shared" si="2546"/>
        <v>44169COPPER</v>
      </c>
      <c r="B6051" s="6" t="s">
        <v>100</v>
      </c>
      <c r="C6051" s="6">
        <v>3.27</v>
      </c>
      <c r="D6051" s="6">
        <v>3.58</v>
      </c>
      <c r="E6051" s="6">
        <v>3.49</v>
      </c>
      <c r="F6051" t="str">
        <f t="shared" si="2547"/>
        <v>FRI</v>
      </c>
      <c r="G6051" s="3">
        <f t="shared" si="2548"/>
        <v>44169</v>
      </c>
      <c r="H6051" s="2">
        <f t="shared" ca="1" si="2549"/>
        <v>84</v>
      </c>
      <c r="I6051" t="str">
        <f t="shared" si="2550"/>
        <v>COPPER</v>
      </c>
      <c r="J6051">
        <f t="shared" si="2551"/>
        <v>3.27</v>
      </c>
      <c r="K6051">
        <f t="shared" si="2552"/>
        <v>3.58</v>
      </c>
      <c r="L6051">
        <f t="shared" si="2553"/>
        <v>3.4249999999999998</v>
      </c>
      <c r="M6051">
        <f t="shared" si="2554"/>
        <v>0.15500000000000003</v>
      </c>
      <c r="N6051">
        <f t="shared" si="2544"/>
        <v>0.31000000000000005</v>
      </c>
      <c r="O6051">
        <f t="shared" si="2555"/>
        <v>3.49</v>
      </c>
      <c r="P6051">
        <f t="shared" si="2556"/>
        <v>0.41935483870967988</v>
      </c>
      <c r="Q6051" t="str">
        <f t="shared" si="2545"/>
        <v>6.3% | 2.58%</v>
      </c>
      <c r="R6051" t="str">
        <f t="shared" si="2557"/>
        <v>BULLISH</v>
      </c>
      <c r="S6051">
        <f t="shared" si="2558"/>
        <v>1</v>
      </c>
    </row>
    <row r="6052" spans="1:19" hidden="1" x14ac:dyDescent="0.25">
      <c r="A6052" s="5" t="str">
        <f t="shared" si="2546"/>
        <v>44169MSFT</v>
      </c>
      <c r="B6052" s="6" t="s">
        <v>27</v>
      </c>
      <c r="C6052" s="6">
        <v>209</v>
      </c>
      <c r="D6052" s="6">
        <v>218</v>
      </c>
      <c r="E6052" s="6">
        <v>214</v>
      </c>
      <c r="F6052" t="str">
        <f t="shared" si="2547"/>
        <v>FRI</v>
      </c>
      <c r="G6052" s="3">
        <f t="shared" si="2548"/>
        <v>44169</v>
      </c>
      <c r="H6052" s="2">
        <f t="shared" ca="1" si="2549"/>
        <v>84</v>
      </c>
      <c r="I6052" t="str">
        <f t="shared" si="2550"/>
        <v>MSFT</v>
      </c>
      <c r="J6052">
        <f t="shared" si="2551"/>
        <v>209</v>
      </c>
      <c r="K6052">
        <f t="shared" si="2552"/>
        <v>218</v>
      </c>
      <c r="L6052">
        <f t="shared" si="2553"/>
        <v>213.5</v>
      </c>
      <c r="M6052">
        <f t="shared" si="2554"/>
        <v>4.5</v>
      </c>
      <c r="N6052">
        <f t="shared" si="2544"/>
        <v>9</v>
      </c>
      <c r="O6052">
        <f t="shared" si="2555"/>
        <v>214</v>
      </c>
      <c r="P6052">
        <f t="shared" si="2556"/>
        <v>0.1111111111111111</v>
      </c>
      <c r="Q6052" t="str">
        <f t="shared" si="2545"/>
        <v>2.34% | 1.87%</v>
      </c>
      <c r="R6052" t="str">
        <f t="shared" si="2557"/>
        <v>BULLISH</v>
      </c>
      <c r="S6052">
        <f t="shared" si="2558"/>
        <v>1</v>
      </c>
    </row>
    <row r="6053" spans="1:19" hidden="1" x14ac:dyDescent="0.25">
      <c r="A6053" s="5" t="str">
        <f t="shared" si="2546"/>
        <v>44169AAPL</v>
      </c>
      <c r="B6053" s="6" t="s">
        <v>28</v>
      </c>
      <c r="C6053" s="6">
        <v>113</v>
      </c>
      <c r="D6053" s="6">
        <v>125</v>
      </c>
      <c r="E6053" s="6">
        <v>122</v>
      </c>
      <c r="F6053" t="str">
        <f t="shared" si="2547"/>
        <v>FRI</v>
      </c>
      <c r="G6053" s="3">
        <f t="shared" si="2548"/>
        <v>44169</v>
      </c>
      <c r="H6053" s="2">
        <f t="shared" ca="1" si="2549"/>
        <v>84</v>
      </c>
      <c r="I6053" t="str">
        <f t="shared" si="2550"/>
        <v>AAPL</v>
      </c>
      <c r="J6053">
        <f t="shared" si="2551"/>
        <v>113</v>
      </c>
      <c r="K6053">
        <f t="shared" si="2552"/>
        <v>125</v>
      </c>
      <c r="L6053">
        <f t="shared" si="2553"/>
        <v>119</v>
      </c>
      <c r="M6053">
        <f t="shared" si="2554"/>
        <v>6</v>
      </c>
      <c r="N6053">
        <f t="shared" si="2544"/>
        <v>12</v>
      </c>
      <c r="O6053">
        <f t="shared" si="2555"/>
        <v>122</v>
      </c>
      <c r="P6053">
        <f t="shared" si="2556"/>
        <v>0.5</v>
      </c>
      <c r="Q6053" t="str">
        <f t="shared" si="2545"/>
        <v>7.38% | 2.46%</v>
      </c>
      <c r="R6053" t="str">
        <f t="shared" si="2557"/>
        <v>BULLISH</v>
      </c>
      <c r="S6053">
        <f t="shared" si="2558"/>
        <v>1</v>
      </c>
    </row>
    <row r="6054" spans="1:19" hidden="1" x14ac:dyDescent="0.25">
      <c r="A6054" s="5" t="str">
        <f t="shared" si="2546"/>
        <v>44169AMZN</v>
      </c>
      <c r="B6054" s="6" t="s">
        <v>29</v>
      </c>
      <c r="C6054" s="6">
        <v>3066</v>
      </c>
      <c r="D6054" s="6">
        <v>3261</v>
      </c>
      <c r="E6054" s="6">
        <v>3186</v>
      </c>
      <c r="F6054" t="str">
        <f t="shared" si="2547"/>
        <v>FRI</v>
      </c>
      <c r="G6054" s="3">
        <f t="shared" si="2548"/>
        <v>44169</v>
      </c>
      <c r="H6054" s="2">
        <f t="shared" ca="1" si="2549"/>
        <v>84</v>
      </c>
      <c r="I6054" t="str">
        <f t="shared" si="2550"/>
        <v>AMZN</v>
      </c>
      <c r="J6054">
        <f t="shared" si="2551"/>
        <v>3066</v>
      </c>
      <c r="K6054">
        <f t="shared" si="2552"/>
        <v>3261</v>
      </c>
      <c r="L6054">
        <f t="shared" si="2553"/>
        <v>3163.5</v>
      </c>
      <c r="M6054">
        <f t="shared" si="2554"/>
        <v>97.5</v>
      </c>
      <c r="N6054">
        <f t="shared" si="2544"/>
        <v>195</v>
      </c>
      <c r="O6054">
        <f t="shared" si="2555"/>
        <v>3186</v>
      </c>
      <c r="P6054">
        <f t="shared" si="2556"/>
        <v>0.23076923076923078</v>
      </c>
      <c r="Q6054" t="str">
        <f t="shared" si="2545"/>
        <v>3.77% | 2.35%</v>
      </c>
      <c r="R6054" t="str">
        <f t="shared" si="2557"/>
        <v>BULLISH</v>
      </c>
      <c r="S6054">
        <f t="shared" si="2558"/>
        <v>1</v>
      </c>
    </row>
    <row r="6055" spans="1:19" hidden="1" x14ac:dyDescent="0.25">
      <c r="A6055" s="5" t="str">
        <f t="shared" si="2546"/>
        <v>44169FB</v>
      </c>
      <c r="B6055" s="6" t="s">
        <v>30</v>
      </c>
      <c r="C6055" s="6">
        <v>266</v>
      </c>
      <c r="D6055" s="6">
        <v>291</v>
      </c>
      <c r="E6055" s="6">
        <v>281</v>
      </c>
      <c r="F6055" t="str">
        <f t="shared" si="2547"/>
        <v>FRI</v>
      </c>
      <c r="G6055" s="3">
        <f t="shared" si="2548"/>
        <v>44169</v>
      </c>
      <c r="H6055" s="2">
        <f t="shared" ca="1" si="2549"/>
        <v>84</v>
      </c>
      <c r="I6055" t="str">
        <f t="shared" si="2550"/>
        <v>FB</v>
      </c>
      <c r="J6055">
        <f t="shared" si="2551"/>
        <v>266</v>
      </c>
      <c r="K6055">
        <f t="shared" si="2552"/>
        <v>291</v>
      </c>
      <c r="L6055">
        <f t="shared" si="2553"/>
        <v>278.5</v>
      </c>
      <c r="M6055">
        <f t="shared" si="2554"/>
        <v>12.5</v>
      </c>
      <c r="N6055">
        <f t="shared" si="2544"/>
        <v>25</v>
      </c>
      <c r="O6055">
        <f t="shared" si="2555"/>
        <v>281</v>
      </c>
      <c r="P6055">
        <f t="shared" si="2556"/>
        <v>0.2</v>
      </c>
      <c r="Q6055" t="str">
        <f t="shared" si="2545"/>
        <v>5.34% | 3.56%</v>
      </c>
      <c r="R6055" t="str">
        <f t="shared" si="2557"/>
        <v>BULLISH</v>
      </c>
      <c r="S6055">
        <f t="shared" si="2558"/>
        <v>1</v>
      </c>
    </row>
    <row r="6056" spans="1:19" hidden="1" x14ac:dyDescent="0.25">
      <c r="A6056" s="5" t="str">
        <f t="shared" si="2546"/>
        <v>44169GOOGL</v>
      </c>
      <c r="B6056" s="6" t="s">
        <v>31</v>
      </c>
      <c r="C6056" s="6">
        <v>1755</v>
      </c>
      <c r="D6056" s="6">
        <v>1845</v>
      </c>
      <c r="E6056" s="6">
        <v>1821</v>
      </c>
      <c r="F6056" t="str">
        <f t="shared" si="2547"/>
        <v>FRI</v>
      </c>
      <c r="G6056" s="3">
        <f t="shared" si="2548"/>
        <v>44169</v>
      </c>
      <c r="H6056" s="2">
        <f t="shared" ca="1" si="2549"/>
        <v>84</v>
      </c>
      <c r="I6056" t="str">
        <f t="shared" si="2550"/>
        <v>GOOGL</v>
      </c>
      <c r="J6056">
        <f t="shared" si="2551"/>
        <v>1755</v>
      </c>
      <c r="K6056">
        <f t="shared" si="2552"/>
        <v>1845</v>
      </c>
      <c r="L6056">
        <f t="shared" si="2553"/>
        <v>1800</v>
      </c>
      <c r="M6056">
        <f t="shared" si="2554"/>
        <v>45</v>
      </c>
      <c r="N6056">
        <f t="shared" si="2544"/>
        <v>90</v>
      </c>
      <c r="O6056">
        <f t="shared" si="2555"/>
        <v>1821</v>
      </c>
      <c r="P6056">
        <f t="shared" si="2556"/>
        <v>0.46666666666666667</v>
      </c>
      <c r="Q6056" t="str">
        <f t="shared" si="2545"/>
        <v>3.62% | 1.32%</v>
      </c>
      <c r="R6056" t="str">
        <f t="shared" si="2557"/>
        <v>BULLISH</v>
      </c>
      <c r="S6056">
        <f t="shared" si="2558"/>
        <v>1</v>
      </c>
    </row>
    <row r="6057" spans="1:19" hidden="1" x14ac:dyDescent="0.25">
      <c r="A6057" s="5" t="str">
        <f t="shared" si="2546"/>
        <v>44169NFLX</v>
      </c>
      <c r="B6057" s="6" t="s">
        <v>81</v>
      </c>
      <c r="C6057" s="6">
        <v>471</v>
      </c>
      <c r="D6057" s="6">
        <v>509</v>
      </c>
      <c r="E6057" s="6">
        <v>497</v>
      </c>
      <c r="F6057" t="str">
        <f t="shared" si="2547"/>
        <v>FRI</v>
      </c>
      <c r="G6057" s="3">
        <f t="shared" si="2548"/>
        <v>44169</v>
      </c>
      <c r="H6057" s="2">
        <f t="shared" ca="1" si="2549"/>
        <v>84</v>
      </c>
      <c r="I6057" t="str">
        <f t="shared" si="2550"/>
        <v>NFLX</v>
      </c>
      <c r="J6057">
        <f t="shared" si="2551"/>
        <v>471</v>
      </c>
      <c r="K6057">
        <f t="shared" si="2552"/>
        <v>509</v>
      </c>
      <c r="L6057">
        <f t="shared" si="2553"/>
        <v>490</v>
      </c>
      <c r="M6057">
        <f t="shared" si="2554"/>
        <v>19</v>
      </c>
      <c r="N6057">
        <f t="shared" si="2544"/>
        <v>38</v>
      </c>
      <c r="O6057">
        <f t="shared" si="2555"/>
        <v>497</v>
      </c>
      <c r="P6057">
        <f t="shared" si="2556"/>
        <v>0.36842105263157893</v>
      </c>
      <c r="Q6057" t="str">
        <f t="shared" si="2545"/>
        <v>5.23% | 2.41%</v>
      </c>
      <c r="R6057" t="str">
        <f t="shared" si="2557"/>
        <v>BEARISH</v>
      </c>
      <c r="S6057">
        <f t="shared" si="2558"/>
        <v>-1</v>
      </c>
    </row>
    <row r="6058" spans="1:19" x14ac:dyDescent="0.25">
      <c r="A6058" s="5" t="str">
        <f t="shared" si="2546"/>
        <v>44169TSLA</v>
      </c>
      <c r="B6058" s="6" t="s">
        <v>33</v>
      </c>
      <c r="C6058" s="6">
        <v>506</v>
      </c>
      <c r="D6058" s="6">
        <v>629</v>
      </c>
      <c r="E6058" s="6">
        <v>593</v>
      </c>
      <c r="F6058" t="str">
        <f t="shared" si="2547"/>
        <v>FRI</v>
      </c>
      <c r="G6058" s="3">
        <f t="shared" si="2548"/>
        <v>44169</v>
      </c>
      <c r="H6058" s="2">
        <f t="shared" ca="1" si="2549"/>
        <v>84</v>
      </c>
      <c r="I6058" t="str">
        <f t="shared" si="2550"/>
        <v>TSLA</v>
      </c>
      <c r="J6058">
        <f t="shared" si="2551"/>
        <v>506</v>
      </c>
      <c r="K6058">
        <f t="shared" si="2552"/>
        <v>629</v>
      </c>
      <c r="L6058">
        <f t="shared" si="2553"/>
        <v>567.5</v>
      </c>
      <c r="M6058">
        <f t="shared" si="2554"/>
        <v>61.5</v>
      </c>
      <c r="N6058">
        <f t="shared" si="2544"/>
        <v>123</v>
      </c>
      <c r="O6058">
        <f t="shared" si="2555"/>
        <v>593</v>
      </c>
      <c r="P6058">
        <f t="shared" si="2556"/>
        <v>0.41463414634146339</v>
      </c>
      <c r="Q6058" t="str">
        <f t="shared" si="2545"/>
        <v>14.67% | 6.07%</v>
      </c>
      <c r="R6058" t="str">
        <f t="shared" si="2557"/>
        <v>BULLISH</v>
      </c>
      <c r="S6058">
        <f t="shared" si="2558"/>
        <v>1</v>
      </c>
    </row>
    <row r="6059" spans="1:19" hidden="1" x14ac:dyDescent="0.25">
      <c r="A6059" s="5" t="str">
        <f t="shared" si="2546"/>
        <v>44169NYXBT</v>
      </c>
      <c r="B6059" s="6" t="s">
        <v>60</v>
      </c>
      <c r="C6059" s="6">
        <v>17094</v>
      </c>
      <c r="D6059" s="6">
        <v>20669</v>
      </c>
      <c r="E6059" s="6">
        <v>19429</v>
      </c>
      <c r="F6059" t="str">
        <f t="shared" si="2547"/>
        <v>FRI</v>
      </c>
      <c r="G6059" s="3">
        <f t="shared" si="2548"/>
        <v>44169</v>
      </c>
      <c r="H6059" s="2">
        <f t="shared" ca="1" si="2549"/>
        <v>84</v>
      </c>
      <c r="I6059" t="str">
        <f t="shared" si="2550"/>
        <v>NYXBT</v>
      </c>
      <c r="J6059">
        <f t="shared" si="2551"/>
        <v>17094</v>
      </c>
      <c r="K6059">
        <f t="shared" si="2552"/>
        <v>20669</v>
      </c>
      <c r="L6059">
        <f t="shared" si="2553"/>
        <v>18881.5</v>
      </c>
      <c r="M6059">
        <f t="shared" si="2554"/>
        <v>1787.5</v>
      </c>
      <c r="N6059">
        <f t="shared" si="2544"/>
        <v>3575</v>
      </c>
      <c r="O6059">
        <f t="shared" si="2555"/>
        <v>19429</v>
      </c>
      <c r="P6059">
        <f t="shared" si="2556"/>
        <v>0.30629370629370628</v>
      </c>
      <c r="Q6059" t="str">
        <f t="shared" si="2545"/>
        <v>12.02% | 6.38%</v>
      </c>
      <c r="R6059" t="str">
        <f t="shared" si="2557"/>
        <v>BULLISH</v>
      </c>
      <c r="S6059">
        <f t="shared" si="2558"/>
        <v>1</v>
      </c>
    </row>
    <row r="6060" spans="1:19" hidden="1" x14ac:dyDescent="0.25">
      <c r="A6060" s="5" t="str">
        <f t="shared" si="2546"/>
        <v>44172UST10Y</v>
      </c>
      <c r="B6060" s="6" t="s">
        <v>246</v>
      </c>
      <c r="C6060" s="6">
        <v>0.99</v>
      </c>
      <c r="D6060" s="6">
        <v>0.82</v>
      </c>
      <c r="E6060" s="6">
        <v>0.97</v>
      </c>
      <c r="F6060" t="str">
        <f t="shared" si="2547"/>
        <v>MON</v>
      </c>
      <c r="G6060" s="1">
        <f>DATE(2020,12,7)</f>
        <v>44172</v>
      </c>
      <c r="H6060" s="2">
        <f t="shared" ca="1" si="2549"/>
        <v>81</v>
      </c>
      <c r="I6060" t="str">
        <f t="shared" si="2550"/>
        <v>UST10Y</v>
      </c>
      <c r="J6060">
        <f t="shared" si="2551"/>
        <v>0.99</v>
      </c>
      <c r="K6060">
        <f t="shared" si="2552"/>
        <v>0.82</v>
      </c>
      <c r="L6060">
        <f t="shared" si="2553"/>
        <v>0.90500000000000003</v>
      </c>
      <c r="M6060">
        <f t="shared" si="2554"/>
        <v>8.500000000000002E-2</v>
      </c>
      <c r="N6060">
        <f t="shared" si="2544"/>
        <v>0.17000000000000004</v>
      </c>
      <c r="O6060">
        <f t="shared" si="2555"/>
        <v>0.97</v>
      </c>
      <c r="P6060">
        <f t="shared" si="2556"/>
        <v>0.76470588235294035</v>
      </c>
      <c r="Q6060" t="str">
        <f t="shared" si="2545"/>
        <v>2.06% | 15.46%</v>
      </c>
      <c r="R6060" t="str">
        <f t="shared" si="2557"/>
        <v>NEUTRAL</v>
      </c>
      <c r="S6060">
        <f t="shared" si="2558"/>
        <v>0</v>
      </c>
    </row>
    <row r="6061" spans="1:19" hidden="1" x14ac:dyDescent="0.25">
      <c r="A6061" s="5" t="str">
        <f t="shared" si="2546"/>
        <v>44172UST2Y</v>
      </c>
      <c r="B6061" s="6" t="s">
        <v>253</v>
      </c>
      <c r="C6061" s="6">
        <v>0.18</v>
      </c>
      <c r="D6061" s="6">
        <v>0.14000000000000001</v>
      </c>
      <c r="E6061" s="6">
        <v>0.16</v>
      </c>
      <c r="F6061" t="str">
        <f t="shared" ref="F6061:F6091" si="2559">UPPER(TEXT(G6061,"ddd"))</f>
        <v>MON</v>
      </c>
      <c r="G6061" s="1">
        <f t="shared" ref="G6061:G6090" si="2560">DATE(2020,12,7)</f>
        <v>44172</v>
      </c>
      <c r="H6061" s="2">
        <f t="shared" ref="H6061:H6091" ca="1" si="2561">TODAY()-G6061</f>
        <v>81</v>
      </c>
      <c r="I6061" t="str">
        <f t="shared" ref="I6061:I6091" si="2562">TRIM(LEFT(B6061,FIND(" ",B6061,1)))</f>
        <v>UST2Y</v>
      </c>
      <c r="J6061">
        <f t="shared" ref="J6061:J6091" si="2563">C6061</f>
        <v>0.18</v>
      </c>
      <c r="K6061">
        <f t="shared" ref="K6061:K6091" si="2564">D6061</f>
        <v>0.14000000000000001</v>
      </c>
      <c r="L6061">
        <f t="shared" ref="L6061:L6091" si="2565">AVERAGE(J6061:K6061)</f>
        <v>0.16</v>
      </c>
      <c r="M6061">
        <f t="shared" ref="M6061:M6091" si="2566">_xlfn.STDEV.P(J6061:K6061)</f>
        <v>2.0000000000000025E-2</v>
      </c>
      <c r="N6061">
        <f t="shared" si="2544"/>
        <v>3.999999999999998E-2</v>
      </c>
      <c r="O6061">
        <f t="shared" ref="O6061:O6091" si="2567">E6061</f>
        <v>0.16</v>
      </c>
      <c r="P6061">
        <f t="shared" ref="P6061:P6091" si="2568">(O6061-L6061)/M6061</f>
        <v>0</v>
      </c>
      <c r="Q6061" t="str">
        <f t="shared" si="2545"/>
        <v>12.5% | 12.5%</v>
      </c>
      <c r="R6061" t="str">
        <f t="shared" ref="R6061:R6091" si="2569">MID(B6061,FIND("(",B6061,1)+1,FIND(")",B6061,1)-FIND("(",B6061,1)-1)</f>
        <v>NEUTRAL</v>
      </c>
      <c r="S6061">
        <f t="shared" ref="S6061:S6091" si="2570">IF(R6061="BEARISH",-1,IF(R6061="NEUTRAL",0,IF(R6061="BULLISH",1,99)))</f>
        <v>0</v>
      </c>
    </row>
    <row r="6062" spans="1:19" hidden="1" x14ac:dyDescent="0.25">
      <c r="A6062" s="5" t="str">
        <f t="shared" si="2546"/>
        <v>44172SPX</v>
      </c>
      <c r="B6062" s="6" t="s">
        <v>93</v>
      </c>
      <c r="C6062" s="6">
        <v>3579</v>
      </c>
      <c r="D6062" s="6">
        <v>3720</v>
      </c>
      <c r="E6062" s="6">
        <v>3699</v>
      </c>
      <c r="F6062" t="str">
        <f t="shared" si="2559"/>
        <v>MON</v>
      </c>
      <c r="G6062" s="1">
        <f t="shared" si="2560"/>
        <v>44172</v>
      </c>
      <c r="H6062" s="2">
        <f t="shared" ca="1" si="2561"/>
        <v>81</v>
      </c>
      <c r="I6062" t="str">
        <f t="shared" si="2562"/>
        <v>SPX</v>
      </c>
      <c r="J6062">
        <f t="shared" si="2563"/>
        <v>3579</v>
      </c>
      <c r="K6062">
        <f t="shared" si="2564"/>
        <v>3720</v>
      </c>
      <c r="L6062">
        <f t="shared" si="2565"/>
        <v>3649.5</v>
      </c>
      <c r="M6062">
        <f t="shared" si="2566"/>
        <v>70.5</v>
      </c>
      <c r="N6062">
        <f t="shared" si="2544"/>
        <v>141</v>
      </c>
      <c r="O6062">
        <f t="shared" si="2567"/>
        <v>3699</v>
      </c>
      <c r="P6062">
        <f t="shared" si="2568"/>
        <v>0.7021276595744681</v>
      </c>
      <c r="Q6062" t="str">
        <f t="shared" si="2545"/>
        <v>3.24% | 0.57%</v>
      </c>
      <c r="R6062" t="str">
        <f t="shared" si="2569"/>
        <v>BULLISH</v>
      </c>
      <c r="S6062">
        <f t="shared" si="2570"/>
        <v>1</v>
      </c>
    </row>
    <row r="6063" spans="1:19" hidden="1" x14ac:dyDescent="0.25">
      <c r="A6063" s="5" t="str">
        <f t="shared" si="2546"/>
        <v>44172RUT</v>
      </c>
      <c r="B6063" s="6" t="s">
        <v>247</v>
      </c>
      <c r="C6063" s="6">
        <v>1803</v>
      </c>
      <c r="D6063" s="6">
        <v>1902</v>
      </c>
      <c r="E6063" s="6">
        <v>1892</v>
      </c>
      <c r="F6063" t="str">
        <f t="shared" si="2559"/>
        <v>MON</v>
      </c>
      <c r="G6063" s="1">
        <f t="shared" si="2560"/>
        <v>44172</v>
      </c>
      <c r="H6063" s="2">
        <f t="shared" ca="1" si="2561"/>
        <v>81</v>
      </c>
      <c r="I6063" t="str">
        <f t="shared" si="2562"/>
        <v>RUT</v>
      </c>
      <c r="J6063">
        <f t="shared" si="2563"/>
        <v>1803</v>
      </c>
      <c r="K6063">
        <f t="shared" si="2564"/>
        <v>1902</v>
      </c>
      <c r="L6063">
        <f t="shared" si="2565"/>
        <v>1852.5</v>
      </c>
      <c r="M6063">
        <f t="shared" si="2566"/>
        <v>49.5</v>
      </c>
      <c r="N6063">
        <f t="shared" si="2544"/>
        <v>99</v>
      </c>
      <c r="O6063">
        <f t="shared" si="2567"/>
        <v>1892</v>
      </c>
      <c r="P6063">
        <f t="shared" si="2568"/>
        <v>0.79797979797979801</v>
      </c>
      <c r="Q6063" t="str">
        <f t="shared" si="2545"/>
        <v>4.7% | 0.53%</v>
      </c>
      <c r="R6063" t="str">
        <f t="shared" si="2569"/>
        <v>BULLISH</v>
      </c>
      <c r="S6063">
        <f t="shared" si="2570"/>
        <v>1</v>
      </c>
    </row>
    <row r="6064" spans="1:19" hidden="1" x14ac:dyDescent="0.25">
      <c r="A6064" s="5" t="str">
        <f t="shared" si="2546"/>
        <v>44172COMPQ</v>
      </c>
      <c r="B6064" s="6" t="s">
        <v>8</v>
      </c>
      <c r="C6064" s="6">
        <v>11923</v>
      </c>
      <c r="D6064" s="6">
        <v>12583</v>
      </c>
      <c r="E6064" s="6">
        <v>12464</v>
      </c>
      <c r="F6064" t="str">
        <f t="shared" si="2559"/>
        <v>MON</v>
      </c>
      <c r="G6064" s="1">
        <f t="shared" si="2560"/>
        <v>44172</v>
      </c>
      <c r="H6064" s="2">
        <f t="shared" ca="1" si="2561"/>
        <v>81</v>
      </c>
      <c r="I6064" t="str">
        <f t="shared" si="2562"/>
        <v>COMPQ</v>
      </c>
      <c r="J6064">
        <f t="shared" si="2563"/>
        <v>11923</v>
      </c>
      <c r="K6064">
        <f t="shared" si="2564"/>
        <v>12583</v>
      </c>
      <c r="L6064">
        <f t="shared" si="2565"/>
        <v>12253</v>
      </c>
      <c r="M6064">
        <f t="shared" si="2566"/>
        <v>330</v>
      </c>
      <c r="N6064">
        <f t="shared" si="2544"/>
        <v>660</v>
      </c>
      <c r="O6064">
        <f t="shared" si="2567"/>
        <v>12464</v>
      </c>
      <c r="P6064">
        <f t="shared" si="2568"/>
        <v>0.6393939393939394</v>
      </c>
      <c r="Q6064" t="str">
        <f t="shared" si="2545"/>
        <v>4.34% | 0.95%</v>
      </c>
      <c r="R6064" t="str">
        <f t="shared" si="2569"/>
        <v>BULLISH</v>
      </c>
      <c r="S6064">
        <f t="shared" si="2570"/>
        <v>1</v>
      </c>
    </row>
    <row r="6065" spans="1:19" hidden="1" x14ac:dyDescent="0.25">
      <c r="A6065" s="5" t="str">
        <f t="shared" si="2546"/>
        <v>44172XLK</v>
      </c>
      <c r="B6065" s="6" t="s">
        <v>10</v>
      </c>
      <c r="C6065" s="6">
        <v>121.18</v>
      </c>
      <c r="D6065" s="6">
        <v>127.27</v>
      </c>
      <c r="E6065" s="6">
        <v>126.04</v>
      </c>
      <c r="F6065" t="str">
        <f t="shared" si="2559"/>
        <v>MON</v>
      </c>
      <c r="G6065" s="1">
        <f t="shared" si="2560"/>
        <v>44172</v>
      </c>
      <c r="H6065" s="2">
        <f t="shared" ca="1" si="2561"/>
        <v>81</v>
      </c>
      <c r="I6065" t="str">
        <f t="shared" si="2562"/>
        <v>XLK</v>
      </c>
      <c r="J6065">
        <f t="shared" si="2563"/>
        <v>121.18</v>
      </c>
      <c r="K6065">
        <f t="shared" si="2564"/>
        <v>127.27</v>
      </c>
      <c r="L6065">
        <f t="shared" si="2565"/>
        <v>124.22499999999999</v>
      </c>
      <c r="M6065">
        <f t="shared" si="2566"/>
        <v>3.0449999999999946</v>
      </c>
      <c r="N6065">
        <f t="shared" si="2544"/>
        <v>6.0899999999999892</v>
      </c>
      <c r="O6065">
        <f t="shared" si="2567"/>
        <v>126.04</v>
      </c>
      <c r="P6065">
        <f t="shared" si="2568"/>
        <v>0.59605911330049755</v>
      </c>
      <c r="Q6065" t="str">
        <f t="shared" si="2545"/>
        <v>3.86% | 0.98%</v>
      </c>
      <c r="R6065" t="str">
        <f t="shared" si="2569"/>
        <v>BULLISH</v>
      </c>
      <c r="S6065">
        <f t="shared" si="2570"/>
        <v>1</v>
      </c>
    </row>
    <row r="6066" spans="1:19" hidden="1" x14ac:dyDescent="0.25">
      <c r="A6066" s="5" t="str">
        <f t="shared" si="2546"/>
        <v>44172XLE</v>
      </c>
      <c r="B6066" s="6" t="s">
        <v>250</v>
      </c>
      <c r="C6066" s="6">
        <v>35.96</v>
      </c>
      <c r="D6066" s="6">
        <v>41.37</v>
      </c>
      <c r="E6066" s="6">
        <v>40.630000000000003</v>
      </c>
      <c r="F6066" t="str">
        <f t="shared" si="2559"/>
        <v>MON</v>
      </c>
      <c r="G6066" s="1">
        <f t="shared" si="2560"/>
        <v>44172</v>
      </c>
      <c r="H6066" s="2">
        <f t="shared" ca="1" si="2561"/>
        <v>81</v>
      </c>
      <c r="I6066" t="str">
        <f t="shared" si="2562"/>
        <v>XLE</v>
      </c>
      <c r="J6066">
        <f t="shared" si="2563"/>
        <v>35.96</v>
      </c>
      <c r="K6066">
        <f t="shared" si="2564"/>
        <v>41.37</v>
      </c>
      <c r="L6066">
        <f t="shared" si="2565"/>
        <v>38.664999999999999</v>
      </c>
      <c r="M6066">
        <f t="shared" si="2566"/>
        <v>2.7049999999999983</v>
      </c>
      <c r="N6066">
        <f t="shared" si="2544"/>
        <v>5.4099999999999966</v>
      </c>
      <c r="O6066">
        <f t="shared" si="2567"/>
        <v>40.630000000000003</v>
      </c>
      <c r="P6066">
        <f t="shared" si="2568"/>
        <v>0.72643253234750638</v>
      </c>
      <c r="Q6066" t="str">
        <f t="shared" si="2545"/>
        <v>11.49% | 1.82%</v>
      </c>
      <c r="R6066" t="str">
        <f t="shared" si="2569"/>
        <v>BULLISH</v>
      </c>
      <c r="S6066">
        <f t="shared" si="2570"/>
        <v>1</v>
      </c>
    </row>
    <row r="6067" spans="1:19" hidden="1" x14ac:dyDescent="0.25">
      <c r="A6067" s="5" t="str">
        <f t="shared" si="2546"/>
        <v>44172XLU</v>
      </c>
      <c r="B6067" s="6" t="s">
        <v>82</v>
      </c>
      <c r="C6067" s="6">
        <v>62.05</v>
      </c>
      <c r="D6067" s="6">
        <v>64.7</v>
      </c>
      <c r="E6067" s="6">
        <v>62.41</v>
      </c>
      <c r="F6067" t="str">
        <f t="shared" si="2559"/>
        <v>MON</v>
      </c>
      <c r="G6067" s="1">
        <f t="shared" si="2560"/>
        <v>44172</v>
      </c>
      <c r="H6067" s="2">
        <f t="shared" ca="1" si="2561"/>
        <v>81</v>
      </c>
      <c r="I6067" t="str">
        <f t="shared" si="2562"/>
        <v>XLU</v>
      </c>
      <c r="J6067">
        <f t="shared" si="2563"/>
        <v>62.05</v>
      </c>
      <c r="K6067">
        <f t="shared" si="2564"/>
        <v>64.7</v>
      </c>
      <c r="L6067">
        <f t="shared" si="2565"/>
        <v>63.375</v>
      </c>
      <c r="M6067">
        <f t="shared" si="2566"/>
        <v>1.3250000000000028</v>
      </c>
      <c r="N6067">
        <f t="shared" si="2544"/>
        <v>2.6500000000000057</v>
      </c>
      <c r="O6067">
        <f t="shared" si="2567"/>
        <v>62.41</v>
      </c>
      <c r="P6067">
        <f t="shared" si="2568"/>
        <v>-0.72830188679245389</v>
      </c>
      <c r="Q6067" t="str">
        <f t="shared" si="2545"/>
        <v>0.58% | 3.67%</v>
      </c>
      <c r="R6067" t="str">
        <f t="shared" si="2569"/>
        <v>BEARISH</v>
      </c>
      <c r="S6067">
        <f t="shared" si="2570"/>
        <v>-1</v>
      </c>
    </row>
    <row r="6068" spans="1:19" hidden="1" x14ac:dyDescent="0.25">
      <c r="A6068" s="5" t="str">
        <f t="shared" si="2546"/>
        <v>44172GDX</v>
      </c>
      <c r="B6068" s="6" t="s">
        <v>254</v>
      </c>
      <c r="C6068" s="6">
        <v>33.03</v>
      </c>
      <c r="D6068" s="6">
        <v>36.65</v>
      </c>
      <c r="E6068" s="6">
        <v>35.31</v>
      </c>
      <c r="F6068" t="str">
        <f t="shared" si="2559"/>
        <v>MON</v>
      </c>
      <c r="G6068" s="1">
        <f t="shared" si="2560"/>
        <v>44172</v>
      </c>
      <c r="H6068" s="2">
        <f t="shared" ca="1" si="2561"/>
        <v>81</v>
      </c>
      <c r="I6068" t="str">
        <f t="shared" si="2562"/>
        <v>GDX</v>
      </c>
      <c r="J6068">
        <f t="shared" si="2563"/>
        <v>33.03</v>
      </c>
      <c r="K6068">
        <f t="shared" si="2564"/>
        <v>36.65</v>
      </c>
      <c r="L6068">
        <f t="shared" si="2565"/>
        <v>34.840000000000003</v>
      </c>
      <c r="M6068">
        <f t="shared" si="2566"/>
        <v>1.8099999999999987</v>
      </c>
      <c r="N6068">
        <f t="shared" si="2544"/>
        <v>3.6199999999999974</v>
      </c>
      <c r="O6068">
        <f t="shared" si="2567"/>
        <v>35.31</v>
      </c>
      <c r="P6068">
        <f t="shared" si="2568"/>
        <v>0.25966850828729238</v>
      </c>
      <c r="Q6068" t="str">
        <f t="shared" si="2545"/>
        <v>6.46% | 3.79%</v>
      </c>
      <c r="R6068" t="str">
        <f t="shared" si="2569"/>
        <v>BEARISH</v>
      </c>
      <c r="S6068">
        <f t="shared" si="2570"/>
        <v>-1</v>
      </c>
    </row>
    <row r="6069" spans="1:19" hidden="1" x14ac:dyDescent="0.25">
      <c r="A6069" s="5" t="str">
        <f t="shared" si="2546"/>
        <v>44172SSEC</v>
      </c>
      <c r="B6069" s="6" t="s">
        <v>104</v>
      </c>
      <c r="C6069" s="6">
        <v>3372</v>
      </c>
      <c r="D6069" s="6">
        <v>3480</v>
      </c>
      <c r="E6069" s="6">
        <v>3416</v>
      </c>
      <c r="F6069" t="str">
        <f t="shared" si="2559"/>
        <v>MON</v>
      </c>
      <c r="G6069" s="1">
        <f t="shared" si="2560"/>
        <v>44172</v>
      </c>
      <c r="H6069" s="2">
        <f t="shared" ca="1" si="2561"/>
        <v>81</v>
      </c>
      <c r="I6069" t="str">
        <f t="shared" si="2562"/>
        <v>SSEC</v>
      </c>
      <c r="J6069">
        <f t="shared" si="2563"/>
        <v>3372</v>
      </c>
      <c r="K6069">
        <f t="shared" si="2564"/>
        <v>3480</v>
      </c>
      <c r="L6069">
        <f t="shared" si="2565"/>
        <v>3426</v>
      </c>
      <c r="M6069">
        <f t="shared" si="2566"/>
        <v>54</v>
      </c>
      <c r="N6069">
        <f t="shared" si="2544"/>
        <v>108</v>
      </c>
      <c r="O6069">
        <f t="shared" si="2567"/>
        <v>3416</v>
      </c>
      <c r="P6069">
        <f t="shared" si="2568"/>
        <v>-0.18518518518518517</v>
      </c>
      <c r="Q6069" t="str">
        <f t="shared" si="2545"/>
        <v>1.29% | 1.87%</v>
      </c>
      <c r="R6069" t="str">
        <f t="shared" si="2569"/>
        <v>BULLISH</v>
      </c>
      <c r="S6069">
        <f t="shared" si="2570"/>
        <v>1</v>
      </c>
    </row>
    <row r="6070" spans="1:19" hidden="1" x14ac:dyDescent="0.25">
      <c r="A6070" s="5" t="str">
        <f t="shared" si="2546"/>
        <v>44172NIKK</v>
      </c>
      <c r="B6070" s="6" t="s">
        <v>91</v>
      </c>
      <c r="C6070" s="6">
        <v>26122</v>
      </c>
      <c r="D6070" s="6">
        <v>27039</v>
      </c>
      <c r="E6070" s="6">
        <v>26547</v>
      </c>
      <c r="F6070" t="str">
        <f t="shared" si="2559"/>
        <v>MON</v>
      </c>
      <c r="G6070" s="1">
        <f t="shared" si="2560"/>
        <v>44172</v>
      </c>
      <c r="H6070" s="2">
        <f t="shared" ca="1" si="2561"/>
        <v>81</v>
      </c>
      <c r="I6070" t="str">
        <f t="shared" si="2562"/>
        <v>NIKK</v>
      </c>
      <c r="J6070">
        <f t="shared" si="2563"/>
        <v>26122</v>
      </c>
      <c r="K6070">
        <f t="shared" si="2564"/>
        <v>27039</v>
      </c>
      <c r="L6070">
        <f t="shared" si="2565"/>
        <v>26580.5</v>
      </c>
      <c r="M6070">
        <f t="shared" si="2566"/>
        <v>458.5</v>
      </c>
      <c r="N6070">
        <f t="shared" si="2544"/>
        <v>917</v>
      </c>
      <c r="O6070">
        <f t="shared" si="2567"/>
        <v>26547</v>
      </c>
      <c r="P6070">
        <f t="shared" si="2568"/>
        <v>-7.3064340239912762E-2</v>
      </c>
      <c r="Q6070" t="str">
        <f t="shared" si="2545"/>
        <v>1.6% | 1.85%</v>
      </c>
      <c r="R6070" t="str">
        <f t="shared" si="2569"/>
        <v>BULLISH</v>
      </c>
      <c r="S6070">
        <f t="shared" si="2570"/>
        <v>1</v>
      </c>
    </row>
    <row r="6071" spans="1:19" hidden="1" x14ac:dyDescent="0.25">
      <c r="A6071" s="5" t="str">
        <f t="shared" si="2546"/>
        <v>44172DAX</v>
      </c>
      <c r="B6071" s="6" t="s">
        <v>92</v>
      </c>
      <c r="C6071" s="6">
        <v>13066</v>
      </c>
      <c r="D6071" s="6">
        <v>13393</v>
      </c>
      <c r="E6071" s="6">
        <v>13298</v>
      </c>
      <c r="F6071" t="str">
        <f t="shared" si="2559"/>
        <v>MON</v>
      </c>
      <c r="G6071" s="1">
        <f t="shared" si="2560"/>
        <v>44172</v>
      </c>
      <c r="H6071" s="2">
        <f t="shared" ca="1" si="2561"/>
        <v>81</v>
      </c>
      <c r="I6071" t="str">
        <f t="shared" si="2562"/>
        <v>DAX</v>
      </c>
      <c r="J6071">
        <f t="shared" si="2563"/>
        <v>13066</v>
      </c>
      <c r="K6071">
        <f t="shared" si="2564"/>
        <v>13393</v>
      </c>
      <c r="L6071">
        <f t="shared" si="2565"/>
        <v>13229.5</v>
      </c>
      <c r="M6071">
        <f t="shared" si="2566"/>
        <v>163.5</v>
      </c>
      <c r="N6071">
        <f t="shared" si="2544"/>
        <v>327</v>
      </c>
      <c r="O6071">
        <f t="shared" si="2567"/>
        <v>13298</v>
      </c>
      <c r="P6071">
        <f t="shared" si="2568"/>
        <v>0.41896024464831805</v>
      </c>
      <c r="Q6071" t="str">
        <f t="shared" si="2545"/>
        <v>1.74% | 0.71%</v>
      </c>
      <c r="R6071" t="str">
        <f t="shared" si="2569"/>
        <v>NEUTRAL</v>
      </c>
      <c r="S6071">
        <f t="shared" si="2570"/>
        <v>0</v>
      </c>
    </row>
    <row r="6072" spans="1:19" hidden="1" x14ac:dyDescent="0.25">
      <c r="A6072" s="5" t="str">
        <f t="shared" si="2546"/>
        <v>44172VIX</v>
      </c>
      <c r="B6072" s="6" t="s">
        <v>96</v>
      </c>
      <c r="C6072" s="6">
        <v>19.920000000000002</v>
      </c>
      <c r="D6072" s="6">
        <v>23.41</v>
      </c>
      <c r="E6072" s="6">
        <v>20.79</v>
      </c>
      <c r="F6072" t="str">
        <f t="shared" si="2559"/>
        <v>MON</v>
      </c>
      <c r="G6072" s="1">
        <f t="shared" si="2560"/>
        <v>44172</v>
      </c>
      <c r="H6072" s="2">
        <f t="shared" ca="1" si="2561"/>
        <v>81</v>
      </c>
      <c r="I6072" t="str">
        <f t="shared" si="2562"/>
        <v>VIX</v>
      </c>
      <c r="J6072">
        <f t="shared" si="2563"/>
        <v>19.920000000000002</v>
      </c>
      <c r="K6072">
        <f t="shared" si="2564"/>
        <v>23.41</v>
      </c>
      <c r="L6072">
        <f t="shared" si="2565"/>
        <v>21.664999999999999</v>
      </c>
      <c r="M6072">
        <f t="shared" si="2566"/>
        <v>1.7449999999999992</v>
      </c>
      <c r="N6072">
        <f t="shared" si="2544"/>
        <v>3.4899999999999984</v>
      </c>
      <c r="O6072">
        <f t="shared" si="2567"/>
        <v>20.79</v>
      </c>
      <c r="P6072">
        <f t="shared" si="2568"/>
        <v>-0.50143266475644721</v>
      </c>
      <c r="Q6072" t="str">
        <f t="shared" si="2545"/>
        <v>4.18% | 12.6%</v>
      </c>
      <c r="R6072" t="str">
        <f t="shared" si="2569"/>
        <v>BEARISH</v>
      </c>
      <c r="S6072">
        <f t="shared" si="2570"/>
        <v>-1</v>
      </c>
    </row>
    <row r="6073" spans="1:19" hidden="1" x14ac:dyDescent="0.25">
      <c r="A6073" s="5" t="str">
        <f t="shared" si="2546"/>
        <v>44172USD</v>
      </c>
      <c r="B6073" s="6" t="s">
        <v>94</v>
      </c>
      <c r="C6073" s="6">
        <v>90.15</v>
      </c>
      <c r="D6073" s="6">
        <v>92.12</v>
      </c>
      <c r="E6073" s="6">
        <v>90.69</v>
      </c>
      <c r="F6073" t="str">
        <f t="shared" si="2559"/>
        <v>MON</v>
      </c>
      <c r="G6073" s="1">
        <f t="shared" si="2560"/>
        <v>44172</v>
      </c>
      <c r="H6073" s="2">
        <f t="shared" ca="1" si="2561"/>
        <v>81</v>
      </c>
      <c r="I6073" t="str">
        <f t="shared" si="2562"/>
        <v>USD</v>
      </c>
      <c r="J6073">
        <f t="shared" si="2563"/>
        <v>90.15</v>
      </c>
      <c r="K6073">
        <f t="shared" si="2564"/>
        <v>92.12</v>
      </c>
      <c r="L6073">
        <f t="shared" si="2565"/>
        <v>91.135000000000005</v>
      </c>
      <c r="M6073">
        <f t="shared" si="2566"/>
        <v>0.98499999999999943</v>
      </c>
      <c r="N6073">
        <f t="shared" si="2544"/>
        <v>1.9699999999999989</v>
      </c>
      <c r="O6073">
        <f t="shared" si="2567"/>
        <v>90.69</v>
      </c>
      <c r="P6073">
        <f t="shared" si="2568"/>
        <v>-0.45177664974620063</v>
      </c>
      <c r="Q6073" t="str">
        <f t="shared" si="2545"/>
        <v>0.6% | 1.58%</v>
      </c>
      <c r="R6073" t="str">
        <f t="shared" si="2569"/>
        <v>BEARISH</v>
      </c>
      <c r="S6073">
        <f t="shared" si="2570"/>
        <v>-1</v>
      </c>
    </row>
    <row r="6074" spans="1:19" hidden="1" x14ac:dyDescent="0.25">
      <c r="A6074" s="5" t="str">
        <f t="shared" si="2546"/>
        <v>44172EUR/USD</v>
      </c>
      <c r="B6074" s="6" t="s">
        <v>99</v>
      </c>
      <c r="C6074" s="6">
        <v>1.1910000000000001</v>
      </c>
      <c r="D6074" s="6">
        <v>1.222</v>
      </c>
      <c r="E6074" s="6">
        <v>1.212</v>
      </c>
      <c r="F6074" t="str">
        <f t="shared" si="2559"/>
        <v>MON</v>
      </c>
      <c r="G6074" s="1">
        <f t="shared" si="2560"/>
        <v>44172</v>
      </c>
      <c r="H6074" s="2">
        <f t="shared" ca="1" si="2561"/>
        <v>81</v>
      </c>
      <c r="I6074" t="str">
        <f t="shared" si="2562"/>
        <v>EUR/USD</v>
      </c>
      <c r="J6074">
        <f t="shared" si="2563"/>
        <v>1.1910000000000001</v>
      </c>
      <c r="K6074">
        <f t="shared" si="2564"/>
        <v>1.222</v>
      </c>
      <c r="L6074">
        <f t="shared" si="2565"/>
        <v>1.2065000000000001</v>
      </c>
      <c r="M6074">
        <f t="shared" si="2566"/>
        <v>1.5499999999999958E-2</v>
      </c>
      <c r="N6074">
        <f t="shared" si="2544"/>
        <v>3.0999999999999917E-2</v>
      </c>
      <c r="O6074">
        <f t="shared" si="2567"/>
        <v>1.212</v>
      </c>
      <c r="P6074">
        <f t="shared" si="2568"/>
        <v>0.35483870967740988</v>
      </c>
      <c r="Q6074" t="str">
        <f t="shared" si="2545"/>
        <v>1.73% | 0.83%</v>
      </c>
      <c r="R6074" t="str">
        <f t="shared" si="2569"/>
        <v>BULLISH</v>
      </c>
      <c r="S6074">
        <f t="shared" si="2570"/>
        <v>1</v>
      </c>
    </row>
    <row r="6075" spans="1:19" hidden="1" x14ac:dyDescent="0.25">
      <c r="A6075" s="5" t="str">
        <f t="shared" si="2546"/>
        <v>44172USD/JPY</v>
      </c>
      <c r="B6075" s="6" t="s">
        <v>20</v>
      </c>
      <c r="C6075" s="6">
        <v>103.48</v>
      </c>
      <c r="D6075" s="6">
        <v>104.92</v>
      </c>
      <c r="E6075" s="6">
        <v>104.18</v>
      </c>
      <c r="F6075" t="str">
        <f t="shared" si="2559"/>
        <v>MON</v>
      </c>
      <c r="G6075" s="1">
        <f t="shared" si="2560"/>
        <v>44172</v>
      </c>
      <c r="H6075" s="2">
        <f t="shared" ca="1" si="2561"/>
        <v>81</v>
      </c>
      <c r="I6075" t="str">
        <f t="shared" si="2562"/>
        <v>USD/JPY</v>
      </c>
      <c r="J6075">
        <f t="shared" si="2563"/>
        <v>103.48</v>
      </c>
      <c r="K6075">
        <f t="shared" si="2564"/>
        <v>104.92</v>
      </c>
      <c r="L6075">
        <f t="shared" si="2565"/>
        <v>104.2</v>
      </c>
      <c r="M6075">
        <f t="shared" si="2566"/>
        <v>0.71999999999999886</v>
      </c>
      <c r="N6075">
        <f t="shared" si="2544"/>
        <v>1.4399999999999977</v>
      </c>
      <c r="O6075">
        <f t="shared" si="2567"/>
        <v>104.18</v>
      </c>
      <c r="P6075">
        <f t="shared" si="2568"/>
        <v>-2.7777777777772295E-2</v>
      </c>
      <c r="Q6075" t="str">
        <f t="shared" si="2545"/>
        <v>0.67% | 0.71%</v>
      </c>
      <c r="R6075" t="str">
        <f t="shared" si="2569"/>
        <v>BEARISH</v>
      </c>
      <c r="S6075">
        <f t="shared" si="2570"/>
        <v>-1</v>
      </c>
    </row>
    <row r="6076" spans="1:19" hidden="1" x14ac:dyDescent="0.25">
      <c r="A6076" s="5" t="str">
        <f t="shared" si="2546"/>
        <v>44172GBP/USD</v>
      </c>
      <c r="B6076" s="6" t="s">
        <v>102</v>
      </c>
      <c r="C6076" s="6">
        <v>1.3240000000000001</v>
      </c>
      <c r="D6076" s="6">
        <v>1.3480000000000001</v>
      </c>
      <c r="E6076" s="6">
        <v>1.343</v>
      </c>
      <c r="F6076" t="str">
        <f t="shared" si="2559"/>
        <v>MON</v>
      </c>
      <c r="G6076" s="1">
        <f t="shared" si="2560"/>
        <v>44172</v>
      </c>
      <c r="H6076" s="2">
        <f t="shared" ca="1" si="2561"/>
        <v>81</v>
      </c>
      <c r="I6076" t="str">
        <f t="shared" si="2562"/>
        <v>GBP/USD</v>
      </c>
      <c r="J6076">
        <f t="shared" si="2563"/>
        <v>1.3240000000000001</v>
      </c>
      <c r="K6076">
        <f t="shared" si="2564"/>
        <v>1.3480000000000001</v>
      </c>
      <c r="L6076">
        <f t="shared" si="2565"/>
        <v>1.3360000000000001</v>
      </c>
      <c r="M6076">
        <f t="shared" si="2566"/>
        <v>1.2000000000000011E-2</v>
      </c>
      <c r="N6076">
        <f t="shared" si="2544"/>
        <v>2.4000000000000021E-2</v>
      </c>
      <c r="O6076">
        <f t="shared" si="2567"/>
        <v>1.343</v>
      </c>
      <c r="P6076">
        <f t="shared" si="2568"/>
        <v>0.58333333333332404</v>
      </c>
      <c r="Q6076" t="str">
        <f t="shared" si="2545"/>
        <v>1.41% | 0.37%</v>
      </c>
      <c r="R6076" t="str">
        <f t="shared" si="2569"/>
        <v>BULLISH</v>
      </c>
      <c r="S6076">
        <f t="shared" si="2570"/>
        <v>1</v>
      </c>
    </row>
    <row r="6077" spans="1:19" hidden="1" x14ac:dyDescent="0.25">
      <c r="A6077" s="5" t="str">
        <f t="shared" si="2546"/>
        <v>44172CAD/USD</v>
      </c>
      <c r="B6077" s="6" t="s">
        <v>244</v>
      </c>
      <c r="C6077" s="6">
        <v>0.76</v>
      </c>
      <c r="D6077" s="6">
        <v>0.78</v>
      </c>
      <c r="E6077" s="6">
        <v>0.78</v>
      </c>
      <c r="F6077" t="str">
        <f t="shared" si="2559"/>
        <v>MON</v>
      </c>
      <c r="G6077" s="1">
        <f t="shared" si="2560"/>
        <v>44172</v>
      </c>
      <c r="H6077" s="2">
        <f t="shared" ca="1" si="2561"/>
        <v>81</v>
      </c>
      <c r="I6077" t="str">
        <f t="shared" si="2562"/>
        <v>CAD/USD</v>
      </c>
      <c r="J6077">
        <f t="shared" si="2563"/>
        <v>0.76</v>
      </c>
      <c r="K6077">
        <f t="shared" si="2564"/>
        <v>0.78</v>
      </c>
      <c r="L6077">
        <f t="shared" si="2565"/>
        <v>0.77</v>
      </c>
      <c r="M6077">
        <f t="shared" si="2566"/>
        <v>1.0000000000000009E-2</v>
      </c>
      <c r="N6077">
        <f t="shared" si="2544"/>
        <v>2.0000000000000018E-2</v>
      </c>
      <c r="O6077">
        <f t="shared" si="2567"/>
        <v>0.78</v>
      </c>
      <c r="P6077">
        <f t="shared" si="2568"/>
        <v>1</v>
      </c>
      <c r="Q6077" t="str">
        <f t="shared" si="2545"/>
        <v>2.56% | 0%</v>
      </c>
      <c r="R6077" t="str">
        <f t="shared" si="2569"/>
        <v>BULLISH</v>
      </c>
      <c r="S6077">
        <f t="shared" si="2570"/>
        <v>1</v>
      </c>
    </row>
    <row r="6078" spans="1:19" hidden="1" x14ac:dyDescent="0.25">
      <c r="A6078" s="5" t="str">
        <f t="shared" si="2546"/>
        <v>44172USD/CHF</v>
      </c>
      <c r="B6078" s="6" t="s">
        <v>76</v>
      </c>
      <c r="C6078" s="6">
        <v>0.89</v>
      </c>
      <c r="D6078" s="6">
        <v>0.91</v>
      </c>
      <c r="E6078" s="6">
        <v>0.89</v>
      </c>
      <c r="F6078" t="str">
        <f t="shared" si="2559"/>
        <v>MON</v>
      </c>
      <c r="G6078" s="1">
        <f t="shared" si="2560"/>
        <v>44172</v>
      </c>
      <c r="H6078" s="2">
        <f t="shared" ca="1" si="2561"/>
        <v>81</v>
      </c>
      <c r="I6078" t="str">
        <f t="shared" si="2562"/>
        <v>USD/CHF</v>
      </c>
      <c r="J6078">
        <f t="shared" si="2563"/>
        <v>0.89</v>
      </c>
      <c r="K6078">
        <f t="shared" si="2564"/>
        <v>0.91</v>
      </c>
      <c r="L6078">
        <f t="shared" si="2565"/>
        <v>0.9</v>
      </c>
      <c r="M6078">
        <f t="shared" si="2566"/>
        <v>1.0000000000000009E-2</v>
      </c>
      <c r="N6078">
        <f t="shared" si="2544"/>
        <v>2.0000000000000018E-2</v>
      </c>
      <c r="O6078">
        <f t="shared" si="2567"/>
        <v>0.89</v>
      </c>
      <c r="P6078">
        <f t="shared" si="2568"/>
        <v>-1</v>
      </c>
      <c r="Q6078" t="str">
        <f t="shared" si="2545"/>
        <v>0% | 2.25%</v>
      </c>
      <c r="R6078" t="str">
        <f t="shared" si="2569"/>
        <v>BEARISH</v>
      </c>
      <c r="S6078">
        <f t="shared" si="2570"/>
        <v>-1</v>
      </c>
    </row>
    <row r="6079" spans="1:19" hidden="1" x14ac:dyDescent="0.25">
      <c r="A6079" s="5" t="str">
        <f t="shared" si="2546"/>
        <v>44172WTIC</v>
      </c>
      <c r="B6079" s="6" t="s">
        <v>158</v>
      </c>
      <c r="C6079" s="6">
        <v>43.21</v>
      </c>
      <c r="D6079" s="6">
        <v>46.98</v>
      </c>
      <c r="E6079" s="6">
        <v>46.26</v>
      </c>
      <c r="F6079" t="str">
        <f t="shared" si="2559"/>
        <v>MON</v>
      </c>
      <c r="G6079" s="1">
        <f t="shared" si="2560"/>
        <v>44172</v>
      </c>
      <c r="H6079" s="2">
        <f t="shared" ca="1" si="2561"/>
        <v>81</v>
      </c>
      <c r="I6079" t="str">
        <f t="shared" si="2562"/>
        <v>WTIC</v>
      </c>
      <c r="J6079">
        <f t="shared" si="2563"/>
        <v>43.21</v>
      </c>
      <c r="K6079">
        <f t="shared" si="2564"/>
        <v>46.98</v>
      </c>
      <c r="L6079">
        <f t="shared" si="2565"/>
        <v>45.094999999999999</v>
      </c>
      <c r="M6079">
        <f t="shared" si="2566"/>
        <v>1.884999999999998</v>
      </c>
      <c r="N6079">
        <f t="shared" si="2544"/>
        <v>3.769999999999996</v>
      </c>
      <c r="O6079">
        <f t="shared" si="2567"/>
        <v>46.26</v>
      </c>
      <c r="P6079">
        <f t="shared" si="2568"/>
        <v>0.61803713527851478</v>
      </c>
      <c r="Q6079" t="str">
        <f t="shared" si="2545"/>
        <v>6.59% | 1.56%</v>
      </c>
      <c r="R6079" t="str">
        <f t="shared" si="2569"/>
        <v>BULLISH</v>
      </c>
      <c r="S6079">
        <f t="shared" si="2570"/>
        <v>1</v>
      </c>
    </row>
    <row r="6080" spans="1:19" hidden="1" x14ac:dyDescent="0.25">
      <c r="A6080" s="5" t="str">
        <f t="shared" si="2546"/>
        <v>44172NATGAS</v>
      </c>
      <c r="B6080" s="6" t="s">
        <v>89</v>
      </c>
      <c r="C6080" s="6">
        <v>2.41</v>
      </c>
      <c r="D6080" s="6">
        <v>3.06</v>
      </c>
      <c r="E6080" s="6">
        <v>2.58</v>
      </c>
      <c r="F6080" t="str">
        <f t="shared" si="2559"/>
        <v>MON</v>
      </c>
      <c r="G6080" s="1">
        <f t="shared" si="2560"/>
        <v>44172</v>
      </c>
      <c r="H6080" s="2">
        <f t="shared" ca="1" si="2561"/>
        <v>81</v>
      </c>
      <c r="I6080" t="str">
        <f t="shared" si="2562"/>
        <v>NATGAS</v>
      </c>
      <c r="J6080">
        <f t="shared" si="2563"/>
        <v>2.41</v>
      </c>
      <c r="K6080">
        <f t="shared" si="2564"/>
        <v>3.06</v>
      </c>
      <c r="L6080">
        <f t="shared" si="2565"/>
        <v>2.7350000000000003</v>
      </c>
      <c r="M6080">
        <f t="shared" si="2566"/>
        <v>0.3249999999999984</v>
      </c>
      <c r="N6080">
        <f t="shared" si="2544"/>
        <v>0.64999999999999991</v>
      </c>
      <c r="O6080">
        <f t="shared" si="2567"/>
        <v>2.58</v>
      </c>
      <c r="P6080">
        <f t="shared" si="2568"/>
        <v>-0.47692307692308006</v>
      </c>
      <c r="Q6080" t="str">
        <f t="shared" si="2545"/>
        <v>6.59% | 18.6%</v>
      </c>
      <c r="R6080" t="str">
        <f t="shared" si="2569"/>
        <v>BULLISH</v>
      </c>
      <c r="S6080">
        <f t="shared" si="2570"/>
        <v>1</v>
      </c>
    </row>
    <row r="6081" spans="1:19" hidden="1" x14ac:dyDescent="0.25">
      <c r="A6081" s="5" t="str">
        <f t="shared" si="2546"/>
        <v>44172GOLD</v>
      </c>
      <c r="B6081" s="6" t="s">
        <v>85</v>
      </c>
      <c r="C6081" s="6">
        <v>1772</v>
      </c>
      <c r="D6081" s="6">
        <v>1856</v>
      </c>
      <c r="E6081" s="6">
        <v>1840</v>
      </c>
      <c r="F6081" t="str">
        <f t="shared" si="2559"/>
        <v>MON</v>
      </c>
      <c r="G6081" s="1">
        <f t="shared" si="2560"/>
        <v>44172</v>
      </c>
      <c r="H6081" s="2">
        <f t="shared" ca="1" si="2561"/>
        <v>81</v>
      </c>
      <c r="I6081" t="str">
        <f t="shared" si="2562"/>
        <v>GOLD</v>
      </c>
      <c r="J6081">
        <f t="shared" si="2563"/>
        <v>1772</v>
      </c>
      <c r="K6081">
        <f t="shared" si="2564"/>
        <v>1856</v>
      </c>
      <c r="L6081">
        <f t="shared" si="2565"/>
        <v>1814</v>
      </c>
      <c r="M6081">
        <f t="shared" si="2566"/>
        <v>42</v>
      </c>
      <c r="N6081">
        <f t="shared" si="2544"/>
        <v>84</v>
      </c>
      <c r="O6081">
        <f t="shared" si="2567"/>
        <v>1840</v>
      </c>
      <c r="P6081">
        <f t="shared" si="2568"/>
        <v>0.61904761904761907</v>
      </c>
      <c r="Q6081" t="str">
        <f t="shared" si="2545"/>
        <v>3.7% | 0.87%</v>
      </c>
      <c r="R6081" t="str">
        <f t="shared" si="2569"/>
        <v>BEARISH</v>
      </c>
      <c r="S6081">
        <f t="shared" si="2570"/>
        <v>-1</v>
      </c>
    </row>
    <row r="6082" spans="1:19" hidden="1" x14ac:dyDescent="0.25">
      <c r="A6082" s="5" t="str">
        <f t="shared" si="2546"/>
        <v>44172COPPER</v>
      </c>
      <c r="B6082" s="6" t="s">
        <v>100</v>
      </c>
      <c r="C6082" s="6">
        <v>3.28</v>
      </c>
      <c r="D6082" s="6">
        <v>3.6</v>
      </c>
      <c r="E6082" s="6">
        <v>3.52</v>
      </c>
      <c r="F6082" t="str">
        <f t="shared" si="2559"/>
        <v>MON</v>
      </c>
      <c r="G6082" s="1">
        <f t="shared" si="2560"/>
        <v>44172</v>
      </c>
      <c r="H6082" s="2">
        <f t="shared" ca="1" si="2561"/>
        <v>81</v>
      </c>
      <c r="I6082" t="str">
        <f t="shared" si="2562"/>
        <v>COPPER</v>
      </c>
      <c r="J6082">
        <f t="shared" si="2563"/>
        <v>3.28</v>
      </c>
      <c r="K6082">
        <f t="shared" si="2564"/>
        <v>3.6</v>
      </c>
      <c r="L6082">
        <f t="shared" si="2565"/>
        <v>3.44</v>
      </c>
      <c r="M6082">
        <f t="shared" si="2566"/>
        <v>0.16000000000000014</v>
      </c>
      <c r="N6082">
        <f t="shared" si="2544"/>
        <v>0.32000000000000028</v>
      </c>
      <c r="O6082">
        <f t="shared" si="2567"/>
        <v>3.52</v>
      </c>
      <c r="P6082">
        <f t="shared" si="2568"/>
        <v>0.5</v>
      </c>
      <c r="Q6082" t="str">
        <f t="shared" si="2545"/>
        <v>6.82% | 2.27%</v>
      </c>
      <c r="R6082" t="str">
        <f t="shared" si="2569"/>
        <v>BULLISH</v>
      </c>
      <c r="S6082">
        <f t="shared" si="2570"/>
        <v>1</v>
      </c>
    </row>
    <row r="6083" spans="1:19" hidden="1" x14ac:dyDescent="0.25">
      <c r="A6083" s="5" t="str">
        <f t="shared" si="2546"/>
        <v>44172MSFT</v>
      </c>
      <c r="B6083" s="6" t="s">
        <v>27</v>
      </c>
      <c r="C6083" s="6">
        <v>210</v>
      </c>
      <c r="D6083" s="6">
        <v>218</v>
      </c>
      <c r="E6083" s="6">
        <v>214</v>
      </c>
      <c r="F6083" t="str">
        <f t="shared" si="2559"/>
        <v>MON</v>
      </c>
      <c r="G6083" s="1">
        <f t="shared" si="2560"/>
        <v>44172</v>
      </c>
      <c r="H6083" s="2">
        <f t="shared" ca="1" si="2561"/>
        <v>81</v>
      </c>
      <c r="I6083" t="str">
        <f t="shared" si="2562"/>
        <v>MSFT</v>
      </c>
      <c r="J6083">
        <f t="shared" si="2563"/>
        <v>210</v>
      </c>
      <c r="K6083">
        <f t="shared" si="2564"/>
        <v>218</v>
      </c>
      <c r="L6083">
        <f t="shared" si="2565"/>
        <v>214</v>
      </c>
      <c r="M6083">
        <f t="shared" si="2566"/>
        <v>4</v>
      </c>
      <c r="N6083">
        <f t="shared" ref="N6083:N6146" si="2571">ABS(K6083-J6083)</f>
        <v>8</v>
      </c>
      <c r="O6083">
        <f t="shared" si="2567"/>
        <v>214</v>
      </c>
      <c r="P6083">
        <f t="shared" si="2568"/>
        <v>0</v>
      </c>
      <c r="Q6083" t="str">
        <f t="shared" ref="Q6083:Q6146" si="2572">ROUND(ABS(100*(O6083-J6083)/O6083),2)&amp;"% | "&amp;ROUND(ABS(100*(K6083-O6083)/O6083),2)&amp;"%"</f>
        <v>1.87% | 1.87%</v>
      </c>
      <c r="R6083" t="str">
        <f t="shared" si="2569"/>
        <v>BULLISH</v>
      </c>
      <c r="S6083">
        <f t="shared" si="2570"/>
        <v>1</v>
      </c>
    </row>
    <row r="6084" spans="1:19" hidden="1" x14ac:dyDescent="0.25">
      <c r="A6084" s="5" t="str">
        <f t="shared" si="2546"/>
        <v>44172AAPL</v>
      </c>
      <c r="B6084" s="6" t="s">
        <v>28</v>
      </c>
      <c r="C6084" s="6">
        <v>113</v>
      </c>
      <c r="D6084" s="6">
        <v>126</v>
      </c>
      <c r="E6084" s="6">
        <v>122</v>
      </c>
      <c r="F6084" t="str">
        <f t="shared" si="2559"/>
        <v>MON</v>
      </c>
      <c r="G6084" s="1">
        <f t="shared" si="2560"/>
        <v>44172</v>
      </c>
      <c r="H6084" s="2">
        <f t="shared" ca="1" si="2561"/>
        <v>81</v>
      </c>
      <c r="I6084" t="str">
        <f t="shared" si="2562"/>
        <v>AAPL</v>
      </c>
      <c r="J6084">
        <f t="shared" si="2563"/>
        <v>113</v>
      </c>
      <c r="K6084">
        <f t="shared" si="2564"/>
        <v>126</v>
      </c>
      <c r="L6084">
        <f t="shared" si="2565"/>
        <v>119.5</v>
      </c>
      <c r="M6084">
        <f t="shared" si="2566"/>
        <v>6.5</v>
      </c>
      <c r="N6084">
        <f t="shared" si="2571"/>
        <v>13</v>
      </c>
      <c r="O6084">
        <f t="shared" si="2567"/>
        <v>122</v>
      </c>
      <c r="P6084">
        <f t="shared" si="2568"/>
        <v>0.38461538461538464</v>
      </c>
      <c r="Q6084" t="str">
        <f t="shared" si="2572"/>
        <v>7.38% | 3.28%</v>
      </c>
      <c r="R6084" t="str">
        <f t="shared" si="2569"/>
        <v>BULLISH</v>
      </c>
      <c r="S6084">
        <f t="shared" si="2570"/>
        <v>1</v>
      </c>
    </row>
    <row r="6085" spans="1:19" hidden="1" x14ac:dyDescent="0.25">
      <c r="A6085" s="5" t="str">
        <f t="shared" si="2546"/>
        <v>44172AMZN</v>
      </c>
      <c r="B6085" s="6" t="s">
        <v>29</v>
      </c>
      <c r="C6085" s="6">
        <v>3075</v>
      </c>
      <c r="D6085" s="6">
        <v>3255</v>
      </c>
      <c r="E6085" s="6">
        <v>3162</v>
      </c>
      <c r="F6085" t="str">
        <f t="shared" si="2559"/>
        <v>MON</v>
      </c>
      <c r="G6085" s="1">
        <f t="shared" si="2560"/>
        <v>44172</v>
      </c>
      <c r="H6085" s="2">
        <f t="shared" ca="1" si="2561"/>
        <v>81</v>
      </c>
      <c r="I6085" t="str">
        <f t="shared" si="2562"/>
        <v>AMZN</v>
      </c>
      <c r="J6085">
        <f t="shared" si="2563"/>
        <v>3075</v>
      </c>
      <c r="K6085">
        <f t="shared" si="2564"/>
        <v>3255</v>
      </c>
      <c r="L6085">
        <f t="shared" si="2565"/>
        <v>3165</v>
      </c>
      <c r="M6085">
        <f t="shared" si="2566"/>
        <v>90</v>
      </c>
      <c r="N6085">
        <f t="shared" si="2571"/>
        <v>180</v>
      </c>
      <c r="O6085">
        <f t="shared" si="2567"/>
        <v>3162</v>
      </c>
      <c r="P6085">
        <f t="shared" si="2568"/>
        <v>-3.3333333333333333E-2</v>
      </c>
      <c r="Q6085" t="str">
        <f t="shared" si="2572"/>
        <v>2.75% | 2.94%</v>
      </c>
      <c r="R6085" t="str">
        <f t="shared" si="2569"/>
        <v>BULLISH</v>
      </c>
      <c r="S6085">
        <f t="shared" si="2570"/>
        <v>1</v>
      </c>
    </row>
    <row r="6086" spans="1:19" hidden="1" x14ac:dyDescent="0.25">
      <c r="A6086" s="5" t="str">
        <f t="shared" si="2546"/>
        <v>44172FB</v>
      </c>
      <c r="B6086" s="6" t="s">
        <v>30</v>
      </c>
      <c r="C6086" s="6">
        <v>267</v>
      </c>
      <c r="D6086" s="6">
        <v>291</v>
      </c>
      <c r="E6086" s="6">
        <v>279</v>
      </c>
      <c r="F6086" t="str">
        <f t="shared" si="2559"/>
        <v>MON</v>
      </c>
      <c r="G6086" s="1">
        <f t="shared" si="2560"/>
        <v>44172</v>
      </c>
      <c r="H6086" s="2">
        <f t="shared" ca="1" si="2561"/>
        <v>81</v>
      </c>
      <c r="I6086" t="str">
        <f t="shared" si="2562"/>
        <v>FB</v>
      </c>
      <c r="J6086">
        <f t="shared" si="2563"/>
        <v>267</v>
      </c>
      <c r="K6086">
        <f t="shared" si="2564"/>
        <v>291</v>
      </c>
      <c r="L6086">
        <f t="shared" si="2565"/>
        <v>279</v>
      </c>
      <c r="M6086">
        <f t="shared" si="2566"/>
        <v>12</v>
      </c>
      <c r="N6086">
        <f t="shared" si="2571"/>
        <v>24</v>
      </c>
      <c r="O6086">
        <f t="shared" si="2567"/>
        <v>279</v>
      </c>
      <c r="P6086">
        <f t="shared" si="2568"/>
        <v>0</v>
      </c>
      <c r="Q6086" t="str">
        <f t="shared" si="2572"/>
        <v>4.3% | 4.3%</v>
      </c>
      <c r="R6086" t="str">
        <f t="shared" si="2569"/>
        <v>BULLISH</v>
      </c>
      <c r="S6086">
        <f t="shared" si="2570"/>
        <v>1</v>
      </c>
    </row>
    <row r="6087" spans="1:19" hidden="1" x14ac:dyDescent="0.25">
      <c r="A6087" s="5" t="str">
        <f t="shared" ref="A6087:A6150" si="2573">G6087&amp;I6087</f>
        <v>44172GOOGL</v>
      </c>
      <c r="B6087" s="6" t="s">
        <v>31</v>
      </c>
      <c r="C6087" s="6">
        <v>1743</v>
      </c>
      <c r="D6087" s="6">
        <v>1852</v>
      </c>
      <c r="E6087" s="6">
        <v>1823</v>
      </c>
      <c r="F6087" t="str">
        <f t="shared" si="2559"/>
        <v>MON</v>
      </c>
      <c r="G6087" s="1">
        <f t="shared" si="2560"/>
        <v>44172</v>
      </c>
      <c r="H6087" s="2">
        <f t="shared" ca="1" si="2561"/>
        <v>81</v>
      </c>
      <c r="I6087" t="str">
        <f t="shared" si="2562"/>
        <v>GOOGL</v>
      </c>
      <c r="J6087">
        <f t="shared" si="2563"/>
        <v>1743</v>
      </c>
      <c r="K6087">
        <f t="shared" si="2564"/>
        <v>1852</v>
      </c>
      <c r="L6087">
        <f t="shared" si="2565"/>
        <v>1797.5</v>
      </c>
      <c r="M6087">
        <f t="shared" si="2566"/>
        <v>54.5</v>
      </c>
      <c r="N6087">
        <f t="shared" si="2571"/>
        <v>109</v>
      </c>
      <c r="O6087">
        <f t="shared" si="2567"/>
        <v>1823</v>
      </c>
      <c r="P6087">
        <f t="shared" si="2568"/>
        <v>0.46788990825688076</v>
      </c>
      <c r="Q6087" t="str">
        <f t="shared" si="2572"/>
        <v>4.39% | 1.59%</v>
      </c>
      <c r="R6087" t="str">
        <f t="shared" si="2569"/>
        <v>BULLISH</v>
      </c>
      <c r="S6087">
        <f t="shared" si="2570"/>
        <v>1</v>
      </c>
    </row>
    <row r="6088" spans="1:19" hidden="1" x14ac:dyDescent="0.25">
      <c r="A6088" s="5" t="str">
        <f t="shared" si="2573"/>
        <v>44172NFLX</v>
      </c>
      <c r="B6088" s="6" t="s">
        <v>81</v>
      </c>
      <c r="C6088" s="6">
        <v>472</v>
      </c>
      <c r="D6088" s="6">
        <v>511</v>
      </c>
      <c r="E6088" s="6">
        <v>498</v>
      </c>
      <c r="F6088" t="str">
        <f t="shared" si="2559"/>
        <v>MON</v>
      </c>
      <c r="G6088" s="1">
        <f t="shared" si="2560"/>
        <v>44172</v>
      </c>
      <c r="H6088" s="2">
        <f t="shared" ca="1" si="2561"/>
        <v>81</v>
      </c>
      <c r="I6088" t="str">
        <f t="shared" si="2562"/>
        <v>NFLX</v>
      </c>
      <c r="J6088">
        <f t="shared" si="2563"/>
        <v>472</v>
      </c>
      <c r="K6088">
        <f t="shared" si="2564"/>
        <v>511</v>
      </c>
      <c r="L6088">
        <f t="shared" si="2565"/>
        <v>491.5</v>
      </c>
      <c r="M6088">
        <f t="shared" si="2566"/>
        <v>19.5</v>
      </c>
      <c r="N6088">
        <f t="shared" si="2571"/>
        <v>39</v>
      </c>
      <c r="O6088">
        <f t="shared" si="2567"/>
        <v>498</v>
      </c>
      <c r="P6088">
        <f t="shared" si="2568"/>
        <v>0.33333333333333331</v>
      </c>
      <c r="Q6088" t="str">
        <f t="shared" si="2572"/>
        <v>5.22% | 2.61%</v>
      </c>
      <c r="R6088" t="str">
        <f t="shared" si="2569"/>
        <v>BEARISH</v>
      </c>
      <c r="S6088">
        <f t="shared" si="2570"/>
        <v>-1</v>
      </c>
    </row>
    <row r="6089" spans="1:19" x14ac:dyDescent="0.25">
      <c r="A6089" s="5" t="str">
        <f t="shared" si="2573"/>
        <v>44172TSLA</v>
      </c>
      <c r="B6089" s="6" t="s">
        <v>33</v>
      </c>
      <c r="C6089" s="6">
        <v>527</v>
      </c>
      <c r="D6089" s="6">
        <v>618</v>
      </c>
      <c r="E6089" s="6">
        <v>599</v>
      </c>
      <c r="F6089" t="str">
        <f t="shared" si="2559"/>
        <v>MON</v>
      </c>
      <c r="G6089" s="1">
        <f t="shared" si="2560"/>
        <v>44172</v>
      </c>
      <c r="H6089" s="2">
        <f t="shared" ca="1" si="2561"/>
        <v>81</v>
      </c>
      <c r="I6089" t="str">
        <f t="shared" si="2562"/>
        <v>TSLA</v>
      </c>
      <c r="J6089">
        <f t="shared" si="2563"/>
        <v>527</v>
      </c>
      <c r="K6089">
        <f t="shared" si="2564"/>
        <v>618</v>
      </c>
      <c r="L6089">
        <f t="shared" si="2565"/>
        <v>572.5</v>
      </c>
      <c r="M6089">
        <f t="shared" si="2566"/>
        <v>45.5</v>
      </c>
      <c r="N6089">
        <f t="shared" si="2571"/>
        <v>91</v>
      </c>
      <c r="O6089">
        <f t="shared" si="2567"/>
        <v>599</v>
      </c>
      <c r="P6089">
        <f t="shared" si="2568"/>
        <v>0.58241758241758246</v>
      </c>
      <c r="Q6089" t="str">
        <f t="shared" si="2572"/>
        <v>12.02% | 3.17%</v>
      </c>
      <c r="R6089" t="str">
        <f t="shared" si="2569"/>
        <v>BULLISH</v>
      </c>
      <c r="S6089">
        <f t="shared" si="2570"/>
        <v>1</v>
      </c>
    </row>
    <row r="6090" spans="1:19" hidden="1" x14ac:dyDescent="0.25">
      <c r="A6090" s="5" t="str">
        <f t="shared" si="2573"/>
        <v>44172NYXBT</v>
      </c>
      <c r="B6090" s="6" t="s">
        <v>60</v>
      </c>
      <c r="C6090" s="6">
        <v>17081</v>
      </c>
      <c r="D6090" s="6">
        <v>20690</v>
      </c>
      <c r="E6090" s="6">
        <v>18985</v>
      </c>
      <c r="F6090" t="str">
        <f t="shared" si="2559"/>
        <v>MON</v>
      </c>
      <c r="G6090" s="1">
        <f t="shared" si="2560"/>
        <v>44172</v>
      </c>
      <c r="H6090" s="2">
        <f t="shared" ca="1" si="2561"/>
        <v>81</v>
      </c>
      <c r="I6090" t="str">
        <f t="shared" si="2562"/>
        <v>NYXBT</v>
      </c>
      <c r="J6090">
        <f t="shared" si="2563"/>
        <v>17081</v>
      </c>
      <c r="K6090">
        <f t="shared" si="2564"/>
        <v>20690</v>
      </c>
      <c r="L6090">
        <f t="shared" si="2565"/>
        <v>18885.5</v>
      </c>
      <c r="M6090">
        <f t="shared" si="2566"/>
        <v>1804.5</v>
      </c>
      <c r="N6090">
        <f t="shared" si="2571"/>
        <v>3609</v>
      </c>
      <c r="O6090">
        <f t="shared" si="2567"/>
        <v>18985</v>
      </c>
      <c r="P6090">
        <f t="shared" si="2568"/>
        <v>5.513992795788307E-2</v>
      </c>
      <c r="Q6090" t="str">
        <f t="shared" si="2572"/>
        <v>10.03% | 8.98%</v>
      </c>
      <c r="R6090" t="str">
        <f t="shared" si="2569"/>
        <v>BULLISH</v>
      </c>
      <c r="S6090">
        <f t="shared" si="2570"/>
        <v>1</v>
      </c>
    </row>
    <row r="6091" spans="1:19" hidden="1" x14ac:dyDescent="0.25">
      <c r="A6091" s="5" t="str">
        <f t="shared" si="2573"/>
        <v>44173UST10Y</v>
      </c>
      <c r="B6091" s="6" t="s">
        <v>257</v>
      </c>
      <c r="C6091" s="6">
        <v>1</v>
      </c>
      <c r="D6091" s="6">
        <v>0.84</v>
      </c>
      <c r="E6091" s="6">
        <v>0.94</v>
      </c>
      <c r="F6091" t="str">
        <f t="shared" si="2559"/>
        <v>TUE</v>
      </c>
      <c r="G6091" s="3">
        <f>DATE(2020,12,8)</f>
        <v>44173</v>
      </c>
      <c r="H6091" s="2">
        <f t="shared" ca="1" si="2561"/>
        <v>80</v>
      </c>
      <c r="I6091" t="str">
        <f t="shared" si="2562"/>
        <v>UST10Y</v>
      </c>
      <c r="J6091">
        <f t="shared" si="2563"/>
        <v>1</v>
      </c>
      <c r="K6091">
        <f t="shared" si="2564"/>
        <v>0.84</v>
      </c>
      <c r="L6091">
        <f t="shared" si="2565"/>
        <v>0.91999999999999993</v>
      </c>
      <c r="M6091">
        <f t="shared" si="2566"/>
        <v>8.0000000000000016E-2</v>
      </c>
      <c r="N6091">
        <f t="shared" si="2571"/>
        <v>0.16000000000000003</v>
      </c>
      <c r="O6091">
        <f t="shared" si="2567"/>
        <v>0.94</v>
      </c>
      <c r="P6091">
        <f t="shared" si="2568"/>
        <v>0.25000000000000017</v>
      </c>
      <c r="Q6091" t="str">
        <f t="shared" si="2572"/>
        <v>6.38% | 10.64%</v>
      </c>
      <c r="R6091" t="str">
        <f t="shared" si="2569"/>
        <v>BULLISH</v>
      </c>
      <c r="S6091">
        <f t="shared" si="2570"/>
        <v>1</v>
      </c>
    </row>
    <row r="6092" spans="1:19" hidden="1" x14ac:dyDescent="0.25">
      <c r="A6092" s="5" t="str">
        <f t="shared" si="2573"/>
        <v>44173UST2Y</v>
      </c>
      <c r="B6092" s="6" t="s">
        <v>253</v>
      </c>
      <c r="C6092" s="6">
        <v>0.17</v>
      </c>
      <c r="D6092" s="6">
        <v>0.13</v>
      </c>
      <c r="E6092" s="6">
        <v>0.14000000000000001</v>
      </c>
      <c r="F6092" t="str">
        <f t="shared" ref="F6092:F6122" si="2574">UPPER(TEXT(G6092,"ddd"))</f>
        <v>TUE</v>
      </c>
      <c r="G6092" s="3">
        <f t="shared" ref="G6092:G6121" si="2575">DATE(2020,12,8)</f>
        <v>44173</v>
      </c>
      <c r="H6092" s="2">
        <f t="shared" ref="H6092:H6122" ca="1" si="2576">TODAY()-G6092</f>
        <v>80</v>
      </c>
      <c r="I6092" t="str">
        <f t="shared" ref="I6092:I6122" si="2577">TRIM(LEFT(B6092,FIND(" ",B6092,1)))</f>
        <v>UST2Y</v>
      </c>
      <c r="J6092">
        <f t="shared" ref="J6092:J6122" si="2578">C6092</f>
        <v>0.17</v>
      </c>
      <c r="K6092">
        <f t="shared" ref="K6092:K6122" si="2579">D6092</f>
        <v>0.13</v>
      </c>
      <c r="L6092">
        <f t="shared" ref="L6092:L6122" si="2580">AVERAGE(J6092:K6092)</f>
        <v>0.15000000000000002</v>
      </c>
      <c r="M6092">
        <f t="shared" ref="M6092:M6122" si="2581">_xlfn.STDEV.P(J6092:K6092)</f>
        <v>1.9999999999999938E-2</v>
      </c>
      <c r="N6092">
        <f t="shared" si="2571"/>
        <v>4.0000000000000008E-2</v>
      </c>
      <c r="O6092">
        <f t="shared" ref="O6092:O6122" si="2582">E6092</f>
        <v>0.14000000000000001</v>
      </c>
      <c r="P6092">
        <f t="shared" ref="P6092:P6122" si="2583">(O6092-L6092)/M6092</f>
        <v>-0.500000000000002</v>
      </c>
      <c r="Q6092" t="str">
        <f t="shared" si="2572"/>
        <v>21.43% | 7.14%</v>
      </c>
      <c r="R6092" t="str">
        <f t="shared" ref="R6092:R6122" si="2584">MID(B6092,FIND("(",B6092,1)+1,FIND(")",B6092,1)-FIND("(",B6092,1)-1)</f>
        <v>NEUTRAL</v>
      </c>
      <c r="S6092">
        <f t="shared" ref="S6092:S6122" si="2585">IF(R6092="BEARISH",-1,IF(R6092="NEUTRAL",0,IF(R6092="BULLISH",1,99)))</f>
        <v>0</v>
      </c>
    </row>
    <row r="6093" spans="1:19" hidden="1" x14ac:dyDescent="0.25">
      <c r="A6093" s="5" t="str">
        <f t="shared" si="2573"/>
        <v>44173SPX</v>
      </c>
      <c r="B6093" s="6" t="s">
        <v>93</v>
      </c>
      <c r="C6093" s="6">
        <v>3603</v>
      </c>
      <c r="D6093" s="6">
        <v>3719</v>
      </c>
      <c r="E6093" s="6">
        <v>3691</v>
      </c>
      <c r="F6093" t="str">
        <f t="shared" si="2574"/>
        <v>TUE</v>
      </c>
      <c r="G6093" s="3">
        <f t="shared" si="2575"/>
        <v>44173</v>
      </c>
      <c r="H6093" s="2">
        <f t="shared" ca="1" si="2576"/>
        <v>80</v>
      </c>
      <c r="I6093" t="str">
        <f t="shared" si="2577"/>
        <v>SPX</v>
      </c>
      <c r="J6093">
        <f t="shared" si="2578"/>
        <v>3603</v>
      </c>
      <c r="K6093">
        <f t="shared" si="2579"/>
        <v>3719</v>
      </c>
      <c r="L6093">
        <f t="shared" si="2580"/>
        <v>3661</v>
      </c>
      <c r="M6093">
        <f t="shared" si="2581"/>
        <v>58</v>
      </c>
      <c r="N6093">
        <f t="shared" si="2571"/>
        <v>116</v>
      </c>
      <c r="O6093">
        <f t="shared" si="2582"/>
        <v>3691</v>
      </c>
      <c r="P6093">
        <f t="shared" si="2583"/>
        <v>0.51724137931034486</v>
      </c>
      <c r="Q6093" t="str">
        <f t="shared" si="2572"/>
        <v>2.38% | 0.76%</v>
      </c>
      <c r="R6093" t="str">
        <f t="shared" si="2584"/>
        <v>BULLISH</v>
      </c>
      <c r="S6093">
        <f t="shared" si="2585"/>
        <v>1</v>
      </c>
    </row>
    <row r="6094" spans="1:19" hidden="1" x14ac:dyDescent="0.25">
      <c r="A6094" s="5" t="str">
        <f t="shared" si="2573"/>
        <v>44173RUT</v>
      </c>
      <c r="B6094" s="6" t="s">
        <v>247</v>
      </c>
      <c r="C6094" s="6">
        <v>1812</v>
      </c>
      <c r="D6094" s="6">
        <v>1901</v>
      </c>
      <c r="E6094" s="6">
        <v>1891</v>
      </c>
      <c r="F6094" t="str">
        <f t="shared" si="2574"/>
        <v>TUE</v>
      </c>
      <c r="G6094" s="3">
        <f t="shared" si="2575"/>
        <v>44173</v>
      </c>
      <c r="H6094" s="2">
        <f t="shared" ca="1" si="2576"/>
        <v>80</v>
      </c>
      <c r="I6094" t="str">
        <f t="shared" si="2577"/>
        <v>RUT</v>
      </c>
      <c r="J6094">
        <f t="shared" si="2578"/>
        <v>1812</v>
      </c>
      <c r="K6094">
        <f t="shared" si="2579"/>
        <v>1901</v>
      </c>
      <c r="L6094">
        <f t="shared" si="2580"/>
        <v>1856.5</v>
      </c>
      <c r="M6094">
        <f t="shared" si="2581"/>
        <v>44.5</v>
      </c>
      <c r="N6094">
        <f t="shared" si="2571"/>
        <v>89</v>
      </c>
      <c r="O6094">
        <f t="shared" si="2582"/>
        <v>1891</v>
      </c>
      <c r="P6094">
        <f t="shared" si="2583"/>
        <v>0.7752808988764045</v>
      </c>
      <c r="Q6094" t="str">
        <f t="shared" si="2572"/>
        <v>4.18% | 0.53%</v>
      </c>
      <c r="R6094" t="str">
        <f t="shared" si="2584"/>
        <v>BULLISH</v>
      </c>
      <c r="S6094">
        <f t="shared" si="2585"/>
        <v>1</v>
      </c>
    </row>
    <row r="6095" spans="1:19" hidden="1" x14ac:dyDescent="0.25">
      <c r="A6095" s="5" t="str">
        <f t="shared" si="2573"/>
        <v>44173COMPQ</v>
      </c>
      <c r="B6095" s="6" t="s">
        <v>8</v>
      </c>
      <c r="C6095" s="6">
        <v>11980</v>
      </c>
      <c r="D6095" s="6">
        <v>12609</v>
      </c>
      <c r="E6095" s="6">
        <v>12519</v>
      </c>
      <c r="F6095" t="str">
        <f t="shared" si="2574"/>
        <v>TUE</v>
      </c>
      <c r="G6095" s="3">
        <f t="shared" si="2575"/>
        <v>44173</v>
      </c>
      <c r="H6095" s="2">
        <f t="shared" ca="1" si="2576"/>
        <v>80</v>
      </c>
      <c r="I6095" t="str">
        <f t="shared" si="2577"/>
        <v>COMPQ</v>
      </c>
      <c r="J6095">
        <f t="shared" si="2578"/>
        <v>11980</v>
      </c>
      <c r="K6095">
        <f t="shared" si="2579"/>
        <v>12609</v>
      </c>
      <c r="L6095">
        <f t="shared" si="2580"/>
        <v>12294.5</v>
      </c>
      <c r="M6095">
        <f t="shared" si="2581"/>
        <v>314.5</v>
      </c>
      <c r="N6095">
        <f t="shared" si="2571"/>
        <v>629</v>
      </c>
      <c r="O6095">
        <f t="shared" si="2582"/>
        <v>12519</v>
      </c>
      <c r="P6095">
        <f t="shared" si="2583"/>
        <v>0.71383147853736084</v>
      </c>
      <c r="Q6095" t="str">
        <f t="shared" si="2572"/>
        <v>4.31% | 0.72%</v>
      </c>
      <c r="R6095" t="str">
        <f t="shared" si="2584"/>
        <v>BULLISH</v>
      </c>
      <c r="S6095">
        <f t="shared" si="2585"/>
        <v>1</v>
      </c>
    </row>
    <row r="6096" spans="1:19" hidden="1" x14ac:dyDescent="0.25">
      <c r="A6096" s="5" t="str">
        <f t="shared" si="2573"/>
        <v>44173XLK</v>
      </c>
      <c r="B6096" s="6" t="s">
        <v>10</v>
      </c>
      <c r="C6096" s="6">
        <v>121.64</v>
      </c>
      <c r="D6096" s="6">
        <v>127.54</v>
      </c>
      <c r="E6096" s="6">
        <v>126.4</v>
      </c>
      <c r="F6096" t="str">
        <f t="shared" si="2574"/>
        <v>TUE</v>
      </c>
      <c r="G6096" s="3">
        <f t="shared" si="2575"/>
        <v>44173</v>
      </c>
      <c r="H6096" s="2">
        <f t="shared" ca="1" si="2576"/>
        <v>80</v>
      </c>
      <c r="I6096" t="str">
        <f t="shared" si="2577"/>
        <v>XLK</v>
      </c>
      <c r="J6096">
        <f t="shared" si="2578"/>
        <v>121.64</v>
      </c>
      <c r="K6096">
        <f t="shared" si="2579"/>
        <v>127.54</v>
      </c>
      <c r="L6096">
        <f t="shared" si="2580"/>
        <v>124.59</v>
      </c>
      <c r="M6096">
        <f t="shared" si="2581"/>
        <v>2.9500000000000028</v>
      </c>
      <c r="N6096">
        <f t="shared" si="2571"/>
        <v>5.9000000000000057</v>
      </c>
      <c r="O6096">
        <f t="shared" si="2582"/>
        <v>126.4</v>
      </c>
      <c r="P6096">
        <f t="shared" si="2583"/>
        <v>0.61355932203389851</v>
      </c>
      <c r="Q6096" t="str">
        <f t="shared" si="2572"/>
        <v>3.77% | 0.9%</v>
      </c>
      <c r="R6096" t="str">
        <f t="shared" si="2584"/>
        <v>BULLISH</v>
      </c>
      <c r="S6096">
        <f t="shared" si="2585"/>
        <v>1</v>
      </c>
    </row>
    <row r="6097" spans="1:19" hidden="1" x14ac:dyDescent="0.25">
      <c r="A6097" s="5" t="str">
        <f t="shared" si="2573"/>
        <v>44173XLE</v>
      </c>
      <c r="B6097" s="6" t="s">
        <v>250</v>
      </c>
      <c r="C6097" s="6">
        <v>36.299999999999997</v>
      </c>
      <c r="D6097" s="6">
        <v>41.48</v>
      </c>
      <c r="E6097" s="6">
        <v>39.68</v>
      </c>
      <c r="F6097" t="str">
        <f t="shared" si="2574"/>
        <v>TUE</v>
      </c>
      <c r="G6097" s="3">
        <f t="shared" si="2575"/>
        <v>44173</v>
      </c>
      <c r="H6097" s="2">
        <f t="shared" ca="1" si="2576"/>
        <v>80</v>
      </c>
      <c r="I6097" t="str">
        <f t="shared" si="2577"/>
        <v>XLE</v>
      </c>
      <c r="J6097">
        <f t="shared" si="2578"/>
        <v>36.299999999999997</v>
      </c>
      <c r="K6097">
        <f t="shared" si="2579"/>
        <v>41.48</v>
      </c>
      <c r="L6097">
        <f t="shared" si="2580"/>
        <v>38.89</v>
      </c>
      <c r="M6097">
        <f t="shared" si="2581"/>
        <v>2.59</v>
      </c>
      <c r="N6097">
        <f t="shared" si="2571"/>
        <v>5.18</v>
      </c>
      <c r="O6097">
        <f t="shared" si="2582"/>
        <v>39.68</v>
      </c>
      <c r="P6097">
        <f t="shared" si="2583"/>
        <v>0.30501930501930469</v>
      </c>
      <c r="Q6097" t="str">
        <f t="shared" si="2572"/>
        <v>8.52% | 4.54%</v>
      </c>
      <c r="R6097" t="str">
        <f t="shared" si="2584"/>
        <v>BULLISH</v>
      </c>
      <c r="S6097">
        <f t="shared" si="2585"/>
        <v>1</v>
      </c>
    </row>
    <row r="6098" spans="1:19" hidden="1" x14ac:dyDescent="0.25">
      <c r="A6098" s="5" t="str">
        <f t="shared" si="2573"/>
        <v>44173XLU</v>
      </c>
      <c r="B6098" s="6" t="s">
        <v>82</v>
      </c>
      <c r="C6098" s="6">
        <v>62.01</v>
      </c>
      <c r="D6098" s="6">
        <v>64.680000000000007</v>
      </c>
      <c r="E6098" s="6">
        <v>62.76</v>
      </c>
      <c r="F6098" t="str">
        <f t="shared" si="2574"/>
        <v>TUE</v>
      </c>
      <c r="G6098" s="3">
        <f t="shared" si="2575"/>
        <v>44173</v>
      </c>
      <c r="H6098" s="2">
        <f t="shared" ca="1" si="2576"/>
        <v>80</v>
      </c>
      <c r="I6098" t="str">
        <f t="shared" si="2577"/>
        <v>XLU</v>
      </c>
      <c r="J6098">
        <f t="shared" si="2578"/>
        <v>62.01</v>
      </c>
      <c r="K6098">
        <f t="shared" si="2579"/>
        <v>64.680000000000007</v>
      </c>
      <c r="L6098">
        <f t="shared" si="2580"/>
        <v>63.344999999999999</v>
      </c>
      <c r="M6098">
        <f t="shared" si="2581"/>
        <v>1.3350000000000044</v>
      </c>
      <c r="N6098">
        <f t="shared" si="2571"/>
        <v>2.6700000000000088</v>
      </c>
      <c r="O6098">
        <f t="shared" si="2582"/>
        <v>62.76</v>
      </c>
      <c r="P6098">
        <f t="shared" si="2583"/>
        <v>-0.43820224719101042</v>
      </c>
      <c r="Q6098" t="str">
        <f t="shared" si="2572"/>
        <v>1.2% | 3.06%</v>
      </c>
      <c r="R6098" t="str">
        <f t="shared" si="2584"/>
        <v>BEARISH</v>
      </c>
      <c r="S6098">
        <f t="shared" si="2585"/>
        <v>-1</v>
      </c>
    </row>
    <row r="6099" spans="1:19" hidden="1" x14ac:dyDescent="0.25">
      <c r="A6099" s="5" t="str">
        <f t="shared" si="2573"/>
        <v>44173GDX</v>
      </c>
      <c r="B6099" s="6" t="s">
        <v>254</v>
      </c>
      <c r="C6099" s="6">
        <v>33.020000000000003</v>
      </c>
      <c r="D6099" s="6">
        <v>37.119999999999997</v>
      </c>
      <c r="E6099" s="6">
        <v>36.5</v>
      </c>
      <c r="F6099" t="str">
        <f t="shared" si="2574"/>
        <v>TUE</v>
      </c>
      <c r="G6099" s="3">
        <f t="shared" si="2575"/>
        <v>44173</v>
      </c>
      <c r="H6099" s="2">
        <f t="shared" ca="1" si="2576"/>
        <v>80</v>
      </c>
      <c r="I6099" t="str">
        <f t="shared" si="2577"/>
        <v>GDX</v>
      </c>
      <c r="J6099">
        <f t="shared" si="2578"/>
        <v>33.020000000000003</v>
      </c>
      <c r="K6099">
        <f t="shared" si="2579"/>
        <v>37.119999999999997</v>
      </c>
      <c r="L6099">
        <f t="shared" si="2580"/>
        <v>35.07</v>
      </c>
      <c r="M6099">
        <f t="shared" si="2581"/>
        <v>2.0499999999999972</v>
      </c>
      <c r="N6099">
        <f t="shared" si="2571"/>
        <v>4.0999999999999943</v>
      </c>
      <c r="O6099">
        <f t="shared" si="2582"/>
        <v>36.5</v>
      </c>
      <c r="P6099">
        <f t="shared" si="2583"/>
        <v>0.69756097560975694</v>
      </c>
      <c r="Q6099" t="str">
        <f t="shared" si="2572"/>
        <v>9.53% | 1.7%</v>
      </c>
      <c r="R6099" t="str">
        <f t="shared" si="2584"/>
        <v>BEARISH</v>
      </c>
      <c r="S6099">
        <f t="shared" si="2585"/>
        <v>-1</v>
      </c>
    </row>
    <row r="6100" spans="1:19" hidden="1" x14ac:dyDescent="0.25">
      <c r="A6100" s="5" t="str">
        <f t="shared" si="2573"/>
        <v>44173SSEC</v>
      </c>
      <c r="B6100" s="6" t="s">
        <v>104</v>
      </c>
      <c r="C6100" s="6">
        <v>3375</v>
      </c>
      <c r="D6100" s="6">
        <v>3481</v>
      </c>
      <c r="E6100" s="6">
        <v>3410</v>
      </c>
      <c r="F6100" t="str">
        <f t="shared" si="2574"/>
        <v>TUE</v>
      </c>
      <c r="G6100" s="3">
        <f t="shared" si="2575"/>
        <v>44173</v>
      </c>
      <c r="H6100" s="2">
        <f t="shared" ca="1" si="2576"/>
        <v>80</v>
      </c>
      <c r="I6100" t="str">
        <f t="shared" si="2577"/>
        <v>SSEC</v>
      </c>
      <c r="J6100">
        <f t="shared" si="2578"/>
        <v>3375</v>
      </c>
      <c r="K6100">
        <f t="shared" si="2579"/>
        <v>3481</v>
      </c>
      <c r="L6100">
        <f t="shared" si="2580"/>
        <v>3428</v>
      </c>
      <c r="M6100">
        <f t="shared" si="2581"/>
        <v>53</v>
      </c>
      <c r="N6100">
        <f t="shared" si="2571"/>
        <v>106</v>
      </c>
      <c r="O6100">
        <f t="shared" si="2582"/>
        <v>3410</v>
      </c>
      <c r="P6100">
        <f t="shared" si="2583"/>
        <v>-0.33962264150943394</v>
      </c>
      <c r="Q6100" t="str">
        <f t="shared" si="2572"/>
        <v>1.03% | 2.08%</v>
      </c>
      <c r="R6100" t="str">
        <f t="shared" si="2584"/>
        <v>BULLISH</v>
      </c>
      <c r="S6100">
        <f t="shared" si="2585"/>
        <v>1</v>
      </c>
    </row>
    <row r="6101" spans="1:19" hidden="1" x14ac:dyDescent="0.25">
      <c r="A6101" s="5" t="str">
        <f t="shared" si="2573"/>
        <v>44173NIKK</v>
      </c>
      <c r="B6101" s="6" t="s">
        <v>91</v>
      </c>
      <c r="C6101" s="6">
        <v>26179</v>
      </c>
      <c r="D6101" s="6">
        <v>26999</v>
      </c>
      <c r="E6101" s="6">
        <v>26467</v>
      </c>
      <c r="F6101" t="str">
        <f t="shared" si="2574"/>
        <v>TUE</v>
      </c>
      <c r="G6101" s="3">
        <f t="shared" si="2575"/>
        <v>44173</v>
      </c>
      <c r="H6101" s="2">
        <f t="shared" ca="1" si="2576"/>
        <v>80</v>
      </c>
      <c r="I6101" t="str">
        <f t="shared" si="2577"/>
        <v>NIKK</v>
      </c>
      <c r="J6101">
        <f t="shared" si="2578"/>
        <v>26179</v>
      </c>
      <c r="K6101">
        <f t="shared" si="2579"/>
        <v>26999</v>
      </c>
      <c r="L6101">
        <f t="shared" si="2580"/>
        <v>26589</v>
      </c>
      <c r="M6101">
        <f t="shared" si="2581"/>
        <v>410</v>
      </c>
      <c r="N6101">
        <f t="shared" si="2571"/>
        <v>820</v>
      </c>
      <c r="O6101">
        <f t="shared" si="2582"/>
        <v>26467</v>
      </c>
      <c r="P6101">
        <f t="shared" si="2583"/>
        <v>-0.29756097560975608</v>
      </c>
      <c r="Q6101" t="str">
        <f t="shared" si="2572"/>
        <v>1.09% | 2.01%</v>
      </c>
      <c r="R6101" t="str">
        <f t="shared" si="2584"/>
        <v>BULLISH</v>
      </c>
      <c r="S6101">
        <f t="shared" si="2585"/>
        <v>1</v>
      </c>
    </row>
    <row r="6102" spans="1:19" hidden="1" x14ac:dyDescent="0.25">
      <c r="A6102" s="5" t="str">
        <f t="shared" si="2573"/>
        <v>44173DAX</v>
      </c>
      <c r="B6102" s="6" t="s">
        <v>92</v>
      </c>
      <c r="C6102" s="6">
        <v>13130</v>
      </c>
      <c r="D6102" s="6">
        <v>13394</v>
      </c>
      <c r="E6102" s="6">
        <v>13271</v>
      </c>
      <c r="F6102" t="str">
        <f t="shared" si="2574"/>
        <v>TUE</v>
      </c>
      <c r="G6102" s="3">
        <f t="shared" si="2575"/>
        <v>44173</v>
      </c>
      <c r="H6102" s="2">
        <f t="shared" ca="1" si="2576"/>
        <v>80</v>
      </c>
      <c r="I6102" t="str">
        <f t="shared" si="2577"/>
        <v>DAX</v>
      </c>
      <c r="J6102">
        <f t="shared" si="2578"/>
        <v>13130</v>
      </c>
      <c r="K6102">
        <f t="shared" si="2579"/>
        <v>13394</v>
      </c>
      <c r="L6102">
        <f t="shared" si="2580"/>
        <v>13262</v>
      </c>
      <c r="M6102">
        <f t="shared" si="2581"/>
        <v>132</v>
      </c>
      <c r="N6102">
        <f t="shared" si="2571"/>
        <v>264</v>
      </c>
      <c r="O6102">
        <f t="shared" si="2582"/>
        <v>13271</v>
      </c>
      <c r="P6102">
        <f t="shared" si="2583"/>
        <v>6.8181818181818177E-2</v>
      </c>
      <c r="Q6102" t="str">
        <f t="shared" si="2572"/>
        <v>1.06% | 0.93%</v>
      </c>
      <c r="R6102" t="str">
        <f t="shared" si="2584"/>
        <v>NEUTRAL</v>
      </c>
      <c r="S6102">
        <f t="shared" si="2585"/>
        <v>0</v>
      </c>
    </row>
    <row r="6103" spans="1:19" hidden="1" x14ac:dyDescent="0.25">
      <c r="A6103" s="5" t="str">
        <f t="shared" si="2573"/>
        <v>44173VIX</v>
      </c>
      <c r="B6103" s="6" t="s">
        <v>96</v>
      </c>
      <c r="C6103" s="6">
        <v>19.420000000000002</v>
      </c>
      <c r="D6103" s="6">
        <v>23.76</v>
      </c>
      <c r="E6103" s="6">
        <v>21.3</v>
      </c>
      <c r="F6103" t="str">
        <f t="shared" si="2574"/>
        <v>TUE</v>
      </c>
      <c r="G6103" s="3">
        <f t="shared" si="2575"/>
        <v>44173</v>
      </c>
      <c r="H6103" s="2">
        <f t="shared" ca="1" si="2576"/>
        <v>80</v>
      </c>
      <c r="I6103" t="str">
        <f t="shared" si="2577"/>
        <v>VIX</v>
      </c>
      <c r="J6103">
        <f t="shared" si="2578"/>
        <v>19.420000000000002</v>
      </c>
      <c r="K6103">
        <f t="shared" si="2579"/>
        <v>23.76</v>
      </c>
      <c r="L6103">
        <f t="shared" si="2580"/>
        <v>21.590000000000003</v>
      </c>
      <c r="M6103">
        <f t="shared" si="2581"/>
        <v>2.1699999999999933</v>
      </c>
      <c r="N6103">
        <f t="shared" si="2571"/>
        <v>4.34</v>
      </c>
      <c r="O6103">
        <f t="shared" si="2582"/>
        <v>21.3</v>
      </c>
      <c r="P6103">
        <f t="shared" si="2583"/>
        <v>-0.13364055299539337</v>
      </c>
      <c r="Q6103" t="str">
        <f t="shared" si="2572"/>
        <v>8.83% | 11.55%</v>
      </c>
      <c r="R6103" t="str">
        <f t="shared" si="2584"/>
        <v>BEARISH</v>
      </c>
      <c r="S6103">
        <f t="shared" si="2585"/>
        <v>-1</v>
      </c>
    </row>
    <row r="6104" spans="1:19" hidden="1" x14ac:dyDescent="0.25">
      <c r="A6104" s="5" t="str">
        <f t="shared" si="2573"/>
        <v>44173USD</v>
      </c>
      <c r="B6104" s="6" t="s">
        <v>94</v>
      </c>
      <c r="C6104" s="6">
        <v>90.15</v>
      </c>
      <c r="D6104" s="6">
        <v>92.12</v>
      </c>
      <c r="E6104" s="6">
        <v>90.79</v>
      </c>
      <c r="F6104" t="str">
        <f t="shared" si="2574"/>
        <v>TUE</v>
      </c>
      <c r="G6104" s="3">
        <f t="shared" si="2575"/>
        <v>44173</v>
      </c>
      <c r="H6104" s="2">
        <f t="shared" ca="1" si="2576"/>
        <v>80</v>
      </c>
      <c r="I6104" t="str">
        <f t="shared" si="2577"/>
        <v>USD</v>
      </c>
      <c r="J6104">
        <f t="shared" si="2578"/>
        <v>90.15</v>
      </c>
      <c r="K6104">
        <f t="shared" si="2579"/>
        <v>92.12</v>
      </c>
      <c r="L6104">
        <f t="shared" si="2580"/>
        <v>91.135000000000005</v>
      </c>
      <c r="M6104">
        <f t="shared" si="2581"/>
        <v>0.98499999999999943</v>
      </c>
      <c r="N6104">
        <f t="shared" si="2571"/>
        <v>1.9699999999999989</v>
      </c>
      <c r="O6104">
        <f t="shared" si="2582"/>
        <v>90.79</v>
      </c>
      <c r="P6104">
        <f t="shared" si="2583"/>
        <v>-0.35025380710659804</v>
      </c>
      <c r="Q6104" t="str">
        <f t="shared" si="2572"/>
        <v>0.7% | 1.46%</v>
      </c>
      <c r="R6104" t="str">
        <f t="shared" si="2584"/>
        <v>BEARISH</v>
      </c>
      <c r="S6104">
        <f t="shared" si="2585"/>
        <v>-1</v>
      </c>
    </row>
    <row r="6105" spans="1:19" hidden="1" x14ac:dyDescent="0.25">
      <c r="A6105" s="5" t="str">
        <f t="shared" si="2573"/>
        <v>44173EUR/USD</v>
      </c>
      <c r="B6105" s="6" t="s">
        <v>99</v>
      </c>
      <c r="C6105" s="6">
        <v>1.1919999999999999</v>
      </c>
      <c r="D6105" s="6">
        <v>1.2230000000000001</v>
      </c>
      <c r="E6105" s="6">
        <v>1.2110000000000001</v>
      </c>
      <c r="F6105" t="str">
        <f t="shared" si="2574"/>
        <v>TUE</v>
      </c>
      <c r="G6105" s="3">
        <f t="shared" si="2575"/>
        <v>44173</v>
      </c>
      <c r="H6105" s="2">
        <f t="shared" ca="1" si="2576"/>
        <v>80</v>
      </c>
      <c r="I6105" t="str">
        <f t="shared" si="2577"/>
        <v>EUR/USD</v>
      </c>
      <c r="J6105">
        <f t="shared" si="2578"/>
        <v>1.1919999999999999</v>
      </c>
      <c r="K6105">
        <f t="shared" si="2579"/>
        <v>1.2230000000000001</v>
      </c>
      <c r="L6105">
        <f t="shared" si="2580"/>
        <v>1.2075</v>
      </c>
      <c r="M6105">
        <f t="shared" si="2581"/>
        <v>1.5500000000000069E-2</v>
      </c>
      <c r="N6105">
        <f t="shared" si="2571"/>
        <v>3.1000000000000139E-2</v>
      </c>
      <c r="O6105">
        <f t="shared" si="2582"/>
        <v>1.2110000000000001</v>
      </c>
      <c r="P6105">
        <f t="shared" si="2583"/>
        <v>0.225806451612906</v>
      </c>
      <c r="Q6105" t="str">
        <f t="shared" si="2572"/>
        <v>1.57% | 0.99%</v>
      </c>
      <c r="R6105" t="str">
        <f t="shared" si="2584"/>
        <v>BULLISH</v>
      </c>
      <c r="S6105">
        <f t="shared" si="2585"/>
        <v>1</v>
      </c>
    </row>
    <row r="6106" spans="1:19" hidden="1" x14ac:dyDescent="0.25">
      <c r="A6106" s="5" t="str">
        <f t="shared" si="2573"/>
        <v>44173USD/JPY</v>
      </c>
      <c r="B6106" s="6" t="s">
        <v>20</v>
      </c>
      <c r="C6106" s="6">
        <v>103.5</v>
      </c>
      <c r="D6106" s="6">
        <v>104.92</v>
      </c>
      <c r="E6106" s="6">
        <v>104.04</v>
      </c>
      <c r="F6106" t="str">
        <f t="shared" si="2574"/>
        <v>TUE</v>
      </c>
      <c r="G6106" s="3">
        <f t="shared" si="2575"/>
        <v>44173</v>
      </c>
      <c r="H6106" s="2">
        <f t="shared" ca="1" si="2576"/>
        <v>80</v>
      </c>
      <c r="I6106" t="str">
        <f t="shared" si="2577"/>
        <v>USD/JPY</v>
      </c>
      <c r="J6106">
        <f t="shared" si="2578"/>
        <v>103.5</v>
      </c>
      <c r="K6106">
        <f t="shared" si="2579"/>
        <v>104.92</v>
      </c>
      <c r="L6106">
        <f t="shared" si="2580"/>
        <v>104.21000000000001</v>
      </c>
      <c r="M6106">
        <f t="shared" si="2581"/>
        <v>0.71000000000000085</v>
      </c>
      <c r="N6106">
        <f t="shared" si="2571"/>
        <v>1.4200000000000017</v>
      </c>
      <c r="O6106">
        <f t="shared" si="2582"/>
        <v>104.04</v>
      </c>
      <c r="P6106">
        <f t="shared" si="2583"/>
        <v>-0.23943661971831198</v>
      </c>
      <c r="Q6106" t="str">
        <f t="shared" si="2572"/>
        <v>0.52% | 0.85%</v>
      </c>
      <c r="R6106" t="str">
        <f t="shared" si="2584"/>
        <v>BEARISH</v>
      </c>
      <c r="S6106">
        <f t="shared" si="2585"/>
        <v>-1</v>
      </c>
    </row>
    <row r="6107" spans="1:19" hidden="1" x14ac:dyDescent="0.25">
      <c r="A6107" s="5" t="str">
        <f t="shared" si="2573"/>
        <v>44173GBP/USD</v>
      </c>
      <c r="B6107" s="6" t="s">
        <v>102</v>
      </c>
      <c r="C6107" s="6">
        <v>1.3260000000000001</v>
      </c>
      <c r="D6107" s="6">
        <v>1.349</v>
      </c>
      <c r="E6107" s="6">
        <v>1.337</v>
      </c>
      <c r="F6107" t="str">
        <f t="shared" si="2574"/>
        <v>TUE</v>
      </c>
      <c r="G6107" s="3">
        <f t="shared" si="2575"/>
        <v>44173</v>
      </c>
      <c r="H6107" s="2">
        <f t="shared" ca="1" si="2576"/>
        <v>80</v>
      </c>
      <c r="I6107" t="str">
        <f t="shared" si="2577"/>
        <v>GBP/USD</v>
      </c>
      <c r="J6107">
        <f t="shared" si="2578"/>
        <v>1.3260000000000001</v>
      </c>
      <c r="K6107">
        <f t="shared" si="2579"/>
        <v>1.349</v>
      </c>
      <c r="L6107">
        <f t="shared" si="2580"/>
        <v>1.3374999999999999</v>
      </c>
      <c r="M6107">
        <f t="shared" si="2581"/>
        <v>1.1499999999999955E-2</v>
      </c>
      <c r="N6107">
        <f t="shared" si="2571"/>
        <v>2.2999999999999909E-2</v>
      </c>
      <c r="O6107">
        <f t="shared" si="2582"/>
        <v>1.337</v>
      </c>
      <c r="P6107">
        <f t="shared" si="2583"/>
        <v>-4.3478260869560602E-2</v>
      </c>
      <c r="Q6107" t="str">
        <f t="shared" si="2572"/>
        <v>0.82% | 0.9%</v>
      </c>
      <c r="R6107" t="str">
        <f t="shared" si="2584"/>
        <v>BULLISH</v>
      </c>
      <c r="S6107">
        <f t="shared" si="2585"/>
        <v>1</v>
      </c>
    </row>
    <row r="6108" spans="1:19" hidden="1" x14ac:dyDescent="0.25">
      <c r="A6108" s="5" t="str">
        <f t="shared" si="2573"/>
        <v>44173CAD/USD</v>
      </c>
      <c r="B6108" s="6" t="s">
        <v>244</v>
      </c>
      <c r="C6108" s="6">
        <v>0.76</v>
      </c>
      <c r="D6108" s="6">
        <v>0.78</v>
      </c>
      <c r="E6108" s="6">
        <v>0.78</v>
      </c>
      <c r="F6108" t="str">
        <f t="shared" si="2574"/>
        <v>TUE</v>
      </c>
      <c r="G6108" s="3">
        <f t="shared" si="2575"/>
        <v>44173</v>
      </c>
      <c r="H6108" s="2">
        <f t="shared" ca="1" si="2576"/>
        <v>80</v>
      </c>
      <c r="I6108" t="str">
        <f t="shared" si="2577"/>
        <v>CAD/USD</v>
      </c>
      <c r="J6108">
        <f t="shared" si="2578"/>
        <v>0.76</v>
      </c>
      <c r="K6108">
        <f t="shared" si="2579"/>
        <v>0.78</v>
      </c>
      <c r="L6108">
        <f t="shared" si="2580"/>
        <v>0.77</v>
      </c>
      <c r="M6108">
        <f t="shared" si="2581"/>
        <v>1.0000000000000009E-2</v>
      </c>
      <c r="N6108">
        <f t="shared" si="2571"/>
        <v>2.0000000000000018E-2</v>
      </c>
      <c r="O6108">
        <f t="shared" si="2582"/>
        <v>0.78</v>
      </c>
      <c r="P6108">
        <f t="shared" si="2583"/>
        <v>1</v>
      </c>
      <c r="Q6108" t="str">
        <f t="shared" si="2572"/>
        <v>2.56% | 0%</v>
      </c>
      <c r="R6108" t="str">
        <f t="shared" si="2584"/>
        <v>BULLISH</v>
      </c>
      <c r="S6108">
        <f t="shared" si="2585"/>
        <v>1</v>
      </c>
    </row>
    <row r="6109" spans="1:19" hidden="1" x14ac:dyDescent="0.25">
      <c r="A6109" s="5" t="str">
        <f t="shared" si="2573"/>
        <v>44173USD/CHF</v>
      </c>
      <c r="B6109" s="6" t="s">
        <v>76</v>
      </c>
      <c r="C6109" s="6">
        <v>0.88</v>
      </c>
      <c r="D6109" s="6">
        <v>0.9</v>
      </c>
      <c r="E6109" s="6">
        <v>0.89</v>
      </c>
      <c r="F6109" t="str">
        <f t="shared" si="2574"/>
        <v>TUE</v>
      </c>
      <c r="G6109" s="3">
        <f t="shared" si="2575"/>
        <v>44173</v>
      </c>
      <c r="H6109" s="2">
        <f t="shared" ca="1" si="2576"/>
        <v>80</v>
      </c>
      <c r="I6109" t="str">
        <f t="shared" si="2577"/>
        <v>USD/CHF</v>
      </c>
      <c r="J6109">
        <f t="shared" si="2578"/>
        <v>0.88</v>
      </c>
      <c r="K6109">
        <f t="shared" si="2579"/>
        <v>0.9</v>
      </c>
      <c r="L6109">
        <f t="shared" si="2580"/>
        <v>0.89</v>
      </c>
      <c r="M6109">
        <f t="shared" si="2581"/>
        <v>1.0000000000000009E-2</v>
      </c>
      <c r="N6109">
        <f t="shared" si="2571"/>
        <v>2.0000000000000018E-2</v>
      </c>
      <c r="O6109">
        <f t="shared" si="2582"/>
        <v>0.89</v>
      </c>
      <c r="P6109">
        <f t="shared" si="2583"/>
        <v>0</v>
      </c>
      <c r="Q6109" t="str">
        <f t="shared" si="2572"/>
        <v>1.12% | 1.12%</v>
      </c>
      <c r="R6109" t="str">
        <f t="shared" si="2584"/>
        <v>BEARISH</v>
      </c>
      <c r="S6109">
        <f t="shared" si="2585"/>
        <v>-1</v>
      </c>
    </row>
    <row r="6110" spans="1:19" hidden="1" x14ac:dyDescent="0.25">
      <c r="A6110" s="5" t="str">
        <f t="shared" si="2573"/>
        <v>44173WTIC</v>
      </c>
      <c r="B6110" s="6" t="s">
        <v>158</v>
      </c>
      <c r="C6110" s="6">
        <v>43.7</v>
      </c>
      <c r="D6110" s="6">
        <v>46.69</v>
      </c>
      <c r="E6110" s="6">
        <v>45.76</v>
      </c>
      <c r="F6110" t="str">
        <f t="shared" si="2574"/>
        <v>TUE</v>
      </c>
      <c r="G6110" s="3">
        <f t="shared" si="2575"/>
        <v>44173</v>
      </c>
      <c r="H6110" s="2">
        <f t="shared" ca="1" si="2576"/>
        <v>80</v>
      </c>
      <c r="I6110" t="str">
        <f t="shared" si="2577"/>
        <v>WTIC</v>
      </c>
      <c r="J6110">
        <f t="shared" si="2578"/>
        <v>43.7</v>
      </c>
      <c r="K6110">
        <f t="shared" si="2579"/>
        <v>46.69</v>
      </c>
      <c r="L6110">
        <f t="shared" si="2580"/>
        <v>45.195</v>
      </c>
      <c r="M6110">
        <f t="shared" si="2581"/>
        <v>1.4949999999999974</v>
      </c>
      <c r="N6110">
        <f t="shared" si="2571"/>
        <v>2.9899999999999949</v>
      </c>
      <c r="O6110">
        <f t="shared" si="2582"/>
        <v>45.76</v>
      </c>
      <c r="P6110">
        <f t="shared" si="2583"/>
        <v>0.37792642140468141</v>
      </c>
      <c r="Q6110" t="str">
        <f t="shared" si="2572"/>
        <v>4.5% | 2.03%</v>
      </c>
      <c r="R6110" t="str">
        <f t="shared" si="2584"/>
        <v>BULLISH</v>
      </c>
      <c r="S6110">
        <f t="shared" si="2585"/>
        <v>1</v>
      </c>
    </row>
    <row r="6111" spans="1:19" hidden="1" x14ac:dyDescent="0.25">
      <c r="A6111" s="5" t="str">
        <f t="shared" si="2573"/>
        <v>44173NATGAS</v>
      </c>
      <c r="B6111" s="6" t="s">
        <v>89</v>
      </c>
      <c r="C6111" s="6">
        <v>2.36</v>
      </c>
      <c r="D6111" s="6">
        <v>3.09</v>
      </c>
      <c r="E6111" s="6">
        <v>2.41</v>
      </c>
      <c r="F6111" t="str">
        <f t="shared" si="2574"/>
        <v>TUE</v>
      </c>
      <c r="G6111" s="3">
        <f t="shared" si="2575"/>
        <v>44173</v>
      </c>
      <c r="H6111" s="2">
        <f t="shared" ca="1" si="2576"/>
        <v>80</v>
      </c>
      <c r="I6111" t="str">
        <f t="shared" si="2577"/>
        <v>NATGAS</v>
      </c>
      <c r="J6111">
        <f t="shared" si="2578"/>
        <v>2.36</v>
      </c>
      <c r="K6111">
        <f t="shared" si="2579"/>
        <v>3.09</v>
      </c>
      <c r="L6111">
        <f t="shared" si="2580"/>
        <v>2.7249999999999996</v>
      </c>
      <c r="M6111">
        <f t="shared" si="2581"/>
        <v>0.36500000000000171</v>
      </c>
      <c r="N6111">
        <f t="shared" si="2571"/>
        <v>0.73</v>
      </c>
      <c r="O6111">
        <f t="shared" si="2582"/>
        <v>2.41</v>
      </c>
      <c r="P6111">
        <f t="shared" si="2583"/>
        <v>-0.86301369863013155</v>
      </c>
      <c r="Q6111" t="str">
        <f t="shared" si="2572"/>
        <v>2.07% | 28.22%</v>
      </c>
      <c r="R6111" t="str">
        <f t="shared" si="2584"/>
        <v>BULLISH</v>
      </c>
      <c r="S6111">
        <f t="shared" si="2585"/>
        <v>1</v>
      </c>
    </row>
    <row r="6112" spans="1:19" hidden="1" x14ac:dyDescent="0.25">
      <c r="A6112" s="5" t="str">
        <f t="shared" si="2573"/>
        <v>44173GOLD</v>
      </c>
      <c r="B6112" s="6" t="s">
        <v>85</v>
      </c>
      <c r="C6112" s="6">
        <v>1765</v>
      </c>
      <c r="D6112" s="6">
        <v>1873</v>
      </c>
      <c r="E6112" s="6">
        <v>1866</v>
      </c>
      <c r="F6112" t="str">
        <f t="shared" si="2574"/>
        <v>TUE</v>
      </c>
      <c r="G6112" s="3">
        <f t="shared" si="2575"/>
        <v>44173</v>
      </c>
      <c r="H6112" s="2">
        <f t="shared" ca="1" si="2576"/>
        <v>80</v>
      </c>
      <c r="I6112" t="str">
        <f t="shared" si="2577"/>
        <v>GOLD</v>
      </c>
      <c r="J6112">
        <f t="shared" si="2578"/>
        <v>1765</v>
      </c>
      <c r="K6112">
        <f t="shared" si="2579"/>
        <v>1873</v>
      </c>
      <c r="L6112">
        <f t="shared" si="2580"/>
        <v>1819</v>
      </c>
      <c r="M6112">
        <f t="shared" si="2581"/>
        <v>54</v>
      </c>
      <c r="N6112">
        <f t="shared" si="2571"/>
        <v>108</v>
      </c>
      <c r="O6112">
        <f t="shared" si="2582"/>
        <v>1866</v>
      </c>
      <c r="P6112">
        <f t="shared" si="2583"/>
        <v>0.87037037037037035</v>
      </c>
      <c r="Q6112" t="str">
        <f t="shared" si="2572"/>
        <v>5.41% | 0.38%</v>
      </c>
      <c r="R6112" t="str">
        <f t="shared" si="2584"/>
        <v>BEARISH</v>
      </c>
      <c r="S6112">
        <f t="shared" si="2585"/>
        <v>-1</v>
      </c>
    </row>
    <row r="6113" spans="1:19" hidden="1" x14ac:dyDescent="0.25">
      <c r="A6113" s="5" t="str">
        <f t="shared" si="2573"/>
        <v>44173COPPER</v>
      </c>
      <c r="B6113" s="6" t="s">
        <v>100</v>
      </c>
      <c r="C6113" s="6">
        <v>3.31</v>
      </c>
      <c r="D6113" s="6">
        <v>3.61</v>
      </c>
      <c r="E6113" s="6">
        <v>3.52</v>
      </c>
      <c r="F6113" t="str">
        <f t="shared" si="2574"/>
        <v>TUE</v>
      </c>
      <c r="G6113" s="3">
        <f t="shared" si="2575"/>
        <v>44173</v>
      </c>
      <c r="H6113" s="2">
        <f t="shared" ca="1" si="2576"/>
        <v>80</v>
      </c>
      <c r="I6113" t="str">
        <f t="shared" si="2577"/>
        <v>COPPER</v>
      </c>
      <c r="J6113">
        <f t="shared" si="2578"/>
        <v>3.31</v>
      </c>
      <c r="K6113">
        <f t="shared" si="2579"/>
        <v>3.61</v>
      </c>
      <c r="L6113">
        <f t="shared" si="2580"/>
        <v>3.46</v>
      </c>
      <c r="M6113">
        <f t="shared" si="2581"/>
        <v>0.14999999999999991</v>
      </c>
      <c r="N6113">
        <f t="shared" si="2571"/>
        <v>0.29999999999999982</v>
      </c>
      <c r="O6113">
        <f t="shared" si="2582"/>
        <v>3.52</v>
      </c>
      <c r="P6113">
        <f t="shared" si="2583"/>
        <v>0.40000000000000058</v>
      </c>
      <c r="Q6113" t="str">
        <f t="shared" si="2572"/>
        <v>5.97% | 2.56%</v>
      </c>
      <c r="R6113" t="str">
        <f t="shared" si="2584"/>
        <v>BULLISH</v>
      </c>
      <c r="S6113">
        <f t="shared" si="2585"/>
        <v>1</v>
      </c>
    </row>
    <row r="6114" spans="1:19" hidden="1" x14ac:dyDescent="0.25">
      <c r="A6114" s="5" t="str">
        <f t="shared" si="2573"/>
        <v>44173MSFT</v>
      </c>
      <c r="B6114" s="6" t="s">
        <v>27</v>
      </c>
      <c r="C6114" s="6">
        <v>211</v>
      </c>
      <c r="D6114" s="6">
        <v>217</v>
      </c>
      <c r="E6114" s="6">
        <v>214</v>
      </c>
      <c r="F6114" t="str">
        <f t="shared" si="2574"/>
        <v>TUE</v>
      </c>
      <c r="G6114" s="3">
        <f t="shared" si="2575"/>
        <v>44173</v>
      </c>
      <c r="H6114" s="2">
        <f t="shared" ca="1" si="2576"/>
        <v>80</v>
      </c>
      <c r="I6114" t="str">
        <f t="shared" si="2577"/>
        <v>MSFT</v>
      </c>
      <c r="J6114">
        <f t="shared" si="2578"/>
        <v>211</v>
      </c>
      <c r="K6114">
        <f t="shared" si="2579"/>
        <v>217</v>
      </c>
      <c r="L6114">
        <f t="shared" si="2580"/>
        <v>214</v>
      </c>
      <c r="M6114">
        <f t="shared" si="2581"/>
        <v>3</v>
      </c>
      <c r="N6114">
        <f t="shared" si="2571"/>
        <v>6</v>
      </c>
      <c r="O6114">
        <f t="shared" si="2582"/>
        <v>214</v>
      </c>
      <c r="P6114">
        <f t="shared" si="2583"/>
        <v>0</v>
      </c>
      <c r="Q6114" t="str">
        <f t="shared" si="2572"/>
        <v>1.4% | 1.4%</v>
      </c>
      <c r="R6114" t="str">
        <f t="shared" si="2584"/>
        <v>BULLISH</v>
      </c>
      <c r="S6114">
        <f t="shared" si="2585"/>
        <v>1</v>
      </c>
    </row>
    <row r="6115" spans="1:19" hidden="1" x14ac:dyDescent="0.25">
      <c r="A6115" s="5" t="str">
        <f t="shared" si="2573"/>
        <v>44173AAPL</v>
      </c>
      <c r="B6115" s="6" t="s">
        <v>28</v>
      </c>
      <c r="C6115" s="6">
        <v>115</v>
      </c>
      <c r="D6115" s="6">
        <v>128</v>
      </c>
      <c r="E6115" s="6">
        <v>123</v>
      </c>
      <c r="F6115" t="str">
        <f t="shared" si="2574"/>
        <v>TUE</v>
      </c>
      <c r="G6115" s="3">
        <f t="shared" si="2575"/>
        <v>44173</v>
      </c>
      <c r="H6115" s="2">
        <f t="shared" ca="1" si="2576"/>
        <v>80</v>
      </c>
      <c r="I6115" t="str">
        <f t="shared" si="2577"/>
        <v>AAPL</v>
      </c>
      <c r="J6115">
        <f t="shared" si="2578"/>
        <v>115</v>
      </c>
      <c r="K6115">
        <f t="shared" si="2579"/>
        <v>128</v>
      </c>
      <c r="L6115">
        <f t="shared" si="2580"/>
        <v>121.5</v>
      </c>
      <c r="M6115">
        <f t="shared" si="2581"/>
        <v>6.5</v>
      </c>
      <c r="N6115">
        <f t="shared" si="2571"/>
        <v>13</v>
      </c>
      <c r="O6115">
        <f t="shared" si="2582"/>
        <v>123</v>
      </c>
      <c r="P6115">
        <f t="shared" si="2583"/>
        <v>0.23076923076923078</v>
      </c>
      <c r="Q6115" t="str">
        <f t="shared" si="2572"/>
        <v>6.5% | 4.07%</v>
      </c>
      <c r="R6115" t="str">
        <f t="shared" si="2584"/>
        <v>BULLISH</v>
      </c>
      <c r="S6115">
        <f t="shared" si="2585"/>
        <v>1</v>
      </c>
    </row>
    <row r="6116" spans="1:19" hidden="1" x14ac:dyDescent="0.25">
      <c r="A6116" s="5" t="str">
        <f t="shared" si="2573"/>
        <v>44173AMZN</v>
      </c>
      <c r="B6116" s="6" t="s">
        <v>29</v>
      </c>
      <c r="C6116" s="6">
        <v>3095</v>
      </c>
      <c r="D6116" s="6">
        <v>3235</v>
      </c>
      <c r="E6116" s="6">
        <v>3158</v>
      </c>
      <c r="F6116" t="str">
        <f t="shared" si="2574"/>
        <v>TUE</v>
      </c>
      <c r="G6116" s="3">
        <f t="shared" si="2575"/>
        <v>44173</v>
      </c>
      <c r="H6116" s="2">
        <f t="shared" ca="1" si="2576"/>
        <v>80</v>
      </c>
      <c r="I6116" t="str">
        <f t="shared" si="2577"/>
        <v>AMZN</v>
      </c>
      <c r="J6116">
        <f t="shared" si="2578"/>
        <v>3095</v>
      </c>
      <c r="K6116">
        <f t="shared" si="2579"/>
        <v>3235</v>
      </c>
      <c r="L6116">
        <f t="shared" si="2580"/>
        <v>3165</v>
      </c>
      <c r="M6116">
        <f t="shared" si="2581"/>
        <v>70</v>
      </c>
      <c r="N6116">
        <f t="shared" si="2571"/>
        <v>140</v>
      </c>
      <c r="O6116">
        <f t="shared" si="2582"/>
        <v>3158</v>
      </c>
      <c r="P6116">
        <f t="shared" si="2583"/>
        <v>-0.1</v>
      </c>
      <c r="Q6116" t="str">
        <f t="shared" si="2572"/>
        <v>1.99% | 2.44%</v>
      </c>
      <c r="R6116" t="str">
        <f t="shared" si="2584"/>
        <v>BULLISH</v>
      </c>
      <c r="S6116">
        <f t="shared" si="2585"/>
        <v>1</v>
      </c>
    </row>
    <row r="6117" spans="1:19" hidden="1" x14ac:dyDescent="0.25">
      <c r="A6117" s="5" t="str">
        <f t="shared" si="2573"/>
        <v>44173FB</v>
      </c>
      <c r="B6117" s="6" t="s">
        <v>30</v>
      </c>
      <c r="C6117" s="6">
        <v>272</v>
      </c>
      <c r="D6117" s="6">
        <v>290</v>
      </c>
      <c r="E6117" s="6">
        <v>285</v>
      </c>
      <c r="F6117" t="str">
        <f t="shared" si="2574"/>
        <v>TUE</v>
      </c>
      <c r="G6117" s="3">
        <f t="shared" si="2575"/>
        <v>44173</v>
      </c>
      <c r="H6117" s="2">
        <f t="shared" ca="1" si="2576"/>
        <v>80</v>
      </c>
      <c r="I6117" t="str">
        <f t="shared" si="2577"/>
        <v>FB</v>
      </c>
      <c r="J6117">
        <f t="shared" si="2578"/>
        <v>272</v>
      </c>
      <c r="K6117">
        <f t="shared" si="2579"/>
        <v>290</v>
      </c>
      <c r="L6117">
        <f t="shared" si="2580"/>
        <v>281</v>
      </c>
      <c r="M6117">
        <f t="shared" si="2581"/>
        <v>9</v>
      </c>
      <c r="N6117">
        <f t="shared" si="2571"/>
        <v>18</v>
      </c>
      <c r="O6117">
        <f t="shared" si="2582"/>
        <v>285</v>
      </c>
      <c r="P6117">
        <f t="shared" si="2583"/>
        <v>0.44444444444444442</v>
      </c>
      <c r="Q6117" t="str">
        <f t="shared" si="2572"/>
        <v>4.56% | 1.75%</v>
      </c>
      <c r="R6117" t="str">
        <f t="shared" si="2584"/>
        <v>BULLISH</v>
      </c>
      <c r="S6117">
        <f t="shared" si="2585"/>
        <v>1</v>
      </c>
    </row>
    <row r="6118" spans="1:19" hidden="1" x14ac:dyDescent="0.25">
      <c r="A6118" s="5" t="str">
        <f t="shared" si="2573"/>
        <v>44173GOOGL</v>
      </c>
      <c r="B6118" s="6" t="s">
        <v>31</v>
      </c>
      <c r="C6118" s="6">
        <v>1743</v>
      </c>
      <c r="D6118" s="6">
        <v>1851</v>
      </c>
      <c r="E6118" s="6">
        <v>1823</v>
      </c>
      <c r="F6118" t="str">
        <f t="shared" si="2574"/>
        <v>TUE</v>
      </c>
      <c r="G6118" s="3">
        <f t="shared" si="2575"/>
        <v>44173</v>
      </c>
      <c r="H6118" s="2">
        <f t="shared" ca="1" si="2576"/>
        <v>80</v>
      </c>
      <c r="I6118" t="str">
        <f t="shared" si="2577"/>
        <v>GOOGL</v>
      </c>
      <c r="J6118">
        <f t="shared" si="2578"/>
        <v>1743</v>
      </c>
      <c r="K6118">
        <f t="shared" si="2579"/>
        <v>1851</v>
      </c>
      <c r="L6118">
        <f t="shared" si="2580"/>
        <v>1797</v>
      </c>
      <c r="M6118">
        <f t="shared" si="2581"/>
        <v>54</v>
      </c>
      <c r="N6118">
        <f t="shared" si="2571"/>
        <v>108</v>
      </c>
      <c r="O6118">
        <f t="shared" si="2582"/>
        <v>1823</v>
      </c>
      <c r="P6118">
        <f t="shared" si="2583"/>
        <v>0.48148148148148145</v>
      </c>
      <c r="Q6118" t="str">
        <f t="shared" si="2572"/>
        <v>4.39% | 1.54%</v>
      </c>
      <c r="R6118" t="str">
        <f t="shared" si="2584"/>
        <v>BULLISH</v>
      </c>
      <c r="S6118">
        <f t="shared" si="2585"/>
        <v>1</v>
      </c>
    </row>
    <row r="6119" spans="1:19" hidden="1" x14ac:dyDescent="0.25">
      <c r="A6119" s="5" t="str">
        <f t="shared" si="2573"/>
        <v>44173NFLX</v>
      </c>
      <c r="B6119" s="6" t="s">
        <v>81</v>
      </c>
      <c r="C6119" s="6">
        <v>477</v>
      </c>
      <c r="D6119" s="6">
        <v>520</v>
      </c>
      <c r="E6119" s="6">
        <v>515</v>
      </c>
      <c r="F6119" t="str">
        <f t="shared" si="2574"/>
        <v>TUE</v>
      </c>
      <c r="G6119" s="3">
        <f t="shared" si="2575"/>
        <v>44173</v>
      </c>
      <c r="H6119" s="2">
        <f t="shared" ca="1" si="2576"/>
        <v>80</v>
      </c>
      <c r="I6119" t="str">
        <f t="shared" si="2577"/>
        <v>NFLX</v>
      </c>
      <c r="J6119">
        <f t="shared" si="2578"/>
        <v>477</v>
      </c>
      <c r="K6119">
        <f t="shared" si="2579"/>
        <v>520</v>
      </c>
      <c r="L6119">
        <f t="shared" si="2580"/>
        <v>498.5</v>
      </c>
      <c r="M6119">
        <f t="shared" si="2581"/>
        <v>21.5</v>
      </c>
      <c r="N6119">
        <f t="shared" si="2571"/>
        <v>43</v>
      </c>
      <c r="O6119">
        <f t="shared" si="2582"/>
        <v>515</v>
      </c>
      <c r="P6119">
        <f t="shared" si="2583"/>
        <v>0.76744186046511631</v>
      </c>
      <c r="Q6119" t="str">
        <f t="shared" si="2572"/>
        <v>7.38% | 0.97%</v>
      </c>
      <c r="R6119" t="str">
        <f t="shared" si="2584"/>
        <v>BEARISH</v>
      </c>
      <c r="S6119">
        <f t="shared" si="2585"/>
        <v>-1</v>
      </c>
    </row>
    <row r="6120" spans="1:19" x14ac:dyDescent="0.25">
      <c r="A6120" s="5" t="str">
        <f t="shared" si="2573"/>
        <v>44173TSLA</v>
      </c>
      <c r="B6120" s="6" t="s">
        <v>33</v>
      </c>
      <c r="C6120" s="6">
        <v>540</v>
      </c>
      <c r="D6120" s="6">
        <v>655</v>
      </c>
      <c r="E6120" s="6">
        <v>641</v>
      </c>
      <c r="F6120" t="str">
        <f t="shared" si="2574"/>
        <v>TUE</v>
      </c>
      <c r="G6120" s="3">
        <f t="shared" si="2575"/>
        <v>44173</v>
      </c>
      <c r="H6120" s="2">
        <f t="shared" ca="1" si="2576"/>
        <v>80</v>
      </c>
      <c r="I6120" t="str">
        <f t="shared" si="2577"/>
        <v>TSLA</v>
      </c>
      <c r="J6120">
        <f t="shared" si="2578"/>
        <v>540</v>
      </c>
      <c r="K6120">
        <f t="shared" si="2579"/>
        <v>655</v>
      </c>
      <c r="L6120">
        <f t="shared" si="2580"/>
        <v>597.5</v>
      </c>
      <c r="M6120">
        <f t="shared" si="2581"/>
        <v>57.5</v>
      </c>
      <c r="N6120">
        <f t="shared" si="2571"/>
        <v>115</v>
      </c>
      <c r="O6120">
        <f t="shared" si="2582"/>
        <v>641</v>
      </c>
      <c r="P6120">
        <f t="shared" si="2583"/>
        <v>0.75652173913043474</v>
      </c>
      <c r="Q6120" t="str">
        <f t="shared" si="2572"/>
        <v>15.76% | 2.18%</v>
      </c>
      <c r="R6120" t="str">
        <f t="shared" si="2584"/>
        <v>BULLISH</v>
      </c>
      <c r="S6120">
        <f t="shared" si="2585"/>
        <v>1</v>
      </c>
    </row>
    <row r="6121" spans="1:19" hidden="1" x14ac:dyDescent="0.25">
      <c r="A6121" s="5" t="str">
        <f t="shared" si="2573"/>
        <v>44173NYXBT</v>
      </c>
      <c r="B6121" s="6" t="s">
        <v>60</v>
      </c>
      <c r="C6121" s="6">
        <v>17228</v>
      </c>
      <c r="D6121" s="6">
        <v>20693</v>
      </c>
      <c r="E6121" s="6">
        <v>19225</v>
      </c>
      <c r="F6121" t="str">
        <f t="shared" si="2574"/>
        <v>TUE</v>
      </c>
      <c r="G6121" s="3">
        <f t="shared" si="2575"/>
        <v>44173</v>
      </c>
      <c r="H6121" s="2">
        <f t="shared" ca="1" si="2576"/>
        <v>80</v>
      </c>
      <c r="I6121" t="str">
        <f t="shared" si="2577"/>
        <v>NYXBT</v>
      </c>
      <c r="J6121">
        <f t="shared" si="2578"/>
        <v>17228</v>
      </c>
      <c r="K6121">
        <f t="shared" si="2579"/>
        <v>20693</v>
      </c>
      <c r="L6121">
        <f t="shared" si="2580"/>
        <v>18960.5</v>
      </c>
      <c r="M6121">
        <f t="shared" si="2581"/>
        <v>1732.5</v>
      </c>
      <c r="N6121">
        <f t="shared" si="2571"/>
        <v>3465</v>
      </c>
      <c r="O6121">
        <f t="shared" si="2582"/>
        <v>19225</v>
      </c>
      <c r="P6121">
        <f t="shared" si="2583"/>
        <v>0.15266955266955268</v>
      </c>
      <c r="Q6121" t="str">
        <f t="shared" si="2572"/>
        <v>10.39% | 7.64%</v>
      </c>
      <c r="R6121" t="str">
        <f t="shared" si="2584"/>
        <v>BULLISH</v>
      </c>
      <c r="S6121">
        <f t="shared" si="2585"/>
        <v>1</v>
      </c>
    </row>
    <row r="6122" spans="1:19" hidden="1" x14ac:dyDescent="0.25">
      <c r="A6122" s="5" t="str">
        <f t="shared" si="2573"/>
        <v>44174UST10Y</v>
      </c>
      <c r="B6122" s="6" t="s">
        <v>257</v>
      </c>
      <c r="C6122" s="6">
        <v>1.01</v>
      </c>
      <c r="D6122" s="6">
        <v>0.87</v>
      </c>
      <c r="E6122" s="6">
        <v>0.92</v>
      </c>
      <c r="F6122" t="str">
        <f t="shared" si="2574"/>
        <v>WED</v>
      </c>
      <c r="G6122" s="1">
        <f>DATE(2020,12,9)</f>
        <v>44174</v>
      </c>
      <c r="H6122" s="2">
        <f t="shared" ca="1" si="2576"/>
        <v>79</v>
      </c>
      <c r="I6122" t="str">
        <f t="shared" si="2577"/>
        <v>UST10Y</v>
      </c>
      <c r="J6122">
        <f t="shared" si="2578"/>
        <v>1.01</v>
      </c>
      <c r="K6122">
        <f t="shared" si="2579"/>
        <v>0.87</v>
      </c>
      <c r="L6122">
        <f t="shared" si="2580"/>
        <v>0.94</v>
      </c>
      <c r="M6122">
        <f t="shared" si="2581"/>
        <v>7.0000000000000007E-2</v>
      </c>
      <c r="N6122">
        <f t="shared" si="2571"/>
        <v>0.14000000000000001</v>
      </c>
      <c r="O6122">
        <f t="shared" si="2582"/>
        <v>0.92</v>
      </c>
      <c r="P6122">
        <f t="shared" si="2583"/>
        <v>-0.28571428571428437</v>
      </c>
      <c r="Q6122" t="str">
        <f t="shared" si="2572"/>
        <v>9.78% | 5.43%</v>
      </c>
      <c r="R6122" t="str">
        <f t="shared" si="2584"/>
        <v>BULLISH</v>
      </c>
      <c r="S6122">
        <f t="shared" si="2585"/>
        <v>1</v>
      </c>
    </row>
    <row r="6123" spans="1:19" hidden="1" x14ac:dyDescent="0.25">
      <c r="A6123" s="5" t="str">
        <f t="shared" si="2573"/>
        <v>44174UST2Y</v>
      </c>
      <c r="B6123" s="6" t="s">
        <v>253</v>
      </c>
      <c r="C6123" s="6">
        <v>0.17</v>
      </c>
      <c r="D6123" s="6">
        <v>0.13</v>
      </c>
      <c r="E6123" s="6">
        <v>0.14000000000000001</v>
      </c>
      <c r="F6123" t="str">
        <f t="shared" ref="F6123:F6153" si="2586">UPPER(TEXT(G6123,"ddd"))</f>
        <v>WED</v>
      </c>
      <c r="G6123" s="1">
        <f t="shared" ref="G6123:G6152" si="2587">DATE(2020,12,9)</f>
        <v>44174</v>
      </c>
      <c r="H6123" s="2">
        <f t="shared" ref="H6123:H6153" ca="1" si="2588">TODAY()-G6123</f>
        <v>79</v>
      </c>
      <c r="I6123" t="str">
        <f t="shared" ref="I6123:I6153" si="2589">TRIM(LEFT(B6123,FIND(" ",B6123,1)))</f>
        <v>UST2Y</v>
      </c>
      <c r="J6123">
        <f t="shared" ref="J6123:J6153" si="2590">C6123</f>
        <v>0.17</v>
      </c>
      <c r="K6123">
        <f t="shared" ref="K6123:K6153" si="2591">D6123</f>
        <v>0.13</v>
      </c>
      <c r="L6123">
        <f t="shared" ref="L6123:L6153" si="2592">AVERAGE(J6123:K6123)</f>
        <v>0.15000000000000002</v>
      </c>
      <c r="M6123">
        <f t="shared" ref="M6123:M6153" si="2593">_xlfn.STDEV.P(J6123:K6123)</f>
        <v>1.9999999999999938E-2</v>
      </c>
      <c r="N6123">
        <f t="shared" si="2571"/>
        <v>4.0000000000000008E-2</v>
      </c>
      <c r="O6123">
        <f t="shared" ref="O6123:O6153" si="2594">E6123</f>
        <v>0.14000000000000001</v>
      </c>
      <c r="P6123">
        <f t="shared" ref="P6123:P6153" si="2595">(O6123-L6123)/M6123</f>
        <v>-0.500000000000002</v>
      </c>
      <c r="Q6123" t="str">
        <f t="shared" si="2572"/>
        <v>21.43% | 7.14%</v>
      </c>
      <c r="R6123" t="str">
        <f t="shared" ref="R6123:R6153" si="2596">MID(B6123,FIND("(",B6123,1)+1,FIND(")",B6123,1)-FIND("(",B6123,1)-1)</f>
        <v>NEUTRAL</v>
      </c>
      <c r="S6123">
        <f t="shared" ref="S6123:S6153" si="2597">IF(R6123="BEARISH",-1,IF(R6123="NEUTRAL",0,IF(R6123="BULLISH",1,99)))</f>
        <v>0</v>
      </c>
    </row>
    <row r="6124" spans="1:19" hidden="1" x14ac:dyDescent="0.25">
      <c r="A6124" s="5" t="str">
        <f t="shared" si="2573"/>
        <v>44174SPX</v>
      </c>
      <c r="B6124" s="6" t="s">
        <v>93</v>
      </c>
      <c r="C6124" s="6">
        <v>3609</v>
      </c>
      <c r="D6124" s="6">
        <v>3727</v>
      </c>
      <c r="E6124" s="6">
        <v>3702</v>
      </c>
      <c r="F6124" t="str">
        <f t="shared" si="2586"/>
        <v>WED</v>
      </c>
      <c r="G6124" s="1">
        <f t="shared" si="2587"/>
        <v>44174</v>
      </c>
      <c r="H6124" s="2">
        <f t="shared" ca="1" si="2588"/>
        <v>79</v>
      </c>
      <c r="I6124" t="str">
        <f t="shared" si="2589"/>
        <v>SPX</v>
      </c>
      <c r="J6124">
        <f t="shared" si="2590"/>
        <v>3609</v>
      </c>
      <c r="K6124">
        <f t="shared" si="2591"/>
        <v>3727</v>
      </c>
      <c r="L6124">
        <f t="shared" si="2592"/>
        <v>3668</v>
      </c>
      <c r="M6124">
        <f t="shared" si="2593"/>
        <v>59</v>
      </c>
      <c r="N6124">
        <f t="shared" si="2571"/>
        <v>118</v>
      </c>
      <c r="O6124">
        <f t="shared" si="2594"/>
        <v>3702</v>
      </c>
      <c r="P6124">
        <f t="shared" si="2595"/>
        <v>0.57627118644067798</v>
      </c>
      <c r="Q6124" t="str">
        <f t="shared" si="2572"/>
        <v>2.51% | 0.68%</v>
      </c>
      <c r="R6124" t="str">
        <f t="shared" si="2596"/>
        <v>BULLISH</v>
      </c>
      <c r="S6124">
        <f t="shared" si="2597"/>
        <v>1</v>
      </c>
    </row>
    <row r="6125" spans="1:19" hidden="1" x14ac:dyDescent="0.25">
      <c r="A6125" s="5" t="str">
        <f t="shared" si="2573"/>
        <v>44174RUT</v>
      </c>
      <c r="B6125" s="6" t="s">
        <v>247</v>
      </c>
      <c r="C6125" s="6">
        <v>1818</v>
      </c>
      <c r="D6125" s="6">
        <v>1920</v>
      </c>
      <c r="E6125" s="6">
        <v>1917</v>
      </c>
      <c r="F6125" t="str">
        <f t="shared" si="2586"/>
        <v>WED</v>
      </c>
      <c r="G6125" s="1">
        <f t="shared" si="2587"/>
        <v>44174</v>
      </c>
      <c r="H6125" s="2">
        <f t="shared" ca="1" si="2588"/>
        <v>79</v>
      </c>
      <c r="I6125" t="str">
        <f t="shared" si="2589"/>
        <v>RUT</v>
      </c>
      <c r="J6125">
        <f t="shared" si="2590"/>
        <v>1818</v>
      </c>
      <c r="K6125">
        <f t="shared" si="2591"/>
        <v>1920</v>
      </c>
      <c r="L6125">
        <f t="shared" si="2592"/>
        <v>1869</v>
      </c>
      <c r="M6125">
        <f t="shared" si="2593"/>
        <v>51</v>
      </c>
      <c r="N6125">
        <f t="shared" si="2571"/>
        <v>102</v>
      </c>
      <c r="O6125">
        <f t="shared" si="2594"/>
        <v>1917</v>
      </c>
      <c r="P6125">
        <f t="shared" si="2595"/>
        <v>0.94117647058823528</v>
      </c>
      <c r="Q6125" t="str">
        <f t="shared" si="2572"/>
        <v>5.16% | 0.16%</v>
      </c>
      <c r="R6125" t="str">
        <f t="shared" si="2596"/>
        <v>BULLISH</v>
      </c>
      <c r="S6125">
        <f t="shared" si="2597"/>
        <v>1</v>
      </c>
    </row>
    <row r="6126" spans="1:19" hidden="1" x14ac:dyDescent="0.25">
      <c r="A6126" s="5" t="str">
        <f t="shared" si="2573"/>
        <v>44174COMPQ</v>
      </c>
      <c r="B6126" s="6" t="s">
        <v>8</v>
      </c>
      <c r="C6126" s="6">
        <v>12049</v>
      </c>
      <c r="D6126" s="6">
        <v>12672</v>
      </c>
      <c r="E6126" s="6">
        <v>12582</v>
      </c>
      <c r="F6126" t="str">
        <f t="shared" si="2586"/>
        <v>WED</v>
      </c>
      <c r="G6126" s="1">
        <f t="shared" si="2587"/>
        <v>44174</v>
      </c>
      <c r="H6126" s="2">
        <f t="shared" ca="1" si="2588"/>
        <v>79</v>
      </c>
      <c r="I6126" t="str">
        <f t="shared" si="2589"/>
        <v>COMPQ</v>
      </c>
      <c r="J6126">
        <f t="shared" si="2590"/>
        <v>12049</v>
      </c>
      <c r="K6126">
        <f t="shared" si="2591"/>
        <v>12672</v>
      </c>
      <c r="L6126">
        <f t="shared" si="2592"/>
        <v>12360.5</v>
      </c>
      <c r="M6126">
        <f t="shared" si="2593"/>
        <v>311.5</v>
      </c>
      <c r="N6126">
        <f t="shared" si="2571"/>
        <v>623</v>
      </c>
      <c r="O6126">
        <f t="shared" si="2594"/>
        <v>12582</v>
      </c>
      <c r="P6126">
        <f t="shared" si="2595"/>
        <v>0.7110754414125201</v>
      </c>
      <c r="Q6126" t="str">
        <f t="shared" si="2572"/>
        <v>4.24% | 0.72%</v>
      </c>
      <c r="R6126" t="str">
        <f t="shared" si="2596"/>
        <v>BULLISH</v>
      </c>
      <c r="S6126">
        <f t="shared" si="2597"/>
        <v>1</v>
      </c>
    </row>
    <row r="6127" spans="1:19" hidden="1" x14ac:dyDescent="0.25">
      <c r="A6127" s="5" t="str">
        <f t="shared" si="2573"/>
        <v>44174XLK</v>
      </c>
      <c r="B6127" s="6" t="s">
        <v>10</v>
      </c>
      <c r="C6127" s="6">
        <v>122</v>
      </c>
      <c r="D6127" s="6">
        <v>127.92</v>
      </c>
      <c r="E6127" s="6">
        <v>126.81</v>
      </c>
      <c r="F6127" t="str">
        <f t="shared" si="2586"/>
        <v>WED</v>
      </c>
      <c r="G6127" s="1">
        <f t="shared" si="2587"/>
        <v>44174</v>
      </c>
      <c r="H6127" s="2">
        <f t="shared" ca="1" si="2588"/>
        <v>79</v>
      </c>
      <c r="I6127" t="str">
        <f t="shared" si="2589"/>
        <v>XLK</v>
      </c>
      <c r="J6127">
        <f t="shared" si="2590"/>
        <v>122</v>
      </c>
      <c r="K6127">
        <f t="shared" si="2591"/>
        <v>127.92</v>
      </c>
      <c r="L6127">
        <f t="shared" si="2592"/>
        <v>124.96000000000001</v>
      </c>
      <c r="M6127">
        <f t="shared" si="2593"/>
        <v>2.9600000000000009</v>
      </c>
      <c r="N6127">
        <f t="shared" si="2571"/>
        <v>5.9200000000000017</v>
      </c>
      <c r="O6127">
        <f t="shared" si="2594"/>
        <v>126.81</v>
      </c>
      <c r="P6127">
        <f t="shared" si="2595"/>
        <v>0.62499999999999789</v>
      </c>
      <c r="Q6127" t="str">
        <f t="shared" si="2572"/>
        <v>3.79% | 0.88%</v>
      </c>
      <c r="R6127" t="str">
        <f t="shared" si="2596"/>
        <v>BULLISH</v>
      </c>
      <c r="S6127">
        <f t="shared" si="2597"/>
        <v>1</v>
      </c>
    </row>
    <row r="6128" spans="1:19" hidden="1" x14ac:dyDescent="0.25">
      <c r="A6128" s="5" t="str">
        <f t="shared" si="2573"/>
        <v>44174XLE</v>
      </c>
      <c r="B6128" s="6" t="s">
        <v>250</v>
      </c>
      <c r="C6128" s="6">
        <v>36.340000000000003</v>
      </c>
      <c r="D6128" s="6">
        <v>41.77</v>
      </c>
      <c r="E6128" s="6">
        <v>40.270000000000003</v>
      </c>
      <c r="F6128" t="str">
        <f t="shared" si="2586"/>
        <v>WED</v>
      </c>
      <c r="G6128" s="1">
        <f t="shared" si="2587"/>
        <v>44174</v>
      </c>
      <c r="H6128" s="2">
        <f t="shared" ca="1" si="2588"/>
        <v>79</v>
      </c>
      <c r="I6128" t="str">
        <f t="shared" si="2589"/>
        <v>XLE</v>
      </c>
      <c r="J6128">
        <f t="shared" si="2590"/>
        <v>36.340000000000003</v>
      </c>
      <c r="K6128">
        <f t="shared" si="2591"/>
        <v>41.77</v>
      </c>
      <c r="L6128">
        <f t="shared" si="2592"/>
        <v>39.055000000000007</v>
      </c>
      <c r="M6128">
        <f t="shared" si="2593"/>
        <v>2.7149999999999999</v>
      </c>
      <c r="N6128">
        <f t="shared" si="2571"/>
        <v>5.43</v>
      </c>
      <c r="O6128">
        <f t="shared" si="2594"/>
        <v>40.270000000000003</v>
      </c>
      <c r="P6128">
        <f t="shared" si="2595"/>
        <v>0.44751381215469477</v>
      </c>
      <c r="Q6128" t="str">
        <f t="shared" si="2572"/>
        <v>9.76% | 3.72%</v>
      </c>
      <c r="R6128" t="str">
        <f t="shared" si="2596"/>
        <v>BULLISH</v>
      </c>
      <c r="S6128">
        <f t="shared" si="2597"/>
        <v>1</v>
      </c>
    </row>
    <row r="6129" spans="1:19" hidden="1" x14ac:dyDescent="0.25">
      <c r="A6129" s="5" t="str">
        <f t="shared" si="2573"/>
        <v>44174XLU</v>
      </c>
      <c r="B6129" s="6" t="s">
        <v>82</v>
      </c>
      <c r="C6129" s="6">
        <v>61.76</v>
      </c>
      <c r="D6129" s="6">
        <v>64.52</v>
      </c>
      <c r="E6129" s="6">
        <v>62.57</v>
      </c>
      <c r="F6129" t="str">
        <f t="shared" si="2586"/>
        <v>WED</v>
      </c>
      <c r="G6129" s="1">
        <f t="shared" si="2587"/>
        <v>44174</v>
      </c>
      <c r="H6129" s="2">
        <f t="shared" ca="1" si="2588"/>
        <v>79</v>
      </c>
      <c r="I6129" t="str">
        <f t="shared" si="2589"/>
        <v>XLU</v>
      </c>
      <c r="J6129">
        <f t="shared" si="2590"/>
        <v>61.76</v>
      </c>
      <c r="K6129">
        <f t="shared" si="2591"/>
        <v>64.52</v>
      </c>
      <c r="L6129">
        <f t="shared" si="2592"/>
        <v>63.14</v>
      </c>
      <c r="M6129">
        <f t="shared" si="2593"/>
        <v>1.379999999999999</v>
      </c>
      <c r="N6129">
        <f t="shared" si="2571"/>
        <v>2.759999999999998</v>
      </c>
      <c r="O6129">
        <f t="shared" si="2594"/>
        <v>62.57</v>
      </c>
      <c r="P6129">
        <f t="shared" si="2595"/>
        <v>-0.41304347826087007</v>
      </c>
      <c r="Q6129" t="str">
        <f t="shared" si="2572"/>
        <v>1.29% | 3.12%</v>
      </c>
      <c r="R6129" t="str">
        <f t="shared" si="2596"/>
        <v>BEARISH</v>
      </c>
      <c r="S6129">
        <f t="shared" si="2597"/>
        <v>-1</v>
      </c>
    </row>
    <row r="6130" spans="1:19" hidden="1" x14ac:dyDescent="0.25">
      <c r="A6130" s="5" t="str">
        <f t="shared" si="2573"/>
        <v>44174GDX</v>
      </c>
      <c r="B6130" s="6" t="s">
        <v>254</v>
      </c>
      <c r="C6130" s="6">
        <v>33.090000000000003</v>
      </c>
      <c r="D6130" s="6">
        <v>37.1</v>
      </c>
      <c r="E6130" s="6">
        <v>36.35</v>
      </c>
      <c r="F6130" t="str">
        <f t="shared" si="2586"/>
        <v>WED</v>
      </c>
      <c r="G6130" s="1">
        <f t="shared" si="2587"/>
        <v>44174</v>
      </c>
      <c r="H6130" s="2">
        <f t="shared" ca="1" si="2588"/>
        <v>79</v>
      </c>
      <c r="I6130" t="str">
        <f t="shared" si="2589"/>
        <v>GDX</v>
      </c>
      <c r="J6130">
        <f t="shared" si="2590"/>
        <v>33.090000000000003</v>
      </c>
      <c r="K6130">
        <f t="shared" si="2591"/>
        <v>37.1</v>
      </c>
      <c r="L6130">
        <f t="shared" si="2592"/>
        <v>35.094999999999999</v>
      </c>
      <c r="M6130">
        <f t="shared" si="2593"/>
        <v>2.004999999999999</v>
      </c>
      <c r="N6130">
        <f t="shared" si="2571"/>
        <v>4.009999999999998</v>
      </c>
      <c r="O6130">
        <f t="shared" si="2594"/>
        <v>36.35</v>
      </c>
      <c r="P6130">
        <f t="shared" si="2595"/>
        <v>0.62593516209476463</v>
      </c>
      <c r="Q6130" t="str">
        <f t="shared" si="2572"/>
        <v>8.97% | 2.06%</v>
      </c>
      <c r="R6130" t="str">
        <f t="shared" si="2596"/>
        <v>BEARISH</v>
      </c>
      <c r="S6130">
        <f t="shared" si="2597"/>
        <v>-1</v>
      </c>
    </row>
    <row r="6131" spans="1:19" hidden="1" x14ac:dyDescent="0.25">
      <c r="A6131" s="5" t="str">
        <f t="shared" si="2573"/>
        <v>44174SSEC</v>
      </c>
      <c r="B6131" s="6" t="s">
        <v>104</v>
      </c>
      <c r="C6131" s="6">
        <v>3361</v>
      </c>
      <c r="D6131" s="6">
        <v>3475</v>
      </c>
      <c r="E6131" s="6">
        <v>3371</v>
      </c>
      <c r="F6131" t="str">
        <f t="shared" si="2586"/>
        <v>WED</v>
      </c>
      <c r="G6131" s="1">
        <f t="shared" si="2587"/>
        <v>44174</v>
      </c>
      <c r="H6131" s="2">
        <f t="shared" ca="1" si="2588"/>
        <v>79</v>
      </c>
      <c r="I6131" t="str">
        <f t="shared" si="2589"/>
        <v>SSEC</v>
      </c>
      <c r="J6131">
        <f t="shared" si="2590"/>
        <v>3361</v>
      </c>
      <c r="K6131">
        <f t="shared" si="2591"/>
        <v>3475</v>
      </c>
      <c r="L6131">
        <f t="shared" si="2592"/>
        <v>3418</v>
      </c>
      <c r="M6131">
        <f t="shared" si="2593"/>
        <v>57</v>
      </c>
      <c r="N6131">
        <f t="shared" si="2571"/>
        <v>114</v>
      </c>
      <c r="O6131">
        <f t="shared" si="2594"/>
        <v>3371</v>
      </c>
      <c r="P6131">
        <f t="shared" si="2595"/>
        <v>-0.82456140350877194</v>
      </c>
      <c r="Q6131" t="str">
        <f t="shared" si="2572"/>
        <v>0.3% | 3.09%</v>
      </c>
      <c r="R6131" t="str">
        <f t="shared" si="2596"/>
        <v>BULLISH</v>
      </c>
      <c r="S6131">
        <f t="shared" si="2597"/>
        <v>1</v>
      </c>
    </row>
    <row r="6132" spans="1:19" hidden="1" x14ac:dyDescent="0.25">
      <c r="A6132" s="5" t="str">
        <f t="shared" si="2573"/>
        <v>44174NIKK</v>
      </c>
      <c r="B6132" s="6" t="s">
        <v>91</v>
      </c>
      <c r="C6132" s="6">
        <v>26360</v>
      </c>
      <c r="D6132" s="6">
        <v>27005</v>
      </c>
      <c r="E6132" s="6">
        <v>26817</v>
      </c>
      <c r="F6132" t="str">
        <f t="shared" si="2586"/>
        <v>WED</v>
      </c>
      <c r="G6132" s="1">
        <f t="shared" si="2587"/>
        <v>44174</v>
      </c>
      <c r="H6132" s="2">
        <f t="shared" ca="1" si="2588"/>
        <v>79</v>
      </c>
      <c r="I6132" t="str">
        <f t="shared" si="2589"/>
        <v>NIKK</v>
      </c>
      <c r="J6132">
        <f t="shared" si="2590"/>
        <v>26360</v>
      </c>
      <c r="K6132">
        <f t="shared" si="2591"/>
        <v>27005</v>
      </c>
      <c r="L6132">
        <f t="shared" si="2592"/>
        <v>26682.5</v>
      </c>
      <c r="M6132">
        <f t="shared" si="2593"/>
        <v>322.5</v>
      </c>
      <c r="N6132">
        <f t="shared" si="2571"/>
        <v>645</v>
      </c>
      <c r="O6132">
        <f t="shared" si="2594"/>
        <v>26817</v>
      </c>
      <c r="P6132">
        <f t="shared" si="2595"/>
        <v>0.41705426356589148</v>
      </c>
      <c r="Q6132" t="str">
        <f t="shared" si="2572"/>
        <v>1.7% | 0.7%</v>
      </c>
      <c r="R6132" t="str">
        <f t="shared" si="2596"/>
        <v>BULLISH</v>
      </c>
      <c r="S6132">
        <f t="shared" si="2597"/>
        <v>1</v>
      </c>
    </row>
    <row r="6133" spans="1:19" hidden="1" x14ac:dyDescent="0.25">
      <c r="A6133" s="5" t="str">
        <f t="shared" si="2573"/>
        <v>44174DAX</v>
      </c>
      <c r="B6133" s="6" t="s">
        <v>98</v>
      </c>
      <c r="C6133" s="6">
        <v>13208</v>
      </c>
      <c r="D6133" s="6">
        <v>13474</v>
      </c>
      <c r="E6133" s="6">
        <v>13278</v>
      </c>
      <c r="F6133" t="str">
        <f t="shared" si="2586"/>
        <v>WED</v>
      </c>
      <c r="G6133" s="1">
        <f t="shared" si="2587"/>
        <v>44174</v>
      </c>
      <c r="H6133" s="2">
        <f t="shared" ca="1" si="2588"/>
        <v>79</v>
      </c>
      <c r="I6133" t="str">
        <f t="shared" si="2589"/>
        <v>DAX</v>
      </c>
      <c r="J6133">
        <f t="shared" si="2590"/>
        <v>13208</v>
      </c>
      <c r="K6133">
        <f t="shared" si="2591"/>
        <v>13474</v>
      </c>
      <c r="L6133">
        <f t="shared" si="2592"/>
        <v>13341</v>
      </c>
      <c r="M6133">
        <f t="shared" si="2593"/>
        <v>133</v>
      </c>
      <c r="N6133">
        <f t="shared" si="2571"/>
        <v>266</v>
      </c>
      <c r="O6133">
        <f t="shared" si="2594"/>
        <v>13278</v>
      </c>
      <c r="P6133">
        <f t="shared" si="2595"/>
        <v>-0.47368421052631576</v>
      </c>
      <c r="Q6133" t="str">
        <f t="shared" si="2572"/>
        <v>0.53% | 1.48%</v>
      </c>
      <c r="R6133" t="str">
        <f t="shared" si="2596"/>
        <v>BULLISH</v>
      </c>
      <c r="S6133">
        <f t="shared" si="2597"/>
        <v>1</v>
      </c>
    </row>
    <row r="6134" spans="1:19" hidden="1" x14ac:dyDescent="0.25">
      <c r="A6134" s="5" t="str">
        <f t="shared" si="2573"/>
        <v>44174VIX</v>
      </c>
      <c r="B6134" s="6" t="s">
        <v>96</v>
      </c>
      <c r="C6134" s="6">
        <v>19.420000000000002</v>
      </c>
      <c r="D6134" s="6">
        <v>22.5</v>
      </c>
      <c r="E6134" s="6">
        <v>20.68</v>
      </c>
      <c r="F6134" t="str">
        <f t="shared" si="2586"/>
        <v>WED</v>
      </c>
      <c r="G6134" s="1">
        <f t="shared" si="2587"/>
        <v>44174</v>
      </c>
      <c r="H6134" s="2">
        <f t="shared" ca="1" si="2588"/>
        <v>79</v>
      </c>
      <c r="I6134" t="str">
        <f t="shared" si="2589"/>
        <v>VIX</v>
      </c>
      <c r="J6134">
        <f t="shared" si="2590"/>
        <v>19.420000000000002</v>
      </c>
      <c r="K6134">
        <f t="shared" si="2591"/>
        <v>22.5</v>
      </c>
      <c r="L6134">
        <f t="shared" si="2592"/>
        <v>20.96</v>
      </c>
      <c r="M6134">
        <f t="shared" si="2593"/>
        <v>1.5399999999999991</v>
      </c>
      <c r="N6134">
        <f t="shared" si="2571"/>
        <v>3.0799999999999983</v>
      </c>
      <c r="O6134">
        <f t="shared" si="2594"/>
        <v>20.68</v>
      </c>
      <c r="P6134">
        <f t="shared" si="2595"/>
        <v>-0.18181818181818266</v>
      </c>
      <c r="Q6134" t="str">
        <f t="shared" si="2572"/>
        <v>6.09% | 8.8%</v>
      </c>
      <c r="R6134" t="str">
        <f t="shared" si="2596"/>
        <v>BEARISH</v>
      </c>
      <c r="S6134">
        <f t="shared" si="2597"/>
        <v>-1</v>
      </c>
    </row>
    <row r="6135" spans="1:19" hidden="1" x14ac:dyDescent="0.25">
      <c r="A6135" s="5" t="str">
        <f t="shared" si="2573"/>
        <v>44174USD</v>
      </c>
      <c r="B6135" s="6" t="s">
        <v>94</v>
      </c>
      <c r="C6135" s="6">
        <v>90.18</v>
      </c>
      <c r="D6135" s="6">
        <v>92.03</v>
      </c>
      <c r="E6135" s="6">
        <v>90.97</v>
      </c>
      <c r="F6135" t="str">
        <f t="shared" si="2586"/>
        <v>WED</v>
      </c>
      <c r="G6135" s="1">
        <f t="shared" si="2587"/>
        <v>44174</v>
      </c>
      <c r="H6135" s="2">
        <f t="shared" ca="1" si="2588"/>
        <v>79</v>
      </c>
      <c r="I6135" t="str">
        <f t="shared" si="2589"/>
        <v>USD</v>
      </c>
      <c r="J6135">
        <f t="shared" si="2590"/>
        <v>90.18</v>
      </c>
      <c r="K6135">
        <f t="shared" si="2591"/>
        <v>92.03</v>
      </c>
      <c r="L6135">
        <f t="shared" si="2592"/>
        <v>91.105000000000004</v>
      </c>
      <c r="M6135">
        <f t="shared" si="2593"/>
        <v>0.92499999999999716</v>
      </c>
      <c r="N6135">
        <f t="shared" si="2571"/>
        <v>1.8499999999999943</v>
      </c>
      <c r="O6135">
        <f t="shared" si="2594"/>
        <v>90.97</v>
      </c>
      <c r="P6135">
        <f t="shared" si="2595"/>
        <v>-0.14594594594595192</v>
      </c>
      <c r="Q6135" t="str">
        <f t="shared" si="2572"/>
        <v>0.87% | 1.17%</v>
      </c>
      <c r="R6135" t="str">
        <f t="shared" si="2596"/>
        <v>BEARISH</v>
      </c>
      <c r="S6135">
        <f t="shared" si="2597"/>
        <v>-1</v>
      </c>
    </row>
    <row r="6136" spans="1:19" hidden="1" x14ac:dyDescent="0.25">
      <c r="A6136" s="5" t="str">
        <f t="shared" si="2573"/>
        <v>44174EUR/USD</v>
      </c>
      <c r="B6136" s="6" t="s">
        <v>99</v>
      </c>
      <c r="C6136" s="6">
        <v>1.194</v>
      </c>
      <c r="D6136" s="6">
        <v>1.2230000000000001</v>
      </c>
      <c r="E6136" s="6">
        <v>1.2110000000000001</v>
      </c>
      <c r="F6136" t="str">
        <f t="shared" si="2586"/>
        <v>WED</v>
      </c>
      <c r="G6136" s="1">
        <f t="shared" si="2587"/>
        <v>44174</v>
      </c>
      <c r="H6136" s="2">
        <f t="shared" ca="1" si="2588"/>
        <v>79</v>
      </c>
      <c r="I6136" t="str">
        <f t="shared" si="2589"/>
        <v>EUR/USD</v>
      </c>
      <c r="J6136">
        <f t="shared" si="2590"/>
        <v>1.194</v>
      </c>
      <c r="K6136">
        <f t="shared" si="2591"/>
        <v>1.2230000000000001</v>
      </c>
      <c r="L6136">
        <f t="shared" si="2592"/>
        <v>1.2084999999999999</v>
      </c>
      <c r="M6136">
        <f t="shared" si="2593"/>
        <v>1.4500000000000068E-2</v>
      </c>
      <c r="N6136">
        <f t="shared" si="2571"/>
        <v>2.9000000000000137E-2</v>
      </c>
      <c r="O6136">
        <f t="shared" si="2594"/>
        <v>1.2110000000000001</v>
      </c>
      <c r="P6136">
        <f t="shared" si="2595"/>
        <v>0.17241379310345911</v>
      </c>
      <c r="Q6136" t="str">
        <f t="shared" si="2572"/>
        <v>1.4% | 0.99%</v>
      </c>
      <c r="R6136" t="str">
        <f t="shared" si="2596"/>
        <v>BULLISH</v>
      </c>
      <c r="S6136">
        <f t="shared" si="2597"/>
        <v>1</v>
      </c>
    </row>
    <row r="6137" spans="1:19" hidden="1" x14ac:dyDescent="0.25">
      <c r="A6137" s="5" t="str">
        <f t="shared" si="2573"/>
        <v>44174USD/JPY</v>
      </c>
      <c r="B6137" s="6" t="s">
        <v>20</v>
      </c>
      <c r="C6137" s="6">
        <v>103.44</v>
      </c>
      <c r="D6137" s="6">
        <v>104.79</v>
      </c>
      <c r="E6137" s="6">
        <v>104.17</v>
      </c>
      <c r="F6137" t="str">
        <f t="shared" si="2586"/>
        <v>WED</v>
      </c>
      <c r="G6137" s="1">
        <f t="shared" si="2587"/>
        <v>44174</v>
      </c>
      <c r="H6137" s="2">
        <f t="shared" ca="1" si="2588"/>
        <v>79</v>
      </c>
      <c r="I6137" t="str">
        <f t="shared" si="2589"/>
        <v>USD/JPY</v>
      </c>
      <c r="J6137">
        <f t="shared" si="2590"/>
        <v>103.44</v>
      </c>
      <c r="K6137">
        <f t="shared" si="2591"/>
        <v>104.79</v>
      </c>
      <c r="L6137">
        <f t="shared" si="2592"/>
        <v>104.11500000000001</v>
      </c>
      <c r="M6137">
        <f t="shared" si="2593"/>
        <v>0.67500000000000426</v>
      </c>
      <c r="N6137">
        <f t="shared" si="2571"/>
        <v>1.3500000000000085</v>
      </c>
      <c r="O6137">
        <f t="shared" si="2594"/>
        <v>104.17</v>
      </c>
      <c r="P6137">
        <f t="shared" si="2595"/>
        <v>8.1481481481470025E-2</v>
      </c>
      <c r="Q6137" t="str">
        <f t="shared" si="2572"/>
        <v>0.7% | 0.6%</v>
      </c>
      <c r="R6137" t="str">
        <f t="shared" si="2596"/>
        <v>BEARISH</v>
      </c>
      <c r="S6137">
        <f t="shared" si="2597"/>
        <v>-1</v>
      </c>
    </row>
    <row r="6138" spans="1:19" hidden="1" x14ac:dyDescent="0.25">
      <c r="A6138" s="5" t="str">
        <f t="shared" si="2573"/>
        <v>44174GBP/USD</v>
      </c>
      <c r="B6138" s="6" t="s">
        <v>102</v>
      </c>
      <c r="C6138" s="6">
        <v>1.3260000000000001</v>
      </c>
      <c r="D6138" s="6">
        <v>1.349</v>
      </c>
      <c r="E6138" s="6">
        <v>1.335</v>
      </c>
      <c r="F6138" t="str">
        <f t="shared" si="2586"/>
        <v>WED</v>
      </c>
      <c r="G6138" s="1">
        <f t="shared" si="2587"/>
        <v>44174</v>
      </c>
      <c r="H6138" s="2">
        <f t="shared" ca="1" si="2588"/>
        <v>79</v>
      </c>
      <c r="I6138" t="str">
        <f t="shared" si="2589"/>
        <v>GBP/USD</v>
      </c>
      <c r="J6138">
        <f t="shared" si="2590"/>
        <v>1.3260000000000001</v>
      </c>
      <c r="K6138">
        <f t="shared" si="2591"/>
        <v>1.349</v>
      </c>
      <c r="L6138">
        <f t="shared" si="2592"/>
        <v>1.3374999999999999</v>
      </c>
      <c r="M6138">
        <f t="shared" si="2593"/>
        <v>1.1499999999999955E-2</v>
      </c>
      <c r="N6138">
        <f t="shared" si="2571"/>
        <v>2.2999999999999909E-2</v>
      </c>
      <c r="O6138">
        <f t="shared" si="2594"/>
        <v>1.335</v>
      </c>
      <c r="P6138">
        <f t="shared" si="2595"/>
        <v>-0.21739130434782231</v>
      </c>
      <c r="Q6138" t="str">
        <f t="shared" si="2572"/>
        <v>0.67% | 1.05%</v>
      </c>
      <c r="R6138" t="str">
        <f t="shared" si="2596"/>
        <v>BULLISH</v>
      </c>
      <c r="S6138">
        <f t="shared" si="2597"/>
        <v>1</v>
      </c>
    </row>
    <row r="6139" spans="1:19" hidden="1" x14ac:dyDescent="0.25">
      <c r="A6139" s="5" t="str">
        <f t="shared" si="2573"/>
        <v>44174CAD/USD</v>
      </c>
      <c r="B6139" s="6" t="s">
        <v>244</v>
      </c>
      <c r="C6139" s="6">
        <v>0.76</v>
      </c>
      <c r="D6139" s="6">
        <v>0.78</v>
      </c>
      <c r="E6139" s="6">
        <v>0.78</v>
      </c>
      <c r="F6139" t="str">
        <f t="shared" si="2586"/>
        <v>WED</v>
      </c>
      <c r="G6139" s="1">
        <f t="shared" si="2587"/>
        <v>44174</v>
      </c>
      <c r="H6139" s="2">
        <f t="shared" ca="1" si="2588"/>
        <v>79</v>
      </c>
      <c r="I6139" t="str">
        <f t="shared" si="2589"/>
        <v>CAD/USD</v>
      </c>
      <c r="J6139">
        <f t="shared" si="2590"/>
        <v>0.76</v>
      </c>
      <c r="K6139">
        <f t="shared" si="2591"/>
        <v>0.78</v>
      </c>
      <c r="L6139">
        <f t="shared" si="2592"/>
        <v>0.77</v>
      </c>
      <c r="M6139">
        <f t="shared" si="2593"/>
        <v>1.0000000000000009E-2</v>
      </c>
      <c r="N6139">
        <f t="shared" si="2571"/>
        <v>2.0000000000000018E-2</v>
      </c>
      <c r="O6139">
        <f t="shared" si="2594"/>
        <v>0.78</v>
      </c>
      <c r="P6139">
        <f t="shared" si="2595"/>
        <v>1</v>
      </c>
      <c r="Q6139" t="str">
        <f t="shared" si="2572"/>
        <v>2.56% | 0%</v>
      </c>
      <c r="R6139" t="str">
        <f t="shared" si="2596"/>
        <v>BULLISH</v>
      </c>
      <c r="S6139">
        <f t="shared" si="2597"/>
        <v>1</v>
      </c>
    </row>
    <row r="6140" spans="1:19" hidden="1" x14ac:dyDescent="0.25">
      <c r="A6140" s="5" t="str">
        <f t="shared" si="2573"/>
        <v>44174USD/CHF</v>
      </c>
      <c r="B6140" s="6" t="s">
        <v>76</v>
      </c>
      <c r="C6140" s="6">
        <v>0.88</v>
      </c>
      <c r="D6140" s="6">
        <v>0.9</v>
      </c>
      <c r="E6140" s="6">
        <v>0.88</v>
      </c>
      <c r="F6140" t="str">
        <f t="shared" si="2586"/>
        <v>WED</v>
      </c>
      <c r="G6140" s="1">
        <f t="shared" si="2587"/>
        <v>44174</v>
      </c>
      <c r="H6140" s="2">
        <f t="shared" ca="1" si="2588"/>
        <v>79</v>
      </c>
      <c r="I6140" t="str">
        <f t="shared" si="2589"/>
        <v>USD/CHF</v>
      </c>
      <c r="J6140">
        <f t="shared" si="2590"/>
        <v>0.88</v>
      </c>
      <c r="K6140">
        <f t="shared" si="2591"/>
        <v>0.9</v>
      </c>
      <c r="L6140">
        <f t="shared" si="2592"/>
        <v>0.89</v>
      </c>
      <c r="M6140">
        <f t="shared" si="2593"/>
        <v>1.0000000000000009E-2</v>
      </c>
      <c r="N6140">
        <f t="shared" si="2571"/>
        <v>2.0000000000000018E-2</v>
      </c>
      <c r="O6140">
        <f t="shared" si="2594"/>
        <v>0.88</v>
      </c>
      <c r="P6140">
        <f t="shared" si="2595"/>
        <v>-1</v>
      </c>
      <c r="Q6140" t="str">
        <f t="shared" si="2572"/>
        <v>0% | 2.27%</v>
      </c>
      <c r="R6140" t="str">
        <f t="shared" si="2596"/>
        <v>BEARISH</v>
      </c>
      <c r="S6140">
        <f t="shared" si="2597"/>
        <v>-1</v>
      </c>
    </row>
    <row r="6141" spans="1:19" hidden="1" x14ac:dyDescent="0.25">
      <c r="A6141" s="5" t="str">
        <f t="shared" si="2573"/>
        <v>44174WTIC</v>
      </c>
      <c r="B6141" s="6" t="s">
        <v>158</v>
      </c>
      <c r="C6141" s="6">
        <v>44.05</v>
      </c>
      <c r="D6141" s="6">
        <v>46.69</v>
      </c>
      <c r="E6141" s="6">
        <v>45.6</v>
      </c>
      <c r="F6141" t="str">
        <f t="shared" si="2586"/>
        <v>WED</v>
      </c>
      <c r="G6141" s="1">
        <f t="shared" si="2587"/>
        <v>44174</v>
      </c>
      <c r="H6141" s="2">
        <f t="shared" ca="1" si="2588"/>
        <v>79</v>
      </c>
      <c r="I6141" t="str">
        <f t="shared" si="2589"/>
        <v>WTIC</v>
      </c>
      <c r="J6141">
        <f t="shared" si="2590"/>
        <v>44.05</v>
      </c>
      <c r="K6141">
        <f t="shared" si="2591"/>
        <v>46.69</v>
      </c>
      <c r="L6141">
        <f t="shared" si="2592"/>
        <v>45.37</v>
      </c>
      <c r="M6141">
        <f t="shared" si="2593"/>
        <v>1.3200000000000003</v>
      </c>
      <c r="N6141">
        <f t="shared" si="2571"/>
        <v>2.6400000000000006</v>
      </c>
      <c r="O6141">
        <f t="shared" si="2594"/>
        <v>45.6</v>
      </c>
      <c r="P6141">
        <f t="shared" si="2595"/>
        <v>0.17424242424242722</v>
      </c>
      <c r="Q6141" t="str">
        <f t="shared" si="2572"/>
        <v>3.4% | 2.39%</v>
      </c>
      <c r="R6141" t="str">
        <f t="shared" si="2596"/>
        <v>BULLISH</v>
      </c>
      <c r="S6141">
        <f t="shared" si="2597"/>
        <v>1</v>
      </c>
    </row>
    <row r="6142" spans="1:19" hidden="1" x14ac:dyDescent="0.25">
      <c r="A6142" s="5" t="str">
        <f t="shared" si="2573"/>
        <v>44174NATGAS</v>
      </c>
      <c r="B6142" s="6" t="s">
        <v>89</v>
      </c>
      <c r="C6142" s="6">
        <v>2.31</v>
      </c>
      <c r="D6142" s="6">
        <v>3.08</v>
      </c>
      <c r="E6142" s="6">
        <v>2.4</v>
      </c>
      <c r="F6142" t="str">
        <f t="shared" si="2586"/>
        <v>WED</v>
      </c>
      <c r="G6142" s="1">
        <f t="shared" si="2587"/>
        <v>44174</v>
      </c>
      <c r="H6142" s="2">
        <f t="shared" ca="1" si="2588"/>
        <v>79</v>
      </c>
      <c r="I6142" t="str">
        <f t="shared" si="2589"/>
        <v>NATGAS</v>
      </c>
      <c r="J6142">
        <f t="shared" si="2590"/>
        <v>2.31</v>
      </c>
      <c r="K6142">
        <f t="shared" si="2591"/>
        <v>3.08</v>
      </c>
      <c r="L6142">
        <f t="shared" si="2592"/>
        <v>2.6950000000000003</v>
      </c>
      <c r="M6142">
        <f t="shared" si="2593"/>
        <v>0.38499999999999773</v>
      </c>
      <c r="N6142">
        <f t="shared" si="2571"/>
        <v>0.77</v>
      </c>
      <c r="O6142">
        <f t="shared" si="2594"/>
        <v>2.4</v>
      </c>
      <c r="P6142">
        <f t="shared" si="2595"/>
        <v>-0.76623376623377171</v>
      </c>
      <c r="Q6142" t="str">
        <f t="shared" si="2572"/>
        <v>3.75% | 28.33%</v>
      </c>
      <c r="R6142" t="str">
        <f t="shared" si="2596"/>
        <v>BULLISH</v>
      </c>
      <c r="S6142">
        <f t="shared" si="2597"/>
        <v>1</v>
      </c>
    </row>
    <row r="6143" spans="1:19" hidden="1" x14ac:dyDescent="0.25">
      <c r="A6143" s="5" t="str">
        <f t="shared" si="2573"/>
        <v>44174GOLD</v>
      </c>
      <c r="B6143" s="6" t="s">
        <v>85</v>
      </c>
      <c r="C6143" s="6">
        <v>1764</v>
      </c>
      <c r="D6143" s="6">
        <v>1887</v>
      </c>
      <c r="E6143" s="6">
        <v>1874</v>
      </c>
      <c r="F6143" t="str">
        <f t="shared" si="2586"/>
        <v>WED</v>
      </c>
      <c r="G6143" s="1">
        <f t="shared" si="2587"/>
        <v>44174</v>
      </c>
      <c r="H6143" s="2">
        <f t="shared" ca="1" si="2588"/>
        <v>79</v>
      </c>
      <c r="I6143" t="str">
        <f t="shared" si="2589"/>
        <v>GOLD</v>
      </c>
      <c r="J6143">
        <f t="shared" si="2590"/>
        <v>1764</v>
      </c>
      <c r="K6143">
        <f t="shared" si="2591"/>
        <v>1887</v>
      </c>
      <c r="L6143">
        <f t="shared" si="2592"/>
        <v>1825.5</v>
      </c>
      <c r="M6143">
        <f t="shared" si="2593"/>
        <v>61.5</v>
      </c>
      <c r="N6143">
        <f t="shared" si="2571"/>
        <v>123</v>
      </c>
      <c r="O6143">
        <f t="shared" si="2594"/>
        <v>1874</v>
      </c>
      <c r="P6143">
        <f t="shared" si="2595"/>
        <v>0.78861788617886175</v>
      </c>
      <c r="Q6143" t="str">
        <f t="shared" si="2572"/>
        <v>5.87% | 0.69%</v>
      </c>
      <c r="R6143" t="str">
        <f t="shared" si="2596"/>
        <v>BEARISH</v>
      </c>
      <c r="S6143">
        <f t="shared" si="2597"/>
        <v>-1</v>
      </c>
    </row>
    <row r="6144" spans="1:19" hidden="1" x14ac:dyDescent="0.25">
      <c r="A6144" s="5" t="str">
        <f t="shared" si="2573"/>
        <v>44174COPPER</v>
      </c>
      <c r="B6144" s="6" t="s">
        <v>100</v>
      </c>
      <c r="C6144" s="6">
        <v>3.35</v>
      </c>
      <c r="D6144" s="6">
        <v>3.61</v>
      </c>
      <c r="E6144" s="6">
        <v>3.5</v>
      </c>
      <c r="F6144" t="str">
        <f t="shared" si="2586"/>
        <v>WED</v>
      </c>
      <c r="G6144" s="1">
        <f t="shared" si="2587"/>
        <v>44174</v>
      </c>
      <c r="H6144" s="2">
        <f t="shared" ca="1" si="2588"/>
        <v>79</v>
      </c>
      <c r="I6144" t="str">
        <f t="shared" si="2589"/>
        <v>COPPER</v>
      </c>
      <c r="J6144">
        <f t="shared" si="2590"/>
        <v>3.35</v>
      </c>
      <c r="K6144">
        <f t="shared" si="2591"/>
        <v>3.61</v>
      </c>
      <c r="L6144">
        <f t="shared" si="2592"/>
        <v>3.48</v>
      </c>
      <c r="M6144">
        <f t="shared" si="2593"/>
        <v>0.12999999999999989</v>
      </c>
      <c r="N6144">
        <f t="shared" si="2571"/>
        <v>0.25999999999999979</v>
      </c>
      <c r="O6144">
        <f t="shared" si="2594"/>
        <v>3.5</v>
      </c>
      <c r="P6144">
        <f t="shared" si="2595"/>
        <v>0.1538461538461541</v>
      </c>
      <c r="Q6144" t="str">
        <f t="shared" si="2572"/>
        <v>4.29% | 3.14%</v>
      </c>
      <c r="R6144" t="str">
        <f t="shared" si="2596"/>
        <v>BULLISH</v>
      </c>
      <c r="S6144">
        <f t="shared" si="2597"/>
        <v>1</v>
      </c>
    </row>
    <row r="6145" spans="1:19" hidden="1" x14ac:dyDescent="0.25">
      <c r="A6145" s="5" t="str">
        <f t="shared" si="2573"/>
        <v>44174MSFT</v>
      </c>
      <c r="B6145" s="6" t="s">
        <v>27</v>
      </c>
      <c r="C6145" s="6">
        <v>212</v>
      </c>
      <c r="D6145" s="6">
        <v>218</v>
      </c>
      <c r="E6145" s="6">
        <v>216</v>
      </c>
      <c r="F6145" t="str">
        <f t="shared" si="2586"/>
        <v>WED</v>
      </c>
      <c r="G6145" s="1">
        <f t="shared" si="2587"/>
        <v>44174</v>
      </c>
      <c r="H6145" s="2">
        <f t="shared" ca="1" si="2588"/>
        <v>79</v>
      </c>
      <c r="I6145" t="str">
        <f t="shared" si="2589"/>
        <v>MSFT</v>
      </c>
      <c r="J6145">
        <f t="shared" si="2590"/>
        <v>212</v>
      </c>
      <c r="K6145">
        <f t="shared" si="2591"/>
        <v>218</v>
      </c>
      <c r="L6145">
        <f t="shared" si="2592"/>
        <v>215</v>
      </c>
      <c r="M6145">
        <f t="shared" si="2593"/>
        <v>3</v>
      </c>
      <c r="N6145">
        <f t="shared" si="2571"/>
        <v>6</v>
      </c>
      <c r="O6145">
        <f t="shared" si="2594"/>
        <v>216</v>
      </c>
      <c r="P6145">
        <f t="shared" si="2595"/>
        <v>0.33333333333333331</v>
      </c>
      <c r="Q6145" t="str">
        <f t="shared" si="2572"/>
        <v>1.85% | 0.93%</v>
      </c>
      <c r="R6145" t="str">
        <f t="shared" si="2596"/>
        <v>BULLISH</v>
      </c>
      <c r="S6145">
        <f t="shared" si="2597"/>
        <v>1</v>
      </c>
    </row>
    <row r="6146" spans="1:19" hidden="1" x14ac:dyDescent="0.25">
      <c r="A6146" s="5" t="str">
        <f t="shared" si="2573"/>
        <v>44174AAPL</v>
      </c>
      <c r="B6146" s="6" t="s">
        <v>28</v>
      </c>
      <c r="C6146" s="6">
        <v>119</v>
      </c>
      <c r="D6146" s="6">
        <v>128</v>
      </c>
      <c r="E6146" s="6">
        <v>124</v>
      </c>
      <c r="F6146" t="str">
        <f t="shared" si="2586"/>
        <v>WED</v>
      </c>
      <c r="G6146" s="1">
        <f t="shared" si="2587"/>
        <v>44174</v>
      </c>
      <c r="H6146" s="2">
        <f t="shared" ca="1" si="2588"/>
        <v>79</v>
      </c>
      <c r="I6146" t="str">
        <f t="shared" si="2589"/>
        <v>AAPL</v>
      </c>
      <c r="J6146">
        <f t="shared" si="2590"/>
        <v>119</v>
      </c>
      <c r="K6146">
        <f t="shared" si="2591"/>
        <v>128</v>
      </c>
      <c r="L6146">
        <f t="shared" si="2592"/>
        <v>123.5</v>
      </c>
      <c r="M6146">
        <f t="shared" si="2593"/>
        <v>4.5</v>
      </c>
      <c r="N6146">
        <f t="shared" si="2571"/>
        <v>9</v>
      </c>
      <c r="O6146">
        <f t="shared" si="2594"/>
        <v>124</v>
      </c>
      <c r="P6146">
        <f t="shared" si="2595"/>
        <v>0.1111111111111111</v>
      </c>
      <c r="Q6146" t="str">
        <f t="shared" si="2572"/>
        <v>4.03% | 3.23%</v>
      </c>
      <c r="R6146" t="str">
        <f t="shared" si="2596"/>
        <v>BULLISH</v>
      </c>
      <c r="S6146">
        <f t="shared" si="2597"/>
        <v>1</v>
      </c>
    </row>
    <row r="6147" spans="1:19" hidden="1" x14ac:dyDescent="0.25">
      <c r="A6147" s="5" t="str">
        <f t="shared" si="2573"/>
        <v>44174AMZN</v>
      </c>
      <c r="B6147" s="6" t="s">
        <v>29</v>
      </c>
      <c r="C6147" s="6">
        <v>3126</v>
      </c>
      <c r="D6147" s="6">
        <v>3242</v>
      </c>
      <c r="E6147" s="6">
        <v>3177</v>
      </c>
      <c r="F6147" t="str">
        <f t="shared" si="2586"/>
        <v>WED</v>
      </c>
      <c r="G6147" s="1">
        <f t="shared" si="2587"/>
        <v>44174</v>
      </c>
      <c r="H6147" s="2">
        <f t="shared" ca="1" si="2588"/>
        <v>79</v>
      </c>
      <c r="I6147" t="str">
        <f t="shared" si="2589"/>
        <v>AMZN</v>
      </c>
      <c r="J6147">
        <f t="shared" si="2590"/>
        <v>3126</v>
      </c>
      <c r="K6147">
        <f t="shared" si="2591"/>
        <v>3242</v>
      </c>
      <c r="L6147">
        <f t="shared" si="2592"/>
        <v>3184</v>
      </c>
      <c r="M6147">
        <f t="shared" si="2593"/>
        <v>58</v>
      </c>
      <c r="N6147">
        <f t="shared" ref="N6147:N6210" si="2598">ABS(K6147-J6147)</f>
        <v>116</v>
      </c>
      <c r="O6147">
        <f t="shared" si="2594"/>
        <v>3177</v>
      </c>
      <c r="P6147">
        <f t="shared" si="2595"/>
        <v>-0.1206896551724138</v>
      </c>
      <c r="Q6147" t="str">
        <f t="shared" ref="Q6147:Q6210" si="2599">ROUND(ABS(100*(O6147-J6147)/O6147),2)&amp;"% | "&amp;ROUND(ABS(100*(K6147-O6147)/O6147),2)&amp;"%"</f>
        <v>1.61% | 2.05%</v>
      </c>
      <c r="R6147" t="str">
        <f t="shared" si="2596"/>
        <v>BULLISH</v>
      </c>
      <c r="S6147">
        <f t="shared" si="2597"/>
        <v>1</v>
      </c>
    </row>
    <row r="6148" spans="1:19" hidden="1" x14ac:dyDescent="0.25">
      <c r="A6148" s="5" t="str">
        <f t="shared" si="2573"/>
        <v>44174FB</v>
      </c>
      <c r="B6148" s="6" t="s">
        <v>30</v>
      </c>
      <c r="C6148" s="6">
        <v>272</v>
      </c>
      <c r="D6148" s="6">
        <v>291</v>
      </c>
      <c r="E6148" s="6">
        <v>283</v>
      </c>
      <c r="F6148" t="str">
        <f t="shared" si="2586"/>
        <v>WED</v>
      </c>
      <c r="G6148" s="1">
        <f t="shared" si="2587"/>
        <v>44174</v>
      </c>
      <c r="H6148" s="2">
        <f t="shared" ca="1" si="2588"/>
        <v>79</v>
      </c>
      <c r="I6148" t="str">
        <f t="shared" si="2589"/>
        <v>FB</v>
      </c>
      <c r="J6148">
        <f t="shared" si="2590"/>
        <v>272</v>
      </c>
      <c r="K6148">
        <f t="shared" si="2591"/>
        <v>291</v>
      </c>
      <c r="L6148">
        <f t="shared" si="2592"/>
        <v>281.5</v>
      </c>
      <c r="M6148">
        <f t="shared" si="2593"/>
        <v>9.5</v>
      </c>
      <c r="N6148">
        <f t="shared" si="2598"/>
        <v>19</v>
      </c>
      <c r="O6148">
        <f t="shared" si="2594"/>
        <v>283</v>
      </c>
      <c r="P6148">
        <f t="shared" si="2595"/>
        <v>0.15789473684210525</v>
      </c>
      <c r="Q6148" t="str">
        <f t="shared" si="2599"/>
        <v>3.89% | 2.83%</v>
      </c>
      <c r="R6148" t="str">
        <f t="shared" si="2596"/>
        <v>BULLISH</v>
      </c>
      <c r="S6148">
        <f t="shared" si="2597"/>
        <v>1</v>
      </c>
    </row>
    <row r="6149" spans="1:19" hidden="1" x14ac:dyDescent="0.25">
      <c r="A6149" s="5" t="str">
        <f t="shared" si="2573"/>
        <v>44174GOOGL</v>
      </c>
      <c r="B6149" s="6" t="s">
        <v>31</v>
      </c>
      <c r="C6149" s="6">
        <v>1750</v>
      </c>
      <c r="D6149" s="6">
        <v>1853</v>
      </c>
      <c r="E6149" s="6">
        <v>1811</v>
      </c>
      <c r="F6149" t="str">
        <f t="shared" si="2586"/>
        <v>WED</v>
      </c>
      <c r="G6149" s="1">
        <f t="shared" si="2587"/>
        <v>44174</v>
      </c>
      <c r="H6149" s="2">
        <f t="shared" ca="1" si="2588"/>
        <v>79</v>
      </c>
      <c r="I6149" t="str">
        <f t="shared" si="2589"/>
        <v>GOOGL</v>
      </c>
      <c r="J6149">
        <f t="shared" si="2590"/>
        <v>1750</v>
      </c>
      <c r="K6149">
        <f t="shared" si="2591"/>
        <v>1853</v>
      </c>
      <c r="L6149">
        <f t="shared" si="2592"/>
        <v>1801.5</v>
      </c>
      <c r="M6149">
        <f t="shared" si="2593"/>
        <v>51.5</v>
      </c>
      <c r="N6149">
        <f t="shared" si="2598"/>
        <v>103</v>
      </c>
      <c r="O6149">
        <f t="shared" si="2594"/>
        <v>1811</v>
      </c>
      <c r="P6149">
        <f t="shared" si="2595"/>
        <v>0.18446601941747573</v>
      </c>
      <c r="Q6149" t="str">
        <f t="shared" si="2599"/>
        <v>3.37% | 2.32%</v>
      </c>
      <c r="R6149" t="str">
        <f t="shared" si="2596"/>
        <v>BULLISH</v>
      </c>
      <c r="S6149">
        <f t="shared" si="2597"/>
        <v>1</v>
      </c>
    </row>
    <row r="6150" spans="1:19" hidden="1" x14ac:dyDescent="0.25">
      <c r="A6150" s="5" t="str">
        <f t="shared" si="2573"/>
        <v>44174NFLX</v>
      </c>
      <c r="B6150" s="6" t="s">
        <v>70</v>
      </c>
      <c r="C6150" s="6">
        <v>479</v>
      </c>
      <c r="D6150" s="6">
        <v>522</v>
      </c>
      <c r="E6150" s="6">
        <v>512</v>
      </c>
      <c r="F6150" t="str">
        <f t="shared" si="2586"/>
        <v>WED</v>
      </c>
      <c r="G6150" s="1">
        <f t="shared" si="2587"/>
        <v>44174</v>
      </c>
      <c r="H6150" s="2">
        <f t="shared" ca="1" si="2588"/>
        <v>79</v>
      </c>
      <c r="I6150" t="str">
        <f t="shared" si="2589"/>
        <v>NFLX</v>
      </c>
      <c r="J6150">
        <f t="shared" si="2590"/>
        <v>479</v>
      </c>
      <c r="K6150">
        <f t="shared" si="2591"/>
        <v>522</v>
      </c>
      <c r="L6150">
        <f t="shared" si="2592"/>
        <v>500.5</v>
      </c>
      <c r="M6150">
        <f t="shared" si="2593"/>
        <v>21.5</v>
      </c>
      <c r="N6150">
        <f t="shared" si="2598"/>
        <v>43</v>
      </c>
      <c r="O6150">
        <f t="shared" si="2594"/>
        <v>512</v>
      </c>
      <c r="P6150">
        <f t="shared" si="2595"/>
        <v>0.53488372093023251</v>
      </c>
      <c r="Q6150" t="str">
        <f t="shared" si="2599"/>
        <v>6.45% | 1.95%</v>
      </c>
      <c r="R6150" t="str">
        <f t="shared" si="2596"/>
        <v>NEUTRAL</v>
      </c>
      <c r="S6150">
        <f t="shared" si="2597"/>
        <v>0</v>
      </c>
    </row>
    <row r="6151" spans="1:19" x14ac:dyDescent="0.25">
      <c r="A6151" s="5" t="str">
        <f t="shared" ref="A6151:A6215" si="2600">G6151&amp;I6151</f>
        <v>44174TSLA</v>
      </c>
      <c r="B6151" s="6" t="s">
        <v>33</v>
      </c>
      <c r="C6151" s="6">
        <v>551</v>
      </c>
      <c r="D6151" s="6">
        <v>656</v>
      </c>
      <c r="E6151" s="6">
        <v>649</v>
      </c>
      <c r="F6151" t="str">
        <f t="shared" si="2586"/>
        <v>WED</v>
      </c>
      <c r="G6151" s="1">
        <f t="shared" si="2587"/>
        <v>44174</v>
      </c>
      <c r="H6151" s="2">
        <f t="shared" ca="1" si="2588"/>
        <v>79</v>
      </c>
      <c r="I6151" t="str">
        <f t="shared" si="2589"/>
        <v>TSLA</v>
      </c>
      <c r="J6151">
        <f t="shared" si="2590"/>
        <v>551</v>
      </c>
      <c r="K6151">
        <f t="shared" si="2591"/>
        <v>656</v>
      </c>
      <c r="L6151">
        <f t="shared" si="2592"/>
        <v>603.5</v>
      </c>
      <c r="M6151">
        <f t="shared" si="2593"/>
        <v>52.5</v>
      </c>
      <c r="N6151">
        <f t="shared" si="2598"/>
        <v>105</v>
      </c>
      <c r="O6151">
        <f t="shared" si="2594"/>
        <v>649</v>
      </c>
      <c r="P6151">
        <f t="shared" si="2595"/>
        <v>0.8666666666666667</v>
      </c>
      <c r="Q6151" t="str">
        <f t="shared" si="2599"/>
        <v>15.1% | 1.08%</v>
      </c>
      <c r="R6151" t="str">
        <f t="shared" si="2596"/>
        <v>BULLISH</v>
      </c>
      <c r="S6151">
        <f t="shared" si="2597"/>
        <v>1</v>
      </c>
    </row>
    <row r="6152" spans="1:19" hidden="1" x14ac:dyDescent="0.25">
      <c r="A6152" s="5" t="str">
        <f t="shared" si="2600"/>
        <v>44174NYXBT</v>
      </c>
      <c r="B6152" s="6" t="s">
        <v>60</v>
      </c>
      <c r="C6152" s="6">
        <v>17158</v>
      </c>
      <c r="D6152" s="6">
        <v>20598</v>
      </c>
      <c r="E6152" s="6">
        <v>18818</v>
      </c>
      <c r="F6152" t="str">
        <f t="shared" si="2586"/>
        <v>WED</v>
      </c>
      <c r="G6152" s="1">
        <f t="shared" si="2587"/>
        <v>44174</v>
      </c>
      <c r="H6152" s="2">
        <f t="shared" ca="1" si="2588"/>
        <v>79</v>
      </c>
      <c r="I6152" t="str">
        <f t="shared" si="2589"/>
        <v>NYXBT</v>
      </c>
      <c r="J6152">
        <f t="shared" si="2590"/>
        <v>17158</v>
      </c>
      <c r="K6152">
        <f t="shared" si="2591"/>
        <v>20598</v>
      </c>
      <c r="L6152">
        <f t="shared" si="2592"/>
        <v>18878</v>
      </c>
      <c r="M6152">
        <f t="shared" si="2593"/>
        <v>1720</v>
      </c>
      <c r="N6152">
        <f t="shared" si="2598"/>
        <v>3440</v>
      </c>
      <c r="O6152">
        <f t="shared" si="2594"/>
        <v>18818</v>
      </c>
      <c r="P6152">
        <f t="shared" si="2595"/>
        <v>-3.4883720930232558E-2</v>
      </c>
      <c r="Q6152" t="str">
        <f t="shared" si="2599"/>
        <v>8.82% | 9.46%</v>
      </c>
      <c r="R6152" t="str">
        <f t="shared" si="2596"/>
        <v>BULLISH</v>
      </c>
      <c r="S6152">
        <f t="shared" si="2597"/>
        <v>1</v>
      </c>
    </row>
    <row r="6153" spans="1:19" hidden="1" x14ac:dyDescent="0.25">
      <c r="A6153" s="5" t="str">
        <f t="shared" si="2600"/>
        <v>44175UST10Y</v>
      </c>
      <c r="B6153" s="6" t="s">
        <v>257</v>
      </c>
      <c r="C6153" s="6">
        <v>1.01</v>
      </c>
      <c r="D6153" s="6">
        <v>0.84</v>
      </c>
      <c r="E6153" s="6">
        <v>0.95</v>
      </c>
      <c r="F6153" t="str">
        <f t="shared" si="2586"/>
        <v>THU</v>
      </c>
      <c r="G6153" s="3">
        <f>DATE(2020,12,10)</f>
        <v>44175</v>
      </c>
      <c r="H6153" s="2">
        <f t="shared" ca="1" si="2588"/>
        <v>78</v>
      </c>
      <c r="I6153" t="str">
        <f t="shared" si="2589"/>
        <v>UST10Y</v>
      </c>
      <c r="J6153">
        <f t="shared" si="2590"/>
        <v>1.01</v>
      </c>
      <c r="K6153">
        <f t="shared" si="2591"/>
        <v>0.84</v>
      </c>
      <c r="L6153">
        <f t="shared" si="2592"/>
        <v>0.92500000000000004</v>
      </c>
      <c r="M6153">
        <f t="shared" si="2593"/>
        <v>8.500000000000002E-2</v>
      </c>
      <c r="N6153">
        <f t="shared" si="2598"/>
        <v>0.17000000000000004</v>
      </c>
      <c r="O6153">
        <f t="shared" si="2594"/>
        <v>0.95</v>
      </c>
      <c r="P6153">
        <f t="shared" si="2595"/>
        <v>0.29411764705882243</v>
      </c>
      <c r="Q6153" t="str">
        <f t="shared" si="2599"/>
        <v>6.32% | 11.58%</v>
      </c>
      <c r="R6153" t="str">
        <f t="shared" si="2596"/>
        <v>BULLISH</v>
      </c>
      <c r="S6153">
        <f t="shared" si="2597"/>
        <v>1</v>
      </c>
    </row>
    <row r="6154" spans="1:19" hidden="1" x14ac:dyDescent="0.25">
      <c r="A6154" s="5" t="str">
        <f t="shared" si="2600"/>
        <v>44175UST2Y</v>
      </c>
      <c r="B6154" s="6" t="s">
        <v>253</v>
      </c>
      <c r="C6154" s="6">
        <v>0.18</v>
      </c>
      <c r="D6154" s="6">
        <v>0.13</v>
      </c>
      <c r="E6154" s="6">
        <v>0.16</v>
      </c>
      <c r="F6154" t="str">
        <f t="shared" ref="F6154:F6184" si="2601">UPPER(TEXT(G6154,"ddd"))</f>
        <v>THU</v>
      </c>
      <c r="G6154" s="3">
        <f t="shared" ref="G6154:G6183" si="2602">DATE(2020,12,10)</f>
        <v>44175</v>
      </c>
      <c r="H6154" s="2">
        <f t="shared" ref="H6154:H6184" ca="1" si="2603">TODAY()-G6154</f>
        <v>78</v>
      </c>
      <c r="I6154" t="str">
        <f t="shared" ref="I6154:I6184" si="2604">TRIM(LEFT(B6154,FIND(" ",B6154,1)))</f>
        <v>UST2Y</v>
      </c>
      <c r="J6154">
        <f t="shared" ref="J6154:J6184" si="2605">C6154</f>
        <v>0.18</v>
      </c>
      <c r="K6154">
        <f t="shared" ref="K6154:K6184" si="2606">D6154</f>
        <v>0.13</v>
      </c>
      <c r="L6154">
        <f t="shared" ref="L6154:L6184" si="2607">AVERAGE(J6154:K6154)</f>
        <v>0.155</v>
      </c>
      <c r="M6154">
        <f t="shared" ref="M6154:M6184" si="2608">_xlfn.STDEV.P(J6154:K6154)</f>
        <v>2.4999999999999942E-2</v>
      </c>
      <c r="N6154">
        <f t="shared" si="2598"/>
        <v>4.9999999999999989E-2</v>
      </c>
      <c r="O6154">
        <f t="shared" ref="O6154:O6184" si="2609">E6154</f>
        <v>0.16</v>
      </c>
      <c r="P6154">
        <f t="shared" ref="P6154:P6184" si="2610">(O6154-L6154)/M6154</f>
        <v>0.20000000000000065</v>
      </c>
      <c r="Q6154" t="str">
        <f t="shared" si="2599"/>
        <v>12.5% | 18.75%</v>
      </c>
      <c r="R6154" t="str">
        <f t="shared" ref="R6154:R6184" si="2611">MID(B6154,FIND("(",B6154,1)+1,FIND(")",B6154,1)-FIND("(",B6154,1)-1)</f>
        <v>NEUTRAL</v>
      </c>
      <c r="S6154">
        <f t="shared" ref="S6154:S6184" si="2612">IF(R6154="BEARISH",-1,IF(R6154="NEUTRAL",0,IF(R6154="BULLISH",1,99)))</f>
        <v>0</v>
      </c>
    </row>
    <row r="6155" spans="1:19" hidden="1" x14ac:dyDescent="0.25">
      <c r="A6155" s="5" t="str">
        <f t="shared" si="2600"/>
        <v>44175SPX</v>
      </c>
      <c r="B6155" s="6" t="s">
        <v>93</v>
      </c>
      <c r="C6155" s="6">
        <v>3617</v>
      </c>
      <c r="D6155" s="6">
        <v>3722</v>
      </c>
      <c r="E6155" s="6">
        <v>3672</v>
      </c>
      <c r="F6155" t="str">
        <f t="shared" si="2601"/>
        <v>THU</v>
      </c>
      <c r="G6155" s="3">
        <f t="shared" si="2602"/>
        <v>44175</v>
      </c>
      <c r="H6155" s="2">
        <f t="shared" ca="1" si="2603"/>
        <v>78</v>
      </c>
      <c r="I6155" t="str">
        <f t="shared" si="2604"/>
        <v>SPX</v>
      </c>
      <c r="J6155">
        <f t="shared" si="2605"/>
        <v>3617</v>
      </c>
      <c r="K6155">
        <f t="shared" si="2606"/>
        <v>3722</v>
      </c>
      <c r="L6155">
        <f t="shared" si="2607"/>
        <v>3669.5</v>
      </c>
      <c r="M6155">
        <f t="shared" si="2608"/>
        <v>52.5</v>
      </c>
      <c r="N6155">
        <f t="shared" si="2598"/>
        <v>105</v>
      </c>
      <c r="O6155">
        <f t="shared" si="2609"/>
        <v>3672</v>
      </c>
      <c r="P6155">
        <f t="shared" si="2610"/>
        <v>4.7619047619047616E-2</v>
      </c>
      <c r="Q6155" t="str">
        <f t="shared" si="2599"/>
        <v>1.5% | 1.36%</v>
      </c>
      <c r="R6155" t="str">
        <f t="shared" si="2611"/>
        <v>BULLISH</v>
      </c>
      <c r="S6155">
        <f t="shared" si="2612"/>
        <v>1</v>
      </c>
    </row>
    <row r="6156" spans="1:19" hidden="1" x14ac:dyDescent="0.25">
      <c r="A6156" s="5" t="str">
        <f t="shared" si="2600"/>
        <v>44175RUT</v>
      </c>
      <c r="B6156" s="6" t="s">
        <v>247</v>
      </c>
      <c r="C6156" s="6">
        <v>1803</v>
      </c>
      <c r="D6156" s="6">
        <v>1931</v>
      </c>
      <c r="E6156" s="6">
        <v>1902</v>
      </c>
      <c r="F6156" t="str">
        <f t="shared" si="2601"/>
        <v>THU</v>
      </c>
      <c r="G6156" s="3">
        <f t="shared" si="2602"/>
        <v>44175</v>
      </c>
      <c r="H6156" s="2">
        <f t="shared" ca="1" si="2603"/>
        <v>78</v>
      </c>
      <c r="I6156" t="str">
        <f t="shared" si="2604"/>
        <v>RUT</v>
      </c>
      <c r="J6156">
        <f t="shared" si="2605"/>
        <v>1803</v>
      </c>
      <c r="K6156">
        <f t="shared" si="2606"/>
        <v>1931</v>
      </c>
      <c r="L6156">
        <f t="shared" si="2607"/>
        <v>1867</v>
      </c>
      <c r="M6156">
        <f t="shared" si="2608"/>
        <v>64</v>
      </c>
      <c r="N6156">
        <f t="shared" si="2598"/>
        <v>128</v>
      </c>
      <c r="O6156">
        <f t="shared" si="2609"/>
        <v>1902</v>
      </c>
      <c r="P6156">
        <f t="shared" si="2610"/>
        <v>0.546875</v>
      </c>
      <c r="Q6156" t="str">
        <f t="shared" si="2599"/>
        <v>5.21% | 1.52%</v>
      </c>
      <c r="R6156" t="str">
        <f t="shared" si="2611"/>
        <v>BULLISH</v>
      </c>
      <c r="S6156">
        <f t="shared" si="2612"/>
        <v>1</v>
      </c>
    </row>
    <row r="6157" spans="1:19" hidden="1" x14ac:dyDescent="0.25">
      <c r="A6157" s="5" t="str">
        <f t="shared" si="2600"/>
        <v>44175COMPQ</v>
      </c>
      <c r="B6157" s="6" t="s">
        <v>8</v>
      </c>
      <c r="C6157" s="6">
        <v>12122</v>
      </c>
      <c r="D6157" s="6">
        <v>12631</v>
      </c>
      <c r="E6157" s="6">
        <v>12338</v>
      </c>
      <c r="F6157" t="str">
        <f t="shared" si="2601"/>
        <v>THU</v>
      </c>
      <c r="G6157" s="3">
        <f t="shared" si="2602"/>
        <v>44175</v>
      </c>
      <c r="H6157" s="2">
        <f t="shared" ca="1" si="2603"/>
        <v>78</v>
      </c>
      <c r="I6157" t="str">
        <f t="shared" si="2604"/>
        <v>COMPQ</v>
      </c>
      <c r="J6157">
        <f t="shared" si="2605"/>
        <v>12122</v>
      </c>
      <c r="K6157">
        <f t="shared" si="2606"/>
        <v>12631</v>
      </c>
      <c r="L6157">
        <f t="shared" si="2607"/>
        <v>12376.5</v>
      </c>
      <c r="M6157">
        <f t="shared" si="2608"/>
        <v>254.5</v>
      </c>
      <c r="N6157">
        <f t="shared" si="2598"/>
        <v>509</v>
      </c>
      <c r="O6157">
        <f t="shared" si="2609"/>
        <v>12338</v>
      </c>
      <c r="P6157">
        <f t="shared" si="2610"/>
        <v>-0.15127701375245581</v>
      </c>
      <c r="Q6157" t="str">
        <f t="shared" si="2599"/>
        <v>1.75% | 2.37%</v>
      </c>
      <c r="R6157" t="str">
        <f t="shared" si="2611"/>
        <v>BULLISH</v>
      </c>
      <c r="S6157">
        <f t="shared" si="2612"/>
        <v>1</v>
      </c>
    </row>
    <row r="6158" spans="1:19" hidden="1" x14ac:dyDescent="0.25">
      <c r="A6158" s="5" t="str">
        <f t="shared" si="2600"/>
        <v>44175XLK</v>
      </c>
      <c r="B6158" s="6" t="s">
        <v>10</v>
      </c>
      <c r="C6158" s="6">
        <v>122.2</v>
      </c>
      <c r="D6158" s="6">
        <v>127.78</v>
      </c>
      <c r="E6158" s="6">
        <v>124.38</v>
      </c>
      <c r="F6158" t="str">
        <f t="shared" si="2601"/>
        <v>THU</v>
      </c>
      <c r="G6158" s="3">
        <f t="shared" si="2602"/>
        <v>44175</v>
      </c>
      <c r="H6158" s="2">
        <f t="shared" ca="1" si="2603"/>
        <v>78</v>
      </c>
      <c r="I6158" t="str">
        <f t="shared" si="2604"/>
        <v>XLK</v>
      </c>
      <c r="J6158">
        <f t="shared" si="2605"/>
        <v>122.2</v>
      </c>
      <c r="K6158">
        <f t="shared" si="2606"/>
        <v>127.78</v>
      </c>
      <c r="L6158">
        <f t="shared" si="2607"/>
        <v>124.99000000000001</v>
      </c>
      <c r="M6158">
        <f t="shared" si="2608"/>
        <v>2.7899999999999991</v>
      </c>
      <c r="N6158">
        <f t="shared" si="2598"/>
        <v>5.5799999999999983</v>
      </c>
      <c r="O6158">
        <f t="shared" si="2609"/>
        <v>124.38</v>
      </c>
      <c r="P6158">
        <f t="shared" si="2610"/>
        <v>-0.21863799283154617</v>
      </c>
      <c r="Q6158" t="str">
        <f t="shared" si="2599"/>
        <v>1.75% | 2.73%</v>
      </c>
      <c r="R6158" t="str">
        <f t="shared" si="2611"/>
        <v>BULLISH</v>
      </c>
      <c r="S6158">
        <f t="shared" si="2612"/>
        <v>1</v>
      </c>
    </row>
    <row r="6159" spans="1:19" hidden="1" x14ac:dyDescent="0.25">
      <c r="A6159" s="5" t="str">
        <f t="shared" si="2600"/>
        <v>44175XLE</v>
      </c>
      <c r="B6159" s="6" t="s">
        <v>250</v>
      </c>
      <c r="C6159" s="6">
        <v>36.35</v>
      </c>
      <c r="D6159" s="6">
        <v>41.74</v>
      </c>
      <c r="E6159" s="6">
        <v>40.36</v>
      </c>
      <c r="F6159" t="str">
        <f t="shared" si="2601"/>
        <v>THU</v>
      </c>
      <c r="G6159" s="3">
        <f t="shared" si="2602"/>
        <v>44175</v>
      </c>
      <c r="H6159" s="2">
        <f t="shared" ca="1" si="2603"/>
        <v>78</v>
      </c>
      <c r="I6159" t="str">
        <f t="shared" si="2604"/>
        <v>XLE</v>
      </c>
      <c r="J6159">
        <f t="shared" si="2605"/>
        <v>36.35</v>
      </c>
      <c r="K6159">
        <f t="shared" si="2606"/>
        <v>41.74</v>
      </c>
      <c r="L6159">
        <f t="shared" si="2607"/>
        <v>39.045000000000002</v>
      </c>
      <c r="M6159">
        <f t="shared" si="2608"/>
        <v>2.6950000000000003</v>
      </c>
      <c r="N6159">
        <f t="shared" si="2598"/>
        <v>5.3900000000000006</v>
      </c>
      <c r="O6159">
        <f t="shared" si="2609"/>
        <v>40.36</v>
      </c>
      <c r="P6159">
        <f t="shared" si="2610"/>
        <v>0.48794063079777278</v>
      </c>
      <c r="Q6159" t="str">
        <f t="shared" si="2599"/>
        <v>9.94% | 3.42%</v>
      </c>
      <c r="R6159" t="str">
        <f t="shared" si="2611"/>
        <v>BULLISH</v>
      </c>
      <c r="S6159">
        <f t="shared" si="2612"/>
        <v>1</v>
      </c>
    </row>
    <row r="6160" spans="1:19" hidden="1" x14ac:dyDescent="0.25">
      <c r="A6160" s="5" t="str">
        <f t="shared" si="2600"/>
        <v>44175XLU</v>
      </c>
      <c r="B6160" s="6" t="s">
        <v>82</v>
      </c>
      <c r="C6160" s="6">
        <v>61.75</v>
      </c>
      <c r="D6160" s="6">
        <v>63.99</v>
      </c>
      <c r="E6160" s="6">
        <v>62.46</v>
      </c>
      <c r="F6160" t="str">
        <f t="shared" si="2601"/>
        <v>THU</v>
      </c>
      <c r="G6160" s="3">
        <f t="shared" si="2602"/>
        <v>44175</v>
      </c>
      <c r="H6160" s="2">
        <f t="shared" ca="1" si="2603"/>
        <v>78</v>
      </c>
      <c r="I6160" t="str">
        <f t="shared" si="2604"/>
        <v>XLU</v>
      </c>
      <c r="J6160">
        <f t="shared" si="2605"/>
        <v>61.75</v>
      </c>
      <c r="K6160">
        <f t="shared" si="2606"/>
        <v>63.99</v>
      </c>
      <c r="L6160">
        <f t="shared" si="2607"/>
        <v>62.870000000000005</v>
      </c>
      <c r="M6160">
        <f t="shared" si="2608"/>
        <v>1.120000000000001</v>
      </c>
      <c r="N6160">
        <f t="shared" si="2598"/>
        <v>2.240000000000002</v>
      </c>
      <c r="O6160">
        <f t="shared" si="2609"/>
        <v>62.46</v>
      </c>
      <c r="P6160">
        <f t="shared" si="2610"/>
        <v>-0.36607142857143155</v>
      </c>
      <c r="Q6160" t="str">
        <f t="shared" si="2599"/>
        <v>1.14% | 2.45%</v>
      </c>
      <c r="R6160" t="str">
        <f t="shared" si="2611"/>
        <v>BEARISH</v>
      </c>
      <c r="S6160">
        <f t="shared" si="2612"/>
        <v>-1</v>
      </c>
    </row>
    <row r="6161" spans="1:19" hidden="1" x14ac:dyDescent="0.25">
      <c r="A6161" s="5" t="str">
        <f t="shared" si="2600"/>
        <v>44175GDX</v>
      </c>
      <c r="B6161" s="6" t="s">
        <v>254</v>
      </c>
      <c r="C6161" s="6">
        <v>33.14</v>
      </c>
      <c r="D6161" s="6">
        <v>37.01</v>
      </c>
      <c r="E6161" s="6">
        <v>35.4</v>
      </c>
      <c r="F6161" t="str">
        <f t="shared" si="2601"/>
        <v>THU</v>
      </c>
      <c r="G6161" s="3">
        <f t="shared" si="2602"/>
        <v>44175</v>
      </c>
      <c r="H6161" s="2">
        <f t="shared" ca="1" si="2603"/>
        <v>78</v>
      </c>
      <c r="I6161" t="str">
        <f t="shared" si="2604"/>
        <v>GDX</v>
      </c>
      <c r="J6161">
        <f t="shared" si="2605"/>
        <v>33.14</v>
      </c>
      <c r="K6161">
        <f t="shared" si="2606"/>
        <v>37.01</v>
      </c>
      <c r="L6161">
        <f t="shared" si="2607"/>
        <v>35.075000000000003</v>
      </c>
      <c r="M6161">
        <f t="shared" si="2608"/>
        <v>1.9349999999999987</v>
      </c>
      <c r="N6161">
        <f t="shared" si="2598"/>
        <v>3.8699999999999974</v>
      </c>
      <c r="O6161">
        <f t="shared" si="2609"/>
        <v>35.4</v>
      </c>
      <c r="P6161">
        <f t="shared" si="2610"/>
        <v>0.16795865633074727</v>
      </c>
      <c r="Q6161" t="str">
        <f t="shared" si="2599"/>
        <v>6.38% | 4.55%</v>
      </c>
      <c r="R6161" t="str">
        <f t="shared" si="2611"/>
        <v>BEARISH</v>
      </c>
      <c r="S6161">
        <f t="shared" si="2612"/>
        <v>-1</v>
      </c>
    </row>
    <row r="6162" spans="1:19" hidden="1" x14ac:dyDescent="0.25">
      <c r="A6162" s="5" t="str">
        <f t="shared" si="2600"/>
        <v>44175SSEC</v>
      </c>
      <c r="B6162" s="6" t="s">
        <v>104</v>
      </c>
      <c r="C6162" s="6">
        <v>3357</v>
      </c>
      <c r="D6162" s="6">
        <v>3475</v>
      </c>
      <c r="E6162" s="6">
        <v>3373</v>
      </c>
      <c r="F6162" t="str">
        <f t="shared" si="2601"/>
        <v>THU</v>
      </c>
      <c r="G6162" s="3">
        <f t="shared" si="2602"/>
        <v>44175</v>
      </c>
      <c r="H6162" s="2">
        <f t="shared" ca="1" si="2603"/>
        <v>78</v>
      </c>
      <c r="I6162" t="str">
        <f t="shared" si="2604"/>
        <v>SSEC</v>
      </c>
      <c r="J6162">
        <f t="shared" si="2605"/>
        <v>3357</v>
      </c>
      <c r="K6162">
        <f t="shared" si="2606"/>
        <v>3475</v>
      </c>
      <c r="L6162">
        <f t="shared" si="2607"/>
        <v>3416</v>
      </c>
      <c r="M6162">
        <f t="shared" si="2608"/>
        <v>59</v>
      </c>
      <c r="N6162">
        <f t="shared" si="2598"/>
        <v>118</v>
      </c>
      <c r="O6162">
        <f t="shared" si="2609"/>
        <v>3373</v>
      </c>
      <c r="P6162">
        <f t="shared" si="2610"/>
        <v>-0.72881355932203384</v>
      </c>
      <c r="Q6162" t="str">
        <f t="shared" si="2599"/>
        <v>0.47% | 3.02%</v>
      </c>
      <c r="R6162" t="str">
        <f t="shared" si="2611"/>
        <v>BULLISH</v>
      </c>
      <c r="S6162">
        <f t="shared" si="2612"/>
        <v>1</v>
      </c>
    </row>
    <row r="6163" spans="1:19" hidden="1" x14ac:dyDescent="0.25">
      <c r="A6163" s="5" t="str">
        <f t="shared" si="2600"/>
        <v>44175NIKK</v>
      </c>
      <c r="B6163" s="6" t="s">
        <v>91</v>
      </c>
      <c r="C6163" s="6">
        <v>26361</v>
      </c>
      <c r="D6163" s="6">
        <v>26998</v>
      </c>
      <c r="E6163" s="6">
        <v>26756</v>
      </c>
      <c r="F6163" t="str">
        <f t="shared" si="2601"/>
        <v>THU</v>
      </c>
      <c r="G6163" s="3">
        <f t="shared" si="2602"/>
        <v>44175</v>
      </c>
      <c r="H6163" s="2">
        <f t="shared" ca="1" si="2603"/>
        <v>78</v>
      </c>
      <c r="I6163" t="str">
        <f t="shared" si="2604"/>
        <v>NIKK</v>
      </c>
      <c r="J6163">
        <f t="shared" si="2605"/>
        <v>26361</v>
      </c>
      <c r="K6163">
        <f t="shared" si="2606"/>
        <v>26998</v>
      </c>
      <c r="L6163">
        <f t="shared" si="2607"/>
        <v>26679.5</v>
      </c>
      <c r="M6163">
        <f t="shared" si="2608"/>
        <v>318.5</v>
      </c>
      <c r="N6163">
        <f t="shared" si="2598"/>
        <v>637</v>
      </c>
      <c r="O6163">
        <f t="shared" si="2609"/>
        <v>26756</v>
      </c>
      <c r="P6163">
        <f t="shared" si="2610"/>
        <v>0.24018838304552589</v>
      </c>
      <c r="Q6163" t="str">
        <f t="shared" si="2599"/>
        <v>1.48% | 0.9%</v>
      </c>
      <c r="R6163" t="str">
        <f t="shared" si="2611"/>
        <v>BULLISH</v>
      </c>
      <c r="S6163">
        <f t="shared" si="2612"/>
        <v>1</v>
      </c>
    </row>
    <row r="6164" spans="1:19" hidden="1" x14ac:dyDescent="0.25">
      <c r="A6164" s="5" t="str">
        <f t="shared" si="2600"/>
        <v>44175DAX</v>
      </c>
      <c r="B6164" s="6" t="s">
        <v>98</v>
      </c>
      <c r="C6164" s="6">
        <v>13201</v>
      </c>
      <c r="D6164" s="6">
        <v>13453</v>
      </c>
      <c r="E6164" s="6">
        <v>13340</v>
      </c>
      <c r="F6164" t="str">
        <f t="shared" si="2601"/>
        <v>THU</v>
      </c>
      <c r="G6164" s="3">
        <f t="shared" si="2602"/>
        <v>44175</v>
      </c>
      <c r="H6164" s="2">
        <f t="shared" ca="1" si="2603"/>
        <v>78</v>
      </c>
      <c r="I6164" t="str">
        <f t="shared" si="2604"/>
        <v>DAX</v>
      </c>
      <c r="J6164">
        <f t="shared" si="2605"/>
        <v>13201</v>
      </c>
      <c r="K6164">
        <f t="shared" si="2606"/>
        <v>13453</v>
      </c>
      <c r="L6164">
        <f t="shared" si="2607"/>
        <v>13327</v>
      </c>
      <c r="M6164">
        <f t="shared" si="2608"/>
        <v>126</v>
      </c>
      <c r="N6164">
        <f t="shared" si="2598"/>
        <v>252</v>
      </c>
      <c r="O6164">
        <f t="shared" si="2609"/>
        <v>13340</v>
      </c>
      <c r="P6164">
        <f t="shared" si="2610"/>
        <v>0.10317460317460317</v>
      </c>
      <c r="Q6164" t="str">
        <f t="shared" si="2599"/>
        <v>1.04% | 0.85%</v>
      </c>
      <c r="R6164" t="str">
        <f t="shared" si="2611"/>
        <v>BULLISH</v>
      </c>
      <c r="S6164">
        <f t="shared" si="2612"/>
        <v>1</v>
      </c>
    </row>
    <row r="6165" spans="1:19" hidden="1" x14ac:dyDescent="0.25">
      <c r="A6165" s="5" t="str">
        <f t="shared" si="2600"/>
        <v>44175VIX</v>
      </c>
      <c r="B6165" s="6" t="s">
        <v>96</v>
      </c>
      <c r="C6165" s="6">
        <v>19.89</v>
      </c>
      <c r="D6165" s="6">
        <v>23.06</v>
      </c>
      <c r="E6165" s="6">
        <v>22.27</v>
      </c>
      <c r="F6165" t="str">
        <f t="shared" si="2601"/>
        <v>THU</v>
      </c>
      <c r="G6165" s="3">
        <f t="shared" si="2602"/>
        <v>44175</v>
      </c>
      <c r="H6165" s="2">
        <f t="shared" ca="1" si="2603"/>
        <v>78</v>
      </c>
      <c r="I6165" t="str">
        <f t="shared" si="2604"/>
        <v>VIX</v>
      </c>
      <c r="J6165">
        <f t="shared" si="2605"/>
        <v>19.89</v>
      </c>
      <c r="K6165">
        <f t="shared" si="2606"/>
        <v>23.06</v>
      </c>
      <c r="L6165">
        <f t="shared" si="2607"/>
        <v>21.475000000000001</v>
      </c>
      <c r="M6165">
        <f t="shared" si="2608"/>
        <v>1.5849999999999991</v>
      </c>
      <c r="N6165">
        <f t="shared" si="2598"/>
        <v>3.1699999999999982</v>
      </c>
      <c r="O6165">
        <f t="shared" si="2609"/>
        <v>22.27</v>
      </c>
      <c r="P6165">
        <f t="shared" si="2610"/>
        <v>0.50157728706624516</v>
      </c>
      <c r="Q6165" t="str">
        <f t="shared" si="2599"/>
        <v>10.69% | 3.55%</v>
      </c>
      <c r="R6165" t="str">
        <f t="shared" si="2611"/>
        <v>BEARISH</v>
      </c>
      <c r="S6165">
        <f t="shared" si="2612"/>
        <v>-1</v>
      </c>
    </row>
    <row r="6166" spans="1:19" hidden="1" x14ac:dyDescent="0.25">
      <c r="A6166" s="5" t="str">
        <f t="shared" si="2600"/>
        <v>44175USD</v>
      </c>
      <c r="B6166" s="6" t="s">
        <v>94</v>
      </c>
      <c r="C6166" s="6">
        <v>90.13</v>
      </c>
      <c r="D6166" s="6">
        <v>91.98</v>
      </c>
      <c r="E6166" s="6">
        <v>91.08</v>
      </c>
      <c r="F6166" t="str">
        <f t="shared" si="2601"/>
        <v>THU</v>
      </c>
      <c r="G6166" s="3">
        <f t="shared" si="2602"/>
        <v>44175</v>
      </c>
      <c r="H6166" s="2">
        <f t="shared" ca="1" si="2603"/>
        <v>78</v>
      </c>
      <c r="I6166" t="str">
        <f t="shared" si="2604"/>
        <v>USD</v>
      </c>
      <c r="J6166">
        <f t="shared" si="2605"/>
        <v>90.13</v>
      </c>
      <c r="K6166">
        <f t="shared" si="2606"/>
        <v>91.98</v>
      </c>
      <c r="L6166">
        <f t="shared" si="2607"/>
        <v>91.055000000000007</v>
      </c>
      <c r="M6166">
        <f t="shared" si="2608"/>
        <v>0.92500000000000426</v>
      </c>
      <c r="N6166">
        <f t="shared" si="2598"/>
        <v>1.8500000000000085</v>
      </c>
      <c r="O6166">
        <f t="shared" si="2609"/>
        <v>91.08</v>
      </c>
      <c r="P6166">
        <f t="shared" si="2610"/>
        <v>2.7027027027017685E-2</v>
      </c>
      <c r="Q6166" t="str">
        <f t="shared" si="2599"/>
        <v>1.04% | 0.99%</v>
      </c>
      <c r="R6166" t="str">
        <f t="shared" si="2611"/>
        <v>BEARISH</v>
      </c>
      <c r="S6166">
        <f t="shared" si="2612"/>
        <v>-1</v>
      </c>
    </row>
    <row r="6167" spans="1:19" hidden="1" x14ac:dyDescent="0.25">
      <c r="A6167" s="5" t="str">
        <f t="shared" si="2600"/>
        <v>44175EUR/USD</v>
      </c>
      <c r="B6167" s="6" t="s">
        <v>99</v>
      </c>
      <c r="C6167" s="6">
        <v>1.194</v>
      </c>
      <c r="D6167" s="6">
        <v>1.222</v>
      </c>
      <c r="E6167" s="6">
        <v>1.208</v>
      </c>
      <c r="F6167" t="str">
        <f t="shared" si="2601"/>
        <v>THU</v>
      </c>
      <c r="G6167" s="3">
        <f t="shared" si="2602"/>
        <v>44175</v>
      </c>
      <c r="H6167" s="2">
        <f t="shared" ca="1" si="2603"/>
        <v>78</v>
      </c>
      <c r="I6167" t="str">
        <f t="shared" si="2604"/>
        <v>EUR/USD</v>
      </c>
      <c r="J6167">
        <f t="shared" si="2605"/>
        <v>1.194</v>
      </c>
      <c r="K6167">
        <f t="shared" si="2606"/>
        <v>1.222</v>
      </c>
      <c r="L6167">
        <f t="shared" si="2607"/>
        <v>1.208</v>
      </c>
      <c r="M6167">
        <f t="shared" si="2608"/>
        <v>1.4000000000000012E-2</v>
      </c>
      <c r="N6167">
        <f t="shared" si="2598"/>
        <v>2.8000000000000025E-2</v>
      </c>
      <c r="O6167">
        <f t="shared" si="2609"/>
        <v>1.208</v>
      </c>
      <c r="P6167">
        <f t="shared" si="2610"/>
        <v>0</v>
      </c>
      <c r="Q6167" t="str">
        <f t="shared" si="2599"/>
        <v>1.16% | 1.16%</v>
      </c>
      <c r="R6167" t="str">
        <f t="shared" si="2611"/>
        <v>BULLISH</v>
      </c>
      <c r="S6167">
        <f t="shared" si="2612"/>
        <v>1</v>
      </c>
    </row>
    <row r="6168" spans="1:19" hidden="1" x14ac:dyDescent="0.25">
      <c r="A6168" s="5" t="str">
        <f t="shared" si="2600"/>
        <v>44175USD/JPY</v>
      </c>
      <c r="B6168" s="6" t="s">
        <v>20</v>
      </c>
      <c r="C6168" s="6">
        <v>103.45</v>
      </c>
      <c r="D6168" s="6">
        <v>104.72</v>
      </c>
      <c r="E6168" s="6">
        <v>104.21</v>
      </c>
      <c r="F6168" t="str">
        <f t="shared" si="2601"/>
        <v>THU</v>
      </c>
      <c r="G6168" s="3">
        <f t="shared" si="2602"/>
        <v>44175</v>
      </c>
      <c r="H6168" s="2">
        <f t="shared" ca="1" si="2603"/>
        <v>78</v>
      </c>
      <c r="I6168" t="str">
        <f t="shared" si="2604"/>
        <v>USD/JPY</v>
      </c>
      <c r="J6168">
        <f t="shared" si="2605"/>
        <v>103.45</v>
      </c>
      <c r="K6168">
        <f t="shared" si="2606"/>
        <v>104.72</v>
      </c>
      <c r="L6168">
        <f t="shared" si="2607"/>
        <v>104.08500000000001</v>
      </c>
      <c r="M6168">
        <f t="shared" si="2608"/>
        <v>0.63499999999999801</v>
      </c>
      <c r="N6168">
        <f t="shared" si="2598"/>
        <v>1.269999999999996</v>
      </c>
      <c r="O6168">
        <f t="shared" si="2609"/>
        <v>104.21</v>
      </c>
      <c r="P6168">
        <f t="shared" si="2610"/>
        <v>0.19685039370076565</v>
      </c>
      <c r="Q6168" t="str">
        <f t="shared" si="2599"/>
        <v>0.73% | 0.49%</v>
      </c>
      <c r="R6168" t="str">
        <f t="shared" si="2611"/>
        <v>BEARISH</v>
      </c>
      <c r="S6168">
        <f t="shared" si="2612"/>
        <v>-1</v>
      </c>
    </row>
    <row r="6169" spans="1:19" hidden="1" x14ac:dyDescent="0.25">
      <c r="A6169" s="5" t="str">
        <f t="shared" si="2600"/>
        <v>44175GBP/USD</v>
      </c>
      <c r="B6169" s="6" t="s">
        <v>102</v>
      </c>
      <c r="C6169" s="6">
        <v>1.327</v>
      </c>
      <c r="D6169" s="6">
        <v>1.349</v>
      </c>
      <c r="E6169" s="6">
        <v>1.34</v>
      </c>
      <c r="F6169" t="str">
        <f t="shared" si="2601"/>
        <v>THU</v>
      </c>
      <c r="G6169" s="3">
        <f t="shared" si="2602"/>
        <v>44175</v>
      </c>
      <c r="H6169" s="2">
        <f t="shared" ca="1" si="2603"/>
        <v>78</v>
      </c>
      <c r="I6169" t="str">
        <f t="shared" si="2604"/>
        <v>GBP/USD</v>
      </c>
      <c r="J6169">
        <f t="shared" si="2605"/>
        <v>1.327</v>
      </c>
      <c r="K6169">
        <f t="shared" si="2606"/>
        <v>1.349</v>
      </c>
      <c r="L6169">
        <f t="shared" si="2607"/>
        <v>1.3380000000000001</v>
      </c>
      <c r="M6169">
        <f t="shared" si="2608"/>
        <v>1.100000000000001E-2</v>
      </c>
      <c r="N6169">
        <f t="shared" si="2598"/>
        <v>2.200000000000002E-2</v>
      </c>
      <c r="O6169">
        <f t="shared" si="2609"/>
        <v>1.34</v>
      </c>
      <c r="P6169">
        <f t="shared" si="2610"/>
        <v>0.18181818181818182</v>
      </c>
      <c r="Q6169" t="str">
        <f t="shared" si="2599"/>
        <v>0.97% | 0.67%</v>
      </c>
      <c r="R6169" t="str">
        <f t="shared" si="2611"/>
        <v>BULLISH</v>
      </c>
      <c r="S6169">
        <f t="shared" si="2612"/>
        <v>1</v>
      </c>
    </row>
    <row r="6170" spans="1:19" hidden="1" x14ac:dyDescent="0.25">
      <c r="A6170" s="5" t="str">
        <f t="shared" si="2600"/>
        <v>44175CAD/USD</v>
      </c>
      <c r="B6170" s="6" t="s">
        <v>244</v>
      </c>
      <c r="C6170" s="6">
        <v>0.76</v>
      </c>
      <c r="D6170" s="6">
        <v>0.78</v>
      </c>
      <c r="E6170" s="6">
        <v>0.78</v>
      </c>
      <c r="F6170" t="str">
        <f t="shared" si="2601"/>
        <v>THU</v>
      </c>
      <c r="G6170" s="3">
        <f t="shared" si="2602"/>
        <v>44175</v>
      </c>
      <c r="H6170" s="2">
        <f t="shared" ca="1" si="2603"/>
        <v>78</v>
      </c>
      <c r="I6170" t="str">
        <f t="shared" si="2604"/>
        <v>CAD/USD</v>
      </c>
      <c r="J6170">
        <f t="shared" si="2605"/>
        <v>0.76</v>
      </c>
      <c r="K6170">
        <f t="shared" si="2606"/>
        <v>0.78</v>
      </c>
      <c r="L6170">
        <f t="shared" si="2607"/>
        <v>0.77</v>
      </c>
      <c r="M6170">
        <f t="shared" si="2608"/>
        <v>1.0000000000000009E-2</v>
      </c>
      <c r="N6170">
        <f t="shared" si="2598"/>
        <v>2.0000000000000018E-2</v>
      </c>
      <c r="O6170">
        <f t="shared" si="2609"/>
        <v>0.78</v>
      </c>
      <c r="P6170">
        <f t="shared" si="2610"/>
        <v>1</v>
      </c>
      <c r="Q6170" t="str">
        <f t="shared" si="2599"/>
        <v>2.56% | 0%</v>
      </c>
      <c r="R6170" t="str">
        <f t="shared" si="2611"/>
        <v>BULLISH</v>
      </c>
      <c r="S6170">
        <f t="shared" si="2612"/>
        <v>1</v>
      </c>
    </row>
    <row r="6171" spans="1:19" hidden="1" x14ac:dyDescent="0.25">
      <c r="A6171" s="5" t="str">
        <f t="shared" si="2600"/>
        <v>44175USD/CHF</v>
      </c>
      <c r="B6171" s="6" t="s">
        <v>76</v>
      </c>
      <c r="C6171" s="6">
        <v>0.88</v>
      </c>
      <c r="D6171" s="6">
        <v>0.9</v>
      </c>
      <c r="E6171" s="6">
        <v>0.88</v>
      </c>
      <c r="F6171" t="str">
        <f t="shared" si="2601"/>
        <v>THU</v>
      </c>
      <c r="G6171" s="3">
        <f t="shared" si="2602"/>
        <v>44175</v>
      </c>
      <c r="H6171" s="2">
        <f t="shared" ca="1" si="2603"/>
        <v>78</v>
      </c>
      <c r="I6171" t="str">
        <f t="shared" si="2604"/>
        <v>USD/CHF</v>
      </c>
      <c r="J6171">
        <f t="shared" si="2605"/>
        <v>0.88</v>
      </c>
      <c r="K6171">
        <f t="shared" si="2606"/>
        <v>0.9</v>
      </c>
      <c r="L6171">
        <f t="shared" si="2607"/>
        <v>0.89</v>
      </c>
      <c r="M6171">
        <f t="shared" si="2608"/>
        <v>1.0000000000000009E-2</v>
      </c>
      <c r="N6171">
        <f t="shared" si="2598"/>
        <v>2.0000000000000018E-2</v>
      </c>
      <c r="O6171">
        <f t="shared" si="2609"/>
        <v>0.88</v>
      </c>
      <c r="P6171">
        <f t="shared" si="2610"/>
        <v>-1</v>
      </c>
      <c r="Q6171" t="str">
        <f t="shared" si="2599"/>
        <v>0% | 2.27%</v>
      </c>
      <c r="R6171" t="str">
        <f t="shared" si="2611"/>
        <v>BEARISH</v>
      </c>
      <c r="S6171">
        <f t="shared" si="2612"/>
        <v>-1</v>
      </c>
    </row>
    <row r="6172" spans="1:19" hidden="1" x14ac:dyDescent="0.25">
      <c r="A6172" s="5" t="str">
        <f t="shared" si="2600"/>
        <v>44175WTIC</v>
      </c>
      <c r="B6172" s="6" t="s">
        <v>158</v>
      </c>
      <c r="C6172" s="6">
        <v>44.34</v>
      </c>
      <c r="D6172" s="6">
        <v>46.75</v>
      </c>
      <c r="E6172" s="6">
        <v>45.52</v>
      </c>
      <c r="F6172" t="str">
        <f t="shared" si="2601"/>
        <v>THU</v>
      </c>
      <c r="G6172" s="3">
        <f t="shared" si="2602"/>
        <v>44175</v>
      </c>
      <c r="H6172" s="2">
        <f t="shared" ca="1" si="2603"/>
        <v>78</v>
      </c>
      <c r="I6172" t="str">
        <f t="shared" si="2604"/>
        <v>WTIC</v>
      </c>
      <c r="J6172">
        <f t="shared" si="2605"/>
        <v>44.34</v>
      </c>
      <c r="K6172">
        <f t="shared" si="2606"/>
        <v>46.75</v>
      </c>
      <c r="L6172">
        <f t="shared" si="2607"/>
        <v>45.545000000000002</v>
      </c>
      <c r="M6172">
        <f t="shared" si="2608"/>
        <v>1.2049999999999983</v>
      </c>
      <c r="N6172">
        <f t="shared" si="2598"/>
        <v>2.4099999999999966</v>
      </c>
      <c r="O6172">
        <f t="shared" si="2609"/>
        <v>45.52</v>
      </c>
      <c r="P6172">
        <f t="shared" si="2610"/>
        <v>-2.074688796680383E-2</v>
      </c>
      <c r="Q6172" t="str">
        <f t="shared" si="2599"/>
        <v>2.59% | 2.7%</v>
      </c>
      <c r="R6172" t="str">
        <f t="shared" si="2611"/>
        <v>BULLISH</v>
      </c>
      <c r="S6172">
        <f t="shared" si="2612"/>
        <v>1</v>
      </c>
    </row>
    <row r="6173" spans="1:19" hidden="1" x14ac:dyDescent="0.25">
      <c r="A6173" s="5" t="str">
        <f t="shared" si="2600"/>
        <v>44175NATGAS</v>
      </c>
      <c r="B6173" s="6" t="s">
        <v>89</v>
      </c>
      <c r="C6173" s="6">
        <v>2.25</v>
      </c>
      <c r="D6173" s="6">
        <v>3.05</v>
      </c>
      <c r="E6173" s="6">
        <v>2.44</v>
      </c>
      <c r="F6173" t="str">
        <f t="shared" si="2601"/>
        <v>THU</v>
      </c>
      <c r="G6173" s="3">
        <f t="shared" si="2602"/>
        <v>44175</v>
      </c>
      <c r="H6173" s="2">
        <f t="shared" ca="1" si="2603"/>
        <v>78</v>
      </c>
      <c r="I6173" t="str">
        <f t="shared" si="2604"/>
        <v>NATGAS</v>
      </c>
      <c r="J6173">
        <f t="shared" si="2605"/>
        <v>2.25</v>
      </c>
      <c r="K6173">
        <f t="shared" si="2606"/>
        <v>3.05</v>
      </c>
      <c r="L6173">
        <f t="shared" si="2607"/>
        <v>2.65</v>
      </c>
      <c r="M6173">
        <f t="shared" si="2608"/>
        <v>0.39999999999999908</v>
      </c>
      <c r="N6173">
        <f t="shared" si="2598"/>
        <v>0.79999999999999982</v>
      </c>
      <c r="O6173">
        <f t="shared" si="2609"/>
        <v>2.44</v>
      </c>
      <c r="P6173">
        <f t="shared" si="2610"/>
        <v>-0.52500000000000113</v>
      </c>
      <c r="Q6173" t="str">
        <f t="shared" si="2599"/>
        <v>7.79% | 25%</v>
      </c>
      <c r="R6173" t="str">
        <f t="shared" si="2611"/>
        <v>BULLISH</v>
      </c>
      <c r="S6173">
        <f t="shared" si="2612"/>
        <v>1</v>
      </c>
    </row>
    <row r="6174" spans="1:19" hidden="1" x14ac:dyDescent="0.25">
      <c r="A6174" s="5" t="str">
        <f t="shared" si="2600"/>
        <v>44175GOLD</v>
      </c>
      <c r="B6174" s="6" t="s">
        <v>85</v>
      </c>
      <c r="C6174" s="6">
        <v>1761</v>
      </c>
      <c r="D6174" s="6">
        <v>1875</v>
      </c>
      <c r="E6174" s="6">
        <v>1838</v>
      </c>
      <c r="F6174" t="str">
        <f t="shared" si="2601"/>
        <v>THU</v>
      </c>
      <c r="G6174" s="3">
        <f t="shared" si="2602"/>
        <v>44175</v>
      </c>
      <c r="H6174" s="2">
        <f t="shared" ca="1" si="2603"/>
        <v>78</v>
      </c>
      <c r="I6174" t="str">
        <f t="shared" si="2604"/>
        <v>GOLD</v>
      </c>
      <c r="J6174">
        <f t="shared" si="2605"/>
        <v>1761</v>
      </c>
      <c r="K6174">
        <f t="shared" si="2606"/>
        <v>1875</v>
      </c>
      <c r="L6174">
        <f t="shared" si="2607"/>
        <v>1818</v>
      </c>
      <c r="M6174">
        <f t="shared" si="2608"/>
        <v>57</v>
      </c>
      <c r="N6174">
        <f t="shared" si="2598"/>
        <v>114</v>
      </c>
      <c r="O6174">
        <f t="shared" si="2609"/>
        <v>1838</v>
      </c>
      <c r="P6174">
        <f t="shared" si="2610"/>
        <v>0.35087719298245612</v>
      </c>
      <c r="Q6174" t="str">
        <f t="shared" si="2599"/>
        <v>4.19% | 2.01%</v>
      </c>
      <c r="R6174" t="str">
        <f t="shared" si="2611"/>
        <v>BEARISH</v>
      </c>
      <c r="S6174">
        <f t="shared" si="2612"/>
        <v>-1</v>
      </c>
    </row>
    <row r="6175" spans="1:19" hidden="1" x14ac:dyDescent="0.25">
      <c r="A6175" s="5" t="str">
        <f t="shared" si="2600"/>
        <v>44175COPPER</v>
      </c>
      <c r="B6175" s="6" t="s">
        <v>100</v>
      </c>
      <c r="C6175" s="6">
        <v>3.39</v>
      </c>
      <c r="D6175" s="6">
        <v>3.57</v>
      </c>
      <c r="E6175" s="6">
        <v>3.51</v>
      </c>
      <c r="F6175" t="str">
        <f t="shared" si="2601"/>
        <v>THU</v>
      </c>
      <c r="G6175" s="3">
        <f t="shared" si="2602"/>
        <v>44175</v>
      </c>
      <c r="H6175" s="2">
        <f t="shared" ca="1" si="2603"/>
        <v>78</v>
      </c>
      <c r="I6175" t="str">
        <f t="shared" si="2604"/>
        <v>COPPER</v>
      </c>
      <c r="J6175">
        <f t="shared" si="2605"/>
        <v>3.39</v>
      </c>
      <c r="K6175">
        <f t="shared" si="2606"/>
        <v>3.57</v>
      </c>
      <c r="L6175">
        <f t="shared" si="2607"/>
        <v>3.48</v>
      </c>
      <c r="M6175">
        <f t="shared" si="2608"/>
        <v>8.9999999999999858E-2</v>
      </c>
      <c r="N6175">
        <f t="shared" si="2598"/>
        <v>0.17999999999999972</v>
      </c>
      <c r="O6175">
        <f t="shared" si="2609"/>
        <v>3.51</v>
      </c>
      <c r="P6175">
        <f t="shared" si="2610"/>
        <v>0.33333333333333171</v>
      </c>
      <c r="Q6175" t="str">
        <f t="shared" si="2599"/>
        <v>3.42% | 1.71%</v>
      </c>
      <c r="R6175" t="str">
        <f t="shared" si="2611"/>
        <v>BULLISH</v>
      </c>
      <c r="S6175">
        <f t="shared" si="2612"/>
        <v>1</v>
      </c>
    </row>
    <row r="6176" spans="1:19" hidden="1" x14ac:dyDescent="0.25">
      <c r="A6176" s="5" t="str">
        <f t="shared" si="2600"/>
        <v>44175MSFT</v>
      </c>
      <c r="B6176" s="6" t="s">
        <v>27</v>
      </c>
      <c r="C6176" s="6">
        <v>211</v>
      </c>
      <c r="D6176" s="6">
        <v>218</v>
      </c>
      <c r="E6176" s="6">
        <v>211</v>
      </c>
      <c r="F6176" t="str">
        <f t="shared" si="2601"/>
        <v>THU</v>
      </c>
      <c r="G6176" s="3">
        <f t="shared" si="2602"/>
        <v>44175</v>
      </c>
      <c r="H6176" s="2">
        <f t="shared" ca="1" si="2603"/>
        <v>78</v>
      </c>
      <c r="I6176" t="str">
        <f t="shared" si="2604"/>
        <v>MSFT</v>
      </c>
      <c r="J6176">
        <f t="shared" si="2605"/>
        <v>211</v>
      </c>
      <c r="K6176">
        <f t="shared" si="2606"/>
        <v>218</v>
      </c>
      <c r="L6176">
        <f t="shared" si="2607"/>
        <v>214.5</v>
      </c>
      <c r="M6176">
        <f t="shared" si="2608"/>
        <v>3.5</v>
      </c>
      <c r="N6176">
        <f t="shared" si="2598"/>
        <v>7</v>
      </c>
      <c r="O6176">
        <f t="shared" si="2609"/>
        <v>211</v>
      </c>
      <c r="P6176">
        <f t="shared" si="2610"/>
        <v>-1</v>
      </c>
      <c r="Q6176" t="str">
        <f t="shared" si="2599"/>
        <v>0% | 3.32%</v>
      </c>
      <c r="R6176" t="str">
        <f t="shared" si="2611"/>
        <v>BULLISH</v>
      </c>
      <c r="S6176">
        <f t="shared" si="2612"/>
        <v>1</v>
      </c>
    </row>
    <row r="6177" spans="1:19" hidden="1" x14ac:dyDescent="0.25">
      <c r="A6177" s="5" t="str">
        <f t="shared" si="2600"/>
        <v>44175AAPL</v>
      </c>
      <c r="B6177" s="6" t="s">
        <v>28</v>
      </c>
      <c r="C6177" s="6">
        <v>118</v>
      </c>
      <c r="D6177" s="6">
        <v>127</v>
      </c>
      <c r="E6177" s="6">
        <v>121</v>
      </c>
      <c r="F6177" t="str">
        <f t="shared" si="2601"/>
        <v>THU</v>
      </c>
      <c r="G6177" s="3">
        <f t="shared" si="2602"/>
        <v>44175</v>
      </c>
      <c r="H6177" s="2">
        <f t="shared" ca="1" si="2603"/>
        <v>78</v>
      </c>
      <c r="I6177" t="str">
        <f t="shared" si="2604"/>
        <v>AAPL</v>
      </c>
      <c r="J6177">
        <f t="shared" si="2605"/>
        <v>118</v>
      </c>
      <c r="K6177">
        <f t="shared" si="2606"/>
        <v>127</v>
      </c>
      <c r="L6177">
        <f t="shared" si="2607"/>
        <v>122.5</v>
      </c>
      <c r="M6177">
        <f t="shared" si="2608"/>
        <v>4.5</v>
      </c>
      <c r="N6177">
        <f t="shared" si="2598"/>
        <v>9</v>
      </c>
      <c r="O6177">
        <f t="shared" si="2609"/>
        <v>121</v>
      </c>
      <c r="P6177">
        <f t="shared" si="2610"/>
        <v>-0.33333333333333331</v>
      </c>
      <c r="Q6177" t="str">
        <f t="shared" si="2599"/>
        <v>2.48% | 4.96%</v>
      </c>
      <c r="R6177" t="str">
        <f t="shared" si="2611"/>
        <v>BULLISH</v>
      </c>
      <c r="S6177">
        <f t="shared" si="2612"/>
        <v>1</v>
      </c>
    </row>
    <row r="6178" spans="1:19" hidden="1" x14ac:dyDescent="0.25">
      <c r="A6178" s="5" t="str">
        <f t="shared" si="2600"/>
        <v>44175AMZN</v>
      </c>
      <c r="B6178" s="6" t="s">
        <v>69</v>
      </c>
      <c r="C6178" s="6">
        <v>3072</v>
      </c>
      <c r="D6178" s="6">
        <v>3235</v>
      </c>
      <c r="E6178" s="6">
        <v>3104</v>
      </c>
      <c r="F6178" t="str">
        <f t="shared" si="2601"/>
        <v>THU</v>
      </c>
      <c r="G6178" s="3">
        <f t="shared" si="2602"/>
        <v>44175</v>
      </c>
      <c r="H6178" s="2">
        <f t="shared" ca="1" si="2603"/>
        <v>78</v>
      </c>
      <c r="I6178" t="str">
        <f t="shared" si="2604"/>
        <v>AMZN</v>
      </c>
      <c r="J6178">
        <f t="shared" si="2605"/>
        <v>3072</v>
      </c>
      <c r="K6178">
        <f t="shared" si="2606"/>
        <v>3235</v>
      </c>
      <c r="L6178">
        <f t="shared" si="2607"/>
        <v>3153.5</v>
      </c>
      <c r="M6178">
        <f t="shared" si="2608"/>
        <v>81.5</v>
      </c>
      <c r="N6178">
        <f t="shared" si="2598"/>
        <v>163</v>
      </c>
      <c r="O6178">
        <f t="shared" si="2609"/>
        <v>3104</v>
      </c>
      <c r="P6178">
        <f t="shared" si="2610"/>
        <v>-0.6073619631901841</v>
      </c>
      <c r="Q6178" t="str">
        <f t="shared" si="2599"/>
        <v>1.03% | 4.22%</v>
      </c>
      <c r="R6178" t="str">
        <f t="shared" si="2611"/>
        <v>NEUTRAL</v>
      </c>
      <c r="S6178">
        <f t="shared" si="2612"/>
        <v>0</v>
      </c>
    </row>
    <row r="6179" spans="1:19" hidden="1" x14ac:dyDescent="0.25">
      <c r="A6179" s="5" t="str">
        <f t="shared" si="2600"/>
        <v>44175FB</v>
      </c>
      <c r="B6179" s="6" t="s">
        <v>30</v>
      </c>
      <c r="C6179" s="6">
        <v>273</v>
      </c>
      <c r="D6179" s="6">
        <v>291</v>
      </c>
      <c r="E6179" s="6">
        <v>277</v>
      </c>
      <c r="F6179" t="str">
        <f t="shared" si="2601"/>
        <v>THU</v>
      </c>
      <c r="G6179" s="3">
        <f t="shared" si="2602"/>
        <v>44175</v>
      </c>
      <c r="H6179" s="2">
        <f t="shared" ca="1" si="2603"/>
        <v>78</v>
      </c>
      <c r="I6179" t="str">
        <f t="shared" si="2604"/>
        <v>FB</v>
      </c>
      <c r="J6179">
        <f t="shared" si="2605"/>
        <v>273</v>
      </c>
      <c r="K6179">
        <f t="shared" si="2606"/>
        <v>291</v>
      </c>
      <c r="L6179">
        <f t="shared" si="2607"/>
        <v>282</v>
      </c>
      <c r="M6179">
        <f t="shared" si="2608"/>
        <v>9</v>
      </c>
      <c r="N6179">
        <f t="shared" si="2598"/>
        <v>18</v>
      </c>
      <c r="O6179">
        <f t="shared" si="2609"/>
        <v>277</v>
      </c>
      <c r="P6179">
        <f t="shared" si="2610"/>
        <v>-0.55555555555555558</v>
      </c>
      <c r="Q6179" t="str">
        <f t="shared" si="2599"/>
        <v>1.44% | 5.05%</v>
      </c>
      <c r="R6179" t="str">
        <f t="shared" si="2611"/>
        <v>BULLISH</v>
      </c>
      <c r="S6179">
        <f t="shared" si="2612"/>
        <v>1</v>
      </c>
    </row>
    <row r="6180" spans="1:19" hidden="1" x14ac:dyDescent="0.25">
      <c r="A6180" s="5" t="str">
        <f t="shared" si="2600"/>
        <v>44175GOOGL</v>
      </c>
      <c r="B6180" s="6" t="s">
        <v>31</v>
      </c>
      <c r="C6180" s="6">
        <v>1752</v>
      </c>
      <c r="D6180" s="6">
        <v>1855</v>
      </c>
      <c r="E6180" s="6">
        <v>1777</v>
      </c>
      <c r="F6180" t="str">
        <f t="shared" si="2601"/>
        <v>THU</v>
      </c>
      <c r="G6180" s="3">
        <f t="shared" si="2602"/>
        <v>44175</v>
      </c>
      <c r="H6180" s="2">
        <f t="shared" ca="1" si="2603"/>
        <v>78</v>
      </c>
      <c r="I6180" t="str">
        <f t="shared" si="2604"/>
        <v>GOOGL</v>
      </c>
      <c r="J6180">
        <f t="shared" si="2605"/>
        <v>1752</v>
      </c>
      <c r="K6180">
        <f t="shared" si="2606"/>
        <v>1855</v>
      </c>
      <c r="L6180">
        <f t="shared" si="2607"/>
        <v>1803.5</v>
      </c>
      <c r="M6180">
        <f t="shared" si="2608"/>
        <v>51.5</v>
      </c>
      <c r="N6180">
        <f t="shared" si="2598"/>
        <v>103</v>
      </c>
      <c r="O6180">
        <f t="shared" si="2609"/>
        <v>1777</v>
      </c>
      <c r="P6180">
        <f t="shared" si="2610"/>
        <v>-0.5145631067961165</v>
      </c>
      <c r="Q6180" t="str">
        <f t="shared" si="2599"/>
        <v>1.41% | 4.39%</v>
      </c>
      <c r="R6180" t="str">
        <f t="shared" si="2611"/>
        <v>BULLISH</v>
      </c>
      <c r="S6180">
        <f t="shared" si="2612"/>
        <v>1</v>
      </c>
    </row>
    <row r="6181" spans="1:19" hidden="1" x14ac:dyDescent="0.25">
      <c r="A6181" s="5" t="str">
        <f t="shared" si="2600"/>
        <v>44175NFLX</v>
      </c>
      <c r="B6181" s="6" t="s">
        <v>81</v>
      </c>
      <c r="C6181" s="6">
        <v>481</v>
      </c>
      <c r="D6181" s="6">
        <v>518</v>
      </c>
      <c r="E6181" s="6">
        <v>493</v>
      </c>
      <c r="F6181" t="str">
        <f t="shared" si="2601"/>
        <v>THU</v>
      </c>
      <c r="G6181" s="3">
        <f t="shared" si="2602"/>
        <v>44175</v>
      </c>
      <c r="H6181" s="2">
        <f t="shared" ca="1" si="2603"/>
        <v>78</v>
      </c>
      <c r="I6181" t="str">
        <f t="shared" si="2604"/>
        <v>NFLX</v>
      </c>
      <c r="J6181">
        <f t="shared" si="2605"/>
        <v>481</v>
      </c>
      <c r="K6181">
        <f t="shared" si="2606"/>
        <v>518</v>
      </c>
      <c r="L6181">
        <f t="shared" si="2607"/>
        <v>499.5</v>
      </c>
      <c r="M6181">
        <f t="shared" si="2608"/>
        <v>18.5</v>
      </c>
      <c r="N6181">
        <f t="shared" si="2598"/>
        <v>37</v>
      </c>
      <c r="O6181">
        <f t="shared" si="2609"/>
        <v>493</v>
      </c>
      <c r="P6181">
        <f t="shared" si="2610"/>
        <v>-0.35135135135135137</v>
      </c>
      <c r="Q6181" t="str">
        <f t="shared" si="2599"/>
        <v>2.43% | 5.07%</v>
      </c>
      <c r="R6181" t="str">
        <f t="shared" si="2611"/>
        <v>BEARISH</v>
      </c>
      <c r="S6181">
        <f t="shared" si="2612"/>
        <v>-1</v>
      </c>
    </row>
    <row r="6182" spans="1:19" x14ac:dyDescent="0.25">
      <c r="A6182" s="5" t="str">
        <f t="shared" si="2600"/>
        <v>44175TSLA</v>
      </c>
      <c r="B6182" s="6" t="s">
        <v>33</v>
      </c>
      <c r="C6182" s="6">
        <v>545</v>
      </c>
      <c r="D6182" s="6">
        <v>655</v>
      </c>
      <c r="E6182" s="6">
        <v>604</v>
      </c>
      <c r="F6182" t="str">
        <f t="shared" si="2601"/>
        <v>THU</v>
      </c>
      <c r="G6182" s="3">
        <f t="shared" si="2602"/>
        <v>44175</v>
      </c>
      <c r="H6182" s="2">
        <f t="shared" ca="1" si="2603"/>
        <v>78</v>
      </c>
      <c r="I6182" t="str">
        <f t="shared" si="2604"/>
        <v>TSLA</v>
      </c>
      <c r="J6182">
        <f t="shared" si="2605"/>
        <v>545</v>
      </c>
      <c r="K6182">
        <f t="shared" si="2606"/>
        <v>655</v>
      </c>
      <c r="L6182">
        <f t="shared" si="2607"/>
        <v>600</v>
      </c>
      <c r="M6182">
        <f t="shared" si="2608"/>
        <v>55</v>
      </c>
      <c r="N6182">
        <f t="shared" si="2598"/>
        <v>110</v>
      </c>
      <c r="O6182">
        <f t="shared" si="2609"/>
        <v>604</v>
      </c>
      <c r="P6182">
        <f t="shared" si="2610"/>
        <v>7.2727272727272724E-2</v>
      </c>
      <c r="Q6182" t="str">
        <f t="shared" si="2599"/>
        <v>9.77% | 8.44%</v>
      </c>
      <c r="R6182" t="str">
        <f t="shared" si="2611"/>
        <v>BULLISH</v>
      </c>
      <c r="S6182">
        <f t="shared" si="2612"/>
        <v>1</v>
      </c>
    </row>
    <row r="6183" spans="1:19" hidden="1" x14ac:dyDescent="0.25">
      <c r="A6183" s="5" t="str">
        <f t="shared" si="2600"/>
        <v>44175NYXBT</v>
      </c>
      <c r="B6183" s="6" t="s">
        <v>60</v>
      </c>
      <c r="C6183" s="6">
        <v>17235</v>
      </c>
      <c r="D6183" s="6">
        <v>20507</v>
      </c>
      <c r="E6183" s="6">
        <v>18322</v>
      </c>
      <c r="F6183" t="str">
        <f t="shared" si="2601"/>
        <v>THU</v>
      </c>
      <c r="G6183" s="3">
        <f t="shared" si="2602"/>
        <v>44175</v>
      </c>
      <c r="H6183" s="2">
        <f t="shared" ca="1" si="2603"/>
        <v>78</v>
      </c>
      <c r="I6183" t="str">
        <f t="shared" si="2604"/>
        <v>NYXBT</v>
      </c>
      <c r="J6183">
        <f t="shared" si="2605"/>
        <v>17235</v>
      </c>
      <c r="K6183">
        <f t="shared" si="2606"/>
        <v>20507</v>
      </c>
      <c r="L6183">
        <f t="shared" si="2607"/>
        <v>18871</v>
      </c>
      <c r="M6183">
        <f t="shared" si="2608"/>
        <v>1636</v>
      </c>
      <c r="N6183">
        <f t="shared" si="2598"/>
        <v>3272</v>
      </c>
      <c r="O6183">
        <f t="shared" si="2609"/>
        <v>18322</v>
      </c>
      <c r="P6183">
        <f t="shared" si="2610"/>
        <v>-0.33557457212713937</v>
      </c>
      <c r="Q6183" t="str">
        <f t="shared" si="2599"/>
        <v>5.93% | 11.93%</v>
      </c>
      <c r="R6183" t="str">
        <f t="shared" si="2611"/>
        <v>BULLISH</v>
      </c>
      <c r="S6183">
        <f t="shared" si="2612"/>
        <v>1</v>
      </c>
    </row>
    <row r="6184" spans="1:19" hidden="1" x14ac:dyDescent="0.25">
      <c r="A6184" s="5" t="str">
        <f t="shared" si="2600"/>
        <v>44176UST10Y</v>
      </c>
      <c r="B6184" s="6" t="s">
        <v>257</v>
      </c>
      <c r="C6184" s="6">
        <v>1</v>
      </c>
      <c r="D6184" s="6">
        <v>0.85</v>
      </c>
      <c r="E6184" s="6">
        <v>0.92</v>
      </c>
      <c r="F6184" t="str">
        <f t="shared" si="2601"/>
        <v>FRI</v>
      </c>
      <c r="G6184" s="1">
        <f>DATE(2020,12,11)</f>
        <v>44176</v>
      </c>
      <c r="H6184" s="2">
        <f t="shared" ca="1" si="2603"/>
        <v>77</v>
      </c>
      <c r="I6184" t="str">
        <f t="shared" si="2604"/>
        <v>UST10Y</v>
      </c>
      <c r="J6184">
        <f t="shared" si="2605"/>
        <v>1</v>
      </c>
      <c r="K6184">
        <f t="shared" si="2606"/>
        <v>0.85</v>
      </c>
      <c r="L6184">
        <f t="shared" si="2607"/>
        <v>0.92500000000000004</v>
      </c>
      <c r="M6184">
        <f t="shared" si="2608"/>
        <v>7.5000000000000011E-2</v>
      </c>
      <c r="N6184">
        <f t="shared" si="2598"/>
        <v>0.15000000000000002</v>
      </c>
      <c r="O6184">
        <f t="shared" si="2609"/>
        <v>0.92</v>
      </c>
      <c r="P6184">
        <f t="shared" si="2610"/>
        <v>-6.6666666666666721E-2</v>
      </c>
      <c r="Q6184" t="str">
        <f t="shared" si="2599"/>
        <v>8.7% | 7.61%</v>
      </c>
      <c r="R6184" t="str">
        <f t="shared" si="2611"/>
        <v>BULLISH</v>
      </c>
      <c r="S6184">
        <f t="shared" si="2612"/>
        <v>1</v>
      </c>
    </row>
    <row r="6185" spans="1:19" hidden="1" x14ac:dyDescent="0.25">
      <c r="A6185" s="5" t="str">
        <f t="shared" si="2600"/>
        <v>44176UST2Y</v>
      </c>
      <c r="B6185" s="6" t="s">
        <v>253</v>
      </c>
      <c r="C6185" s="6">
        <v>0.17</v>
      </c>
      <c r="D6185" s="6">
        <v>0.13</v>
      </c>
      <c r="E6185" s="6">
        <v>0.14000000000000001</v>
      </c>
      <c r="F6185" t="str">
        <f t="shared" ref="F6185:F6215" si="2613">UPPER(TEXT(G6185,"ddd"))</f>
        <v>FRI</v>
      </c>
      <c r="G6185" s="1">
        <f t="shared" ref="G6185:G6214" si="2614">DATE(2020,12,11)</f>
        <v>44176</v>
      </c>
      <c r="H6185" s="2">
        <f t="shared" ref="H6185:H6215" ca="1" si="2615">TODAY()-G6185</f>
        <v>77</v>
      </c>
      <c r="I6185" t="str">
        <f t="shared" ref="I6185:I6215" si="2616">TRIM(LEFT(B6185,FIND(" ",B6185,1)))</f>
        <v>UST2Y</v>
      </c>
      <c r="J6185">
        <f t="shared" ref="J6185:J6215" si="2617">C6185</f>
        <v>0.17</v>
      </c>
      <c r="K6185">
        <f t="shared" ref="K6185:K6215" si="2618">D6185</f>
        <v>0.13</v>
      </c>
      <c r="L6185">
        <f t="shared" ref="L6185:L6215" si="2619">AVERAGE(J6185:K6185)</f>
        <v>0.15000000000000002</v>
      </c>
      <c r="M6185">
        <f t="shared" ref="M6185:M6215" si="2620">_xlfn.STDEV.P(J6185:K6185)</f>
        <v>1.9999999999999938E-2</v>
      </c>
      <c r="N6185">
        <f t="shared" si="2598"/>
        <v>4.0000000000000008E-2</v>
      </c>
      <c r="O6185">
        <f t="shared" ref="O6185:O6215" si="2621">E6185</f>
        <v>0.14000000000000001</v>
      </c>
      <c r="P6185">
        <f t="shared" ref="P6185:P6215" si="2622">(O6185-L6185)/M6185</f>
        <v>-0.500000000000002</v>
      </c>
      <c r="Q6185" t="str">
        <f t="shared" si="2599"/>
        <v>21.43% | 7.14%</v>
      </c>
      <c r="R6185" t="str">
        <f t="shared" ref="R6185:R6215" si="2623">MID(B6185,FIND("(",B6185,1)+1,FIND(")",B6185,1)-FIND("(",B6185,1)-1)</f>
        <v>NEUTRAL</v>
      </c>
      <c r="S6185">
        <f t="shared" ref="S6185:S6215" si="2624">IF(R6185="BEARISH",-1,IF(R6185="NEUTRAL",0,IF(R6185="BULLISH",1,99)))</f>
        <v>0</v>
      </c>
    </row>
    <row r="6186" spans="1:19" hidden="1" x14ac:dyDescent="0.25">
      <c r="A6186" s="5" t="str">
        <f t="shared" si="2600"/>
        <v>44176SPX</v>
      </c>
      <c r="B6186" s="6" t="s">
        <v>93</v>
      </c>
      <c r="C6186" s="6">
        <v>3621</v>
      </c>
      <c r="D6186" s="6">
        <v>3720</v>
      </c>
      <c r="E6186" s="6">
        <v>3668</v>
      </c>
      <c r="F6186" t="str">
        <f t="shared" si="2613"/>
        <v>FRI</v>
      </c>
      <c r="G6186" s="1">
        <f t="shared" si="2614"/>
        <v>44176</v>
      </c>
      <c r="H6186" s="2">
        <f t="shared" ca="1" si="2615"/>
        <v>77</v>
      </c>
      <c r="I6186" t="str">
        <f t="shared" si="2616"/>
        <v>SPX</v>
      </c>
      <c r="J6186">
        <f t="shared" si="2617"/>
        <v>3621</v>
      </c>
      <c r="K6186">
        <f t="shared" si="2618"/>
        <v>3720</v>
      </c>
      <c r="L6186">
        <f t="shared" si="2619"/>
        <v>3670.5</v>
      </c>
      <c r="M6186">
        <f t="shared" si="2620"/>
        <v>49.5</v>
      </c>
      <c r="N6186">
        <f t="shared" si="2598"/>
        <v>99</v>
      </c>
      <c r="O6186">
        <f t="shared" si="2621"/>
        <v>3668</v>
      </c>
      <c r="P6186">
        <f t="shared" si="2622"/>
        <v>-5.0505050505050504E-2</v>
      </c>
      <c r="Q6186" t="str">
        <f t="shared" si="2599"/>
        <v>1.28% | 1.42%</v>
      </c>
      <c r="R6186" t="str">
        <f t="shared" si="2623"/>
        <v>BULLISH</v>
      </c>
      <c r="S6186">
        <f t="shared" si="2624"/>
        <v>1</v>
      </c>
    </row>
    <row r="6187" spans="1:19" hidden="1" x14ac:dyDescent="0.25">
      <c r="A6187" s="5" t="str">
        <f t="shared" si="2600"/>
        <v>44176RUT</v>
      </c>
      <c r="B6187" s="6" t="s">
        <v>247</v>
      </c>
      <c r="C6187" s="6">
        <v>1872</v>
      </c>
      <c r="D6187" s="6">
        <v>1947</v>
      </c>
      <c r="E6187" s="6">
        <v>1922</v>
      </c>
      <c r="F6187" t="str">
        <f t="shared" si="2613"/>
        <v>FRI</v>
      </c>
      <c r="G6187" s="1">
        <f t="shared" si="2614"/>
        <v>44176</v>
      </c>
      <c r="H6187" s="2">
        <f t="shared" ca="1" si="2615"/>
        <v>77</v>
      </c>
      <c r="I6187" t="str">
        <f t="shared" si="2616"/>
        <v>RUT</v>
      </c>
      <c r="J6187">
        <f t="shared" si="2617"/>
        <v>1872</v>
      </c>
      <c r="K6187">
        <f t="shared" si="2618"/>
        <v>1947</v>
      </c>
      <c r="L6187">
        <f t="shared" si="2619"/>
        <v>1909.5</v>
      </c>
      <c r="M6187">
        <f t="shared" si="2620"/>
        <v>37.5</v>
      </c>
      <c r="N6187">
        <f t="shared" si="2598"/>
        <v>75</v>
      </c>
      <c r="O6187">
        <f t="shared" si="2621"/>
        <v>1922</v>
      </c>
      <c r="P6187">
        <f t="shared" si="2622"/>
        <v>0.33333333333333331</v>
      </c>
      <c r="Q6187" t="str">
        <f t="shared" si="2599"/>
        <v>2.6% | 1.3%</v>
      </c>
      <c r="R6187" t="str">
        <f t="shared" si="2623"/>
        <v>BULLISH</v>
      </c>
      <c r="S6187">
        <f t="shared" si="2624"/>
        <v>1</v>
      </c>
    </row>
    <row r="6188" spans="1:19" hidden="1" x14ac:dyDescent="0.25">
      <c r="A6188" s="5" t="str">
        <f t="shared" si="2600"/>
        <v>44176COMPQ</v>
      </c>
      <c r="B6188" s="6" t="s">
        <v>8</v>
      </c>
      <c r="C6188" s="6">
        <v>12106</v>
      </c>
      <c r="D6188" s="6">
        <v>12621</v>
      </c>
      <c r="E6188" s="6">
        <v>12405</v>
      </c>
      <c r="F6188" t="str">
        <f t="shared" si="2613"/>
        <v>FRI</v>
      </c>
      <c r="G6188" s="1">
        <f t="shared" si="2614"/>
        <v>44176</v>
      </c>
      <c r="H6188" s="2">
        <f t="shared" ca="1" si="2615"/>
        <v>77</v>
      </c>
      <c r="I6188" t="str">
        <f t="shared" si="2616"/>
        <v>COMPQ</v>
      </c>
      <c r="J6188">
        <f t="shared" si="2617"/>
        <v>12106</v>
      </c>
      <c r="K6188">
        <f t="shared" si="2618"/>
        <v>12621</v>
      </c>
      <c r="L6188">
        <f t="shared" si="2619"/>
        <v>12363.5</v>
      </c>
      <c r="M6188">
        <f t="shared" si="2620"/>
        <v>257.5</v>
      </c>
      <c r="N6188">
        <f t="shared" si="2598"/>
        <v>515</v>
      </c>
      <c r="O6188">
        <f t="shared" si="2621"/>
        <v>12405</v>
      </c>
      <c r="P6188">
        <f t="shared" si="2622"/>
        <v>0.16116504854368932</v>
      </c>
      <c r="Q6188" t="str">
        <f t="shared" si="2599"/>
        <v>2.41% | 1.74%</v>
      </c>
      <c r="R6188" t="str">
        <f t="shared" si="2623"/>
        <v>BULLISH</v>
      </c>
      <c r="S6188">
        <f t="shared" si="2624"/>
        <v>1</v>
      </c>
    </row>
    <row r="6189" spans="1:19" hidden="1" x14ac:dyDescent="0.25">
      <c r="A6189" s="5" t="str">
        <f t="shared" si="2600"/>
        <v>44176XLK</v>
      </c>
      <c r="B6189" s="6" t="s">
        <v>10</v>
      </c>
      <c r="C6189" s="6">
        <v>122.9</v>
      </c>
      <c r="D6189" s="6">
        <v>127.36</v>
      </c>
      <c r="E6189" s="6">
        <v>124.56</v>
      </c>
      <c r="F6189" t="str">
        <f t="shared" si="2613"/>
        <v>FRI</v>
      </c>
      <c r="G6189" s="1">
        <f t="shared" si="2614"/>
        <v>44176</v>
      </c>
      <c r="H6189" s="2">
        <f t="shared" ca="1" si="2615"/>
        <v>77</v>
      </c>
      <c r="I6189" t="str">
        <f t="shared" si="2616"/>
        <v>XLK</v>
      </c>
      <c r="J6189">
        <f t="shared" si="2617"/>
        <v>122.9</v>
      </c>
      <c r="K6189">
        <f t="shared" si="2618"/>
        <v>127.36</v>
      </c>
      <c r="L6189">
        <f t="shared" si="2619"/>
        <v>125.13</v>
      </c>
      <c r="M6189">
        <f t="shared" si="2620"/>
        <v>2.2299999999999969</v>
      </c>
      <c r="N6189">
        <f t="shared" si="2598"/>
        <v>4.4599999999999937</v>
      </c>
      <c r="O6189">
        <f t="shared" si="2621"/>
        <v>124.56</v>
      </c>
      <c r="P6189">
        <f t="shared" si="2622"/>
        <v>-0.25560538116591658</v>
      </c>
      <c r="Q6189" t="str">
        <f t="shared" si="2599"/>
        <v>1.33% | 2.25%</v>
      </c>
      <c r="R6189" t="str">
        <f t="shared" si="2623"/>
        <v>BULLISH</v>
      </c>
      <c r="S6189">
        <f t="shared" si="2624"/>
        <v>1</v>
      </c>
    </row>
    <row r="6190" spans="1:19" hidden="1" x14ac:dyDescent="0.25">
      <c r="A6190" s="5" t="str">
        <f t="shared" si="2600"/>
        <v>44176XLE</v>
      </c>
      <c r="B6190" s="6" t="s">
        <v>250</v>
      </c>
      <c r="C6190" s="6">
        <v>36.72</v>
      </c>
      <c r="D6190" s="6">
        <v>42.92</v>
      </c>
      <c r="E6190" s="6">
        <v>41.6</v>
      </c>
      <c r="F6190" t="str">
        <f t="shared" si="2613"/>
        <v>FRI</v>
      </c>
      <c r="G6190" s="1">
        <f t="shared" si="2614"/>
        <v>44176</v>
      </c>
      <c r="H6190" s="2">
        <f t="shared" ca="1" si="2615"/>
        <v>77</v>
      </c>
      <c r="I6190" t="str">
        <f t="shared" si="2616"/>
        <v>XLE</v>
      </c>
      <c r="J6190">
        <f t="shared" si="2617"/>
        <v>36.72</v>
      </c>
      <c r="K6190">
        <f t="shared" si="2618"/>
        <v>42.92</v>
      </c>
      <c r="L6190">
        <f t="shared" si="2619"/>
        <v>39.82</v>
      </c>
      <c r="M6190">
        <f t="shared" si="2620"/>
        <v>3.1000000000000014</v>
      </c>
      <c r="N6190">
        <f t="shared" si="2598"/>
        <v>6.2000000000000028</v>
      </c>
      <c r="O6190">
        <f t="shared" si="2621"/>
        <v>41.6</v>
      </c>
      <c r="P6190">
        <f t="shared" si="2622"/>
        <v>0.57419354838709691</v>
      </c>
      <c r="Q6190" t="str">
        <f t="shared" si="2599"/>
        <v>11.73% | 3.17%</v>
      </c>
      <c r="R6190" t="str">
        <f t="shared" si="2623"/>
        <v>BULLISH</v>
      </c>
      <c r="S6190">
        <f t="shared" si="2624"/>
        <v>1</v>
      </c>
    </row>
    <row r="6191" spans="1:19" hidden="1" x14ac:dyDescent="0.25">
      <c r="A6191" s="5" t="str">
        <f t="shared" si="2600"/>
        <v>44176XLU</v>
      </c>
      <c r="B6191" s="6" t="s">
        <v>82</v>
      </c>
      <c r="C6191" s="6">
        <v>61.69</v>
      </c>
      <c r="D6191" s="6">
        <v>63.81</v>
      </c>
      <c r="E6191" s="6">
        <v>62.14</v>
      </c>
      <c r="F6191" t="str">
        <f t="shared" si="2613"/>
        <v>FRI</v>
      </c>
      <c r="G6191" s="1">
        <f t="shared" si="2614"/>
        <v>44176</v>
      </c>
      <c r="H6191" s="2">
        <f t="shared" ca="1" si="2615"/>
        <v>77</v>
      </c>
      <c r="I6191" t="str">
        <f t="shared" si="2616"/>
        <v>XLU</v>
      </c>
      <c r="J6191">
        <f t="shared" si="2617"/>
        <v>61.69</v>
      </c>
      <c r="K6191">
        <f t="shared" si="2618"/>
        <v>63.81</v>
      </c>
      <c r="L6191">
        <f t="shared" si="2619"/>
        <v>62.75</v>
      </c>
      <c r="M6191">
        <f t="shared" si="2620"/>
        <v>1.0600000000000023</v>
      </c>
      <c r="N6191">
        <f t="shared" si="2598"/>
        <v>2.1200000000000045</v>
      </c>
      <c r="O6191">
        <f t="shared" si="2621"/>
        <v>62.14</v>
      </c>
      <c r="P6191">
        <f t="shared" si="2622"/>
        <v>-0.57547169811320575</v>
      </c>
      <c r="Q6191" t="str">
        <f t="shared" si="2599"/>
        <v>0.72% | 2.69%</v>
      </c>
      <c r="R6191" t="str">
        <f t="shared" si="2623"/>
        <v>BEARISH</v>
      </c>
      <c r="S6191">
        <f t="shared" si="2624"/>
        <v>-1</v>
      </c>
    </row>
    <row r="6192" spans="1:19" hidden="1" x14ac:dyDescent="0.25">
      <c r="A6192" s="5" t="str">
        <f t="shared" si="2600"/>
        <v>44176GDX</v>
      </c>
      <c r="B6192" s="6" t="s">
        <v>254</v>
      </c>
      <c r="C6192" s="6">
        <v>33.26</v>
      </c>
      <c r="D6192" s="6">
        <v>36.96</v>
      </c>
      <c r="E6192" s="6">
        <v>35.24</v>
      </c>
      <c r="F6192" t="str">
        <f t="shared" si="2613"/>
        <v>FRI</v>
      </c>
      <c r="G6192" s="1">
        <f t="shared" si="2614"/>
        <v>44176</v>
      </c>
      <c r="H6192" s="2">
        <f t="shared" ca="1" si="2615"/>
        <v>77</v>
      </c>
      <c r="I6192" t="str">
        <f t="shared" si="2616"/>
        <v>GDX</v>
      </c>
      <c r="J6192">
        <f t="shared" si="2617"/>
        <v>33.26</v>
      </c>
      <c r="K6192">
        <f t="shared" si="2618"/>
        <v>36.96</v>
      </c>
      <c r="L6192">
        <f t="shared" si="2619"/>
        <v>35.11</v>
      </c>
      <c r="M6192">
        <f t="shared" si="2620"/>
        <v>1.8500000000000014</v>
      </c>
      <c r="N6192">
        <f t="shared" si="2598"/>
        <v>3.7000000000000028</v>
      </c>
      <c r="O6192">
        <f t="shared" si="2621"/>
        <v>35.24</v>
      </c>
      <c r="P6192">
        <f t="shared" si="2622"/>
        <v>7.0270270270271593E-2</v>
      </c>
      <c r="Q6192" t="str">
        <f t="shared" si="2599"/>
        <v>5.62% | 4.88%</v>
      </c>
      <c r="R6192" t="str">
        <f t="shared" si="2623"/>
        <v>BEARISH</v>
      </c>
      <c r="S6192">
        <f t="shared" si="2624"/>
        <v>-1</v>
      </c>
    </row>
    <row r="6193" spans="1:19" hidden="1" x14ac:dyDescent="0.25">
      <c r="A6193" s="5" t="str">
        <f t="shared" si="2600"/>
        <v>44176SSEC</v>
      </c>
      <c r="B6193" s="6" t="s">
        <v>104</v>
      </c>
      <c r="C6193" s="6">
        <v>3337</v>
      </c>
      <c r="D6193" s="6">
        <v>3475</v>
      </c>
      <c r="E6193" s="6">
        <v>3347</v>
      </c>
      <c r="F6193" t="str">
        <f t="shared" si="2613"/>
        <v>FRI</v>
      </c>
      <c r="G6193" s="1">
        <f t="shared" si="2614"/>
        <v>44176</v>
      </c>
      <c r="H6193" s="2">
        <f t="shared" ca="1" si="2615"/>
        <v>77</v>
      </c>
      <c r="I6193" t="str">
        <f t="shared" si="2616"/>
        <v>SSEC</v>
      </c>
      <c r="J6193">
        <f t="shared" si="2617"/>
        <v>3337</v>
      </c>
      <c r="K6193">
        <f t="shared" si="2618"/>
        <v>3475</v>
      </c>
      <c r="L6193">
        <f t="shared" si="2619"/>
        <v>3406</v>
      </c>
      <c r="M6193">
        <f t="shared" si="2620"/>
        <v>69</v>
      </c>
      <c r="N6193">
        <f t="shared" si="2598"/>
        <v>138</v>
      </c>
      <c r="O6193">
        <f t="shared" si="2621"/>
        <v>3347</v>
      </c>
      <c r="P6193">
        <f t="shared" si="2622"/>
        <v>-0.85507246376811596</v>
      </c>
      <c r="Q6193" t="str">
        <f t="shared" si="2599"/>
        <v>0.3% | 3.82%</v>
      </c>
      <c r="R6193" t="str">
        <f t="shared" si="2623"/>
        <v>BULLISH</v>
      </c>
      <c r="S6193">
        <f t="shared" si="2624"/>
        <v>1</v>
      </c>
    </row>
    <row r="6194" spans="1:19" hidden="1" x14ac:dyDescent="0.25">
      <c r="A6194" s="5" t="str">
        <f t="shared" si="2600"/>
        <v>44176NIKK</v>
      </c>
      <c r="B6194" s="6" t="s">
        <v>91</v>
      </c>
      <c r="C6194" s="6">
        <v>26350</v>
      </c>
      <c r="D6194" s="6">
        <v>26991</v>
      </c>
      <c r="E6194" s="6">
        <v>26652</v>
      </c>
      <c r="F6194" t="str">
        <f t="shared" si="2613"/>
        <v>FRI</v>
      </c>
      <c r="G6194" s="1">
        <f t="shared" si="2614"/>
        <v>44176</v>
      </c>
      <c r="H6194" s="2">
        <f t="shared" ca="1" si="2615"/>
        <v>77</v>
      </c>
      <c r="I6194" t="str">
        <f t="shared" si="2616"/>
        <v>NIKK</v>
      </c>
      <c r="J6194">
        <f t="shared" si="2617"/>
        <v>26350</v>
      </c>
      <c r="K6194">
        <f t="shared" si="2618"/>
        <v>26991</v>
      </c>
      <c r="L6194">
        <f t="shared" si="2619"/>
        <v>26670.5</v>
      </c>
      <c r="M6194">
        <f t="shared" si="2620"/>
        <v>320.5</v>
      </c>
      <c r="N6194">
        <f t="shared" si="2598"/>
        <v>641</v>
      </c>
      <c r="O6194">
        <f t="shared" si="2621"/>
        <v>26652</v>
      </c>
      <c r="P6194">
        <f t="shared" si="2622"/>
        <v>-5.7722308892355696E-2</v>
      </c>
      <c r="Q6194" t="str">
        <f t="shared" si="2599"/>
        <v>1.13% | 1.27%</v>
      </c>
      <c r="R6194" t="str">
        <f t="shared" si="2623"/>
        <v>BULLISH</v>
      </c>
      <c r="S6194">
        <f t="shared" si="2624"/>
        <v>1</v>
      </c>
    </row>
    <row r="6195" spans="1:19" hidden="1" x14ac:dyDescent="0.25">
      <c r="A6195" s="5" t="str">
        <f t="shared" si="2600"/>
        <v>44176DAX</v>
      </c>
      <c r="B6195" s="6" t="s">
        <v>98</v>
      </c>
      <c r="C6195" s="6">
        <v>13128</v>
      </c>
      <c r="D6195" s="6">
        <v>13386</v>
      </c>
      <c r="E6195" s="6">
        <v>13295</v>
      </c>
      <c r="F6195" t="str">
        <f t="shared" si="2613"/>
        <v>FRI</v>
      </c>
      <c r="G6195" s="1">
        <f t="shared" si="2614"/>
        <v>44176</v>
      </c>
      <c r="H6195" s="2">
        <f t="shared" ca="1" si="2615"/>
        <v>77</v>
      </c>
      <c r="I6195" t="str">
        <f t="shared" si="2616"/>
        <v>DAX</v>
      </c>
      <c r="J6195">
        <f t="shared" si="2617"/>
        <v>13128</v>
      </c>
      <c r="K6195">
        <f t="shared" si="2618"/>
        <v>13386</v>
      </c>
      <c r="L6195">
        <f t="shared" si="2619"/>
        <v>13257</v>
      </c>
      <c r="M6195">
        <f t="shared" si="2620"/>
        <v>129</v>
      </c>
      <c r="N6195">
        <f t="shared" si="2598"/>
        <v>258</v>
      </c>
      <c r="O6195">
        <f t="shared" si="2621"/>
        <v>13295</v>
      </c>
      <c r="P6195">
        <f t="shared" si="2622"/>
        <v>0.29457364341085274</v>
      </c>
      <c r="Q6195" t="str">
        <f t="shared" si="2599"/>
        <v>1.26% | 0.68%</v>
      </c>
      <c r="R6195" t="str">
        <f t="shared" si="2623"/>
        <v>BULLISH</v>
      </c>
      <c r="S6195">
        <f t="shared" si="2624"/>
        <v>1</v>
      </c>
    </row>
    <row r="6196" spans="1:19" hidden="1" x14ac:dyDescent="0.25">
      <c r="A6196" s="5" t="str">
        <f t="shared" si="2600"/>
        <v>44176VIX</v>
      </c>
      <c r="B6196" s="6" t="s">
        <v>96</v>
      </c>
      <c r="C6196" s="6">
        <v>19.75</v>
      </c>
      <c r="D6196" s="6">
        <v>22.98</v>
      </c>
      <c r="E6196" s="6">
        <v>22.52</v>
      </c>
      <c r="F6196" t="str">
        <f t="shared" si="2613"/>
        <v>FRI</v>
      </c>
      <c r="G6196" s="1">
        <f t="shared" si="2614"/>
        <v>44176</v>
      </c>
      <c r="H6196" s="2">
        <f t="shared" ca="1" si="2615"/>
        <v>77</v>
      </c>
      <c r="I6196" t="str">
        <f t="shared" si="2616"/>
        <v>VIX</v>
      </c>
      <c r="J6196">
        <f t="shared" si="2617"/>
        <v>19.75</v>
      </c>
      <c r="K6196">
        <f t="shared" si="2618"/>
        <v>22.98</v>
      </c>
      <c r="L6196">
        <f t="shared" si="2619"/>
        <v>21.365000000000002</v>
      </c>
      <c r="M6196">
        <f t="shared" si="2620"/>
        <v>1.6150000000000002</v>
      </c>
      <c r="N6196">
        <f t="shared" si="2598"/>
        <v>3.2300000000000004</v>
      </c>
      <c r="O6196">
        <f t="shared" si="2621"/>
        <v>22.52</v>
      </c>
      <c r="P6196">
        <f t="shared" si="2622"/>
        <v>0.71517027863776927</v>
      </c>
      <c r="Q6196" t="str">
        <f t="shared" si="2599"/>
        <v>12.3% | 2.04%</v>
      </c>
      <c r="R6196" t="str">
        <f t="shared" si="2623"/>
        <v>BEARISH</v>
      </c>
      <c r="S6196">
        <f t="shared" si="2624"/>
        <v>-1</v>
      </c>
    </row>
    <row r="6197" spans="1:19" hidden="1" x14ac:dyDescent="0.25">
      <c r="A6197" s="5" t="str">
        <f t="shared" si="2600"/>
        <v>44176USD</v>
      </c>
      <c r="B6197" s="6" t="s">
        <v>94</v>
      </c>
      <c r="C6197" s="6">
        <v>90.2</v>
      </c>
      <c r="D6197" s="6">
        <v>91.83</v>
      </c>
      <c r="E6197" s="6">
        <v>90.75</v>
      </c>
      <c r="F6197" t="str">
        <f t="shared" si="2613"/>
        <v>FRI</v>
      </c>
      <c r="G6197" s="1">
        <f t="shared" si="2614"/>
        <v>44176</v>
      </c>
      <c r="H6197" s="2">
        <f t="shared" ca="1" si="2615"/>
        <v>77</v>
      </c>
      <c r="I6197" t="str">
        <f t="shared" si="2616"/>
        <v>USD</v>
      </c>
      <c r="J6197">
        <f t="shared" si="2617"/>
        <v>90.2</v>
      </c>
      <c r="K6197">
        <f t="shared" si="2618"/>
        <v>91.83</v>
      </c>
      <c r="L6197">
        <f t="shared" si="2619"/>
        <v>91.015000000000001</v>
      </c>
      <c r="M6197">
        <f t="shared" si="2620"/>
        <v>0.81499999999999773</v>
      </c>
      <c r="N6197">
        <f t="shared" si="2598"/>
        <v>1.6299999999999955</v>
      </c>
      <c r="O6197">
        <f t="shared" si="2621"/>
        <v>90.75</v>
      </c>
      <c r="P6197">
        <f t="shared" si="2622"/>
        <v>-0.32515337423313045</v>
      </c>
      <c r="Q6197" t="str">
        <f t="shared" si="2599"/>
        <v>0.61% | 1.19%</v>
      </c>
      <c r="R6197" t="str">
        <f t="shared" si="2623"/>
        <v>BEARISH</v>
      </c>
      <c r="S6197">
        <f t="shared" si="2624"/>
        <v>-1</v>
      </c>
    </row>
    <row r="6198" spans="1:19" hidden="1" x14ac:dyDescent="0.25">
      <c r="A6198" s="5" t="str">
        <f t="shared" si="2600"/>
        <v>44176EUR/USD</v>
      </c>
      <c r="B6198" s="6" t="s">
        <v>99</v>
      </c>
      <c r="C6198" s="6">
        <v>1.196</v>
      </c>
      <c r="D6198" s="6">
        <v>1.222</v>
      </c>
      <c r="E6198" s="6">
        <v>1.214</v>
      </c>
      <c r="F6198" t="str">
        <f t="shared" si="2613"/>
        <v>FRI</v>
      </c>
      <c r="G6198" s="1">
        <f t="shared" si="2614"/>
        <v>44176</v>
      </c>
      <c r="H6198" s="2">
        <f t="shared" ca="1" si="2615"/>
        <v>77</v>
      </c>
      <c r="I6198" t="str">
        <f t="shared" si="2616"/>
        <v>EUR/USD</v>
      </c>
      <c r="J6198">
        <f t="shared" si="2617"/>
        <v>1.196</v>
      </c>
      <c r="K6198">
        <f t="shared" si="2618"/>
        <v>1.222</v>
      </c>
      <c r="L6198">
        <f t="shared" si="2619"/>
        <v>1.2090000000000001</v>
      </c>
      <c r="M6198">
        <f t="shared" si="2620"/>
        <v>1.3000000000000012E-2</v>
      </c>
      <c r="N6198">
        <f t="shared" si="2598"/>
        <v>2.6000000000000023E-2</v>
      </c>
      <c r="O6198">
        <f t="shared" si="2621"/>
        <v>1.214</v>
      </c>
      <c r="P6198">
        <f t="shared" si="2622"/>
        <v>0.38461538461537609</v>
      </c>
      <c r="Q6198" t="str">
        <f t="shared" si="2599"/>
        <v>1.48% | 0.66%</v>
      </c>
      <c r="R6198" t="str">
        <f t="shared" si="2623"/>
        <v>BULLISH</v>
      </c>
      <c r="S6198">
        <f t="shared" si="2624"/>
        <v>1</v>
      </c>
    </row>
    <row r="6199" spans="1:19" hidden="1" x14ac:dyDescent="0.25">
      <c r="A6199" s="5" t="str">
        <f t="shared" si="2600"/>
        <v>44176USD/JPY</v>
      </c>
      <c r="B6199" s="6" t="s">
        <v>20</v>
      </c>
      <c r="C6199" s="6">
        <v>103.48</v>
      </c>
      <c r="D6199" s="6">
        <v>104.63</v>
      </c>
      <c r="E6199" s="6">
        <v>104.24</v>
      </c>
      <c r="F6199" t="str">
        <f t="shared" si="2613"/>
        <v>FRI</v>
      </c>
      <c r="G6199" s="1">
        <f t="shared" si="2614"/>
        <v>44176</v>
      </c>
      <c r="H6199" s="2">
        <f t="shared" ca="1" si="2615"/>
        <v>77</v>
      </c>
      <c r="I6199" t="str">
        <f t="shared" si="2616"/>
        <v>USD/JPY</v>
      </c>
      <c r="J6199">
        <f t="shared" si="2617"/>
        <v>103.48</v>
      </c>
      <c r="K6199">
        <f t="shared" si="2618"/>
        <v>104.63</v>
      </c>
      <c r="L6199">
        <f t="shared" si="2619"/>
        <v>104.05500000000001</v>
      </c>
      <c r="M6199">
        <f t="shared" si="2620"/>
        <v>0.57499999999999574</v>
      </c>
      <c r="N6199">
        <f t="shared" si="2598"/>
        <v>1.1499999999999915</v>
      </c>
      <c r="O6199">
        <f t="shared" si="2621"/>
        <v>104.24</v>
      </c>
      <c r="P6199">
        <f t="shared" si="2622"/>
        <v>0.32173913043476421</v>
      </c>
      <c r="Q6199" t="str">
        <f t="shared" si="2599"/>
        <v>0.73% | 0.37%</v>
      </c>
      <c r="R6199" t="str">
        <f t="shared" si="2623"/>
        <v>BEARISH</v>
      </c>
      <c r="S6199">
        <f t="shared" si="2624"/>
        <v>-1</v>
      </c>
    </row>
    <row r="6200" spans="1:19" hidden="1" x14ac:dyDescent="0.25">
      <c r="A6200" s="5" t="str">
        <f t="shared" si="2600"/>
        <v>44176GBP/USD</v>
      </c>
      <c r="B6200" s="6" t="s">
        <v>102</v>
      </c>
      <c r="C6200" s="6">
        <v>1.321</v>
      </c>
      <c r="D6200" s="6">
        <v>1.349</v>
      </c>
      <c r="E6200" s="6">
        <v>1.33</v>
      </c>
      <c r="F6200" t="str">
        <f t="shared" si="2613"/>
        <v>FRI</v>
      </c>
      <c r="G6200" s="1">
        <f t="shared" si="2614"/>
        <v>44176</v>
      </c>
      <c r="H6200" s="2">
        <f t="shared" ca="1" si="2615"/>
        <v>77</v>
      </c>
      <c r="I6200" t="str">
        <f t="shared" si="2616"/>
        <v>GBP/USD</v>
      </c>
      <c r="J6200">
        <f t="shared" si="2617"/>
        <v>1.321</v>
      </c>
      <c r="K6200">
        <f t="shared" si="2618"/>
        <v>1.349</v>
      </c>
      <c r="L6200">
        <f t="shared" si="2619"/>
        <v>1.335</v>
      </c>
      <c r="M6200">
        <f t="shared" si="2620"/>
        <v>1.4000000000000012E-2</v>
      </c>
      <c r="N6200">
        <f t="shared" si="2598"/>
        <v>2.8000000000000025E-2</v>
      </c>
      <c r="O6200">
        <f t="shared" si="2621"/>
        <v>1.33</v>
      </c>
      <c r="P6200">
        <f t="shared" si="2622"/>
        <v>-0.35714285714284921</v>
      </c>
      <c r="Q6200" t="str">
        <f t="shared" si="2599"/>
        <v>0.68% | 1.43%</v>
      </c>
      <c r="R6200" t="str">
        <f t="shared" si="2623"/>
        <v>BULLISH</v>
      </c>
      <c r="S6200">
        <f t="shared" si="2624"/>
        <v>1</v>
      </c>
    </row>
    <row r="6201" spans="1:19" hidden="1" x14ac:dyDescent="0.25">
      <c r="A6201" s="5" t="str">
        <f t="shared" si="2600"/>
        <v>44176CAD/USD</v>
      </c>
      <c r="B6201" s="6" t="s">
        <v>244</v>
      </c>
      <c r="C6201" s="6">
        <v>0.76</v>
      </c>
      <c r="D6201" s="6">
        <v>0.78</v>
      </c>
      <c r="E6201" s="6">
        <v>0.78</v>
      </c>
      <c r="F6201" t="str">
        <f t="shared" si="2613"/>
        <v>FRI</v>
      </c>
      <c r="G6201" s="1">
        <f t="shared" si="2614"/>
        <v>44176</v>
      </c>
      <c r="H6201" s="2">
        <f t="shared" ca="1" si="2615"/>
        <v>77</v>
      </c>
      <c r="I6201" t="str">
        <f t="shared" si="2616"/>
        <v>CAD/USD</v>
      </c>
      <c r="J6201">
        <f t="shared" si="2617"/>
        <v>0.76</v>
      </c>
      <c r="K6201">
        <f t="shared" si="2618"/>
        <v>0.78</v>
      </c>
      <c r="L6201">
        <f t="shared" si="2619"/>
        <v>0.77</v>
      </c>
      <c r="M6201">
        <f t="shared" si="2620"/>
        <v>1.0000000000000009E-2</v>
      </c>
      <c r="N6201">
        <f t="shared" si="2598"/>
        <v>2.0000000000000018E-2</v>
      </c>
      <c r="O6201">
        <f t="shared" si="2621"/>
        <v>0.78</v>
      </c>
      <c r="P6201">
        <f t="shared" si="2622"/>
        <v>1</v>
      </c>
      <c r="Q6201" t="str">
        <f t="shared" si="2599"/>
        <v>2.56% | 0%</v>
      </c>
      <c r="R6201" t="str">
        <f t="shared" si="2623"/>
        <v>BULLISH</v>
      </c>
      <c r="S6201">
        <f t="shared" si="2624"/>
        <v>1</v>
      </c>
    </row>
    <row r="6202" spans="1:19" hidden="1" x14ac:dyDescent="0.25">
      <c r="A6202" s="5" t="str">
        <f t="shared" si="2600"/>
        <v>44176USD/CHF</v>
      </c>
      <c r="B6202" s="6" t="s">
        <v>76</v>
      </c>
      <c r="C6202" s="6">
        <v>0.88</v>
      </c>
      <c r="D6202" s="6">
        <v>0.9</v>
      </c>
      <c r="E6202" s="6">
        <v>0.88</v>
      </c>
      <c r="F6202" t="str">
        <f t="shared" si="2613"/>
        <v>FRI</v>
      </c>
      <c r="G6202" s="1">
        <f t="shared" si="2614"/>
        <v>44176</v>
      </c>
      <c r="H6202" s="2">
        <f t="shared" ca="1" si="2615"/>
        <v>77</v>
      </c>
      <c r="I6202" t="str">
        <f t="shared" si="2616"/>
        <v>USD/CHF</v>
      </c>
      <c r="J6202">
        <f t="shared" si="2617"/>
        <v>0.88</v>
      </c>
      <c r="K6202">
        <f t="shared" si="2618"/>
        <v>0.9</v>
      </c>
      <c r="L6202">
        <f t="shared" si="2619"/>
        <v>0.89</v>
      </c>
      <c r="M6202">
        <f t="shared" si="2620"/>
        <v>1.0000000000000009E-2</v>
      </c>
      <c r="N6202">
        <f t="shared" si="2598"/>
        <v>2.0000000000000018E-2</v>
      </c>
      <c r="O6202">
        <f t="shared" si="2621"/>
        <v>0.88</v>
      </c>
      <c r="P6202">
        <f t="shared" si="2622"/>
        <v>-1</v>
      </c>
      <c r="Q6202" t="str">
        <f t="shared" si="2599"/>
        <v>0% | 2.27%</v>
      </c>
      <c r="R6202" t="str">
        <f t="shared" si="2623"/>
        <v>BEARISH</v>
      </c>
      <c r="S6202">
        <f t="shared" si="2624"/>
        <v>-1</v>
      </c>
    </row>
    <row r="6203" spans="1:19" hidden="1" x14ac:dyDescent="0.25">
      <c r="A6203" s="5" t="str">
        <f t="shared" si="2600"/>
        <v>44176WTIC</v>
      </c>
      <c r="B6203" s="6" t="s">
        <v>158</v>
      </c>
      <c r="C6203" s="6">
        <v>44.36</v>
      </c>
      <c r="D6203" s="6">
        <v>46.98</v>
      </c>
      <c r="E6203" s="6">
        <v>46.78</v>
      </c>
      <c r="F6203" t="str">
        <f t="shared" si="2613"/>
        <v>FRI</v>
      </c>
      <c r="G6203" s="1">
        <f t="shared" si="2614"/>
        <v>44176</v>
      </c>
      <c r="H6203" s="2">
        <f t="shared" ca="1" si="2615"/>
        <v>77</v>
      </c>
      <c r="I6203" t="str">
        <f t="shared" si="2616"/>
        <v>WTIC</v>
      </c>
      <c r="J6203">
        <f t="shared" si="2617"/>
        <v>44.36</v>
      </c>
      <c r="K6203">
        <f t="shared" si="2618"/>
        <v>46.98</v>
      </c>
      <c r="L6203">
        <f t="shared" si="2619"/>
        <v>45.67</v>
      </c>
      <c r="M6203">
        <f t="shared" si="2620"/>
        <v>1.3099999999999987</v>
      </c>
      <c r="N6203">
        <f t="shared" si="2598"/>
        <v>2.6199999999999974</v>
      </c>
      <c r="O6203">
        <f t="shared" si="2621"/>
        <v>46.78</v>
      </c>
      <c r="P6203">
        <f t="shared" si="2622"/>
        <v>0.84732824427480957</v>
      </c>
      <c r="Q6203" t="str">
        <f t="shared" si="2599"/>
        <v>5.17% | 0.43%</v>
      </c>
      <c r="R6203" t="str">
        <f t="shared" si="2623"/>
        <v>BULLISH</v>
      </c>
      <c r="S6203">
        <f t="shared" si="2624"/>
        <v>1</v>
      </c>
    </row>
    <row r="6204" spans="1:19" hidden="1" x14ac:dyDescent="0.25">
      <c r="A6204" s="5" t="str">
        <f t="shared" si="2600"/>
        <v>44176NATGAS</v>
      </c>
      <c r="B6204" s="6" t="s">
        <v>89</v>
      </c>
      <c r="C6204" s="6">
        <v>2.25</v>
      </c>
      <c r="D6204" s="6">
        <v>2.99</v>
      </c>
      <c r="E6204" s="6">
        <v>2.5499999999999998</v>
      </c>
      <c r="F6204" t="str">
        <f t="shared" si="2613"/>
        <v>FRI</v>
      </c>
      <c r="G6204" s="1">
        <f t="shared" si="2614"/>
        <v>44176</v>
      </c>
      <c r="H6204" s="2">
        <f t="shared" ca="1" si="2615"/>
        <v>77</v>
      </c>
      <c r="I6204" t="str">
        <f t="shared" si="2616"/>
        <v>NATGAS</v>
      </c>
      <c r="J6204">
        <f t="shared" si="2617"/>
        <v>2.25</v>
      </c>
      <c r="K6204">
        <f t="shared" si="2618"/>
        <v>2.99</v>
      </c>
      <c r="L6204">
        <f t="shared" si="2619"/>
        <v>2.62</v>
      </c>
      <c r="M6204">
        <f t="shared" si="2620"/>
        <v>0.36999999999999972</v>
      </c>
      <c r="N6204">
        <f t="shared" si="2598"/>
        <v>0.74000000000000021</v>
      </c>
      <c r="O6204">
        <f t="shared" si="2621"/>
        <v>2.5499999999999998</v>
      </c>
      <c r="P6204">
        <f t="shared" si="2622"/>
        <v>-0.18918918918919009</v>
      </c>
      <c r="Q6204" t="str">
        <f t="shared" si="2599"/>
        <v>11.76% | 17.25%</v>
      </c>
      <c r="R6204" t="str">
        <f t="shared" si="2623"/>
        <v>BULLISH</v>
      </c>
      <c r="S6204">
        <f t="shared" si="2624"/>
        <v>1</v>
      </c>
    </row>
    <row r="6205" spans="1:19" hidden="1" x14ac:dyDescent="0.25">
      <c r="A6205" s="5" t="str">
        <f t="shared" si="2600"/>
        <v>44176GOLD</v>
      </c>
      <c r="B6205" s="6" t="s">
        <v>85</v>
      </c>
      <c r="C6205" s="6">
        <v>1775</v>
      </c>
      <c r="D6205" s="6">
        <v>1873</v>
      </c>
      <c r="E6205" s="6">
        <v>1837</v>
      </c>
      <c r="F6205" t="str">
        <f t="shared" si="2613"/>
        <v>FRI</v>
      </c>
      <c r="G6205" s="1">
        <f t="shared" si="2614"/>
        <v>44176</v>
      </c>
      <c r="H6205" s="2">
        <f t="shared" ca="1" si="2615"/>
        <v>77</v>
      </c>
      <c r="I6205" t="str">
        <f t="shared" si="2616"/>
        <v>GOLD</v>
      </c>
      <c r="J6205">
        <f t="shared" si="2617"/>
        <v>1775</v>
      </c>
      <c r="K6205">
        <f t="shared" si="2618"/>
        <v>1873</v>
      </c>
      <c r="L6205">
        <f t="shared" si="2619"/>
        <v>1824</v>
      </c>
      <c r="M6205">
        <f t="shared" si="2620"/>
        <v>49</v>
      </c>
      <c r="N6205">
        <f t="shared" si="2598"/>
        <v>98</v>
      </c>
      <c r="O6205">
        <f t="shared" si="2621"/>
        <v>1837</v>
      </c>
      <c r="P6205">
        <f t="shared" si="2622"/>
        <v>0.26530612244897961</v>
      </c>
      <c r="Q6205" t="str">
        <f t="shared" si="2599"/>
        <v>3.38% | 1.96%</v>
      </c>
      <c r="R6205" t="str">
        <f t="shared" si="2623"/>
        <v>BEARISH</v>
      </c>
      <c r="S6205">
        <f t="shared" si="2624"/>
        <v>-1</v>
      </c>
    </row>
    <row r="6206" spans="1:19" hidden="1" x14ac:dyDescent="0.25">
      <c r="A6206" s="5" t="str">
        <f t="shared" si="2600"/>
        <v>44176COPPER</v>
      </c>
      <c r="B6206" s="6" t="s">
        <v>100</v>
      </c>
      <c r="C6206" s="6">
        <v>3.42</v>
      </c>
      <c r="D6206" s="6">
        <v>3.59</v>
      </c>
      <c r="E6206" s="6">
        <v>3.58</v>
      </c>
      <c r="F6206" t="str">
        <f t="shared" si="2613"/>
        <v>FRI</v>
      </c>
      <c r="G6206" s="1">
        <f t="shared" si="2614"/>
        <v>44176</v>
      </c>
      <c r="H6206" s="2">
        <f t="shared" ca="1" si="2615"/>
        <v>77</v>
      </c>
      <c r="I6206" t="str">
        <f t="shared" si="2616"/>
        <v>COPPER</v>
      </c>
      <c r="J6206">
        <f t="shared" si="2617"/>
        <v>3.42</v>
      </c>
      <c r="K6206">
        <f t="shared" si="2618"/>
        <v>3.59</v>
      </c>
      <c r="L6206">
        <f t="shared" si="2619"/>
        <v>3.5049999999999999</v>
      </c>
      <c r="M6206">
        <f t="shared" si="2620"/>
        <v>8.4999999999999964E-2</v>
      </c>
      <c r="N6206">
        <f t="shared" si="2598"/>
        <v>0.16999999999999993</v>
      </c>
      <c r="O6206">
        <f t="shared" si="2621"/>
        <v>3.58</v>
      </c>
      <c r="P6206">
        <f t="shared" si="2622"/>
        <v>0.882352941176473</v>
      </c>
      <c r="Q6206" t="str">
        <f t="shared" si="2599"/>
        <v>4.47% | 0.28%</v>
      </c>
      <c r="R6206" t="str">
        <f t="shared" si="2623"/>
        <v>BULLISH</v>
      </c>
      <c r="S6206">
        <f t="shared" si="2624"/>
        <v>1</v>
      </c>
    </row>
    <row r="6207" spans="1:19" hidden="1" x14ac:dyDescent="0.25">
      <c r="A6207" s="5" t="str">
        <f t="shared" si="2600"/>
        <v>44176MSFT</v>
      </c>
      <c r="B6207" s="6" t="s">
        <v>27</v>
      </c>
      <c r="C6207" s="6">
        <v>209</v>
      </c>
      <c r="D6207" s="6">
        <v>218</v>
      </c>
      <c r="E6207" s="6">
        <v>210</v>
      </c>
      <c r="F6207" t="str">
        <f t="shared" si="2613"/>
        <v>FRI</v>
      </c>
      <c r="G6207" s="1">
        <f t="shared" si="2614"/>
        <v>44176</v>
      </c>
      <c r="H6207" s="2">
        <f t="shared" ca="1" si="2615"/>
        <v>77</v>
      </c>
      <c r="I6207" t="str">
        <f t="shared" si="2616"/>
        <v>MSFT</v>
      </c>
      <c r="J6207">
        <f t="shared" si="2617"/>
        <v>209</v>
      </c>
      <c r="K6207">
        <f t="shared" si="2618"/>
        <v>218</v>
      </c>
      <c r="L6207">
        <f t="shared" si="2619"/>
        <v>213.5</v>
      </c>
      <c r="M6207">
        <f t="shared" si="2620"/>
        <v>4.5</v>
      </c>
      <c r="N6207">
        <f t="shared" si="2598"/>
        <v>9</v>
      </c>
      <c r="O6207">
        <f t="shared" si="2621"/>
        <v>210</v>
      </c>
      <c r="P6207">
        <f t="shared" si="2622"/>
        <v>-0.77777777777777779</v>
      </c>
      <c r="Q6207" t="str">
        <f t="shared" si="2599"/>
        <v>0.48% | 3.81%</v>
      </c>
      <c r="R6207" t="str">
        <f t="shared" si="2623"/>
        <v>BULLISH</v>
      </c>
      <c r="S6207">
        <f t="shared" si="2624"/>
        <v>1</v>
      </c>
    </row>
    <row r="6208" spans="1:19" hidden="1" x14ac:dyDescent="0.25">
      <c r="A6208" s="5" t="str">
        <f t="shared" si="2600"/>
        <v>44176AAPL</v>
      </c>
      <c r="B6208" s="6" t="s">
        <v>28</v>
      </c>
      <c r="C6208" s="6">
        <v>119</v>
      </c>
      <c r="D6208" s="6">
        <v>126</v>
      </c>
      <c r="E6208" s="6">
        <v>123</v>
      </c>
      <c r="F6208" t="str">
        <f t="shared" si="2613"/>
        <v>FRI</v>
      </c>
      <c r="G6208" s="1">
        <f t="shared" si="2614"/>
        <v>44176</v>
      </c>
      <c r="H6208" s="2">
        <f t="shared" ca="1" si="2615"/>
        <v>77</v>
      </c>
      <c r="I6208" t="str">
        <f t="shared" si="2616"/>
        <v>AAPL</v>
      </c>
      <c r="J6208">
        <f t="shared" si="2617"/>
        <v>119</v>
      </c>
      <c r="K6208">
        <f t="shared" si="2618"/>
        <v>126</v>
      </c>
      <c r="L6208">
        <f t="shared" si="2619"/>
        <v>122.5</v>
      </c>
      <c r="M6208">
        <f t="shared" si="2620"/>
        <v>3.5</v>
      </c>
      <c r="N6208">
        <f t="shared" si="2598"/>
        <v>7</v>
      </c>
      <c r="O6208">
        <f t="shared" si="2621"/>
        <v>123</v>
      </c>
      <c r="P6208">
        <f t="shared" si="2622"/>
        <v>0.14285714285714285</v>
      </c>
      <c r="Q6208" t="str">
        <f t="shared" si="2599"/>
        <v>3.25% | 2.44%</v>
      </c>
      <c r="R6208" t="str">
        <f t="shared" si="2623"/>
        <v>BULLISH</v>
      </c>
      <c r="S6208">
        <f t="shared" si="2624"/>
        <v>1</v>
      </c>
    </row>
    <row r="6209" spans="1:19" hidden="1" x14ac:dyDescent="0.25">
      <c r="A6209" s="5" t="str">
        <f t="shared" si="2600"/>
        <v>44176AMZN</v>
      </c>
      <c r="B6209" s="6" t="s">
        <v>69</v>
      </c>
      <c r="C6209" s="6">
        <v>3078</v>
      </c>
      <c r="D6209" s="6">
        <v>3236</v>
      </c>
      <c r="E6209" s="6">
        <v>3101</v>
      </c>
      <c r="F6209" t="str">
        <f t="shared" si="2613"/>
        <v>FRI</v>
      </c>
      <c r="G6209" s="1">
        <f t="shared" si="2614"/>
        <v>44176</v>
      </c>
      <c r="H6209" s="2">
        <f t="shared" ca="1" si="2615"/>
        <v>77</v>
      </c>
      <c r="I6209" t="str">
        <f t="shared" si="2616"/>
        <v>AMZN</v>
      </c>
      <c r="J6209">
        <f t="shared" si="2617"/>
        <v>3078</v>
      </c>
      <c r="K6209">
        <f t="shared" si="2618"/>
        <v>3236</v>
      </c>
      <c r="L6209">
        <f t="shared" si="2619"/>
        <v>3157</v>
      </c>
      <c r="M6209">
        <f t="shared" si="2620"/>
        <v>79</v>
      </c>
      <c r="N6209">
        <f t="shared" si="2598"/>
        <v>158</v>
      </c>
      <c r="O6209">
        <f t="shared" si="2621"/>
        <v>3101</v>
      </c>
      <c r="P6209">
        <f t="shared" si="2622"/>
        <v>-0.70886075949367089</v>
      </c>
      <c r="Q6209" t="str">
        <f t="shared" si="2599"/>
        <v>0.74% | 4.35%</v>
      </c>
      <c r="R6209" t="str">
        <f t="shared" si="2623"/>
        <v>NEUTRAL</v>
      </c>
      <c r="S6209">
        <f t="shared" si="2624"/>
        <v>0</v>
      </c>
    </row>
    <row r="6210" spans="1:19" hidden="1" x14ac:dyDescent="0.25">
      <c r="A6210" s="5" t="str">
        <f t="shared" si="2600"/>
        <v>44176FB</v>
      </c>
      <c r="B6210" s="6" t="s">
        <v>30</v>
      </c>
      <c r="C6210" s="6">
        <v>273</v>
      </c>
      <c r="D6210" s="6">
        <v>290</v>
      </c>
      <c r="E6210" s="6">
        <v>277</v>
      </c>
      <c r="F6210" t="str">
        <f t="shared" si="2613"/>
        <v>FRI</v>
      </c>
      <c r="G6210" s="1">
        <f t="shared" si="2614"/>
        <v>44176</v>
      </c>
      <c r="H6210" s="2">
        <f t="shared" ca="1" si="2615"/>
        <v>77</v>
      </c>
      <c r="I6210" t="str">
        <f t="shared" si="2616"/>
        <v>FB</v>
      </c>
      <c r="J6210">
        <f t="shared" si="2617"/>
        <v>273</v>
      </c>
      <c r="K6210">
        <f t="shared" si="2618"/>
        <v>290</v>
      </c>
      <c r="L6210">
        <f t="shared" si="2619"/>
        <v>281.5</v>
      </c>
      <c r="M6210">
        <f t="shared" si="2620"/>
        <v>8.5</v>
      </c>
      <c r="N6210">
        <f t="shared" si="2598"/>
        <v>17</v>
      </c>
      <c r="O6210">
        <f t="shared" si="2621"/>
        <v>277</v>
      </c>
      <c r="P6210">
        <f t="shared" si="2622"/>
        <v>-0.52941176470588236</v>
      </c>
      <c r="Q6210" t="str">
        <f t="shared" si="2599"/>
        <v>1.44% | 4.69%</v>
      </c>
      <c r="R6210" t="str">
        <f t="shared" si="2623"/>
        <v>BULLISH</v>
      </c>
      <c r="S6210">
        <f t="shared" si="2624"/>
        <v>1</v>
      </c>
    </row>
    <row r="6211" spans="1:19" hidden="1" x14ac:dyDescent="0.25">
      <c r="A6211" s="5" t="str">
        <f t="shared" si="2600"/>
        <v>44176GOOGL</v>
      </c>
      <c r="B6211" s="6" t="s">
        <v>31</v>
      </c>
      <c r="C6211" s="6">
        <v>1745</v>
      </c>
      <c r="D6211" s="6">
        <v>1851</v>
      </c>
      <c r="E6211" s="6">
        <v>1767</v>
      </c>
      <c r="F6211" t="str">
        <f t="shared" si="2613"/>
        <v>FRI</v>
      </c>
      <c r="G6211" s="1">
        <f t="shared" si="2614"/>
        <v>44176</v>
      </c>
      <c r="H6211" s="2">
        <f t="shared" ca="1" si="2615"/>
        <v>77</v>
      </c>
      <c r="I6211" t="str">
        <f t="shared" si="2616"/>
        <v>GOOGL</v>
      </c>
      <c r="J6211">
        <f t="shared" si="2617"/>
        <v>1745</v>
      </c>
      <c r="K6211">
        <f t="shared" si="2618"/>
        <v>1851</v>
      </c>
      <c r="L6211">
        <f t="shared" si="2619"/>
        <v>1798</v>
      </c>
      <c r="M6211">
        <f t="shared" si="2620"/>
        <v>53</v>
      </c>
      <c r="N6211">
        <f t="shared" ref="N6211:N6274" si="2625">ABS(K6211-J6211)</f>
        <v>106</v>
      </c>
      <c r="O6211">
        <f t="shared" si="2621"/>
        <v>1767</v>
      </c>
      <c r="P6211">
        <f t="shared" si="2622"/>
        <v>-0.58490566037735847</v>
      </c>
      <c r="Q6211" t="str">
        <f t="shared" ref="Q6211:Q6274" si="2626">ROUND(ABS(100*(O6211-J6211)/O6211),2)&amp;"% | "&amp;ROUND(ABS(100*(K6211-O6211)/O6211),2)&amp;"%"</f>
        <v>1.25% | 4.75%</v>
      </c>
      <c r="R6211" t="str">
        <f t="shared" si="2623"/>
        <v>BULLISH</v>
      </c>
      <c r="S6211">
        <f t="shared" si="2624"/>
        <v>1</v>
      </c>
    </row>
    <row r="6212" spans="1:19" hidden="1" x14ac:dyDescent="0.25">
      <c r="A6212" s="5" t="str">
        <f t="shared" si="2600"/>
        <v>44176NFLX</v>
      </c>
      <c r="B6212" s="6" t="s">
        <v>81</v>
      </c>
      <c r="C6212" s="6">
        <v>485</v>
      </c>
      <c r="D6212" s="6">
        <v>518</v>
      </c>
      <c r="E6212" s="6">
        <v>501</v>
      </c>
      <c r="F6212" t="str">
        <f t="shared" si="2613"/>
        <v>FRI</v>
      </c>
      <c r="G6212" s="1">
        <f t="shared" si="2614"/>
        <v>44176</v>
      </c>
      <c r="H6212" s="2">
        <f t="shared" ca="1" si="2615"/>
        <v>77</v>
      </c>
      <c r="I6212" t="str">
        <f t="shared" si="2616"/>
        <v>NFLX</v>
      </c>
      <c r="J6212">
        <f t="shared" si="2617"/>
        <v>485</v>
      </c>
      <c r="K6212">
        <f t="shared" si="2618"/>
        <v>518</v>
      </c>
      <c r="L6212">
        <f t="shared" si="2619"/>
        <v>501.5</v>
      </c>
      <c r="M6212">
        <f t="shared" si="2620"/>
        <v>16.5</v>
      </c>
      <c r="N6212">
        <f t="shared" si="2625"/>
        <v>33</v>
      </c>
      <c r="O6212">
        <f t="shared" si="2621"/>
        <v>501</v>
      </c>
      <c r="P6212">
        <f t="shared" si="2622"/>
        <v>-3.0303030303030304E-2</v>
      </c>
      <c r="Q6212" t="str">
        <f t="shared" si="2626"/>
        <v>3.19% | 3.39%</v>
      </c>
      <c r="R6212" t="str">
        <f t="shared" si="2623"/>
        <v>BEARISH</v>
      </c>
      <c r="S6212">
        <f t="shared" si="2624"/>
        <v>-1</v>
      </c>
    </row>
    <row r="6213" spans="1:19" x14ac:dyDescent="0.25">
      <c r="A6213" s="5" t="str">
        <f t="shared" si="2600"/>
        <v>44176TSLA</v>
      </c>
      <c r="B6213" s="6" t="s">
        <v>33</v>
      </c>
      <c r="C6213" s="6">
        <v>545</v>
      </c>
      <c r="D6213" s="6">
        <v>662</v>
      </c>
      <c r="E6213" s="6">
        <v>627</v>
      </c>
      <c r="F6213" t="str">
        <f t="shared" si="2613"/>
        <v>FRI</v>
      </c>
      <c r="G6213" s="1">
        <f t="shared" si="2614"/>
        <v>44176</v>
      </c>
      <c r="H6213" s="2">
        <f t="shared" ca="1" si="2615"/>
        <v>77</v>
      </c>
      <c r="I6213" t="str">
        <f t="shared" si="2616"/>
        <v>TSLA</v>
      </c>
      <c r="J6213">
        <f t="shared" si="2617"/>
        <v>545</v>
      </c>
      <c r="K6213">
        <f t="shared" si="2618"/>
        <v>662</v>
      </c>
      <c r="L6213">
        <f t="shared" si="2619"/>
        <v>603.5</v>
      </c>
      <c r="M6213">
        <f t="shared" si="2620"/>
        <v>58.5</v>
      </c>
      <c r="N6213">
        <f t="shared" si="2625"/>
        <v>117</v>
      </c>
      <c r="O6213">
        <f t="shared" si="2621"/>
        <v>627</v>
      </c>
      <c r="P6213">
        <f t="shared" si="2622"/>
        <v>0.40170940170940173</v>
      </c>
      <c r="Q6213" t="str">
        <f t="shared" si="2626"/>
        <v>13.08% | 5.58%</v>
      </c>
      <c r="R6213" t="str">
        <f t="shared" si="2623"/>
        <v>BULLISH</v>
      </c>
      <c r="S6213">
        <f t="shared" si="2624"/>
        <v>1</v>
      </c>
    </row>
    <row r="6214" spans="1:19" hidden="1" x14ac:dyDescent="0.25">
      <c r="A6214" s="5" t="str">
        <f t="shared" si="2600"/>
        <v>44176NYXBT</v>
      </c>
      <c r="B6214" s="6" t="s">
        <v>60</v>
      </c>
      <c r="C6214" s="6">
        <v>17392</v>
      </c>
      <c r="D6214" s="6">
        <v>19908</v>
      </c>
      <c r="E6214" s="6">
        <v>18070</v>
      </c>
      <c r="F6214" t="str">
        <f t="shared" si="2613"/>
        <v>FRI</v>
      </c>
      <c r="G6214" s="1">
        <f t="shared" si="2614"/>
        <v>44176</v>
      </c>
      <c r="H6214" s="2">
        <f t="shared" ca="1" si="2615"/>
        <v>77</v>
      </c>
      <c r="I6214" t="str">
        <f t="shared" si="2616"/>
        <v>NYXBT</v>
      </c>
      <c r="J6214">
        <f t="shared" si="2617"/>
        <v>17392</v>
      </c>
      <c r="K6214">
        <f t="shared" si="2618"/>
        <v>19908</v>
      </c>
      <c r="L6214">
        <f t="shared" si="2619"/>
        <v>18650</v>
      </c>
      <c r="M6214">
        <f t="shared" si="2620"/>
        <v>1258</v>
      </c>
      <c r="N6214">
        <f t="shared" si="2625"/>
        <v>2516</v>
      </c>
      <c r="O6214">
        <f t="shared" si="2621"/>
        <v>18070</v>
      </c>
      <c r="P6214">
        <f t="shared" si="2622"/>
        <v>-0.46104928457869632</v>
      </c>
      <c r="Q6214" t="str">
        <f t="shared" si="2626"/>
        <v>3.75% | 10.17%</v>
      </c>
      <c r="R6214" t="str">
        <f t="shared" si="2623"/>
        <v>BULLISH</v>
      </c>
      <c r="S6214">
        <f t="shared" si="2624"/>
        <v>1</v>
      </c>
    </row>
    <row r="6215" spans="1:19" hidden="1" x14ac:dyDescent="0.25">
      <c r="A6215" s="5" t="str">
        <f t="shared" si="2600"/>
        <v>44179UST10Y</v>
      </c>
      <c r="B6215" s="6" t="s">
        <v>257</v>
      </c>
      <c r="C6215" s="6">
        <v>0.99</v>
      </c>
      <c r="D6215" s="6">
        <v>0.89</v>
      </c>
      <c r="E6215" s="6">
        <v>0.9</v>
      </c>
      <c r="F6215" t="str">
        <f t="shared" si="2613"/>
        <v>MON</v>
      </c>
      <c r="G6215" s="3">
        <f>DATE(2020,12,14)</f>
        <v>44179</v>
      </c>
      <c r="H6215" s="2">
        <f t="shared" ca="1" si="2615"/>
        <v>74</v>
      </c>
      <c r="I6215" t="str">
        <f t="shared" si="2616"/>
        <v>UST10Y</v>
      </c>
      <c r="J6215">
        <f t="shared" si="2617"/>
        <v>0.99</v>
      </c>
      <c r="K6215">
        <f t="shared" si="2618"/>
        <v>0.89</v>
      </c>
      <c r="L6215">
        <f t="shared" si="2619"/>
        <v>0.94</v>
      </c>
      <c r="M6215">
        <f t="shared" si="2620"/>
        <v>4.9999999999999989E-2</v>
      </c>
      <c r="N6215">
        <f t="shared" si="2625"/>
        <v>9.9999999999999978E-2</v>
      </c>
      <c r="O6215">
        <f t="shared" si="2621"/>
        <v>0.9</v>
      </c>
      <c r="P6215">
        <f t="shared" si="2622"/>
        <v>-0.79999999999999871</v>
      </c>
      <c r="Q6215" t="str">
        <f t="shared" si="2626"/>
        <v>10% | 1.11%</v>
      </c>
      <c r="R6215" t="str">
        <f t="shared" si="2623"/>
        <v>BULLISH</v>
      </c>
      <c r="S6215">
        <f t="shared" si="2624"/>
        <v>1</v>
      </c>
    </row>
    <row r="6216" spans="1:19" hidden="1" x14ac:dyDescent="0.25">
      <c r="A6216" s="5" t="str">
        <f t="shared" ref="A6216:A6279" si="2627">G6216&amp;I6216</f>
        <v>44179UST2Y</v>
      </c>
      <c r="B6216" s="6" t="s">
        <v>253</v>
      </c>
      <c r="C6216" s="6">
        <v>0.18</v>
      </c>
      <c r="D6216" s="6">
        <v>0.11</v>
      </c>
      <c r="E6216" s="6">
        <v>0.11</v>
      </c>
      <c r="F6216" t="str">
        <f t="shared" ref="F6216:F6246" si="2628">UPPER(TEXT(G6216,"ddd"))</f>
        <v>MON</v>
      </c>
      <c r="G6216" s="3">
        <f t="shared" ref="G6216:G6245" si="2629">DATE(2020,12,14)</f>
        <v>44179</v>
      </c>
      <c r="H6216" s="2">
        <f t="shared" ref="H6216:H6246" ca="1" si="2630">TODAY()-G6216</f>
        <v>74</v>
      </c>
      <c r="I6216" t="str">
        <f t="shared" ref="I6216:I6246" si="2631">TRIM(LEFT(B6216,FIND(" ",B6216,1)))</f>
        <v>UST2Y</v>
      </c>
      <c r="J6216">
        <f t="shared" ref="J6216:J6246" si="2632">C6216</f>
        <v>0.18</v>
      </c>
      <c r="K6216">
        <f t="shared" ref="K6216:K6246" si="2633">D6216</f>
        <v>0.11</v>
      </c>
      <c r="L6216">
        <f t="shared" ref="L6216:L6246" si="2634">AVERAGE(J6216:K6216)</f>
        <v>0.14499999999999999</v>
      </c>
      <c r="M6216">
        <f t="shared" ref="M6216:M6246" si="2635">_xlfn.STDEV.P(J6216:K6216)</f>
        <v>3.5000000000000003E-2</v>
      </c>
      <c r="N6216">
        <f t="shared" si="2625"/>
        <v>6.9999999999999993E-2</v>
      </c>
      <c r="O6216">
        <f t="shared" ref="O6216:O6246" si="2636">E6216</f>
        <v>0.11</v>
      </c>
      <c r="P6216">
        <f t="shared" ref="P6216:P6246" si="2637">(O6216-L6216)/M6216</f>
        <v>-0.99999999999999956</v>
      </c>
      <c r="Q6216" t="str">
        <f t="shared" si="2626"/>
        <v>63.64% | 0%</v>
      </c>
      <c r="R6216" t="str">
        <f t="shared" ref="R6216:R6246" si="2638">MID(B6216,FIND("(",B6216,1)+1,FIND(")",B6216,1)-FIND("(",B6216,1)-1)</f>
        <v>NEUTRAL</v>
      </c>
      <c r="S6216">
        <f t="shared" ref="S6216:S6246" si="2639">IF(R6216="BEARISH",-1,IF(R6216="NEUTRAL",0,IF(R6216="BULLISH",1,99)))</f>
        <v>0</v>
      </c>
    </row>
    <row r="6217" spans="1:19" hidden="1" x14ac:dyDescent="0.25">
      <c r="A6217" s="5" t="str">
        <f t="shared" si="2627"/>
        <v>44179SPX</v>
      </c>
      <c r="B6217" s="6" t="s">
        <v>93</v>
      </c>
      <c r="C6217" s="6">
        <v>3637</v>
      </c>
      <c r="D6217" s="6">
        <v>3717</v>
      </c>
      <c r="E6217" s="6">
        <v>3663</v>
      </c>
      <c r="F6217" t="str">
        <f t="shared" si="2628"/>
        <v>MON</v>
      </c>
      <c r="G6217" s="3">
        <f t="shared" si="2629"/>
        <v>44179</v>
      </c>
      <c r="H6217" s="2">
        <f t="shared" ca="1" si="2630"/>
        <v>74</v>
      </c>
      <c r="I6217" t="str">
        <f t="shared" si="2631"/>
        <v>SPX</v>
      </c>
      <c r="J6217">
        <f t="shared" si="2632"/>
        <v>3637</v>
      </c>
      <c r="K6217">
        <f t="shared" si="2633"/>
        <v>3717</v>
      </c>
      <c r="L6217">
        <f t="shared" si="2634"/>
        <v>3677</v>
      </c>
      <c r="M6217">
        <f t="shared" si="2635"/>
        <v>40</v>
      </c>
      <c r="N6217">
        <f t="shared" si="2625"/>
        <v>80</v>
      </c>
      <c r="O6217">
        <f t="shared" si="2636"/>
        <v>3663</v>
      </c>
      <c r="P6217">
        <f t="shared" si="2637"/>
        <v>-0.35</v>
      </c>
      <c r="Q6217" t="str">
        <f t="shared" si="2626"/>
        <v>0.71% | 1.47%</v>
      </c>
      <c r="R6217" t="str">
        <f t="shared" si="2638"/>
        <v>BULLISH</v>
      </c>
      <c r="S6217">
        <f t="shared" si="2639"/>
        <v>1</v>
      </c>
    </row>
    <row r="6218" spans="1:19" hidden="1" x14ac:dyDescent="0.25">
      <c r="A6218" s="5" t="str">
        <f t="shared" si="2627"/>
        <v>44179RUT</v>
      </c>
      <c r="B6218" s="6" t="s">
        <v>247</v>
      </c>
      <c r="C6218" s="6">
        <v>1822</v>
      </c>
      <c r="D6218" s="6">
        <v>1945</v>
      </c>
      <c r="E6218" s="6">
        <v>1911</v>
      </c>
      <c r="F6218" t="str">
        <f t="shared" si="2628"/>
        <v>MON</v>
      </c>
      <c r="G6218" s="3">
        <f t="shared" si="2629"/>
        <v>44179</v>
      </c>
      <c r="H6218" s="2">
        <f t="shared" ca="1" si="2630"/>
        <v>74</v>
      </c>
      <c r="I6218" t="str">
        <f t="shared" si="2631"/>
        <v>RUT</v>
      </c>
      <c r="J6218">
        <f t="shared" si="2632"/>
        <v>1822</v>
      </c>
      <c r="K6218">
        <f t="shared" si="2633"/>
        <v>1945</v>
      </c>
      <c r="L6218">
        <f t="shared" si="2634"/>
        <v>1883.5</v>
      </c>
      <c r="M6218">
        <f t="shared" si="2635"/>
        <v>61.5</v>
      </c>
      <c r="N6218">
        <f t="shared" si="2625"/>
        <v>123</v>
      </c>
      <c r="O6218">
        <f t="shared" si="2636"/>
        <v>1911</v>
      </c>
      <c r="P6218">
        <f t="shared" si="2637"/>
        <v>0.44715447154471544</v>
      </c>
      <c r="Q6218" t="str">
        <f t="shared" si="2626"/>
        <v>4.66% | 1.78%</v>
      </c>
      <c r="R6218" t="str">
        <f t="shared" si="2638"/>
        <v>BULLISH</v>
      </c>
      <c r="S6218">
        <f t="shared" si="2639"/>
        <v>1</v>
      </c>
    </row>
    <row r="6219" spans="1:19" hidden="1" x14ac:dyDescent="0.25">
      <c r="A6219" s="5" t="str">
        <f t="shared" si="2627"/>
        <v>44179COMPQ</v>
      </c>
      <c r="B6219" s="6" t="s">
        <v>8</v>
      </c>
      <c r="C6219" s="6">
        <v>12218</v>
      </c>
      <c r="D6219" s="6">
        <v>12599</v>
      </c>
      <c r="E6219" s="6">
        <v>12377</v>
      </c>
      <c r="F6219" t="str">
        <f t="shared" si="2628"/>
        <v>MON</v>
      </c>
      <c r="G6219" s="3">
        <f t="shared" si="2629"/>
        <v>44179</v>
      </c>
      <c r="H6219" s="2">
        <f t="shared" ca="1" si="2630"/>
        <v>74</v>
      </c>
      <c r="I6219" t="str">
        <f t="shared" si="2631"/>
        <v>COMPQ</v>
      </c>
      <c r="J6219">
        <f t="shared" si="2632"/>
        <v>12218</v>
      </c>
      <c r="K6219">
        <f t="shared" si="2633"/>
        <v>12599</v>
      </c>
      <c r="L6219">
        <f t="shared" si="2634"/>
        <v>12408.5</v>
      </c>
      <c r="M6219">
        <f t="shared" si="2635"/>
        <v>190.5</v>
      </c>
      <c r="N6219">
        <f t="shared" si="2625"/>
        <v>381</v>
      </c>
      <c r="O6219">
        <f t="shared" si="2636"/>
        <v>12377</v>
      </c>
      <c r="P6219">
        <f t="shared" si="2637"/>
        <v>-0.16535433070866143</v>
      </c>
      <c r="Q6219" t="str">
        <f t="shared" si="2626"/>
        <v>1.28% | 1.79%</v>
      </c>
      <c r="R6219" t="str">
        <f t="shared" si="2638"/>
        <v>BULLISH</v>
      </c>
      <c r="S6219">
        <f t="shared" si="2639"/>
        <v>1</v>
      </c>
    </row>
    <row r="6220" spans="1:19" hidden="1" x14ac:dyDescent="0.25">
      <c r="A6220" s="5" t="str">
        <f t="shared" si="2627"/>
        <v>44179XLK</v>
      </c>
      <c r="B6220" s="6" t="s">
        <v>10</v>
      </c>
      <c r="C6220" s="6">
        <v>123.19</v>
      </c>
      <c r="D6220" s="6">
        <v>127.1</v>
      </c>
      <c r="E6220" s="6">
        <v>124.3</v>
      </c>
      <c r="F6220" t="str">
        <f t="shared" si="2628"/>
        <v>MON</v>
      </c>
      <c r="G6220" s="3">
        <f t="shared" si="2629"/>
        <v>44179</v>
      </c>
      <c r="H6220" s="2">
        <f t="shared" ca="1" si="2630"/>
        <v>74</v>
      </c>
      <c r="I6220" t="str">
        <f t="shared" si="2631"/>
        <v>XLK</v>
      </c>
      <c r="J6220">
        <f t="shared" si="2632"/>
        <v>123.19</v>
      </c>
      <c r="K6220">
        <f t="shared" si="2633"/>
        <v>127.1</v>
      </c>
      <c r="L6220">
        <f t="shared" si="2634"/>
        <v>125.145</v>
      </c>
      <c r="M6220">
        <f t="shared" si="2635"/>
        <v>1.9549999999999983</v>
      </c>
      <c r="N6220">
        <f t="shared" si="2625"/>
        <v>3.9099999999999966</v>
      </c>
      <c r="O6220">
        <f t="shared" si="2636"/>
        <v>124.3</v>
      </c>
      <c r="P6220">
        <f t="shared" si="2637"/>
        <v>-0.4322250639386187</v>
      </c>
      <c r="Q6220" t="str">
        <f t="shared" si="2626"/>
        <v>0.89% | 2.25%</v>
      </c>
      <c r="R6220" t="str">
        <f t="shared" si="2638"/>
        <v>BULLISH</v>
      </c>
      <c r="S6220">
        <f t="shared" si="2639"/>
        <v>1</v>
      </c>
    </row>
    <row r="6221" spans="1:19" hidden="1" x14ac:dyDescent="0.25">
      <c r="A6221" s="5" t="str">
        <f t="shared" si="2627"/>
        <v>44179XLE</v>
      </c>
      <c r="B6221" s="6" t="s">
        <v>250</v>
      </c>
      <c r="C6221" s="6">
        <v>37.15</v>
      </c>
      <c r="D6221" s="6">
        <v>42.78</v>
      </c>
      <c r="E6221" s="6">
        <v>41.12</v>
      </c>
      <c r="F6221" t="str">
        <f t="shared" si="2628"/>
        <v>MON</v>
      </c>
      <c r="G6221" s="3">
        <f t="shared" si="2629"/>
        <v>44179</v>
      </c>
      <c r="H6221" s="2">
        <f t="shared" ca="1" si="2630"/>
        <v>74</v>
      </c>
      <c r="I6221" t="str">
        <f t="shared" si="2631"/>
        <v>XLE</v>
      </c>
      <c r="J6221">
        <f t="shared" si="2632"/>
        <v>37.15</v>
      </c>
      <c r="K6221">
        <f t="shared" si="2633"/>
        <v>42.78</v>
      </c>
      <c r="L6221">
        <f t="shared" si="2634"/>
        <v>39.965000000000003</v>
      </c>
      <c r="M6221">
        <f t="shared" si="2635"/>
        <v>2.8150000000000013</v>
      </c>
      <c r="N6221">
        <f t="shared" si="2625"/>
        <v>5.6300000000000026</v>
      </c>
      <c r="O6221">
        <f t="shared" si="2636"/>
        <v>41.12</v>
      </c>
      <c r="P6221">
        <f t="shared" si="2637"/>
        <v>0.41030195381882539</v>
      </c>
      <c r="Q6221" t="str">
        <f t="shared" si="2626"/>
        <v>9.65% | 4.04%</v>
      </c>
      <c r="R6221" t="str">
        <f t="shared" si="2638"/>
        <v>BULLISH</v>
      </c>
      <c r="S6221">
        <f t="shared" si="2639"/>
        <v>1</v>
      </c>
    </row>
    <row r="6222" spans="1:19" hidden="1" x14ac:dyDescent="0.25">
      <c r="A6222" s="5" t="str">
        <f t="shared" si="2627"/>
        <v>44179XLU</v>
      </c>
      <c r="B6222" s="6" t="s">
        <v>82</v>
      </c>
      <c r="C6222" s="6">
        <v>61.66</v>
      </c>
      <c r="D6222" s="6">
        <v>63.81</v>
      </c>
      <c r="E6222" s="6">
        <v>62.24</v>
      </c>
      <c r="F6222" t="str">
        <f t="shared" si="2628"/>
        <v>MON</v>
      </c>
      <c r="G6222" s="3">
        <f t="shared" si="2629"/>
        <v>44179</v>
      </c>
      <c r="H6222" s="2">
        <f t="shared" ca="1" si="2630"/>
        <v>74</v>
      </c>
      <c r="I6222" t="str">
        <f t="shared" si="2631"/>
        <v>XLU</v>
      </c>
      <c r="J6222">
        <f t="shared" si="2632"/>
        <v>61.66</v>
      </c>
      <c r="K6222">
        <f t="shared" si="2633"/>
        <v>63.81</v>
      </c>
      <c r="L6222">
        <f t="shared" si="2634"/>
        <v>62.734999999999999</v>
      </c>
      <c r="M6222">
        <f t="shared" si="2635"/>
        <v>1.0750000000000028</v>
      </c>
      <c r="N6222">
        <f t="shared" si="2625"/>
        <v>2.1500000000000057</v>
      </c>
      <c r="O6222">
        <f t="shared" si="2636"/>
        <v>62.24</v>
      </c>
      <c r="P6222">
        <f t="shared" si="2637"/>
        <v>-0.46046511627906617</v>
      </c>
      <c r="Q6222" t="str">
        <f t="shared" si="2626"/>
        <v>0.93% | 2.52%</v>
      </c>
      <c r="R6222" t="str">
        <f t="shared" si="2638"/>
        <v>BEARISH</v>
      </c>
      <c r="S6222">
        <f t="shared" si="2639"/>
        <v>-1</v>
      </c>
    </row>
    <row r="6223" spans="1:19" hidden="1" x14ac:dyDescent="0.25">
      <c r="A6223" s="5" t="str">
        <f t="shared" si="2627"/>
        <v>44179GDX</v>
      </c>
      <c r="B6223" s="6" t="s">
        <v>254</v>
      </c>
      <c r="C6223" s="6">
        <v>33.200000000000003</v>
      </c>
      <c r="D6223" s="6">
        <v>36.76</v>
      </c>
      <c r="E6223" s="6">
        <v>35.08</v>
      </c>
      <c r="F6223" t="str">
        <f t="shared" si="2628"/>
        <v>MON</v>
      </c>
      <c r="G6223" s="3">
        <f t="shared" si="2629"/>
        <v>44179</v>
      </c>
      <c r="H6223" s="2">
        <f t="shared" ca="1" si="2630"/>
        <v>74</v>
      </c>
      <c r="I6223" t="str">
        <f t="shared" si="2631"/>
        <v>GDX</v>
      </c>
      <c r="J6223">
        <f t="shared" si="2632"/>
        <v>33.200000000000003</v>
      </c>
      <c r="K6223">
        <f t="shared" si="2633"/>
        <v>36.76</v>
      </c>
      <c r="L6223">
        <f t="shared" si="2634"/>
        <v>34.980000000000004</v>
      </c>
      <c r="M6223">
        <f t="shared" si="2635"/>
        <v>1.7799999999999976</v>
      </c>
      <c r="N6223">
        <f t="shared" si="2625"/>
        <v>3.5599999999999952</v>
      </c>
      <c r="O6223">
        <f t="shared" si="2636"/>
        <v>35.08</v>
      </c>
      <c r="P6223">
        <f t="shared" si="2637"/>
        <v>5.6179775280895759E-2</v>
      </c>
      <c r="Q6223" t="str">
        <f t="shared" si="2626"/>
        <v>5.36% | 4.79%</v>
      </c>
      <c r="R6223" t="str">
        <f t="shared" si="2638"/>
        <v>BEARISH</v>
      </c>
      <c r="S6223">
        <f t="shared" si="2639"/>
        <v>-1</v>
      </c>
    </row>
    <row r="6224" spans="1:19" hidden="1" x14ac:dyDescent="0.25">
      <c r="A6224" s="5" t="str">
        <f t="shared" si="2627"/>
        <v>44179SSEC</v>
      </c>
      <c r="B6224" s="6" t="s">
        <v>104</v>
      </c>
      <c r="C6224" s="6">
        <v>3337</v>
      </c>
      <c r="D6224" s="6">
        <v>3484</v>
      </c>
      <c r="E6224" s="6">
        <v>3369</v>
      </c>
      <c r="F6224" t="str">
        <f t="shared" si="2628"/>
        <v>MON</v>
      </c>
      <c r="G6224" s="3">
        <f t="shared" si="2629"/>
        <v>44179</v>
      </c>
      <c r="H6224" s="2">
        <f t="shared" ca="1" si="2630"/>
        <v>74</v>
      </c>
      <c r="I6224" t="str">
        <f t="shared" si="2631"/>
        <v>SSEC</v>
      </c>
      <c r="J6224">
        <f t="shared" si="2632"/>
        <v>3337</v>
      </c>
      <c r="K6224">
        <f t="shared" si="2633"/>
        <v>3484</v>
      </c>
      <c r="L6224">
        <f t="shared" si="2634"/>
        <v>3410.5</v>
      </c>
      <c r="M6224">
        <f t="shared" si="2635"/>
        <v>73.5</v>
      </c>
      <c r="N6224">
        <f t="shared" si="2625"/>
        <v>147</v>
      </c>
      <c r="O6224">
        <f t="shared" si="2636"/>
        <v>3369</v>
      </c>
      <c r="P6224">
        <f t="shared" si="2637"/>
        <v>-0.56462585034013602</v>
      </c>
      <c r="Q6224" t="str">
        <f t="shared" si="2626"/>
        <v>0.95% | 3.41%</v>
      </c>
      <c r="R6224" t="str">
        <f t="shared" si="2638"/>
        <v>BULLISH</v>
      </c>
      <c r="S6224">
        <f t="shared" si="2639"/>
        <v>1</v>
      </c>
    </row>
    <row r="6225" spans="1:19" hidden="1" x14ac:dyDescent="0.25">
      <c r="A6225" s="5" t="str">
        <f t="shared" si="2627"/>
        <v>44179NIKK</v>
      </c>
      <c r="B6225" s="6" t="s">
        <v>91</v>
      </c>
      <c r="C6225" s="6">
        <v>26407</v>
      </c>
      <c r="D6225" s="6">
        <v>26978</v>
      </c>
      <c r="E6225" s="6">
        <v>26732</v>
      </c>
      <c r="F6225" t="str">
        <f t="shared" si="2628"/>
        <v>MON</v>
      </c>
      <c r="G6225" s="3">
        <f t="shared" si="2629"/>
        <v>44179</v>
      </c>
      <c r="H6225" s="2">
        <f t="shared" ca="1" si="2630"/>
        <v>74</v>
      </c>
      <c r="I6225" t="str">
        <f t="shared" si="2631"/>
        <v>NIKK</v>
      </c>
      <c r="J6225">
        <f t="shared" si="2632"/>
        <v>26407</v>
      </c>
      <c r="K6225">
        <f t="shared" si="2633"/>
        <v>26978</v>
      </c>
      <c r="L6225">
        <f t="shared" si="2634"/>
        <v>26692.5</v>
      </c>
      <c r="M6225">
        <f t="shared" si="2635"/>
        <v>285.5</v>
      </c>
      <c r="N6225">
        <f t="shared" si="2625"/>
        <v>571</v>
      </c>
      <c r="O6225">
        <f t="shared" si="2636"/>
        <v>26732</v>
      </c>
      <c r="P6225">
        <f t="shared" si="2637"/>
        <v>0.13835376532399299</v>
      </c>
      <c r="Q6225" t="str">
        <f t="shared" si="2626"/>
        <v>1.22% | 0.92%</v>
      </c>
      <c r="R6225" t="str">
        <f t="shared" si="2638"/>
        <v>BULLISH</v>
      </c>
      <c r="S6225">
        <f t="shared" si="2639"/>
        <v>1</v>
      </c>
    </row>
    <row r="6226" spans="1:19" hidden="1" x14ac:dyDescent="0.25">
      <c r="A6226" s="5" t="str">
        <f t="shared" si="2627"/>
        <v>44179DAX</v>
      </c>
      <c r="B6226" s="6" t="s">
        <v>98</v>
      </c>
      <c r="C6226" s="6">
        <v>13110</v>
      </c>
      <c r="D6226" s="6">
        <v>13423</v>
      </c>
      <c r="E6226" s="6">
        <v>13114</v>
      </c>
      <c r="F6226" t="str">
        <f t="shared" si="2628"/>
        <v>MON</v>
      </c>
      <c r="G6226" s="3">
        <f t="shared" si="2629"/>
        <v>44179</v>
      </c>
      <c r="H6226" s="2">
        <f t="shared" ca="1" si="2630"/>
        <v>74</v>
      </c>
      <c r="I6226" t="str">
        <f t="shared" si="2631"/>
        <v>DAX</v>
      </c>
      <c r="J6226">
        <f t="shared" si="2632"/>
        <v>13110</v>
      </c>
      <c r="K6226">
        <f t="shared" si="2633"/>
        <v>13423</v>
      </c>
      <c r="L6226">
        <f t="shared" si="2634"/>
        <v>13266.5</v>
      </c>
      <c r="M6226">
        <f t="shared" si="2635"/>
        <v>156.5</v>
      </c>
      <c r="N6226">
        <f t="shared" si="2625"/>
        <v>313</v>
      </c>
      <c r="O6226">
        <f t="shared" si="2636"/>
        <v>13114</v>
      </c>
      <c r="P6226">
        <f t="shared" si="2637"/>
        <v>-0.9744408945686901</v>
      </c>
      <c r="Q6226" t="str">
        <f t="shared" si="2626"/>
        <v>0.03% | 2.36%</v>
      </c>
      <c r="R6226" t="str">
        <f t="shared" si="2638"/>
        <v>BULLISH</v>
      </c>
      <c r="S6226">
        <f t="shared" si="2639"/>
        <v>1</v>
      </c>
    </row>
    <row r="6227" spans="1:19" hidden="1" x14ac:dyDescent="0.25">
      <c r="A6227" s="5" t="str">
        <f t="shared" si="2627"/>
        <v>44179VIX</v>
      </c>
      <c r="B6227" s="6" t="s">
        <v>96</v>
      </c>
      <c r="C6227" s="6">
        <v>19.8</v>
      </c>
      <c r="D6227" s="6">
        <v>24.3</v>
      </c>
      <c r="E6227" s="6">
        <v>23.31</v>
      </c>
      <c r="F6227" t="str">
        <f t="shared" si="2628"/>
        <v>MON</v>
      </c>
      <c r="G6227" s="3">
        <f t="shared" si="2629"/>
        <v>44179</v>
      </c>
      <c r="H6227" s="2">
        <f t="shared" ca="1" si="2630"/>
        <v>74</v>
      </c>
      <c r="I6227" t="str">
        <f t="shared" si="2631"/>
        <v>VIX</v>
      </c>
      <c r="J6227">
        <f t="shared" si="2632"/>
        <v>19.8</v>
      </c>
      <c r="K6227">
        <f t="shared" si="2633"/>
        <v>24.3</v>
      </c>
      <c r="L6227">
        <f t="shared" si="2634"/>
        <v>22.05</v>
      </c>
      <c r="M6227">
        <f t="shared" si="2635"/>
        <v>2.2499999999999876</v>
      </c>
      <c r="N6227">
        <f t="shared" si="2625"/>
        <v>4.5</v>
      </c>
      <c r="O6227">
        <f t="shared" si="2636"/>
        <v>23.31</v>
      </c>
      <c r="P6227">
        <f t="shared" si="2637"/>
        <v>0.56000000000000216</v>
      </c>
      <c r="Q6227" t="str">
        <f t="shared" si="2626"/>
        <v>15.06% | 4.25%</v>
      </c>
      <c r="R6227" t="str">
        <f t="shared" si="2638"/>
        <v>BEARISH</v>
      </c>
      <c r="S6227">
        <f t="shared" si="2639"/>
        <v>-1</v>
      </c>
    </row>
    <row r="6228" spans="1:19" hidden="1" x14ac:dyDescent="0.25">
      <c r="A6228" s="5" t="str">
        <f t="shared" si="2627"/>
        <v>44179USD</v>
      </c>
      <c r="B6228" s="6" t="s">
        <v>94</v>
      </c>
      <c r="C6228" s="6">
        <v>90.23</v>
      </c>
      <c r="D6228" s="6">
        <v>91.52</v>
      </c>
      <c r="E6228" s="6">
        <v>90.92</v>
      </c>
      <c r="F6228" t="str">
        <f t="shared" si="2628"/>
        <v>MON</v>
      </c>
      <c r="G6228" s="3">
        <f t="shared" si="2629"/>
        <v>44179</v>
      </c>
      <c r="H6228" s="2">
        <f t="shared" ca="1" si="2630"/>
        <v>74</v>
      </c>
      <c r="I6228" t="str">
        <f t="shared" si="2631"/>
        <v>USD</v>
      </c>
      <c r="J6228">
        <f t="shared" si="2632"/>
        <v>90.23</v>
      </c>
      <c r="K6228">
        <f t="shared" si="2633"/>
        <v>91.52</v>
      </c>
      <c r="L6228">
        <f t="shared" si="2634"/>
        <v>90.875</v>
      </c>
      <c r="M6228">
        <f t="shared" si="2635"/>
        <v>0.64499999999999602</v>
      </c>
      <c r="N6228">
        <f t="shared" si="2625"/>
        <v>1.289999999999992</v>
      </c>
      <c r="O6228">
        <f t="shared" si="2636"/>
        <v>90.92</v>
      </c>
      <c r="P6228">
        <f t="shared" si="2637"/>
        <v>6.9767441860468196E-2</v>
      </c>
      <c r="Q6228" t="str">
        <f t="shared" si="2626"/>
        <v>0.76% | 0.66%</v>
      </c>
      <c r="R6228" t="str">
        <f t="shared" si="2638"/>
        <v>BEARISH</v>
      </c>
      <c r="S6228">
        <f t="shared" si="2639"/>
        <v>-1</v>
      </c>
    </row>
    <row r="6229" spans="1:19" hidden="1" x14ac:dyDescent="0.25">
      <c r="A6229" s="5" t="str">
        <f t="shared" si="2627"/>
        <v>44179EUR/USD</v>
      </c>
      <c r="B6229" s="6" t="s">
        <v>99</v>
      </c>
      <c r="C6229" s="6">
        <v>1.2030000000000001</v>
      </c>
      <c r="D6229" s="6">
        <v>1.2210000000000001</v>
      </c>
      <c r="E6229" s="6">
        <v>1.212</v>
      </c>
      <c r="F6229" t="str">
        <f t="shared" si="2628"/>
        <v>MON</v>
      </c>
      <c r="G6229" s="3">
        <f t="shared" si="2629"/>
        <v>44179</v>
      </c>
      <c r="H6229" s="2">
        <f t="shared" ca="1" si="2630"/>
        <v>74</v>
      </c>
      <c r="I6229" t="str">
        <f t="shared" si="2631"/>
        <v>EUR/USD</v>
      </c>
      <c r="J6229">
        <f t="shared" si="2632"/>
        <v>1.2030000000000001</v>
      </c>
      <c r="K6229">
        <f t="shared" si="2633"/>
        <v>1.2210000000000001</v>
      </c>
      <c r="L6229">
        <f t="shared" si="2634"/>
        <v>1.2120000000000002</v>
      </c>
      <c r="M6229">
        <f t="shared" si="2635"/>
        <v>9.000000000000008E-3</v>
      </c>
      <c r="N6229">
        <f t="shared" si="2625"/>
        <v>1.8000000000000016E-2</v>
      </c>
      <c r="O6229">
        <f t="shared" si="2636"/>
        <v>1.212</v>
      </c>
      <c r="P6229">
        <f t="shared" si="2637"/>
        <v>-2.4671622769447902E-14</v>
      </c>
      <c r="Q6229" t="str">
        <f t="shared" si="2626"/>
        <v>0.74% | 0.74%</v>
      </c>
      <c r="R6229" t="str">
        <f t="shared" si="2638"/>
        <v>BULLISH</v>
      </c>
      <c r="S6229">
        <f t="shared" si="2639"/>
        <v>1</v>
      </c>
    </row>
    <row r="6230" spans="1:19" hidden="1" x14ac:dyDescent="0.25">
      <c r="A6230" s="5" t="str">
        <f t="shared" si="2627"/>
        <v>44179USD/JPY</v>
      </c>
      <c r="B6230" s="6" t="s">
        <v>20</v>
      </c>
      <c r="C6230" s="6">
        <v>103.5</v>
      </c>
      <c r="D6230" s="6">
        <v>104.68</v>
      </c>
      <c r="E6230" s="6">
        <v>104.03</v>
      </c>
      <c r="F6230" t="str">
        <f t="shared" si="2628"/>
        <v>MON</v>
      </c>
      <c r="G6230" s="3">
        <f t="shared" si="2629"/>
        <v>44179</v>
      </c>
      <c r="H6230" s="2">
        <f t="shared" ca="1" si="2630"/>
        <v>74</v>
      </c>
      <c r="I6230" t="str">
        <f t="shared" si="2631"/>
        <v>USD/JPY</v>
      </c>
      <c r="J6230">
        <f t="shared" si="2632"/>
        <v>103.5</v>
      </c>
      <c r="K6230">
        <f t="shared" si="2633"/>
        <v>104.68</v>
      </c>
      <c r="L6230">
        <f t="shared" si="2634"/>
        <v>104.09</v>
      </c>
      <c r="M6230">
        <f t="shared" si="2635"/>
        <v>0.59000000000000341</v>
      </c>
      <c r="N6230">
        <f t="shared" si="2625"/>
        <v>1.1800000000000068</v>
      </c>
      <c r="O6230">
        <f t="shared" si="2636"/>
        <v>104.03</v>
      </c>
      <c r="P6230">
        <f t="shared" si="2637"/>
        <v>-0.10169491525424056</v>
      </c>
      <c r="Q6230" t="str">
        <f t="shared" si="2626"/>
        <v>0.51% | 0.62%</v>
      </c>
      <c r="R6230" t="str">
        <f t="shared" si="2638"/>
        <v>BEARISH</v>
      </c>
      <c r="S6230">
        <f t="shared" si="2639"/>
        <v>-1</v>
      </c>
    </row>
    <row r="6231" spans="1:19" hidden="1" x14ac:dyDescent="0.25">
      <c r="A6231" s="5" t="str">
        <f t="shared" si="2627"/>
        <v>44179GBP/USD</v>
      </c>
      <c r="B6231" s="6" t="s">
        <v>102</v>
      </c>
      <c r="C6231" s="6">
        <v>1.321</v>
      </c>
      <c r="D6231" s="6">
        <v>1.351</v>
      </c>
      <c r="E6231" s="6">
        <v>1.3220000000000001</v>
      </c>
      <c r="F6231" t="str">
        <f t="shared" si="2628"/>
        <v>MON</v>
      </c>
      <c r="G6231" s="3">
        <f t="shared" si="2629"/>
        <v>44179</v>
      </c>
      <c r="H6231" s="2">
        <f t="shared" ca="1" si="2630"/>
        <v>74</v>
      </c>
      <c r="I6231" t="str">
        <f t="shared" si="2631"/>
        <v>GBP/USD</v>
      </c>
      <c r="J6231">
        <f t="shared" si="2632"/>
        <v>1.321</v>
      </c>
      <c r="K6231">
        <f t="shared" si="2633"/>
        <v>1.351</v>
      </c>
      <c r="L6231">
        <f t="shared" si="2634"/>
        <v>1.3359999999999999</v>
      </c>
      <c r="M6231">
        <f t="shared" si="2635"/>
        <v>1.5000000000000013E-2</v>
      </c>
      <c r="N6231">
        <f t="shared" si="2625"/>
        <v>3.0000000000000027E-2</v>
      </c>
      <c r="O6231">
        <f t="shared" si="2636"/>
        <v>1.3220000000000001</v>
      </c>
      <c r="P6231">
        <f t="shared" si="2637"/>
        <v>-0.93333333333331858</v>
      </c>
      <c r="Q6231" t="str">
        <f t="shared" si="2626"/>
        <v>0.08% | 2.19%</v>
      </c>
      <c r="R6231" t="str">
        <f t="shared" si="2638"/>
        <v>BULLISH</v>
      </c>
      <c r="S6231">
        <f t="shared" si="2639"/>
        <v>1</v>
      </c>
    </row>
    <row r="6232" spans="1:19" hidden="1" x14ac:dyDescent="0.25">
      <c r="A6232" s="5" t="str">
        <f t="shared" si="2627"/>
        <v>44179CAD/USD</v>
      </c>
      <c r="B6232" s="6" t="s">
        <v>244</v>
      </c>
      <c r="C6232" s="6">
        <v>0.77</v>
      </c>
      <c r="D6232" s="6">
        <v>0.79</v>
      </c>
      <c r="E6232" s="6">
        <v>0.78</v>
      </c>
      <c r="F6232" t="str">
        <f t="shared" si="2628"/>
        <v>MON</v>
      </c>
      <c r="G6232" s="3">
        <f t="shared" si="2629"/>
        <v>44179</v>
      </c>
      <c r="H6232" s="2">
        <f t="shared" ca="1" si="2630"/>
        <v>74</v>
      </c>
      <c r="I6232" t="str">
        <f t="shared" si="2631"/>
        <v>CAD/USD</v>
      </c>
      <c r="J6232">
        <f t="shared" si="2632"/>
        <v>0.77</v>
      </c>
      <c r="K6232">
        <f t="shared" si="2633"/>
        <v>0.79</v>
      </c>
      <c r="L6232">
        <f t="shared" si="2634"/>
        <v>0.78</v>
      </c>
      <c r="M6232">
        <f t="shared" si="2635"/>
        <v>1.0000000000000009E-2</v>
      </c>
      <c r="N6232">
        <f t="shared" si="2625"/>
        <v>2.0000000000000018E-2</v>
      </c>
      <c r="O6232">
        <f t="shared" si="2636"/>
        <v>0.78</v>
      </c>
      <c r="P6232">
        <f t="shared" si="2637"/>
        <v>0</v>
      </c>
      <c r="Q6232" t="str">
        <f t="shared" si="2626"/>
        <v>1.28% | 1.28%</v>
      </c>
      <c r="R6232" t="str">
        <f t="shared" si="2638"/>
        <v>BULLISH</v>
      </c>
      <c r="S6232">
        <f t="shared" si="2639"/>
        <v>1</v>
      </c>
    </row>
    <row r="6233" spans="1:19" hidden="1" x14ac:dyDescent="0.25">
      <c r="A6233" s="5" t="str">
        <f t="shared" si="2627"/>
        <v>44179USD/CHF</v>
      </c>
      <c r="B6233" s="6" t="s">
        <v>76</v>
      </c>
      <c r="C6233" s="6">
        <v>0.87</v>
      </c>
      <c r="D6233" s="6">
        <v>0.9</v>
      </c>
      <c r="E6233" s="6">
        <v>0.89</v>
      </c>
      <c r="F6233" t="str">
        <f t="shared" si="2628"/>
        <v>MON</v>
      </c>
      <c r="G6233" s="3">
        <f t="shared" si="2629"/>
        <v>44179</v>
      </c>
      <c r="H6233" s="2">
        <f t="shared" ca="1" si="2630"/>
        <v>74</v>
      </c>
      <c r="I6233" t="str">
        <f t="shared" si="2631"/>
        <v>USD/CHF</v>
      </c>
      <c r="J6233">
        <f t="shared" si="2632"/>
        <v>0.87</v>
      </c>
      <c r="K6233">
        <f t="shared" si="2633"/>
        <v>0.9</v>
      </c>
      <c r="L6233">
        <f t="shared" si="2634"/>
        <v>0.88500000000000001</v>
      </c>
      <c r="M6233">
        <f t="shared" si="2635"/>
        <v>1.5000000000000013E-2</v>
      </c>
      <c r="N6233">
        <f t="shared" si="2625"/>
        <v>3.0000000000000027E-2</v>
      </c>
      <c r="O6233">
        <f t="shared" si="2636"/>
        <v>0.89</v>
      </c>
      <c r="P6233">
        <f t="shared" si="2637"/>
        <v>0.33333333333333331</v>
      </c>
      <c r="Q6233" t="str">
        <f t="shared" si="2626"/>
        <v>2.25% | 1.12%</v>
      </c>
      <c r="R6233" t="str">
        <f t="shared" si="2638"/>
        <v>BEARISH</v>
      </c>
      <c r="S6233">
        <f t="shared" si="2639"/>
        <v>-1</v>
      </c>
    </row>
    <row r="6234" spans="1:19" hidden="1" x14ac:dyDescent="0.25">
      <c r="A6234" s="5" t="str">
        <f t="shared" si="2627"/>
        <v>44179WTIC</v>
      </c>
      <c r="B6234" s="6" t="s">
        <v>158</v>
      </c>
      <c r="C6234" s="6">
        <v>44.58</v>
      </c>
      <c r="D6234" s="6">
        <v>47.26</v>
      </c>
      <c r="E6234" s="6">
        <v>46.57</v>
      </c>
      <c r="F6234" t="str">
        <f t="shared" si="2628"/>
        <v>MON</v>
      </c>
      <c r="G6234" s="3">
        <f t="shared" si="2629"/>
        <v>44179</v>
      </c>
      <c r="H6234" s="2">
        <f t="shared" ca="1" si="2630"/>
        <v>74</v>
      </c>
      <c r="I6234" t="str">
        <f t="shared" si="2631"/>
        <v>WTIC</v>
      </c>
      <c r="J6234">
        <f t="shared" si="2632"/>
        <v>44.58</v>
      </c>
      <c r="K6234">
        <f t="shared" si="2633"/>
        <v>47.26</v>
      </c>
      <c r="L6234">
        <f t="shared" si="2634"/>
        <v>45.92</v>
      </c>
      <c r="M6234">
        <f t="shared" si="2635"/>
        <v>1.3399999999999999</v>
      </c>
      <c r="N6234">
        <f t="shared" si="2625"/>
        <v>2.6799999999999997</v>
      </c>
      <c r="O6234">
        <f t="shared" si="2636"/>
        <v>46.57</v>
      </c>
      <c r="P6234">
        <f t="shared" si="2637"/>
        <v>0.48507462686567066</v>
      </c>
      <c r="Q6234" t="str">
        <f t="shared" si="2626"/>
        <v>4.27% | 1.48%</v>
      </c>
      <c r="R6234" t="str">
        <f t="shared" si="2638"/>
        <v>BULLISH</v>
      </c>
      <c r="S6234">
        <f t="shared" si="2639"/>
        <v>1</v>
      </c>
    </row>
    <row r="6235" spans="1:19" hidden="1" x14ac:dyDescent="0.25">
      <c r="A6235" s="5" t="str">
        <f t="shared" si="2627"/>
        <v>44179NATGAS</v>
      </c>
      <c r="B6235" s="6" t="s">
        <v>89</v>
      </c>
      <c r="C6235" s="6">
        <v>2.27</v>
      </c>
      <c r="D6235" s="6">
        <v>2.91</v>
      </c>
      <c r="E6235" s="6">
        <v>2.59</v>
      </c>
      <c r="F6235" t="str">
        <f t="shared" si="2628"/>
        <v>MON</v>
      </c>
      <c r="G6235" s="3">
        <f t="shared" si="2629"/>
        <v>44179</v>
      </c>
      <c r="H6235" s="2">
        <f t="shared" ca="1" si="2630"/>
        <v>74</v>
      </c>
      <c r="I6235" t="str">
        <f t="shared" si="2631"/>
        <v>NATGAS</v>
      </c>
      <c r="J6235">
        <f t="shared" si="2632"/>
        <v>2.27</v>
      </c>
      <c r="K6235">
        <f t="shared" si="2633"/>
        <v>2.91</v>
      </c>
      <c r="L6235">
        <f t="shared" si="2634"/>
        <v>2.59</v>
      </c>
      <c r="M6235">
        <f t="shared" si="2635"/>
        <v>0.32000000000000317</v>
      </c>
      <c r="N6235">
        <f t="shared" si="2625"/>
        <v>0.64000000000000012</v>
      </c>
      <c r="O6235">
        <f t="shared" si="2636"/>
        <v>2.59</v>
      </c>
      <c r="P6235">
        <f t="shared" si="2637"/>
        <v>0</v>
      </c>
      <c r="Q6235" t="str">
        <f t="shared" si="2626"/>
        <v>12.36% | 12.36%</v>
      </c>
      <c r="R6235" t="str">
        <f t="shared" si="2638"/>
        <v>BULLISH</v>
      </c>
      <c r="S6235">
        <f t="shared" si="2639"/>
        <v>1</v>
      </c>
    </row>
    <row r="6236" spans="1:19" hidden="1" x14ac:dyDescent="0.25">
      <c r="A6236" s="5" t="str">
        <f t="shared" si="2627"/>
        <v>44179GOLD</v>
      </c>
      <c r="B6236" s="6" t="s">
        <v>85</v>
      </c>
      <c r="C6236" s="6">
        <v>1790</v>
      </c>
      <c r="D6236" s="6">
        <v>1864</v>
      </c>
      <c r="E6236" s="6">
        <v>1843</v>
      </c>
      <c r="F6236" t="str">
        <f t="shared" si="2628"/>
        <v>MON</v>
      </c>
      <c r="G6236" s="3">
        <f t="shared" si="2629"/>
        <v>44179</v>
      </c>
      <c r="H6236" s="2">
        <f t="shared" ca="1" si="2630"/>
        <v>74</v>
      </c>
      <c r="I6236" t="str">
        <f t="shared" si="2631"/>
        <v>GOLD</v>
      </c>
      <c r="J6236">
        <f t="shared" si="2632"/>
        <v>1790</v>
      </c>
      <c r="K6236">
        <f t="shared" si="2633"/>
        <v>1864</v>
      </c>
      <c r="L6236">
        <f t="shared" si="2634"/>
        <v>1827</v>
      </c>
      <c r="M6236">
        <f t="shared" si="2635"/>
        <v>37</v>
      </c>
      <c r="N6236">
        <f t="shared" si="2625"/>
        <v>74</v>
      </c>
      <c r="O6236">
        <f t="shared" si="2636"/>
        <v>1843</v>
      </c>
      <c r="P6236">
        <f t="shared" si="2637"/>
        <v>0.43243243243243246</v>
      </c>
      <c r="Q6236" t="str">
        <f t="shared" si="2626"/>
        <v>2.88% | 1.14%</v>
      </c>
      <c r="R6236" t="str">
        <f t="shared" si="2638"/>
        <v>BEARISH</v>
      </c>
      <c r="S6236">
        <f t="shared" si="2639"/>
        <v>-1</v>
      </c>
    </row>
    <row r="6237" spans="1:19" hidden="1" x14ac:dyDescent="0.25">
      <c r="A6237" s="5" t="str">
        <f t="shared" si="2627"/>
        <v>44179COPPER</v>
      </c>
      <c r="B6237" s="6" t="s">
        <v>100</v>
      </c>
      <c r="C6237" s="6">
        <v>3.47</v>
      </c>
      <c r="D6237" s="6">
        <v>3.58</v>
      </c>
      <c r="E6237" s="6">
        <v>3.53</v>
      </c>
      <c r="F6237" t="str">
        <f t="shared" si="2628"/>
        <v>MON</v>
      </c>
      <c r="G6237" s="3">
        <f t="shared" si="2629"/>
        <v>44179</v>
      </c>
      <c r="H6237" s="2">
        <f t="shared" ca="1" si="2630"/>
        <v>74</v>
      </c>
      <c r="I6237" t="str">
        <f t="shared" si="2631"/>
        <v>COPPER</v>
      </c>
      <c r="J6237">
        <f t="shared" si="2632"/>
        <v>3.47</v>
      </c>
      <c r="K6237">
        <f t="shared" si="2633"/>
        <v>3.58</v>
      </c>
      <c r="L6237">
        <f t="shared" si="2634"/>
        <v>3.5250000000000004</v>
      </c>
      <c r="M6237">
        <f t="shared" si="2635"/>
        <v>5.4999999999999938E-2</v>
      </c>
      <c r="N6237">
        <f t="shared" si="2625"/>
        <v>0.10999999999999988</v>
      </c>
      <c r="O6237">
        <f t="shared" si="2636"/>
        <v>3.53</v>
      </c>
      <c r="P6237">
        <f t="shared" si="2637"/>
        <v>9.0909090909081003E-2</v>
      </c>
      <c r="Q6237" t="str">
        <f t="shared" si="2626"/>
        <v>1.7% | 1.42%</v>
      </c>
      <c r="R6237" t="str">
        <f t="shared" si="2638"/>
        <v>BULLISH</v>
      </c>
      <c r="S6237">
        <f t="shared" si="2639"/>
        <v>1</v>
      </c>
    </row>
    <row r="6238" spans="1:19" hidden="1" x14ac:dyDescent="0.25">
      <c r="A6238" s="5" t="str">
        <f t="shared" si="2627"/>
        <v>44179MSFT</v>
      </c>
      <c r="B6238" s="6" t="s">
        <v>27</v>
      </c>
      <c r="C6238" s="6">
        <v>210</v>
      </c>
      <c r="D6238" s="6">
        <v>218</v>
      </c>
      <c r="E6238" s="6">
        <v>213</v>
      </c>
      <c r="F6238" t="str">
        <f t="shared" si="2628"/>
        <v>MON</v>
      </c>
      <c r="G6238" s="3">
        <f t="shared" si="2629"/>
        <v>44179</v>
      </c>
      <c r="H6238" s="2">
        <f t="shared" ca="1" si="2630"/>
        <v>74</v>
      </c>
      <c r="I6238" t="str">
        <f t="shared" si="2631"/>
        <v>MSFT</v>
      </c>
      <c r="J6238">
        <f t="shared" si="2632"/>
        <v>210</v>
      </c>
      <c r="K6238">
        <f t="shared" si="2633"/>
        <v>218</v>
      </c>
      <c r="L6238">
        <f t="shared" si="2634"/>
        <v>214</v>
      </c>
      <c r="M6238">
        <f t="shared" si="2635"/>
        <v>4</v>
      </c>
      <c r="N6238">
        <f t="shared" si="2625"/>
        <v>8</v>
      </c>
      <c r="O6238">
        <f t="shared" si="2636"/>
        <v>213</v>
      </c>
      <c r="P6238">
        <f t="shared" si="2637"/>
        <v>-0.25</v>
      </c>
      <c r="Q6238" t="str">
        <f t="shared" si="2626"/>
        <v>1.41% | 2.35%</v>
      </c>
      <c r="R6238" t="str">
        <f t="shared" si="2638"/>
        <v>BULLISH</v>
      </c>
      <c r="S6238">
        <f t="shared" si="2639"/>
        <v>1</v>
      </c>
    </row>
    <row r="6239" spans="1:19" hidden="1" x14ac:dyDescent="0.25">
      <c r="A6239" s="5" t="str">
        <f t="shared" si="2627"/>
        <v>44179AAPL</v>
      </c>
      <c r="B6239" s="6" t="s">
        <v>28</v>
      </c>
      <c r="C6239" s="6">
        <v>120</v>
      </c>
      <c r="D6239" s="6">
        <v>126</v>
      </c>
      <c r="E6239" s="6">
        <v>122</v>
      </c>
      <c r="F6239" t="str">
        <f t="shared" si="2628"/>
        <v>MON</v>
      </c>
      <c r="G6239" s="3">
        <f t="shared" si="2629"/>
        <v>44179</v>
      </c>
      <c r="H6239" s="2">
        <f t="shared" ca="1" si="2630"/>
        <v>74</v>
      </c>
      <c r="I6239" t="str">
        <f t="shared" si="2631"/>
        <v>AAPL</v>
      </c>
      <c r="J6239">
        <f t="shared" si="2632"/>
        <v>120</v>
      </c>
      <c r="K6239">
        <f t="shared" si="2633"/>
        <v>126</v>
      </c>
      <c r="L6239">
        <f t="shared" si="2634"/>
        <v>123</v>
      </c>
      <c r="M6239">
        <f t="shared" si="2635"/>
        <v>3</v>
      </c>
      <c r="N6239">
        <f t="shared" si="2625"/>
        <v>6</v>
      </c>
      <c r="O6239">
        <f t="shared" si="2636"/>
        <v>122</v>
      </c>
      <c r="P6239">
        <f t="shared" si="2637"/>
        <v>-0.33333333333333331</v>
      </c>
      <c r="Q6239" t="str">
        <f t="shared" si="2626"/>
        <v>1.64% | 3.28%</v>
      </c>
      <c r="R6239" t="str">
        <f t="shared" si="2638"/>
        <v>BULLISH</v>
      </c>
      <c r="S6239">
        <f t="shared" si="2639"/>
        <v>1</v>
      </c>
    </row>
    <row r="6240" spans="1:19" hidden="1" x14ac:dyDescent="0.25">
      <c r="A6240" s="5" t="str">
        <f t="shared" si="2627"/>
        <v>44179AMZN</v>
      </c>
      <c r="B6240" s="6" t="s">
        <v>69</v>
      </c>
      <c r="C6240" s="6">
        <v>3067</v>
      </c>
      <c r="D6240" s="6">
        <v>3241</v>
      </c>
      <c r="E6240" s="6">
        <v>3116</v>
      </c>
      <c r="F6240" t="str">
        <f t="shared" si="2628"/>
        <v>MON</v>
      </c>
      <c r="G6240" s="3">
        <f t="shared" si="2629"/>
        <v>44179</v>
      </c>
      <c r="H6240" s="2">
        <f t="shared" ca="1" si="2630"/>
        <v>74</v>
      </c>
      <c r="I6240" t="str">
        <f t="shared" si="2631"/>
        <v>AMZN</v>
      </c>
      <c r="J6240">
        <f t="shared" si="2632"/>
        <v>3067</v>
      </c>
      <c r="K6240">
        <f t="shared" si="2633"/>
        <v>3241</v>
      </c>
      <c r="L6240">
        <f t="shared" si="2634"/>
        <v>3154</v>
      </c>
      <c r="M6240">
        <f t="shared" si="2635"/>
        <v>87</v>
      </c>
      <c r="N6240">
        <f t="shared" si="2625"/>
        <v>174</v>
      </c>
      <c r="O6240">
        <f t="shared" si="2636"/>
        <v>3116</v>
      </c>
      <c r="P6240">
        <f t="shared" si="2637"/>
        <v>-0.43678160919540232</v>
      </c>
      <c r="Q6240" t="str">
        <f t="shared" si="2626"/>
        <v>1.57% | 4.01%</v>
      </c>
      <c r="R6240" t="str">
        <f t="shared" si="2638"/>
        <v>NEUTRAL</v>
      </c>
      <c r="S6240">
        <f t="shared" si="2639"/>
        <v>0</v>
      </c>
    </row>
    <row r="6241" spans="1:19" hidden="1" x14ac:dyDescent="0.25">
      <c r="A6241" s="5" t="str">
        <f t="shared" si="2627"/>
        <v>44179FB</v>
      </c>
      <c r="B6241" s="6" t="s">
        <v>30</v>
      </c>
      <c r="C6241" s="6">
        <v>271</v>
      </c>
      <c r="D6241" s="6">
        <v>291</v>
      </c>
      <c r="E6241" s="6">
        <v>273</v>
      </c>
      <c r="F6241" t="str">
        <f t="shared" si="2628"/>
        <v>MON</v>
      </c>
      <c r="G6241" s="3">
        <f t="shared" si="2629"/>
        <v>44179</v>
      </c>
      <c r="H6241" s="2">
        <f t="shared" ca="1" si="2630"/>
        <v>74</v>
      </c>
      <c r="I6241" t="str">
        <f t="shared" si="2631"/>
        <v>FB</v>
      </c>
      <c r="J6241">
        <f t="shared" si="2632"/>
        <v>271</v>
      </c>
      <c r="K6241">
        <f t="shared" si="2633"/>
        <v>291</v>
      </c>
      <c r="L6241">
        <f t="shared" si="2634"/>
        <v>281</v>
      </c>
      <c r="M6241">
        <f t="shared" si="2635"/>
        <v>10</v>
      </c>
      <c r="N6241">
        <f t="shared" si="2625"/>
        <v>20</v>
      </c>
      <c r="O6241">
        <f t="shared" si="2636"/>
        <v>273</v>
      </c>
      <c r="P6241">
        <f t="shared" si="2637"/>
        <v>-0.8</v>
      </c>
      <c r="Q6241" t="str">
        <f t="shared" si="2626"/>
        <v>0.73% | 6.59%</v>
      </c>
      <c r="R6241" t="str">
        <f t="shared" si="2638"/>
        <v>BULLISH</v>
      </c>
      <c r="S6241">
        <f t="shared" si="2639"/>
        <v>1</v>
      </c>
    </row>
    <row r="6242" spans="1:19" hidden="1" x14ac:dyDescent="0.25">
      <c r="A6242" s="5" t="str">
        <f t="shared" si="2627"/>
        <v>44179GOOGL</v>
      </c>
      <c r="B6242" s="6" t="s">
        <v>31</v>
      </c>
      <c r="C6242" s="6">
        <v>1752</v>
      </c>
      <c r="D6242" s="6">
        <v>1852</v>
      </c>
      <c r="E6242" s="6">
        <v>1774</v>
      </c>
      <c r="F6242" t="str">
        <f t="shared" si="2628"/>
        <v>MON</v>
      </c>
      <c r="G6242" s="3">
        <f t="shared" si="2629"/>
        <v>44179</v>
      </c>
      <c r="H6242" s="2">
        <f t="shared" ca="1" si="2630"/>
        <v>74</v>
      </c>
      <c r="I6242" t="str">
        <f t="shared" si="2631"/>
        <v>GOOGL</v>
      </c>
      <c r="J6242">
        <f t="shared" si="2632"/>
        <v>1752</v>
      </c>
      <c r="K6242">
        <f t="shared" si="2633"/>
        <v>1852</v>
      </c>
      <c r="L6242">
        <f t="shared" si="2634"/>
        <v>1802</v>
      </c>
      <c r="M6242">
        <f t="shared" si="2635"/>
        <v>50</v>
      </c>
      <c r="N6242">
        <f t="shared" si="2625"/>
        <v>100</v>
      </c>
      <c r="O6242">
        <f t="shared" si="2636"/>
        <v>1774</v>
      </c>
      <c r="P6242">
        <f t="shared" si="2637"/>
        <v>-0.56000000000000005</v>
      </c>
      <c r="Q6242" t="str">
        <f t="shared" si="2626"/>
        <v>1.24% | 4.4%</v>
      </c>
      <c r="R6242" t="str">
        <f t="shared" si="2638"/>
        <v>BULLISH</v>
      </c>
      <c r="S6242">
        <f t="shared" si="2639"/>
        <v>1</v>
      </c>
    </row>
    <row r="6243" spans="1:19" hidden="1" x14ac:dyDescent="0.25">
      <c r="A6243" s="5" t="str">
        <f t="shared" si="2627"/>
        <v>44179NFLX</v>
      </c>
      <c r="B6243" s="6" t="s">
        <v>81</v>
      </c>
      <c r="C6243" s="6">
        <v>487</v>
      </c>
      <c r="D6243" s="6">
        <v>518</v>
      </c>
      <c r="E6243" s="6">
        <v>503</v>
      </c>
      <c r="F6243" t="str">
        <f t="shared" si="2628"/>
        <v>MON</v>
      </c>
      <c r="G6243" s="3">
        <f t="shared" si="2629"/>
        <v>44179</v>
      </c>
      <c r="H6243" s="2">
        <f t="shared" ca="1" si="2630"/>
        <v>74</v>
      </c>
      <c r="I6243" t="str">
        <f t="shared" si="2631"/>
        <v>NFLX</v>
      </c>
      <c r="J6243">
        <f t="shared" si="2632"/>
        <v>487</v>
      </c>
      <c r="K6243">
        <f t="shared" si="2633"/>
        <v>518</v>
      </c>
      <c r="L6243">
        <f t="shared" si="2634"/>
        <v>502.5</v>
      </c>
      <c r="M6243">
        <f t="shared" si="2635"/>
        <v>15.5</v>
      </c>
      <c r="N6243">
        <f t="shared" si="2625"/>
        <v>31</v>
      </c>
      <c r="O6243">
        <f t="shared" si="2636"/>
        <v>503</v>
      </c>
      <c r="P6243">
        <f t="shared" si="2637"/>
        <v>3.2258064516129031E-2</v>
      </c>
      <c r="Q6243" t="str">
        <f t="shared" si="2626"/>
        <v>3.18% | 2.98%</v>
      </c>
      <c r="R6243" t="str">
        <f t="shared" si="2638"/>
        <v>BEARISH</v>
      </c>
      <c r="S6243">
        <f t="shared" si="2639"/>
        <v>-1</v>
      </c>
    </row>
    <row r="6244" spans="1:19" x14ac:dyDescent="0.25">
      <c r="A6244" s="5" t="str">
        <f t="shared" si="2627"/>
        <v>44179TSLA</v>
      </c>
      <c r="B6244" s="6" t="s">
        <v>33</v>
      </c>
      <c r="C6244" s="6">
        <v>558</v>
      </c>
      <c r="D6244" s="6">
        <v>660</v>
      </c>
      <c r="E6244" s="6">
        <v>609</v>
      </c>
      <c r="F6244" t="str">
        <f t="shared" si="2628"/>
        <v>MON</v>
      </c>
      <c r="G6244" s="3">
        <f t="shared" si="2629"/>
        <v>44179</v>
      </c>
      <c r="H6244" s="2">
        <f t="shared" ca="1" si="2630"/>
        <v>74</v>
      </c>
      <c r="I6244" t="str">
        <f t="shared" si="2631"/>
        <v>TSLA</v>
      </c>
      <c r="J6244">
        <f t="shared" si="2632"/>
        <v>558</v>
      </c>
      <c r="K6244">
        <f t="shared" si="2633"/>
        <v>660</v>
      </c>
      <c r="L6244">
        <f t="shared" si="2634"/>
        <v>609</v>
      </c>
      <c r="M6244">
        <f t="shared" si="2635"/>
        <v>51</v>
      </c>
      <c r="N6244">
        <f t="shared" si="2625"/>
        <v>102</v>
      </c>
      <c r="O6244">
        <f t="shared" si="2636"/>
        <v>609</v>
      </c>
      <c r="P6244">
        <f t="shared" si="2637"/>
        <v>0</v>
      </c>
      <c r="Q6244" t="str">
        <f t="shared" si="2626"/>
        <v>8.37% | 8.37%</v>
      </c>
      <c r="R6244" t="str">
        <f t="shared" si="2638"/>
        <v>BULLISH</v>
      </c>
      <c r="S6244">
        <f t="shared" si="2639"/>
        <v>1</v>
      </c>
    </row>
    <row r="6245" spans="1:19" hidden="1" x14ac:dyDescent="0.25">
      <c r="A6245" s="5" t="str">
        <f t="shared" si="2627"/>
        <v>44179NYXBT</v>
      </c>
      <c r="B6245" s="6" t="s">
        <v>60</v>
      </c>
      <c r="C6245" s="6">
        <v>17790</v>
      </c>
      <c r="D6245" s="6">
        <v>19992</v>
      </c>
      <c r="E6245" s="6">
        <v>18058</v>
      </c>
      <c r="F6245" t="str">
        <f t="shared" si="2628"/>
        <v>MON</v>
      </c>
      <c r="G6245" s="3">
        <f t="shared" si="2629"/>
        <v>44179</v>
      </c>
      <c r="H6245" s="2">
        <f t="shared" ca="1" si="2630"/>
        <v>74</v>
      </c>
      <c r="I6245" t="str">
        <f t="shared" si="2631"/>
        <v>NYXBT</v>
      </c>
      <c r="J6245">
        <f t="shared" si="2632"/>
        <v>17790</v>
      </c>
      <c r="K6245">
        <f t="shared" si="2633"/>
        <v>19992</v>
      </c>
      <c r="L6245">
        <f t="shared" si="2634"/>
        <v>18891</v>
      </c>
      <c r="M6245">
        <f t="shared" si="2635"/>
        <v>1101</v>
      </c>
      <c r="N6245">
        <f t="shared" si="2625"/>
        <v>2202</v>
      </c>
      <c r="O6245">
        <f t="shared" si="2636"/>
        <v>18058</v>
      </c>
      <c r="P6245">
        <f t="shared" si="2637"/>
        <v>-0.75658492279745682</v>
      </c>
      <c r="Q6245" t="str">
        <f t="shared" si="2626"/>
        <v>1.48% | 10.71%</v>
      </c>
      <c r="R6245" t="str">
        <f t="shared" si="2638"/>
        <v>BULLISH</v>
      </c>
      <c r="S6245">
        <f t="shared" si="2639"/>
        <v>1</v>
      </c>
    </row>
    <row r="6246" spans="1:19" hidden="1" x14ac:dyDescent="0.25">
      <c r="A6246" s="5" t="str">
        <f t="shared" si="2627"/>
        <v>44180UST10Y</v>
      </c>
      <c r="B6246" s="6" t="s">
        <v>257</v>
      </c>
      <c r="C6246" s="6">
        <v>0.99</v>
      </c>
      <c r="D6246" s="6">
        <v>0.88</v>
      </c>
      <c r="E6246" s="6">
        <v>0.9</v>
      </c>
      <c r="F6246" t="str">
        <f t="shared" si="2628"/>
        <v>TUE</v>
      </c>
      <c r="G6246" s="1">
        <f>DATE(2020,12,15)</f>
        <v>44180</v>
      </c>
      <c r="H6246" s="2">
        <f t="shared" ca="1" si="2630"/>
        <v>73</v>
      </c>
      <c r="I6246" t="str">
        <f t="shared" si="2631"/>
        <v>UST10Y</v>
      </c>
      <c r="J6246">
        <f t="shared" si="2632"/>
        <v>0.99</v>
      </c>
      <c r="K6246">
        <f t="shared" si="2633"/>
        <v>0.88</v>
      </c>
      <c r="L6246">
        <f t="shared" si="2634"/>
        <v>0.93500000000000005</v>
      </c>
      <c r="M6246">
        <f t="shared" si="2635"/>
        <v>5.4999999999999993E-2</v>
      </c>
      <c r="N6246">
        <f t="shared" si="2625"/>
        <v>0.10999999999999999</v>
      </c>
      <c r="O6246">
        <f t="shared" si="2636"/>
        <v>0.9</v>
      </c>
      <c r="P6246">
        <f t="shared" si="2637"/>
        <v>-0.63636363636363702</v>
      </c>
      <c r="Q6246" t="str">
        <f t="shared" si="2626"/>
        <v>10% | 2.22%</v>
      </c>
      <c r="R6246" t="str">
        <f t="shared" si="2638"/>
        <v>BULLISH</v>
      </c>
      <c r="S6246">
        <f t="shared" si="2639"/>
        <v>1</v>
      </c>
    </row>
    <row r="6247" spans="1:19" hidden="1" x14ac:dyDescent="0.25">
      <c r="A6247" s="5" t="str">
        <f t="shared" si="2627"/>
        <v>44180UST2Y</v>
      </c>
      <c r="B6247" s="6" t="s">
        <v>253</v>
      </c>
      <c r="C6247" s="6">
        <v>0.18</v>
      </c>
      <c r="D6247" s="6">
        <v>0.11</v>
      </c>
      <c r="E6247" s="6">
        <v>0.13</v>
      </c>
      <c r="F6247" t="str">
        <f t="shared" ref="F6247:F6277" si="2640">UPPER(TEXT(G6247,"ddd"))</f>
        <v>TUE</v>
      </c>
      <c r="G6247" s="1">
        <f t="shared" ref="G6247:G6276" si="2641">DATE(2020,12,15)</f>
        <v>44180</v>
      </c>
      <c r="H6247" s="2">
        <f t="shared" ref="H6247:H6277" ca="1" si="2642">TODAY()-G6247</f>
        <v>73</v>
      </c>
      <c r="I6247" t="str">
        <f t="shared" ref="I6247:I6277" si="2643">TRIM(LEFT(B6247,FIND(" ",B6247,1)))</f>
        <v>UST2Y</v>
      </c>
      <c r="J6247">
        <f t="shared" ref="J6247:J6277" si="2644">C6247</f>
        <v>0.18</v>
      </c>
      <c r="K6247">
        <f t="shared" ref="K6247:K6277" si="2645">D6247</f>
        <v>0.11</v>
      </c>
      <c r="L6247">
        <f t="shared" ref="L6247:L6277" si="2646">AVERAGE(J6247:K6247)</f>
        <v>0.14499999999999999</v>
      </c>
      <c r="M6247">
        <f t="shared" ref="M6247:M6277" si="2647">_xlfn.STDEV.P(J6247:K6247)</f>
        <v>3.5000000000000003E-2</v>
      </c>
      <c r="N6247">
        <f t="shared" si="2625"/>
        <v>6.9999999999999993E-2</v>
      </c>
      <c r="O6247">
        <f t="shared" ref="O6247:O6277" si="2648">E6247</f>
        <v>0.13</v>
      </c>
      <c r="P6247">
        <f t="shared" ref="P6247:P6277" si="2649">(O6247-L6247)/M6247</f>
        <v>-0.4285714285714281</v>
      </c>
      <c r="Q6247" t="str">
        <f t="shared" si="2626"/>
        <v>38.46% | 15.38%</v>
      </c>
      <c r="R6247" t="str">
        <f t="shared" ref="R6247:R6277" si="2650">MID(B6247,FIND("(",B6247,1)+1,FIND(")",B6247,1)-FIND("(",B6247,1)-1)</f>
        <v>NEUTRAL</v>
      </c>
      <c r="S6247">
        <f t="shared" ref="S6247:S6277" si="2651">IF(R6247="BEARISH",-1,IF(R6247="NEUTRAL",0,IF(R6247="BULLISH",1,99)))</f>
        <v>0</v>
      </c>
    </row>
    <row r="6248" spans="1:19" hidden="1" x14ac:dyDescent="0.25">
      <c r="A6248" s="5" t="str">
        <f t="shared" si="2627"/>
        <v>44180SPX</v>
      </c>
      <c r="B6248" s="6" t="s">
        <v>93</v>
      </c>
      <c r="C6248" s="6">
        <v>3638</v>
      </c>
      <c r="D6248" s="6">
        <v>3712</v>
      </c>
      <c r="E6248" s="6">
        <v>3647</v>
      </c>
      <c r="F6248" t="str">
        <f t="shared" si="2640"/>
        <v>TUE</v>
      </c>
      <c r="G6248" s="1">
        <f t="shared" si="2641"/>
        <v>44180</v>
      </c>
      <c r="H6248" s="2">
        <f t="shared" ca="1" si="2642"/>
        <v>73</v>
      </c>
      <c r="I6248" t="str">
        <f t="shared" si="2643"/>
        <v>SPX</v>
      </c>
      <c r="J6248">
        <f t="shared" si="2644"/>
        <v>3638</v>
      </c>
      <c r="K6248">
        <f t="shared" si="2645"/>
        <v>3712</v>
      </c>
      <c r="L6248">
        <f t="shared" si="2646"/>
        <v>3675</v>
      </c>
      <c r="M6248">
        <f t="shared" si="2647"/>
        <v>37</v>
      </c>
      <c r="N6248">
        <f t="shared" si="2625"/>
        <v>74</v>
      </c>
      <c r="O6248">
        <f t="shared" si="2648"/>
        <v>3647</v>
      </c>
      <c r="P6248">
        <f t="shared" si="2649"/>
        <v>-0.7567567567567568</v>
      </c>
      <c r="Q6248" t="str">
        <f t="shared" si="2626"/>
        <v>0.25% | 1.78%</v>
      </c>
      <c r="R6248" t="str">
        <f t="shared" si="2650"/>
        <v>BULLISH</v>
      </c>
      <c r="S6248">
        <f t="shared" si="2651"/>
        <v>1</v>
      </c>
    </row>
    <row r="6249" spans="1:19" hidden="1" x14ac:dyDescent="0.25">
      <c r="A6249" s="5" t="str">
        <f t="shared" si="2627"/>
        <v>44180RUT</v>
      </c>
      <c r="B6249" s="6" t="s">
        <v>247</v>
      </c>
      <c r="C6249" s="6">
        <v>1844</v>
      </c>
      <c r="D6249" s="6">
        <v>1947</v>
      </c>
      <c r="E6249" s="6">
        <v>1913</v>
      </c>
      <c r="F6249" t="str">
        <f t="shared" si="2640"/>
        <v>TUE</v>
      </c>
      <c r="G6249" s="1">
        <f t="shared" si="2641"/>
        <v>44180</v>
      </c>
      <c r="H6249" s="2">
        <f t="shared" ca="1" si="2642"/>
        <v>73</v>
      </c>
      <c r="I6249" t="str">
        <f t="shared" si="2643"/>
        <v>RUT</v>
      </c>
      <c r="J6249">
        <f t="shared" si="2644"/>
        <v>1844</v>
      </c>
      <c r="K6249">
        <f t="shared" si="2645"/>
        <v>1947</v>
      </c>
      <c r="L6249">
        <f t="shared" si="2646"/>
        <v>1895.5</v>
      </c>
      <c r="M6249">
        <f t="shared" si="2647"/>
        <v>51.5</v>
      </c>
      <c r="N6249">
        <f t="shared" si="2625"/>
        <v>103</v>
      </c>
      <c r="O6249">
        <f t="shared" si="2648"/>
        <v>1913</v>
      </c>
      <c r="P6249">
        <f t="shared" si="2649"/>
        <v>0.33980582524271846</v>
      </c>
      <c r="Q6249" t="str">
        <f t="shared" si="2626"/>
        <v>3.61% | 1.78%</v>
      </c>
      <c r="R6249" t="str">
        <f t="shared" si="2650"/>
        <v>BULLISH</v>
      </c>
      <c r="S6249">
        <f t="shared" si="2651"/>
        <v>1</v>
      </c>
    </row>
    <row r="6250" spans="1:19" hidden="1" x14ac:dyDescent="0.25">
      <c r="A6250" s="5" t="str">
        <f t="shared" si="2627"/>
        <v>44180COMPQ</v>
      </c>
      <c r="B6250" s="6" t="s">
        <v>8</v>
      </c>
      <c r="C6250" s="6">
        <v>12254</v>
      </c>
      <c r="D6250" s="6">
        <v>12592</v>
      </c>
      <c r="E6250" s="6">
        <v>12440</v>
      </c>
      <c r="F6250" t="str">
        <f t="shared" si="2640"/>
        <v>TUE</v>
      </c>
      <c r="G6250" s="1">
        <f t="shared" si="2641"/>
        <v>44180</v>
      </c>
      <c r="H6250" s="2">
        <f t="shared" ca="1" si="2642"/>
        <v>73</v>
      </c>
      <c r="I6250" t="str">
        <f t="shared" si="2643"/>
        <v>COMPQ</v>
      </c>
      <c r="J6250">
        <f t="shared" si="2644"/>
        <v>12254</v>
      </c>
      <c r="K6250">
        <f t="shared" si="2645"/>
        <v>12592</v>
      </c>
      <c r="L6250">
        <f t="shared" si="2646"/>
        <v>12423</v>
      </c>
      <c r="M6250">
        <f t="shared" si="2647"/>
        <v>169</v>
      </c>
      <c r="N6250">
        <f t="shared" si="2625"/>
        <v>338</v>
      </c>
      <c r="O6250">
        <f t="shared" si="2648"/>
        <v>12440</v>
      </c>
      <c r="P6250">
        <f t="shared" si="2649"/>
        <v>0.10059171597633136</v>
      </c>
      <c r="Q6250" t="str">
        <f t="shared" si="2626"/>
        <v>1.5% | 1.22%</v>
      </c>
      <c r="R6250" t="str">
        <f t="shared" si="2650"/>
        <v>BULLISH</v>
      </c>
      <c r="S6250">
        <f t="shared" si="2651"/>
        <v>1</v>
      </c>
    </row>
    <row r="6251" spans="1:19" hidden="1" x14ac:dyDescent="0.25">
      <c r="A6251" s="5" t="str">
        <f t="shared" si="2627"/>
        <v>44180XLK</v>
      </c>
      <c r="B6251" s="6" t="s">
        <v>10</v>
      </c>
      <c r="C6251" s="6">
        <v>123.24</v>
      </c>
      <c r="D6251" s="6">
        <v>127.08</v>
      </c>
      <c r="E6251" s="6">
        <v>124.75</v>
      </c>
      <c r="F6251" t="str">
        <f t="shared" si="2640"/>
        <v>TUE</v>
      </c>
      <c r="G6251" s="1">
        <f t="shared" si="2641"/>
        <v>44180</v>
      </c>
      <c r="H6251" s="2">
        <f t="shared" ca="1" si="2642"/>
        <v>73</v>
      </c>
      <c r="I6251" t="str">
        <f t="shared" si="2643"/>
        <v>XLK</v>
      </c>
      <c r="J6251">
        <f t="shared" si="2644"/>
        <v>123.24</v>
      </c>
      <c r="K6251">
        <f t="shared" si="2645"/>
        <v>127.08</v>
      </c>
      <c r="L6251">
        <f t="shared" si="2646"/>
        <v>125.16</v>
      </c>
      <c r="M6251">
        <f t="shared" si="2647"/>
        <v>1.9200000000000017</v>
      </c>
      <c r="N6251">
        <f t="shared" si="2625"/>
        <v>3.8400000000000034</v>
      </c>
      <c r="O6251">
        <f t="shared" si="2648"/>
        <v>124.75</v>
      </c>
      <c r="P6251">
        <f t="shared" si="2649"/>
        <v>-0.21354166666666471</v>
      </c>
      <c r="Q6251" t="str">
        <f t="shared" si="2626"/>
        <v>1.21% | 1.87%</v>
      </c>
      <c r="R6251" t="str">
        <f t="shared" si="2650"/>
        <v>BULLISH</v>
      </c>
      <c r="S6251">
        <f t="shared" si="2651"/>
        <v>1</v>
      </c>
    </row>
    <row r="6252" spans="1:19" hidden="1" x14ac:dyDescent="0.25">
      <c r="A6252" s="5" t="str">
        <f t="shared" si="2627"/>
        <v>44180XLE</v>
      </c>
      <c r="B6252" s="6" t="s">
        <v>250</v>
      </c>
      <c r="C6252" s="6">
        <v>37.36</v>
      </c>
      <c r="D6252" s="6">
        <v>42.24</v>
      </c>
      <c r="E6252" s="6">
        <v>39.68</v>
      </c>
      <c r="F6252" t="str">
        <f t="shared" si="2640"/>
        <v>TUE</v>
      </c>
      <c r="G6252" s="1">
        <f t="shared" si="2641"/>
        <v>44180</v>
      </c>
      <c r="H6252" s="2">
        <f t="shared" ca="1" si="2642"/>
        <v>73</v>
      </c>
      <c r="I6252" t="str">
        <f t="shared" si="2643"/>
        <v>XLE</v>
      </c>
      <c r="J6252">
        <f t="shared" si="2644"/>
        <v>37.36</v>
      </c>
      <c r="K6252">
        <f t="shared" si="2645"/>
        <v>42.24</v>
      </c>
      <c r="L6252">
        <f t="shared" si="2646"/>
        <v>39.799999999999997</v>
      </c>
      <c r="M6252">
        <f t="shared" si="2647"/>
        <v>2.4400000000000013</v>
      </c>
      <c r="N6252">
        <f t="shared" si="2625"/>
        <v>4.8800000000000026</v>
      </c>
      <c r="O6252">
        <f t="shared" si="2648"/>
        <v>39.68</v>
      </c>
      <c r="P6252">
        <f t="shared" si="2649"/>
        <v>-4.9180327868851383E-2</v>
      </c>
      <c r="Q6252" t="str">
        <f t="shared" si="2626"/>
        <v>5.85% | 6.45%</v>
      </c>
      <c r="R6252" t="str">
        <f t="shared" si="2650"/>
        <v>BULLISH</v>
      </c>
      <c r="S6252">
        <f t="shared" si="2651"/>
        <v>1</v>
      </c>
    </row>
    <row r="6253" spans="1:19" hidden="1" x14ac:dyDescent="0.25">
      <c r="A6253" s="5" t="str">
        <f t="shared" si="2627"/>
        <v>44180XLU</v>
      </c>
      <c r="B6253" s="6" t="s">
        <v>82</v>
      </c>
      <c r="C6253" s="6">
        <v>61.47</v>
      </c>
      <c r="D6253" s="6">
        <v>63.34</v>
      </c>
      <c r="E6253" s="6">
        <v>61.92</v>
      </c>
      <c r="F6253" t="str">
        <f t="shared" si="2640"/>
        <v>TUE</v>
      </c>
      <c r="G6253" s="1">
        <f t="shared" si="2641"/>
        <v>44180</v>
      </c>
      <c r="H6253" s="2">
        <f t="shared" ca="1" si="2642"/>
        <v>73</v>
      </c>
      <c r="I6253" t="str">
        <f t="shared" si="2643"/>
        <v>XLU</v>
      </c>
      <c r="J6253">
        <f t="shared" si="2644"/>
        <v>61.47</v>
      </c>
      <c r="K6253">
        <f t="shared" si="2645"/>
        <v>63.34</v>
      </c>
      <c r="L6253">
        <f t="shared" si="2646"/>
        <v>62.405000000000001</v>
      </c>
      <c r="M6253">
        <f t="shared" si="2647"/>
        <v>0.93500000000000227</v>
      </c>
      <c r="N6253">
        <f t="shared" si="2625"/>
        <v>1.8700000000000045</v>
      </c>
      <c r="O6253">
        <f t="shared" si="2648"/>
        <v>61.92</v>
      </c>
      <c r="P6253">
        <f t="shared" si="2649"/>
        <v>-0.51871657754010503</v>
      </c>
      <c r="Q6253" t="str">
        <f t="shared" si="2626"/>
        <v>0.73% | 2.29%</v>
      </c>
      <c r="R6253" t="str">
        <f t="shared" si="2650"/>
        <v>BEARISH</v>
      </c>
      <c r="S6253">
        <f t="shared" si="2651"/>
        <v>-1</v>
      </c>
    </row>
    <row r="6254" spans="1:19" hidden="1" x14ac:dyDescent="0.25">
      <c r="A6254" s="5" t="str">
        <f t="shared" si="2627"/>
        <v>44180GDX</v>
      </c>
      <c r="B6254" s="6" t="s">
        <v>254</v>
      </c>
      <c r="C6254" s="6">
        <v>33.14</v>
      </c>
      <c r="D6254" s="6">
        <v>36.35</v>
      </c>
      <c r="E6254" s="6">
        <v>34.29</v>
      </c>
      <c r="F6254" t="str">
        <f t="shared" si="2640"/>
        <v>TUE</v>
      </c>
      <c r="G6254" s="1">
        <f t="shared" si="2641"/>
        <v>44180</v>
      </c>
      <c r="H6254" s="2">
        <f t="shared" ca="1" si="2642"/>
        <v>73</v>
      </c>
      <c r="I6254" t="str">
        <f t="shared" si="2643"/>
        <v>GDX</v>
      </c>
      <c r="J6254">
        <f t="shared" si="2644"/>
        <v>33.14</v>
      </c>
      <c r="K6254">
        <f t="shared" si="2645"/>
        <v>36.35</v>
      </c>
      <c r="L6254">
        <f t="shared" si="2646"/>
        <v>34.745000000000005</v>
      </c>
      <c r="M6254">
        <f t="shared" si="2647"/>
        <v>1.6050000000000004</v>
      </c>
      <c r="N6254">
        <f t="shared" si="2625"/>
        <v>3.2100000000000009</v>
      </c>
      <c r="O6254">
        <f t="shared" si="2648"/>
        <v>34.29</v>
      </c>
      <c r="P6254">
        <f t="shared" si="2649"/>
        <v>-0.28348909657321203</v>
      </c>
      <c r="Q6254" t="str">
        <f t="shared" si="2626"/>
        <v>3.35% | 6.01%</v>
      </c>
      <c r="R6254" t="str">
        <f t="shared" si="2650"/>
        <v>BEARISH</v>
      </c>
      <c r="S6254">
        <f t="shared" si="2651"/>
        <v>-1</v>
      </c>
    </row>
    <row r="6255" spans="1:19" hidden="1" x14ac:dyDescent="0.25">
      <c r="A6255" s="5" t="str">
        <f t="shared" si="2627"/>
        <v>44180SSEC</v>
      </c>
      <c r="B6255" s="6" t="s">
        <v>104</v>
      </c>
      <c r="C6255" s="6">
        <v>3326</v>
      </c>
      <c r="D6255" s="6">
        <v>3474</v>
      </c>
      <c r="E6255" s="6">
        <v>3367</v>
      </c>
      <c r="F6255" t="str">
        <f t="shared" si="2640"/>
        <v>TUE</v>
      </c>
      <c r="G6255" s="1">
        <f t="shared" si="2641"/>
        <v>44180</v>
      </c>
      <c r="H6255" s="2">
        <f t="shared" ca="1" si="2642"/>
        <v>73</v>
      </c>
      <c r="I6255" t="str">
        <f t="shared" si="2643"/>
        <v>SSEC</v>
      </c>
      <c r="J6255">
        <f t="shared" si="2644"/>
        <v>3326</v>
      </c>
      <c r="K6255">
        <f t="shared" si="2645"/>
        <v>3474</v>
      </c>
      <c r="L6255">
        <f t="shared" si="2646"/>
        <v>3400</v>
      </c>
      <c r="M6255">
        <f t="shared" si="2647"/>
        <v>74</v>
      </c>
      <c r="N6255">
        <f t="shared" si="2625"/>
        <v>148</v>
      </c>
      <c r="O6255">
        <f t="shared" si="2648"/>
        <v>3367</v>
      </c>
      <c r="P6255">
        <f t="shared" si="2649"/>
        <v>-0.44594594594594594</v>
      </c>
      <c r="Q6255" t="str">
        <f t="shared" si="2626"/>
        <v>1.22% | 3.18%</v>
      </c>
      <c r="R6255" t="str">
        <f t="shared" si="2650"/>
        <v>BULLISH</v>
      </c>
      <c r="S6255">
        <f t="shared" si="2651"/>
        <v>1</v>
      </c>
    </row>
    <row r="6256" spans="1:19" hidden="1" x14ac:dyDescent="0.25">
      <c r="A6256" s="5" t="str">
        <f t="shared" si="2627"/>
        <v>44180NIKK</v>
      </c>
      <c r="B6256" s="6" t="s">
        <v>91</v>
      </c>
      <c r="C6256" s="6">
        <v>26460</v>
      </c>
      <c r="D6256" s="6">
        <v>26958</v>
      </c>
      <c r="E6256" s="6">
        <v>26687</v>
      </c>
      <c r="F6256" t="str">
        <f t="shared" si="2640"/>
        <v>TUE</v>
      </c>
      <c r="G6256" s="1">
        <f t="shared" si="2641"/>
        <v>44180</v>
      </c>
      <c r="H6256" s="2">
        <f t="shared" ca="1" si="2642"/>
        <v>73</v>
      </c>
      <c r="I6256" t="str">
        <f t="shared" si="2643"/>
        <v>NIKK</v>
      </c>
      <c r="J6256">
        <f t="shared" si="2644"/>
        <v>26460</v>
      </c>
      <c r="K6256">
        <f t="shared" si="2645"/>
        <v>26958</v>
      </c>
      <c r="L6256">
        <f t="shared" si="2646"/>
        <v>26709</v>
      </c>
      <c r="M6256">
        <f t="shared" si="2647"/>
        <v>249</v>
      </c>
      <c r="N6256">
        <f t="shared" si="2625"/>
        <v>498</v>
      </c>
      <c r="O6256">
        <f t="shared" si="2648"/>
        <v>26687</v>
      </c>
      <c r="P6256">
        <f t="shared" si="2649"/>
        <v>-8.8353413654618476E-2</v>
      </c>
      <c r="Q6256" t="str">
        <f t="shared" si="2626"/>
        <v>0.85% | 1.02%</v>
      </c>
      <c r="R6256" t="str">
        <f t="shared" si="2650"/>
        <v>BULLISH</v>
      </c>
      <c r="S6256">
        <f t="shared" si="2651"/>
        <v>1</v>
      </c>
    </row>
    <row r="6257" spans="1:19" hidden="1" x14ac:dyDescent="0.25">
      <c r="A6257" s="5" t="str">
        <f t="shared" si="2627"/>
        <v>44180DAX</v>
      </c>
      <c r="B6257" s="6" t="s">
        <v>98</v>
      </c>
      <c r="C6257" s="6">
        <v>13130</v>
      </c>
      <c r="D6257" s="6">
        <v>13399</v>
      </c>
      <c r="E6257" s="6">
        <v>13223</v>
      </c>
      <c r="F6257" t="str">
        <f t="shared" si="2640"/>
        <v>TUE</v>
      </c>
      <c r="G6257" s="1">
        <f t="shared" si="2641"/>
        <v>44180</v>
      </c>
      <c r="H6257" s="2">
        <f t="shared" ca="1" si="2642"/>
        <v>73</v>
      </c>
      <c r="I6257" t="str">
        <f t="shared" si="2643"/>
        <v>DAX</v>
      </c>
      <c r="J6257">
        <f t="shared" si="2644"/>
        <v>13130</v>
      </c>
      <c r="K6257">
        <f t="shared" si="2645"/>
        <v>13399</v>
      </c>
      <c r="L6257">
        <f t="shared" si="2646"/>
        <v>13264.5</v>
      </c>
      <c r="M6257">
        <f t="shared" si="2647"/>
        <v>134.5</v>
      </c>
      <c r="N6257">
        <f t="shared" si="2625"/>
        <v>269</v>
      </c>
      <c r="O6257">
        <f t="shared" si="2648"/>
        <v>13223</v>
      </c>
      <c r="P6257">
        <f t="shared" si="2649"/>
        <v>-0.30855018587360594</v>
      </c>
      <c r="Q6257" t="str">
        <f t="shared" si="2626"/>
        <v>0.7% | 1.33%</v>
      </c>
      <c r="R6257" t="str">
        <f t="shared" si="2650"/>
        <v>BULLISH</v>
      </c>
      <c r="S6257">
        <f t="shared" si="2651"/>
        <v>1</v>
      </c>
    </row>
    <row r="6258" spans="1:19" hidden="1" x14ac:dyDescent="0.25">
      <c r="A6258" s="5" t="str">
        <f t="shared" si="2627"/>
        <v>44180VIX</v>
      </c>
      <c r="B6258" s="6" t="s">
        <v>96</v>
      </c>
      <c r="C6258" s="6">
        <v>19.45</v>
      </c>
      <c r="D6258" s="6">
        <v>24.94</v>
      </c>
      <c r="E6258" s="6">
        <v>24.72</v>
      </c>
      <c r="F6258" t="str">
        <f t="shared" si="2640"/>
        <v>TUE</v>
      </c>
      <c r="G6258" s="1">
        <f t="shared" si="2641"/>
        <v>44180</v>
      </c>
      <c r="H6258" s="2">
        <f t="shared" ca="1" si="2642"/>
        <v>73</v>
      </c>
      <c r="I6258" t="str">
        <f t="shared" si="2643"/>
        <v>VIX</v>
      </c>
      <c r="J6258">
        <f t="shared" si="2644"/>
        <v>19.45</v>
      </c>
      <c r="K6258">
        <f t="shared" si="2645"/>
        <v>24.94</v>
      </c>
      <c r="L6258">
        <f t="shared" si="2646"/>
        <v>22.195</v>
      </c>
      <c r="M6258">
        <f t="shared" si="2647"/>
        <v>2.7450000000000032</v>
      </c>
      <c r="N6258">
        <f t="shared" si="2625"/>
        <v>5.490000000000002</v>
      </c>
      <c r="O6258">
        <f t="shared" si="2648"/>
        <v>24.72</v>
      </c>
      <c r="P6258">
        <f t="shared" si="2649"/>
        <v>0.91985428051001661</v>
      </c>
      <c r="Q6258" t="str">
        <f t="shared" si="2626"/>
        <v>21.32% | 0.89%</v>
      </c>
      <c r="R6258" t="str">
        <f t="shared" si="2650"/>
        <v>BEARISH</v>
      </c>
      <c r="S6258">
        <f t="shared" si="2651"/>
        <v>-1</v>
      </c>
    </row>
    <row r="6259" spans="1:19" hidden="1" x14ac:dyDescent="0.25">
      <c r="A6259" s="5" t="str">
        <f t="shared" si="2627"/>
        <v>44180USD</v>
      </c>
      <c r="B6259" s="6" t="s">
        <v>94</v>
      </c>
      <c r="C6259" s="6">
        <v>90.23</v>
      </c>
      <c r="D6259" s="6">
        <v>91.28</v>
      </c>
      <c r="E6259" s="6">
        <v>90.65</v>
      </c>
      <c r="F6259" t="str">
        <f t="shared" si="2640"/>
        <v>TUE</v>
      </c>
      <c r="G6259" s="1">
        <f t="shared" si="2641"/>
        <v>44180</v>
      </c>
      <c r="H6259" s="2">
        <f t="shared" ca="1" si="2642"/>
        <v>73</v>
      </c>
      <c r="I6259" t="str">
        <f t="shared" si="2643"/>
        <v>USD</v>
      </c>
      <c r="J6259">
        <f t="shared" si="2644"/>
        <v>90.23</v>
      </c>
      <c r="K6259">
        <f t="shared" si="2645"/>
        <v>91.28</v>
      </c>
      <c r="L6259">
        <f t="shared" si="2646"/>
        <v>90.754999999999995</v>
      </c>
      <c r="M6259">
        <f t="shared" si="2647"/>
        <v>0.52499999999999858</v>
      </c>
      <c r="N6259">
        <f t="shared" si="2625"/>
        <v>1.0499999999999972</v>
      </c>
      <c r="O6259">
        <f t="shared" si="2648"/>
        <v>90.65</v>
      </c>
      <c r="P6259">
        <f t="shared" si="2649"/>
        <v>-0.19999999999998105</v>
      </c>
      <c r="Q6259" t="str">
        <f t="shared" si="2626"/>
        <v>0.46% | 0.69%</v>
      </c>
      <c r="R6259" t="str">
        <f t="shared" si="2650"/>
        <v>BEARISH</v>
      </c>
      <c r="S6259">
        <f t="shared" si="2651"/>
        <v>-1</v>
      </c>
    </row>
    <row r="6260" spans="1:19" hidden="1" x14ac:dyDescent="0.25">
      <c r="A6260" s="5" t="str">
        <f t="shared" si="2627"/>
        <v>44180EUR/USD</v>
      </c>
      <c r="B6260" s="6" t="s">
        <v>99</v>
      </c>
      <c r="C6260" s="6">
        <v>1.208</v>
      </c>
      <c r="D6260" s="6">
        <v>1.226</v>
      </c>
      <c r="E6260" s="6">
        <v>1.2150000000000001</v>
      </c>
      <c r="F6260" t="str">
        <f t="shared" si="2640"/>
        <v>TUE</v>
      </c>
      <c r="G6260" s="1">
        <f t="shared" si="2641"/>
        <v>44180</v>
      </c>
      <c r="H6260" s="2">
        <f t="shared" ca="1" si="2642"/>
        <v>73</v>
      </c>
      <c r="I6260" t="str">
        <f t="shared" si="2643"/>
        <v>EUR/USD</v>
      </c>
      <c r="J6260">
        <f t="shared" si="2644"/>
        <v>1.208</v>
      </c>
      <c r="K6260">
        <f t="shared" si="2645"/>
        <v>1.226</v>
      </c>
      <c r="L6260">
        <f t="shared" si="2646"/>
        <v>1.2170000000000001</v>
      </c>
      <c r="M6260">
        <f t="shared" si="2647"/>
        <v>9.000000000000008E-3</v>
      </c>
      <c r="N6260">
        <f t="shared" si="2625"/>
        <v>1.8000000000000016E-2</v>
      </c>
      <c r="O6260">
        <f t="shared" si="2648"/>
        <v>1.2150000000000001</v>
      </c>
      <c r="P6260">
        <f t="shared" si="2649"/>
        <v>-0.22222222222222221</v>
      </c>
      <c r="Q6260" t="str">
        <f t="shared" si="2626"/>
        <v>0.58% | 0.91%</v>
      </c>
      <c r="R6260" t="str">
        <f t="shared" si="2650"/>
        <v>BULLISH</v>
      </c>
      <c r="S6260">
        <f t="shared" si="2651"/>
        <v>1</v>
      </c>
    </row>
    <row r="6261" spans="1:19" hidden="1" x14ac:dyDescent="0.25">
      <c r="A6261" s="5" t="str">
        <f t="shared" si="2627"/>
        <v>44180USD/JPY</v>
      </c>
      <c r="B6261" s="6" t="s">
        <v>20</v>
      </c>
      <c r="C6261" s="6">
        <v>103.52</v>
      </c>
      <c r="D6261" s="6">
        <v>104.54</v>
      </c>
      <c r="E6261" s="6">
        <v>104</v>
      </c>
      <c r="F6261" t="str">
        <f t="shared" si="2640"/>
        <v>TUE</v>
      </c>
      <c r="G6261" s="1">
        <f t="shared" si="2641"/>
        <v>44180</v>
      </c>
      <c r="H6261" s="2">
        <f t="shared" ca="1" si="2642"/>
        <v>73</v>
      </c>
      <c r="I6261" t="str">
        <f t="shared" si="2643"/>
        <v>USD/JPY</v>
      </c>
      <c r="J6261">
        <f t="shared" si="2644"/>
        <v>103.52</v>
      </c>
      <c r="K6261">
        <f t="shared" si="2645"/>
        <v>104.54</v>
      </c>
      <c r="L6261">
        <f t="shared" si="2646"/>
        <v>104.03</v>
      </c>
      <c r="M6261">
        <f t="shared" si="2647"/>
        <v>0.51000000000000512</v>
      </c>
      <c r="N6261">
        <f t="shared" si="2625"/>
        <v>1.0200000000000102</v>
      </c>
      <c r="O6261">
        <f t="shared" si="2648"/>
        <v>104</v>
      </c>
      <c r="P6261">
        <f t="shared" si="2649"/>
        <v>-5.8823529411766343E-2</v>
      </c>
      <c r="Q6261" t="str">
        <f t="shared" si="2626"/>
        <v>0.46% | 0.52%</v>
      </c>
      <c r="R6261" t="str">
        <f t="shared" si="2650"/>
        <v>BEARISH</v>
      </c>
      <c r="S6261">
        <f t="shared" si="2651"/>
        <v>-1</v>
      </c>
    </row>
    <row r="6262" spans="1:19" hidden="1" x14ac:dyDescent="0.25">
      <c r="A6262" s="5" t="str">
        <f t="shared" si="2627"/>
        <v>44180GBP/USD</v>
      </c>
      <c r="B6262" s="6" t="s">
        <v>102</v>
      </c>
      <c r="C6262" s="6">
        <v>1.3220000000000001</v>
      </c>
      <c r="D6262" s="6">
        <v>1.351</v>
      </c>
      <c r="E6262" s="6">
        <v>1.3320000000000001</v>
      </c>
      <c r="F6262" t="str">
        <f t="shared" si="2640"/>
        <v>TUE</v>
      </c>
      <c r="G6262" s="1">
        <f t="shared" si="2641"/>
        <v>44180</v>
      </c>
      <c r="H6262" s="2">
        <f t="shared" ca="1" si="2642"/>
        <v>73</v>
      </c>
      <c r="I6262" t="str">
        <f t="shared" si="2643"/>
        <v>GBP/USD</v>
      </c>
      <c r="J6262">
        <f t="shared" si="2644"/>
        <v>1.3220000000000001</v>
      </c>
      <c r="K6262">
        <f t="shared" si="2645"/>
        <v>1.351</v>
      </c>
      <c r="L6262">
        <f t="shared" si="2646"/>
        <v>1.3365</v>
      </c>
      <c r="M6262">
        <f t="shared" si="2647"/>
        <v>1.4499999999999957E-2</v>
      </c>
      <c r="N6262">
        <f t="shared" si="2625"/>
        <v>2.8999999999999915E-2</v>
      </c>
      <c r="O6262">
        <f t="shared" si="2648"/>
        <v>1.3320000000000001</v>
      </c>
      <c r="P6262">
        <f t="shared" si="2649"/>
        <v>-0.31034482758620424</v>
      </c>
      <c r="Q6262" t="str">
        <f t="shared" si="2626"/>
        <v>0.75% | 1.43%</v>
      </c>
      <c r="R6262" t="str">
        <f t="shared" si="2650"/>
        <v>BULLISH</v>
      </c>
      <c r="S6262">
        <f t="shared" si="2651"/>
        <v>1</v>
      </c>
    </row>
    <row r="6263" spans="1:19" hidden="1" x14ac:dyDescent="0.25">
      <c r="A6263" s="5" t="str">
        <f t="shared" si="2627"/>
        <v>44180CAD/USD</v>
      </c>
      <c r="B6263" s="6" t="s">
        <v>244</v>
      </c>
      <c r="C6263" s="6">
        <v>0.77</v>
      </c>
      <c r="D6263" s="6">
        <v>0.79</v>
      </c>
      <c r="E6263" s="6">
        <v>0.78</v>
      </c>
      <c r="F6263" t="str">
        <f t="shared" si="2640"/>
        <v>TUE</v>
      </c>
      <c r="G6263" s="1">
        <f t="shared" si="2641"/>
        <v>44180</v>
      </c>
      <c r="H6263" s="2">
        <f t="shared" ca="1" si="2642"/>
        <v>73</v>
      </c>
      <c r="I6263" t="str">
        <f t="shared" si="2643"/>
        <v>CAD/USD</v>
      </c>
      <c r="J6263">
        <f t="shared" si="2644"/>
        <v>0.77</v>
      </c>
      <c r="K6263">
        <f t="shared" si="2645"/>
        <v>0.79</v>
      </c>
      <c r="L6263">
        <f t="shared" si="2646"/>
        <v>0.78</v>
      </c>
      <c r="M6263">
        <f t="shared" si="2647"/>
        <v>1.0000000000000009E-2</v>
      </c>
      <c r="N6263">
        <f t="shared" si="2625"/>
        <v>2.0000000000000018E-2</v>
      </c>
      <c r="O6263">
        <f t="shared" si="2648"/>
        <v>0.78</v>
      </c>
      <c r="P6263">
        <f t="shared" si="2649"/>
        <v>0</v>
      </c>
      <c r="Q6263" t="str">
        <f t="shared" si="2626"/>
        <v>1.28% | 1.28%</v>
      </c>
      <c r="R6263" t="str">
        <f t="shared" si="2650"/>
        <v>BULLISH</v>
      </c>
      <c r="S6263">
        <f t="shared" si="2651"/>
        <v>1</v>
      </c>
    </row>
    <row r="6264" spans="1:19" hidden="1" x14ac:dyDescent="0.25">
      <c r="A6264" s="5" t="str">
        <f t="shared" si="2627"/>
        <v>44180USD/CHF</v>
      </c>
      <c r="B6264" s="6" t="s">
        <v>76</v>
      </c>
      <c r="C6264" s="6">
        <v>0.87</v>
      </c>
      <c r="D6264" s="6">
        <v>0.89</v>
      </c>
      <c r="E6264" s="6">
        <v>0.88</v>
      </c>
      <c r="F6264" t="str">
        <f t="shared" si="2640"/>
        <v>TUE</v>
      </c>
      <c r="G6264" s="1">
        <f t="shared" si="2641"/>
        <v>44180</v>
      </c>
      <c r="H6264" s="2">
        <f t="shared" ca="1" si="2642"/>
        <v>73</v>
      </c>
      <c r="I6264" t="str">
        <f t="shared" si="2643"/>
        <v>USD/CHF</v>
      </c>
      <c r="J6264">
        <f t="shared" si="2644"/>
        <v>0.87</v>
      </c>
      <c r="K6264">
        <f t="shared" si="2645"/>
        <v>0.89</v>
      </c>
      <c r="L6264">
        <f t="shared" si="2646"/>
        <v>0.88</v>
      </c>
      <c r="M6264">
        <f t="shared" si="2647"/>
        <v>1.0000000000000009E-2</v>
      </c>
      <c r="N6264">
        <f t="shared" si="2625"/>
        <v>2.0000000000000018E-2</v>
      </c>
      <c r="O6264">
        <f t="shared" si="2648"/>
        <v>0.88</v>
      </c>
      <c r="P6264">
        <f t="shared" si="2649"/>
        <v>0</v>
      </c>
      <c r="Q6264" t="str">
        <f t="shared" si="2626"/>
        <v>1.14% | 1.14%</v>
      </c>
      <c r="R6264" t="str">
        <f t="shared" si="2650"/>
        <v>BEARISH</v>
      </c>
      <c r="S6264">
        <f t="shared" si="2651"/>
        <v>-1</v>
      </c>
    </row>
    <row r="6265" spans="1:19" hidden="1" x14ac:dyDescent="0.25">
      <c r="A6265" s="5" t="str">
        <f t="shared" si="2627"/>
        <v>44180WTIC</v>
      </c>
      <c r="B6265" s="6" t="s">
        <v>158</v>
      </c>
      <c r="C6265" s="6">
        <v>44.89</v>
      </c>
      <c r="D6265" s="6">
        <v>47.41</v>
      </c>
      <c r="E6265" s="6">
        <v>46.99</v>
      </c>
      <c r="F6265" t="str">
        <f t="shared" si="2640"/>
        <v>TUE</v>
      </c>
      <c r="G6265" s="1">
        <f t="shared" si="2641"/>
        <v>44180</v>
      </c>
      <c r="H6265" s="2">
        <f t="shared" ca="1" si="2642"/>
        <v>73</v>
      </c>
      <c r="I6265" t="str">
        <f t="shared" si="2643"/>
        <v>WTIC</v>
      </c>
      <c r="J6265">
        <f t="shared" si="2644"/>
        <v>44.89</v>
      </c>
      <c r="K6265">
        <f t="shared" si="2645"/>
        <v>47.41</v>
      </c>
      <c r="L6265">
        <f t="shared" si="2646"/>
        <v>46.15</v>
      </c>
      <c r="M6265">
        <f t="shared" si="2647"/>
        <v>1.259999999999998</v>
      </c>
      <c r="N6265">
        <f t="shared" si="2625"/>
        <v>2.519999999999996</v>
      </c>
      <c r="O6265">
        <f t="shared" si="2648"/>
        <v>46.99</v>
      </c>
      <c r="P6265">
        <f t="shared" si="2649"/>
        <v>0.6666666666666704</v>
      </c>
      <c r="Q6265" t="str">
        <f t="shared" si="2626"/>
        <v>4.47% | 0.89%</v>
      </c>
      <c r="R6265" t="str">
        <f t="shared" si="2650"/>
        <v>BULLISH</v>
      </c>
      <c r="S6265">
        <f t="shared" si="2651"/>
        <v>1</v>
      </c>
    </row>
    <row r="6266" spans="1:19" hidden="1" x14ac:dyDescent="0.25">
      <c r="A6266" s="5" t="str">
        <f t="shared" si="2627"/>
        <v>44180NATGAS</v>
      </c>
      <c r="B6266" s="6" t="s">
        <v>89</v>
      </c>
      <c r="C6266" s="6">
        <v>2.2999999999999998</v>
      </c>
      <c r="D6266" s="6">
        <v>2.85</v>
      </c>
      <c r="E6266" s="6">
        <v>2.68</v>
      </c>
      <c r="F6266" t="str">
        <f t="shared" si="2640"/>
        <v>TUE</v>
      </c>
      <c r="G6266" s="1">
        <f t="shared" si="2641"/>
        <v>44180</v>
      </c>
      <c r="H6266" s="2">
        <f t="shared" ca="1" si="2642"/>
        <v>73</v>
      </c>
      <c r="I6266" t="str">
        <f t="shared" si="2643"/>
        <v>NATGAS</v>
      </c>
      <c r="J6266">
        <f t="shared" si="2644"/>
        <v>2.2999999999999998</v>
      </c>
      <c r="K6266">
        <f t="shared" si="2645"/>
        <v>2.85</v>
      </c>
      <c r="L6266">
        <f t="shared" si="2646"/>
        <v>2.5750000000000002</v>
      </c>
      <c r="M6266">
        <f t="shared" si="2647"/>
        <v>0.27499999999999769</v>
      </c>
      <c r="N6266">
        <f t="shared" si="2625"/>
        <v>0.55000000000000027</v>
      </c>
      <c r="O6266">
        <f t="shared" si="2648"/>
        <v>2.68</v>
      </c>
      <c r="P6266">
        <f t="shared" si="2649"/>
        <v>0.38181818181818494</v>
      </c>
      <c r="Q6266" t="str">
        <f t="shared" si="2626"/>
        <v>14.18% | 6.34%</v>
      </c>
      <c r="R6266" t="str">
        <f t="shared" si="2650"/>
        <v>BULLISH</v>
      </c>
      <c r="S6266">
        <f t="shared" si="2651"/>
        <v>1</v>
      </c>
    </row>
    <row r="6267" spans="1:19" hidden="1" x14ac:dyDescent="0.25">
      <c r="A6267" s="5" t="str">
        <f t="shared" si="2627"/>
        <v>44180GOLD</v>
      </c>
      <c r="B6267" s="6" t="s">
        <v>85</v>
      </c>
      <c r="C6267" s="6">
        <v>1806</v>
      </c>
      <c r="D6267" s="6">
        <v>1872</v>
      </c>
      <c r="E6267" s="6">
        <v>1832</v>
      </c>
      <c r="F6267" t="str">
        <f t="shared" si="2640"/>
        <v>TUE</v>
      </c>
      <c r="G6267" s="1">
        <f t="shared" si="2641"/>
        <v>44180</v>
      </c>
      <c r="H6267" s="2">
        <f t="shared" ca="1" si="2642"/>
        <v>73</v>
      </c>
      <c r="I6267" t="str">
        <f t="shared" si="2643"/>
        <v>GOLD</v>
      </c>
      <c r="J6267">
        <f t="shared" si="2644"/>
        <v>1806</v>
      </c>
      <c r="K6267">
        <f t="shared" si="2645"/>
        <v>1872</v>
      </c>
      <c r="L6267">
        <f t="shared" si="2646"/>
        <v>1839</v>
      </c>
      <c r="M6267">
        <f t="shared" si="2647"/>
        <v>33</v>
      </c>
      <c r="N6267">
        <f t="shared" si="2625"/>
        <v>66</v>
      </c>
      <c r="O6267">
        <f t="shared" si="2648"/>
        <v>1832</v>
      </c>
      <c r="P6267">
        <f t="shared" si="2649"/>
        <v>-0.21212121212121213</v>
      </c>
      <c r="Q6267" t="str">
        <f t="shared" si="2626"/>
        <v>1.42% | 2.18%</v>
      </c>
      <c r="R6267" t="str">
        <f t="shared" si="2650"/>
        <v>BEARISH</v>
      </c>
      <c r="S6267">
        <f t="shared" si="2651"/>
        <v>-1</v>
      </c>
    </row>
    <row r="6268" spans="1:19" hidden="1" x14ac:dyDescent="0.25">
      <c r="A6268" s="5" t="str">
        <f t="shared" si="2627"/>
        <v>44180COPPER</v>
      </c>
      <c r="B6268" s="6" t="s">
        <v>100</v>
      </c>
      <c r="C6268" s="6">
        <v>3.48</v>
      </c>
      <c r="D6268" s="6">
        <v>3.58</v>
      </c>
      <c r="E6268" s="6">
        <v>3.53</v>
      </c>
      <c r="F6268" t="str">
        <f t="shared" si="2640"/>
        <v>TUE</v>
      </c>
      <c r="G6268" s="1">
        <f t="shared" si="2641"/>
        <v>44180</v>
      </c>
      <c r="H6268" s="2">
        <f t="shared" ca="1" si="2642"/>
        <v>73</v>
      </c>
      <c r="I6268" t="str">
        <f t="shared" si="2643"/>
        <v>COPPER</v>
      </c>
      <c r="J6268">
        <f t="shared" si="2644"/>
        <v>3.48</v>
      </c>
      <c r="K6268">
        <f t="shared" si="2645"/>
        <v>3.58</v>
      </c>
      <c r="L6268">
        <f t="shared" si="2646"/>
        <v>3.5300000000000002</v>
      </c>
      <c r="M6268">
        <f t="shared" si="2647"/>
        <v>5.0000000000000044E-2</v>
      </c>
      <c r="N6268">
        <f t="shared" si="2625"/>
        <v>0.10000000000000009</v>
      </c>
      <c r="O6268">
        <f t="shared" si="2648"/>
        <v>3.53</v>
      </c>
      <c r="P6268">
        <f t="shared" si="2649"/>
        <v>-8.8817841970012444E-15</v>
      </c>
      <c r="Q6268" t="str">
        <f t="shared" si="2626"/>
        <v>1.42% | 1.42%</v>
      </c>
      <c r="R6268" t="str">
        <f t="shared" si="2650"/>
        <v>BULLISH</v>
      </c>
      <c r="S6268">
        <f t="shared" si="2651"/>
        <v>1</v>
      </c>
    </row>
    <row r="6269" spans="1:19" hidden="1" x14ac:dyDescent="0.25">
      <c r="A6269" s="5" t="str">
        <f t="shared" si="2627"/>
        <v>44180MSFT</v>
      </c>
      <c r="B6269" s="6" t="s">
        <v>27</v>
      </c>
      <c r="C6269" s="6">
        <v>210</v>
      </c>
      <c r="D6269" s="6">
        <v>217</v>
      </c>
      <c r="E6269" s="6">
        <v>214</v>
      </c>
      <c r="F6269" t="str">
        <f t="shared" si="2640"/>
        <v>TUE</v>
      </c>
      <c r="G6269" s="1">
        <f t="shared" si="2641"/>
        <v>44180</v>
      </c>
      <c r="H6269" s="2">
        <f t="shared" ca="1" si="2642"/>
        <v>73</v>
      </c>
      <c r="I6269" t="str">
        <f t="shared" si="2643"/>
        <v>MSFT</v>
      </c>
      <c r="J6269">
        <f t="shared" si="2644"/>
        <v>210</v>
      </c>
      <c r="K6269">
        <f t="shared" si="2645"/>
        <v>217</v>
      </c>
      <c r="L6269">
        <f t="shared" si="2646"/>
        <v>213.5</v>
      </c>
      <c r="M6269">
        <f t="shared" si="2647"/>
        <v>3.5</v>
      </c>
      <c r="N6269">
        <f t="shared" si="2625"/>
        <v>7</v>
      </c>
      <c r="O6269">
        <f t="shared" si="2648"/>
        <v>214</v>
      </c>
      <c r="P6269">
        <f t="shared" si="2649"/>
        <v>0.14285714285714285</v>
      </c>
      <c r="Q6269" t="str">
        <f t="shared" si="2626"/>
        <v>1.87% | 1.4%</v>
      </c>
      <c r="R6269" t="str">
        <f t="shared" si="2650"/>
        <v>BULLISH</v>
      </c>
      <c r="S6269">
        <f t="shared" si="2651"/>
        <v>1</v>
      </c>
    </row>
    <row r="6270" spans="1:19" hidden="1" x14ac:dyDescent="0.25">
      <c r="A6270" s="5" t="str">
        <f t="shared" si="2627"/>
        <v>44180AAPL</v>
      </c>
      <c r="B6270" s="6" t="s">
        <v>28</v>
      </c>
      <c r="C6270" s="6">
        <v>121</v>
      </c>
      <c r="D6270" s="6">
        <v>126</v>
      </c>
      <c r="E6270" s="6">
        <v>121</v>
      </c>
      <c r="F6270" t="str">
        <f t="shared" si="2640"/>
        <v>TUE</v>
      </c>
      <c r="G6270" s="1">
        <f t="shared" si="2641"/>
        <v>44180</v>
      </c>
      <c r="H6270" s="2">
        <f t="shared" ca="1" si="2642"/>
        <v>73</v>
      </c>
      <c r="I6270" t="str">
        <f t="shared" si="2643"/>
        <v>AAPL</v>
      </c>
      <c r="J6270">
        <f t="shared" si="2644"/>
        <v>121</v>
      </c>
      <c r="K6270">
        <f t="shared" si="2645"/>
        <v>126</v>
      </c>
      <c r="L6270">
        <f t="shared" si="2646"/>
        <v>123.5</v>
      </c>
      <c r="M6270">
        <f t="shared" si="2647"/>
        <v>2.5</v>
      </c>
      <c r="N6270">
        <f t="shared" si="2625"/>
        <v>5</v>
      </c>
      <c r="O6270">
        <f t="shared" si="2648"/>
        <v>121</v>
      </c>
      <c r="P6270">
        <f t="shared" si="2649"/>
        <v>-1</v>
      </c>
      <c r="Q6270" t="str">
        <f t="shared" si="2626"/>
        <v>0% | 4.13%</v>
      </c>
      <c r="R6270" t="str">
        <f t="shared" si="2650"/>
        <v>BULLISH</v>
      </c>
      <c r="S6270">
        <f t="shared" si="2651"/>
        <v>1</v>
      </c>
    </row>
    <row r="6271" spans="1:19" hidden="1" x14ac:dyDescent="0.25">
      <c r="A6271" s="5" t="str">
        <f t="shared" si="2627"/>
        <v>44180AMZN</v>
      </c>
      <c r="B6271" s="6" t="s">
        <v>69</v>
      </c>
      <c r="C6271" s="6">
        <v>3080</v>
      </c>
      <c r="D6271" s="6">
        <v>3231</v>
      </c>
      <c r="E6271" s="6">
        <v>3156</v>
      </c>
      <c r="F6271" t="str">
        <f t="shared" si="2640"/>
        <v>TUE</v>
      </c>
      <c r="G6271" s="1">
        <f t="shared" si="2641"/>
        <v>44180</v>
      </c>
      <c r="H6271" s="2">
        <f t="shared" ca="1" si="2642"/>
        <v>73</v>
      </c>
      <c r="I6271" t="str">
        <f t="shared" si="2643"/>
        <v>AMZN</v>
      </c>
      <c r="J6271">
        <f t="shared" si="2644"/>
        <v>3080</v>
      </c>
      <c r="K6271">
        <f t="shared" si="2645"/>
        <v>3231</v>
      </c>
      <c r="L6271">
        <f t="shared" si="2646"/>
        <v>3155.5</v>
      </c>
      <c r="M6271">
        <f t="shared" si="2647"/>
        <v>75.5</v>
      </c>
      <c r="N6271">
        <f t="shared" si="2625"/>
        <v>151</v>
      </c>
      <c r="O6271">
        <f t="shared" si="2648"/>
        <v>3156</v>
      </c>
      <c r="P6271">
        <f t="shared" si="2649"/>
        <v>6.6225165562913907E-3</v>
      </c>
      <c r="Q6271" t="str">
        <f t="shared" si="2626"/>
        <v>2.41% | 2.38%</v>
      </c>
      <c r="R6271" t="str">
        <f t="shared" si="2650"/>
        <v>NEUTRAL</v>
      </c>
      <c r="S6271">
        <f t="shared" si="2651"/>
        <v>0</v>
      </c>
    </row>
    <row r="6272" spans="1:19" hidden="1" x14ac:dyDescent="0.25">
      <c r="A6272" s="5" t="str">
        <f t="shared" si="2627"/>
        <v>44180FB</v>
      </c>
      <c r="B6272" s="6" t="s">
        <v>30</v>
      </c>
      <c r="C6272" s="6">
        <v>270</v>
      </c>
      <c r="D6272" s="6">
        <v>289</v>
      </c>
      <c r="E6272" s="6">
        <v>274</v>
      </c>
      <c r="F6272" t="str">
        <f t="shared" si="2640"/>
        <v>TUE</v>
      </c>
      <c r="G6272" s="1">
        <f t="shared" si="2641"/>
        <v>44180</v>
      </c>
      <c r="H6272" s="2">
        <f t="shared" ca="1" si="2642"/>
        <v>73</v>
      </c>
      <c r="I6272" t="str">
        <f t="shared" si="2643"/>
        <v>FB</v>
      </c>
      <c r="J6272">
        <f t="shared" si="2644"/>
        <v>270</v>
      </c>
      <c r="K6272">
        <f t="shared" si="2645"/>
        <v>289</v>
      </c>
      <c r="L6272">
        <f t="shared" si="2646"/>
        <v>279.5</v>
      </c>
      <c r="M6272">
        <f t="shared" si="2647"/>
        <v>9.5</v>
      </c>
      <c r="N6272">
        <f t="shared" si="2625"/>
        <v>19</v>
      </c>
      <c r="O6272">
        <f t="shared" si="2648"/>
        <v>274</v>
      </c>
      <c r="P6272">
        <f t="shared" si="2649"/>
        <v>-0.57894736842105265</v>
      </c>
      <c r="Q6272" t="str">
        <f t="shared" si="2626"/>
        <v>1.46% | 5.47%</v>
      </c>
      <c r="R6272" t="str">
        <f t="shared" si="2650"/>
        <v>BULLISH</v>
      </c>
      <c r="S6272">
        <f t="shared" si="2651"/>
        <v>1</v>
      </c>
    </row>
    <row r="6273" spans="1:19" hidden="1" x14ac:dyDescent="0.25">
      <c r="A6273" s="5" t="str">
        <f t="shared" si="2627"/>
        <v>44180GOOGL</v>
      </c>
      <c r="B6273" s="6" t="s">
        <v>31</v>
      </c>
      <c r="C6273" s="6">
        <v>1742</v>
      </c>
      <c r="D6273" s="6">
        <v>1851</v>
      </c>
      <c r="E6273" s="6">
        <v>1752</v>
      </c>
      <c r="F6273" t="str">
        <f t="shared" si="2640"/>
        <v>TUE</v>
      </c>
      <c r="G6273" s="1">
        <f t="shared" si="2641"/>
        <v>44180</v>
      </c>
      <c r="H6273" s="2">
        <f t="shared" ca="1" si="2642"/>
        <v>73</v>
      </c>
      <c r="I6273" t="str">
        <f t="shared" si="2643"/>
        <v>GOOGL</v>
      </c>
      <c r="J6273">
        <f t="shared" si="2644"/>
        <v>1742</v>
      </c>
      <c r="K6273">
        <f t="shared" si="2645"/>
        <v>1851</v>
      </c>
      <c r="L6273">
        <f t="shared" si="2646"/>
        <v>1796.5</v>
      </c>
      <c r="M6273">
        <f t="shared" si="2647"/>
        <v>54.5</v>
      </c>
      <c r="N6273">
        <f t="shared" si="2625"/>
        <v>109</v>
      </c>
      <c r="O6273">
        <f t="shared" si="2648"/>
        <v>1752</v>
      </c>
      <c r="P6273">
        <f t="shared" si="2649"/>
        <v>-0.8165137614678899</v>
      </c>
      <c r="Q6273" t="str">
        <f t="shared" si="2626"/>
        <v>0.57% | 5.65%</v>
      </c>
      <c r="R6273" t="str">
        <f t="shared" si="2650"/>
        <v>BULLISH</v>
      </c>
      <c r="S6273">
        <f t="shared" si="2651"/>
        <v>1</v>
      </c>
    </row>
    <row r="6274" spans="1:19" hidden="1" x14ac:dyDescent="0.25">
      <c r="A6274" s="5" t="str">
        <f t="shared" si="2627"/>
        <v>44180NFLX</v>
      </c>
      <c r="B6274" s="6" t="s">
        <v>70</v>
      </c>
      <c r="C6274" s="6">
        <v>487</v>
      </c>
      <c r="D6274" s="6">
        <v>525</v>
      </c>
      <c r="E6274" s="6">
        <v>522</v>
      </c>
      <c r="F6274" t="str">
        <f t="shared" si="2640"/>
        <v>TUE</v>
      </c>
      <c r="G6274" s="1">
        <f t="shared" si="2641"/>
        <v>44180</v>
      </c>
      <c r="H6274" s="2">
        <f t="shared" ca="1" si="2642"/>
        <v>73</v>
      </c>
      <c r="I6274" t="str">
        <f t="shared" si="2643"/>
        <v>NFLX</v>
      </c>
      <c r="J6274">
        <f t="shared" si="2644"/>
        <v>487</v>
      </c>
      <c r="K6274">
        <f t="shared" si="2645"/>
        <v>525</v>
      </c>
      <c r="L6274">
        <f t="shared" si="2646"/>
        <v>506</v>
      </c>
      <c r="M6274">
        <f t="shared" si="2647"/>
        <v>19</v>
      </c>
      <c r="N6274">
        <f t="shared" si="2625"/>
        <v>38</v>
      </c>
      <c r="O6274">
        <f t="shared" si="2648"/>
        <v>522</v>
      </c>
      <c r="P6274">
        <f t="shared" si="2649"/>
        <v>0.84210526315789469</v>
      </c>
      <c r="Q6274" t="str">
        <f t="shared" si="2626"/>
        <v>6.7% | 0.57%</v>
      </c>
      <c r="R6274" t="str">
        <f t="shared" si="2650"/>
        <v>NEUTRAL</v>
      </c>
      <c r="S6274">
        <f t="shared" si="2651"/>
        <v>0</v>
      </c>
    </row>
    <row r="6275" spans="1:19" x14ac:dyDescent="0.25">
      <c r="A6275" s="5" t="str">
        <f t="shared" si="2627"/>
        <v>44180TSLA</v>
      </c>
      <c r="B6275" s="6" t="s">
        <v>33</v>
      </c>
      <c r="C6275" s="6">
        <v>566</v>
      </c>
      <c r="D6275" s="6">
        <v>669</v>
      </c>
      <c r="E6275" s="6">
        <v>639</v>
      </c>
      <c r="F6275" t="str">
        <f t="shared" si="2640"/>
        <v>TUE</v>
      </c>
      <c r="G6275" s="1">
        <f t="shared" si="2641"/>
        <v>44180</v>
      </c>
      <c r="H6275" s="2">
        <f t="shared" ca="1" si="2642"/>
        <v>73</v>
      </c>
      <c r="I6275" t="str">
        <f t="shared" si="2643"/>
        <v>TSLA</v>
      </c>
      <c r="J6275">
        <f t="shared" si="2644"/>
        <v>566</v>
      </c>
      <c r="K6275">
        <f t="shared" si="2645"/>
        <v>669</v>
      </c>
      <c r="L6275">
        <f t="shared" si="2646"/>
        <v>617.5</v>
      </c>
      <c r="M6275">
        <f t="shared" si="2647"/>
        <v>51.5</v>
      </c>
      <c r="N6275">
        <f t="shared" ref="N6275:N6338" si="2652">ABS(K6275-J6275)</f>
        <v>103</v>
      </c>
      <c r="O6275">
        <f t="shared" si="2648"/>
        <v>639</v>
      </c>
      <c r="P6275">
        <f t="shared" si="2649"/>
        <v>0.41747572815533979</v>
      </c>
      <c r="Q6275" t="str">
        <f t="shared" ref="Q6275:Q6338" si="2653">ROUND(ABS(100*(O6275-J6275)/O6275),2)&amp;"% | "&amp;ROUND(ABS(100*(K6275-O6275)/O6275),2)&amp;"%"</f>
        <v>11.42% | 4.69%</v>
      </c>
      <c r="R6275" t="str">
        <f t="shared" si="2650"/>
        <v>BULLISH</v>
      </c>
      <c r="S6275">
        <f t="shared" si="2651"/>
        <v>1</v>
      </c>
    </row>
    <row r="6276" spans="1:19" hidden="1" x14ac:dyDescent="0.25">
      <c r="A6276" s="5" t="str">
        <f t="shared" si="2627"/>
        <v>44180NYXBT</v>
      </c>
      <c r="B6276" s="6" t="s">
        <v>60</v>
      </c>
      <c r="C6276" s="6">
        <v>17823</v>
      </c>
      <c r="D6276" s="6">
        <v>19844</v>
      </c>
      <c r="E6276" s="6">
        <v>19214</v>
      </c>
      <c r="F6276" t="str">
        <f t="shared" si="2640"/>
        <v>TUE</v>
      </c>
      <c r="G6276" s="1">
        <f t="shared" si="2641"/>
        <v>44180</v>
      </c>
      <c r="H6276" s="2">
        <f t="shared" ca="1" si="2642"/>
        <v>73</v>
      </c>
      <c r="I6276" t="str">
        <f t="shared" si="2643"/>
        <v>NYXBT</v>
      </c>
      <c r="J6276">
        <f t="shared" si="2644"/>
        <v>17823</v>
      </c>
      <c r="K6276">
        <f t="shared" si="2645"/>
        <v>19844</v>
      </c>
      <c r="L6276">
        <f t="shared" si="2646"/>
        <v>18833.5</v>
      </c>
      <c r="M6276">
        <f t="shared" si="2647"/>
        <v>1010.5</v>
      </c>
      <c r="N6276">
        <f t="shared" si="2652"/>
        <v>2021</v>
      </c>
      <c r="O6276">
        <f t="shared" si="2648"/>
        <v>19214</v>
      </c>
      <c r="P6276">
        <f t="shared" si="2649"/>
        <v>0.37654626422563087</v>
      </c>
      <c r="Q6276" t="str">
        <f t="shared" si="2653"/>
        <v>7.24% | 3.28%</v>
      </c>
      <c r="R6276" t="str">
        <f t="shared" si="2650"/>
        <v>BULLISH</v>
      </c>
      <c r="S6276">
        <f t="shared" si="2651"/>
        <v>1</v>
      </c>
    </row>
    <row r="6277" spans="1:19" hidden="1" x14ac:dyDescent="0.25">
      <c r="A6277" s="5" t="str">
        <f t="shared" si="2627"/>
        <v>44181UST10Y</v>
      </c>
      <c r="B6277" s="6" t="s">
        <v>257</v>
      </c>
      <c r="C6277" s="6">
        <v>0.98</v>
      </c>
      <c r="D6277" s="6">
        <v>0.88</v>
      </c>
      <c r="E6277" s="6">
        <v>0.92</v>
      </c>
      <c r="F6277" t="str">
        <f t="shared" si="2640"/>
        <v>WED</v>
      </c>
      <c r="G6277" s="3">
        <f>DATE(2020,12,16)</f>
        <v>44181</v>
      </c>
      <c r="H6277" s="2">
        <f t="shared" ca="1" si="2642"/>
        <v>72</v>
      </c>
      <c r="I6277" t="str">
        <f t="shared" si="2643"/>
        <v>UST10Y</v>
      </c>
      <c r="J6277">
        <f t="shared" si="2644"/>
        <v>0.98</v>
      </c>
      <c r="K6277">
        <f t="shared" si="2645"/>
        <v>0.88</v>
      </c>
      <c r="L6277">
        <f t="shared" si="2646"/>
        <v>0.92999999999999994</v>
      </c>
      <c r="M6277">
        <f t="shared" si="2647"/>
        <v>4.9999999999999989E-2</v>
      </c>
      <c r="N6277">
        <f t="shared" si="2652"/>
        <v>9.9999999999999978E-2</v>
      </c>
      <c r="O6277">
        <f t="shared" si="2648"/>
        <v>0.92</v>
      </c>
      <c r="P6277">
        <f t="shared" si="2649"/>
        <v>-0.19999999999999801</v>
      </c>
      <c r="Q6277" t="str">
        <f t="shared" si="2653"/>
        <v>6.52% | 4.35%</v>
      </c>
      <c r="R6277" t="str">
        <f t="shared" si="2650"/>
        <v>BULLISH</v>
      </c>
      <c r="S6277">
        <f t="shared" si="2651"/>
        <v>1</v>
      </c>
    </row>
    <row r="6278" spans="1:19" hidden="1" x14ac:dyDescent="0.25">
      <c r="A6278" s="5" t="str">
        <f t="shared" si="2627"/>
        <v>44181UST2Y</v>
      </c>
      <c r="B6278" s="6" t="s">
        <v>253</v>
      </c>
      <c r="C6278" s="6">
        <v>0.18</v>
      </c>
      <c r="D6278" s="6">
        <v>0.11</v>
      </c>
      <c r="E6278" s="6">
        <v>0.11</v>
      </c>
      <c r="F6278" t="str">
        <f t="shared" ref="F6278:F6309" si="2654">UPPER(TEXT(G6278,"ddd"))</f>
        <v>WED</v>
      </c>
      <c r="G6278" s="3">
        <f t="shared" ref="G6278:G6308" si="2655">DATE(2020,12,16)</f>
        <v>44181</v>
      </c>
      <c r="H6278" s="2">
        <f t="shared" ref="H6278:H6309" ca="1" si="2656">TODAY()-G6278</f>
        <v>72</v>
      </c>
      <c r="I6278" t="str">
        <f t="shared" ref="I6278:I6309" si="2657">TRIM(LEFT(B6278,FIND(" ",B6278,1)))</f>
        <v>UST2Y</v>
      </c>
      <c r="J6278">
        <f t="shared" ref="J6278:J6309" si="2658">C6278</f>
        <v>0.18</v>
      </c>
      <c r="K6278">
        <f t="shared" ref="K6278:K6309" si="2659">D6278</f>
        <v>0.11</v>
      </c>
      <c r="L6278">
        <f t="shared" ref="L6278:L6309" si="2660">AVERAGE(J6278:K6278)</f>
        <v>0.14499999999999999</v>
      </c>
      <c r="M6278">
        <f t="shared" ref="M6278:M6309" si="2661">_xlfn.STDEV.P(J6278:K6278)</f>
        <v>3.5000000000000003E-2</v>
      </c>
      <c r="N6278">
        <f t="shared" si="2652"/>
        <v>6.9999999999999993E-2</v>
      </c>
      <c r="O6278">
        <f t="shared" ref="O6278:O6309" si="2662">E6278</f>
        <v>0.11</v>
      </c>
      <c r="P6278">
        <f t="shared" ref="P6278:P6309" si="2663">(O6278-L6278)/M6278</f>
        <v>-0.99999999999999956</v>
      </c>
      <c r="Q6278" t="str">
        <f t="shared" si="2653"/>
        <v>63.64% | 0%</v>
      </c>
      <c r="R6278" t="str">
        <f t="shared" ref="R6278:R6309" si="2664">MID(B6278,FIND("(",B6278,1)+1,FIND(")",B6278,1)-FIND("(",B6278,1)-1)</f>
        <v>NEUTRAL</v>
      </c>
      <c r="S6278">
        <f t="shared" ref="S6278:S6309" si="2665">IF(R6278="BEARISH",-1,IF(R6278="NEUTRAL",0,IF(R6278="BULLISH",1,99)))</f>
        <v>0</v>
      </c>
    </row>
    <row r="6279" spans="1:19" hidden="1" x14ac:dyDescent="0.25">
      <c r="A6279" s="5" t="str">
        <f t="shared" si="2627"/>
        <v>44181SPX</v>
      </c>
      <c r="B6279" s="6" t="s">
        <v>93</v>
      </c>
      <c r="C6279" s="6">
        <v>3641</v>
      </c>
      <c r="D6279" s="6">
        <v>3719</v>
      </c>
      <c r="E6279" s="6">
        <v>3694</v>
      </c>
      <c r="F6279" t="str">
        <f t="shared" si="2654"/>
        <v>WED</v>
      </c>
      <c r="G6279" s="3">
        <f t="shared" si="2655"/>
        <v>44181</v>
      </c>
      <c r="H6279" s="2">
        <f t="shared" ca="1" si="2656"/>
        <v>72</v>
      </c>
      <c r="I6279" t="str">
        <f t="shared" si="2657"/>
        <v>SPX</v>
      </c>
      <c r="J6279">
        <f t="shared" si="2658"/>
        <v>3641</v>
      </c>
      <c r="K6279">
        <f t="shared" si="2659"/>
        <v>3719</v>
      </c>
      <c r="L6279">
        <f t="shared" si="2660"/>
        <v>3680</v>
      </c>
      <c r="M6279">
        <f t="shared" si="2661"/>
        <v>39</v>
      </c>
      <c r="N6279">
        <f t="shared" si="2652"/>
        <v>78</v>
      </c>
      <c r="O6279">
        <f t="shared" si="2662"/>
        <v>3694</v>
      </c>
      <c r="P6279">
        <f t="shared" si="2663"/>
        <v>0.35897435897435898</v>
      </c>
      <c r="Q6279" t="str">
        <f t="shared" si="2653"/>
        <v>1.43% | 0.68%</v>
      </c>
      <c r="R6279" t="str">
        <f t="shared" si="2664"/>
        <v>BULLISH</v>
      </c>
      <c r="S6279">
        <f t="shared" si="2665"/>
        <v>1</v>
      </c>
    </row>
    <row r="6280" spans="1:19" hidden="1" x14ac:dyDescent="0.25">
      <c r="A6280" s="5" t="str">
        <f t="shared" ref="A6280:A6343" si="2666">G6280&amp;I6280</f>
        <v>44181RUT</v>
      </c>
      <c r="B6280" s="6" t="s">
        <v>247</v>
      </c>
      <c r="C6280" s="6">
        <v>1859</v>
      </c>
      <c r="D6280" s="6">
        <v>1969</v>
      </c>
      <c r="E6280" s="6">
        <v>1959</v>
      </c>
      <c r="F6280" t="str">
        <f t="shared" si="2654"/>
        <v>WED</v>
      </c>
      <c r="G6280" s="3">
        <f t="shared" si="2655"/>
        <v>44181</v>
      </c>
      <c r="H6280" s="2">
        <f t="shared" ca="1" si="2656"/>
        <v>72</v>
      </c>
      <c r="I6280" t="str">
        <f t="shared" si="2657"/>
        <v>RUT</v>
      </c>
      <c r="J6280">
        <f t="shared" si="2658"/>
        <v>1859</v>
      </c>
      <c r="K6280">
        <f t="shared" si="2659"/>
        <v>1969</v>
      </c>
      <c r="L6280">
        <f t="shared" si="2660"/>
        <v>1914</v>
      </c>
      <c r="M6280">
        <f t="shared" si="2661"/>
        <v>55</v>
      </c>
      <c r="N6280">
        <f t="shared" si="2652"/>
        <v>110</v>
      </c>
      <c r="O6280">
        <f t="shared" si="2662"/>
        <v>1959</v>
      </c>
      <c r="P6280">
        <f t="shared" si="2663"/>
        <v>0.81818181818181823</v>
      </c>
      <c r="Q6280" t="str">
        <f t="shared" si="2653"/>
        <v>5.1% | 0.51%</v>
      </c>
      <c r="R6280" t="str">
        <f t="shared" si="2664"/>
        <v>BULLISH</v>
      </c>
      <c r="S6280">
        <f t="shared" si="2665"/>
        <v>1</v>
      </c>
    </row>
    <row r="6281" spans="1:19" hidden="1" x14ac:dyDescent="0.25">
      <c r="A6281" s="5" t="str">
        <f t="shared" si="2666"/>
        <v>44181COMPQ</v>
      </c>
      <c r="B6281" s="6" t="s">
        <v>8</v>
      </c>
      <c r="C6281" s="6">
        <v>12280</v>
      </c>
      <c r="D6281" s="6">
        <v>12661</v>
      </c>
      <c r="E6281" s="6">
        <v>12595</v>
      </c>
      <c r="F6281" t="str">
        <f t="shared" si="2654"/>
        <v>WED</v>
      </c>
      <c r="G6281" s="3">
        <f t="shared" si="2655"/>
        <v>44181</v>
      </c>
      <c r="H6281" s="2">
        <f t="shared" ca="1" si="2656"/>
        <v>72</v>
      </c>
      <c r="I6281" t="str">
        <f t="shared" si="2657"/>
        <v>COMPQ</v>
      </c>
      <c r="J6281">
        <f t="shared" si="2658"/>
        <v>12280</v>
      </c>
      <c r="K6281">
        <f t="shared" si="2659"/>
        <v>12661</v>
      </c>
      <c r="L6281">
        <f t="shared" si="2660"/>
        <v>12470.5</v>
      </c>
      <c r="M6281">
        <f t="shared" si="2661"/>
        <v>190.5</v>
      </c>
      <c r="N6281">
        <f t="shared" si="2652"/>
        <v>381</v>
      </c>
      <c r="O6281">
        <f t="shared" si="2662"/>
        <v>12595</v>
      </c>
      <c r="P6281">
        <f t="shared" si="2663"/>
        <v>0.65354330708661412</v>
      </c>
      <c r="Q6281" t="str">
        <f t="shared" si="2653"/>
        <v>2.5% | 0.52%</v>
      </c>
      <c r="R6281" t="str">
        <f t="shared" si="2664"/>
        <v>BULLISH</v>
      </c>
      <c r="S6281">
        <f t="shared" si="2665"/>
        <v>1</v>
      </c>
    </row>
    <row r="6282" spans="1:19" hidden="1" x14ac:dyDescent="0.25">
      <c r="A6282" s="5" t="str">
        <f t="shared" si="2666"/>
        <v>44181XLK</v>
      </c>
      <c r="B6282" s="6" t="s">
        <v>10</v>
      </c>
      <c r="C6282" s="6">
        <v>123.4</v>
      </c>
      <c r="D6282" s="6">
        <v>127.75</v>
      </c>
      <c r="E6282" s="6">
        <v>126.83</v>
      </c>
      <c r="F6282" t="str">
        <f t="shared" si="2654"/>
        <v>WED</v>
      </c>
      <c r="G6282" s="3">
        <f t="shared" si="2655"/>
        <v>44181</v>
      </c>
      <c r="H6282" s="2">
        <f t="shared" ca="1" si="2656"/>
        <v>72</v>
      </c>
      <c r="I6282" t="str">
        <f t="shared" si="2657"/>
        <v>XLK</v>
      </c>
      <c r="J6282">
        <f t="shared" si="2658"/>
        <v>123.4</v>
      </c>
      <c r="K6282">
        <f t="shared" si="2659"/>
        <v>127.75</v>
      </c>
      <c r="L6282">
        <f t="shared" si="2660"/>
        <v>125.575</v>
      </c>
      <c r="M6282">
        <f t="shared" si="2661"/>
        <v>2.1749999999999972</v>
      </c>
      <c r="N6282">
        <f t="shared" si="2652"/>
        <v>4.3499999999999943</v>
      </c>
      <c r="O6282">
        <f t="shared" si="2662"/>
        <v>126.83</v>
      </c>
      <c r="P6282">
        <f t="shared" si="2663"/>
        <v>0.57701149425287224</v>
      </c>
      <c r="Q6282" t="str">
        <f t="shared" si="2653"/>
        <v>2.7% | 0.73%</v>
      </c>
      <c r="R6282" t="str">
        <f t="shared" si="2664"/>
        <v>BULLISH</v>
      </c>
      <c r="S6282">
        <f t="shared" si="2665"/>
        <v>1</v>
      </c>
    </row>
    <row r="6283" spans="1:19" hidden="1" x14ac:dyDescent="0.25">
      <c r="A6283" s="5" t="str">
        <f t="shared" si="2666"/>
        <v>44181XLE</v>
      </c>
      <c r="B6283" s="6" t="s">
        <v>250</v>
      </c>
      <c r="C6283" s="6">
        <v>38.51</v>
      </c>
      <c r="D6283" s="6">
        <v>42.22</v>
      </c>
      <c r="E6283" s="6">
        <v>40.46</v>
      </c>
      <c r="F6283" t="str">
        <f t="shared" si="2654"/>
        <v>WED</v>
      </c>
      <c r="G6283" s="3">
        <f t="shared" si="2655"/>
        <v>44181</v>
      </c>
      <c r="H6283" s="2">
        <f t="shared" ca="1" si="2656"/>
        <v>72</v>
      </c>
      <c r="I6283" t="str">
        <f t="shared" si="2657"/>
        <v>XLE</v>
      </c>
      <c r="J6283">
        <f t="shared" si="2658"/>
        <v>38.51</v>
      </c>
      <c r="K6283">
        <f t="shared" si="2659"/>
        <v>42.22</v>
      </c>
      <c r="L6283">
        <f t="shared" si="2660"/>
        <v>40.364999999999995</v>
      </c>
      <c r="M6283">
        <f t="shared" si="2661"/>
        <v>1.8550000000000004</v>
      </c>
      <c r="N6283">
        <f t="shared" si="2652"/>
        <v>3.7100000000000009</v>
      </c>
      <c r="O6283">
        <f t="shared" si="2662"/>
        <v>40.46</v>
      </c>
      <c r="P6283">
        <f t="shared" si="2663"/>
        <v>5.1212938005394039E-2</v>
      </c>
      <c r="Q6283" t="str">
        <f t="shared" si="2653"/>
        <v>4.82% | 4.35%</v>
      </c>
      <c r="R6283" t="str">
        <f t="shared" si="2664"/>
        <v>BULLISH</v>
      </c>
      <c r="S6283">
        <f t="shared" si="2665"/>
        <v>1</v>
      </c>
    </row>
    <row r="6284" spans="1:19" hidden="1" x14ac:dyDescent="0.25">
      <c r="A6284" s="5" t="str">
        <f t="shared" si="2666"/>
        <v>44181XLF</v>
      </c>
      <c r="B6284" s="6" t="s">
        <v>258</v>
      </c>
      <c r="C6284" s="6">
        <v>28.09</v>
      </c>
      <c r="D6284" s="6">
        <v>29.3</v>
      </c>
      <c r="E6284" s="6">
        <v>28.61</v>
      </c>
      <c r="F6284" t="str">
        <f t="shared" si="2654"/>
        <v>WED</v>
      </c>
      <c r="G6284" s="3">
        <f t="shared" si="2655"/>
        <v>44181</v>
      </c>
      <c r="H6284" s="2">
        <f t="shared" ca="1" si="2656"/>
        <v>72</v>
      </c>
      <c r="I6284" t="str">
        <f t="shared" si="2657"/>
        <v>XLF</v>
      </c>
      <c r="J6284">
        <f t="shared" si="2658"/>
        <v>28.09</v>
      </c>
      <c r="K6284">
        <f t="shared" si="2659"/>
        <v>29.3</v>
      </c>
      <c r="L6284">
        <f t="shared" si="2660"/>
        <v>28.695</v>
      </c>
      <c r="M6284">
        <f t="shared" si="2661"/>
        <v>0.60500000000000043</v>
      </c>
      <c r="N6284">
        <f t="shared" si="2652"/>
        <v>1.2100000000000009</v>
      </c>
      <c r="O6284">
        <f t="shared" si="2662"/>
        <v>28.61</v>
      </c>
      <c r="P6284">
        <f t="shared" si="2663"/>
        <v>-0.14049586776859635</v>
      </c>
      <c r="Q6284" t="str">
        <f t="shared" si="2653"/>
        <v>1.82% | 2.41%</v>
      </c>
      <c r="R6284" t="str">
        <f t="shared" si="2664"/>
        <v>BULLISH</v>
      </c>
      <c r="S6284">
        <f t="shared" si="2665"/>
        <v>1</v>
      </c>
    </row>
    <row r="6285" spans="1:19" hidden="1" x14ac:dyDescent="0.25">
      <c r="A6285" s="5" t="str">
        <f t="shared" si="2666"/>
        <v>44181XLU</v>
      </c>
      <c r="B6285" s="6" t="s">
        <v>82</v>
      </c>
      <c r="C6285" s="6">
        <v>61.56</v>
      </c>
      <c r="D6285" s="6">
        <v>63.43</v>
      </c>
      <c r="E6285" s="6">
        <v>63.14</v>
      </c>
      <c r="F6285" t="str">
        <f t="shared" si="2654"/>
        <v>WED</v>
      </c>
      <c r="G6285" s="3">
        <f t="shared" si="2655"/>
        <v>44181</v>
      </c>
      <c r="H6285" s="2">
        <f t="shared" ca="1" si="2656"/>
        <v>72</v>
      </c>
      <c r="I6285" t="str">
        <f t="shared" si="2657"/>
        <v>XLU</v>
      </c>
      <c r="J6285">
        <f t="shared" si="2658"/>
        <v>61.56</v>
      </c>
      <c r="K6285">
        <f t="shared" si="2659"/>
        <v>63.43</v>
      </c>
      <c r="L6285">
        <f t="shared" si="2660"/>
        <v>62.495000000000005</v>
      </c>
      <c r="M6285">
        <f t="shared" si="2661"/>
        <v>0.93499999999999872</v>
      </c>
      <c r="N6285">
        <f t="shared" si="2652"/>
        <v>1.8699999999999974</v>
      </c>
      <c r="O6285">
        <f t="shared" si="2662"/>
        <v>63.14</v>
      </c>
      <c r="P6285">
        <f t="shared" si="2663"/>
        <v>0.68983957219251002</v>
      </c>
      <c r="Q6285" t="str">
        <f t="shared" si="2653"/>
        <v>2.5% | 0.46%</v>
      </c>
      <c r="R6285" t="str">
        <f t="shared" si="2664"/>
        <v>BEARISH</v>
      </c>
      <c r="S6285">
        <f t="shared" si="2665"/>
        <v>-1</v>
      </c>
    </row>
    <row r="6286" spans="1:19" hidden="1" x14ac:dyDescent="0.25">
      <c r="A6286" s="5" t="str">
        <f t="shared" si="2666"/>
        <v>44181GDX</v>
      </c>
      <c r="B6286" s="6" t="s">
        <v>254</v>
      </c>
      <c r="C6286" s="6">
        <v>33.18</v>
      </c>
      <c r="D6286" s="6">
        <v>36.75</v>
      </c>
      <c r="E6286" s="6">
        <v>35.369999999999997</v>
      </c>
      <c r="F6286" t="str">
        <f t="shared" si="2654"/>
        <v>WED</v>
      </c>
      <c r="G6286" s="3">
        <f t="shared" si="2655"/>
        <v>44181</v>
      </c>
      <c r="H6286" s="2">
        <f t="shared" ca="1" si="2656"/>
        <v>72</v>
      </c>
      <c r="I6286" t="str">
        <f t="shared" si="2657"/>
        <v>GDX</v>
      </c>
      <c r="J6286">
        <f t="shared" si="2658"/>
        <v>33.18</v>
      </c>
      <c r="K6286">
        <f t="shared" si="2659"/>
        <v>36.75</v>
      </c>
      <c r="L6286">
        <f t="shared" si="2660"/>
        <v>34.965000000000003</v>
      </c>
      <c r="M6286">
        <f t="shared" si="2661"/>
        <v>1.7850000000000001</v>
      </c>
      <c r="N6286">
        <f t="shared" si="2652"/>
        <v>3.5700000000000003</v>
      </c>
      <c r="O6286">
        <f t="shared" si="2662"/>
        <v>35.369999999999997</v>
      </c>
      <c r="P6286">
        <f t="shared" si="2663"/>
        <v>0.22689075630251765</v>
      </c>
      <c r="Q6286" t="str">
        <f t="shared" si="2653"/>
        <v>6.19% | 3.9%</v>
      </c>
      <c r="R6286" t="str">
        <f t="shared" si="2664"/>
        <v>BEARISH</v>
      </c>
      <c r="S6286">
        <f t="shared" si="2665"/>
        <v>-1</v>
      </c>
    </row>
    <row r="6287" spans="1:19" hidden="1" x14ac:dyDescent="0.25">
      <c r="A6287" s="5" t="str">
        <f t="shared" si="2666"/>
        <v>44181SSEC</v>
      </c>
      <c r="B6287" s="6" t="s">
        <v>104</v>
      </c>
      <c r="C6287" s="6">
        <v>3325</v>
      </c>
      <c r="D6287" s="6">
        <v>3462</v>
      </c>
      <c r="E6287" s="6">
        <v>3366</v>
      </c>
      <c r="F6287" t="str">
        <f t="shared" si="2654"/>
        <v>WED</v>
      </c>
      <c r="G6287" s="3">
        <f t="shared" si="2655"/>
        <v>44181</v>
      </c>
      <c r="H6287" s="2">
        <f t="shared" ca="1" si="2656"/>
        <v>72</v>
      </c>
      <c r="I6287" t="str">
        <f t="shared" si="2657"/>
        <v>SSEC</v>
      </c>
      <c r="J6287">
        <f t="shared" si="2658"/>
        <v>3325</v>
      </c>
      <c r="K6287">
        <f t="shared" si="2659"/>
        <v>3462</v>
      </c>
      <c r="L6287">
        <f t="shared" si="2660"/>
        <v>3393.5</v>
      </c>
      <c r="M6287">
        <f t="shared" si="2661"/>
        <v>68.5</v>
      </c>
      <c r="N6287">
        <f t="shared" si="2652"/>
        <v>137</v>
      </c>
      <c r="O6287">
        <f t="shared" si="2662"/>
        <v>3366</v>
      </c>
      <c r="P6287">
        <f t="shared" si="2663"/>
        <v>-0.40145985401459855</v>
      </c>
      <c r="Q6287" t="str">
        <f t="shared" si="2653"/>
        <v>1.22% | 2.85%</v>
      </c>
      <c r="R6287" t="str">
        <f t="shared" si="2664"/>
        <v>BULLISH</v>
      </c>
      <c r="S6287">
        <f t="shared" si="2665"/>
        <v>1</v>
      </c>
    </row>
    <row r="6288" spans="1:19" hidden="1" x14ac:dyDescent="0.25">
      <c r="A6288" s="5" t="str">
        <f t="shared" si="2666"/>
        <v>44181NIKK</v>
      </c>
      <c r="B6288" s="6" t="s">
        <v>91</v>
      </c>
      <c r="C6288" s="6">
        <v>26465</v>
      </c>
      <c r="D6288" s="6">
        <v>26934</v>
      </c>
      <c r="E6288" s="6">
        <v>26757</v>
      </c>
      <c r="F6288" t="str">
        <f t="shared" si="2654"/>
        <v>WED</v>
      </c>
      <c r="G6288" s="3">
        <f t="shared" si="2655"/>
        <v>44181</v>
      </c>
      <c r="H6288" s="2">
        <f t="shared" ca="1" si="2656"/>
        <v>72</v>
      </c>
      <c r="I6288" t="str">
        <f t="shared" si="2657"/>
        <v>NIKK</v>
      </c>
      <c r="J6288">
        <f t="shared" si="2658"/>
        <v>26465</v>
      </c>
      <c r="K6288">
        <f t="shared" si="2659"/>
        <v>26934</v>
      </c>
      <c r="L6288">
        <f t="shared" si="2660"/>
        <v>26699.5</v>
      </c>
      <c r="M6288">
        <f t="shared" si="2661"/>
        <v>234.5</v>
      </c>
      <c r="N6288">
        <f t="shared" si="2652"/>
        <v>469</v>
      </c>
      <c r="O6288">
        <f t="shared" si="2662"/>
        <v>26757</v>
      </c>
      <c r="P6288">
        <f t="shared" si="2663"/>
        <v>0.24520255863539445</v>
      </c>
      <c r="Q6288" t="str">
        <f t="shared" si="2653"/>
        <v>1.09% | 0.66%</v>
      </c>
      <c r="R6288" t="str">
        <f t="shared" si="2664"/>
        <v>BULLISH</v>
      </c>
      <c r="S6288">
        <f t="shared" si="2665"/>
        <v>1</v>
      </c>
    </row>
    <row r="6289" spans="1:19" hidden="1" x14ac:dyDescent="0.25">
      <c r="A6289" s="5" t="str">
        <f t="shared" si="2666"/>
        <v>44181DAX</v>
      </c>
      <c r="B6289" s="6" t="s">
        <v>98</v>
      </c>
      <c r="C6289" s="6">
        <v>13145</v>
      </c>
      <c r="D6289" s="6">
        <v>13607</v>
      </c>
      <c r="E6289" s="6">
        <v>13362</v>
      </c>
      <c r="F6289" t="str">
        <f t="shared" si="2654"/>
        <v>WED</v>
      </c>
      <c r="G6289" s="3">
        <f t="shared" si="2655"/>
        <v>44181</v>
      </c>
      <c r="H6289" s="2">
        <f t="shared" ca="1" si="2656"/>
        <v>72</v>
      </c>
      <c r="I6289" t="str">
        <f t="shared" si="2657"/>
        <v>DAX</v>
      </c>
      <c r="J6289">
        <f t="shared" si="2658"/>
        <v>13145</v>
      </c>
      <c r="K6289">
        <f t="shared" si="2659"/>
        <v>13607</v>
      </c>
      <c r="L6289">
        <f t="shared" si="2660"/>
        <v>13376</v>
      </c>
      <c r="M6289">
        <f t="shared" si="2661"/>
        <v>231</v>
      </c>
      <c r="N6289">
        <f t="shared" si="2652"/>
        <v>462</v>
      </c>
      <c r="O6289">
        <f t="shared" si="2662"/>
        <v>13362</v>
      </c>
      <c r="P6289">
        <f t="shared" si="2663"/>
        <v>-6.0606060606060608E-2</v>
      </c>
      <c r="Q6289" t="str">
        <f t="shared" si="2653"/>
        <v>1.62% | 1.83%</v>
      </c>
      <c r="R6289" t="str">
        <f t="shared" si="2664"/>
        <v>BULLISH</v>
      </c>
      <c r="S6289">
        <f t="shared" si="2665"/>
        <v>1</v>
      </c>
    </row>
    <row r="6290" spans="1:19" hidden="1" x14ac:dyDescent="0.25">
      <c r="A6290" s="5" t="str">
        <f t="shared" si="2666"/>
        <v>44181VIX</v>
      </c>
      <c r="B6290" s="6" t="s">
        <v>96</v>
      </c>
      <c r="C6290" s="6">
        <v>19.55</v>
      </c>
      <c r="D6290" s="6">
        <v>24.71</v>
      </c>
      <c r="E6290" s="6">
        <v>22.89</v>
      </c>
      <c r="F6290" t="str">
        <f t="shared" si="2654"/>
        <v>WED</v>
      </c>
      <c r="G6290" s="3">
        <f t="shared" si="2655"/>
        <v>44181</v>
      </c>
      <c r="H6290" s="2">
        <f t="shared" ca="1" si="2656"/>
        <v>72</v>
      </c>
      <c r="I6290" t="str">
        <f t="shared" si="2657"/>
        <v>VIX</v>
      </c>
      <c r="J6290">
        <f t="shared" si="2658"/>
        <v>19.55</v>
      </c>
      <c r="K6290">
        <f t="shared" si="2659"/>
        <v>24.71</v>
      </c>
      <c r="L6290">
        <f t="shared" si="2660"/>
        <v>22.130000000000003</v>
      </c>
      <c r="M6290">
        <f t="shared" si="2661"/>
        <v>2.5799999999999925</v>
      </c>
      <c r="N6290">
        <f t="shared" si="2652"/>
        <v>5.16</v>
      </c>
      <c r="O6290">
        <f t="shared" si="2662"/>
        <v>22.89</v>
      </c>
      <c r="P6290">
        <f t="shared" si="2663"/>
        <v>0.29457364341085279</v>
      </c>
      <c r="Q6290" t="str">
        <f t="shared" si="2653"/>
        <v>14.59% | 7.95%</v>
      </c>
      <c r="R6290" t="str">
        <f t="shared" si="2664"/>
        <v>BEARISH</v>
      </c>
      <c r="S6290">
        <f t="shared" si="2665"/>
        <v>-1</v>
      </c>
    </row>
    <row r="6291" spans="1:19" hidden="1" x14ac:dyDescent="0.25">
      <c r="A6291" s="5" t="str">
        <f t="shared" si="2666"/>
        <v>44181USD</v>
      </c>
      <c r="B6291" s="6" t="s">
        <v>94</v>
      </c>
      <c r="C6291" s="6">
        <v>90.04</v>
      </c>
      <c r="D6291" s="6">
        <v>91.16</v>
      </c>
      <c r="E6291" s="6">
        <v>90.41</v>
      </c>
      <c r="F6291" t="str">
        <f t="shared" si="2654"/>
        <v>WED</v>
      </c>
      <c r="G6291" s="3">
        <f t="shared" si="2655"/>
        <v>44181</v>
      </c>
      <c r="H6291" s="2">
        <f t="shared" ca="1" si="2656"/>
        <v>72</v>
      </c>
      <c r="I6291" t="str">
        <f t="shared" si="2657"/>
        <v>USD</v>
      </c>
      <c r="J6291">
        <f t="shared" si="2658"/>
        <v>90.04</v>
      </c>
      <c r="K6291">
        <f t="shared" si="2659"/>
        <v>91.16</v>
      </c>
      <c r="L6291">
        <f t="shared" si="2660"/>
        <v>90.6</v>
      </c>
      <c r="M6291">
        <f t="shared" si="2661"/>
        <v>0.55999999999999517</v>
      </c>
      <c r="N6291">
        <f t="shared" si="2652"/>
        <v>1.1199999999999903</v>
      </c>
      <c r="O6291">
        <f t="shared" si="2662"/>
        <v>90.41</v>
      </c>
      <c r="P6291">
        <f t="shared" si="2663"/>
        <v>-0.33928571428571314</v>
      </c>
      <c r="Q6291" t="str">
        <f t="shared" si="2653"/>
        <v>0.41% | 0.83%</v>
      </c>
      <c r="R6291" t="str">
        <f t="shared" si="2664"/>
        <v>BEARISH</v>
      </c>
      <c r="S6291">
        <f t="shared" si="2665"/>
        <v>-1</v>
      </c>
    </row>
    <row r="6292" spans="1:19" hidden="1" x14ac:dyDescent="0.25">
      <c r="A6292" s="5" t="str">
        <f t="shared" si="2666"/>
        <v>44181EUR/USD</v>
      </c>
      <c r="B6292" s="6" t="s">
        <v>99</v>
      </c>
      <c r="C6292" s="6">
        <v>1.208</v>
      </c>
      <c r="D6292" s="6">
        <v>1.2210000000000001</v>
      </c>
      <c r="E6292" s="6">
        <v>1.216</v>
      </c>
      <c r="F6292" t="str">
        <f t="shared" si="2654"/>
        <v>WED</v>
      </c>
      <c r="G6292" s="3">
        <f t="shared" si="2655"/>
        <v>44181</v>
      </c>
      <c r="H6292" s="2">
        <f t="shared" ca="1" si="2656"/>
        <v>72</v>
      </c>
      <c r="I6292" t="str">
        <f t="shared" si="2657"/>
        <v>EUR/USD</v>
      </c>
      <c r="J6292">
        <f t="shared" si="2658"/>
        <v>1.208</v>
      </c>
      <c r="K6292">
        <f t="shared" si="2659"/>
        <v>1.2210000000000001</v>
      </c>
      <c r="L6292">
        <f t="shared" si="2660"/>
        <v>1.2145000000000001</v>
      </c>
      <c r="M6292">
        <f t="shared" si="2661"/>
        <v>6.5000000000000613E-3</v>
      </c>
      <c r="N6292">
        <f t="shared" si="2652"/>
        <v>1.3000000000000123E-2</v>
      </c>
      <c r="O6292">
        <f t="shared" si="2662"/>
        <v>1.216</v>
      </c>
      <c r="P6292">
        <f t="shared" si="2663"/>
        <v>0.23076923076920317</v>
      </c>
      <c r="Q6292" t="str">
        <f t="shared" si="2653"/>
        <v>0.66% | 0.41%</v>
      </c>
      <c r="R6292" t="str">
        <f t="shared" si="2664"/>
        <v>BULLISH</v>
      </c>
      <c r="S6292">
        <f t="shared" si="2665"/>
        <v>1</v>
      </c>
    </row>
    <row r="6293" spans="1:19" hidden="1" x14ac:dyDescent="0.25">
      <c r="A6293" s="5" t="str">
        <f t="shared" si="2666"/>
        <v>44181USD/JPY</v>
      </c>
      <c r="B6293" s="6" t="s">
        <v>20</v>
      </c>
      <c r="C6293" s="6">
        <v>103.15</v>
      </c>
      <c r="D6293" s="6">
        <v>104.38</v>
      </c>
      <c r="E6293" s="6">
        <v>103.63</v>
      </c>
      <c r="F6293" t="str">
        <f t="shared" si="2654"/>
        <v>WED</v>
      </c>
      <c r="G6293" s="3">
        <f t="shared" si="2655"/>
        <v>44181</v>
      </c>
      <c r="H6293" s="2">
        <f t="shared" ca="1" si="2656"/>
        <v>72</v>
      </c>
      <c r="I6293" t="str">
        <f t="shared" si="2657"/>
        <v>USD/JPY</v>
      </c>
      <c r="J6293">
        <f t="shared" si="2658"/>
        <v>103.15</v>
      </c>
      <c r="K6293">
        <f t="shared" si="2659"/>
        <v>104.38</v>
      </c>
      <c r="L6293">
        <f t="shared" si="2660"/>
        <v>103.765</v>
      </c>
      <c r="M6293">
        <f t="shared" si="2661"/>
        <v>0.61499999999999488</v>
      </c>
      <c r="N6293">
        <f t="shared" si="2652"/>
        <v>1.2299999999999898</v>
      </c>
      <c r="O6293">
        <f t="shared" si="2662"/>
        <v>103.63</v>
      </c>
      <c r="P6293">
        <f t="shared" si="2663"/>
        <v>-0.21951219512196135</v>
      </c>
      <c r="Q6293" t="str">
        <f t="shared" si="2653"/>
        <v>0.46% | 0.72%</v>
      </c>
      <c r="R6293" t="str">
        <f t="shared" si="2664"/>
        <v>BEARISH</v>
      </c>
      <c r="S6293">
        <f t="shared" si="2665"/>
        <v>-1</v>
      </c>
    </row>
    <row r="6294" spans="1:19" hidden="1" x14ac:dyDescent="0.25">
      <c r="A6294" s="5" t="str">
        <f t="shared" si="2666"/>
        <v>44181GBP/USD</v>
      </c>
      <c r="B6294" s="6" t="s">
        <v>102</v>
      </c>
      <c r="C6294" s="6">
        <v>1.327</v>
      </c>
      <c r="D6294" s="6">
        <v>1.3540000000000001</v>
      </c>
      <c r="E6294" s="6">
        <v>1.345</v>
      </c>
      <c r="F6294" t="str">
        <f t="shared" si="2654"/>
        <v>WED</v>
      </c>
      <c r="G6294" s="3">
        <f t="shared" si="2655"/>
        <v>44181</v>
      </c>
      <c r="H6294" s="2">
        <f t="shared" ca="1" si="2656"/>
        <v>72</v>
      </c>
      <c r="I6294" t="str">
        <f t="shared" si="2657"/>
        <v>GBP/USD</v>
      </c>
      <c r="J6294">
        <f t="shared" si="2658"/>
        <v>1.327</v>
      </c>
      <c r="K6294">
        <f t="shared" si="2659"/>
        <v>1.3540000000000001</v>
      </c>
      <c r="L6294">
        <f t="shared" si="2660"/>
        <v>1.3405</v>
      </c>
      <c r="M6294">
        <f t="shared" si="2661"/>
        <v>1.3500000000000068E-2</v>
      </c>
      <c r="N6294">
        <f t="shared" si="2652"/>
        <v>2.7000000000000135E-2</v>
      </c>
      <c r="O6294">
        <f t="shared" si="2662"/>
        <v>1.345</v>
      </c>
      <c r="P6294">
        <f t="shared" si="2663"/>
        <v>0.33333333333332787</v>
      </c>
      <c r="Q6294" t="str">
        <f t="shared" si="2653"/>
        <v>1.34% | 0.67%</v>
      </c>
      <c r="R6294" t="str">
        <f t="shared" si="2664"/>
        <v>BULLISH</v>
      </c>
      <c r="S6294">
        <f t="shared" si="2665"/>
        <v>1</v>
      </c>
    </row>
    <row r="6295" spans="1:19" hidden="1" x14ac:dyDescent="0.25">
      <c r="A6295" s="5" t="str">
        <f t="shared" si="2666"/>
        <v>44181CAD/USD</v>
      </c>
      <c r="B6295" s="6" t="s">
        <v>244</v>
      </c>
      <c r="C6295" s="6">
        <v>0.77</v>
      </c>
      <c r="D6295" s="6">
        <v>0.79</v>
      </c>
      <c r="E6295" s="6">
        <v>0.78</v>
      </c>
      <c r="F6295" t="str">
        <f t="shared" si="2654"/>
        <v>WED</v>
      </c>
      <c r="G6295" s="3">
        <f t="shared" si="2655"/>
        <v>44181</v>
      </c>
      <c r="H6295" s="2">
        <f t="shared" ca="1" si="2656"/>
        <v>72</v>
      </c>
      <c r="I6295" t="str">
        <f t="shared" si="2657"/>
        <v>CAD/USD</v>
      </c>
      <c r="J6295">
        <f t="shared" si="2658"/>
        <v>0.77</v>
      </c>
      <c r="K6295">
        <f t="shared" si="2659"/>
        <v>0.79</v>
      </c>
      <c r="L6295">
        <f t="shared" si="2660"/>
        <v>0.78</v>
      </c>
      <c r="M6295">
        <f t="shared" si="2661"/>
        <v>1.0000000000000009E-2</v>
      </c>
      <c r="N6295">
        <f t="shared" si="2652"/>
        <v>2.0000000000000018E-2</v>
      </c>
      <c r="O6295">
        <f t="shared" si="2662"/>
        <v>0.78</v>
      </c>
      <c r="P6295">
        <f t="shared" si="2663"/>
        <v>0</v>
      </c>
      <c r="Q6295" t="str">
        <f t="shared" si="2653"/>
        <v>1.28% | 1.28%</v>
      </c>
      <c r="R6295" t="str">
        <f t="shared" si="2664"/>
        <v>BULLISH</v>
      </c>
      <c r="S6295">
        <f t="shared" si="2665"/>
        <v>1</v>
      </c>
    </row>
    <row r="6296" spans="1:19" hidden="1" x14ac:dyDescent="0.25">
      <c r="A6296" s="5" t="str">
        <f t="shared" si="2666"/>
        <v>44181USD/CHF</v>
      </c>
      <c r="B6296" s="6" t="s">
        <v>76</v>
      </c>
      <c r="C6296" s="6">
        <v>0.87</v>
      </c>
      <c r="D6296" s="6">
        <v>0.89</v>
      </c>
      <c r="E6296" s="6">
        <v>0.88</v>
      </c>
      <c r="F6296" t="str">
        <f t="shared" si="2654"/>
        <v>WED</v>
      </c>
      <c r="G6296" s="3">
        <f t="shared" si="2655"/>
        <v>44181</v>
      </c>
      <c r="H6296" s="2">
        <f t="shared" ca="1" si="2656"/>
        <v>72</v>
      </c>
      <c r="I6296" t="str">
        <f t="shared" si="2657"/>
        <v>USD/CHF</v>
      </c>
      <c r="J6296">
        <f t="shared" si="2658"/>
        <v>0.87</v>
      </c>
      <c r="K6296">
        <f t="shared" si="2659"/>
        <v>0.89</v>
      </c>
      <c r="L6296">
        <f t="shared" si="2660"/>
        <v>0.88</v>
      </c>
      <c r="M6296">
        <f t="shared" si="2661"/>
        <v>1.0000000000000009E-2</v>
      </c>
      <c r="N6296">
        <f t="shared" si="2652"/>
        <v>2.0000000000000018E-2</v>
      </c>
      <c r="O6296">
        <f t="shared" si="2662"/>
        <v>0.88</v>
      </c>
      <c r="P6296">
        <f t="shared" si="2663"/>
        <v>0</v>
      </c>
      <c r="Q6296" t="str">
        <f t="shared" si="2653"/>
        <v>1.14% | 1.14%</v>
      </c>
      <c r="R6296" t="str">
        <f t="shared" si="2664"/>
        <v>BEARISH</v>
      </c>
      <c r="S6296">
        <f t="shared" si="2665"/>
        <v>-1</v>
      </c>
    </row>
    <row r="6297" spans="1:19" hidden="1" x14ac:dyDescent="0.25">
      <c r="A6297" s="5" t="str">
        <f t="shared" si="2666"/>
        <v>44181WTIC</v>
      </c>
      <c r="B6297" s="6" t="s">
        <v>158</v>
      </c>
      <c r="C6297" s="6">
        <v>44.95</v>
      </c>
      <c r="D6297" s="6">
        <v>47.98</v>
      </c>
      <c r="E6297" s="6">
        <v>47.62</v>
      </c>
      <c r="F6297" t="str">
        <f t="shared" si="2654"/>
        <v>WED</v>
      </c>
      <c r="G6297" s="3">
        <f t="shared" si="2655"/>
        <v>44181</v>
      </c>
      <c r="H6297" s="2">
        <f t="shared" ca="1" si="2656"/>
        <v>72</v>
      </c>
      <c r="I6297" t="str">
        <f t="shared" si="2657"/>
        <v>WTIC</v>
      </c>
      <c r="J6297">
        <f t="shared" si="2658"/>
        <v>44.95</v>
      </c>
      <c r="K6297">
        <f t="shared" si="2659"/>
        <v>47.98</v>
      </c>
      <c r="L6297">
        <f t="shared" si="2660"/>
        <v>46.465000000000003</v>
      </c>
      <c r="M6297">
        <f t="shared" si="2661"/>
        <v>1.514999999999997</v>
      </c>
      <c r="N6297">
        <f t="shared" si="2652"/>
        <v>3.029999999999994</v>
      </c>
      <c r="O6297">
        <f t="shared" si="2662"/>
        <v>47.62</v>
      </c>
      <c r="P6297">
        <f t="shared" si="2663"/>
        <v>0.76237623762375994</v>
      </c>
      <c r="Q6297" t="str">
        <f t="shared" si="2653"/>
        <v>5.61% | 0.76%</v>
      </c>
      <c r="R6297" t="str">
        <f t="shared" si="2664"/>
        <v>BULLISH</v>
      </c>
      <c r="S6297">
        <f t="shared" si="2665"/>
        <v>1</v>
      </c>
    </row>
    <row r="6298" spans="1:19" hidden="1" x14ac:dyDescent="0.25">
      <c r="A6298" s="5" t="str">
        <f t="shared" si="2666"/>
        <v>44181NATGAS</v>
      </c>
      <c r="B6298" s="6" t="s">
        <v>87</v>
      </c>
      <c r="C6298" s="6">
        <v>2.31</v>
      </c>
      <c r="D6298" s="6">
        <v>2.77</v>
      </c>
      <c r="E6298" s="6">
        <v>2.68</v>
      </c>
      <c r="F6298" t="str">
        <f t="shared" si="2654"/>
        <v>WED</v>
      </c>
      <c r="G6298" s="3">
        <f t="shared" si="2655"/>
        <v>44181</v>
      </c>
      <c r="H6298" s="2">
        <f t="shared" ca="1" si="2656"/>
        <v>72</v>
      </c>
      <c r="I6298" t="str">
        <f t="shared" si="2657"/>
        <v>NATGAS</v>
      </c>
      <c r="J6298">
        <f t="shared" si="2658"/>
        <v>2.31</v>
      </c>
      <c r="K6298">
        <f t="shared" si="2659"/>
        <v>2.77</v>
      </c>
      <c r="L6298">
        <f t="shared" si="2660"/>
        <v>2.54</v>
      </c>
      <c r="M6298">
        <f t="shared" si="2661"/>
        <v>0.22999999999999998</v>
      </c>
      <c r="N6298">
        <f t="shared" si="2652"/>
        <v>0.45999999999999996</v>
      </c>
      <c r="O6298">
        <f t="shared" si="2662"/>
        <v>2.68</v>
      </c>
      <c r="P6298">
        <f t="shared" si="2663"/>
        <v>0.60869565217391364</v>
      </c>
      <c r="Q6298" t="str">
        <f t="shared" si="2653"/>
        <v>13.81% | 3.36%</v>
      </c>
      <c r="R6298" t="str">
        <f t="shared" si="2664"/>
        <v>NEUTRAL</v>
      </c>
      <c r="S6298">
        <f t="shared" si="2665"/>
        <v>0</v>
      </c>
    </row>
    <row r="6299" spans="1:19" hidden="1" x14ac:dyDescent="0.25">
      <c r="A6299" s="5" t="str">
        <f t="shared" si="2666"/>
        <v>44181GOLD</v>
      </c>
      <c r="B6299" s="6" t="s">
        <v>85</v>
      </c>
      <c r="C6299" s="6">
        <v>1815</v>
      </c>
      <c r="D6299" s="6">
        <v>1876</v>
      </c>
      <c r="E6299" s="6">
        <v>1855</v>
      </c>
      <c r="F6299" t="str">
        <f t="shared" si="2654"/>
        <v>WED</v>
      </c>
      <c r="G6299" s="3">
        <f t="shared" si="2655"/>
        <v>44181</v>
      </c>
      <c r="H6299" s="2">
        <f t="shared" ca="1" si="2656"/>
        <v>72</v>
      </c>
      <c r="I6299" t="str">
        <f t="shared" si="2657"/>
        <v>GOLD</v>
      </c>
      <c r="J6299">
        <f t="shared" si="2658"/>
        <v>1815</v>
      </c>
      <c r="K6299">
        <f t="shared" si="2659"/>
        <v>1876</v>
      </c>
      <c r="L6299">
        <f t="shared" si="2660"/>
        <v>1845.5</v>
      </c>
      <c r="M6299">
        <f t="shared" si="2661"/>
        <v>30.5</v>
      </c>
      <c r="N6299">
        <f t="shared" si="2652"/>
        <v>61</v>
      </c>
      <c r="O6299">
        <f t="shared" si="2662"/>
        <v>1855</v>
      </c>
      <c r="P6299">
        <f t="shared" si="2663"/>
        <v>0.31147540983606559</v>
      </c>
      <c r="Q6299" t="str">
        <f t="shared" si="2653"/>
        <v>2.16% | 1.13%</v>
      </c>
      <c r="R6299" t="str">
        <f t="shared" si="2664"/>
        <v>BEARISH</v>
      </c>
      <c r="S6299">
        <f t="shared" si="2665"/>
        <v>-1</v>
      </c>
    </row>
    <row r="6300" spans="1:19" hidden="1" x14ac:dyDescent="0.25">
      <c r="A6300" s="5" t="str">
        <f t="shared" si="2666"/>
        <v>44181COPPER</v>
      </c>
      <c r="B6300" s="6" t="s">
        <v>100</v>
      </c>
      <c r="C6300" s="6">
        <v>3.48</v>
      </c>
      <c r="D6300" s="6">
        <v>3.59</v>
      </c>
      <c r="E6300" s="6">
        <v>3.54</v>
      </c>
      <c r="F6300" t="str">
        <f t="shared" si="2654"/>
        <v>WED</v>
      </c>
      <c r="G6300" s="3">
        <f t="shared" si="2655"/>
        <v>44181</v>
      </c>
      <c r="H6300" s="2">
        <f t="shared" ca="1" si="2656"/>
        <v>72</v>
      </c>
      <c r="I6300" t="str">
        <f t="shared" si="2657"/>
        <v>COPPER</v>
      </c>
      <c r="J6300">
        <f t="shared" si="2658"/>
        <v>3.48</v>
      </c>
      <c r="K6300">
        <f t="shared" si="2659"/>
        <v>3.59</v>
      </c>
      <c r="L6300">
        <f t="shared" si="2660"/>
        <v>3.5350000000000001</v>
      </c>
      <c r="M6300">
        <f t="shared" si="2661"/>
        <v>5.4999999999999938E-2</v>
      </c>
      <c r="N6300">
        <f t="shared" si="2652"/>
        <v>0.10999999999999988</v>
      </c>
      <c r="O6300">
        <f t="shared" si="2662"/>
        <v>3.54</v>
      </c>
      <c r="P6300">
        <f t="shared" si="2663"/>
        <v>9.090909090908908E-2</v>
      </c>
      <c r="Q6300" t="str">
        <f t="shared" si="2653"/>
        <v>1.69% | 1.41%</v>
      </c>
      <c r="R6300" t="str">
        <f t="shared" si="2664"/>
        <v>BULLISH</v>
      </c>
      <c r="S6300">
        <f t="shared" si="2665"/>
        <v>1</v>
      </c>
    </row>
    <row r="6301" spans="1:19" hidden="1" x14ac:dyDescent="0.25">
      <c r="A6301" s="5" t="str">
        <f t="shared" si="2666"/>
        <v>44181MSFT</v>
      </c>
      <c r="B6301" s="6" t="s">
        <v>27</v>
      </c>
      <c r="C6301" s="6">
        <v>210</v>
      </c>
      <c r="D6301" s="6">
        <v>217</v>
      </c>
      <c r="E6301" s="6">
        <v>214</v>
      </c>
      <c r="F6301" t="str">
        <f t="shared" si="2654"/>
        <v>WED</v>
      </c>
      <c r="G6301" s="3">
        <f t="shared" si="2655"/>
        <v>44181</v>
      </c>
      <c r="H6301" s="2">
        <f t="shared" ca="1" si="2656"/>
        <v>72</v>
      </c>
      <c r="I6301" t="str">
        <f t="shared" si="2657"/>
        <v>MSFT</v>
      </c>
      <c r="J6301">
        <f t="shared" si="2658"/>
        <v>210</v>
      </c>
      <c r="K6301">
        <f t="shared" si="2659"/>
        <v>217</v>
      </c>
      <c r="L6301">
        <f t="shared" si="2660"/>
        <v>213.5</v>
      </c>
      <c r="M6301">
        <f t="shared" si="2661"/>
        <v>3.5</v>
      </c>
      <c r="N6301">
        <f t="shared" si="2652"/>
        <v>7</v>
      </c>
      <c r="O6301">
        <f t="shared" si="2662"/>
        <v>214</v>
      </c>
      <c r="P6301">
        <f t="shared" si="2663"/>
        <v>0.14285714285714285</v>
      </c>
      <c r="Q6301" t="str">
        <f t="shared" si="2653"/>
        <v>1.87% | 1.4%</v>
      </c>
      <c r="R6301" t="str">
        <f t="shared" si="2664"/>
        <v>BULLISH</v>
      </c>
      <c r="S6301">
        <f t="shared" si="2665"/>
        <v>1</v>
      </c>
    </row>
    <row r="6302" spans="1:19" hidden="1" x14ac:dyDescent="0.25">
      <c r="A6302" s="5" t="str">
        <f t="shared" si="2666"/>
        <v>44181AAPL</v>
      </c>
      <c r="B6302" s="6" t="s">
        <v>28</v>
      </c>
      <c r="C6302" s="6">
        <v>122</v>
      </c>
      <c r="D6302" s="6">
        <v>129</v>
      </c>
      <c r="E6302" s="6">
        <v>127</v>
      </c>
      <c r="F6302" t="str">
        <f t="shared" si="2654"/>
        <v>WED</v>
      </c>
      <c r="G6302" s="3">
        <f t="shared" si="2655"/>
        <v>44181</v>
      </c>
      <c r="H6302" s="2">
        <f t="shared" ca="1" si="2656"/>
        <v>72</v>
      </c>
      <c r="I6302" t="str">
        <f t="shared" si="2657"/>
        <v>AAPL</v>
      </c>
      <c r="J6302">
        <f t="shared" si="2658"/>
        <v>122</v>
      </c>
      <c r="K6302">
        <f t="shared" si="2659"/>
        <v>129</v>
      </c>
      <c r="L6302">
        <f t="shared" si="2660"/>
        <v>125.5</v>
      </c>
      <c r="M6302">
        <f t="shared" si="2661"/>
        <v>3.5</v>
      </c>
      <c r="N6302">
        <f t="shared" si="2652"/>
        <v>7</v>
      </c>
      <c r="O6302">
        <f t="shared" si="2662"/>
        <v>127</v>
      </c>
      <c r="P6302">
        <f t="shared" si="2663"/>
        <v>0.42857142857142855</v>
      </c>
      <c r="Q6302" t="str">
        <f t="shared" si="2653"/>
        <v>3.94% | 1.57%</v>
      </c>
      <c r="R6302" t="str">
        <f t="shared" si="2664"/>
        <v>BULLISH</v>
      </c>
      <c r="S6302">
        <f t="shared" si="2665"/>
        <v>1</v>
      </c>
    </row>
    <row r="6303" spans="1:19" hidden="1" x14ac:dyDescent="0.25">
      <c r="A6303" s="5" t="str">
        <f t="shared" si="2666"/>
        <v>44181AMZN</v>
      </c>
      <c r="B6303" s="6" t="s">
        <v>29</v>
      </c>
      <c r="C6303" s="6">
        <v>3085</v>
      </c>
      <c r="D6303" s="6">
        <v>3225</v>
      </c>
      <c r="E6303" s="6">
        <v>3165</v>
      </c>
      <c r="F6303" t="str">
        <f t="shared" si="2654"/>
        <v>WED</v>
      </c>
      <c r="G6303" s="3">
        <f t="shared" si="2655"/>
        <v>44181</v>
      </c>
      <c r="H6303" s="2">
        <f t="shared" ca="1" si="2656"/>
        <v>72</v>
      </c>
      <c r="I6303" t="str">
        <f t="shared" si="2657"/>
        <v>AMZN</v>
      </c>
      <c r="J6303">
        <f t="shared" si="2658"/>
        <v>3085</v>
      </c>
      <c r="K6303">
        <f t="shared" si="2659"/>
        <v>3225</v>
      </c>
      <c r="L6303">
        <f t="shared" si="2660"/>
        <v>3155</v>
      </c>
      <c r="M6303">
        <f t="shared" si="2661"/>
        <v>70</v>
      </c>
      <c r="N6303">
        <f t="shared" si="2652"/>
        <v>140</v>
      </c>
      <c r="O6303">
        <f t="shared" si="2662"/>
        <v>3165</v>
      </c>
      <c r="P6303">
        <f t="shared" si="2663"/>
        <v>0.14285714285714285</v>
      </c>
      <c r="Q6303" t="str">
        <f t="shared" si="2653"/>
        <v>2.53% | 1.9%</v>
      </c>
      <c r="R6303" t="str">
        <f t="shared" si="2664"/>
        <v>BULLISH</v>
      </c>
      <c r="S6303">
        <f t="shared" si="2665"/>
        <v>1</v>
      </c>
    </row>
    <row r="6304" spans="1:19" hidden="1" x14ac:dyDescent="0.25">
      <c r="A6304" s="5" t="str">
        <f t="shared" si="2666"/>
        <v>44181FB</v>
      </c>
      <c r="B6304" s="6" t="s">
        <v>30</v>
      </c>
      <c r="C6304" s="6">
        <v>271</v>
      </c>
      <c r="D6304" s="6">
        <v>288</v>
      </c>
      <c r="E6304" s="6">
        <v>275</v>
      </c>
      <c r="F6304" t="str">
        <f t="shared" si="2654"/>
        <v>WED</v>
      </c>
      <c r="G6304" s="3">
        <f t="shared" si="2655"/>
        <v>44181</v>
      </c>
      <c r="H6304" s="2">
        <f t="shared" ca="1" si="2656"/>
        <v>72</v>
      </c>
      <c r="I6304" t="str">
        <f t="shared" si="2657"/>
        <v>FB</v>
      </c>
      <c r="J6304">
        <f t="shared" si="2658"/>
        <v>271</v>
      </c>
      <c r="K6304">
        <f t="shared" si="2659"/>
        <v>288</v>
      </c>
      <c r="L6304">
        <f t="shared" si="2660"/>
        <v>279.5</v>
      </c>
      <c r="M6304">
        <f t="shared" si="2661"/>
        <v>8.5</v>
      </c>
      <c r="N6304">
        <f t="shared" si="2652"/>
        <v>17</v>
      </c>
      <c r="O6304">
        <f t="shared" si="2662"/>
        <v>275</v>
      </c>
      <c r="P6304">
        <f t="shared" si="2663"/>
        <v>-0.52941176470588236</v>
      </c>
      <c r="Q6304" t="str">
        <f t="shared" si="2653"/>
        <v>1.45% | 4.73%</v>
      </c>
      <c r="R6304" t="str">
        <f t="shared" si="2664"/>
        <v>BULLISH</v>
      </c>
      <c r="S6304">
        <f t="shared" si="2665"/>
        <v>1</v>
      </c>
    </row>
    <row r="6305" spans="1:19" hidden="1" x14ac:dyDescent="0.25">
      <c r="A6305" s="5" t="str">
        <f t="shared" si="2666"/>
        <v>44181GOOGL</v>
      </c>
      <c r="B6305" s="6" t="s">
        <v>31</v>
      </c>
      <c r="C6305" s="6">
        <v>1735</v>
      </c>
      <c r="D6305" s="6">
        <v>1847</v>
      </c>
      <c r="E6305" s="6">
        <v>1761</v>
      </c>
      <c r="F6305" t="str">
        <f t="shared" si="2654"/>
        <v>WED</v>
      </c>
      <c r="G6305" s="3">
        <f t="shared" si="2655"/>
        <v>44181</v>
      </c>
      <c r="H6305" s="2">
        <f t="shared" ca="1" si="2656"/>
        <v>72</v>
      </c>
      <c r="I6305" t="str">
        <f t="shared" si="2657"/>
        <v>GOOGL</v>
      </c>
      <c r="J6305">
        <f t="shared" si="2658"/>
        <v>1735</v>
      </c>
      <c r="K6305">
        <f t="shared" si="2659"/>
        <v>1847</v>
      </c>
      <c r="L6305">
        <f t="shared" si="2660"/>
        <v>1791</v>
      </c>
      <c r="M6305">
        <f t="shared" si="2661"/>
        <v>56</v>
      </c>
      <c r="N6305">
        <f t="shared" si="2652"/>
        <v>112</v>
      </c>
      <c r="O6305">
        <f t="shared" si="2662"/>
        <v>1761</v>
      </c>
      <c r="P6305">
        <f t="shared" si="2663"/>
        <v>-0.5357142857142857</v>
      </c>
      <c r="Q6305" t="str">
        <f t="shared" si="2653"/>
        <v>1.48% | 4.88%</v>
      </c>
      <c r="R6305" t="str">
        <f t="shared" si="2664"/>
        <v>BULLISH</v>
      </c>
      <c r="S6305">
        <f t="shared" si="2665"/>
        <v>1</v>
      </c>
    </row>
    <row r="6306" spans="1:19" hidden="1" x14ac:dyDescent="0.25">
      <c r="A6306" s="5" t="str">
        <f t="shared" si="2666"/>
        <v>44181NFLX</v>
      </c>
      <c r="B6306" s="6" t="s">
        <v>70</v>
      </c>
      <c r="C6306" s="6">
        <v>487</v>
      </c>
      <c r="D6306" s="6">
        <v>528</v>
      </c>
      <c r="E6306" s="6">
        <v>519</v>
      </c>
      <c r="F6306" t="str">
        <f t="shared" si="2654"/>
        <v>WED</v>
      </c>
      <c r="G6306" s="3">
        <f t="shared" si="2655"/>
        <v>44181</v>
      </c>
      <c r="H6306" s="2">
        <f t="shared" ca="1" si="2656"/>
        <v>72</v>
      </c>
      <c r="I6306" t="str">
        <f t="shared" si="2657"/>
        <v>NFLX</v>
      </c>
      <c r="J6306">
        <f t="shared" si="2658"/>
        <v>487</v>
      </c>
      <c r="K6306">
        <f t="shared" si="2659"/>
        <v>528</v>
      </c>
      <c r="L6306">
        <f t="shared" si="2660"/>
        <v>507.5</v>
      </c>
      <c r="M6306">
        <f t="shared" si="2661"/>
        <v>20.5</v>
      </c>
      <c r="N6306">
        <f t="shared" si="2652"/>
        <v>41</v>
      </c>
      <c r="O6306">
        <f t="shared" si="2662"/>
        <v>519</v>
      </c>
      <c r="P6306">
        <f t="shared" si="2663"/>
        <v>0.56097560975609762</v>
      </c>
      <c r="Q6306" t="str">
        <f t="shared" si="2653"/>
        <v>6.17% | 1.73%</v>
      </c>
      <c r="R6306" t="str">
        <f t="shared" si="2664"/>
        <v>NEUTRAL</v>
      </c>
      <c r="S6306">
        <f t="shared" si="2665"/>
        <v>0</v>
      </c>
    </row>
    <row r="6307" spans="1:19" x14ac:dyDescent="0.25">
      <c r="A6307" s="5" t="str">
        <f t="shared" si="2666"/>
        <v>44181TSLA</v>
      </c>
      <c r="B6307" s="6" t="s">
        <v>33</v>
      </c>
      <c r="C6307" s="6">
        <v>581</v>
      </c>
      <c r="D6307" s="6">
        <v>665</v>
      </c>
      <c r="E6307" s="6">
        <v>633</v>
      </c>
      <c r="F6307" t="str">
        <f t="shared" si="2654"/>
        <v>WED</v>
      </c>
      <c r="G6307" s="3">
        <f t="shared" si="2655"/>
        <v>44181</v>
      </c>
      <c r="H6307" s="2">
        <f t="shared" ca="1" si="2656"/>
        <v>72</v>
      </c>
      <c r="I6307" t="str">
        <f t="shared" si="2657"/>
        <v>TSLA</v>
      </c>
      <c r="J6307">
        <f t="shared" si="2658"/>
        <v>581</v>
      </c>
      <c r="K6307">
        <f t="shared" si="2659"/>
        <v>665</v>
      </c>
      <c r="L6307">
        <f t="shared" si="2660"/>
        <v>623</v>
      </c>
      <c r="M6307">
        <f t="shared" si="2661"/>
        <v>42</v>
      </c>
      <c r="N6307">
        <f t="shared" si="2652"/>
        <v>84</v>
      </c>
      <c r="O6307">
        <f t="shared" si="2662"/>
        <v>633</v>
      </c>
      <c r="P6307">
        <f t="shared" si="2663"/>
        <v>0.23809523809523808</v>
      </c>
      <c r="Q6307" t="str">
        <f t="shared" si="2653"/>
        <v>8.21% | 5.06%</v>
      </c>
      <c r="R6307" t="str">
        <f t="shared" si="2664"/>
        <v>BULLISH</v>
      </c>
      <c r="S6307">
        <f t="shared" si="2665"/>
        <v>1</v>
      </c>
    </row>
    <row r="6308" spans="1:19" hidden="1" x14ac:dyDescent="0.25">
      <c r="A6308" s="5" t="str">
        <f t="shared" si="2666"/>
        <v>44181NYXBT</v>
      </c>
      <c r="B6308" s="6" t="s">
        <v>60</v>
      </c>
      <c r="C6308" s="6">
        <v>17790</v>
      </c>
      <c r="D6308" s="6">
        <v>19992</v>
      </c>
      <c r="E6308" s="6">
        <v>19411</v>
      </c>
      <c r="F6308" t="str">
        <f t="shared" si="2654"/>
        <v>WED</v>
      </c>
      <c r="G6308" s="3">
        <f t="shared" si="2655"/>
        <v>44181</v>
      </c>
      <c r="H6308" s="2">
        <f t="shared" ca="1" si="2656"/>
        <v>72</v>
      </c>
      <c r="I6308" t="str">
        <f t="shared" si="2657"/>
        <v>NYXBT</v>
      </c>
      <c r="J6308">
        <f t="shared" si="2658"/>
        <v>17790</v>
      </c>
      <c r="K6308">
        <f t="shared" si="2659"/>
        <v>19992</v>
      </c>
      <c r="L6308">
        <f t="shared" si="2660"/>
        <v>18891</v>
      </c>
      <c r="M6308">
        <f t="shared" si="2661"/>
        <v>1101</v>
      </c>
      <c r="N6308">
        <f t="shared" si="2652"/>
        <v>2202</v>
      </c>
      <c r="O6308">
        <f t="shared" si="2662"/>
        <v>19411</v>
      </c>
      <c r="P6308">
        <f t="shared" si="2663"/>
        <v>0.47229791099000906</v>
      </c>
      <c r="Q6308" t="str">
        <f t="shared" si="2653"/>
        <v>8.35% | 2.99%</v>
      </c>
      <c r="R6308" t="str">
        <f t="shared" si="2664"/>
        <v>BULLISH</v>
      </c>
      <c r="S6308">
        <f t="shared" si="2665"/>
        <v>1</v>
      </c>
    </row>
    <row r="6309" spans="1:19" hidden="1" x14ac:dyDescent="0.25">
      <c r="A6309" s="5" t="str">
        <f t="shared" si="2666"/>
        <v>44182UST10Y</v>
      </c>
      <c r="B6309" s="6" t="s">
        <v>257</v>
      </c>
      <c r="C6309" s="6">
        <v>0.98</v>
      </c>
      <c r="D6309" s="6">
        <v>0.88</v>
      </c>
      <c r="E6309" s="6">
        <v>0.92</v>
      </c>
      <c r="F6309" t="str">
        <f t="shared" si="2654"/>
        <v>THU</v>
      </c>
      <c r="G6309" s="1">
        <f>DATE(2020,12,17)</f>
        <v>44182</v>
      </c>
      <c r="H6309" s="2">
        <f t="shared" ca="1" si="2656"/>
        <v>71</v>
      </c>
      <c r="I6309" t="str">
        <f t="shared" si="2657"/>
        <v>UST10Y</v>
      </c>
      <c r="J6309">
        <f t="shared" si="2658"/>
        <v>0.98</v>
      </c>
      <c r="K6309">
        <f t="shared" si="2659"/>
        <v>0.88</v>
      </c>
      <c r="L6309">
        <f t="shared" si="2660"/>
        <v>0.92999999999999994</v>
      </c>
      <c r="M6309">
        <f t="shared" si="2661"/>
        <v>4.9999999999999989E-2</v>
      </c>
      <c r="N6309">
        <f t="shared" si="2652"/>
        <v>9.9999999999999978E-2</v>
      </c>
      <c r="O6309">
        <f t="shared" si="2662"/>
        <v>0.92</v>
      </c>
      <c r="P6309">
        <f t="shared" si="2663"/>
        <v>-0.19999999999999801</v>
      </c>
      <c r="Q6309" t="str">
        <f t="shared" si="2653"/>
        <v>6.52% | 4.35%</v>
      </c>
      <c r="R6309" t="str">
        <f t="shared" si="2664"/>
        <v>BULLISH</v>
      </c>
      <c r="S6309">
        <f t="shared" si="2665"/>
        <v>1</v>
      </c>
    </row>
    <row r="6310" spans="1:19" hidden="1" x14ac:dyDescent="0.25">
      <c r="A6310" s="5" t="str">
        <f t="shared" si="2666"/>
        <v>44182UST2Y</v>
      </c>
      <c r="B6310" s="6" t="s">
        <v>253</v>
      </c>
      <c r="C6310" s="6">
        <v>0.17</v>
      </c>
      <c r="D6310" s="6">
        <v>0.11</v>
      </c>
      <c r="E6310" s="6">
        <v>0.13</v>
      </c>
      <c r="F6310" t="str">
        <f t="shared" ref="F6310:F6341" si="2667">UPPER(TEXT(G6310,"ddd"))</f>
        <v>THU</v>
      </c>
      <c r="G6310" s="1">
        <f t="shared" ref="G6310:G6340" si="2668">DATE(2020,12,17)</f>
        <v>44182</v>
      </c>
      <c r="H6310" s="2">
        <f t="shared" ref="H6310:H6341" ca="1" si="2669">TODAY()-G6310</f>
        <v>71</v>
      </c>
      <c r="I6310" t="str">
        <f t="shared" ref="I6310:I6341" si="2670">TRIM(LEFT(B6310,FIND(" ",B6310,1)))</f>
        <v>UST2Y</v>
      </c>
      <c r="J6310">
        <f t="shared" ref="J6310:J6341" si="2671">C6310</f>
        <v>0.17</v>
      </c>
      <c r="K6310">
        <f t="shared" ref="K6310:K6341" si="2672">D6310</f>
        <v>0.11</v>
      </c>
      <c r="L6310">
        <f t="shared" ref="L6310:L6341" si="2673">AVERAGE(J6310:K6310)</f>
        <v>0.14000000000000001</v>
      </c>
      <c r="M6310">
        <f t="shared" ref="M6310:M6341" si="2674">_xlfn.STDEV.P(J6310:K6310)</f>
        <v>3.0000000000000023E-2</v>
      </c>
      <c r="N6310">
        <f t="shared" si="2652"/>
        <v>6.0000000000000012E-2</v>
      </c>
      <c r="O6310">
        <f t="shared" ref="O6310:O6341" si="2675">E6310</f>
        <v>0.13</v>
      </c>
      <c r="P6310">
        <f t="shared" ref="P6310:P6341" si="2676">(O6310-L6310)/M6310</f>
        <v>-0.33333333333333337</v>
      </c>
      <c r="Q6310" t="str">
        <f t="shared" si="2653"/>
        <v>30.77% | 15.38%</v>
      </c>
      <c r="R6310" t="str">
        <f t="shared" ref="R6310:R6341" si="2677">MID(B6310,FIND("(",B6310,1)+1,FIND(")",B6310,1)-FIND("(",B6310,1)-1)</f>
        <v>NEUTRAL</v>
      </c>
      <c r="S6310">
        <f t="shared" ref="S6310:S6341" si="2678">IF(R6310="BEARISH",-1,IF(R6310="NEUTRAL",0,IF(R6310="BULLISH",1,99)))</f>
        <v>0</v>
      </c>
    </row>
    <row r="6311" spans="1:19" hidden="1" x14ac:dyDescent="0.25">
      <c r="A6311" s="5" t="str">
        <f t="shared" si="2666"/>
        <v>44182SPX</v>
      </c>
      <c r="B6311" s="6" t="s">
        <v>93</v>
      </c>
      <c r="C6311" s="6">
        <v>3643</v>
      </c>
      <c r="D6311" s="6">
        <v>3721</v>
      </c>
      <c r="E6311" s="6">
        <v>3701</v>
      </c>
      <c r="F6311" t="str">
        <f t="shared" si="2667"/>
        <v>THU</v>
      </c>
      <c r="G6311" s="1">
        <f t="shared" si="2668"/>
        <v>44182</v>
      </c>
      <c r="H6311" s="2">
        <f t="shared" ca="1" si="2669"/>
        <v>71</v>
      </c>
      <c r="I6311" t="str">
        <f t="shared" si="2670"/>
        <v>SPX</v>
      </c>
      <c r="J6311">
        <f t="shared" si="2671"/>
        <v>3643</v>
      </c>
      <c r="K6311">
        <f t="shared" si="2672"/>
        <v>3721</v>
      </c>
      <c r="L6311">
        <f t="shared" si="2673"/>
        <v>3682</v>
      </c>
      <c r="M6311">
        <f t="shared" si="2674"/>
        <v>39</v>
      </c>
      <c r="N6311">
        <f t="shared" si="2652"/>
        <v>78</v>
      </c>
      <c r="O6311">
        <f t="shared" si="2675"/>
        <v>3701</v>
      </c>
      <c r="P6311">
        <f t="shared" si="2676"/>
        <v>0.48717948717948717</v>
      </c>
      <c r="Q6311" t="str">
        <f t="shared" si="2653"/>
        <v>1.57% | 0.54%</v>
      </c>
      <c r="R6311" t="str">
        <f t="shared" si="2677"/>
        <v>BULLISH</v>
      </c>
      <c r="S6311">
        <f t="shared" si="2678"/>
        <v>1</v>
      </c>
    </row>
    <row r="6312" spans="1:19" hidden="1" x14ac:dyDescent="0.25">
      <c r="A6312" s="5" t="str">
        <f t="shared" si="2666"/>
        <v>44182RUT</v>
      </c>
      <c r="B6312" s="6" t="s">
        <v>247</v>
      </c>
      <c r="C6312" s="6">
        <v>1861</v>
      </c>
      <c r="D6312" s="6">
        <v>1962</v>
      </c>
      <c r="E6312" s="6">
        <v>1952</v>
      </c>
      <c r="F6312" t="str">
        <f t="shared" si="2667"/>
        <v>THU</v>
      </c>
      <c r="G6312" s="1">
        <f t="shared" si="2668"/>
        <v>44182</v>
      </c>
      <c r="H6312" s="2">
        <f t="shared" ca="1" si="2669"/>
        <v>71</v>
      </c>
      <c r="I6312" t="str">
        <f t="shared" si="2670"/>
        <v>RUT</v>
      </c>
      <c r="J6312">
        <f t="shared" si="2671"/>
        <v>1861</v>
      </c>
      <c r="K6312">
        <f t="shared" si="2672"/>
        <v>1962</v>
      </c>
      <c r="L6312">
        <f t="shared" si="2673"/>
        <v>1911.5</v>
      </c>
      <c r="M6312">
        <f t="shared" si="2674"/>
        <v>50.5</v>
      </c>
      <c r="N6312">
        <f t="shared" si="2652"/>
        <v>101</v>
      </c>
      <c r="O6312">
        <f t="shared" si="2675"/>
        <v>1952</v>
      </c>
      <c r="P6312">
        <f t="shared" si="2676"/>
        <v>0.80198019801980203</v>
      </c>
      <c r="Q6312" t="str">
        <f t="shared" si="2653"/>
        <v>4.66% | 0.51%</v>
      </c>
      <c r="R6312" t="str">
        <f t="shared" si="2677"/>
        <v>BULLISH</v>
      </c>
      <c r="S6312">
        <f t="shared" si="2678"/>
        <v>1</v>
      </c>
    </row>
    <row r="6313" spans="1:19" hidden="1" x14ac:dyDescent="0.25">
      <c r="A6313" s="5" t="str">
        <f t="shared" si="2666"/>
        <v>44182COMPQ</v>
      </c>
      <c r="B6313" s="6" t="s">
        <v>8</v>
      </c>
      <c r="C6313" s="6">
        <v>12280</v>
      </c>
      <c r="D6313" s="6">
        <v>12698</v>
      </c>
      <c r="E6313" s="6">
        <v>12658</v>
      </c>
      <c r="F6313" t="str">
        <f t="shared" si="2667"/>
        <v>THU</v>
      </c>
      <c r="G6313" s="1">
        <f t="shared" si="2668"/>
        <v>44182</v>
      </c>
      <c r="H6313" s="2">
        <f t="shared" ca="1" si="2669"/>
        <v>71</v>
      </c>
      <c r="I6313" t="str">
        <f t="shared" si="2670"/>
        <v>COMPQ</v>
      </c>
      <c r="J6313">
        <f t="shared" si="2671"/>
        <v>12280</v>
      </c>
      <c r="K6313">
        <f t="shared" si="2672"/>
        <v>12698</v>
      </c>
      <c r="L6313">
        <f t="shared" si="2673"/>
        <v>12489</v>
      </c>
      <c r="M6313">
        <f t="shared" si="2674"/>
        <v>209</v>
      </c>
      <c r="N6313">
        <f t="shared" si="2652"/>
        <v>418</v>
      </c>
      <c r="O6313">
        <f t="shared" si="2675"/>
        <v>12658</v>
      </c>
      <c r="P6313">
        <f t="shared" si="2676"/>
        <v>0.80861244019138756</v>
      </c>
      <c r="Q6313" t="str">
        <f t="shared" si="2653"/>
        <v>2.99% | 0.32%</v>
      </c>
      <c r="R6313" t="str">
        <f t="shared" si="2677"/>
        <v>BULLISH</v>
      </c>
      <c r="S6313">
        <f t="shared" si="2678"/>
        <v>1</v>
      </c>
    </row>
    <row r="6314" spans="1:19" hidden="1" x14ac:dyDescent="0.25">
      <c r="A6314" s="5" t="str">
        <f t="shared" si="2666"/>
        <v>44182XLK</v>
      </c>
      <c r="B6314" s="6" t="s">
        <v>10</v>
      </c>
      <c r="C6314" s="6">
        <v>123.4</v>
      </c>
      <c r="D6314" s="6">
        <v>128.36000000000001</v>
      </c>
      <c r="E6314" s="6">
        <v>127.69</v>
      </c>
      <c r="F6314" t="str">
        <f t="shared" si="2667"/>
        <v>THU</v>
      </c>
      <c r="G6314" s="1">
        <f t="shared" si="2668"/>
        <v>44182</v>
      </c>
      <c r="H6314" s="2">
        <f t="shared" ca="1" si="2669"/>
        <v>71</v>
      </c>
      <c r="I6314" t="str">
        <f t="shared" si="2670"/>
        <v>XLK</v>
      </c>
      <c r="J6314">
        <f t="shared" si="2671"/>
        <v>123.4</v>
      </c>
      <c r="K6314">
        <f t="shared" si="2672"/>
        <v>128.36000000000001</v>
      </c>
      <c r="L6314">
        <f t="shared" si="2673"/>
        <v>125.88000000000001</v>
      </c>
      <c r="M6314">
        <f t="shared" si="2674"/>
        <v>2.480000000000004</v>
      </c>
      <c r="N6314">
        <f t="shared" si="2652"/>
        <v>4.960000000000008</v>
      </c>
      <c r="O6314">
        <f t="shared" si="2675"/>
        <v>127.69</v>
      </c>
      <c r="P6314">
        <f t="shared" si="2676"/>
        <v>0.72983870967741338</v>
      </c>
      <c r="Q6314" t="str">
        <f t="shared" si="2653"/>
        <v>3.36% | 0.52%</v>
      </c>
      <c r="R6314" t="str">
        <f t="shared" si="2677"/>
        <v>BULLISH</v>
      </c>
      <c r="S6314">
        <f t="shared" si="2678"/>
        <v>1</v>
      </c>
    </row>
    <row r="6315" spans="1:19" hidden="1" x14ac:dyDescent="0.25">
      <c r="A6315" s="5" t="str">
        <f t="shared" si="2666"/>
        <v>44182XLE</v>
      </c>
      <c r="B6315" s="6" t="s">
        <v>250</v>
      </c>
      <c r="C6315" s="6">
        <v>39.08</v>
      </c>
      <c r="D6315" s="6">
        <v>42.02</v>
      </c>
      <c r="E6315" s="6">
        <v>40.26</v>
      </c>
      <c r="F6315" t="str">
        <f t="shared" si="2667"/>
        <v>THU</v>
      </c>
      <c r="G6315" s="1">
        <f t="shared" si="2668"/>
        <v>44182</v>
      </c>
      <c r="H6315" s="2">
        <f t="shared" ca="1" si="2669"/>
        <v>71</v>
      </c>
      <c r="I6315" t="str">
        <f t="shared" si="2670"/>
        <v>XLE</v>
      </c>
      <c r="J6315">
        <f t="shared" si="2671"/>
        <v>39.08</v>
      </c>
      <c r="K6315">
        <f t="shared" si="2672"/>
        <v>42.02</v>
      </c>
      <c r="L6315">
        <f t="shared" si="2673"/>
        <v>40.549999999999997</v>
      </c>
      <c r="M6315">
        <f t="shared" si="2674"/>
        <v>1.4700000000000024</v>
      </c>
      <c r="N6315">
        <f t="shared" si="2652"/>
        <v>2.9400000000000048</v>
      </c>
      <c r="O6315">
        <f t="shared" si="2675"/>
        <v>40.26</v>
      </c>
      <c r="P6315">
        <f t="shared" si="2676"/>
        <v>-0.19727891156462496</v>
      </c>
      <c r="Q6315" t="str">
        <f t="shared" si="2653"/>
        <v>2.93% | 4.37%</v>
      </c>
      <c r="R6315" t="str">
        <f t="shared" si="2677"/>
        <v>BULLISH</v>
      </c>
      <c r="S6315">
        <f t="shared" si="2678"/>
        <v>1</v>
      </c>
    </row>
    <row r="6316" spans="1:19" hidden="1" x14ac:dyDescent="0.25">
      <c r="A6316" s="5" t="str">
        <f t="shared" si="2666"/>
        <v>44182XLF</v>
      </c>
      <c r="B6316" s="6" t="s">
        <v>258</v>
      </c>
      <c r="C6316" s="6">
        <v>28.02</v>
      </c>
      <c r="D6316" s="6">
        <v>29.2</v>
      </c>
      <c r="E6316" s="6">
        <v>28.66</v>
      </c>
      <c r="F6316" t="str">
        <f t="shared" si="2667"/>
        <v>THU</v>
      </c>
      <c r="G6316" s="1">
        <f t="shared" si="2668"/>
        <v>44182</v>
      </c>
      <c r="H6316" s="2">
        <f t="shared" ca="1" si="2669"/>
        <v>71</v>
      </c>
      <c r="I6316" t="str">
        <f t="shared" si="2670"/>
        <v>XLF</v>
      </c>
      <c r="J6316">
        <f t="shared" si="2671"/>
        <v>28.02</v>
      </c>
      <c r="K6316">
        <f t="shared" si="2672"/>
        <v>29.2</v>
      </c>
      <c r="L6316">
        <f t="shared" si="2673"/>
        <v>28.61</v>
      </c>
      <c r="M6316">
        <f t="shared" si="2674"/>
        <v>0.58999999999999986</v>
      </c>
      <c r="N6316">
        <f t="shared" si="2652"/>
        <v>1.1799999999999997</v>
      </c>
      <c r="O6316">
        <f t="shared" si="2675"/>
        <v>28.66</v>
      </c>
      <c r="P6316">
        <f t="shared" si="2676"/>
        <v>8.4745762711865638E-2</v>
      </c>
      <c r="Q6316" t="str">
        <f t="shared" si="2653"/>
        <v>2.23% | 1.88%</v>
      </c>
      <c r="R6316" t="str">
        <f t="shared" si="2677"/>
        <v>BULLISH</v>
      </c>
      <c r="S6316">
        <f t="shared" si="2678"/>
        <v>1</v>
      </c>
    </row>
    <row r="6317" spans="1:19" hidden="1" x14ac:dyDescent="0.25">
      <c r="A6317" s="5" t="str">
        <f t="shared" si="2666"/>
        <v>44182XLU</v>
      </c>
      <c r="B6317" s="6" t="s">
        <v>82</v>
      </c>
      <c r="C6317" s="6">
        <v>61.68</v>
      </c>
      <c r="D6317" s="6">
        <v>63.37</v>
      </c>
      <c r="E6317" s="6">
        <v>62.41</v>
      </c>
      <c r="F6317" t="str">
        <f t="shared" si="2667"/>
        <v>THU</v>
      </c>
      <c r="G6317" s="1">
        <f t="shared" si="2668"/>
        <v>44182</v>
      </c>
      <c r="H6317" s="2">
        <f t="shared" ca="1" si="2669"/>
        <v>71</v>
      </c>
      <c r="I6317" t="str">
        <f t="shared" si="2670"/>
        <v>XLU</v>
      </c>
      <c r="J6317">
        <f t="shared" si="2671"/>
        <v>61.68</v>
      </c>
      <c r="K6317">
        <f t="shared" si="2672"/>
        <v>63.37</v>
      </c>
      <c r="L6317">
        <f t="shared" si="2673"/>
        <v>62.524999999999999</v>
      </c>
      <c r="M6317">
        <f t="shared" si="2674"/>
        <v>0.84499999999999886</v>
      </c>
      <c r="N6317">
        <f t="shared" si="2652"/>
        <v>1.6899999999999977</v>
      </c>
      <c r="O6317">
        <f t="shared" si="2675"/>
        <v>62.41</v>
      </c>
      <c r="P6317">
        <f t="shared" si="2676"/>
        <v>-0.13609467455621554</v>
      </c>
      <c r="Q6317" t="str">
        <f t="shared" si="2653"/>
        <v>1.17% | 1.54%</v>
      </c>
      <c r="R6317" t="str">
        <f t="shared" si="2677"/>
        <v>BEARISH</v>
      </c>
      <c r="S6317">
        <f t="shared" si="2678"/>
        <v>-1</v>
      </c>
    </row>
    <row r="6318" spans="1:19" hidden="1" x14ac:dyDescent="0.25">
      <c r="A6318" s="5" t="str">
        <f t="shared" si="2666"/>
        <v>44182GDX</v>
      </c>
      <c r="B6318" s="6" t="s">
        <v>254</v>
      </c>
      <c r="C6318" s="6">
        <v>33.78</v>
      </c>
      <c r="D6318" s="6">
        <v>36.82</v>
      </c>
      <c r="E6318" s="6">
        <v>36.03</v>
      </c>
      <c r="F6318" t="str">
        <f t="shared" si="2667"/>
        <v>THU</v>
      </c>
      <c r="G6318" s="1">
        <f t="shared" si="2668"/>
        <v>44182</v>
      </c>
      <c r="H6318" s="2">
        <f t="shared" ca="1" si="2669"/>
        <v>71</v>
      </c>
      <c r="I6318" t="str">
        <f t="shared" si="2670"/>
        <v>GDX</v>
      </c>
      <c r="J6318">
        <f t="shared" si="2671"/>
        <v>33.78</v>
      </c>
      <c r="K6318">
        <f t="shared" si="2672"/>
        <v>36.82</v>
      </c>
      <c r="L6318">
        <f t="shared" si="2673"/>
        <v>35.299999999999997</v>
      </c>
      <c r="M6318">
        <f t="shared" si="2674"/>
        <v>1.5199999999999996</v>
      </c>
      <c r="N6318">
        <f t="shared" si="2652"/>
        <v>3.0399999999999991</v>
      </c>
      <c r="O6318">
        <f t="shared" si="2675"/>
        <v>36.03</v>
      </c>
      <c r="P6318">
        <f t="shared" si="2676"/>
        <v>0.48026315789473961</v>
      </c>
      <c r="Q6318" t="str">
        <f t="shared" si="2653"/>
        <v>6.24% | 2.19%</v>
      </c>
      <c r="R6318" t="str">
        <f t="shared" si="2677"/>
        <v>BEARISH</v>
      </c>
      <c r="S6318">
        <f t="shared" si="2678"/>
        <v>-1</v>
      </c>
    </row>
    <row r="6319" spans="1:19" hidden="1" x14ac:dyDescent="0.25">
      <c r="A6319" s="5" t="str">
        <f t="shared" si="2666"/>
        <v>44182SSEC</v>
      </c>
      <c r="B6319" s="6" t="s">
        <v>104</v>
      </c>
      <c r="C6319" s="6">
        <v>3327</v>
      </c>
      <c r="D6319" s="6">
        <v>3446</v>
      </c>
      <c r="E6319" s="6">
        <v>3404</v>
      </c>
      <c r="F6319" t="str">
        <f t="shared" si="2667"/>
        <v>THU</v>
      </c>
      <c r="G6319" s="1">
        <f t="shared" si="2668"/>
        <v>44182</v>
      </c>
      <c r="H6319" s="2">
        <f t="shared" ca="1" si="2669"/>
        <v>71</v>
      </c>
      <c r="I6319" t="str">
        <f t="shared" si="2670"/>
        <v>SSEC</v>
      </c>
      <c r="J6319">
        <f t="shared" si="2671"/>
        <v>3327</v>
      </c>
      <c r="K6319">
        <f t="shared" si="2672"/>
        <v>3446</v>
      </c>
      <c r="L6319">
        <f t="shared" si="2673"/>
        <v>3386.5</v>
      </c>
      <c r="M6319">
        <f t="shared" si="2674"/>
        <v>59.5</v>
      </c>
      <c r="N6319">
        <f t="shared" si="2652"/>
        <v>119</v>
      </c>
      <c r="O6319">
        <f t="shared" si="2675"/>
        <v>3404</v>
      </c>
      <c r="P6319">
        <f t="shared" si="2676"/>
        <v>0.29411764705882354</v>
      </c>
      <c r="Q6319" t="str">
        <f t="shared" si="2653"/>
        <v>2.26% | 1.23%</v>
      </c>
      <c r="R6319" t="str">
        <f t="shared" si="2677"/>
        <v>BULLISH</v>
      </c>
      <c r="S6319">
        <f t="shared" si="2678"/>
        <v>1</v>
      </c>
    </row>
    <row r="6320" spans="1:19" hidden="1" x14ac:dyDescent="0.25">
      <c r="A6320" s="5" t="str">
        <f t="shared" si="2666"/>
        <v>44182NIKK</v>
      </c>
      <c r="B6320" s="6" t="s">
        <v>91</v>
      </c>
      <c r="C6320" s="6">
        <v>26452</v>
      </c>
      <c r="D6320" s="6">
        <v>26918</v>
      </c>
      <c r="E6320" s="6">
        <v>26806</v>
      </c>
      <c r="F6320" t="str">
        <f t="shared" si="2667"/>
        <v>THU</v>
      </c>
      <c r="G6320" s="1">
        <f t="shared" si="2668"/>
        <v>44182</v>
      </c>
      <c r="H6320" s="2">
        <f t="shared" ca="1" si="2669"/>
        <v>71</v>
      </c>
      <c r="I6320" t="str">
        <f t="shared" si="2670"/>
        <v>NIKK</v>
      </c>
      <c r="J6320">
        <f t="shared" si="2671"/>
        <v>26452</v>
      </c>
      <c r="K6320">
        <f t="shared" si="2672"/>
        <v>26918</v>
      </c>
      <c r="L6320">
        <f t="shared" si="2673"/>
        <v>26685</v>
      </c>
      <c r="M6320">
        <f t="shared" si="2674"/>
        <v>233</v>
      </c>
      <c r="N6320">
        <f t="shared" si="2652"/>
        <v>466</v>
      </c>
      <c r="O6320">
        <f t="shared" si="2675"/>
        <v>26806</v>
      </c>
      <c r="P6320">
        <f t="shared" si="2676"/>
        <v>0.51931330472102999</v>
      </c>
      <c r="Q6320" t="str">
        <f t="shared" si="2653"/>
        <v>1.32% | 0.42%</v>
      </c>
      <c r="R6320" t="str">
        <f t="shared" si="2677"/>
        <v>BULLISH</v>
      </c>
      <c r="S6320">
        <f t="shared" si="2678"/>
        <v>1</v>
      </c>
    </row>
    <row r="6321" spans="1:19" hidden="1" x14ac:dyDescent="0.25">
      <c r="A6321" s="5" t="str">
        <f t="shared" si="2666"/>
        <v>44182DAX</v>
      </c>
      <c r="B6321" s="6" t="s">
        <v>98</v>
      </c>
      <c r="C6321" s="6">
        <v>13173</v>
      </c>
      <c r="D6321" s="6">
        <v>13694</v>
      </c>
      <c r="E6321" s="6">
        <v>13565</v>
      </c>
      <c r="F6321" t="str">
        <f t="shared" si="2667"/>
        <v>THU</v>
      </c>
      <c r="G6321" s="1">
        <f t="shared" si="2668"/>
        <v>44182</v>
      </c>
      <c r="H6321" s="2">
        <f t="shared" ca="1" si="2669"/>
        <v>71</v>
      </c>
      <c r="I6321" t="str">
        <f t="shared" si="2670"/>
        <v>DAX</v>
      </c>
      <c r="J6321">
        <f t="shared" si="2671"/>
        <v>13173</v>
      </c>
      <c r="K6321">
        <f t="shared" si="2672"/>
        <v>13694</v>
      </c>
      <c r="L6321">
        <f t="shared" si="2673"/>
        <v>13433.5</v>
      </c>
      <c r="M6321">
        <f t="shared" si="2674"/>
        <v>260.5</v>
      </c>
      <c r="N6321">
        <f t="shared" si="2652"/>
        <v>521</v>
      </c>
      <c r="O6321">
        <f t="shared" si="2675"/>
        <v>13565</v>
      </c>
      <c r="P6321">
        <f t="shared" si="2676"/>
        <v>0.50479846449136279</v>
      </c>
      <c r="Q6321" t="str">
        <f t="shared" si="2653"/>
        <v>2.89% | 0.95%</v>
      </c>
      <c r="R6321" t="str">
        <f t="shared" si="2677"/>
        <v>BULLISH</v>
      </c>
      <c r="S6321">
        <f t="shared" si="2678"/>
        <v>1</v>
      </c>
    </row>
    <row r="6322" spans="1:19" hidden="1" x14ac:dyDescent="0.25">
      <c r="A6322" s="5" t="str">
        <f t="shared" si="2666"/>
        <v>44182VIX</v>
      </c>
      <c r="B6322" s="6" t="s">
        <v>96</v>
      </c>
      <c r="C6322" s="6">
        <v>19.809999999999999</v>
      </c>
      <c r="D6322" s="6">
        <v>24.85</v>
      </c>
      <c r="E6322" s="6">
        <v>22.5</v>
      </c>
      <c r="F6322" t="str">
        <f t="shared" si="2667"/>
        <v>THU</v>
      </c>
      <c r="G6322" s="1">
        <f t="shared" si="2668"/>
        <v>44182</v>
      </c>
      <c r="H6322" s="2">
        <f t="shared" ca="1" si="2669"/>
        <v>71</v>
      </c>
      <c r="I6322" t="str">
        <f t="shared" si="2670"/>
        <v>VIX</v>
      </c>
      <c r="J6322">
        <f t="shared" si="2671"/>
        <v>19.809999999999999</v>
      </c>
      <c r="K6322">
        <f t="shared" si="2672"/>
        <v>24.85</v>
      </c>
      <c r="L6322">
        <f t="shared" si="2673"/>
        <v>22.33</v>
      </c>
      <c r="M6322">
        <f t="shared" si="2674"/>
        <v>2.5200000000000071</v>
      </c>
      <c r="N6322">
        <f t="shared" si="2652"/>
        <v>5.0400000000000027</v>
      </c>
      <c r="O6322">
        <f t="shared" si="2675"/>
        <v>22.5</v>
      </c>
      <c r="P6322">
        <f t="shared" si="2676"/>
        <v>6.7460317460317942E-2</v>
      </c>
      <c r="Q6322" t="str">
        <f t="shared" si="2653"/>
        <v>11.96% | 10.44%</v>
      </c>
      <c r="R6322" t="str">
        <f t="shared" si="2677"/>
        <v>BEARISH</v>
      </c>
      <c r="S6322">
        <f t="shared" si="2678"/>
        <v>-1</v>
      </c>
    </row>
    <row r="6323" spans="1:19" hidden="1" x14ac:dyDescent="0.25">
      <c r="A6323" s="5" t="str">
        <f t="shared" si="2666"/>
        <v>44182USD</v>
      </c>
      <c r="B6323" s="6" t="s">
        <v>94</v>
      </c>
      <c r="C6323" s="6">
        <v>90.08</v>
      </c>
      <c r="D6323" s="6">
        <v>91.2</v>
      </c>
      <c r="E6323" s="6">
        <v>90.36</v>
      </c>
      <c r="F6323" t="str">
        <f t="shared" si="2667"/>
        <v>THU</v>
      </c>
      <c r="G6323" s="1">
        <f t="shared" si="2668"/>
        <v>44182</v>
      </c>
      <c r="H6323" s="2">
        <f t="shared" ca="1" si="2669"/>
        <v>71</v>
      </c>
      <c r="I6323" t="str">
        <f t="shared" si="2670"/>
        <v>USD</v>
      </c>
      <c r="J6323">
        <f t="shared" si="2671"/>
        <v>90.08</v>
      </c>
      <c r="K6323">
        <f t="shared" si="2672"/>
        <v>91.2</v>
      </c>
      <c r="L6323">
        <f t="shared" si="2673"/>
        <v>90.64</v>
      </c>
      <c r="M6323">
        <f t="shared" si="2674"/>
        <v>0.56000000000000227</v>
      </c>
      <c r="N6323">
        <f t="shared" si="2652"/>
        <v>1.1200000000000045</v>
      </c>
      <c r="O6323">
        <f t="shared" si="2675"/>
        <v>90.36</v>
      </c>
      <c r="P6323">
        <f t="shared" si="2676"/>
        <v>-0.5</v>
      </c>
      <c r="Q6323" t="str">
        <f t="shared" si="2653"/>
        <v>0.31% | 0.93%</v>
      </c>
      <c r="R6323" t="str">
        <f t="shared" si="2677"/>
        <v>BEARISH</v>
      </c>
      <c r="S6323">
        <f t="shared" si="2678"/>
        <v>-1</v>
      </c>
    </row>
    <row r="6324" spans="1:19" hidden="1" x14ac:dyDescent="0.25">
      <c r="A6324" s="5" t="str">
        <f t="shared" si="2666"/>
        <v>44182EUR/USD</v>
      </c>
      <c r="B6324" s="6" t="s">
        <v>99</v>
      </c>
      <c r="C6324" s="6">
        <v>1.2070000000000001</v>
      </c>
      <c r="D6324" s="6">
        <v>1.222</v>
      </c>
      <c r="E6324" s="6">
        <v>1.2190000000000001</v>
      </c>
      <c r="F6324" t="str">
        <f t="shared" si="2667"/>
        <v>THU</v>
      </c>
      <c r="G6324" s="1">
        <f t="shared" si="2668"/>
        <v>44182</v>
      </c>
      <c r="H6324" s="2">
        <f t="shared" ca="1" si="2669"/>
        <v>71</v>
      </c>
      <c r="I6324" t="str">
        <f t="shared" si="2670"/>
        <v>EUR/USD</v>
      </c>
      <c r="J6324">
        <f t="shared" si="2671"/>
        <v>1.2070000000000001</v>
      </c>
      <c r="K6324">
        <f t="shared" si="2672"/>
        <v>1.222</v>
      </c>
      <c r="L6324">
        <f t="shared" si="2673"/>
        <v>1.2145000000000001</v>
      </c>
      <c r="M6324">
        <f t="shared" si="2674"/>
        <v>7.4999999999999512E-3</v>
      </c>
      <c r="N6324">
        <f t="shared" si="2652"/>
        <v>1.4999999999999902E-2</v>
      </c>
      <c r="O6324">
        <f t="shared" si="2675"/>
        <v>1.2190000000000001</v>
      </c>
      <c r="P6324">
        <f t="shared" si="2676"/>
        <v>0.59999999999999709</v>
      </c>
      <c r="Q6324" t="str">
        <f t="shared" si="2653"/>
        <v>0.98% | 0.25%</v>
      </c>
      <c r="R6324" t="str">
        <f t="shared" si="2677"/>
        <v>BULLISH</v>
      </c>
      <c r="S6324">
        <f t="shared" si="2678"/>
        <v>1</v>
      </c>
    </row>
    <row r="6325" spans="1:19" hidden="1" x14ac:dyDescent="0.25">
      <c r="A6325" s="5" t="str">
        <f t="shared" si="2666"/>
        <v>44182USD/JPY</v>
      </c>
      <c r="B6325" s="6" t="s">
        <v>20</v>
      </c>
      <c r="C6325" s="6">
        <v>103.01</v>
      </c>
      <c r="D6325" s="6">
        <v>104.24</v>
      </c>
      <c r="E6325" s="6">
        <v>103.47</v>
      </c>
      <c r="F6325" t="str">
        <f t="shared" si="2667"/>
        <v>THU</v>
      </c>
      <c r="G6325" s="1">
        <f t="shared" si="2668"/>
        <v>44182</v>
      </c>
      <c r="H6325" s="2">
        <f t="shared" ca="1" si="2669"/>
        <v>71</v>
      </c>
      <c r="I6325" t="str">
        <f t="shared" si="2670"/>
        <v>USD/JPY</v>
      </c>
      <c r="J6325">
        <f t="shared" si="2671"/>
        <v>103.01</v>
      </c>
      <c r="K6325">
        <f t="shared" si="2672"/>
        <v>104.24</v>
      </c>
      <c r="L6325">
        <f t="shared" si="2673"/>
        <v>103.625</v>
      </c>
      <c r="M6325">
        <f t="shared" si="2674"/>
        <v>0.61499999999999488</v>
      </c>
      <c r="N6325">
        <f t="shared" si="2652"/>
        <v>1.2299999999999898</v>
      </c>
      <c r="O6325">
        <f t="shared" si="2675"/>
        <v>103.47</v>
      </c>
      <c r="P6325">
        <f t="shared" si="2676"/>
        <v>-0.25203252032520718</v>
      </c>
      <c r="Q6325" t="str">
        <f t="shared" si="2653"/>
        <v>0.44% | 0.74%</v>
      </c>
      <c r="R6325" t="str">
        <f t="shared" si="2677"/>
        <v>BEARISH</v>
      </c>
      <c r="S6325">
        <f t="shared" si="2678"/>
        <v>-1</v>
      </c>
    </row>
    <row r="6326" spans="1:19" hidden="1" x14ac:dyDescent="0.25">
      <c r="A6326" s="5" t="str">
        <f t="shared" si="2666"/>
        <v>44182GBP/USD</v>
      </c>
      <c r="B6326" s="6" t="s">
        <v>102</v>
      </c>
      <c r="C6326" s="6">
        <v>1.329</v>
      </c>
      <c r="D6326" s="6">
        <v>1.3620000000000001</v>
      </c>
      <c r="E6326" s="6">
        <v>1.35</v>
      </c>
      <c r="F6326" t="str">
        <f t="shared" si="2667"/>
        <v>THU</v>
      </c>
      <c r="G6326" s="1">
        <f t="shared" si="2668"/>
        <v>44182</v>
      </c>
      <c r="H6326" s="2">
        <f t="shared" ca="1" si="2669"/>
        <v>71</v>
      </c>
      <c r="I6326" t="str">
        <f t="shared" si="2670"/>
        <v>GBP/USD</v>
      </c>
      <c r="J6326">
        <f t="shared" si="2671"/>
        <v>1.329</v>
      </c>
      <c r="K6326">
        <f t="shared" si="2672"/>
        <v>1.3620000000000001</v>
      </c>
      <c r="L6326">
        <f t="shared" si="2673"/>
        <v>1.3454999999999999</v>
      </c>
      <c r="M6326">
        <f t="shared" si="2674"/>
        <v>1.650000000000007E-2</v>
      </c>
      <c r="N6326">
        <f t="shared" si="2652"/>
        <v>3.300000000000014E-2</v>
      </c>
      <c r="O6326">
        <f t="shared" si="2675"/>
        <v>1.35</v>
      </c>
      <c r="P6326">
        <f t="shared" si="2676"/>
        <v>0.27272727272728192</v>
      </c>
      <c r="Q6326" t="str">
        <f t="shared" si="2653"/>
        <v>1.56% | 0.89%</v>
      </c>
      <c r="R6326" t="str">
        <f t="shared" si="2677"/>
        <v>BULLISH</v>
      </c>
      <c r="S6326">
        <f t="shared" si="2678"/>
        <v>1</v>
      </c>
    </row>
    <row r="6327" spans="1:19" hidden="1" x14ac:dyDescent="0.25">
      <c r="A6327" s="5" t="str">
        <f t="shared" si="2666"/>
        <v>44182CAD/USD</v>
      </c>
      <c r="B6327" s="6" t="s">
        <v>244</v>
      </c>
      <c r="C6327" s="6">
        <v>0.77</v>
      </c>
      <c r="D6327" s="6">
        <v>0.79</v>
      </c>
      <c r="E6327" s="6">
        <v>0.78</v>
      </c>
      <c r="F6327" t="str">
        <f t="shared" si="2667"/>
        <v>THU</v>
      </c>
      <c r="G6327" s="1">
        <f t="shared" si="2668"/>
        <v>44182</v>
      </c>
      <c r="H6327" s="2">
        <f t="shared" ca="1" si="2669"/>
        <v>71</v>
      </c>
      <c r="I6327" t="str">
        <f t="shared" si="2670"/>
        <v>CAD/USD</v>
      </c>
      <c r="J6327">
        <f t="shared" si="2671"/>
        <v>0.77</v>
      </c>
      <c r="K6327">
        <f t="shared" si="2672"/>
        <v>0.79</v>
      </c>
      <c r="L6327">
        <f t="shared" si="2673"/>
        <v>0.78</v>
      </c>
      <c r="M6327">
        <f t="shared" si="2674"/>
        <v>1.0000000000000009E-2</v>
      </c>
      <c r="N6327">
        <f t="shared" si="2652"/>
        <v>2.0000000000000018E-2</v>
      </c>
      <c r="O6327">
        <f t="shared" si="2675"/>
        <v>0.78</v>
      </c>
      <c r="P6327">
        <f t="shared" si="2676"/>
        <v>0</v>
      </c>
      <c r="Q6327" t="str">
        <f t="shared" si="2653"/>
        <v>1.28% | 1.28%</v>
      </c>
      <c r="R6327" t="str">
        <f t="shared" si="2677"/>
        <v>BULLISH</v>
      </c>
      <c r="S6327">
        <f t="shared" si="2678"/>
        <v>1</v>
      </c>
    </row>
    <row r="6328" spans="1:19" hidden="1" x14ac:dyDescent="0.25">
      <c r="A6328" s="5" t="str">
        <f t="shared" si="2666"/>
        <v>44182USD/CHF</v>
      </c>
      <c r="B6328" s="6" t="s">
        <v>76</v>
      </c>
      <c r="C6328" s="6">
        <v>0.87</v>
      </c>
      <c r="D6328" s="6">
        <v>0.89</v>
      </c>
      <c r="E6328" s="6">
        <v>0.88</v>
      </c>
      <c r="F6328" t="str">
        <f t="shared" si="2667"/>
        <v>THU</v>
      </c>
      <c r="G6328" s="1">
        <f t="shared" si="2668"/>
        <v>44182</v>
      </c>
      <c r="H6328" s="2">
        <f t="shared" ca="1" si="2669"/>
        <v>71</v>
      </c>
      <c r="I6328" t="str">
        <f t="shared" si="2670"/>
        <v>USD/CHF</v>
      </c>
      <c r="J6328">
        <f t="shared" si="2671"/>
        <v>0.87</v>
      </c>
      <c r="K6328">
        <f t="shared" si="2672"/>
        <v>0.89</v>
      </c>
      <c r="L6328">
        <f t="shared" si="2673"/>
        <v>0.88</v>
      </c>
      <c r="M6328">
        <f t="shared" si="2674"/>
        <v>1.0000000000000009E-2</v>
      </c>
      <c r="N6328">
        <f t="shared" si="2652"/>
        <v>2.0000000000000018E-2</v>
      </c>
      <c r="O6328">
        <f t="shared" si="2675"/>
        <v>0.88</v>
      </c>
      <c r="P6328">
        <f t="shared" si="2676"/>
        <v>0</v>
      </c>
      <c r="Q6328" t="str">
        <f t="shared" si="2653"/>
        <v>1.14% | 1.14%</v>
      </c>
      <c r="R6328" t="str">
        <f t="shared" si="2677"/>
        <v>BEARISH</v>
      </c>
      <c r="S6328">
        <f t="shared" si="2678"/>
        <v>-1</v>
      </c>
    </row>
    <row r="6329" spans="1:19" hidden="1" x14ac:dyDescent="0.25">
      <c r="A6329" s="5" t="str">
        <f t="shared" si="2666"/>
        <v>44182WTIC</v>
      </c>
      <c r="B6329" s="6" t="s">
        <v>158</v>
      </c>
      <c r="C6329" s="6">
        <v>44.98</v>
      </c>
      <c r="D6329" s="6">
        <v>48.23</v>
      </c>
      <c r="E6329" s="6">
        <v>47.82</v>
      </c>
      <c r="F6329" t="str">
        <f t="shared" si="2667"/>
        <v>THU</v>
      </c>
      <c r="G6329" s="1">
        <f t="shared" si="2668"/>
        <v>44182</v>
      </c>
      <c r="H6329" s="2">
        <f t="shared" ca="1" si="2669"/>
        <v>71</v>
      </c>
      <c r="I6329" t="str">
        <f t="shared" si="2670"/>
        <v>WTIC</v>
      </c>
      <c r="J6329">
        <f t="shared" si="2671"/>
        <v>44.98</v>
      </c>
      <c r="K6329">
        <f t="shared" si="2672"/>
        <v>48.23</v>
      </c>
      <c r="L6329">
        <f t="shared" si="2673"/>
        <v>46.604999999999997</v>
      </c>
      <c r="M6329">
        <f t="shared" si="2674"/>
        <v>1.625</v>
      </c>
      <c r="N6329">
        <f t="shared" si="2652"/>
        <v>3.25</v>
      </c>
      <c r="O6329">
        <f t="shared" si="2675"/>
        <v>47.82</v>
      </c>
      <c r="P6329">
        <f t="shared" si="2676"/>
        <v>0.74769230769230977</v>
      </c>
      <c r="Q6329" t="str">
        <f t="shared" si="2653"/>
        <v>5.94% | 0.86%</v>
      </c>
      <c r="R6329" t="str">
        <f t="shared" si="2677"/>
        <v>BULLISH</v>
      </c>
      <c r="S6329">
        <f t="shared" si="2678"/>
        <v>1</v>
      </c>
    </row>
    <row r="6330" spans="1:19" hidden="1" x14ac:dyDescent="0.25">
      <c r="A6330" s="5" t="str">
        <f t="shared" si="2666"/>
        <v>44182NATGAS</v>
      </c>
      <c r="B6330" s="6" t="s">
        <v>87</v>
      </c>
      <c r="C6330" s="6">
        <v>2.3199999999999998</v>
      </c>
      <c r="D6330" s="6">
        <v>2.79</v>
      </c>
      <c r="E6330" s="6">
        <v>2.68</v>
      </c>
      <c r="F6330" t="str">
        <f t="shared" si="2667"/>
        <v>THU</v>
      </c>
      <c r="G6330" s="1">
        <f t="shared" si="2668"/>
        <v>44182</v>
      </c>
      <c r="H6330" s="2">
        <f t="shared" ca="1" si="2669"/>
        <v>71</v>
      </c>
      <c r="I6330" t="str">
        <f t="shared" si="2670"/>
        <v>NATGAS</v>
      </c>
      <c r="J6330">
        <f t="shared" si="2671"/>
        <v>2.3199999999999998</v>
      </c>
      <c r="K6330">
        <f t="shared" si="2672"/>
        <v>2.79</v>
      </c>
      <c r="L6330">
        <f t="shared" si="2673"/>
        <v>2.5549999999999997</v>
      </c>
      <c r="M6330">
        <f t="shared" si="2674"/>
        <v>0.2350000000000001</v>
      </c>
      <c r="N6330">
        <f t="shared" si="2652"/>
        <v>0.4700000000000002</v>
      </c>
      <c r="O6330">
        <f t="shared" si="2675"/>
        <v>2.68</v>
      </c>
      <c r="P6330">
        <f t="shared" si="2676"/>
        <v>0.53191489361702293</v>
      </c>
      <c r="Q6330" t="str">
        <f t="shared" si="2653"/>
        <v>13.43% | 4.1%</v>
      </c>
      <c r="R6330" t="str">
        <f t="shared" si="2677"/>
        <v>NEUTRAL</v>
      </c>
      <c r="S6330">
        <f t="shared" si="2678"/>
        <v>0</v>
      </c>
    </row>
    <row r="6331" spans="1:19" hidden="1" x14ac:dyDescent="0.25">
      <c r="A6331" s="5" t="str">
        <f t="shared" si="2666"/>
        <v>44182GOLD</v>
      </c>
      <c r="B6331" s="6" t="s">
        <v>85</v>
      </c>
      <c r="C6331" s="6">
        <v>1811</v>
      </c>
      <c r="D6331" s="6">
        <v>1882</v>
      </c>
      <c r="E6331" s="6">
        <v>1859</v>
      </c>
      <c r="F6331" t="str">
        <f t="shared" si="2667"/>
        <v>THU</v>
      </c>
      <c r="G6331" s="1">
        <f t="shared" si="2668"/>
        <v>44182</v>
      </c>
      <c r="H6331" s="2">
        <f t="shared" ca="1" si="2669"/>
        <v>71</v>
      </c>
      <c r="I6331" t="str">
        <f t="shared" si="2670"/>
        <v>GOLD</v>
      </c>
      <c r="J6331">
        <f t="shared" si="2671"/>
        <v>1811</v>
      </c>
      <c r="K6331">
        <f t="shared" si="2672"/>
        <v>1882</v>
      </c>
      <c r="L6331">
        <f t="shared" si="2673"/>
        <v>1846.5</v>
      </c>
      <c r="M6331">
        <f t="shared" si="2674"/>
        <v>35.5</v>
      </c>
      <c r="N6331">
        <f t="shared" si="2652"/>
        <v>71</v>
      </c>
      <c r="O6331">
        <f t="shared" si="2675"/>
        <v>1859</v>
      </c>
      <c r="P6331">
        <f t="shared" si="2676"/>
        <v>0.352112676056338</v>
      </c>
      <c r="Q6331" t="str">
        <f t="shared" si="2653"/>
        <v>2.58% | 1.24%</v>
      </c>
      <c r="R6331" t="str">
        <f t="shared" si="2677"/>
        <v>BEARISH</v>
      </c>
      <c r="S6331">
        <f t="shared" si="2678"/>
        <v>-1</v>
      </c>
    </row>
    <row r="6332" spans="1:19" hidden="1" x14ac:dyDescent="0.25">
      <c r="A6332" s="5" t="str">
        <f t="shared" si="2666"/>
        <v>44182COPPER</v>
      </c>
      <c r="B6332" s="6" t="s">
        <v>100</v>
      </c>
      <c r="C6332" s="6">
        <v>3.49</v>
      </c>
      <c r="D6332" s="6">
        <v>3.6</v>
      </c>
      <c r="E6332" s="6">
        <v>3.56</v>
      </c>
      <c r="F6332" t="str">
        <f t="shared" si="2667"/>
        <v>THU</v>
      </c>
      <c r="G6332" s="1">
        <f t="shared" si="2668"/>
        <v>44182</v>
      </c>
      <c r="H6332" s="2">
        <f t="shared" ca="1" si="2669"/>
        <v>71</v>
      </c>
      <c r="I6332" t="str">
        <f t="shared" si="2670"/>
        <v>COPPER</v>
      </c>
      <c r="J6332">
        <f t="shared" si="2671"/>
        <v>3.49</v>
      </c>
      <c r="K6332">
        <f t="shared" si="2672"/>
        <v>3.6</v>
      </c>
      <c r="L6332">
        <f t="shared" si="2673"/>
        <v>3.5449999999999999</v>
      </c>
      <c r="M6332">
        <f t="shared" si="2674"/>
        <v>5.4999999999999938E-2</v>
      </c>
      <c r="N6332">
        <f t="shared" si="2652"/>
        <v>0.10999999999999988</v>
      </c>
      <c r="O6332">
        <f t="shared" si="2675"/>
        <v>3.56</v>
      </c>
      <c r="P6332">
        <f t="shared" si="2676"/>
        <v>0.27272727272727532</v>
      </c>
      <c r="Q6332" t="str">
        <f t="shared" si="2653"/>
        <v>1.97% | 1.12%</v>
      </c>
      <c r="R6332" t="str">
        <f t="shared" si="2677"/>
        <v>BULLISH</v>
      </c>
      <c r="S6332">
        <f t="shared" si="2678"/>
        <v>1</v>
      </c>
    </row>
    <row r="6333" spans="1:19" hidden="1" x14ac:dyDescent="0.25">
      <c r="A6333" s="5" t="str">
        <f t="shared" si="2666"/>
        <v>44182MSFT</v>
      </c>
      <c r="B6333" s="6" t="s">
        <v>27</v>
      </c>
      <c r="C6333" s="6">
        <v>210</v>
      </c>
      <c r="D6333" s="6">
        <v>220</v>
      </c>
      <c r="E6333" s="6">
        <v>219</v>
      </c>
      <c r="F6333" t="str">
        <f t="shared" si="2667"/>
        <v>THU</v>
      </c>
      <c r="G6333" s="1">
        <f t="shared" si="2668"/>
        <v>44182</v>
      </c>
      <c r="H6333" s="2">
        <f t="shared" ca="1" si="2669"/>
        <v>71</v>
      </c>
      <c r="I6333" t="str">
        <f t="shared" si="2670"/>
        <v>MSFT</v>
      </c>
      <c r="J6333">
        <f t="shared" si="2671"/>
        <v>210</v>
      </c>
      <c r="K6333">
        <f t="shared" si="2672"/>
        <v>220</v>
      </c>
      <c r="L6333">
        <f t="shared" si="2673"/>
        <v>215</v>
      </c>
      <c r="M6333">
        <f t="shared" si="2674"/>
        <v>5</v>
      </c>
      <c r="N6333">
        <f t="shared" si="2652"/>
        <v>10</v>
      </c>
      <c r="O6333">
        <f t="shared" si="2675"/>
        <v>219</v>
      </c>
      <c r="P6333">
        <f t="shared" si="2676"/>
        <v>0.8</v>
      </c>
      <c r="Q6333" t="str">
        <f t="shared" si="2653"/>
        <v>4.11% | 0.46%</v>
      </c>
      <c r="R6333" t="str">
        <f t="shared" si="2677"/>
        <v>BULLISH</v>
      </c>
      <c r="S6333">
        <f t="shared" si="2678"/>
        <v>1</v>
      </c>
    </row>
    <row r="6334" spans="1:19" hidden="1" x14ac:dyDescent="0.25">
      <c r="A6334" s="5" t="str">
        <f t="shared" si="2666"/>
        <v>44182AAPL</v>
      </c>
      <c r="B6334" s="6" t="s">
        <v>28</v>
      </c>
      <c r="C6334" s="6">
        <v>122</v>
      </c>
      <c r="D6334" s="6">
        <v>129</v>
      </c>
      <c r="E6334" s="6">
        <v>127</v>
      </c>
      <c r="F6334" t="str">
        <f t="shared" si="2667"/>
        <v>THU</v>
      </c>
      <c r="G6334" s="1">
        <f t="shared" si="2668"/>
        <v>44182</v>
      </c>
      <c r="H6334" s="2">
        <f t="shared" ca="1" si="2669"/>
        <v>71</v>
      </c>
      <c r="I6334" t="str">
        <f t="shared" si="2670"/>
        <v>AAPL</v>
      </c>
      <c r="J6334">
        <f t="shared" si="2671"/>
        <v>122</v>
      </c>
      <c r="K6334">
        <f t="shared" si="2672"/>
        <v>129</v>
      </c>
      <c r="L6334">
        <f t="shared" si="2673"/>
        <v>125.5</v>
      </c>
      <c r="M6334">
        <f t="shared" si="2674"/>
        <v>3.5</v>
      </c>
      <c r="N6334">
        <f t="shared" si="2652"/>
        <v>7</v>
      </c>
      <c r="O6334">
        <f t="shared" si="2675"/>
        <v>127</v>
      </c>
      <c r="P6334">
        <f t="shared" si="2676"/>
        <v>0.42857142857142855</v>
      </c>
      <c r="Q6334" t="str">
        <f t="shared" si="2653"/>
        <v>3.94% | 1.57%</v>
      </c>
      <c r="R6334" t="str">
        <f t="shared" si="2677"/>
        <v>BULLISH</v>
      </c>
      <c r="S6334">
        <f t="shared" si="2678"/>
        <v>1</v>
      </c>
    </row>
    <row r="6335" spans="1:19" hidden="1" x14ac:dyDescent="0.25">
      <c r="A6335" s="5" t="str">
        <f t="shared" si="2666"/>
        <v>44182AMZN</v>
      </c>
      <c r="B6335" s="6" t="s">
        <v>29</v>
      </c>
      <c r="C6335" s="6">
        <v>3080</v>
      </c>
      <c r="D6335" s="6">
        <v>3255</v>
      </c>
      <c r="E6335" s="6">
        <v>3240</v>
      </c>
      <c r="F6335" t="str">
        <f t="shared" si="2667"/>
        <v>THU</v>
      </c>
      <c r="G6335" s="1">
        <f t="shared" si="2668"/>
        <v>44182</v>
      </c>
      <c r="H6335" s="2">
        <f t="shared" ca="1" si="2669"/>
        <v>71</v>
      </c>
      <c r="I6335" t="str">
        <f t="shared" si="2670"/>
        <v>AMZN</v>
      </c>
      <c r="J6335">
        <f t="shared" si="2671"/>
        <v>3080</v>
      </c>
      <c r="K6335">
        <f t="shared" si="2672"/>
        <v>3255</v>
      </c>
      <c r="L6335">
        <f t="shared" si="2673"/>
        <v>3167.5</v>
      </c>
      <c r="M6335">
        <f t="shared" si="2674"/>
        <v>87.5</v>
      </c>
      <c r="N6335">
        <f t="shared" si="2652"/>
        <v>175</v>
      </c>
      <c r="O6335">
        <f t="shared" si="2675"/>
        <v>3240</v>
      </c>
      <c r="P6335">
        <f t="shared" si="2676"/>
        <v>0.82857142857142863</v>
      </c>
      <c r="Q6335" t="str">
        <f t="shared" si="2653"/>
        <v>4.94% | 0.46%</v>
      </c>
      <c r="R6335" t="str">
        <f t="shared" si="2677"/>
        <v>BULLISH</v>
      </c>
      <c r="S6335">
        <f t="shared" si="2678"/>
        <v>1</v>
      </c>
    </row>
    <row r="6336" spans="1:19" hidden="1" x14ac:dyDescent="0.25">
      <c r="A6336" s="5" t="str">
        <f t="shared" si="2666"/>
        <v>44182FB</v>
      </c>
      <c r="B6336" s="6" t="s">
        <v>30</v>
      </c>
      <c r="C6336" s="6">
        <v>270</v>
      </c>
      <c r="D6336" s="6">
        <v>286</v>
      </c>
      <c r="E6336" s="6">
        <v>275</v>
      </c>
      <c r="F6336" t="str">
        <f t="shared" si="2667"/>
        <v>THU</v>
      </c>
      <c r="G6336" s="1">
        <f t="shared" si="2668"/>
        <v>44182</v>
      </c>
      <c r="H6336" s="2">
        <f t="shared" ca="1" si="2669"/>
        <v>71</v>
      </c>
      <c r="I6336" t="str">
        <f t="shared" si="2670"/>
        <v>FB</v>
      </c>
      <c r="J6336">
        <f t="shared" si="2671"/>
        <v>270</v>
      </c>
      <c r="K6336">
        <f t="shared" si="2672"/>
        <v>286</v>
      </c>
      <c r="L6336">
        <f t="shared" si="2673"/>
        <v>278</v>
      </c>
      <c r="M6336">
        <f t="shared" si="2674"/>
        <v>8</v>
      </c>
      <c r="N6336">
        <f t="shared" si="2652"/>
        <v>16</v>
      </c>
      <c r="O6336">
        <f t="shared" si="2675"/>
        <v>275</v>
      </c>
      <c r="P6336">
        <f t="shared" si="2676"/>
        <v>-0.375</v>
      </c>
      <c r="Q6336" t="str">
        <f t="shared" si="2653"/>
        <v>1.82% | 4%</v>
      </c>
      <c r="R6336" t="str">
        <f t="shared" si="2677"/>
        <v>BULLISH</v>
      </c>
      <c r="S6336">
        <f t="shared" si="2678"/>
        <v>1</v>
      </c>
    </row>
    <row r="6337" spans="1:19" hidden="1" x14ac:dyDescent="0.25">
      <c r="A6337" s="5" t="str">
        <f t="shared" si="2666"/>
        <v>44182GOOGL</v>
      </c>
      <c r="B6337" s="6" t="s">
        <v>31</v>
      </c>
      <c r="C6337" s="6">
        <v>1730</v>
      </c>
      <c r="D6337" s="6">
        <v>1835</v>
      </c>
      <c r="E6337" s="6">
        <v>1757</v>
      </c>
      <c r="F6337" t="str">
        <f t="shared" si="2667"/>
        <v>THU</v>
      </c>
      <c r="G6337" s="1">
        <f t="shared" si="2668"/>
        <v>44182</v>
      </c>
      <c r="H6337" s="2">
        <f t="shared" ca="1" si="2669"/>
        <v>71</v>
      </c>
      <c r="I6337" t="str">
        <f t="shared" si="2670"/>
        <v>GOOGL</v>
      </c>
      <c r="J6337">
        <f t="shared" si="2671"/>
        <v>1730</v>
      </c>
      <c r="K6337">
        <f t="shared" si="2672"/>
        <v>1835</v>
      </c>
      <c r="L6337">
        <f t="shared" si="2673"/>
        <v>1782.5</v>
      </c>
      <c r="M6337">
        <f t="shared" si="2674"/>
        <v>52.5</v>
      </c>
      <c r="N6337">
        <f t="shared" si="2652"/>
        <v>105</v>
      </c>
      <c r="O6337">
        <f t="shared" si="2675"/>
        <v>1757</v>
      </c>
      <c r="P6337">
        <f t="shared" si="2676"/>
        <v>-0.48571428571428571</v>
      </c>
      <c r="Q6337" t="str">
        <f t="shared" si="2653"/>
        <v>1.54% | 4.44%</v>
      </c>
      <c r="R6337" t="str">
        <f t="shared" si="2677"/>
        <v>BULLISH</v>
      </c>
      <c r="S6337">
        <f t="shared" si="2678"/>
        <v>1</v>
      </c>
    </row>
    <row r="6338" spans="1:19" hidden="1" x14ac:dyDescent="0.25">
      <c r="A6338" s="5" t="str">
        <f t="shared" si="2666"/>
        <v>44182NFLX</v>
      </c>
      <c r="B6338" s="6" t="s">
        <v>70</v>
      </c>
      <c r="C6338" s="6">
        <v>487</v>
      </c>
      <c r="D6338" s="6">
        <v>533</v>
      </c>
      <c r="E6338" s="6">
        <v>524</v>
      </c>
      <c r="F6338" t="str">
        <f t="shared" si="2667"/>
        <v>THU</v>
      </c>
      <c r="G6338" s="1">
        <f t="shared" si="2668"/>
        <v>44182</v>
      </c>
      <c r="H6338" s="2">
        <f t="shared" ca="1" si="2669"/>
        <v>71</v>
      </c>
      <c r="I6338" t="str">
        <f t="shared" si="2670"/>
        <v>NFLX</v>
      </c>
      <c r="J6338">
        <f t="shared" si="2671"/>
        <v>487</v>
      </c>
      <c r="K6338">
        <f t="shared" si="2672"/>
        <v>533</v>
      </c>
      <c r="L6338">
        <f t="shared" si="2673"/>
        <v>510</v>
      </c>
      <c r="M6338">
        <f t="shared" si="2674"/>
        <v>23</v>
      </c>
      <c r="N6338">
        <f t="shared" si="2652"/>
        <v>46</v>
      </c>
      <c r="O6338">
        <f t="shared" si="2675"/>
        <v>524</v>
      </c>
      <c r="P6338">
        <f t="shared" si="2676"/>
        <v>0.60869565217391308</v>
      </c>
      <c r="Q6338" t="str">
        <f t="shared" si="2653"/>
        <v>7.06% | 1.72%</v>
      </c>
      <c r="R6338" t="str">
        <f t="shared" si="2677"/>
        <v>NEUTRAL</v>
      </c>
      <c r="S6338">
        <f t="shared" si="2678"/>
        <v>0</v>
      </c>
    </row>
    <row r="6339" spans="1:19" x14ac:dyDescent="0.25">
      <c r="A6339" s="5" t="str">
        <f t="shared" si="2666"/>
        <v>44182TSLA</v>
      </c>
      <c r="B6339" s="6" t="s">
        <v>33</v>
      </c>
      <c r="C6339" s="6">
        <v>590</v>
      </c>
      <c r="D6339" s="6">
        <v>660</v>
      </c>
      <c r="E6339" s="6">
        <v>622</v>
      </c>
      <c r="F6339" t="str">
        <f t="shared" si="2667"/>
        <v>THU</v>
      </c>
      <c r="G6339" s="1">
        <f t="shared" si="2668"/>
        <v>44182</v>
      </c>
      <c r="H6339" s="2">
        <f t="shared" ca="1" si="2669"/>
        <v>71</v>
      </c>
      <c r="I6339" t="str">
        <f t="shared" si="2670"/>
        <v>TSLA</v>
      </c>
      <c r="J6339">
        <f t="shared" si="2671"/>
        <v>590</v>
      </c>
      <c r="K6339">
        <f t="shared" si="2672"/>
        <v>660</v>
      </c>
      <c r="L6339">
        <f t="shared" si="2673"/>
        <v>625</v>
      </c>
      <c r="M6339">
        <f t="shared" si="2674"/>
        <v>35</v>
      </c>
      <c r="N6339">
        <f t="shared" ref="N6339:N6402" si="2679">ABS(K6339-J6339)</f>
        <v>70</v>
      </c>
      <c r="O6339">
        <f t="shared" si="2675"/>
        <v>622</v>
      </c>
      <c r="P6339">
        <f t="shared" si="2676"/>
        <v>-8.5714285714285715E-2</v>
      </c>
      <c r="Q6339" t="str">
        <f t="shared" ref="Q6339:Q6402" si="2680">ROUND(ABS(100*(O6339-J6339)/O6339),2)&amp;"% | "&amp;ROUND(ABS(100*(K6339-O6339)/O6339),2)&amp;"%"</f>
        <v>5.14% | 6.11%</v>
      </c>
      <c r="R6339" t="str">
        <f t="shared" si="2677"/>
        <v>BULLISH</v>
      </c>
      <c r="S6339">
        <f t="shared" si="2678"/>
        <v>1</v>
      </c>
    </row>
    <row r="6340" spans="1:19" hidden="1" x14ac:dyDescent="0.25">
      <c r="A6340" s="5" t="str">
        <f t="shared" si="2666"/>
        <v>44182NYXBT</v>
      </c>
      <c r="B6340" s="6" t="s">
        <v>60</v>
      </c>
      <c r="C6340" s="6">
        <v>18905</v>
      </c>
      <c r="D6340" s="6">
        <v>23053</v>
      </c>
      <c r="E6340" s="6">
        <v>20669</v>
      </c>
      <c r="F6340" t="str">
        <f t="shared" si="2667"/>
        <v>THU</v>
      </c>
      <c r="G6340" s="1">
        <f t="shared" si="2668"/>
        <v>44182</v>
      </c>
      <c r="H6340" s="2">
        <f t="shared" ca="1" si="2669"/>
        <v>71</v>
      </c>
      <c r="I6340" t="str">
        <f t="shared" si="2670"/>
        <v>NYXBT</v>
      </c>
      <c r="J6340">
        <f t="shared" si="2671"/>
        <v>18905</v>
      </c>
      <c r="K6340">
        <f t="shared" si="2672"/>
        <v>23053</v>
      </c>
      <c r="L6340">
        <f t="shared" si="2673"/>
        <v>20979</v>
      </c>
      <c r="M6340">
        <f t="shared" si="2674"/>
        <v>2074</v>
      </c>
      <c r="N6340">
        <f t="shared" si="2679"/>
        <v>4148</v>
      </c>
      <c r="O6340">
        <f t="shared" si="2675"/>
        <v>20669</v>
      </c>
      <c r="P6340">
        <f t="shared" si="2676"/>
        <v>-0.14946962391513982</v>
      </c>
      <c r="Q6340" t="str">
        <f t="shared" si="2680"/>
        <v>8.53% | 11.53%</v>
      </c>
      <c r="R6340" t="str">
        <f t="shared" si="2677"/>
        <v>BULLISH</v>
      </c>
      <c r="S6340">
        <f t="shared" si="2678"/>
        <v>1</v>
      </c>
    </row>
    <row r="6341" spans="1:19" hidden="1" x14ac:dyDescent="0.25">
      <c r="A6341" s="5" t="str">
        <f t="shared" si="2666"/>
        <v>44183UST10Y</v>
      </c>
      <c r="B6341" s="6" t="s">
        <v>257</v>
      </c>
      <c r="C6341" s="6">
        <v>0.98</v>
      </c>
      <c r="D6341" s="6">
        <v>0.89</v>
      </c>
      <c r="E6341" s="6">
        <v>0.94</v>
      </c>
      <c r="F6341" t="str">
        <f t="shared" si="2667"/>
        <v>FRI</v>
      </c>
      <c r="G6341" s="3">
        <f>DATE(2020,12,18)</f>
        <v>44183</v>
      </c>
      <c r="H6341" s="2">
        <f t="shared" ca="1" si="2669"/>
        <v>70</v>
      </c>
      <c r="I6341" t="str">
        <f t="shared" si="2670"/>
        <v>UST10Y</v>
      </c>
      <c r="J6341">
        <f t="shared" si="2671"/>
        <v>0.98</v>
      </c>
      <c r="K6341">
        <f t="shared" si="2672"/>
        <v>0.89</v>
      </c>
      <c r="L6341">
        <f t="shared" si="2673"/>
        <v>0.93500000000000005</v>
      </c>
      <c r="M6341">
        <f t="shared" si="2674"/>
        <v>4.4999999999999991E-2</v>
      </c>
      <c r="N6341">
        <f t="shared" si="2679"/>
        <v>8.9999999999999969E-2</v>
      </c>
      <c r="O6341">
        <f t="shared" si="2675"/>
        <v>0.94</v>
      </c>
      <c r="P6341">
        <f t="shared" si="2676"/>
        <v>0.11111111111110876</v>
      </c>
      <c r="Q6341" t="str">
        <f t="shared" si="2680"/>
        <v>4.26% | 5.32%</v>
      </c>
      <c r="R6341" t="str">
        <f t="shared" si="2677"/>
        <v>BULLISH</v>
      </c>
      <c r="S6341">
        <f t="shared" si="2678"/>
        <v>1</v>
      </c>
    </row>
    <row r="6342" spans="1:19" hidden="1" x14ac:dyDescent="0.25">
      <c r="A6342" s="5" t="str">
        <f t="shared" si="2666"/>
        <v>44183UST2Y</v>
      </c>
      <c r="B6342" s="6" t="s">
        <v>253</v>
      </c>
      <c r="C6342" s="6">
        <v>0.17</v>
      </c>
      <c r="D6342" s="6">
        <v>0.11</v>
      </c>
      <c r="E6342" s="6">
        <v>0.13</v>
      </c>
      <c r="F6342" t="str">
        <f t="shared" ref="F6342:F6373" si="2681">UPPER(TEXT(G6342,"ddd"))</f>
        <v>FRI</v>
      </c>
      <c r="G6342" s="3">
        <f t="shared" ref="G6342:G6372" si="2682">DATE(2020,12,18)</f>
        <v>44183</v>
      </c>
      <c r="H6342" s="2">
        <f t="shared" ref="H6342:H6373" ca="1" si="2683">TODAY()-G6342</f>
        <v>70</v>
      </c>
      <c r="I6342" t="str">
        <f t="shared" ref="I6342:I6373" si="2684">TRIM(LEFT(B6342,FIND(" ",B6342,1)))</f>
        <v>UST2Y</v>
      </c>
      <c r="J6342">
        <f t="shared" ref="J6342:J6373" si="2685">C6342</f>
        <v>0.17</v>
      </c>
      <c r="K6342">
        <f t="shared" ref="K6342:K6373" si="2686">D6342</f>
        <v>0.11</v>
      </c>
      <c r="L6342">
        <f t="shared" ref="L6342:L6373" si="2687">AVERAGE(J6342:K6342)</f>
        <v>0.14000000000000001</v>
      </c>
      <c r="M6342">
        <f t="shared" ref="M6342:M6373" si="2688">_xlfn.STDEV.P(J6342:K6342)</f>
        <v>3.0000000000000023E-2</v>
      </c>
      <c r="N6342">
        <f t="shared" si="2679"/>
        <v>6.0000000000000012E-2</v>
      </c>
      <c r="O6342">
        <f t="shared" ref="O6342:O6373" si="2689">E6342</f>
        <v>0.13</v>
      </c>
      <c r="P6342">
        <f t="shared" ref="P6342:P6373" si="2690">(O6342-L6342)/M6342</f>
        <v>-0.33333333333333337</v>
      </c>
      <c r="Q6342" t="str">
        <f t="shared" si="2680"/>
        <v>30.77% | 15.38%</v>
      </c>
      <c r="R6342" t="str">
        <f t="shared" ref="R6342:R6373" si="2691">MID(B6342,FIND("(",B6342,1)+1,FIND(")",B6342,1)-FIND("(",B6342,1)-1)</f>
        <v>NEUTRAL</v>
      </c>
      <c r="S6342">
        <f t="shared" ref="S6342:S6373" si="2692">IF(R6342="BEARISH",-1,IF(R6342="NEUTRAL",0,IF(R6342="BULLISH",1,99)))</f>
        <v>0</v>
      </c>
    </row>
    <row r="6343" spans="1:19" hidden="1" x14ac:dyDescent="0.25">
      <c r="A6343" s="5" t="str">
        <f t="shared" si="2666"/>
        <v>44183SPX</v>
      </c>
      <c r="B6343" s="6" t="s">
        <v>93</v>
      </c>
      <c r="C6343" s="6">
        <v>3641</v>
      </c>
      <c r="D6343" s="6">
        <v>3732</v>
      </c>
      <c r="E6343" s="6">
        <v>3722</v>
      </c>
      <c r="F6343" t="str">
        <f t="shared" si="2681"/>
        <v>FRI</v>
      </c>
      <c r="G6343" s="3">
        <f t="shared" si="2682"/>
        <v>44183</v>
      </c>
      <c r="H6343" s="2">
        <f t="shared" ca="1" si="2683"/>
        <v>70</v>
      </c>
      <c r="I6343" t="str">
        <f t="shared" si="2684"/>
        <v>SPX</v>
      </c>
      <c r="J6343">
        <f t="shared" si="2685"/>
        <v>3641</v>
      </c>
      <c r="K6343">
        <f t="shared" si="2686"/>
        <v>3732</v>
      </c>
      <c r="L6343">
        <f t="shared" si="2687"/>
        <v>3686.5</v>
      </c>
      <c r="M6343">
        <f t="shared" si="2688"/>
        <v>45.5</v>
      </c>
      <c r="N6343">
        <f t="shared" si="2679"/>
        <v>91</v>
      </c>
      <c r="O6343">
        <f t="shared" si="2689"/>
        <v>3722</v>
      </c>
      <c r="P6343">
        <f t="shared" si="2690"/>
        <v>0.78021978021978022</v>
      </c>
      <c r="Q6343" t="str">
        <f t="shared" si="2680"/>
        <v>2.18% | 0.27%</v>
      </c>
      <c r="R6343" t="str">
        <f t="shared" si="2691"/>
        <v>BULLISH</v>
      </c>
      <c r="S6343">
        <f t="shared" si="2692"/>
        <v>1</v>
      </c>
    </row>
    <row r="6344" spans="1:19" hidden="1" x14ac:dyDescent="0.25">
      <c r="A6344" s="5" t="str">
        <f t="shared" ref="A6344:A6407" si="2693">G6344&amp;I6344</f>
        <v>44183RUT</v>
      </c>
      <c r="B6344" s="6" t="s">
        <v>247</v>
      </c>
      <c r="C6344" s="6">
        <v>1888</v>
      </c>
      <c r="D6344" s="6">
        <v>1989</v>
      </c>
      <c r="E6344" s="6">
        <v>1978</v>
      </c>
      <c r="F6344" t="str">
        <f t="shared" si="2681"/>
        <v>FRI</v>
      </c>
      <c r="G6344" s="3">
        <f t="shared" si="2682"/>
        <v>44183</v>
      </c>
      <c r="H6344" s="2">
        <f t="shared" ca="1" si="2683"/>
        <v>70</v>
      </c>
      <c r="I6344" t="str">
        <f t="shared" si="2684"/>
        <v>RUT</v>
      </c>
      <c r="J6344">
        <f t="shared" si="2685"/>
        <v>1888</v>
      </c>
      <c r="K6344">
        <f t="shared" si="2686"/>
        <v>1989</v>
      </c>
      <c r="L6344">
        <f t="shared" si="2687"/>
        <v>1938.5</v>
      </c>
      <c r="M6344">
        <f t="shared" si="2688"/>
        <v>50.5</v>
      </c>
      <c r="N6344">
        <f t="shared" si="2679"/>
        <v>101</v>
      </c>
      <c r="O6344">
        <f t="shared" si="2689"/>
        <v>1978</v>
      </c>
      <c r="P6344">
        <f t="shared" si="2690"/>
        <v>0.78217821782178221</v>
      </c>
      <c r="Q6344" t="str">
        <f t="shared" si="2680"/>
        <v>4.55% | 0.56%</v>
      </c>
      <c r="R6344" t="str">
        <f t="shared" si="2691"/>
        <v>BULLISH</v>
      </c>
      <c r="S6344">
        <f t="shared" si="2692"/>
        <v>1</v>
      </c>
    </row>
    <row r="6345" spans="1:19" hidden="1" x14ac:dyDescent="0.25">
      <c r="A6345" s="5" t="str">
        <f t="shared" si="2693"/>
        <v>44183COMPQ</v>
      </c>
      <c r="B6345" s="6" t="s">
        <v>8</v>
      </c>
      <c r="C6345" s="6">
        <v>12251</v>
      </c>
      <c r="D6345" s="6">
        <v>12797</v>
      </c>
      <c r="E6345" s="6">
        <v>12764</v>
      </c>
      <c r="F6345" t="str">
        <f t="shared" si="2681"/>
        <v>FRI</v>
      </c>
      <c r="G6345" s="3">
        <f t="shared" si="2682"/>
        <v>44183</v>
      </c>
      <c r="H6345" s="2">
        <f t="shared" ca="1" si="2683"/>
        <v>70</v>
      </c>
      <c r="I6345" t="str">
        <f t="shared" si="2684"/>
        <v>COMPQ</v>
      </c>
      <c r="J6345">
        <f t="shared" si="2685"/>
        <v>12251</v>
      </c>
      <c r="K6345">
        <f t="shared" si="2686"/>
        <v>12797</v>
      </c>
      <c r="L6345">
        <f t="shared" si="2687"/>
        <v>12524</v>
      </c>
      <c r="M6345">
        <f t="shared" si="2688"/>
        <v>273</v>
      </c>
      <c r="N6345">
        <f t="shared" si="2679"/>
        <v>546</v>
      </c>
      <c r="O6345">
        <f t="shared" si="2689"/>
        <v>12764</v>
      </c>
      <c r="P6345">
        <f t="shared" si="2690"/>
        <v>0.87912087912087911</v>
      </c>
      <c r="Q6345" t="str">
        <f t="shared" si="2680"/>
        <v>4.02% | 0.26%</v>
      </c>
      <c r="R6345" t="str">
        <f t="shared" si="2691"/>
        <v>BULLISH</v>
      </c>
      <c r="S6345">
        <f t="shared" si="2692"/>
        <v>1</v>
      </c>
    </row>
    <row r="6346" spans="1:19" hidden="1" x14ac:dyDescent="0.25">
      <c r="A6346" s="5" t="str">
        <f t="shared" si="2693"/>
        <v>44183XLK</v>
      </c>
      <c r="B6346" s="6" t="s">
        <v>10</v>
      </c>
      <c r="C6346" s="6">
        <v>123.78</v>
      </c>
      <c r="D6346" s="6">
        <v>129.29</v>
      </c>
      <c r="E6346" s="6">
        <v>128.69999999999999</v>
      </c>
      <c r="F6346" t="str">
        <f t="shared" si="2681"/>
        <v>FRI</v>
      </c>
      <c r="G6346" s="3">
        <f t="shared" si="2682"/>
        <v>44183</v>
      </c>
      <c r="H6346" s="2">
        <f t="shared" ca="1" si="2683"/>
        <v>70</v>
      </c>
      <c r="I6346" t="str">
        <f t="shared" si="2684"/>
        <v>XLK</v>
      </c>
      <c r="J6346">
        <f t="shared" si="2685"/>
        <v>123.78</v>
      </c>
      <c r="K6346">
        <f t="shared" si="2686"/>
        <v>129.29</v>
      </c>
      <c r="L6346">
        <f t="shared" si="2687"/>
        <v>126.535</v>
      </c>
      <c r="M6346">
        <f t="shared" si="2688"/>
        <v>2.7549999999999955</v>
      </c>
      <c r="N6346">
        <f t="shared" si="2679"/>
        <v>5.5099999999999909</v>
      </c>
      <c r="O6346">
        <f t="shared" si="2689"/>
        <v>128.69999999999999</v>
      </c>
      <c r="P6346">
        <f t="shared" si="2690"/>
        <v>0.785843920145189</v>
      </c>
      <c r="Q6346" t="str">
        <f t="shared" si="2680"/>
        <v>3.82% | 0.46%</v>
      </c>
      <c r="R6346" t="str">
        <f t="shared" si="2691"/>
        <v>BULLISH</v>
      </c>
      <c r="S6346">
        <f t="shared" si="2692"/>
        <v>1</v>
      </c>
    </row>
    <row r="6347" spans="1:19" hidden="1" x14ac:dyDescent="0.25">
      <c r="A6347" s="5" t="str">
        <f t="shared" si="2693"/>
        <v>44183XLE</v>
      </c>
      <c r="B6347" s="6" t="s">
        <v>250</v>
      </c>
      <c r="C6347" s="6">
        <v>39.11</v>
      </c>
      <c r="D6347" s="6">
        <v>41.87</v>
      </c>
      <c r="E6347" s="6">
        <v>40.07</v>
      </c>
      <c r="F6347" t="str">
        <f t="shared" si="2681"/>
        <v>FRI</v>
      </c>
      <c r="G6347" s="3">
        <f t="shared" si="2682"/>
        <v>44183</v>
      </c>
      <c r="H6347" s="2">
        <f t="shared" ca="1" si="2683"/>
        <v>70</v>
      </c>
      <c r="I6347" t="str">
        <f t="shared" si="2684"/>
        <v>XLE</v>
      </c>
      <c r="J6347">
        <f t="shared" si="2685"/>
        <v>39.11</v>
      </c>
      <c r="K6347">
        <f t="shared" si="2686"/>
        <v>41.87</v>
      </c>
      <c r="L6347">
        <f t="shared" si="2687"/>
        <v>40.489999999999995</v>
      </c>
      <c r="M6347">
        <f t="shared" si="2688"/>
        <v>1.379999999999999</v>
      </c>
      <c r="N6347">
        <f t="shared" si="2679"/>
        <v>2.759999999999998</v>
      </c>
      <c r="O6347">
        <f t="shared" si="2689"/>
        <v>40.07</v>
      </c>
      <c r="P6347">
        <f t="shared" si="2690"/>
        <v>-0.30434782608695282</v>
      </c>
      <c r="Q6347" t="str">
        <f t="shared" si="2680"/>
        <v>2.4% | 4.49%</v>
      </c>
      <c r="R6347" t="str">
        <f t="shared" si="2691"/>
        <v>BULLISH</v>
      </c>
      <c r="S6347">
        <f t="shared" si="2692"/>
        <v>1</v>
      </c>
    </row>
    <row r="6348" spans="1:19" hidden="1" x14ac:dyDescent="0.25">
      <c r="A6348" s="5" t="str">
        <f t="shared" si="2693"/>
        <v>44183XLF</v>
      </c>
      <c r="B6348" s="6" t="s">
        <v>258</v>
      </c>
      <c r="C6348" s="6">
        <v>28.13</v>
      </c>
      <c r="D6348" s="6">
        <v>29.12</v>
      </c>
      <c r="E6348" s="6">
        <v>28.74</v>
      </c>
      <c r="F6348" t="str">
        <f t="shared" si="2681"/>
        <v>FRI</v>
      </c>
      <c r="G6348" s="3">
        <f t="shared" si="2682"/>
        <v>44183</v>
      </c>
      <c r="H6348" s="2">
        <f t="shared" ca="1" si="2683"/>
        <v>70</v>
      </c>
      <c r="I6348" t="str">
        <f t="shared" si="2684"/>
        <v>XLF</v>
      </c>
      <c r="J6348">
        <f t="shared" si="2685"/>
        <v>28.13</v>
      </c>
      <c r="K6348">
        <f t="shared" si="2686"/>
        <v>29.12</v>
      </c>
      <c r="L6348">
        <f t="shared" si="2687"/>
        <v>28.625</v>
      </c>
      <c r="M6348">
        <f t="shared" si="2688"/>
        <v>0.49500000000000099</v>
      </c>
      <c r="N6348">
        <f t="shared" si="2679"/>
        <v>0.99000000000000199</v>
      </c>
      <c r="O6348">
        <f t="shared" si="2689"/>
        <v>28.74</v>
      </c>
      <c r="P6348">
        <f t="shared" si="2690"/>
        <v>0.23232323232322871</v>
      </c>
      <c r="Q6348" t="str">
        <f t="shared" si="2680"/>
        <v>2.12% | 1.32%</v>
      </c>
      <c r="R6348" t="str">
        <f t="shared" si="2691"/>
        <v>BULLISH</v>
      </c>
      <c r="S6348">
        <f t="shared" si="2692"/>
        <v>1</v>
      </c>
    </row>
    <row r="6349" spans="1:19" hidden="1" x14ac:dyDescent="0.25">
      <c r="A6349" s="5" t="str">
        <f t="shared" si="2693"/>
        <v>44183XLU</v>
      </c>
      <c r="B6349" s="6" t="s">
        <v>82</v>
      </c>
      <c r="C6349" s="6">
        <v>61.69</v>
      </c>
      <c r="D6349" s="6">
        <v>63.34</v>
      </c>
      <c r="E6349" s="6">
        <v>62.83</v>
      </c>
      <c r="F6349" t="str">
        <f t="shared" si="2681"/>
        <v>FRI</v>
      </c>
      <c r="G6349" s="3">
        <f t="shared" si="2682"/>
        <v>44183</v>
      </c>
      <c r="H6349" s="2">
        <f t="shared" ca="1" si="2683"/>
        <v>70</v>
      </c>
      <c r="I6349" t="str">
        <f t="shared" si="2684"/>
        <v>XLU</v>
      </c>
      <c r="J6349">
        <f t="shared" si="2685"/>
        <v>61.69</v>
      </c>
      <c r="K6349">
        <f t="shared" si="2686"/>
        <v>63.34</v>
      </c>
      <c r="L6349">
        <f t="shared" si="2687"/>
        <v>62.515000000000001</v>
      </c>
      <c r="M6349">
        <f t="shared" si="2688"/>
        <v>0.82500000000000284</v>
      </c>
      <c r="N6349">
        <f t="shared" si="2679"/>
        <v>1.6500000000000057</v>
      </c>
      <c r="O6349">
        <f t="shared" si="2689"/>
        <v>62.83</v>
      </c>
      <c r="P6349">
        <f t="shared" si="2690"/>
        <v>0.38181818181817773</v>
      </c>
      <c r="Q6349" t="str">
        <f t="shared" si="2680"/>
        <v>1.81% | 0.81%</v>
      </c>
      <c r="R6349" t="str">
        <f t="shared" si="2691"/>
        <v>BEARISH</v>
      </c>
      <c r="S6349">
        <f t="shared" si="2692"/>
        <v>-1</v>
      </c>
    </row>
    <row r="6350" spans="1:19" hidden="1" x14ac:dyDescent="0.25">
      <c r="A6350" s="5" t="str">
        <f t="shared" si="2693"/>
        <v>44183GDX</v>
      </c>
      <c r="B6350" s="6" t="s">
        <v>254</v>
      </c>
      <c r="C6350" s="6">
        <v>33.880000000000003</v>
      </c>
      <c r="D6350" s="6">
        <v>37.5</v>
      </c>
      <c r="E6350" s="6">
        <v>37.29</v>
      </c>
      <c r="F6350" t="str">
        <f t="shared" si="2681"/>
        <v>FRI</v>
      </c>
      <c r="G6350" s="3">
        <f t="shared" si="2682"/>
        <v>44183</v>
      </c>
      <c r="H6350" s="2">
        <f t="shared" ca="1" si="2683"/>
        <v>70</v>
      </c>
      <c r="I6350" t="str">
        <f t="shared" si="2684"/>
        <v>GDX</v>
      </c>
      <c r="J6350">
        <f t="shared" si="2685"/>
        <v>33.880000000000003</v>
      </c>
      <c r="K6350">
        <f t="shared" si="2686"/>
        <v>37.5</v>
      </c>
      <c r="L6350">
        <f t="shared" si="2687"/>
        <v>35.69</v>
      </c>
      <c r="M6350">
        <f t="shared" si="2688"/>
        <v>1.8099999999999987</v>
      </c>
      <c r="N6350">
        <f t="shared" si="2679"/>
        <v>3.6199999999999974</v>
      </c>
      <c r="O6350">
        <f t="shared" si="2689"/>
        <v>37.29</v>
      </c>
      <c r="P6350">
        <f t="shared" si="2690"/>
        <v>0.88397790055248759</v>
      </c>
      <c r="Q6350" t="str">
        <f t="shared" si="2680"/>
        <v>9.14% | 0.56%</v>
      </c>
      <c r="R6350" t="str">
        <f t="shared" si="2691"/>
        <v>BEARISH</v>
      </c>
      <c r="S6350">
        <f t="shared" si="2692"/>
        <v>-1</v>
      </c>
    </row>
    <row r="6351" spans="1:19" hidden="1" x14ac:dyDescent="0.25">
      <c r="A6351" s="5" t="str">
        <f t="shared" si="2693"/>
        <v>44183SSEC</v>
      </c>
      <c r="B6351" s="6" t="s">
        <v>104</v>
      </c>
      <c r="C6351" s="6">
        <v>3326</v>
      </c>
      <c r="D6351" s="6">
        <v>3431</v>
      </c>
      <c r="E6351" s="6">
        <v>3394</v>
      </c>
      <c r="F6351" t="str">
        <f t="shared" si="2681"/>
        <v>FRI</v>
      </c>
      <c r="G6351" s="3">
        <f t="shared" si="2682"/>
        <v>44183</v>
      </c>
      <c r="H6351" s="2">
        <f t="shared" ca="1" si="2683"/>
        <v>70</v>
      </c>
      <c r="I6351" t="str">
        <f t="shared" si="2684"/>
        <v>SSEC</v>
      </c>
      <c r="J6351">
        <f t="shared" si="2685"/>
        <v>3326</v>
      </c>
      <c r="K6351">
        <f t="shared" si="2686"/>
        <v>3431</v>
      </c>
      <c r="L6351">
        <f t="shared" si="2687"/>
        <v>3378.5</v>
      </c>
      <c r="M6351">
        <f t="shared" si="2688"/>
        <v>52.5</v>
      </c>
      <c r="N6351">
        <f t="shared" si="2679"/>
        <v>105</v>
      </c>
      <c r="O6351">
        <f t="shared" si="2689"/>
        <v>3394</v>
      </c>
      <c r="P6351">
        <f t="shared" si="2690"/>
        <v>0.29523809523809524</v>
      </c>
      <c r="Q6351" t="str">
        <f t="shared" si="2680"/>
        <v>2% | 1.09%</v>
      </c>
      <c r="R6351" t="str">
        <f t="shared" si="2691"/>
        <v>BULLISH</v>
      </c>
      <c r="S6351">
        <f t="shared" si="2692"/>
        <v>1</v>
      </c>
    </row>
    <row r="6352" spans="1:19" hidden="1" x14ac:dyDescent="0.25">
      <c r="A6352" s="5" t="str">
        <f t="shared" si="2693"/>
        <v>44183NIKK</v>
      </c>
      <c r="B6352" s="6" t="s">
        <v>91</v>
      </c>
      <c r="C6352" s="6">
        <v>26465</v>
      </c>
      <c r="D6352" s="6">
        <v>26916</v>
      </c>
      <c r="E6352" s="6">
        <v>26763</v>
      </c>
      <c r="F6352" t="str">
        <f t="shared" si="2681"/>
        <v>FRI</v>
      </c>
      <c r="G6352" s="3">
        <f t="shared" si="2682"/>
        <v>44183</v>
      </c>
      <c r="H6352" s="2">
        <f t="shared" ca="1" si="2683"/>
        <v>70</v>
      </c>
      <c r="I6352" t="str">
        <f t="shared" si="2684"/>
        <v>NIKK</v>
      </c>
      <c r="J6352">
        <f t="shared" si="2685"/>
        <v>26465</v>
      </c>
      <c r="K6352">
        <f t="shared" si="2686"/>
        <v>26916</v>
      </c>
      <c r="L6352">
        <f t="shared" si="2687"/>
        <v>26690.5</v>
      </c>
      <c r="M6352">
        <f t="shared" si="2688"/>
        <v>225.5</v>
      </c>
      <c r="N6352">
        <f t="shared" si="2679"/>
        <v>451</v>
      </c>
      <c r="O6352">
        <f t="shared" si="2689"/>
        <v>26763</v>
      </c>
      <c r="P6352">
        <f t="shared" si="2690"/>
        <v>0.3215077605321508</v>
      </c>
      <c r="Q6352" t="str">
        <f t="shared" si="2680"/>
        <v>1.11% | 0.57%</v>
      </c>
      <c r="R6352" t="str">
        <f t="shared" si="2691"/>
        <v>BULLISH</v>
      </c>
      <c r="S6352">
        <f t="shared" si="2692"/>
        <v>1</v>
      </c>
    </row>
    <row r="6353" spans="1:19" hidden="1" x14ac:dyDescent="0.25">
      <c r="A6353" s="5" t="str">
        <f t="shared" si="2693"/>
        <v>44183DAX</v>
      </c>
      <c r="B6353" s="6" t="s">
        <v>98</v>
      </c>
      <c r="C6353" s="6">
        <v>13208</v>
      </c>
      <c r="D6353" s="6">
        <v>13701</v>
      </c>
      <c r="E6353" s="6">
        <v>13667</v>
      </c>
      <c r="F6353" t="str">
        <f t="shared" si="2681"/>
        <v>FRI</v>
      </c>
      <c r="G6353" s="3">
        <f t="shared" si="2682"/>
        <v>44183</v>
      </c>
      <c r="H6353" s="2">
        <f t="shared" ca="1" si="2683"/>
        <v>70</v>
      </c>
      <c r="I6353" t="str">
        <f t="shared" si="2684"/>
        <v>DAX</v>
      </c>
      <c r="J6353">
        <f t="shared" si="2685"/>
        <v>13208</v>
      </c>
      <c r="K6353">
        <f t="shared" si="2686"/>
        <v>13701</v>
      </c>
      <c r="L6353">
        <f t="shared" si="2687"/>
        <v>13454.5</v>
      </c>
      <c r="M6353">
        <f t="shared" si="2688"/>
        <v>246.5</v>
      </c>
      <c r="N6353">
        <f t="shared" si="2679"/>
        <v>493</v>
      </c>
      <c r="O6353">
        <f t="shared" si="2689"/>
        <v>13667</v>
      </c>
      <c r="P6353">
        <f t="shared" si="2690"/>
        <v>0.86206896551724133</v>
      </c>
      <c r="Q6353" t="str">
        <f t="shared" si="2680"/>
        <v>3.36% | 0.25%</v>
      </c>
      <c r="R6353" t="str">
        <f t="shared" si="2691"/>
        <v>BULLISH</v>
      </c>
      <c r="S6353">
        <f t="shared" si="2692"/>
        <v>1</v>
      </c>
    </row>
    <row r="6354" spans="1:19" hidden="1" x14ac:dyDescent="0.25">
      <c r="A6354" s="5" t="str">
        <f t="shared" si="2693"/>
        <v>44183VIX</v>
      </c>
      <c r="B6354" s="6" t="s">
        <v>96</v>
      </c>
      <c r="C6354" s="6">
        <v>20.16</v>
      </c>
      <c r="D6354" s="6">
        <v>24.75</v>
      </c>
      <c r="E6354" s="6">
        <v>21.93</v>
      </c>
      <c r="F6354" t="str">
        <f t="shared" si="2681"/>
        <v>FRI</v>
      </c>
      <c r="G6354" s="3">
        <f t="shared" si="2682"/>
        <v>44183</v>
      </c>
      <c r="H6354" s="2">
        <f t="shared" ca="1" si="2683"/>
        <v>70</v>
      </c>
      <c r="I6354" t="str">
        <f t="shared" si="2684"/>
        <v>VIX</v>
      </c>
      <c r="J6354">
        <f t="shared" si="2685"/>
        <v>20.16</v>
      </c>
      <c r="K6354">
        <f t="shared" si="2686"/>
        <v>24.75</v>
      </c>
      <c r="L6354">
        <f t="shared" si="2687"/>
        <v>22.454999999999998</v>
      </c>
      <c r="M6354">
        <f t="shared" si="2688"/>
        <v>2.2950000000000226</v>
      </c>
      <c r="N6354">
        <f t="shared" si="2679"/>
        <v>4.59</v>
      </c>
      <c r="O6354">
        <f t="shared" si="2689"/>
        <v>21.93</v>
      </c>
      <c r="P6354">
        <f t="shared" si="2690"/>
        <v>-0.22875816993463766</v>
      </c>
      <c r="Q6354" t="str">
        <f t="shared" si="2680"/>
        <v>8.07% | 12.86%</v>
      </c>
      <c r="R6354" t="str">
        <f t="shared" si="2691"/>
        <v>BEARISH</v>
      </c>
      <c r="S6354">
        <f t="shared" si="2692"/>
        <v>-1</v>
      </c>
    </row>
    <row r="6355" spans="1:19" hidden="1" x14ac:dyDescent="0.25">
      <c r="A6355" s="5" t="str">
        <f t="shared" si="2693"/>
        <v>44183USD</v>
      </c>
      <c r="B6355" s="6" t="s">
        <v>94</v>
      </c>
      <c r="C6355" s="6">
        <v>89.56</v>
      </c>
      <c r="D6355" s="6">
        <v>90.88</v>
      </c>
      <c r="E6355" s="6">
        <v>89.74</v>
      </c>
      <c r="F6355" t="str">
        <f t="shared" si="2681"/>
        <v>FRI</v>
      </c>
      <c r="G6355" s="3">
        <f t="shared" si="2682"/>
        <v>44183</v>
      </c>
      <c r="H6355" s="2">
        <f t="shared" ca="1" si="2683"/>
        <v>70</v>
      </c>
      <c r="I6355" t="str">
        <f t="shared" si="2684"/>
        <v>USD</v>
      </c>
      <c r="J6355">
        <f t="shared" si="2685"/>
        <v>89.56</v>
      </c>
      <c r="K6355">
        <f t="shared" si="2686"/>
        <v>90.88</v>
      </c>
      <c r="L6355">
        <f t="shared" si="2687"/>
        <v>90.22</v>
      </c>
      <c r="M6355">
        <f t="shared" si="2688"/>
        <v>0.65999999999999659</v>
      </c>
      <c r="N6355">
        <f t="shared" si="2679"/>
        <v>1.3199999999999932</v>
      </c>
      <c r="O6355">
        <f t="shared" si="2689"/>
        <v>89.74</v>
      </c>
      <c r="P6355">
        <f t="shared" si="2690"/>
        <v>-0.72727272727273706</v>
      </c>
      <c r="Q6355" t="str">
        <f t="shared" si="2680"/>
        <v>0.2% | 1.27%</v>
      </c>
      <c r="R6355" t="str">
        <f t="shared" si="2691"/>
        <v>BEARISH</v>
      </c>
      <c r="S6355">
        <f t="shared" si="2692"/>
        <v>-1</v>
      </c>
    </row>
    <row r="6356" spans="1:19" hidden="1" x14ac:dyDescent="0.25">
      <c r="A6356" s="5" t="str">
        <f t="shared" si="2693"/>
        <v>44183EUR/USD</v>
      </c>
      <c r="B6356" s="6" t="s">
        <v>99</v>
      </c>
      <c r="C6356" s="6">
        <v>1.206</v>
      </c>
      <c r="D6356" s="6">
        <v>1.2270000000000001</v>
      </c>
      <c r="E6356" s="6">
        <v>1.2270000000000001</v>
      </c>
      <c r="F6356" t="str">
        <f t="shared" si="2681"/>
        <v>FRI</v>
      </c>
      <c r="G6356" s="3">
        <f t="shared" si="2682"/>
        <v>44183</v>
      </c>
      <c r="H6356" s="2">
        <f t="shared" ca="1" si="2683"/>
        <v>70</v>
      </c>
      <c r="I6356" t="str">
        <f t="shared" si="2684"/>
        <v>EUR/USD</v>
      </c>
      <c r="J6356">
        <f t="shared" si="2685"/>
        <v>1.206</v>
      </c>
      <c r="K6356">
        <f t="shared" si="2686"/>
        <v>1.2270000000000001</v>
      </c>
      <c r="L6356">
        <f t="shared" si="2687"/>
        <v>1.2164999999999999</v>
      </c>
      <c r="M6356">
        <f t="shared" si="2688"/>
        <v>1.0500000000000065E-2</v>
      </c>
      <c r="N6356">
        <f t="shared" si="2679"/>
        <v>2.100000000000013E-2</v>
      </c>
      <c r="O6356">
        <f t="shared" si="2689"/>
        <v>1.2270000000000001</v>
      </c>
      <c r="P6356">
        <f t="shared" si="2690"/>
        <v>1.0000000000000107</v>
      </c>
      <c r="Q6356" t="str">
        <f t="shared" si="2680"/>
        <v>1.71% | 0%</v>
      </c>
      <c r="R6356" t="str">
        <f t="shared" si="2691"/>
        <v>BULLISH</v>
      </c>
      <c r="S6356">
        <f t="shared" si="2692"/>
        <v>1</v>
      </c>
    </row>
    <row r="6357" spans="1:19" hidden="1" x14ac:dyDescent="0.25">
      <c r="A6357" s="5" t="str">
        <f t="shared" si="2693"/>
        <v>44183USD/JPY</v>
      </c>
      <c r="B6357" s="6" t="s">
        <v>20</v>
      </c>
      <c r="C6357" s="6">
        <v>102.91</v>
      </c>
      <c r="D6357" s="6">
        <v>104.14</v>
      </c>
      <c r="E6357" s="6">
        <v>103.1</v>
      </c>
      <c r="F6357" t="str">
        <f t="shared" si="2681"/>
        <v>FRI</v>
      </c>
      <c r="G6357" s="3">
        <f t="shared" si="2682"/>
        <v>44183</v>
      </c>
      <c r="H6357" s="2">
        <f t="shared" ca="1" si="2683"/>
        <v>70</v>
      </c>
      <c r="I6357" t="str">
        <f t="shared" si="2684"/>
        <v>USD/JPY</v>
      </c>
      <c r="J6357">
        <f t="shared" si="2685"/>
        <v>102.91</v>
      </c>
      <c r="K6357">
        <f t="shared" si="2686"/>
        <v>104.14</v>
      </c>
      <c r="L6357">
        <f t="shared" si="2687"/>
        <v>103.52500000000001</v>
      </c>
      <c r="M6357">
        <f t="shared" si="2688"/>
        <v>0.61500000000000199</v>
      </c>
      <c r="N6357">
        <f t="shared" si="2679"/>
        <v>1.230000000000004</v>
      </c>
      <c r="O6357">
        <f t="shared" si="2689"/>
        <v>103.1</v>
      </c>
      <c r="P6357">
        <f t="shared" si="2690"/>
        <v>-0.691056910569122</v>
      </c>
      <c r="Q6357" t="str">
        <f t="shared" si="2680"/>
        <v>0.18% | 1.01%</v>
      </c>
      <c r="R6357" t="str">
        <f t="shared" si="2691"/>
        <v>BEARISH</v>
      </c>
      <c r="S6357">
        <f t="shared" si="2692"/>
        <v>-1</v>
      </c>
    </row>
    <row r="6358" spans="1:19" hidden="1" x14ac:dyDescent="0.25">
      <c r="A6358" s="5" t="str">
        <f t="shared" si="2693"/>
        <v>44183GBP/USD</v>
      </c>
      <c r="B6358" s="6" t="s">
        <v>102</v>
      </c>
      <c r="C6358" s="6">
        <v>1.3320000000000001</v>
      </c>
      <c r="D6358" s="6">
        <v>1.361</v>
      </c>
      <c r="E6358" s="6">
        <v>1.357</v>
      </c>
      <c r="F6358" t="str">
        <f t="shared" si="2681"/>
        <v>FRI</v>
      </c>
      <c r="G6358" s="3">
        <f t="shared" si="2682"/>
        <v>44183</v>
      </c>
      <c r="H6358" s="2">
        <f t="shared" ca="1" si="2683"/>
        <v>70</v>
      </c>
      <c r="I6358" t="str">
        <f t="shared" si="2684"/>
        <v>GBP/USD</v>
      </c>
      <c r="J6358">
        <f t="shared" si="2685"/>
        <v>1.3320000000000001</v>
      </c>
      <c r="K6358">
        <f t="shared" si="2686"/>
        <v>1.361</v>
      </c>
      <c r="L6358">
        <f t="shared" si="2687"/>
        <v>1.3465</v>
      </c>
      <c r="M6358">
        <f t="shared" si="2688"/>
        <v>1.4499999999999957E-2</v>
      </c>
      <c r="N6358">
        <f t="shared" si="2679"/>
        <v>2.8999999999999915E-2</v>
      </c>
      <c r="O6358">
        <f t="shared" si="2689"/>
        <v>1.357</v>
      </c>
      <c r="P6358">
        <f t="shared" si="2690"/>
        <v>0.72413793103448165</v>
      </c>
      <c r="Q6358" t="str">
        <f t="shared" si="2680"/>
        <v>1.84% | 0.29%</v>
      </c>
      <c r="R6358" t="str">
        <f t="shared" si="2691"/>
        <v>BULLISH</v>
      </c>
      <c r="S6358">
        <f t="shared" si="2692"/>
        <v>1</v>
      </c>
    </row>
    <row r="6359" spans="1:19" hidden="1" x14ac:dyDescent="0.25">
      <c r="A6359" s="5" t="str">
        <f t="shared" si="2693"/>
        <v>44183CAD/USD</v>
      </c>
      <c r="B6359" s="6" t="s">
        <v>244</v>
      </c>
      <c r="C6359" s="6">
        <v>0.77</v>
      </c>
      <c r="D6359" s="6">
        <v>0.79</v>
      </c>
      <c r="E6359" s="6">
        <v>0.78</v>
      </c>
      <c r="F6359" t="str">
        <f t="shared" si="2681"/>
        <v>FRI</v>
      </c>
      <c r="G6359" s="3">
        <f t="shared" si="2682"/>
        <v>44183</v>
      </c>
      <c r="H6359" s="2">
        <f t="shared" ca="1" si="2683"/>
        <v>70</v>
      </c>
      <c r="I6359" t="str">
        <f t="shared" si="2684"/>
        <v>CAD/USD</v>
      </c>
      <c r="J6359">
        <f t="shared" si="2685"/>
        <v>0.77</v>
      </c>
      <c r="K6359">
        <f t="shared" si="2686"/>
        <v>0.79</v>
      </c>
      <c r="L6359">
        <f t="shared" si="2687"/>
        <v>0.78</v>
      </c>
      <c r="M6359">
        <f t="shared" si="2688"/>
        <v>1.0000000000000009E-2</v>
      </c>
      <c r="N6359">
        <f t="shared" si="2679"/>
        <v>2.0000000000000018E-2</v>
      </c>
      <c r="O6359">
        <f t="shared" si="2689"/>
        <v>0.78</v>
      </c>
      <c r="P6359">
        <f t="shared" si="2690"/>
        <v>0</v>
      </c>
      <c r="Q6359" t="str">
        <f t="shared" si="2680"/>
        <v>1.28% | 1.28%</v>
      </c>
      <c r="R6359" t="str">
        <f t="shared" si="2691"/>
        <v>BULLISH</v>
      </c>
      <c r="S6359">
        <f t="shared" si="2692"/>
        <v>1</v>
      </c>
    </row>
    <row r="6360" spans="1:19" hidden="1" x14ac:dyDescent="0.25">
      <c r="A6360" s="5" t="str">
        <f t="shared" si="2693"/>
        <v>44183USD/CHF</v>
      </c>
      <c r="B6360" s="6" t="s">
        <v>76</v>
      </c>
      <c r="C6360" s="6">
        <v>0.87</v>
      </c>
      <c r="D6360" s="6">
        <v>0.89</v>
      </c>
      <c r="E6360" s="6">
        <v>0.88</v>
      </c>
      <c r="F6360" t="str">
        <f t="shared" si="2681"/>
        <v>FRI</v>
      </c>
      <c r="G6360" s="3">
        <f t="shared" si="2682"/>
        <v>44183</v>
      </c>
      <c r="H6360" s="2">
        <f t="shared" ca="1" si="2683"/>
        <v>70</v>
      </c>
      <c r="I6360" t="str">
        <f t="shared" si="2684"/>
        <v>USD/CHF</v>
      </c>
      <c r="J6360">
        <f t="shared" si="2685"/>
        <v>0.87</v>
      </c>
      <c r="K6360">
        <f t="shared" si="2686"/>
        <v>0.89</v>
      </c>
      <c r="L6360">
        <f t="shared" si="2687"/>
        <v>0.88</v>
      </c>
      <c r="M6360">
        <f t="shared" si="2688"/>
        <v>1.0000000000000009E-2</v>
      </c>
      <c r="N6360">
        <f t="shared" si="2679"/>
        <v>2.0000000000000018E-2</v>
      </c>
      <c r="O6360">
        <f t="shared" si="2689"/>
        <v>0.88</v>
      </c>
      <c r="P6360">
        <f t="shared" si="2690"/>
        <v>0</v>
      </c>
      <c r="Q6360" t="str">
        <f t="shared" si="2680"/>
        <v>1.14% | 1.14%</v>
      </c>
      <c r="R6360" t="str">
        <f t="shared" si="2691"/>
        <v>BEARISH</v>
      </c>
      <c r="S6360">
        <f t="shared" si="2692"/>
        <v>-1</v>
      </c>
    </row>
    <row r="6361" spans="1:19" hidden="1" x14ac:dyDescent="0.25">
      <c r="A6361" s="5" t="str">
        <f t="shared" si="2693"/>
        <v>44183WTIC</v>
      </c>
      <c r="B6361" s="6" t="s">
        <v>158</v>
      </c>
      <c r="C6361" s="6">
        <v>44.9</v>
      </c>
      <c r="D6361" s="6">
        <v>48.82</v>
      </c>
      <c r="E6361" s="6">
        <v>48.54</v>
      </c>
      <c r="F6361" t="str">
        <f t="shared" si="2681"/>
        <v>FRI</v>
      </c>
      <c r="G6361" s="3">
        <f t="shared" si="2682"/>
        <v>44183</v>
      </c>
      <c r="H6361" s="2">
        <f t="shared" ca="1" si="2683"/>
        <v>70</v>
      </c>
      <c r="I6361" t="str">
        <f t="shared" si="2684"/>
        <v>WTIC</v>
      </c>
      <c r="J6361">
        <f t="shared" si="2685"/>
        <v>44.9</v>
      </c>
      <c r="K6361">
        <f t="shared" si="2686"/>
        <v>48.82</v>
      </c>
      <c r="L6361">
        <f t="shared" si="2687"/>
        <v>46.86</v>
      </c>
      <c r="M6361">
        <f t="shared" si="2688"/>
        <v>1.9600000000000009</v>
      </c>
      <c r="N6361">
        <f t="shared" si="2679"/>
        <v>3.9200000000000017</v>
      </c>
      <c r="O6361">
        <f t="shared" si="2689"/>
        <v>48.54</v>
      </c>
      <c r="P6361">
        <f t="shared" si="2690"/>
        <v>0.85714285714285665</v>
      </c>
      <c r="Q6361" t="str">
        <f t="shared" si="2680"/>
        <v>7.5% | 0.58%</v>
      </c>
      <c r="R6361" t="str">
        <f t="shared" si="2691"/>
        <v>BULLISH</v>
      </c>
      <c r="S6361">
        <f t="shared" si="2692"/>
        <v>1</v>
      </c>
    </row>
    <row r="6362" spans="1:19" hidden="1" x14ac:dyDescent="0.25">
      <c r="A6362" s="5" t="str">
        <f t="shared" si="2693"/>
        <v>44183NATGAS</v>
      </c>
      <c r="B6362" s="6" t="s">
        <v>89</v>
      </c>
      <c r="C6362" s="6">
        <v>2.3199999999999998</v>
      </c>
      <c r="D6362" s="6">
        <v>2.8</v>
      </c>
      <c r="E6362" s="6">
        <v>2.64</v>
      </c>
      <c r="F6362" t="str">
        <f t="shared" si="2681"/>
        <v>FRI</v>
      </c>
      <c r="G6362" s="3">
        <f t="shared" si="2682"/>
        <v>44183</v>
      </c>
      <c r="H6362" s="2">
        <f t="shared" ca="1" si="2683"/>
        <v>70</v>
      </c>
      <c r="I6362" t="str">
        <f t="shared" si="2684"/>
        <v>NATGAS</v>
      </c>
      <c r="J6362">
        <f t="shared" si="2685"/>
        <v>2.3199999999999998</v>
      </c>
      <c r="K6362">
        <f t="shared" si="2686"/>
        <v>2.8</v>
      </c>
      <c r="L6362">
        <f t="shared" si="2687"/>
        <v>2.5599999999999996</v>
      </c>
      <c r="M6362">
        <f t="shared" si="2688"/>
        <v>0.24</v>
      </c>
      <c r="N6362">
        <f t="shared" si="2679"/>
        <v>0.48</v>
      </c>
      <c r="O6362">
        <f t="shared" si="2689"/>
        <v>2.64</v>
      </c>
      <c r="P6362">
        <f t="shared" si="2690"/>
        <v>0.33333333333333548</v>
      </c>
      <c r="Q6362" t="str">
        <f t="shared" si="2680"/>
        <v>12.12% | 6.06%</v>
      </c>
      <c r="R6362" t="str">
        <f t="shared" si="2691"/>
        <v>BULLISH</v>
      </c>
      <c r="S6362">
        <f t="shared" si="2692"/>
        <v>1</v>
      </c>
    </row>
    <row r="6363" spans="1:19" hidden="1" x14ac:dyDescent="0.25">
      <c r="A6363" s="5" t="str">
        <f t="shared" si="2693"/>
        <v>44183GOLD</v>
      </c>
      <c r="B6363" s="6" t="s">
        <v>85</v>
      </c>
      <c r="C6363" s="6">
        <v>1816</v>
      </c>
      <c r="D6363" s="6">
        <v>1893</v>
      </c>
      <c r="E6363" s="6">
        <v>1890</v>
      </c>
      <c r="F6363" t="str">
        <f t="shared" si="2681"/>
        <v>FRI</v>
      </c>
      <c r="G6363" s="3">
        <f t="shared" si="2682"/>
        <v>44183</v>
      </c>
      <c r="H6363" s="2">
        <f t="shared" ca="1" si="2683"/>
        <v>70</v>
      </c>
      <c r="I6363" t="str">
        <f t="shared" si="2684"/>
        <v>GOLD</v>
      </c>
      <c r="J6363">
        <f t="shared" si="2685"/>
        <v>1816</v>
      </c>
      <c r="K6363">
        <f t="shared" si="2686"/>
        <v>1893</v>
      </c>
      <c r="L6363">
        <f t="shared" si="2687"/>
        <v>1854.5</v>
      </c>
      <c r="M6363">
        <f t="shared" si="2688"/>
        <v>38.5</v>
      </c>
      <c r="N6363">
        <f t="shared" si="2679"/>
        <v>77</v>
      </c>
      <c r="O6363">
        <f t="shared" si="2689"/>
        <v>1890</v>
      </c>
      <c r="P6363">
        <f t="shared" si="2690"/>
        <v>0.92207792207792205</v>
      </c>
      <c r="Q6363" t="str">
        <f t="shared" si="2680"/>
        <v>3.92% | 0.16%</v>
      </c>
      <c r="R6363" t="str">
        <f t="shared" si="2691"/>
        <v>BEARISH</v>
      </c>
      <c r="S6363">
        <f t="shared" si="2692"/>
        <v>-1</v>
      </c>
    </row>
    <row r="6364" spans="1:19" hidden="1" x14ac:dyDescent="0.25">
      <c r="A6364" s="5" t="str">
        <f t="shared" si="2693"/>
        <v>44183COPPER</v>
      </c>
      <c r="B6364" s="6" t="s">
        <v>100</v>
      </c>
      <c r="C6364" s="6">
        <v>3.51</v>
      </c>
      <c r="D6364" s="6">
        <v>3.64</v>
      </c>
      <c r="E6364" s="6">
        <v>3.6</v>
      </c>
      <c r="F6364" t="str">
        <f t="shared" si="2681"/>
        <v>FRI</v>
      </c>
      <c r="G6364" s="3">
        <f t="shared" si="2682"/>
        <v>44183</v>
      </c>
      <c r="H6364" s="2">
        <f t="shared" ca="1" si="2683"/>
        <v>70</v>
      </c>
      <c r="I6364" t="str">
        <f t="shared" si="2684"/>
        <v>COPPER</v>
      </c>
      <c r="J6364">
        <f t="shared" si="2685"/>
        <v>3.51</v>
      </c>
      <c r="K6364">
        <f t="shared" si="2686"/>
        <v>3.64</v>
      </c>
      <c r="L6364">
        <f t="shared" si="2687"/>
        <v>3.5750000000000002</v>
      </c>
      <c r="M6364">
        <f t="shared" si="2688"/>
        <v>6.5000000000000169E-2</v>
      </c>
      <c r="N6364">
        <f t="shared" si="2679"/>
        <v>0.13000000000000034</v>
      </c>
      <c r="O6364">
        <f t="shared" si="2689"/>
        <v>3.6</v>
      </c>
      <c r="P6364">
        <f t="shared" si="2690"/>
        <v>0.38461538461538225</v>
      </c>
      <c r="Q6364" t="str">
        <f t="shared" si="2680"/>
        <v>2.5% | 1.11%</v>
      </c>
      <c r="R6364" t="str">
        <f t="shared" si="2691"/>
        <v>BULLISH</v>
      </c>
      <c r="S6364">
        <f t="shared" si="2692"/>
        <v>1</v>
      </c>
    </row>
    <row r="6365" spans="1:19" hidden="1" x14ac:dyDescent="0.25">
      <c r="A6365" s="5" t="str">
        <f t="shared" si="2693"/>
        <v>44183MSFT</v>
      </c>
      <c r="B6365" s="6" t="s">
        <v>27</v>
      </c>
      <c r="C6365" s="6">
        <v>211</v>
      </c>
      <c r="D6365" s="6">
        <v>221</v>
      </c>
      <c r="E6365" s="6">
        <v>219</v>
      </c>
      <c r="F6365" t="str">
        <f t="shared" si="2681"/>
        <v>FRI</v>
      </c>
      <c r="G6365" s="3">
        <f t="shared" si="2682"/>
        <v>44183</v>
      </c>
      <c r="H6365" s="2">
        <f t="shared" ca="1" si="2683"/>
        <v>70</v>
      </c>
      <c r="I6365" t="str">
        <f t="shared" si="2684"/>
        <v>MSFT</v>
      </c>
      <c r="J6365">
        <f t="shared" si="2685"/>
        <v>211</v>
      </c>
      <c r="K6365">
        <f t="shared" si="2686"/>
        <v>221</v>
      </c>
      <c r="L6365">
        <f t="shared" si="2687"/>
        <v>216</v>
      </c>
      <c r="M6365">
        <f t="shared" si="2688"/>
        <v>5</v>
      </c>
      <c r="N6365">
        <f t="shared" si="2679"/>
        <v>10</v>
      </c>
      <c r="O6365">
        <f t="shared" si="2689"/>
        <v>219</v>
      </c>
      <c r="P6365">
        <f t="shared" si="2690"/>
        <v>0.6</v>
      </c>
      <c r="Q6365" t="str">
        <f t="shared" si="2680"/>
        <v>3.65% | 0.91%</v>
      </c>
      <c r="R6365" t="str">
        <f t="shared" si="2691"/>
        <v>BULLISH</v>
      </c>
      <c r="S6365">
        <f t="shared" si="2692"/>
        <v>1</v>
      </c>
    </row>
    <row r="6366" spans="1:19" hidden="1" x14ac:dyDescent="0.25">
      <c r="A6366" s="5" t="str">
        <f t="shared" si="2693"/>
        <v>44183AAPL</v>
      </c>
      <c r="B6366" s="6" t="s">
        <v>28</v>
      </c>
      <c r="C6366" s="6">
        <v>122</v>
      </c>
      <c r="D6366" s="6">
        <v>130</v>
      </c>
      <c r="E6366" s="6">
        <v>128</v>
      </c>
      <c r="F6366" t="str">
        <f t="shared" si="2681"/>
        <v>FRI</v>
      </c>
      <c r="G6366" s="3">
        <f t="shared" si="2682"/>
        <v>44183</v>
      </c>
      <c r="H6366" s="2">
        <f t="shared" ca="1" si="2683"/>
        <v>70</v>
      </c>
      <c r="I6366" t="str">
        <f t="shared" si="2684"/>
        <v>AAPL</v>
      </c>
      <c r="J6366">
        <f t="shared" si="2685"/>
        <v>122</v>
      </c>
      <c r="K6366">
        <f t="shared" si="2686"/>
        <v>130</v>
      </c>
      <c r="L6366">
        <f t="shared" si="2687"/>
        <v>126</v>
      </c>
      <c r="M6366">
        <f t="shared" si="2688"/>
        <v>4</v>
      </c>
      <c r="N6366">
        <f t="shared" si="2679"/>
        <v>8</v>
      </c>
      <c r="O6366">
        <f t="shared" si="2689"/>
        <v>128</v>
      </c>
      <c r="P6366">
        <f t="shared" si="2690"/>
        <v>0.5</v>
      </c>
      <c r="Q6366" t="str">
        <f t="shared" si="2680"/>
        <v>4.69% | 1.56%</v>
      </c>
      <c r="R6366" t="str">
        <f t="shared" si="2691"/>
        <v>BULLISH</v>
      </c>
      <c r="S6366">
        <f t="shared" si="2692"/>
        <v>1</v>
      </c>
    </row>
    <row r="6367" spans="1:19" hidden="1" x14ac:dyDescent="0.25">
      <c r="A6367" s="5" t="str">
        <f t="shared" si="2693"/>
        <v>44183AMZN</v>
      </c>
      <c r="B6367" s="6" t="s">
        <v>29</v>
      </c>
      <c r="C6367" s="6">
        <v>3062</v>
      </c>
      <c r="D6367" s="6">
        <v>3260</v>
      </c>
      <c r="E6367" s="6">
        <v>3236</v>
      </c>
      <c r="F6367" t="str">
        <f t="shared" si="2681"/>
        <v>FRI</v>
      </c>
      <c r="G6367" s="3">
        <f t="shared" si="2682"/>
        <v>44183</v>
      </c>
      <c r="H6367" s="2">
        <f t="shared" ca="1" si="2683"/>
        <v>70</v>
      </c>
      <c r="I6367" t="str">
        <f t="shared" si="2684"/>
        <v>AMZN</v>
      </c>
      <c r="J6367">
        <f t="shared" si="2685"/>
        <v>3062</v>
      </c>
      <c r="K6367">
        <f t="shared" si="2686"/>
        <v>3260</v>
      </c>
      <c r="L6367">
        <f t="shared" si="2687"/>
        <v>3161</v>
      </c>
      <c r="M6367">
        <f t="shared" si="2688"/>
        <v>99</v>
      </c>
      <c r="N6367">
        <f t="shared" si="2679"/>
        <v>198</v>
      </c>
      <c r="O6367">
        <f t="shared" si="2689"/>
        <v>3236</v>
      </c>
      <c r="P6367">
        <f t="shared" si="2690"/>
        <v>0.75757575757575757</v>
      </c>
      <c r="Q6367" t="str">
        <f t="shared" si="2680"/>
        <v>5.38% | 0.74%</v>
      </c>
      <c r="R6367" t="str">
        <f t="shared" si="2691"/>
        <v>BULLISH</v>
      </c>
      <c r="S6367">
        <f t="shared" si="2692"/>
        <v>1</v>
      </c>
    </row>
    <row r="6368" spans="1:19" hidden="1" x14ac:dyDescent="0.25">
      <c r="A6368" s="5" t="str">
        <f t="shared" si="2693"/>
        <v>44183FB</v>
      </c>
      <c r="B6368" s="6" t="s">
        <v>30</v>
      </c>
      <c r="C6368" s="6">
        <v>268</v>
      </c>
      <c r="D6368" s="6">
        <v>285</v>
      </c>
      <c r="E6368" s="6">
        <v>274</v>
      </c>
      <c r="F6368" t="str">
        <f t="shared" si="2681"/>
        <v>FRI</v>
      </c>
      <c r="G6368" s="3">
        <f t="shared" si="2682"/>
        <v>44183</v>
      </c>
      <c r="H6368" s="2">
        <f t="shared" ca="1" si="2683"/>
        <v>70</v>
      </c>
      <c r="I6368" t="str">
        <f t="shared" si="2684"/>
        <v>FB</v>
      </c>
      <c r="J6368">
        <f t="shared" si="2685"/>
        <v>268</v>
      </c>
      <c r="K6368">
        <f t="shared" si="2686"/>
        <v>285</v>
      </c>
      <c r="L6368">
        <f t="shared" si="2687"/>
        <v>276.5</v>
      </c>
      <c r="M6368">
        <f t="shared" si="2688"/>
        <v>8.5</v>
      </c>
      <c r="N6368">
        <f t="shared" si="2679"/>
        <v>17</v>
      </c>
      <c r="O6368">
        <f t="shared" si="2689"/>
        <v>274</v>
      </c>
      <c r="P6368">
        <f t="shared" si="2690"/>
        <v>-0.29411764705882354</v>
      </c>
      <c r="Q6368" t="str">
        <f t="shared" si="2680"/>
        <v>2.19% | 4.01%</v>
      </c>
      <c r="R6368" t="str">
        <f t="shared" si="2691"/>
        <v>BULLISH</v>
      </c>
      <c r="S6368">
        <f t="shared" si="2692"/>
        <v>1</v>
      </c>
    </row>
    <row r="6369" spans="1:19" hidden="1" x14ac:dyDescent="0.25">
      <c r="A6369" s="5" t="str">
        <f t="shared" si="2693"/>
        <v>44183GOOGL</v>
      </c>
      <c r="B6369" s="6" t="s">
        <v>31</v>
      </c>
      <c r="C6369" s="6">
        <v>1714</v>
      </c>
      <c r="D6369" s="6">
        <v>1793</v>
      </c>
      <c r="E6369" s="6">
        <v>1740</v>
      </c>
      <c r="F6369" t="str">
        <f t="shared" si="2681"/>
        <v>FRI</v>
      </c>
      <c r="G6369" s="3">
        <f t="shared" si="2682"/>
        <v>44183</v>
      </c>
      <c r="H6369" s="2">
        <f t="shared" ca="1" si="2683"/>
        <v>70</v>
      </c>
      <c r="I6369" t="str">
        <f t="shared" si="2684"/>
        <v>GOOGL</v>
      </c>
      <c r="J6369">
        <f t="shared" si="2685"/>
        <v>1714</v>
      </c>
      <c r="K6369">
        <f t="shared" si="2686"/>
        <v>1793</v>
      </c>
      <c r="L6369">
        <f t="shared" si="2687"/>
        <v>1753.5</v>
      </c>
      <c r="M6369">
        <f t="shared" si="2688"/>
        <v>39.5</v>
      </c>
      <c r="N6369">
        <f t="shared" si="2679"/>
        <v>79</v>
      </c>
      <c r="O6369">
        <f t="shared" si="2689"/>
        <v>1740</v>
      </c>
      <c r="P6369">
        <f t="shared" si="2690"/>
        <v>-0.34177215189873417</v>
      </c>
      <c r="Q6369" t="str">
        <f t="shared" si="2680"/>
        <v>1.49% | 3.05%</v>
      </c>
      <c r="R6369" t="str">
        <f t="shared" si="2691"/>
        <v>BULLISH</v>
      </c>
      <c r="S6369">
        <f t="shared" si="2692"/>
        <v>1</v>
      </c>
    </row>
    <row r="6370" spans="1:19" hidden="1" x14ac:dyDescent="0.25">
      <c r="A6370" s="5" t="str">
        <f t="shared" si="2693"/>
        <v>44183NFLX</v>
      </c>
      <c r="B6370" s="6" t="s">
        <v>32</v>
      </c>
      <c r="C6370" s="6">
        <v>492</v>
      </c>
      <c r="D6370" s="6">
        <v>539</v>
      </c>
      <c r="E6370" s="6">
        <v>532</v>
      </c>
      <c r="F6370" t="str">
        <f t="shared" si="2681"/>
        <v>FRI</v>
      </c>
      <c r="G6370" s="3">
        <f t="shared" si="2682"/>
        <v>44183</v>
      </c>
      <c r="H6370" s="2">
        <f t="shared" ca="1" si="2683"/>
        <v>70</v>
      </c>
      <c r="I6370" t="str">
        <f t="shared" si="2684"/>
        <v>NFLX</v>
      </c>
      <c r="J6370">
        <f t="shared" si="2685"/>
        <v>492</v>
      </c>
      <c r="K6370">
        <f t="shared" si="2686"/>
        <v>539</v>
      </c>
      <c r="L6370">
        <f t="shared" si="2687"/>
        <v>515.5</v>
      </c>
      <c r="M6370">
        <f t="shared" si="2688"/>
        <v>23.5</v>
      </c>
      <c r="N6370">
        <f t="shared" si="2679"/>
        <v>47</v>
      </c>
      <c r="O6370">
        <f t="shared" si="2689"/>
        <v>532</v>
      </c>
      <c r="P6370">
        <f t="shared" si="2690"/>
        <v>0.7021276595744681</v>
      </c>
      <c r="Q6370" t="str">
        <f t="shared" si="2680"/>
        <v>7.52% | 1.32%</v>
      </c>
      <c r="R6370" t="str">
        <f t="shared" si="2691"/>
        <v>BULLISH</v>
      </c>
      <c r="S6370">
        <f t="shared" si="2692"/>
        <v>1</v>
      </c>
    </row>
    <row r="6371" spans="1:19" x14ac:dyDescent="0.25">
      <c r="A6371" s="5" t="str">
        <f t="shared" si="2693"/>
        <v>44183TSLA</v>
      </c>
      <c r="B6371" s="6" t="s">
        <v>33</v>
      </c>
      <c r="C6371" s="6">
        <v>598</v>
      </c>
      <c r="D6371" s="6">
        <v>666</v>
      </c>
      <c r="E6371" s="6">
        <v>655</v>
      </c>
      <c r="F6371" t="str">
        <f t="shared" si="2681"/>
        <v>FRI</v>
      </c>
      <c r="G6371" s="3">
        <f t="shared" si="2682"/>
        <v>44183</v>
      </c>
      <c r="H6371" s="2">
        <f t="shared" ca="1" si="2683"/>
        <v>70</v>
      </c>
      <c r="I6371" t="str">
        <f t="shared" si="2684"/>
        <v>TSLA</v>
      </c>
      <c r="J6371">
        <f t="shared" si="2685"/>
        <v>598</v>
      </c>
      <c r="K6371">
        <f t="shared" si="2686"/>
        <v>666</v>
      </c>
      <c r="L6371">
        <f t="shared" si="2687"/>
        <v>632</v>
      </c>
      <c r="M6371">
        <f t="shared" si="2688"/>
        <v>34</v>
      </c>
      <c r="N6371">
        <f t="shared" si="2679"/>
        <v>68</v>
      </c>
      <c r="O6371">
        <f t="shared" si="2689"/>
        <v>655</v>
      </c>
      <c r="P6371">
        <f t="shared" si="2690"/>
        <v>0.67647058823529416</v>
      </c>
      <c r="Q6371" t="str">
        <f t="shared" si="2680"/>
        <v>8.7% | 1.68%</v>
      </c>
      <c r="R6371" t="str">
        <f t="shared" si="2691"/>
        <v>BULLISH</v>
      </c>
      <c r="S6371">
        <f t="shared" si="2692"/>
        <v>1</v>
      </c>
    </row>
    <row r="6372" spans="1:19" hidden="1" x14ac:dyDescent="0.25">
      <c r="A6372" s="5" t="str">
        <f t="shared" si="2693"/>
        <v>44183NYXBT</v>
      </c>
      <c r="B6372" s="6" t="s">
        <v>60</v>
      </c>
      <c r="C6372" s="6">
        <v>20109</v>
      </c>
      <c r="D6372" s="6">
        <v>24323</v>
      </c>
      <c r="E6372" s="6">
        <v>23248</v>
      </c>
      <c r="F6372" t="str">
        <f t="shared" si="2681"/>
        <v>FRI</v>
      </c>
      <c r="G6372" s="3">
        <f t="shared" si="2682"/>
        <v>44183</v>
      </c>
      <c r="H6372" s="2">
        <f t="shared" ca="1" si="2683"/>
        <v>70</v>
      </c>
      <c r="I6372" t="str">
        <f t="shared" si="2684"/>
        <v>NYXBT</v>
      </c>
      <c r="J6372">
        <f t="shared" si="2685"/>
        <v>20109</v>
      </c>
      <c r="K6372">
        <f t="shared" si="2686"/>
        <v>24323</v>
      </c>
      <c r="L6372">
        <f t="shared" si="2687"/>
        <v>22216</v>
      </c>
      <c r="M6372">
        <f t="shared" si="2688"/>
        <v>2107</v>
      </c>
      <c r="N6372">
        <f t="shared" si="2679"/>
        <v>4214</v>
      </c>
      <c r="O6372">
        <f t="shared" si="2689"/>
        <v>23248</v>
      </c>
      <c r="P6372">
        <f t="shared" si="2690"/>
        <v>0.48979591836734693</v>
      </c>
      <c r="Q6372" t="str">
        <f t="shared" si="2680"/>
        <v>13.5% | 4.62%</v>
      </c>
      <c r="R6372" t="str">
        <f t="shared" si="2691"/>
        <v>BULLISH</v>
      </c>
      <c r="S6372">
        <f t="shared" si="2692"/>
        <v>1</v>
      </c>
    </row>
    <row r="6373" spans="1:19" hidden="1" x14ac:dyDescent="0.25">
      <c r="A6373" s="5" t="str">
        <f t="shared" si="2693"/>
        <v>44186UST10Y</v>
      </c>
      <c r="B6373" s="6" t="s">
        <v>257</v>
      </c>
      <c r="C6373" s="6">
        <v>0.97</v>
      </c>
      <c r="D6373" s="6">
        <v>0.87</v>
      </c>
      <c r="E6373" s="6">
        <v>0.95</v>
      </c>
      <c r="F6373" t="str">
        <f t="shared" si="2681"/>
        <v>MON</v>
      </c>
      <c r="G6373" s="1">
        <f>DATE(2020,12,21)</f>
        <v>44186</v>
      </c>
      <c r="H6373" s="2">
        <f t="shared" ca="1" si="2683"/>
        <v>67</v>
      </c>
      <c r="I6373" t="str">
        <f t="shared" si="2684"/>
        <v>UST10Y</v>
      </c>
      <c r="J6373">
        <f t="shared" si="2685"/>
        <v>0.97</v>
      </c>
      <c r="K6373">
        <f t="shared" si="2686"/>
        <v>0.87</v>
      </c>
      <c r="L6373">
        <f t="shared" si="2687"/>
        <v>0.91999999999999993</v>
      </c>
      <c r="M6373">
        <f t="shared" si="2688"/>
        <v>4.9999999999999989E-2</v>
      </c>
      <c r="N6373">
        <f t="shared" si="2679"/>
        <v>9.9999999999999978E-2</v>
      </c>
      <c r="O6373">
        <f t="shared" si="2689"/>
        <v>0.95</v>
      </c>
      <c r="P6373">
        <f t="shared" si="2690"/>
        <v>0.60000000000000064</v>
      </c>
      <c r="Q6373" t="str">
        <f t="shared" si="2680"/>
        <v>2.11% | 8.42%</v>
      </c>
      <c r="R6373" t="str">
        <f t="shared" si="2691"/>
        <v>BULLISH</v>
      </c>
      <c r="S6373">
        <f t="shared" si="2692"/>
        <v>1</v>
      </c>
    </row>
    <row r="6374" spans="1:19" hidden="1" x14ac:dyDescent="0.25">
      <c r="A6374" s="5" t="str">
        <f t="shared" si="2693"/>
        <v>44186UST2Y</v>
      </c>
      <c r="B6374" s="6" t="s">
        <v>253</v>
      </c>
      <c r="C6374" s="6">
        <v>0.16</v>
      </c>
      <c r="D6374" s="6">
        <v>0.11</v>
      </c>
      <c r="E6374" s="6">
        <v>0.13</v>
      </c>
      <c r="F6374" t="str">
        <f t="shared" ref="F6374:F6405" si="2694">UPPER(TEXT(G6374,"ddd"))</f>
        <v>MON</v>
      </c>
      <c r="G6374" s="1">
        <f t="shared" ref="G6374:G6404" si="2695">DATE(2020,12,21)</f>
        <v>44186</v>
      </c>
      <c r="H6374" s="2">
        <f t="shared" ref="H6374:H6405" ca="1" si="2696">TODAY()-G6374</f>
        <v>67</v>
      </c>
      <c r="I6374" t="str">
        <f t="shared" ref="I6374:I6405" si="2697">TRIM(LEFT(B6374,FIND(" ",B6374,1)))</f>
        <v>UST2Y</v>
      </c>
      <c r="J6374">
        <f t="shared" ref="J6374:J6405" si="2698">C6374</f>
        <v>0.16</v>
      </c>
      <c r="K6374">
        <f t="shared" ref="K6374:K6405" si="2699">D6374</f>
        <v>0.11</v>
      </c>
      <c r="L6374">
        <f t="shared" ref="L6374:L6405" si="2700">AVERAGE(J6374:K6374)</f>
        <v>0.13500000000000001</v>
      </c>
      <c r="M6374">
        <f t="shared" ref="M6374:M6405" si="2701">_xlfn.STDEV.P(J6374:K6374)</f>
        <v>2.4999999999999942E-2</v>
      </c>
      <c r="N6374">
        <f t="shared" si="2679"/>
        <v>0.05</v>
      </c>
      <c r="O6374">
        <f t="shared" ref="O6374:O6405" si="2702">E6374</f>
        <v>0.13</v>
      </c>
      <c r="P6374">
        <f t="shared" ref="P6374:P6405" si="2703">(O6374-L6374)/M6374</f>
        <v>-0.20000000000000065</v>
      </c>
      <c r="Q6374" t="str">
        <f t="shared" si="2680"/>
        <v>23.08% | 15.38%</v>
      </c>
      <c r="R6374" t="str">
        <f t="shared" ref="R6374:R6405" si="2704">MID(B6374,FIND("(",B6374,1)+1,FIND(")",B6374,1)-FIND("(",B6374,1)-1)</f>
        <v>NEUTRAL</v>
      </c>
      <c r="S6374">
        <f t="shared" ref="S6374:S6405" si="2705">IF(R6374="BEARISH",-1,IF(R6374="NEUTRAL",0,IF(R6374="BULLISH",1,99)))</f>
        <v>0</v>
      </c>
    </row>
    <row r="6375" spans="1:19" hidden="1" x14ac:dyDescent="0.25">
      <c r="A6375" s="5" t="str">
        <f t="shared" si="2693"/>
        <v>44186SPX</v>
      </c>
      <c r="B6375" s="6" t="s">
        <v>93</v>
      </c>
      <c r="C6375" s="6">
        <v>3639</v>
      </c>
      <c r="D6375" s="6">
        <v>3735</v>
      </c>
      <c r="E6375" s="6">
        <v>3709</v>
      </c>
      <c r="F6375" t="str">
        <f t="shared" si="2694"/>
        <v>MON</v>
      </c>
      <c r="G6375" s="1">
        <f t="shared" si="2695"/>
        <v>44186</v>
      </c>
      <c r="H6375" s="2">
        <f t="shared" ca="1" si="2696"/>
        <v>67</v>
      </c>
      <c r="I6375" t="str">
        <f t="shared" si="2697"/>
        <v>SPX</v>
      </c>
      <c r="J6375">
        <f t="shared" si="2698"/>
        <v>3639</v>
      </c>
      <c r="K6375">
        <f t="shared" si="2699"/>
        <v>3735</v>
      </c>
      <c r="L6375">
        <f t="shared" si="2700"/>
        <v>3687</v>
      </c>
      <c r="M6375">
        <f t="shared" si="2701"/>
        <v>48</v>
      </c>
      <c r="N6375">
        <f t="shared" si="2679"/>
        <v>96</v>
      </c>
      <c r="O6375">
        <f t="shared" si="2702"/>
        <v>3709</v>
      </c>
      <c r="P6375">
        <f t="shared" si="2703"/>
        <v>0.45833333333333331</v>
      </c>
      <c r="Q6375" t="str">
        <f t="shared" si="2680"/>
        <v>1.89% | 0.7%</v>
      </c>
      <c r="R6375" t="str">
        <f t="shared" si="2704"/>
        <v>BULLISH</v>
      </c>
      <c r="S6375">
        <f t="shared" si="2705"/>
        <v>1</v>
      </c>
    </row>
    <row r="6376" spans="1:19" hidden="1" x14ac:dyDescent="0.25">
      <c r="A6376" s="5" t="str">
        <f t="shared" si="2693"/>
        <v>44186RUT</v>
      </c>
      <c r="B6376" s="6" t="s">
        <v>247</v>
      </c>
      <c r="C6376" s="6">
        <v>1888</v>
      </c>
      <c r="D6376" s="6">
        <v>1989</v>
      </c>
      <c r="E6376" s="6">
        <v>1969</v>
      </c>
      <c r="F6376" t="str">
        <f t="shared" si="2694"/>
        <v>MON</v>
      </c>
      <c r="G6376" s="1">
        <f t="shared" si="2695"/>
        <v>44186</v>
      </c>
      <c r="H6376" s="2">
        <f t="shared" ca="1" si="2696"/>
        <v>67</v>
      </c>
      <c r="I6376" t="str">
        <f t="shared" si="2697"/>
        <v>RUT</v>
      </c>
      <c r="J6376">
        <f t="shared" si="2698"/>
        <v>1888</v>
      </c>
      <c r="K6376">
        <f t="shared" si="2699"/>
        <v>1989</v>
      </c>
      <c r="L6376">
        <f t="shared" si="2700"/>
        <v>1938.5</v>
      </c>
      <c r="M6376">
        <f t="shared" si="2701"/>
        <v>50.5</v>
      </c>
      <c r="N6376">
        <f t="shared" si="2679"/>
        <v>101</v>
      </c>
      <c r="O6376">
        <f t="shared" si="2702"/>
        <v>1969</v>
      </c>
      <c r="P6376">
        <f t="shared" si="2703"/>
        <v>0.60396039603960394</v>
      </c>
      <c r="Q6376" t="str">
        <f t="shared" si="2680"/>
        <v>4.11% | 1.02%</v>
      </c>
      <c r="R6376" t="str">
        <f t="shared" si="2704"/>
        <v>BULLISH</v>
      </c>
      <c r="S6376">
        <f t="shared" si="2705"/>
        <v>1</v>
      </c>
    </row>
    <row r="6377" spans="1:19" hidden="1" x14ac:dyDescent="0.25">
      <c r="A6377" s="5" t="str">
        <f t="shared" si="2693"/>
        <v>44186COMPQ</v>
      </c>
      <c r="B6377" s="6" t="s">
        <v>8</v>
      </c>
      <c r="C6377" s="6">
        <v>12260</v>
      </c>
      <c r="D6377" s="6">
        <v>12855</v>
      </c>
      <c r="E6377" s="6">
        <v>12755</v>
      </c>
      <c r="F6377" t="str">
        <f t="shared" si="2694"/>
        <v>MON</v>
      </c>
      <c r="G6377" s="1">
        <f t="shared" si="2695"/>
        <v>44186</v>
      </c>
      <c r="H6377" s="2">
        <f t="shared" ca="1" si="2696"/>
        <v>67</v>
      </c>
      <c r="I6377" t="str">
        <f t="shared" si="2697"/>
        <v>COMPQ</v>
      </c>
      <c r="J6377">
        <f t="shared" si="2698"/>
        <v>12260</v>
      </c>
      <c r="K6377">
        <f t="shared" si="2699"/>
        <v>12855</v>
      </c>
      <c r="L6377">
        <f t="shared" si="2700"/>
        <v>12557.5</v>
      </c>
      <c r="M6377">
        <f t="shared" si="2701"/>
        <v>297.5</v>
      </c>
      <c r="N6377">
        <f t="shared" si="2679"/>
        <v>595</v>
      </c>
      <c r="O6377">
        <f t="shared" si="2702"/>
        <v>12755</v>
      </c>
      <c r="P6377">
        <f t="shared" si="2703"/>
        <v>0.66386554621848737</v>
      </c>
      <c r="Q6377" t="str">
        <f t="shared" si="2680"/>
        <v>3.88% | 0.78%</v>
      </c>
      <c r="R6377" t="str">
        <f t="shared" si="2704"/>
        <v>BULLISH</v>
      </c>
      <c r="S6377">
        <f t="shared" si="2705"/>
        <v>1</v>
      </c>
    </row>
    <row r="6378" spans="1:19" hidden="1" x14ac:dyDescent="0.25">
      <c r="A6378" s="5" t="str">
        <f t="shared" si="2693"/>
        <v>44186XLK</v>
      </c>
      <c r="B6378" s="6" t="s">
        <v>10</v>
      </c>
      <c r="C6378" s="6">
        <v>123.88</v>
      </c>
      <c r="D6378" s="6">
        <v>129.5</v>
      </c>
      <c r="E6378" s="6">
        <v>128.25</v>
      </c>
      <c r="F6378" t="str">
        <f t="shared" si="2694"/>
        <v>MON</v>
      </c>
      <c r="G6378" s="1">
        <f t="shared" si="2695"/>
        <v>44186</v>
      </c>
      <c r="H6378" s="2">
        <f t="shared" ca="1" si="2696"/>
        <v>67</v>
      </c>
      <c r="I6378" t="str">
        <f t="shared" si="2697"/>
        <v>XLK</v>
      </c>
      <c r="J6378">
        <f t="shared" si="2698"/>
        <v>123.88</v>
      </c>
      <c r="K6378">
        <f t="shared" si="2699"/>
        <v>129.5</v>
      </c>
      <c r="L6378">
        <f t="shared" si="2700"/>
        <v>126.69</v>
      </c>
      <c r="M6378">
        <f t="shared" si="2701"/>
        <v>2.8100000000000023</v>
      </c>
      <c r="N6378">
        <f t="shared" si="2679"/>
        <v>5.6200000000000045</v>
      </c>
      <c r="O6378">
        <f t="shared" si="2702"/>
        <v>128.25</v>
      </c>
      <c r="P6378">
        <f t="shared" si="2703"/>
        <v>0.55516014234875477</v>
      </c>
      <c r="Q6378" t="str">
        <f t="shared" si="2680"/>
        <v>3.41% | 0.97%</v>
      </c>
      <c r="R6378" t="str">
        <f t="shared" si="2704"/>
        <v>BULLISH</v>
      </c>
      <c r="S6378">
        <f t="shared" si="2705"/>
        <v>1</v>
      </c>
    </row>
    <row r="6379" spans="1:19" hidden="1" x14ac:dyDescent="0.25">
      <c r="A6379" s="5" t="str">
        <f t="shared" si="2693"/>
        <v>44186XLE</v>
      </c>
      <c r="B6379" s="6" t="s">
        <v>250</v>
      </c>
      <c r="C6379" s="6">
        <v>38.01</v>
      </c>
      <c r="D6379" s="6">
        <v>41.65</v>
      </c>
      <c r="E6379" s="6">
        <v>39.4</v>
      </c>
      <c r="F6379" t="str">
        <f t="shared" si="2694"/>
        <v>MON</v>
      </c>
      <c r="G6379" s="1">
        <f t="shared" si="2695"/>
        <v>44186</v>
      </c>
      <c r="H6379" s="2">
        <f t="shared" ca="1" si="2696"/>
        <v>67</v>
      </c>
      <c r="I6379" t="str">
        <f t="shared" si="2697"/>
        <v>XLE</v>
      </c>
      <c r="J6379">
        <f t="shared" si="2698"/>
        <v>38.01</v>
      </c>
      <c r="K6379">
        <f t="shared" si="2699"/>
        <v>41.65</v>
      </c>
      <c r="L6379">
        <f t="shared" si="2700"/>
        <v>39.83</v>
      </c>
      <c r="M6379">
        <f t="shared" si="2701"/>
        <v>1.8200000000000003</v>
      </c>
      <c r="N6379">
        <f t="shared" si="2679"/>
        <v>3.6400000000000006</v>
      </c>
      <c r="O6379">
        <f t="shared" si="2702"/>
        <v>39.4</v>
      </c>
      <c r="P6379">
        <f t="shared" si="2703"/>
        <v>-0.23626373626373606</v>
      </c>
      <c r="Q6379" t="str">
        <f t="shared" si="2680"/>
        <v>3.53% | 5.71%</v>
      </c>
      <c r="R6379" t="str">
        <f t="shared" si="2704"/>
        <v>BULLISH</v>
      </c>
      <c r="S6379">
        <f t="shared" si="2705"/>
        <v>1</v>
      </c>
    </row>
    <row r="6380" spans="1:19" hidden="1" x14ac:dyDescent="0.25">
      <c r="A6380" s="5" t="str">
        <f t="shared" si="2693"/>
        <v>44186XLF</v>
      </c>
      <c r="B6380" s="6" t="s">
        <v>258</v>
      </c>
      <c r="C6380" s="6">
        <v>27.9</v>
      </c>
      <c r="D6380" s="6">
        <v>29.02</v>
      </c>
      <c r="E6380" s="6">
        <v>28.49</v>
      </c>
      <c r="F6380" t="str">
        <f t="shared" si="2694"/>
        <v>MON</v>
      </c>
      <c r="G6380" s="1">
        <f t="shared" si="2695"/>
        <v>44186</v>
      </c>
      <c r="H6380" s="2">
        <f t="shared" ca="1" si="2696"/>
        <v>67</v>
      </c>
      <c r="I6380" t="str">
        <f t="shared" si="2697"/>
        <v>XLF</v>
      </c>
      <c r="J6380">
        <f t="shared" si="2698"/>
        <v>27.9</v>
      </c>
      <c r="K6380">
        <f t="shared" si="2699"/>
        <v>29.02</v>
      </c>
      <c r="L6380">
        <f t="shared" si="2700"/>
        <v>28.46</v>
      </c>
      <c r="M6380">
        <f t="shared" si="2701"/>
        <v>0.5600000000000005</v>
      </c>
      <c r="N6380">
        <f t="shared" si="2679"/>
        <v>1.120000000000001</v>
      </c>
      <c r="O6380">
        <f t="shared" si="2702"/>
        <v>28.49</v>
      </c>
      <c r="P6380">
        <f t="shared" si="2703"/>
        <v>5.3571428571424211E-2</v>
      </c>
      <c r="Q6380" t="str">
        <f t="shared" si="2680"/>
        <v>2.07% | 1.86%</v>
      </c>
      <c r="R6380" t="str">
        <f t="shared" si="2704"/>
        <v>BULLISH</v>
      </c>
      <c r="S6380">
        <f t="shared" si="2705"/>
        <v>1</v>
      </c>
    </row>
    <row r="6381" spans="1:19" hidden="1" x14ac:dyDescent="0.25">
      <c r="A6381" s="5" t="str">
        <f t="shared" si="2693"/>
        <v>44186XLU</v>
      </c>
      <c r="B6381" s="6" t="s">
        <v>82</v>
      </c>
      <c r="C6381" s="6">
        <v>61.55</v>
      </c>
      <c r="D6381" s="6">
        <v>63.24</v>
      </c>
      <c r="E6381" s="6">
        <v>62.29</v>
      </c>
      <c r="F6381" t="str">
        <f t="shared" si="2694"/>
        <v>MON</v>
      </c>
      <c r="G6381" s="1">
        <f t="shared" si="2695"/>
        <v>44186</v>
      </c>
      <c r="H6381" s="2">
        <f t="shared" ca="1" si="2696"/>
        <v>67</v>
      </c>
      <c r="I6381" t="str">
        <f t="shared" si="2697"/>
        <v>XLU</v>
      </c>
      <c r="J6381">
        <f t="shared" si="2698"/>
        <v>61.55</v>
      </c>
      <c r="K6381">
        <f t="shared" si="2699"/>
        <v>63.24</v>
      </c>
      <c r="L6381">
        <f t="shared" si="2700"/>
        <v>62.394999999999996</v>
      </c>
      <c r="M6381">
        <f t="shared" si="2701"/>
        <v>0.84500000000000242</v>
      </c>
      <c r="N6381">
        <f t="shared" si="2679"/>
        <v>1.6900000000000048</v>
      </c>
      <c r="O6381">
        <f t="shared" si="2702"/>
        <v>62.29</v>
      </c>
      <c r="P6381">
        <f t="shared" si="2703"/>
        <v>-0.12426035502958174</v>
      </c>
      <c r="Q6381" t="str">
        <f t="shared" si="2680"/>
        <v>1.19% | 1.53%</v>
      </c>
      <c r="R6381" t="str">
        <f t="shared" si="2704"/>
        <v>BEARISH</v>
      </c>
      <c r="S6381">
        <f t="shared" si="2705"/>
        <v>-1</v>
      </c>
    </row>
    <row r="6382" spans="1:19" hidden="1" x14ac:dyDescent="0.25">
      <c r="A6382" s="5" t="str">
        <f t="shared" si="2693"/>
        <v>44186GDX</v>
      </c>
      <c r="B6382" s="6" t="s">
        <v>254</v>
      </c>
      <c r="C6382" s="6">
        <v>33.979999999999997</v>
      </c>
      <c r="D6382" s="6">
        <v>37.479999999999997</v>
      </c>
      <c r="E6382" s="6">
        <v>36.58</v>
      </c>
      <c r="F6382" t="str">
        <f t="shared" si="2694"/>
        <v>MON</v>
      </c>
      <c r="G6382" s="1">
        <f t="shared" si="2695"/>
        <v>44186</v>
      </c>
      <c r="H6382" s="2">
        <f t="shared" ca="1" si="2696"/>
        <v>67</v>
      </c>
      <c r="I6382" t="str">
        <f t="shared" si="2697"/>
        <v>GDX</v>
      </c>
      <c r="J6382">
        <f t="shared" si="2698"/>
        <v>33.979999999999997</v>
      </c>
      <c r="K6382">
        <f t="shared" si="2699"/>
        <v>37.479999999999997</v>
      </c>
      <c r="L6382">
        <f t="shared" si="2700"/>
        <v>35.729999999999997</v>
      </c>
      <c r="M6382">
        <f t="shared" si="2701"/>
        <v>1.75</v>
      </c>
      <c r="N6382">
        <f t="shared" si="2679"/>
        <v>3.5</v>
      </c>
      <c r="O6382">
        <f t="shared" si="2702"/>
        <v>36.58</v>
      </c>
      <c r="P6382">
        <f t="shared" si="2703"/>
        <v>0.48571428571428654</v>
      </c>
      <c r="Q6382" t="str">
        <f t="shared" si="2680"/>
        <v>7.11% | 2.46%</v>
      </c>
      <c r="R6382" t="str">
        <f t="shared" si="2704"/>
        <v>BEARISH</v>
      </c>
      <c r="S6382">
        <f t="shared" si="2705"/>
        <v>-1</v>
      </c>
    </row>
    <row r="6383" spans="1:19" hidden="1" x14ac:dyDescent="0.25">
      <c r="A6383" s="5" t="str">
        <f t="shared" si="2693"/>
        <v>44186SSEC</v>
      </c>
      <c r="B6383" s="6" t="s">
        <v>104</v>
      </c>
      <c r="C6383" s="6">
        <v>3340</v>
      </c>
      <c r="D6383" s="6">
        <v>3437</v>
      </c>
      <c r="E6383" s="6">
        <v>3420</v>
      </c>
      <c r="F6383" t="str">
        <f t="shared" si="2694"/>
        <v>MON</v>
      </c>
      <c r="G6383" s="1">
        <f t="shared" si="2695"/>
        <v>44186</v>
      </c>
      <c r="H6383" s="2">
        <f t="shared" ca="1" si="2696"/>
        <v>67</v>
      </c>
      <c r="I6383" t="str">
        <f t="shared" si="2697"/>
        <v>SSEC</v>
      </c>
      <c r="J6383">
        <f t="shared" si="2698"/>
        <v>3340</v>
      </c>
      <c r="K6383">
        <f t="shared" si="2699"/>
        <v>3437</v>
      </c>
      <c r="L6383">
        <f t="shared" si="2700"/>
        <v>3388.5</v>
      </c>
      <c r="M6383">
        <f t="shared" si="2701"/>
        <v>48.5</v>
      </c>
      <c r="N6383">
        <f t="shared" si="2679"/>
        <v>97</v>
      </c>
      <c r="O6383">
        <f t="shared" si="2702"/>
        <v>3420</v>
      </c>
      <c r="P6383">
        <f t="shared" si="2703"/>
        <v>0.64948453608247425</v>
      </c>
      <c r="Q6383" t="str">
        <f t="shared" si="2680"/>
        <v>2.34% | 0.5%</v>
      </c>
      <c r="R6383" t="str">
        <f t="shared" si="2704"/>
        <v>BULLISH</v>
      </c>
      <c r="S6383">
        <f t="shared" si="2705"/>
        <v>1</v>
      </c>
    </row>
    <row r="6384" spans="1:19" hidden="1" x14ac:dyDescent="0.25">
      <c r="A6384" s="5" t="str">
        <f t="shared" si="2693"/>
        <v>44186NIKK</v>
      </c>
      <c r="B6384" s="6" t="s">
        <v>91</v>
      </c>
      <c r="C6384" s="6">
        <v>26502</v>
      </c>
      <c r="D6384" s="6">
        <v>26927</v>
      </c>
      <c r="E6384" s="6">
        <v>26714</v>
      </c>
      <c r="F6384" t="str">
        <f t="shared" si="2694"/>
        <v>MON</v>
      </c>
      <c r="G6384" s="1">
        <f t="shared" si="2695"/>
        <v>44186</v>
      </c>
      <c r="H6384" s="2">
        <f t="shared" ca="1" si="2696"/>
        <v>67</v>
      </c>
      <c r="I6384" t="str">
        <f t="shared" si="2697"/>
        <v>NIKK</v>
      </c>
      <c r="J6384">
        <f t="shared" si="2698"/>
        <v>26502</v>
      </c>
      <c r="K6384">
        <f t="shared" si="2699"/>
        <v>26927</v>
      </c>
      <c r="L6384">
        <f t="shared" si="2700"/>
        <v>26714.5</v>
      </c>
      <c r="M6384">
        <f t="shared" si="2701"/>
        <v>212.5</v>
      </c>
      <c r="N6384">
        <f t="shared" si="2679"/>
        <v>425</v>
      </c>
      <c r="O6384">
        <f t="shared" si="2702"/>
        <v>26714</v>
      </c>
      <c r="P6384">
        <f t="shared" si="2703"/>
        <v>-2.352941176470588E-3</v>
      </c>
      <c r="Q6384" t="str">
        <f t="shared" si="2680"/>
        <v>0.79% | 0.8%</v>
      </c>
      <c r="R6384" t="str">
        <f t="shared" si="2704"/>
        <v>BULLISH</v>
      </c>
      <c r="S6384">
        <f t="shared" si="2705"/>
        <v>1</v>
      </c>
    </row>
    <row r="6385" spans="1:19" hidden="1" x14ac:dyDescent="0.25">
      <c r="A6385" s="5" t="str">
        <f t="shared" si="2693"/>
        <v>44186DAX</v>
      </c>
      <c r="B6385" s="6" t="s">
        <v>98</v>
      </c>
      <c r="C6385" s="6">
        <v>13035</v>
      </c>
      <c r="D6385" s="6">
        <v>13750</v>
      </c>
      <c r="E6385" s="6">
        <v>13630</v>
      </c>
      <c r="F6385" t="str">
        <f t="shared" si="2694"/>
        <v>MON</v>
      </c>
      <c r="G6385" s="1">
        <f t="shared" si="2695"/>
        <v>44186</v>
      </c>
      <c r="H6385" s="2">
        <f t="shared" ca="1" si="2696"/>
        <v>67</v>
      </c>
      <c r="I6385" t="str">
        <f t="shared" si="2697"/>
        <v>DAX</v>
      </c>
      <c r="J6385">
        <f t="shared" si="2698"/>
        <v>13035</v>
      </c>
      <c r="K6385">
        <f t="shared" si="2699"/>
        <v>13750</v>
      </c>
      <c r="L6385">
        <f t="shared" si="2700"/>
        <v>13392.5</v>
      </c>
      <c r="M6385">
        <f t="shared" si="2701"/>
        <v>357.5</v>
      </c>
      <c r="N6385">
        <f t="shared" si="2679"/>
        <v>715</v>
      </c>
      <c r="O6385">
        <f t="shared" si="2702"/>
        <v>13630</v>
      </c>
      <c r="P6385">
        <f t="shared" si="2703"/>
        <v>0.66433566433566438</v>
      </c>
      <c r="Q6385" t="str">
        <f t="shared" si="2680"/>
        <v>4.37% | 0.88%</v>
      </c>
      <c r="R6385" t="str">
        <f t="shared" si="2704"/>
        <v>BULLISH</v>
      </c>
      <c r="S6385">
        <f t="shared" si="2705"/>
        <v>1</v>
      </c>
    </row>
    <row r="6386" spans="1:19" hidden="1" x14ac:dyDescent="0.25">
      <c r="A6386" s="5" t="str">
        <f t="shared" si="2693"/>
        <v>44186VIX</v>
      </c>
      <c r="B6386" s="6" t="s">
        <v>96</v>
      </c>
      <c r="C6386" s="6">
        <v>20.2</v>
      </c>
      <c r="D6386" s="6">
        <v>26.51</v>
      </c>
      <c r="E6386" s="6">
        <v>21.57</v>
      </c>
      <c r="F6386" t="str">
        <f t="shared" si="2694"/>
        <v>MON</v>
      </c>
      <c r="G6386" s="1">
        <f t="shared" si="2695"/>
        <v>44186</v>
      </c>
      <c r="H6386" s="2">
        <f t="shared" ca="1" si="2696"/>
        <v>67</v>
      </c>
      <c r="I6386" t="str">
        <f t="shared" si="2697"/>
        <v>VIX</v>
      </c>
      <c r="J6386">
        <f t="shared" si="2698"/>
        <v>20.2</v>
      </c>
      <c r="K6386">
        <f t="shared" si="2699"/>
        <v>26.51</v>
      </c>
      <c r="L6386">
        <f t="shared" si="2700"/>
        <v>23.355</v>
      </c>
      <c r="M6386">
        <f t="shared" si="2701"/>
        <v>3.154999999999982</v>
      </c>
      <c r="N6386">
        <f t="shared" si="2679"/>
        <v>6.3100000000000023</v>
      </c>
      <c r="O6386">
        <v>28.48</v>
      </c>
      <c r="P6386">
        <f t="shared" si="2703"/>
        <v>1.6244057052298033</v>
      </c>
      <c r="Q6386" t="str">
        <f t="shared" si="2680"/>
        <v>29.07% | 6.92%</v>
      </c>
      <c r="R6386" t="str">
        <f t="shared" si="2704"/>
        <v>BEARISH</v>
      </c>
      <c r="S6386">
        <f t="shared" si="2705"/>
        <v>-1</v>
      </c>
    </row>
    <row r="6387" spans="1:19" hidden="1" x14ac:dyDescent="0.25">
      <c r="A6387" s="5" t="str">
        <f t="shared" si="2693"/>
        <v>44186USD</v>
      </c>
      <c r="B6387" s="6" t="s">
        <v>94</v>
      </c>
      <c r="C6387" s="6">
        <v>89.56</v>
      </c>
      <c r="D6387" s="6">
        <v>91.42</v>
      </c>
      <c r="E6387" s="6">
        <v>89.95</v>
      </c>
      <c r="F6387" t="str">
        <f t="shared" si="2694"/>
        <v>MON</v>
      </c>
      <c r="G6387" s="1">
        <f t="shared" si="2695"/>
        <v>44186</v>
      </c>
      <c r="H6387" s="2">
        <f t="shared" ca="1" si="2696"/>
        <v>67</v>
      </c>
      <c r="I6387" t="str">
        <f t="shared" si="2697"/>
        <v>USD</v>
      </c>
      <c r="J6387">
        <f t="shared" si="2698"/>
        <v>89.56</v>
      </c>
      <c r="K6387">
        <f t="shared" si="2699"/>
        <v>91.42</v>
      </c>
      <c r="L6387">
        <f t="shared" si="2700"/>
        <v>90.490000000000009</v>
      </c>
      <c r="M6387">
        <f t="shared" si="2701"/>
        <v>0.92999999999999972</v>
      </c>
      <c r="N6387">
        <f t="shared" si="2679"/>
        <v>1.8599999999999994</v>
      </c>
      <c r="O6387">
        <v>90.57</v>
      </c>
      <c r="P6387">
        <f t="shared" si="2703"/>
        <v>8.6021505376326995E-2</v>
      </c>
      <c r="Q6387" t="str">
        <f t="shared" si="2680"/>
        <v>1.12% | 0.94%</v>
      </c>
      <c r="R6387" t="str">
        <f t="shared" si="2704"/>
        <v>BEARISH</v>
      </c>
      <c r="S6387">
        <f t="shared" si="2705"/>
        <v>-1</v>
      </c>
    </row>
    <row r="6388" spans="1:19" hidden="1" x14ac:dyDescent="0.25">
      <c r="A6388" s="5" t="str">
        <f t="shared" si="2693"/>
        <v>44186EUR/USD</v>
      </c>
      <c r="B6388" s="6" t="s">
        <v>99</v>
      </c>
      <c r="C6388" s="6">
        <v>1.204</v>
      </c>
      <c r="D6388" s="6">
        <v>1.228</v>
      </c>
      <c r="E6388" s="6">
        <v>1.2250000000000001</v>
      </c>
      <c r="F6388" t="str">
        <f t="shared" si="2694"/>
        <v>MON</v>
      </c>
      <c r="G6388" s="1">
        <f t="shared" si="2695"/>
        <v>44186</v>
      </c>
      <c r="H6388" s="2">
        <f t="shared" ca="1" si="2696"/>
        <v>67</v>
      </c>
      <c r="I6388" t="str">
        <f t="shared" si="2697"/>
        <v>EUR/USD</v>
      </c>
      <c r="J6388">
        <f t="shared" si="2698"/>
        <v>1.204</v>
      </c>
      <c r="K6388">
        <f t="shared" si="2699"/>
        <v>1.228</v>
      </c>
      <c r="L6388">
        <f t="shared" si="2700"/>
        <v>1.216</v>
      </c>
      <c r="M6388">
        <f t="shared" si="2701"/>
        <v>1.2000000000000011E-2</v>
      </c>
      <c r="N6388">
        <f t="shared" si="2679"/>
        <v>2.4000000000000021E-2</v>
      </c>
      <c r="O6388">
        <f t="shared" si="2702"/>
        <v>1.2250000000000001</v>
      </c>
      <c r="P6388">
        <f t="shared" si="2703"/>
        <v>0.75000000000000921</v>
      </c>
      <c r="Q6388" t="str">
        <f t="shared" si="2680"/>
        <v>1.71% | 0.24%</v>
      </c>
      <c r="R6388" t="str">
        <f t="shared" si="2704"/>
        <v>BULLISH</v>
      </c>
      <c r="S6388">
        <f t="shared" si="2705"/>
        <v>1</v>
      </c>
    </row>
    <row r="6389" spans="1:19" hidden="1" x14ac:dyDescent="0.25">
      <c r="A6389" s="5" t="str">
        <f t="shared" si="2693"/>
        <v>44186USD/JPY</v>
      </c>
      <c r="B6389" s="6" t="s">
        <v>20</v>
      </c>
      <c r="C6389" s="6">
        <v>102.92</v>
      </c>
      <c r="D6389" s="6">
        <v>104.19</v>
      </c>
      <c r="E6389" s="6">
        <v>103.31</v>
      </c>
      <c r="F6389" t="str">
        <f t="shared" si="2694"/>
        <v>MON</v>
      </c>
      <c r="G6389" s="1">
        <f t="shared" si="2695"/>
        <v>44186</v>
      </c>
      <c r="H6389" s="2">
        <f t="shared" ca="1" si="2696"/>
        <v>67</v>
      </c>
      <c r="I6389" t="str">
        <f t="shared" si="2697"/>
        <v>USD/JPY</v>
      </c>
      <c r="J6389">
        <f t="shared" si="2698"/>
        <v>102.92</v>
      </c>
      <c r="K6389">
        <f t="shared" si="2699"/>
        <v>104.19</v>
      </c>
      <c r="L6389">
        <f t="shared" si="2700"/>
        <v>103.55500000000001</v>
      </c>
      <c r="M6389">
        <f t="shared" si="2701"/>
        <v>0.63499999999999801</v>
      </c>
      <c r="N6389">
        <f t="shared" si="2679"/>
        <v>1.269999999999996</v>
      </c>
      <c r="O6389">
        <f t="shared" si="2702"/>
        <v>103.31</v>
      </c>
      <c r="P6389">
        <f t="shared" si="2703"/>
        <v>-0.38582677165355167</v>
      </c>
      <c r="Q6389" t="str">
        <f t="shared" si="2680"/>
        <v>0.38% | 0.85%</v>
      </c>
      <c r="R6389" t="str">
        <f t="shared" si="2704"/>
        <v>BEARISH</v>
      </c>
      <c r="S6389">
        <f t="shared" si="2705"/>
        <v>-1</v>
      </c>
    </row>
    <row r="6390" spans="1:19" hidden="1" x14ac:dyDescent="0.25">
      <c r="A6390" s="5" t="str">
        <f t="shared" si="2693"/>
        <v>44186GBP/USD</v>
      </c>
      <c r="B6390" s="6" t="s">
        <v>102</v>
      </c>
      <c r="C6390" s="6">
        <v>1.32</v>
      </c>
      <c r="D6390" s="6">
        <v>1.361</v>
      </c>
      <c r="E6390" s="6">
        <v>1.35</v>
      </c>
      <c r="F6390" t="str">
        <f t="shared" si="2694"/>
        <v>MON</v>
      </c>
      <c r="G6390" s="1">
        <f t="shared" si="2695"/>
        <v>44186</v>
      </c>
      <c r="H6390" s="2">
        <f t="shared" ca="1" si="2696"/>
        <v>67</v>
      </c>
      <c r="I6390" t="str">
        <f t="shared" si="2697"/>
        <v>GBP/USD</v>
      </c>
      <c r="J6390">
        <f t="shared" si="2698"/>
        <v>1.32</v>
      </c>
      <c r="K6390">
        <f t="shared" si="2699"/>
        <v>1.361</v>
      </c>
      <c r="L6390">
        <f t="shared" si="2700"/>
        <v>1.3405</v>
      </c>
      <c r="M6390">
        <f t="shared" si="2701"/>
        <v>2.0499999999999963E-2</v>
      </c>
      <c r="N6390">
        <f t="shared" si="2679"/>
        <v>4.0999999999999925E-2</v>
      </c>
      <c r="O6390">
        <f t="shared" si="2702"/>
        <v>1.35</v>
      </c>
      <c r="P6390">
        <f t="shared" si="2703"/>
        <v>0.46341463414634543</v>
      </c>
      <c r="Q6390" t="str">
        <f t="shared" si="2680"/>
        <v>2.22% | 0.81%</v>
      </c>
      <c r="R6390" t="str">
        <f t="shared" si="2704"/>
        <v>BULLISH</v>
      </c>
      <c r="S6390">
        <f t="shared" si="2705"/>
        <v>1</v>
      </c>
    </row>
    <row r="6391" spans="1:19" hidden="1" x14ac:dyDescent="0.25">
      <c r="A6391" s="5" t="str">
        <f t="shared" si="2693"/>
        <v>44186CAD/USD</v>
      </c>
      <c r="B6391" s="6" t="s">
        <v>244</v>
      </c>
      <c r="C6391" s="6">
        <v>0.77</v>
      </c>
      <c r="D6391" s="6">
        <v>0.79</v>
      </c>
      <c r="E6391" s="6">
        <v>0.78</v>
      </c>
      <c r="F6391" t="str">
        <f t="shared" si="2694"/>
        <v>MON</v>
      </c>
      <c r="G6391" s="1">
        <f t="shared" si="2695"/>
        <v>44186</v>
      </c>
      <c r="H6391" s="2">
        <f t="shared" ca="1" si="2696"/>
        <v>67</v>
      </c>
      <c r="I6391" t="str">
        <f t="shared" si="2697"/>
        <v>CAD/USD</v>
      </c>
      <c r="J6391">
        <f t="shared" si="2698"/>
        <v>0.77</v>
      </c>
      <c r="K6391">
        <f t="shared" si="2699"/>
        <v>0.79</v>
      </c>
      <c r="L6391">
        <f t="shared" si="2700"/>
        <v>0.78</v>
      </c>
      <c r="M6391">
        <f t="shared" si="2701"/>
        <v>1.0000000000000009E-2</v>
      </c>
      <c r="N6391">
        <f t="shared" si="2679"/>
        <v>2.0000000000000018E-2</v>
      </c>
      <c r="O6391">
        <f t="shared" si="2702"/>
        <v>0.78</v>
      </c>
      <c r="P6391">
        <f t="shared" si="2703"/>
        <v>0</v>
      </c>
      <c r="Q6391" t="str">
        <f t="shared" si="2680"/>
        <v>1.28% | 1.28%</v>
      </c>
      <c r="R6391" t="str">
        <f t="shared" si="2704"/>
        <v>BULLISH</v>
      </c>
      <c r="S6391">
        <f t="shared" si="2705"/>
        <v>1</v>
      </c>
    </row>
    <row r="6392" spans="1:19" hidden="1" x14ac:dyDescent="0.25">
      <c r="A6392" s="5" t="str">
        <f t="shared" si="2693"/>
        <v>44186USD/CHF</v>
      </c>
      <c r="B6392" s="6" t="s">
        <v>76</v>
      </c>
      <c r="C6392" s="6">
        <v>0.87</v>
      </c>
      <c r="D6392" s="6">
        <v>0.89</v>
      </c>
      <c r="E6392" s="6">
        <v>0.88</v>
      </c>
      <c r="F6392" t="str">
        <f t="shared" si="2694"/>
        <v>MON</v>
      </c>
      <c r="G6392" s="1">
        <f t="shared" si="2695"/>
        <v>44186</v>
      </c>
      <c r="H6392" s="2">
        <f t="shared" ca="1" si="2696"/>
        <v>67</v>
      </c>
      <c r="I6392" t="str">
        <f t="shared" si="2697"/>
        <v>USD/CHF</v>
      </c>
      <c r="J6392">
        <f t="shared" si="2698"/>
        <v>0.87</v>
      </c>
      <c r="K6392">
        <f t="shared" si="2699"/>
        <v>0.89</v>
      </c>
      <c r="L6392">
        <f t="shared" si="2700"/>
        <v>0.88</v>
      </c>
      <c r="M6392">
        <f t="shared" si="2701"/>
        <v>1.0000000000000009E-2</v>
      </c>
      <c r="N6392">
        <f t="shared" si="2679"/>
        <v>2.0000000000000018E-2</v>
      </c>
      <c r="O6392">
        <f t="shared" si="2702"/>
        <v>0.88</v>
      </c>
      <c r="P6392">
        <f t="shared" si="2703"/>
        <v>0</v>
      </c>
      <c r="Q6392" t="str">
        <f t="shared" si="2680"/>
        <v>1.14% | 1.14%</v>
      </c>
      <c r="R6392" t="str">
        <f t="shared" si="2704"/>
        <v>BEARISH</v>
      </c>
      <c r="S6392">
        <f t="shared" si="2705"/>
        <v>-1</v>
      </c>
    </row>
    <row r="6393" spans="1:19" hidden="1" x14ac:dyDescent="0.25">
      <c r="A6393" s="5" t="str">
        <f t="shared" si="2693"/>
        <v>44186WTIC</v>
      </c>
      <c r="B6393" s="6" t="s">
        <v>158</v>
      </c>
      <c r="C6393" s="6">
        <v>45.1</v>
      </c>
      <c r="D6393" s="6">
        <v>49.57</v>
      </c>
      <c r="E6393" s="6">
        <v>49.24</v>
      </c>
      <c r="F6393" t="str">
        <f t="shared" si="2694"/>
        <v>MON</v>
      </c>
      <c r="G6393" s="1">
        <f t="shared" si="2695"/>
        <v>44186</v>
      </c>
      <c r="H6393" s="2">
        <f t="shared" ca="1" si="2696"/>
        <v>67</v>
      </c>
      <c r="I6393" t="str">
        <f t="shared" si="2697"/>
        <v>WTIC</v>
      </c>
      <c r="J6393">
        <f t="shared" si="2698"/>
        <v>45.1</v>
      </c>
      <c r="K6393">
        <f t="shared" si="2699"/>
        <v>49.57</v>
      </c>
      <c r="L6393">
        <f t="shared" si="2700"/>
        <v>47.335000000000001</v>
      </c>
      <c r="M6393">
        <f t="shared" si="2701"/>
        <v>2.2349999999999994</v>
      </c>
      <c r="N6393">
        <f t="shared" si="2679"/>
        <v>4.4699999999999989</v>
      </c>
      <c r="O6393">
        <f t="shared" si="2702"/>
        <v>49.24</v>
      </c>
      <c r="P6393">
        <f t="shared" si="2703"/>
        <v>0.85234899328859137</v>
      </c>
      <c r="Q6393" t="str">
        <f t="shared" si="2680"/>
        <v>8.41% | 0.67%</v>
      </c>
      <c r="R6393" t="str">
        <f t="shared" si="2704"/>
        <v>BULLISH</v>
      </c>
      <c r="S6393">
        <f t="shared" si="2705"/>
        <v>1</v>
      </c>
    </row>
    <row r="6394" spans="1:19" hidden="1" x14ac:dyDescent="0.25">
      <c r="A6394" s="5" t="str">
        <f t="shared" si="2693"/>
        <v>44186NATGAS</v>
      </c>
      <c r="B6394" s="6" t="s">
        <v>89</v>
      </c>
      <c r="C6394" s="6">
        <v>2.35</v>
      </c>
      <c r="D6394" s="6">
        <v>2.83</v>
      </c>
      <c r="E6394" s="6">
        <v>2.7</v>
      </c>
      <c r="F6394" t="str">
        <f t="shared" si="2694"/>
        <v>MON</v>
      </c>
      <c r="G6394" s="1">
        <f t="shared" si="2695"/>
        <v>44186</v>
      </c>
      <c r="H6394" s="2">
        <f t="shared" ca="1" si="2696"/>
        <v>67</v>
      </c>
      <c r="I6394" t="str">
        <f t="shared" si="2697"/>
        <v>NATGAS</v>
      </c>
      <c r="J6394">
        <f t="shared" si="2698"/>
        <v>2.35</v>
      </c>
      <c r="K6394">
        <f t="shared" si="2699"/>
        <v>2.83</v>
      </c>
      <c r="L6394">
        <f t="shared" si="2700"/>
        <v>2.59</v>
      </c>
      <c r="M6394">
        <f t="shared" si="2701"/>
        <v>0.24</v>
      </c>
      <c r="N6394">
        <f t="shared" si="2679"/>
        <v>0.48</v>
      </c>
      <c r="O6394">
        <f t="shared" si="2702"/>
        <v>2.7</v>
      </c>
      <c r="P6394">
        <f t="shared" si="2703"/>
        <v>0.4583333333333347</v>
      </c>
      <c r="Q6394" t="str">
        <f t="shared" si="2680"/>
        <v>12.96% | 4.81%</v>
      </c>
      <c r="R6394" t="str">
        <f t="shared" si="2704"/>
        <v>BULLISH</v>
      </c>
      <c r="S6394">
        <f t="shared" si="2705"/>
        <v>1</v>
      </c>
    </row>
    <row r="6395" spans="1:19" hidden="1" x14ac:dyDescent="0.25">
      <c r="A6395" s="5" t="str">
        <f t="shared" si="2693"/>
        <v>44186GOLD</v>
      </c>
      <c r="B6395" s="6" t="s">
        <v>85</v>
      </c>
      <c r="C6395" s="6">
        <v>1814</v>
      </c>
      <c r="D6395" s="6">
        <v>1898</v>
      </c>
      <c r="E6395" s="6">
        <v>1888</v>
      </c>
      <c r="F6395" t="str">
        <f t="shared" si="2694"/>
        <v>MON</v>
      </c>
      <c r="G6395" s="1">
        <f t="shared" si="2695"/>
        <v>44186</v>
      </c>
      <c r="H6395" s="2">
        <f t="shared" ca="1" si="2696"/>
        <v>67</v>
      </c>
      <c r="I6395" t="str">
        <f t="shared" si="2697"/>
        <v>GOLD</v>
      </c>
      <c r="J6395">
        <f t="shared" si="2698"/>
        <v>1814</v>
      </c>
      <c r="K6395">
        <f t="shared" si="2699"/>
        <v>1898</v>
      </c>
      <c r="L6395">
        <f t="shared" si="2700"/>
        <v>1856</v>
      </c>
      <c r="M6395">
        <f t="shared" si="2701"/>
        <v>42</v>
      </c>
      <c r="N6395">
        <f t="shared" si="2679"/>
        <v>84</v>
      </c>
      <c r="O6395">
        <f t="shared" si="2702"/>
        <v>1888</v>
      </c>
      <c r="P6395">
        <f t="shared" si="2703"/>
        <v>0.76190476190476186</v>
      </c>
      <c r="Q6395" t="str">
        <f t="shared" si="2680"/>
        <v>3.92% | 0.53%</v>
      </c>
      <c r="R6395" t="str">
        <f t="shared" si="2704"/>
        <v>BEARISH</v>
      </c>
      <c r="S6395">
        <f t="shared" si="2705"/>
        <v>-1</v>
      </c>
    </row>
    <row r="6396" spans="1:19" hidden="1" x14ac:dyDescent="0.25">
      <c r="A6396" s="5" t="str">
        <f t="shared" si="2693"/>
        <v>44186COPPER</v>
      </c>
      <c r="B6396" s="6" t="s">
        <v>100</v>
      </c>
      <c r="C6396" s="6">
        <v>3.46</v>
      </c>
      <c r="D6396" s="6">
        <v>3.65</v>
      </c>
      <c r="E6396" s="6">
        <v>3.63</v>
      </c>
      <c r="F6396" t="str">
        <f t="shared" si="2694"/>
        <v>MON</v>
      </c>
      <c r="G6396" s="1">
        <f t="shared" si="2695"/>
        <v>44186</v>
      </c>
      <c r="H6396" s="2">
        <f t="shared" ca="1" si="2696"/>
        <v>67</v>
      </c>
      <c r="I6396" t="str">
        <f t="shared" si="2697"/>
        <v>COPPER</v>
      </c>
      <c r="J6396">
        <f t="shared" si="2698"/>
        <v>3.46</v>
      </c>
      <c r="K6396">
        <f t="shared" si="2699"/>
        <v>3.65</v>
      </c>
      <c r="L6396">
        <f t="shared" si="2700"/>
        <v>3.5549999999999997</v>
      </c>
      <c r="M6396">
        <f t="shared" si="2701"/>
        <v>9.4999999999999973E-2</v>
      </c>
      <c r="N6396">
        <f t="shared" si="2679"/>
        <v>0.18999999999999995</v>
      </c>
      <c r="O6396">
        <f t="shared" si="2702"/>
        <v>3.63</v>
      </c>
      <c r="P6396">
        <f t="shared" si="2703"/>
        <v>0.78947368421052844</v>
      </c>
      <c r="Q6396" t="str">
        <f t="shared" si="2680"/>
        <v>4.68% | 0.55%</v>
      </c>
      <c r="R6396" t="str">
        <f t="shared" si="2704"/>
        <v>BULLISH</v>
      </c>
      <c r="S6396">
        <f t="shared" si="2705"/>
        <v>1</v>
      </c>
    </row>
    <row r="6397" spans="1:19" hidden="1" x14ac:dyDescent="0.25">
      <c r="A6397" s="5" t="str">
        <f t="shared" si="2693"/>
        <v>44186MSFT</v>
      </c>
      <c r="B6397" s="6" t="s">
        <v>27</v>
      </c>
      <c r="C6397" s="6">
        <v>210</v>
      </c>
      <c r="D6397" s="6">
        <v>221</v>
      </c>
      <c r="E6397" s="6">
        <v>218</v>
      </c>
      <c r="F6397" t="str">
        <f t="shared" si="2694"/>
        <v>MON</v>
      </c>
      <c r="G6397" s="1">
        <f t="shared" si="2695"/>
        <v>44186</v>
      </c>
      <c r="H6397" s="2">
        <f t="shared" ca="1" si="2696"/>
        <v>67</v>
      </c>
      <c r="I6397" t="str">
        <f t="shared" si="2697"/>
        <v>MSFT</v>
      </c>
      <c r="J6397">
        <f t="shared" si="2698"/>
        <v>210</v>
      </c>
      <c r="K6397">
        <f t="shared" si="2699"/>
        <v>221</v>
      </c>
      <c r="L6397">
        <f t="shared" si="2700"/>
        <v>215.5</v>
      </c>
      <c r="M6397">
        <f t="shared" si="2701"/>
        <v>5.5</v>
      </c>
      <c r="N6397">
        <f t="shared" si="2679"/>
        <v>11</v>
      </c>
      <c r="O6397">
        <f t="shared" si="2702"/>
        <v>218</v>
      </c>
      <c r="P6397">
        <f t="shared" si="2703"/>
        <v>0.45454545454545453</v>
      </c>
      <c r="Q6397" t="str">
        <f t="shared" si="2680"/>
        <v>3.67% | 1.38%</v>
      </c>
      <c r="R6397" t="str">
        <f t="shared" si="2704"/>
        <v>BULLISH</v>
      </c>
      <c r="S6397">
        <f t="shared" si="2705"/>
        <v>1</v>
      </c>
    </row>
    <row r="6398" spans="1:19" hidden="1" x14ac:dyDescent="0.25">
      <c r="A6398" s="5" t="str">
        <f t="shared" si="2693"/>
        <v>44186AAPL</v>
      </c>
      <c r="B6398" s="6" t="s">
        <v>28</v>
      </c>
      <c r="C6398" s="6">
        <v>119</v>
      </c>
      <c r="D6398" s="6">
        <v>130</v>
      </c>
      <c r="E6398" s="6">
        <v>126</v>
      </c>
      <c r="F6398" t="str">
        <f t="shared" si="2694"/>
        <v>MON</v>
      </c>
      <c r="G6398" s="1">
        <f t="shared" si="2695"/>
        <v>44186</v>
      </c>
      <c r="H6398" s="2">
        <f t="shared" ca="1" si="2696"/>
        <v>67</v>
      </c>
      <c r="I6398" t="str">
        <f t="shared" si="2697"/>
        <v>AAPL</v>
      </c>
      <c r="J6398">
        <f t="shared" si="2698"/>
        <v>119</v>
      </c>
      <c r="K6398">
        <f t="shared" si="2699"/>
        <v>130</v>
      </c>
      <c r="L6398">
        <f t="shared" si="2700"/>
        <v>124.5</v>
      </c>
      <c r="M6398">
        <f t="shared" si="2701"/>
        <v>5.5</v>
      </c>
      <c r="N6398">
        <f t="shared" si="2679"/>
        <v>11</v>
      </c>
      <c r="O6398">
        <f t="shared" si="2702"/>
        <v>126</v>
      </c>
      <c r="P6398">
        <f t="shared" si="2703"/>
        <v>0.27272727272727271</v>
      </c>
      <c r="Q6398" t="str">
        <f t="shared" si="2680"/>
        <v>5.56% | 3.17%</v>
      </c>
      <c r="R6398" t="str">
        <f t="shared" si="2704"/>
        <v>BULLISH</v>
      </c>
      <c r="S6398">
        <f t="shared" si="2705"/>
        <v>1</v>
      </c>
    </row>
    <row r="6399" spans="1:19" hidden="1" x14ac:dyDescent="0.25">
      <c r="A6399" s="5" t="str">
        <f t="shared" si="2693"/>
        <v>44186AMZN</v>
      </c>
      <c r="B6399" s="6" t="s">
        <v>29</v>
      </c>
      <c r="C6399" s="6">
        <v>3064</v>
      </c>
      <c r="D6399" s="6">
        <v>3268</v>
      </c>
      <c r="E6399" s="6">
        <v>3201</v>
      </c>
      <c r="F6399" t="str">
        <f t="shared" si="2694"/>
        <v>MON</v>
      </c>
      <c r="G6399" s="1">
        <f t="shared" si="2695"/>
        <v>44186</v>
      </c>
      <c r="H6399" s="2">
        <f t="shared" ca="1" si="2696"/>
        <v>67</v>
      </c>
      <c r="I6399" t="str">
        <f t="shared" si="2697"/>
        <v>AMZN</v>
      </c>
      <c r="J6399">
        <f t="shared" si="2698"/>
        <v>3064</v>
      </c>
      <c r="K6399">
        <f t="shared" si="2699"/>
        <v>3268</v>
      </c>
      <c r="L6399">
        <f t="shared" si="2700"/>
        <v>3166</v>
      </c>
      <c r="M6399">
        <f t="shared" si="2701"/>
        <v>102</v>
      </c>
      <c r="N6399">
        <f t="shared" si="2679"/>
        <v>204</v>
      </c>
      <c r="O6399">
        <f t="shared" si="2702"/>
        <v>3201</v>
      </c>
      <c r="P6399">
        <f t="shared" si="2703"/>
        <v>0.34313725490196079</v>
      </c>
      <c r="Q6399" t="str">
        <f t="shared" si="2680"/>
        <v>4.28% | 2.09%</v>
      </c>
      <c r="R6399" t="str">
        <f t="shared" si="2704"/>
        <v>BULLISH</v>
      </c>
      <c r="S6399">
        <f t="shared" si="2705"/>
        <v>1</v>
      </c>
    </row>
    <row r="6400" spans="1:19" hidden="1" x14ac:dyDescent="0.25">
      <c r="A6400" s="5" t="str">
        <f t="shared" si="2693"/>
        <v>44186FB</v>
      </c>
      <c r="B6400" s="6" t="s">
        <v>30</v>
      </c>
      <c r="C6400" s="6">
        <v>269</v>
      </c>
      <c r="D6400" s="6">
        <v>283</v>
      </c>
      <c r="E6400" s="6">
        <v>276</v>
      </c>
      <c r="F6400" t="str">
        <f t="shared" si="2694"/>
        <v>MON</v>
      </c>
      <c r="G6400" s="1">
        <f t="shared" si="2695"/>
        <v>44186</v>
      </c>
      <c r="H6400" s="2">
        <f t="shared" ca="1" si="2696"/>
        <v>67</v>
      </c>
      <c r="I6400" t="str">
        <f t="shared" si="2697"/>
        <v>FB</v>
      </c>
      <c r="J6400">
        <f t="shared" si="2698"/>
        <v>269</v>
      </c>
      <c r="K6400">
        <f t="shared" si="2699"/>
        <v>283</v>
      </c>
      <c r="L6400">
        <f t="shared" si="2700"/>
        <v>276</v>
      </c>
      <c r="M6400">
        <f t="shared" si="2701"/>
        <v>7</v>
      </c>
      <c r="N6400">
        <f t="shared" si="2679"/>
        <v>14</v>
      </c>
      <c r="O6400">
        <f t="shared" si="2702"/>
        <v>276</v>
      </c>
      <c r="P6400">
        <f t="shared" si="2703"/>
        <v>0</v>
      </c>
      <c r="Q6400" t="str">
        <f t="shared" si="2680"/>
        <v>2.54% | 2.54%</v>
      </c>
      <c r="R6400" t="str">
        <f t="shared" si="2704"/>
        <v>BULLISH</v>
      </c>
      <c r="S6400">
        <f t="shared" si="2705"/>
        <v>1</v>
      </c>
    </row>
    <row r="6401" spans="1:19" hidden="1" x14ac:dyDescent="0.25">
      <c r="A6401" s="5" t="str">
        <f t="shared" si="2693"/>
        <v>44186GOOGL</v>
      </c>
      <c r="B6401" s="6" t="s">
        <v>31</v>
      </c>
      <c r="C6401" s="6">
        <v>1714</v>
      </c>
      <c r="D6401" s="6">
        <v>1791</v>
      </c>
      <c r="E6401" s="6">
        <v>1726</v>
      </c>
      <c r="F6401" t="str">
        <f t="shared" si="2694"/>
        <v>MON</v>
      </c>
      <c r="G6401" s="1">
        <f t="shared" si="2695"/>
        <v>44186</v>
      </c>
      <c r="H6401" s="2">
        <f t="shared" ca="1" si="2696"/>
        <v>67</v>
      </c>
      <c r="I6401" t="str">
        <f t="shared" si="2697"/>
        <v>GOOGL</v>
      </c>
      <c r="J6401">
        <f t="shared" si="2698"/>
        <v>1714</v>
      </c>
      <c r="K6401">
        <f t="shared" si="2699"/>
        <v>1791</v>
      </c>
      <c r="L6401">
        <f t="shared" si="2700"/>
        <v>1752.5</v>
      </c>
      <c r="M6401">
        <f t="shared" si="2701"/>
        <v>38.5</v>
      </c>
      <c r="N6401">
        <f t="shared" si="2679"/>
        <v>77</v>
      </c>
      <c r="O6401">
        <f t="shared" si="2702"/>
        <v>1726</v>
      </c>
      <c r="P6401">
        <f t="shared" si="2703"/>
        <v>-0.68831168831168832</v>
      </c>
      <c r="Q6401" t="str">
        <f t="shared" si="2680"/>
        <v>0.7% | 3.77%</v>
      </c>
      <c r="R6401" t="str">
        <f t="shared" si="2704"/>
        <v>BULLISH</v>
      </c>
      <c r="S6401">
        <f t="shared" si="2705"/>
        <v>1</v>
      </c>
    </row>
    <row r="6402" spans="1:19" hidden="1" x14ac:dyDescent="0.25">
      <c r="A6402" s="5" t="str">
        <f t="shared" si="2693"/>
        <v>44186NFLX</v>
      </c>
      <c r="B6402" s="6" t="s">
        <v>32</v>
      </c>
      <c r="C6402" s="6">
        <v>490</v>
      </c>
      <c r="D6402" s="6">
        <v>544</v>
      </c>
      <c r="E6402" s="6">
        <v>534</v>
      </c>
      <c r="F6402" t="str">
        <f t="shared" si="2694"/>
        <v>MON</v>
      </c>
      <c r="G6402" s="1">
        <f t="shared" si="2695"/>
        <v>44186</v>
      </c>
      <c r="H6402" s="2">
        <f t="shared" ca="1" si="2696"/>
        <v>67</v>
      </c>
      <c r="I6402" t="str">
        <f t="shared" si="2697"/>
        <v>NFLX</v>
      </c>
      <c r="J6402">
        <f t="shared" si="2698"/>
        <v>490</v>
      </c>
      <c r="K6402">
        <f t="shared" si="2699"/>
        <v>544</v>
      </c>
      <c r="L6402">
        <f t="shared" si="2700"/>
        <v>517</v>
      </c>
      <c r="M6402">
        <f t="shared" si="2701"/>
        <v>27</v>
      </c>
      <c r="N6402">
        <f t="shared" si="2679"/>
        <v>54</v>
      </c>
      <c r="O6402">
        <f t="shared" si="2702"/>
        <v>534</v>
      </c>
      <c r="P6402">
        <f t="shared" si="2703"/>
        <v>0.62962962962962965</v>
      </c>
      <c r="Q6402" t="str">
        <f t="shared" si="2680"/>
        <v>8.24% | 1.87%</v>
      </c>
      <c r="R6402" t="str">
        <f t="shared" si="2704"/>
        <v>BULLISH</v>
      </c>
      <c r="S6402">
        <f t="shared" si="2705"/>
        <v>1</v>
      </c>
    </row>
    <row r="6403" spans="1:19" x14ac:dyDescent="0.25">
      <c r="A6403" s="5" t="str">
        <f t="shared" si="2693"/>
        <v>44186TSLA</v>
      </c>
      <c r="B6403" s="6" t="s">
        <v>33</v>
      </c>
      <c r="C6403" s="6">
        <v>586</v>
      </c>
      <c r="D6403" s="6">
        <v>699</v>
      </c>
      <c r="E6403" s="6">
        <v>695</v>
      </c>
      <c r="F6403" t="str">
        <f t="shared" si="2694"/>
        <v>MON</v>
      </c>
      <c r="G6403" s="1">
        <f t="shared" si="2695"/>
        <v>44186</v>
      </c>
      <c r="H6403" s="2">
        <f t="shared" ca="1" si="2696"/>
        <v>67</v>
      </c>
      <c r="I6403" t="str">
        <f t="shared" si="2697"/>
        <v>TSLA</v>
      </c>
      <c r="J6403">
        <f t="shared" si="2698"/>
        <v>586</v>
      </c>
      <c r="K6403">
        <f t="shared" si="2699"/>
        <v>699</v>
      </c>
      <c r="L6403">
        <f t="shared" si="2700"/>
        <v>642.5</v>
      </c>
      <c r="M6403">
        <f t="shared" si="2701"/>
        <v>56.5</v>
      </c>
      <c r="N6403">
        <f t="shared" ref="N6403:N6466" si="2706">ABS(K6403-J6403)</f>
        <v>113</v>
      </c>
      <c r="O6403">
        <f t="shared" si="2702"/>
        <v>695</v>
      </c>
      <c r="P6403">
        <f t="shared" si="2703"/>
        <v>0.92920353982300885</v>
      </c>
      <c r="Q6403" t="str">
        <f t="shared" ref="Q6403:Q6466" si="2707">ROUND(ABS(100*(O6403-J6403)/O6403),2)&amp;"% | "&amp;ROUND(ABS(100*(K6403-O6403)/O6403),2)&amp;"%"</f>
        <v>15.68% | 0.58%</v>
      </c>
      <c r="R6403" t="str">
        <f t="shared" si="2704"/>
        <v>BULLISH</v>
      </c>
      <c r="S6403">
        <f t="shared" si="2705"/>
        <v>1</v>
      </c>
    </row>
    <row r="6404" spans="1:19" hidden="1" x14ac:dyDescent="0.25">
      <c r="A6404" s="5" t="str">
        <f t="shared" si="2693"/>
        <v>44186NYXBT</v>
      </c>
      <c r="B6404" s="6" t="s">
        <v>60</v>
      </c>
      <c r="C6404" s="6">
        <v>19819</v>
      </c>
      <c r="D6404" s="6">
        <v>23526</v>
      </c>
      <c r="E6404" s="6">
        <v>22470</v>
      </c>
      <c r="F6404" t="str">
        <f t="shared" si="2694"/>
        <v>MON</v>
      </c>
      <c r="G6404" s="1">
        <f t="shared" si="2695"/>
        <v>44186</v>
      </c>
      <c r="H6404" s="2">
        <f t="shared" ca="1" si="2696"/>
        <v>67</v>
      </c>
      <c r="I6404" t="str">
        <f t="shared" si="2697"/>
        <v>NYXBT</v>
      </c>
      <c r="J6404">
        <f t="shared" si="2698"/>
        <v>19819</v>
      </c>
      <c r="K6404">
        <f t="shared" si="2699"/>
        <v>23526</v>
      </c>
      <c r="L6404">
        <f t="shared" si="2700"/>
        <v>21672.5</v>
      </c>
      <c r="M6404">
        <f t="shared" si="2701"/>
        <v>1853.5</v>
      </c>
      <c r="N6404">
        <f t="shared" si="2706"/>
        <v>3707</v>
      </c>
      <c r="O6404">
        <f t="shared" si="2702"/>
        <v>22470</v>
      </c>
      <c r="P6404">
        <f t="shared" si="2703"/>
        <v>0.43026706231454004</v>
      </c>
      <c r="Q6404" t="str">
        <f t="shared" si="2707"/>
        <v>11.8% | 4.7%</v>
      </c>
      <c r="R6404" t="str">
        <f t="shared" si="2704"/>
        <v>BULLISH</v>
      </c>
      <c r="S6404">
        <f t="shared" si="2705"/>
        <v>1</v>
      </c>
    </row>
    <row r="6405" spans="1:19" hidden="1" x14ac:dyDescent="0.25">
      <c r="A6405" s="5" t="str">
        <f t="shared" si="2693"/>
        <v>44187UST10Y</v>
      </c>
      <c r="B6405" s="6" t="s">
        <v>257</v>
      </c>
      <c r="C6405" s="6">
        <v>0.98</v>
      </c>
      <c r="D6405" s="6">
        <v>0.89</v>
      </c>
      <c r="E6405" s="6">
        <v>0.95</v>
      </c>
      <c r="F6405" t="str">
        <f t="shared" si="2694"/>
        <v>TUE</v>
      </c>
      <c r="G6405" s="3">
        <f>DATE(2020,12,22)</f>
        <v>44187</v>
      </c>
      <c r="H6405" s="2">
        <f t="shared" ca="1" si="2696"/>
        <v>66</v>
      </c>
      <c r="I6405" t="str">
        <f t="shared" si="2697"/>
        <v>UST10Y</v>
      </c>
      <c r="J6405">
        <f t="shared" si="2698"/>
        <v>0.98</v>
      </c>
      <c r="K6405">
        <f t="shared" si="2699"/>
        <v>0.89</v>
      </c>
      <c r="L6405">
        <f t="shared" si="2700"/>
        <v>0.93500000000000005</v>
      </c>
      <c r="M6405">
        <f t="shared" si="2701"/>
        <v>4.4999999999999991E-2</v>
      </c>
      <c r="N6405">
        <f t="shared" si="2706"/>
        <v>8.9999999999999969E-2</v>
      </c>
      <c r="O6405">
        <f t="shared" si="2702"/>
        <v>0.95</v>
      </c>
      <c r="P6405">
        <f t="shared" si="2703"/>
        <v>0.33333333333333121</v>
      </c>
      <c r="Q6405" t="str">
        <f t="shared" si="2707"/>
        <v>3.16% | 6.32%</v>
      </c>
      <c r="R6405" t="str">
        <f t="shared" si="2704"/>
        <v>BULLISH</v>
      </c>
      <c r="S6405">
        <f t="shared" si="2705"/>
        <v>1</v>
      </c>
    </row>
    <row r="6406" spans="1:19" hidden="1" x14ac:dyDescent="0.25">
      <c r="A6406" s="5" t="str">
        <f t="shared" si="2693"/>
        <v>44187UST2Y</v>
      </c>
      <c r="B6406" s="6" t="s">
        <v>253</v>
      </c>
      <c r="C6406" s="6">
        <v>0.16</v>
      </c>
      <c r="D6406" s="6">
        <v>0.11</v>
      </c>
      <c r="E6406" s="6">
        <v>0.13</v>
      </c>
      <c r="F6406" t="str">
        <f t="shared" ref="F6406:F6437" si="2708">UPPER(TEXT(G6406,"ddd"))</f>
        <v>TUE</v>
      </c>
      <c r="G6406" s="3">
        <f t="shared" ref="G6406:G6436" si="2709">DATE(2020,12,22)</f>
        <v>44187</v>
      </c>
      <c r="H6406" s="2">
        <f t="shared" ref="H6406:H6437" ca="1" si="2710">TODAY()-G6406</f>
        <v>66</v>
      </c>
      <c r="I6406" t="str">
        <f t="shared" ref="I6406:I6437" si="2711">TRIM(LEFT(B6406,FIND(" ",B6406,1)))</f>
        <v>UST2Y</v>
      </c>
      <c r="J6406">
        <f t="shared" ref="J6406:J6437" si="2712">C6406</f>
        <v>0.16</v>
      </c>
      <c r="K6406">
        <f t="shared" ref="K6406:K6437" si="2713">D6406</f>
        <v>0.11</v>
      </c>
      <c r="L6406">
        <f t="shared" ref="L6406:L6437" si="2714">AVERAGE(J6406:K6406)</f>
        <v>0.13500000000000001</v>
      </c>
      <c r="M6406">
        <f t="shared" ref="M6406:M6437" si="2715">_xlfn.STDEV.P(J6406:K6406)</f>
        <v>2.4999999999999942E-2</v>
      </c>
      <c r="N6406">
        <f t="shared" si="2706"/>
        <v>0.05</v>
      </c>
      <c r="O6406">
        <f t="shared" ref="O6406:O6437" si="2716">E6406</f>
        <v>0.13</v>
      </c>
      <c r="P6406">
        <f t="shared" ref="P6406:P6437" si="2717">(O6406-L6406)/M6406</f>
        <v>-0.20000000000000065</v>
      </c>
      <c r="Q6406" t="str">
        <f t="shared" si="2707"/>
        <v>23.08% | 15.38%</v>
      </c>
      <c r="R6406" t="str">
        <f t="shared" ref="R6406:R6437" si="2718">MID(B6406,FIND("(",B6406,1)+1,FIND(")",B6406,1)-FIND("(",B6406,1)-1)</f>
        <v>NEUTRAL</v>
      </c>
      <c r="S6406">
        <f t="shared" ref="S6406:S6437" si="2719">IF(R6406="BEARISH",-1,IF(R6406="NEUTRAL",0,IF(R6406="BULLISH",1,99)))</f>
        <v>0</v>
      </c>
    </row>
    <row r="6407" spans="1:19" hidden="1" x14ac:dyDescent="0.25">
      <c r="A6407" s="5" t="str">
        <f t="shared" si="2693"/>
        <v>44187SPX</v>
      </c>
      <c r="B6407" s="6" t="s">
        <v>93</v>
      </c>
      <c r="C6407" s="6">
        <v>3636</v>
      </c>
      <c r="D6407" s="6">
        <v>3733</v>
      </c>
      <c r="E6407" s="6">
        <v>3694</v>
      </c>
      <c r="F6407" t="str">
        <f t="shared" si="2708"/>
        <v>TUE</v>
      </c>
      <c r="G6407" s="3">
        <f t="shared" si="2709"/>
        <v>44187</v>
      </c>
      <c r="H6407" s="2">
        <f t="shared" ca="1" si="2710"/>
        <v>66</v>
      </c>
      <c r="I6407" t="str">
        <f t="shared" si="2711"/>
        <v>SPX</v>
      </c>
      <c r="J6407">
        <f t="shared" si="2712"/>
        <v>3636</v>
      </c>
      <c r="K6407">
        <f t="shared" si="2713"/>
        <v>3733</v>
      </c>
      <c r="L6407">
        <f t="shared" si="2714"/>
        <v>3684.5</v>
      </c>
      <c r="M6407">
        <f t="shared" si="2715"/>
        <v>48.5</v>
      </c>
      <c r="N6407">
        <f t="shared" si="2706"/>
        <v>97</v>
      </c>
      <c r="O6407">
        <f t="shared" si="2716"/>
        <v>3694</v>
      </c>
      <c r="P6407">
        <f t="shared" si="2717"/>
        <v>0.19587628865979381</v>
      </c>
      <c r="Q6407" t="str">
        <f t="shared" si="2707"/>
        <v>1.57% | 1.06%</v>
      </c>
      <c r="R6407" t="str">
        <f t="shared" si="2718"/>
        <v>BULLISH</v>
      </c>
      <c r="S6407">
        <f t="shared" si="2719"/>
        <v>1</v>
      </c>
    </row>
    <row r="6408" spans="1:19" hidden="1" x14ac:dyDescent="0.25">
      <c r="A6408" s="5" t="str">
        <f t="shared" ref="A6408:A6471" si="2720">G6408&amp;I6408</f>
        <v>44187RUT</v>
      </c>
      <c r="B6408" s="6" t="s">
        <v>247</v>
      </c>
      <c r="C6408" s="6">
        <v>1889</v>
      </c>
      <c r="D6408" s="6">
        <v>2000</v>
      </c>
      <c r="E6408" s="6">
        <v>1970</v>
      </c>
      <c r="F6408" t="str">
        <f t="shared" si="2708"/>
        <v>TUE</v>
      </c>
      <c r="G6408" s="3">
        <f t="shared" si="2709"/>
        <v>44187</v>
      </c>
      <c r="H6408" s="2">
        <f t="shared" ca="1" si="2710"/>
        <v>66</v>
      </c>
      <c r="I6408" t="str">
        <f t="shared" si="2711"/>
        <v>RUT</v>
      </c>
      <c r="J6408">
        <f t="shared" si="2712"/>
        <v>1889</v>
      </c>
      <c r="K6408">
        <f t="shared" si="2713"/>
        <v>2000</v>
      </c>
      <c r="L6408">
        <f t="shared" si="2714"/>
        <v>1944.5</v>
      </c>
      <c r="M6408">
        <f t="shared" si="2715"/>
        <v>55.5</v>
      </c>
      <c r="N6408">
        <f t="shared" si="2706"/>
        <v>111</v>
      </c>
      <c r="O6408">
        <f t="shared" si="2716"/>
        <v>1970</v>
      </c>
      <c r="P6408">
        <f t="shared" si="2717"/>
        <v>0.45945945945945948</v>
      </c>
      <c r="Q6408" t="str">
        <f t="shared" si="2707"/>
        <v>4.11% | 1.52%</v>
      </c>
      <c r="R6408" t="str">
        <f t="shared" si="2718"/>
        <v>BULLISH</v>
      </c>
      <c r="S6408">
        <f t="shared" si="2719"/>
        <v>1</v>
      </c>
    </row>
    <row r="6409" spans="1:19" hidden="1" x14ac:dyDescent="0.25">
      <c r="A6409" s="5" t="str">
        <f t="shared" si="2720"/>
        <v>44187COMPQ</v>
      </c>
      <c r="B6409" s="6" t="s">
        <v>8</v>
      </c>
      <c r="C6409" s="6">
        <v>12295</v>
      </c>
      <c r="D6409" s="6">
        <v>12900</v>
      </c>
      <c r="E6409" s="6">
        <v>12742</v>
      </c>
      <c r="F6409" t="str">
        <f t="shared" si="2708"/>
        <v>TUE</v>
      </c>
      <c r="G6409" s="3">
        <f t="shared" si="2709"/>
        <v>44187</v>
      </c>
      <c r="H6409" s="2">
        <f t="shared" ca="1" si="2710"/>
        <v>66</v>
      </c>
      <c r="I6409" t="str">
        <f t="shared" si="2711"/>
        <v>COMPQ</v>
      </c>
      <c r="J6409">
        <f t="shared" si="2712"/>
        <v>12295</v>
      </c>
      <c r="K6409">
        <f t="shared" si="2713"/>
        <v>12900</v>
      </c>
      <c r="L6409">
        <f t="shared" si="2714"/>
        <v>12597.5</v>
      </c>
      <c r="M6409">
        <f t="shared" si="2715"/>
        <v>302.5</v>
      </c>
      <c r="N6409">
        <f t="shared" si="2706"/>
        <v>605</v>
      </c>
      <c r="O6409">
        <f t="shared" si="2716"/>
        <v>12742</v>
      </c>
      <c r="P6409">
        <f t="shared" si="2717"/>
        <v>0.47768595041322315</v>
      </c>
      <c r="Q6409" t="str">
        <f t="shared" si="2707"/>
        <v>3.51% | 1.24%</v>
      </c>
      <c r="R6409" t="str">
        <f t="shared" si="2718"/>
        <v>BULLISH</v>
      </c>
      <c r="S6409">
        <f t="shared" si="2719"/>
        <v>1</v>
      </c>
    </row>
    <row r="6410" spans="1:19" hidden="1" x14ac:dyDescent="0.25">
      <c r="A6410" s="5" t="str">
        <f t="shared" si="2720"/>
        <v>44187XLK</v>
      </c>
      <c r="B6410" s="6" t="s">
        <v>10</v>
      </c>
      <c r="C6410" s="6">
        <v>123.98</v>
      </c>
      <c r="D6410" s="6">
        <v>129.82</v>
      </c>
      <c r="E6410" s="6">
        <v>128.08000000000001</v>
      </c>
      <c r="F6410" t="str">
        <f t="shared" si="2708"/>
        <v>TUE</v>
      </c>
      <c r="G6410" s="3">
        <f t="shared" si="2709"/>
        <v>44187</v>
      </c>
      <c r="H6410" s="2">
        <f t="shared" ca="1" si="2710"/>
        <v>66</v>
      </c>
      <c r="I6410" t="str">
        <f t="shared" si="2711"/>
        <v>XLK</v>
      </c>
      <c r="J6410">
        <f t="shared" si="2712"/>
        <v>123.98</v>
      </c>
      <c r="K6410">
        <f t="shared" si="2713"/>
        <v>129.82</v>
      </c>
      <c r="L6410">
        <f t="shared" si="2714"/>
        <v>126.9</v>
      </c>
      <c r="M6410">
        <f t="shared" si="2715"/>
        <v>2.9199999999999946</v>
      </c>
      <c r="N6410">
        <f t="shared" si="2706"/>
        <v>5.8399999999999892</v>
      </c>
      <c r="O6410">
        <f t="shared" si="2716"/>
        <v>128.08000000000001</v>
      </c>
      <c r="P6410">
        <f t="shared" si="2717"/>
        <v>0.40410958904109895</v>
      </c>
      <c r="Q6410" t="str">
        <f t="shared" si="2707"/>
        <v>3.2% | 1.36%</v>
      </c>
      <c r="R6410" t="str">
        <f t="shared" si="2718"/>
        <v>BULLISH</v>
      </c>
      <c r="S6410">
        <f t="shared" si="2719"/>
        <v>1</v>
      </c>
    </row>
    <row r="6411" spans="1:19" hidden="1" x14ac:dyDescent="0.25">
      <c r="A6411" s="5" t="str">
        <f t="shared" si="2720"/>
        <v>44187XLE</v>
      </c>
      <c r="B6411" s="6" t="s">
        <v>250</v>
      </c>
      <c r="C6411" s="6">
        <v>37.35</v>
      </c>
      <c r="D6411" s="6">
        <v>41.39</v>
      </c>
      <c r="E6411" s="6">
        <v>38.130000000000003</v>
      </c>
      <c r="F6411" t="str">
        <f t="shared" si="2708"/>
        <v>TUE</v>
      </c>
      <c r="G6411" s="3">
        <f t="shared" si="2709"/>
        <v>44187</v>
      </c>
      <c r="H6411" s="2">
        <f t="shared" ca="1" si="2710"/>
        <v>66</v>
      </c>
      <c r="I6411" t="str">
        <f t="shared" si="2711"/>
        <v>XLE</v>
      </c>
      <c r="J6411">
        <f t="shared" si="2712"/>
        <v>37.35</v>
      </c>
      <c r="K6411">
        <f t="shared" si="2713"/>
        <v>41.39</v>
      </c>
      <c r="L6411">
        <f t="shared" si="2714"/>
        <v>39.370000000000005</v>
      </c>
      <c r="M6411">
        <f t="shared" si="2715"/>
        <v>2.0199999999999996</v>
      </c>
      <c r="N6411">
        <f t="shared" si="2706"/>
        <v>4.0399999999999991</v>
      </c>
      <c r="O6411">
        <f t="shared" si="2716"/>
        <v>38.130000000000003</v>
      </c>
      <c r="P6411">
        <f t="shared" si="2717"/>
        <v>-0.61386138613861496</v>
      </c>
      <c r="Q6411" t="str">
        <f t="shared" si="2707"/>
        <v>2.05% | 8.55%</v>
      </c>
      <c r="R6411" t="str">
        <f t="shared" si="2718"/>
        <v>BULLISH</v>
      </c>
      <c r="S6411">
        <f t="shared" si="2719"/>
        <v>1</v>
      </c>
    </row>
    <row r="6412" spans="1:19" hidden="1" x14ac:dyDescent="0.25">
      <c r="A6412" s="5" t="str">
        <f t="shared" si="2720"/>
        <v>44187XLF</v>
      </c>
      <c r="B6412" s="6" t="s">
        <v>258</v>
      </c>
      <c r="C6412" s="6">
        <v>27.99</v>
      </c>
      <c r="D6412" s="6">
        <v>29.02</v>
      </c>
      <c r="E6412" s="6">
        <v>28.72</v>
      </c>
      <c r="F6412" t="str">
        <f t="shared" si="2708"/>
        <v>TUE</v>
      </c>
      <c r="G6412" s="3">
        <f t="shared" si="2709"/>
        <v>44187</v>
      </c>
      <c r="H6412" s="2">
        <f t="shared" ca="1" si="2710"/>
        <v>66</v>
      </c>
      <c r="I6412" t="str">
        <f t="shared" si="2711"/>
        <v>XLF</v>
      </c>
      <c r="J6412">
        <f t="shared" si="2712"/>
        <v>27.99</v>
      </c>
      <c r="K6412">
        <f t="shared" si="2713"/>
        <v>29.02</v>
      </c>
      <c r="L6412">
        <f t="shared" si="2714"/>
        <v>28.504999999999999</v>
      </c>
      <c r="M6412">
        <f t="shared" si="2715"/>
        <v>0.51500000000000057</v>
      </c>
      <c r="N6412">
        <f t="shared" si="2706"/>
        <v>1.0300000000000011</v>
      </c>
      <c r="O6412">
        <f t="shared" si="2716"/>
        <v>28.72</v>
      </c>
      <c r="P6412">
        <f t="shared" si="2717"/>
        <v>0.41747572815533907</v>
      </c>
      <c r="Q6412" t="str">
        <f t="shared" si="2707"/>
        <v>2.54% | 1.04%</v>
      </c>
      <c r="R6412" t="str">
        <f t="shared" si="2718"/>
        <v>BULLISH</v>
      </c>
      <c r="S6412">
        <f t="shared" si="2719"/>
        <v>1</v>
      </c>
    </row>
    <row r="6413" spans="1:19" hidden="1" x14ac:dyDescent="0.25">
      <c r="A6413" s="5" t="str">
        <f t="shared" si="2720"/>
        <v>44187XLU</v>
      </c>
      <c r="B6413" s="6" t="s">
        <v>82</v>
      </c>
      <c r="C6413" s="6">
        <v>60.43</v>
      </c>
      <c r="D6413" s="6">
        <v>62.55</v>
      </c>
      <c r="E6413" s="6">
        <v>61.02</v>
      </c>
      <c r="F6413" t="str">
        <f t="shared" si="2708"/>
        <v>TUE</v>
      </c>
      <c r="G6413" s="3">
        <f t="shared" si="2709"/>
        <v>44187</v>
      </c>
      <c r="H6413" s="2">
        <f t="shared" ca="1" si="2710"/>
        <v>66</v>
      </c>
      <c r="I6413" t="str">
        <f t="shared" si="2711"/>
        <v>XLU</v>
      </c>
      <c r="J6413">
        <f t="shared" si="2712"/>
        <v>60.43</v>
      </c>
      <c r="K6413">
        <f t="shared" si="2713"/>
        <v>62.55</v>
      </c>
      <c r="L6413">
        <f t="shared" si="2714"/>
        <v>61.489999999999995</v>
      </c>
      <c r="M6413">
        <f t="shared" si="2715"/>
        <v>1.0599999999999987</v>
      </c>
      <c r="N6413">
        <f t="shared" si="2706"/>
        <v>2.1199999999999974</v>
      </c>
      <c r="O6413">
        <f t="shared" si="2716"/>
        <v>61.02</v>
      </c>
      <c r="P6413">
        <f t="shared" si="2717"/>
        <v>-0.44339622641508708</v>
      </c>
      <c r="Q6413" t="str">
        <f t="shared" si="2707"/>
        <v>0.97% | 2.51%</v>
      </c>
      <c r="R6413" t="str">
        <f t="shared" si="2718"/>
        <v>BEARISH</v>
      </c>
      <c r="S6413">
        <f t="shared" si="2719"/>
        <v>-1</v>
      </c>
    </row>
    <row r="6414" spans="1:19" hidden="1" x14ac:dyDescent="0.25">
      <c r="A6414" s="5" t="str">
        <f t="shared" si="2720"/>
        <v>44187GDX</v>
      </c>
      <c r="B6414" s="6" t="s">
        <v>254</v>
      </c>
      <c r="C6414" s="6">
        <v>33.799999999999997</v>
      </c>
      <c r="D6414" s="6">
        <v>37.24</v>
      </c>
      <c r="E6414" s="6">
        <v>36.35</v>
      </c>
      <c r="F6414" t="str">
        <f t="shared" si="2708"/>
        <v>TUE</v>
      </c>
      <c r="G6414" s="3">
        <f t="shared" si="2709"/>
        <v>44187</v>
      </c>
      <c r="H6414" s="2">
        <f t="shared" ca="1" si="2710"/>
        <v>66</v>
      </c>
      <c r="I6414" t="str">
        <f t="shared" si="2711"/>
        <v>GDX</v>
      </c>
      <c r="J6414">
        <f t="shared" si="2712"/>
        <v>33.799999999999997</v>
      </c>
      <c r="K6414">
        <f t="shared" si="2713"/>
        <v>37.24</v>
      </c>
      <c r="L6414">
        <f t="shared" si="2714"/>
        <v>35.519999999999996</v>
      </c>
      <c r="M6414">
        <f t="shared" si="2715"/>
        <v>1.7200000000000024</v>
      </c>
      <c r="N6414">
        <f t="shared" si="2706"/>
        <v>3.4400000000000048</v>
      </c>
      <c r="O6414">
        <f t="shared" si="2716"/>
        <v>36.35</v>
      </c>
      <c r="P6414">
        <f t="shared" si="2717"/>
        <v>0.48255813953488619</v>
      </c>
      <c r="Q6414" t="str">
        <f t="shared" si="2707"/>
        <v>7.02% | 2.45%</v>
      </c>
      <c r="R6414" t="str">
        <f t="shared" si="2718"/>
        <v>BEARISH</v>
      </c>
      <c r="S6414">
        <f t="shared" si="2719"/>
        <v>-1</v>
      </c>
    </row>
    <row r="6415" spans="1:19" hidden="1" x14ac:dyDescent="0.25">
      <c r="A6415" s="5" t="str">
        <f t="shared" si="2720"/>
        <v>44187SSEC</v>
      </c>
      <c r="B6415" s="6" t="s">
        <v>104</v>
      </c>
      <c r="C6415" s="6">
        <v>3325</v>
      </c>
      <c r="D6415" s="6">
        <v>3423</v>
      </c>
      <c r="E6415" s="6">
        <v>3356</v>
      </c>
      <c r="F6415" t="str">
        <f t="shared" si="2708"/>
        <v>TUE</v>
      </c>
      <c r="G6415" s="3">
        <f t="shared" si="2709"/>
        <v>44187</v>
      </c>
      <c r="H6415" s="2">
        <f t="shared" ca="1" si="2710"/>
        <v>66</v>
      </c>
      <c r="I6415" t="str">
        <f t="shared" si="2711"/>
        <v>SSEC</v>
      </c>
      <c r="J6415">
        <f t="shared" si="2712"/>
        <v>3325</v>
      </c>
      <c r="K6415">
        <f t="shared" si="2713"/>
        <v>3423</v>
      </c>
      <c r="L6415">
        <f t="shared" si="2714"/>
        <v>3374</v>
      </c>
      <c r="M6415">
        <f t="shared" si="2715"/>
        <v>49</v>
      </c>
      <c r="N6415">
        <f t="shared" si="2706"/>
        <v>98</v>
      </c>
      <c r="O6415">
        <f t="shared" si="2716"/>
        <v>3356</v>
      </c>
      <c r="P6415">
        <f t="shared" si="2717"/>
        <v>-0.36734693877551022</v>
      </c>
      <c r="Q6415" t="str">
        <f t="shared" si="2707"/>
        <v>0.92% | 2%</v>
      </c>
      <c r="R6415" t="str">
        <f t="shared" si="2718"/>
        <v>BULLISH</v>
      </c>
      <c r="S6415">
        <f t="shared" si="2719"/>
        <v>1</v>
      </c>
    </row>
    <row r="6416" spans="1:19" hidden="1" x14ac:dyDescent="0.25">
      <c r="A6416" s="5" t="str">
        <f t="shared" si="2720"/>
        <v>44187NIKK</v>
      </c>
      <c r="B6416" s="6" t="s">
        <v>91</v>
      </c>
      <c r="C6416" s="6">
        <v>26406</v>
      </c>
      <c r="D6416" s="6">
        <v>26895</v>
      </c>
      <c r="E6416" s="6">
        <v>26436</v>
      </c>
      <c r="F6416" t="str">
        <f t="shared" si="2708"/>
        <v>TUE</v>
      </c>
      <c r="G6416" s="3">
        <f t="shared" si="2709"/>
        <v>44187</v>
      </c>
      <c r="H6416" s="2">
        <f t="shared" ca="1" si="2710"/>
        <v>66</v>
      </c>
      <c r="I6416" t="str">
        <f t="shared" si="2711"/>
        <v>NIKK</v>
      </c>
      <c r="J6416">
        <f t="shared" si="2712"/>
        <v>26406</v>
      </c>
      <c r="K6416">
        <f t="shared" si="2713"/>
        <v>26895</v>
      </c>
      <c r="L6416">
        <f t="shared" si="2714"/>
        <v>26650.5</v>
      </c>
      <c r="M6416">
        <f t="shared" si="2715"/>
        <v>244.5</v>
      </c>
      <c r="N6416">
        <f t="shared" si="2706"/>
        <v>489</v>
      </c>
      <c r="O6416">
        <f t="shared" si="2716"/>
        <v>26436</v>
      </c>
      <c r="P6416">
        <f t="shared" si="2717"/>
        <v>-0.87730061349693256</v>
      </c>
      <c r="Q6416" t="str">
        <f t="shared" si="2707"/>
        <v>0.11% | 1.74%</v>
      </c>
      <c r="R6416" t="str">
        <f t="shared" si="2718"/>
        <v>BULLISH</v>
      </c>
      <c r="S6416">
        <f t="shared" si="2719"/>
        <v>1</v>
      </c>
    </row>
    <row r="6417" spans="1:19" hidden="1" x14ac:dyDescent="0.25">
      <c r="A6417" s="5" t="str">
        <f t="shared" si="2720"/>
        <v>44187DAX</v>
      </c>
      <c r="B6417" s="6" t="s">
        <v>98</v>
      </c>
      <c r="C6417" s="6">
        <v>13106</v>
      </c>
      <c r="D6417" s="6">
        <v>13759</v>
      </c>
      <c r="E6417" s="6">
        <v>13246</v>
      </c>
      <c r="F6417" t="str">
        <f t="shared" si="2708"/>
        <v>TUE</v>
      </c>
      <c r="G6417" s="3">
        <f t="shared" si="2709"/>
        <v>44187</v>
      </c>
      <c r="H6417" s="2">
        <f t="shared" ca="1" si="2710"/>
        <v>66</v>
      </c>
      <c r="I6417" t="str">
        <f t="shared" si="2711"/>
        <v>DAX</v>
      </c>
      <c r="J6417">
        <f t="shared" si="2712"/>
        <v>13106</v>
      </c>
      <c r="K6417">
        <f t="shared" si="2713"/>
        <v>13759</v>
      </c>
      <c r="L6417">
        <f t="shared" si="2714"/>
        <v>13432.5</v>
      </c>
      <c r="M6417">
        <f t="shared" si="2715"/>
        <v>326.5</v>
      </c>
      <c r="N6417">
        <f t="shared" si="2706"/>
        <v>653</v>
      </c>
      <c r="O6417">
        <f t="shared" si="2716"/>
        <v>13246</v>
      </c>
      <c r="P6417">
        <f t="shared" si="2717"/>
        <v>-0.57120980091883611</v>
      </c>
      <c r="Q6417" t="str">
        <f t="shared" si="2707"/>
        <v>1.06% | 3.87%</v>
      </c>
      <c r="R6417" t="str">
        <f t="shared" si="2718"/>
        <v>BULLISH</v>
      </c>
      <c r="S6417">
        <f t="shared" si="2719"/>
        <v>1</v>
      </c>
    </row>
    <row r="6418" spans="1:19" hidden="1" x14ac:dyDescent="0.25">
      <c r="A6418" s="5" t="str">
        <f t="shared" si="2720"/>
        <v>44187VIX</v>
      </c>
      <c r="B6418" s="6" t="s">
        <v>96</v>
      </c>
      <c r="C6418" s="6">
        <v>20.48</v>
      </c>
      <c r="D6418" s="6">
        <v>26.49</v>
      </c>
      <c r="E6418" s="6">
        <v>25.16</v>
      </c>
      <c r="F6418" t="str">
        <f t="shared" si="2708"/>
        <v>TUE</v>
      </c>
      <c r="G6418" s="3">
        <f t="shared" si="2709"/>
        <v>44187</v>
      </c>
      <c r="H6418" s="2">
        <f t="shared" ca="1" si="2710"/>
        <v>66</v>
      </c>
      <c r="I6418" t="str">
        <f t="shared" si="2711"/>
        <v>VIX</v>
      </c>
      <c r="J6418">
        <f t="shared" si="2712"/>
        <v>20.48</v>
      </c>
      <c r="K6418">
        <f t="shared" si="2713"/>
        <v>26.49</v>
      </c>
      <c r="L6418">
        <f t="shared" si="2714"/>
        <v>23.484999999999999</v>
      </c>
      <c r="M6418">
        <f t="shared" si="2715"/>
        <v>3.0050000000000039</v>
      </c>
      <c r="N6418">
        <f t="shared" si="2706"/>
        <v>6.009999999999998</v>
      </c>
      <c r="O6418">
        <v>24.16</v>
      </c>
      <c r="P6418">
        <f t="shared" si="2717"/>
        <v>0.2246256239600665</v>
      </c>
      <c r="Q6418" t="str">
        <f t="shared" si="2707"/>
        <v>15.23% | 9.64%</v>
      </c>
      <c r="R6418" t="str">
        <f t="shared" si="2718"/>
        <v>BEARISH</v>
      </c>
      <c r="S6418">
        <f t="shared" si="2719"/>
        <v>-1</v>
      </c>
    </row>
    <row r="6419" spans="1:19" hidden="1" x14ac:dyDescent="0.25">
      <c r="A6419" s="5" t="str">
        <f t="shared" si="2720"/>
        <v>44187USD</v>
      </c>
      <c r="B6419" s="6" t="s">
        <v>94</v>
      </c>
      <c r="C6419" s="6">
        <v>89.53</v>
      </c>
      <c r="D6419" s="6">
        <v>91.11</v>
      </c>
      <c r="E6419" s="6">
        <v>89.95</v>
      </c>
      <c r="F6419" t="str">
        <f t="shared" si="2708"/>
        <v>TUE</v>
      </c>
      <c r="G6419" s="3">
        <f t="shared" si="2709"/>
        <v>44187</v>
      </c>
      <c r="H6419" s="2">
        <f t="shared" ca="1" si="2710"/>
        <v>66</v>
      </c>
      <c r="I6419" t="str">
        <f t="shared" si="2711"/>
        <v>USD</v>
      </c>
      <c r="J6419">
        <f t="shared" si="2712"/>
        <v>89.53</v>
      </c>
      <c r="K6419">
        <f t="shared" si="2713"/>
        <v>91.11</v>
      </c>
      <c r="L6419">
        <f t="shared" si="2714"/>
        <v>90.32</v>
      </c>
      <c r="M6419">
        <f t="shared" si="2715"/>
        <v>0.78999999999999915</v>
      </c>
      <c r="N6419">
        <f t="shared" si="2706"/>
        <v>1.5799999999999983</v>
      </c>
      <c r="O6419">
        <v>90.16</v>
      </c>
      <c r="P6419">
        <f t="shared" si="2717"/>
        <v>-0.20253164556961614</v>
      </c>
      <c r="Q6419" t="str">
        <f t="shared" si="2707"/>
        <v>0.7% | 1.05%</v>
      </c>
      <c r="R6419" t="str">
        <f t="shared" si="2718"/>
        <v>BEARISH</v>
      </c>
      <c r="S6419">
        <f t="shared" si="2719"/>
        <v>-1</v>
      </c>
    </row>
    <row r="6420" spans="1:19" hidden="1" x14ac:dyDescent="0.25">
      <c r="A6420" s="5" t="str">
        <f t="shared" si="2720"/>
        <v>44187EUR/USD</v>
      </c>
      <c r="B6420" s="6" t="s">
        <v>99</v>
      </c>
      <c r="C6420" s="6">
        <v>1.206</v>
      </c>
      <c r="D6420" s="6">
        <v>1.2310000000000001</v>
      </c>
      <c r="E6420" s="6">
        <v>1.2230000000000001</v>
      </c>
      <c r="F6420" t="str">
        <f t="shared" si="2708"/>
        <v>TUE</v>
      </c>
      <c r="G6420" s="3">
        <f t="shared" si="2709"/>
        <v>44187</v>
      </c>
      <c r="H6420" s="2">
        <f t="shared" ca="1" si="2710"/>
        <v>66</v>
      </c>
      <c r="I6420" t="str">
        <f t="shared" si="2711"/>
        <v>EUR/USD</v>
      </c>
      <c r="J6420">
        <f t="shared" si="2712"/>
        <v>1.206</v>
      </c>
      <c r="K6420">
        <f t="shared" si="2713"/>
        <v>1.2310000000000001</v>
      </c>
      <c r="L6420">
        <f t="shared" si="2714"/>
        <v>1.2185000000000001</v>
      </c>
      <c r="M6420">
        <f t="shared" si="2715"/>
        <v>1.2500000000000067E-2</v>
      </c>
      <c r="N6420">
        <f t="shared" si="2706"/>
        <v>2.5000000000000133E-2</v>
      </c>
      <c r="O6420">
        <f t="shared" si="2716"/>
        <v>1.2230000000000001</v>
      </c>
      <c r="P6420">
        <f t="shared" si="2717"/>
        <v>0.35999999999999394</v>
      </c>
      <c r="Q6420" t="str">
        <f t="shared" si="2707"/>
        <v>1.39% | 0.65%</v>
      </c>
      <c r="R6420" t="str">
        <f t="shared" si="2718"/>
        <v>BULLISH</v>
      </c>
      <c r="S6420">
        <f t="shared" si="2719"/>
        <v>1</v>
      </c>
    </row>
    <row r="6421" spans="1:19" hidden="1" x14ac:dyDescent="0.25">
      <c r="A6421" s="5" t="str">
        <f t="shared" si="2720"/>
        <v>44187USD/JPY</v>
      </c>
      <c r="B6421" s="6" t="s">
        <v>20</v>
      </c>
      <c r="C6421" s="6">
        <v>102.79</v>
      </c>
      <c r="D6421" s="6">
        <v>104.04</v>
      </c>
      <c r="E6421" s="6">
        <v>103.32</v>
      </c>
      <c r="F6421" t="str">
        <f t="shared" si="2708"/>
        <v>TUE</v>
      </c>
      <c r="G6421" s="3">
        <f t="shared" si="2709"/>
        <v>44187</v>
      </c>
      <c r="H6421" s="2">
        <f t="shared" ca="1" si="2710"/>
        <v>66</v>
      </c>
      <c r="I6421" t="str">
        <f t="shared" si="2711"/>
        <v>USD/JPY</v>
      </c>
      <c r="J6421">
        <f t="shared" si="2712"/>
        <v>102.79</v>
      </c>
      <c r="K6421">
        <f t="shared" si="2713"/>
        <v>104.04</v>
      </c>
      <c r="L6421">
        <f t="shared" si="2714"/>
        <v>103.41500000000001</v>
      </c>
      <c r="M6421">
        <f t="shared" si="2715"/>
        <v>0.625</v>
      </c>
      <c r="N6421">
        <f t="shared" si="2706"/>
        <v>1.25</v>
      </c>
      <c r="O6421">
        <f t="shared" si="2716"/>
        <v>103.32</v>
      </c>
      <c r="P6421">
        <f t="shared" si="2717"/>
        <v>-0.15200000000002092</v>
      </c>
      <c r="Q6421" t="str">
        <f t="shared" si="2707"/>
        <v>0.51% | 0.7%</v>
      </c>
      <c r="R6421" t="str">
        <f t="shared" si="2718"/>
        <v>BEARISH</v>
      </c>
      <c r="S6421">
        <f t="shared" si="2719"/>
        <v>-1</v>
      </c>
    </row>
    <row r="6422" spans="1:19" hidden="1" x14ac:dyDescent="0.25">
      <c r="A6422" s="5" t="str">
        <f t="shared" si="2720"/>
        <v>44187GBP/USD</v>
      </c>
      <c r="B6422" s="6" t="s">
        <v>102</v>
      </c>
      <c r="C6422" s="6">
        <v>1.321</v>
      </c>
      <c r="D6422" s="6">
        <v>1.3620000000000001</v>
      </c>
      <c r="E6422" s="6">
        <v>1.3440000000000001</v>
      </c>
      <c r="F6422" t="str">
        <f t="shared" si="2708"/>
        <v>TUE</v>
      </c>
      <c r="G6422" s="3">
        <f t="shared" si="2709"/>
        <v>44187</v>
      </c>
      <c r="H6422" s="2">
        <f t="shared" ca="1" si="2710"/>
        <v>66</v>
      </c>
      <c r="I6422" t="str">
        <f t="shared" si="2711"/>
        <v>GBP/USD</v>
      </c>
      <c r="J6422">
        <f t="shared" si="2712"/>
        <v>1.321</v>
      </c>
      <c r="K6422">
        <f t="shared" si="2713"/>
        <v>1.3620000000000001</v>
      </c>
      <c r="L6422">
        <f t="shared" si="2714"/>
        <v>1.3414999999999999</v>
      </c>
      <c r="M6422">
        <f t="shared" si="2715"/>
        <v>2.0500000000000074E-2</v>
      </c>
      <c r="N6422">
        <f t="shared" si="2706"/>
        <v>4.1000000000000147E-2</v>
      </c>
      <c r="O6422">
        <f t="shared" si="2716"/>
        <v>1.3440000000000001</v>
      </c>
      <c r="P6422">
        <f t="shared" si="2717"/>
        <v>0.12195121951220292</v>
      </c>
      <c r="Q6422" t="str">
        <f t="shared" si="2707"/>
        <v>1.71% | 1.34%</v>
      </c>
      <c r="R6422" t="str">
        <f t="shared" si="2718"/>
        <v>BULLISH</v>
      </c>
      <c r="S6422">
        <f t="shared" si="2719"/>
        <v>1</v>
      </c>
    </row>
    <row r="6423" spans="1:19" hidden="1" x14ac:dyDescent="0.25">
      <c r="A6423" s="5" t="str">
        <f t="shared" si="2720"/>
        <v>44187CAD/USD</v>
      </c>
      <c r="B6423" s="6" t="s">
        <v>244</v>
      </c>
      <c r="C6423" s="6">
        <v>0.77</v>
      </c>
      <c r="D6423" s="6">
        <v>0.79</v>
      </c>
      <c r="E6423" s="6">
        <v>0.77</v>
      </c>
      <c r="F6423" t="str">
        <f t="shared" si="2708"/>
        <v>TUE</v>
      </c>
      <c r="G6423" s="3">
        <f t="shared" si="2709"/>
        <v>44187</v>
      </c>
      <c r="H6423" s="2">
        <f t="shared" ca="1" si="2710"/>
        <v>66</v>
      </c>
      <c r="I6423" t="str">
        <f t="shared" si="2711"/>
        <v>CAD/USD</v>
      </c>
      <c r="J6423">
        <f t="shared" si="2712"/>
        <v>0.77</v>
      </c>
      <c r="K6423">
        <f t="shared" si="2713"/>
        <v>0.79</v>
      </c>
      <c r="L6423">
        <f t="shared" si="2714"/>
        <v>0.78</v>
      </c>
      <c r="M6423">
        <f t="shared" si="2715"/>
        <v>1.0000000000000009E-2</v>
      </c>
      <c r="N6423">
        <f t="shared" si="2706"/>
        <v>2.0000000000000018E-2</v>
      </c>
      <c r="O6423">
        <f t="shared" si="2716"/>
        <v>0.77</v>
      </c>
      <c r="P6423">
        <f t="shared" si="2717"/>
        <v>-1</v>
      </c>
      <c r="Q6423" t="str">
        <f t="shared" si="2707"/>
        <v>0% | 2.6%</v>
      </c>
      <c r="R6423" t="str">
        <f t="shared" si="2718"/>
        <v>BULLISH</v>
      </c>
      <c r="S6423">
        <f t="shared" si="2719"/>
        <v>1</v>
      </c>
    </row>
    <row r="6424" spans="1:19" hidden="1" x14ac:dyDescent="0.25">
      <c r="A6424" s="5" t="str">
        <f t="shared" si="2720"/>
        <v>44187USD/CHF</v>
      </c>
      <c r="B6424" s="6" t="s">
        <v>76</v>
      </c>
      <c r="C6424" s="6">
        <v>0.87</v>
      </c>
      <c r="D6424" s="6">
        <v>0.89</v>
      </c>
      <c r="E6424" s="6">
        <v>0.88</v>
      </c>
      <c r="F6424" t="str">
        <f t="shared" si="2708"/>
        <v>TUE</v>
      </c>
      <c r="G6424" s="3">
        <f t="shared" si="2709"/>
        <v>44187</v>
      </c>
      <c r="H6424" s="2">
        <f t="shared" ca="1" si="2710"/>
        <v>66</v>
      </c>
      <c r="I6424" t="str">
        <f t="shared" si="2711"/>
        <v>USD/CHF</v>
      </c>
      <c r="J6424">
        <f t="shared" si="2712"/>
        <v>0.87</v>
      </c>
      <c r="K6424">
        <f t="shared" si="2713"/>
        <v>0.89</v>
      </c>
      <c r="L6424">
        <f t="shared" si="2714"/>
        <v>0.88</v>
      </c>
      <c r="M6424">
        <f t="shared" si="2715"/>
        <v>1.0000000000000009E-2</v>
      </c>
      <c r="N6424">
        <f t="shared" si="2706"/>
        <v>2.0000000000000018E-2</v>
      </c>
      <c r="O6424">
        <f t="shared" si="2716"/>
        <v>0.88</v>
      </c>
      <c r="P6424">
        <f t="shared" si="2717"/>
        <v>0</v>
      </c>
      <c r="Q6424" t="str">
        <f t="shared" si="2707"/>
        <v>1.14% | 1.14%</v>
      </c>
      <c r="R6424" t="str">
        <f t="shared" si="2718"/>
        <v>BEARISH</v>
      </c>
      <c r="S6424">
        <f t="shared" si="2719"/>
        <v>-1</v>
      </c>
    </row>
    <row r="6425" spans="1:19" hidden="1" x14ac:dyDescent="0.25">
      <c r="A6425" s="5" t="str">
        <f t="shared" si="2720"/>
        <v>44187WTIC</v>
      </c>
      <c r="B6425" s="6" t="s">
        <v>158</v>
      </c>
      <c r="C6425" s="6">
        <v>45.24</v>
      </c>
      <c r="D6425" s="6">
        <v>49.6</v>
      </c>
      <c r="E6425" s="6">
        <v>47.97</v>
      </c>
      <c r="F6425" t="str">
        <f t="shared" si="2708"/>
        <v>TUE</v>
      </c>
      <c r="G6425" s="3">
        <f t="shared" si="2709"/>
        <v>44187</v>
      </c>
      <c r="H6425" s="2">
        <f t="shared" ca="1" si="2710"/>
        <v>66</v>
      </c>
      <c r="I6425" t="str">
        <f t="shared" si="2711"/>
        <v>WTIC</v>
      </c>
      <c r="J6425">
        <f t="shared" si="2712"/>
        <v>45.24</v>
      </c>
      <c r="K6425">
        <f t="shared" si="2713"/>
        <v>49.6</v>
      </c>
      <c r="L6425">
        <f t="shared" si="2714"/>
        <v>47.42</v>
      </c>
      <c r="M6425">
        <f t="shared" si="2715"/>
        <v>2.1799999999999997</v>
      </c>
      <c r="N6425">
        <f t="shared" si="2706"/>
        <v>4.3599999999999994</v>
      </c>
      <c r="O6425">
        <f t="shared" si="2716"/>
        <v>47.97</v>
      </c>
      <c r="P6425">
        <f t="shared" si="2717"/>
        <v>0.25229357798165009</v>
      </c>
      <c r="Q6425" t="str">
        <f t="shared" si="2707"/>
        <v>5.69% | 3.4%</v>
      </c>
      <c r="R6425" t="str">
        <f t="shared" si="2718"/>
        <v>BULLISH</v>
      </c>
      <c r="S6425">
        <f t="shared" si="2719"/>
        <v>1</v>
      </c>
    </row>
    <row r="6426" spans="1:19" hidden="1" x14ac:dyDescent="0.25">
      <c r="A6426" s="5" t="str">
        <f t="shared" si="2720"/>
        <v>44187NATGAS</v>
      </c>
      <c r="B6426" s="6" t="s">
        <v>89</v>
      </c>
      <c r="C6426" s="6">
        <v>2.42</v>
      </c>
      <c r="D6426" s="6">
        <v>2.81</v>
      </c>
      <c r="E6426" s="6">
        <v>2.7</v>
      </c>
      <c r="F6426" t="str">
        <f t="shared" si="2708"/>
        <v>TUE</v>
      </c>
      <c r="G6426" s="3">
        <f t="shared" si="2709"/>
        <v>44187</v>
      </c>
      <c r="H6426" s="2">
        <f t="shared" ca="1" si="2710"/>
        <v>66</v>
      </c>
      <c r="I6426" t="str">
        <f t="shared" si="2711"/>
        <v>NATGAS</v>
      </c>
      <c r="J6426">
        <f t="shared" si="2712"/>
        <v>2.42</v>
      </c>
      <c r="K6426">
        <f t="shared" si="2713"/>
        <v>2.81</v>
      </c>
      <c r="L6426">
        <f t="shared" si="2714"/>
        <v>2.6150000000000002</v>
      </c>
      <c r="M6426">
        <f t="shared" si="2715"/>
        <v>0.19500000000000009</v>
      </c>
      <c r="N6426">
        <f t="shared" si="2706"/>
        <v>0.39000000000000012</v>
      </c>
      <c r="O6426">
        <f t="shared" si="2716"/>
        <v>2.7</v>
      </c>
      <c r="P6426">
        <f t="shared" si="2717"/>
        <v>0.43589743589743551</v>
      </c>
      <c r="Q6426" t="str">
        <f t="shared" si="2707"/>
        <v>10.37% | 4.07%</v>
      </c>
      <c r="R6426" t="str">
        <f t="shared" si="2718"/>
        <v>BULLISH</v>
      </c>
      <c r="S6426">
        <f t="shared" si="2719"/>
        <v>1</v>
      </c>
    </row>
    <row r="6427" spans="1:19" hidden="1" x14ac:dyDescent="0.25">
      <c r="A6427" s="5" t="str">
        <f t="shared" si="2720"/>
        <v>44187GOLD</v>
      </c>
      <c r="B6427" s="6" t="s">
        <v>85</v>
      </c>
      <c r="C6427" s="6">
        <v>1813</v>
      </c>
      <c r="D6427" s="6">
        <v>1903</v>
      </c>
      <c r="E6427" s="6">
        <v>1882</v>
      </c>
      <c r="F6427" t="str">
        <f t="shared" si="2708"/>
        <v>TUE</v>
      </c>
      <c r="G6427" s="3">
        <f t="shared" si="2709"/>
        <v>44187</v>
      </c>
      <c r="H6427" s="2">
        <f t="shared" ca="1" si="2710"/>
        <v>66</v>
      </c>
      <c r="I6427" t="str">
        <f t="shared" si="2711"/>
        <v>GOLD</v>
      </c>
      <c r="J6427">
        <f t="shared" si="2712"/>
        <v>1813</v>
      </c>
      <c r="K6427">
        <f t="shared" si="2713"/>
        <v>1903</v>
      </c>
      <c r="L6427">
        <f t="shared" si="2714"/>
        <v>1858</v>
      </c>
      <c r="M6427">
        <f t="shared" si="2715"/>
        <v>45</v>
      </c>
      <c r="N6427">
        <f t="shared" si="2706"/>
        <v>90</v>
      </c>
      <c r="O6427">
        <f t="shared" si="2716"/>
        <v>1882</v>
      </c>
      <c r="P6427">
        <f t="shared" si="2717"/>
        <v>0.53333333333333333</v>
      </c>
      <c r="Q6427" t="str">
        <f t="shared" si="2707"/>
        <v>3.67% | 1.12%</v>
      </c>
      <c r="R6427" t="str">
        <f t="shared" si="2718"/>
        <v>BEARISH</v>
      </c>
      <c r="S6427">
        <f t="shared" si="2719"/>
        <v>-1</v>
      </c>
    </row>
    <row r="6428" spans="1:19" hidden="1" x14ac:dyDescent="0.25">
      <c r="A6428" s="5" t="str">
        <f t="shared" si="2720"/>
        <v>44187COPPER</v>
      </c>
      <c r="B6428" s="6" t="s">
        <v>100</v>
      </c>
      <c r="C6428" s="6">
        <v>3.48</v>
      </c>
      <c r="D6428" s="6">
        <v>3.65</v>
      </c>
      <c r="E6428" s="6">
        <v>3.58</v>
      </c>
      <c r="F6428" t="str">
        <f t="shared" si="2708"/>
        <v>TUE</v>
      </c>
      <c r="G6428" s="3">
        <f t="shared" si="2709"/>
        <v>44187</v>
      </c>
      <c r="H6428" s="2">
        <f t="shared" ca="1" si="2710"/>
        <v>66</v>
      </c>
      <c r="I6428" t="str">
        <f t="shared" si="2711"/>
        <v>COPPER</v>
      </c>
      <c r="J6428">
        <f t="shared" si="2712"/>
        <v>3.48</v>
      </c>
      <c r="K6428">
        <f t="shared" si="2713"/>
        <v>3.65</v>
      </c>
      <c r="L6428">
        <f t="shared" si="2714"/>
        <v>3.5649999999999999</v>
      </c>
      <c r="M6428">
        <f t="shared" si="2715"/>
        <v>8.4999999999999964E-2</v>
      </c>
      <c r="N6428">
        <f t="shared" si="2706"/>
        <v>0.16999999999999993</v>
      </c>
      <c r="O6428">
        <f t="shared" si="2716"/>
        <v>3.58</v>
      </c>
      <c r="P6428">
        <f t="shared" si="2717"/>
        <v>0.17647058823529566</v>
      </c>
      <c r="Q6428" t="str">
        <f t="shared" si="2707"/>
        <v>2.79% | 1.96%</v>
      </c>
      <c r="R6428" t="str">
        <f t="shared" si="2718"/>
        <v>BULLISH</v>
      </c>
      <c r="S6428">
        <f t="shared" si="2719"/>
        <v>1</v>
      </c>
    </row>
    <row r="6429" spans="1:19" hidden="1" x14ac:dyDescent="0.25">
      <c r="A6429" s="5" t="str">
        <f t="shared" si="2720"/>
        <v>44187MSFT</v>
      </c>
      <c r="B6429" s="6" t="s">
        <v>27</v>
      </c>
      <c r="C6429" s="6">
        <v>215</v>
      </c>
      <c r="D6429" s="6">
        <v>225</v>
      </c>
      <c r="E6429" s="6">
        <v>222</v>
      </c>
      <c r="F6429" t="str">
        <f t="shared" si="2708"/>
        <v>TUE</v>
      </c>
      <c r="G6429" s="3">
        <f t="shared" si="2709"/>
        <v>44187</v>
      </c>
      <c r="H6429" s="2">
        <f t="shared" ca="1" si="2710"/>
        <v>66</v>
      </c>
      <c r="I6429" t="str">
        <f t="shared" si="2711"/>
        <v>MSFT</v>
      </c>
      <c r="J6429">
        <f t="shared" si="2712"/>
        <v>215</v>
      </c>
      <c r="K6429">
        <f t="shared" si="2713"/>
        <v>225</v>
      </c>
      <c r="L6429">
        <f t="shared" si="2714"/>
        <v>220</v>
      </c>
      <c r="M6429">
        <f t="shared" si="2715"/>
        <v>5</v>
      </c>
      <c r="N6429">
        <f t="shared" si="2706"/>
        <v>10</v>
      </c>
      <c r="O6429">
        <f t="shared" si="2716"/>
        <v>222</v>
      </c>
      <c r="P6429">
        <f t="shared" si="2717"/>
        <v>0.4</v>
      </c>
      <c r="Q6429" t="str">
        <f t="shared" si="2707"/>
        <v>3.15% | 1.35%</v>
      </c>
      <c r="R6429" t="str">
        <f t="shared" si="2718"/>
        <v>BULLISH</v>
      </c>
      <c r="S6429">
        <f t="shared" si="2719"/>
        <v>1</v>
      </c>
    </row>
    <row r="6430" spans="1:19" hidden="1" x14ac:dyDescent="0.25">
      <c r="A6430" s="5" t="str">
        <f t="shared" si="2720"/>
        <v>44187AAPL</v>
      </c>
      <c r="B6430" s="6" t="s">
        <v>28</v>
      </c>
      <c r="C6430" s="6">
        <v>122</v>
      </c>
      <c r="D6430" s="6">
        <v>132</v>
      </c>
      <c r="E6430" s="6">
        <v>128</v>
      </c>
      <c r="F6430" t="str">
        <f t="shared" si="2708"/>
        <v>TUE</v>
      </c>
      <c r="G6430" s="3">
        <f t="shared" si="2709"/>
        <v>44187</v>
      </c>
      <c r="H6430" s="2">
        <f t="shared" ca="1" si="2710"/>
        <v>66</v>
      </c>
      <c r="I6430" t="str">
        <f t="shared" si="2711"/>
        <v>AAPL</v>
      </c>
      <c r="J6430">
        <f t="shared" si="2712"/>
        <v>122</v>
      </c>
      <c r="K6430">
        <f t="shared" si="2713"/>
        <v>132</v>
      </c>
      <c r="L6430">
        <f t="shared" si="2714"/>
        <v>127</v>
      </c>
      <c r="M6430">
        <f t="shared" si="2715"/>
        <v>5</v>
      </c>
      <c r="N6430">
        <f t="shared" si="2706"/>
        <v>10</v>
      </c>
      <c r="O6430">
        <f t="shared" si="2716"/>
        <v>128</v>
      </c>
      <c r="P6430">
        <f t="shared" si="2717"/>
        <v>0.2</v>
      </c>
      <c r="Q6430" t="str">
        <f t="shared" si="2707"/>
        <v>4.69% | 3.13%</v>
      </c>
      <c r="R6430" t="str">
        <f t="shared" si="2718"/>
        <v>BULLISH</v>
      </c>
      <c r="S6430">
        <f t="shared" si="2719"/>
        <v>1</v>
      </c>
    </row>
    <row r="6431" spans="1:19" hidden="1" x14ac:dyDescent="0.25">
      <c r="A6431" s="5" t="str">
        <f t="shared" si="2720"/>
        <v>44187AMZN</v>
      </c>
      <c r="B6431" s="6" t="s">
        <v>29</v>
      </c>
      <c r="C6431" s="6">
        <v>3068</v>
      </c>
      <c r="D6431" s="6">
        <v>3275</v>
      </c>
      <c r="E6431" s="6">
        <v>3206</v>
      </c>
      <c r="F6431" t="str">
        <f t="shared" si="2708"/>
        <v>TUE</v>
      </c>
      <c r="G6431" s="3">
        <f t="shared" si="2709"/>
        <v>44187</v>
      </c>
      <c r="H6431" s="2">
        <f t="shared" ca="1" si="2710"/>
        <v>66</v>
      </c>
      <c r="I6431" t="str">
        <f t="shared" si="2711"/>
        <v>AMZN</v>
      </c>
      <c r="J6431">
        <f t="shared" si="2712"/>
        <v>3068</v>
      </c>
      <c r="K6431">
        <f t="shared" si="2713"/>
        <v>3275</v>
      </c>
      <c r="L6431">
        <f t="shared" si="2714"/>
        <v>3171.5</v>
      </c>
      <c r="M6431">
        <f t="shared" si="2715"/>
        <v>103.5</v>
      </c>
      <c r="N6431">
        <f t="shared" si="2706"/>
        <v>207</v>
      </c>
      <c r="O6431">
        <f t="shared" si="2716"/>
        <v>3206</v>
      </c>
      <c r="P6431">
        <f t="shared" si="2717"/>
        <v>0.33333333333333331</v>
      </c>
      <c r="Q6431" t="str">
        <f t="shared" si="2707"/>
        <v>4.3% | 2.15%</v>
      </c>
      <c r="R6431" t="str">
        <f t="shared" si="2718"/>
        <v>BULLISH</v>
      </c>
      <c r="S6431">
        <f t="shared" si="2719"/>
        <v>1</v>
      </c>
    </row>
    <row r="6432" spans="1:19" hidden="1" x14ac:dyDescent="0.25">
      <c r="A6432" s="5" t="str">
        <f t="shared" si="2720"/>
        <v>44187FB</v>
      </c>
      <c r="B6432" s="6" t="s">
        <v>30</v>
      </c>
      <c r="C6432" s="6">
        <v>269</v>
      </c>
      <c r="D6432" s="6">
        <v>281</v>
      </c>
      <c r="E6432" s="6">
        <v>272</v>
      </c>
      <c r="F6432" t="str">
        <f t="shared" si="2708"/>
        <v>TUE</v>
      </c>
      <c r="G6432" s="3">
        <f t="shared" si="2709"/>
        <v>44187</v>
      </c>
      <c r="H6432" s="2">
        <f t="shared" ca="1" si="2710"/>
        <v>66</v>
      </c>
      <c r="I6432" t="str">
        <f t="shared" si="2711"/>
        <v>FB</v>
      </c>
      <c r="J6432">
        <f t="shared" si="2712"/>
        <v>269</v>
      </c>
      <c r="K6432">
        <f t="shared" si="2713"/>
        <v>281</v>
      </c>
      <c r="L6432">
        <f t="shared" si="2714"/>
        <v>275</v>
      </c>
      <c r="M6432">
        <f t="shared" si="2715"/>
        <v>6</v>
      </c>
      <c r="N6432">
        <f t="shared" si="2706"/>
        <v>12</v>
      </c>
      <c r="O6432">
        <f t="shared" si="2716"/>
        <v>272</v>
      </c>
      <c r="P6432">
        <f t="shared" si="2717"/>
        <v>-0.5</v>
      </c>
      <c r="Q6432" t="str">
        <f t="shared" si="2707"/>
        <v>1.1% | 3.31%</v>
      </c>
      <c r="R6432" t="str">
        <f t="shared" si="2718"/>
        <v>BULLISH</v>
      </c>
      <c r="S6432">
        <f t="shared" si="2719"/>
        <v>1</v>
      </c>
    </row>
    <row r="6433" spans="1:19" hidden="1" x14ac:dyDescent="0.25">
      <c r="A6433" s="5" t="str">
        <f t="shared" si="2720"/>
        <v>44187GOOGL</v>
      </c>
      <c r="B6433" s="6" t="s">
        <v>31</v>
      </c>
      <c r="C6433" s="6">
        <v>1714</v>
      </c>
      <c r="D6433" s="6">
        <v>1790</v>
      </c>
      <c r="E6433" s="6">
        <v>1734</v>
      </c>
      <c r="F6433" t="str">
        <f t="shared" si="2708"/>
        <v>TUE</v>
      </c>
      <c r="G6433" s="3">
        <f t="shared" si="2709"/>
        <v>44187</v>
      </c>
      <c r="H6433" s="2">
        <f t="shared" ca="1" si="2710"/>
        <v>66</v>
      </c>
      <c r="I6433" t="str">
        <f t="shared" si="2711"/>
        <v>GOOGL</v>
      </c>
      <c r="J6433">
        <f t="shared" si="2712"/>
        <v>1714</v>
      </c>
      <c r="K6433">
        <f t="shared" si="2713"/>
        <v>1790</v>
      </c>
      <c r="L6433">
        <f t="shared" si="2714"/>
        <v>1752</v>
      </c>
      <c r="M6433">
        <f t="shared" si="2715"/>
        <v>38</v>
      </c>
      <c r="N6433">
        <f t="shared" si="2706"/>
        <v>76</v>
      </c>
      <c r="O6433">
        <f t="shared" si="2716"/>
        <v>1734</v>
      </c>
      <c r="P6433">
        <f t="shared" si="2717"/>
        <v>-0.47368421052631576</v>
      </c>
      <c r="Q6433" t="str">
        <f t="shared" si="2707"/>
        <v>1.15% | 3.23%</v>
      </c>
      <c r="R6433" t="str">
        <f t="shared" si="2718"/>
        <v>BULLISH</v>
      </c>
      <c r="S6433">
        <f t="shared" si="2719"/>
        <v>1</v>
      </c>
    </row>
    <row r="6434" spans="1:19" hidden="1" x14ac:dyDescent="0.25">
      <c r="A6434" s="5" t="str">
        <f t="shared" si="2720"/>
        <v>44187NFLX</v>
      </c>
      <c r="B6434" s="6" t="s">
        <v>32</v>
      </c>
      <c r="C6434" s="6">
        <v>490</v>
      </c>
      <c r="D6434" s="6">
        <v>545</v>
      </c>
      <c r="E6434" s="6">
        <v>528</v>
      </c>
      <c r="F6434" t="str">
        <f t="shared" si="2708"/>
        <v>TUE</v>
      </c>
      <c r="G6434" s="3">
        <f t="shared" si="2709"/>
        <v>44187</v>
      </c>
      <c r="H6434" s="2">
        <f t="shared" ca="1" si="2710"/>
        <v>66</v>
      </c>
      <c r="I6434" t="str">
        <f t="shared" si="2711"/>
        <v>NFLX</v>
      </c>
      <c r="J6434">
        <f t="shared" si="2712"/>
        <v>490</v>
      </c>
      <c r="K6434">
        <f t="shared" si="2713"/>
        <v>545</v>
      </c>
      <c r="L6434">
        <f t="shared" si="2714"/>
        <v>517.5</v>
      </c>
      <c r="M6434">
        <f t="shared" si="2715"/>
        <v>27.5</v>
      </c>
      <c r="N6434">
        <f t="shared" si="2706"/>
        <v>55</v>
      </c>
      <c r="O6434">
        <f t="shared" si="2716"/>
        <v>528</v>
      </c>
      <c r="P6434">
        <f t="shared" si="2717"/>
        <v>0.38181818181818183</v>
      </c>
      <c r="Q6434" t="str">
        <f t="shared" si="2707"/>
        <v>7.2% | 3.22%</v>
      </c>
      <c r="R6434" t="str">
        <f t="shared" si="2718"/>
        <v>BULLISH</v>
      </c>
      <c r="S6434">
        <f t="shared" si="2719"/>
        <v>1</v>
      </c>
    </row>
    <row r="6435" spans="1:19" x14ac:dyDescent="0.25">
      <c r="A6435" s="5" t="str">
        <f t="shared" si="2720"/>
        <v>44187TSLA</v>
      </c>
      <c r="B6435" s="6" t="s">
        <v>33</v>
      </c>
      <c r="C6435" s="6">
        <v>584</v>
      </c>
      <c r="D6435" s="6">
        <v>690</v>
      </c>
      <c r="E6435" s="6">
        <v>649</v>
      </c>
      <c r="F6435" t="str">
        <f t="shared" si="2708"/>
        <v>TUE</v>
      </c>
      <c r="G6435" s="3">
        <f t="shared" si="2709"/>
        <v>44187</v>
      </c>
      <c r="H6435" s="2">
        <f t="shared" ca="1" si="2710"/>
        <v>66</v>
      </c>
      <c r="I6435" t="str">
        <f t="shared" si="2711"/>
        <v>TSLA</v>
      </c>
      <c r="J6435">
        <f t="shared" si="2712"/>
        <v>584</v>
      </c>
      <c r="K6435">
        <f t="shared" si="2713"/>
        <v>690</v>
      </c>
      <c r="L6435">
        <f t="shared" si="2714"/>
        <v>637</v>
      </c>
      <c r="M6435">
        <f t="shared" si="2715"/>
        <v>53</v>
      </c>
      <c r="N6435">
        <f t="shared" si="2706"/>
        <v>106</v>
      </c>
      <c r="O6435">
        <f t="shared" si="2716"/>
        <v>649</v>
      </c>
      <c r="P6435">
        <f t="shared" si="2717"/>
        <v>0.22641509433962265</v>
      </c>
      <c r="Q6435" t="str">
        <f t="shared" si="2707"/>
        <v>10.02% | 6.32%</v>
      </c>
      <c r="R6435" t="str">
        <f t="shared" si="2718"/>
        <v>BULLISH</v>
      </c>
      <c r="S6435">
        <f t="shared" si="2719"/>
        <v>1</v>
      </c>
    </row>
    <row r="6436" spans="1:19" hidden="1" x14ac:dyDescent="0.25">
      <c r="A6436" s="5" t="str">
        <f t="shared" si="2720"/>
        <v>44187NYXBT</v>
      </c>
      <c r="B6436" s="6" t="s">
        <v>60</v>
      </c>
      <c r="C6436" s="6">
        <v>20382</v>
      </c>
      <c r="D6436" s="6">
        <v>24405</v>
      </c>
      <c r="E6436" s="6">
        <v>23080</v>
      </c>
      <c r="F6436" t="str">
        <f t="shared" si="2708"/>
        <v>TUE</v>
      </c>
      <c r="G6436" s="3">
        <f t="shared" si="2709"/>
        <v>44187</v>
      </c>
      <c r="H6436" s="2">
        <f t="shared" ca="1" si="2710"/>
        <v>66</v>
      </c>
      <c r="I6436" t="str">
        <f t="shared" si="2711"/>
        <v>NYXBT</v>
      </c>
      <c r="J6436">
        <f t="shared" si="2712"/>
        <v>20382</v>
      </c>
      <c r="K6436">
        <f t="shared" si="2713"/>
        <v>24405</v>
      </c>
      <c r="L6436">
        <f t="shared" si="2714"/>
        <v>22393.5</v>
      </c>
      <c r="M6436">
        <f t="shared" si="2715"/>
        <v>2011.5</v>
      </c>
      <c r="N6436">
        <f t="shared" si="2706"/>
        <v>4023</v>
      </c>
      <c r="O6436">
        <f t="shared" si="2716"/>
        <v>23080</v>
      </c>
      <c r="P6436">
        <f t="shared" si="2717"/>
        <v>0.34128759632115335</v>
      </c>
      <c r="Q6436" t="str">
        <f t="shared" si="2707"/>
        <v>11.69% | 5.74%</v>
      </c>
      <c r="R6436" t="str">
        <f t="shared" si="2718"/>
        <v>BULLISH</v>
      </c>
      <c r="S6436">
        <f t="shared" si="2719"/>
        <v>1</v>
      </c>
    </row>
    <row r="6437" spans="1:19" hidden="1" x14ac:dyDescent="0.25">
      <c r="A6437" s="5" t="str">
        <f t="shared" si="2720"/>
        <v>44188UST10Y</v>
      </c>
      <c r="B6437" s="6" t="s">
        <v>257</v>
      </c>
      <c r="C6437" s="6">
        <v>0.98</v>
      </c>
      <c r="D6437" s="6">
        <v>0.89</v>
      </c>
      <c r="E6437" s="6">
        <v>0.93</v>
      </c>
      <c r="F6437" t="str">
        <f t="shared" si="2708"/>
        <v>WED</v>
      </c>
      <c r="G6437" s="1">
        <f>DATE(2020,12,23)</f>
        <v>44188</v>
      </c>
      <c r="H6437" s="2">
        <f t="shared" ca="1" si="2710"/>
        <v>65</v>
      </c>
      <c r="I6437" t="str">
        <f t="shared" si="2711"/>
        <v>UST10Y</v>
      </c>
      <c r="J6437">
        <f t="shared" si="2712"/>
        <v>0.98</v>
      </c>
      <c r="K6437">
        <f t="shared" si="2713"/>
        <v>0.89</v>
      </c>
      <c r="L6437">
        <f t="shared" si="2714"/>
        <v>0.93500000000000005</v>
      </c>
      <c r="M6437">
        <f t="shared" si="2715"/>
        <v>4.4999999999999991E-2</v>
      </c>
      <c r="N6437">
        <f t="shared" si="2706"/>
        <v>8.9999999999999969E-2</v>
      </c>
      <c r="O6437">
        <f t="shared" si="2716"/>
        <v>0.93</v>
      </c>
      <c r="P6437">
        <f t="shared" si="2717"/>
        <v>-0.11111111111111123</v>
      </c>
      <c r="Q6437" t="str">
        <f t="shared" si="2707"/>
        <v>5.38% | 4.3%</v>
      </c>
      <c r="R6437" t="str">
        <f t="shared" si="2718"/>
        <v>BULLISH</v>
      </c>
      <c r="S6437">
        <f t="shared" si="2719"/>
        <v>1</v>
      </c>
    </row>
    <row r="6438" spans="1:19" hidden="1" x14ac:dyDescent="0.25">
      <c r="A6438" s="5" t="str">
        <f t="shared" si="2720"/>
        <v>44188UST2Y</v>
      </c>
      <c r="B6438" s="6" t="s">
        <v>253</v>
      </c>
      <c r="C6438" s="6">
        <v>0.16</v>
      </c>
      <c r="D6438" s="6">
        <v>0.11</v>
      </c>
      <c r="E6438" s="6">
        <v>0.13</v>
      </c>
      <c r="F6438" t="str">
        <f t="shared" ref="F6438:F6469" si="2721">UPPER(TEXT(G6438,"ddd"))</f>
        <v>WED</v>
      </c>
      <c r="G6438" s="1">
        <f t="shared" ref="G6438:G6468" si="2722">DATE(2020,12,23)</f>
        <v>44188</v>
      </c>
      <c r="H6438" s="2">
        <f t="shared" ref="H6438:H6469" ca="1" si="2723">TODAY()-G6438</f>
        <v>65</v>
      </c>
      <c r="I6438" t="str">
        <f t="shared" ref="I6438:I6469" si="2724">TRIM(LEFT(B6438,FIND(" ",B6438,1)))</f>
        <v>UST2Y</v>
      </c>
      <c r="J6438">
        <f t="shared" ref="J6438:J6469" si="2725">C6438</f>
        <v>0.16</v>
      </c>
      <c r="K6438">
        <f t="shared" ref="K6438:K6469" si="2726">D6438</f>
        <v>0.11</v>
      </c>
      <c r="L6438">
        <f t="shared" ref="L6438:L6469" si="2727">AVERAGE(J6438:K6438)</f>
        <v>0.13500000000000001</v>
      </c>
      <c r="M6438">
        <f t="shared" ref="M6438:M6469" si="2728">_xlfn.STDEV.P(J6438:K6438)</f>
        <v>2.4999999999999942E-2</v>
      </c>
      <c r="N6438">
        <f t="shared" si="2706"/>
        <v>0.05</v>
      </c>
      <c r="O6438">
        <f t="shared" ref="O6438:O6469" si="2729">E6438</f>
        <v>0.13</v>
      </c>
      <c r="P6438">
        <f t="shared" ref="P6438:P6469" si="2730">(O6438-L6438)/M6438</f>
        <v>-0.20000000000000065</v>
      </c>
      <c r="Q6438" t="str">
        <f t="shared" si="2707"/>
        <v>23.08% | 15.38%</v>
      </c>
      <c r="R6438" t="str">
        <f t="shared" ref="R6438:R6469" si="2731">MID(B6438,FIND("(",B6438,1)+1,FIND(")",B6438,1)-FIND("(",B6438,1)-1)</f>
        <v>NEUTRAL</v>
      </c>
      <c r="S6438">
        <f t="shared" ref="S6438:S6469" si="2732">IF(R6438="BEARISH",-1,IF(R6438="NEUTRAL",0,IF(R6438="BULLISH",1,99)))</f>
        <v>0</v>
      </c>
    </row>
    <row r="6439" spans="1:19" hidden="1" x14ac:dyDescent="0.25">
      <c r="A6439" s="5" t="str">
        <f t="shared" si="2720"/>
        <v>44188SPX</v>
      </c>
      <c r="B6439" s="6" t="s">
        <v>93</v>
      </c>
      <c r="C6439" s="6">
        <v>3641</v>
      </c>
      <c r="D6439" s="6">
        <v>3735</v>
      </c>
      <c r="E6439" s="6">
        <v>3687</v>
      </c>
      <c r="F6439" t="str">
        <f t="shared" si="2721"/>
        <v>WED</v>
      </c>
      <c r="G6439" s="1">
        <f t="shared" si="2722"/>
        <v>44188</v>
      </c>
      <c r="H6439" s="2">
        <f t="shared" ca="1" si="2723"/>
        <v>65</v>
      </c>
      <c r="I6439" t="str">
        <f t="shared" si="2724"/>
        <v>SPX</v>
      </c>
      <c r="J6439">
        <f t="shared" si="2725"/>
        <v>3641</v>
      </c>
      <c r="K6439">
        <f t="shared" si="2726"/>
        <v>3735</v>
      </c>
      <c r="L6439">
        <f t="shared" si="2727"/>
        <v>3688</v>
      </c>
      <c r="M6439">
        <f t="shared" si="2728"/>
        <v>47</v>
      </c>
      <c r="N6439">
        <f t="shared" si="2706"/>
        <v>94</v>
      </c>
      <c r="O6439">
        <f t="shared" si="2729"/>
        <v>3687</v>
      </c>
      <c r="P6439">
        <f t="shared" si="2730"/>
        <v>-2.1276595744680851E-2</v>
      </c>
      <c r="Q6439" t="str">
        <f t="shared" si="2707"/>
        <v>1.25% | 1.3%</v>
      </c>
      <c r="R6439" t="str">
        <f t="shared" si="2731"/>
        <v>BULLISH</v>
      </c>
      <c r="S6439">
        <f t="shared" si="2732"/>
        <v>1</v>
      </c>
    </row>
    <row r="6440" spans="1:19" hidden="1" x14ac:dyDescent="0.25">
      <c r="A6440" s="5" t="str">
        <f t="shared" si="2720"/>
        <v>44188RUT</v>
      </c>
      <c r="B6440" s="6" t="s">
        <v>247</v>
      </c>
      <c r="C6440" s="6">
        <v>1899</v>
      </c>
      <c r="D6440" s="6">
        <v>2014</v>
      </c>
      <c r="E6440" s="6">
        <v>1989</v>
      </c>
      <c r="F6440" t="str">
        <f t="shared" si="2721"/>
        <v>WED</v>
      </c>
      <c r="G6440" s="1">
        <f t="shared" si="2722"/>
        <v>44188</v>
      </c>
      <c r="H6440" s="2">
        <f t="shared" ca="1" si="2723"/>
        <v>65</v>
      </c>
      <c r="I6440" t="str">
        <f t="shared" si="2724"/>
        <v>RUT</v>
      </c>
      <c r="J6440">
        <f t="shared" si="2725"/>
        <v>1899</v>
      </c>
      <c r="K6440">
        <f t="shared" si="2726"/>
        <v>2014</v>
      </c>
      <c r="L6440">
        <f t="shared" si="2727"/>
        <v>1956.5</v>
      </c>
      <c r="M6440">
        <f t="shared" si="2728"/>
        <v>57.5</v>
      </c>
      <c r="N6440">
        <f t="shared" si="2706"/>
        <v>115</v>
      </c>
      <c r="O6440">
        <f t="shared" si="2729"/>
        <v>1989</v>
      </c>
      <c r="P6440">
        <f t="shared" si="2730"/>
        <v>0.56521739130434778</v>
      </c>
      <c r="Q6440" t="str">
        <f t="shared" si="2707"/>
        <v>4.52% | 1.26%</v>
      </c>
      <c r="R6440" t="str">
        <f t="shared" si="2731"/>
        <v>BULLISH</v>
      </c>
      <c r="S6440">
        <f t="shared" si="2732"/>
        <v>1</v>
      </c>
    </row>
    <row r="6441" spans="1:19" hidden="1" x14ac:dyDescent="0.25">
      <c r="A6441" s="5" t="str">
        <f t="shared" si="2720"/>
        <v>44188COMPQ</v>
      </c>
      <c r="B6441" s="6" t="s">
        <v>8</v>
      </c>
      <c r="C6441" s="6">
        <v>12331</v>
      </c>
      <c r="D6441" s="6">
        <v>12946</v>
      </c>
      <c r="E6441" s="6">
        <v>12807</v>
      </c>
      <c r="F6441" t="str">
        <f t="shared" si="2721"/>
        <v>WED</v>
      </c>
      <c r="G6441" s="1">
        <f t="shared" si="2722"/>
        <v>44188</v>
      </c>
      <c r="H6441" s="2">
        <f t="shared" ca="1" si="2723"/>
        <v>65</v>
      </c>
      <c r="I6441" t="str">
        <f t="shared" si="2724"/>
        <v>COMPQ</v>
      </c>
      <c r="J6441">
        <f t="shared" si="2725"/>
        <v>12331</v>
      </c>
      <c r="K6441">
        <f t="shared" si="2726"/>
        <v>12946</v>
      </c>
      <c r="L6441">
        <f t="shared" si="2727"/>
        <v>12638.5</v>
      </c>
      <c r="M6441">
        <f t="shared" si="2728"/>
        <v>307.5</v>
      </c>
      <c r="N6441">
        <f t="shared" si="2706"/>
        <v>615</v>
      </c>
      <c r="O6441">
        <f t="shared" si="2729"/>
        <v>12807</v>
      </c>
      <c r="P6441">
        <f t="shared" si="2730"/>
        <v>0.54796747967479675</v>
      </c>
      <c r="Q6441" t="str">
        <f t="shared" si="2707"/>
        <v>3.72% | 1.09%</v>
      </c>
      <c r="R6441" t="str">
        <f t="shared" si="2731"/>
        <v>BULLISH</v>
      </c>
      <c r="S6441">
        <f t="shared" si="2732"/>
        <v>1</v>
      </c>
    </row>
    <row r="6442" spans="1:19" hidden="1" x14ac:dyDescent="0.25">
      <c r="A6442" s="5" t="str">
        <f t="shared" si="2720"/>
        <v>44188XLK</v>
      </c>
      <c r="B6442" s="6" t="s">
        <v>10</v>
      </c>
      <c r="C6442" s="6">
        <v>124.51</v>
      </c>
      <c r="D6442" s="6">
        <v>130.72</v>
      </c>
      <c r="E6442" s="6">
        <v>129.19</v>
      </c>
      <c r="F6442" t="str">
        <f t="shared" si="2721"/>
        <v>WED</v>
      </c>
      <c r="G6442" s="1">
        <f t="shared" si="2722"/>
        <v>44188</v>
      </c>
      <c r="H6442" s="2">
        <f t="shared" ca="1" si="2723"/>
        <v>65</v>
      </c>
      <c r="I6442" t="str">
        <f t="shared" si="2724"/>
        <v>XLK</v>
      </c>
      <c r="J6442">
        <f t="shared" si="2725"/>
        <v>124.51</v>
      </c>
      <c r="K6442">
        <f t="shared" si="2726"/>
        <v>130.72</v>
      </c>
      <c r="L6442">
        <f t="shared" si="2727"/>
        <v>127.61500000000001</v>
      </c>
      <c r="M6442">
        <f t="shared" si="2728"/>
        <v>3.1049999999999969</v>
      </c>
      <c r="N6442">
        <f t="shared" si="2706"/>
        <v>6.2099999999999937</v>
      </c>
      <c r="O6442">
        <f t="shared" si="2729"/>
        <v>129.19</v>
      </c>
      <c r="P6442">
        <f t="shared" si="2730"/>
        <v>0.50724637681159102</v>
      </c>
      <c r="Q6442" t="str">
        <f t="shared" si="2707"/>
        <v>3.62% | 1.18%</v>
      </c>
      <c r="R6442" t="str">
        <f t="shared" si="2731"/>
        <v>BULLISH</v>
      </c>
      <c r="S6442">
        <f t="shared" si="2732"/>
        <v>1</v>
      </c>
    </row>
    <row r="6443" spans="1:19" hidden="1" x14ac:dyDescent="0.25">
      <c r="A6443" s="5" t="str">
        <f t="shared" si="2720"/>
        <v>44188XLE</v>
      </c>
      <c r="B6443" s="6" t="s">
        <v>250</v>
      </c>
      <c r="C6443" s="6">
        <v>37.17</v>
      </c>
      <c r="D6443" s="6">
        <v>41.61</v>
      </c>
      <c r="E6443" s="6">
        <v>37.49</v>
      </c>
      <c r="F6443" t="str">
        <f t="shared" si="2721"/>
        <v>WED</v>
      </c>
      <c r="G6443" s="1">
        <f t="shared" si="2722"/>
        <v>44188</v>
      </c>
      <c r="H6443" s="2">
        <f t="shared" ca="1" si="2723"/>
        <v>65</v>
      </c>
      <c r="I6443" t="str">
        <f t="shared" si="2724"/>
        <v>XLE</v>
      </c>
      <c r="J6443">
        <f t="shared" si="2725"/>
        <v>37.17</v>
      </c>
      <c r="K6443">
        <f t="shared" si="2726"/>
        <v>41.61</v>
      </c>
      <c r="L6443">
        <f t="shared" si="2727"/>
        <v>39.39</v>
      </c>
      <c r="M6443">
        <f t="shared" si="2728"/>
        <v>2.2199999999999989</v>
      </c>
      <c r="N6443">
        <f t="shared" si="2706"/>
        <v>4.4399999999999977</v>
      </c>
      <c r="O6443">
        <f t="shared" si="2729"/>
        <v>37.49</v>
      </c>
      <c r="P6443">
        <f t="shared" si="2730"/>
        <v>-0.85585585585585566</v>
      </c>
      <c r="Q6443" t="str">
        <f t="shared" si="2707"/>
        <v>0.85% | 10.99%</v>
      </c>
      <c r="R6443" t="str">
        <f t="shared" si="2731"/>
        <v>BULLISH</v>
      </c>
      <c r="S6443">
        <f t="shared" si="2732"/>
        <v>1</v>
      </c>
    </row>
    <row r="6444" spans="1:19" hidden="1" x14ac:dyDescent="0.25">
      <c r="A6444" s="5" t="str">
        <f t="shared" si="2720"/>
        <v>44188XLF</v>
      </c>
      <c r="B6444" s="6" t="s">
        <v>258</v>
      </c>
      <c r="C6444" s="6">
        <v>27.99</v>
      </c>
      <c r="D6444" s="6">
        <v>29.01</v>
      </c>
      <c r="E6444" s="6">
        <v>28.44</v>
      </c>
      <c r="F6444" t="str">
        <f t="shared" si="2721"/>
        <v>WED</v>
      </c>
      <c r="G6444" s="1">
        <f t="shared" si="2722"/>
        <v>44188</v>
      </c>
      <c r="H6444" s="2">
        <f t="shared" ca="1" si="2723"/>
        <v>65</v>
      </c>
      <c r="I6444" t="str">
        <f t="shared" si="2724"/>
        <v>XLF</v>
      </c>
      <c r="J6444">
        <f t="shared" si="2725"/>
        <v>27.99</v>
      </c>
      <c r="K6444">
        <f t="shared" si="2726"/>
        <v>29.01</v>
      </c>
      <c r="L6444">
        <f t="shared" si="2727"/>
        <v>28.5</v>
      </c>
      <c r="M6444">
        <f t="shared" si="2728"/>
        <v>0.51000000000000156</v>
      </c>
      <c r="N6444">
        <f t="shared" si="2706"/>
        <v>1.0200000000000031</v>
      </c>
      <c r="O6444">
        <f t="shared" si="2729"/>
        <v>28.44</v>
      </c>
      <c r="P6444">
        <f t="shared" si="2730"/>
        <v>-0.11764705882352654</v>
      </c>
      <c r="Q6444" t="str">
        <f t="shared" si="2707"/>
        <v>1.58% | 2%</v>
      </c>
      <c r="R6444" t="str">
        <f t="shared" si="2731"/>
        <v>BULLISH</v>
      </c>
      <c r="S6444">
        <f t="shared" si="2732"/>
        <v>1</v>
      </c>
    </row>
    <row r="6445" spans="1:19" hidden="1" x14ac:dyDescent="0.25">
      <c r="A6445" s="5" t="str">
        <f t="shared" si="2720"/>
        <v>44188XLU</v>
      </c>
      <c r="B6445" s="6" t="s">
        <v>82</v>
      </c>
      <c r="C6445" s="6">
        <v>60.44</v>
      </c>
      <c r="D6445" s="6">
        <v>62.35</v>
      </c>
      <c r="E6445" s="6">
        <v>60.9</v>
      </c>
      <c r="F6445" t="str">
        <f t="shared" si="2721"/>
        <v>WED</v>
      </c>
      <c r="G6445" s="1">
        <f t="shared" si="2722"/>
        <v>44188</v>
      </c>
      <c r="H6445" s="2">
        <f t="shared" ca="1" si="2723"/>
        <v>65</v>
      </c>
      <c r="I6445" t="str">
        <f t="shared" si="2724"/>
        <v>XLU</v>
      </c>
      <c r="J6445">
        <f t="shared" si="2725"/>
        <v>60.44</v>
      </c>
      <c r="K6445">
        <f t="shared" si="2726"/>
        <v>62.35</v>
      </c>
      <c r="L6445">
        <f t="shared" si="2727"/>
        <v>61.394999999999996</v>
      </c>
      <c r="M6445">
        <f t="shared" si="2728"/>
        <v>0.95500000000000185</v>
      </c>
      <c r="N6445">
        <f t="shared" si="2706"/>
        <v>1.9100000000000037</v>
      </c>
      <c r="O6445">
        <f t="shared" si="2729"/>
        <v>60.9</v>
      </c>
      <c r="P6445">
        <f t="shared" si="2730"/>
        <v>-0.5183246073298392</v>
      </c>
      <c r="Q6445" t="str">
        <f t="shared" si="2707"/>
        <v>0.76% | 2.38%</v>
      </c>
      <c r="R6445" t="str">
        <f t="shared" si="2731"/>
        <v>BEARISH</v>
      </c>
      <c r="S6445">
        <f t="shared" si="2732"/>
        <v>-1</v>
      </c>
    </row>
    <row r="6446" spans="1:19" hidden="1" x14ac:dyDescent="0.25">
      <c r="A6446" s="5" t="str">
        <f t="shared" si="2720"/>
        <v>44188GDX</v>
      </c>
      <c r="B6446" s="6" t="s">
        <v>254</v>
      </c>
      <c r="C6446" s="6">
        <v>33.840000000000003</v>
      </c>
      <c r="D6446" s="6">
        <v>37.22</v>
      </c>
      <c r="E6446" s="6">
        <v>35.29</v>
      </c>
      <c r="F6446" t="str">
        <f t="shared" si="2721"/>
        <v>WED</v>
      </c>
      <c r="G6446" s="1">
        <f t="shared" si="2722"/>
        <v>44188</v>
      </c>
      <c r="H6446" s="2">
        <f t="shared" ca="1" si="2723"/>
        <v>65</v>
      </c>
      <c r="I6446" t="str">
        <f t="shared" si="2724"/>
        <v>GDX</v>
      </c>
      <c r="J6446">
        <f t="shared" si="2725"/>
        <v>33.840000000000003</v>
      </c>
      <c r="K6446">
        <f t="shared" si="2726"/>
        <v>37.22</v>
      </c>
      <c r="L6446">
        <f t="shared" si="2727"/>
        <v>35.53</v>
      </c>
      <c r="M6446">
        <f t="shared" si="2728"/>
        <v>1.6899999999999977</v>
      </c>
      <c r="N6446">
        <f t="shared" si="2706"/>
        <v>3.3799999999999955</v>
      </c>
      <c r="O6446">
        <f t="shared" si="2729"/>
        <v>35.29</v>
      </c>
      <c r="P6446">
        <f t="shared" si="2730"/>
        <v>-0.14201183431952799</v>
      </c>
      <c r="Q6446" t="str">
        <f t="shared" si="2707"/>
        <v>4.11% | 5.47%</v>
      </c>
      <c r="R6446" t="str">
        <f t="shared" si="2731"/>
        <v>BEARISH</v>
      </c>
      <c r="S6446">
        <f t="shared" si="2732"/>
        <v>-1</v>
      </c>
    </row>
    <row r="6447" spans="1:19" hidden="1" x14ac:dyDescent="0.25">
      <c r="A6447" s="5" t="str">
        <f t="shared" si="2720"/>
        <v>44188SSEC</v>
      </c>
      <c r="B6447" s="6" t="s">
        <v>104</v>
      </c>
      <c r="C6447" s="6">
        <v>3330</v>
      </c>
      <c r="D6447" s="6">
        <v>3426</v>
      </c>
      <c r="E6447" s="6">
        <v>3382</v>
      </c>
      <c r="F6447" t="str">
        <f t="shared" si="2721"/>
        <v>WED</v>
      </c>
      <c r="G6447" s="1">
        <f t="shared" si="2722"/>
        <v>44188</v>
      </c>
      <c r="H6447" s="2">
        <f t="shared" ca="1" si="2723"/>
        <v>65</v>
      </c>
      <c r="I6447" t="str">
        <f t="shared" si="2724"/>
        <v>SSEC</v>
      </c>
      <c r="J6447">
        <f t="shared" si="2725"/>
        <v>3330</v>
      </c>
      <c r="K6447">
        <f t="shared" si="2726"/>
        <v>3426</v>
      </c>
      <c r="L6447">
        <f t="shared" si="2727"/>
        <v>3378</v>
      </c>
      <c r="M6447">
        <f t="shared" si="2728"/>
        <v>48</v>
      </c>
      <c r="N6447">
        <f t="shared" si="2706"/>
        <v>96</v>
      </c>
      <c r="O6447">
        <f t="shared" si="2729"/>
        <v>3382</v>
      </c>
      <c r="P6447">
        <f t="shared" si="2730"/>
        <v>8.3333333333333329E-2</v>
      </c>
      <c r="Q6447" t="str">
        <f t="shared" si="2707"/>
        <v>1.54% | 1.3%</v>
      </c>
      <c r="R6447" t="str">
        <f t="shared" si="2731"/>
        <v>BULLISH</v>
      </c>
      <c r="S6447">
        <f t="shared" si="2732"/>
        <v>1</v>
      </c>
    </row>
    <row r="6448" spans="1:19" hidden="1" x14ac:dyDescent="0.25">
      <c r="A6448" s="5" t="str">
        <f t="shared" si="2720"/>
        <v>44188NIKK</v>
      </c>
      <c r="B6448" s="6" t="s">
        <v>91</v>
      </c>
      <c r="C6448" s="6">
        <v>26406</v>
      </c>
      <c r="D6448" s="6">
        <v>26917</v>
      </c>
      <c r="E6448" s="6">
        <v>26524</v>
      </c>
      <c r="F6448" t="str">
        <f t="shared" si="2721"/>
        <v>WED</v>
      </c>
      <c r="G6448" s="1">
        <f t="shared" si="2722"/>
        <v>44188</v>
      </c>
      <c r="H6448" s="2">
        <f t="shared" ca="1" si="2723"/>
        <v>65</v>
      </c>
      <c r="I6448" t="str">
        <f t="shared" si="2724"/>
        <v>NIKK</v>
      </c>
      <c r="J6448">
        <f t="shared" si="2725"/>
        <v>26406</v>
      </c>
      <c r="K6448">
        <f t="shared" si="2726"/>
        <v>26917</v>
      </c>
      <c r="L6448">
        <f t="shared" si="2727"/>
        <v>26661.5</v>
      </c>
      <c r="M6448">
        <f t="shared" si="2728"/>
        <v>255.5</v>
      </c>
      <c r="N6448">
        <f t="shared" si="2706"/>
        <v>511</v>
      </c>
      <c r="O6448">
        <f t="shared" si="2729"/>
        <v>26524</v>
      </c>
      <c r="P6448">
        <f t="shared" si="2730"/>
        <v>-0.53816046966731901</v>
      </c>
      <c r="Q6448" t="str">
        <f t="shared" si="2707"/>
        <v>0.44% | 1.48%</v>
      </c>
      <c r="R6448" t="str">
        <f t="shared" si="2731"/>
        <v>BULLISH</v>
      </c>
      <c r="S6448">
        <f t="shared" si="2732"/>
        <v>1</v>
      </c>
    </row>
    <row r="6449" spans="1:19" hidden="1" x14ac:dyDescent="0.25">
      <c r="A6449" s="5" t="str">
        <f t="shared" si="2720"/>
        <v>44188DAX</v>
      </c>
      <c r="B6449" s="6" t="s">
        <v>98</v>
      </c>
      <c r="C6449" s="6">
        <v>13076</v>
      </c>
      <c r="D6449" s="6">
        <v>13760</v>
      </c>
      <c r="E6449" s="6">
        <v>13418</v>
      </c>
      <c r="F6449" t="str">
        <f t="shared" si="2721"/>
        <v>WED</v>
      </c>
      <c r="G6449" s="1">
        <f t="shared" si="2722"/>
        <v>44188</v>
      </c>
      <c r="H6449" s="2">
        <f t="shared" ca="1" si="2723"/>
        <v>65</v>
      </c>
      <c r="I6449" t="str">
        <f t="shared" si="2724"/>
        <v>DAX</v>
      </c>
      <c r="J6449">
        <f t="shared" si="2725"/>
        <v>13076</v>
      </c>
      <c r="K6449">
        <f t="shared" si="2726"/>
        <v>13760</v>
      </c>
      <c r="L6449">
        <f t="shared" si="2727"/>
        <v>13418</v>
      </c>
      <c r="M6449">
        <f t="shared" si="2728"/>
        <v>342</v>
      </c>
      <c r="N6449">
        <f t="shared" si="2706"/>
        <v>684</v>
      </c>
      <c r="O6449">
        <f t="shared" si="2729"/>
        <v>13418</v>
      </c>
      <c r="P6449">
        <f t="shared" si="2730"/>
        <v>0</v>
      </c>
      <c r="Q6449" t="str">
        <f t="shared" si="2707"/>
        <v>2.55% | 2.55%</v>
      </c>
      <c r="R6449" t="str">
        <f t="shared" si="2731"/>
        <v>BULLISH</v>
      </c>
      <c r="S6449">
        <f t="shared" si="2732"/>
        <v>1</v>
      </c>
    </row>
    <row r="6450" spans="1:19" hidden="1" x14ac:dyDescent="0.25">
      <c r="A6450" s="5" t="str">
        <f t="shared" si="2720"/>
        <v>44188VIX</v>
      </c>
      <c r="B6450" s="6" t="s">
        <v>96</v>
      </c>
      <c r="C6450" s="6">
        <v>20.64</v>
      </c>
      <c r="D6450" s="6">
        <v>25.66</v>
      </c>
      <c r="E6450" s="6">
        <v>24.23</v>
      </c>
      <c r="F6450" t="str">
        <f t="shared" si="2721"/>
        <v>WED</v>
      </c>
      <c r="G6450" s="1">
        <f t="shared" si="2722"/>
        <v>44188</v>
      </c>
      <c r="H6450" s="2">
        <f t="shared" ca="1" si="2723"/>
        <v>65</v>
      </c>
      <c r="I6450" t="str">
        <f t="shared" si="2724"/>
        <v>VIX</v>
      </c>
      <c r="J6450">
        <f t="shared" si="2725"/>
        <v>20.64</v>
      </c>
      <c r="K6450">
        <f t="shared" si="2726"/>
        <v>25.66</v>
      </c>
      <c r="L6450">
        <f t="shared" si="2727"/>
        <v>23.15</v>
      </c>
      <c r="M6450">
        <f t="shared" si="2728"/>
        <v>2.5100000000000313</v>
      </c>
      <c r="N6450">
        <f t="shared" si="2706"/>
        <v>5.0199999999999996</v>
      </c>
      <c r="O6450">
        <f t="shared" si="2729"/>
        <v>24.23</v>
      </c>
      <c r="P6450">
        <f t="shared" si="2730"/>
        <v>0.43027888446214674</v>
      </c>
      <c r="Q6450" t="str">
        <f t="shared" si="2707"/>
        <v>14.82% | 5.9%</v>
      </c>
      <c r="R6450" t="str">
        <f t="shared" si="2731"/>
        <v>BEARISH</v>
      </c>
      <c r="S6450">
        <f t="shared" si="2732"/>
        <v>-1</v>
      </c>
    </row>
    <row r="6451" spans="1:19" hidden="1" x14ac:dyDescent="0.25">
      <c r="A6451" s="5" t="str">
        <f t="shared" si="2720"/>
        <v>44188USD</v>
      </c>
      <c r="B6451" s="6" t="s">
        <v>94</v>
      </c>
      <c r="C6451" s="6">
        <v>89.51</v>
      </c>
      <c r="D6451" s="6">
        <v>91.12</v>
      </c>
      <c r="E6451" s="6">
        <v>90.55</v>
      </c>
      <c r="F6451" t="str">
        <f t="shared" si="2721"/>
        <v>WED</v>
      </c>
      <c r="G6451" s="1">
        <f t="shared" si="2722"/>
        <v>44188</v>
      </c>
      <c r="H6451" s="2">
        <f t="shared" ca="1" si="2723"/>
        <v>65</v>
      </c>
      <c r="I6451" t="str">
        <f t="shared" si="2724"/>
        <v>USD</v>
      </c>
      <c r="J6451">
        <f t="shared" si="2725"/>
        <v>89.51</v>
      </c>
      <c r="K6451">
        <f t="shared" si="2726"/>
        <v>91.12</v>
      </c>
      <c r="L6451">
        <f t="shared" si="2727"/>
        <v>90.314999999999998</v>
      </c>
      <c r="M6451">
        <f t="shared" si="2728"/>
        <v>0.80499999999999972</v>
      </c>
      <c r="N6451">
        <f t="shared" si="2706"/>
        <v>1.6099999999999994</v>
      </c>
      <c r="O6451">
        <f t="shared" si="2729"/>
        <v>90.55</v>
      </c>
      <c r="P6451">
        <f t="shared" si="2730"/>
        <v>0.2919254658385087</v>
      </c>
      <c r="Q6451" t="str">
        <f t="shared" si="2707"/>
        <v>1.15% | 0.63%</v>
      </c>
      <c r="R6451" t="str">
        <f t="shared" si="2731"/>
        <v>BEARISH</v>
      </c>
      <c r="S6451">
        <f t="shared" si="2732"/>
        <v>-1</v>
      </c>
    </row>
    <row r="6452" spans="1:19" hidden="1" x14ac:dyDescent="0.25">
      <c r="A6452" s="5" t="str">
        <f t="shared" si="2720"/>
        <v>44188EUR/USD</v>
      </c>
      <c r="B6452" s="6" t="s">
        <v>99</v>
      </c>
      <c r="C6452" s="6">
        <v>1.206</v>
      </c>
      <c r="D6452" s="6">
        <v>1.23</v>
      </c>
      <c r="E6452" s="6">
        <v>1.2170000000000001</v>
      </c>
      <c r="F6452" t="str">
        <f t="shared" si="2721"/>
        <v>WED</v>
      </c>
      <c r="G6452" s="1">
        <f t="shared" si="2722"/>
        <v>44188</v>
      </c>
      <c r="H6452" s="2">
        <f t="shared" ca="1" si="2723"/>
        <v>65</v>
      </c>
      <c r="I6452" t="str">
        <f t="shared" si="2724"/>
        <v>EUR/USD</v>
      </c>
      <c r="J6452">
        <f t="shared" si="2725"/>
        <v>1.206</v>
      </c>
      <c r="K6452">
        <f t="shared" si="2726"/>
        <v>1.23</v>
      </c>
      <c r="L6452">
        <f t="shared" si="2727"/>
        <v>1.218</v>
      </c>
      <c r="M6452">
        <f t="shared" si="2728"/>
        <v>1.2000000000000011E-2</v>
      </c>
      <c r="N6452">
        <f t="shared" si="2706"/>
        <v>2.4000000000000021E-2</v>
      </c>
      <c r="O6452">
        <f t="shared" si="2729"/>
        <v>1.2170000000000001</v>
      </c>
      <c r="P6452">
        <f t="shared" si="2730"/>
        <v>-8.3333333333324086E-2</v>
      </c>
      <c r="Q6452" t="str">
        <f t="shared" si="2707"/>
        <v>0.9% | 1.07%</v>
      </c>
      <c r="R6452" t="str">
        <f t="shared" si="2731"/>
        <v>BULLISH</v>
      </c>
      <c r="S6452">
        <f t="shared" si="2732"/>
        <v>1</v>
      </c>
    </row>
    <row r="6453" spans="1:19" hidden="1" x14ac:dyDescent="0.25">
      <c r="A6453" s="5" t="str">
        <f t="shared" si="2720"/>
        <v>44188USD/JPY</v>
      </c>
      <c r="B6453" s="6" t="s">
        <v>20</v>
      </c>
      <c r="C6453" s="6">
        <v>102.78</v>
      </c>
      <c r="D6453" s="6">
        <v>104.03</v>
      </c>
      <c r="E6453" s="6">
        <v>103.61</v>
      </c>
      <c r="F6453" t="str">
        <f t="shared" si="2721"/>
        <v>WED</v>
      </c>
      <c r="G6453" s="1">
        <f t="shared" si="2722"/>
        <v>44188</v>
      </c>
      <c r="H6453" s="2">
        <f t="shared" ca="1" si="2723"/>
        <v>65</v>
      </c>
      <c r="I6453" t="str">
        <f t="shared" si="2724"/>
        <v>USD/JPY</v>
      </c>
      <c r="J6453">
        <f t="shared" si="2725"/>
        <v>102.78</v>
      </c>
      <c r="K6453">
        <f t="shared" si="2726"/>
        <v>104.03</v>
      </c>
      <c r="L6453">
        <f t="shared" si="2727"/>
        <v>103.405</v>
      </c>
      <c r="M6453">
        <f t="shared" si="2728"/>
        <v>0.625</v>
      </c>
      <c r="N6453">
        <f t="shared" si="2706"/>
        <v>1.25</v>
      </c>
      <c r="O6453">
        <f t="shared" si="2729"/>
        <v>103.61</v>
      </c>
      <c r="P6453">
        <f t="shared" si="2730"/>
        <v>0.32799999999999729</v>
      </c>
      <c r="Q6453" t="str">
        <f t="shared" si="2707"/>
        <v>0.8% | 0.41%</v>
      </c>
      <c r="R6453" t="str">
        <f t="shared" si="2731"/>
        <v>BEARISH</v>
      </c>
      <c r="S6453">
        <f t="shared" si="2732"/>
        <v>-1</v>
      </c>
    </row>
    <row r="6454" spans="1:19" hidden="1" x14ac:dyDescent="0.25">
      <c r="A6454" s="5" t="str">
        <f t="shared" si="2720"/>
        <v>44188GBP/USD</v>
      </c>
      <c r="B6454" s="6" t="s">
        <v>102</v>
      </c>
      <c r="C6454" s="6">
        <v>1.321</v>
      </c>
      <c r="D6454" s="6">
        <v>1.363</v>
      </c>
      <c r="E6454" s="6">
        <v>1.3380000000000001</v>
      </c>
      <c r="F6454" t="str">
        <f t="shared" si="2721"/>
        <v>WED</v>
      </c>
      <c r="G6454" s="1">
        <f t="shared" si="2722"/>
        <v>44188</v>
      </c>
      <c r="H6454" s="2">
        <f t="shared" ca="1" si="2723"/>
        <v>65</v>
      </c>
      <c r="I6454" t="str">
        <f t="shared" si="2724"/>
        <v>GBP/USD</v>
      </c>
      <c r="J6454">
        <f t="shared" si="2725"/>
        <v>1.321</v>
      </c>
      <c r="K6454">
        <f t="shared" si="2726"/>
        <v>1.363</v>
      </c>
      <c r="L6454">
        <f t="shared" si="2727"/>
        <v>1.3420000000000001</v>
      </c>
      <c r="M6454">
        <f t="shared" si="2728"/>
        <v>2.1000000000000019E-2</v>
      </c>
      <c r="N6454">
        <f t="shared" si="2706"/>
        <v>4.2000000000000037E-2</v>
      </c>
      <c r="O6454">
        <f t="shared" si="2729"/>
        <v>1.3380000000000001</v>
      </c>
      <c r="P6454">
        <f t="shared" si="2730"/>
        <v>-0.19047619047619047</v>
      </c>
      <c r="Q6454" t="str">
        <f t="shared" si="2707"/>
        <v>1.27% | 1.87%</v>
      </c>
      <c r="R6454" t="str">
        <f t="shared" si="2731"/>
        <v>BULLISH</v>
      </c>
      <c r="S6454">
        <f t="shared" si="2732"/>
        <v>1</v>
      </c>
    </row>
    <row r="6455" spans="1:19" hidden="1" x14ac:dyDescent="0.25">
      <c r="A6455" s="5" t="str">
        <f t="shared" si="2720"/>
        <v>44188CAD/USD</v>
      </c>
      <c r="B6455" s="6" t="s">
        <v>244</v>
      </c>
      <c r="C6455" s="6">
        <v>0.77</v>
      </c>
      <c r="D6455" s="6">
        <v>0.79</v>
      </c>
      <c r="E6455" s="6">
        <v>0.77</v>
      </c>
      <c r="F6455" t="str">
        <f t="shared" si="2721"/>
        <v>WED</v>
      </c>
      <c r="G6455" s="1">
        <f t="shared" si="2722"/>
        <v>44188</v>
      </c>
      <c r="H6455" s="2">
        <f t="shared" ca="1" si="2723"/>
        <v>65</v>
      </c>
      <c r="I6455" t="str">
        <f t="shared" si="2724"/>
        <v>CAD/USD</v>
      </c>
      <c r="J6455">
        <f t="shared" si="2725"/>
        <v>0.77</v>
      </c>
      <c r="K6455">
        <f t="shared" si="2726"/>
        <v>0.79</v>
      </c>
      <c r="L6455">
        <f t="shared" si="2727"/>
        <v>0.78</v>
      </c>
      <c r="M6455">
        <f t="shared" si="2728"/>
        <v>1.0000000000000009E-2</v>
      </c>
      <c r="N6455">
        <f t="shared" si="2706"/>
        <v>2.0000000000000018E-2</v>
      </c>
      <c r="O6455">
        <f t="shared" si="2729"/>
        <v>0.77</v>
      </c>
      <c r="P6455">
        <f t="shared" si="2730"/>
        <v>-1</v>
      </c>
      <c r="Q6455" t="str">
        <f t="shared" si="2707"/>
        <v>0% | 2.6%</v>
      </c>
      <c r="R6455" t="str">
        <f t="shared" si="2731"/>
        <v>BULLISH</v>
      </c>
      <c r="S6455">
        <f t="shared" si="2732"/>
        <v>1</v>
      </c>
    </row>
    <row r="6456" spans="1:19" hidden="1" x14ac:dyDescent="0.25">
      <c r="A6456" s="5" t="str">
        <f t="shared" si="2720"/>
        <v>44188USD/CHF</v>
      </c>
      <c r="B6456" s="6" t="s">
        <v>76</v>
      </c>
      <c r="C6456" s="6">
        <v>0.87</v>
      </c>
      <c r="D6456" s="6">
        <v>0.89</v>
      </c>
      <c r="E6456" s="6">
        <v>0.88</v>
      </c>
      <c r="F6456" t="str">
        <f t="shared" si="2721"/>
        <v>WED</v>
      </c>
      <c r="G6456" s="1">
        <f t="shared" si="2722"/>
        <v>44188</v>
      </c>
      <c r="H6456" s="2">
        <f t="shared" ca="1" si="2723"/>
        <v>65</v>
      </c>
      <c r="I6456" t="str">
        <f t="shared" si="2724"/>
        <v>USD/CHF</v>
      </c>
      <c r="J6456">
        <f t="shared" si="2725"/>
        <v>0.87</v>
      </c>
      <c r="K6456">
        <f t="shared" si="2726"/>
        <v>0.89</v>
      </c>
      <c r="L6456">
        <f t="shared" si="2727"/>
        <v>0.88</v>
      </c>
      <c r="M6456">
        <f t="shared" si="2728"/>
        <v>1.0000000000000009E-2</v>
      </c>
      <c r="N6456">
        <f t="shared" si="2706"/>
        <v>2.0000000000000018E-2</v>
      </c>
      <c r="O6456">
        <f t="shared" si="2729"/>
        <v>0.88</v>
      </c>
      <c r="P6456">
        <f t="shared" si="2730"/>
        <v>0</v>
      </c>
      <c r="Q6456" t="str">
        <f t="shared" si="2707"/>
        <v>1.14% | 1.14%</v>
      </c>
      <c r="R6456" t="str">
        <f t="shared" si="2731"/>
        <v>BEARISH</v>
      </c>
      <c r="S6456">
        <f t="shared" si="2732"/>
        <v>-1</v>
      </c>
    </row>
    <row r="6457" spans="1:19" hidden="1" x14ac:dyDescent="0.25">
      <c r="A6457" s="5" t="str">
        <f t="shared" si="2720"/>
        <v>44188WTIC</v>
      </c>
      <c r="B6457" s="6" t="s">
        <v>158</v>
      </c>
      <c r="C6457" s="6">
        <v>45.66</v>
      </c>
      <c r="D6457" s="6">
        <v>49.38</v>
      </c>
      <c r="E6457" s="6">
        <v>47.02</v>
      </c>
      <c r="F6457" t="str">
        <f t="shared" si="2721"/>
        <v>WED</v>
      </c>
      <c r="G6457" s="1">
        <f t="shared" si="2722"/>
        <v>44188</v>
      </c>
      <c r="H6457" s="2">
        <f t="shared" ca="1" si="2723"/>
        <v>65</v>
      </c>
      <c r="I6457" t="str">
        <f t="shared" si="2724"/>
        <v>WTIC</v>
      </c>
      <c r="J6457">
        <f t="shared" si="2725"/>
        <v>45.66</v>
      </c>
      <c r="K6457">
        <f t="shared" si="2726"/>
        <v>49.38</v>
      </c>
      <c r="L6457">
        <f t="shared" si="2727"/>
        <v>47.519999999999996</v>
      </c>
      <c r="M6457">
        <f t="shared" si="2728"/>
        <v>1.860000000000003</v>
      </c>
      <c r="N6457">
        <f t="shared" si="2706"/>
        <v>3.720000000000006</v>
      </c>
      <c r="O6457">
        <f t="shared" si="2729"/>
        <v>47.02</v>
      </c>
      <c r="P6457">
        <f t="shared" si="2730"/>
        <v>-0.26881720430107103</v>
      </c>
      <c r="Q6457" t="str">
        <f t="shared" si="2707"/>
        <v>2.89% | 5.02%</v>
      </c>
      <c r="R6457" t="str">
        <f t="shared" si="2731"/>
        <v>BULLISH</v>
      </c>
      <c r="S6457">
        <f t="shared" si="2732"/>
        <v>1</v>
      </c>
    </row>
    <row r="6458" spans="1:19" hidden="1" x14ac:dyDescent="0.25">
      <c r="A6458" s="5" t="str">
        <f t="shared" si="2720"/>
        <v>44188NATGAS</v>
      </c>
      <c r="B6458" s="6" t="s">
        <v>89</v>
      </c>
      <c r="C6458" s="6">
        <v>2.5099999999999998</v>
      </c>
      <c r="D6458" s="6">
        <v>2.81</v>
      </c>
      <c r="E6458" s="6">
        <v>2.78</v>
      </c>
      <c r="F6458" t="str">
        <f t="shared" si="2721"/>
        <v>WED</v>
      </c>
      <c r="G6458" s="1">
        <f t="shared" si="2722"/>
        <v>44188</v>
      </c>
      <c r="H6458" s="2">
        <f t="shared" ca="1" si="2723"/>
        <v>65</v>
      </c>
      <c r="I6458" t="str">
        <f t="shared" si="2724"/>
        <v>NATGAS</v>
      </c>
      <c r="J6458">
        <f t="shared" si="2725"/>
        <v>2.5099999999999998</v>
      </c>
      <c r="K6458">
        <f t="shared" si="2726"/>
        <v>2.81</v>
      </c>
      <c r="L6458">
        <f t="shared" si="2727"/>
        <v>2.66</v>
      </c>
      <c r="M6458">
        <f t="shared" si="2728"/>
        <v>0.15000000000000013</v>
      </c>
      <c r="N6458">
        <f t="shared" si="2706"/>
        <v>0.30000000000000027</v>
      </c>
      <c r="O6458">
        <f t="shared" si="2729"/>
        <v>2.78</v>
      </c>
      <c r="P6458">
        <f t="shared" si="2730"/>
        <v>0.79999999999999705</v>
      </c>
      <c r="Q6458" t="str">
        <f t="shared" si="2707"/>
        <v>9.71% | 1.08%</v>
      </c>
      <c r="R6458" t="str">
        <f t="shared" si="2731"/>
        <v>BULLISH</v>
      </c>
      <c r="S6458">
        <f t="shared" si="2732"/>
        <v>1</v>
      </c>
    </row>
    <row r="6459" spans="1:19" hidden="1" x14ac:dyDescent="0.25">
      <c r="A6459" s="5" t="str">
        <f t="shared" si="2720"/>
        <v>44188GOLD</v>
      </c>
      <c r="B6459" s="6" t="s">
        <v>249</v>
      </c>
      <c r="C6459" s="6">
        <v>1819</v>
      </c>
      <c r="D6459" s="6">
        <v>1905</v>
      </c>
      <c r="E6459" s="6">
        <v>1870</v>
      </c>
      <c r="F6459" t="str">
        <f t="shared" si="2721"/>
        <v>WED</v>
      </c>
      <c r="G6459" s="1">
        <f t="shared" si="2722"/>
        <v>44188</v>
      </c>
      <c r="H6459" s="2">
        <f t="shared" ca="1" si="2723"/>
        <v>65</v>
      </c>
      <c r="I6459" t="str">
        <f t="shared" si="2724"/>
        <v>GOLD</v>
      </c>
      <c r="J6459">
        <f t="shared" si="2725"/>
        <v>1819</v>
      </c>
      <c r="K6459">
        <f t="shared" si="2726"/>
        <v>1905</v>
      </c>
      <c r="L6459">
        <f t="shared" si="2727"/>
        <v>1862</v>
      </c>
      <c r="M6459">
        <f t="shared" si="2728"/>
        <v>43</v>
      </c>
      <c r="N6459">
        <f t="shared" si="2706"/>
        <v>86</v>
      </c>
      <c r="O6459">
        <f t="shared" si="2729"/>
        <v>1870</v>
      </c>
      <c r="P6459">
        <f t="shared" si="2730"/>
        <v>0.18604651162790697</v>
      </c>
      <c r="Q6459" t="str">
        <f t="shared" si="2707"/>
        <v>2.73% | 1.87%</v>
      </c>
      <c r="R6459" t="str">
        <f t="shared" si="2731"/>
        <v>NEUTRAL</v>
      </c>
      <c r="S6459">
        <f t="shared" si="2732"/>
        <v>0</v>
      </c>
    </row>
    <row r="6460" spans="1:19" hidden="1" x14ac:dyDescent="0.25">
      <c r="A6460" s="5" t="str">
        <f t="shared" si="2720"/>
        <v>44188COPPER</v>
      </c>
      <c r="B6460" s="6" t="s">
        <v>100</v>
      </c>
      <c r="C6460" s="6">
        <v>3.48</v>
      </c>
      <c r="D6460" s="6">
        <v>3.64</v>
      </c>
      <c r="E6460" s="6">
        <v>3.52</v>
      </c>
      <c r="F6460" t="str">
        <f t="shared" si="2721"/>
        <v>WED</v>
      </c>
      <c r="G6460" s="1">
        <f t="shared" si="2722"/>
        <v>44188</v>
      </c>
      <c r="H6460" s="2">
        <f t="shared" ca="1" si="2723"/>
        <v>65</v>
      </c>
      <c r="I6460" t="str">
        <f t="shared" si="2724"/>
        <v>COPPER</v>
      </c>
      <c r="J6460">
        <f t="shared" si="2725"/>
        <v>3.48</v>
      </c>
      <c r="K6460">
        <f t="shared" si="2726"/>
        <v>3.64</v>
      </c>
      <c r="L6460">
        <f t="shared" si="2727"/>
        <v>3.56</v>
      </c>
      <c r="M6460">
        <f t="shared" si="2728"/>
        <v>8.0000000000000071E-2</v>
      </c>
      <c r="N6460">
        <f t="shared" si="2706"/>
        <v>0.16000000000000014</v>
      </c>
      <c r="O6460">
        <f t="shared" si="2729"/>
        <v>3.52</v>
      </c>
      <c r="P6460">
        <f t="shared" si="2730"/>
        <v>-0.5</v>
      </c>
      <c r="Q6460" t="str">
        <f t="shared" si="2707"/>
        <v>1.14% | 3.41%</v>
      </c>
      <c r="R6460" t="str">
        <f t="shared" si="2731"/>
        <v>BULLISH</v>
      </c>
      <c r="S6460">
        <f t="shared" si="2732"/>
        <v>1</v>
      </c>
    </row>
    <row r="6461" spans="1:19" hidden="1" x14ac:dyDescent="0.25">
      <c r="A6461" s="5" t="str">
        <f t="shared" si="2720"/>
        <v>44188MSFT</v>
      </c>
      <c r="B6461" s="6" t="s">
        <v>27</v>
      </c>
      <c r="C6461" s="6">
        <v>216</v>
      </c>
      <c r="D6461" s="6">
        <v>227</v>
      </c>
      <c r="E6461" s="6">
        <v>223</v>
      </c>
      <c r="F6461" t="str">
        <f t="shared" si="2721"/>
        <v>WED</v>
      </c>
      <c r="G6461" s="1">
        <f t="shared" si="2722"/>
        <v>44188</v>
      </c>
      <c r="H6461" s="2">
        <f t="shared" ca="1" si="2723"/>
        <v>65</v>
      </c>
      <c r="I6461" t="str">
        <f t="shared" si="2724"/>
        <v>MSFT</v>
      </c>
      <c r="J6461">
        <f t="shared" si="2725"/>
        <v>216</v>
      </c>
      <c r="K6461">
        <f t="shared" si="2726"/>
        <v>227</v>
      </c>
      <c r="L6461">
        <f t="shared" si="2727"/>
        <v>221.5</v>
      </c>
      <c r="M6461">
        <f t="shared" si="2728"/>
        <v>5.5</v>
      </c>
      <c r="N6461">
        <f t="shared" si="2706"/>
        <v>11</v>
      </c>
      <c r="O6461">
        <f t="shared" si="2729"/>
        <v>223</v>
      </c>
      <c r="P6461">
        <f t="shared" si="2730"/>
        <v>0.27272727272727271</v>
      </c>
      <c r="Q6461" t="str">
        <f t="shared" si="2707"/>
        <v>3.14% | 1.79%</v>
      </c>
      <c r="R6461" t="str">
        <f t="shared" si="2731"/>
        <v>BULLISH</v>
      </c>
      <c r="S6461">
        <f t="shared" si="2732"/>
        <v>1</v>
      </c>
    </row>
    <row r="6462" spans="1:19" hidden="1" x14ac:dyDescent="0.25">
      <c r="A6462" s="5" t="str">
        <f t="shared" si="2720"/>
        <v>44188AAPL</v>
      </c>
      <c r="B6462" s="6" t="s">
        <v>28</v>
      </c>
      <c r="C6462" s="6">
        <v>125</v>
      </c>
      <c r="D6462" s="6">
        <v>134</v>
      </c>
      <c r="E6462" s="6">
        <v>131</v>
      </c>
      <c r="F6462" t="str">
        <f t="shared" si="2721"/>
        <v>WED</v>
      </c>
      <c r="G6462" s="1">
        <f t="shared" si="2722"/>
        <v>44188</v>
      </c>
      <c r="H6462" s="2">
        <f t="shared" ca="1" si="2723"/>
        <v>65</v>
      </c>
      <c r="I6462" t="str">
        <f t="shared" si="2724"/>
        <v>AAPL</v>
      </c>
      <c r="J6462">
        <f t="shared" si="2725"/>
        <v>125</v>
      </c>
      <c r="K6462">
        <f t="shared" si="2726"/>
        <v>134</v>
      </c>
      <c r="L6462">
        <f t="shared" si="2727"/>
        <v>129.5</v>
      </c>
      <c r="M6462">
        <f t="shared" si="2728"/>
        <v>4.5</v>
      </c>
      <c r="N6462">
        <f t="shared" si="2706"/>
        <v>9</v>
      </c>
      <c r="O6462">
        <f t="shared" si="2729"/>
        <v>131</v>
      </c>
      <c r="P6462">
        <f t="shared" si="2730"/>
        <v>0.33333333333333331</v>
      </c>
      <c r="Q6462" t="str">
        <f t="shared" si="2707"/>
        <v>4.58% | 2.29%</v>
      </c>
      <c r="R6462" t="str">
        <f t="shared" si="2731"/>
        <v>BULLISH</v>
      </c>
      <c r="S6462">
        <f t="shared" si="2732"/>
        <v>1</v>
      </c>
    </row>
    <row r="6463" spans="1:19" hidden="1" x14ac:dyDescent="0.25">
      <c r="A6463" s="5" t="str">
        <f t="shared" si="2720"/>
        <v>44188AMZN</v>
      </c>
      <c r="B6463" s="6" t="s">
        <v>29</v>
      </c>
      <c r="C6463" s="6">
        <v>3081</v>
      </c>
      <c r="D6463" s="6">
        <v>3275</v>
      </c>
      <c r="E6463" s="6">
        <v>3206</v>
      </c>
      <c r="F6463" t="str">
        <f t="shared" si="2721"/>
        <v>WED</v>
      </c>
      <c r="G6463" s="1">
        <f t="shared" si="2722"/>
        <v>44188</v>
      </c>
      <c r="H6463" s="2">
        <f t="shared" ca="1" si="2723"/>
        <v>65</v>
      </c>
      <c r="I6463" t="str">
        <f t="shared" si="2724"/>
        <v>AMZN</v>
      </c>
      <c r="J6463">
        <f t="shared" si="2725"/>
        <v>3081</v>
      </c>
      <c r="K6463">
        <f t="shared" si="2726"/>
        <v>3275</v>
      </c>
      <c r="L6463">
        <f t="shared" si="2727"/>
        <v>3178</v>
      </c>
      <c r="M6463">
        <f t="shared" si="2728"/>
        <v>97</v>
      </c>
      <c r="N6463">
        <f t="shared" si="2706"/>
        <v>194</v>
      </c>
      <c r="O6463">
        <f t="shared" si="2729"/>
        <v>3206</v>
      </c>
      <c r="P6463">
        <f t="shared" si="2730"/>
        <v>0.28865979381443296</v>
      </c>
      <c r="Q6463" t="str">
        <f t="shared" si="2707"/>
        <v>3.9% | 2.15%</v>
      </c>
      <c r="R6463" t="str">
        <f t="shared" si="2731"/>
        <v>BULLISH</v>
      </c>
      <c r="S6463">
        <f t="shared" si="2732"/>
        <v>1</v>
      </c>
    </row>
    <row r="6464" spans="1:19" hidden="1" x14ac:dyDescent="0.25">
      <c r="A6464" s="5" t="str">
        <f t="shared" si="2720"/>
        <v>44188FB</v>
      </c>
      <c r="B6464" s="6" t="s">
        <v>157</v>
      </c>
      <c r="C6464" s="6">
        <v>262</v>
      </c>
      <c r="D6464" s="6">
        <v>275</v>
      </c>
      <c r="E6464" s="6">
        <v>267</v>
      </c>
      <c r="F6464" t="str">
        <f t="shared" si="2721"/>
        <v>WED</v>
      </c>
      <c r="G6464" s="1">
        <f t="shared" si="2722"/>
        <v>44188</v>
      </c>
      <c r="H6464" s="2">
        <f t="shared" ca="1" si="2723"/>
        <v>65</v>
      </c>
      <c r="I6464" t="str">
        <f t="shared" si="2724"/>
        <v>FB</v>
      </c>
      <c r="J6464">
        <f t="shared" si="2725"/>
        <v>262</v>
      </c>
      <c r="K6464">
        <f t="shared" si="2726"/>
        <v>275</v>
      </c>
      <c r="L6464">
        <f t="shared" si="2727"/>
        <v>268.5</v>
      </c>
      <c r="M6464">
        <f t="shared" si="2728"/>
        <v>6.5</v>
      </c>
      <c r="N6464">
        <f t="shared" si="2706"/>
        <v>13</v>
      </c>
      <c r="O6464">
        <f t="shared" si="2729"/>
        <v>267</v>
      </c>
      <c r="P6464">
        <f t="shared" si="2730"/>
        <v>-0.23076923076923078</v>
      </c>
      <c r="Q6464" t="str">
        <f t="shared" si="2707"/>
        <v>1.87% | 3%</v>
      </c>
      <c r="R6464" t="str">
        <f t="shared" si="2731"/>
        <v>NEUTRAL</v>
      </c>
      <c r="S6464">
        <f t="shared" si="2732"/>
        <v>0</v>
      </c>
    </row>
    <row r="6465" spans="1:19" hidden="1" x14ac:dyDescent="0.25">
      <c r="A6465" s="5" t="str">
        <f t="shared" si="2720"/>
        <v>44188GOOGL</v>
      </c>
      <c r="B6465" s="6" t="s">
        <v>31</v>
      </c>
      <c r="C6465" s="6">
        <v>1702</v>
      </c>
      <c r="D6465" s="6">
        <v>1780</v>
      </c>
      <c r="E6465" s="6">
        <v>1720</v>
      </c>
      <c r="F6465" t="str">
        <f t="shared" si="2721"/>
        <v>WED</v>
      </c>
      <c r="G6465" s="1">
        <f t="shared" si="2722"/>
        <v>44188</v>
      </c>
      <c r="H6465" s="2">
        <f t="shared" ca="1" si="2723"/>
        <v>65</v>
      </c>
      <c r="I6465" t="str">
        <f t="shared" si="2724"/>
        <v>GOOGL</v>
      </c>
      <c r="J6465">
        <f t="shared" si="2725"/>
        <v>1702</v>
      </c>
      <c r="K6465">
        <f t="shared" si="2726"/>
        <v>1780</v>
      </c>
      <c r="L6465">
        <f t="shared" si="2727"/>
        <v>1741</v>
      </c>
      <c r="M6465">
        <f t="shared" si="2728"/>
        <v>39</v>
      </c>
      <c r="N6465">
        <f t="shared" si="2706"/>
        <v>78</v>
      </c>
      <c r="O6465">
        <f t="shared" si="2729"/>
        <v>1720</v>
      </c>
      <c r="P6465">
        <f t="shared" si="2730"/>
        <v>-0.53846153846153844</v>
      </c>
      <c r="Q6465" t="str">
        <f t="shared" si="2707"/>
        <v>1.05% | 3.49%</v>
      </c>
      <c r="R6465" t="str">
        <f t="shared" si="2731"/>
        <v>BULLISH</v>
      </c>
      <c r="S6465">
        <f t="shared" si="2732"/>
        <v>1</v>
      </c>
    </row>
    <row r="6466" spans="1:19" hidden="1" x14ac:dyDescent="0.25">
      <c r="A6466" s="5" t="str">
        <f t="shared" si="2720"/>
        <v>44188NFLX</v>
      </c>
      <c r="B6466" s="6" t="s">
        <v>32</v>
      </c>
      <c r="C6466" s="6">
        <v>498</v>
      </c>
      <c r="D6466" s="6">
        <v>545</v>
      </c>
      <c r="E6466" s="6">
        <v>527</v>
      </c>
      <c r="F6466" t="str">
        <f t="shared" si="2721"/>
        <v>WED</v>
      </c>
      <c r="G6466" s="1">
        <f t="shared" si="2722"/>
        <v>44188</v>
      </c>
      <c r="H6466" s="2">
        <f t="shared" ca="1" si="2723"/>
        <v>65</v>
      </c>
      <c r="I6466" t="str">
        <f t="shared" si="2724"/>
        <v>NFLX</v>
      </c>
      <c r="J6466">
        <f t="shared" si="2725"/>
        <v>498</v>
      </c>
      <c r="K6466">
        <f t="shared" si="2726"/>
        <v>545</v>
      </c>
      <c r="L6466">
        <f t="shared" si="2727"/>
        <v>521.5</v>
      </c>
      <c r="M6466">
        <f t="shared" si="2728"/>
        <v>23.5</v>
      </c>
      <c r="N6466">
        <f t="shared" si="2706"/>
        <v>47</v>
      </c>
      <c r="O6466">
        <f t="shared" si="2729"/>
        <v>527</v>
      </c>
      <c r="P6466">
        <f t="shared" si="2730"/>
        <v>0.23404255319148937</v>
      </c>
      <c r="Q6466" t="str">
        <f t="shared" si="2707"/>
        <v>5.5% | 3.42%</v>
      </c>
      <c r="R6466" t="str">
        <f t="shared" si="2731"/>
        <v>BULLISH</v>
      </c>
      <c r="S6466">
        <f t="shared" si="2732"/>
        <v>1</v>
      </c>
    </row>
    <row r="6467" spans="1:19" x14ac:dyDescent="0.25">
      <c r="A6467" s="5" t="str">
        <f t="shared" si="2720"/>
        <v>44188TSLA</v>
      </c>
      <c r="B6467" s="6" t="s">
        <v>33</v>
      </c>
      <c r="C6467" s="6">
        <v>593</v>
      </c>
      <c r="D6467" s="6">
        <v>690</v>
      </c>
      <c r="E6467" s="6">
        <v>640</v>
      </c>
      <c r="F6467" t="str">
        <f t="shared" si="2721"/>
        <v>WED</v>
      </c>
      <c r="G6467" s="1">
        <f t="shared" si="2722"/>
        <v>44188</v>
      </c>
      <c r="H6467" s="2">
        <f t="shared" ca="1" si="2723"/>
        <v>65</v>
      </c>
      <c r="I6467" t="str">
        <f t="shared" si="2724"/>
        <v>TSLA</v>
      </c>
      <c r="J6467">
        <f t="shared" si="2725"/>
        <v>593</v>
      </c>
      <c r="K6467">
        <f t="shared" si="2726"/>
        <v>690</v>
      </c>
      <c r="L6467">
        <f t="shared" si="2727"/>
        <v>641.5</v>
      </c>
      <c r="M6467">
        <f t="shared" si="2728"/>
        <v>48.5</v>
      </c>
      <c r="N6467">
        <f t="shared" ref="N6467:N6530" si="2733">ABS(K6467-J6467)</f>
        <v>97</v>
      </c>
      <c r="O6467">
        <f t="shared" si="2729"/>
        <v>640</v>
      </c>
      <c r="P6467">
        <f t="shared" si="2730"/>
        <v>-3.0927835051546393E-2</v>
      </c>
      <c r="Q6467" t="str">
        <f t="shared" ref="Q6467:Q6530" si="2734">ROUND(ABS(100*(O6467-J6467)/O6467),2)&amp;"% | "&amp;ROUND(ABS(100*(K6467-O6467)/O6467),2)&amp;"%"</f>
        <v>7.34% | 7.81%</v>
      </c>
      <c r="R6467" t="str">
        <f t="shared" si="2731"/>
        <v>BULLISH</v>
      </c>
      <c r="S6467">
        <f t="shared" si="2732"/>
        <v>1</v>
      </c>
    </row>
    <row r="6468" spans="1:19" hidden="1" x14ac:dyDescent="0.25">
      <c r="A6468" s="5" t="str">
        <f t="shared" si="2720"/>
        <v>44188NYXBT</v>
      </c>
      <c r="B6468" s="6" t="s">
        <v>60</v>
      </c>
      <c r="C6468" s="6">
        <v>20876</v>
      </c>
      <c r="D6468" s="6">
        <v>25149</v>
      </c>
      <c r="E6468" s="6">
        <v>23576</v>
      </c>
      <c r="F6468" t="str">
        <f t="shared" si="2721"/>
        <v>WED</v>
      </c>
      <c r="G6468" s="1">
        <f t="shared" si="2722"/>
        <v>44188</v>
      </c>
      <c r="H6468" s="2">
        <f t="shared" ca="1" si="2723"/>
        <v>65</v>
      </c>
      <c r="I6468" t="str">
        <f t="shared" si="2724"/>
        <v>NYXBT</v>
      </c>
      <c r="J6468">
        <f t="shared" si="2725"/>
        <v>20876</v>
      </c>
      <c r="K6468">
        <f t="shared" si="2726"/>
        <v>25149</v>
      </c>
      <c r="L6468">
        <f t="shared" si="2727"/>
        <v>23012.5</v>
      </c>
      <c r="M6468">
        <f t="shared" si="2728"/>
        <v>2136.5</v>
      </c>
      <c r="N6468">
        <f t="shared" si="2733"/>
        <v>4273</v>
      </c>
      <c r="O6468">
        <f t="shared" si="2729"/>
        <v>23576</v>
      </c>
      <c r="P6468">
        <f t="shared" si="2730"/>
        <v>0.26374912239644277</v>
      </c>
      <c r="Q6468" t="str">
        <f t="shared" si="2734"/>
        <v>11.45% | 6.67%</v>
      </c>
      <c r="R6468" t="str">
        <f t="shared" si="2731"/>
        <v>BULLISH</v>
      </c>
      <c r="S6468">
        <f t="shared" si="2732"/>
        <v>1</v>
      </c>
    </row>
    <row r="6469" spans="1:19" hidden="1" x14ac:dyDescent="0.25">
      <c r="A6469" s="5" t="str">
        <f t="shared" si="2720"/>
        <v>44189UST10Y</v>
      </c>
      <c r="B6469" s="6" t="s">
        <v>257</v>
      </c>
      <c r="C6469" s="6">
        <v>0.98</v>
      </c>
      <c r="D6469" s="6">
        <v>0.9</v>
      </c>
      <c r="E6469" s="6">
        <v>0.96</v>
      </c>
      <c r="F6469" t="str">
        <f t="shared" si="2721"/>
        <v>THU</v>
      </c>
      <c r="G6469" s="3">
        <f>DATE(2020,12,24)</f>
        <v>44189</v>
      </c>
      <c r="H6469" s="2">
        <f t="shared" ca="1" si="2723"/>
        <v>64</v>
      </c>
      <c r="I6469" t="str">
        <f t="shared" si="2724"/>
        <v>UST10Y</v>
      </c>
      <c r="J6469">
        <f t="shared" si="2725"/>
        <v>0.98</v>
      </c>
      <c r="K6469">
        <f t="shared" si="2726"/>
        <v>0.9</v>
      </c>
      <c r="L6469">
        <f t="shared" si="2727"/>
        <v>0.94</v>
      </c>
      <c r="M6469">
        <f t="shared" si="2728"/>
        <v>3.999999999999998E-2</v>
      </c>
      <c r="N6469">
        <f t="shared" si="2733"/>
        <v>7.999999999999996E-2</v>
      </c>
      <c r="O6469">
        <f t="shared" si="2729"/>
        <v>0.96</v>
      </c>
      <c r="P6469">
        <f t="shared" si="2730"/>
        <v>0.50000000000000067</v>
      </c>
      <c r="Q6469" t="str">
        <f t="shared" si="2734"/>
        <v>2.08% | 6.25%</v>
      </c>
      <c r="R6469" t="str">
        <f t="shared" si="2731"/>
        <v>BULLISH</v>
      </c>
      <c r="S6469">
        <f t="shared" si="2732"/>
        <v>1</v>
      </c>
    </row>
    <row r="6470" spans="1:19" hidden="1" x14ac:dyDescent="0.25">
      <c r="A6470" s="5" t="str">
        <f t="shared" si="2720"/>
        <v>44189UST2Y</v>
      </c>
      <c r="B6470" s="6" t="s">
        <v>253</v>
      </c>
      <c r="C6470" s="6">
        <v>0.16</v>
      </c>
      <c r="D6470" s="6">
        <v>0.11</v>
      </c>
      <c r="E6470" s="6">
        <v>0.13</v>
      </c>
      <c r="F6470" t="str">
        <f t="shared" ref="F6470:F6501" si="2735">UPPER(TEXT(G6470,"ddd"))</f>
        <v>THU</v>
      </c>
      <c r="G6470" s="3">
        <f t="shared" ref="G6470:G6500" si="2736">DATE(2020,12,24)</f>
        <v>44189</v>
      </c>
      <c r="H6470" s="2">
        <f t="shared" ref="H6470:H6501" ca="1" si="2737">TODAY()-G6470</f>
        <v>64</v>
      </c>
      <c r="I6470" t="str">
        <f t="shared" ref="I6470:I6501" si="2738">TRIM(LEFT(B6470,FIND(" ",B6470,1)))</f>
        <v>UST2Y</v>
      </c>
      <c r="J6470">
        <f t="shared" ref="J6470:J6501" si="2739">C6470</f>
        <v>0.16</v>
      </c>
      <c r="K6470">
        <f t="shared" ref="K6470:K6501" si="2740">D6470</f>
        <v>0.11</v>
      </c>
      <c r="L6470">
        <f t="shared" ref="L6470:L6501" si="2741">AVERAGE(J6470:K6470)</f>
        <v>0.13500000000000001</v>
      </c>
      <c r="M6470">
        <f t="shared" ref="M6470:M6501" si="2742">_xlfn.STDEV.P(J6470:K6470)</f>
        <v>2.4999999999999942E-2</v>
      </c>
      <c r="N6470">
        <f t="shared" si="2733"/>
        <v>0.05</v>
      </c>
      <c r="O6470">
        <f t="shared" ref="O6470:O6501" si="2743">E6470</f>
        <v>0.13</v>
      </c>
      <c r="P6470">
        <f t="shared" ref="P6470:P6501" si="2744">(O6470-L6470)/M6470</f>
        <v>-0.20000000000000065</v>
      </c>
      <c r="Q6470" t="str">
        <f t="shared" si="2734"/>
        <v>23.08% | 15.38%</v>
      </c>
      <c r="R6470" t="str">
        <f t="shared" ref="R6470:R6501" si="2745">MID(B6470,FIND("(",B6470,1)+1,FIND(")",B6470,1)-FIND("(",B6470,1)-1)</f>
        <v>NEUTRAL</v>
      </c>
      <c r="S6470">
        <f t="shared" ref="S6470:S6501" si="2746">IF(R6470="BEARISH",-1,IF(R6470="NEUTRAL",0,IF(R6470="BULLISH",1,99)))</f>
        <v>0</v>
      </c>
    </row>
    <row r="6471" spans="1:19" hidden="1" x14ac:dyDescent="0.25">
      <c r="A6471" s="5" t="str">
        <f t="shared" si="2720"/>
        <v>44189SPX</v>
      </c>
      <c r="B6471" s="6" t="s">
        <v>93</v>
      </c>
      <c r="C6471" s="6">
        <v>3643</v>
      </c>
      <c r="D6471" s="6">
        <v>3734</v>
      </c>
      <c r="E6471" s="6">
        <v>3690</v>
      </c>
      <c r="F6471" t="str">
        <f t="shared" si="2735"/>
        <v>THU</v>
      </c>
      <c r="G6471" s="3">
        <f t="shared" si="2736"/>
        <v>44189</v>
      </c>
      <c r="H6471" s="2">
        <f t="shared" ca="1" si="2737"/>
        <v>64</v>
      </c>
      <c r="I6471" t="str">
        <f t="shared" si="2738"/>
        <v>SPX</v>
      </c>
      <c r="J6471">
        <f t="shared" si="2739"/>
        <v>3643</v>
      </c>
      <c r="K6471">
        <f t="shared" si="2740"/>
        <v>3734</v>
      </c>
      <c r="L6471">
        <f t="shared" si="2741"/>
        <v>3688.5</v>
      </c>
      <c r="M6471">
        <f t="shared" si="2742"/>
        <v>45.5</v>
      </c>
      <c r="N6471">
        <f t="shared" si="2733"/>
        <v>91</v>
      </c>
      <c r="O6471">
        <f t="shared" si="2743"/>
        <v>3690</v>
      </c>
      <c r="P6471">
        <f t="shared" si="2744"/>
        <v>3.2967032967032968E-2</v>
      </c>
      <c r="Q6471" t="str">
        <f t="shared" si="2734"/>
        <v>1.27% | 1.19%</v>
      </c>
      <c r="R6471" t="str">
        <f t="shared" si="2745"/>
        <v>BULLISH</v>
      </c>
      <c r="S6471">
        <f t="shared" si="2746"/>
        <v>1</v>
      </c>
    </row>
    <row r="6472" spans="1:19" hidden="1" x14ac:dyDescent="0.25">
      <c r="A6472" s="5" t="str">
        <f t="shared" ref="A6472:A6535" si="2747">G6472&amp;I6472</f>
        <v>44189RUT</v>
      </c>
      <c r="B6472" s="6" t="s">
        <v>247</v>
      </c>
      <c r="C6472" s="6">
        <v>1900</v>
      </c>
      <c r="D6472" s="6">
        <v>2024</v>
      </c>
      <c r="E6472" s="6">
        <v>2007</v>
      </c>
      <c r="F6472" t="str">
        <f t="shared" si="2735"/>
        <v>THU</v>
      </c>
      <c r="G6472" s="3">
        <f t="shared" si="2736"/>
        <v>44189</v>
      </c>
      <c r="H6472" s="2">
        <f t="shared" ca="1" si="2737"/>
        <v>64</v>
      </c>
      <c r="I6472" t="str">
        <f t="shared" si="2738"/>
        <v>RUT</v>
      </c>
      <c r="J6472">
        <f t="shared" si="2739"/>
        <v>1900</v>
      </c>
      <c r="K6472">
        <f t="shared" si="2740"/>
        <v>2024</v>
      </c>
      <c r="L6472">
        <f t="shared" si="2741"/>
        <v>1962</v>
      </c>
      <c r="M6472">
        <f t="shared" si="2742"/>
        <v>62</v>
      </c>
      <c r="N6472">
        <f t="shared" si="2733"/>
        <v>124</v>
      </c>
      <c r="O6472">
        <f t="shared" si="2743"/>
        <v>2007</v>
      </c>
      <c r="P6472">
        <f t="shared" si="2744"/>
        <v>0.72580645161290325</v>
      </c>
      <c r="Q6472" t="str">
        <f t="shared" si="2734"/>
        <v>5.33% | 0.85%</v>
      </c>
      <c r="R6472" t="str">
        <f t="shared" si="2745"/>
        <v>BULLISH</v>
      </c>
      <c r="S6472">
        <f t="shared" si="2746"/>
        <v>1</v>
      </c>
    </row>
    <row r="6473" spans="1:19" hidden="1" x14ac:dyDescent="0.25">
      <c r="A6473" s="5" t="str">
        <f t="shared" si="2747"/>
        <v>44189COMPQ</v>
      </c>
      <c r="B6473" s="6" t="s">
        <v>8</v>
      </c>
      <c r="C6473" s="6">
        <v>12360</v>
      </c>
      <c r="D6473" s="6">
        <v>12961</v>
      </c>
      <c r="E6473" s="6">
        <v>12771</v>
      </c>
      <c r="F6473" t="str">
        <f t="shared" si="2735"/>
        <v>THU</v>
      </c>
      <c r="G6473" s="3">
        <f t="shared" si="2736"/>
        <v>44189</v>
      </c>
      <c r="H6473" s="2">
        <f t="shared" ca="1" si="2737"/>
        <v>64</v>
      </c>
      <c r="I6473" t="str">
        <f t="shared" si="2738"/>
        <v>COMPQ</v>
      </c>
      <c r="J6473">
        <f t="shared" si="2739"/>
        <v>12360</v>
      </c>
      <c r="K6473">
        <f t="shared" si="2740"/>
        <v>12961</v>
      </c>
      <c r="L6473">
        <f t="shared" si="2741"/>
        <v>12660.5</v>
      </c>
      <c r="M6473">
        <f t="shared" si="2742"/>
        <v>300.5</v>
      </c>
      <c r="N6473">
        <f t="shared" si="2733"/>
        <v>601</v>
      </c>
      <c r="O6473">
        <f t="shared" si="2743"/>
        <v>12771</v>
      </c>
      <c r="P6473">
        <f t="shared" si="2744"/>
        <v>0.36772046589018303</v>
      </c>
      <c r="Q6473" t="str">
        <f t="shared" si="2734"/>
        <v>3.22% | 1.49%</v>
      </c>
      <c r="R6473" t="str">
        <f t="shared" si="2745"/>
        <v>BULLISH</v>
      </c>
      <c r="S6473">
        <f t="shared" si="2746"/>
        <v>1</v>
      </c>
    </row>
    <row r="6474" spans="1:19" hidden="1" x14ac:dyDescent="0.25">
      <c r="A6474" s="5" t="str">
        <f t="shared" si="2747"/>
        <v>44189XLK</v>
      </c>
      <c r="B6474" s="6" t="s">
        <v>10</v>
      </c>
      <c r="C6474" s="6">
        <v>124.51</v>
      </c>
      <c r="D6474" s="6">
        <v>130.72</v>
      </c>
      <c r="E6474" s="6">
        <v>128.21</v>
      </c>
      <c r="F6474" t="str">
        <f t="shared" si="2735"/>
        <v>THU</v>
      </c>
      <c r="G6474" s="3">
        <f t="shared" si="2736"/>
        <v>44189</v>
      </c>
      <c r="H6474" s="2">
        <f t="shared" ca="1" si="2737"/>
        <v>64</v>
      </c>
      <c r="I6474" t="str">
        <f t="shared" si="2738"/>
        <v>XLK</v>
      </c>
      <c r="J6474">
        <f t="shared" si="2739"/>
        <v>124.51</v>
      </c>
      <c r="K6474">
        <f t="shared" si="2740"/>
        <v>130.72</v>
      </c>
      <c r="L6474">
        <f t="shared" si="2741"/>
        <v>127.61500000000001</v>
      </c>
      <c r="M6474">
        <f t="shared" si="2742"/>
        <v>3.1049999999999969</v>
      </c>
      <c r="N6474">
        <f t="shared" si="2733"/>
        <v>6.2099999999999937</v>
      </c>
      <c r="O6474">
        <f t="shared" si="2743"/>
        <v>128.21</v>
      </c>
      <c r="P6474">
        <f t="shared" si="2744"/>
        <v>0.19162640901771319</v>
      </c>
      <c r="Q6474" t="str">
        <f t="shared" si="2734"/>
        <v>2.89% | 1.96%</v>
      </c>
      <c r="R6474" t="str">
        <f t="shared" si="2745"/>
        <v>BULLISH</v>
      </c>
      <c r="S6474">
        <f t="shared" si="2746"/>
        <v>1</v>
      </c>
    </row>
    <row r="6475" spans="1:19" hidden="1" x14ac:dyDescent="0.25">
      <c r="A6475" s="5" t="str">
        <f t="shared" si="2747"/>
        <v>44189XLE</v>
      </c>
      <c r="B6475" s="6" t="s">
        <v>250</v>
      </c>
      <c r="C6475" s="6">
        <v>37.19</v>
      </c>
      <c r="D6475" s="6">
        <v>41.21</v>
      </c>
      <c r="E6475" s="6">
        <v>38.32</v>
      </c>
      <c r="F6475" t="str">
        <f t="shared" si="2735"/>
        <v>THU</v>
      </c>
      <c r="G6475" s="3">
        <f t="shared" si="2736"/>
        <v>44189</v>
      </c>
      <c r="H6475" s="2">
        <f t="shared" ca="1" si="2737"/>
        <v>64</v>
      </c>
      <c r="I6475" t="str">
        <f t="shared" si="2738"/>
        <v>XLE</v>
      </c>
      <c r="J6475">
        <f t="shared" si="2739"/>
        <v>37.19</v>
      </c>
      <c r="K6475">
        <f t="shared" si="2740"/>
        <v>41.21</v>
      </c>
      <c r="L6475">
        <f t="shared" si="2741"/>
        <v>39.200000000000003</v>
      </c>
      <c r="M6475">
        <f t="shared" si="2742"/>
        <v>2.0100000000000016</v>
      </c>
      <c r="N6475">
        <f t="shared" si="2733"/>
        <v>4.0200000000000031</v>
      </c>
      <c r="O6475">
        <f t="shared" si="2743"/>
        <v>38.32</v>
      </c>
      <c r="P6475">
        <f t="shared" si="2744"/>
        <v>-0.43781094527363279</v>
      </c>
      <c r="Q6475" t="str">
        <f t="shared" si="2734"/>
        <v>2.95% | 7.54%</v>
      </c>
      <c r="R6475" t="str">
        <f t="shared" si="2745"/>
        <v>BULLISH</v>
      </c>
      <c r="S6475">
        <f t="shared" si="2746"/>
        <v>1</v>
      </c>
    </row>
    <row r="6476" spans="1:19" hidden="1" x14ac:dyDescent="0.25">
      <c r="A6476" s="5" t="str">
        <f t="shared" si="2747"/>
        <v>44189XLF</v>
      </c>
      <c r="B6476" s="6" t="s">
        <v>258</v>
      </c>
      <c r="C6476" s="6">
        <v>27.96</v>
      </c>
      <c r="D6476" s="6">
        <v>29.07</v>
      </c>
      <c r="E6476" s="6">
        <v>28.91</v>
      </c>
      <c r="F6476" t="str">
        <f t="shared" si="2735"/>
        <v>THU</v>
      </c>
      <c r="G6476" s="3">
        <f t="shared" si="2736"/>
        <v>44189</v>
      </c>
      <c r="H6476" s="2">
        <f t="shared" ca="1" si="2737"/>
        <v>64</v>
      </c>
      <c r="I6476" t="str">
        <f t="shared" si="2738"/>
        <v>XLF</v>
      </c>
      <c r="J6476">
        <f t="shared" si="2739"/>
        <v>27.96</v>
      </c>
      <c r="K6476">
        <f t="shared" si="2740"/>
        <v>29.07</v>
      </c>
      <c r="L6476">
        <f t="shared" si="2741"/>
        <v>28.515000000000001</v>
      </c>
      <c r="M6476">
        <f t="shared" si="2742"/>
        <v>0.55499999999999972</v>
      </c>
      <c r="N6476">
        <f t="shared" si="2733"/>
        <v>1.1099999999999994</v>
      </c>
      <c r="O6476">
        <f t="shared" si="2743"/>
        <v>28.91</v>
      </c>
      <c r="P6476">
        <f t="shared" si="2744"/>
        <v>0.71171171171171133</v>
      </c>
      <c r="Q6476" t="str">
        <f t="shared" si="2734"/>
        <v>3.29% | 0.55%</v>
      </c>
      <c r="R6476" t="str">
        <f t="shared" si="2745"/>
        <v>BULLISH</v>
      </c>
      <c r="S6476">
        <f t="shared" si="2746"/>
        <v>1</v>
      </c>
    </row>
    <row r="6477" spans="1:19" hidden="1" x14ac:dyDescent="0.25">
      <c r="A6477" s="5" t="str">
        <f t="shared" si="2747"/>
        <v>44189XLU</v>
      </c>
      <c r="B6477" s="6" t="s">
        <v>82</v>
      </c>
      <c r="C6477" s="6">
        <v>60.21</v>
      </c>
      <c r="D6477" s="6">
        <v>62.24</v>
      </c>
      <c r="E6477" s="6">
        <v>60.78</v>
      </c>
      <c r="F6477" t="str">
        <f t="shared" si="2735"/>
        <v>THU</v>
      </c>
      <c r="G6477" s="3">
        <f t="shared" si="2736"/>
        <v>44189</v>
      </c>
      <c r="H6477" s="2">
        <f t="shared" ca="1" si="2737"/>
        <v>64</v>
      </c>
      <c r="I6477" t="str">
        <f t="shared" si="2738"/>
        <v>XLU</v>
      </c>
      <c r="J6477">
        <f t="shared" si="2739"/>
        <v>60.21</v>
      </c>
      <c r="K6477">
        <f t="shared" si="2740"/>
        <v>62.24</v>
      </c>
      <c r="L6477">
        <f t="shared" si="2741"/>
        <v>61.225000000000001</v>
      </c>
      <c r="M6477">
        <f t="shared" si="2742"/>
        <v>1.0150000000000006</v>
      </c>
      <c r="N6477">
        <f t="shared" si="2733"/>
        <v>2.0300000000000011</v>
      </c>
      <c r="O6477">
        <f t="shared" si="2743"/>
        <v>60.78</v>
      </c>
      <c r="P6477">
        <f t="shared" si="2744"/>
        <v>-0.43842364532019706</v>
      </c>
      <c r="Q6477" t="str">
        <f t="shared" si="2734"/>
        <v>0.94% | 2.4%</v>
      </c>
      <c r="R6477" t="str">
        <f t="shared" si="2745"/>
        <v>BEARISH</v>
      </c>
      <c r="S6477">
        <f t="shared" si="2746"/>
        <v>-1</v>
      </c>
    </row>
    <row r="6478" spans="1:19" hidden="1" x14ac:dyDescent="0.25">
      <c r="A6478" s="5" t="str">
        <f t="shared" si="2747"/>
        <v>44189GDX</v>
      </c>
      <c r="B6478" s="6" t="s">
        <v>254</v>
      </c>
      <c r="C6478" s="6">
        <v>33.950000000000003</v>
      </c>
      <c r="D6478" s="6">
        <v>37.200000000000003</v>
      </c>
      <c r="E6478" s="6">
        <v>35.92</v>
      </c>
      <c r="F6478" t="str">
        <f t="shared" si="2735"/>
        <v>THU</v>
      </c>
      <c r="G6478" s="3">
        <f t="shared" si="2736"/>
        <v>44189</v>
      </c>
      <c r="H6478" s="2">
        <f t="shared" ca="1" si="2737"/>
        <v>64</v>
      </c>
      <c r="I6478" t="str">
        <f t="shared" si="2738"/>
        <v>GDX</v>
      </c>
      <c r="J6478">
        <f t="shared" si="2739"/>
        <v>33.950000000000003</v>
      </c>
      <c r="K6478">
        <f t="shared" si="2740"/>
        <v>37.200000000000003</v>
      </c>
      <c r="L6478">
        <f t="shared" si="2741"/>
        <v>35.575000000000003</v>
      </c>
      <c r="M6478">
        <f t="shared" si="2742"/>
        <v>1.625</v>
      </c>
      <c r="N6478">
        <f t="shared" si="2733"/>
        <v>3.25</v>
      </c>
      <c r="O6478">
        <f t="shared" si="2743"/>
        <v>35.92</v>
      </c>
      <c r="P6478">
        <f t="shared" si="2744"/>
        <v>0.21230769230769161</v>
      </c>
      <c r="Q6478" t="str">
        <f t="shared" si="2734"/>
        <v>5.48% | 3.56%</v>
      </c>
      <c r="R6478" t="str">
        <f t="shared" si="2745"/>
        <v>BEARISH</v>
      </c>
      <c r="S6478">
        <f t="shared" si="2746"/>
        <v>-1</v>
      </c>
    </row>
    <row r="6479" spans="1:19" hidden="1" x14ac:dyDescent="0.25">
      <c r="A6479" s="5" t="str">
        <f t="shared" si="2747"/>
        <v>44189SSEC</v>
      </c>
      <c r="B6479" s="6" t="s">
        <v>104</v>
      </c>
      <c r="C6479" s="6">
        <v>3329</v>
      </c>
      <c r="D6479" s="6">
        <v>3422</v>
      </c>
      <c r="E6479" s="6">
        <v>3363</v>
      </c>
      <c r="F6479" t="str">
        <f t="shared" si="2735"/>
        <v>THU</v>
      </c>
      <c r="G6479" s="3">
        <f t="shared" si="2736"/>
        <v>44189</v>
      </c>
      <c r="H6479" s="2">
        <f t="shared" ca="1" si="2737"/>
        <v>64</v>
      </c>
      <c r="I6479" t="str">
        <f t="shared" si="2738"/>
        <v>SSEC</v>
      </c>
      <c r="J6479">
        <f t="shared" si="2739"/>
        <v>3329</v>
      </c>
      <c r="K6479">
        <f t="shared" si="2740"/>
        <v>3422</v>
      </c>
      <c r="L6479">
        <f t="shared" si="2741"/>
        <v>3375.5</v>
      </c>
      <c r="M6479">
        <f t="shared" si="2742"/>
        <v>46.5</v>
      </c>
      <c r="N6479">
        <f t="shared" si="2733"/>
        <v>93</v>
      </c>
      <c r="O6479">
        <f t="shared" si="2743"/>
        <v>3363</v>
      </c>
      <c r="P6479">
        <f t="shared" si="2744"/>
        <v>-0.26881720430107525</v>
      </c>
      <c r="Q6479" t="str">
        <f t="shared" si="2734"/>
        <v>1.01% | 1.75%</v>
      </c>
      <c r="R6479" t="str">
        <f t="shared" si="2745"/>
        <v>BULLISH</v>
      </c>
      <c r="S6479">
        <f t="shared" si="2746"/>
        <v>1</v>
      </c>
    </row>
    <row r="6480" spans="1:19" hidden="1" x14ac:dyDescent="0.25">
      <c r="A6480" s="5" t="str">
        <f t="shared" si="2747"/>
        <v>44189NIKK</v>
      </c>
      <c r="B6480" s="6" t="s">
        <v>91</v>
      </c>
      <c r="C6480" s="6">
        <v>26417</v>
      </c>
      <c r="D6480" s="6">
        <v>26923</v>
      </c>
      <c r="E6480" s="6">
        <v>26668</v>
      </c>
      <c r="F6480" t="str">
        <f t="shared" si="2735"/>
        <v>THU</v>
      </c>
      <c r="G6480" s="3">
        <f t="shared" si="2736"/>
        <v>44189</v>
      </c>
      <c r="H6480" s="2">
        <f t="shared" ca="1" si="2737"/>
        <v>64</v>
      </c>
      <c r="I6480" t="str">
        <f t="shared" si="2738"/>
        <v>NIKK</v>
      </c>
      <c r="J6480">
        <f t="shared" si="2739"/>
        <v>26417</v>
      </c>
      <c r="K6480">
        <f t="shared" si="2740"/>
        <v>26923</v>
      </c>
      <c r="L6480">
        <f t="shared" si="2741"/>
        <v>26670</v>
      </c>
      <c r="M6480">
        <f t="shared" si="2742"/>
        <v>253</v>
      </c>
      <c r="N6480">
        <f t="shared" si="2733"/>
        <v>506</v>
      </c>
      <c r="O6480">
        <f t="shared" si="2743"/>
        <v>26668</v>
      </c>
      <c r="P6480">
        <f t="shared" si="2744"/>
        <v>-7.9051383399209481E-3</v>
      </c>
      <c r="Q6480" t="str">
        <f t="shared" si="2734"/>
        <v>0.94% | 0.96%</v>
      </c>
      <c r="R6480" t="str">
        <f t="shared" si="2745"/>
        <v>BULLISH</v>
      </c>
      <c r="S6480">
        <f t="shared" si="2746"/>
        <v>1</v>
      </c>
    </row>
    <row r="6481" spans="1:19" hidden="1" x14ac:dyDescent="0.25">
      <c r="A6481" s="5" t="str">
        <f t="shared" si="2747"/>
        <v>44189DAX</v>
      </c>
      <c r="B6481" s="6" t="s">
        <v>98</v>
      </c>
      <c r="C6481" s="6">
        <v>13175</v>
      </c>
      <c r="D6481" s="6">
        <v>13811</v>
      </c>
      <c r="E6481" s="6">
        <v>13587</v>
      </c>
      <c r="F6481" t="str">
        <f t="shared" si="2735"/>
        <v>THU</v>
      </c>
      <c r="G6481" s="3">
        <f t="shared" si="2736"/>
        <v>44189</v>
      </c>
      <c r="H6481" s="2">
        <f t="shared" ca="1" si="2737"/>
        <v>64</v>
      </c>
      <c r="I6481" t="str">
        <f t="shared" si="2738"/>
        <v>DAX</v>
      </c>
      <c r="J6481">
        <f t="shared" si="2739"/>
        <v>13175</v>
      </c>
      <c r="K6481">
        <f t="shared" si="2740"/>
        <v>13811</v>
      </c>
      <c r="L6481">
        <f t="shared" si="2741"/>
        <v>13493</v>
      </c>
      <c r="M6481">
        <f t="shared" si="2742"/>
        <v>318</v>
      </c>
      <c r="N6481">
        <f t="shared" si="2733"/>
        <v>636</v>
      </c>
      <c r="O6481">
        <f t="shared" si="2743"/>
        <v>13587</v>
      </c>
      <c r="P6481">
        <f t="shared" si="2744"/>
        <v>0.29559748427672955</v>
      </c>
      <c r="Q6481" t="str">
        <f t="shared" si="2734"/>
        <v>3.03% | 1.65%</v>
      </c>
      <c r="R6481" t="str">
        <f t="shared" si="2745"/>
        <v>BULLISH</v>
      </c>
      <c r="S6481">
        <f t="shared" si="2746"/>
        <v>1</v>
      </c>
    </row>
    <row r="6482" spans="1:19" hidden="1" x14ac:dyDescent="0.25">
      <c r="A6482" s="5" t="str">
        <f t="shared" si="2747"/>
        <v>44189VIX</v>
      </c>
      <c r="B6482" s="6" t="s">
        <v>96</v>
      </c>
      <c r="C6482" s="6">
        <v>20.68</v>
      </c>
      <c r="D6482" s="6">
        <v>25.7</v>
      </c>
      <c r="E6482" s="6">
        <v>23.31</v>
      </c>
      <c r="F6482" t="str">
        <f t="shared" si="2735"/>
        <v>THU</v>
      </c>
      <c r="G6482" s="3">
        <f t="shared" si="2736"/>
        <v>44189</v>
      </c>
      <c r="H6482" s="2">
        <f t="shared" ca="1" si="2737"/>
        <v>64</v>
      </c>
      <c r="I6482" t="str">
        <f t="shared" si="2738"/>
        <v>VIX</v>
      </c>
      <c r="J6482">
        <f t="shared" si="2739"/>
        <v>20.68</v>
      </c>
      <c r="K6482">
        <f t="shared" si="2740"/>
        <v>25.7</v>
      </c>
      <c r="L6482">
        <f t="shared" si="2741"/>
        <v>23.189999999999998</v>
      </c>
      <c r="M6482">
        <f t="shared" si="2742"/>
        <v>2.5100000000000087</v>
      </c>
      <c r="N6482">
        <f t="shared" si="2733"/>
        <v>5.0199999999999996</v>
      </c>
      <c r="O6482">
        <f t="shared" si="2743"/>
        <v>23.31</v>
      </c>
      <c r="P6482">
        <f t="shared" si="2744"/>
        <v>4.7808764940239272E-2</v>
      </c>
      <c r="Q6482" t="str">
        <f t="shared" si="2734"/>
        <v>11.28% | 10.25%</v>
      </c>
      <c r="R6482" t="str">
        <f t="shared" si="2745"/>
        <v>BEARISH</v>
      </c>
      <c r="S6482">
        <f t="shared" si="2746"/>
        <v>-1</v>
      </c>
    </row>
    <row r="6483" spans="1:19" hidden="1" x14ac:dyDescent="0.25">
      <c r="A6483" s="5" t="str">
        <f t="shared" si="2747"/>
        <v>44189USD</v>
      </c>
      <c r="B6483" s="6" t="s">
        <v>94</v>
      </c>
      <c r="C6483" s="6">
        <v>89.51</v>
      </c>
      <c r="D6483" s="6">
        <v>91.04</v>
      </c>
      <c r="E6483" s="6">
        <v>90.34</v>
      </c>
      <c r="F6483" t="str">
        <f t="shared" si="2735"/>
        <v>THU</v>
      </c>
      <c r="G6483" s="3">
        <f t="shared" si="2736"/>
        <v>44189</v>
      </c>
      <c r="H6483" s="2">
        <f t="shared" ca="1" si="2737"/>
        <v>64</v>
      </c>
      <c r="I6483" t="str">
        <f t="shared" si="2738"/>
        <v>USD</v>
      </c>
      <c r="J6483">
        <f t="shared" si="2739"/>
        <v>89.51</v>
      </c>
      <c r="K6483">
        <f t="shared" si="2740"/>
        <v>91.04</v>
      </c>
      <c r="L6483">
        <f t="shared" si="2741"/>
        <v>90.275000000000006</v>
      </c>
      <c r="M6483">
        <f t="shared" si="2742"/>
        <v>0.76500000000000057</v>
      </c>
      <c r="N6483">
        <f t="shared" si="2733"/>
        <v>1.5300000000000011</v>
      </c>
      <c r="O6483">
        <f t="shared" si="2743"/>
        <v>90.34</v>
      </c>
      <c r="P6483">
        <f t="shared" si="2744"/>
        <v>8.4967320261434873E-2</v>
      </c>
      <c r="Q6483" t="str">
        <f t="shared" si="2734"/>
        <v>0.92% | 0.77%</v>
      </c>
      <c r="R6483" t="str">
        <f t="shared" si="2745"/>
        <v>BEARISH</v>
      </c>
      <c r="S6483">
        <f t="shared" si="2746"/>
        <v>-1</v>
      </c>
    </row>
    <row r="6484" spans="1:19" hidden="1" x14ac:dyDescent="0.25">
      <c r="A6484" s="5" t="str">
        <f t="shared" si="2747"/>
        <v>44189EUR/USD</v>
      </c>
      <c r="B6484" s="6" t="s">
        <v>99</v>
      </c>
      <c r="C6484" s="6">
        <v>1.2090000000000001</v>
      </c>
      <c r="D6484" s="6">
        <v>1.23</v>
      </c>
      <c r="E6484" s="6">
        <v>1.2190000000000001</v>
      </c>
      <c r="F6484" t="str">
        <f t="shared" si="2735"/>
        <v>THU</v>
      </c>
      <c r="G6484" s="3">
        <f t="shared" si="2736"/>
        <v>44189</v>
      </c>
      <c r="H6484" s="2">
        <f t="shared" ca="1" si="2737"/>
        <v>64</v>
      </c>
      <c r="I6484" t="str">
        <f t="shared" si="2738"/>
        <v>EUR/USD</v>
      </c>
      <c r="J6484">
        <f t="shared" si="2739"/>
        <v>1.2090000000000001</v>
      </c>
      <c r="K6484">
        <f t="shared" si="2740"/>
        <v>1.23</v>
      </c>
      <c r="L6484">
        <f t="shared" si="2741"/>
        <v>1.2195</v>
      </c>
      <c r="M6484">
        <f t="shared" si="2742"/>
        <v>1.0499999999999954E-2</v>
      </c>
      <c r="N6484">
        <f t="shared" si="2733"/>
        <v>2.0999999999999908E-2</v>
      </c>
      <c r="O6484">
        <f t="shared" si="2743"/>
        <v>1.2190000000000001</v>
      </c>
      <c r="P6484">
        <f t="shared" si="2744"/>
        <v>-4.7619047619042586E-2</v>
      </c>
      <c r="Q6484" t="str">
        <f t="shared" si="2734"/>
        <v>0.82% | 0.9%</v>
      </c>
      <c r="R6484" t="str">
        <f t="shared" si="2745"/>
        <v>BULLISH</v>
      </c>
      <c r="S6484">
        <f t="shared" si="2746"/>
        <v>1</v>
      </c>
    </row>
    <row r="6485" spans="1:19" hidden="1" x14ac:dyDescent="0.25">
      <c r="A6485" s="5" t="str">
        <f t="shared" si="2747"/>
        <v>44189USD/JPY</v>
      </c>
      <c r="B6485" s="6" t="s">
        <v>20</v>
      </c>
      <c r="C6485" s="6">
        <v>102.77</v>
      </c>
      <c r="D6485" s="6">
        <v>104.13</v>
      </c>
      <c r="E6485" s="6">
        <v>103.54</v>
      </c>
      <c r="F6485" t="str">
        <f t="shared" si="2735"/>
        <v>THU</v>
      </c>
      <c r="G6485" s="3">
        <f t="shared" si="2736"/>
        <v>44189</v>
      </c>
      <c r="H6485" s="2">
        <f t="shared" ca="1" si="2737"/>
        <v>64</v>
      </c>
      <c r="I6485" t="str">
        <f t="shared" si="2738"/>
        <v>USD/JPY</v>
      </c>
      <c r="J6485">
        <f t="shared" si="2739"/>
        <v>102.77</v>
      </c>
      <c r="K6485">
        <f t="shared" si="2740"/>
        <v>104.13</v>
      </c>
      <c r="L6485">
        <f t="shared" si="2741"/>
        <v>103.44999999999999</v>
      </c>
      <c r="M6485">
        <f t="shared" si="2742"/>
        <v>0.67999999999999972</v>
      </c>
      <c r="N6485">
        <f t="shared" si="2733"/>
        <v>1.3599999999999994</v>
      </c>
      <c r="O6485">
        <f t="shared" si="2743"/>
        <v>103.54</v>
      </c>
      <c r="P6485">
        <f t="shared" si="2744"/>
        <v>0.13235294117649657</v>
      </c>
      <c r="Q6485" t="str">
        <f t="shared" si="2734"/>
        <v>0.74% | 0.57%</v>
      </c>
      <c r="R6485" t="str">
        <f t="shared" si="2745"/>
        <v>BEARISH</v>
      </c>
      <c r="S6485">
        <f t="shared" si="2746"/>
        <v>-1</v>
      </c>
    </row>
    <row r="6486" spans="1:19" hidden="1" x14ac:dyDescent="0.25">
      <c r="A6486" s="5" t="str">
        <f t="shared" si="2747"/>
        <v>44189GBP/USD</v>
      </c>
      <c r="B6486" s="6" t="s">
        <v>102</v>
      </c>
      <c r="C6486" s="6">
        <v>1.3240000000000001</v>
      </c>
      <c r="D6486" s="6">
        <v>1.365</v>
      </c>
      <c r="E6486" s="6">
        <v>1.35</v>
      </c>
      <c r="F6486" t="str">
        <f t="shared" si="2735"/>
        <v>THU</v>
      </c>
      <c r="G6486" s="3">
        <f t="shared" si="2736"/>
        <v>44189</v>
      </c>
      <c r="H6486" s="2">
        <f t="shared" ca="1" si="2737"/>
        <v>64</v>
      </c>
      <c r="I6486" t="str">
        <f t="shared" si="2738"/>
        <v>GBP/USD</v>
      </c>
      <c r="J6486">
        <f t="shared" si="2739"/>
        <v>1.3240000000000001</v>
      </c>
      <c r="K6486">
        <f t="shared" si="2740"/>
        <v>1.365</v>
      </c>
      <c r="L6486">
        <f t="shared" si="2741"/>
        <v>1.3445</v>
      </c>
      <c r="M6486">
        <f t="shared" si="2742"/>
        <v>2.0499999999999963E-2</v>
      </c>
      <c r="N6486">
        <f t="shared" si="2733"/>
        <v>4.0999999999999925E-2</v>
      </c>
      <c r="O6486">
        <f t="shared" si="2743"/>
        <v>1.35</v>
      </c>
      <c r="P6486">
        <f t="shared" si="2744"/>
        <v>0.26829268292683273</v>
      </c>
      <c r="Q6486" t="str">
        <f t="shared" si="2734"/>
        <v>1.93% | 1.11%</v>
      </c>
      <c r="R6486" t="str">
        <f t="shared" si="2745"/>
        <v>BULLISH</v>
      </c>
      <c r="S6486">
        <f t="shared" si="2746"/>
        <v>1</v>
      </c>
    </row>
    <row r="6487" spans="1:19" hidden="1" x14ac:dyDescent="0.25">
      <c r="A6487" s="5" t="str">
        <f t="shared" si="2747"/>
        <v>44189CAD/USD</v>
      </c>
      <c r="B6487" s="6" t="s">
        <v>244</v>
      </c>
      <c r="C6487" s="6">
        <v>0.77</v>
      </c>
      <c r="D6487" s="6">
        <v>0.79</v>
      </c>
      <c r="E6487" s="6">
        <v>0.77</v>
      </c>
      <c r="F6487" t="str">
        <f t="shared" si="2735"/>
        <v>THU</v>
      </c>
      <c r="G6487" s="3">
        <f t="shared" si="2736"/>
        <v>44189</v>
      </c>
      <c r="H6487" s="2">
        <f t="shared" ca="1" si="2737"/>
        <v>64</v>
      </c>
      <c r="I6487" t="str">
        <f t="shared" si="2738"/>
        <v>CAD/USD</v>
      </c>
      <c r="J6487">
        <f t="shared" si="2739"/>
        <v>0.77</v>
      </c>
      <c r="K6487">
        <f t="shared" si="2740"/>
        <v>0.79</v>
      </c>
      <c r="L6487">
        <f t="shared" si="2741"/>
        <v>0.78</v>
      </c>
      <c r="M6487">
        <f t="shared" si="2742"/>
        <v>1.0000000000000009E-2</v>
      </c>
      <c r="N6487">
        <f t="shared" si="2733"/>
        <v>2.0000000000000018E-2</v>
      </c>
      <c r="O6487">
        <f t="shared" si="2743"/>
        <v>0.77</v>
      </c>
      <c r="P6487">
        <f t="shared" si="2744"/>
        <v>-1</v>
      </c>
      <c r="Q6487" t="str">
        <f t="shared" si="2734"/>
        <v>0% | 2.6%</v>
      </c>
      <c r="R6487" t="str">
        <f t="shared" si="2745"/>
        <v>BULLISH</v>
      </c>
      <c r="S6487">
        <f t="shared" si="2746"/>
        <v>1</v>
      </c>
    </row>
    <row r="6488" spans="1:19" hidden="1" x14ac:dyDescent="0.25">
      <c r="A6488" s="5" t="str">
        <f t="shared" si="2747"/>
        <v>44189USD/CHF</v>
      </c>
      <c r="B6488" s="6" t="s">
        <v>76</v>
      </c>
      <c r="C6488" s="6">
        <v>0.87</v>
      </c>
      <c r="D6488" s="6">
        <v>0.89</v>
      </c>
      <c r="E6488" s="6">
        <v>0.88</v>
      </c>
      <c r="F6488" t="str">
        <f t="shared" si="2735"/>
        <v>THU</v>
      </c>
      <c r="G6488" s="3">
        <f t="shared" si="2736"/>
        <v>44189</v>
      </c>
      <c r="H6488" s="2">
        <f t="shared" ca="1" si="2737"/>
        <v>64</v>
      </c>
      <c r="I6488" t="str">
        <f t="shared" si="2738"/>
        <v>USD/CHF</v>
      </c>
      <c r="J6488">
        <f t="shared" si="2739"/>
        <v>0.87</v>
      </c>
      <c r="K6488">
        <f t="shared" si="2740"/>
        <v>0.89</v>
      </c>
      <c r="L6488">
        <f t="shared" si="2741"/>
        <v>0.88</v>
      </c>
      <c r="M6488">
        <f t="shared" si="2742"/>
        <v>1.0000000000000009E-2</v>
      </c>
      <c r="N6488">
        <f t="shared" si="2733"/>
        <v>2.0000000000000018E-2</v>
      </c>
      <c r="O6488">
        <f t="shared" si="2743"/>
        <v>0.88</v>
      </c>
      <c r="P6488">
        <f t="shared" si="2744"/>
        <v>0</v>
      </c>
      <c r="Q6488" t="str">
        <f t="shared" si="2734"/>
        <v>1.14% | 1.14%</v>
      </c>
      <c r="R6488" t="str">
        <f t="shared" si="2745"/>
        <v>BEARISH</v>
      </c>
      <c r="S6488">
        <f t="shared" si="2746"/>
        <v>-1</v>
      </c>
    </row>
    <row r="6489" spans="1:19" hidden="1" x14ac:dyDescent="0.25">
      <c r="A6489" s="5" t="str">
        <f t="shared" si="2747"/>
        <v>44189WTIC</v>
      </c>
      <c r="B6489" s="6" t="s">
        <v>158</v>
      </c>
      <c r="C6489" s="6">
        <v>46.09</v>
      </c>
      <c r="D6489" s="6">
        <v>49.54</v>
      </c>
      <c r="E6489" s="6">
        <v>48.12</v>
      </c>
      <c r="F6489" t="str">
        <f t="shared" si="2735"/>
        <v>THU</v>
      </c>
      <c r="G6489" s="3">
        <f t="shared" si="2736"/>
        <v>44189</v>
      </c>
      <c r="H6489" s="2">
        <f t="shared" ca="1" si="2737"/>
        <v>64</v>
      </c>
      <c r="I6489" t="str">
        <f t="shared" si="2738"/>
        <v>WTIC</v>
      </c>
      <c r="J6489">
        <f t="shared" si="2739"/>
        <v>46.09</v>
      </c>
      <c r="K6489">
        <f t="shared" si="2740"/>
        <v>49.54</v>
      </c>
      <c r="L6489">
        <f t="shared" si="2741"/>
        <v>47.814999999999998</v>
      </c>
      <c r="M6489">
        <f t="shared" si="2742"/>
        <v>1.7249999999999979</v>
      </c>
      <c r="N6489">
        <f t="shared" si="2733"/>
        <v>3.4499999999999957</v>
      </c>
      <c r="O6489">
        <f t="shared" si="2743"/>
        <v>48.12</v>
      </c>
      <c r="P6489">
        <f t="shared" si="2744"/>
        <v>0.1768115942028986</v>
      </c>
      <c r="Q6489" t="str">
        <f t="shared" si="2734"/>
        <v>4.22% | 2.95%</v>
      </c>
      <c r="R6489" t="str">
        <f t="shared" si="2745"/>
        <v>BULLISH</v>
      </c>
      <c r="S6489">
        <f t="shared" si="2746"/>
        <v>1</v>
      </c>
    </row>
    <row r="6490" spans="1:19" hidden="1" x14ac:dyDescent="0.25">
      <c r="A6490" s="5" t="str">
        <f t="shared" si="2747"/>
        <v>44189NATGAS</v>
      </c>
      <c r="B6490" s="6" t="s">
        <v>87</v>
      </c>
      <c r="C6490" s="6">
        <v>2.5</v>
      </c>
      <c r="D6490" s="6">
        <v>2.79</v>
      </c>
      <c r="E6490" s="6">
        <v>2.59</v>
      </c>
      <c r="F6490" t="str">
        <f t="shared" si="2735"/>
        <v>THU</v>
      </c>
      <c r="G6490" s="3">
        <f t="shared" si="2736"/>
        <v>44189</v>
      </c>
      <c r="H6490" s="2">
        <f t="shared" ca="1" si="2737"/>
        <v>64</v>
      </c>
      <c r="I6490" t="str">
        <f t="shared" si="2738"/>
        <v>NATGAS</v>
      </c>
      <c r="J6490">
        <f t="shared" si="2739"/>
        <v>2.5</v>
      </c>
      <c r="K6490">
        <f t="shared" si="2740"/>
        <v>2.79</v>
      </c>
      <c r="L6490">
        <f t="shared" si="2741"/>
        <v>2.645</v>
      </c>
      <c r="M6490">
        <f t="shared" si="2742"/>
        <v>0.14500000000000002</v>
      </c>
      <c r="N6490">
        <f t="shared" si="2733"/>
        <v>0.29000000000000004</v>
      </c>
      <c r="O6490">
        <f t="shared" si="2743"/>
        <v>2.59</v>
      </c>
      <c r="P6490">
        <f t="shared" si="2744"/>
        <v>-0.37931034482758724</v>
      </c>
      <c r="Q6490" t="str">
        <f t="shared" si="2734"/>
        <v>3.47% | 7.72%</v>
      </c>
      <c r="R6490" t="str">
        <f t="shared" si="2745"/>
        <v>NEUTRAL</v>
      </c>
      <c r="S6490">
        <f t="shared" si="2746"/>
        <v>0</v>
      </c>
    </row>
    <row r="6491" spans="1:19" hidden="1" x14ac:dyDescent="0.25">
      <c r="A6491" s="5" t="str">
        <f t="shared" si="2747"/>
        <v>44189GOLD</v>
      </c>
      <c r="B6491" s="6" t="s">
        <v>249</v>
      </c>
      <c r="C6491" s="6">
        <v>1820</v>
      </c>
      <c r="D6491" s="6">
        <v>1906</v>
      </c>
      <c r="E6491" s="6">
        <v>1878</v>
      </c>
      <c r="F6491" t="str">
        <f t="shared" si="2735"/>
        <v>THU</v>
      </c>
      <c r="G6491" s="3">
        <f t="shared" si="2736"/>
        <v>44189</v>
      </c>
      <c r="H6491" s="2">
        <f t="shared" ca="1" si="2737"/>
        <v>64</v>
      </c>
      <c r="I6491" t="str">
        <f t="shared" si="2738"/>
        <v>GOLD</v>
      </c>
      <c r="J6491">
        <f t="shared" si="2739"/>
        <v>1820</v>
      </c>
      <c r="K6491">
        <f t="shared" si="2740"/>
        <v>1906</v>
      </c>
      <c r="L6491">
        <f t="shared" si="2741"/>
        <v>1863</v>
      </c>
      <c r="M6491">
        <f t="shared" si="2742"/>
        <v>43</v>
      </c>
      <c r="N6491">
        <f t="shared" si="2733"/>
        <v>86</v>
      </c>
      <c r="O6491">
        <f t="shared" si="2743"/>
        <v>1878</v>
      </c>
      <c r="P6491">
        <f t="shared" si="2744"/>
        <v>0.34883720930232559</v>
      </c>
      <c r="Q6491" t="str">
        <f t="shared" si="2734"/>
        <v>3.09% | 1.49%</v>
      </c>
      <c r="R6491" t="str">
        <f t="shared" si="2745"/>
        <v>NEUTRAL</v>
      </c>
      <c r="S6491">
        <f t="shared" si="2746"/>
        <v>0</v>
      </c>
    </row>
    <row r="6492" spans="1:19" hidden="1" x14ac:dyDescent="0.25">
      <c r="A6492" s="5" t="str">
        <f t="shared" si="2747"/>
        <v>44189COPPER</v>
      </c>
      <c r="B6492" s="6" t="s">
        <v>100</v>
      </c>
      <c r="C6492" s="6">
        <v>3.49</v>
      </c>
      <c r="D6492" s="6">
        <v>3.65</v>
      </c>
      <c r="E6492" s="6">
        <v>3.56</v>
      </c>
      <c r="F6492" t="str">
        <f t="shared" si="2735"/>
        <v>THU</v>
      </c>
      <c r="G6492" s="3">
        <f t="shared" si="2736"/>
        <v>44189</v>
      </c>
      <c r="H6492" s="2">
        <f t="shared" ca="1" si="2737"/>
        <v>64</v>
      </c>
      <c r="I6492" t="str">
        <f t="shared" si="2738"/>
        <v>COPPER</v>
      </c>
      <c r="J6492">
        <f t="shared" si="2739"/>
        <v>3.49</v>
      </c>
      <c r="K6492">
        <f t="shared" si="2740"/>
        <v>3.65</v>
      </c>
      <c r="L6492">
        <f t="shared" si="2741"/>
        <v>3.5700000000000003</v>
      </c>
      <c r="M6492">
        <f t="shared" si="2742"/>
        <v>7.9999999999999849E-2</v>
      </c>
      <c r="N6492">
        <f t="shared" si="2733"/>
        <v>0.1599999999999997</v>
      </c>
      <c r="O6492">
        <f t="shared" si="2743"/>
        <v>3.56</v>
      </c>
      <c r="P6492">
        <f t="shared" si="2744"/>
        <v>-0.12500000000000314</v>
      </c>
      <c r="Q6492" t="str">
        <f t="shared" si="2734"/>
        <v>1.97% | 2.53%</v>
      </c>
      <c r="R6492" t="str">
        <f t="shared" si="2745"/>
        <v>BULLISH</v>
      </c>
      <c r="S6492">
        <f t="shared" si="2746"/>
        <v>1</v>
      </c>
    </row>
    <row r="6493" spans="1:19" hidden="1" x14ac:dyDescent="0.25">
      <c r="A6493" s="5" t="str">
        <f t="shared" si="2747"/>
        <v>44189MSFT</v>
      </c>
      <c r="B6493" s="6" t="s">
        <v>27</v>
      </c>
      <c r="C6493" s="6">
        <v>216</v>
      </c>
      <c r="D6493" s="6">
        <v>226</v>
      </c>
      <c r="E6493" s="6">
        <v>221</v>
      </c>
      <c r="F6493" t="str">
        <f t="shared" si="2735"/>
        <v>THU</v>
      </c>
      <c r="G6493" s="3">
        <f t="shared" si="2736"/>
        <v>44189</v>
      </c>
      <c r="H6493" s="2">
        <f t="shared" ca="1" si="2737"/>
        <v>64</v>
      </c>
      <c r="I6493" t="str">
        <f t="shared" si="2738"/>
        <v>MSFT</v>
      </c>
      <c r="J6493">
        <f t="shared" si="2739"/>
        <v>216</v>
      </c>
      <c r="K6493">
        <f t="shared" si="2740"/>
        <v>226</v>
      </c>
      <c r="L6493">
        <f t="shared" si="2741"/>
        <v>221</v>
      </c>
      <c r="M6493">
        <f t="shared" si="2742"/>
        <v>5</v>
      </c>
      <c r="N6493">
        <f t="shared" si="2733"/>
        <v>10</v>
      </c>
      <c r="O6493">
        <f t="shared" si="2743"/>
        <v>221</v>
      </c>
      <c r="P6493">
        <f t="shared" si="2744"/>
        <v>0</v>
      </c>
      <c r="Q6493" t="str">
        <f t="shared" si="2734"/>
        <v>2.26% | 2.26%</v>
      </c>
      <c r="R6493" t="str">
        <f t="shared" si="2745"/>
        <v>BULLISH</v>
      </c>
      <c r="S6493">
        <f t="shared" si="2746"/>
        <v>1</v>
      </c>
    </row>
    <row r="6494" spans="1:19" hidden="1" x14ac:dyDescent="0.25">
      <c r="A6494" s="5" t="str">
        <f t="shared" si="2747"/>
        <v>44189AAPL</v>
      </c>
      <c r="B6494" s="6" t="s">
        <v>28</v>
      </c>
      <c r="C6494" s="6">
        <v>126</v>
      </c>
      <c r="D6494" s="6">
        <v>134</v>
      </c>
      <c r="E6494" s="6">
        <v>130</v>
      </c>
      <c r="F6494" t="str">
        <f t="shared" si="2735"/>
        <v>THU</v>
      </c>
      <c r="G6494" s="3">
        <f t="shared" si="2736"/>
        <v>44189</v>
      </c>
      <c r="H6494" s="2">
        <f t="shared" ca="1" si="2737"/>
        <v>64</v>
      </c>
      <c r="I6494" t="str">
        <f t="shared" si="2738"/>
        <v>AAPL</v>
      </c>
      <c r="J6494">
        <f t="shared" si="2739"/>
        <v>126</v>
      </c>
      <c r="K6494">
        <f t="shared" si="2740"/>
        <v>134</v>
      </c>
      <c r="L6494">
        <f t="shared" si="2741"/>
        <v>130</v>
      </c>
      <c r="M6494">
        <f t="shared" si="2742"/>
        <v>4</v>
      </c>
      <c r="N6494">
        <f t="shared" si="2733"/>
        <v>8</v>
      </c>
      <c r="O6494">
        <f t="shared" si="2743"/>
        <v>130</v>
      </c>
      <c r="P6494">
        <f t="shared" si="2744"/>
        <v>0</v>
      </c>
      <c r="Q6494" t="str">
        <f t="shared" si="2734"/>
        <v>3.08% | 3.08%</v>
      </c>
      <c r="R6494" t="str">
        <f t="shared" si="2745"/>
        <v>BULLISH</v>
      </c>
      <c r="S6494">
        <f t="shared" si="2746"/>
        <v>1</v>
      </c>
    </row>
    <row r="6495" spans="1:19" hidden="1" x14ac:dyDescent="0.25">
      <c r="A6495" s="5" t="str">
        <f t="shared" si="2747"/>
        <v>44189AMZN</v>
      </c>
      <c r="B6495" s="6" t="s">
        <v>29</v>
      </c>
      <c r="C6495" s="6">
        <v>3105</v>
      </c>
      <c r="D6495" s="6">
        <v>3271</v>
      </c>
      <c r="E6495" s="6">
        <v>3185</v>
      </c>
      <c r="F6495" t="str">
        <f t="shared" si="2735"/>
        <v>THU</v>
      </c>
      <c r="G6495" s="3">
        <f t="shared" si="2736"/>
        <v>44189</v>
      </c>
      <c r="H6495" s="2">
        <f t="shared" ca="1" si="2737"/>
        <v>64</v>
      </c>
      <c r="I6495" t="str">
        <f t="shared" si="2738"/>
        <v>AMZN</v>
      </c>
      <c r="J6495">
        <f t="shared" si="2739"/>
        <v>3105</v>
      </c>
      <c r="K6495">
        <f t="shared" si="2740"/>
        <v>3271</v>
      </c>
      <c r="L6495">
        <f t="shared" si="2741"/>
        <v>3188</v>
      </c>
      <c r="M6495">
        <f t="shared" si="2742"/>
        <v>83</v>
      </c>
      <c r="N6495">
        <f t="shared" si="2733"/>
        <v>166</v>
      </c>
      <c r="O6495">
        <f t="shared" si="2743"/>
        <v>3185</v>
      </c>
      <c r="P6495">
        <f t="shared" si="2744"/>
        <v>-3.614457831325301E-2</v>
      </c>
      <c r="Q6495" t="str">
        <f t="shared" si="2734"/>
        <v>2.51% | 2.7%</v>
      </c>
      <c r="R6495" t="str">
        <f t="shared" si="2745"/>
        <v>BULLISH</v>
      </c>
      <c r="S6495">
        <f t="shared" si="2746"/>
        <v>1</v>
      </c>
    </row>
    <row r="6496" spans="1:19" hidden="1" x14ac:dyDescent="0.25">
      <c r="A6496" s="5" t="str">
        <f t="shared" si="2747"/>
        <v>44189FB</v>
      </c>
      <c r="B6496" s="6" t="s">
        <v>157</v>
      </c>
      <c r="C6496" s="6">
        <v>262</v>
      </c>
      <c r="D6496" s="6">
        <v>275</v>
      </c>
      <c r="E6496" s="6">
        <v>268</v>
      </c>
      <c r="F6496" t="str">
        <f t="shared" si="2735"/>
        <v>THU</v>
      </c>
      <c r="G6496" s="3">
        <f t="shared" si="2736"/>
        <v>44189</v>
      </c>
      <c r="H6496" s="2">
        <f t="shared" ca="1" si="2737"/>
        <v>64</v>
      </c>
      <c r="I6496" t="str">
        <f t="shared" si="2738"/>
        <v>FB</v>
      </c>
      <c r="J6496">
        <f t="shared" si="2739"/>
        <v>262</v>
      </c>
      <c r="K6496">
        <f t="shared" si="2740"/>
        <v>275</v>
      </c>
      <c r="L6496">
        <f t="shared" si="2741"/>
        <v>268.5</v>
      </c>
      <c r="M6496">
        <f t="shared" si="2742"/>
        <v>6.5</v>
      </c>
      <c r="N6496">
        <f t="shared" si="2733"/>
        <v>13</v>
      </c>
      <c r="O6496">
        <f t="shared" si="2743"/>
        <v>268</v>
      </c>
      <c r="P6496">
        <f t="shared" si="2744"/>
        <v>-7.6923076923076927E-2</v>
      </c>
      <c r="Q6496" t="str">
        <f t="shared" si="2734"/>
        <v>2.24% | 2.61%</v>
      </c>
      <c r="R6496" t="str">
        <f t="shared" si="2745"/>
        <v>NEUTRAL</v>
      </c>
      <c r="S6496">
        <f t="shared" si="2746"/>
        <v>0</v>
      </c>
    </row>
    <row r="6497" spans="1:19" hidden="1" x14ac:dyDescent="0.25">
      <c r="A6497" s="5" t="str">
        <f t="shared" si="2747"/>
        <v>44189GOOGL</v>
      </c>
      <c r="B6497" s="6" t="s">
        <v>31</v>
      </c>
      <c r="C6497" s="6">
        <v>1702</v>
      </c>
      <c r="D6497" s="6">
        <v>1789</v>
      </c>
      <c r="E6497" s="6">
        <v>1728</v>
      </c>
      <c r="F6497" t="str">
        <f t="shared" si="2735"/>
        <v>THU</v>
      </c>
      <c r="G6497" s="3">
        <f t="shared" si="2736"/>
        <v>44189</v>
      </c>
      <c r="H6497" s="2">
        <f t="shared" ca="1" si="2737"/>
        <v>64</v>
      </c>
      <c r="I6497" t="str">
        <f t="shared" si="2738"/>
        <v>GOOGL</v>
      </c>
      <c r="J6497">
        <f t="shared" si="2739"/>
        <v>1702</v>
      </c>
      <c r="K6497">
        <f t="shared" si="2740"/>
        <v>1789</v>
      </c>
      <c r="L6497">
        <f t="shared" si="2741"/>
        <v>1745.5</v>
      </c>
      <c r="M6497">
        <f t="shared" si="2742"/>
        <v>43.5</v>
      </c>
      <c r="N6497">
        <f t="shared" si="2733"/>
        <v>87</v>
      </c>
      <c r="O6497">
        <f t="shared" si="2743"/>
        <v>1728</v>
      </c>
      <c r="P6497">
        <f t="shared" si="2744"/>
        <v>-0.40229885057471265</v>
      </c>
      <c r="Q6497" t="str">
        <f t="shared" si="2734"/>
        <v>1.5% | 3.53%</v>
      </c>
      <c r="R6497" t="str">
        <f t="shared" si="2745"/>
        <v>BULLISH</v>
      </c>
      <c r="S6497">
        <f t="shared" si="2746"/>
        <v>1</v>
      </c>
    </row>
    <row r="6498" spans="1:19" hidden="1" x14ac:dyDescent="0.25">
      <c r="A6498" s="5" t="str">
        <f t="shared" si="2747"/>
        <v>44189NFLX</v>
      </c>
      <c r="B6498" s="6" t="s">
        <v>32</v>
      </c>
      <c r="C6498" s="6">
        <v>501</v>
      </c>
      <c r="D6498" s="6">
        <v>542</v>
      </c>
      <c r="E6498" s="6">
        <v>514</v>
      </c>
      <c r="F6498" t="str">
        <f t="shared" si="2735"/>
        <v>THU</v>
      </c>
      <c r="G6498" s="3">
        <f t="shared" si="2736"/>
        <v>44189</v>
      </c>
      <c r="H6498" s="2">
        <f t="shared" ca="1" si="2737"/>
        <v>64</v>
      </c>
      <c r="I6498" t="str">
        <f t="shared" si="2738"/>
        <v>NFLX</v>
      </c>
      <c r="J6498">
        <f t="shared" si="2739"/>
        <v>501</v>
      </c>
      <c r="K6498">
        <f t="shared" si="2740"/>
        <v>542</v>
      </c>
      <c r="L6498">
        <f t="shared" si="2741"/>
        <v>521.5</v>
      </c>
      <c r="M6498">
        <f t="shared" si="2742"/>
        <v>20.5</v>
      </c>
      <c r="N6498">
        <f t="shared" si="2733"/>
        <v>41</v>
      </c>
      <c r="O6498">
        <f t="shared" si="2743"/>
        <v>514</v>
      </c>
      <c r="P6498">
        <f t="shared" si="2744"/>
        <v>-0.36585365853658536</v>
      </c>
      <c r="Q6498" t="str">
        <f t="shared" si="2734"/>
        <v>2.53% | 5.45%</v>
      </c>
      <c r="R6498" t="str">
        <f t="shared" si="2745"/>
        <v>BULLISH</v>
      </c>
      <c r="S6498">
        <f t="shared" si="2746"/>
        <v>1</v>
      </c>
    </row>
    <row r="6499" spans="1:19" x14ac:dyDescent="0.25">
      <c r="A6499" s="5" t="str">
        <f t="shared" si="2747"/>
        <v>44189TSLA</v>
      </c>
      <c r="B6499" s="6" t="s">
        <v>33</v>
      </c>
      <c r="C6499" s="6">
        <v>597</v>
      </c>
      <c r="D6499" s="6">
        <v>691</v>
      </c>
      <c r="E6499" s="6">
        <v>645</v>
      </c>
      <c r="F6499" t="str">
        <f t="shared" si="2735"/>
        <v>THU</v>
      </c>
      <c r="G6499" s="3">
        <f t="shared" si="2736"/>
        <v>44189</v>
      </c>
      <c r="H6499" s="2">
        <f t="shared" ca="1" si="2737"/>
        <v>64</v>
      </c>
      <c r="I6499" t="str">
        <f t="shared" si="2738"/>
        <v>TSLA</v>
      </c>
      <c r="J6499">
        <f t="shared" si="2739"/>
        <v>597</v>
      </c>
      <c r="K6499">
        <f t="shared" si="2740"/>
        <v>691</v>
      </c>
      <c r="L6499">
        <f t="shared" si="2741"/>
        <v>644</v>
      </c>
      <c r="M6499">
        <f t="shared" si="2742"/>
        <v>47</v>
      </c>
      <c r="N6499">
        <f t="shared" si="2733"/>
        <v>94</v>
      </c>
      <c r="O6499">
        <f t="shared" si="2743"/>
        <v>645</v>
      </c>
      <c r="P6499">
        <f t="shared" si="2744"/>
        <v>2.1276595744680851E-2</v>
      </c>
      <c r="Q6499" t="str">
        <f t="shared" si="2734"/>
        <v>7.44% | 7.13%</v>
      </c>
      <c r="R6499" t="str">
        <f t="shared" si="2745"/>
        <v>BULLISH</v>
      </c>
      <c r="S6499">
        <f t="shared" si="2746"/>
        <v>1</v>
      </c>
    </row>
    <row r="6500" spans="1:19" hidden="1" x14ac:dyDescent="0.25">
      <c r="A6500" s="5" t="str">
        <f t="shared" si="2747"/>
        <v>44189NYXBT</v>
      </c>
      <c r="B6500" s="6" t="s">
        <v>60</v>
      </c>
      <c r="C6500" s="6">
        <v>20499</v>
      </c>
      <c r="D6500" s="6">
        <v>25560</v>
      </c>
      <c r="E6500" s="6">
        <v>23589</v>
      </c>
      <c r="F6500" t="str">
        <f t="shared" si="2735"/>
        <v>THU</v>
      </c>
      <c r="G6500" s="3">
        <f t="shared" si="2736"/>
        <v>44189</v>
      </c>
      <c r="H6500" s="2">
        <f t="shared" ca="1" si="2737"/>
        <v>64</v>
      </c>
      <c r="I6500" t="str">
        <f t="shared" si="2738"/>
        <v>NYXBT</v>
      </c>
      <c r="J6500">
        <f t="shared" si="2739"/>
        <v>20499</v>
      </c>
      <c r="K6500">
        <f t="shared" si="2740"/>
        <v>25560</v>
      </c>
      <c r="L6500">
        <f t="shared" si="2741"/>
        <v>23029.5</v>
      </c>
      <c r="M6500">
        <f t="shared" si="2742"/>
        <v>2530.5</v>
      </c>
      <c r="N6500">
        <f t="shared" si="2733"/>
        <v>5061</v>
      </c>
      <c r="O6500">
        <f t="shared" si="2743"/>
        <v>23589</v>
      </c>
      <c r="P6500">
        <f t="shared" si="2744"/>
        <v>0.22110254890337877</v>
      </c>
      <c r="Q6500" t="str">
        <f t="shared" si="2734"/>
        <v>13.1% | 8.36%</v>
      </c>
      <c r="R6500" t="str">
        <f t="shared" si="2745"/>
        <v>BULLISH</v>
      </c>
      <c r="S6500">
        <f t="shared" si="2746"/>
        <v>1</v>
      </c>
    </row>
    <row r="6501" spans="1:19" hidden="1" x14ac:dyDescent="0.25">
      <c r="A6501" s="5" t="str">
        <f t="shared" si="2747"/>
        <v>44193UST10Y</v>
      </c>
      <c r="B6501" s="6" t="s">
        <v>257</v>
      </c>
      <c r="C6501" s="6">
        <v>0.98</v>
      </c>
      <c r="D6501" s="6">
        <v>0.9</v>
      </c>
      <c r="E6501" s="6">
        <v>0.94</v>
      </c>
      <c r="F6501" t="str">
        <f t="shared" si="2735"/>
        <v>MON</v>
      </c>
      <c r="G6501" s="1">
        <f>DATE(2020,12,28)</f>
        <v>44193</v>
      </c>
      <c r="H6501" s="2">
        <f t="shared" ca="1" si="2737"/>
        <v>60</v>
      </c>
      <c r="I6501" t="str">
        <f t="shared" si="2738"/>
        <v>UST10Y</v>
      </c>
      <c r="J6501">
        <f t="shared" si="2739"/>
        <v>0.98</v>
      </c>
      <c r="K6501">
        <f t="shared" si="2740"/>
        <v>0.9</v>
      </c>
      <c r="L6501">
        <f t="shared" si="2741"/>
        <v>0.94</v>
      </c>
      <c r="M6501">
        <f t="shared" si="2742"/>
        <v>3.999999999999998E-2</v>
      </c>
      <c r="N6501">
        <f t="shared" si="2733"/>
        <v>7.999999999999996E-2</v>
      </c>
      <c r="O6501">
        <f t="shared" si="2743"/>
        <v>0.94</v>
      </c>
      <c r="P6501">
        <f t="shared" si="2744"/>
        <v>0</v>
      </c>
      <c r="Q6501" t="str">
        <f t="shared" si="2734"/>
        <v>4.26% | 4.26%</v>
      </c>
      <c r="R6501" t="str">
        <f t="shared" si="2745"/>
        <v>BULLISH</v>
      </c>
      <c r="S6501">
        <f t="shared" si="2746"/>
        <v>1</v>
      </c>
    </row>
    <row r="6502" spans="1:19" hidden="1" x14ac:dyDescent="0.25">
      <c r="A6502" s="5" t="str">
        <f t="shared" si="2747"/>
        <v>44193UST2Y</v>
      </c>
      <c r="B6502" s="6" t="s">
        <v>253</v>
      </c>
      <c r="C6502" s="6">
        <v>0.16</v>
      </c>
      <c r="D6502" s="6">
        <v>0.11</v>
      </c>
      <c r="E6502" s="6">
        <v>0.13</v>
      </c>
      <c r="F6502" t="str">
        <f t="shared" ref="F6502:F6533" si="2748">UPPER(TEXT(G6502,"ddd"))</f>
        <v>MON</v>
      </c>
      <c r="G6502" s="1">
        <f t="shared" ref="G6502:G6532" si="2749">DATE(2020,12,28)</f>
        <v>44193</v>
      </c>
      <c r="H6502" s="2">
        <f t="shared" ref="H6502:H6533" ca="1" si="2750">TODAY()-G6502</f>
        <v>60</v>
      </c>
      <c r="I6502" t="str">
        <f t="shared" ref="I6502:I6533" si="2751">TRIM(LEFT(B6502,FIND(" ",B6502,1)))</f>
        <v>UST2Y</v>
      </c>
      <c r="J6502">
        <f t="shared" ref="J6502:J6533" si="2752">C6502</f>
        <v>0.16</v>
      </c>
      <c r="K6502">
        <f t="shared" ref="K6502:K6533" si="2753">D6502</f>
        <v>0.11</v>
      </c>
      <c r="L6502">
        <f t="shared" ref="L6502:L6533" si="2754">AVERAGE(J6502:K6502)</f>
        <v>0.13500000000000001</v>
      </c>
      <c r="M6502">
        <f t="shared" ref="M6502:M6533" si="2755">_xlfn.STDEV.P(J6502:K6502)</f>
        <v>2.4999999999999942E-2</v>
      </c>
      <c r="N6502">
        <f t="shared" si="2733"/>
        <v>0.05</v>
      </c>
      <c r="O6502">
        <f t="shared" ref="O6502:O6533" si="2756">E6502</f>
        <v>0.13</v>
      </c>
      <c r="P6502">
        <f t="shared" ref="P6502:P6533" si="2757">(O6502-L6502)/M6502</f>
        <v>-0.20000000000000065</v>
      </c>
      <c r="Q6502" t="str">
        <f t="shared" si="2734"/>
        <v>23.08% | 15.38%</v>
      </c>
      <c r="R6502" t="str">
        <f t="shared" ref="R6502:R6533" si="2758">MID(B6502,FIND("(",B6502,1)+1,FIND(")",B6502,1)-FIND("(",B6502,1)-1)</f>
        <v>NEUTRAL</v>
      </c>
      <c r="S6502">
        <f t="shared" ref="S6502:S6533" si="2759">IF(R6502="BEARISH",-1,IF(R6502="NEUTRAL",0,IF(R6502="BULLISH",1,99)))</f>
        <v>0</v>
      </c>
    </row>
    <row r="6503" spans="1:19" hidden="1" x14ac:dyDescent="0.25">
      <c r="A6503" s="5" t="str">
        <f t="shared" si="2747"/>
        <v>44193SPX</v>
      </c>
      <c r="B6503" s="6" t="s">
        <v>93</v>
      </c>
      <c r="C6503" s="6">
        <v>3649</v>
      </c>
      <c r="D6503" s="6">
        <v>3743</v>
      </c>
      <c r="E6503" s="6">
        <v>3703</v>
      </c>
      <c r="F6503" t="str">
        <f t="shared" si="2748"/>
        <v>MON</v>
      </c>
      <c r="G6503" s="1">
        <f t="shared" si="2749"/>
        <v>44193</v>
      </c>
      <c r="H6503" s="2">
        <f t="shared" ca="1" si="2750"/>
        <v>60</v>
      </c>
      <c r="I6503" t="str">
        <f t="shared" si="2751"/>
        <v>SPX</v>
      </c>
      <c r="J6503">
        <f t="shared" si="2752"/>
        <v>3649</v>
      </c>
      <c r="K6503">
        <f t="shared" si="2753"/>
        <v>3743</v>
      </c>
      <c r="L6503">
        <f t="shared" si="2754"/>
        <v>3696</v>
      </c>
      <c r="M6503">
        <f t="shared" si="2755"/>
        <v>47</v>
      </c>
      <c r="N6503">
        <f t="shared" si="2733"/>
        <v>94</v>
      </c>
      <c r="O6503">
        <f t="shared" si="2756"/>
        <v>3703</v>
      </c>
      <c r="P6503">
        <f t="shared" si="2757"/>
        <v>0.14893617021276595</v>
      </c>
      <c r="Q6503" t="str">
        <f t="shared" si="2734"/>
        <v>1.46% | 1.08%</v>
      </c>
      <c r="R6503" t="str">
        <f t="shared" si="2758"/>
        <v>BULLISH</v>
      </c>
      <c r="S6503">
        <f t="shared" si="2759"/>
        <v>1</v>
      </c>
    </row>
    <row r="6504" spans="1:19" hidden="1" x14ac:dyDescent="0.25">
      <c r="A6504" s="5" t="str">
        <f t="shared" si="2747"/>
        <v>44193RUT</v>
      </c>
      <c r="B6504" s="6" t="s">
        <v>247</v>
      </c>
      <c r="C6504" s="6">
        <v>1951</v>
      </c>
      <c r="D6504" s="6">
        <v>2024</v>
      </c>
      <c r="E6504" s="6">
        <v>2003</v>
      </c>
      <c r="F6504" t="str">
        <f t="shared" si="2748"/>
        <v>MON</v>
      </c>
      <c r="G6504" s="1">
        <f t="shared" si="2749"/>
        <v>44193</v>
      </c>
      <c r="H6504" s="2">
        <f t="shared" ca="1" si="2750"/>
        <v>60</v>
      </c>
      <c r="I6504" t="str">
        <f t="shared" si="2751"/>
        <v>RUT</v>
      </c>
      <c r="J6504">
        <f t="shared" si="2752"/>
        <v>1951</v>
      </c>
      <c r="K6504">
        <f t="shared" si="2753"/>
        <v>2024</v>
      </c>
      <c r="L6504">
        <f t="shared" si="2754"/>
        <v>1987.5</v>
      </c>
      <c r="M6504">
        <f t="shared" si="2755"/>
        <v>36.5</v>
      </c>
      <c r="N6504">
        <f t="shared" si="2733"/>
        <v>73</v>
      </c>
      <c r="O6504">
        <f t="shared" si="2756"/>
        <v>2003</v>
      </c>
      <c r="P6504">
        <f t="shared" si="2757"/>
        <v>0.42465753424657532</v>
      </c>
      <c r="Q6504" t="str">
        <f t="shared" si="2734"/>
        <v>2.6% | 1.05%</v>
      </c>
      <c r="R6504" t="str">
        <f t="shared" si="2758"/>
        <v>BULLISH</v>
      </c>
      <c r="S6504">
        <f t="shared" si="2759"/>
        <v>1</v>
      </c>
    </row>
    <row r="6505" spans="1:19" hidden="1" x14ac:dyDescent="0.25">
      <c r="A6505" s="5" t="str">
        <f t="shared" si="2747"/>
        <v>44193COMPQ</v>
      </c>
      <c r="B6505" s="6" t="s">
        <v>8</v>
      </c>
      <c r="C6505" s="6">
        <v>12475</v>
      </c>
      <c r="D6505" s="6">
        <v>12942</v>
      </c>
      <c r="E6505" s="6">
        <v>12804</v>
      </c>
      <c r="F6505" t="str">
        <f t="shared" si="2748"/>
        <v>MON</v>
      </c>
      <c r="G6505" s="1">
        <f t="shared" si="2749"/>
        <v>44193</v>
      </c>
      <c r="H6505" s="2">
        <f t="shared" ca="1" si="2750"/>
        <v>60</v>
      </c>
      <c r="I6505" t="str">
        <f t="shared" si="2751"/>
        <v>COMPQ</v>
      </c>
      <c r="J6505">
        <f t="shared" si="2752"/>
        <v>12475</v>
      </c>
      <c r="K6505">
        <f t="shared" si="2753"/>
        <v>12942</v>
      </c>
      <c r="L6505">
        <f t="shared" si="2754"/>
        <v>12708.5</v>
      </c>
      <c r="M6505">
        <f t="shared" si="2755"/>
        <v>233.5</v>
      </c>
      <c r="N6505">
        <f t="shared" si="2733"/>
        <v>467</v>
      </c>
      <c r="O6505">
        <f t="shared" si="2756"/>
        <v>12804</v>
      </c>
      <c r="P6505">
        <f t="shared" si="2757"/>
        <v>0.4089935760171306</v>
      </c>
      <c r="Q6505" t="str">
        <f t="shared" si="2734"/>
        <v>2.57% | 1.08%</v>
      </c>
      <c r="R6505" t="str">
        <f t="shared" si="2758"/>
        <v>BULLISH</v>
      </c>
      <c r="S6505">
        <f t="shared" si="2759"/>
        <v>1</v>
      </c>
    </row>
    <row r="6506" spans="1:19" hidden="1" x14ac:dyDescent="0.25">
      <c r="A6506" s="5" t="str">
        <f t="shared" si="2747"/>
        <v>44193XLK</v>
      </c>
      <c r="B6506" s="6" t="s">
        <v>10</v>
      </c>
      <c r="C6506" s="6">
        <v>124.99</v>
      </c>
      <c r="D6506" s="6">
        <v>130.74</v>
      </c>
      <c r="E6506" s="6">
        <v>129.06</v>
      </c>
      <c r="F6506" t="str">
        <f t="shared" si="2748"/>
        <v>MON</v>
      </c>
      <c r="G6506" s="1">
        <f t="shared" si="2749"/>
        <v>44193</v>
      </c>
      <c r="H6506" s="2">
        <f t="shared" ca="1" si="2750"/>
        <v>60</v>
      </c>
      <c r="I6506" t="str">
        <f t="shared" si="2751"/>
        <v>XLK</v>
      </c>
      <c r="J6506">
        <f t="shared" si="2752"/>
        <v>124.99</v>
      </c>
      <c r="K6506">
        <f t="shared" si="2753"/>
        <v>130.74</v>
      </c>
      <c r="L6506">
        <f t="shared" si="2754"/>
        <v>127.86500000000001</v>
      </c>
      <c r="M6506">
        <f t="shared" si="2755"/>
        <v>2.8750000000000071</v>
      </c>
      <c r="N6506">
        <f t="shared" si="2733"/>
        <v>5.7500000000000142</v>
      </c>
      <c r="O6506">
        <f t="shared" si="2756"/>
        <v>129.06</v>
      </c>
      <c r="P6506">
        <f t="shared" si="2757"/>
        <v>0.4156521739130401</v>
      </c>
      <c r="Q6506" t="str">
        <f t="shared" si="2734"/>
        <v>3.15% | 1.3%</v>
      </c>
      <c r="R6506" t="str">
        <f t="shared" si="2758"/>
        <v>BULLISH</v>
      </c>
      <c r="S6506">
        <f t="shared" si="2759"/>
        <v>1</v>
      </c>
    </row>
    <row r="6507" spans="1:19" hidden="1" x14ac:dyDescent="0.25">
      <c r="A6507" s="5" t="str">
        <f t="shared" si="2747"/>
        <v>44193XLE</v>
      </c>
      <c r="B6507" s="6" t="s">
        <v>250</v>
      </c>
      <c r="C6507" s="6">
        <v>37.200000000000003</v>
      </c>
      <c r="D6507" s="6">
        <v>40.9</v>
      </c>
      <c r="E6507" s="6">
        <v>38.119999999999997</v>
      </c>
      <c r="F6507" t="str">
        <f t="shared" si="2748"/>
        <v>MON</v>
      </c>
      <c r="G6507" s="1">
        <f t="shared" si="2749"/>
        <v>44193</v>
      </c>
      <c r="H6507" s="2">
        <f t="shared" ca="1" si="2750"/>
        <v>60</v>
      </c>
      <c r="I6507" t="str">
        <f t="shared" si="2751"/>
        <v>XLE</v>
      </c>
      <c r="J6507">
        <f t="shared" si="2752"/>
        <v>37.200000000000003</v>
      </c>
      <c r="K6507">
        <f t="shared" si="2753"/>
        <v>40.9</v>
      </c>
      <c r="L6507">
        <f t="shared" si="2754"/>
        <v>39.049999999999997</v>
      </c>
      <c r="M6507">
        <f t="shared" si="2755"/>
        <v>1.8499999999999979</v>
      </c>
      <c r="N6507">
        <f t="shared" si="2733"/>
        <v>3.6999999999999957</v>
      </c>
      <c r="O6507">
        <f t="shared" si="2756"/>
        <v>38.119999999999997</v>
      </c>
      <c r="P6507">
        <f t="shared" si="2757"/>
        <v>-0.50270270270270312</v>
      </c>
      <c r="Q6507" t="str">
        <f t="shared" si="2734"/>
        <v>2.41% | 7.29%</v>
      </c>
      <c r="R6507" t="str">
        <f t="shared" si="2758"/>
        <v>BULLISH</v>
      </c>
      <c r="S6507">
        <f t="shared" si="2759"/>
        <v>1</v>
      </c>
    </row>
    <row r="6508" spans="1:19" hidden="1" x14ac:dyDescent="0.25">
      <c r="A6508" s="5" t="str">
        <f t="shared" si="2747"/>
        <v>44193XLF</v>
      </c>
      <c r="B6508" s="6" t="s">
        <v>258</v>
      </c>
      <c r="C6508" s="6">
        <v>27.99</v>
      </c>
      <c r="D6508" s="6">
        <v>29.21</v>
      </c>
      <c r="E6508" s="6">
        <v>28.95</v>
      </c>
      <c r="F6508" t="str">
        <f t="shared" si="2748"/>
        <v>MON</v>
      </c>
      <c r="G6508" s="1">
        <f t="shared" si="2749"/>
        <v>44193</v>
      </c>
      <c r="H6508" s="2">
        <f t="shared" ca="1" si="2750"/>
        <v>60</v>
      </c>
      <c r="I6508" t="str">
        <f t="shared" si="2751"/>
        <v>XLF</v>
      </c>
      <c r="J6508">
        <f t="shared" si="2752"/>
        <v>27.99</v>
      </c>
      <c r="K6508">
        <f t="shared" si="2753"/>
        <v>29.21</v>
      </c>
      <c r="L6508">
        <f t="shared" si="2754"/>
        <v>28.6</v>
      </c>
      <c r="M6508">
        <f t="shared" si="2755"/>
        <v>0.61000000000000121</v>
      </c>
      <c r="N6508">
        <f t="shared" si="2733"/>
        <v>1.2200000000000024</v>
      </c>
      <c r="O6508">
        <f t="shared" si="2756"/>
        <v>28.95</v>
      </c>
      <c r="P6508">
        <f t="shared" si="2757"/>
        <v>0.57377049180327411</v>
      </c>
      <c r="Q6508" t="str">
        <f t="shared" si="2734"/>
        <v>3.32% | 0.9%</v>
      </c>
      <c r="R6508" t="str">
        <f t="shared" si="2758"/>
        <v>BULLISH</v>
      </c>
      <c r="S6508">
        <f t="shared" si="2759"/>
        <v>1</v>
      </c>
    </row>
    <row r="6509" spans="1:19" hidden="1" x14ac:dyDescent="0.25">
      <c r="A6509" s="5" t="str">
        <f t="shared" si="2747"/>
        <v>44193XLU</v>
      </c>
      <c r="B6509" s="6" t="s">
        <v>82</v>
      </c>
      <c r="C6509" s="6">
        <v>60.23</v>
      </c>
      <c r="D6509" s="6">
        <v>62.45</v>
      </c>
      <c r="E6509" s="6">
        <v>61.21</v>
      </c>
      <c r="F6509" t="str">
        <f t="shared" si="2748"/>
        <v>MON</v>
      </c>
      <c r="G6509" s="1">
        <f t="shared" si="2749"/>
        <v>44193</v>
      </c>
      <c r="H6509" s="2">
        <f t="shared" ca="1" si="2750"/>
        <v>60</v>
      </c>
      <c r="I6509" t="str">
        <f t="shared" si="2751"/>
        <v>XLU</v>
      </c>
      <c r="J6509">
        <f t="shared" si="2752"/>
        <v>60.23</v>
      </c>
      <c r="K6509">
        <f t="shared" si="2753"/>
        <v>62.45</v>
      </c>
      <c r="L6509">
        <f t="shared" si="2754"/>
        <v>61.34</v>
      </c>
      <c r="M6509">
        <f t="shared" si="2755"/>
        <v>1.110000000000003</v>
      </c>
      <c r="N6509">
        <f t="shared" si="2733"/>
        <v>2.220000000000006</v>
      </c>
      <c r="O6509">
        <f t="shared" si="2756"/>
        <v>61.21</v>
      </c>
      <c r="P6509">
        <f t="shared" si="2757"/>
        <v>-0.11711711711711911</v>
      </c>
      <c r="Q6509" t="str">
        <f t="shared" si="2734"/>
        <v>1.6% | 2.03%</v>
      </c>
      <c r="R6509" t="str">
        <f t="shared" si="2758"/>
        <v>BEARISH</v>
      </c>
      <c r="S6509">
        <f t="shared" si="2759"/>
        <v>-1</v>
      </c>
    </row>
    <row r="6510" spans="1:19" hidden="1" x14ac:dyDescent="0.25">
      <c r="A6510" s="5" t="str">
        <f t="shared" si="2747"/>
        <v>44193GDX</v>
      </c>
      <c r="B6510" s="6" t="s">
        <v>254</v>
      </c>
      <c r="C6510" s="6">
        <v>33.96</v>
      </c>
      <c r="D6510" s="6">
        <v>37.19</v>
      </c>
      <c r="E6510" s="6">
        <v>36.03</v>
      </c>
      <c r="F6510" t="str">
        <f t="shared" si="2748"/>
        <v>MON</v>
      </c>
      <c r="G6510" s="1">
        <f t="shared" si="2749"/>
        <v>44193</v>
      </c>
      <c r="H6510" s="2">
        <f t="shared" ca="1" si="2750"/>
        <v>60</v>
      </c>
      <c r="I6510" t="str">
        <f t="shared" si="2751"/>
        <v>GDX</v>
      </c>
      <c r="J6510">
        <f t="shared" si="2752"/>
        <v>33.96</v>
      </c>
      <c r="K6510">
        <f t="shared" si="2753"/>
        <v>37.19</v>
      </c>
      <c r="L6510">
        <f t="shared" si="2754"/>
        <v>35.575000000000003</v>
      </c>
      <c r="M6510">
        <f t="shared" si="2755"/>
        <v>1.6149999999999984</v>
      </c>
      <c r="N6510">
        <f t="shared" si="2733"/>
        <v>3.2299999999999969</v>
      </c>
      <c r="O6510">
        <f t="shared" si="2756"/>
        <v>36.03</v>
      </c>
      <c r="P6510">
        <f t="shared" si="2757"/>
        <v>0.28173374613003016</v>
      </c>
      <c r="Q6510" t="str">
        <f t="shared" si="2734"/>
        <v>5.75% | 3.22%</v>
      </c>
      <c r="R6510" t="str">
        <f t="shared" si="2758"/>
        <v>BEARISH</v>
      </c>
      <c r="S6510">
        <f t="shared" si="2759"/>
        <v>-1</v>
      </c>
    </row>
    <row r="6511" spans="1:19" hidden="1" x14ac:dyDescent="0.25">
      <c r="A6511" s="5" t="str">
        <f t="shared" si="2747"/>
        <v>44193SSEC</v>
      </c>
      <c r="B6511" s="6" t="s">
        <v>104</v>
      </c>
      <c r="C6511" s="6">
        <v>3328</v>
      </c>
      <c r="D6511" s="6">
        <v>3423</v>
      </c>
      <c r="E6511" s="6">
        <v>3397</v>
      </c>
      <c r="F6511" t="str">
        <f t="shared" si="2748"/>
        <v>MON</v>
      </c>
      <c r="G6511" s="1">
        <f t="shared" si="2749"/>
        <v>44193</v>
      </c>
      <c r="H6511" s="2">
        <f t="shared" ca="1" si="2750"/>
        <v>60</v>
      </c>
      <c r="I6511" t="str">
        <f t="shared" si="2751"/>
        <v>SSEC</v>
      </c>
      <c r="J6511">
        <f t="shared" si="2752"/>
        <v>3328</v>
      </c>
      <c r="K6511">
        <f t="shared" si="2753"/>
        <v>3423</v>
      </c>
      <c r="L6511">
        <f t="shared" si="2754"/>
        <v>3375.5</v>
      </c>
      <c r="M6511">
        <f t="shared" si="2755"/>
        <v>47.5</v>
      </c>
      <c r="N6511">
        <f t="shared" si="2733"/>
        <v>95</v>
      </c>
      <c r="O6511">
        <f t="shared" si="2756"/>
        <v>3397</v>
      </c>
      <c r="P6511">
        <f t="shared" si="2757"/>
        <v>0.45263157894736844</v>
      </c>
      <c r="Q6511" t="str">
        <f t="shared" si="2734"/>
        <v>2.03% | 0.77%</v>
      </c>
      <c r="R6511" t="str">
        <f t="shared" si="2758"/>
        <v>BULLISH</v>
      </c>
      <c r="S6511">
        <f t="shared" si="2759"/>
        <v>1</v>
      </c>
    </row>
    <row r="6512" spans="1:19" hidden="1" x14ac:dyDescent="0.25">
      <c r="A6512" s="5" t="str">
        <f t="shared" si="2747"/>
        <v>44193NIKK</v>
      </c>
      <c r="B6512" s="6" t="s">
        <v>91</v>
      </c>
      <c r="C6512" s="6">
        <v>26434</v>
      </c>
      <c r="D6512" s="6">
        <v>26925</v>
      </c>
      <c r="E6512" s="6">
        <v>26854</v>
      </c>
      <c r="F6512" t="str">
        <f t="shared" si="2748"/>
        <v>MON</v>
      </c>
      <c r="G6512" s="1">
        <f t="shared" si="2749"/>
        <v>44193</v>
      </c>
      <c r="H6512" s="2">
        <f t="shared" ca="1" si="2750"/>
        <v>60</v>
      </c>
      <c r="I6512" t="str">
        <f t="shared" si="2751"/>
        <v>NIKK</v>
      </c>
      <c r="J6512">
        <f t="shared" si="2752"/>
        <v>26434</v>
      </c>
      <c r="K6512">
        <f t="shared" si="2753"/>
        <v>26925</v>
      </c>
      <c r="L6512">
        <f t="shared" si="2754"/>
        <v>26679.5</v>
      </c>
      <c r="M6512">
        <f t="shared" si="2755"/>
        <v>245.5</v>
      </c>
      <c r="N6512">
        <f t="shared" si="2733"/>
        <v>491</v>
      </c>
      <c r="O6512">
        <f t="shared" si="2756"/>
        <v>26854</v>
      </c>
      <c r="P6512">
        <f t="shared" si="2757"/>
        <v>0.71079429735234212</v>
      </c>
      <c r="Q6512" t="str">
        <f t="shared" si="2734"/>
        <v>1.56% | 0.26%</v>
      </c>
      <c r="R6512" t="str">
        <f t="shared" si="2758"/>
        <v>BULLISH</v>
      </c>
      <c r="S6512">
        <f t="shared" si="2759"/>
        <v>1</v>
      </c>
    </row>
    <row r="6513" spans="1:19" hidden="1" x14ac:dyDescent="0.25">
      <c r="A6513" s="5" t="str">
        <f t="shared" si="2747"/>
        <v>44193DAX</v>
      </c>
      <c r="B6513" s="6" t="s">
        <v>98</v>
      </c>
      <c r="C6513" s="6">
        <v>13215</v>
      </c>
      <c r="D6513" s="6">
        <v>13821</v>
      </c>
      <c r="E6513" s="6">
        <v>13587</v>
      </c>
      <c r="F6513" t="str">
        <f t="shared" si="2748"/>
        <v>MON</v>
      </c>
      <c r="G6513" s="1">
        <f t="shared" si="2749"/>
        <v>44193</v>
      </c>
      <c r="H6513" s="2">
        <f t="shared" ca="1" si="2750"/>
        <v>60</v>
      </c>
      <c r="I6513" t="str">
        <f t="shared" si="2751"/>
        <v>DAX</v>
      </c>
      <c r="J6513">
        <f t="shared" si="2752"/>
        <v>13215</v>
      </c>
      <c r="K6513">
        <f t="shared" si="2753"/>
        <v>13821</v>
      </c>
      <c r="L6513">
        <f t="shared" si="2754"/>
        <v>13518</v>
      </c>
      <c r="M6513">
        <f t="shared" si="2755"/>
        <v>303</v>
      </c>
      <c r="N6513">
        <f t="shared" si="2733"/>
        <v>606</v>
      </c>
      <c r="O6513">
        <f t="shared" si="2756"/>
        <v>13587</v>
      </c>
      <c r="P6513">
        <f t="shared" si="2757"/>
        <v>0.22772277227722773</v>
      </c>
      <c r="Q6513" t="str">
        <f t="shared" si="2734"/>
        <v>2.74% | 1.72%</v>
      </c>
      <c r="R6513" t="str">
        <f t="shared" si="2758"/>
        <v>BULLISH</v>
      </c>
      <c r="S6513">
        <f t="shared" si="2759"/>
        <v>1</v>
      </c>
    </row>
    <row r="6514" spans="1:19" hidden="1" x14ac:dyDescent="0.25">
      <c r="A6514" s="5" t="str">
        <f t="shared" si="2747"/>
        <v>44193VIX</v>
      </c>
      <c r="B6514" s="6" t="s">
        <v>96</v>
      </c>
      <c r="C6514" s="6">
        <v>20.23</v>
      </c>
      <c r="D6514" s="6">
        <v>25.3</v>
      </c>
      <c r="E6514" s="6">
        <v>21.53</v>
      </c>
      <c r="F6514" t="str">
        <f t="shared" si="2748"/>
        <v>MON</v>
      </c>
      <c r="G6514" s="1">
        <f t="shared" si="2749"/>
        <v>44193</v>
      </c>
      <c r="H6514" s="2">
        <f t="shared" ca="1" si="2750"/>
        <v>60</v>
      </c>
      <c r="I6514" t="str">
        <f t="shared" si="2751"/>
        <v>VIX</v>
      </c>
      <c r="J6514">
        <f t="shared" si="2752"/>
        <v>20.23</v>
      </c>
      <c r="K6514">
        <f t="shared" si="2753"/>
        <v>25.3</v>
      </c>
      <c r="L6514">
        <f t="shared" si="2754"/>
        <v>22.765000000000001</v>
      </c>
      <c r="M6514">
        <f t="shared" si="2755"/>
        <v>2.535000000000009</v>
      </c>
      <c r="N6514">
        <f t="shared" si="2733"/>
        <v>5.07</v>
      </c>
      <c r="O6514">
        <f t="shared" si="2756"/>
        <v>21.53</v>
      </c>
      <c r="P6514">
        <f t="shared" si="2757"/>
        <v>-0.48717948717948523</v>
      </c>
      <c r="Q6514" t="str">
        <f t="shared" si="2734"/>
        <v>6.04% | 17.51%</v>
      </c>
      <c r="R6514" t="str">
        <f t="shared" si="2758"/>
        <v>BEARISH</v>
      </c>
      <c r="S6514">
        <f t="shared" si="2759"/>
        <v>-1</v>
      </c>
    </row>
    <row r="6515" spans="1:19" hidden="1" x14ac:dyDescent="0.25">
      <c r="A6515" s="5" t="str">
        <f t="shared" si="2747"/>
        <v>44193USD</v>
      </c>
      <c r="B6515" s="6" t="s">
        <v>94</v>
      </c>
      <c r="C6515" s="6">
        <v>89.57</v>
      </c>
      <c r="D6515" s="6">
        <v>90.92</v>
      </c>
      <c r="E6515" s="6">
        <v>90.25</v>
      </c>
      <c r="F6515" t="str">
        <f t="shared" si="2748"/>
        <v>MON</v>
      </c>
      <c r="G6515" s="1">
        <f t="shared" si="2749"/>
        <v>44193</v>
      </c>
      <c r="H6515" s="2">
        <f t="shared" ca="1" si="2750"/>
        <v>60</v>
      </c>
      <c r="I6515" t="str">
        <f t="shared" si="2751"/>
        <v>USD</v>
      </c>
      <c r="J6515">
        <f t="shared" si="2752"/>
        <v>89.57</v>
      </c>
      <c r="K6515">
        <f t="shared" si="2753"/>
        <v>90.92</v>
      </c>
      <c r="L6515">
        <f t="shared" si="2754"/>
        <v>90.245000000000005</v>
      </c>
      <c r="M6515">
        <f t="shared" si="2755"/>
        <v>0.67500000000000426</v>
      </c>
      <c r="N6515">
        <f t="shared" si="2733"/>
        <v>1.3500000000000085</v>
      </c>
      <c r="O6515">
        <f t="shared" si="2756"/>
        <v>90.25</v>
      </c>
      <c r="P6515">
        <f t="shared" si="2757"/>
        <v>7.4074074074006241E-3</v>
      </c>
      <c r="Q6515" t="str">
        <f t="shared" si="2734"/>
        <v>0.75% | 0.74%</v>
      </c>
      <c r="R6515" t="str">
        <f t="shared" si="2758"/>
        <v>BEARISH</v>
      </c>
      <c r="S6515">
        <f t="shared" si="2759"/>
        <v>-1</v>
      </c>
    </row>
    <row r="6516" spans="1:19" hidden="1" x14ac:dyDescent="0.25">
      <c r="A6516" s="5" t="str">
        <f t="shared" si="2747"/>
        <v>44193EUR/USD</v>
      </c>
      <c r="B6516" s="6" t="s">
        <v>99</v>
      </c>
      <c r="C6516" s="6">
        <v>1.2110000000000001</v>
      </c>
      <c r="D6516" s="6">
        <v>1.2290000000000001</v>
      </c>
      <c r="E6516" s="6">
        <v>1.2190000000000001</v>
      </c>
      <c r="F6516" t="str">
        <f t="shared" si="2748"/>
        <v>MON</v>
      </c>
      <c r="G6516" s="1">
        <f t="shared" si="2749"/>
        <v>44193</v>
      </c>
      <c r="H6516" s="2">
        <f t="shared" ca="1" si="2750"/>
        <v>60</v>
      </c>
      <c r="I6516" t="str">
        <f t="shared" si="2751"/>
        <v>EUR/USD</v>
      </c>
      <c r="J6516">
        <f t="shared" si="2752"/>
        <v>1.2110000000000001</v>
      </c>
      <c r="K6516">
        <f t="shared" si="2753"/>
        <v>1.2290000000000001</v>
      </c>
      <c r="L6516">
        <f t="shared" si="2754"/>
        <v>1.2200000000000002</v>
      </c>
      <c r="M6516">
        <f t="shared" si="2755"/>
        <v>9.000000000000008E-3</v>
      </c>
      <c r="N6516">
        <f t="shared" si="2733"/>
        <v>1.8000000000000016E-2</v>
      </c>
      <c r="O6516">
        <f t="shared" si="2756"/>
        <v>1.2190000000000001</v>
      </c>
      <c r="P6516">
        <f t="shared" si="2757"/>
        <v>-0.11111111111112344</v>
      </c>
      <c r="Q6516" t="str">
        <f t="shared" si="2734"/>
        <v>0.66% | 0.82%</v>
      </c>
      <c r="R6516" t="str">
        <f t="shared" si="2758"/>
        <v>BULLISH</v>
      </c>
      <c r="S6516">
        <f t="shared" si="2759"/>
        <v>1</v>
      </c>
    </row>
    <row r="6517" spans="1:19" hidden="1" x14ac:dyDescent="0.25">
      <c r="A6517" s="5" t="str">
        <f t="shared" si="2747"/>
        <v>44193USD/JPY</v>
      </c>
      <c r="B6517" s="6" t="s">
        <v>20</v>
      </c>
      <c r="C6517" s="6">
        <v>102.97</v>
      </c>
      <c r="D6517" s="6">
        <v>104.14</v>
      </c>
      <c r="E6517" s="6">
        <v>103.64</v>
      </c>
      <c r="F6517" t="str">
        <f t="shared" si="2748"/>
        <v>MON</v>
      </c>
      <c r="G6517" s="1">
        <f t="shared" si="2749"/>
        <v>44193</v>
      </c>
      <c r="H6517" s="2">
        <f t="shared" ca="1" si="2750"/>
        <v>60</v>
      </c>
      <c r="I6517" t="str">
        <f t="shared" si="2751"/>
        <v>USD/JPY</v>
      </c>
      <c r="J6517">
        <f t="shared" si="2752"/>
        <v>102.97</v>
      </c>
      <c r="K6517">
        <f t="shared" si="2753"/>
        <v>104.14</v>
      </c>
      <c r="L6517">
        <f t="shared" si="2754"/>
        <v>103.55500000000001</v>
      </c>
      <c r="M6517">
        <f t="shared" si="2755"/>
        <v>0.58500000000000085</v>
      </c>
      <c r="N6517">
        <f t="shared" si="2733"/>
        <v>1.1700000000000017</v>
      </c>
      <c r="O6517">
        <f t="shared" si="2756"/>
        <v>103.64</v>
      </c>
      <c r="P6517">
        <f t="shared" si="2757"/>
        <v>0.1452991452991344</v>
      </c>
      <c r="Q6517" t="str">
        <f t="shared" si="2734"/>
        <v>0.65% | 0.48%</v>
      </c>
      <c r="R6517" t="str">
        <f t="shared" si="2758"/>
        <v>BEARISH</v>
      </c>
      <c r="S6517">
        <f t="shared" si="2759"/>
        <v>-1</v>
      </c>
    </row>
    <row r="6518" spans="1:19" hidden="1" x14ac:dyDescent="0.25">
      <c r="A6518" s="5" t="str">
        <f t="shared" si="2747"/>
        <v>44193GBP/USD</v>
      </c>
      <c r="B6518" s="6" t="s">
        <v>102</v>
      </c>
      <c r="C6518" s="6">
        <v>1.3280000000000001</v>
      </c>
      <c r="D6518" s="6">
        <v>1.363</v>
      </c>
      <c r="E6518" s="6">
        <v>1.3540000000000001</v>
      </c>
      <c r="F6518" t="str">
        <f t="shared" si="2748"/>
        <v>MON</v>
      </c>
      <c r="G6518" s="1">
        <f t="shared" si="2749"/>
        <v>44193</v>
      </c>
      <c r="H6518" s="2">
        <f t="shared" ca="1" si="2750"/>
        <v>60</v>
      </c>
      <c r="I6518" t="str">
        <f t="shared" si="2751"/>
        <v>GBP/USD</v>
      </c>
      <c r="J6518">
        <f t="shared" si="2752"/>
        <v>1.3280000000000001</v>
      </c>
      <c r="K6518">
        <f t="shared" si="2753"/>
        <v>1.363</v>
      </c>
      <c r="L6518">
        <f t="shared" si="2754"/>
        <v>1.3454999999999999</v>
      </c>
      <c r="M6518">
        <f t="shared" si="2755"/>
        <v>1.749999999999996E-2</v>
      </c>
      <c r="N6518">
        <f t="shared" si="2733"/>
        <v>3.499999999999992E-2</v>
      </c>
      <c r="O6518">
        <f t="shared" si="2756"/>
        <v>1.3540000000000001</v>
      </c>
      <c r="P6518">
        <f t="shared" si="2757"/>
        <v>0.48571428571429676</v>
      </c>
      <c r="Q6518" t="str">
        <f t="shared" si="2734"/>
        <v>1.92% | 0.66%</v>
      </c>
      <c r="R6518" t="str">
        <f t="shared" si="2758"/>
        <v>BULLISH</v>
      </c>
      <c r="S6518">
        <f t="shared" si="2759"/>
        <v>1</v>
      </c>
    </row>
    <row r="6519" spans="1:19" hidden="1" x14ac:dyDescent="0.25">
      <c r="A6519" s="5" t="str">
        <f t="shared" si="2747"/>
        <v>44193CAD/USD</v>
      </c>
      <c r="B6519" s="6" t="s">
        <v>244</v>
      </c>
      <c r="C6519" s="6">
        <v>0.77</v>
      </c>
      <c r="D6519" s="6">
        <v>0.79</v>
      </c>
      <c r="E6519" s="6">
        <v>0.77</v>
      </c>
      <c r="F6519" t="str">
        <f t="shared" si="2748"/>
        <v>MON</v>
      </c>
      <c r="G6519" s="1">
        <f t="shared" si="2749"/>
        <v>44193</v>
      </c>
      <c r="H6519" s="2">
        <f t="shared" ca="1" si="2750"/>
        <v>60</v>
      </c>
      <c r="I6519" t="str">
        <f t="shared" si="2751"/>
        <v>CAD/USD</v>
      </c>
      <c r="J6519">
        <f t="shared" si="2752"/>
        <v>0.77</v>
      </c>
      <c r="K6519">
        <f t="shared" si="2753"/>
        <v>0.79</v>
      </c>
      <c r="L6519">
        <f t="shared" si="2754"/>
        <v>0.78</v>
      </c>
      <c r="M6519">
        <f t="shared" si="2755"/>
        <v>1.0000000000000009E-2</v>
      </c>
      <c r="N6519">
        <f t="shared" si="2733"/>
        <v>2.0000000000000018E-2</v>
      </c>
      <c r="O6519">
        <f t="shared" si="2756"/>
        <v>0.77</v>
      </c>
      <c r="P6519">
        <f t="shared" si="2757"/>
        <v>-1</v>
      </c>
      <c r="Q6519" t="str">
        <f t="shared" si="2734"/>
        <v>0% | 2.6%</v>
      </c>
      <c r="R6519" t="str">
        <f t="shared" si="2758"/>
        <v>BULLISH</v>
      </c>
      <c r="S6519">
        <f t="shared" si="2759"/>
        <v>1</v>
      </c>
    </row>
    <row r="6520" spans="1:19" hidden="1" x14ac:dyDescent="0.25">
      <c r="A6520" s="5" t="str">
        <f t="shared" si="2747"/>
        <v>44193USD/CHF</v>
      </c>
      <c r="B6520" s="6" t="s">
        <v>76</v>
      </c>
      <c r="C6520" s="6">
        <v>0.87</v>
      </c>
      <c r="D6520" s="6">
        <v>0.89</v>
      </c>
      <c r="E6520" s="6">
        <v>0.89</v>
      </c>
      <c r="F6520" t="str">
        <f t="shared" si="2748"/>
        <v>MON</v>
      </c>
      <c r="G6520" s="1">
        <f t="shared" si="2749"/>
        <v>44193</v>
      </c>
      <c r="H6520" s="2">
        <f t="shared" ca="1" si="2750"/>
        <v>60</v>
      </c>
      <c r="I6520" t="str">
        <f t="shared" si="2751"/>
        <v>USD/CHF</v>
      </c>
      <c r="J6520">
        <f t="shared" si="2752"/>
        <v>0.87</v>
      </c>
      <c r="K6520">
        <f t="shared" si="2753"/>
        <v>0.89</v>
      </c>
      <c r="L6520">
        <f t="shared" si="2754"/>
        <v>0.88</v>
      </c>
      <c r="M6520">
        <f t="shared" si="2755"/>
        <v>1.0000000000000009E-2</v>
      </c>
      <c r="N6520">
        <f t="shared" si="2733"/>
        <v>2.0000000000000018E-2</v>
      </c>
      <c r="O6520">
        <f t="shared" si="2756"/>
        <v>0.89</v>
      </c>
      <c r="P6520">
        <f t="shared" si="2757"/>
        <v>1</v>
      </c>
      <c r="Q6520" t="str">
        <f t="shared" si="2734"/>
        <v>2.25% | 0%</v>
      </c>
      <c r="R6520" t="str">
        <f t="shared" si="2758"/>
        <v>BEARISH</v>
      </c>
      <c r="S6520">
        <f t="shared" si="2759"/>
        <v>-1</v>
      </c>
    </row>
    <row r="6521" spans="1:19" hidden="1" x14ac:dyDescent="0.25">
      <c r="A6521" s="5" t="str">
        <f t="shared" si="2747"/>
        <v>44193WTIC</v>
      </c>
      <c r="B6521" s="6" t="s">
        <v>158</v>
      </c>
      <c r="C6521" s="6">
        <v>46.51</v>
      </c>
      <c r="D6521" s="6">
        <v>49.39</v>
      </c>
      <c r="E6521" s="6">
        <v>48.23</v>
      </c>
      <c r="F6521" t="str">
        <f t="shared" si="2748"/>
        <v>MON</v>
      </c>
      <c r="G6521" s="1">
        <f t="shared" si="2749"/>
        <v>44193</v>
      </c>
      <c r="H6521" s="2">
        <f t="shared" ca="1" si="2750"/>
        <v>60</v>
      </c>
      <c r="I6521" t="str">
        <f t="shared" si="2751"/>
        <v>WTIC</v>
      </c>
      <c r="J6521">
        <f t="shared" si="2752"/>
        <v>46.51</v>
      </c>
      <c r="K6521">
        <f t="shared" si="2753"/>
        <v>49.39</v>
      </c>
      <c r="L6521">
        <f t="shared" si="2754"/>
        <v>47.95</v>
      </c>
      <c r="M6521">
        <f t="shared" si="2755"/>
        <v>1.4400000000000013</v>
      </c>
      <c r="N6521">
        <f t="shared" si="2733"/>
        <v>2.8800000000000026</v>
      </c>
      <c r="O6521">
        <f t="shared" si="2756"/>
        <v>48.23</v>
      </c>
      <c r="P6521">
        <f t="shared" si="2757"/>
        <v>0.19444444444444012</v>
      </c>
      <c r="Q6521" t="str">
        <f t="shared" si="2734"/>
        <v>3.57% | 2.41%</v>
      </c>
      <c r="R6521" t="str">
        <f t="shared" si="2758"/>
        <v>BULLISH</v>
      </c>
      <c r="S6521">
        <f t="shared" si="2759"/>
        <v>1</v>
      </c>
    </row>
    <row r="6522" spans="1:19" hidden="1" x14ac:dyDescent="0.25">
      <c r="A6522" s="5" t="str">
        <f t="shared" si="2747"/>
        <v>44193NATGAS</v>
      </c>
      <c r="B6522" s="6" t="s">
        <v>24</v>
      </c>
      <c r="C6522" s="6">
        <v>2.2599999999999998</v>
      </c>
      <c r="D6522" s="6">
        <v>2.69</v>
      </c>
      <c r="E6522" s="6">
        <v>2.5099999999999998</v>
      </c>
      <c r="F6522" t="str">
        <f t="shared" si="2748"/>
        <v>MON</v>
      </c>
      <c r="G6522" s="1">
        <f t="shared" si="2749"/>
        <v>44193</v>
      </c>
      <c r="H6522" s="2">
        <f t="shared" ca="1" si="2750"/>
        <v>60</v>
      </c>
      <c r="I6522" t="str">
        <f t="shared" si="2751"/>
        <v>NATGAS</v>
      </c>
      <c r="J6522">
        <f t="shared" si="2752"/>
        <v>2.2599999999999998</v>
      </c>
      <c r="K6522">
        <f t="shared" si="2753"/>
        <v>2.69</v>
      </c>
      <c r="L6522">
        <f t="shared" si="2754"/>
        <v>2.4749999999999996</v>
      </c>
      <c r="M6522">
        <f t="shared" si="2755"/>
        <v>0.21500000000000008</v>
      </c>
      <c r="N6522">
        <f t="shared" si="2733"/>
        <v>0.43000000000000016</v>
      </c>
      <c r="O6522">
        <v>2.2799999999999998</v>
      </c>
      <c r="P6522">
        <f t="shared" si="2757"/>
        <v>-0.90697674418604546</v>
      </c>
      <c r="Q6522" t="str">
        <f t="shared" si="2734"/>
        <v>0.88% | 17.98%</v>
      </c>
      <c r="R6522" t="str">
        <f t="shared" si="2758"/>
        <v>BEARISH</v>
      </c>
      <c r="S6522">
        <f t="shared" si="2759"/>
        <v>-1</v>
      </c>
    </row>
    <row r="6523" spans="1:19" hidden="1" x14ac:dyDescent="0.25">
      <c r="A6523" s="5" t="str">
        <f t="shared" si="2747"/>
        <v>44193GOLD</v>
      </c>
      <c r="B6523" s="6" t="s">
        <v>249</v>
      </c>
      <c r="C6523" s="6">
        <v>1825</v>
      </c>
      <c r="D6523" s="6">
        <v>1906</v>
      </c>
      <c r="E6523" s="6">
        <v>1883</v>
      </c>
      <c r="F6523" t="str">
        <f t="shared" si="2748"/>
        <v>MON</v>
      </c>
      <c r="G6523" s="1">
        <f t="shared" si="2749"/>
        <v>44193</v>
      </c>
      <c r="H6523" s="2">
        <f t="shared" ca="1" si="2750"/>
        <v>60</v>
      </c>
      <c r="I6523" t="str">
        <f t="shared" si="2751"/>
        <v>GOLD</v>
      </c>
      <c r="J6523">
        <f t="shared" si="2752"/>
        <v>1825</v>
      </c>
      <c r="K6523">
        <f t="shared" si="2753"/>
        <v>1906</v>
      </c>
      <c r="L6523">
        <f t="shared" si="2754"/>
        <v>1865.5</v>
      </c>
      <c r="M6523">
        <f t="shared" si="2755"/>
        <v>40.5</v>
      </c>
      <c r="N6523">
        <f t="shared" si="2733"/>
        <v>81</v>
      </c>
      <c r="O6523">
        <f t="shared" si="2756"/>
        <v>1883</v>
      </c>
      <c r="P6523">
        <f t="shared" si="2757"/>
        <v>0.43209876543209874</v>
      </c>
      <c r="Q6523" t="str">
        <f t="shared" si="2734"/>
        <v>3.08% | 1.22%</v>
      </c>
      <c r="R6523" t="str">
        <f t="shared" si="2758"/>
        <v>NEUTRAL</v>
      </c>
      <c r="S6523">
        <f t="shared" si="2759"/>
        <v>0</v>
      </c>
    </row>
    <row r="6524" spans="1:19" hidden="1" x14ac:dyDescent="0.25">
      <c r="A6524" s="5" t="str">
        <f t="shared" si="2747"/>
        <v>44193COPPER</v>
      </c>
      <c r="B6524" s="6" t="s">
        <v>100</v>
      </c>
      <c r="C6524" s="6">
        <v>3.49</v>
      </c>
      <c r="D6524" s="6">
        <v>3.65</v>
      </c>
      <c r="E6524" s="6">
        <v>3.56</v>
      </c>
      <c r="F6524" t="str">
        <f t="shared" si="2748"/>
        <v>MON</v>
      </c>
      <c r="G6524" s="1">
        <f t="shared" si="2749"/>
        <v>44193</v>
      </c>
      <c r="H6524" s="2">
        <f t="shared" ca="1" si="2750"/>
        <v>60</v>
      </c>
      <c r="I6524" t="str">
        <f t="shared" si="2751"/>
        <v>COPPER</v>
      </c>
      <c r="J6524">
        <f t="shared" si="2752"/>
        <v>3.49</v>
      </c>
      <c r="K6524">
        <f t="shared" si="2753"/>
        <v>3.65</v>
      </c>
      <c r="L6524">
        <f t="shared" si="2754"/>
        <v>3.5700000000000003</v>
      </c>
      <c r="M6524">
        <f t="shared" si="2755"/>
        <v>7.9999999999999849E-2</v>
      </c>
      <c r="N6524">
        <f t="shared" si="2733"/>
        <v>0.1599999999999997</v>
      </c>
      <c r="O6524">
        <f t="shared" si="2756"/>
        <v>3.56</v>
      </c>
      <c r="P6524">
        <f t="shared" si="2757"/>
        <v>-0.12500000000000314</v>
      </c>
      <c r="Q6524" t="str">
        <f t="shared" si="2734"/>
        <v>1.97% | 2.53%</v>
      </c>
      <c r="R6524" t="str">
        <f t="shared" si="2758"/>
        <v>BULLISH</v>
      </c>
      <c r="S6524">
        <f t="shared" si="2759"/>
        <v>1</v>
      </c>
    </row>
    <row r="6525" spans="1:19" hidden="1" x14ac:dyDescent="0.25">
      <c r="A6525" s="5" t="str">
        <f t="shared" si="2747"/>
        <v>44193MSFT</v>
      </c>
      <c r="B6525" s="6" t="s">
        <v>27</v>
      </c>
      <c r="C6525" s="6">
        <v>216</v>
      </c>
      <c r="D6525" s="6">
        <v>227</v>
      </c>
      <c r="E6525" s="6">
        <v>222</v>
      </c>
      <c r="F6525" t="str">
        <f t="shared" si="2748"/>
        <v>MON</v>
      </c>
      <c r="G6525" s="1">
        <f t="shared" si="2749"/>
        <v>44193</v>
      </c>
      <c r="H6525" s="2">
        <f t="shared" ca="1" si="2750"/>
        <v>60</v>
      </c>
      <c r="I6525" t="str">
        <f t="shared" si="2751"/>
        <v>MSFT</v>
      </c>
      <c r="J6525">
        <f t="shared" si="2752"/>
        <v>216</v>
      </c>
      <c r="K6525">
        <f t="shared" si="2753"/>
        <v>227</v>
      </c>
      <c r="L6525">
        <f t="shared" si="2754"/>
        <v>221.5</v>
      </c>
      <c r="M6525">
        <f t="shared" si="2755"/>
        <v>5.5</v>
      </c>
      <c r="N6525">
        <f t="shared" si="2733"/>
        <v>11</v>
      </c>
      <c r="O6525">
        <f t="shared" si="2756"/>
        <v>222</v>
      </c>
      <c r="P6525">
        <f t="shared" si="2757"/>
        <v>9.0909090909090912E-2</v>
      </c>
      <c r="Q6525" t="str">
        <f t="shared" si="2734"/>
        <v>2.7% | 2.25%</v>
      </c>
      <c r="R6525" t="str">
        <f t="shared" si="2758"/>
        <v>BULLISH</v>
      </c>
      <c r="S6525">
        <f t="shared" si="2759"/>
        <v>1</v>
      </c>
    </row>
    <row r="6526" spans="1:19" hidden="1" x14ac:dyDescent="0.25">
      <c r="A6526" s="5" t="str">
        <f t="shared" si="2747"/>
        <v>44193AAPL</v>
      </c>
      <c r="B6526" s="6" t="s">
        <v>28</v>
      </c>
      <c r="C6526" s="6">
        <v>126</v>
      </c>
      <c r="D6526" s="6">
        <v>135</v>
      </c>
      <c r="E6526" s="6">
        <v>131</v>
      </c>
      <c r="F6526" t="str">
        <f t="shared" si="2748"/>
        <v>MON</v>
      </c>
      <c r="G6526" s="1">
        <f t="shared" si="2749"/>
        <v>44193</v>
      </c>
      <c r="H6526" s="2">
        <f t="shared" ca="1" si="2750"/>
        <v>60</v>
      </c>
      <c r="I6526" t="str">
        <f t="shared" si="2751"/>
        <v>AAPL</v>
      </c>
      <c r="J6526">
        <f t="shared" si="2752"/>
        <v>126</v>
      </c>
      <c r="K6526">
        <f t="shared" si="2753"/>
        <v>135</v>
      </c>
      <c r="L6526">
        <f t="shared" si="2754"/>
        <v>130.5</v>
      </c>
      <c r="M6526">
        <f t="shared" si="2755"/>
        <v>4.5</v>
      </c>
      <c r="N6526">
        <f t="shared" si="2733"/>
        <v>9</v>
      </c>
      <c r="O6526">
        <f t="shared" si="2756"/>
        <v>131</v>
      </c>
      <c r="P6526">
        <f t="shared" si="2757"/>
        <v>0.1111111111111111</v>
      </c>
      <c r="Q6526" t="str">
        <f t="shared" si="2734"/>
        <v>3.82% | 3.05%</v>
      </c>
      <c r="R6526" t="str">
        <f t="shared" si="2758"/>
        <v>BULLISH</v>
      </c>
      <c r="S6526">
        <f t="shared" si="2759"/>
        <v>1</v>
      </c>
    </row>
    <row r="6527" spans="1:19" hidden="1" x14ac:dyDescent="0.25">
      <c r="A6527" s="5" t="str">
        <f t="shared" si="2747"/>
        <v>44193AMZN</v>
      </c>
      <c r="B6527" s="6" t="s">
        <v>29</v>
      </c>
      <c r="C6527" s="6">
        <v>3127</v>
      </c>
      <c r="D6527" s="6">
        <v>3272</v>
      </c>
      <c r="E6527" s="6">
        <v>3172</v>
      </c>
      <c r="F6527" t="str">
        <f t="shared" si="2748"/>
        <v>MON</v>
      </c>
      <c r="G6527" s="1">
        <f t="shared" si="2749"/>
        <v>44193</v>
      </c>
      <c r="H6527" s="2">
        <f t="shared" ca="1" si="2750"/>
        <v>60</v>
      </c>
      <c r="I6527" t="str">
        <f t="shared" si="2751"/>
        <v>AMZN</v>
      </c>
      <c r="J6527">
        <f t="shared" si="2752"/>
        <v>3127</v>
      </c>
      <c r="K6527">
        <f t="shared" si="2753"/>
        <v>3272</v>
      </c>
      <c r="L6527">
        <f t="shared" si="2754"/>
        <v>3199.5</v>
      </c>
      <c r="M6527">
        <f t="shared" si="2755"/>
        <v>72.5</v>
      </c>
      <c r="N6527">
        <f t="shared" si="2733"/>
        <v>145</v>
      </c>
      <c r="O6527">
        <f t="shared" si="2756"/>
        <v>3172</v>
      </c>
      <c r="P6527">
        <f t="shared" si="2757"/>
        <v>-0.37931034482758619</v>
      </c>
      <c r="Q6527" t="str">
        <f t="shared" si="2734"/>
        <v>1.42% | 3.15%</v>
      </c>
      <c r="R6527" t="str">
        <f t="shared" si="2758"/>
        <v>BULLISH</v>
      </c>
      <c r="S6527">
        <f t="shared" si="2759"/>
        <v>1</v>
      </c>
    </row>
    <row r="6528" spans="1:19" hidden="1" x14ac:dyDescent="0.25">
      <c r="A6528" s="5" t="str">
        <f t="shared" si="2747"/>
        <v>44193FB</v>
      </c>
      <c r="B6528" s="6" t="s">
        <v>157</v>
      </c>
      <c r="C6528" s="6">
        <v>261</v>
      </c>
      <c r="D6528" s="6">
        <v>275</v>
      </c>
      <c r="E6528" s="6">
        <v>267</v>
      </c>
      <c r="F6528" t="str">
        <f t="shared" si="2748"/>
        <v>MON</v>
      </c>
      <c r="G6528" s="1">
        <f t="shared" si="2749"/>
        <v>44193</v>
      </c>
      <c r="H6528" s="2">
        <f t="shared" ca="1" si="2750"/>
        <v>60</v>
      </c>
      <c r="I6528" t="str">
        <f t="shared" si="2751"/>
        <v>FB</v>
      </c>
      <c r="J6528">
        <f t="shared" si="2752"/>
        <v>261</v>
      </c>
      <c r="K6528">
        <f t="shared" si="2753"/>
        <v>275</v>
      </c>
      <c r="L6528">
        <f t="shared" si="2754"/>
        <v>268</v>
      </c>
      <c r="M6528">
        <f t="shared" si="2755"/>
        <v>7</v>
      </c>
      <c r="N6528">
        <f t="shared" si="2733"/>
        <v>14</v>
      </c>
      <c r="O6528">
        <f t="shared" si="2756"/>
        <v>267</v>
      </c>
      <c r="P6528">
        <f t="shared" si="2757"/>
        <v>-0.14285714285714285</v>
      </c>
      <c r="Q6528" t="str">
        <f t="shared" si="2734"/>
        <v>2.25% | 3%</v>
      </c>
      <c r="R6528" t="str">
        <f t="shared" si="2758"/>
        <v>NEUTRAL</v>
      </c>
      <c r="S6528">
        <f t="shared" si="2759"/>
        <v>0</v>
      </c>
    </row>
    <row r="6529" spans="1:19" hidden="1" x14ac:dyDescent="0.25">
      <c r="A6529" s="5" t="str">
        <f t="shared" si="2747"/>
        <v>44193GOOGL</v>
      </c>
      <c r="B6529" s="6" t="s">
        <v>31</v>
      </c>
      <c r="C6529" s="6">
        <v>1705</v>
      </c>
      <c r="D6529" s="6">
        <v>1776</v>
      </c>
      <c r="E6529" s="6">
        <v>1734</v>
      </c>
      <c r="F6529" t="str">
        <f t="shared" si="2748"/>
        <v>MON</v>
      </c>
      <c r="G6529" s="1">
        <f t="shared" si="2749"/>
        <v>44193</v>
      </c>
      <c r="H6529" s="2">
        <f t="shared" ca="1" si="2750"/>
        <v>60</v>
      </c>
      <c r="I6529" t="str">
        <f t="shared" si="2751"/>
        <v>GOOGL</v>
      </c>
      <c r="J6529">
        <f t="shared" si="2752"/>
        <v>1705</v>
      </c>
      <c r="K6529">
        <f t="shared" si="2753"/>
        <v>1776</v>
      </c>
      <c r="L6529">
        <f t="shared" si="2754"/>
        <v>1740.5</v>
      </c>
      <c r="M6529">
        <f t="shared" si="2755"/>
        <v>35.5</v>
      </c>
      <c r="N6529">
        <f t="shared" si="2733"/>
        <v>71</v>
      </c>
      <c r="O6529">
        <f t="shared" si="2756"/>
        <v>1734</v>
      </c>
      <c r="P6529">
        <f t="shared" si="2757"/>
        <v>-0.18309859154929578</v>
      </c>
      <c r="Q6529" t="str">
        <f t="shared" si="2734"/>
        <v>1.67% | 2.42%</v>
      </c>
      <c r="R6529" t="str">
        <f t="shared" si="2758"/>
        <v>BULLISH</v>
      </c>
      <c r="S6529">
        <f t="shared" si="2759"/>
        <v>1</v>
      </c>
    </row>
    <row r="6530" spans="1:19" hidden="1" x14ac:dyDescent="0.25">
      <c r="A6530" s="5" t="str">
        <f t="shared" si="2747"/>
        <v>44193NFLX</v>
      </c>
      <c r="B6530" s="6" t="s">
        <v>32</v>
      </c>
      <c r="C6530" s="6">
        <v>503</v>
      </c>
      <c r="D6530" s="6">
        <v>541</v>
      </c>
      <c r="E6530" s="6">
        <v>513</v>
      </c>
      <c r="F6530" t="str">
        <f t="shared" si="2748"/>
        <v>MON</v>
      </c>
      <c r="G6530" s="1">
        <f t="shared" si="2749"/>
        <v>44193</v>
      </c>
      <c r="H6530" s="2">
        <f t="shared" ca="1" si="2750"/>
        <v>60</v>
      </c>
      <c r="I6530" t="str">
        <f t="shared" si="2751"/>
        <v>NFLX</v>
      </c>
      <c r="J6530">
        <f t="shared" si="2752"/>
        <v>503</v>
      </c>
      <c r="K6530">
        <f t="shared" si="2753"/>
        <v>541</v>
      </c>
      <c r="L6530">
        <f t="shared" si="2754"/>
        <v>522</v>
      </c>
      <c r="M6530">
        <f t="shared" si="2755"/>
        <v>19</v>
      </c>
      <c r="N6530">
        <f t="shared" si="2733"/>
        <v>38</v>
      </c>
      <c r="O6530">
        <f t="shared" si="2756"/>
        <v>513</v>
      </c>
      <c r="P6530">
        <f t="shared" si="2757"/>
        <v>-0.47368421052631576</v>
      </c>
      <c r="Q6530" t="str">
        <f t="shared" si="2734"/>
        <v>1.95% | 5.46%</v>
      </c>
      <c r="R6530" t="str">
        <f t="shared" si="2758"/>
        <v>BULLISH</v>
      </c>
      <c r="S6530">
        <f t="shared" si="2759"/>
        <v>1</v>
      </c>
    </row>
    <row r="6531" spans="1:19" x14ac:dyDescent="0.25">
      <c r="A6531" s="5" t="str">
        <f t="shared" si="2747"/>
        <v>44193TSLA</v>
      </c>
      <c r="B6531" s="6" t="s">
        <v>33</v>
      </c>
      <c r="C6531" s="6">
        <v>608</v>
      </c>
      <c r="D6531" s="6">
        <v>692</v>
      </c>
      <c r="E6531" s="6">
        <v>661</v>
      </c>
      <c r="F6531" t="str">
        <f t="shared" si="2748"/>
        <v>MON</v>
      </c>
      <c r="G6531" s="1">
        <f t="shared" si="2749"/>
        <v>44193</v>
      </c>
      <c r="H6531" s="2">
        <f t="shared" ca="1" si="2750"/>
        <v>60</v>
      </c>
      <c r="I6531" t="str">
        <f t="shared" si="2751"/>
        <v>TSLA</v>
      </c>
      <c r="J6531">
        <f t="shared" si="2752"/>
        <v>608</v>
      </c>
      <c r="K6531">
        <f t="shared" si="2753"/>
        <v>692</v>
      </c>
      <c r="L6531">
        <f t="shared" si="2754"/>
        <v>650</v>
      </c>
      <c r="M6531">
        <f t="shared" si="2755"/>
        <v>42</v>
      </c>
      <c r="N6531">
        <f t="shared" ref="N6531:N6594" si="2760">ABS(K6531-J6531)</f>
        <v>84</v>
      </c>
      <c r="O6531">
        <f t="shared" si="2756"/>
        <v>661</v>
      </c>
      <c r="P6531">
        <f t="shared" si="2757"/>
        <v>0.26190476190476192</v>
      </c>
      <c r="Q6531" t="str">
        <f t="shared" ref="Q6531:Q6594" si="2761">ROUND(ABS(100*(O6531-J6531)/O6531),2)&amp;"% | "&amp;ROUND(ABS(100*(K6531-O6531)/O6531),2)&amp;"%"</f>
        <v>8.02% | 4.69%</v>
      </c>
      <c r="R6531" t="str">
        <f t="shared" si="2758"/>
        <v>BULLISH</v>
      </c>
      <c r="S6531">
        <f t="shared" si="2759"/>
        <v>1</v>
      </c>
    </row>
    <row r="6532" spans="1:19" hidden="1" x14ac:dyDescent="0.25">
      <c r="A6532" s="5" t="str">
        <f t="shared" si="2747"/>
        <v>44193NYXBT</v>
      </c>
      <c r="B6532" s="6" t="s">
        <v>60</v>
      </c>
      <c r="C6532" s="6">
        <v>22042</v>
      </c>
      <c r="D6532" s="6">
        <v>28428</v>
      </c>
      <c r="E6532" s="6">
        <v>23213</v>
      </c>
      <c r="F6532" t="str">
        <f t="shared" si="2748"/>
        <v>MON</v>
      </c>
      <c r="G6532" s="1">
        <f t="shared" si="2749"/>
        <v>44193</v>
      </c>
      <c r="H6532" s="2">
        <f t="shared" ca="1" si="2750"/>
        <v>60</v>
      </c>
      <c r="I6532" t="str">
        <f t="shared" si="2751"/>
        <v>NYXBT</v>
      </c>
      <c r="J6532">
        <f t="shared" si="2752"/>
        <v>22042</v>
      </c>
      <c r="K6532">
        <f t="shared" si="2753"/>
        <v>28428</v>
      </c>
      <c r="L6532">
        <f t="shared" si="2754"/>
        <v>25235</v>
      </c>
      <c r="M6532">
        <f t="shared" si="2755"/>
        <v>3193</v>
      </c>
      <c r="N6532">
        <f t="shared" si="2760"/>
        <v>6386</v>
      </c>
      <c r="O6532">
        <f t="shared" si="2756"/>
        <v>23213</v>
      </c>
      <c r="P6532">
        <f t="shared" si="2757"/>
        <v>-0.63326025681177578</v>
      </c>
      <c r="Q6532" t="str">
        <f t="shared" si="2761"/>
        <v>5.04% | 22.47%</v>
      </c>
      <c r="R6532" t="str">
        <f t="shared" si="2758"/>
        <v>BULLISH</v>
      </c>
      <c r="S6532">
        <f t="shared" si="2759"/>
        <v>1</v>
      </c>
    </row>
    <row r="6533" spans="1:19" hidden="1" x14ac:dyDescent="0.25">
      <c r="A6533" s="5" t="str">
        <f t="shared" si="2747"/>
        <v>44194UST10Y</v>
      </c>
      <c r="B6533" s="6" t="s">
        <v>257</v>
      </c>
      <c r="C6533" s="6">
        <v>0.98</v>
      </c>
      <c r="D6533" s="6">
        <v>0.91</v>
      </c>
      <c r="E6533" s="6">
        <v>0.94</v>
      </c>
      <c r="F6533" t="str">
        <f t="shared" si="2748"/>
        <v>TUE</v>
      </c>
      <c r="G6533" s="3">
        <f>DATE(2020,12,29)</f>
        <v>44194</v>
      </c>
      <c r="H6533" s="2">
        <f t="shared" ca="1" si="2750"/>
        <v>59</v>
      </c>
      <c r="I6533" t="str">
        <f t="shared" si="2751"/>
        <v>UST10Y</v>
      </c>
      <c r="J6533">
        <f t="shared" si="2752"/>
        <v>0.98</v>
      </c>
      <c r="K6533">
        <f t="shared" si="2753"/>
        <v>0.91</v>
      </c>
      <c r="L6533">
        <f t="shared" si="2754"/>
        <v>0.94500000000000006</v>
      </c>
      <c r="M6533">
        <f t="shared" si="2755"/>
        <v>3.4999999999999976E-2</v>
      </c>
      <c r="N6533">
        <f t="shared" si="2760"/>
        <v>6.9999999999999951E-2</v>
      </c>
      <c r="O6533">
        <f t="shared" si="2756"/>
        <v>0.94</v>
      </c>
      <c r="P6533">
        <f t="shared" si="2757"/>
        <v>-0.14285714285714626</v>
      </c>
      <c r="Q6533" t="str">
        <f t="shared" si="2761"/>
        <v>4.26% | 3.19%</v>
      </c>
      <c r="R6533" t="str">
        <f t="shared" si="2758"/>
        <v>BULLISH</v>
      </c>
      <c r="S6533">
        <f t="shared" si="2759"/>
        <v>1</v>
      </c>
    </row>
    <row r="6534" spans="1:19" hidden="1" x14ac:dyDescent="0.25">
      <c r="A6534" s="5" t="str">
        <f t="shared" si="2747"/>
        <v>44194UST2Y</v>
      </c>
      <c r="B6534" s="6" t="s">
        <v>253</v>
      </c>
      <c r="C6534" s="6">
        <v>0.16</v>
      </c>
      <c r="D6534" s="6">
        <v>0.11</v>
      </c>
      <c r="E6534" s="6">
        <v>0.13</v>
      </c>
      <c r="F6534" t="str">
        <f t="shared" ref="F6534:F6565" si="2762">UPPER(TEXT(G6534,"ddd"))</f>
        <v>TUE</v>
      </c>
      <c r="G6534" s="3">
        <f t="shared" ref="G6534:G6564" si="2763">DATE(2020,12,29)</f>
        <v>44194</v>
      </c>
      <c r="H6534" s="2">
        <f t="shared" ref="H6534:H6565" ca="1" si="2764">TODAY()-G6534</f>
        <v>59</v>
      </c>
      <c r="I6534" t="str">
        <f t="shared" ref="I6534:I6565" si="2765">TRIM(LEFT(B6534,FIND(" ",B6534,1)))</f>
        <v>UST2Y</v>
      </c>
      <c r="J6534">
        <f t="shared" ref="J6534:J6565" si="2766">C6534</f>
        <v>0.16</v>
      </c>
      <c r="K6534">
        <f t="shared" ref="K6534:K6565" si="2767">D6534</f>
        <v>0.11</v>
      </c>
      <c r="L6534">
        <f t="shared" ref="L6534:L6565" si="2768">AVERAGE(J6534:K6534)</f>
        <v>0.13500000000000001</v>
      </c>
      <c r="M6534">
        <f t="shared" ref="M6534:M6565" si="2769">_xlfn.STDEV.P(J6534:K6534)</f>
        <v>2.4999999999999942E-2</v>
      </c>
      <c r="N6534">
        <f t="shared" si="2760"/>
        <v>0.05</v>
      </c>
      <c r="O6534">
        <f t="shared" ref="O6534:O6565" si="2770">E6534</f>
        <v>0.13</v>
      </c>
      <c r="P6534">
        <f t="shared" ref="P6534:P6565" si="2771">(O6534-L6534)/M6534</f>
        <v>-0.20000000000000065</v>
      </c>
      <c r="Q6534" t="str">
        <f t="shared" si="2761"/>
        <v>23.08% | 15.38%</v>
      </c>
      <c r="R6534" t="str">
        <f t="shared" ref="R6534:R6565" si="2772">MID(B6534,FIND("(",B6534,1)+1,FIND(")",B6534,1)-FIND("(",B6534,1)-1)</f>
        <v>NEUTRAL</v>
      </c>
      <c r="S6534">
        <f t="shared" ref="S6534:S6565" si="2773">IF(R6534="BEARISH",-1,IF(R6534="NEUTRAL",0,IF(R6534="BULLISH",1,99)))</f>
        <v>0</v>
      </c>
    </row>
    <row r="6535" spans="1:19" hidden="1" x14ac:dyDescent="0.25">
      <c r="A6535" s="5" t="str">
        <f t="shared" si="2747"/>
        <v>44194SPX</v>
      </c>
      <c r="B6535" s="6" t="s">
        <v>93</v>
      </c>
      <c r="C6535" s="6">
        <v>3670</v>
      </c>
      <c r="D6535" s="6">
        <v>3751</v>
      </c>
      <c r="E6535" s="6">
        <v>3735</v>
      </c>
      <c r="F6535" t="str">
        <f t="shared" si="2762"/>
        <v>TUE</v>
      </c>
      <c r="G6535" s="3">
        <f t="shared" si="2763"/>
        <v>44194</v>
      </c>
      <c r="H6535" s="2">
        <f t="shared" ca="1" si="2764"/>
        <v>59</v>
      </c>
      <c r="I6535" t="str">
        <f t="shared" si="2765"/>
        <v>SPX</v>
      </c>
      <c r="J6535">
        <f t="shared" si="2766"/>
        <v>3670</v>
      </c>
      <c r="K6535">
        <f t="shared" si="2767"/>
        <v>3751</v>
      </c>
      <c r="L6535">
        <f t="shared" si="2768"/>
        <v>3710.5</v>
      </c>
      <c r="M6535">
        <f t="shared" si="2769"/>
        <v>40.5</v>
      </c>
      <c r="N6535">
        <f t="shared" si="2760"/>
        <v>81</v>
      </c>
      <c r="O6535">
        <f t="shared" si="2770"/>
        <v>3735</v>
      </c>
      <c r="P6535">
        <f t="shared" si="2771"/>
        <v>0.60493827160493829</v>
      </c>
      <c r="Q6535" t="str">
        <f t="shared" si="2761"/>
        <v>1.74% | 0.43%</v>
      </c>
      <c r="R6535" t="str">
        <f t="shared" si="2772"/>
        <v>BULLISH</v>
      </c>
      <c r="S6535">
        <f t="shared" si="2773"/>
        <v>1</v>
      </c>
    </row>
    <row r="6536" spans="1:19" hidden="1" x14ac:dyDescent="0.25">
      <c r="A6536" s="5" t="str">
        <f t="shared" ref="A6536:A6599" si="2774">G6536&amp;I6536</f>
        <v>44194RUT</v>
      </c>
      <c r="B6536" s="6" t="s">
        <v>247</v>
      </c>
      <c r="C6536" s="6">
        <v>1936</v>
      </c>
      <c r="D6536" s="6">
        <v>2015</v>
      </c>
      <c r="E6536" s="6">
        <v>1996</v>
      </c>
      <c r="F6536" t="str">
        <f t="shared" si="2762"/>
        <v>TUE</v>
      </c>
      <c r="G6536" s="3">
        <f t="shared" si="2763"/>
        <v>44194</v>
      </c>
      <c r="H6536" s="2">
        <f t="shared" ca="1" si="2764"/>
        <v>59</v>
      </c>
      <c r="I6536" t="str">
        <f t="shared" si="2765"/>
        <v>RUT</v>
      </c>
      <c r="J6536">
        <f t="shared" si="2766"/>
        <v>1936</v>
      </c>
      <c r="K6536">
        <f t="shared" si="2767"/>
        <v>2015</v>
      </c>
      <c r="L6536">
        <f t="shared" si="2768"/>
        <v>1975.5</v>
      </c>
      <c r="M6536">
        <f t="shared" si="2769"/>
        <v>39.5</v>
      </c>
      <c r="N6536">
        <f t="shared" si="2760"/>
        <v>79</v>
      </c>
      <c r="O6536">
        <f t="shared" si="2770"/>
        <v>1996</v>
      </c>
      <c r="P6536">
        <f t="shared" si="2771"/>
        <v>0.51898734177215189</v>
      </c>
      <c r="Q6536" t="str">
        <f t="shared" si="2761"/>
        <v>3.01% | 0.95%</v>
      </c>
      <c r="R6536" t="str">
        <f t="shared" si="2772"/>
        <v>BULLISH</v>
      </c>
      <c r="S6536">
        <f t="shared" si="2773"/>
        <v>1</v>
      </c>
    </row>
    <row r="6537" spans="1:19" hidden="1" x14ac:dyDescent="0.25">
      <c r="A6537" s="5" t="str">
        <f t="shared" si="2774"/>
        <v>44194COMPQ</v>
      </c>
      <c r="B6537" s="6" t="s">
        <v>8</v>
      </c>
      <c r="C6537" s="6">
        <v>12570</v>
      </c>
      <c r="D6537" s="6">
        <v>12953</v>
      </c>
      <c r="E6537" s="6">
        <v>12899</v>
      </c>
      <c r="F6537" t="str">
        <f t="shared" si="2762"/>
        <v>TUE</v>
      </c>
      <c r="G6537" s="3">
        <f t="shared" si="2763"/>
        <v>44194</v>
      </c>
      <c r="H6537" s="2">
        <f t="shared" ca="1" si="2764"/>
        <v>59</v>
      </c>
      <c r="I6537" t="str">
        <f t="shared" si="2765"/>
        <v>COMPQ</v>
      </c>
      <c r="J6537">
        <f t="shared" si="2766"/>
        <v>12570</v>
      </c>
      <c r="K6537">
        <f t="shared" si="2767"/>
        <v>12953</v>
      </c>
      <c r="L6537">
        <f t="shared" si="2768"/>
        <v>12761.5</v>
      </c>
      <c r="M6537">
        <f t="shared" si="2769"/>
        <v>191.5</v>
      </c>
      <c r="N6537">
        <f t="shared" si="2760"/>
        <v>383</v>
      </c>
      <c r="O6537">
        <f t="shared" si="2770"/>
        <v>12899</v>
      </c>
      <c r="P6537">
        <f t="shared" si="2771"/>
        <v>0.71801566579634468</v>
      </c>
      <c r="Q6537" t="str">
        <f t="shared" si="2761"/>
        <v>2.55% | 0.42%</v>
      </c>
      <c r="R6537" t="str">
        <f t="shared" si="2772"/>
        <v>BULLISH</v>
      </c>
      <c r="S6537">
        <f t="shared" si="2773"/>
        <v>1</v>
      </c>
    </row>
    <row r="6538" spans="1:19" hidden="1" x14ac:dyDescent="0.25">
      <c r="A6538" s="5" t="str">
        <f t="shared" si="2774"/>
        <v>44194XLK</v>
      </c>
      <c r="B6538" s="6" t="s">
        <v>10</v>
      </c>
      <c r="C6538" s="6">
        <v>126.02</v>
      </c>
      <c r="D6538" s="6">
        <v>131.13999999999999</v>
      </c>
      <c r="E6538" s="6">
        <v>130.52000000000001</v>
      </c>
      <c r="F6538" t="str">
        <f t="shared" si="2762"/>
        <v>TUE</v>
      </c>
      <c r="G6538" s="3">
        <f t="shared" si="2763"/>
        <v>44194</v>
      </c>
      <c r="H6538" s="2">
        <f t="shared" ca="1" si="2764"/>
        <v>59</v>
      </c>
      <c r="I6538" t="str">
        <f t="shared" si="2765"/>
        <v>XLK</v>
      </c>
      <c r="J6538">
        <f t="shared" si="2766"/>
        <v>126.02</v>
      </c>
      <c r="K6538">
        <f t="shared" si="2767"/>
        <v>131.13999999999999</v>
      </c>
      <c r="L6538">
        <f t="shared" si="2768"/>
        <v>128.57999999999998</v>
      </c>
      <c r="M6538">
        <f t="shared" si="2769"/>
        <v>2.5599999999999952</v>
      </c>
      <c r="N6538">
        <f t="shared" si="2760"/>
        <v>5.1199999999999903</v>
      </c>
      <c r="O6538">
        <f t="shared" si="2770"/>
        <v>130.52000000000001</v>
      </c>
      <c r="P6538">
        <f t="shared" si="2771"/>
        <v>0.75781250000001166</v>
      </c>
      <c r="Q6538" t="str">
        <f t="shared" si="2761"/>
        <v>3.45% | 0.48%</v>
      </c>
      <c r="R6538" t="str">
        <f t="shared" si="2772"/>
        <v>BULLISH</v>
      </c>
      <c r="S6538">
        <f t="shared" si="2773"/>
        <v>1</v>
      </c>
    </row>
    <row r="6539" spans="1:19" hidden="1" x14ac:dyDescent="0.25">
      <c r="A6539" s="5" t="str">
        <f t="shared" si="2774"/>
        <v>44194XLE</v>
      </c>
      <c r="B6539" s="6" t="s">
        <v>250</v>
      </c>
      <c r="C6539" s="6">
        <v>37.020000000000003</v>
      </c>
      <c r="D6539" s="6">
        <v>40.43</v>
      </c>
      <c r="E6539" s="6">
        <v>37.880000000000003</v>
      </c>
      <c r="F6539" t="str">
        <f t="shared" si="2762"/>
        <v>TUE</v>
      </c>
      <c r="G6539" s="3">
        <f t="shared" si="2763"/>
        <v>44194</v>
      </c>
      <c r="H6539" s="2">
        <f t="shared" ca="1" si="2764"/>
        <v>59</v>
      </c>
      <c r="I6539" t="str">
        <f t="shared" si="2765"/>
        <v>XLE</v>
      </c>
      <c r="J6539">
        <f t="shared" si="2766"/>
        <v>37.020000000000003</v>
      </c>
      <c r="K6539">
        <f t="shared" si="2767"/>
        <v>40.43</v>
      </c>
      <c r="L6539">
        <f t="shared" si="2768"/>
        <v>38.725000000000001</v>
      </c>
      <c r="M6539">
        <f t="shared" si="2769"/>
        <v>1.7049999999999983</v>
      </c>
      <c r="N6539">
        <f t="shared" si="2760"/>
        <v>3.4099999999999966</v>
      </c>
      <c r="O6539">
        <f t="shared" si="2770"/>
        <v>37.880000000000003</v>
      </c>
      <c r="P6539">
        <f t="shared" si="2771"/>
        <v>-0.4956011730205277</v>
      </c>
      <c r="Q6539" t="str">
        <f t="shared" si="2761"/>
        <v>2.27% | 6.73%</v>
      </c>
      <c r="R6539" t="str">
        <f t="shared" si="2772"/>
        <v>BULLISH</v>
      </c>
      <c r="S6539">
        <f t="shared" si="2773"/>
        <v>1</v>
      </c>
    </row>
    <row r="6540" spans="1:19" hidden="1" x14ac:dyDescent="0.25">
      <c r="A6540" s="5" t="str">
        <f t="shared" si="2774"/>
        <v>44194XLF</v>
      </c>
      <c r="B6540" s="6" t="s">
        <v>258</v>
      </c>
      <c r="C6540" s="6">
        <v>28.07</v>
      </c>
      <c r="D6540" s="6">
        <v>29.46</v>
      </c>
      <c r="E6540" s="6">
        <v>29.09</v>
      </c>
      <c r="F6540" t="str">
        <f t="shared" si="2762"/>
        <v>TUE</v>
      </c>
      <c r="G6540" s="3">
        <f t="shared" si="2763"/>
        <v>44194</v>
      </c>
      <c r="H6540" s="2">
        <f t="shared" ca="1" si="2764"/>
        <v>59</v>
      </c>
      <c r="I6540" t="str">
        <f t="shared" si="2765"/>
        <v>XLF</v>
      </c>
      <c r="J6540">
        <f t="shared" si="2766"/>
        <v>28.07</v>
      </c>
      <c r="K6540">
        <f t="shared" si="2767"/>
        <v>29.46</v>
      </c>
      <c r="L6540">
        <f t="shared" si="2768"/>
        <v>28.765000000000001</v>
      </c>
      <c r="M6540">
        <f t="shared" si="2769"/>
        <v>0.69500000000000028</v>
      </c>
      <c r="N6540">
        <f t="shared" si="2760"/>
        <v>1.3900000000000006</v>
      </c>
      <c r="O6540">
        <f t="shared" si="2770"/>
        <v>29.09</v>
      </c>
      <c r="P6540">
        <f t="shared" si="2771"/>
        <v>0.46762589928057435</v>
      </c>
      <c r="Q6540" t="str">
        <f t="shared" si="2761"/>
        <v>3.51% | 1.27%</v>
      </c>
      <c r="R6540" t="str">
        <f t="shared" si="2772"/>
        <v>BULLISH</v>
      </c>
      <c r="S6540">
        <f t="shared" si="2773"/>
        <v>1</v>
      </c>
    </row>
    <row r="6541" spans="1:19" hidden="1" x14ac:dyDescent="0.25">
      <c r="A6541" s="5" t="str">
        <f t="shared" si="2774"/>
        <v>44194XLU</v>
      </c>
      <c r="B6541" s="6" t="s">
        <v>82</v>
      </c>
      <c r="C6541" s="6">
        <v>60.25</v>
      </c>
      <c r="D6541" s="6">
        <v>62.56</v>
      </c>
      <c r="E6541" s="6">
        <v>61.48</v>
      </c>
      <c r="F6541" t="str">
        <f t="shared" si="2762"/>
        <v>TUE</v>
      </c>
      <c r="G6541" s="3">
        <f t="shared" si="2763"/>
        <v>44194</v>
      </c>
      <c r="H6541" s="2">
        <f t="shared" ca="1" si="2764"/>
        <v>59</v>
      </c>
      <c r="I6541" t="str">
        <f t="shared" si="2765"/>
        <v>XLU</v>
      </c>
      <c r="J6541">
        <f t="shared" si="2766"/>
        <v>60.25</v>
      </c>
      <c r="K6541">
        <f t="shared" si="2767"/>
        <v>62.56</v>
      </c>
      <c r="L6541">
        <f t="shared" si="2768"/>
        <v>61.405000000000001</v>
      </c>
      <c r="M6541">
        <f t="shared" si="2769"/>
        <v>1.1550000000000011</v>
      </c>
      <c r="N6541">
        <f t="shared" si="2760"/>
        <v>2.3100000000000023</v>
      </c>
      <c r="O6541">
        <f t="shared" si="2770"/>
        <v>61.48</v>
      </c>
      <c r="P6541">
        <f t="shared" si="2771"/>
        <v>6.4935064935061182E-2</v>
      </c>
      <c r="Q6541" t="str">
        <f t="shared" si="2761"/>
        <v>2% | 1.76%</v>
      </c>
      <c r="R6541" t="str">
        <f t="shared" si="2772"/>
        <v>BEARISH</v>
      </c>
      <c r="S6541">
        <f t="shared" si="2773"/>
        <v>-1</v>
      </c>
    </row>
    <row r="6542" spans="1:19" hidden="1" x14ac:dyDescent="0.25">
      <c r="A6542" s="5" t="str">
        <f t="shared" si="2774"/>
        <v>44194GDX</v>
      </c>
      <c r="B6542" s="6" t="s">
        <v>254</v>
      </c>
      <c r="C6542" s="6">
        <v>34.06</v>
      </c>
      <c r="D6542" s="6">
        <v>37.11</v>
      </c>
      <c r="E6542" s="6">
        <v>35.69</v>
      </c>
      <c r="F6542" t="str">
        <f t="shared" si="2762"/>
        <v>TUE</v>
      </c>
      <c r="G6542" s="3">
        <f t="shared" si="2763"/>
        <v>44194</v>
      </c>
      <c r="H6542" s="2">
        <f t="shared" ca="1" si="2764"/>
        <v>59</v>
      </c>
      <c r="I6542" t="str">
        <f t="shared" si="2765"/>
        <v>GDX</v>
      </c>
      <c r="J6542">
        <f t="shared" si="2766"/>
        <v>34.06</v>
      </c>
      <c r="K6542">
        <f t="shared" si="2767"/>
        <v>37.11</v>
      </c>
      <c r="L6542">
        <f t="shared" si="2768"/>
        <v>35.585000000000001</v>
      </c>
      <c r="M6542">
        <f t="shared" si="2769"/>
        <v>1.5249999999999986</v>
      </c>
      <c r="N6542">
        <f t="shared" si="2760"/>
        <v>3.0499999999999972</v>
      </c>
      <c r="O6542">
        <f t="shared" si="2770"/>
        <v>35.69</v>
      </c>
      <c r="P6542">
        <f t="shared" si="2771"/>
        <v>6.8852459016391462E-2</v>
      </c>
      <c r="Q6542" t="str">
        <f t="shared" si="2761"/>
        <v>4.57% | 3.98%</v>
      </c>
      <c r="R6542" t="str">
        <f t="shared" si="2772"/>
        <v>BEARISH</v>
      </c>
      <c r="S6542">
        <f t="shared" si="2773"/>
        <v>-1</v>
      </c>
    </row>
    <row r="6543" spans="1:19" hidden="1" x14ac:dyDescent="0.25">
      <c r="A6543" s="5" t="str">
        <f t="shared" si="2774"/>
        <v>44194SSEC</v>
      </c>
      <c r="B6543" s="6" t="s">
        <v>104</v>
      </c>
      <c r="C6543" s="6">
        <v>3330</v>
      </c>
      <c r="D6543" s="6">
        <v>3425</v>
      </c>
      <c r="E6543" s="6">
        <v>3379</v>
      </c>
      <c r="F6543" t="str">
        <f t="shared" si="2762"/>
        <v>TUE</v>
      </c>
      <c r="G6543" s="3">
        <f t="shared" si="2763"/>
        <v>44194</v>
      </c>
      <c r="H6543" s="2">
        <f t="shared" ca="1" si="2764"/>
        <v>59</v>
      </c>
      <c r="I6543" t="str">
        <f t="shared" si="2765"/>
        <v>SSEC</v>
      </c>
      <c r="J6543">
        <f t="shared" si="2766"/>
        <v>3330</v>
      </c>
      <c r="K6543">
        <f t="shared" si="2767"/>
        <v>3425</v>
      </c>
      <c r="L6543">
        <f t="shared" si="2768"/>
        <v>3377.5</v>
      </c>
      <c r="M6543">
        <f t="shared" si="2769"/>
        <v>47.5</v>
      </c>
      <c r="N6543">
        <f t="shared" si="2760"/>
        <v>95</v>
      </c>
      <c r="O6543">
        <f t="shared" si="2770"/>
        <v>3379</v>
      </c>
      <c r="P6543">
        <f t="shared" si="2771"/>
        <v>3.1578947368421054E-2</v>
      </c>
      <c r="Q6543" t="str">
        <f t="shared" si="2761"/>
        <v>1.45% | 1.36%</v>
      </c>
      <c r="R6543" t="str">
        <f t="shared" si="2772"/>
        <v>BULLISH</v>
      </c>
      <c r="S6543">
        <f t="shared" si="2773"/>
        <v>1</v>
      </c>
    </row>
    <row r="6544" spans="1:19" hidden="1" x14ac:dyDescent="0.25">
      <c r="A6544" s="5" t="str">
        <f t="shared" si="2774"/>
        <v>44194NIKK</v>
      </c>
      <c r="B6544" s="6" t="s">
        <v>91</v>
      </c>
      <c r="C6544" s="6">
        <v>26435</v>
      </c>
      <c r="D6544" s="6">
        <v>27602</v>
      </c>
      <c r="E6544" s="6">
        <v>27568</v>
      </c>
      <c r="F6544" t="str">
        <f t="shared" si="2762"/>
        <v>TUE</v>
      </c>
      <c r="G6544" s="3">
        <f t="shared" si="2763"/>
        <v>44194</v>
      </c>
      <c r="H6544" s="2">
        <f t="shared" ca="1" si="2764"/>
        <v>59</v>
      </c>
      <c r="I6544" t="str">
        <f t="shared" si="2765"/>
        <v>NIKK</v>
      </c>
      <c r="J6544">
        <f t="shared" si="2766"/>
        <v>26435</v>
      </c>
      <c r="K6544">
        <f t="shared" si="2767"/>
        <v>27602</v>
      </c>
      <c r="L6544">
        <f t="shared" si="2768"/>
        <v>27018.5</v>
      </c>
      <c r="M6544">
        <f t="shared" si="2769"/>
        <v>583.5</v>
      </c>
      <c r="N6544">
        <f t="shared" si="2760"/>
        <v>1167</v>
      </c>
      <c r="O6544">
        <f t="shared" si="2770"/>
        <v>27568</v>
      </c>
      <c r="P6544">
        <f t="shared" si="2771"/>
        <v>0.94173093401885177</v>
      </c>
      <c r="Q6544" t="str">
        <f t="shared" si="2761"/>
        <v>4.11% | 0.12%</v>
      </c>
      <c r="R6544" t="str">
        <f t="shared" si="2772"/>
        <v>BULLISH</v>
      </c>
      <c r="S6544">
        <f t="shared" si="2773"/>
        <v>1</v>
      </c>
    </row>
    <row r="6545" spans="1:19" hidden="1" x14ac:dyDescent="0.25">
      <c r="A6545" s="5" t="str">
        <f t="shared" si="2774"/>
        <v>44194DAX</v>
      </c>
      <c r="B6545" s="6" t="s">
        <v>98</v>
      </c>
      <c r="C6545" s="6">
        <v>13212</v>
      </c>
      <c r="D6545" s="6">
        <v>13898</v>
      </c>
      <c r="E6545" s="6">
        <v>13790</v>
      </c>
      <c r="F6545" t="str">
        <f t="shared" si="2762"/>
        <v>TUE</v>
      </c>
      <c r="G6545" s="3">
        <f t="shared" si="2763"/>
        <v>44194</v>
      </c>
      <c r="H6545" s="2">
        <f t="shared" ca="1" si="2764"/>
        <v>59</v>
      </c>
      <c r="I6545" t="str">
        <f t="shared" si="2765"/>
        <v>DAX</v>
      </c>
      <c r="J6545">
        <f t="shared" si="2766"/>
        <v>13212</v>
      </c>
      <c r="K6545">
        <f t="shared" si="2767"/>
        <v>13898</v>
      </c>
      <c r="L6545">
        <f t="shared" si="2768"/>
        <v>13555</v>
      </c>
      <c r="M6545">
        <f t="shared" si="2769"/>
        <v>343</v>
      </c>
      <c r="N6545">
        <f t="shared" si="2760"/>
        <v>686</v>
      </c>
      <c r="O6545">
        <f t="shared" si="2770"/>
        <v>13790</v>
      </c>
      <c r="P6545">
        <f t="shared" si="2771"/>
        <v>0.685131195335277</v>
      </c>
      <c r="Q6545" t="str">
        <f t="shared" si="2761"/>
        <v>4.19% | 0.78%</v>
      </c>
      <c r="R6545" t="str">
        <f t="shared" si="2772"/>
        <v>BULLISH</v>
      </c>
      <c r="S6545">
        <f t="shared" si="2773"/>
        <v>1</v>
      </c>
    </row>
    <row r="6546" spans="1:19" hidden="1" x14ac:dyDescent="0.25">
      <c r="A6546" s="5" t="str">
        <f t="shared" si="2774"/>
        <v>44194VIX</v>
      </c>
      <c r="B6546" s="6" t="s">
        <v>96</v>
      </c>
      <c r="C6546" s="6">
        <v>20.25</v>
      </c>
      <c r="D6546" s="6">
        <v>25.23</v>
      </c>
      <c r="E6546" s="6">
        <v>21.7</v>
      </c>
      <c r="F6546" t="str">
        <f t="shared" si="2762"/>
        <v>TUE</v>
      </c>
      <c r="G6546" s="3">
        <f t="shared" si="2763"/>
        <v>44194</v>
      </c>
      <c r="H6546" s="2">
        <f t="shared" ca="1" si="2764"/>
        <v>59</v>
      </c>
      <c r="I6546" t="str">
        <f t="shared" si="2765"/>
        <v>VIX</v>
      </c>
      <c r="J6546">
        <f t="shared" si="2766"/>
        <v>20.25</v>
      </c>
      <c r="K6546">
        <f t="shared" si="2767"/>
        <v>25.23</v>
      </c>
      <c r="L6546">
        <f t="shared" si="2768"/>
        <v>22.740000000000002</v>
      </c>
      <c r="M6546">
        <f t="shared" si="2769"/>
        <v>2.4900000000000042</v>
      </c>
      <c r="N6546">
        <f t="shared" si="2760"/>
        <v>4.9800000000000004</v>
      </c>
      <c r="O6546">
        <f t="shared" si="2770"/>
        <v>21.7</v>
      </c>
      <c r="P6546">
        <f t="shared" si="2771"/>
        <v>-0.41767068273092406</v>
      </c>
      <c r="Q6546" t="str">
        <f t="shared" si="2761"/>
        <v>6.68% | 16.27%</v>
      </c>
      <c r="R6546" t="str">
        <f t="shared" si="2772"/>
        <v>BEARISH</v>
      </c>
      <c r="S6546">
        <f t="shared" si="2773"/>
        <v>-1</v>
      </c>
    </row>
    <row r="6547" spans="1:19" hidden="1" x14ac:dyDescent="0.25">
      <c r="A6547" s="5" t="str">
        <f t="shared" si="2774"/>
        <v>44194USD</v>
      </c>
      <c r="B6547" s="6" t="s">
        <v>94</v>
      </c>
      <c r="C6547" s="6">
        <v>89.69</v>
      </c>
      <c r="D6547" s="6">
        <v>90.99</v>
      </c>
      <c r="E6547" s="6">
        <v>90.28</v>
      </c>
      <c r="F6547" t="str">
        <f t="shared" si="2762"/>
        <v>TUE</v>
      </c>
      <c r="G6547" s="3">
        <f t="shared" si="2763"/>
        <v>44194</v>
      </c>
      <c r="H6547" s="2">
        <f t="shared" ca="1" si="2764"/>
        <v>59</v>
      </c>
      <c r="I6547" t="str">
        <f t="shared" si="2765"/>
        <v>USD</v>
      </c>
      <c r="J6547">
        <f t="shared" si="2766"/>
        <v>89.69</v>
      </c>
      <c r="K6547">
        <f t="shared" si="2767"/>
        <v>90.99</v>
      </c>
      <c r="L6547">
        <f t="shared" si="2768"/>
        <v>90.34</v>
      </c>
      <c r="M6547">
        <f t="shared" si="2769"/>
        <v>0.64999999999999858</v>
      </c>
      <c r="N6547">
        <f t="shared" si="2760"/>
        <v>1.2999999999999972</v>
      </c>
      <c r="O6547">
        <f t="shared" si="2770"/>
        <v>90.28</v>
      </c>
      <c r="P6547">
        <f t="shared" si="2771"/>
        <v>-9.2307692307696004E-2</v>
      </c>
      <c r="Q6547" t="str">
        <f t="shared" si="2761"/>
        <v>0.65% | 0.79%</v>
      </c>
      <c r="R6547" t="str">
        <f t="shared" si="2772"/>
        <v>BEARISH</v>
      </c>
      <c r="S6547">
        <f t="shared" si="2773"/>
        <v>-1</v>
      </c>
    </row>
    <row r="6548" spans="1:19" hidden="1" x14ac:dyDescent="0.25">
      <c r="A6548" s="5" t="str">
        <f t="shared" si="2774"/>
        <v>44194EUR/USD</v>
      </c>
      <c r="B6548" s="6" t="s">
        <v>99</v>
      </c>
      <c r="C6548" s="6">
        <v>1.212</v>
      </c>
      <c r="D6548" s="6">
        <v>1.2290000000000001</v>
      </c>
      <c r="E6548" s="6">
        <v>1.222</v>
      </c>
      <c r="F6548" t="str">
        <f t="shared" si="2762"/>
        <v>TUE</v>
      </c>
      <c r="G6548" s="3">
        <f t="shared" si="2763"/>
        <v>44194</v>
      </c>
      <c r="H6548" s="2">
        <f t="shared" ca="1" si="2764"/>
        <v>59</v>
      </c>
      <c r="I6548" t="str">
        <f t="shared" si="2765"/>
        <v>EUR/USD</v>
      </c>
      <c r="J6548">
        <f t="shared" si="2766"/>
        <v>1.212</v>
      </c>
      <c r="K6548">
        <f t="shared" si="2767"/>
        <v>1.2290000000000001</v>
      </c>
      <c r="L6548">
        <f t="shared" si="2768"/>
        <v>1.2204999999999999</v>
      </c>
      <c r="M6548">
        <f t="shared" si="2769"/>
        <v>8.5000000000000631E-3</v>
      </c>
      <c r="N6548">
        <f t="shared" si="2760"/>
        <v>1.7000000000000126E-2</v>
      </c>
      <c r="O6548">
        <f t="shared" si="2770"/>
        <v>1.222</v>
      </c>
      <c r="P6548">
        <f t="shared" si="2771"/>
        <v>0.17647058823529949</v>
      </c>
      <c r="Q6548" t="str">
        <f t="shared" si="2761"/>
        <v>0.82% | 0.57%</v>
      </c>
      <c r="R6548" t="str">
        <f t="shared" si="2772"/>
        <v>BULLISH</v>
      </c>
      <c r="S6548">
        <f t="shared" si="2773"/>
        <v>1</v>
      </c>
    </row>
    <row r="6549" spans="1:19" hidden="1" x14ac:dyDescent="0.25">
      <c r="A6549" s="5" t="str">
        <f t="shared" si="2774"/>
        <v>44194USD/JPY</v>
      </c>
      <c r="B6549" s="6" t="s">
        <v>20</v>
      </c>
      <c r="C6549" s="6">
        <v>102.99</v>
      </c>
      <c r="D6549" s="6">
        <v>104.08</v>
      </c>
      <c r="E6549" s="6">
        <v>103.79</v>
      </c>
      <c r="F6549" t="str">
        <f t="shared" si="2762"/>
        <v>TUE</v>
      </c>
      <c r="G6549" s="3">
        <f t="shared" si="2763"/>
        <v>44194</v>
      </c>
      <c r="H6549" s="2">
        <f t="shared" ca="1" si="2764"/>
        <v>59</v>
      </c>
      <c r="I6549" t="str">
        <f t="shared" si="2765"/>
        <v>USD/JPY</v>
      </c>
      <c r="J6549">
        <f t="shared" si="2766"/>
        <v>102.99</v>
      </c>
      <c r="K6549">
        <f t="shared" si="2767"/>
        <v>104.08</v>
      </c>
      <c r="L6549">
        <f t="shared" si="2768"/>
        <v>103.535</v>
      </c>
      <c r="M6549">
        <f t="shared" si="2769"/>
        <v>0.54500000000000171</v>
      </c>
      <c r="N6549">
        <f t="shared" si="2760"/>
        <v>1.0900000000000034</v>
      </c>
      <c r="O6549">
        <f t="shared" si="2770"/>
        <v>103.79</v>
      </c>
      <c r="P6549">
        <f t="shared" si="2771"/>
        <v>0.46788990825689702</v>
      </c>
      <c r="Q6549" t="str">
        <f t="shared" si="2761"/>
        <v>0.77% | 0.28%</v>
      </c>
      <c r="R6549" t="str">
        <f t="shared" si="2772"/>
        <v>BEARISH</v>
      </c>
      <c r="S6549">
        <f t="shared" si="2773"/>
        <v>-1</v>
      </c>
    </row>
    <row r="6550" spans="1:19" hidden="1" x14ac:dyDescent="0.25">
      <c r="A6550" s="5" t="str">
        <f t="shared" si="2774"/>
        <v>44194GBP/USD</v>
      </c>
      <c r="B6550" s="6" t="s">
        <v>102</v>
      </c>
      <c r="C6550" s="6">
        <v>1.3340000000000001</v>
      </c>
      <c r="D6550" s="6">
        <v>1.361</v>
      </c>
      <c r="E6550" s="6">
        <v>1.345</v>
      </c>
      <c r="F6550" t="str">
        <f t="shared" si="2762"/>
        <v>TUE</v>
      </c>
      <c r="G6550" s="3">
        <f t="shared" si="2763"/>
        <v>44194</v>
      </c>
      <c r="H6550" s="2">
        <f t="shared" ca="1" si="2764"/>
        <v>59</v>
      </c>
      <c r="I6550" t="str">
        <f t="shared" si="2765"/>
        <v>GBP/USD</v>
      </c>
      <c r="J6550">
        <f t="shared" si="2766"/>
        <v>1.3340000000000001</v>
      </c>
      <c r="K6550">
        <f t="shared" si="2767"/>
        <v>1.361</v>
      </c>
      <c r="L6550">
        <f t="shared" si="2768"/>
        <v>1.3475000000000001</v>
      </c>
      <c r="M6550">
        <f t="shared" si="2769"/>
        <v>1.3499999999999956E-2</v>
      </c>
      <c r="N6550">
        <f t="shared" si="2760"/>
        <v>2.6999999999999913E-2</v>
      </c>
      <c r="O6550">
        <f t="shared" si="2770"/>
        <v>1.345</v>
      </c>
      <c r="P6550">
        <f t="shared" si="2771"/>
        <v>-0.18518518518519828</v>
      </c>
      <c r="Q6550" t="str">
        <f t="shared" si="2761"/>
        <v>0.82% | 1.19%</v>
      </c>
      <c r="R6550" t="str">
        <f t="shared" si="2772"/>
        <v>BULLISH</v>
      </c>
      <c r="S6550">
        <f t="shared" si="2773"/>
        <v>1</v>
      </c>
    </row>
    <row r="6551" spans="1:19" hidden="1" x14ac:dyDescent="0.25">
      <c r="A6551" s="5" t="str">
        <f t="shared" si="2774"/>
        <v>44194CAD/USD</v>
      </c>
      <c r="B6551" s="6" t="s">
        <v>244</v>
      </c>
      <c r="C6551" s="6">
        <v>0.77</v>
      </c>
      <c r="D6551" s="6">
        <v>0.79</v>
      </c>
      <c r="E6551" s="6">
        <v>0.77</v>
      </c>
      <c r="F6551" t="str">
        <f t="shared" si="2762"/>
        <v>TUE</v>
      </c>
      <c r="G6551" s="3">
        <f t="shared" si="2763"/>
        <v>44194</v>
      </c>
      <c r="H6551" s="2">
        <f t="shared" ca="1" si="2764"/>
        <v>59</v>
      </c>
      <c r="I6551" t="str">
        <f t="shared" si="2765"/>
        <v>CAD/USD</v>
      </c>
      <c r="J6551">
        <f t="shared" si="2766"/>
        <v>0.77</v>
      </c>
      <c r="K6551">
        <f t="shared" si="2767"/>
        <v>0.79</v>
      </c>
      <c r="L6551">
        <f t="shared" si="2768"/>
        <v>0.78</v>
      </c>
      <c r="M6551">
        <f t="shared" si="2769"/>
        <v>1.0000000000000009E-2</v>
      </c>
      <c r="N6551">
        <f t="shared" si="2760"/>
        <v>2.0000000000000018E-2</v>
      </c>
      <c r="O6551">
        <f t="shared" si="2770"/>
        <v>0.77</v>
      </c>
      <c r="P6551">
        <f t="shared" si="2771"/>
        <v>-1</v>
      </c>
      <c r="Q6551" t="str">
        <f t="shared" si="2761"/>
        <v>0% | 2.6%</v>
      </c>
      <c r="R6551" t="str">
        <f t="shared" si="2772"/>
        <v>BULLISH</v>
      </c>
      <c r="S6551">
        <f t="shared" si="2773"/>
        <v>1</v>
      </c>
    </row>
    <row r="6552" spans="1:19" hidden="1" x14ac:dyDescent="0.25">
      <c r="A6552" s="5" t="str">
        <f t="shared" si="2774"/>
        <v>44194USD/CHF</v>
      </c>
      <c r="B6552" s="6" t="s">
        <v>76</v>
      </c>
      <c r="C6552" s="6">
        <v>0.87</v>
      </c>
      <c r="D6552" s="6">
        <v>0.89</v>
      </c>
      <c r="E6552" s="6">
        <v>0.88</v>
      </c>
      <c r="F6552" t="str">
        <f t="shared" si="2762"/>
        <v>TUE</v>
      </c>
      <c r="G6552" s="3">
        <f t="shared" si="2763"/>
        <v>44194</v>
      </c>
      <c r="H6552" s="2">
        <f t="shared" ca="1" si="2764"/>
        <v>59</v>
      </c>
      <c r="I6552" t="str">
        <f t="shared" si="2765"/>
        <v>USD/CHF</v>
      </c>
      <c r="J6552">
        <f t="shared" si="2766"/>
        <v>0.87</v>
      </c>
      <c r="K6552">
        <f t="shared" si="2767"/>
        <v>0.89</v>
      </c>
      <c r="L6552">
        <f t="shared" si="2768"/>
        <v>0.88</v>
      </c>
      <c r="M6552">
        <f t="shared" si="2769"/>
        <v>1.0000000000000009E-2</v>
      </c>
      <c r="N6552">
        <f t="shared" si="2760"/>
        <v>2.0000000000000018E-2</v>
      </c>
      <c r="O6552">
        <f t="shared" si="2770"/>
        <v>0.88</v>
      </c>
      <c r="P6552">
        <f t="shared" si="2771"/>
        <v>0</v>
      </c>
      <c r="Q6552" t="str">
        <f t="shared" si="2761"/>
        <v>1.14% | 1.14%</v>
      </c>
      <c r="R6552" t="str">
        <f t="shared" si="2772"/>
        <v>BEARISH</v>
      </c>
      <c r="S6552">
        <f t="shared" si="2773"/>
        <v>-1</v>
      </c>
    </row>
    <row r="6553" spans="1:19" hidden="1" x14ac:dyDescent="0.25">
      <c r="A6553" s="5" t="str">
        <f t="shared" si="2774"/>
        <v>44194WTIC</v>
      </c>
      <c r="B6553" s="6" t="s">
        <v>158</v>
      </c>
      <c r="C6553" s="6">
        <v>46.73</v>
      </c>
      <c r="D6553" s="6">
        <v>49.31</v>
      </c>
      <c r="E6553" s="6">
        <v>47.62</v>
      </c>
      <c r="F6553" t="str">
        <f t="shared" si="2762"/>
        <v>TUE</v>
      </c>
      <c r="G6553" s="3">
        <f t="shared" si="2763"/>
        <v>44194</v>
      </c>
      <c r="H6553" s="2">
        <f t="shared" ca="1" si="2764"/>
        <v>59</v>
      </c>
      <c r="I6553" t="str">
        <f t="shared" si="2765"/>
        <v>WTIC</v>
      </c>
      <c r="J6553">
        <f t="shared" si="2766"/>
        <v>46.73</v>
      </c>
      <c r="K6553">
        <f t="shared" si="2767"/>
        <v>49.31</v>
      </c>
      <c r="L6553">
        <f t="shared" si="2768"/>
        <v>48.019999999999996</v>
      </c>
      <c r="M6553">
        <f t="shared" si="2769"/>
        <v>1.2900000000000027</v>
      </c>
      <c r="N6553">
        <f t="shared" si="2760"/>
        <v>2.5800000000000054</v>
      </c>
      <c r="O6553">
        <f t="shared" si="2770"/>
        <v>47.62</v>
      </c>
      <c r="P6553">
        <f t="shared" si="2771"/>
        <v>-0.31007751937984324</v>
      </c>
      <c r="Q6553" t="str">
        <f t="shared" si="2761"/>
        <v>1.87% | 3.55%</v>
      </c>
      <c r="R6553" t="str">
        <f t="shared" si="2772"/>
        <v>BULLISH</v>
      </c>
      <c r="S6553">
        <f t="shared" si="2773"/>
        <v>1</v>
      </c>
    </row>
    <row r="6554" spans="1:19" hidden="1" x14ac:dyDescent="0.25">
      <c r="A6554" s="5" t="str">
        <f t="shared" si="2774"/>
        <v>44194NATGAS</v>
      </c>
      <c r="B6554" s="6" t="s">
        <v>24</v>
      </c>
      <c r="C6554" s="6">
        <v>2.27</v>
      </c>
      <c r="D6554" s="6">
        <v>2.66</v>
      </c>
      <c r="E6554" s="6">
        <v>2.33</v>
      </c>
      <c r="F6554" t="str">
        <f t="shared" si="2762"/>
        <v>TUE</v>
      </c>
      <c r="G6554" s="3">
        <f t="shared" si="2763"/>
        <v>44194</v>
      </c>
      <c r="H6554" s="2">
        <f t="shared" ca="1" si="2764"/>
        <v>59</v>
      </c>
      <c r="I6554" t="str">
        <f t="shared" si="2765"/>
        <v>NATGAS</v>
      </c>
      <c r="J6554">
        <f t="shared" si="2766"/>
        <v>2.27</v>
      </c>
      <c r="K6554">
        <f t="shared" si="2767"/>
        <v>2.66</v>
      </c>
      <c r="L6554">
        <f t="shared" si="2768"/>
        <v>2.4649999999999999</v>
      </c>
      <c r="M6554">
        <f t="shared" si="2769"/>
        <v>0.19500000000000009</v>
      </c>
      <c r="N6554">
        <f t="shared" si="2760"/>
        <v>0.39000000000000012</v>
      </c>
      <c r="O6554">
        <f t="shared" si="2770"/>
        <v>2.33</v>
      </c>
      <c r="P6554">
        <f t="shared" si="2771"/>
        <v>-0.69230769230769085</v>
      </c>
      <c r="Q6554" t="str">
        <f t="shared" si="2761"/>
        <v>2.58% | 14.16%</v>
      </c>
      <c r="R6554" t="str">
        <f t="shared" si="2772"/>
        <v>BEARISH</v>
      </c>
      <c r="S6554">
        <f t="shared" si="2773"/>
        <v>-1</v>
      </c>
    </row>
    <row r="6555" spans="1:19" hidden="1" x14ac:dyDescent="0.25">
      <c r="A6555" s="5" t="str">
        <f t="shared" si="2774"/>
        <v>44194GOLD</v>
      </c>
      <c r="B6555" s="6" t="s">
        <v>249</v>
      </c>
      <c r="C6555" s="6">
        <v>1833</v>
      </c>
      <c r="D6555" s="6">
        <v>1901</v>
      </c>
      <c r="E6555" s="6">
        <v>1880</v>
      </c>
      <c r="F6555" t="str">
        <f t="shared" si="2762"/>
        <v>TUE</v>
      </c>
      <c r="G6555" s="3">
        <f t="shared" si="2763"/>
        <v>44194</v>
      </c>
      <c r="H6555" s="2">
        <f t="shared" ca="1" si="2764"/>
        <v>59</v>
      </c>
      <c r="I6555" t="str">
        <f t="shared" si="2765"/>
        <v>GOLD</v>
      </c>
      <c r="J6555">
        <f t="shared" si="2766"/>
        <v>1833</v>
      </c>
      <c r="K6555">
        <f t="shared" si="2767"/>
        <v>1901</v>
      </c>
      <c r="L6555">
        <f t="shared" si="2768"/>
        <v>1867</v>
      </c>
      <c r="M6555">
        <f t="shared" si="2769"/>
        <v>34</v>
      </c>
      <c r="N6555">
        <f t="shared" si="2760"/>
        <v>68</v>
      </c>
      <c r="O6555">
        <f t="shared" si="2770"/>
        <v>1880</v>
      </c>
      <c r="P6555">
        <f t="shared" si="2771"/>
        <v>0.38235294117647056</v>
      </c>
      <c r="Q6555" t="str">
        <f t="shared" si="2761"/>
        <v>2.5% | 1.12%</v>
      </c>
      <c r="R6555" t="str">
        <f t="shared" si="2772"/>
        <v>NEUTRAL</v>
      </c>
      <c r="S6555">
        <f t="shared" si="2773"/>
        <v>0</v>
      </c>
    </row>
    <row r="6556" spans="1:19" hidden="1" x14ac:dyDescent="0.25">
      <c r="A6556" s="5" t="str">
        <f t="shared" si="2774"/>
        <v>44194COPPER</v>
      </c>
      <c r="B6556" s="6" t="s">
        <v>100</v>
      </c>
      <c r="C6556" s="6">
        <v>3.5</v>
      </c>
      <c r="D6556" s="6">
        <v>3.64</v>
      </c>
      <c r="E6556" s="6">
        <v>3.57</v>
      </c>
      <c r="F6556" t="str">
        <f t="shared" si="2762"/>
        <v>TUE</v>
      </c>
      <c r="G6556" s="3">
        <f t="shared" si="2763"/>
        <v>44194</v>
      </c>
      <c r="H6556" s="2">
        <f t="shared" ca="1" si="2764"/>
        <v>59</v>
      </c>
      <c r="I6556" t="str">
        <f t="shared" si="2765"/>
        <v>COPPER</v>
      </c>
      <c r="J6556">
        <f t="shared" si="2766"/>
        <v>3.5</v>
      </c>
      <c r="K6556">
        <f t="shared" si="2767"/>
        <v>3.64</v>
      </c>
      <c r="L6556">
        <f t="shared" si="2768"/>
        <v>3.5700000000000003</v>
      </c>
      <c r="M6556">
        <f t="shared" si="2769"/>
        <v>7.0000000000000062E-2</v>
      </c>
      <c r="N6556">
        <f t="shared" si="2760"/>
        <v>0.14000000000000012</v>
      </c>
      <c r="O6556">
        <f t="shared" si="2770"/>
        <v>3.57</v>
      </c>
      <c r="P6556">
        <f t="shared" si="2771"/>
        <v>-6.3441315692866028E-15</v>
      </c>
      <c r="Q6556" t="str">
        <f t="shared" si="2761"/>
        <v>1.96% | 1.96%</v>
      </c>
      <c r="R6556" t="str">
        <f t="shared" si="2772"/>
        <v>BULLISH</v>
      </c>
      <c r="S6556">
        <f t="shared" si="2773"/>
        <v>1</v>
      </c>
    </row>
    <row r="6557" spans="1:19" hidden="1" x14ac:dyDescent="0.25">
      <c r="A6557" s="5" t="str">
        <f t="shared" si="2774"/>
        <v>44194MSFT</v>
      </c>
      <c r="B6557" s="6" t="s">
        <v>27</v>
      </c>
      <c r="C6557" s="6">
        <v>217</v>
      </c>
      <c r="D6557" s="6">
        <v>228</v>
      </c>
      <c r="E6557" s="6">
        <v>224</v>
      </c>
      <c r="F6557" t="str">
        <f t="shared" si="2762"/>
        <v>TUE</v>
      </c>
      <c r="G6557" s="3">
        <f t="shared" si="2763"/>
        <v>44194</v>
      </c>
      <c r="H6557" s="2">
        <f t="shared" ca="1" si="2764"/>
        <v>59</v>
      </c>
      <c r="I6557" t="str">
        <f t="shared" si="2765"/>
        <v>MSFT</v>
      </c>
      <c r="J6557">
        <f t="shared" si="2766"/>
        <v>217</v>
      </c>
      <c r="K6557">
        <f t="shared" si="2767"/>
        <v>228</v>
      </c>
      <c r="L6557">
        <f t="shared" si="2768"/>
        <v>222.5</v>
      </c>
      <c r="M6557">
        <f t="shared" si="2769"/>
        <v>5.5</v>
      </c>
      <c r="N6557">
        <f t="shared" si="2760"/>
        <v>11</v>
      </c>
      <c r="O6557">
        <f t="shared" si="2770"/>
        <v>224</v>
      </c>
      <c r="P6557">
        <f t="shared" si="2771"/>
        <v>0.27272727272727271</v>
      </c>
      <c r="Q6557" t="str">
        <f t="shared" si="2761"/>
        <v>3.13% | 1.79%</v>
      </c>
      <c r="R6557" t="str">
        <f t="shared" si="2772"/>
        <v>BULLISH</v>
      </c>
      <c r="S6557">
        <f t="shared" si="2773"/>
        <v>1</v>
      </c>
    </row>
    <row r="6558" spans="1:19" hidden="1" x14ac:dyDescent="0.25">
      <c r="A6558" s="5" t="str">
        <f t="shared" si="2774"/>
        <v>44194AAPL</v>
      </c>
      <c r="B6558" s="6" t="s">
        <v>28</v>
      </c>
      <c r="C6558" s="6">
        <v>129</v>
      </c>
      <c r="D6558" s="6">
        <v>137</v>
      </c>
      <c r="E6558" s="6">
        <v>136</v>
      </c>
      <c r="F6558" t="str">
        <f t="shared" si="2762"/>
        <v>TUE</v>
      </c>
      <c r="G6558" s="3">
        <f t="shared" si="2763"/>
        <v>44194</v>
      </c>
      <c r="H6558" s="2">
        <f t="shared" ca="1" si="2764"/>
        <v>59</v>
      </c>
      <c r="I6558" t="str">
        <f t="shared" si="2765"/>
        <v>AAPL</v>
      </c>
      <c r="J6558">
        <f t="shared" si="2766"/>
        <v>129</v>
      </c>
      <c r="K6558">
        <f t="shared" si="2767"/>
        <v>137</v>
      </c>
      <c r="L6558">
        <f t="shared" si="2768"/>
        <v>133</v>
      </c>
      <c r="M6558">
        <f t="shared" si="2769"/>
        <v>4</v>
      </c>
      <c r="N6558">
        <f t="shared" si="2760"/>
        <v>8</v>
      </c>
      <c r="O6558">
        <f t="shared" si="2770"/>
        <v>136</v>
      </c>
      <c r="P6558">
        <f t="shared" si="2771"/>
        <v>0.75</v>
      </c>
      <c r="Q6558" t="str">
        <f t="shared" si="2761"/>
        <v>5.15% | 0.74%</v>
      </c>
      <c r="R6558" t="str">
        <f t="shared" si="2772"/>
        <v>BULLISH</v>
      </c>
      <c r="S6558">
        <f t="shared" si="2773"/>
        <v>1</v>
      </c>
    </row>
    <row r="6559" spans="1:19" hidden="1" x14ac:dyDescent="0.25">
      <c r="A6559" s="5" t="str">
        <f t="shared" si="2774"/>
        <v>44194AMZN</v>
      </c>
      <c r="B6559" s="6" t="s">
        <v>29</v>
      </c>
      <c r="C6559" s="6">
        <v>3138</v>
      </c>
      <c r="D6559" s="6">
        <v>3314</v>
      </c>
      <c r="E6559" s="6">
        <v>3283</v>
      </c>
      <c r="F6559" t="str">
        <f t="shared" si="2762"/>
        <v>TUE</v>
      </c>
      <c r="G6559" s="3">
        <f t="shared" si="2763"/>
        <v>44194</v>
      </c>
      <c r="H6559" s="2">
        <f t="shared" ca="1" si="2764"/>
        <v>59</v>
      </c>
      <c r="I6559" t="str">
        <f t="shared" si="2765"/>
        <v>AMZN</v>
      </c>
      <c r="J6559">
        <f t="shared" si="2766"/>
        <v>3138</v>
      </c>
      <c r="K6559">
        <f t="shared" si="2767"/>
        <v>3314</v>
      </c>
      <c r="L6559">
        <f t="shared" si="2768"/>
        <v>3226</v>
      </c>
      <c r="M6559">
        <f t="shared" si="2769"/>
        <v>88</v>
      </c>
      <c r="N6559">
        <f t="shared" si="2760"/>
        <v>176</v>
      </c>
      <c r="O6559">
        <f t="shared" si="2770"/>
        <v>3283</v>
      </c>
      <c r="P6559">
        <f t="shared" si="2771"/>
        <v>0.64772727272727271</v>
      </c>
      <c r="Q6559" t="str">
        <f t="shared" si="2761"/>
        <v>4.42% | 0.94%</v>
      </c>
      <c r="R6559" t="str">
        <f t="shared" si="2772"/>
        <v>BULLISH</v>
      </c>
      <c r="S6559">
        <f t="shared" si="2773"/>
        <v>1</v>
      </c>
    </row>
    <row r="6560" spans="1:19" hidden="1" x14ac:dyDescent="0.25">
      <c r="A6560" s="5" t="str">
        <f t="shared" si="2774"/>
        <v>44194FB</v>
      </c>
      <c r="B6560" s="6" t="s">
        <v>30</v>
      </c>
      <c r="C6560" s="6">
        <v>262</v>
      </c>
      <c r="D6560" s="6">
        <v>282</v>
      </c>
      <c r="E6560" s="6">
        <v>277</v>
      </c>
      <c r="F6560" t="str">
        <f t="shared" si="2762"/>
        <v>TUE</v>
      </c>
      <c r="G6560" s="3">
        <f t="shared" si="2763"/>
        <v>44194</v>
      </c>
      <c r="H6560" s="2">
        <f t="shared" ca="1" si="2764"/>
        <v>59</v>
      </c>
      <c r="I6560" t="str">
        <f t="shared" si="2765"/>
        <v>FB</v>
      </c>
      <c r="J6560">
        <f t="shared" si="2766"/>
        <v>262</v>
      </c>
      <c r="K6560">
        <f t="shared" si="2767"/>
        <v>282</v>
      </c>
      <c r="L6560">
        <f t="shared" si="2768"/>
        <v>272</v>
      </c>
      <c r="M6560">
        <f t="shared" si="2769"/>
        <v>10</v>
      </c>
      <c r="N6560">
        <f t="shared" si="2760"/>
        <v>20</v>
      </c>
      <c r="O6560">
        <f t="shared" si="2770"/>
        <v>277</v>
      </c>
      <c r="P6560">
        <f t="shared" si="2771"/>
        <v>0.5</v>
      </c>
      <c r="Q6560" t="str">
        <f t="shared" si="2761"/>
        <v>5.42% | 1.81%</v>
      </c>
      <c r="R6560" t="str">
        <f t="shared" si="2772"/>
        <v>BULLISH</v>
      </c>
      <c r="S6560">
        <f t="shared" si="2773"/>
        <v>1</v>
      </c>
    </row>
    <row r="6561" spans="1:19" hidden="1" x14ac:dyDescent="0.25">
      <c r="A6561" s="5" t="str">
        <f t="shared" si="2774"/>
        <v>44194GOOGL</v>
      </c>
      <c r="B6561" s="6" t="s">
        <v>31</v>
      </c>
      <c r="C6561" s="6">
        <v>1706</v>
      </c>
      <c r="D6561" s="6">
        <v>1789</v>
      </c>
      <c r="E6561" s="6">
        <v>1773</v>
      </c>
      <c r="F6561" t="str">
        <f t="shared" si="2762"/>
        <v>TUE</v>
      </c>
      <c r="G6561" s="3">
        <f t="shared" si="2763"/>
        <v>44194</v>
      </c>
      <c r="H6561" s="2">
        <f t="shared" ca="1" si="2764"/>
        <v>59</v>
      </c>
      <c r="I6561" t="str">
        <f t="shared" si="2765"/>
        <v>GOOGL</v>
      </c>
      <c r="J6561">
        <f t="shared" si="2766"/>
        <v>1706</v>
      </c>
      <c r="K6561">
        <f t="shared" si="2767"/>
        <v>1789</v>
      </c>
      <c r="L6561">
        <f t="shared" si="2768"/>
        <v>1747.5</v>
      </c>
      <c r="M6561">
        <f t="shared" si="2769"/>
        <v>41.5</v>
      </c>
      <c r="N6561">
        <f t="shared" si="2760"/>
        <v>83</v>
      </c>
      <c r="O6561">
        <f t="shared" si="2770"/>
        <v>1773</v>
      </c>
      <c r="P6561">
        <f t="shared" si="2771"/>
        <v>0.61445783132530118</v>
      </c>
      <c r="Q6561" t="str">
        <f t="shared" si="2761"/>
        <v>3.78% | 0.9%</v>
      </c>
      <c r="R6561" t="str">
        <f t="shared" si="2772"/>
        <v>BULLISH</v>
      </c>
      <c r="S6561">
        <f t="shared" si="2773"/>
        <v>1</v>
      </c>
    </row>
    <row r="6562" spans="1:19" hidden="1" x14ac:dyDescent="0.25">
      <c r="A6562" s="5" t="str">
        <f t="shared" si="2774"/>
        <v>44194NFLX</v>
      </c>
      <c r="B6562" s="6" t="s">
        <v>32</v>
      </c>
      <c r="C6562" s="6">
        <v>506</v>
      </c>
      <c r="D6562" s="6">
        <v>540</v>
      </c>
      <c r="E6562" s="6">
        <v>519</v>
      </c>
      <c r="F6562" t="str">
        <f t="shared" si="2762"/>
        <v>TUE</v>
      </c>
      <c r="G6562" s="3">
        <f t="shared" si="2763"/>
        <v>44194</v>
      </c>
      <c r="H6562" s="2">
        <f t="shared" ca="1" si="2764"/>
        <v>59</v>
      </c>
      <c r="I6562" t="str">
        <f t="shared" si="2765"/>
        <v>NFLX</v>
      </c>
      <c r="J6562">
        <f t="shared" si="2766"/>
        <v>506</v>
      </c>
      <c r="K6562">
        <f t="shared" si="2767"/>
        <v>540</v>
      </c>
      <c r="L6562">
        <f t="shared" si="2768"/>
        <v>523</v>
      </c>
      <c r="M6562">
        <f t="shared" si="2769"/>
        <v>17</v>
      </c>
      <c r="N6562">
        <f t="shared" si="2760"/>
        <v>34</v>
      </c>
      <c r="O6562">
        <f t="shared" si="2770"/>
        <v>519</v>
      </c>
      <c r="P6562">
        <f t="shared" si="2771"/>
        <v>-0.23529411764705882</v>
      </c>
      <c r="Q6562" t="str">
        <f t="shared" si="2761"/>
        <v>2.5% | 4.05%</v>
      </c>
      <c r="R6562" t="str">
        <f t="shared" si="2772"/>
        <v>BULLISH</v>
      </c>
      <c r="S6562">
        <f t="shared" si="2773"/>
        <v>1</v>
      </c>
    </row>
    <row r="6563" spans="1:19" x14ac:dyDescent="0.25">
      <c r="A6563" s="5" t="str">
        <f t="shared" si="2774"/>
        <v>44194TSLA</v>
      </c>
      <c r="B6563" s="6" t="s">
        <v>33</v>
      </c>
      <c r="C6563" s="6">
        <v>610</v>
      </c>
      <c r="D6563" s="6">
        <v>694</v>
      </c>
      <c r="E6563" s="6">
        <v>663</v>
      </c>
      <c r="F6563" t="str">
        <f t="shared" si="2762"/>
        <v>TUE</v>
      </c>
      <c r="G6563" s="3">
        <f t="shared" si="2763"/>
        <v>44194</v>
      </c>
      <c r="H6563" s="2">
        <f t="shared" ca="1" si="2764"/>
        <v>59</v>
      </c>
      <c r="I6563" t="str">
        <f t="shared" si="2765"/>
        <v>TSLA</v>
      </c>
      <c r="J6563">
        <f t="shared" si="2766"/>
        <v>610</v>
      </c>
      <c r="K6563">
        <f t="shared" si="2767"/>
        <v>694</v>
      </c>
      <c r="L6563">
        <f t="shared" si="2768"/>
        <v>652</v>
      </c>
      <c r="M6563">
        <f t="shared" si="2769"/>
        <v>42</v>
      </c>
      <c r="N6563">
        <f t="shared" si="2760"/>
        <v>84</v>
      </c>
      <c r="O6563">
        <f t="shared" si="2770"/>
        <v>663</v>
      </c>
      <c r="P6563">
        <f t="shared" si="2771"/>
        <v>0.26190476190476192</v>
      </c>
      <c r="Q6563" t="str">
        <f t="shared" si="2761"/>
        <v>7.99% | 4.68%</v>
      </c>
      <c r="R6563" t="str">
        <f t="shared" si="2772"/>
        <v>BULLISH</v>
      </c>
      <c r="S6563">
        <f t="shared" si="2773"/>
        <v>1</v>
      </c>
    </row>
    <row r="6564" spans="1:19" hidden="1" x14ac:dyDescent="0.25">
      <c r="A6564" s="5" t="str">
        <f t="shared" si="2774"/>
        <v>44194NYXBT</v>
      </c>
      <c r="B6564" s="6" t="s">
        <v>60</v>
      </c>
      <c r="C6564" s="6">
        <v>22919</v>
      </c>
      <c r="D6564" s="6">
        <v>27932</v>
      </c>
      <c r="E6564" s="6">
        <v>26925</v>
      </c>
      <c r="F6564" t="str">
        <f t="shared" si="2762"/>
        <v>TUE</v>
      </c>
      <c r="G6564" s="3">
        <f t="shared" si="2763"/>
        <v>44194</v>
      </c>
      <c r="H6564" s="2">
        <f t="shared" ca="1" si="2764"/>
        <v>59</v>
      </c>
      <c r="I6564" t="str">
        <f t="shared" si="2765"/>
        <v>NYXBT</v>
      </c>
      <c r="J6564">
        <f t="shared" si="2766"/>
        <v>22919</v>
      </c>
      <c r="K6564">
        <f t="shared" si="2767"/>
        <v>27932</v>
      </c>
      <c r="L6564">
        <f t="shared" si="2768"/>
        <v>25425.5</v>
      </c>
      <c r="M6564">
        <f t="shared" si="2769"/>
        <v>2506.5</v>
      </c>
      <c r="N6564">
        <f t="shared" si="2760"/>
        <v>5013</v>
      </c>
      <c r="O6564">
        <f t="shared" si="2770"/>
        <v>26925</v>
      </c>
      <c r="P6564">
        <f t="shared" si="2771"/>
        <v>0.59824456413325355</v>
      </c>
      <c r="Q6564" t="str">
        <f t="shared" si="2761"/>
        <v>14.88% | 3.74%</v>
      </c>
      <c r="R6564" t="str">
        <f t="shared" si="2772"/>
        <v>BULLISH</v>
      </c>
      <c r="S6564">
        <f t="shared" si="2773"/>
        <v>1</v>
      </c>
    </row>
    <row r="6565" spans="1:19" hidden="1" x14ac:dyDescent="0.25">
      <c r="A6565" s="5" t="str">
        <f t="shared" si="2774"/>
        <v>44195UST10Y</v>
      </c>
      <c r="B6565" s="6" t="s">
        <v>257</v>
      </c>
      <c r="C6565" s="6">
        <v>0.98</v>
      </c>
      <c r="D6565" s="6">
        <v>0.92</v>
      </c>
      <c r="E6565" s="6">
        <v>0.94</v>
      </c>
      <c r="F6565" t="str">
        <f t="shared" si="2762"/>
        <v>WED</v>
      </c>
      <c r="G6565" s="1">
        <f>DATE(2020,12,30)</f>
        <v>44195</v>
      </c>
      <c r="H6565" s="2">
        <f t="shared" ca="1" si="2764"/>
        <v>58</v>
      </c>
      <c r="I6565" t="str">
        <f t="shared" si="2765"/>
        <v>UST10Y</v>
      </c>
      <c r="J6565">
        <f t="shared" si="2766"/>
        <v>0.98</v>
      </c>
      <c r="K6565">
        <f t="shared" si="2767"/>
        <v>0.92</v>
      </c>
      <c r="L6565">
        <f t="shared" si="2768"/>
        <v>0.95</v>
      </c>
      <c r="M6565">
        <f t="shared" si="2769"/>
        <v>2.9999999999999971E-2</v>
      </c>
      <c r="N6565">
        <f t="shared" si="2760"/>
        <v>5.9999999999999942E-2</v>
      </c>
      <c r="O6565">
        <f t="shared" si="2770"/>
        <v>0.94</v>
      </c>
      <c r="P6565">
        <f t="shared" si="2771"/>
        <v>-0.33333333333333393</v>
      </c>
      <c r="Q6565" t="str">
        <f t="shared" si="2761"/>
        <v>4.26% | 2.13%</v>
      </c>
      <c r="R6565" t="str">
        <f t="shared" si="2772"/>
        <v>BULLISH</v>
      </c>
      <c r="S6565">
        <f t="shared" si="2773"/>
        <v>1</v>
      </c>
    </row>
    <row r="6566" spans="1:19" hidden="1" x14ac:dyDescent="0.25">
      <c r="A6566" s="5" t="str">
        <f t="shared" si="2774"/>
        <v>44195UST2Y</v>
      </c>
      <c r="B6566" s="6" t="s">
        <v>253</v>
      </c>
      <c r="C6566" s="6">
        <v>0.16</v>
      </c>
      <c r="D6566" s="6">
        <v>0.11</v>
      </c>
      <c r="E6566" s="6">
        <v>0.12</v>
      </c>
      <c r="F6566" t="str">
        <f t="shared" ref="F6566:F6597" si="2775">UPPER(TEXT(G6566,"ddd"))</f>
        <v>WED</v>
      </c>
      <c r="G6566" s="1">
        <f t="shared" ref="G6566:G6596" si="2776">DATE(2020,12,30)</f>
        <v>44195</v>
      </c>
      <c r="H6566" s="2">
        <f t="shared" ref="H6566:H6597" ca="1" si="2777">TODAY()-G6566</f>
        <v>58</v>
      </c>
      <c r="I6566" t="str">
        <f t="shared" ref="I6566:I6597" si="2778">TRIM(LEFT(B6566,FIND(" ",B6566,1)))</f>
        <v>UST2Y</v>
      </c>
      <c r="J6566">
        <f t="shared" ref="J6566:J6597" si="2779">C6566</f>
        <v>0.16</v>
      </c>
      <c r="K6566">
        <f t="shared" ref="K6566:K6597" si="2780">D6566</f>
        <v>0.11</v>
      </c>
      <c r="L6566">
        <f t="shared" ref="L6566:L6597" si="2781">AVERAGE(J6566:K6566)</f>
        <v>0.13500000000000001</v>
      </c>
      <c r="M6566">
        <f t="shared" ref="M6566:M6597" si="2782">_xlfn.STDEV.P(J6566:K6566)</f>
        <v>2.4999999999999942E-2</v>
      </c>
      <c r="N6566">
        <f t="shared" si="2760"/>
        <v>0.05</v>
      </c>
      <c r="O6566">
        <f t="shared" ref="O6566:O6597" si="2783">E6566</f>
        <v>0.12</v>
      </c>
      <c r="P6566">
        <f t="shared" ref="P6566:P6597" si="2784">(O6566-L6566)/M6566</f>
        <v>-0.60000000000000187</v>
      </c>
      <c r="Q6566" t="str">
        <f t="shared" si="2761"/>
        <v>33.33% | 8.33%</v>
      </c>
      <c r="R6566" t="str">
        <f t="shared" ref="R6566:R6597" si="2785">MID(B6566,FIND("(",B6566,1)+1,FIND(")",B6566,1)-FIND("(",B6566,1)-1)</f>
        <v>NEUTRAL</v>
      </c>
      <c r="S6566">
        <f t="shared" ref="S6566:S6597" si="2786">IF(R6566="BEARISH",-1,IF(R6566="NEUTRAL",0,IF(R6566="BULLISH",1,99)))</f>
        <v>0</v>
      </c>
    </row>
    <row r="6567" spans="1:19" hidden="1" x14ac:dyDescent="0.25">
      <c r="A6567" s="5" t="str">
        <f t="shared" si="2774"/>
        <v>44195SPX</v>
      </c>
      <c r="B6567" s="6" t="s">
        <v>93</v>
      </c>
      <c r="C6567" s="6">
        <v>3674</v>
      </c>
      <c r="D6567" s="6">
        <v>3749</v>
      </c>
      <c r="E6567" s="6">
        <v>3727</v>
      </c>
      <c r="F6567" t="str">
        <f t="shared" si="2775"/>
        <v>WED</v>
      </c>
      <c r="G6567" s="1">
        <f t="shared" si="2776"/>
        <v>44195</v>
      </c>
      <c r="H6567" s="2">
        <f t="shared" ca="1" si="2777"/>
        <v>58</v>
      </c>
      <c r="I6567" t="str">
        <f t="shared" si="2778"/>
        <v>SPX</v>
      </c>
      <c r="J6567">
        <f t="shared" si="2779"/>
        <v>3674</v>
      </c>
      <c r="K6567">
        <f t="shared" si="2780"/>
        <v>3749</v>
      </c>
      <c r="L6567">
        <f t="shared" si="2781"/>
        <v>3711.5</v>
      </c>
      <c r="M6567">
        <f t="shared" si="2782"/>
        <v>37.5</v>
      </c>
      <c r="N6567">
        <f t="shared" si="2760"/>
        <v>75</v>
      </c>
      <c r="O6567">
        <f t="shared" si="2783"/>
        <v>3727</v>
      </c>
      <c r="P6567">
        <f t="shared" si="2784"/>
        <v>0.41333333333333333</v>
      </c>
      <c r="Q6567" t="str">
        <f t="shared" si="2761"/>
        <v>1.42% | 0.59%</v>
      </c>
      <c r="R6567" t="str">
        <f t="shared" si="2785"/>
        <v>BULLISH</v>
      </c>
      <c r="S6567">
        <f t="shared" si="2786"/>
        <v>1</v>
      </c>
    </row>
    <row r="6568" spans="1:19" hidden="1" x14ac:dyDescent="0.25">
      <c r="A6568" s="5" t="str">
        <f t="shared" si="2774"/>
        <v>44195RUT</v>
      </c>
      <c r="B6568" s="6" t="s">
        <v>247</v>
      </c>
      <c r="C6568" s="6">
        <v>1940</v>
      </c>
      <c r="D6568" s="6">
        <v>2018</v>
      </c>
      <c r="E6568" s="6">
        <v>1959</v>
      </c>
      <c r="F6568" t="str">
        <f t="shared" si="2775"/>
        <v>WED</v>
      </c>
      <c r="G6568" s="1">
        <f t="shared" si="2776"/>
        <v>44195</v>
      </c>
      <c r="H6568" s="2">
        <f t="shared" ca="1" si="2777"/>
        <v>58</v>
      </c>
      <c r="I6568" t="str">
        <f t="shared" si="2778"/>
        <v>RUT</v>
      </c>
      <c r="J6568">
        <f t="shared" si="2779"/>
        <v>1940</v>
      </c>
      <c r="K6568">
        <f t="shared" si="2780"/>
        <v>2018</v>
      </c>
      <c r="L6568">
        <f t="shared" si="2781"/>
        <v>1979</v>
      </c>
      <c r="M6568">
        <f t="shared" si="2782"/>
        <v>39</v>
      </c>
      <c r="N6568">
        <f t="shared" si="2760"/>
        <v>78</v>
      </c>
      <c r="O6568">
        <f t="shared" si="2783"/>
        <v>1959</v>
      </c>
      <c r="P6568">
        <f t="shared" si="2784"/>
        <v>-0.51282051282051277</v>
      </c>
      <c r="Q6568" t="str">
        <f t="shared" si="2761"/>
        <v>0.97% | 3.01%</v>
      </c>
      <c r="R6568" t="str">
        <f t="shared" si="2785"/>
        <v>BULLISH</v>
      </c>
      <c r="S6568">
        <f t="shared" si="2786"/>
        <v>1</v>
      </c>
    </row>
    <row r="6569" spans="1:19" hidden="1" x14ac:dyDescent="0.25">
      <c r="A6569" s="5" t="str">
        <f t="shared" si="2774"/>
        <v>44195COMPQ</v>
      </c>
      <c r="B6569" s="6" t="s">
        <v>8</v>
      </c>
      <c r="C6569" s="6">
        <v>12634</v>
      </c>
      <c r="D6569" s="6">
        <v>12950</v>
      </c>
      <c r="E6569" s="6">
        <v>12850</v>
      </c>
      <c r="F6569" t="str">
        <f t="shared" si="2775"/>
        <v>WED</v>
      </c>
      <c r="G6569" s="1">
        <f t="shared" si="2776"/>
        <v>44195</v>
      </c>
      <c r="H6569" s="2">
        <f t="shared" ca="1" si="2777"/>
        <v>58</v>
      </c>
      <c r="I6569" t="str">
        <f t="shared" si="2778"/>
        <v>COMPQ</v>
      </c>
      <c r="J6569">
        <f t="shared" si="2779"/>
        <v>12634</v>
      </c>
      <c r="K6569">
        <f t="shared" si="2780"/>
        <v>12950</v>
      </c>
      <c r="L6569">
        <f t="shared" si="2781"/>
        <v>12792</v>
      </c>
      <c r="M6569">
        <f t="shared" si="2782"/>
        <v>158</v>
      </c>
      <c r="N6569">
        <f t="shared" si="2760"/>
        <v>316</v>
      </c>
      <c r="O6569">
        <f t="shared" si="2783"/>
        <v>12850</v>
      </c>
      <c r="P6569">
        <f t="shared" si="2784"/>
        <v>0.36708860759493672</v>
      </c>
      <c r="Q6569" t="str">
        <f t="shared" si="2761"/>
        <v>1.68% | 0.78%</v>
      </c>
      <c r="R6569" t="str">
        <f t="shared" si="2785"/>
        <v>BULLISH</v>
      </c>
      <c r="S6569">
        <f t="shared" si="2786"/>
        <v>1</v>
      </c>
    </row>
    <row r="6570" spans="1:19" hidden="1" x14ac:dyDescent="0.25">
      <c r="A6570" s="5" t="str">
        <f t="shared" si="2774"/>
        <v>44195XLK</v>
      </c>
      <c r="B6570" s="6" t="s">
        <v>10</v>
      </c>
      <c r="C6570" s="6">
        <v>126.25</v>
      </c>
      <c r="D6570" s="6">
        <v>131.04</v>
      </c>
      <c r="E6570" s="6">
        <v>129.9</v>
      </c>
      <c r="F6570" t="str">
        <f t="shared" si="2775"/>
        <v>WED</v>
      </c>
      <c r="G6570" s="1">
        <f t="shared" si="2776"/>
        <v>44195</v>
      </c>
      <c r="H6570" s="2">
        <f t="shared" ca="1" si="2777"/>
        <v>58</v>
      </c>
      <c r="I6570" t="str">
        <f t="shared" si="2778"/>
        <v>XLK</v>
      </c>
      <c r="J6570">
        <f t="shared" si="2779"/>
        <v>126.25</v>
      </c>
      <c r="K6570">
        <f t="shared" si="2780"/>
        <v>131.04</v>
      </c>
      <c r="L6570">
        <f t="shared" si="2781"/>
        <v>128.64499999999998</v>
      </c>
      <c r="M6570">
        <f t="shared" si="2782"/>
        <v>2.394999999999996</v>
      </c>
      <c r="N6570">
        <f t="shared" si="2760"/>
        <v>4.789999999999992</v>
      </c>
      <c r="O6570">
        <f t="shared" si="2783"/>
        <v>129.9</v>
      </c>
      <c r="P6570">
        <f t="shared" si="2784"/>
        <v>0.52400835073069973</v>
      </c>
      <c r="Q6570" t="str">
        <f t="shared" si="2761"/>
        <v>2.81% | 0.88%</v>
      </c>
      <c r="R6570" t="str">
        <f t="shared" si="2785"/>
        <v>BULLISH</v>
      </c>
      <c r="S6570">
        <f t="shared" si="2786"/>
        <v>1</v>
      </c>
    </row>
    <row r="6571" spans="1:19" hidden="1" x14ac:dyDescent="0.25">
      <c r="A6571" s="5" t="str">
        <f t="shared" si="2774"/>
        <v>44195XLE</v>
      </c>
      <c r="B6571" s="6" t="s">
        <v>250</v>
      </c>
      <c r="C6571" s="6">
        <v>36.89</v>
      </c>
      <c r="D6571" s="6">
        <v>40.22</v>
      </c>
      <c r="E6571" s="6">
        <v>37.630000000000003</v>
      </c>
      <c r="F6571" t="str">
        <f t="shared" si="2775"/>
        <v>WED</v>
      </c>
      <c r="G6571" s="1">
        <f t="shared" si="2776"/>
        <v>44195</v>
      </c>
      <c r="H6571" s="2">
        <f t="shared" ca="1" si="2777"/>
        <v>58</v>
      </c>
      <c r="I6571" t="str">
        <f t="shared" si="2778"/>
        <v>XLE</v>
      </c>
      <c r="J6571">
        <f t="shared" si="2779"/>
        <v>36.89</v>
      </c>
      <c r="K6571">
        <f t="shared" si="2780"/>
        <v>40.22</v>
      </c>
      <c r="L6571">
        <f t="shared" si="2781"/>
        <v>38.555</v>
      </c>
      <c r="M6571">
        <f t="shared" si="2782"/>
        <v>1.6649999999999991</v>
      </c>
      <c r="N6571">
        <f t="shared" si="2760"/>
        <v>3.3299999999999983</v>
      </c>
      <c r="O6571">
        <f t="shared" si="2783"/>
        <v>37.630000000000003</v>
      </c>
      <c r="P6571">
        <f t="shared" si="2784"/>
        <v>-0.55555555555555414</v>
      </c>
      <c r="Q6571" t="str">
        <f t="shared" si="2761"/>
        <v>1.97% | 6.88%</v>
      </c>
      <c r="R6571" t="str">
        <f t="shared" si="2785"/>
        <v>BULLISH</v>
      </c>
      <c r="S6571">
        <f t="shared" si="2786"/>
        <v>1</v>
      </c>
    </row>
    <row r="6572" spans="1:19" hidden="1" x14ac:dyDescent="0.25">
      <c r="A6572" s="5" t="str">
        <f t="shared" si="2774"/>
        <v>44195XLF</v>
      </c>
      <c r="B6572" s="6" t="s">
        <v>258</v>
      </c>
      <c r="C6572" s="6">
        <v>28.12</v>
      </c>
      <c r="D6572" s="6">
        <v>29.34</v>
      </c>
      <c r="E6572" s="6">
        <v>28.99</v>
      </c>
      <c r="F6572" t="str">
        <f t="shared" si="2775"/>
        <v>WED</v>
      </c>
      <c r="G6572" s="1">
        <f t="shared" si="2776"/>
        <v>44195</v>
      </c>
      <c r="H6572" s="2">
        <f t="shared" ca="1" si="2777"/>
        <v>58</v>
      </c>
      <c r="I6572" t="str">
        <f t="shared" si="2778"/>
        <v>XLF</v>
      </c>
      <c r="J6572">
        <f t="shared" si="2779"/>
        <v>28.12</v>
      </c>
      <c r="K6572">
        <f t="shared" si="2780"/>
        <v>29.34</v>
      </c>
      <c r="L6572">
        <f t="shared" si="2781"/>
        <v>28.73</v>
      </c>
      <c r="M6572">
        <f t="shared" si="2782"/>
        <v>0.60999999999999943</v>
      </c>
      <c r="N6572">
        <f t="shared" si="2760"/>
        <v>1.2199999999999989</v>
      </c>
      <c r="O6572">
        <f t="shared" si="2783"/>
        <v>28.99</v>
      </c>
      <c r="P6572">
        <f t="shared" si="2784"/>
        <v>0.42622950819671845</v>
      </c>
      <c r="Q6572" t="str">
        <f t="shared" si="2761"/>
        <v>3% | 1.21%</v>
      </c>
      <c r="R6572" t="str">
        <f t="shared" si="2785"/>
        <v>BULLISH</v>
      </c>
      <c r="S6572">
        <f t="shared" si="2786"/>
        <v>1</v>
      </c>
    </row>
    <row r="6573" spans="1:19" hidden="1" x14ac:dyDescent="0.25">
      <c r="A6573" s="5" t="str">
        <f t="shared" si="2774"/>
        <v>44195XLU</v>
      </c>
      <c r="B6573" s="6" t="s">
        <v>82</v>
      </c>
      <c r="C6573" s="6">
        <v>60.28</v>
      </c>
      <c r="D6573" s="6">
        <v>62.38</v>
      </c>
      <c r="E6573" s="6">
        <v>61.47</v>
      </c>
      <c r="F6573" t="str">
        <f t="shared" si="2775"/>
        <v>WED</v>
      </c>
      <c r="G6573" s="1">
        <f t="shared" si="2776"/>
        <v>44195</v>
      </c>
      <c r="H6573" s="2">
        <f t="shared" ca="1" si="2777"/>
        <v>58</v>
      </c>
      <c r="I6573" t="str">
        <f t="shared" si="2778"/>
        <v>XLU</v>
      </c>
      <c r="J6573">
        <f t="shared" si="2779"/>
        <v>60.28</v>
      </c>
      <c r="K6573">
        <f t="shared" si="2780"/>
        <v>62.38</v>
      </c>
      <c r="L6573">
        <f t="shared" si="2781"/>
        <v>61.33</v>
      </c>
      <c r="M6573">
        <f t="shared" si="2782"/>
        <v>1.0500000000000007</v>
      </c>
      <c r="N6573">
        <f t="shared" si="2760"/>
        <v>2.1000000000000014</v>
      </c>
      <c r="O6573">
        <f t="shared" si="2783"/>
        <v>61.47</v>
      </c>
      <c r="P6573">
        <f t="shared" si="2784"/>
        <v>0.13333333333333378</v>
      </c>
      <c r="Q6573" t="str">
        <f t="shared" si="2761"/>
        <v>1.94% | 1.48%</v>
      </c>
      <c r="R6573" t="str">
        <f t="shared" si="2785"/>
        <v>BEARISH</v>
      </c>
      <c r="S6573">
        <f t="shared" si="2786"/>
        <v>-1</v>
      </c>
    </row>
    <row r="6574" spans="1:19" hidden="1" x14ac:dyDescent="0.25">
      <c r="A6574" s="5" t="str">
        <f t="shared" si="2774"/>
        <v>44195GDX</v>
      </c>
      <c r="B6574" s="6" t="s">
        <v>254</v>
      </c>
      <c r="C6574" s="6">
        <v>34.020000000000003</v>
      </c>
      <c r="D6574" s="6">
        <v>37.04</v>
      </c>
      <c r="E6574" s="6">
        <v>35.74</v>
      </c>
      <c r="F6574" t="str">
        <f t="shared" si="2775"/>
        <v>WED</v>
      </c>
      <c r="G6574" s="1">
        <f t="shared" si="2776"/>
        <v>44195</v>
      </c>
      <c r="H6574" s="2">
        <f t="shared" ca="1" si="2777"/>
        <v>58</v>
      </c>
      <c r="I6574" t="str">
        <f t="shared" si="2778"/>
        <v>GDX</v>
      </c>
      <c r="J6574">
        <f t="shared" si="2779"/>
        <v>34.020000000000003</v>
      </c>
      <c r="K6574">
        <f t="shared" si="2780"/>
        <v>37.04</v>
      </c>
      <c r="L6574">
        <f t="shared" si="2781"/>
        <v>35.53</v>
      </c>
      <c r="M6574">
        <f t="shared" si="2782"/>
        <v>1.509999999999998</v>
      </c>
      <c r="N6574">
        <f t="shared" si="2760"/>
        <v>3.019999999999996</v>
      </c>
      <c r="O6574">
        <f t="shared" si="2783"/>
        <v>35.74</v>
      </c>
      <c r="P6574">
        <f t="shared" si="2784"/>
        <v>0.13907284768211994</v>
      </c>
      <c r="Q6574" t="str">
        <f t="shared" si="2761"/>
        <v>4.81% | 3.64%</v>
      </c>
      <c r="R6574" t="str">
        <f t="shared" si="2785"/>
        <v>BEARISH</v>
      </c>
      <c r="S6574">
        <f t="shared" si="2786"/>
        <v>-1</v>
      </c>
    </row>
    <row r="6575" spans="1:19" hidden="1" x14ac:dyDescent="0.25">
      <c r="A6575" s="5" t="str">
        <f t="shared" si="2774"/>
        <v>44195SSEC</v>
      </c>
      <c r="B6575" s="6" t="s">
        <v>104</v>
      </c>
      <c r="C6575" s="6">
        <v>3341</v>
      </c>
      <c r="D6575" s="6">
        <v>3435</v>
      </c>
      <c r="E6575" s="6">
        <v>3414</v>
      </c>
      <c r="F6575" t="str">
        <f t="shared" si="2775"/>
        <v>WED</v>
      </c>
      <c r="G6575" s="1">
        <f t="shared" si="2776"/>
        <v>44195</v>
      </c>
      <c r="H6575" s="2">
        <f t="shared" ca="1" si="2777"/>
        <v>58</v>
      </c>
      <c r="I6575" t="str">
        <f t="shared" si="2778"/>
        <v>SSEC</v>
      </c>
      <c r="J6575">
        <f t="shared" si="2779"/>
        <v>3341</v>
      </c>
      <c r="K6575">
        <f t="shared" si="2780"/>
        <v>3435</v>
      </c>
      <c r="L6575">
        <f t="shared" si="2781"/>
        <v>3388</v>
      </c>
      <c r="M6575">
        <f t="shared" si="2782"/>
        <v>47</v>
      </c>
      <c r="N6575">
        <f t="shared" si="2760"/>
        <v>94</v>
      </c>
      <c r="O6575">
        <f t="shared" si="2783"/>
        <v>3414</v>
      </c>
      <c r="P6575">
        <f t="shared" si="2784"/>
        <v>0.55319148936170215</v>
      </c>
      <c r="Q6575" t="str">
        <f t="shared" si="2761"/>
        <v>2.14% | 0.62%</v>
      </c>
      <c r="R6575" t="str">
        <f t="shared" si="2785"/>
        <v>BULLISH</v>
      </c>
      <c r="S6575">
        <f t="shared" si="2786"/>
        <v>1</v>
      </c>
    </row>
    <row r="6576" spans="1:19" hidden="1" x14ac:dyDescent="0.25">
      <c r="A6576" s="5" t="str">
        <f t="shared" si="2774"/>
        <v>44195NIKK</v>
      </c>
      <c r="B6576" s="6" t="s">
        <v>91</v>
      </c>
      <c r="C6576" s="6">
        <v>26706</v>
      </c>
      <c r="D6576" s="6">
        <v>27612</v>
      </c>
      <c r="E6576" s="6">
        <v>27444</v>
      </c>
      <c r="F6576" t="str">
        <f t="shared" si="2775"/>
        <v>WED</v>
      </c>
      <c r="G6576" s="1">
        <f t="shared" si="2776"/>
        <v>44195</v>
      </c>
      <c r="H6576" s="2">
        <f t="shared" ca="1" si="2777"/>
        <v>58</v>
      </c>
      <c r="I6576" t="str">
        <f t="shared" si="2778"/>
        <v>NIKK</v>
      </c>
      <c r="J6576">
        <f t="shared" si="2779"/>
        <v>26706</v>
      </c>
      <c r="K6576">
        <f t="shared" si="2780"/>
        <v>27612</v>
      </c>
      <c r="L6576">
        <f t="shared" si="2781"/>
        <v>27159</v>
      </c>
      <c r="M6576">
        <f t="shared" si="2782"/>
        <v>453</v>
      </c>
      <c r="N6576">
        <f t="shared" si="2760"/>
        <v>906</v>
      </c>
      <c r="O6576">
        <f t="shared" si="2783"/>
        <v>27444</v>
      </c>
      <c r="P6576">
        <f t="shared" si="2784"/>
        <v>0.62913907284768211</v>
      </c>
      <c r="Q6576" t="str">
        <f t="shared" si="2761"/>
        <v>2.69% | 0.61%</v>
      </c>
      <c r="R6576" t="str">
        <f t="shared" si="2785"/>
        <v>BULLISH</v>
      </c>
      <c r="S6576">
        <f t="shared" si="2786"/>
        <v>1</v>
      </c>
    </row>
    <row r="6577" spans="1:19" hidden="1" x14ac:dyDescent="0.25">
      <c r="A6577" s="5" t="str">
        <f t="shared" si="2774"/>
        <v>44195DAX</v>
      </c>
      <c r="B6577" s="6" t="s">
        <v>98</v>
      </c>
      <c r="C6577" s="6">
        <v>13215</v>
      </c>
      <c r="D6577" s="6">
        <v>13914</v>
      </c>
      <c r="E6577" s="6">
        <v>13761</v>
      </c>
      <c r="F6577" t="str">
        <f t="shared" si="2775"/>
        <v>WED</v>
      </c>
      <c r="G6577" s="1">
        <f t="shared" si="2776"/>
        <v>44195</v>
      </c>
      <c r="H6577" s="2">
        <f t="shared" ca="1" si="2777"/>
        <v>58</v>
      </c>
      <c r="I6577" t="str">
        <f t="shared" si="2778"/>
        <v>DAX</v>
      </c>
      <c r="J6577">
        <f t="shared" si="2779"/>
        <v>13215</v>
      </c>
      <c r="K6577">
        <f t="shared" si="2780"/>
        <v>13914</v>
      </c>
      <c r="L6577">
        <f t="shared" si="2781"/>
        <v>13564.5</v>
      </c>
      <c r="M6577">
        <f t="shared" si="2782"/>
        <v>349.5</v>
      </c>
      <c r="N6577">
        <f t="shared" si="2760"/>
        <v>699</v>
      </c>
      <c r="O6577">
        <f t="shared" si="2783"/>
        <v>13761</v>
      </c>
      <c r="P6577">
        <f t="shared" si="2784"/>
        <v>0.5622317596566524</v>
      </c>
      <c r="Q6577" t="str">
        <f t="shared" si="2761"/>
        <v>3.97% | 1.11%</v>
      </c>
      <c r="R6577" t="str">
        <f t="shared" si="2785"/>
        <v>BULLISH</v>
      </c>
      <c r="S6577">
        <f t="shared" si="2786"/>
        <v>1</v>
      </c>
    </row>
    <row r="6578" spans="1:19" hidden="1" x14ac:dyDescent="0.25">
      <c r="A6578" s="5" t="str">
        <f t="shared" si="2774"/>
        <v>44195VIX</v>
      </c>
      <c r="B6578" s="6" t="s">
        <v>96</v>
      </c>
      <c r="C6578" s="6">
        <v>20.260000000000002</v>
      </c>
      <c r="D6578" s="6">
        <v>25.21</v>
      </c>
      <c r="E6578" s="6">
        <v>23.08</v>
      </c>
      <c r="F6578" t="str">
        <f t="shared" si="2775"/>
        <v>WED</v>
      </c>
      <c r="G6578" s="1">
        <f t="shared" si="2776"/>
        <v>44195</v>
      </c>
      <c r="H6578" s="2">
        <f t="shared" ca="1" si="2777"/>
        <v>58</v>
      </c>
      <c r="I6578" t="str">
        <f t="shared" si="2778"/>
        <v>VIX</v>
      </c>
      <c r="J6578">
        <f t="shared" si="2779"/>
        <v>20.260000000000002</v>
      </c>
      <c r="K6578">
        <f t="shared" si="2780"/>
        <v>25.21</v>
      </c>
      <c r="L6578">
        <f t="shared" si="2781"/>
        <v>22.734999999999999</v>
      </c>
      <c r="M6578">
        <f t="shared" si="2782"/>
        <v>2.4750000000000028</v>
      </c>
      <c r="N6578">
        <f t="shared" si="2760"/>
        <v>4.9499999999999993</v>
      </c>
      <c r="O6578">
        <f t="shared" si="2783"/>
        <v>23.08</v>
      </c>
      <c r="P6578">
        <f t="shared" si="2784"/>
        <v>0.13939393939393879</v>
      </c>
      <c r="Q6578" t="str">
        <f t="shared" si="2761"/>
        <v>12.22% | 9.23%</v>
      </c>
      <c r="R6578" t="str">
        <f t="shared" si="2785"/>
        <v>BEARISH</v>
      </c>
      <c r="S6578">
        <f t="shared" si="2786"/>
        <v>-1</v>
      </c>
    </row>
    <row r="6579" spans="1:19" hidden="1" x14ac:dyDescent="0.25">
      <c r="A6579" s="5" t="str">
        <f t="shared" si="2774"/>
        <v>44195USD</v>
      </c>
      <c r="B6579" s="6" t="s">
        <v>94</v>
      </c>
      <c r="C6579" s="6">
        <v>89.61</v>
      </c>
      <c r="D6579" s="6">
        <v>90.75</v>
      </c>
      <c r="E6579" s="6">
        <v>89.92</v>
      </c>
      <c r="F6579" t="str">
        <f t="shared" si="2775"/>
        <v>WED</v>
      </c>
      <c r="G6579" s="1">
        <f t="shared" si="2776"/>
        <v>44195</v>
      </c>
      <c r="H6579" s="2">
        <f t="shared" ca="1" si="2777"/>
        <v>58</v>
      </c>
      <c r="I6579" t="str">
        <f t="shared" si="2778"/>
        <v>USD</v>
      </c>
      <c r="J6579">
        <f t="shared" si="2779"/>
        <v>89.61</v>
      </c>
      <c r="K6579">
        <f t="shared" si="2780"/>
        <v>90.75</v>
      </c>
      <c r="L6579">
        <f t="shared" si="2781"/>
        <v>90.18</v>
      </c>
      <c r="M6579">
        <f t="shared" si="2782"/>
        <v>0.57000000000000028</v>
      </c>
      <c r="N6579">
        <f t="shared" si="2760"/>
        <v>1.1400000000000006</v>
      </c>
      <c r="O6579">
        <f t="shared" si="2783"/>
        <v>89.92</v>
      </c>
      <c r="P6579">
        <f t="shared" si="2784"/>
        <v>-0.45614035087720173</v>
      </c>
      <c r="Q6579" t="str">
        <f t="shared" si="2761"/>
        <v>0.34% | 0.92%</v>
      </c>
      <c r="R6579" t="str">
        <f t="shared" si="2785"/>
        <v>BEARISH</v>
      </c>
      <c r="S6579">
        <f t="shared" si="2786"/>
        <v>-1</v>
      </c>
    </row>
    <row r="6580" spans="1:19" hidden="1" x14ac:dyDescent="0.25">
      <c r="A6580" s="5" t="str">
        <f t="shared" si="2774"/>
        <v>44195EUR/USD</v>
      </c>
      <c r="B6580" s="6" t="s">
        <v>99</v>
      </c>
      <c r="C6580" s="6">
        <v>1.214</v>
      </c>
      <c r="D6580" s="6">
        <v>1.2290000000000001</v>
      </c>
      <c r="E6580" s="6">
        <v>1.2250000000000001</v>
      </c>
      <c r="F6580" t="str">
        <f t="shared" si="2775"/>
        <v>WED</v>
      </c>
      <c r="G6580" s="1">
        <f t="shared" si="2776"/>
        <v>44195</v>
      </c>
      <c r="H6580" s="2">
        <f t="shared" ca="1" si="2777"/>
        <v>58</v>
      </c>
      <c r="I6580" t="str">
        <f t="shared" si="2778"/>
        <v>EUR/USD</v>
      </c>
      <c r="J6580">
        <f t="shared" si="2779"/>
        <v>1.214</v>
      </c>
      <c r="K6580">
        <f t="shared" si="2780"/>
        <v>1.2290000000000001</v>
      </c>
      <c r="L6580">
        <f t="shared" si="2781"/>
        <v>1.2215</v>
      </c>
      <c r="M6580">
        <f t="shared" si="2782"/>
        <v>7.5000000000000622E-3</v>
      </c>
      <c r="N6580">
        <f t="shared" si="2760"/>
        <v>1.5000000000000124E-2</v>
      </c>
      <c r="O6580">
        <f t="shared" si="2783"/>
        <v>1.2250000000000001</v>
      </c>
      <c r="P6580">
        <f t="shared" si="2784"/>
        <v>0.46666666666667062</v>
      </c>
      <c r="Q6580" t="str">
        <f t="shared" si="2761"/>
        <v>0.9% | 0.33%</v>
      </c>
      <c r="R6580" t="str">
        <f t="shared" si="2785"/>
        <v>BULLISH</v>
      </c>
      <c r="S6580">
        <f t="shared" si="2786"/>
        <v>1</v>
      </c>
    </row>
    <row r="6581" spans="1:19" hidden="1" x14ac:dyDescent="0.25">
      <c r="A6581" s="5" t="str">
        <f t="shared" si="2774"/>
        <v>44195USD/JPY</v>
      </c>
      <c r="B6581" s="6" t="s">
        <v>20</v>
      </c>
      <c r="C6581" s="6">
        <v>102.95</v>
      </c>
      <c r="D6581" s="6">
        <v>103.97</v>
      </c>
      <c r="E6581" s="6">
        <v>103.54</v>
      </c>
      <c r="F6581" t="str">
        <f t="shared" si="2775"/>
        <v>WED</v>
      </c>
      <c r="G6581" s="1">
        <f t="shared" si="2776"/>
        <v>44195</v>
      </c>
      <c r="H6581" s="2">
        <f t="shared" ca="1" si="2777"/>
        <v>58</v>
      </c>
      <c r="I6581" t="str">
        <f t="shared" si="2778"/>
        <v>USD/JPY</v>
      </c>
      <c r="J6581">
        <f t="shared" si="2779"/>
        <v>102.95</v>
      </c>
      <c r="K6581">
        <f t="shared" si="2780"/>
        <v>103.97</v>
      </c>
      <c r="L6581">
        <f t="shared" si="2781"/>
        <v>103.46000000000001</v>
      </c>
      <c r="M6581">
        <f t="shared" si="2782"/>
        <v>0.50999999999999801</v>
      </c>
      <c r="N6581">
        <f t="shared" si="2760"/>
        <v>1.019999999999996</v>
      </c>
      <c r="O6581">
        <f t="shared" si="2783"/>
        <v>103.54</v>
      </c>
      <c r="P6581">
        <f t="shared" si="2784"/>
        <v>0.15686274509803649</v>
      </c>
      <c r="Q6581" t="str">
        <f t="shared" si="2761"/>
        <v>0.57% | 0.42%</v>
      </c>
      <c r="R6581" t="str">
        <f t="shared" si="2785"/>
        <v>BEARISH</v>
      </c>
      <c r="S6581">
        <f t="shared" si="2786"/>
        <v>-1</v>
      </c>
    </row>
    <row r="6582" spans="1:19" hidden="1" x14ac:dyDescent="0.25">
      <c r="A6582" s="5" t="str">
        <f t="shared" si="2774"/>
        <v>44195GBP/USD</v>
      </c>
      <c r="B6582" s="6" t="s">
        <v>102</v>
      </c>
      <c r="C6582" s="6">
        <v>1.3380000000000001</v>
      </c>
      <c r="D6582" s="6">
        <v>1.3620000000000001</v>
      </c>
      <c r="E6582" s="6">
        <v>1.351</v>
      </c>
      <c r="F6582" t="str">
        <f t="shared" si="2775"/>
        <v>WED</v>
      </c>
      <c r="G6582" s="1">
        <f t="shared" si="2776"/>
        <v>44195</v>
      </c>
      <c r="H6582" s="2">
        <f t="shared" ca="1" si="2777"/>
        <v>58</v>
      </c>
      <c r="I6582" t="str">
        <f t="shared" si="2778"/>
        <v>GBP/USD</v>
      </c>
      <c r="J6582">
        <f t="shared" si="2779"/>
        <v>1.3380000000000001</v>
      </c>
      <c r="K6582">
        <f t="shared" si="2780"/>
        <v>1.3620000000000001</v>
      </c>
      <c r="L6582">
        <f t="shared" si="2781"/>
        <v>1.35</v>
      </c>
      <c r="M6582">
        <f t="shared" si="2782"/>
        <v>1.2000000000000011E-2</v>
      </c>
      <c r="N6582">
        <f t="shared" si="2760"/>
        <v>2.4000000000000021E-2</v>
      </c>
      <c r="O6582">
        <f t="shared" si="2783"/>
        <v>1.351</v>
      </c>
      <c r="P6582">
        <f t="shared" si="2784"/>
        <v>8.3333333333324086E-2</v>
      </c>
      <c r="Q6582" t="str">
        <f t="shared" si="2761"/>
        <v>0.96% | 0.81%</v>
      </c>
      <c r="R6582" t="str">
        <f t="shared" si="2785"/>
        <v>BULLISH</v>
      </c>
      <c r="S6582">
        <f t="shared" si="2786"/>
        <v>1</v>
      </c>
    </row>
    <row r="6583" spans="1:19" hidden="1" x14ac:dyDescent="0.25">
      <c r="A6583" s="5" t="str">
        <f t="shared" si="2774"/>
        <v>44195CAD/USD</v>
      </c>
      <c r="B6583" s="6" t="s">
        <v>244</v>
      </c>
      <c r="C6583" s="6">
        <v>0.77</v>
      </c>
      <c r="D6583" s="6">
        <v>0.79</v>
      </c>
      <c r="E6583" s="6">
        <v>0.78</v>
      </c>
      <c r="F6583" t="str">
        <f t="shared" si="2775"/>
        <v>WED</v>
      </c>
      <c r="G6583" s="1">
        <f t="shared" si="2776"/>
        <v>44195</v>
      </c>
      <c r="H6583" s="2">
        <f t="shared" ca="1" si="2777"/>
        <v>58</v>
      </c>
      <c r="I6583" t="str">
        <f t="shared" si="2778"/>
        <v>CAD/USD</v>
      </c>
      <c r="J6583">
        <f t="shared" si="2779"/>
        <v>0.77</v>
      </c>
      <c r="K6583">
        <f t="shared" si="2780"/>
        <v>0.79</v>
      </c>
      <c r="L6583">
        <f t="shared" si="2781"/>
        <v>0.78</v>
      </c>
      <c r="M6583">
        <f t="shared" si="2782"/>
        <v>1.0000000000000009E-2</v>
      </c>
      <c r="N6583">
        <f t="shared" si="2760"/>
        <v>2.0000000000000018E-2</v>
      </c>
      <c r="O6583">
        <f t="shared" si="2783"/>
        <v>0.78</v>
      </c>
      <c r="P6583">
        <f t="shared" si="2784"/>
        <v>0</v>
      </c>
      <c r="Q6583" t="str">
        <f t="shared" si="2761"/>
        <v>1.28% | 1.28%</v>
      </c>
      <c r="R6583" t="str">
        <f t="shared" si="2785"/>
        <v>BULLISH</v>
      </c>
      <c r="S6583">
        <f t="shared" si="2786"/>
        <v>1</v>
      </c>
    </row>
    <row r="6584" spans="1:19" hidden="1" x14ac:dyDescent="0.25">
      <c r="A6584" s="5" t="str">
        <f t="shared" si="2774"/>
        <v>44195USD/CHF</v>
      </c>
      <c r="B6584" s="6" t="s">
        <v>76</v>
      </c>
      <c r="C6584" s="6">
        <v>0.87</v>
      </c>
      <c r="D6584" s="6">
        <v>0.89</v>
      </c>
      <c r="E6584" s="6">
        <v>0.88</v>
      </c>
      <c r="F6584" t="str">
        <f t="shared" si="2775"/>
        <v>WED</v>
      </c>
      <c r="G6584" s="1">
        <f t="shared" si="2776"/>
        <v>44195</v>
      </c>
      <c r="H6584" s="2">
        <f t="shared" ca="1" si="2777"/>
        <v>58</v>
      </c>
      <c r="I6584" t="str">
        <f t="shared" si="2778"/>
        <v>USD/CHF</v>
      </c>
      <c r="J6584">
        <f t="shared" si="2779"/>
        <v>0.87</v>
      </c>
      <c r="K6584">
        <f t="shared" si="2780"/>
        <v>0.89</v>
      </c>
      <c r="L6584">
        <f t="shared" si="2781"/>
        <v>0.88</v>
      </c>
      <c r="M6584">
        <f t="shared" si="2782"/>
        <v>1.0000000000000009E-2</v>
      </c>
      <c r="N6584">
        <f t="shared" si="2760"/>
        <v>2.0000000000000018E-2</v>
      </c>
      <c r="O6584">
        <f t="shared" si="2783"/>
        <v>0.88</v>
      </c>
      <c r="P6584">
        <f t="shared" si="2784"/>
        <v>0</v>
      </c>
      <c r="Q6584" t="str">
        <f t="shared" si="2761"/>
        <v>1.14% | 1.14%</v>
      </c>
      <c r="R6584" t="str">
        <f t="shared" si="2785"/>
        <v>BEARISH</v>
      </c>
      <c r="S6584">
        <f t="shared" si="2786"/>
        <v>-1</v>
      </c>
    </row>
    <row r="6585" spans="1:19" hidden="1" x14ac:dyDescent="0.25">
      <c r="A6585" s="5" t="str">
        <f t="shared" si="2774"/>
        <v>44195WTIC</v>
      </c>
      <c r="B6585" s="6" t="s">
        <v>158</v>
      </c>
      <c r="C6585" s="6">
        <v>46.81</v>
      </c>
      <c r="D6585" s="6">
        <v>49.32</v>
      </c>
      <c r="E6585" s="6">
        <v>48</v>
      </c>
      <c r="F6585" t="str">
        <f t="shared" si="2775"/>
        <v>WED</v>
      </c>
      <c r="G6585" s="1">
        <f t="shared" si="2776"/>
        <v>44195</v>
      </c>
      <c r="H6585" s="2">
        <f t="shared" ca="1" si="2777"/>
        <v>58</v>
      </c>
      <c r="I6585" t="str">
        <f t="shared" si="2778"/>
        <v>WTIC</v>
      </c>
      <c r="J6585">
        <f t="shared" si="2779"/>
        <v>46.81</v>
      </c>
      <c r="K6585">
        <f t="shared" si="2780"/>
        <v>49.32</v>
      </c>
      <c r="L6585">
        <f t="shared" si="2781"/>
        <v>48.064999999999998</v>
      </c>
      <c r="M6585">
        <f t="shared" si="2782"/>
        <v>1.254999999999999</v>
      </c>
      <c r="N6585">
        <f t="shared" si="2760"/>
        <v>2.509999999999998</v>
      </c>
      <c r="O6585">
        <f t="shared" si="2783"/>
        <v>48</v>
      </c>
      <c r="P6585">
        <f t="shared" si="2784"/>
        <v>-5.179282868525719E-2</v>
      </c>
      <c r="Q6585" t="str">
        <f t="shared" si="2761"/>
        <v>2.48% | 2.75%</v>
      </c>
      <c r="R6585" t="str">
        <f t="shared" si="2785"/>
        <v>BULLISH</v>
      </c>
      <c r="S6585">
        <f t="shared" si="2786"/>
        <v>1</v>
      </c>
    </row>
    <row r="6586" spans="1:19" hidden="1" x14ac:dyDescent="0.25">
      <c r="A6586" s="5" t="str">
        <f t="shared" si="2774"/>
        <v>44195NATGAS</v>
      </c>
      <c r="B6586" s="6" t="s">
        <v>24</v>
      </c>
      <c r="C6586" s="6">
        <v>2.29</v>
      </c>
      <c r="D6586" s="6">
        <v>2.66</v>
      </c>
      <c r="E6586" s="6">
        <v>2.44</v>
      </c>
      <c r="F6586" t="str">
        <f t="shared" si="2775"/>
        <v>WED</v>
      </c>
      <c r="G6586" s="1">
        <f t="shared" si="2776"/>
        <v>44195</v>
      </c>
      <c r="H6586" s="2">
        <f t="shared" ca="1" si="2777"/>
        <v>58</v>
      </c>
      <c r="I6586" t="str">
        <f t="shared" si="2778"/>
        <v>NATGAS</v>
      </c>
      <c r="J6586">
        <f t="shared" si="2779"/>
        <v>2.29</v>
      </c>
      <c r="K6586">
        <f t="shared" si="2780"/>
        <v>2.66</v>
      </c>
      <c r="L6586">
        <f t="shared" si="2781"/>
        <v>2.4750000000000001</v>
      </c>
      <c r="M6586">
        <f t="shared" si="2782"/>
        <v>0.18500000000000005</v>
      </c>
      <c r="N6586">
        <f t="shared" si="2760"/>
        <v>0.37000000000000011</v>
      </c>
      <c r="O6586">
        <f t="shared" si="2783"/>
        <v>2.44</v>
      </c>
      <c r="P6586">
        <f t="shared" si="2784"/>
        <v>-0.18918918918918989</v>
      </c>
      <c r="Q6586" t="str">
        <f t="shared" si="2761"/>
        <v>6.15% | 9.02%</v>
      </c>
      <c r="R6586" t="str">
        <f t="shared" si="2785"/>
        <v>BEARISH</v>
      </c>
      <c r="S6586">
        <f t="shared" si="2786"/>
        <v>-1</v>
      </c>
    </row>
    <row r="6587" spans="1:19" hidden="1" x14ac:dyDescent="0.25">
      <c r="A6587" s="5" t="str">
        <f t="shared" si="2774"/>
        <v>44195GOLD</v>
      </c>
      <c r="B6587" s="6" t="s">
        <v>249</v>
      </c>
      <c r="C6587" s="6">
        <v>1851</v>
      </c>
      <c r="D6587" s="6">
        <v>1899</v>
      </c>
      <c r="E6587" s="6">
        <v>1882</v>
      </c>
      <c r="F6587" t="str">
        <f t="shared" si="2775"/>
        <v>WED</v>
      </c>
      <c r="G6587" s="1">
        <f t="shared" si="2776"/>
        <v>44195</v>
      </c>
      <c r="H6587" s="2">
        <f t="shared" ca="1" si="2777"/>
        <v>58</v>
      </c>
      <c r="I6587" t="str">
        <f t="shared" si="2778"/>
        <v>GOLD</v>
      </c>
      <c r="J6587">
        <f t="shared" si="2779"/>
        <v>1851</v>
      </c>
      <c r="K6587">
        <f t="shared" si="2780"/>
        <v>1899</v>
      </c>
      <c r="L6587">
        <f t="shared" si="2781"/>
        <v>1875</v>
      </c>
      <c r="M6587">
        <f t="shared" si="2782"/>
        <v>24</v>
      </c>
      <c r="N6587">
        <f t="shared" si="2760"/>
        <v>48</v>
      </c>
      <c r="O6587">
        <f t="shared" si="2783"/>
        <v>1882</v>
      </c>
      <c r="P6587">
        <f t="shared" si="2784"/>
        <v>0.29166666666666669</v>
      </c>
      <c r="Q6587" t="str">
        <f t="shared" si="2761"/>
        <v>1.65% | 0.9%</v>
      </c>
      <c r="R6587" t="str">
        <f t="shared" si="2785"/>
        <v>NEUTRAL</v>
      </c>
      <c r="S6587">
        <f t="shared" si="2786"/>
        <v>0</v>
      </c>
    </row>
    <row r="6588" spans="1:19" hidden="1" x14ac:dyDescent="0.25">
      <c r="A6588" s="5" t="str">
        <f t="shared" si="2774"/>
        <v>44195COPPER</v>
      </c>
      <c r="B6588" s="6" t="s">
        <v>100</v>
      </c>
      <c r="C6588" s="6">
        <v>3.5</v>
      </c>
      <c r="D6588" s="6">
        <v>3.64</v>
      </c>
      <c r="E6588" s="6">
        <v>3.56</v>
      </c>
      <c r="F6588" t="str">
        <f t="shared" si="2775"/>
        <v>WED</v>
      </c>
      <c r="G6588" s="1">
        <f t="shared" si="2776"/>
        <v>44195</v>
      </c>
      <c r="H6588" s="2">
        <f t="shared" ca="1" si="2777"/>
        <v>58</v>
      </c>
      <c r="I6588" t="str">
        <f t="shared" si="2778"/>
        <v>COPPER</v>
      </c>
      <c r="J6588">
        <f t="shared" si="2779"/>
        <v>3.5</v>
      </c>
      <c r="K6588">
        <f t="shared" si="2780"/>
        <v>3.64</v>
      </c>
      <c r="L6588">
        <f t="shared" si="2781"/>
        <v>3.5700000000000003</v>
      </c>
      <c r="M6588">
        <f t="shared" si="2782"/>
        <v>7.0000000000000062E-2</v>
      </c>
      <c r="N6588">
        <f t="shared" si="2760"/>
        <v>0.14000000000000012</v>
      </c>
      <c r="O6588">
        <f t="shared" si="2783"/>
        <v>3.56</v>
      </c>
      <c r="P6588">
        <f t="shared" si="2784"/>
        <v>-0.14285714285714604</v>
      </c>
      <c r="Q6588" t="str">
        <f t="shared" si="2761"/>
        <v>1.69% | 2.25%</v>
      </c>
      <c r="R6588" t="str">
        <f t="shared" si="2785"/>
        <v>BULLISH</v>
      </c>
      <c r="S6588">
        <f t="shared" si="2786"/>
        <v>1</v>
      </c>
    </row>
    <row r="6589" spans="1:19" hidden="1" x14ac:dyDescent="0.25">
      <c r="A6589" s="5" t="str">
        <f t="shared" si="2774"/>
        <v>44195MSFT</v>
      </c>
      <c r="B6589" s="6" t="s">
        <v>27</v>
      </c>
      <c r="C6589" s="6">
        <v>218</v>
      </c>
      <c r="D6589" s="6">
        <v>227</v>
      </c>
      <c r="E6589" s="6">
        <v>224</v>
      </c>
      <c r="F6589" t="str">
        <f t="shared" si="2775"/>
        <v>WED</v>
      </c>
      <c r="G6589" s="1">
        <f t="shared" si="2776"/>
        <v>44195</v>
      </c>
      <c r="H6589" s="2">
        <f t="shared" ca="1" si="2777"/>
        <v>58</v>
      </c>
      <c r="I6589" t="str">
        <f t="shared" si="2778"/>
        <v>MSFT</v>
      </c>
      <c r="J6589">
        <f t="shared" si="2779"/>
        <v>218</v>
      </c>
      <c r="K6589">
        <f t="shared" si="2780"/>
        <v>227</v>
      </c>
      <c r="L6589">
        <f t="shared" si="2781"/>
        <v>222.5</v>
      </c>
      <c r="M6589">
        <f t="shared" si="2782"/>
        <v>4.5</v>
      </c>
      <c r="N6589">
        <f t="shared" si="2760"/>
        <v>9</v>
      </c>
      <c r="O6589">
        <f t="shared" si="2783"/>
        <v>224</v>
      </c>
      <c r="P6589">
        <f t="shared" si="2784"/>
        <v>0.33333333333333331</v>
      </c>
      <c r="Q6589" t="str">
        <f t="shared" si="2761"/>
        <v>2.68% | 1.34%</v>
      </c>
      <c r="R6589" t="str">
        <f t="shared" si="2785"/>
        <v>BULLISH</v>
      </c>
      <c r="S6589">
        <f t="shared" si="2786"/>
        <v>1</v>
      </c>
    </row>
    <row r="6590" spans="1:19" hidden="1" x14ac:dyDescent="0.25">
      <c r="A6590" s="5" t="str">
        <f t="shared" si="2774"/>
        <v>44195AAPL</v>
      </c>
      <c r="B6590" s="6" t="s">
        <v>28</v>
      </c>
      <c r="C6590" s="6">
        <v>129</v>
      </c>
      <c r="D6590" s="6">
        <v>137</v>
      </c>
      <c r="E6590" s="6">
        <v>134</v>
      </c>
      <c r="F6590" t="str">
        <f t="shared" si="2775"/>
        <v>WED</v>
      </c>
      <c r="G6590" s="1">
        <f t="shared" si="2776"/>
        <v>44195</v>
      </c>
      <c r="H6590" s="2">
        <f t="shared" ca="1" si="2777"/>
        <v>58</v>
      </c>
      <c r="I6590" t="str">
        <f t="shared" si="2778"/>
        <v>AAPL</v>
      </c>
      <c r="J6590">
        <f t="shared" si="2779"/>
        <v>129</v>
      </c>
      <c r="K6590">
        <f t="shared" si="2780"/>
        <v>137</v>
      </c>
      <c r="L6590">
        <f t="shared" si="2781"/>
        <v>133</v>
      </c>
      <c r="M6590">
        <f t="shared" si="2782"/>
        <v>4</v>
      </c>
      <c r="N6590">
        <f t="shared" si="2760"/>
        <v>8</v>
      </c>
      <c r="O6590">
        <f t="shared" si="2783"/>
        <v>134</v>
      </c>
      <c r="P6590">
        <f t="shared" si="2784"/>
        <v>0.25</v>
      </c>
      <c r="Q6590" t="str">
        <f t="shared" si="2761"/>
        <v>3.73% | 2.24%</v>
      </c>
      <c r="R6590" t="str">
        <f t="shared" si="2785"/>
        <v>BULLISH</v>
      </c>
      <c r="S6590">
        <f t="shared" si="2786"/>
        <v>1</v>
      </c>
    </row>
    <row r="6591" spans="1:19" hidden="1" x14ac:dyDescent="0.25">
      <c r="A6591" s="5" t="str">
        <f t="shared" si="2774"/>
        <v>44195AMZN</v>
      </c>
      <c r="B6591" s="6" t="s">
        <v>29</v>
      </c>
      <c r="C6591" s="6">
        <v>3190</v>
      </c>
      <c r="D6591" s="6">
        <v>3366</v>
      </c>
      <c r="E6591" s="6">
        <v>3322</v>
      </c>
      <c r="F6591" t="str">
        <f t="shared" si="2775"/>
        <v>WED</v>
      </c>
      <c r="G6591" s="1">
        <f t="shared" si="2776"/>
        <v>44195</v>
      </c>
      <c r="H6591" s="2">
        <f t="shared" ca="1" si="2777"/>
        <v>58</v>
      </c>
      <c r="I6591" t="str">
        <f t="shared" si="2778"/>
        <v>AMZN</v>
      </c>
      <c r="J6591">
        <f t="shared" si="2779"/>
        <v>3190</v>
      </c>
      <c r="K6591">
        <f t="shared" si="2780"/>
        <v>3366</v>
      </c>
      <c r="L6591">
        <f t="shared" si="2781"/>
        <v>3278</v>
      </c>
      <c r="M6591">
        <f t="shared" si="2782"/>
        <v>88</v>
      </c>
      <c r="N6591">
        <f t="shared" si="2760"/>
        <v>176</v>
      </c>
      <c r="O6591">
        <f t="shared" si="2783"/>
        <v>3322</v>
      </c>
      <c r="P6591">
        <f t="shared" si="2784"/>
        <v>0.5</v>
      </c>
      <c r="Q6591" t="str">
        <f t="shared" si="2761"/>
        <v>3.97% | 1.32%</v>
      </c>
      <c r="R6591" t="str">
        <f t="shared" si="2785"/>
        <v>BULLISH</v>
      </c>
      <c r="S6591">
        <f t="shared" si="2786"/>
        <v>1</v>
      </c>
    </row>
    <row r="6592" spans="1:19" hidden="1" x14ac:dyDescent="0.25">
      <c r="A6592" s="5" t="str">
        <f t="shared" si="2774"/>
        <v>44195FB</v>
      </c>
      <c r="B6592" s="6" t="s">
        <v>30</v>
      </c>
      <c r="C6592" s="6">
        <v>263</v>
      </c>
      <c r="D6592" s="6">
        <v>281</v>
      </c>
      <c r="E6592" s="6">
        <v>276</v>
      </c>
      <c r="F6592" t="str">
        <f t="shared" si="2775"/>
        <v>WED</v>
      </c>
      <c r="G6592" s="1">
        <f t="shared" si="2776"/>
        <v>44195</v>
      </c>
      <c r="H6592" s="2">
        <f t="shared" ca="1" si="2777"/>
        <v>58</v>
      </c>
      <c r="I6592" t="str">
        <f t="shared" si="2778"/>
        <v>FB</v>
      </c>
      <c r="J6592">
        <f t="shared" si="2779"/>
        <v>263</v>
      </c>
      <c r="K6592">
        <f t="shared" si="2780"/>
        <v>281</v>
      </c>
      <c r="L6592">
        <f t="shared" si="2781"/>
        <v>272</v>
      </c>
      <c r="M6592">
        <f t="shared" si="2782"/>
        <v>9</v>
      </c>
      <c r="N6592">
        <f t="shared" si="2760"/>
        <v>18</v>
      </c>
      <c r="O6592">
        <f t="shared" si="2783"/>
        <v>276</v>
      </c>
      <c r="P6592">
        <f t="shared" si="2784"/>
        <v>0.44444444444444442</v>
      </c>
      <c r="Q6592" t="str">
        <f t="shared" si="2761"/>
        <v>4.71% | 1.81%</v>
      </c>
      <c r="R6592" t="str">
        <f t="shared" si="2785"/>
        <v>BULLISH</v>
      </c>
      <c r="S6592">
        <f t="shared" si="2786"/>
        <v>1</v>
      </c>
    </row>
    <row r="6593" spans="1:19" hidden="1" x14ac:dyDescent="0.25">
      <c r="A6593" s="5" t="str">
        <f t="shared" si="2774"/>
        <v>44195GOOGL</v>
      </c>
      <c r="B6593" s="6" t="s">
        <v>31</v>
      </c>
      <c r="C6593" s="6">
        <v>1705</v>
      </c>
      <c r="D6593" s="6">
        <v>1784</v>
      </c>
      <c r="E6593" s="6">
        <v>1757</v>
      </c>
      <c r="F6593" t="str">
        <f t="shared" si="2775"/>
        <v>WED</v>
      </c>
      <c r="G6593" s="1">
        <f t="shared" si="2776"/>
        <v>44195</v>
      </c>
      <c r="H6593" s="2">
        <f t="shared" ca="1" si="2777"/>
        <v>58</v>
      </c>
      <c r="I6593" t="str">
        <f t="shared" si="2778"/>
        <v>GOOGL</v>
      </c>
      <c r="J6593">
        <f t="shared" si="2779"/>
        <v>1705</v>
      </c>
      <c r="K6593">
        <f t="shared" si="2780"/>
        <v>1784</v>
      </c>
      <c r="L6593">
        <f t="shared" si="2781"/>
        <v>1744.5</v>
      </c>
      <c r="M6593">
        <f t="shared" si="2782"/>
        <v>39.5</v>
      </c>
      <c r="N6593">
        <f t="shared" si="2760"/>
        <v>79</v>
      </c>
      <c r="O6593">
        <f t="shared" si="2783"/>
        <v>1757</v>
      </c>
      <c r="P6593">
        <f t="shared" si="2784"/>
        <v>0.31645569620253167</v>
      </c>
      <c r="Q6593" t="str">
        <f t="shared" si="2761"/>
        <v>2.96% | 1.54%</v>
      </c>
      <c r="R6593" t="str">
        <f t="shared" si="2785"/>
        <v>BULLISH</v>
      </c>
      <c r="S6593">
        <f t="shared" si="2786"/>
        <v>1</v>
      </c>
    </row>
    <row r="6594" spans="1:19" hidden="1" x14ac:dyDescent="0.25">
      <c r="A6594" s="5" t="str">
        <f t="shared" si="2774"/>
        <v>44195NFLX</v>
      </c>
      <c r="B6594" s="6" t="s">
        <v>32</v>
      </c>
      <c r="C6594" s="6">
        <v>512</v>
      </c>
      <c r="D6594" s="6">
        <v>542</v>
      </c>
      <c r="E6594" s="6">
        <v>530</v>
      </c>
      <c r="F6594" t="str">
        <f t="shared" si="2775"/>
        <v>WED</v>
      </c>
      <c r="G6594" s="1">
        <f t="shared" si="2776"/>
        <v>44195</v>
      </c>
      <c r="H6594" s="2">
        <f t="shared" ca="1" si="2777"/>
        <v>58</v>
      </c>
      <c r="I6594" t="str">
        <f t="shared" si="2778"/>
        <v>NFLX</v>
      </c>
      <c r="J6594">
        <f t="shared" si="2779"/>
        <v>512</v>
      </c>
      <c r="K6594">
        <f t="shared" si="2780"/>
        <v>542</v>
      </c>
      <c r="L6594">
        <f t="shared" si="2781"/>
        <v>527</v>
      </c>
      <c r="M6594">
        <f t="shared" si="2782"/>
        <v>15</v>
      </c>
      <c r="N6594">
        <f t="shared" si="2760"/>
        <v>30</v>
      </c>
      <c r="O6594">
        <f t="shared" si="2783"/>
        <v>530</v>
      </c>
      <c r="P6594">
        <f t="shared" si="2784"/>
        <v>0.2</v>
      </c>
      <c r="Q6594" t="str">
        <f t="shared" si="2761"/>
        <v>3.4% | 2.26%</v>
      </c>
      <c r="R6594" t="str">
        <f t="shared" si="2785"/>
        <v>BULLISH</v>
      </c>
      <c r="S6594">
        <f t="shared" si="2786"/>
        <v>1</v>
      </c>
    </row>
    <row r="6595" spans="1:19" x14ac:dyDescent="0.25">
      <c r="A6595" s="5" t="str">
        <f t="shared" si="2774"/>
        <v>44195TSLA</v>
      </c>
      <c r="B6595" s="6" t="s">
        <v>33</v>
      </c>
      <c r="C6595" s="6">
        <v>616</v>
      </c>
      <c r="D6595" s="6">
        <v>696</v>
      </c>
      <c r="E6595" s="6">
        <v>665</v>
      </c>
      <c r="F6595" t="str">
        <f t="shared" si="2775"/>
        <v>WED</v>
      </c>
      <c r="G6595" s="1">
        <f t="shared" si="2776"/>
        <v>44195</v>
      </c>
      <c r="H6595" s="2">
        <f t="shared" ca="1" si="2777"/>
        <v>58</v>
      </c>
      <c r="I6595" t="str">
        <f t="shared" si="2778"/>
        <v>TSLA</v>
      </c>
      <c r="J6595">
        <f t="shared" si="2779"/>
        <v>616</v>
      </c>
      <c r="K6595">
        <f t="shared" si="2780"/>
        <v>696</v>
      </c>
      <c r="L6595">
        <f t="shared" si="2781"/>
        <v>656</v>
      </c>
      <c r="M6595">
        <f t="shared" si="2782"/>
        <v>40</v>
      </c>
      <c r="N6595">
        <f t="shared" ref="N6595:N6658" si="2787">ABS(K6595-J6595)</f>
        <v>80</v>
      </c>
      <c r="O6595">
        <f t="shared" si="2783"/>
        <v>665</v>
      </c>
      <c r="P6595">
        <f t="shared" si="2784"/>
        <v>0.22500000000000001</v>
      </c>
      <c r="Q6595" t="str">
        <f t="shared" ref="Q6595:Q6658" si="2788">ROUND(ABS(100*(O6595-J6595)/O6595),2)&amp;"% | "&amp;ROUND(ABS(100*(K6595-O6595)/O6595),2)&amp;"%"</f>
        <v>7.37% | 4.66%</v>
      </c>
      <c r="R6595" t="str">
        <f t="shared" si="2785"/>
        <v>BULLISH</v>
      </c>
      <c r="S6595">
        <f t="shared" si="2786"/>
        <v>1</v>
      </c>
    </row>
    <row r="6596" spans="1:19" hidden="1" x14ac:dyDescent="0.25">
      <c r="A6596" s="5" t="str">
        <f t="shared" si="2774"/>
        <v>44195NYXBT</v>
      </c>
      <c r="B6596" s="6" t="s">
        <v>60</v>
      </c>
      <c r="C6596" s="6">
        <v>23718</v>
      </c>
      <c r="D6596" s="6">
        <v>28383</v>
      </c>
      <c r="E6596" s="6">
        <v>26604</v>
      </c>
      <c r="F6596" t="str">
        <f t="shared" si="2775"/>
        <v>WED</v>
      </c>
      <c r="G6596" s="1">
        <f t="shared" si="2776"/>
        <v>44195</v>
      </c>
      <c r="H6596" s="2">
        <f t="shared" ca="1" si="2777"/>
        <v>58</v>
      </c>
      <c r="I6596" t="str">
        <f t="shared" si="2778"/>
        <v>NYXBT</v>
      </c>
      <c r="J6596">
        <f t="shared" si="2779"/>
        <v>23718</v>
      </c>
      <c r="K6596">
        <f t="shared" si="2780"/>
        <v>28383</v>
      </c>
      <c r="L6596">
        <f t="shared" si="2781"/>
        <v>26050.5</v>
      </c>
      <c r="M6596">
        <f t="shared" si="2782"/>
        <v>2332.5</v>
      </c>
      <c r="N6596">
        <f t="shared" si="2787"/>
        <v>4665</v>
      </c>
      <c r="O6596">
        <f t="shared" si="2783"/>
        <v>26604</v>
      </c>
      <c r="P6596">
        <f t="shared" si="2784"/>
        <v>0.23729903536977492</v>
      </c>
      <c r="Q6596" t="str">
        <f t="shared" si="2788"/>
        <v>10.85% | 6.69%</v>
      </c>
      <c r="R6596" t="str">
        <f t="shared" si="2785"/>
        <v>BULLISH</v>
      </c>
      <c r="S6596">
        <f t="shared" si="2786"/>
        <v>1</v>
      </c>
    </row>
    <row r="6597" spans="1:19" hidden="1" x14ac:dyDescent="0.25">
      <c r="A6597" s="5" t="str">
        <f t="shared" si="2774"/>
        <v>44196UST10Y</v>
      </c>
      <c r="B6597" s="6" t="s">
        <v>257</v>
      </c>
      <c r="C6597" s="6">
        <v>0.98</v>
      </c>
      <c r="D6597" s="6">
        <v>0.91</v>
      </c>
      <c r="E6597" s="6">
        <v>0.93</v>
      </c>
      <c r="F6597" t="str">
        <f t="shared" si="2775"/>
        <v>THU</v>
      </c>
      <c r="G6597" s="3">
        <f>DATE(2020,12,31)</f>
        <v>44196</v>
      </c>
      <c r="H6597" s="2">
        <f t="shared" ca="1" si="2777"/>
        <v>57</v>
      </c>
      <c r="I6597" t="str">
        <f t="shared" si="2778"/>
        <v>UST10Y</v>
      </c>
      <c r="J6597">
        <f t="shared" si="2779"/>
        <v>0.98</v>
      </c>
      <c r="K6597">
        <f t="shared" si="2780"/>
        <v>0.91</v>
      </c>
      <c r="L6597">
        <f t="shared" si="2781"/>
        <v>0.94500000000000006</v>
      </c>
      <c r="M6597">
        <f t="shared" si="2782"/>
        <v>3.4999999999999976E-2</v>
      </c>
      <c r="N6597">
        <f t="shared" si="2787"/>
        <v>6.9999999999999951E-2</v>
      </c>
      <c r="O6597">
        <f t="shared" si="2783"/>
        <v>0.93</v>
      </c>
      <c r="P6597">
        <f t="shared" si="2784"/>
        <v>-0.42857142857142927</v>
      </c>
      <c r="Q6597" t="str">
        <f t="shared" si="2788"/>
        <v>5.38% | 2.15%</v>
      </c>
      <c r="R6597" t="str">
        <f t="shared" si="2785"/>
        <v>BULLISH</v>
      </c>
      <c r="S6597">
        <f t="shared" si="2786"/>
        <v>1</v>
      </c>
    </row>
    <row r="6598" spans="1:19" hidden="1" x14ac:dyDescent="0.25">
      <c r="A6598" s="5" t="str">
        <f t="shared" si="2774"/>
        <v>44196UST2Y</v>
      </c>
      <c r="B6598" s="6" t="s">
        <v>253</v>
      </c>
      <c r="C6598" s="6">
        <v>0.16</v>
      </c>
      <c r="D6598" s="6">
        <v>0.11</v>
      </c>
      <c r="E6598" s="6">
        <v>0.12</v>
      </c>
      <c r="F6598" t="str">
        <f t="shared" ref="F6598:F6629" si="2789">UPPER(TEXT(G6598,"ddd"))</f>
        <v>THU</v>
      </c>
      <c r="G6598" s="3">
        <f t="shared" ref="G6598:G6628" si="2790">DATE(2020,12,31)</f>
        <v>44196</v>
      </c>
      <c r="H6598" s="2">
        <f t="shared" ref="H6598:H6629" ca="1" si="2791">TODAY()-G6598</f>
        <v>57</v>
      </c>
      <c r="I6598" t="str">
        <f t="shared" ref="I6598:I6629" si="2792">TRIM(LEFT(B6598,FIND(" ",B6598,1)))</f>
        <v>UST2Y</v>
      </c>
      <c r="J6598">
        <f t="shared" ref="J6598:J6629" si="2793">C6598</f>
        <v>0.16</v>
      </c>
      <c r="K6598">
        <f t="shared" ref="K6598:K6629" si="2794">D6598</f>
        <v>0.11</v>
      </c>
      <c r="L6598">
        <f t="shared" ref="L6598:L6629" si="2795">AVERAGE(J6598:K6598)</f>
        <v>0.13500000000000001</v>
      </c>
      <c r="M6598">
        <f t="shared" ref="M6598:M6629" si="2796">_xlfn.STDEV.P(J6598:K6598)</f>
        <v>2.4999999999999942E-2</v>
      </c>
      <c r="N6598">
        <f t="shared" si="2787"/>
        <v>0.05</v>
      </c>
      <c r="O6598">
        <f t="shared" ref="O6598:O6629" si="2797">E6598</f>
        <v>0.12</v>
      </c>
      <c r="P6598">
        <f t="shared" ref="P6598:P6629" si="2798">(O6598-L6598)/M6598</f>
        <v>-0.60000000000000187</v>
      </c>
      <c r="Q6598" t="str">
        <f t="shared" si="2788"/>
        <v>33.33% | 8.33%</v>
      </c>
      <c r="R6598" t="str">
        <f t="shared" ref="R6598:R6629" si="2799">MID(B6598,FIND("(",B6598,1)+1,FIND(")",B6598,1)-FIND("(",B6598,1)-1)</f>
        <v>NEUTRAL</v>
      </c>
      <c r="S6598">
        <f t="shared" ref="S6598:S6629" si="2800">IF(R6598="BEARISH",-1,IF(R6598="NEUTRAL",0,IF(R6598="BULLISH",1,99)))</f>
        <v>0</v>
      </c>
    </row>
    <row r="6599" spans="1:19" hidden="1" x14ac:dyDescent="0.25">
      <c r="A6599" s="5" t="str">
        <f t="shared" si="2774"/>
        <v>44196SPX</v>
      </c>
      <c r="B6599" s="6" t="s">
        <v>93</v>
      </c>
      <c r="C6599" s="6">
        <v>3675</v>
      </c>
      <c r="D6599" s="6">
        <v>3752</v>
      </c>
      <c r="E6599" s="6">
        <v>3732</v>
      </c>
      <c r="F6599" t="str">
        <f t="shared" si="2789"/>
        <v>THU</v>
      </c>
      <c r="G6599" s="3">
        <f t="shared" si="2790"/>
        <v>44196</v>
      </c>
      <c r="H6599" s="2">
        <f t="shared" ca="1" si="2791"/>
        <v>57</v>
      </c>
      <c r="I6599" t="str">
        <f t="shared" si="2792"/>
        <v>SPX</v>
      </c>
      <c r="J6599">
        <f t="shared" si="2793"/>
        <v>3675</v>
      </c>
      <c r="K6599">
        <f t="shared" si="2794"/>
        <v>3752</v>
      </c>
      <c r="L6599">
        <f t="shared" si="2795"/>
        <v>3713.5</v>
      </c>
      <c r="M6599">
        <f t="shared" si="2796"/>
        <v>38.5</v>
      </c>
      <c r="N6599">
        <f t="shared" si="2787"/>
        <v>77</v>
      </c>
      <c r="O6599">
        <f t="shared" si="2797"/>
        <v>3732</v>
      </c>
      <c r="P6599">
        <f t="shared" si="2798"/>
        <v>0.48051948051948051</v>
      </c>
      <c r="Q6599" t="str">
        <f t="shared" si="2788"/>
        <v>1.53% | 0.54%</v>
      </c>
      <c r="R6599" t="str">
        <f t="shared" si="2799"/>
        <v>BULLISH</v>
      </c>
      <c r="S6599">
        <f t="shared" si="2800"/>
        <v>1</v>
      </c>
    </row>
    <row r="6600" spans="1:19" hidden="1" x14ac:dyDescent="0.25">
      <c r="A6600" s="5" t="str">
        <f t="shared" ref="A6600:A6663" si="2801">G6600&amp;I6600</f>
        <v>44196RUT</v>
      </c>
      <c r="B6600" s="6" t="s">
        <v>247</v>
      </c>
      <c r="C6600" s="6">
        <v>1951</v>
      </c>
      <c r="D6600" s="6">
        <v>2020</v>
      </c>
      <c r="E6600" s="6">
        <v>1979</v>
      </c>
      <c r="F6600" t="str">
        <f t="shared" si="2789"/>
        <v>THU</v>
      </c>
      <c r="G6600" s="3">
        <f t="shared" si="2790"/>
        <v>44196</v>
      </c>
      <c r="H6600" s="2">
        <f t="shared" ca="1" si="2791"/>
        <v>57</v>
      </c>
      <c r="I6600" t="str">
        <f t="shared" si="2792"/>
        <v>RUT</v>
      </c>
      <c r="J6600">
        <f t="shared" si="2793"/>
        <v>1951</v>
      </c>
      <c r="K6600">
        <f t="shared" si="2794"/>
        <v>2020</v>
      </c>
      <c r="L6600">
        <f t="shared" si="2795"/>
        <v>1985.5</v>
      </c>
      <c r="M6600">
        <f t="shared" si="2796"/>
        <v>34.5</v>
      </c>
      <c r="N6600">
        <f t="shared" si="2787"/>
        <v>69</v>
      </c>
      <c r="O6600">
        <f t="shared" si="2797"/>
        <v>1979</v>
      </c>
      <c r="P6600">
        <f t="shared" si="2798"/>
        <v>-0.18840579710144928</v>
      </c>
      <c r="Q6600" t="str">
        <f t="shared" si="2788"/>
        <v>1.41% | 2.07%</v>
      </c>
      <c r="R6600" t="str">
        <f t="shared" si="2799"/>
        <v>BULLISH</v>
      </c>
      <c r="S6600">
        <f t="shared" si="2800"/>
        <v>1</v>
      </c>
    </row>
    <row r="6601" spans="1:19" hidden="1" x14ac:dyDescent="0.25">
      <c r="A6601" s="5" t="str">
        <f t="shared" si="2801"/>
        <v>44196COMPQ</v>
      </c>
      <c r="B6601" s="6" t="s">
        <v>8</v>
      </c>
      <c r="C6601" s="6">
        <v>12700</v>
      </c>
      <c r="D6601" s="6">
        <v>12921</v>
      </c>
      <c r="E6601" s="6">
        <v>12870</v>
      </c>
      <c r="F6601" t="str">
        <f t="shared" si="2789"/>
        <v>THU</v>
      </c>
      <c r="G6601" s="3">
        <f t="shared" si="2790"/>
        <v>44196</v>
      </c>
      <c r="H6601" s="2">
        <f t="shared" ca="1" si="2791"/>
        <v>57</v>
      </c>
      <c r="I6601" t="str">
        <f t="shared" si="2792"/>
        <v>COMPQ</v>
      </c>
      <c r="J6601">
        <f t="shared" si="2793"/>
        <v>12700</v>
      </c>
      <c r="K6601">
        <f t="shared" si="2794"/>
        <v>12921</v>
      </c>
      <c r="L6601">
        <f t="shared" si="2795"/>
        <v>12810.5</v>
      </c>
      <c r="M6601">
        <f t="shared" si="2796"/>
        <v>110.5</v>
      </c>
      <c r="N6601">
        <f t="shared" si="2787"/>
        <v>221</v>
      </c>
      <c r="O6601">
        <f t="shared" si="2797"/>
        <v>12870</v>
      </c>
      <c r="P6601">
        <f t="shared" si="2798"/>
        <v>0.53846153846153844</v>
      </c>
      <c r="Q6601" t="str">
        <f t="shared" si="2788"/>
        <v>1.32% | 0.4%</v>
      </c>
      <c r="R6601" t="str">
        <f t="shared" si="2799"/>
        <v>BULLISH</v>
      </c>
      <c r="S6601">
        <f t="shared" si="2800"/>
        <v>1</v>
      </c>
    </row>
    <row r="6602" spans="1:19" hidden="1" x14ac:dyDescent="0.25">
      <c r="A6602" s="5" t="str">
        <f t="shared" si="2801"/>
        <v>44196XLK</v>
      </c>
      <c r="B6602" s="6" t="s">
        <v>10</v>
      </c>
      <c r="C6602" s="6">
        <v>127.08</v>
      </c>
      <c r="D6602" s="6">
        <v>131.05000000000001</v>
      </c>
      <c r="E6602" s="6">
        <v>129.83000000000001</v>
      </c>
      <c r="F6602" t="str">
        <f t="shared" si="2789"/>
        <v>THU</v>
      </c>
      <c r="G6602" s="3">
        <f t="shared" si="2790"/>
        <v>44196</v>
      </c>
      <c r="H6602" s="2">
        <f t="shared" ca="1" si="2791"/>
        <v>57</v>
      </c>
      <c r="I6602" t="str">
        <f t="shared" si="2792"/>
        <v>XLK</v>
      </c>
      <c r="J6602">
        <f t="shared" si="2793"/>
        <v>127.08</v>
      </c>
      <c r="K6602">
        <f t="shared" si="2794"/>
        <v>131.05000000000001</v>
      </c>
      <c r="L6602">
        <f t="shared" si="2795"/>
        <v>129.065</v>
      </c>
      <c r="M6602">
        <f t="shared" si="2796"/>
        <v>1.9850000000000065</v>
      </c>
      <c r="N6602">
        <f t="shared" si="2787"/>
        <v>3.9700000000000131</v>
      </c>
      <c r="O6602">
        <f t="shared" si="2797"/>
        <v>129.83000000000001</v>
      </c>
      <c r="P6602">
        <f t="shared" si="2798"/>
        <v>0.38539042821159308</v>
      </c>
      <c r="Q6602" t="str">
        <f t="shared" si="2788"/>
        <v>2.12% | 0.94%</v>
      </c>
      <c r="R6602" t="str">
        <f t="shared" si="2799"/>
        <v>BULLISH</v>
      </c>
      <c r="S6602">
        <f t="shared" si="2800"/>
        <v>1</v>
      </c>
    </row>
    <row r="6603" spans="1:19" hidden="1" x14ac:dyDescent="0.25">
      <c r="A6603" s="5" t="str">
        <f t="shared" si="2801"/>
        <v>44196XLE</v>
      </c>
      <c r="B6603" s="6" t="s">
        <v>250</v>
      </c>
      <c r="C6603" s="6">
        <v>36.909999999999997</v>
      </c>
      <c r="D6603" s="6">
        <v>40.119999999999997</v>
      </c>
      <c r="E6603" s="6">
        <v>38.22</v>
      </c>
      <c r="F6603" t="str">
        <f t="shared" si="2789"/>
        <v>THU</v>
      </c>
      <c r="G6603" s="3">
        <f t="shared" si="2790"/>
        <v>44196</v>
      </c>
      <c r="H6603" s="2">
        <f t="shared" ca="1" si="2791"/>
        <v>57</v>
      </c>
      <c r="I6603" t="str">
        <f t="shared" si="2792"/>
        <v>XLE</v>
      </c>
      <c r="J6603">
        <f t="shared" si="2793"/>
        <v>36.909999999999997</v>
      </c>
      <c r="K6603">
        <f t="shared" si="2794"/>
        <v>40.119999999999997</v>
      </c>
      <c r="L6603">
        <f t="shared" si="2795"/>
        <v>38.515000000000001</v>
      </c>
      <c r="M6603">
        <f t="shared" si="2796"/>
        <v>1.6050000000000004</v>
      </c>
      <c r="N6603">
        <f t="shared" si="2787"/>
        <v>3.2100000000000009</v>
      </c>
      <c r="O6603">
        <f t="shared" si="2797"/>
        <v>38.22</v>
      </c>
      <c r="P6603">
        <f t="shared" si="2798"/>
        <v>-0.18380062305296052</v>
      </c>
      <c r="Q6603" t="str">
        <f t="shared" si="2788"/>
        <v>3.43% | 4.97%</v>
      </c>
      <c r="R6603" t="str">
        <f t="shared" si="2799"/>
        <v>BULLISH</v>
      </c>
      <c r="S6603">
        <f t="shared" si="2800"/>
        <v>1</v>
      </c>
    </row>
    <row r="6604" spans="1:19" hidden="1" x14ac:dyDescent="0.25">
      <c r="A6604" s="5" t="str">
        <f t="shared" si="2801"/>
        <v>44196XLF</v>
      </c>
      <c r="B6604" s="6" t="s">
        <v>258</v>
      </c>
      <c r="C6604" s="6">
        <v>28.16</v>
      </c>
      <c r="D6604" s="6">
        <v>29.53</v>
      </c>
      <c r="E6604" s="6">
        <v>29.12</v>
      </c>
      <c r="F6604" t="str">
        <f t="shared" si="2789"/>
        <v>THU</v>
      </c>
      <c r="G6604" s="3">
        <f t="shared" si="2790"/>
        <v>44196</v>
      </c>
      <c r="H6604" s="2">
        <f t="shared" ca="1" si="2791"/>
        <v>57</v>
      </c>
      <c r="I6604" t="str">
        <f t="shared" si="2792"/>
        <v>XLF</v>
      </c>
      <c r="J6604">
        <f t="shared" si="2793"/>
        <v>28.16</v>
      </c>
      <c r="K6604">
        <f t="shared" si="2794"/>
        <v>29.53</v>
      </c>
      <c r="L6604">
        <f t="shared" si="2795"/>
        <v>28.844999999999999</v>
      </c>
      <c r="M6604">
        <f t="shared" si="2796"/>
        <v>0.6850000000000005</v>
      </c>
      <c r="N6604">
        <f t="shared" si="2787"/>
        <v>1.370000000000001</v>
      </c>
      <c r="O6604">
        <f t="shared" si="2797"/>
        <v>29.12</v>
      </c>
      <c r="P6604">
        <f t="shared" si="2798"/>
        <v>0.40145985401460138</v>
      </c>
      <c r="Q6604" t="str">
        <f t="shared" si="2788"/>
        <v>3.3% | 1.41%</v>
      </c>
      <c r="R6604" t="str">
        <f t="shared" si="2799"/>
        <v>BULLISH</v>
      </c>
      <c r="S6604">
        <f t="shared" si="2800"/>
        <v>1</v>
      </c>
    </row>
    <row r="6605" spans="1:19" hidden="1" x14ac:dyDescent="0.25">
      <c r="A6605" s="5" t="str">
        <f t="shared" si="2801"/>
        <v>44196XLU</v>
      </c>
      <c r="B6605" s="6" t="s">
        <v>82</v>
      </c>
      <c r="C6605" s="6">
        <v>60.29</v>
      </c>
      <c r="D6605" s="6">
        <v>62.44</v>
      </c>
      <c r="E6605" s="6">
        <v>61.78</v>
      </c>
      <c r="F6605" t="str">
        <f t="shared" si="2789"/>
        <v>THU</v>
      </c>
      <c r="G6605" s="3">
        <f t="shared" si="2790"/>
        <v>44196</v>
      </c>
      <c r="H6605" s="2">
        <f t="shared" ca="1" si="2791"/>
        <v>57</v>
      </c>
      <c r="I6605" t="str">
        <f t="shared" si="2792"/>
        <v>XLU</v>
      </c>
      <c r="J6605">
        <f t="shared" si="2793"/>
        <v>60.29</v>
      </c>
      <c r="K6605">
        <f t="shared" si="2794"/>
        <v>62.44</v>
      </c>
      <c r="L6605">
        <f t="shared" si="2795"/>
        <v>61.364999999999995</v>
      </c>
      <c r="M6605">
        <f t="shared" si="2796"/>
        <v>1.0749999999999993</v>
      </c>
      <c r="N6605">
        <f t="shared" si="2787"/>
        <v>2.1499999999999986</v>
      </c>
      <c r="O6605">
        <f t="shared" si="2797"/>
        <v>61.78</v>
      </c>
      <c r="P6605">
        <f t="shared" si="2798"/>
        <v>0.38604651162791304</v>
      </c>
      <c r="Q6605" t="str">
        <f t="shared" si="2788"/>
        <v>2.41% | 1.07%</v>
      </c>
      <c r="R6605" t="str">
        <f t="shared" si="2799"/>
        <v>BEARISH</v>
      </c>
      <c r="S6605">
        <f t="shared" si="2800"/>
        <v>-1</v>
      </c>
    </row>
    <row r="6606" spans="1:19" hidden="1" x14ac:dyDescent="0.25">
      <c r="A6606" s="5" t="str">
        <f t="shared" si="2801"/>
        <v>44196GDX</v>
      </c>
      <c r="B6606" s="6" t="s">
        <v>254</v>
      </c>
      <c r="C6606" s="6">
        <v>34.9</v>
      </c>
      <c r="D6606" s="6">
        <v>37.19</v>
      </c>
      <c r="E6606" s="6">
        <v>36.56</v>
      </c>
      <c r="F6606" t="str">
        <f t="shared" si="2789"/>
        <v>THU</v>
      </c>
      <c r="G6606" s="3">
        <f t="shared" si="2790"/>
        <v>44196</v>
      </c>
      <c r="H6606" s="2">
        <f t="shared" ca="1" si="2791"/>
        <v>57</v>
      </c>
      <c r="I6606" t="str">
        <f t="shared" si="2792"/>
        <v>GDX</v>
      </c>
      <c r="J6606">
        <f t="shared" si="2793"/>
        <v>34.9</v>
      </c>
      <c r="K6606">
        <f t="shared" si="2794"/>
        <v>37.19</v>
      </c>
      <c r="L6606">
        <f t="shared" si="2795"/>
        <v>36.045000000000002</v>
      </c>
      <c r="M6606">
        <f t="shared" si="2796"/>
        <v>1.1449999999999996</v>
      </c>
      <c r="N6606">
        <f t="shared" si="2787"/>
        <v>2.2899999999999991</v>
      </c>
      <c r="O6606">
        <f t="shared" si="2797"/>
        <v>36.56</v>
      </c>
      <c r="P6606">
        <f t="shared" si="2798"/>
        <v>0.44978165938864695</v>
      </c>
      <c r="Q6606" t="str">
        <f t="shared" si="2788"/>
        <v>4.54% | 1.72%</v>
      </c>
      <c r="R6606" t="str">
        <f t="shared" si="2799"/>
        <v>BEARISH</v>
      </c>
      <c r="S6606">
        <f t="shared" si="2800"/>
        <v>-1</v>
      </c>
    </row>
    <row r="6607" spans="1:19" hidden="1" x14ac:dyDescent="0.25">
      <c r="A6607" s="5" t="str">
        <f t="shared" si="2801"/>
        <v>44196SSEC</v>
      </c>
      <c r="B6607" s="6" t="s">
        <v>104</v>
      </c>
      <c r="C6607" s="6">
        <v>3351</v>
      </c>
      <c r="D6607" s="6">
        <v>3490</v>
      </c>
      <c r="E6607" s="6">
        <v>3473</v>
      </c>
      <c r="F6607" t="str">
        <f t="shared" si="2789"/>
        <v>THU</v>
      </c>
      <c r="G6607" s="3">
        <f t="shared" si="2790"/>
        <v>44196</v>
      </c>
      <c r="H6607" s="2">
        <f t="shared" ca="1" si="2791"/>
        <v>57</v>
      </c>
      <c r="I6607" t="str">
        <f t="shared" si="2792"/>
        <v>SSEC</v>
      </c>
      <c r="J6607">
        <f t="shared" si="2793"/>
        <v>3351</v>
      </c>
      <c r="K6607">
        <f t="shared" si="2794"/>
        <v>3490</v>
      </c>
      <c r="L6607">
        <f t="shared" si="2795"/>
        <v>3420.5</v>
      </c>
      <c r="M6607">
        <f t="shared" si="2796"/>
        <v>69.5</v>
      </c>
      <c r="N6607">
        <f t="shared" si="2787"/>
        <v>139</v>
      </c>
      <c r="O6607">
        <f t="shared" si="2797"/>
        <v>3473</v>
      </c>
      <c r="P6607">
        <f t="shared" si="2798"/>
        <v>0.75539568345323738</v>
      </c>
      <c r="Q6607" t="str">
        <f t="shared" si="2788"/>
        <v>3.51% | 0.49%</v>
      </c>
      <c r="R6607" t="str">
        <f t="shared" si="2799"/>
        <v>BULLISH</v>
      </c>
      <c r="S6607">
        <f t="shared" si="2800"/>
        <v>1</v>
      </c>
    </row>
    <row r="6608" spans="1:19" hidden="1" x14ac:dyDescent="0.25">
      <c r="A6608" s="5" t="str">
        <f t="shared" si="2801"/>
        <v>44196NIKK</v>
      </c>
      <c r="B6608" s="6" t="s">
        <v>91</v>
      </c>
      <c r="C6608" s="6">
        <v>26706</v>
      </c>
      <c r="D6608" s="6">
        <v>27615</v>
      </c>
      <c r="E6608" s="6">
        <v>27444</v>
      </c>
      <c r="F6608" t="str">
        <f t="shared" si="2789"/>
        <v>THU</v>
      </c>
      <c r="G6608" s="3">
        <f t="shared" si="2790"/>
        <v>44196</v>
      </c>
      <c r="H6608" s="2">
        <f t="shared" ca="1" si="2791"/>
        <v>57</v>
      </c>
      <c r="I6608" t="str">
        <f t="shared" si="2792"/>
        <v>NIKK</v>
      </c>
      <c r="J6608">
        <f t="shared" si="2793"/>
        <v>26706</v>
      </c>
      <c r="K6608">
        <f t="shared" si="2794"/>
        <v>27615</v>
      </c>
      <c r="L6608">
        <f t="shared" si="2795"/>
        <v>27160.5</v>
      </c>
      <c r="M6608">
        <f t="shared" si="2796"/>
        <v>454.5</v>
      </c>
      <c r="N6608">
        <f t="shared" si="2787"/>
        <v>909</v>
      </c>
      <c r="O6608">
        <f t="shared" si="2797"/>
        <v>27444</v>
      </c>
      <c r="P6608">
        <f t="shared" si="2798"/>
        <v>0.62376237623762376</v>
      </c>
      <c r="Q6608" t="str">
        <f t="shared" si="2788"/>
        <v>2.69% | 0.62%</v>
      </c>
      <c r="R6608" t="str">
        <f t="shared" si="2799"/>
        <v>BULLISH</v>
      </c>
      <c r="S6608">
        <f t="shared" si="2800"/>
        <v>1</v>
      </c>
    </row>
    <row r="6609" spans="1:19" hidden="1" x14ac:dyDescent="0.25">
      <c r="A6609" s="5" t="str">
        <f t="shared" si="2801"/>
        <v>44196DAX</v>
      </c>
      <c r="B6609" s="6" t="s">
        <v>98</v>
      </c>
      <c r="C6609" s="6">
        <v>13275</v>
      </c>
      <c r="D6609" s="6">
        <v>13935</v>
      </c>
      <c r="E6609" s="6">
        <v>13718</v>
      </c>
      <c r="F6609" t="str">
        <f t="shared" si="2789"/>
        <v>THU</v>
      </c>
      <c r="G6609" s="3">
        <f t="shared" si="2790"/>
        <v>44196</v>
      </c>
      <c r="H6609" s="2">
        <f t="shared" ca="1" si="2791"/>
        <v>57</v>
      </c>
      <c r="I6609" t="str">
        <f t="shared" si="2792"/>
        <v>DAX</v>
      </c>
      <c r="J6609">
        <f t="shared" si="2793"/>
        <v>13275</v>
      </c>
      <c r="K6609">
        <f t="shared" si="2794"/>
        <v>13935</v>
      </c>
      <c r="L6609">
        <f t="shared" si="2795"/>
        <v>13605</v>
      </c>
      <c r="M6609">
        <f t="shared" si="2796"/>
        <v>330</v>
      </c>
      <c r="N6609">
        <f t="shared" si="2787"/>
        <v>660</v>
      </c>
      <c r="O6609">
        <f t="shared" si="2797"/>
        <v>13718</v>
      </c>
      <c r="P6609">
        <f t="shared" si="2798"/>
        <v>0.34242424242424241</v>
      </c>
      <c r="Q6609" t="str">
        <f t="shared" si="2788"/>
        <v>3.23% | 1.58%</v>
      </c>
      <c r="R6609" t="str">
        <f t="shared" si="2799"/>
        <v>BULLISH</v>
      </c>
      <c r="S6609">
        <f t="shared" si="2800"/>
        <v>1</v>
      </c>
    </row>
    <row r="6610" spans="1:19" hidden="1" x14ac:dyDescent="0.25">
      <c r="A6610" s="5" t="str">
        <f t="shared" si="2801"/>
        <v>44196VIX</v>
      </c>
      <c r="B6610" s="6" t="s">
        <v>96</v>
      </c>
      <c r="C6610" s="6">
        <v>20.350000000000001</v>
      </c>
      <c r="D6610" s="6">
        <v>25.12</v>
      </c>
      <c r="E6610" s="6">
        <v>22.77</v>
      </c>
      <c r="F6610" t="str">
        <f t="shared" si="2789"/>
        <v>THU</v>
      </c>
      <c r="G6610" s="3">
        <f t="shared" si="2790"/>
        <v>44196</v>
      </c>
      <c r="H6610" s="2">
        <f t="shared" ca="1" si="2791"/>
        <v>57</v>
      </c>
      <c r="I6610" t="str">
        <f t="shared" si="2792"/>
        <v>VIX</v>
      </c>
      <c r="J6610">
        <f t="shared" si="2793"/>
        <v>20.350000000000001</v>
      </c>
      <c r="K6610">
        <f t="shared" si="2794"/>
        <v>25.12</v>
      </c>
      <c r="L6610">
        <f t="shared" si="2795"/>
        <v>22.734999999999999</v>
      </c>
      <c r="M6610">
        <f t="shared" si="2796"/>
        <v>2.3849999999999976</v>
      </c>
      <c r="N6610">
        <f t="shared" si="2787"/>
        <v>4.7699999999999996</v>
      </c>
      <c r="O6610">
        <f t="shared" si="2797"/>
        <v>22.77</v>
      </c>
      <c r="P6610">
        <f t="shared" si="2798"/>
        <v>1.4675052410901543E-2</v>
      </c>
      <c r="Q6610" t="str">
        <f t="shared" si="2788"/>
        <v>10.63% | 10.32%</v>
      </c>
      <c r="R6610" t="str">
        <f t="shared" si="2799"/>
        <v>BEARISH</v>
      </c>
      <c r="S6610">
        <f t="shared" si="2800"/>
        <v>-1</v>
      </c>
    </row>
    <row r="6611" spans="1:19" hidden="1" x14ac:dyDescent="0.25">
      <c r="A6611" s="5" t="str">
        <f t="shared" si="2801"/>
        <v>44196USD</v>
      </c>
      <c r="B6611" s="6" t="s">
        <v>94</v>
      </c>
      <c r="C6611" s="6">
        <v>89.45</v>
      </c>
      <c r="D6611" s="6">
        <v>90.65</v>
      </c>
      <c r="E6611" s="6">
        <v>89.65</v>
      </c>
      <c r="F6611" t="str">
        <f t="shared" si="2789"/>
        <v>THU</v>
      </c>
      <c r="G6611" s="3">
        <f t="shared" si="2790"/>
        <v>44196</v>
      </c>
      <c r="H6611" s="2">
        <f t="shared" ca="1" si="2791"/>
        <v>57</v>
      </c>
      <c r="I6611" t="str">
        <f t="shared" si="2792"/>
        <v>USD</v>
      </c>
      <c r="J6611">
        <f t="shared" si="2793"/>
        <v>89.45</v>
      </c>
      <c r="K6611">
        <f t="shared" si="2794"/>
        <v>90.65</v>
      </c>
      <c r="L6611">
        <f t="shared" si="2795"/>
        <v>90.050000000000011</v>
      </c>
      <c r="M6611">
        <f t="shared" si="2796"/>
        <v>0.60000000000000142</v>
      </c>
      <c r="N6611">
        <f t="shared" si="2787"/>
        <v>1.2000000000000028</v>
      </c>
      <c r="O6611">
        <f t="shared" si="2797"/>
        <v>89.65</v>
      </c>
      <c r="P6611">
        <f t="shared" si="2798"/>
        <v>-0.66666666666667451</v>
      </c>
      <c r="Q6611" t="str">
        <f t="shared" si="2788"/>
        <v>0.22% | 1.12%</v>
      </c>
      <c r="R6611" t="str">
        <f t="shared" si="2799"/>
        <v>BEARISH</v>
      </c>
      <c r="S6611">
        <f t="shared" si="2800"/>
        <v>-1</v>
      </c>
    </row>
    <row r="6612" spans="1:19" hidden="1" x14ac:dyDescent="0.25">
      <c r="A6612" s="5" t="str">
        <f t="shared" si="2801"/>
        <v>44196EUR/USD</v>
      </c>
      <c r="B6612" s="6" t="s">
        <v>99</v>
      </c>
      <c r="C6612" s="6">
        <v>1.2150000000000001</v>
      </c>
      <c r="D6612" s="6">
        <v>1.232</v>
      </c>
      <c r="E6612" s="6">
        <v>1.23</v>
      </c>
      <c r="F6612" t="str">
        <f t="shared" si="2789"/>
        <v>THU</v>
      </c>
      <c r="G6612" s="3">
        <f t="shared" si="2790"/>
        <v>44196</v>
      </c>
      <c r="H6612" s="2">
        <f t="shared" ca="1" si="2791"/>
        <v>57</v>
      </c>
      <c r="I6612" t="str">
        <f t="shared" si="2792"/>
        <v>EUR/USD</v>
      </c>
      <c r="J6612">
        <f t="shared" si="2793"/>
        <v>1.2150000000000001</v>
      </c>
      <c r="K6612">
        <f t="shared" si="2794"/>
        <v>1.232</v>
      </c>
      <c r="L6612">
        <f t="shared" si="2795"/>
        <v>1.2235</v>
      </c>
      <c r="M6612">
        <f t="shared" si="2796"/>
        <v>8.499999999999952E-3</v>
      </c>
      <c r="N6612">
        <f t="shared" si="2787"/>
        <v>1.6999999999999904E-2</v>
      </c>
      <c r="O6612">
        <f t="shared" si="2797"/>
        <v>1.23</v>
      </c>
      <c r="P6612">
        <f t="shared" si="2798"/>
        <v>0.76470588235293968</v>
      </c>
      <c r="Q6612" t="str">
        <f t="shared" si="2788"/>
        <v>1.22% | 0.16%</v>
      </c>
      <c r="R6612" t="str">
        <f t="shared" si="2799"/>
        <v>BULLISH</v>
      </c>
      <c r="S6612">
        <f t="shared" si="2800"/>
        <v>1</v>
      </c>
    </row>
    <row r="6613" spans="1:19" hidden="1" x14ac:dyDescent="0.25">
      <c r="A6613" s="5" t="str">
        <f t="shared" si="2801"/>
        <v>44196USD/JPY</v>
      </c>
      <c r="B6613" s="6" t="s">
        <v>20</v>
      </c>
      <c r="C6613" s="6">
        <v>102.94</v>
      </c>
      <c r="D6613" s="6">
        <v>103.9</v>
      </c>
      <c r="E6613" s="6">
        <v>103.23</v>
      </c>
      <c r="F6613" t="str">
        <f t="shared" si="2789"/>
        <v>THU</v>
      </c>
      <c r="G6613" s="3">
        <f t="shared" si="2790"/>
        <v>44196</v>
      </c>
      <c r="H6613" s="2">
        <f t="shared" ca="1" si="2791"/>
        <v>57</v>
      </c>
      <c r="I6613" t="str">
        <f t="shared" si="2792"/>
        <v>USD/JPY</v>
      </c>
      <c r="J6613">
        <f t="shared" si="2793"/>
        <v>102.94</v>
      </c>
      <c r="K6613">
        <f t="shared" si="2794"/>
        <v>103.9</v>
      </c>
      <c r="L6613">
        <f t="shared" si="2795"/>
        <v>103.42</v>
      </c>
      <c r="M6613">
        <f t="shared" si="2796"/>
        <v>0.48000000000000398</v>
      </c>
      <c r="N6613">
        <f t="shared" si="2787"/>
        <v>0.96000000000000796</v>
      </c>
      <c r="O6613">
        <f t="shared" si="2797"/>
        <v>103.23</v>
      </c>
      <c r="P6613">
        <f t="shared" si="2798"/>
        <v>-0.39583333333332532</v>
      </c>
      <c r="Q6613" t="str">
        <f t="shared" si="2788"/>
        <v>0.28% | 0.65%</v>
      </c>
      <c r="R6613" t="str">
        <f t="shared" si="2799"/>
        <v>BEARISH</v>
      </c>
      <c r="S6613">
        <f t="shared" si="2800"/>
        <v>-1</v>
      </c>
    </row>
    <row r="6614" spans="1:19" hidden="1" x14ac:dyDescent="0.25">
      <c r="A6614" s="5" t="str">
        <f t="shared" si="2801"/>
        <v>44196GBP/USD</v>
      </c>
      <c r="B6614" s="6" t="s">
        <v>102</v>
      </c>
      <c r="C6614" s="6">
        <v>1.34</v>
      </c>
      <c r="D6614" s="6">
        <v>1.3660000000000001</v>
      </c>
      <c r="E6614" s="6">
        <v>1.3620000000000001</v>
      </c>
      <c r="F6614" t="str">
        <f t="shared" si="2789"/>
        <v>THU</v>
      </c>
      <c r="G6614" s="3">
        <f t="shared" si="2790"/>
        <v>44196</v>
      </c>
      <c r="H6614" s="2">
        <f t="shared" ca="1" si="2791"/>
        <v>57</v>
      </c>
      <c r="I6614" t="str">
        <f t="shared" si="2792"/>
        <v>GBP/USD</v>
      </c>
      <c r="J6614">
        <f t="shared" si="2793"/>
        <v>1.34</v>
      </c>
      <c r="K6614">
        <f t="shared" si="2794"/>
        <v>1.3660000000000001</v>
      </c>
      <c r="L6614">
        <f t="shared" si="2795"/>
        <v>1.3530000000000002</v>
      </c>
      <c r="M6614">
        <f t="shared" si="2796"/>
        <v>1.3000000000000012E-2</v>
      </c>
      <c r="N6614">
        <f t="shared" si="2787"/>
        <v>2.6000000000000023E-2</v>
      </c>
      <c r="O6614">
        <f t="shared" si="2797"/>
        <v>1.3620000000000001</v>
      </c>
      <c r="P6614">
        <f t="shared" si="2798"/>
        <v>0.69230769230768374</v>
      </c>
      <c r="Q6614" t="str">
        <f t="shared" si="2788"/>
        <v>1.62% | 0.29%</v>
      </c>
      <c r="R6614" t="str">
        <f t="shared" si="2799"/>
        <v>BULLISH</v>
      </c>
      <c r="S6614">
        <f t="shared" si="2800"/>
        <v>1</v>
      </c>
    </row>
    <row r="6615" spans="1:19" hidden="1" x14ac:dyDescent="0.25">
      <c r="A6615" s="5" t="str">
        <f t="shared" si="2801"/>
        <v>44196CAD/USD</v>
      </c>
      <c r="B6615" s="6" t="s">
        <v>244</v>
      </c>
      <c r="C6615" s="6">
        <v>0.77</v>
      </c>
      <c r="D6615" s="6">
        <v>0.79</v>
      </c>
      <c r="E6615" s="6">
        <v>0.78</v>
      </c>
      <c r="F6615" t="str">
        <f t="shared" si="2789"/>
        <v>THU</v>
      </c>
      <c r="G6615" s="3">
        <f t="shared" si="2790"/>
        <v>44196</v>
      </c>
      <c r="H6615" s="2">
        <f t="shared" ca="1" si="2791"/>
        <v>57</v>
      </c>
      <c r="I6615" t="str">
        <f t="shared" si="2792"/>
        <v>CAD/USD</v>
      </c>
      <c r="J6615">
        <f t="shared" si="2793"/>
        <v>0.77</v>
      </c>
      <c r="K6615">
        <f t="shared" si="2794"/>
        <v>0.79</v>
      </c>
      <c r="L6615">
        <f t="shared" si="2795"/>
        <v>0.78</v>
      </c>
      <c r="M6615">
        <f t="shared" si="2796"/>
        <v>1.0000000000000009E-2</v>
      </c>
      <c r="N6615">
        <f t="shared" si="2787"/>
        <v>2.0000000000000018E-2</v>
      </c>
      <c r="O6615">
        <f t="shared" si="2797"/>
        <v>0.78</v>
      </c>
      <c r="P6615">
        <f t="shared" si="2798"/>
        <v>0</v>
      </c>
      <c r="Q6615" t="str">
        <f t="shared" si="2788"/>
        <v>1.28% | 1.28%</v>
      </c>
      <c r="R6615" t="str">
        <f t="shared" si="2799"/>
        <v>BULLISH</v>
      </c>
      <c r="S6615">
        <f t="shared" si="2800"/>
        <v>1</v>
      </c>
    </row>
    <row r="6616" spans="1:19" hidden="1" x14ac:dyDescent="0.25">
      <c r="A6616" s="5" t="str">
        <f t="shared" si="2801"/>
        <v>44196USD/CHF</v>
      </c>
      <c r="B6616" s="6" t="s">
        <v>76</v>
      </c>
      <c r="C6616" s="6">
        <v>0.87</v>
      </c>
      <c r="D6616" s="6">
        <v>0.89</v>
      </c>
      <c r="E6616" s="6">
        <v>0.88</v>
      </c>
      <c r="F6616" t="str">
        <f t="shared" si="2789"/>
        <v>THU</v>
      </c>
      <c r="G6616" s="3">
        <f t="shared" si="2790"/>
        <v>44196</v>
      </c>
      <c r="H6616" s="2">
        <f t="shared" ca="1" si="2791"/>
        <v>57</v>
      </c>
      <c r="I6616" t="str">
        <f t="shared" si="2792"/>
        <v>USD/CHF</v>
      </c>
      <c r="J6616">
        <f t="shared" si="2793"/>
        <v>0.87</v>
      </c>
      <c r="K6616">
        <f t="shared" si="2794"/>
        <v>0.89</v>
      </c>
      <c r="L6616">
        <f t="shared" si="2795"/>
        <v>0.88</v>
      </c>
      <c r="M6616">
        <f t="shared" si="2796"/>
        <v>1.0000000000000009E-2</v>
      </c>
      <c r="N6616">
        <f t="shared" si="2787"/>
        <v>2.0000000000000018E-2</v>
      </c>
      <c r="O6616">
        <f t="shared" si="2797"/>
        <v>0.88</v>
      </c>
      <c r="P6616">
        <f t="shared" si="2798"/>
        <v>0</v>
      </c>
      <c r="Q6616" t="str">
        <f t="shared" si="2788"/>
        <v>1.14% | 1.14%</v>
      </c>
      <c r="R6616" t="str">
        <f t="shared" si="2799"/>
        <v>BEARISH</v>
      </c>
      <c r="S6616">
        <f t="shared" si="2800"/>
        <v>-1</v>
      </c>
    </row>
    <row r="6617" spans="1:19" hidden="1" x14ac:dyDescent="0.25">
      <c r="A6617" s="5" t="str">
        <f t="shared" si="2801"/>
        <v>44196WTIC</v>
      </c>
      <c r="B6617" s="6" t="s">
        <v>158</v>
      </c>
      <c r="C6617" s="6">
        <v>48.03</v>
      </c>
      <c r="D6617" s="6">
        <v>49.38</v>
      </c>
      <c r="E6617" s="6">
        <v>48.4</v>
      </c>
      <c r="F6617" t="str">
        <f t="shared" si="2789"/>
        <v>THU</v>
      </c>
      <c r="G6617" s="3">
        <f t="shared" si="2790"/>
        <v>44196</v>
      </c>
      <c r="H6617" s="2">
        <f t="shared" ca="1" si="2791"/>
        <v>57</v>
      </c>
      <c r="I6617" t="str">
        <f t="shared" si="2792"/>
        <v>WTIC</v>
      </c>
      <c r="J6617">
        <f t="shared" si="2793"/>
        <v>48.03</v>
      </c>
      <c r="K6617">
        <f t="shared" si="2794"/>
        <v>49.38</v>
      </c>
      <c r="L6617">
        <f t="shared" si="2795"/>
        <v>48.704999999999998</v>
      </c>
      <c r="M6617">
        <f t="shared" si="2796"/>
        <v>0.67500000000000071</v>
      </c>
      <c r="N6617">
        <f t="shared" si="2787"/>
        <v>1.3500000000000014</v>
      </c>
      <c r="O6617">
        <f t="shared" si="2797"/>
        <v>48.4</v>
      </c>
      <c r="P6617">
        <f t="shared" si="2798"/>
        <v>-0.45185185185185095</v>
      </c>
      <c r="Q6617" t="str">
        <f t="shared" si="2788"/>
        <v>0.76% | 2.02%</v>
      </c>
      <c r="R6617" t="str">
        <f t="shared" si="2799"/>
        <v>BULLISH</v>
      </c>
      <c r="S6617">
        <f t="shared" si="2800"/>
        <v>1</v>
      </c>
    </row>
    <row r="6618" spans="1:19" hidden="1" x14ac:dyDescent="0.25">
      <c r="A6618" s="5" t="str">
        <f t="shared" si="2801"/>
        <v>44196NATGAS</v>
      </c>
      <c r="B6618" s="6" t="s">
        <v>24</v>
      </c>
      <c r="C6618" s="6">
        <v>2.27</v>
      </c>
      <c r="D6618" s="6">
        <v>2.75</v>
      </c>
      <c r="E6618" s="6">
        <v>2.42</v>
      </c>
      <c r="F6618" t="str">
        <f t="shared" si="2789"/>
        <v>THU</v>
      </c>
      <c r="G6618" s="3">
        <f t="shared" si="2790"/>
        <v>44196</v>
      </c>
      <c r="H6618" s="2">
        <f t="shared" ca="1" si="2791"/>
        <v>57</v>
      </c>
      <c r="I6618" t="str">
        <f t="shared" si="2792"/>
        <v>NATGAS</v>
      </c>
      <c r="J6618">
        <f t="shared" si="2793"/>
        <v>2.27</v>
      </c>
      <c r="K6618">
        <f t="shared" si="2794"/>
        <v>2.75</v>
      </c>
      <c r="L6618">
        <f t="shared" si="2795"/>
        <v>2.5099999999999998</v>
      </c>
      <c r="M6618">
        <f t="shared" si="2796"/>
        <v>0.24</v>
      </c>
      <c r="N6618">
        <f t="shared" si="2787"/>
        <v>0.48</v>
      </c>
      <c r="O6618">
        <f t="shared" si="2797"/>
        <v>2.42</v>
      </c>
      <c r="P6618">
        <f t="shared" si="2798"/>
        <v>-0.37499999999999944</v>
      </c>
      <c r="Q6618" t="str">
        <f t="shared" si="2788"/>
        <v>6.2% | 13.64%</v>
      </c>
      <c r="R6618" t="str">
        <f t="shared" si="2799"/>
        <v>BEARISH</v>
      </c>
      <c r="S6618">
        <f t="shared" si="2800"/>
        <v>-1</v>
      </c>
    </row>
    <row r="6619" spans="1:19" hidden="1" x14ac:dyDescent="0.25">
      <c r="A6619" s="5" t="str">
        <f t="shared" si="2801"/>
        <v>44196GOLD</v>
      </c>
      <c r="B6619" s="6" t="s">
        <v>249</v>
      </c>
      <c r="C6619" s="6">
        <v>1858</v>
      </c>
      <c r="D6619" s="6">
        <v>1901</v>
      </c>
      <c r="E6619" s="6">
        <v>1893</v>
      </c>
      <c r="F6619" t="str">
        <f t="shared" si="2789"/>
        <v>THU</v>
      </c>
      <c r="G6619" s="3">
        <f t="shared" si="2790"/>
        <v>44196</v>
      </c>
      <c r="H6619" s="2">
        <f t="shared" ca="1" si="2791"/>
        <v>57</v>
      </c>
      <c r="I6619" t="str">
        <f t="shared" si="2792"/>
        <v>GOLD</v>
      </c>
      <c r="J6619">
        <f t="shared" si="2793"/>
        <v>1858</v>
      </c>
      <c r="K6619">
        <f t="shared" si="2794"/>
        <v>1901</v>
      </c>
      <c r="L6619">
        <f t="shared" si="2795"/>
        <v>1879.5</v>
      </c>
      <c r="M6619">
        <f t="shared" si="2796"/>
        <v>21.5</v>
      </c>
      <c r="N6619">
        <f t="shared" si="2787"/>
        <v>43</v>
      </c>
      <c r="O6619">
        <f t="shared" si="2797"/>
        <v>1893</v>
      </c>
      <c r="P6619">
        <f t="shared" si="2798"/>
        <v>0.62790697674418605</v>
      </c>
      <c r="Q6619" t="str">
        <f t="shared" si="2788"/>
        <v>1.85% | 0.42%</v>
      </c>
      <c r="R6619" t="str">
        <f t="shared" si="2799"/>
        <v>NEUTRAL</v>
      </c>
      <c r="S6619">
        <f t="shared" si="2800"/>
        <v>0</v>
      </c>
    </row>
    <row r="6620" spans="1:19" hidden="1" x14ac:dyDescent="0.25">
      <c r="A6620" s="5" t="str">
        <f t="shared" si="2801"/>
        <v>44196COPPER</v>
      </c>
      <c r="B6620" s="6" t="s">
        <v>100</v>
      </c>
      <c r="C6620" s="6">
        <v>3.49</v>
      </c>
      <c r="D6620" s="6">
        <v>3.64</v>
      </c>
      <c r="E6620" s="6">
        <v>3.55</v>
      </c>
      <c r="F6620" t="str">
        <f t="shared" si="2789"/>
        <v>THU</v>
      </c>
      <c r="G6620" s="3">
        <f t="shared" si="2790"/>
        <v>44196</v>
      </c>
      <c r="H6620" s="2">
        <f t="shared" ca="1" si="2791"/>
        <v>57</v>
      </c>
      <c r="I6620" t="str">
        <f t="shared" si="2792"/>
        <v>COPPER</v>
      </c>
      <c r="J6620">
        <f t="shared" si="2793"/>
        <v>3.49</v>
      </c>
      <c r="K6620">
        <f t="shared" si="2794"/>
        <v>3.64</v>
      </c>
      <c r="L6620">
        <f t="shared" si="2795"/>
        <v>3.5650000000000004</v>
      </c>
      <c r="M6620">
        <f t="shared" si="2796"/>
        <v>7.4999999999999956E-2</v>
      </c>
      <c r="N6620">
        <f t="shared" si="2787"/>
        <v>0.14999999999999991</v>
      </c>
      <c r="O6620">
        <f t="shared" si="2797"/>
        <v>3.55</v>
      </c>
      <c r="P6620">
        <f t="shared" si="2798"/>
        <v>-0.2000000000000077</v>
      </c>
      <c r="Q6620" t="str">
        <f t="shared" si="2788"/>
        <v>1.69% | 2.54%</v>
      </c>
      <c r="R6620" t="str">
        <f t="shared" si="2799"/>
        <v>BULLISH</v>
      </c>
      <c r="S6620">
        <f t="shared" si="2800"/>
        <v>1</v>
      </c>
    </row>
    <row r="6621" spans="1:19" hidden="1" x14ac:dyDescent="0.25">
      <c r="A6621" s="5" t="str">
        <f t="shared" si="2801"/>
        <v>44196MSFT</v>
      </c>
      <c r="B6621" s="6" t="s">
        <v>27</v>
      </c>
      <c r="C6621" s="6">
        <v>218</v>
      </c>
      <c r="D6621" s="6">
        <v>227</v>
      </c>
      <c r="E6621" s="6">
        <v>221</v>
      </c>
      <c r="F6621" t="str">
        <f t="shared" si="2789"/>
        <v>THU</v>
      </c>
      <c r="G6621" s="3">
        <f t="shared" si="2790"/>
        <v>44196</v>
      </c>
      <c r="H6621" s="2">
        <f t="shared" ca="1" si="2791"/>
        <v>57</v>
      </c>
      <c r="I6621" t="str">
        <f t="shared" si="2792"/>
        <v>MSFT</v>
      </c>
      <c r="J6621">
        <f t="shared" si="2793"/>
        <v>218</v>
      </c>
      <c r="K6621">
        <f t="shared" si="2794"/>
        <v>227</v>
      </c>
      <c r="L6621">
        <f t="shared" si="2795"/>
        <v>222.5</v>
      </c>
      <c r="M6621">
        <f t="shared" si="2796"/>
        <v>4.5</v>
      </c>
      <c r="N6621">
        <f t="shared" si="2787"/>
        <v>9</v>
      </c>
      <c r="O6621">
        <f t="shared" si="2797"/>
        <v>221</v>
      </c>
      <c r="P6621">
        <f t="shared" si="2798"/>
        <v>-0.33333333333333331</v>
      </c>
      <c r="Q6621" t="str">
        <f t="shared" si="2788"/>
        <v>1.36% | 2.71%</v>
      </c>
      <c r="R6621" t="str">
        <f t="shared" si="2799"/>
        <v>BULLISH</v>
      </c>
      <c r="S6621">
        <f t="shared" si="2800"/>
        <v>1</v>
      </c>
    </row>
    <row r="6622" spans="1:19" hidden="1" x14ac:dyDescent="0.25">
      <c r="A6622" s="5" t="str">
        <f t="shared" si="2801"/>
        <v>44196AAPL</v>
      </c>
      <c r="B6622" s="6" t="s">
        <v>28</v>
      </c>
      <c r="C6622" s="6">
        <v>129</v>
      </c>
      <c r="D6622" s="6">
        <v>138</v>
      </c>
      <c r="E6622" s="6">
        <v>133</v>
      </c>
      <c r="F6622" t="str">
        <f t="shared" si="2789"/>
        <v>THU</v>
      </c>
      <c r="G6622" s="3">
        <f t="shared" si="2790"/>
        <v>44196</v>
      </c>
      <c r="H6622" s="2">
        <f t="shared" ca="1" si="2791"/>
        <v>57</v>
      </c>
      <c r="I6622" t="str">
        <f t="shared" si="2792"/>
        <v>AAPL</v>
      </c>
      <c r="J6622">
        <f t="shared" si="2793"/>
        <v>129</v>
      </c>
      <c r="K6622">
        <f t="shared" si="2794"/>
        <v>138</v>
      </c>
      <c r="L6622">
        <f t="shared" si="2795"/>
        <v>133.5</v>
      </c>
      <c r="M6622">
        <f t="shared" si="2796"/>
        <v>4.5</v>
      </c>
      <c r="N6622">
        <f t="shared" si="2787"/>
        <v>9</v>
      </c>
      <c r="O6622">
        <f t="shared" si="2797"/>
        <v>133</v>
      </c>
      <c r="P6622">
        <f t="shared" si="2798"/>
        <v>-0.1111111111111111</v>
      </c>
      <c r="Q6622" t="str">
        <f t="shared" si="2788"/>
        <v>3.01% | 3.76%</v>
      </c>
      <c r="R6622" t="str">
        <f t="shared" si="2799"/>
        <v>BULLISH</v>
      </c>
      <c r="S6622">
        <f t="shared" si="2800"/>
        <v>1</v>
      </c>
    </row>
    <row r="6623" spans="1:19" hidden="1" x14ac:dyDescent="0.25">
      <c r="A6623" s="5" t="str">
        <f t="shared" si="2801"/>
        <v>44196AMZN</v>
      </c>
      <c r="B6623" s="6" t="s">
        <v>29</v>
      </c>
      <c r="C6623" s="6">
        <v>3149</v>
      </c>
      <c r="D6623" s="6">
        <v>3342</v>
      </c>
      <c r="E6623" s="6">
        <v>3285</v>
      </c>
      <c r="F6623" t="str">
        <f t="shared" si="2789"/>
        <v>THU</v>
      </c>
      <c r="G6623" s="3">
        <f t="shared" si="2790"/>
        <v>44196</v>
      </c>
      <c r="H6623" s="2">
        <f t="shared" ca="1" si="2791"/>
        <v>57</v>
      </c>
      <c r="I6623" t="str">
        <f t="shared" si="2792"/>
        <v>AMZN</v>
      </c>
      <c r="J6623">
        <f t="shared" si="2793"/>
        <v>3149</v>
      </c>
      <c r="K6623">
        <f t="shared" si="2794"/>
        <v>3342</v>
      </c>
      <c r="L6623">
        <f t="shared" si="2795"/>
        <v>3245.5</v>
      </c>
      <c r="M6623">
        <f t="shared" si="2796"/>
        <v>96.5</v>
      </c>
      <c r="N6623">
        <f t="shared" si="2787"/>
        <v>193</v>
      </c>
      <c r="O6623">
        <f t="shared" si="2797"/>
        <v>3285</v>
      </c>
      <c r="P6623">
        <f t="shared" si="2798"/>
        <v>0.40932642487046633</v>
      </c>
      <c r="Q6623" t="str">
        <f t="shared" si="2788"/>
        <v>4.14% | 1.74%</v>
      </c>
      <c r="R6623" t="str">
        <f t="shared" si="2799"/>
        <v>BULLISH</v>
      </c>
      <c r="S6623">
        <f t="shared" si="2800"/>
        <v>1</v>
      </c>
    </row>
    <row r="6624" spans="1:19" hidden="1" x14ac:dyDescent="0.25">
      <c r="A6624" s="5" t="str">
        <f t="shared" si="2801"/>
        <v>44196FB</v>
      </c>
      <c r="B6624" s="6" t="s">
        <v>30</v>
      </c>
      <c r="C6624" s="6">
        <v>264</v>
      </c>
      <c r="D6624" s="6">
        <v>281</v>
      </c>
      <c r="E6624" s="6">
        <v>271</v>
      </c>
      <c r="F6624" t="str">
        <f t="shared" si="2789"/>
        <v>THU</v>
      </c>
      <c r="G6624" s="3">
        <f t="shared" si="2790"/>
        <v>44196</v>
      </c>
      <c r="H6624" s="2">
        <f t="shared" ca="1" si="2791"/>
        <v>57</v>
      </c>
      <c r="I6624" t="str">
        <f t="shared" si="2792"/>
        <v>FB</v>
      </c>
      <c r="J6624">
        <f t="shared" si="2793"/>
        <v>264</v>
      </c>
      <c r="K6624">
        <f t="shared" si="2794"/>
        <v>281</v>
      </c>
      <c r="L6624">
        <f t="shared" si="2795"/>
        <v>272.5</v>
      </c>
      <c r="M6624">
        <f t="shared" si="2796"/>
        <v>8.5</v>
      </c>
      <c r="N6624">
        <f t="shared" si="2787"/>
        <v>17</v>
      </c>
      <c r="O6624">
        <f t="shared" si="2797"/>
        <v>271</v>
      </c>
      <c r="P6624">
        <f t="shared" si="2798"/>
        <v>-0.17647058823529413</v>
      </c>
      <c r="Q6624" t="str">
        <f t="shared" si="2788"/>
        <v>2.58% | 3.69%</v>
      </c>
      <c r="R6624" t="str">
        <f t="shared" si="2799"/>
        <v>BULLISH</v>
      </c>
      <c r="S6624">
        <f t="shared" si="2800"/>
        <v>1</v>
      </c>
    </row>
    <row r="6625" spans="1:19" hidden="1" x14ac:dyDescent="0.25">
      <c r="A6625" s="5" t="str">
        <f t="shared" si="2801"/>
        <v>44196GOOGL</v>
      </c>
      <c r="B6625" s="6" t="s">
        <v>31</v>
      </c>
      <c r="C6625" s="6">
        <v>1706</v>
      </c>
      <c r="D6625" s="6">
        <v>1777</v>
      </c>
      <c r="E6625" s="6">
        <v>1736</v>
      </c>
      <c r="F6625" t="str">
        <f t="shared" si="2789"/>
        <v>THU</v>
      </c>
      <c r="G6625" s="3">
        <f t="shared" si="2790"/>
        <v>44196</v>
      </c>
      <c r="H6625" s="2">
        <f t="shared" ca="1" si="2791"/>
        <v>57</v>
      </c>
      <c r="I6625" t="str">
        <f t="shared" si="2792"/>
        <v>GOOGL</v>
      </c>
      <c r="J6625">
        <f t="shared" si="2793"/>
        <v>1706</v>
      </c>
      <c r="K6625">
        <f t="shared" si="2794"/>
        <v>1777</v>
      </c>
      <c r="L6625">
        <f t="shared" si="2795"/>
        <v>1741.5</v>
      </c>
      <c r="M6625">
        <f t="shared" si="2796"/>
        <v>35.5</v>
      </c>
      <c r="N6625">
        <f t="shared" si="2787"/>
        <v>71</v>
      </c>
      <c r="O6625">
        <f t="shared" si="2797"/>
        <v>1736</v>
      </c>
      <c r="P6625">
        <f t="shared" si="2798"/>
        <v>-0.15492957746478872</v>
      </c>
      <c r="Q6625" t="str">
        <f t="shared" si="2788"/>
        <v>1.73% | 2.36%</v>
      </c>
      <c r="R6625" t="str">
        <f t="shared" si="2799"/>
        <v>BULLISH</v>
      </c>
      <c r="S6625">
        <f t="shared" si="2800"/>
        <v>1</v>
      </c>
    </row>
    <row r="6626" spans="1:19" hidden="1" x14ac:dyDescent="0.25">
      <c r="A6626" s="5" t="str">
        <f t="shared" si="2801"/>
        <v>44196NFLX</v>
      </c>
      <c r="B6626" s="6" t="s">
        <v>32</v>
      </c>
      <c r="C6626" s="6">
        <v>510</v>
      </c>
      <c r="D6626" s="6">
        <v>541</v>
      </c>
      <c r="E6626" s="6">
        <v>524</v>
      </c>
      <c r="F6626" t="str">
        <f t="shared" si="2789"/>
        <v>THU</v>
      </c>
      <c r="G6626" s="3">
        <f t="shared" si="2790"/>
        <v>44196</v>
      </c>
      <c r="H6626" s="2">
        <f t="shared" ca="1" si="2791"/>
        <v>57</v>
      </c>
      <c r="I6626" t="str">
        <f t="shared" si="2792"/>
        <v>NFLX</v>
      </c>
      <c r="J6626">
        <f t="shared" si="2793"/>
        <v>510</v>
      </c>
      <c r="K6626">
        <f t="shared" si="2794"/>
        <v>541</v>
      </c>
      <c r="L6626">
        <f t="shared" si="2795"/>
        <v>525.5</v>
      </c>
      <c r="M6626">
        <f t="shared" si="2796"/>
        <v>15.5</v>
      </c>
      <c r="N6626">
        <f t="shared" si="2787"/>
        <v>31</v>
      </c>
      <c r="O6626">
        <f t="shared" si="2797"/>
        <v>524</v>
      </c>
      <c r="P6626">
        <f t="shared" si="2798"/>
        <v>-9.6774193548387094E-2</v>
      </c>
      <c r="Q6626" t="str">
        <f t="shared" si="2788"/>
        <v>2.67% | 3.24%</v>
      </c>
      <c r="R6626" t="str">
        <f t="shared" si="2799"/>
        <v>BULLISH</v>
      </c>
      <c r="S6626">
        <f t="shared" si="2800"/>
        <v>1</v>
      </c>
    </row>
    <row r="6627" spans="1:19" x14ac:dyDescent="0.25">
      <c r="A6627" s="5" t="str">
        <f t="shared" si="2801"/>
        <v>44196TSLA</v>
      </c>
      <c r="B6627" s="6" t="s">
        <v>33</v>
      </c>
      <c r="C6627" s="6">
        <v>625</v>
      </c>
      <c r="D6627" s="6">
        <v>704</v>
      </c>
      <c r="E6627" s="6">
        <v>694</v>
      </c>
      <c r="F6627" t="str">
        <f t="shared" si="2789"/>
        <v>THU</v>
      </c>
      <c r="G6627" s="3">
        <f t="shared" si="2790"/>
        <v>44196</v>
      </c>
      <c r="H6627" s="2">
        <f t="shared" ca="1" si="2791"/>
        <v>57</v>
      </c>
      <c r="I6627" t="str">
        <f t="shared" si="2792"/>
        <v>TSLA</v>
      </c>
      <c r="J6627">
        <f t="shared" si="2793"/>
        <v>625</v>
      </c>
      <c r="K6627">
        <f t="shared" si="2794"/>
        <v>704</v>
      </c>
      <c r="L6627">
        <f t="shared" si="2795"/>
        <v>664.5</v>
      </c>
      <c r="M6627">
        <f t="shared" si="2796"/>
        <v>39.5</v>
      </c>
      <c r="N6627">
        <f t="shared" si="2787"/>
        <v>79</v>
      </c>
      <c r="O6627">
        <f t="shared" si="2797"/>
        <v>694</v>
      </c>
      <c r="P6627">
        <f t="shared" si="2798"/>
        <v>0.74683544303797467</v>
      </c>
      <c r="Q6627" t="str">
        <f t="shared" si="2788"/>
        <v>9.94% | 1.44%</v>
      </c>
      <c r="R6627" t="str">
        <f t="shared" si="2799"/>
        <v>BULLISH</v>
      </c>
      <c r="S6627">
        <f t="shared" si="2800"/>
        <v>1</v>
      </c>
    </row>
    <row r="6628" spans="1:19" hidden="1" x14ac:dyDescent="0.25">
      <c r="A6628" s="5" t="str">
        <f t="shared" si="2801"/>
        <v>44196NYXBT</v>
      </c>
      <c r="B6628" s="6" t="s">
        <v>60</v>
      </c>
      <c r="C6628" s="6">
        <v>23536</v>
      </c>
      <c r="D6628" s="6">
        <v>28650</v>
      </c>
      <c r="E6628" s="6">
        <v>28122</v>
      </c>
      <c r="F6628" t="str">
        <f t="shared" si="2789"/>
        <v>THU</v>
      </c>
      <c r="G6628" s="3">
        <f t="shared" si="2790"/>
        <v>44196</v>
      </c>
      <c r="H6628" s="2">
        <f t="shared" ca="1" si="2791"/>
        <v>57</v>
      </c>
      <c r="I6628" t="str">
        <f t="shared" si="2792"/>
        <v>NYXBT</v>
      </c>
      <c r="J6628">
        <f t="shared" si="2793"/>
        <v>23536</v>
      </c>
      <c r="K6628">
        <f t="shared" si="2794"/>
        <v>28650</v>
      </c>
      <c r="L6628">
        <f t="shared" si="2795"/>
        <v>26093</v>
      </c>
      <c r="M6628">
        <f t="shared" si="2796"/>
        <v>2557</v>
      </c>
      <c r="N6628">
        <f t="shared" si="2787"/>
        <v>5114</v>
      </c>
      <c r="O6628">
        <f t="shared" si="2797"/>
        <v>28122</v>
      </c>
      <c r="P6628">
        <f t="shared" si="2798"/>
        <v>0.79350801720766528</v>
      </c>
      <c r="Q6628" t="str">
        <f t="shared" si="2788"/>
        <v>16.31% | 1.88%</v>
      </c>
      <c r="R6628" t="str">
        <f t="shared" si="2799"/>
        <v>BULLISH</v>
      </c>
      <c r="S6628">
        <f t="shared" si="2800"/>
        <v>1</v>
      </c>
    </row>
    <row r="6629" spans="1:19" hidden="1" x14ac:dyDescent="0.25">
      <c r="A6629" s="5" t="str">
        <f t="shared" si="2801"/>
        <v>44200UST10Y</v>
      </c>
      <c r="B6629" s="6" t="s">
        <v>257</v>
      </c>
      <c r="C6629" s="6">
        <v>0.98</v>
      </c>
      <c r="D6629" s="6">
        <v>0.91</v>
      </c>
      <c r="E6629" s="6">
        <v>0.93</v>
      </c>
      <c r="F6629" t="str">
        <f t="shared" si="2789"/>
        <v>MON</v>
      </c>
      <c r="G6629" s="1">
        <f>DATE(2021,1,4)</f>
        <v>44200</v>
      </c>
      <c r="H6629" s="2">
        <f t="shared" ca="1" si="2791"/>
        <v>53</v>
      </c>
      <c r="I6629" t="str">
        <f t="shared" si="2792"/>
        <v>UST10Y</v>
      </c>
      <c r="J6629">
        <f t="shared" si="2793"/>
        <v>0.98</v>
      </c>
      <c r="K6629">
        <f t="shared" si="2794"/>
        <v>0.91</v>
      </c>
      <c r="L6629">
        <f t="shared" si="2795"/>
        <v>0.94500000000000006</v>
      </c>
      <c r="M6629">
        <f t="shared" si="2796"/>
        <v>3.4999999999999976E-2</v>
      </c>
      <c r="N6629">
        <f t="shared" si="2787"/>
        <v>6.9999999999999951E-2</v>
      </c>
      <c r="O6629">
        <f t="shared" si="2797"/>
        <v>0.93</v>
      </c>
      <c r="P6629">
        <f t="shared" si="2798"/>
        <v>-0.42857142857142927</v>
      </c>
      <c r="Q6629" t="str">
        <f t="shared" si="2788"/>
        <v>5.38% | 2.15%</v>
      </c>
      <c r="R6629" t="str">
        <f t="shared" si="2799"/>
        <v>BULLISH</v>
      </c>
      <c r="S6629">
        <f t="shared" si="2800"/>
        <v>1</v>
      </c>
    </row>
    <row r="6630" spans="1:19" hidden="1" x14ac:dyDescent="0.25">
      <c r="A6630" s="5" t="str">
        <f t="shared" si="2801"/>
        <v>44200UST2Y</v>
      </c>
      <c r="B6630" s="6" t="s">
        <v>253</v>
      </c>
      <c r="C6630" s="6">
        <v>0.15</v>
      </c>
      <c r="D6630" s="6">
        <v>0.11</v>
      </c>
      <c r="E6630" s="6">
        <v>0.13</v>
      </c>
      <c r="F6630" t="str">
        <f t="shared" ref="F6630:F6661" si="2802">UPPER(TEXT(G6630,"ddd"))</f>
        <v>MON</v>
      </c>
      <c r="G6630" s="1">
        <f t="shared" ref="G6630:G6660" si="2803">DATE(2021,1,4)</f>
        <v>44200</v>
      </c>
      <c r="H6630" s="2">
        <f t="shared" ref="H6630:H6661" ca="1" si="2804">TODAY()-G6630</f>
        <v>53</v>
      </c>
      <c r="I6630" t="str">
        <f t="shared" ref="I6630:I6661" si="2805">TRIM(LEFT(B6630,FIND(" ",B6630,1)))</f>
        <v>UST2Y</v>
      </c>
      <c r="J6630">
        <f t="shared" ref="J6630:J6661" si="2806">C6630</f>
        <v>0.15</v>
      </c>
      <c r="K6630">
        <f t="shared" ref="K6630:K6661" si="2807">D6630</f>
        <v>0.11</v>
      </c>
      <c r="L6630">
        <f t="shared" ref="L6630:L6661" si="2808">AVERAGE(J6630:K6630)</f>
        <v>0.13</v>
      </c>
      <c r="M6630">
        <f t="shared" ref="M6630:M6661" si="2809">_xlfn.STDEV.P(J6630:K6630)</f>
        <v>1.9999999999999938E-2</v>
      </c>
      <c r="N6630">
        <f t="shared" si="2787"/>
        <v>3.9999999999999994E-2</v>
      </c>
      <c r="O6630">
        <f t="shared" ref="O6630:O6661" si="2810">E6630</f>
        <v>0.13</v>
      </c>
      <c r="P6630">
        <f t="shared" ref="P6630:P6661" si="2811">(O6630-L6630)/M6630</f>
        <v>0</v>
      </c>
      <c r="Q6630" t="str">
        <f t="shared" si="2788"/>
        <v>15.38% | 15.38%</v>
      </c>
      <c r="R6630" t="str">
        <f t="shared" ref="R6630:R6661" si="2812">MID(B6630,FIND("(",B6630,1)+1,FIND(")",B6630,1)-FIND("(",B6630,1)-1)</f>
        <v>NEUTRAL</v>
      </c>
      <c r="S6630">
        <f t="shared" ref="S6630:S6661" si="2813">IF(R6630="BEARISH",-1,IF(R6630="NEUTRAL",0,IF(R6630="BULLISH",1,99)))</f>
        <v>0</v>
      </c>
    </row>
    <row r="6631" spans="1:19" hidden="1" x14ac:dyDescent="0.25">
      <c r="A6631" s="5" t="str">
        <f t="shared" si="2801"/>
        <v>44200SPX</v>
      </c>
      <c r="B6631" s="6" t="s">
        <v>93</v>
      </c>
      <c r="C6631" s="6">
        <v>3671</v>
      </c>
      <c r="D6631" s="6">
        <v>3779</v>
      </c>
      <c r="E6631" s="6">
        <v>3756</v>
      </c>
      <c r="F6631" t="str">
        <f t="shared" si="2802"/>
        <v>MON</v>
      </c>
      <c r="G6631" s="1">
        <f t="shared" si="2803"/>
        <v>44200</v>
      </c>
      <c r="H6631" s="2">
        <f t="shared" ca="1" si="2804"/>
        <v>53</v>
      </c>
      <c r="I6631" t="str">
        <f t="shared" si="2805"/>
        <v>SPX</v>
      </c>
      <c r="J6631">
        <f t="shared" si="2806"/>
        <v>3671</v>
      </c>
      <c r="K6631">
        <f t="shared" si="2807"/>
        <v>3779</v>
      </c>
      <c r="L6631">
        <f t="shared" si="2808"/>
        <v>3725</v>
      </c>
      <c r="M6631">
        <f t="shared" si="2809"/>
        <v>54</v>
      </c>
      <c r="N6631">
        <f t="shared" si="2787"/>
        <v>108</v>
      </c>
      <c r="O6631">
        <f t="shared" si="2810"/>
        <v>3756</v>
      </c>
      <c r="P6631">
        <f t="shared" si="2811"/>
        <v>0.57407407407407407</v>
      </c>
      <c r="Q6631" t="str">
        <f t="shared" si="2788"/>
        <v>2.26% | 0.61%</v>
      </c>
      <c r="R6631" t="str">
        <f t="shared" si="2812"/>
        <v>BULLISH</v>
      </c>
      <c r="S6631">
        <f t="shared" si="2813"/>
        <v>1</v>
      </c>
    </row>
    <row r="6632" spans="1:19" hidden="1" x14ac:dyDescent="0.25">
      <c r="A6632" s="5" t="str">
        <f t="shared" si="2801"/>
        <v>44200RUT</v>
      </c>
      <c r="B6632" s="6" t="s">
        <v>247</v>
      </c>
      <c r="C6632" s="6">
        <v>1948</v>
      </c>
      <c r="D6632" s="6">
        <v>2014</v>
      </c>
      <c r="E6632" s="6">
        <v>1974</v>
      </c>
      <c r="F6632" t="str">
        <f t="shared" si="2802"/>
        <v>MON</v>
      </c>
      <c r="G6632" s="1">
        <f t="shared" si="2803"/>
        <v>44200</v>
      </c>
      <c r="H6632" s="2">
        <f t="shared" ca="1" si="2804"/>
        <v>53</v>
      </c>
      <c r="I6632" t="str">
        <f t="shared" si="2805"/>
        <v>RUT</v>
      </c>
      <c r="J6632">
        <f t="shared" si="2806"/>
        <v>1948</v>
      </c>
      <c r="K6632">
        <f t="shared" si="2807"/>
        <v>2014</v>
      </c>
      <c r="L6632">
        <f t="shared" si="2808"/>
        <v>1981</v>
      </c>
      <c r="M6632">
        <f t="shared" si="2809"/>
        <v>33</v>
      </c>
      <c r="N6632">
        <f t="shared" si="2787"/>
        <v>66</v>
      </c>
      <c r="O6632">
        <f t="shared" si="2810"/>
        <v>1974</v>
      </c>
      <c r="P6632">
        <f t="shared" si="2811"/>
        <v>-0.21212121212121213</v>
      </c>
      <c r="Q6632" t="str">
        <f t="shared" si="2788"/>
        <v>1.32% | 2.03%</v>
      </c>
      <c r="R6632" t="str">
        <f t="shared" si="2812"/>
        <v>BULLISH</v>
      </c>
      <c r="S6632">
        <f t="shared" si="2813"/>
        <v>1</v>
      </c>
    </row>
    <row r="6633" spans="1:19" hidden="1" x14ac:dyDescent="0.25">
      <c r="A6633" s="5" t="str">
        <f t="shared" si="2801"/>
        <v>44200COMPQ</v>
      </c>
      <c r="B6633" s="6" t="s">
        <v>8</v>
      </c>
      <c r="C6633" s="6">
        <v>12701</v>
      </c>
      <c r="D6633" s="6">
        <v>12951</v>
      </c>
      <c r="E6633" s="6">
        <v>12888</v>
      </c>
      <c r="F6633" t="str">
        <f t="shared" si="2802"/>
        <v>MON</v>
      </c>
      <c r="G6633" s="1">
        <f t="shared" si="2803"/>
        <v>44200</v>
      </c>
      <c r="H6633" s="2">
        <f t="shared" ca="1" si="2804"/>
        <v>53</v>
      </c>
      <c r="I6633" t="str">
        <f t="shared" si="2805"/>
        <v>COMPQ</v>
      </c>
      <c r="J6633">
        <f t="shared" si="2806"/>
        <v>12701</v>
      </c>
      <c r="K6633">
        <f t="shared" si="2807"/>
        <v>12951</v>
      </c>
      <c r="L6633">
        <f t="shared" si="2808"/>
        <v>12826</v>
      </c>
      <c r="M6633">
        <f t="shared" si="2809"/>
        <v>125</v>
      </c>
      <c r="N6633">
        <f t="shared" si="2787"/>
        <v>250</v>
      </c>
      <c r="O6633">
        <f t="shared" si="2810"/>
        <v>12888</v>
      </c>
      <c r="P6633">
        <f t="shared" si="2811"/>
        <v>0.496</v>
      </c>
      <c r="Q6633" t="str">
        <f t="shared" si="2788"/>
        <v>1.45% | 0.49%</v>
      </c>
      <c r="R6633" t="str">
        <f t="shared" si="2812"/>
        <v>BULLISH</v>
      </c>
      <c r="S6633">
        <f t="shared" si="2813"/>
        <v>1</v>
      </c>
    </row>
    <row r="6634" spans="1:19" hidden="1" x14ac:dyDescent="0.25">
      <c r="A6634" s="5" t="str">
        <f t="shared" si="2801"/>
        <v>44200XLK</v>
      </c>
      <c r="B6634" s="6" t="s">
        <v>10</v>
      </c>
      <c r="C6634" s="6">
        <v>127.32</v>
      </c>
      <c r="D6634" s="6">
        <v>131.25</v>
      </c>
      <c r="E6634" s="6">
        <v>130.02000000000001</v>
      </c>
      <c r="F6634" t="str">
        <f t="shared" si="2802"/>
        <v>MON</v>
      </c>
      <c r="G6634" s="1">
        <f t="shared" si="2803"/>
        <v>44200</v>
      </c>
      <c r="H6634" s="2">
        <f t="shared" ca="1" si="2804"/>
        <v>53</v>
      </c>
      <c r="I6634" t="str">
        <f t="shared" si="2805"/>
        <v>XLK</v>
      </c>
      <c r="J6634">
        <f t="shared" si="2806"/>
        <v>127.32</v>
      </c>
      <c r="K6634">
        <f t="shared" si="2807"/>
        <v>131.25</v>
      </c>
      <c r="L6634">
        <f t="shared" si="2808"/>
        <v>129.285</v>
      </c>
      <c r="M6634">
        <f t="shared" si="2809"/>
        <v>1.9650000000000034</v>
      </c>
      <c r="N6634">
        <f t="shared" si="2787"/>
        <v>3.9300000000000068</v>
      </c>
      <c r="O6634">
        <f t="shared" si="2810"/>
        <v>130.02000000000001</v>
      </c>
      <c r="P6634">
        <f t="shared" si="2811"/>
        <v>0.37404580152672384</v>
      </c>
      <c r="Q6634" t="str">
        <f t="shared" si="2788"/>
        <v>2.08% | 0.95%</v>
      </c>
      <c r="R6634" t="str">
        <f t="shared" si="2812"/>
        <v>BULLISH</v>
      </c>
      <c r="S6634">
        <f t="shared" si="2813"/>
        <v>1</v>
      </c>
    </row>
    <row r="6635" spans="1:19" hidden="1" x14ac:dyDescent="0.25">
      <c r="A6635" s="5" t="str">
        <f t="shared" si="2801"/>
        <v>44200XLE</v>
      </c>
      <c r="B6635" s="6" t="s">
        <v>250</v>
      </c>
      <c r="C6635" s="6">
        <v>37.090000000000003</v>
      </c>
      <c r="D6635" s="6">
        <v>40.020000000000003</v>
      </c>
      <c r="E6635" s="6">
        <v>37.9</v>
      </c>
      <c r="F6635" t="str">
        <f t="shared" si="2802"/>
        <v>MON</v>
      </c>
      <c r="G6635" s="1">
        <f t="shared" si="2803"/>
        <v>44200</v>
      </c>
      <c r="H6635" s="2">
        <f t="shared" ca="1" si="2804"/>
        <v>53</v>
      </c>
      <c r="I6635" t="str">
        <f t="shared" si="2805"/>
        <v>XLE</v>
      </c>
      <c r="J6635">
        <f t="shared" si="2806"/>
        <v>37.090000000000003</v>
      </c>
      <c r="K6635">
        <f t="shared" si="2807"/>
        <v>40.020000000000003</v>
      </c>
      <c r="L6635">
        <f t="shared" si="2808"/>
        <v>38.555000000000007</v>
      </c>
      <c r="M6635">
        <f t="shared" si="2809"/>
        <v>1.4649999999999999</v>
      </c>
      <c r="N6635">
        <f t="shared" si="2787"/>
        <v>2.9299999999999997</v>
      </c>
      <c r="O6635">
        <f t="shared" si="2810"/>
        <v>37.9</v>
      </c>
      <c r="P6635">
        <f t="shared" si="2811"/>
        <v>-0.44709897610922067</v>
      </c>
      <c r="Q6635" t="str">
        <f t="shared" si="2788"/>
        <v>2.14% | 5.59%</v>
      </c>
      <c r="R6635" t="str">
        <f t="shared" si="2812"/>
        <v>BULLISH</v>
      </c>
      <c r="S6635">
        <f t="shared" si="2813"/>
        <v>1</v>
      </c>
    </row>
    <row r="6636" spans="1:19" hidden="1" x14ac:dyDescent="0.25">
      <c r="A6636" s="5" t="str">
        <f t="shared" si="2801"/>
        <v>44200XLF</v>
      </c>
      <c r="B6636" s="6" t="s">
        <v>258</v>
      </c>
      <c r="C6636" s="6">
        <v>28.33</v>
      </c>
      <c r="D6636" s="6">
        <v>29.86</v>
      </c>
      <c r="E6636" s="6">
        <v>29.48</v>
      </c>
      <c r="F6636" t="str">
        <f t="shared" si="2802"/>
        <v>MON</v>
      </c>
      <c r="G6636" s="1">
        <f t="shared" si="2803"/>
        <v>44200</v>
      </c>
      <c r="H6636" s="2">
        <f t="shared" ca="1" si="2804"/>
        <v>53</v>
      </c>
      <c r="I6636" t="str">
        <f t="shared" si="2805"/>
        <v>XLF</v>
      </c>
      <c r="J6636">
        <f t="shared" si="2806"/>
        <v>28.33</v>
      </c>
      <c r="K6636">
        <f t="shared" si="2807"/>
        <v>29.86</v>
      </c>
      <c r="L6636">
        <f t="shared" si="2808"/>
        <v>29.094999999999999</v>
      </c>
      <c r="M6636">
        <f t="shared" si="2809"/>
        <v>0.76500000000000057</v>
      </c>
      <c r="N6636">
        <f t="shared" si="2787"/>
        <v>1.5300000000000011</v>
      </c>
      <c r="O6636">
        <f t="shared" si="2810"/>
        <v>29.48</v>
      </c>
      <c r="P6636">
        <f t="shared" si="2811"/>
        <v>0.5032679738562108</v>
      </c>
      <c r="Q6636" t="str">
        <f t="shared" si="2788"/>
        <v>3.9% | 1.29%</v>
      </c>
      <c r="R6636" t="str">
        <f t="shared" si="2812"/>
        <v>BULLISH</v>
      </c>
      <c r="S6636">
        <f t="shared" si="2813"/>
        <v>1</v>
      </c>
    </row>
    <row r="6637" spans="1:19" hidden="1" x14ac:dyDescent="0.25">
      <c r="A6637" s="5" t="str">
        <f t="shared" si="2801"/>
        <v>44200XLU</v>
      </c>
      <c r="B6637" s="6" t="s">
        <v>82</v>
      </c>
      <c r="C6637" s="6">
        <v>60.25</v>
      </c>
      <c r="D6637" s="6">
        <v>63</v>
      </c>
      <c r="E6637" s="6">
        <v>62.7</v>
      </c>
      <c r="F6637" t="str">
        <f t="shared" si="2802"/>
        <v>MON</v>
      </c>
      <c r="G6637" s="1">
        <f t="shared" si="2803"/>
        <v>44200</v>
      </c>
      <c r="H6637" s="2">
        <f t="shared" ca="1" si="2804"/>
        <v>53</v>
      </c>
      <c r="I6637" t="str">
        <f t="shared" si="2805"/>
        <v>XLU</v>
      </c>
      <c r="J6637">
        <f t="shared" si="2806"/>
        <v>60.25</v>
      </c>
      <c r="K6637">
        <f t="shared" si="2807"/>
        <v>63</v>
      </c>
      <c r="L6637">
        <f t="shared" si="2808"/>
        <v>61.625</v>
      </c>
      <c r="M6637">
        <f t="shared" si="2809"/>
        <v>1.375</v>
      </c>
      <c r="N6637">
        <f t="shared" si="2787"/>
        <v>2.75</v>
      </c>
      <c r="O6637">
        <f t="shared" si="2810"/>
        <v>62.7</v>
      </c>
      <c r="P6637">
        <f t="shared" si="2811"/>
        <v>0.78181818181818385</v>
      </c>
      <c r="Q6637" t="str">
        <f t="shared" si="2788"/>
        <v>3.91% | 0.48%</v>
      </c>
      <c r="R6637" t="str">
        <f t="shared" si="2812"/>
        <v>BEARISH</v>
      </c>
      <c r="S6637">
        <f t="shared" si="2813"/>
        <v>-1</v>
      </c>
    </row>
    <row r="6638" spans="1:19" hidden="1" x14ac:dyDescent="0.25">
      <c r="A6638" s="5" t="str">
        <f t="shared" si="2801"/>
        <v>44200GDX</v>
      </c>
      <c r="B6638" s="6" t="s">
        <v>254</v>
      </c>
      <c r="C6638" s="6">
        <v>34.950000000000003</v>
      </c>
      <c r="D6638" s="6">
        <v>37.33</v>
      </c>
      <c r="E6638" s="6">
        <v>36.020000000000003</v>
      </c>
      <c r="F6638" t="str">
        <f t="shared" si="2802"/>
        <v>MON</v>
      </c>
      <c r="G6638" s="1">
        <f t="shared" si="2803"/>
        <v>44200</v>
      </c>
      <c r="H6638" s="2">
        <f t="shared" ca="1" si="2804"/>
        <v>53</v>
      </c>
      <c r="I6638" t="str">
        <f t="shared" si="2805"/>
        <v>GDX</v>
      </c>
      <c r="J6638">
        <f t="shared" si="2806"/>
        <v>34.950000000000003</v>
      </c>
      <c r="K6638">
        <f t="shared" si="2807"/>
        <v>37.33</v>
      </c>
      <c r="L6638">
        <f t="shared" si="2808"/>
        <v>36.14</v>
      </c>
      <c r="M6638">
        <f t="shared" si="2809"/>
        <v>1.1899999999999977</v>
      </c>
      <c r="N6638">
        <f t="shared" si="2787"/>
        <v>2.3799999999999955</v>
      </c>
      <c r="O6638">
        <f t="shared" si="2810"/>
        <v>36.020000000000003</v>
      </c>
      <c r="P6638">
        <f t="shared" si="2811"/>
        <v>-0.10084033613445183</v>
      </c>
      <c r="Q6638" t="str">
        <f t="shared" si="2788"/>
        <v>2.97% | 3.64%</v>
      </c>
      <c r="R6638" t="str">
        <f t="shared" si="2812"/>
        <v>BEARISH</v>
      </c>
      <c r="S6638">
        <f t="shared" si="2813"/>
        <v>-1</v>
      </c>
    </row>
    <row r="6639" spans="1:19" hidden="1" x14ac:dyDescent="0.25">
      <c r="A6639" s="5" t="str">
        <f t="shared" si="2801"/>
        <v>44200SSEC</v>
      </c>
      <c r="B6639" s="6" t="s">
        <v>104</v>
      </c>
      <c r="C6639" s="6">
        <v>3388</v>
      </c>
      <c r="D6639" s="6">
        <v>3522</v>
      </c>
      <c r="E6639" s="6">
        <v>3502</v>
      </c>
      <c r="F6639" t="str">
        <f t="shared" si="2802"/>
        <v>MON</v>
      </c>
      <c r="G6639" s="1">
        <f t="shared" si="2803"/>
        <v>44200</v>
      </c>
      <c r="H6639" s="2">
        <f t="shared" ca="1" si="2804"/>
        <v>53</v>
      </c>
      <c r="I6639" t="str">
        <f t="shared" si="2805"/>
        <v>SSEC</v>
      </c>
      <c r="J6639">
        <f t="shared" si="2806"/>
        <v>3388</v>
      </c>
      <c r="K6639">
        <f t="shared" si="2807"/>
        <v>3522</v>
      </c>
      <c r="L6639">
        <f t="shared" si="2808"/>
        <v>3455</v>
      </c>
      <c r="M6639">
        <f t="shared" si="2809"/>
        <v>67</v>
      </c>
      <c r="N6639">
        <f t="shared" si="2787"/>
        <v>134</v>
      </c>
      <c r="O6639">
        <f t="shared" si="2810"/>
        <v>3502</v>
      </c>
      <c r="P6639">
        <f t="shared" si="2811"/>
        <v>0.70149253731343286</v>
      </c>
      <c r="Q6639" t="str">
        <f t="shared" si="2788"/>
        <v>3.26% | 0.57%</v>
      </c>
      <c r="R6639" t="str">
        <f t="shared" si="2812"/>
        <v>BULLISH</v>
      </c>
      <c r="S6639">
        <f t="shared" si="2813"/>
        <v>1</v>
      </c>
    </row>
    <row r="6640" spans="1:19" hidden="1" x14ac:dyDescent="0.25">
      <c r="A6640" s="5" t="str">
        <f t="shared" si="2801"/>
        <v>44200NIKK</v>
      </c>
      <c r="B6640" s="6" t="s">
        <v>91</v>
      </c>
      <c r="C6640" s="6">
        <v>26502</v>
      </c>
      <c r="D6640" s="6">
        <v>27595</v>
      </c>
      <c r="E6640" s="6">
        <v>27258</v>
      </c>
      <c r="F6640" t="str">
        <f t="shared" si="2802"/>
        <v>MON</v>
      </c>
      <c r="G6640" s="1">
        <f t="shared" si="2803"/>
        <v>44200</v>
      </c>
      <c r="H6640" s="2">
        <f t="shared" ca="1" si="2804"/>
        <v>53</v>
      </c>
      <c r="I6640" t="str">
        <f t="shared" si="2805"/>
        <v>NIKK</v>
      </c>
      <c r="J6640">
        <f t="shared" si="2806"/>
        <v>26502</v>
      </c>
      <c r="K6640">
        <f t="shared" si="2807"/>
        <v>27595</v>
      </c>
      <c r="L6640">
        <f t="shared" si="2808"/>
        <v>27048.5</v>
      </c>
      <c r="M6640">
        <f t="shared" si="2809"/>
        <v>546.5</v>
      </c>
      <c r="N6640">
        <f t="shared" si="2787"/>
        <v>1093</v>
      </c>
      <c r="O6640">
        <f t="shared" si="2810"/>
        <v>27258</v>
      </c>
      <c r="P6640">
        <f t="shared" si="2811"/>
        <v>0.38334858188472093</v>
      </c>
      <c r="Q6640" t="str">
        <f t="shared" si="2788"/>
        <v>2.77% | 1.24%</v>
      </c>
      <c r="R6640" t="str">
        <f t="shared" si="2812"/>
        <v>BULLISH</v>
      </c>
      <c r="S6640">
        <f t="shared" si="2813"/>
        <v>1</v>
      </c>
    </row>
    <row r="6641" spans="1:19" hidden="1" x14ac:dyDescent="0.25">
      <c r="A6641" s="5" t="str">
        <f t="shared" si="2801"/>
        <v>44200DAX</v>
      </c>
      <c r="B6641" s="6" t="s">
        <v>98</v>
      </c>
      <c r="C6641" s="6">
        <v>13370</v>
      </c>
      <c r="D6641" s="6">
        <v>13945</v>
      </c>
      <c r="E6641" s="6">
        <v>13718</v>
      </c>
      <c r="F6641" t="str">
        <f t="shared" si="2802"/>
        <v>MON</v>
      </c>
      <c r="G6641" s="1">
        <f t="shared" si="2803"/>
        <v>44200</v>
      </c>
      <c r="H6641" s="2">
        <f t="shared" ca="1" si="2804"/>
        <v>53</v>
      </c>
      <c r="I6641" t="str">
        <f t="shared" si="2805"/>
        <v>DAX</v>
      </c>
      <c r="J6641">
        <f t="shared" si="2806"/>
        <v>13370</v>
      </c>
      <c r="K6641">
        <f t="shared" si="2807"/>
        <v>13945</v>
      </c>
      <c r="L6641">
        <f t="shared" si="2808"/>
        <v>13657.5</v>
      </c>
      <c r="M6641">
        <f t="shared" si="2809"/>
        <v>287.5</v>
      </c>
      <c r="N6641">
        <f t="shared" si="2787"/>
        <v>575</v>
      </c>
      <c r="O6641">
        <f t="shared" si="2810"/>
        <v>13718</v>
      </c>
      <c r="P6641">
        <f t="shared" si="2811"/>
        <v>0.21043478260869566</v>
      </c>
      <c r="Q6641" t="str">
        <f t="shared" si="2788"/>
        <v>2.54% | 1.65%</v>
      </c>
      <c r="R6641" t="str">
        <f t="shared" si="2812"/>
        <v>BULLISH</v>
      </c>
      <c r="S6641">
        <f t="shared" si="2813"/>
        <v>1</v>
      </c>
    </row>
    <row r="6642" spans="1:19" hidden="1" x14ac:dyDescent="0.25">
      <c r="A6642" s="5" t="str">
        <f t="shared" si="2801"/>
        <v>44200VIX</v>
      </c>
      <c r="B6642" s="6" t="s">
        <v>96</v>
      </c>
      <c r="C6642" s="6">
        <v>20.37</v>
      </c>
      <c r="D6642" s="6">
        <v>25.15</v>
      </c>
      <c r="E6642" s="6">
        <v>22.75</v>
      </c>
      <c r="F6642" t="str">
        <f t="shared" si="2802"/>
        <v>MON</v>
      </c>
      <c r="G6642" s="1">
        <f t="shared" si="2803"/>
        <v>44200</v>
      </c>
      <c r="H6642" s="2">
        <f t="shared" ca="1" si="2804"/>
        <v>53</v>
      </c>
      <c r="I6642" t="str">
        <f t="shared" si="2805"/>
        <v>VIX</v>
      </c>
      <c r="J6642">
        <f t="shared" si="2806"/>
        <v>20.37</v>
      </c>
      <c r="K6642">
        <f t="shared" si="2807"/>
        <v>25.15</v>
      </c>
      <c r="L6642">
        <f t="shared" si="2808"/>
        <v>22.759999999999998</v>
      </c>
      <c r="M6642">
        <f t="shared" si="2809"/>
        <v>2.3900000000000161</v>
      </c>
      <c r="N6642">
        <f t="shared" si="2787"/>
        <v>4.7799999999999976</v>
      </c>
      <c r="O6642">
        <f t="shared" si="2810"/>
        <v>22.75</v>
      </c>
      <c r="P6642">
        <f t="shared" si="2811"/>
        <v>-4.1841004184091811E-3</v>
      </c>
      <c r="Q6642" t="str">
        <f t="shared" si="2788"/>
        <v>10.46% | 10.55%</v>
      </c>
      <c r="R6642" t="str">
        <f t="shared" si="2812"/>
        <v>BEARISH</v>
      </c>
      <c r="S6642">
        <f t="shared" si="2813"/>
        <v>-1</v>
      </c>
    </row>
    <row r="6643" spans="1:19" hidden="1" x14ac:dyDescent="0.25">
      <c r="A6643" s="5" t="str">
        <f t="shared" si="2801"/>
        <v>44200USD</v>
      </c>
      <c r="B6643" s="6" t="s">
        <v>94</v>
      </c>
      <c r="C6643" s="6">
        <v>89.46</v>
      </c>
      <c r="D6643" s="6">
        <v>90.63</v>
      </c>
      <c r="E6643" s="6">
        <v>89.89</v>
      </c>
      <c r="F6643" t="str">
        <f t="shared" si="2802"/>
        <v>MON</v>
      </c>
      <c r="G6643" s="1">
        <f t="shared" si="2803"/>
        <v>44200</v>
      </c>
      <c r="H6643" s="2">
        <f t="shared" ca="1" si="2804"/>
        <v>53</v>
      </c>
      <c r="I6643" t="str">
        <f t="shared" si="2805"/>
        <v>USD</v>
      </c>
      <c r="J6643">
        <f t="shared" si="2806"/>
        <v>89.46</v>
      </c>
      <c r="K6643">
        <f t="shared" si="2807"/>
        <v>90.63</v>
      </c>
      <c r="L6643">
        <f t="shared" si="2808"/>
        <v>90.044999999999987</v>
      </c>
      <c r="M6643">
        <f t="shared" si="2809"/>
        <v>0.58500000000000085</v>
      </c>
      <c r="N6643">
        <f t="shared" si="2787"/>
        <v>1.1700000000000017</v>
      </c>
      <c r="O6643">
        <f t="shared" si="2810"/>
        <v>89.89</v>
      </c>
      <c r="P6643">
        <f t="shared" si="2811"/>
        <v>-0.2649572649572422</v>
      </c>
      <c r="Q6643" t="str">
        <f t="shared" si="2788"/>
        <v>0.48% | 0.82%</v>
      </c>
      <c r="R6643" t="str">
        <f t="shared" si="2812"/>
        <v>BEARISH</v>
      </c>
      <c r="S6643">
        <f t="shared" si="2813"/>
        <v>-1</v>
      </c>
    </row>
    <row r="6644" spans="1:19" hidden="1" x14ac:dyDescent="0.25">
      <c r="A6644" s="5" t="str">
        <f t="shared" si="2801"/>
        <v>44200EUR/USD</v>
      </c>
      <c r="B6644" s="6" t="s">
        <v>99</v>
      </c>
      <c r="C6644" s="6">
        <v>1.2150000000000001</v>
      </c>
      <c r="D6644" s="6">
        <v>1.2330000000000001</v>
      </c>
      <c r="E6644" s="6">
        <v>1.222</v>
      </c>
      <c r="F6644" t="str">
        <f t="shared" si="2802"/>
        <v>MON</v>
      </c>
      <c r="G6644" s="1">
        <f t="shared" si="2803"/>
        <v>44200</v>
      </c>
      <c r="H6644" s="2">
        <f t="shared" ca="1" si="2804"/>
        <v>53</v>
      </c>
      <c r="I6644" t="str">
        <f t="shared" si="2805"/>
        <v>EUR/USD</v>
      </c>
      <c r="J6644">
        <f t="shared" si="2806"/>
        <v>1.2150000000000001</v>
      </c>
      <c r="K6644">
        <f t="shared" si="2807"/>
        <v>1.2330000000000001</v>
      </c>
      <c r="L6644">
        <f t="shared" si="2808"/>
        <v>1.2240000000000002</v>
      </c>
      <c r="M6644">
        <f t="shared" si="2809"/>
        <v>9.000000000000008E-3</v>
      </c>
      <c r="N6644">
        <f t="shared" si="2787"/>
        <v>1.8000000000000016E-2</v>
      </c>
      <c r="O6644">
        <f t="shared" si="2810"/>
        <v>1.222</v>
      </c>
      <c r="P6644">
        <f t="shared" si="2811"/>
        <v>-0.22222222222224688</v>
      </c>
      <c r="Q6644" t="str">
        <f t="shared" si="2788"/>
        <v>0.57% | 0.9%</v>
      </c>
      <c r="R6644" t="str">
        <f t="shared" si="2812"/>
        <v>BULLISH</v>
      </c>
      <c r="S6644">
        <f t="shared" si="2813"/>
        <v>1</v>
      </c>
    </row>
    <row r="6645" spans="1:19" hidden="1" x14ac:dyDescent="0.25">
      <c r="A6645" s="5" t="str">
        <f t="shared" si="2801"/>
        <v>44200USD/JPY</v>
      </c>
      <c r="B6645" s="6" t="s">
        <v>20</v>
      </c>
      <c r="C6645" s="6">
        <v>102.67</v>
      </c>
      <c r="D6645" s="6">
        <v>103.81</v>
      </c>
      <c r="E6645" s="6">
        <v>103.28</v>
      </c>
      <c r="F6645" t="str">
        <f t="shared" si="2802"/>
        <v>MON</v>
      </c>
      <c r="G6645" s="1">
        <f t="shared" si="2803"/>
        <v>44200</v>
      </c>
      <c r="H6645" s="2">
        <f t="shared" ca="1" si="2804"/>
        <v>53</v>
      </c>
      <c r="I6645" t="str">
        <f t="shared" si="2805"/>
        <v>USD/JPY</v>
      </c>
      <c r="J6645">
        <f t="shared" si="2806"/>
        <v>102.67</v>
      </c>
      <c r="K6645">
        <f t="shared" si="2807"/>
        <v>103.81</v>
      </c>
      <c r="L6645">
        <f t="shared" si="2808"/>
        <v>103.24000000000001</v>
      </c>
      <c r="M6645">
        <f t="shared" si="2809"/>
        <v>0.57000000000000028</v>
      </c>
      <c r="N6645">
        <f t="shared" si="2787"/>
        <v>1.1400000000000006</v>
      </c>
      <c r="O6645">
        <f t="shared" si="2810"/>
        <v>103.28</v>
      </c>
      <c r="P6645">
        <f t="shared" si="2811"/>
        <v>7.0175438596477235E-2</v>
      </c>
      <c r="Q6645" t="str">
        <f t="shared" si="2788"/>
        <v>0.59% | 0.51%</v>
      </c>
      <c r="R6645" t="str">
        <f t="shared" si="2812"/>
        <v>BEARISH</v>
      </c>
      <c r="S6645">
        <f t="shared" si="2813"/>
        <v>-1</v>
      </c>
    </row>
    <row r="6646" spans="1:19" hidden="1" x14ac:dyDescent="0.25">
      <c r="A6646" s="5" t="str">
        <f t="shared" si="2801"/>
        <v>44200GBP/USD</v>
      </c>
      <c r="B6646" s="6" t="s">
        <v>102</v>
      </c>
      <c r="C6646" s="6">
        <v>1.3420000000000001</v>
      </c>
      <c r="D6646" s="6">
        <v>1.369</v>
      </c>
      <c r="E6646" s="6">
        <v>1.367</v>
      </c>
      <c r="F6646" t="str">
        <f t="shared" si="2802"/>
        <v>MON</v>
      </c>
      <c r="G6646" s="1">
        <f t="shared" si="2803"/>
        <v>44200</v>
      </c>
      <c r="H6646" s="2">
        <f t="shared" ca="1" si="2804"/>
        <v>53</v>
      </c>
      <c r="I6646" t="str">
        <f t="shared" si="2805"/>
        <v>GBP/USD</v>
      </c>
      <c r="J6646">
        <f t="shared" si="2806"/>
        <v>1.3420000000000001</v>
      </c>
      <c r="K6646">
        <f t="shared" si="2807"/>
        <v>1.369</v>
      </c>
      <c r="L6646">
        <f t="shared" si="2808"/>
        <v>1.3555000000000001</v>
      </c>
      <c r="M6646">
        <f t="shared" si="2809"/>
        <v>1.3499999999999956E-2</v>
      </c>
      <c r="N6646">
        <f t="shared" si="2787"/>
        <v>2.6999999999999913E-2</v>
      </c>
      <c r="O6646">
        <f t="shared" si="2810"/>
        <v>1.367</v>
      </c>
      <c r="P6646">
        <f t="shared" si="2811"/>
        <v>0.85185185185184298</v>
      </c>
      <c r="Q6646" t="str">
        <f t="shared" si="2788"/>
        <v>1.83% | 0.15%</v>
      </c>
      <c r="R6646" t="str">
        <f t="shared" si="2812"/>
        <v>BULLISH</v>
      </c>
      <c r="S6646">
        <f t="shared" si="2813"/>
        <v>1</v>
      </c>
    </row>
    <row r="6647" spans="1:19" hidden="1" x14ac:dyDescent="0.25">
      <c r="A6647" s="5" t="str">
        <f t="shared" si="2801"/>
        <v>44200CAD/USD</v>
      </c>
      <c r="B6647" s="6" t="s">
        <v>244</v>
      </c>
      <c r="C6647" s="6">
        <v>0.78</v>
      </c>
      <c r="D6647" s="6">
        <v>0.79</v>
      </c>
      <c r="E6647" s="6">
        <v>0.78</v>
      </c>
      <c r="F6647" t="str">
        <f t="shared" si="2802"/>
        <v>MON</v>
      </c>
      <c r="G6647" s="1">
        <f t="shared" si="2803"/>
        <v>44200</v>
      </c>
      <c r="H6647" s="2">
        <f t="shared" ca="1" si="2804"/>
        <v>53</v>
      </c>
      <c r="I6647" t="str">
        <f t="shared" si="2805"/>
        <v>CAD/USD</v>
      </c>
      <c r="J6647">
        <f t="shared" si="2806"/>
        <v>0.78</v>
      </c>
      <c r="K6647">
        <f t="shared" si="2807"/>
        <v>0.79</v>
      </c>
      <c r="L6647">
        <f t="shared" si="2808"/>
        <v>0.78500000000000003</v>
      </c>
      <c r="M6647">
        <f t="shared" si="2809"/>
        <v>5.0000000000000044E-3</v>
      </c>
      <c r="N6647">
        <f t="shared" si="2787"/>
        <v>1.0000000000000009E-2</v>
      </c>
      <c r="O6647">
        <f t="shared" si="2810"/>
        <v>0.78</v>
      </c>
      <c r="P6647">
        <f t="shared" si="2811"/>
        <v>-1</v>
      </c>
      <c r="Q6647" t="str">
        <f t="shared" si="2788"/>
        <v>0% | 1.28%</v>
      </c>
      <c r="R6647" t="str">
        <f t="shared" si="2812"/>
        <v>BULLISH</v>
      </c>
      <c r="S6647">
        <f t="shared" si="2813"/>
        <v>1</v>
      </c>
    </row>
    <row r="6648" spans="1:19" hidden="1" x14ac:dyDescent="0.25">
      <c r="A6648" s="5" t="str">
        <f t="shared" si="2801"/>
        <v>44200USD/CHF</v>
      </c>
      <c r="B6648" s="6" t="s">
        <v>76</v>
      </c>
      <c r="C6648" s="6">
        <v>0.87</v>
      </c>
      <c r="D6648" s="6">
        <v>0.89</v>
      </c>
      <c r="E6648" s="6">
        <v>0.88</v>
      </c>
      <c r="F6648" t="str">
        <f t="shared" si="2802"/>
        <v>MON</v>
      </c>
      <c r="G6648" s="1">
        <f t="shared" si="2803"/>
        <v>44200</v>
      </c>
      <c r="H6648" s="2">
        <f t="shared" ca="1" si="2804"/>
        <v>53</v>
      </c>
      <c r="I6648" t="str">
        <f t="shared" si="2805"/>
        <v>USD/CHF</v>
      </c>
      <c r="J6648">
        <f t="shared" si="2806"/>
        <v>0.87</v>
      </c>
      <c r="K6648">
        <f t="shared" si="2807"/>
        <v>0.89</v>
      </c>
      <c r="L6648">
        <f t="shared" si="2808"/>
        <v>0.88</v>
      </c>
      <c r="M6648">
        <f t="shared" si="2809"/>
        <v>1.0000000000000009E-2</v>
      </c>
      <c r="N6648">
        <f t="shared" si="2787"/>
        <v>2.0000000000000018E-2</v>
      </c>
      <c r="O6648">
        <f t="shared" si="2810"/>
        <v>0.88</v>
      </c>
      <c r="P6648">
        <f t="shared" si="2811"/>
        <v>0</v>
      </c>
      <c r="Q6648" t="str">
        <f t="shared" si="2788"/>
        <v>1.14% | 1.14%</v>
      </c>
      <c r="R6648" t="str">
        <f t="shared" si="2812"/>
        <v>BEARISH</v>
      </c>
      <c r="S6648">
        <f t="shared" si="2813"/>
        <v>-1</v>
      </c>
    </row>
    <row r="6649" spans="1:19" hidden="1" x14ac:dyDescent="0.25">
      <c r="A6649" s="5" t="str">
        <f t="shared" si="2801"/>
        <v>44200WTIC</v>
      </c>
      <c r="B6649" s="6" t="s">
        <v>158</v>
      </c>
      <c r="C6649" s="6">
        <v>46.99</v>
      </c>
      <c r="D6649" s="6">
        <v>49.38</v>
      </c>
      <c r="E6649" s="6">
        <v>48.52</v>
      </c>
      <c r="F6649" t="str">
        <f t="shared" si="2802"/>
        <v>MON</v>
      </c>
      <c r="G6649" s="1">
        <f t="shared" si="2803"/>
        <v>44200</v>
      </c>
      <c r="H6649" s="2">
        <f t="shared" ca="1" si="2804"/>
        <v>53</v>
      </c>
      <c r="I6649" t="str">
        <f t="shared" si="2805"/>
        <v>WTIC</v>
      </c>
      <c r="J6649">
        <f t="shared" si="2806"/>
        <v>46.99</v>
      </c>
      <c r="K6649">
        <f t="shared" si="2807"/>
        <v>49.38</v>
      </c>
      <c r="L6649">
        <f t="shared" si="2808"/>
        <v>48.185000000000002</v>
      </c>
      <c r="M6649">
        <f t="shared" si="2809"/>
        <v>1.1950000000000003</v>
      </c>
      <c r="N6649">
        <f t="shared" si="2787"/>
        <v>2.3900000000000006</v>
      </c>
      <c r="O6649">
        <f t="shared" si="2810"/>
        <v>48.52</v>
      </c>
      <c r="P6649">
        <f t="shared" si="2811"/>
        <v>0.28033472803347342</v>
      </c>
      <c r="Q6649" t="str">
        <f t="shared" si="2788"/>
        <v>3.15% | 1.77%</v>
      </c>
      <c r="R6649" t="str">
        <f t="shared" si="2812"/>
        <v>BULLISH</v>
      </c>
      <c r="S6649">
        <f t="shared" si="2813"/>
        <v>1</v>
      </c>
    </row>
    <row r="6650" spans="1:19" hidden="1" x14ac:dyDescent="0.25">
      <c r="A6650" s="5" t="str">
        <f t="shared" si="2801"/>
        <v>44200NATGAS</v>
      </c>
      <c r="B6650" s="6" t="s">
        <v>87</v>
      </c>
      <c r="C6650" s="6">
        <v>2.29</v>
      </c>
      <c r="D6650" s="6">
        <v>2.85</v>
      </c>
      <c r="E6650" s="6">
        <v>2.54</v>
      </c>
      <c r="F6650" t="str">
        <f t="shared" si="2802"/>
        <v>MON</v>
      </c>
      <c r="G6650" s="1">
        <f t="shared" si="2803"/>
        <v>44200</v>
      </c>
      <c r="H6650" s="2">
        <f t="shared" ca="1" si="2804"/>
        <v>53</v>
      </c>
      <c r="I6650" t="str">
        <f t="shared" si="2805"/>
        <v>NATGAS</v>
      </c>
      <c r="J6650">
        <f t="shared" si="2806"/>
        <v>2.29</v>
      </c>
      <c r="K6650">
        <f t="shared" si="2807"/>
        <v>2.85</v>
      </c>
      <c r="L6650">
        <f t="shared" si="2808"/>
        <v>2.5700000000000003</v>
      </c>
      <c r="M6650">
        <f t="shared" si="2809"/>
        <v>0.27999999999999886</v>
      </c>
      <c r="N6650">
        <f t="shared" si="2787"/>
        <v>0.56000000000000005</v>
      </c>
      <c r="O6650">
        <f t="shared" si="2810"/>
        <v>2.54</v>
      </c>
      <c r="P6650">
        <f t="shared" si="2811"/>
        <v>-0.10714285714285847</v>
      </c>
      <c r="Q6650" t="str">
        <f t="shared" si="2788"/>
        <v>9.84% | 12.2%</v>
      </c>
      <c r="R6650" t="str">
        <f t="shared" si="2812"/>
        <v>NEUTRAL</v>
      </c>
      <c r="S6650">
        <f t="shared" si="2813"/>
        <v>0</v>
      </c>
    </row>
    <row r="6651" spans="1:19" hidden="1" x14ac:dyDescent="0.25">
      <c r="A6651" s="5" t="str">
        <f t="shared" si="2801"/>
        <v>44200GOLD</v>
      </c>
      <c r="B6651" s="6" t="s">
        <v>249</v>
      </c>
      <c r="C6651" s="6">
        <v>1870</v>
      </c>
      <c r="D6651" s="6">
        <v>1939</v>
      </c>
      <c r="E6651" s="6">
        <v>1895</v>
      </c>
      <c r="F6651" t="str">
        <f t="shared" si="2802"/>
        <v>MON</v>
      </c>
      <c r="G6651" s="1">
        <f t="shared" si="2803"/>
        <v>44200</v>
      </c>
      <c r="H6651" s="2">
        <f t="shared" ca="1" si="2804"/>
        <v>53</v>
      </c>
      <c r="I6651" t="str">
        <f t="shared" si="2805"/>
        <v>GOLD</v>
      </c>
      <c r="J6651">
        <f t="shared" si="2806"/>
        <v>1870</v>
      </c>
      <c r="K6651">
        <f t="shared" si="2807"/>
        <v>1939</v>
      </c>
      <c r="L6651">
        <f t="shared" si="2808"/>
        <v>1904.5</v>
      </c>
      <c r="M6651">
        <f t="shared" si="2809"/>
        <v>34.5</v>
      </c>
      <c r="N6651">
        <f t="shared" si="2787"/>
        <v>69</v>
      </c>
      <c r="O6651">
        <f t="shared" si="2810"/>
        <v>1895</v>
      </c>
      <c r="P6651">
        <f t="shared" si="2811"/>
        <v>-0.27536231884057971</v>
      </c>
      <c r="Q6651" t="str">
        <f t="shared" si="2788"/>
        <v>1.32% | 2.32%</v>
      </c>
      <c r="R6651" t="str">
        <f t="shared" si="2812"/>
        <v>NEUTRAL</v>
      </c>
      <c r="S6651">
        <f t="shared" si="2813"/>
        <v>0</v>
      </c>
    </row>
    <row r="6652" spans="1:19" hidden="1" x14ac:dyDescent="0.25">
      <c r="A6652" s="5" t="str">
        <f t="shared" si="2801"/>
        <v>44200COPPER</v>
      </c>
      <c r="B6652" s="6" t="s">
        <v>100</v>
      </c>
      <c r="C6652" s="6">
        <v>3.5</v>
      </c>
      <c r="D6652" s="6">
        <v>3.63</v>
      </c>
      <c r="E6652" s="6">
        <v>3.52</v>
      </c>
      <c r="F6652" t="str">
        <f t="shared" si="2802"/>
        <v>MON</v>
      </c>
      <c r="G6652" s="1">
        <f t="shared" si="2803"/>
        <v>44200</v>
      </c>
      <c r="H6652" s="2">
        <f t="shared" ca="1" si="2804"/>
        <v>53</v>
      </c>
      <c r="I6652" t="str">
        <f t="shared" si="2805"/>
        <v>COPPER</v>
      </c>
      <c r="J6652">
        <f t="shared" si="2806"/>
        <v>3.5</v>
      </c>
      <c r="K6652">
        <f t="shared" si="2807"/>
        <v>3.63</v>
      </c>
      <c r="L6652">
        <f t="shared" si="2808"/>
        <v>3.5649999999999999</v>
      </c>
      <c r="M6652">
        <f t="shared" si="2809"/>
        <v>6.4999999999999947E-2</v>
      </c>
      <c r="N6652">
        <f t="shared" si="2787"/>
        <v>0.12999999999999989</v>
      </c>
      <c r="O6652">
        <f t="shared" si="2810"/>
        <v>3.52</v>
      </c>
      <c r="P6652">
        <f t="shared" si="2811"/>
        <v>-0.69230769230769174</v>
      </c>
      <c r="Q6652" t="str">
        <f t="shared" si="2788"/>
        <v>0.57% | 3.13%</v>
      </c>
      <c r="R6652" t="str">
        <f t="shared" si="2812"/>
        <v>BULLISH</v>
      </c>
      <c r="S6652">
        <f t="shared" si="2813"/>
        <v>1</v>
      </c>
    </row>
    <row r="6653" spans="1:19" hidden="1" x14ac:dyDescent="0.25">
      <c r="A6653" s="5" t="str">
        <f t="shared" si="2801"/>
        <v>44200MSFT</v>
      </c>
      <c r="B6653" s="6" t="s">
        <v>27</v>
      </c>
      <c r="C6653" s="6">
        <v>219</v>
      </c>
      <c r="D6653" s="6">
        <v>227</v>
      </c>
      <c r="E6653" s="6">
        <v>222</v>
      </c>
      <c r="F6653" t="str">
        <f t="shared" si="2802"/>
        <v>MON</v>
      </c>
      <c r="G6653" s="1">
        <f t="shared" si="2803"/>
        <v>44200</v>
      </c>
      <c r="H6653" s="2">
        <f t="shared" ca="1" si="2804"/>
        <v>53</v>
      </c>
      <c r="I6653" t="str">
        <f t="shared" si="2805"/>
        <v>MSFT</v>
      </c>
      <c r="J6653">
        <f t="shared" si="2806"/>
        <v>219</v>
      </c>
      <c r="K6653">
        <f t="shared" si="2807"/>
        <v>227</v>
      </c>
      <c r="L6653">
        <f t="shared" si="2808"/>
        <v>223</v>
      </c>
      <c r="M6653">
        <f t="shared" si="2809"/>
        <v>4</v>
      </c>
      <c r="N6653">
        <f t="shared" si="2787"/>
        <v>8</v>
      </c>
      <c r="O6653">
        <f t="shared" si="2810"/>
        <v>222</v>
      </c>
      <c r="P6653">
        <f t="shared" si="2811"/>
        <v>-0.25</v>
      </c>
      <c r="Q6653" t="str">
        <f t="shared" si="2788"/>
        <v>1.35% | 2.25%</v>
      </c>
      <c r="R6653" t="str">
        <f t="shared" si="2812"/>
        <v>BULLISH</v>
      </c>
      <c r="S6653">
        <f t="shared" si="2813"/>
        <v>1</v>
      </c>
    </row>
    <row r="6654" spans="1:19" hidden="1" x14ac:dyDescent="0.25">
      <c r="A6654" s="5" t="str">
        <f t="shared" si="2801"/>
        <v>44200AAPL</v>
      </c>
      <c r="B6654" s="6" t="s">
        <v>28</v>
      </c>
      <c r="C6654" s="6">
        <v>127</v>
      </c>
      <c r="D6654" s="6">
        <v>138</v>
      </c>
      <c r="E6654" s="6">
        <v>132</v>
      </c>
      <c r="F6654" t="str">
        <f t="shared" si="2802"/>
        <v>MON</v>
      </c>
      <c r="G6654" s="1">
        <f t="shared" si="2803"/>
        <v>44200</v>
      </c>
      <c r="H6654" s="2">
        <f t="shared" ca="1" si="2804"/>
        <v>53</v>
      </c>
      <c r="I6654" t="str">
        <f t="shared" si="2805"/>
        <v>AAPL</v>
      </c>
      <c r="J6654">
        <f t="shared" si="2806"/>
        <v>127</v>
      </c>
      <c r="K6654">
        <f t="shared" si="2807"/>
        <v>138</v>
      </c>
      <c r="L6654">
        <f t="shared" si="2808"/>
        <v>132.5</v>
      </c>
      <c r="M6654">
        <f t="shared" si="2809"/>
        <v>5.5</v>
      </c>
      <c r="N6654">
        <f t="shared" si="2787"/>
        <v>11</v>
      </c>
      <c r="O6654">
        <f t="shared" si="2810"/>
        <v>132</v>
      </c>
      <c r="P6654">
        <f t="shared" si="2811"/>
        <v>-9.0909090909090912E-2</v>
      </c>
      <c r="Q6654" t="str">
        <f t="shared" si="2788"/>
        <v>3.79% | 4.55%</v>
      </c>
      <c r="R6654" t="str">
        <f t="shared" si="2812"/>
        <v>BULLISH</v>
      </c>
      <c r="S6654">
        <f t="shared" si="2813"/>
        <v>1</v>
      </c>
    </row>
    <row r="6655" spans="1:19" hidden="1" x14ac:dyDescent="0.25">
      <c r="A6655" s="5" t="str">
        <f t="shared" si="2801"/>
        <v>44200AMZN</v>
      </c>
      <c r="B6655" s="6" t="s">
        <v>29</v>
      </c>
      <c r="C6655" s="6">
        <v>3151</v>
      </c>
      <c r="D6655" s="6">
        <v>3344</v>
      </c>
      <c r="E6655" s="6">
        <v>3256</v>
      </c>
      <c r="F6655" t="str">
        <f t="shared" si="2802"/>
        <v>MON</v>
      </c>
      <c r="G6655" s="1">
        <f t="shared" si="2803"/>
        <v>44200</v>
      </c>
      <c r="H6655" s="2">
        <f t="shared" ca="1" si="2804"/>
        <v>53</v>
      </c>
      <c r="I6655" t="str">
        <f t="shared" si="2805"/>
        <v>AMZN</v>
      </c>
      <c r="J6655">
        <f t="shared" si="2806"/>
        <v>3151</v>
      </c>
      <c r="K6655">
        <f t="shared" si="2807"/>
        <v>3344</v>
      </c>
      <c r="L6655">
        <f t="shared" si="2808"/>
        <v>3247.5</v>
      </c>
      <c r="M6655">
        <f t="shared" si="2809"/>
        <v>96.5</v>
      </c>
      <c r="N6655">
        <f t="shared" si="2787"/>
        <v>193</v>
      </c>
      <c r="O6655">
        <f t="shared" si="2810"/>
        <v>3256</v>
      </c>
      <c r="P6655">
        <f t="shared" si="2811"/>
        <v>8.8082901554404139E-2</v>
      </c>
      <c r="Q6655" t="str">
        <f t="shared" si="2788"/>
        <v>3.22% | 2.7%</v>
      </c>
      <c r="R6655" t="str">
        <f t="shared" si="2812"/>
        <v>BULLISH</v>
      </c>
      <c r="S6655">
        <f t="shared" si="2813"/>
        <v>1</v>
      </c>
    </row>
    <row r="6656" spans="1:19" hidden="1" x14ac:dyDescent="0.25">
      <c r="A6656" s="5" t="str">
        <f t="shared" si="2801"/>
        <v>44200FB</v>
      </c>
      <c r="B6656" s="6" t="s">
        <v>30</v>
      </c>
      <c r="C6656" s="6">
        <v>264</v>
      </c>
      <c r="D6656" s="6">
        <v>280</v>
      </c>
      <c r="E6656" s="6">
        <v>273</v>
      </c>
      <c r="F6656" t="str">
        <f t="shared" si="2802"/>
        <v>MON</v>
      </c>
      <c r="G6656" s="1">
        <f t="shared" si="2803"/>
        <v>44200</v>
      </c>
      <c r="H6656" s="2">
        <f t="shared" ca="1" si="2804"/>
        <v>53</v>
      </c>
      <c r="I6656" t="str">
        <f t="shared" si="2805"/>
        <v>FB</v>
      </c>
      <c r="J6656">
        <f t="shared" si="2806"/>
        <v>264</v>
      </c>
      <c r="K6656">
        <f t="shared" si="2807"/>
        <v>280</v>
      </c>
      <c r="L6656">
        <f t="shared" si="2808"/>
        <v>272</v>
      </c>
      <c r="M6656">
        <f t="shared" si="2809"/>
        <v>8</v>
      </c>
      <c r="N6656">
        <f t="shared" si="2787"/>
        <v>16</v>
      </c>
      <c r="O6656">
        <f t="shared" si="2810"/>
        <v>273</v>
      </c>
      <c r="P6656">
        <f t="shared" si="2811"/>
        <v>0.125</v>
      </c>
      <c r="Q6656" t="str">
        <f t="shared" si="2788"/>
        <v>3.3% | 2.56%</v>
      </c>
      <c r="R6656" t="str">
        <f t="shared" si="2812"/>
        <v>BULLISH</v>
      </c>
      <c r="S6656">
        <f t="shared" si="2813"/>
        <v>1</v>
      </c>
    </row>
    <row r="6657" spans="1:19" hidden="1" x14ac:dyDescent="0.25">
      <c r="A6657" s="5" t="str">
        <f t="shared" si="2801"/>
        <v>44200GOOGL</v>
      </c>
      <c r="B6657" s="6" t="s">
        <v>31</v>
      </c>
      <c r="C6657" s="6">
        <v>1706</v>
      </c>
      <c r="D6657" s="6">
        <v>1783</v>
      </c>
      <c r="E6657" s="6">
        <v>1752</v>
      </c>
      <c r="F6657" t="str">
        <f t="shared" si="2802"/>
        <v>MON</v>
      </c>
      <c r="G6657" s="1">
        <f t="shared" si="2803"/>
        <v>44200</v>
      </c>
      <c r="H6657" s="2">
        <f t="shared" ca="1" si="2804"/>
        <v>53</v>
      </c>
      <c r="I6657" t="str">
        <f t="shared" si="2805"/>
        <v>GOOGL</v>
      </c>
      <c r="J6657">
        <f t="shared" si="2806"/>
        <v>1706</v>
      </c>
      <c r="K6657">
        <f t="shared" si="2807"/>
        <v>1783</v>
      </c>
      <c r="L6657">
        <f t="shared" si="2808"/>
        <v>1744.5</v>
      </c>
      <c r="M6657">
        <f t="shared" si="2809"/>
        <v>38.5</v>
      </c>
      <c r="N6657">
        <f t="shared" si="2787"/>
        <v>77</v>
      </c>
      <c r="O6657">
        <f t="shared" si="2810"/>
        <v>1752</v>
      </c>
      <c r="P6657">
        <f t="shared" si="2811"/>
        <v>0.19480519480519481</v>
      </c>
      <c r="Q6657" t="str">
        <f t="shared" si="2788"/>
        <v>2.63% | 1.77%</v>
      </c>
      <c r="R6657" t="str">
        <f t="shared" si="2812"/>
        <v>BULLISH</v>
      </c>
      <c r="S6657">
        <f t="shared" si="2813"/>
        <v>1</v>
      </c>
    </row>
    <row r="6658" spans="1:19" hidden="1" x14ac:dyDescent="0.25">
      <c r="A6658" s="5" t="str">
        <f t="shared" si="2801"/>
        <v>44200NFLX</v>
      </c>
      <c r="B6658" s="6" t="s">
        <v>32</v>
      </c>
      <c r="C6658" s="6">
        <v>514</v>
      </c>
      <c r="D6658" s="6">
        <v>553</v>
      </c>
      <c r="E6658" s="6">
        <v>540</v>
      </c>
      <c r="F6658" t="str">
        <f t="shared" si="2802"/>
        <v>MON</v>
      </c>
      <c r="G6658" s="1">
        <f t="shared" si="2803"/>
        <v>44200</v>
      </c>
      <c r="H6658" s="2">
        <f t="shared" ca="1" si="2804"/>
        <v>53</v>
      </c>
      <c r="I6658" t="str">
        <f t="shared" si="2805"/>
        <v>NFLX</v>
      </c>
      <c r="J6658">
        <f t="shared" si="2806"/>
        <v>514</v>
      </c>
      <c r="K6658">
        <f t="shared" si="2807"/>
        <v>553</v>
      </c>
      <c r="L6658">
        <f t="shared" si="2808"/>
        <v>533.5</v>
      </c>
      <c r="M6658">
        <f t="shared" si="2809"/>
        <v>19.5</v>
      </c>
      <c r="N6658">
        <f t="shared" si="2787"/>
        <v>39</v>
      </c>
      <c r="O6658">
        <f t="shared" si="2810"/>
        <v>540</v>
      </c>
      <c r="P6658">
        <f t="shared" si="2811"/>
        <v>0.33333333333333331</v>
      </c>
      <c r="Q6658" t="str">
        <f t="shared" si="2788"/>
        <v>4.81% | 2.41%</v>
      </c>
      <c r="R6658" t="str">
        <f t="shared" si="2812"/>
        <v>BULLISH</v>
      </c>
      <c r="S6658">
        <f t="shared" si="2813"/>
        <v>1</v>
      </c>
    </row>
    <row r="6659" spans="1:19" x14ac:dyDescent="0.25">
      <c r="A6659" s="5" t="str">
        <f t="shared" si="2801"/>
        <v>44200TSLA</v>
      </c>
      <c r="B6659" s="6" t="s">
        <v>33</v>
      </c>
      <c r="C6659" s="6">
        <v>649</v>
      </c>
      <c r="D6659" s="6">
        <v>723</v>
      </c>
      <c r="E6659" s="6">
        <v>705</v>
      </c>
      <c r="F6659" t="str">
        <f t="shared" si="2802"/>
        <v>MON</v>
      </c>
      <c r="G6659" s="1">
        <f t="shared" si="2803"/>
        <v>44200</v>
      </c>
      <c r="H6659" s="2">
        <f t="shared" ca="1" si="2804"/>
        <v>53</v>
      </c>
      <c r="I6659" t="str">
        <f t="shared" si="2805"/>
        <v>TSLA</v>
      </c>
      <c r="J6659">
        <f t="shared" si="2806"/>
        <v>649</v>
      </c>
      <c r="K6659">
        <f t="shared" si="2807"/>
        <v>723</v>
      </c>
      <c r="L6659">
        <f t="shared" si="2808"/>
        <v>686</v>
      </c>
      <c r="M6659">
        <f t="shared" si="2809"/>
        <v>37</v>
      </c>
      <c r="N6659">
        <f t="shared" ref="N6659:N6722" si="2814">ABS(K6659-J6659)</f>
        <v>74</v>
      </c>
      <c r="O6659">
        <f t="shared" si="2810"/>
        <v>705</v>
      </c>
      <c r="P6659">
        <f t="shared" si="2811"/>
        <v>0.51351351351351349</v>
      </c>
      <c r="Q6659" t="str">
        <f t="shared" ref="Q6659:Q6722" si="2815">ROUND(ABS(100*(O6659-J6659)/O6659),2)&amp;"% | "&amp;ROUND(ABS(100*(K6659-O6659)/O6659),2)&amp;"%"</f>
        <v>7.94% | 2.55%</v>
      </c>
      <c r="R6659" t="str">
        <f t="shared" si="2812"/>
        <v>BULLISH</v>
      </c>
      <c r="S6659">
        <f t="shared" si="2813"/>
        <v>1</v>
      </c>
    </row>
    <row r="6660" spans="1:19" hidden="1" x14ac:dyDescent="0.25">
      <c r="A6660" s="5" t="str">
        <f t="shared" si="2801"/>
        <v>44200NYXBT</v>
      </c>
      <c r="B6660" s="6" t="s">
        <v>60</v>
      </c>
      <c r="C6660" s="6">
        <v>25170</v>
      </c>
      <c r="D6660" s="6">
        <v>30739</v>
      </c>
      <c r="E6660" s="6">
        <v>28775</v>
      </c>
      <c r="F6660" t="str">
        <f t="shared" si="2802"/>
        <v>MON</v>
      </c>
      <c r="G6660" s="1">
        <f t="shared" si="2803"/>
        <v>44200</v>
      </c>
      <c r="H6660" s="2">
        <f t="shared" ca="1" si="2804"/>
        <v>53</v>
      </c>
      <c r="I6660" t="str">
        <f t="shared" si="2805"/>
        <v>NYXBT</v>
      </c>
      <c r="J6660">
        <f t="shared" si="2806"/>
        <v>25170</v>
      </c>
      <c r="K6660">
        <f t="shared" si="2807"/>
        <v>30739</v>
      </c>
      <c r="L6660">
        <f t="shared" si="2808"/>
        <v>27954.5</v>
      </c>
      <c r="M6660">
        <f t="shared" si="2809"/>
        <v>2784.5</v>
      </c>
      <c r="N6660">
        <f t="shared" si="2814"/>
        <v>5569</v>
      </c>
      <c r="O6660">
        <f t="shared" si="2810"/>
        <v>28775</v>
      </c>
      <c r="P6660">
        <f t="shared" si="2811"/>
        <v>0.29466690608726881</v>
      </c>
      <c r="Q6660" t="str">
        <f t="shared" si="2815"/>
        <v>12.53% | 6.83%</v>
      </c>
      <c r="R6660" t="str">
        <f t="shared" si="2812"/>
        <v>BULLISH</v>
      </c>
      <c r="S6660">
        <f t="shared" si="2813"/>
        <v>1</v>
      </c>
    </row>
    <row r="6661" spans="1:19" hidden="1" x14ac:dyDescent="0.25">
      <c r="A6661" s="5" t="str">
        <f t="shared" si="2801"/>
        <v>44201UST10Y</v>
      </c>
      <c r="B6661" s="6" t="s">
        <v>257</v>
      </c>
      <c r="C6661" s="6">
        <v>0.97</v>
      </c>
      <c r="D6661" s="6">
        <v>0.91</v>
      </c>
      <c r="E6661" s="6">
        <v>0.93</v>
      </c>
      <c r="F6661" t="str">
        <f t="shared" si="2802"/>
        <v>TUE</v>
      </c>
      <c r="G6661" s="3">
        <f>DATE(2021,1,5)</f>
        <v>44201</v>
      </c>
      <c r="H6661" s="2">
        <f t="shared" ca="1" si="2804"/>
        <v>52</v>
      </c>
      <c r="I6661" t="str">
        <f t="shared" si="2805"/>
        <v>UST10Y</v>
      </c>
      <c r="J6661">
        <f t="shared" si="2806"/>
        <v>0.97</v>
      </c>
      <c r="K6661">
        <f t="shared" si="2807"/>
        <v>0.91</v>
      </c>
      <c r="L6661">
        <f t="shared" si="2808"/>
        <v>0.94</v>
      </c>
      <c r="M6661">
        <f t="shared" si="2809"/>
        <v>2.9999999999999971E-2</v>
      </c>
      <c r="N6661">
        <f t="shared" si="2814"/>
        <v>5.9999999999999942E-2</v>
      </c>
      <c r="O6661">
        <f t="shared" si="2810"/>
        <v>0.93</v>
      </c>
      <c r="P6661">
        <f t="shared" si="2811"/>
        <v>-0.33333333333333026</v>
      </c>
      <c r="Q6661" t="str">
        <f t="shared" si="2815"/>
        <v>4.3% | 2.15%</v>
      </c>
      <c r="R6661" t="str">
        <f t="shared" si="2812"/>
        <v>BULLISH</v>
      </c>
      <c r="S6661">
        <f t="shared" si="2813"/>
        <v>1</v>
      </c>
    </row>
    <row r="6662" spans="1:19" hidden="1" x14ac:dyDescent="0.25">
      <c r="A6662" s="5" t="str">
        <f t="shared" si="2801"/>
        <v>44201UST2Y</v>
      </c>
      <c r="B6662" s="6" t="s">
        <v>253</v>
      </c>
      <c r="C6662" s="6">
        <v>0.15</v>
      </c>
      <c r="D6662" s="6">
        <v>0.11</v>
      </c>
      <c r="E6662" s="6">
        <v>0.11</v>
      </c>
      <c r="F6662" t="str">
        <f t="shared" ref="F6662:F6693" si="2816">UPPER(TEXT(G6662,"ddd"))</f>
        <v>TUE</v>
      </c>
      <c r="G6662" s="3">
        <f t="shared" ref="G6662:G6692" si="2817">DATE(2021,1,5)</f>
        <v>44201</v>
      </c>
      <c r="H6662" s="2">
        <f t="shared" ref="H6662:H6693" ca="1" si="2818">TODAY()-G6662</f>
        <v>52</v>
      </c>
      <c r="I6662" t="str">
        <f t="shared" ref="I6662:I6693" si="2819">TRIM(LEFT(B6662,FIND(" ",B6662,1)))</f>
        <v>UST2Y</v>
      </c>
      <c r="J6662">
        <f t="shared" ref="J6662:J6693" si="2820">C6662</f>
        <v>0.15</v>
      </c>
      <c r="K6662">
        <f t="shared" ref="K6662:K6693" si="2821">D6662</f>
        <v>0.11</v>
      </c>
      <c r="L6662">
        <f t="shared" ref="L6662:L6693" si="2822">AVERAGE(J6662:K6662)</f>
        <v>0.13</v>
      </c>
      <c r="M6662">
        <f t="shared" ref="M6662:M6693" si="2823">_xlfn.STDEV.P(J6662:K6662)</f>
        <v>1.9999999999999938E-2</v>
      </c>
      <c r="N6662">
        <f t="shared" si="2814"/>
        <v>3.9999999999999994E-2</v>
      </c>
      <c r="O6662">
        <f t="shared" ref="O6662:O6693" si="2824">E6662</f>
        <v>0.11</v>
      </c>
      <c r="P6662">
        <f t="shared" ref="P6662:P6693" si="2825">(O6662-L6662)/M6662</f>
        <v>-1.0000000000000033</v>
      </c>
      <c r="Q6662" t="str">
        <f t="shared" si="2815"/>
        <v>36.36% | 0%</v>
      </c>
      <c r="R6662" t="str">
        <f t="shared" ref="R6662:R6693" si="2826">MID(B6662,FIND("(",B6662,1)+1,FIND(")",B6662,1)-FIND("(",B6662,1)-1)</f>
        <v>NEUTRAL</v>
      </c>
      <c r="S6662">
        <f t="shared" ref="S6662:S6693" si="2827">IF(R6662="BEARISH",-1,IF(R6662="NEUTRAL",0,IF(R6662="BULLISH",1,99)))</f>
        <v>0</v>
      </c>
    </row>
    <row r="6663" spans="1:19" hidden="1" x14ac:dyDescent="0.25">
      <c r="A6663" s="5" t="str">
        <f t="shared" si="2801"/>
        <v>44201SPX</v>
      </c>
      <c r="B6663" s="6" t="s">
        <v>93</v>
      </c>
      <c r="C6663" s="6">
        <v>3672</v>
      </c>
      <c r="D6663" s="6">
        <v>3761</v>
      </c>
      <c r="E6663" s="6">
        <v>3700</v>
      </c>
      <c r="F6663" t="str">
        <f t="shared" si="2816"/>
        <v>TUE</v>
      </c>
      <c r="G6663" s="3">
        <f t="shared" si="2817"/>
        <v>44201</v>
      </c>
      <c r="H6663" s="2">
        <f t="shared" ca="1" si="2818"/>
        <v>52</v>
      </c>
      <c r="I6663" t="str">
        <f t="shared" si="2819"/>
        <v>SPX</v>
      </c>
      <c r="J6663">
        <f t="shared" si="2820"/>
        <v>3672</v>
      </c>
      <c r="K6663">
        <f t="shared" si="2821"/>
        <v>3761</v>
      </c>
      <c r="L6663">
        <f t="shared" si="2822"/>
        <v>3716.5</v>
      </c>
      <c r="M6663">
        <f t="shared" si="2823"/>
        <v>44.5</v>
      </c>
      <c r="N6663">
        <f t="shared" si="2814"/>
        <v>89</v>
      </c>
      <c r="O6663">
        <f t="shared" si="2824"/>
        <v>3700</v>
      </c>
      <c r="P6663">
        <f t="shared" si="2825"/>
        <v>-0.3707865168539326</v>
      </c>
      <c r="Q6663" t="str">
        <f t="shared" si="2815"/>
        <v>0.76% | 1.65%</v>
      </c>
      <c r="R6663" t="str">
        <f t="shared" si="2826"/>
        <v>BULLISH</v>
      </c>
      <c r="S6663">
        <f t="shared" si="2827"/>
        <v>1</v>
      </c>
    </row>
    <row r="6664" spans="1:19" hidden="1" x14ac:dyDescent="0.25">
      <c r="A6664" s="5" t="str">
        <f t="shared" ref="A6664:A6727" si="2828">G6664&amp;I6664</f>
        <v>44201RUT</v>
      </c>
      <c r="B6664" s="6" t="s">
        <v>247</v>
      </c>
      <c r="C6664" s="6">
        <v>1935</v>
      </c>
      <c r="D6664" s="6">
        <v>2015</v>
      </c>
      <c r="E6664" s="6">
        <v>1945</v>
      </c>
      <c r="F6664" t="str">
        <f t="shared" si="2816"/>
        <v>TUE</v>
      </c>
      <c r="G6664" s="3">
        <f t="shared" si="2817"/>
        <v>44201</v>
      </c>
      <c r="H6664" s="2">
        <f t="shared" ca="1" si="2818"/>
        <v>52</v>
      </c>
      <c r="I6664" t="str">
        <f t="shared" si="2819"/>
        <v>RUT</v>
      </c>
      <c r="J6664">
        <f t="shared" si="2820"/>
        <v>1935</v>
      </c>
      <c r="K6664">
        <f t="shared" si="2821"/>
        <v>2015</v>
      </c>
      <c r="L6664">
        <f t="shared" si="2822"/>
        <v>1975</v>
      </c>
      <c r="M6664">
        <f t="shared" si="2823"/>
        <v>40</v>
      </c>
      <c r="N6664">
        <f t="shared" si="2814"/>
        <v>80</v>
      </c>
      <c r="O6664">
        <f t="shared" si="2824"/>
        <v>1945</v>
      </c>
      <c r="P6664">
        <f t="shared" si="2825"/>
        <v>-0.75</v>
      </c>
      <c r="Q6664" t="str">
        <f t="shared" si="2815"/>
        <v>0.51% | 3.6%</v>
      </c>
      <c r="R6664" t="str">
        <f t="shared" si="2826"/>
        <v>BULLISH</v>
      </c>
      <c r="S6664">
        <f t="shared" si="2827"/>
        <v>1</v>
      </c>
    </row>
    <row r="6665" spans="1:19" hidden="1" x14ac:dyDescent="0.25">
      <c r="A6665" s="5" t="str">
        <f t="shared" si="2828"/>
        <v>44201COMPQ</v>
      </c>
      <c r="B6665" s="6" t="s">
        <v>8</v>
      </c>
      <c r="C6665" s="6">
        <v>12675</v>
      </c>
      <c r="D6665" s="6">
        <v>12954</v>
      </c>
      <c r="E6665" s="6">
        <v>12698</v>
      </c>
      <c r="F6665" t="str">
        <f t="shared" si="2816"/>
        <v>TUE</v>
      </c>
      <c r="G6665" s="3">
        <f t="shared" si="2817"/>
        <v>44201</v>
      </c>
      <c r="H6665" s="2">
        <f t="shared" ca="1" si="2818"/>
        <v>52</v>
      </c>
      <c r="I6665" t="str">
        <f t="shared" si="2819"/>
        <v>COMPQ</v>
      </c>
      <c r="J6665">
        <f t="shared" si="2820"/>
        <v>12675</v>
      </c>
      <c r="K6665">
        <f t="shared" si="2821"/>
        <v>12954</v>
      </c>
      <c r="L6665">
        <f t="shared" si="2822"/>
        <v>12814.5</v>
      </c>
      <c r="M6665">
        <f t="shared" si="2823"/>
        <v>139.5</v>
      </c>
      <c r="N6665">
        <f t="shared" si="2814"/>
        <v>279</v>
      </c>
      <c r="O6665">
        <f t="shared" si="2824"/>
        <v>12698</v>
      </c>
      <c r="P6665">
        <f t="shared" si="2825"/>
        <v>-0.83512544802867383</v>
      </c>
      <c r="Q6665" t="str">
        <f t="shared" si="2815"/>
        <v>0.18% | 2.02%</v>
      </c>
      <c r="R6665" t="str">
        <f t="shared" si="2826"/>
        <v>BULLISH</v>
      </c>
      <c r="S6665">
        <f t="shared" si="2827"/>
        <v>1</v>
      </c>
    </row>
    <row r="6666" spans="1:19" hidden="1" x14ac:dyDescent="0.25">
      <c r="A6666" s="5" t="str">
        <f t="shared" si="2828"/>
        <v>44201XLK</v>
      </c>
      <c r="B6666" s="6" t="s">
        <v>10</v>
      </c>
      <c r="C6666" s="6">
        <v>127.34</v>
      </c>
      <c r="D6666" s="6">
        <v>131.04</v>
      </c>
      <c r="E6666" s="6">
        <v>127.9</v>
      </c>
      <c r="F6666" t="str">
        <f t="shared" si="2816"/>
        <v>TUE</v>
      </c>
      <c r="G6666" s="3">
        <f t="shared" si="2817"/>
        <v>44201</v>
      </c>
      <c r="H6666" s="2">
        <f t="shared" ca="1" si="2818"/>
        <v>52</v>
      </c>
      <c r="I6666" t="str">
        <f t="shared" si="2819"/>
        <v>XLK</v>
      </c>
      <c r="J6666">
        <f t="shared" si="2820"/>
        <v>127.34</v>
      </c>
      <c r="K6666">
        <f t="shared" si="2821"/>
        <v>131.04</v>
      </c>
      <c r="L6666">
        <f t="shared" si="2822"/>
        <v>129.19</v>
      </c>
      <c r="M6666">
        <f t="shared" si="2823"/>
        <v>1.8499999999999943</v>
      </c>
      <c r="N6666">
        <f t="shared" si="2814"/>
        <v>3.6999999999999886</v>
      </c>
      <c r="O6666">
        <f t="shared" si="2824"/>
        <v>127.9</v>
      </c>
      <c r="P6666">
        <f t="shared" si="2825"/>
        <v>-0.69729729729729517</v>
      </c>
      <c r="Q6666" t="str">
        <f t="shared" si="2815"/>
        <v>0.44% | 2.46%</v>
      </c>
      <c r="R6666" t="str">
        <f t="shared" si="2826"/>
        <v>BULLISH</v>
      </c>
      <c r="S6666">
        <f t="shared" si="2827"/>
        <v>1</v>
      </c>
    </row>
    <row r="6667" spans="1:19" hidden="1" x14ac:dyDescent="0.25">
      <c r="A6667" s="5" t="str">
        <f t="shared" si="2828"/>
        <v>44201XLE</v>
      </c>
      <c r="B6667" s="6" t="s">
        <v>250</v>
      </c>
      <c r="C6667" s="6">
        <v>37.15</v>
      </c>
      <c r="D6667" s="6">
        <v>39.47</v>
      </c>
      <c r="E6667" s="6">
        <v>37.9</v>
      </c>
      <c r="F6667" t="str">
        <f t="shared" si="2816"/>
        <v>TUE</v>
      </c>
      <c r="G6667" s="3">
        <f t="shared" si="2817"/>
        <v>44201</v>
      </c>
      <c r="H6667" s="2">
        <f t="shared" ca="1" si="2818"/>
        <v>52</v>
      </c>
      <c r="I6667" t="str">
        <f t="shared" si="2819"/>
        <v>XLE</v>
      </c>
      <c r="J6667">
        <f t="shared" si="2820"/>
        <v>37.15</v>
      </c>
      <c r="K6667">
        <f t="shared" si="2821"/>
        <v>39.47</v>
      </c>
      <c r="L6667">
        <f t="shared" si="2822"/>
        <v>38.31</v>
      </c>
      <c r="M6667">
        <f t="shared" si="2823"/>
        <v>1.1600000000000001</v>
      </c>
      <c r="N6667">
        <f t="shared" si="2814"/>
        <v>2.3200000000000003</v>
      </c>
      <c r="O6667">
        <f t="shared" si="2824"/>
        <v>37.9</v>
      </c>
      <c r="P6667">
        <f t="shared" si="2825"/>
        <v>-0.35344827586207211</v>
      </c>
      <c r="Q6667" t="str">
        <f t="shared" si="2815"/>
        <v>1.98% | 4.14%</v>
      </c>
      <c r="R6667" t="str">
        <f t="shared" si="2826"/>
        <v>BULLISH</v>
      </c>
      <c r="S6667">
        <f t="shared" si="2827"/>
        <v>1</v>
      </c>
    </row>
    <row r="6668" spans="1:19" hidden="1" x14ac:dyDescent="0.25">
      <c r="A6668" s="5" t="str">
        <f t="shared" si="2828"/>
        <v>44201XLF</v>
      </c>
      <c r="B6668" s="6" t="s">
        <v>258</v>
      </c>
      <c r="C6668" s="6">
        <v>28.35</v>
      </c>
      <c r="D6668" s="6">
        <v>29.72</v>
      </c>
      <c r="E6668" s="6">
        <v>29.08</v>
      </c>
      <c r="F6668" t="str">
        <f t="shared" si="2816"/>
        <v>TUE</v>
      </c>
      <c r="G6668" s="3">
        <f t="shared" si="2817"/>
        <v>44201</v>
      </c>
      <c r="H6668" s="2">
        <f t="shared" ca="1" si="2818"/>
        <v>52</v>
      </c>
      <c r="I6668" t="str">
        <f t="shared" si="2819"/>
        <v>XLF</v>
      </c>
      <c r="J6668">
        <f t="shared" si="2820"/>
        <v>28.35</v>
      </c>
      <c r="K6668">
        <f t="shared" si="2821"/>
        <v>29.72</v>
      </c>
      <c r="L6668">
        <f t="shared" si="2822"/>
        <v>29.035</v>
      </c>
      <c r="M6668">
        <f t="shared" si="2823"/>
        <v>0.68499999999999872</v>
      </c>
      <c r="N6668">
        <f t="shared" si="2814"/>
        <v>1.3699999999999974</v>
      </c>
      <c r="O6668">
        <f t="shared" si="2824"/>
        <v>29.08</v>
      </c>
      <c r="P6668">
        <f t="shared" si="2825"/>
        <v>6.5693430656931728E-2</v>
      </c>
      <c r="Q6668" t="str">
        <f t="shared" si="2815"/>
        <v>2.51% | 2.2%</v>
      </c>
      <c r="R6668" t="str">
        <f t="shared" si="2826"/>
        <v>BULLISH</v>
      </c>
      <c r="S6668">
        <f t="shared" si="2827"/>
        <v>1</v>
      </c>
    </row>
    <row r="6669" spans="1:19" hidden="1" x14ac:dyDescent="0.25">
      <c r="A6669" s="5" t="str">
        <f t="shared" si="2828"/>
        <v>44201XLU</v>
      </c>
      <c r="B6669" s="6" t="s">
        <v>82</v>
      </c>
      <c r="C6669" s="6">
        <v>60.21</v>
      </c>
      <c r="D6669" s="6">
        <v>62.5</v>
      </c>
      <c r="E6669" s="6">
        <v>61.12</v>
      </c>
      <c r="F6669" t="str">
        <f t="shared" si="2816"/>
        <v>TUE</v>
      </c>
      <c r="G6669" s="3">
        <f t="shared" si="2817"/>
        <v>44201</v>
      </c>
      <c r="H6669" s="2">
        <f t="shared" ca="1" si="2818"/>
        <v>52</v>
      </c>
      <c r="I6669" t="str">
        <f t="shared" si="2819"/>
        <v>XLU</v>
      </c>
      <c r="J6669">
        <f t="shared" si="2820"/>
        <v>60.21</v>
      </c>
      <c r="K6669">
        <f t="shared" si="2821"/>
        <v>62.5</v>
      </c>
      <c r="L6669">
        <f t="shared" si="2822"/>
        <v>61.355000000000004</v>
      </c>
      <c r="M6669">
        <f t="shared" si="2823"/>
        <v>1.1449999999999996</v>
      </c>
      <c r="N6669">
        <f t="shared" si="2814"/>
        <v>2.2899999999999991</v>
      </c>
      <c r="O6669">
        <f t="shared" si="2824"/>
        <v>61.12</v>
      </c>
      <c r="P6669">
        <f t="shared" si="2825"/>
        <v>-0.20524017467249486</v>
      </c>
      <c r="Q6669" t="str">
        <f t="shared" si="2815"/>
        <v>1.49% | 2.26%</v>
      </c>
      <c r="R6669" t="str">
        <f t="shared" si="2826"/>
        <v>BEARISH</v>
      </c>
      <c r="S6669">
        <f t="shared" si="2827"/>
        <v>-1</v>
      </c>
    </row>
    <row r="6670" spans="1:19" hidden="1" x14ac:dyDescent="0.25">
      <c r="A6670" s="5" t="str">
        <f t="shared" si="2828"/>
        <v>44201GDX</v>
      </c>
      <c r="B6670" s="6" t="s">
        <v>254</v>
      </c>
      <c r="C6670" s="6">
        <v>34.4</v>
      </c>
      <c r="D6670" s="6">
        <v>38.979999999999997</v>
      </c>
      <c r="E6670" s="6">
        <v>38.51</v>
      </c>
      <c r="F6670" t="str">
        <f t="shared" si="2816"/>
        <v>TUE</v>
      </c>
      <c r="G6670" s="3">
        <f t="shared" si="2817"/>
        <v>44201</v>
      </c>
      <c r="H6670" s="2">
        <f t="shared" ca="1" si="2818"/>
        <v>52</v>
      </c>
      <c r="I6670" t="str">
        <f t="shared" si="2819"/>
        <v>GDX</v>
      </c>
      <c r="J6670">
        <f t="shared" si="2820"/>
        <v>34.4</v>
      </c>
      <c r="K6670">
        <f t="shared" si="2821"/>
        <v>38.979999999999997</v>
      </c>
      <c r="L6670">
        <f t="shared" si="2822"/>
        <v>36.69</v>
      </c>
      <c r="M6670">
        <f t="shared" si="2823"/>
        <v>2.2899999999999991</v>
      </c>
      <c r="N6670">
        <f t="shared" si="2814"/>
        <v>4.5799999999999983</v>
      </c>
      <c r="O6670">
        <f t="shared" si="2824"/>
        <v>38.51</v>
      </c>
      <c r="P6670">
        <f t="shared" si="2825"/>
        <v>0.79475982532751133</v>
      </c>
      <c r="Q6670" t="str">
        <f t="shared" si="2815"/>
        <v>10.67% | 1.22%</v>
      </c>
      <c r="R6670" t="str">
        <f t="shared" si="2826"/>
        <v>BEARISH</v>
      </c>
      <c r="S6670">
        <f t="shared" si="2827"/>
        <v>-1</v>
      </c>
    </row>
    <row r="6671" spans="1:19" hidden="1" x14ac:dyDescent="0.25">
      <c r="A6671" s="5" t="str">
        <f t="shared" si="2828"/>
        <v>44201SSEC</v>
      </c>
      <c r="B6671" s="6" t="s">
        <v>104</v>
      </c>
      <c r="C6671" s="6">
        <v>3395</v>
      </c>
      <c r="D6671" s="6">
        <v>3548</v>
      </c>
      <c r="E6671" s="6">
        <v>3528</v>
      </c>
      <c r="F6671" t="str">
        <f t="shared" si="2816"/>
        <v>TUE</v>
      </c>
      <c r="G6671" s="3">
        <f t="shared" si="2817"/>
        <v>44201</v>
      </c>
      <c r="H6671" s="2">
        <f t="shared" ca="1" si="2818"/>
        <v>52</v>
      </c>
      <c r="I6671" t="str">
        <f t="shared" si="2819"/>
        <v>SSEC</v>
      </c>
      <c r="J6671">
        <f t="shared" si="2820"/>
        <v>3395</v>
      </c>
      <c r="K6671">
        <f t="shared" si="2821"/>
        <v>3548</v>
      </c>
      <c r="L6671">
        <f t="shared" si="2822"/>
        <v>3471.5</v>
      </c>
      <c r="M6671">
        <f t="shared" si="2823"/>
        <v>76.5</v>
      </c>
      <c r="N6671">
        <f t="shared" si="2814"/>
        <v>153</v>
      </c>
      <c r="O6671">
        <f t="shared" si="2824"/>
        <v>3528</v>
      </c>
      <c r="P6671">
        <f t="shared" si="2825"/>
        <v>0.73856209150326801</v>
      </c>
      <c r="Q6671" t="str">
        <f t="shared" si="2815"/>
        <v>3.77% | 0.57%</v>
      </c>
      <c r="R6671" t="str">
        <f t="shared" si="2826"/>
        <v>BULLISH</v>
      </c>
      <c r="S6671">
        <f t="shared" si="2827"/>
        <v>1</v>
      </c>
    </row>
    <row r="6672" spans="1:19" hidden="1" x14ac:dyDescent="0.25">
      <c r="A6672" s="5" t="str">
        <f t="shared" si="2828"/>
        <v>44201NIKK</v>
      </c>
      <c r="B6672" s="6" t="s">
        <v>91</v>
      </c>
      <c r="C6672" s="6">
        <v>26556</v>
      </c>
      <c r="D6672" s="6">
        <v>27690</v>
      </c>
      <c r="E6672" s="6">
        <v>27158</v>
      </c>
      <c r="F6672" t="str">
        <f t="shared" si="2816"/>
        <v>TUE</v>
      </c>
      <c r="G6672" s="3">
        <f t="shared" si="2817"/>
        <v>44201</v>
      </c>
      <c r="H6672" s="2">
        <f t="shared" ca="1" si="2818"/>
        <v>52</v>
      </c>
      <c r="I6672" t="str">
        <f t="shared" si="2819"/>
        <v>NIKK</v>
      </c>
      <c r="J6672">
        <f t="shared" si="2820"/>
        <v>26556</v>
      </c>
      <c r="K6672">
        <f t="shared" si="2821"/>
        <v>27690</v>
      </c>
      <c r="L6672">
        <f t="shared" si="2822"/>
        <v>27123</v>
      </c>
      <c r="M6672">
        <f t="shared" si="2823"/>
        <v>567</v>
      </c>
      <c r="N6672">
        <f t="shared" si="2814"/>
        <v>1134</v>
      </c>
      <c r="O6672">
        <f t="shared" si="2824"/>
        <v>27158</v>
      </c>
      <c r="P6672">
        <f t="shared" si="2825"/>
        <v>6.1728395061728392E-2</v>
      </c>
      <c r="Q6672" t="str">
        <f t="shared" si="2815"/>
        <v>2.22% | 1.96%</v>
      </c>
      <c r="R6672" t="str">
        <f t="shared" si="2826"/>
        <v>BULLISH</v>
      </c>
      <c r="S6672">
        <f t="shared" si="2827"/>
        <v>1</v>
      </c>
    </row>
    <row r="6673" spans="1:19" hidden="1" x14ac:dyDescent="0.25">
      <c r="A6673" s="5" t="str">
        <f t="shared" si="2828"/>
        <v>44201DAX</v>
      </c>
      <c r="B6673" s="6" t="s">
        <v>98</v>
      </c>
      <c r="C6673" s="6">
        <v>13290</v>
      </c>
      <c r="D6673" s="6">
        <v>13972</v>
      </c>
      <c r="E6673" s="6">
        <v>13726</v>
      </c>
      <c r="F6673" t="str">
        <f t="shared" si="2816"/>
        <v>TUE</v>
      </c>
      <c r="G6673" s="3">
        <f t="shared" si="2817"/>
        <v>44201</v>
      </c>
      <c r="H6673" s="2">
        <f t="shared" ca="1" si="2818"/>
        <v>52</v>
      </c>
      <c r="I6673" t="str">
        <f t="shared" si="2819"/>
        <v>DAX</v>
      </c>
      <c r="J6673">
        <f t="shared" si="2820"/>
        <v>13290</v>
      </c>
      <c r="K6673">
        <f t="shared" si="2821"/>
        <v>13972</v>
      </c>
      <c r="L6673">
        <f t="shared" si="2822"/>
        <v>13631</v>
      </c>
      <c r="M6673">
        <f t="shared" si="2823"/>
        <v>341</v>
      </c>
      <c r="N6673">
        <f t="shared" si="2814"/>
        <v>682</v>
      </c>
      <c r="O6673">
        <f t="shared" si="2824"/>
        <v>13726</v>
      </c>
      <c r="P6673">
        <f t="shared" si="2825"/>
        <v>0.27859237536656889</v>
      </c>
      <c r="Q6673" t="str">
        <f t="shared" si="2815"/>
        <v>3.18% | 1.79%</v>
      </c>
      <c r="R6673" t="str">
        <f t="shared" si="2826"/>
        <v>BULLISH</v>
      </c>
      <c r="S6673">
        <f t="shared" si="2827"/>
        <v>1</v>
      </c>
    </row>
    <row r="6674" spans="1:19" hidden="1" x14ac:dyDescent="0.25">
      <c r="A6674" s="5" t="str">
        <f t="shared" si="2828"/>
        <v>44201VIX</v>
      </c>
      <c r="B6674" s="6" t="s">
        <v>96</v>
      </c>
      <c r="C6674" s="6">
        <v>20.149999999999999</v>
      </c>
      <c r="D6674" s="6">
        <v>28.13</v>
      </c>
      <c r="E6674" s="6">
        <v>26.97</v>
      </c>
      <c r="F6674" t="str">
        <f t="shared" si="2816"/>
        <v>TUE</v>
      </c>
      <c r="G6674" s="3">
        <f t="shared" si="2817"/>
        <v>44201</v>
      </c>
      <c r="H6674" s="2">
        <f t="shared" ca="1" si="2818"/>
        <v>52</v>
      </c>
      <c r="I6674" t="str">
        <f t="shared" si="2819"/>
        <v>VIX</v>
      </c>
      <c r="J6674">
        <f t="shared" si="2820"/>
        <v>20.149999999999999</v>
      </c>
      <c r="K6674">
        <f t="shared" si="2821"/>
        <v>28.13</v>
      </c>
      <c r="L6674">
        <f t="shared" si="2822"/>
        <v>24.14</v>
      </c>
      <c r="M6674">
        <f t="shared" si="2823"/>
        <v>3.9899999999999918</v>
      </c>
      <c r="N6674">
        <f t="shared" si="2814"/>
        <v>7.98</v>
      </c>
      <c r="O6674">
        <f t="shared" si="2824"/>
        <v>26.97</v>
      </c>
      <c r="P6674">
        <f t="shared" si="2825"/>
        <v>0.7092731829573945</v>
      </c>
      <c r="Q6674" t="str">
        <f t="shared" si="2815"/>
        <v>25.29% | 4.3%</v>
      </c>
      <c r="R6674" t="str">
        <f t="shared" si="2826"/>
        <v>BEARISH</v>
      </c>
      <c r="S6674">
        <f t="shared" si="2827"/>
        <v>-1</v>
      </c>
    </row>
    <row r="6675" spans="1:19" hidden="1" x14ac:dyDescent="0.25">
      <c r="A6675" s="5" t="str">
        <f t="shared" si="2828"/>
        <v>44201USD</v>
      </c>
      <c r="B6675" s="6" t="s">
        <v>94</v>
      </c>
      <c r="C6675" s="6">
        <v>89.45</v>
      </c>
      <c r="D6675" s="6">
        <v>90.6</v>
      </c>
      <c r="E6675" s="6">
        <v>89.85</v>
      </c>
      <c r="F6675" t="str">
        <f t="shared" si="2816"/>
        <v>TUE</v>
      </c>
      <c r="G6675" s="3">
        <f t="shared" si="2817"/>
        <v>44201</v>
      </c>
      <c r="H6675" s="2">
        <f t="shared" ca="1" si="2818"/>
        <v>52</v>
      </c>
      <c r="I6675" t="str">
        <f t="shared" si="2819"/>
        <v>USD</v>
      </c>
      <c r="J6675">
        <f t="shared" si="2820"/>
        <v>89.45</v>
      </c>
      <c r="K6675">
        <f t="shared" si="2821"/>
        <v>90.6</v>
      </c>
      <c r="L6675">
        <f t="shared" si="2822"/>
        <v>90.025000000000006</v>
      </c>
      <c r="M6675">
        <f t="shared" si="2823"/>
        <v>0.57499999999999574</v>
      </c>
      <c r="N6675">
        <f t="shared" si="2814"/>
        <v>1.1499999999999915</v>
      </c>
      <c r="O6675">
        <f t="shared" si="2824"/>
        <v>89.85</v>
      </c>
      <c r="P6675">
        <f t="shared" si="2825"/>
        <v>-0.30434782608697852</v>
      </c>
      <c r="Q6675" t="str">
        <f t="shared" si="2815"/>
        <v>0.45% | 0.83%</v>
      </c>
      <c r="R6675" t="str">
        <f t="shared" si="2826"/>
        <v>BEARISH</v>
      </c>
      <c r="S6675">
        <f t="shared" si="2827"/>
        <v>-1</v>
      </c>
    </row>
    <row r="6676" spans="1:19" hidden="1" x14ac:dyDescent="0.25">
      <c r="A6676" s="5" t="str">
        <f t="shared" si="2828"/>
        <v>44201EUR/USD</v>
      </c>
      <c r="B6676" s="6" t="s">
        <v>99</v>
      </c>
      <c r="C6676" s="6">
        <v>1.2150000000000001</v>
      </c>
      <c r="D6676" s="6">
        <v>1.232</v>
      </c>
      <c r="E6676" s="6">
        <v>1.224</v>
      </c>
      <c r="F6676" t="str">
        <f t="shared" si="2816"/>
        <v>TUE</v>
      </c>
      <c r="G6676" s="3">
        <f t="shared" si="2817"/>
        <v>44201</v>
      </c>
      <c r="H6676" s="2">
        <f t="shared" ca="1" si="2818"/>
        <v>52</v>
      </c>
      <c r="I6676" t="str">
        <f t="shared" si="2819"/>
        <v>EUR/USD</v>
      </c>
      <c r="J6676">
        <f t="shared" si="2820"/>
        <v>1.2150000000000001</v>
      </c>
      <c r="K6676">
        <f t="shared" si="2821"/>
        <v>1.232</v>
      </c>
      <c r="L6676">
        <f t="shared" si="2822"/>
        <v>1.2235</v>
      </c>
      <c r="M6676">
        <f t="shared" si="2823"/>
        <v>8.499999999999952E-3</v>
      </c>
      <c r="N6676">
        <f t="shared" si="2814"/>
        <v>1.6999999999999904E-2</v>
      </c>
      <c r="O6676">
        <f t="shared" si="2824"/>
        <v>1.224</v>
      </c>
      <c r="P6676">
        <f t="shared" si="2825"/>
        <v>5.8823529411758557E-2</v>
      </c>
      <c r="Q6676" t="str">
        <f t="shared" si="2815"/>
        <v>0.74% | 0.65%</v>
      </c>
      <c r="R6676" t="str">
        <f t="shared" si="2826"/>
        <v>BULLISH</v>
      </c>
      <c r="S6676">
        <f t="shared" si="2827"/>
        <v>1</v>
      </c>
    </row>
    <row r="6677" spans="1:19" hidden="1" x14ac:dyDescent="0.25">
      <c r="A6677" s="5" t="str">
        <f t="shared" si="2828"/>
        <v>44201USD/JPY</v>
      </c>
      <c r="B6677" s="6" t="s">
        <v>20</v>
      </c>
      <c r="C6677" s="6">
        <v>102.64</v>
      </c>
      <c r="D6677" s="6">
        <v>103.78</v>
      </c>
      <c r="E6677" s="6">
        <v>103.15</v>
      </c>
      <c r="F6677" t="str">
        <f t="shared" si="2816"/>
        <v>TUE</v>
      </c>
      <c r="G6677" s="3">
        <f t="shared" si="2817"/>
        <v>44201</v>
      </c>
      <c r="H6677" s="2">
        <f t="shared" ca="1" si="2818"/>
        <v>52</v>
      </c>
      <c r="I6677" t="str">
        <f t="shared" si="2819"/>
        <v>USD/JPY</v>
      </c>
      <c r="J6677">
        <f t="shared" si="2820"/>
        <v>102.64</v>
      </c>
      <c r="K6677">
        <f t="shared" si="2821"/>
        <v>103.78</v>
      </c>
      <c r="L6677">
        <f t="shared" si="2822"/>
        <v>103.21000000000001</v>
      </c>
      <c r="M6677">
        <f t="shared" si="2823"/>
        <v>0.57000000000000028</v>
      </c>
      <c r="N6677">
        <f t="shared" si="2814"/>
        <v>1.1400000000000006</v>
      </c>
      <c r="O6677">
        <f t="shared" si="2824"/>
        <v>103.15</v>
      </c>
      <c r="P6677">
        <f t="shared" si="2825"/>
        <v>-0.10526315789474078</v>
      </c>
      <c r="Q6677" t="str">
        <f t="shared" si="2815"/>
        <v>0.49% | 0.61%</v>
      </c>
      <c r="R6677" t="str">
        <f t="shared" si="2826"/>
        <v>BEARISH</v>
      </c>
      <c r="S6677">
        <f t="shared" si="2827"/>
        <v>-1</v>
      </c>
    </row>
    <row r="6678" spans="1:19" hidden="1" x14ac:dyDescent="0.25">
      <c r="A6678" s="5" t="str">
        <f t="shared" si="2828"/>
        <v>44201GBP/USD</v>
      </c>
      <c r="B6678" s="6" t="s">
        <v>102</v>
      </c>
      <c r="C6678" s="6">
        <v>1.343</v>
      </c>
      <c r="D6678" s="6">
        <v>1.37</v>
      </c>
      <c r="E6678" s="6">
        <v>1.357</v>
      </c>
      <c r="F6678" t="str">
        <f t="shared" si="2816"/>
        <v>TUE</v>
      </c>
      <c r="G6678" s="3">
        <f t="shared" si="2817"/>
        <v>44201</v>
      </c>
      <c r="H6678" s="2">
        <f t="shared" ca="1" si="2818"/>
        <v>52</v>
      </c>
      <c r="I6678" t="str">
        <f t="shared" si="2819"/>
        <v>GBP/USD</v>
      </c>
      <c r="J6678">
        <f t="shared" si="2820"/>
        <v>1.343</v>
      </c>
      <c r="K6678">
        <f t="shared" si="2821"/>
        <v>1.37</v>
      </c>
      <c r="L6678">
        <f t="shared" si="2822"/>
        <v>1.3565</v>
      </c>
      <c r="M6678">
        <f t="shared" si="2823"/>
        <v>1.3500000000000068E-2</v>
      </c>
      <c r="N6678">
        <f t="shared" si="2814"/>
        <v>2.7000000000000135E-2</v>
      </c>
      <c r="O6678">
        <f t="shared" si="2824"/>
        <v>1.357</v>
      </c>
      <c r="P6678">
        <f t="shared" si="2825"/>
        <v>3.7037037037032775E-2</v>
      </c>
      <c r="Q6678" t="str">
        <f t="shared" si="2815"/>
        <v>1.03% | 0.96%</v>
      </c>
      <c r="R6678" t="str">
        <f t="shared" si="2826"/>
        <v>BULLISH</v>
      </c>
      <c r="S6678">
        <f t="shared" si="2827"/>
        <v>1</v>
      </c>
    </row>
    <row r="6679" spans="1:19" hidden="1" x14ac:dyDescent="0.25">
      <c r="A6679" s="5" t="str">
        <f t="shared" si="2828"/>
        <v>44201CAD/USD</v>
      </c>
      <c r="B6679" s="6" t="s">
        <v>244</v>
      </c>
      <c r="C6679" s="6">
        <v>0.78</v>
      </c>
      <c r="D6679" s="6">
        <v>0.79</v>
      </c>
      <c r="E6679" s="6">
        <v>0.78</v>
      </c>
      <c r="F6679" t="str">
        <f t="shared" si="2816"/>
        <v>TUE</v>
      </c>
      <c r="G6679" s="3">
        <f t="shared" si="2817"/>
        <v>44201</v>
      </c>
      <c r="H6679" s="2">
        <f t="shared" ca="1" si="2818"/>
        <v>52</v>
      </c>
      <c r="I6679" t="str">
        <f t="shared" si="2819"/>
        <v>CAD/USD</v>
      </c>
      <c r="J6679">
        <f t="shared" si="2820"/>
        <v>0.78</v>
      </c>
      <c r="K6679">
        <f t="shared" si="2821"/>
        <v>0.79</v>
      </c>
      <c r="L6679">
        <f t="shared" si="2822"/>
        <v>0.78500000000000003</v>
      </c>
      <c r="M6679">
        <f t="shared" si="2823"/>
        <v>5.0000000000000044E-3</v>
      </c>
      <c r="N6679">
        <f t="shared" si="2814"/>
        <v>1.0000000000000009E-2</v>
      </c>
      <c r="O6679">
        <f t="shared" si="2824"/>
        <v>0.78</v>
      </c>
      <c r="P6679">
        <f t="shared" si="2825"/>
        <v>-1</v>
      </c>
      <c r="Q6679" t="str">
        <f t="shared" si="2815"/>
        <v>0% | 1.28%</v>
      </c>
      <c r="R6679" t="str">
        <f t="shared" si="2826"/>
        <v>BULLISH</v>
      </c>
      <c r="S6679">
        <f t="shared" si="2827"/>
        <v>1</v>
      </c>
    </row>
    <row r="6680" spans="1:19" hidden="1" x14ac:dyDescent="0.25">
      <c r="A6680" s="5" t="str">
        <f t="shared" si="2828"/>
        <v>44201USD/CHF</v>
      </c>
      <c r="B6680" s="6" t="s">
        <v>76</v>
      </c>
      <c r="C6680" s="6">
        <v>0.87</v>
      </c>
      <c r="D6680" s="6">
        <v>0.89</v>
      </c>
      <c r="E6680" s="6">
        <v>0.88</v>
      </c>
      <c r="F6680" t="str">
        <f t="shared" si="2816"/>
        <v>TUE</v>
      </c>
      <c r="G6680" s="3">
        <f t="shared" si="2817"/>
        <v>44201</v>
      </c>
      <c r="H6680" s="2">
        <f t="shared" ca="1" si="2818"/>
        <v>52</v>
      </c>
      <c r="I6680" t="str">
        <f t="shared" si="2819"/>
        <v>USD/CHF</v>
      </c>
      <c r="J6680">
        <f t="shared" si="2820"/>
        <v>0.87</v>
      </c>
      <c r="K6680">
        <f t="shared" si="2821"/>
        <v>0.89</v>
      </c>
      <c r="L6680">
        <f t="shared" si="2822"/>
        <v>0.88</v>
      </c>
      <c r="M6680">
        <f t="shared" si="2823"/>
        <v>1.0000000000000009E-2</v>
      </c>
      <c r="N6680">
        <f t="shared" si="2814"/>
        <v>2.0000000000000018E-2</v>
      </c>
      <c r="O6680">
        <f t="shared" si="2824"/>
        <v>0.88</v>
      </c>
      <c r="P6680">
        <f t="shared" si="2825"/>
        <v>0</v>
      </c>
      <c r="Q6680" t="str">
        <f t="shared" si="2815"/>
        <v>1.14% | 1.14%</v>
      </c>
      <c r="R6680" t="str">
        <f t="shared" si="2826"/>
        <v>BEARISH</v>
      </c>
      <c r="S6680">
        <f t="shared" si="2827"/>
        <v>-1</v>
      </c>
    </row>
    <row r="6681" spans="1:19" hidden="1" x14ac:dyDescent="0.25">
      <c r="A6681" s="5" t="str">
        <f t="shared" si="2828"/>
        <v>44201WTIC</v>
      </c>
      <c r="B6681" s="6" t="s">
        <v>158</v>
      </c>
      <c r="C6681" s="6">
        <v>47</v>
      </c>
      <c r="D6681" s="6">
        <v>49.12</v>
      </c>
      <c r="E6681" s="6">
        <v>47.62</v>
      </c>
      <c r="F6681" t="str">
        <f t="shared" si="2816"/>
        <v>TUE</v>
      </c>
      <c r="G6681" s="3">
        <f t="shared" si="2817"/>
        <v>44201</v>
      </c>
      <c r="H6681" s="2">
        <f t="shared" ca="1" si="2818"/>
        <v>52</v>
      </c>
      <c r="I6681" t="str">
        <f t="shared" si="2819"/>
        <v>WTIC</v>
      </c>
      <c r="J6681">
        <f t="shared" si="2820"/>
        <v>47</v>
      </c>
      <c r="K6681">
        <f t="shared" si="2821"/>
        <v>49.12</v>
      </c>
      <c r="L6681">
        <f t="shared" si="2822"/>
        <v>48.06</v>
      </c>
      <c r="M6681">
        <f t="shared" si="2823"/>
        <v>1.0599999999999987</v>
      </c>
      <c r="N6681">
        <f t="shared" si="2814"/>
        <v>2.1199999999999974</v>
      </c>
      <c r="O6681">
        <f t="shared" si="2824"/>
        <v>47.62</v>
      </c>
      <c r="P6681">
        <f t="shared" si="2825"/>
        <v>-0.41509433962264658</v>
      </c>
      <c r="Q6681" t="str">
        <f t="shared" si="2815"/>
        <v>1.3% | 3.15%</v>
      </c>
      <c r="R6681" t="str">
        <f t="shared" si="2826"/>
        <v>BULLISH</v>
      </c>
      <c r="S6681">
        <f t="shared" si="2827"/>
        <v>1</v>
      </c>
    </row>
    <row r="6682" spans="1:19" hidden="1" x14ac:dyDescent="0.25">
      <c r="A6682" s="5" t="str">
        <f t="shared" si="2828"/>
        <v>44201NATGAS</v>
      </c>
      <c r="B6682" s="6" t="s">
        <v>89</v>
      </c>
      <c r="C6682" s="6">
        <v>2.29</v>
      </c>
      <c r="D6682" s="6">
        <v>2.83</v>
      </c>
      <c r="E6682" s="6">
        <v>2.58</v>
      </c>
      <c r="F6682" t="str">
        <f t="shared" si="2816"/>
        <v>TUE</v>
      </c>
      <c r="G6682" s="3">
        <f t="shared" si="2817"/>
        <v>44201</v>
      </c>
      <c r="H6682" s="2">
        <f t="shared" ca="1" si="2818"/>
        <v>52</v>
      </c>
      <c r="I6682" t="str">
        <f t="shared" si="2819"/>
        <v>NATGAS</v>
      </c>
      <c r="J6682">
        <f t="shared" si="2820"/>
        <v>2.29</v>
      </c>
      <c r="K6682">
        <f t="shared" si="2821"/>
        <v>2.83</v>
      </c>
      <c r="L6682">
        <f t="shared" si="2822"/>
        <v>2.56</v>
      </c>
      <c r="M6682">
        <f t="shared" si="2823"/>
        <v>0.26999999999999952</v>
      </c>
      <c r="N6682">
        <f t="shared" si="2814"/>
        <v>0.54</v>
      </c>
      <c r="O6682">
        <f t="shared" si="2824"/>
        <v>2.58</v>
      </c>
      <c r="P6682">
        <f t="shared" si="2825"/>
        <v>7.4074074074074278E-2</v>
      </c>
      <c r="Q6682" t="str">
        <f t="shared" si="2815"/>
        <v>11.24% | 9.69%</v>
      </c>
      <c r="R6682" t="str">
        <f t="shared" si="2826"/>
        <v>BULLISH</v>
      </c>
      <c r="S6682">
        <f t="shared" si="2827"/>
        <v>1</v>
      </c>
    </row>
    <row r="6683" spans="1:19" hidden="1" x14ac:dyDescent="0.25">
      <c r="A6683" s="5" t="str">
        <f t="shared" si="2828"/>
        <v>44201GOLD</v>
      </c>
      <c r="B6683" s="6" t="s">
        <v>249</v>
      </c>
      <c r="C6683" s="6">
        <v>1847</v>
      </c>
      <c r="D6683" s="6">
        <v>1953</v>
      </c>
      <c r="E6683" s="6">
        <v>1946</v>
      </c>
      <c r="F6683" t="str">
        <f t="shared" si="2816"/>
        <v>TUE</v>
      </c>
      <c r="G6683" s="3">
        <f t="shared" si="2817"/>
        <v>44201</v>
      </c>
      <c r="H6683" s="2">
        <f t="shared" ca="1" si="2818"/>
        <v>52</v>
      </c>
      <c r="I6683" t="str">
        <f t="shared" si="2819"/>
        <v>GOLD</v>
      </c>
      <c r="J6683">
        <f t="shared" si="2820"/>
        <v>1847</v>
      </c>
      <c r="K6683">
        <f t="shared" si="2821"/>
        <v>1953</v>
      </c>
      <c r="L6683">
        <f t="shared" si="2822"/>
        <v>1900</v>
      </c>
      <c r="M6683">
        <f t="shared" si="2823"/>
        <v>53</v>
      </c>
      <c r="N6683">
        <f t="shared" si="2814"/>
        <v>106</v>
      </c>
      <c r="O6683">
        <f t="shared" si="2824"/>
        <v>1946</v>
      </c>
      <c r="P6683">
        <f t="shared" si="2825"/>
        <v>0.86792452830188682</v>
      </c>
      <c r="Q6683" t="str">
        <f t="shared" si="2815"/>
        <v>5.09% | 0.36%</v>
      </c>
      <c r="R6683" t="str">
        <f t="shared" si="2826"/>
        <v>NEUTRAL</v>
      </c>
      <c r="S6683">
        <f t="shared" si="2827"/>
        <v>0</v>
      </c>
    </row>
    <row r="6684" spans="1:19" hidden="1" x14ac:dyDescent="0.25">
      <c r="A6684" s="5" t="str">
        <f t="shared" si="2828"/>
        <v>44201COPPER</v>
      </c>
      <c r="B6684" s="6" t="s">
        <v>100</v>
      </c>
      <c r="C6684" s="6">
        <v>3.5</v>
      </c>
      <c r="D6684" s="6">
        <v>3.62</v>
      </c>
      <c r="E6684" s="6">
        <v>3.55</v>
      </c>
      <c r="F6684" t="str">
        <f t="shared" si="2816"/>
        <v>TUE</v>
      </c>
      <c r="G6684" s="3">
        <f t="shared" si="2817"/>
        <v>44201</v>
      </c>
      <c r="H6684" s="2">
        <f t="shared" ca="1" si="2818"/>
        <v>52</v>
      </c>
      <c r="I6684" t="str">
        <f t="shared" si="2819"/>
        <v>COPPER</v>
      </c>
      <c r="J6684">
        <f t="shared" si="2820"/>
        <v>3.5</v>
      </c>
      <c r="K6684">
        <f t="shared" si="2821"/>
        <v>3.62</v>
      </c>
      <c r="L6684">
        <f t="shared" si="2822"/>
        <v>3.56</v>
      </c>
      <c r="M6684">
        <f t="shared" si="2823"/>
        <v>6.0000000000000053E-2</v>
      </c>
      <c r="N6684">
        <f t="shared" si="2814"/>
        <v>0.12000000000000011</v>
      </c>
      <c r="O6684">
        <f t="shared" si="2824"/>
        <v>3.55</v>
      </c>
      <c r="P6684">
        <f t="shared" si="2825"/>
        <v>-0.16666666666667038</v>
      </c>
      <c r="Q6684" t="str">
        <f t="shared" si="2815"/>
        <v>1.41% | 1.97%</v>
      </c>
      <c r="R6684" t="str">
        <f t="shared" si="2826"/>
        <v>BULLISH</v>
      </c>
      <c r="S6684">
        <f t="shared" si="2827"/>
        <v>1</v>
      </c>
    </row>
    <row r="6685" spans="1:19" hidden="1" x14ac:dyDescent="0.25">
      <c r="A6685" s="5" t="str">
        <f t="shared" si="2828"/>
        <v>44201MSFT</v>
      </c>
      <c r="B6685" s="6" t="s">
        <v>27</v>
      </c>
      <c r="C6685" s="6">
        <v>216</v>
      </c>
      <c r="D6685" s="6">
        <v>227</v>
      </c>
      <c r="E6685" s="6">
        <v>217</v>
      </c>
      <c r="F6685" t="str">
        <f t="shared" si="2816"/>
        <v>TUE</v>
      </c>
      <c r="G6685" s="3">
        <f t="shared" si="2817"/>
        <v>44201</v>
      </c>
      <c r="H6685" s="2">
        <f t="shared" ca="1" si="2818"/>
        <v>52</v>
      </c>
      <c r="I6685" t="str">
        <f t="shared" si="2819"/>
        <v>MSFT</v>
      </c>
      <c r="J6685">
        <f t="shared" si="2820"/>
        <v>216</v>
      </c>
      <c r="K6685">
        <f t="shared" si="2821"/>
        <v>227</v>
      </c>
      <c r="L6685">
        <f t="shared" si="2822"/>
        <v>221.5</v>
      </c>
      <c r="M6685">
        <f t="shared" si="2823"/>
        <v>5.5</v>
      </c>
      <c r="N6685">
        <f t="shared" si="2814"/>
        <v>11</v>
      </c>
      <c r="O6685">
        <f t="shared" si="2824"/>
        <v>217</v>
      </c>
      <c r="P6685">
        <f t="shared" si="2825"/>
        <v>-0.81818181818181823</v>
      </c>
      <c r="Q6685" t="str">
        <f t="shared" si="2815"/>
        <v>0.46% | 4.61%</v>
      </c>
      <c r="R6685" t="str">
        <f t="shared" si="2826"/>
        <v>BULLISH</v>
      </c>
      <c r="S6685">
        <f t="shared" si="2827"/>
        <v>1</v>
      </c>
    </row>
    <row r="6686" spans="1:19" hidden="1" x14ac:dyDescent="0.25">
      <c r="A6686" s="5" t="str">
        <f t="shared" si="2828"/>
        <v>44201AAPL</v>
      </c>
      <c r="B6686" s="6" t="s">
        <v>28</v>
      </c>
      <c r="C6686" s="6">
        <v>127</v>
      </c>
      <c r="D6686" s="6">
        <v>137</v>
      </c>
      <c r="E6686" s="6">
        <v>129</v>
      </c>
      <c r="F6686" t="str">
        <f t="shared" si="2816"/>
        <v>TUE</v>
      </c>
      <c r="G6686" s="3">
        <f t="shared" si="2817"/>
        <v>44201</v>
      </c>
      <c r="H6686" s="2">
        <f t="shared" ca="1" si="2818"/>
        <v>52</v>
      </c>
      <c r="I6686" t="str">
        <f t="shared" si="2819"/>
        <v>AAPL</v>
      </c>
      <c r="J6686">
        <f t="shared" si="2820"/>
        <v>127</v>
      </c>
      <c r="K6686">
        <f t="shared" si="2821"/>
        <v>137</v>
      </c>
      <c r="L6686">
        <f t="shared" si="2822"/>
        <v>132</v>
      </c>
      <c r="M6686">
        <f t="shared" si="2823"/>
        <v>5</v>
      </c>
      <c r="N6686">
        <f t="shared" si="2814"/>
        <v>10</v>
      </c>
      <c r="O6686">
        <f t="shared" si="2824"/>
        <v>129</v>
      </c>
      <c r="P6686">
        <f t="shared" si="2825"/>
        <v>-0.6</v>
      </c>
      <c r="Q6686" t="str">
        <f t="shared" si="2815"/>
        <v>1.55% | 6.2%</v>
      </c>
      <c r="R6686" t="str">
        <f t="shared" si="2826"/>
        <v>BULLISH</v>
      </c>
      <c r="S6686">
        <f t="shared" si="2827"/>
        <v>1</v>
      </c>
    </row>
    <row r="6687" spans="1:19" hidden="1" x14ac:dyDescent="0.25">
      <c r="A6687" s="5" t="str">
        <f t="shared" si="2828"/>
        <v>44201AMZN</v>
      </c>
      <c r="B6687" s="6" t="s">
        <v>29</v>
      </c>
      <c r="C6687" s="6">
        <v>3130</v>
      </c>
      <c r="D6687" s="6">
        <v>3337</v>
      </c>
      <c r="E6687" s="6">
        <v>3186</v>
      </c>
      <c r="F6687" t="str">
        <f t="shared" si="2816"/>
        <v>TUE</v>
      </c>
      <c r="G6687" s="3">
        <f t="shared" si="2817"/>
        <v>44201</v>
      </c>
      <c r="H6687" s="2">
        <f t="shared" ca="1" si="2818"/>
        <v>52</v>
      </c>
      <c r="I6687" t="str">
        <f t="shared" si="2819"/>
        <v>AMZN</v>
      </c>
      <c r="J6687">
        <f t="shared" si="2820"/>
        <v>3130</v>
      </c>
      <c r="K6687">
        <f t="shared" si="2821"/>
        <v>3337</v>
      </c>
      <c r="L6687">
        <f t="shared" si="2822"/>
        <v>3233.5</v>
      </c>
      <c r="M6687">
        <f t="shared" si="2823"/>
        <v>103.5</v>
      </c>
      <c r="N6687">
        <f t="shared" si="2814"/>
        <v>207</v>
      </c>
      <c r="O6687">
        <f t="shared" si="2824"/>
        <v>3186</v>
      </c>
      <c r="P6687">
        <f t="shared" si="2825"/>
        <v>-0.45893719806763283</v>
      </c>
      <c r="Q6687" t="str">
        <f t="shared" si="2815"/>
        <v>1.76% | 4.74%</v>
      </c>
      <c r="R6687" t="str">
        <f t="shared" si="2826"/>
        <v>BULLISH</v>
      </c>
      <c r="S6687">
        <f t="shared" si="2827"/>
        <v>1</v>
      </c>
    </row>
    <row r="6688" spans="1:19" hidden="1" x14ac:dyDescent="0.25">
      <c r="A6688" s="5" t="str">
        <f t="shared" si="2828"/>
        <v>44201FB</v>
      </c>
      <c r="B6688" s="6" t="s">
        <v>157</v>
      </c>
      <c r="C6688" s="6">
        <v>264</v>
      </c>
      <c r="D6688" s="6">
        <v>277</v>
      </c>
      <c r="E6688" s="6">
        <v>268</v>
      </c>
      <c r="F6688" t="str">
        <f t="shared" si="2816"/>
        <v>TUE</v>
      </c>
      <c r="G6688" s="3">
        <f t="shared" si="2817"/>
        <v>44201</v>
      </c>
      <c r="H6688" s="2">
        <f t="shared" ca="1" si="2818"/>
        <v>52</v>
      </c>
      <c r="I6688" t="str">
        <f t="shared" si="2819"/>
        <v>FB</v>
      </c>
      <c r="J6688">
        <f t="shared" si="2820"/>
        <v>264</v>
      </c>
      <c r="K6688">
        <f t="shared" si="2821"/>
        <v>277</v>
      </c>
      <c r="L6688">
        <f t="shared" si="2822"/>
        <v>270.5</v>
      </c>
      <c r="M6688">
        <f t="shared" si="2823"/>
        <v>6.5</v>
      </c>
      <c r="N6688">
        <f t="shared" si="2814"/>
        <v>13</v>
      </c>
      <c r="O6688">
        <f t="shared" si="2824"/>
        <v>268</v>
      </c>
      <c r="P6688">
        <f t="shared" si="2825"/>
        <v>-0.38461538461538464</v>
      </c>
      <c r="Q6688" t="str">
        <f t="shared" si="2815"/>
        <v>1.49% | 3.36%</v>
      </c>
      <c r="R6688" t="str">
        <f t="shared" si="2826"/>
        <v>NEUTRAL</v>
      </c>
      <c r="S6688">
        <f t="shared" si="2827"/>
        <v>0</v>
      </c>
    </row>
    <row r="6689" spans="1:19" hidden="1" x14ac:dyDescent="0.25">
      <c r="A6689" s="5" t="str">
        <f t="shared" si="2828"/>
        <v>44201GOOGL</v>
      </c>
      <c r="B6689" s="6" t="s">
        <v>31</v>
      </c>
      <c r="C6689" s="6">
        <v>1702</v>
      </c>
      <c r="D6689" s="6">
        <v>1775</v>
      </c>
      <c r="E6689" s="6">
        <v>1726</v>
      </c>
      <c r="F6689" t="str">
        <f t="shared" si="2816"/>
        <v>TUE</v>
      </c>
      <c r="G6689" s="3">
        <f t="shared" si="2817"/>
        <v>44201</v>
      </c>
      <c r="H6689" s="2">
        <f t="shared" ca="1" si="2818"/>
        <v>52</v>
      </c>
      <c r="I6689" t="str">
        <f t="shared" si="2819"/>
        <v>GOOGL</v>
      </c>
      <c r="J6689">
        <f t="shared" si="2820"/>
        <v>1702</v>
      </c>
      <c r="K6689">
        <f t="shared" si="2821"/>
        <v>1775</v>
      </c>
      <c r="L6689">
        <f t="shared" si="2822"/>
        <v>1738.5</v>
      </c>
      <c r="M6689">
        <f t="shared" si="2823"/>
        <v>36.5</v>
      </c>
      <c r="N6689">
        <f t="shared" si="2814"/>
        <v>73</v>
      </c>
      <c r="O6689">
        <f t="shared" si="2824"/>
        <v>1726</v>
      </c>
      <c r="P6689">
        <f t="shared" si="2825"/>
        <v>-0.34246575342465752</v>
      </c>
      <c r="Q6689" t="str">
        <f t="shared" si="2815"/>
        <v>1.39% | 2.84%</v>
      </c>
      <c r="R6689" t="str">
        <f t="shared" si="2826"/>
        <v>BULLISH</v>
      </c>
      <c r="S6689">
        <f t="shared" si="2827"/>
        <v>1</v>
      </c>
    </row>
    <row r="6690" spans="1:19" hidden="1" x14ac:dyDescent="0.25">
      <c r="A6690" s="5" t="str">
        <f t="shared" si="2828"/>
        <v>44201NFLX</v>
      </c>
      <c r="B6690" s="6" t="s">
        <v>32</v>
      </c>
      <c r="C6690" s="6">
        <v>507</v>
      </c>
      <c r="D6690" s="6">
        <v>542</v>
      </c>
      <c r="E6690" s="6">
        <v>522</v>
      </c>
      <c r="F6690" t="str">
        <f t="shared" si="2816"/>
        <v>TUE</v>
      </c>
      <c r="G6690" s="3">
        <f t="shared" si="2817"/>
        <v>44201</v>
      </c>
      <c r="H6690" s="2">
        <f t="shared" ca="1" si="2818"/>
        <v>52</v>
      </c>
      <c r="I6690" t="str">
        <f t="shared" si="2819"/>
        <v>NFLX</v>
      </c>
      <c r="J6690">
        <f t="shared" si="2820"/>
        <v>507</v>
      </c>
      <c r="K6690">
        <f t="shared" si="2821"/>
        <v>542</v>
      </c>
      <c r="L6690">
        <f t="shared" si="2822"/>
        <v>524.5</v>
      </c>
      <c r="M6690">
        <f t="shared" si="2823"/>
        <v>17.5</v>
      </c>
      <c r="N6690">
        <f t="shared" si="2814"/>
        <v>35</v>
      </c>
      <c r="O6690">
        <f t="shared" si="2824"/>
        <v>522</v>
      </c>
      <c r="P6690">
        <f t="shared" si="2825"/>
        <v>-0.14285714285714285</v>
      </c>
      <c r="Q6690" t="str">
        <f t="shared" si="2815"/>
        <v>2.87% | 3.83%</v>
      </c>
      <c r="R6690" t="str">
        <f t="shared" si="2826"/>
        <v>BULLISH</v>
      </c>
      <c r="S6690">
        <f t="shared" si="2827"/>
        <v>1</v>
      </c>
    </row>
    <row r="6691" spans="1:19" x14ac:dyDescent="0.25">
      <c r="A6691" s="5" t="str">
        <f t="shared" si="2828"/>
        <v>44201TSLA</v>
      </c>
      <c r="B6691" s="6" t="s">
        <v>33</v>
      </c>
      <c r="C6691" s="6">
        <v>663</v>
      </c>
      <c r="D6691" s="6">
        <v>734</v>
      </c>
      <c r="E6691" s="6">
        <v>729</v>
      </c>
      <c r="F6691" t="str">
        <f t="shared" si="2816"/>
        <v>TUE</v>
      </c>
      <c r="G6691" s="3">
        <f t="shared" si="2817"/>
        <v>44201</v>
      </c>
      <c r="H6691" s="2">
        <f t="shared" ca="1" si="2818"/>
        <v>52</v>
      </c>
      <c r="I6691" t="str">
        <f t="shared" si="2819"/>
        <v>TSLA</v>
      </c>
      <c r="J6691">
        <f t="shared" si="2820"/>
        <v>663</v>
      </c>
      <c r="K6691">
        <f t="shared" si="2821"/>
        <v>734</v>
      </c>
      <c r="L6691">
        <f t="shared" si="2822"/>
        <v>698.5</v>
      </c>
      <c r="M6691">
        <f t="shared" si="2823"/>
        <v>35.5</v>
      </c>
      <c r="N6691">
        <f t="shared" si="2814"/>
        <v>71</v>
      </c>
      <c r="O6691">
        <f t="shared" si="2824"/>
        <v>729</v>
      </c>
      <c r="P6691">
        <f t="shared" si="2825"/>
        <v>0.85915492957746475</v>
      </c>
      <c r="Q6691" t="str">
        <f t="shared" si="2815"/>
        <v>9.05% | 0.69%</v>
      </c>
      <c r="R6691" t="str">
        <f t="shared" si="2826"/>
        <v>BULLISH</v>
      </c>
      <c r="S6691">
        <f t="shared" si="2827"/>
        <v>1</v>
      </c>
    </row>
    <row r="6692" spans="1:19" hidden="1" x14ac:dyDescent="0.25">
      <c r="A6692" s="5" t="str">
        <f t="shared" si="2828"/>
        <v>44201NYXBT</v>
      </c>
      <c r="B6692" s="6" t="s">
        <v>60</v>
      </c>
      <c r="C6692" s="6">
        <v>26279</v>
      </c>
      <c r="D6692" s="6">
        <v>32905</v>
      </c>
      <c r="E6692" s="6">
        <v>31726</v>
      </c>
      <c r="F6692" t="str">
        <f t="shared" si="2816"/>
        <v>TUE</v>
      </c>
      <c r="G6692" s="3">
        <f t="shared" si="2817"/>
        <v>44201</v>
      </c>
      <c r="H6692" s="2">
        <f t="shared" ca="1" si="2818"/>
        <v>52</v>
      </c>
      <c r="I6692" t="str">
        <f t="shared" si="2819"/>
        <v>NYXBT</v>
      </c>
      <c r="J6692">
        <f t="shared" si="2820"/>
        <v>26279</v>
      </c>
      <c r="K6692">
        <f t="shared" si="2821"/>
        <v>32905</v>
      </c>
      <c r="L6692">
        <f t="shared" si="2822"/>
        <v>29592</v>
      </c>
      <c r="M6692">
        <f t="shared" si="2823"/>
        <v>3313</v>
      </c>
      <c r="N6692">
        <f t="shared" si="2814"/>
        <v>6626</v>
      </c>
      <c r="O6692">
        <f t="shared" si="2824"/>
        <v>31726</v>
      </c>
      <c r="P6692">
        <f t="shared" si="2825"/>
        <v>0.64412918804708719</v>
      </c>
      <c r="Q6692" t="str">
        <f t="shared" si="2815"/>
        <v>17.17% | 3.72%</v>
      </c>
      <c r="R6692" t="str">
        <f t="shared" si="2826"/>
        <v>BULLISH</v>
      </c>
      <c r="S6692">
        <f t="shared" si="2827"/>
        <v>1</v>
      </c>
    </row>
    <row r="6693" spans="1:19" hidden="1" x14ac:dyDescent="0.25">
      <c r="A6693" s="5" t="str">
        <f t="shared" si="2828"/>
        <v>44202UST10Y</v>
      </c>
      <c r="B6693" s="6" t="s">
        <v>257</v>
      </c>
      <c r="C6693" s="6">
        <v>1.04</v>
      </c>
      <c r="D6693" s="6">
        <v>0.92</v>
      </c>
      <c r="E6693" s="6">
        <v>0.96</v>
      </c>
      <c r="F6693" t="str">
        <f t="shared" si="2816"/>
        <v>WED</v>
      </c>
      <c r="G6693" s="1">
        <f>DATE(2021,1,6)</f>
        <v>44202</v>
      </c>
      <c r="H6693" s="2">
        <f t="shared" ca="1" si="2818"/>
        <v>51</v>
      </c>
      <c r="I6693" t="str">
        <f t="shared" si="2819"/>
        <v>UST10Y</v>
      </c>
      <c r="J6693">
        <f t="shared" si="2820"/>
        <v>1.04</v>
      </c>
      <c r="K6693">
        <f t="shared" si="2821"/>
        <v>0.92</v>
      </c>
      <c r="L6693">
        <f t="shared" si="2822"/>
        <v>0.98</v>
      </c>
      <c r="M6693">
        <f t="shared" si="2823"/>
        <v>0.06</v>
      </c>
      <c r="N6693">
        <f t="shared" si="2814"/>
        <v>0.12</v>
      </c>
      <c r="O6693">
        <f t="shared" si="2824"/>
        <v>0.96</v>
      </c>
      <c r="P6693">
        <f t="shared" si="2825"/>
        <v>-0.33333333333333365</v>
      </c>
      <c r="Q6693" t="str">
        <f t="shared" si="2815"/>
        <v>8.33% | 4.17%</v>
      </c>
      <c r="R6693" t="str">
        <f t="shared" si="2826"/>
        <v>BULLISH</v>
      </c>
      <c r="S6693">
        <f t="shared" si="2827"/>
        <v>1</v>
      </c>
    </row>
    <row r="6694" spans="1:19" hidden="1" x14ac:dyDescent="0.25">
      <c r="A6694" s="5" t="str">
        <f t="shared" si="2828"/>
        <v>44202UST2Y</v>
      </c>
      <c r="B6694" s="6" t="s">
        <v>253</v>
      </c>
      <c r="C6694" s="6">
        <v>0.15</v>
      </c>
      <c r="D6694" s="6">
        <v>0.11</v>
      </c>
      <c r="E6694" s="6">
        <v>0.13</v>
      </c>
      <c r="F6694" t="str">
        <f t="shared" ref="F6694:F6725" si="2829">UPPER(TEXT(G6694,"ddd"))</f>
        <v>WED</v>
      </c>
      <c r="G6694" s="1">
        <f t="shared" ref="G6694:G6724" si="2830">DATE(2021,1,6)</f>
        <v>44202</v>
      </c>
      <c r="H6694" s="2">
        <f t="shared" ref="H6694:H6725" ca="1" si="2831">TODAY()-G6694</f>
        <v>51</v>
      </c>
      <c r="I6694" t="str">
        <f t="shared" ref="I6694:I6725" si="2832">TRIM(LEFT(B6694,FIND(" ",B6694,1)))</f>
        <v>UST2Y</v>
      </c>
      <c r="J6694">
        <f t="shared" ref="J6694:J6725" si="2833">C6694</f>
        <v>0.15</v>
      </c>
      <c r="K6694">
        <f t="shared" ref="K6694:K6725" si="2834">D6694</f>
        <v>0.11</v>
      </c>
      <c r="L6694">
        <f t="shared" ref="L6694:L6725" si="2835">AVERAGE(J6694:K6694)</f>
        <v>0.13</v>
      </c>
      <c r="M6694">
        <f t="shared" ref="M6694:M6725" si="2836">_xlfn.STDEV.P(J6694:K6694)</f>
        <v>1.9999999999999938E-2</v>
      </c>
      <c r="N6694">
        <f t="shared" si="2814"/>
        <v>3.9999999999999994E-2</v>
      </c>
      <c r="O6694">
        <f t="shared" ref="O6694:O6725" si="2837">E6694</f>
        <v>0.13</v>
      </c>
      <c r="P6694">
        <f t="shared" ref="P6694:P6725" si="2838">(O6694-L6694)/M6694</f>
        <v>0</v>
      </c>
      <c r="Q6694" t="str">
        <f t="shared" si="2815"/>
        <v>15.38% | 15.38%</v>
      </c>
      <c r="R6694" t="str">
        <f t="shared" ref="R6694:R6725" si="2839">MID(B6694,FIND("(",B6694,1)+1,FIND(")",B6694,1)-FIND("(",B6694,1)-1)</f>
        <v>NEUTRAL</v>
      </c>
      <c r="S6694">
        <f t="shared" ref="S6694:S6725" si="2840">IF(R6694="BEARISH",-1,IF(R6694="NEUTRAL",0,IF(R6694="BULLISH",1,99)))</f>
        <v>0</v>
      </c>
    </row>
    <row r="6695" spans="1:19" hidden="1" x14ac:dyDescent="0.25">
      <c r="A6695" s="5" t="str">
        <f t="shared" si="2828"/>
        <v>44202SPX</v>
      </c>
      <c r="B6695" s="6" t="s">
        <v>93</v>
      </c>
      <c r="C6695" s="6">
        <v>3677</v>
      </c>
      <c r="D6695" s="6">
        <v>3763</v>
      </c>
      <c r="E6695" s="6">
        <v>3726</v>
      </c>
      <c r="F6695" t="str">
        <f t="shared" si="2829"/>
        <v>WED</v>
      </c>
      <c r="G6695" s="1">
        <f t="shared" si="2830"/>
        <v>44202</v>
      </c>
      <c r="H6695" s="2">
        <f t="shared" ca="1" si="2831"/>
        <v>51</v>
      </c>
      <c r="I6695" t="str">
        <f t="shared" si="2832"/>
        <v>SPX</v>
      </c>
      <c r="J6695">
        <f t="shared" si="2833"/>
        <v>3677</v>
      </c>
      <c r="K6695">
        <f t="shared" si="2834"/>
        <v>3763</v>
      </c>
      <c r="L6695">
        <f t="shared" si="2835"/>
        <v>3720</v>
      </c>
      <c r="M6695">
        <f t="shared" si="2836"/>
        <v>43</v>
      </c>
      <c r="N6695">
        <f t="shared" si="2814"/>
        <v>86</v>
      </c>
      <c r="O6695">
        <f t="shared" si="2837"/>
        <v>3726</v>
      </c>
      <c r="P6695">
        <f t="shared" si="2838"/>
        <v>0.13953488372093023</v>
      </c>
      <c r="Q6695" t="str">
        <f t="shared" si="2815"/>
        <v>1.32% | 0.99%</v>
      </c>
      <c r="R6695" t="str">
        <f t="shared" si="2839"/>
        <v>BULLISH</v>
      </c>
      <c r="S6695">
        <f t="shared" si="2840"/>
        <v>1</v>
      </c>
    </row>
    <row r="6696" spans="1:19" hidden="1" x14ac:dyDescent="0.25">
      <c r="A6696" s="5" t="str">
        <f t="shared" si="2828"/>
        <v>44202RUT</v>
      </c>
      <c r="B6696" s="6" t="s">
        <v>247</v>
      </c>
      <c r="C6696" s="6">
        <v>1942</v>
      </c>
      <c r="D6696" s="6">
        <v>2021</v>
      </c>
      <c r="E6696" s="6">
        <v>1979</v>
      </c>
      <c r="F6696" t="str">
        <f t="shared" si="2829"/>
        <v>WED</v>
      </c>
      <c r="G6696" s="1">
        <f t="shared" si="2830"/>
        <v>44202</v>
      </c>
      <c r="H6696" s="2">
        <f t="shared" ca="1" si="2831"/>
        <v>51</v>
      </c>
      <c r="I6696" t="str">
        <f t="shared" si="2832"/>
        <v>RUT</v>
      </c>
      <c r="J6696">
        <f t="shared" si="2833"/>
        <v>1942</v>
      </c>
      <c r="K6696">
        <f t="shared" si="2834"/>
        <v>2021</v>
      </c>
      <c r="L6696">
        <f t="shared" si="2835"/>
        <v>1981.5</v>
      </c>
      <c r="M6696">
        <f t="shared" si="2836"/>
        <v>39.5</v>
      </c>
      <c r="N6696">
        <f t="shared" si="2814"/>
        <v>79</v>
      </c>
      <c r="O6696">
        <f t="shared" si="2837"/>
        <v>1979</v>
      </c>
      <c r="P6696">
        <f t="shared" si="2838"/>
        <v>-6.3291139240506333E-2</v>
      </c>
      <c r="Q6696" t="str">
        <f t="shared" si="2815"/>
        <v>1.87% | 2.12%</v>
      </c>
      <c r="R6696" t="str">
        <f t="shared" si="2839"/>
        <v>BULLISH</v>
      </c>
      <c r="S6696">
        <f t="shared" si="2840"/>
        <v>1</v>
      </c>
    </row>
    <row r="6697" spans="1:19" hidden="1" x14ac:dyDescent="0.25">
      <c r="A6697" s="5" t="str">
        <f t="shared" si="2828"/>
        <v>44202COMPQ</v>
      </c>
      <c r="B6697" s="6" t="s">
        <v>8</v>
      </c>
      <c r="C6697" s="6">
        <v>12701</v>
      </c>
      <c r="D6697" s="6">
        <v>12952</v>
      </c>
      <c r="E6697" s="6">
        <v>12818</v>
      </c>
      <c r="F6697" t="str">
        <f t="shared" si="2829"/>
        <v>WED</v>
      </c>
      <c r="G6697" s="1">
        <f t="shared" si="2830"/>
        <v>44202</v>
      </c>
      <c r="H6697" s="2">
        <f t="shared" ca="1" si="2831"/>
        <v>51</v>
      </c>
      <c r="I6697" t="str">
        <f t="shared" si="2832"/>
        <v>COMPQ</v>
      </c>
      <c r="J6697">
        <f t="shared" si="2833"/>
        <v>12701</v>
      </c>
      <c r="K6697">
        <f t="shared" si="2834"/>
        <v>12952</v>
      </c>
      <c r="L6697">
        <f t="shared" si="2835"/>
        <v>12826.5</v>
      </c>
      <c r="M6697">
        <f t="shared" si="2836"/>
        <v>125.5</v>
      </c>
      <c r="N6697">
        <f t="shared" si="2814"/>
        <v>251</v>
      </c>
      <c r="O6697">
        <f t="shared" si="2837"/>
        <v>12818</v>
      </c>
      <c r="P6697">
        <f t="shared" si="2838"/>
        <v>-6.7729083665338641E-2</v>
      </c>
      <c r="Q6697" t="str">
        <f t="shared" si="2815"/>
        <v>0.91% | 1.05%</v>
      </c>
      <c r="R6697" t="str">
        <f t="shared" si="2839"/>
        <v>BULLISH</v>
      </c>
      <c r="S6697">
        <f t="shared" si="2840"/>
        <v>1</v>
      </c>
    </row>
    <row r="6698" spans="1:19" hidden="1" x14ac:dyDescent="0.25">
      <c r="A6698" s="5" t="str">
        <f t="shared" si="2828"/>
        <v>44202XLK</v>
      </c>
      <c r="B6698" s="6" t="s">
        <v>10</v>
      </c>
      <c r="C6698" s="6">
        <v>127.41</v>
      </c>
      <c r="D6698" s="6">
        <v>131.13999999999999</v>
      </c>
      <c r="E6698" s="6">
        <v>128.72999999999999</v>
      </c>
      <c r="F6698" t="str">
        <f t="shared" si="2829"/>
        <v>WED</v>
      </c>
      <c r="G6698" s="1">
        <f t="shared" si="2830"/>
        <v>44202</v>
      </c>
      <c r="H6698" s="2">
        <f t="shared" ca="1" si="2831"/>
        <v>51</v>
      </c>
      <c r="I6698" t="str">
        <f t="shared" si="2832"/>
        <v>XLK</v>
      </c>
      <c r="J6698">
        <f t="shared" si="2833"/>
        <v>127.41</v>
      </c>
      <c r="K6698">
        <f t="shared" si="2834"/>
        <v>131.13999999999999</v>
      </c>
      <c r="L6698">
        <f t="shared" si="2835"/>
        <v>129.27499999999998</v>
      </c>
      <c r="M6698">
        <f t="shared" si="2836"/>
        <v>1.8649999999999949</v>
      </c>
      <c r="N6698">
        <f t="shared" si="2814"/>
        <v>3.7299999999999898</v>
      </c>
      <c r="O6698">
        <f t="shared" si="2837"/>
        <v>128.72999999999999</v>
      </c>
      <c r="P6698">
        <f t="shared" si="2838"/>
        <v>-0.29222520107238015</v>
      </c>
      <c r="Q6698" t="str">
        <f t="shared" si="2815"/>
        <v>1.03% | 1.87%</v>
      </c>
      <c r="R6698" t="str">
        <f t="shared" si="2839"/>
        <v>BULLISH</v>
      </c>
      <c r="S6698">
        <f t="shared" si="2840"/>
        <v>1</v>
      </c>
    </row>
    <row r="6699" spans="1:19" hidden="1" x14ac:dyDescent="0.25">
      <c r="A6699" s="5" t="str">
        <f t="shared" si="2828"/>
        <v>44202XLE</v>
      </c>
      <c r="B6699" s="6" t="s">
        <v>250</v>
      </c>
      <c r="C6699" s="6">
        <v>37.14</v>
      </c>
      <c r="D6699" s="6">
        <v>40.42</v>
      </c>
      <c r="E6699" s="6">
        <v>39.659999999999997</v>
      </c>
      <c r="F6699" t="str">
        <f t="shared" si="2829"/>
        <v>WED</v>
      </c>
      <c r="G6699" s="1">
        <f t="shared" si="2830"/>
        <v>44202</v>
      </c>
      <c r="H6699" s="2">
        <f t="shared" ca="1" si="2831"/>
        <v>51</v>
      </c>
      <c r="I6699" t="str">
        <f t="shared" si="2832"/>
        <v>XLE</v>
      </c>
      <c r="J6699">
        <f t="shared" si="2833"/>
        <v>37.14</v>
      </c>
      <c r="K6699">
        <f t="shared" si="2834"/>
        <v>40.42</v>
      </c>
      <c r="L6699">
        <f t="shared" si="2835"/>
        <v>38.78</v>
      </c>
      <c r="M6699">
        <f t="shared" si="2836"/>
        <v>1.6400000000000006</v>
      </c>
      <c r="N6699">
        <f t="shared" si="2814"/>
        <v>3.2800000000000011</v>
      </c>
      <c r="O6699">
        <f t="shared" si="2837"/>
        <v>39.659999999999997</v>
      </c>
      <c r="P6699">
        <f t="shared" si="2838"/>
        <v>0.53658536585365557</v>
      </c>
      <c r="Q6699" t="str">
        <f t="shared" si="2815"/>
        <v>6.35% | 1.92%</v>
      </c>
      <c r="R6699" t="str">
        <f t="shared" si="2839"/>
        <v>BULLISH</v>
      </c>
      <c r="S6699">
        <f t="shared" si="2840"/>
        <v>1</v>
      </c>
    </row>
    <row r="6700" spans="1:19" hidden="1" x14ac:dyDescent="0.25">
      <c r="A6700" s="5" t="str">
        <f t="shared" si="2828"/>
        <v>44202XLF</v>
      </c>
      <c r="B6700" s="6" t="s">
        <v>258</v>
      </c>
      <c r="C6700" s="6">
        <v>28.5</v>
      </c>
      <c r="D6700" s="6">
        <v>29.85</v>
      </c>
      <c r="E6700" s="6">
        <v>29.21</v>
      </c>
      <c r="F6700" t="str">
        <f t="shared" si="2829"/>
        <v>WED</v>
      </c>
      <c r="G6700" s="1">
        <f t="shared" si="2830"/>
        <v>44202</v>
      </c>
      <c r="H6700" s="2">
        <f t="shared" ca="1" si="2831"/>
        <v>51</v>
      </c>
      <c r="I6700" t="str">
        <f t="shared" si="2832"/>
        <v>XLF</v>
      </c>
      <c r="J6700">
        <f t="shared" si="2833"/>
        <v>28.5</v>
      </c>
      <c r="K6700">
        <f t="shared" si="2834"/>
        <v>29.85</v>
      </c>
      <c r="L6700">
        <f t="shared" si="2835"/>
        <v>29.175000000000001</v>
      </c>
      <c r="M6700">
        <f t="shared" si="2836"/>
        <v>0.67500000000000071</v>
      </c>
      <c r="N6700">
        <f t="shared" si="2814"/>
        <v>1.3500000000000014</v>
      </c>
      <c r="O6700">
        <f t="shared" si="2837"/>
        <v>29.21</v>
      </c>
      <c r="P6700">
        <f t="shared" si="2838"/>
        <v>5.185185185185201E-2</v>
      </c>
      <c r="Q6700" t="str">
        <f t="shared" si="2815"/>
        <v>2.43% | 2.19%</v>
      </c>
      <c r="R6700" t="str">
        <f t="shared" si="2839"/>
        <v>BULLISH</v>
      </c>
      <c r="S6700">
        <f t="shared" si="2840"/>
        <v>1</v>
      </c>
    </row>
    <row r="6701" spans="1:19" hidden="1" x14ac:dyDescent="0.25">
      <c r="A6701" s="5" t="str">
        <f t="shared" si="2828"/>
        <v>44202XLU</v>
      </c>
      <c r="B6701" s="6" t="s">
        <v>82</v>
      </c>
      <c r="C6701" s="6">
        <v>60.1</v>
      </c>
      <c r="D6701" s="6">
        <v>61.99</v>
      </c>
      <c r="E6701" s="6">
        <v>61.11</v>
      </c>
      <c r="F6701" t="str">
        <f t="shared" si="2829"/>
        <v>WED</v>
      </c>
      <c r="G6701" s="1">
        <f t="shared" si="2830"/>
        <v>44202</v>
      </c>
      <c r="H6701" s="2">
        <f t="shared" ca="1" si="2831"/>
        <v>51</v>
      </c>
      <c r="I6701" t="str">
        <f t="shared" si="2832"/>
        <v>XLU</v>
      </c>
      <c r="J6701">
        <f t="shared" si="2833"/>
        <v>60.1</v>
      </c>
      <c r="K6701">
        <f t="shared" si="2834"/>
        <v>61.99</v>
      </c>
      <c r="L6701">
        <f t="shared" si="2835"/>
        <v>61.045000000000002</v>
      </c>
      <c r="M6701">
        <f t="shared" si="2836"/>
        <v>0.94500000000000028</v>
      </c>
      <c r="N6701">
        <f t="shared" si="2814"/>
        <v>1.8900000000000006</v>
      </c>
      <c r="O6701">
        <f t="shared" si="2837"/>
        <v>61.11</v>
      </c>
      <c r="P6701">
        <f t="shared" si="2838"/>
        <v>6.8783068783066351E-2</v>
      </c>
      <c r="Q6701" t="str">
        <f t="shared" si="2815"/>
        <v>1.65% | 1.44%</v>
      </c>
      <c r="R6701" t="str">
        <f t="shared" si="2839"/>
        <v>BEARISH</v>
      </c>
      <c r="S6701">
        <f t="shared" si="2840"/>
        <v>-1</v>
      </c>
    </row>
    <row r="6702" spans="1:19" hidden="1" x14ac:dyDescent="0.25">
      <c r="A6702" s="5" t="str">
        <f t="shared" si="2828"/>
        <v>44202GDX</v>
      </c>
      <c r="B6702" s="6" t="s">
        <v>254</v>
      </c>
      <c r="C6702" s="6">
        <v>34.11</v>
      </c>
      <c r="D6702" s="6">
        <v>38.93</v>
      </c>
      <c r="E6702" s="6">
        <v>38.5</v>
      </c>
      <c r="F6702" t="str">
        <f t="shared" si="2829"/>
        <v>WED</v>
      </c>
      <c r="G6702" s="1">
        <f t="shared" si="2830"/>
        <v>44202</v>
      </c>
      <c r="H6702" s="2">
        <f t="shared" ca="1" si="2831"/>
        <v>51</v>
      </c>
      <c r="I6702" t="str">
        <f t="shared" si="2832"/>
        <v>GDX</v>
      </c>
      <c r="J6702">
        <f t="shared" si="2833"/>
        <v>34.11</v>
      </c>
      <c r="K6702">
        <f t="shared" si="2834"/>
        <v>38.93</v>
      </c>
      <c r="L6702">
        <f t="shared" si="2835"/>
        <v>36.519999999999996</v>
      </c>
      <c r="M6702">
        <f t="shared" si="2836"/>
        <v>2.41</v>
      </c>
      <c r="N6702">
        <f t="shared" si="2814"/>
        <v>4.82</v>
      </c>
      <c r="O6702">
        <f t="shared" si="2837"/>
        <v>38.5</v>
      </c>
      <c r="P6702">
        <f t="shared" si="2838"/>
        <v>0.82157676348547881</v>
      </c>
      <c r="Q6702" t="str">
        <f t="shared" si="2815"/>
        <v>11.4% | 1.12%</v>
      </c>
      <c r="R6702" t="str">
        <f t="shared" si="2839"/>
        <v>BEARISH</v>
      </c>
      <c r="S6702">
        <f t="shared" si="2840"/>
        <v>-1</v>
      </c>
    </row>
    <row r="6703" spans="1:19" hidden="1" x14ac:dyDescent="0.25">
      <c r="A6703" s="5" t="str">
        <f t="shared" si="2828"/>
        <v>44202SSEC</v>
      </c>
      <c r="B6703" s="6" t="s">
        <v>104</v>
      </c>
      <c r="C6703" s="6">
        <v>3411</v>
      </c>
      <c r="D6703" s="6">
        <v>3573</v>
      </c>
      <c r="E6703" s="6">
        <v>3550</v>
      </c>
      <c r="F6703" t="str">
        <f t="shared" si="2829"/>
        <v>WED</v>
      </c>
      <c r="G6703" s="1">
        <f t="shared" si="2830"/>
        <v>44202</v>
      </c>
      <c r="H6703" s="2">
        <f t="shared" ca="1" si="2831"/>
        <v>51</v>
      </c>
      <c r="I6703" t="str">
        <f t="shared" si="2832"/>
        <v>SSEC</v>
      </c>
      <c r="J6703">
        <f t="shared" si="2833"/>
        <v>3411</v>
      </c>
      <c r="K6703">
        <f t="shared" si="2834"/>
        <v>3573</v>
      </c>
      <c r="L6703">
        <f t="shared" si="2835"/>
        <v>3492</v>
      </c>
      <c r="M6703">
        <f t="shared" si="2836"/>
        <v>81</v>
      </c>
      <c r="N6703">
        <f t="shared" si="2814"/>
        <v>162</v>
      </c>
      <c r="O6703">
        <f t="shared" si="2837"/>
        <v>3550</v>
      </c>
      <c r="P6703">
        <f t="shared" si="2838"/>
        <v>0.71604938271604934</v>
      </c>
      <c r="Q6703" t="str">
        <f t="shared" si="2815"/>
        <v>3.92% | 0.65%</v>
      </c>
      <c r="R6703" t="str">
        <f t="shared" si="2839"/>
        <v>BULLISH</v>
      </c>
      <c r="S6703">
        <f t="shared" si="2840"/>
        <v>1</v>
      </c>
    </row>
    <row r="6704" spans="1:19" hidden="1" x14ac:dyDescent="0.25">
      <c r="A6704" s="5" t="str">
        <f t="shared" si="2828"/>
        <v>44202NIKK</v>
      </c>
      <c r="B6704" s="6" t="s">
        <v>91</v>
      </c>
      <c r="C6704" s="6">
        <v>26157</v>
      </c>
      <c r="D6704" s="6">
        <v>27746</v>
      </c>
      <c r="E6704" s="6">
        <v>27055</v>
      </c>
      <c r="F6704" t="str">
        <f t="shared" si="2829"/>
        <v>WED</v>
      </c>
      <c r="G6704" s="1">
        <f t="shared" si="2830"/>
        <v>44202</v>
      </c>
      <c r="H6704" s="2">
        <f t="shared" ca="1" si="2831"/>
        <v>51</v>
      </c>
      <c r="I6704" t="str">
        <f t="shared" si="2832"/>
        <v>NIKK</v>
      </c>
      <c r="J6704">
        <f t="shared" si="2833"/>
        <v>26157</v>
      </c>
      <c r="K6704">
        <f t="shared" si="2834"/>
        <v>27746</v>
      </c>
      <c r="L6704">
        <f t="shared" si="2835"/>
        <v>26951.5</v>
      </c>
      <c r="M6704">
        <f t="shared" si="2836"/>
        <v>794.5</v>
      </c>
      <c r="N6704">
        <f t="shared" si="2814"/>
        <v>1589</v>
      </c>
      <c r="O6704">
        <f t="shared" si="2837"/>
        <v>27055</v>
      </c>
      <c r="P6704">
        <f t="shared" si="2838"/>
        <v>0.13027061044682189</v>
      </c>
      <c r="Q6704" t="str">
        <f t="shared" si="2815"/>
        <v>3.32% | 2.55%</v>
      </c>
      <c r="R6704" t="str">
        <f t="shared" si="2839"/>
        <v>BULLISH</v>
      </c>
      <c r="S6704">
        <f t="shared" si="2840"/>
        <v>1</v>
      </c>
    </row>
    <row r="6705" spans="1:19" hidden="1" x14ac:dyDescent="0.25">
      <c r="A6705" s="5" t="str">
        <f t="shared" si="2828"/>
        <v>44202DAX</v>
      </c>
      <c r="B6705" s="6" t="s">
        <v>98</v>
      </c>
      <c r="C6705" s="6">
        <v>13404</v>
      </c>
      <c r="D6705" s="6">
        <v>13959</v>
      </c>
      <c r="E6705" s="6">
        <v>13651</v>
      </c>
      <c r="F6705" t="str">
        <f t="shared" si="2829"/>
        <v>WED</v>
      </c>
      <c r="G6705" s="1">
        <f t="shared" si="2830"/>
        <v>44202</v>
      </c>
      <c r="H6705" s="2">
        <f t="shared" ca="1" si="2831"/>
        <v>51</v>
      </c>
      <c r="I6705" t="str">
        <f t="shared" si="2832"/>
        <v>DAX</v>
      </c>
      <c r="J6705">
        <f t="shared" si="2833"/>
        <v>13404</v>
      </c>
      <c r="K6705">
        <f t="shared" si="2834"/>
        <v>13959</v>
      </c>
      <c r="L6705">
        <f t="shared" si="2835"/>
        <v>13681.5</v>
      </c>
      <c r="M6705">
        <f t="shared" si="2836"/>
        <v>277.5</v>
      </c>
      <c r="N6705">
        <f t="shared" si="2814"/>
        <v>555</v>
      </c>
      <c r="O6705">
        <f t="shared" si="2837"/>
        <v>13651</v>
      </c>
      <c r="P6705">
        <f t="shared" si="2838"/>
        <v>-0.10990990990990991</v>
      </c>
      <c r="Q6705" t="str">
        <f t="shared" si="2815"/>
        <v>1.81% | 2.26%</v>
      </c>
      <c r="R6705" t="str">
        <f t="shared" si="2839"/>
        <v>BULLISH</v>
      </c>
      <c r="S6705">
        <f t="shared" si="2840"/>
        <v>1</v>
      </c>
    </row>
    <row r="6706" spans="1:19" hidden="1" x14ac:dyDescent="0.25">
      <c r="A6706" s="5" t="str">
        <f t="shared" si="2828"/>
        <v>44202VIX</v>
      </c>
      <c r="B6706" s="6" t="s">
        <v>96</v>
      </c>
      <c r="C6706" s="6">
        <v>20.13</v>
      </c>
      <c r="D6706" s="6">
        <v>26.91</v>
      </c>
      <c r="E6706" s="6">
        <v>25.34</v>
      </c>
      <c r="F6706" t="str">
        <f t="shared" si="2829"/>
        <v>WED</v>
      </c>
      <c r="G6706" s="1">
        <f t="shared" si="2830"/>
        <v>44202</v>
      </c>
      <c r="H6706" s="2">
        <f t="shared" ca="1" si="2831"/>
        <v>51</v>
      </c>
      <c r="I6706" t="str">
        <f t="shared" si="2832"/>
        <v>VIX</v>
      </c>
      <c r="J6706">
        <f t="shared" si="2833"/>
        <v>20.13</v>
      </c>
      <c r="K6706">
        <f t="shared" si="2834"/>
        <v>26.91</v>
      </c>
      <c r="L6706">
        <f t="shared" si="2835"/>
        <v>23.52</v>
      </c>
      <c r="M6706">
        <f t="shared" si="2836"/>
        <v>3.3900000000000072</v>
      </c>
      <c r="N6706">
        <f t="shared" si="2814"/>
        <v>6.7800000000000011</v>
      </c>
      <c r="O6706">
        <f t="shared" si="2837"/>
        <v>25.34</v>
      </c>
      <c r="P6706">
        <f t="shared" si="2838"/>
        <v>0.5368731563421818</v>
      </c>
      <c r="Q6706" t="str">
        <f t="shared" si="2815"/>
        <v>20.56% | 6.2%</v>
      </c>
      <c r="R6706" t="str">
        <f t="shared" si="2839"/>
        <v>BEARISH</v>
      </c>
      <c r="S6706">
        <f t="shared" si="2840"/>
        <v>-1</v>
      </c>
    </row>
    <row r="6707" spans="1:19" hidden="1" x14ac:dyDescent="0.25">
      <c r="A6707" s="5" t="str">
        <f t="shared" si="2828"/>
        <v>44202USD</v>
      </c>
      <c r="B6707" s="6" t="s">
        <v>94</v>
      </c>
      <c r="C6707" s="6">
        <v>89.13</v>
      </c>
      <c r="D6707" s="6">
        <v>90.6</v>
      </c>
      <c r="E6707" s="6">
        <v>89.41</v>
      </c>
      <c r="F6707" t="str">
        <f t="shared" si="2829"/>
        <v>WED</v>
      </c>
      <c r="G6707" s="1">
        <f t="shared" si="2830"/>
        <v>44202</v>
      </c>
      <c r="H6707" s="2">
        <f t="shared" ca="1" si="2831"/>
        <v>51</v>
      </c>
      <c r="I6707" t="str">
        <f t="shared" si="2832"/>
        <v>USD</v>
      </c>
      <c r="J6707">
        <f t="shared" si="2833"/>
        <v>89.13</v>
      </c>
      <c r="K6707">
        <f t="shared" si="2834"/>
        <v>90.6</v>
      </c>
      <c r="L6707">
        <f t="shared" si="2835"/>
        <v>89.864999999999995</v>
      </c>
      <c r="M6707">
        <f t="shared" si="2836"/>
        <v>0.73499999999999943</v>
      </c>
      <c r="N6707">
        <f t="shared" si="2814"/>
        <v>1.4699999999999989</v>
      </c>
      <c r="O6707">
        <f t="shared" si="2837"/>
        <v>89.41</v>
      </c>
      <c r="P6707">
        <f t="shared" si="2838"/>
        <v>-0.61904761904761718</v>
      </c>
      <c r="Q6707" t="str">
        <f t="shared" si="2815"/>
        <v>0.31% | 1.33%</v>
      </c>
      <c r="R6707" t="str">
        <f t="shared" si="2839"/>
        <v>BEARISH</v>
      </c>
      <c r="S6707">
        <f t="shared" si="2840"/>
        <v>-1</v>
      </c>
    </row>
    <row r="6708" spans="1:19" hidden="1" x14ac:dyDescent="0.25">
      <c r="A6708" s="5" t="str">
        <f t="shared" si="2828"/>
        <v>44202EUR/USD</v>
      </c>
      <c r="B6708" s="6" t="s">
        <v>99</v>
      </c>
      <c r="C6708" s="6">
        <v>1.216</v>
      </c>
      <c r="D6708" s="6">
        <v>1.2350000000000001</v>
      </c>
      <c r="E6708" s="6">
        <v>1.2290000000000001</v>
      </c>
      <c r="F6708" t="str">
        <f t="shared" si="2829"/>
        <v>WED</v>
      </c>
      <c r="G6708" s="1">
        <f t="shared" si="2830"/>
        <v>44202</v>
      </c>
      <c r="H6708" s="2">
        <f t="shared" ca="1" si="2831"/>
        <v>51</v>
      </c>
      <c r="I6708" t="str">
        <f t="shared" si="2832"/>
        <v>EUR/USD</v>
      </c>
      <c r="J6708">
        <f t="shared" si="2833"/>
        <v>1.216</v>
      </c>
      <c r="K6708">
        <f t="shared" si="2834"/>
        <v>1.2350000000000001</v>
      </c>
      <c r="L6708">
        <f t="shared" si="2835"/>
        <v>1.2255</v>
      </c>
      <c r="M6708">
        <f t="shared" si="2836"/>
        <v>9.5000000000000639E-3</v>
      </c>
      <c r="N6708">
        <f t="shared" si="2814"/>
        <v>1.9000000000000128E-2</v>
      </c>
      <c r="O6708">
        <f t="shared" si="2837"/>
        <v>1.2290000000000001</v>
      </c>
      <c r="P6708">
        <f t="shared" si="2838"/>
        <v>0.36842105263158265</v>
      </c>
      <c r="Q6708" t="str">
        <f t="shared" si="2815"/>
        <v>1.06% | 0.49%</v>
      </c>
      <c r="R6708" t="str">
        <f t="shared" si="2839"/>
        <v>BULLISH</v>
      </c>
      <c r="S6708">
        <f t="shared" si="2840"/>
        <v>1</v>
      </c>
    </row>
    <row r="6709" spans="1:19" hidden="1" x14ac:dyDescent="0.25">
      <c r="A6709" s="5" t="str">
        <f t="shared" si="2828"/>
        <v>44202USD/JPY</v>
      </c>
      <c r="B6709" s="6" t="s">
        <v>20</v>
      </c>
      <c r="C6709" s="6">
        <v>102.61</v>
      </c>
      <c r="D6709" s="6">
        <v>103.7</v>
      </c>
      <c r="E6709" s="6">
        <v>102.74</v>
      </c>
      <c r="F6709" t="str">
        <f t="shared" si="2829"/>
        <v>WED</v>
      </c>
      <c r="G6709" s="1">
        <f t="shared" si="2830"/>
        <v>44202</v>
      </c>
      <c r="H6709" s="2">
        <f t="shared" ca="1" si="2831"/>
        <v>51</v>
      </c>
      <c r="I6709" t="str">
        <f t="shared" si="2832"/>
        <v>USD/JPY</v>
      </c>
      <c r="J6709">
        <f t="shared" si="2833"/>
        <v>102.61</v>
      </c>
      <c r="K6709">
        <f t="shared" si="2834"/>
        <v>103.7</v>
      </c>
      <c r="L6709">
        <f t="shared" si="2835"/>
        <v>103.155</v>
      </c>
      <c r="M6709">
        <f t="shared" si="2836"/>
        <v>0.54500000000000171</v>
      </c>
      <c r="N6709">
        <f t="shared" si="2814"/>
        <v>1.0900000000000034</v>
      </c>
      <c r="O6709">
        <f t="shared" si="2837"/>
        <v>102.74</v>
      </c>
      <c r="P6709">
        <f t="shared" si="2838"/>
        <v>-0.76146788990826597</v>
      </c>
      <c r="Q6709" t="str">
        <f t="shared" si="2815"/>
        <v>0.13% | 0.93%</v>
      </c>
      <c r="R6709" t="str">
        <f t="shared" si="2839"/>
        <v>BEARISH</v>
      </c>
      <c r="S6709">
        <f t="shared" si="2840"/>
        <v>-1</v>
      </c>
    </row>
    <row r="6710" spans="1:19" hidden="1" x14ac:dyDescent="0.25">
      <c r="A6710" s="5" t="str">
        <f t="shared" si="2828"/>
        <v>44202GBP/USD</v>
      </c>
      <c r="B6710" s="6" t="s">
        <v>102</v>
      </c>
      <c r="C6710" s="6">
        <v>1.345</v>
      </c>
      <c r="D6710" s="6">
        <v>1.373</v>
      </c>
      <c r="E6710" s="6">
        <v>1.3620000000000001</v>
      </c>
      <c r="F6710" t="str">
        <f t="shared" si="2829"/>
        <v>WED</v>
      </c>
      <c r="G6710" s="1">
        <f t="shared" si="2830"/>
        <v>44202</v>
      </c>
      <c r="H6710" s="2">
        <f t="shared" ca="1" si="2831"/>
        <v>51</v>
      </c>
      <c r="I6710" t="str">
        <f t="shared" si="2832"/>
        <v>GBP/USD</v>
      </c>
      <c r="J6710">
        <f t="shared" si="2833"/>
        <v>1.345</v>
      </c>
      <c r="K6710">
        <f t="shared" si="2834"/>
        <v>1.373</v>
      </c>
      <c r="L6710">
        <f t="shared" si="2835"/>
        <v>1.359</v>
      </c>
      <c r="M6710">
        <f t="shared" si="2836"/>
        <v>1.4000000000000012E-2</v>
      </c>
      <c r="N6710">
        <f t="shared" si="2814"/>
        <v>2.8000000000000025E-2</v>
      </c>
      <c r="O6710">
        <f t="shared" si="2837"/>
        <v>1.3620000000000001</v>
      </c>
      <c r="P6710">
        <f t="shared" si="2838"/>
        <v>0.21428571428572221</v>
      </c>
      <c r="Q6710" t="str">
        <f t="shared" si="2815"/>
        <v>1.25% | 0.81%</v>
      </c>
      <c r="R6710" t="str">
        <f t="shared" si="2839"/>
        <v>BULLISH</v>
      </c>
      <c r="S6710">
        <f t="shared" si="2840"/>
        <v>1</v>
      </c>
    </row>
    <row r="6711" spans="1:19" hidden="1" x14ac:dyDescent="0.25">
      <c r="A6711" s="5" t="str">
        <f t="shared" si="2828"/>
        <v>44202CAD/USD</v>
      </c>
      <c r="B6711" s="6" t="s">
        <v>244</v>
      </c>
      <c r="C6711" s="6">
        <v>0.78</v>
      </c>
      <c r="D6711" s="6">
        <v>0.79</v>
      </c>
      <c r="E6711" s="6">
        <v>0.78</v>
      </c>
      <c r="F6711" t="str">
        <f t="shared" si="2829"/>
        <v>WED</v>
      </c>
      <c r="G6711" s="1">
        <f t="shared" si="2830"/>
        <v>44202</v>
      </c>
      <c r="H6711" s="2">
        <f t="shared" ca="1" si="2831"/>
        <v>51</v>
      </c>
      <c r="I6711" t="str">
        <f t="shared" si="2832"/>
        <v>CAD/USD</v>
      </c>
      <c r="J6711">
        <f t="shared" si="2833"/>
        <v>0.78</v>
      </c>
      <c r="K6711">
        <f t="shared" si="2834"/>
        <v>0.79</v>
      </c>
      <c r="L6711">
        <f t="shared" si="2835"/>
        <v>0.78500000000000003</v>
      </c>
      <c r="M6711">
        <f t="shared" si="2836"/>
        <v>5.0000000000000044E-3</v>
      </c>
      <c r="N6711">
        <f t="shared" si="2814"/>
        <v>1.0000000000000009E-2</v>
      </c>
      <c r="O6711">
        <f t="shared" si="2837"/>
        <v>0.78</v>
      </c>
      <c r="P6711">
        <f t="shared" si="2838"/>
        <v>-1</v>
      </c>
      <c r="Q6711" t="str">
        <f t="shared" si="2815"/>
        <v>0% | 1.28%</v>
      </c>
      <c r="R6711" t="str">
        <f t="shared" si="2839"/>
        <v>BULLISH</v>
      </c>
      <c r="S6711">
        <f t="shared" si="2840"/>
        <v>1</v>
      </c>
    </row>
    <row r="6712" spans="1:19" hidden="1" x14ac:dyDescent="0.25">
      <c r="A6712" s="5" t="str">
        <f t="shared" si="2828"/>
        <v>44202USD/CHF</v>
      </c>
      <c r="B6712" s="6" t="s">
        <v>76</v>
      </c>
      <c r="C6712" s="6">
        <v>0.87</v>
      </c>
      <c r="D6712" s="6">
        <v>0.89</v>
      </c>
      <c r="E6712" s="6">
        <v>0.87</v>
      </c>
      <c r="F6712" t="str">
        <f t="shared" si="2829"/>
        <v>WED</v>
      </c>
      <c r="G6712" s="1">
        <f t="shared" si="2830"/>
        <v>44202</v>
      </c>
      <c r="H6712" s="2">
        <f t="shared" ca="1" si="2831"/>
        <v>51</v>
      </c>
      <c r="I6712" t="str">
        <f t="shared" si="2832"/>
        <v>USD/CHF</v>
      </c>
      <c r="J6712">
        <f t="shared" si="2833"/>
        <v>0.87</v>
      </c>
      <c r="K6712">
        <f t="shared" si="2834"/>
        <v>0.89</v>
      </c>
      <c r="L6712">
        <f t="shared" si="2835"/>
        <v>0.88</v>
      </c>
      <c r="M6712">
        <f t="shared" si="2836"/>
        <v>1.0000000000000009E-2</v>
      </c>
      <c r="N6712">
        <f t="shared" si="2814"/>
        <v>2.0000000000000018E-2</v>
      </c>
      <c r="O6712">
        <f t="shared" si="2837"/>
        <v>0.87</v>
      </c>
      <c r="P6712">
        <f t="shared" si="2838"/>
        <v>-1</v>
      </c>
      <c r="Q6712" t="str">
        <f t="shared" si="2815"/>
        <v>0% | 2.3%</v>
      </c>
      <c r="R6712" t="str">
        <f t="shared" si="2839"/>
        <v>BEARISH</v>
      </c>
      <c r="S6712">
        <f t="shared" si="2840"/>
        <v>-1</v>
      </c>
    </row>
    <row r="6713" spans="1:19" hidden="1" x14ac:dyDescent="0.25">
      <c r="A6713" s="5" t="str">
        <f t="shared" si="2828"/>
        <v>44202WTIC</v>
      </c>
      <c r="B6713" s="6" t="s">
        <v>158</v>
      </c>
      <c r="C6713" s="6">
        <v>47.04</v>
      </c>
      <c r="D6713" s="6">
        <v>50.69</v>
      </c>
      <c r="E6713" s="6">
        <v>49.93</v>
      </c>
      <c r="F6713" t="str">
        <f t="shared" si="2829"/>
        <v>WED</v>
      </c>
      <c r="G6713" s="1">
        <f t="shared" si="2830"/>
        <v>44202</v>
      </c>
      <c r="H6713" s="2">
        <f t="shared" ca="1" si="2831"/>
        <v>51</v>
      </c>
      <c r="I6713" t="str">
        <f t="shared" si="2832"/>
        <v>WTIC</v>
      </c>
      <c r="J6713">
        <f t="shared" si="2833"/>
        <v>47.04</v>
      </c>
      <c r="K6713">
        <f t="shared" si="2834"/>
        <v>50.69</v>
      </c>
      <c r="L6713">
        <f t="shared" si="2835"/>
        <v>48.864999999999995</v>
      </c>
      <c r="M6713">
        <f t="shared" si="2836"/>
        <v>1.8249999999999993</v>
      </c>
      <c r="N6713">
        <f t="shared" si="2814"/>
        <v>3.6499999999999986</v>
      </c>
      <c r="O6713">
        <f t="shared" si="2837"/>
        <v>49.93</v>
      </c>
      <c r="P6713">
        <f t="shared" si="2838"/>
        <v>0.58356164383561926</v>
      </c>
      <c r="Q6713" t="str">
        <f t="shared" si="2815"/>
        <v>5.79% | 1.52%</v>
      </c>
      <c r="R6713" t="str">
        <f t="shared" si="2839"/>
        <v>BULLISH</v>
      </c>
      <c r="S6713">
        <f t="shared" si="2840"/>
        <v>1</v>
      </c>
    </row>
    <row r="6714" spans="1:19" hidden="1" x14ac:dyDescent="0.25">
      <c r="A6714" s="5" t="str">
        <f t="shared" si="2828"/>
        <v>44202NATGAS</v>
      </c>
      <c r="B6714" s="6" t="s">
        <v>87</v>
      </c>
      <c r="C6714" s="6">
        <v>2.27</v>
      </c>
      <c r="D6714" s="6">
        <v>2.8</v>
      </c>
      <c r="E6714" s="6">
        <v>2.7</v>
      </c>
      <c r="F6714" t="str">
        <f t="shared" si="2829"/>
        <v>WED</v>
      </c>
      <c r="G6714" s="1">
        <f t="shared" si="2830"/>
        <v>44202</v>
      </c>
      <c r="H6714" s="2">
        <f t="shared" ca="1" si="2831"/>
        <v>51</v>
      </c>
      <c r="I6714" t="str">
        <f t="shared" si="2832"/>
        <v>NATGAS</v>
      </c>
      <c r="J6714">
        <f t="shared" si="2833"/>
        <v>2.27</v>
      </c>
      <c r="K6714">
        <f t="shared" si="2834"/>
        <v>2.8</v>
      </c>
      <c r="L6714">
        <f t="shared" si="2835"/>
        <v>2.5350000000000001</v>
      </c>
      <c r="M6714">
        <f t="shared" si="2836"/>
        <v>0.26499999999999785</v>
      </c>
      <c r="N6714">
        <f t="shared" si="2814"/>
        <v>0.5299999999999998</v>
      </c>
      <c r="O6714">
        <f t="shared" si="2837"/>
        <v>2.7</v>
      </c>
      <c r="P6714">
        <f t="shared" si="2838"/>
        <v>0.62264150943396745</v>
      </c>
      <c r="Q6714" t="str">
        <f t="shared" si="2815"/>
        <v>15.93% | 3.7%</v>
      </c>
      <c r="R6714" t="str">
        <f t="shared" si="2839"/>
        <v>NEUTRAL</v>
      </c>
      <c r="S6714">
        <f t="shared" si="2840"/>
        <v>0</v>
      </c>
    </row>
    <row r="6715" spans="1:19" hidden="1" x14ac:dyDescent="0.25">
      <c r="A6715" s="5" t="str">
        <f t="shared" si="2828"/>
        <v>44202GOLD</v>
      </c>
      <c r="B6715" s="6" t="s">
        <v>249</v>
      </c>
      <c r="C6715" s="6">
        <v>1842</v>
      </c>
      <c r="D6715" s="6">
        <v>1965</v>
      </c>
      <c r="E6715" s="6">
        <v>1954</v>
      </c>
      <c r="F6715" t="str">
        <f t="shared" si="2829"/>
        <v>WED</v>
      </c>
      <c r="G6715" s="1">
        <f t="shared" si="2830"/>
        <v>44202</v>
      </c>
      <c r="H6715" s="2">
        <f t="shared" ca="1" si="2831"/>
        <v>51</v>
      </c>
      <c r="I6715" t="str">
        <f t="shared" si="2832"/>
        <v>GOLD</v>
      </c>
      <c r="J6715">
        <f t="shared" si="2833"/>
        <v>1842</v>
      </c>
      <c r="K6715">
        <f t="shared" si="2834"/>
        <v>1965</v>
      </c>
      <c r="L6715">
        <f t="shared" si="2835"/>
        <v>1903.5</v>
      </c>
      <c r="M6715">
        <f t="shared" si="2836"/>
        <v>61.5</v>
      </c>
      <c r="N6715">
        <f t="shared" si="2814"/>
        <v>123</v>
      </c>
      <c r="O6715">
        <f t="shared" si="2837"/>
        <v>1954</v>
      </c>
      <c r="P6715">
        <f t="shared" si="2838"/>
        <v>0.82113821138211385</v>
      </c>
      <c r="Q6715" t="str">
        <f t="shared" si="2815"/>
        <v>5.73% | 0.56%</v>
      </c>
      <c r="R6715" t="str">
        <f t="shared" si="2839"/>
        <v>NEUTRAL</v>
      </c>
      <c r="S6715">
        <f t="shared" si="2840"/>
        <v>0</v>
      </c>
    </row>
    <row r="6716" spans="1:19" hidden="1" x14ac:dyDescent="0.25">
      <c r="A6716" s="5" t="str">
        <f t="shared" si="2828"/>
        <v>44202COPPER</v>
      </c>
      <c r="B6716" s="6" t="s">
        <v>100</v>
      </c>
      <c r="C6716" s="6">
        <v>3.52</v>
      </c>
      <c r="D6716" s="6">
        <v>3.71</v>
      </c>
      <c r="E6716" s="6">
        <v>3.64</v>
      </c>
      <c r="F6716" t="str">
        <f t="shared" si="2829"/>
        <v>WED</v>
      </c>
      <c r="G6716" s="1">
        <f t="shared" si="2830"/>
        <v>44202</v>
      </c>
      <c r="H6716" s="2">
        <f t="shared" ca="1" si="2831"/>
        <v>51</v>
      </c>
      <c r="I6716" t="str">
        <f t="shared" si="2832"/>
        <v>COPPER</v>
      </c>
      <c r="J6716">
        <f t="shared" si="2833"/>
        <v>3.52</v>
      </c>
      <c r="K6716">
        <f t="shared" si="2834"/>
        <v>3.71</v>
      </c>
      <c r="L6716">
        <f t="shared" si="2835"/>
        <v>3.6150000000000002</v>
      </c>
      <c r="M6716">
        <f t="shared" si="2836"/>
        <v>9.4999999999999973E-2</v>
      </c>
      <c r="N6716">
        <f t="shared" si="2814"/>
        <v>0.18999999999999995</v>
      </c>
      <c r="O6716">
        <f t="shared" si="2837"/>
        <v>3.64</v>
      </c>
      <c r="P6716">
        <f t="shared" si="2838"/>
        <v>0.26315789473684126</v>
      </c>
      <c r="Q6716" t="str">
        <f t="shared" si="2815"/>
        <v>3.3% | 1.92%</v>
      </c>
      <c r="R6716" t="str">
        <f t="shared" si="2839"/>
        <v>BULLISH</v>
      </c>
      <c r="S6716">
        <f t="shared" si="2840"/>
        <v>1</v>
      </c>
    </row>
    <row r="6717" spans="1:19" hidden="1" x14ac:dyDescent="0.25">
      <c r="A6717" s="5" t="str">
        <f t="shared" si="2828"/>
        <v>44202MSFT</v>
      </c>
      <c r="B6717" s="6" t="s">
        <v>27</v>
      </c>
      <c r="C6717" s="6">
        <v>216</v>
      </c>
      <c r="D6717" s="6">
        <v>227</v>
      </c>
      <c r="E6717" s="6">
        <v>217</v>
      </c>
      <c r="F6717" t="str">
        <f t="shared" si="2829"/>
        <v>WED</v>
      </c>
      <c r="G6717" s="1">
        <f t="shared" si="2830"/>
        <v>44202</v>
      </c>
      <c r="H6717" s="2">
        <f t="shared" ca="1" si="2831"/>
        <v>51</v>
      </c>
      <c r="I6717" t="str">
        <f t="shared" si="2832"/>
        <v>MSFT</v>
      </c>
      <c r="J6717">
        <f t="shared" si="2833"/>
        <v>216</v>
      </c>
      <c r="K6717">
        <f t="shared" si="2834"/>
        <v>227</v>
      </c>
      <c r="L6717">
        <f t="shared" si="2835"/>
        <v>221.5</v>
      </c>
      <c r="M6717">
        <f t="shared" si="2836"/>
        <v>5.5</v>
      </c>
      <c r="N6717">
        <f t="shared" si="2814"/>
        <v>11</v>
      </c>
      <c r="O6717">
        <f t="shared" si="2837"/>
        <v>217</v>
      </c>
      <c r="P6717">
        <f t="shared" si="2838"/>
        <v>-0.81818181818181823</v>
      </c>
      <c r="Q6717" t="str">
        <f t="shared" si="2815"/>
        <v>0.46% | 4.61%</v>
      </c>
      <c r="R6717" t="str">
        <f t="shared" si="2839"/>
        <v>BULLISH</v>
      </c>
      <c r="S6717">
        <f t="shared" si="2840"/>
        <v>1</v>
      </c>
    </row>
    <row r="6718" spans="1:19" hidden="1" x14ac:dyDescent="0.25">
      <c r="A6718" s="5" t="str">
        <f t="shared" si="2828"/>
        <v>44202AAPL</v>
      </c>
      <c r="B6718" s="6" t="s">
        <v>28</v>
      </c>
      <c r="C6718" s="6">
        <v>128</v>
      </c>
      <c r="D6718" s="6">
        <v>138</v>
      </c>
      <c r="E6718" s="6">
        <v>131</v>
      </c>
      <c r="F6718" t="str">
        <f t="shared" si="2829"/>
        <v>WED</v>
      </c>
      <c r="G6718" s="1">
        <f t="shared" si="2830"/>
        <v>44202</v>
      </c>
      <c r="H6718" s="2">
        <f t="shared" ca="1" si="2831"/>
        <v>51</v>
      </c>
      <c r="I6718" t="str">
        <f t="shared" si="2832"/>
        <v>AAPL</v>
      </c>
      <c r="J6718">
        <f t="shared" si="2833"/>
        <v>128</v>
      </c>
      <c r="K6718">
        <f t="shared" si="2834"/>
        <v>138</v>
      </c>
      <c r="L6718">
        <f t="shared" si="2835"/>
        <v>133</v>
      </c>
      <c r="M6718">
        <f t="shared" si="2836"/>
        <v>5</v>
      </c>
      <c r="N6718">
        <f t="shared" si="2814"/>
        <v>10</v>
      </c>
      <c r="O6718">
        <f t="shared" si="2837"/>
        <v>131</v>
      </c>
      <c r="P6718">
        <f t="shared" si="2838"/>
        <v>-0.4</v>
      </c>
      <c r="Q6718" t="str">
        <f t="shared" si="2815"/>
        <v>2.29% | 5.34%</v>
      </c>
      <c r="R6718" t="str">
        <f t="shared" si="2839"/>
        <v>BULLISH</v>
      </c>
      <c r="S6718">
        <f t="shared" si="2840"/>
        <v>1</v>
      </c>
    </row>
    <row r="6719" spans="1:19" hidden="1" x14ac:dyDescent="0.25">
      <c r="A6719" s="5" t="str">
        <f t="shared" si="2828"/>
        <v>44202AMZN</v>
      </c>
      <c r="B6719" s="6" t="s">
        <v>29</v>
      </c>
      <c r="C6719" s="6">
        <v>3153</v>
      </c>
      <c r="D6719" s="6">
        <v>3346</v>
      </c>
      <c r="E6719" s="6">
        <v>3218</v>
      </c>
      <c r="F6719" t="str">
        <f t="shared" si="2829"/>
        <v>WED</v>
      </c>
      <c r="G6719" s="1">
        <f t="shared" si="2830"/>
        <v>44202</v>
      </c>
      <c r="H6719" s="2">
        <f t="shared" ca="1" si="2831"/>
        <v>51</v>
      </c>
      <c r="I6719" t="str">
        <f t="shared" si="2832"/>
        <v>AMZN</v>
      </c>
      <c r="J6719">
        <f t="shared" si="2833"/>
        <v>3153</v>
      </c>
      <c r="K6719">
        <f t="shared" si="2834"/>
        <v>3346</v>
      </c>
      <c r="L6719">
        <f t="shared" si="2835"/>
        <v>3249.5</v>
      </c>
      <c r="M6719">
        <f t="shared" si="2836"/>
        <v>96.5</v>
      </c>
      <c r="N6719">
        <f t="shared" si="2814"/>
        <v>193</v>
      </c>
      <c r="O6719">
        <f t="shared" si="2837"/>
        <v>3218</v>
      </c>
      <c r="P6719">
        <f t="shared" si="2838"/>
        <v>-0.32642487046632124</v>
      </c>
      <c r="Q6719" t="str">
        <f t="shared" si="2815"/>
        <v>2.02% | 3.98%</v>
      </c>
      <c r="R6719" t="str">
        <f t="shared" si="2839"/>
        <v>BULLISH</v>
      </c>
      <c r="S6719">
        <f t="shared" si="2840"/>
        <v>1</v>
      </c>
    </row>
    <row r="6720" spans="1:19" hidden="1" x14ac:dyDescent="0.25">
      <c r="A6720" s="5" t="str">
        <f t="shared" si="2828"/>
        <v>44202FB</v>
      </c>
      <c r="B6720" s="6" t="s">
        <v>157</v>
      </c>
      <c r="C6720" s="6">
        <v>263</v>
      </c>
      <c r="D6720" s="6">
        <v>280</v>
      </c>
      <c r="E6720" s="6">
        <v>270</v>
      </c>
      <c r="F6720" t="str">
        <f t="shared" si="2829"/>
        <v>WED</v>
      </c>
      <c r="G6720" s="1">
        <f t="shared" si="2830"/>
        <v>44202</v>
      </c>
      <c r="H6720" s="2">
        <f t="shared" ca="1" si="2831"/>
        <v>51</v>
      </c>
      <c r="I6720" t="str">
        <f t="shared" si="2832"/>
        <v>FB</v>
      </c>
      <c r="J6720">
        <f t="shared" si="2833"/>
        <v>263</v>
      </c>
      <c r="K6720">
        <f t="shared" si="2834"/>
        <v>280</v>
      </c>
      <c r="L6720">
        <f t="shared" si="2835"/>
        <v>271.5</v>
      </c>
      <c r="M6720">
        <f t="shared" si="2836"/>
        <v>8.5</v>
      </c>
      <c r="N6720">
        <f t="shared" si="2814"/>
        <v>17</v>
      </c>
      <c r="O6720">
        <f t="shared" si="2837"/>
        <v>270</v>
      </c>
      <c r="P6720">
        <f t="shared" si="2838"/>
        <v>-0.17647058823529413</v>
      </c>
      <c r="Q6720" t="str">
        <f t="shared" si="2815"/>
        <v>2.59% | 3.7%</v>
      </c>
      <c r="R6720" t="str">
        <f t="shared" si="2839"/>
        <v>NEUTRAL</v>
      </c>
      <c r="S6720">
        <f t="shared" si="2840"/>
        <v>0</v>
      </c>
    </row>
    <row r="6721" spans="1:19" hidden="1" x14ac:dyDescent="0.25">
      <c r="A6721" s="5" t="str">
        <f t="shared" si="2828"/>
        <v>44202GOOGL</v>
      </c>
      <c r="B6721" s="6" t="s">
        <v>31</v>
      </c>
      <c r="C6721" s="6">
        <v>1705</v>
      </c>
      <c r="D6721" s="6">
        <v>1775</v>
      </c>
      <c r="E6721" s="6">
        <v>1740</v>
      </c>
      <c r="F6721" t="str">
        <f t="shared" si="2829"/>
        <v>WED</v>
      </c>
      <c r="G6721" s="1">
        <f t="shared" si="2830"/>
        <v>44202</v>
      </c>
      <c r="H6721" s="2">
        <f t="shared" ca="1" si="2831"/>
        <v>51</v>
      </c>
      <c r="I6721" t="str">
        <f t="shared" si="2832"/>
        <v>GOOGL</v>
      </c>
      <c r="J6721">
        <f t="shared" si="2833"/>
        <v>1705</v>
      </c>
      <c r="K6721">
        <f t="shared" si="2834"/>
        <v>1775</v>
      </c>
      <c r="L6721">
        <f t="shared" si="2835"/>
        <v>1740</v>
      </c>
      <c r="M6721">
        <f t="shared" si="2836"/>
        <v>35</v>
      </c>
      <c r="N6721">
        <f t="shared" si="2814"/>
        <v>70</v>
      </c>
      <c r="O6721">
        <f t="shared" si="2837"/>
        <v>1740</v>
      </c>
      <c r="P6721">
        <f t="shared" si="2838"/>
        <v>0</v>
      </c>
      <c r="Q6721" t="str">
        <f t="shared" si="2815"/>
        <v>2.01% | 2.01%</v>
      </c>
      <c r="R6721" t="str">
        <f t="shared" si="2839"/>
        <v>BULLISH</v>
      </c>
      <c r="S6721">
        <f t="shared" si="2840"/>
        <v>1</v>
      </c>
    </row>
    <row r="6722" spans="1:19" hidden="1" x14ac:dyDescent="0.25">
      <c r="A6722" s="5" t="str">
        <f t="shared" si="2828"/>
        <v>44202NFLX</v>
      </c>
      <c r="B6722" s="6" t="s">
        <v>32</v>
      </c>
      <c r="C6722" s="6">
        <v>507</v>
      </c>
      <c r="D6722" s="6">
        <v>540</v>
      </c>
      <c r="E6722" s="6">
        <v>520</v>
      </c>
      <c r="F6722" t="str">
        <f t="shared" si="2829"/>
        <v>WED</v>
      </c>
      <c r="G6722" s="1">
        <f t="shared" si="2830"/>
        <v>44202</v>
      </c>
      <c r="H6722" s="2">
        <f t="shared" ca="1" si="2831"/>
        <v>51</v>
      </c>
      <c r="I6722" t="str">
        <f t="shared" si="2832"/>
        <v>NFLX</v>
      </c>
      <c r="J6722">
        <f t="shared" si="2833"/>
        <v>507</v>
      </c>
      <c r="K6722">
        <f t="shared" si="2834"/>
        <v>540</v>
      </c>
      <c r="L6722">
        <f t="shared" si="2835"/>
        <v>523.5</v>
      </c>
      <c r="M6722">
        <f t="shared" si="2836"/>
        <v>16.5</v>
      </c>
      <c r="N6722">
        <f t="shared" si="2814"/>
        <v>33</v>
      </c>
      <c r="O6722">
        <f t="shared" si="2837"/>
        <v>520</v>
      </c>
      <c r="P6722">
        <f t="shared" si="2838"/>
        <v>-0.21212121212121213</v>
      </c>
      <c r="Q6722" t="str">
        <f t="shared" si="2815"/>
        <v>2.5% | 3.85%</v>
      </c>
      <c r="R6722" t="str">
        <f t="shared" si="2839"/>
        <v>BULLISH</v>
      </c>
      <c r="S6722">
        <f t="shared" si="2840"/>
        <v>1</v>
      </c>
    </row>
    <row r="6723" spans="1:19" x14ac:dyDescent="0.25">
      <c r="A6723" s="5" t="str">
        <f t="shared" si="2828"/>
        <v>44202TSLA</v>
      </c>
      <c r="B6723" s="6" t="s">
        <v>33</v>
      </c>
      <c r="C6723" s="6">
        <v>672</v>
      </c>
      <c r="D6723" s="6">
        <v>751</v>
      </c>
      <c r="E6723" s="6">
        <v>735</v>
      </c>
      <c r="F6723" t="str">
        <f t="shared" si="2829"/>
        <v>WED</v>
      </c>
      <c r="G6723" s="1">
        <f t="shared" si="2830"/>
        <v>44202</v>
      </c>
      <c r="H6723" s="2">
        <f t="shared" ca="1" si="2831"/>
        <v>51</v>
      </c>
      <c r="I6723" t="str">
        <f t="shared" si="2832"/>
        <v>TSLA</v>
      </c>
      <c r="J6723">
        <f t="shared" si="2833"/>
        <v>672</v>
      </c>
      <c r="K6723">
        <f t="shared" si="2834"/>
        <v>751</v>
      </c>
      <c r="L6723">
        <f t="shared" si="2835"/>
        <v>711.5</v>
      </c>
      <c r="M6723">
        <f t="shared" si="2836"/>
        <v>39.5</v>
      </c>
      <c r="N6723">
        <f t="shared" ref="N6723:N6786" si="2841">ABS(K6723-J6723)</f>
        <v>79</v>
      </c>
      <c r="O6723">
        <f t="shared" si="2837"/>
        <v>735</v>
      </c>
      <c r="P6723">
        <f t="shared" si="2838"/>
        <v>0.59493670886075944</v>
      </c>
      <c r="Q6723" t="str">
        <f t="shared" ref="Q6723:Q6786" si="2842">ROUND(ABS(100*(O6723-J6723)/O6723),2)&amp;"% | "&amp;ROUND(ABS(100*(K6723-O6723)/O6723),2)&amp;"%"</f>
        <v>8.57% | 2.18%</v>
      </c>
      <c r="R6723" t="str">
        <f t="shared" si="2839"/>
        <v>BULLISH</v>
      </c>
      <c r="S6723">
        <f t="shared" si="2840"/>
        <v>1</v>
      </c>
    </row>
    <row r="6724" spans="1:19" hidden="1" x14ac:dyDescent="0.25">
      <c r="A6724" s="5" t="str">
        <f t="shared" si="2828"/>
        <v>44202NYXBT</v>
      </c>
      <c r="B6724" s="6" t="s">
        <v>60</v>
      </c>
      <c r="C6724" s="6">
        <v>28176</v>
      </c>
      <c r="D6724" s="6">
        <v>35495</v>
      </c>
      <c r="E6724" s="6">
        <v>32053</v>
      </c>
      <c r="F6724" t="str">
        <f t="shared" si="2829"/>
        <v>WED</v>
      </c>
      <c r="G6724" s="1">
        <f t="shared" si="2830"/>
        <v>44202</v>
      </c>
      <c r="H6724" s="2">
        <f t="shared" ca="1" si="2831"/>
        <v>51</v>
      </c>
      <c r="I6724" t="str">
        <f t="shared" si="2832"/>
        <v>NYXBT</v>
      </c>
      <c r="J6724">
        <f t="shared" si="2833"/>
        <v>28176</v>
      </c>
      <c r="K6724">
        <f t="shared" si="2834"/>
        <v>35495</v>
      </c>
      <c r="L6724">
        <f t="shared" si="2835"/>
        <v>31835.5</v>
      </c>
      <c r="M6724">
        <f t="shared" si="2836"/>
        <v>3659.5</v>
      </c>
      <c r="N6724">
        <f t="shared" si="2841"/>
        <v>7319</v>
      </c>
      <c r="O6724">
        <f t="shared" si="2837"/>
        <v>32053</v>
      </c>
      <c r="P6724">
        <f t="shared" si="2838"/>
        <v>5.9434348954775243E-2</v>
      </c>
      <c r="Q6724" t="str">
        <f t="shared" si="2842"/>
        <v>12.1% | 10.74%</v>
      </c>
      <c r="R6724" t="str">
        <f t="shared" si="2839"/>
        <v>BULLISH</v>
      </c>
      <c r="S6724">
        <f t="shared" si="2840"/>
        <v>1</v>
      </c>
    </row>
    <row r="6725" spans="1:19" hidden="1" x14ac:dyDescent="0.25">
      <c r="A6725" s="5" t="str">
        <f t="shared" si="2828"/>
        <v>44203UST10Y</v>
      </c>
      <c r="B6725" s="6" t="s">
        <v>257</v>
      </c>
      <c r="C6725" s="6">
        <v>1.07</v>
      </c>
      <c r="D6725" s="6">
        <v>0.93</v>
      </c>
      <c r="E6725" s="6">
        <v>1.04</v>
      </c>
      <c r="F6725" t="str">
        <f t="shared" si="2829"/>
        <v>THU</v>
      </c>
      <c r="G6725" s="3">
        <f>DATE(2021,1,7)</f>
        <v>44203</v>
      </c>
      <c r="H6725" s="2">
        <f t="shared" ca="1" si="2831"/>
        <v>50</v>
      </c>
      <c r="I6725" t="str">
        <f t="shared" si="2832"/>
        <v>UST10Y</v>
      </c>
      <c r="J6725">
        <f t="shared" si="2833"/>
        <v>1.07</v>
      </c>
      <c r="K6725">
        <f t="shared" si="2834"/>
        <v>0.93</v>
      </c>
      <c r="L6725">
        <f t="shared" si="2835"/>
        <v>1</v>
      </c>
      <c r="M6725">
        <f t="shared" si="2836"/>
        <v>7.0000000000000007E-2</v>
      </c>
      <c r="N6725">
        <f t="shared" si="2841"/>
        <v>0.14000000000000001</v>
      </c>
      <c r="O6725">
        <f t="shared" si="2837"/>
        <v>1.04</v>
      </c>
      <c r="P6725">
        <f t="shared" si="2838"/>
        <v>0.57142857142857184</v>
      </c>
      <c r="Q6725" t="str">
        <f t="shared" si="2842"/>
        <v>2.88% | 10.58%</v>
      </c>
      <c r="R6725" t="str">
        <f t="shared" si="2839"/>
        <v>BULLISH</v>
      </c>
      <c r="S6725">
        <f t="shared" si="2840"/>
        <v>1</v>
      </c>
    </row>
    <row r="6726" spans="1:19" hidden="1" x14ac:dyDescent="0.25">
      <c r="A6726" s="5" t="str">
        <f t="shared" si="2828"/>
        <v>44203UST2Y</v>
      </c>
      <c r="B6726" s="6" t="s">
        <v>253</v>
      </c>
      <c r="C6726" s="6">
        <v>0.16</v>
      </c>
      <c r="D6726" s="6">
        <v>0.12</v>
      </c>
      <c r="E6726" s="6">
        <v>0.14000000000000001</v>
      </c>
      <c r="F6726" t="str">
        <f t="shared" ref="F6726:F6757" si="2843">UPPER(TEXT(G6726,"ddd"))</f>
        <v>THU</v>
      </c>
      <c r="G6726" s="3">
        <f t="shared" ref="G6726:G6756" si="2844">DATE(2021,1,7)</f>
        <v>44203</v>
      </c>
      <c r="H6726" s="2">
        <f t="shared" ref="H6726:H6757" ca="1" si="2845">TODAY()-G6726</f>
        <v>50</v>
      </c>
      <c r="I6726" t="str">
        <f t="shared" ref="I6726:I6757" si="2846">TRIM(LEFT(B6726,FIND(" ",B6726,1)))</f>
        <v>UST2Y</v>
      </c>
      <c r="J6726">
        <f t="shared" ref="J6726:J6757" si="2847">C6726</f>
        <v>0.16</v>
      </c>
      <c r="K6726">
        <f t="shared" ref="K6726:K6757" si="2848">D6726</f>
        <v>0.12</v>
      </c>
      <c r="L6726">
        <f t="shared" ref="L6726:L6757" si="2849">AVERAGE(J6726:K6726)</f>
        <v>0.14000000000000001</v>
      </c>
      <c r="M6726">
        <f t="shared" ref="M6726:M6757" si="2850">_xlfn.STDEV.P(J6726:K6726)</f>
        <v>1.9999999999999938E-2</v>
      </c>
      <c r="N6726">
        <f t="shared" si="2841"/>
        <v>4.0000000000000008E-2</v>
      </c>
      <c r="O6726">
        <f t="shared" ref="O6726:O6757" si="2851">E6726</f>
        <v>0.14000000000000001</v>
      </c>
      <c r="P6726">
        <f t="shared" ref="P6726:P6757" si="2852">(O6726-L6726)/M6726</f>
        <v>0</v>
      </c>
      <c r="Q6726" t="str">
        <f t="shared" si="2842"/>
        <v>14.29% | 14.29%</v>
      </c>
      <c r="R6726" t="str">
        <f t="shared" ref="R6726:R6757" si="2853">MID(B6726,FIND("(",B6726,1)+1,FIND(")",B6726,1)-FIND("(",B6726,1)-1)</f>
        <v>NEUTRAL</v>
      </c>
      <c r="S6726">
        <f t="shared" ref="S6726:S6757" si="2854">IF(R6726="BEARISH",-1,IF(R6726="NEUTRAL",0,IF(R6726="BULLISH",1,99)))</f>
        <v>0</v>
      </c>
    </row>
    <row r="6727" spans="1:19" hidden="1" x14ac:dyDescent="0.25">
      <c r="A6727" s="5" t="str">
        <f t="shared" si="2828"/>
        <v>44203SPX</v>
      </c>
      <c r="B6727" s="6" t="s">
        <v>93</v>
      </c>
      <c r="C6727" s="6">
        <v>3680</v>
      </c>
      <c r="D6727" s="6">
        <v>3776</v>
      </c>
      <c r="E6727" s="6">
        <v>3748</v>
      </c>
      <c r="F6727" t="str">
        <f t="shared" si="2843"/>
        <v>THU</v>
      </c>
      <c r="G6727" s="3">
        <f t="shared" si="2844"/>
        <v>44203</v>
      </c>
      <c r="H6727" s="2">
        <f t="shared" ca="1" si="2845"/>
        <v>50</v>
      </c>
      <c r="I6727" t="str">
        <f t="shared" si="2846"/>
        <v>SPX</v>
      </c>
      <c r="J6727">
        <f t="shared" si="2847"/>
        <v>3680</v>
      </c>
      <c r="K6727">
        <f t="shared" si="2848"/>
        <v>3776</v>
      </c>
      <c r="L6727">
        <f t="shared" si="2849"/>
        <v>3728</v>
      </c>
      <c r="M6727">
        <f t="shared" si="2850"/>
        <v>48</v>
      </c>
      <c r="N6727">
        <f t="shared" si="2841"/>
        <v>96</v>
      </c>
      <c r="O6727">
        <f t="shared" si="2851"/>
        <v>3748</v>
      </c>
      <c r="P6727">
        <f t="shared" si="2852"/>
        <v>0.41666666666666669</v>
      </c>
      <c r="Q6727" t="str">
        <f t="shared" si="2842"/>
        <v>1.81% | 0.75%</v>
      </c>
      <c r="R6727" t="str">
        <f t="shared" si="2853"/>
        <v>BULLISH</v>
      </c>
      <c r="S6727">
        <f t="shared" si="2854"/>
        <v>1</v>
      </c>
    </row>
    <row r="6728" spans="1:19" hidden="1" x14ac:dyDescent="0.25">
      <c r="A6728" s="5" t="str">
        <f t="shared" ref="A6728:A6791" si="2855">G6728&amp;I6728</f>
        <v>44203RUT</v>
      </c>
      <c r="B6728" s="6" t="s">
        <v>247</v>
      </c>
      <c r="C6728" s="6">
        <v>1987</v>
      </c>
      <c r="D6728" s="6">
        <v>2068</v>
      </c>
      <c r="E6728" s="6">
        <v>2057</v>
      </c>
      <c r="F6728" t="str">
        <f t="shared" si="2843"/>
        <v>THU</v>
      </c>
      <c r="G6728" s="3">
        <f t="shared" si="2844"/>
        <v>44203</v>
      </c>
      <c r="H6728" s="2">
        <f t="shared" ca="1" si="2845"/>
        <v>50</v>
      </c>
      <c r="I6728" t="str">
        <f t="shared" si="2846"/>
        <v>RUT</v>
      </c>
      <c r="J6728">
        <f t="shared" si="2847"/>
        <v>1987</v>
      </c>
      <c r="K6728">
        <f t="shared" si="2848"/>
        <v>2068</v>
      </c>
      <c r="L6728">
        <f t="shared" si="2849"/>
        <v>2027.5</v>
      </c>
      <c r="M6728">
        <f t="shared" si="2850"/>
        <v>40.5</v>
      </c>
      <c r="N6728">
        <f t="shared" si="2841"/>
        <v>81</v>
      </c>
      <c r="O6728">
        <f t="shared" si="2851"/>
        <v>2057</v>
      </c>
      <c r="P6728">
        <f t="shared" si="2852"/>
        <v>0.72839506172839508</v>
      </c>
      <c r="Q6728" t="str">
        <f t="shared" si="2842"/>
        <v>3.4% | 0.53%</v>
      </c>
      <c r="R6728" t="str">
        <f t="shared" si="2853"/>
        <v>BULLISH</v>
      </c>
      <c r="S6728">
        <f t="shared" si="2854"/>
        <v>1</v>
      </c>
    </row>
    <row r="6729" spans="1:19" hidden="1" x14ac:dyDescent="0.25">
      <c r="A6729" s="5" t="str">
        <f t="shared" si="2855"/>
        <v>44203COMPQ</v>
      </c>
      <c r="B6729" s="6" t="s">
        <v>8</v>
      </c>
      <c r="C6729" s="6">
        <v>12666</v>
      </c>
      <c r="D6729" s="6">
        <v>12955</v>
      </c>
      <c r="E6729" s="6">
        <v>12740</v>
      </c>
      <c r="F6729" t="str">
        <f t="shared" si="2843"/>
        <v>THU</v>
      </c>
      <c r="G6729" s="3">
        <f t="shared" si="2844"/>
        <v>44203</v>
      </c>
      <c r="H6729" s="2">
        <f t="shared" ca="1" si="2845"/>
        <v>50</v>
      </c>
      <c r="I6729" t="str">
        <f t="shared" si="2846"/>
        <v>COMPQ</v>
      </c>
      <c r="J6729">
        <f t="shared" si="2847"/>
        <v>12666</v>
      </c>
      <c r="K6729">
        <f t="shared" si="2848"/>
        <v>12955</v>
      </c>
      <c r="L6729">
        <f t="shared" si="2849"/>
        <v>12810.5</v>
      </c>
      <c r="M6729">
        <f t="shared" si="2850"/>
        <v>144.5</v>
      </c>
      <c r="N6729">
        <f t="shared" si="2841"/>
        <v>289</v>
      </c>
      <c r="O6729">
        <f t="shared" si="2851"/>
        <v>12740</v>
      </c>
      <c r="P6729">
        <f t="shared" si="2852"/>
        <v>-0.48788927335640137</v>
      </c>
      <c r="Q6729" t="str">
        <f t="shared" si="2842"/>
        <v>0.58% | 1.69%</v>
      </c>
      <c r="R6729" t="str">
        <f t="shared" si="2853"/>
        <v>BULLISH</v>
      </c>
      <c r="S6729">
        <f t="shared" si="2854"/>
        <v>1</v>
      </c>
    </row>
    <row r="6730" spans="1:19" hidden="1" x14ac:dyDescent="0.25">
      <c r="A6730" s="5" t="str">
        <f t="shared" si="2855"/>
        <v>44203XLK</v>
      </c>
      <c r="B6730" s="6" t="s">
        <v>10</v>
      </c>
      <c r="C6730" s="6">
        <v>126.11</v>
      </c>
      <c r="D6730" s="6">
        <v>131.4</v>
      </c>
      <c r="E6730" s="6">
        <v>126.51</v>
      </c>
      <c r="F6730" t="str">
        <f t="shared" si="2843"/>
        <v>THU</v>
      </c>
      <c r="G6730" s="3">
        <f t="shared" si="2844"/>
        <v>44203</v>
      </c>
      <c r="H6730" s="2">
        <f t="shared" ca="1" si="2845"/>
        <v>50</v>
      </c>
      <c r="I6730" t="str">
        <f t="shared" si="2846"/>
        <v>XLK</v>
      </c>
      <c r="J6730">
        <f t="shared" si="2847"/>
        <v>126.11</v>
      </c>
      <c r="K6730">
        <f t="shared" si="2848"/>
        <v>131.4</v>
      </c>
      <c r="L6730">
        <f t="shared" si="2849"/>
        <v>128.755</v>
      </c>
      <c r="M6730">
        <f t="shared" si="2850"/>
        <v>2.6450000000000031</v>
      </c>
      <c r="N6730">
        <f t="shared" si="2841"/>
        <v>5.2900000000000063</v>
      </c>
      <c r="O6730">
        <f t="shared" si="2851"/>
        <v>126.51</v>
      </c>
      <c r="P6730">
        <f t="shared" si="2852"/>
        <v>-0.84877126654063806</v>
      </c>
      <c r="Q6730" t="str">
        <f t="shared" si="2842"/>
        <v>0.32% | 3.87%</v>
      </c>
      <c r="R6730" t="str">
        <f t="shared" si="2853"/>
        <v>BULLISH</v>
      </c>
      <c r="S6730">
        <f t="shared" si="2854"/>
        <v>1</v>
      </c>
    </row>
    <row r="6731" spans="1:19" hidden="1" x14ac:dyDescent="0.25">
      <c r="A6731" s="5" t="str">
        <f t="shared" si="2855"/>
        <v>44203XLE</v>
      </c>
      <c r="B6731" s="6" t="s">
        <v>250</v>
      </c>
      <c r="C6731" s="6">
        <v>37.1</v>
      </c>
      <c r="D6731" s="6">
        <v>41.51</v>
      </c>
      <c r="E6731" s="6">
        <v>40.869999999999997</v>
      </c>
      <c r="F6731" t="str">
        <f t="shared" si="2843"/>
        <v>THU</v>
      </c>
      <c r="G6731" s="3">
        <f t="shared" si="2844"/>
        <v>44203</v>
      </c>
      <c r="H6731" s="2">
        <f t="shared" ca="1" si="2845"/>
        <v>50</v>
      </c>
      <c r="I6731" t="str">
        <f t="shared" si="2846"/>
        <v>XLE</v>
      </c>
      <c r="J6731">
        <f t="shared" si="2847"/>
        <v>37.1</v>
      </c>
      <c r="K6731">
        <f t="shared" si="2848"/>
        <v>41.51</v>
      </c>
      <c r="L6731">
        <f t="shared" si="2849"/>
        <v>39.305</v>
      </c>
      <c r="M6731">
        <f t="shared" si="2850"/>
        <v>2.2049999999999983</v>
      </c>
      <c r="N6731">
        <f t="shared" si="2841"/>
        <v>4.4099999999999966</v>
      </c>
      <c r="O6731">
        <f t="shared" si="2851"/>
        <v>40.869999999999997</v>
      </c>
      <c r="P6731">
        <f t="shared" si="2852"/>
        <v>0.70975056689342353</v>
      </c>
      <c r="Q6731" t="str">
        <f t="shared" si="2842"/>
        <v>9.22% | 1.57%</v>
      </c>
      <c r="R6731" t="str">
        <f t="shared" si="2853"/>
        <v>BULLISH</v>
      </c>
      <c r="S6731">
        <f t="shared" si="2854"/>
        <v>1</v>
      </c>
    </row>
    <row r="6732" spans="1:19" hidden="1" x14ac:dyDescent="0.25">
      <c r="A6732" s="5" t="str">
        <f t="shared" si="2855"/>
        <v>44203XLF</v>
      </c>
      <c r="B6732" s="6" t="s">
        <v>258</v>
      </c>
      <c r="C6732" s="6">
        <v>28.61</v>
      </c>
      <c r="D6732" s="6">
        <v>31.19</v>
      </c>
      <c r="E6732" s="6">
        <v>30.5</v>
      </c>
      <c r="F6732" t="str">
        <f t="shared" si="2843"/>
        <v>THU</v>
      </c>
      <c r="G6732" s="3">
        <f t="shared" si="2844"/>
        <v>44203</v>
      </c>
      <c r="H6732" s="2">
        <f t="shared" ca="1" si="2845"/>
        <v>50</v>
      </c>
      <c r="I6732" t="str">
        <f t="shared" si="2846"/>
        <v>XLF</v>
      </c>
      <c r="J6732">
        <f t="shared" si="2847"/>
        <v>28.61</v>
      </c>
      <c r="K6732">
        <f t="shared" si="2848"/>
        <v>31.19</v>
      </c>
      <c r="L6732">
        <f t="shared" si="2849"/>
        <v>29.9</v>
      </c>
      <c r="M6732">
        <f t="shared" si="2850"/>
        <v>1.2900000000000009</v>
      </c>
      <c r="N6732">
        <f t="shared" si="2841"/>
        <v>2.5800000000000018</v>
      </c>
      <c r="O6732">
        <f t="shared" si="2851"/>
        <v>30.5</v>
      </c>
      <c r="P6732">
        <f t="shared" si="2852"/>
        <v>0.46511627906976821</v>
      </c>
      <c r="Q6732" t="str">
        <f t="shared" si="2842"/>
        <v>6.2% | 2.26%</v>
      </c>
      <c r="R6732" t="str">
        <f t="shared" si="2853"/>
        <v>BULLISH</v>
      </c>
      <c r="S6732">
        <f t="shared" si="2854"/>
        <v>1</v>
      </c>
    </row>
    <row r="6733" spans="1:19" hidden="1" x14ac:dyDescent="0.25">
      <c r="A6733" s="5" t="str">
        <f t="shared" si="2855"/>
        <v>44203XLU</v>
      </c>
      <c r="B6733" s="6" t="s">
        <v>82</v>
      </c>
      <c r="C6733" s="6">
        <v>60.22</v>
      </c>
      <c r="D6733" s="6">
        <v>62.96</v>
      </c>
      <c r="E6733" s="6">
        <v>62.63</v>
      </c>
      <c r="F6733" t="str">
        <f t="shared" si="2843"/>
        <v>THU</v>
      </c>
      <c r="G6733" s="3">
        <f t="shared" si="2844"/>
        <v>44203</v>
      </c>
      <c r="H6733" s="2">
        <f t="shared" ca="1" si="2845"/>
        <v>50</v>
      </c>
      <c r="I6733" t="str">
        <f t="shared" si="2846"/>
        <v>XLU</v>
      </c>
      <c r="J6733">
        <f t="shared" si="2847"/>
        <v>60.22</v>
      </c>
      <c r="K6733">
        <f t="shared" si="2848"/>
        <v>62.96</v>
      </c>
      <c r="L6733">
        <f t="shared" si="2849"/>
        <v>61.59</v>
      </c>
      <c r="M6733">
        <f t="shared" si="2850"/>
        <v>1.370000000000001</v>
      </c>
      <c r="N6733">
        <f t="shared" si="2841"/>
        <v>2.740000000000002</v>
      </c>
      <c r="O6733">
        <f t="shared" si="2851"/>
        <v>62.63</v>
      </c>
      <c r="P6733">
        <f t="shared" si="2852"/>
        <v>0.75912408759123973</v>
      </c>
      <c r="Q6733" t="str">
        <f t="shared" si="2842"/>
        <v>3.85% | 0.53%</v>
      </c>
      <c r="R6733" t="str">
        <f t="shared" si="2853"/>
        <v>BEARISH</v>
      </c>
      <c r="S6733">
        <f t="shared" si="2854"/>
        <v>-1</v>
      </c>
    </row>
    <row r="6734" spans="1:19" hidden="1" x14ac:dyDescent="0.25">
      <c r="A6734" s="5" t="str">
        <f t="shared" si="2855"/>
        <v>44203GDX</v>
      </c>
      <c r="B6734" s="6" t="s">
        <v>254</v>
      </c>
      <c r="C6734" s="6">
        <v>34.130000000000003</v>
      </c>
      <c r="D6734" s="6">
        <v>39.200000000000003</v>
      </c>
      <c r="E6734" s="6">
        <v>38.46</v>
      </c>
      <c r="F6734" t="str">
        <f t="shared" si="2843"/>
        <v>THU</v>
      </c>
      <c r="G6734" s="3">
        <f t="shared" si="2844"/>
        <v>44203</v>
      </c>
      <c r="H6734" s="2">
        <f t="shared" ca="1" si="2845"/>
        <v>50</v>
      </c>
      <c r="I6734" t="str">
        <f t="shared" si="2846"/>
        <v>GDX</v>
      </c>
      <c r="J6734">
        <f t="shared" si="2847"/>
        <v>34.130000000000003</v>
      </c>
      <c r="K6734">
        <f t="shared" si="2848"/>
        <v>39.200000000000003</v>
      </c>
      <c r="L6734">
        <f t="shared" si="2849"/>
        <v>36.665000000000006</v>
      </c>
      <c r="M6734">
        <f t="shared" si="2850"/>
        <v>2.5350000000000001</v>
      </c>
      <c r="N6734">
        <f t="shared" si="2841"/>
        <v>5.07</v>
      </c>
      <c r="O6734">
        <f t="shared" si="2851"/>
        <v>38.46</v>
      </c>
      <c r="P6734">
        <f t="shared" si="2852"/>
        <v>0.70808678500985978</v>
      </c>
      <c r="Q6734" t="str">
        <f t="shared" si="2842"/>
        <v>11.26% | 1.92%</v>
      </c>
      <c r="R6734" t="str">
        <f t="shared" si="2853"/>
        <v>BEARISH</v>
      </c>
      <c r="S6734">
        <f t="shared" si="2854"/>
        <v>-1</v>
      </c>
    </row>
    <row r="6735" spans="1:19" hidden="1" x14ac:dyDescent="0.25">
      <c r="A6735" s="5" t="str">
        <f t="shared" si="2855"/>
        <v>44203SSEC</v>
      </c>
      <c r="B6735" s="6" t="s">
        <v>104</v>
      </c>
      <c r="C6735" s="6">
        <v>3417</v>
      </c>
      <c r="D6735" s="6">
        <v>3596</v>
      </c>
      <c r="E6735" s="6">
        <v>3576</v>
      </c>
      <c r="F6735" t="str">
        <f t="shared" si="2843"/>
        <v>THU</v>
      </c>
      <c r="G6735" s="3">
        <f t="shared" si="2844"/>
        <v>44203</v>
      </c>
      <c r="H6735" s="2">
        <f t="shared" ca="1" si="2845"/>
        <v>50</v>
      </c>
      <c r="I6735" t="str">
        <f t="shared" si="2846"/>
        <v>SSEC</v>
      </c>
      <c r="J6735">
        <f t="shared" si="2847"/>
        <v>3417</v>
      </c>
      <c r="K6735">
        <f t="shared" si="2848"/>
        <v>3596</v>
      </c>
      <c r="L6735">
        <f t="shared" si="2849"/>
        <v>3506.5</v>
      </c>
      <c r="M6735">
        <f t="shared" si="2850"/>
        <v>89.5</v>
      </c>
      <c r="N6735">
        <f t="shared" si="2841"/>
        <v>179</v>
      </c>
      <c r="O6735">
        <f t="shared" si="2851"/>
        <v>3576</v>
      </c>
      <c r="P6735">
        <f t="shared" si="2852"/>
        <v>0.77653631284916202</v>
      </c>
      <c r="Q6735" t="str">
        <f t="shared" si="2842"/>
        <v>4.45% | 0.56%</v>
      </c>
      <c r="R6735" t="str">
        <f t="shared" si="2853"/>
        <v>BULLISH</v>
      </c>
      <c r="S6735">
        <f t="shared" si="2854"/>
        <v>1</v>
      </c>
    </row>
    <row r="6736" spans="1:19" hidden="1" x14ac:dyDescent="0.25">
      <c r="A6736" s="5" t="str">
        <f t="shared" si="2855"/>
        <v>44203NIKK</v>
      </c>
      <c r="B6736" s="6" t="s">
        <v>91</v>
      </c>
      <c r="C6736" s="6">
        <v>26621</v>
      </c>
      <c r="D6736" s="6">
        <v>27725</v>
      </c>
      <c r="E6736" s="6">
        <v>27490</v>
      </c>
      <c r="F6736" t="str">
        <f t="shared" si="2843"/>
        <v>THU</v>
      </c>
      <c r="G6736" s="3">
        <f t="shared" si="2844"/>
        <v>44203</v>
      </c>
      <c r="H6736" s="2">
        <f t="shared" ca="1" si="2845"/>
        <v>50</v>
      </c>
      <c r="I6736" t="str">
        <f t="shared" si="2846"/>
        <v>NIKK</v>
      </c>
      <c r="J6736">
        <f t="shared" si="2847"/>
        <v>26621</v>
      </c>
      <c r="K6736">
        <f t="shared" si="2848"/>
        <v>27725</v>
      </c>
      <c r="L6736">
        <f t="shared" si="2849"/>
        <v>27173</v>
      </c>
      <c r="M6736">
        <f t="shared" si="2850"/>
        <v>552</v>
      </c>
      <c r="N6736">
        <f t="shared" si="2841"/>
        <v>1104</v>
      </c>
      <c r="O6736">
        <f t="shared" si="2851"/>
        <v>27490</v>
      </c>
      <c r="P6736">
        <f t="shared" si="2852"/>
        <v>0.57427536231884058</v>
      </c>
      <c r="Q6736" t="str">
        <f t="shared" si="2842"/>
        <v>3.16% | 0.85%</v>
      </c>
      <c r="R6736" t="str">
        <f t="shared" si="2853"/>
        <v>BULLISH</v>
      </c>
      <c r="S6736">
        <f t="shared" si="2854"/>
        <v>1</v>
      </c>
    </row>
    <row r="6737" spans="1:19" hidden="1" x14ac:dyDescent="0.25">
      <c r="A6737" s="5" t="str">
        <f t="shared" si="2855"/>
        <v>44203DAX</v>
      </c>
      <c r="B6737" s="6" t="s">
        <v>98</v>
      </c>
      <c r="C6737" s="6">
        <v>13447</v>
      </c>
      <c r="D6737" s="6">
        <v>14041</v>
      </c>
      <c r="E6737" s="6">
        <v>13891</v>
      </c>
      <c r="F6737" t="str">
        <f t="shared" si="2843"/>
        <v>THU</v>
      </c>
      <c r="G6737" s="3">
        <f t="shared" si="2844"/>
        <v>44203</v>
      </c>
      <c r="H6737" s="2">
        <f t="shared" ca="1" si="2845"/>
        <v>50</v>
      </c>
      <c r="I6737" t="str">
        <f t="shared" si="2846"/>
        <v>DAX</v>
      </c>
      <c r="J6737">
        <f t="shared" si="2847"/>
        <v>13447</v>
      </c>
      <c r="K6737">
        <f t="shared" si="2848"/>
        <v>14041</v>
      </c>
      <c r="L6737">
        <f t="shared" si="2849"/>
        <v>13744</v>
      </c>
      <c r="M6737">
        <f t="shared" si="2850"/>
        <v>297</v>
      </c>
      <c r="N6737">
        <f t="shared" si="2841"/>
        <v>594</v>
      </c>
      <c r="O6737">
        <f t="shared" si="2851"/>
        <v>13891</v>
      </c>
      <c r="P6737">
        <f t="shared" si="2852"/>
        <v>0.49494949494949497</v>
      </c>
      <c r="Q6737" t="str">
        <f t="shared" si="2842"/>
        <v>3.2% | 1.08%</v>
      </c>
      <c r="R6737" t="str">
        <f t="shared" si="2853"/>
        <v>BULLISH</v>
      </c>
      <c r="S6737">
        <f t="shared" si="2854"/>
        <v>1</v>
      </c>
    </row>
    <row r="6738" spans="1:19" hidden="1" x14ac:dyDescent="0.25">
      <c r="A6738" s="5" t="str">
        <f t="shared" si="2855"/>
        <v>44203VIX</v>
      </c>
      <c r="B6738" s="6" t="s">
        <v>96</v>
      </c>
      <c r="C6738" s="6">
        <v>20.100000000000001</v>
      </c>
      <c r="D6738" s="6">
        <v>27.13</v>
      </c>
      <c r="E6738" s="6">
        <v>25.07</v>
      </c>
      <c r="F6738" t="str">
        <f t="shared" si="2843"/>
        <v>THU</v>
      </c>
      <c r="G6738" s="3">
        <f t="shared" si="2844"/>
        <v>44203</v>
      </c>
      <c r="H6738" s="2">
        <f t="shared" ca="1" si="2845"/>
        <v>50</v>
      </c>
      <c r="I6738" t="str">
        <f t="shared" si="2846"/>
        <v>VIX</v>
      </c>
      <c r="J6738">
        <f t="shared" si="2847"/>
        <v>20.100000000000001</v>
      </c>
      <c r="K6738">
        <f t="shared" si="2848"/>
        <v>27.13</v>
      </c>
      <c r="L6738">
        <f t="shared" si="2849"/>
        <v>23.615000000000002</v>
      </c>
      <c r="M6738">
        <f t="shared" si="2850"/>
        <v>3.5149999999999864</v>
      </c>
      <c r="N6738">
        <f t="shared" si="2841"/>
        <v>7.0299999999999976</v>
      </c>
      <c r="O6738">
        <f t="shared" si="2851"/>
        <v>25.07</v>
      </c>
      <c r="P6738">
        <f t="shared" si="2852"/>
        <v>0.41394025604552032</v>
      </c>
      <c r="Q6738" t="str">
        <f t="shared" si="2842"/>
        <v>19.82% | 8.22%</v>
      </c>
      <c r="R6738" t="str">
        <f t="shared" si="2853"/>
        <v>BEARISH</v>
      </c>
      <c r="S6738">
        <f t="shared" si="2854"/>
        <v>-1</v>
      </c>
    </row>
    <row r="6739" spans="1:19" hidden="1" x14ac:dyDescent="0.25">
      <c r="A6739" s="5" t="str">
        <f t="shared" si="2855"/>
        <v>44203USD</v>
      </c>
      <c r="B6739" s="6" t="s">
        <v>94</v>
      </c>
      <c r="C6739" s="6">
        <v>89.16</v>
      </c>
      <c r="D6739" s="6">
        <v>90.53</v>
      </c>
      <c r="E6739" s="6">
        <v>89.5</v>
      </c>
      <c r="F6739" t="str">
        <f t="shared" si="2843"/>
        <v>THU</v>
      </c>
      <c r="G6739" s="3">
        <f t="shared" si="2844"/>
        <v>44203</v>
      </c>
      <c r="H6739" s="2">
        <f t="shared" ca="1" si="2845"/>
        <v>50</v>
      </c>
      <c r="I6739" t="str">
        <f t="shared" si="2846"/>
        <v>USD</v>
      </c>
      <c r="J6739">
        <f t="shared" si="2847"/>
        <v>89.16</v>
      </c>
      <c r="K6739">
        <f t="shared" si="2848"/>
        <v>90.53</v>
      </c>
      <c r="L6739">
        <f t="shared" si="2849"/>
        <v>89.844999999999999</v>
      </c>
      <c r="M6739">
        <f t="shared" si="2850"/>
        <v>0.68500000000000227</v>
      </c>
      <c r="N6739">
        <f t="shared" si="2841"/>
        <v>1.3700000000000045</v>
      </c>
      <c r="O6739">
        <f t="shared" si="2851"/>
        <v>89.5</v>
      </c>
      <c r="P6739">
        <f t="shared" si="2852"/>
        <v>-0.50364963503649307</v>
      </c>
      <c r="Q6739" t="str">
        <f t="shared" si="2842"/>
        <v>0.38% | 1.15%</v>
      </c>
      <c r="R6739" t="str">
        <f t="shared" si="2853"/>
        <v>BEARISH</v>
      </c>
      <c r="S6739">
        <f t="shared" si="2854"/>
        <v>-1</v>
      </c>
    </row>
    <row r="6740" spans="1:19" hidden="1" x14ac:dyDescent="0.25">
      <c r="A6740" s="5" t="str">
        <f t="shared" si="2855"/>
        <v>44203EUR/USD</v>
      </c>
      <c r="B6740" s="6" t="s">
        <v>99</v>
      </c>
      <c r="C6740" s="6">
        <v>1.216</v>
      </c>
      <c r="D6740" s="6">
        <v>1.2350000000000001</v>
      </c>
      <c r="E6740" s="6">
        <v>1.2330000000000001</v>
      </c>
      <c r="F6740" t="str">
        <f t="shared" si="2843"/>
        <v>THU</v>
      </c>
      <c r="G6740" s="3">
        <f t="shared" si="2844"/>
        <v>44203</v>
      </c>
      <c r="H6740" s="2">
        <f t="shared" ca="1" si="2845"/>
        <v>50</v>
      </c>
      <c r="I6740" t="str">
        <f t="shared" si="2846"/>
        <v>EUR/USD</v>
      </c>
      <c r="J6740">
        <f t="shared" si="2847"/>
        <v>1.216</v>
      </c>
      <c r="K6740">
        <f t="shared" si="2848"/>
        <v>1.2350000000000001</v>
      </c>
      <c r="L6740">
        <f t="shared" si="2849"/>
        <v>1.2255</v>
      </c>
      <c r="M6740">
        <f t="shared" si="2850"/>
        <v>9.5000000000000639E-3</v>
      </c>
      <c r="N6740">
        <f t="shared" si="2841"/>
        <v>1.9000000000000128E-2</v>
      </c>
      <c r="O6740">
        <f t="shared" si="2851"/>
        <v>1.2330000000000001</v>
      </c>
      <c r="P6740">
        <f t="shared" si="2852"/>
        <v>0.78947368421052755</v>
      </c>
      <c r="Q6740" t="str">
        <f t="shared" si="2842"/>
        <v>1.38% | 0.16%</v>
      </c>
      <c r="R6740" t="str">
        <f t="shared" si="2853"/>
        <v>BULLISH</v>
      </c>
      <c r="S6740">
        <f t="shared" si="2854"/>
        <v>1</v>
      </c>
    </row>
    <row r="6741" spans="1:19" hidden="1" x14ac:dyDescent="0.25">
      <c r="A6741" s="5" t="str">
        <f t="shared" si="2855"/>
        <v>44203USD/JPY</v>
      </c>
      <c r="B6741" s="6" t="s">
        <v>20</v>
      </c>
      <c r="C6741" s="6">
        <v>102.65</v>
      </c>
      <c r="D6741" s="6">
        <v>103.9</v>
      </c>
      <c r="E6741" s="6">
        <v>103.04</v>
      </c>
      <c r="F6741" t="str">
        <f t="shared" si="2843"/>
        <v>THU</v>
      </c>
      <c r="G6741" s="3">
        <f t="shared" si="2844"/>
        <v>44203</v>
      </c>
      <c r="H6741" s="2">
        <f t="shared" ca="1" si="2845"/>
        <v>50</v>
      </c>
      <c r="I6741" t="str">
        <f t="shared" si="2846"/>
        <v>USD/JPY</v>
      </c>
      <c r="J6741">
        <f t="shared" si="2847"/>
        <v>102.65</v>
      </c>
      <c r="K6741">
        <f t="shared" si="2848"/>
        <v>103.9</v>
      </c>
      <c r="L6741">
        <f t="shared" si="2849"/>
        <v>103.27500000000001</v>
      </c>
      <c r="M6741">
        <f t="shared" si="2850"/>
        <v>0.625</v>
      </c>
      <c r="N6741">
        <f t="shared" si="2841"/>
        <v>1.25</v>
      </c>
      <c r="O6741">
        <f t="shared" si="2851"/>
        <v>103.04</v>
      </c>
      <c r="P6741">
        <f t="shared" si="2852"/>
        <v>-0.37599999999999911</v>
      </c>
      <c r="Q6741" t="str">
        <f t="shared" si="2842"/>
        <v>0.38% | 0.83%</v>
      </c>
      <c r="R6741" t="str">
        <f t="shared" si="2853"/>
        <v>BEARISH</v>
      </c>
      <c r="S6741">
        <f t="shared" si="2854"/>
        <v>-1</v>
      </c>
    </row>
    <row r="6742" spans="1:19" hidden="1" x14ac:dyDescent="0.25">
      <c r="A6742" s="5" t="str">
        <f t="shared" si="2855"/>
        <v>44203GBP/USD</v>
      </c>
      <c r="B6742" s="6" t="s">
        <v>102</v>
      </c>
      <c r="C6742" s="6">
        <v>1.3460000000000001</v>
      </c>
      <c r="D6742" s="6">
        <v>1.371</v>
      </c>
      <c r="E6742" s="6">
        <v>1.361</v>
      </c>
      <c r="F6742" t="str">
        <f t="shared" si="2843"/>
        <v>THU</v>
      </c>
      <c r="G6742" s="3">
        <f t="shared" si="2844"/>
        <v>44203</v>
      </c>
      <c r="H6742" s="2">
        <f t="shared" ca="1" si="2845"/>
        <v>50</v>
      </c>
      <c r="I6742" t="str">
        <f t="shared" si="2846"/>
        <v>GBP/USD</v>
      </c>
      <c r="J6742">
        <f t="shared" si="2847"/>
        <v>1.3460000000000001</v>
      </c>
      <c r="K6742">
        <f t="shared" si="2848"/>
        <v>1.371</v>
      </c>
      <c r="L6742">
        <f t="shared" si="2849"/>
        <v>1.3585</v>
      </c>
      <c r="M6742">
        <f t="shared" si="2850"/>
        <v>1.2499999999999956E-2</v>
      </c>
      <c r="N6742">
        <f t="shared" si="2841"/>
        <v>2.4999999999999911E-2</v>
      </c>
      <c r="O6742">
        <f t="shared" si="2851"/>
        <v>1.361</v>
      </c>
      <c r="P6742">
        <f t="shared" si="2852"/>
        <v>0.19999999999999646</v>
      </c>
      <c r="Q6742" t="str">
        <f t="shared" si="2842"/>
        <v>1.1% | 0.73%</v>
      </c>
      <c r="R6742" t="str">
        <f t="shared" si="2853"/>
        <v>BULLISH</v>
      </c>
      <c r="S6742">
        <f t="shared" si="2854"/>
        <v>1</v>
      </c>
    </row>
    <row r="6743" spans="1:19" hidden="1" x14ac:dyDescent="0.25">
      <c r="A6743" s="5" t="str">
        <f t="shared" si="2855"/>
        <v>44203CAD/USD</v>
      </c>
      <c r="B6743" s="6" t="s">
        <v>244</v>
      </c>
      <c r="C6743" s="6">
        <v>0.78</v>
      </c>
      <c r="D6743" s="6">
        <v>0.8</v>
      </c>
      <c r="E6743" s="6">
        <v>0.78</v>
      </c>
      <c r="F6743" t="str">
        <f t="shared" si="2843"/>
        <v>THU</v>
      </c>
      <c r="G6743" s="3">
        <f t="shared" si="2844"/>
        <v>44203</v>
      </c>
      <c r="H6743" s="2">
        <f t="shared" ca="1" si="2845"/>
        <v>50</v>
      </c>
      <c r="I6743" t="str">
        <f t="shared" si="2846"/>
        <v>CAD/USD</v>
      </c>
      <c r="J6743">
        <f t="shared" si="2847"/>
        <v>0.78</v>
      </c>
      <c r="K6743">
        <f t="shared" si="2848"/>
        <v>0.8</v>
      </c>
      <c r="L6743">
        <f t="shared" si="2849"/>
        <v>0.79</v>
      </c>
      <c r="M6743">
        <f t="shared" si="2850"/>
        <v>1.0000000000000009E-2</v>
      </c>
      <c r="N6743">
        <f t="shared" si="2841"/>
        <v>2.0000000000000018E-2</v>
      </c>
      <c r="O6743">
        <f t="shared" si="2851"/>
        <v>0.78</v>
      </c>
      <c r="P6743">
        <f t="shared" si="2852"/>
        <v>-1</v>
      </c>
      <c r="Q6743" t="str">
        <f t="shared" si="2842"/>
        <v>0% | 2.56%</v>
      </c>
      <c r="R6743" t="str">
        <f t="shared" si="2853"/>
        <v>BULLISH</v>
      </c>
      <c r="S6743">
        <f t="shared" si="2854"/>
        <v>1</v>
      </c>
    </row>
    <row r="6744" spans="1:19" hidden="1" x14ac:dyDescent="0.25">
      <c r="A6744" s="5" t="str">
        <f t="shared" si="2855"/>
        <v>44203USD/CHF</v>
      </c>
      <c r="B6744" s="6" t="s">
        <v>76</v>
      </c>
      <c r="C6744" s="6">
        <v>0.87</v>
      </c>
      <c r="D6744" s="6">
        <v>0.89</v>
      </c>
      <c r="E6744" s="6">
        <v>0.87</v>
      </c>
      <c r="F6744" t="str">
        <f t="shared" si="2843"/>
        <v>THU</v>
      </c>
      <c r="G6744" s="3">
        <f t="shared" si="2844"/>
        <v>44203</v>
      </c>
      <c r="H6744" s="2">
        <f t="shared" ca="1" si="2845"/>
        <v>50</v>
      </c>
      <c r="I6744" t="str">
        <f t="shared" si="2846"/>
        <v>USD/CHF</v>
      </c>
      <c r="J6744">
        <f t="shared" si="2847"/>
        <v>0.87</v>
      </c>
      <c r="K6744">
        <f t="shared" si="2848"/>
        <v>0.89</v>
      </c>
      <c r="L6744">
        <f t="shared" si="2849"/>
        <v>0.88</v>
      </c>
      <c r="M6744">
        <f t="shared" si="2850"/>
        <v>1.0000000000000009E-2</v>
      </c>
      <c r="N6744">
        <f t="shared" si="2841"/>
        <v>2.0000000000000018E-2</v>
      </c>
      <c r="O6744">
        <f t="shared" si="2851"/>
        <v>0.87</v>
      </c>
      <c r="P6744">
        <f t="shared" si="2852"/>
        <v>-1</v>
      </c>
      <c r="Q6744" t="str">
        <f t="shared" si="2842"/>
        <v>0% | 2.3%</v>
      </c>
      <c r="R6744" t="str">
        <f t="shared" si="2853"/>
        <v>BEARISH</v>
      </c>
      <c r="S6744">
        <f t="shared" si="2854"/>
        <v>-1</v>
      </c>
    </row>
    <row r="6745" spans="1:19" hidden="1" x14ac:dyDescent="0.25">
      <c r="A6745" s="5" t="str">
        <f t="shared" si="2855"/>
        <v>44203WTIC</v>
      </c>
      <c r="B6745" s="6" t="s">
        <v>158</v>
      </c>
      <c r="C6745" s="6">
        <v>47.12</v>
      </c>
      <c r="D6745" s="6">
        <v>50.99</v>
      </c>
      <c r="E6745" s="6">
        <v>50.63</v>
      </c>
      <c r="F6745" t="str">
        <f t="shared" si="2843"/>
        <v>THU</v>
      </c>
      <c r="G6745" s="3">
        <f t="shared" si="2844"/>
        <v>44203</v>
      </c>
      <c r="H6745" s="2">
        <f t="shared" ca="1" si="2845"/>
        <v>50</v>
      </c>
      <c r="I6745" t="str">
        <f t="shared" si="2846"/>
        <v>WTIC</v>
      </c>
      <c r="J6745">
        <f t="shared" si="2847"/>
        <v>47.12</v>
      </c>
      <c r="K6745">
        <f t="shared" si="2848"/>
        <v>50.99</v>
      </c>
      <c r="L6745">
        <f t="shared" si="2849"/>
        <v>49.055</v>
      </c>
      <c r="M6745">
        <f t="shared" si="2850"/>
        <v>1.9350000000000023</v>
      </c>
      <c r="N6745">
        <f t="shared" si="2841"/>
        <v>3.8700000000000045</v>
      </c>
      <c r="O6745">
        <f t="shared" si="2851"/>
        <v>50.63</v>
      </c>
      <c r="P6745">
        <f t="shared" si="2852"/>
        <v>0.81395348837209358</v>
      </c>
      <c r="Q6745" t="str">
        <f t="shared" si="2842"/>
        <v>6.93% | 0.71%</v>
      </c>
      <c r="R6745" t="str">
        <f t="shared" si="2853"/>
        <v>BULLISH</v>
      </c>
      <c r="S6745">
        <f t="shared" si="2854"/>
        <v>1</v>
      </c>
    </row>
    <row r="6746" spans="1:19" hidden="1" x14ac:dyDescent="0.25">
      <c r="A6746" s="5" t="str">
        <f t="shared" si="2855"/>
        <v>44203NATGAS</v>
      </c>
      <c r="B6746" s="6" t="s">
        <v>87</v>
      </c>
      <c r="C6746" s="6">
        <v>2.2599999999999998</v>
      </c>
      <c r="D6746" s="6">
        <v>2.79</v>
      </c>
      <c r="E6746" s="6">
        <v>2.72</v>
      </c>
      <c r="F6746" t="str">
        <f t="shared" si="2843"/>
        <v>THU</v>
      </c>
      <c r="G6746" s="3">
        <f t="shared" si="2844"/>
        <v>44203</v>
      </c>
      <c r="H6746" s="2">
        <f t="shared" ca="1" si="2845"/>
        <v>50</v>
      </c>
      <c r="I6746" t="str">
        <f t="shared" si="2846"/>
        <v>NATGAS</v>
      </c>
      <c r="J6746">
        <f t="shared" si="2847"/>
        <v>2.2599999999999998</v>
      </c>
      <c r="K6746">
        <f t="shared" si="2848"/>
        <v>2.79</v>
      </c>
      <c r="L6746">
        <f t="shared" si="2849"/>
        <v>2.5249999999999999</v>
      </c>
      <c r="M6746">
        <f t="shared" si="2850"/>
        <v>0.26500000000000123</v>
      </c>
      <c r="N6746">
        <f t="shared" si="2841"/>
        <v>0.53000000000000025</v>
      </c>
      <c r="O6746">
        <f t="shared" si="2851"/>
        <v>2.72</v>
      </c>
      <c r="P6746">
        <f t="shared" si="2852"/>
        <v>0.7358490566037712</v>
      </c>
      <c r="Q6746" t="str">
        <f t="shared" si="2842"/>
        <v>16.91% | 2.57%</v>
      </c>
      <c r="R6746" t="str">
        <f t="shared" si="2853"/>
        <v>NEUTRAL</v>
      </c>
      <c r="S6746">
        <f t="shared" si="2854"/>
        <v>0</v>
      </c>
    </row>
    <row r="6747" spans="1:19" hidden="1" x14ac:dyDescent="0.25">
      <c r="A6747" s="5" t="str">
        <f t="shared" si="2855"/>
        <v>44203GOLD</v>
      </c>
      <c r="B6747" s="6" t="s">
        <v>85</v>
      </c>
      <c r="C6747" s="6">
        <v>1846</v>
      </c>
      <c r="D6747" s="6">
        <v>1955</v>
      </c>
      <c r="E6747" s="6">
        <v>1908</v>
      </c>
      <c r="F6747" t="str">
        <f t="shared" si="2843"/>
        <v>THU</v>
      </c>
      <c r="G6747" s="3">
        <f t="shared" si="2844"/>
        <v>44203</v>
      </c>
      <c r="H6747" s="2">
        <f t="shared" ca="1" si="2845"/>
        <v>50</v>
      </c>
      <c r="I6747" t="str">
        <f t="shared" si="2846"/>
        <v>GOLD</v>
      </c>
      <c r="J6747">
        <f t="shared" si="2847"/>
        <v>1846</v>
      </c>
      <c r="K6747">
        <f t="shared" si="2848"/>
        <v>1955</v>
      </c>
      <c r="L6747">
        <f t="shared" si="2849"/>
        <v>1900.5</v>
      </c>
      <c r="M6747">
        <f t="shared" si="2850"/>
        <v>54.5</v>
      </c>
      <c r="N6747">
        <f t="shared" si="2841"/>
        <v>109</v>
      </c>
      <c r="O6747">
        <f t="shared" si="2851"/>
        <v>1908</v>
      </c>
      <c r="P6747">
        <f t="shared" si="2852"/>
        <v>0.13761467889908258</v>
      </c>
      <c r="Q6747" t="str">
        <f t="shared" si="2842"/>
        <v>3.25% | 2.46%</v>
      </c>
      <c r="R6747" t="str">
        <f t="shared" si="2853"/>
        <v>BEARISH</v>
      </c>
      <c r="S6747">
        <f t="shared" si="2854"/>
        <v>-1</v>
      </c>
    </row>
    <row r="6748" spans="1:19" hidden="1" x14ac:dyDescent="0.25">
      <c r="A6748" s="5" t="str">
        <f t="shared" si="2855"/>
        <v>44203COPPER</v>
      </c>
      <c r="B6748" s="6" t="s">
        <v>100</v>
      </c>
      <c r="C6748" s="6">
        <v>3.52</v>
      </c>
      <c r="D6748" s="6">
        <v>3.69</v>
      </c>
      <c r="E6748" s="6">
        <v>3.65</v>
      </c>
      <c r="F6748" t="str">
        <f t="shared" si="2843"/>
        <v>THU</v>
      </c>
      <c r="G6748" s="3">
        <f t="shared" si="2844"/>
        <v>44203</v>
      </c>
      <c r="H6748" s="2">
        <f t="shared" ca="1" si="2845"/>
        <v>50</v>
      </c>
      <c r="I6748" t="str">
        <f t="shared" si="2846"/>
        <v>COPPER</v>
      </c>
      <c r="J6748">
        <f t="shared" si="2847"/>
        <v>3.52</v>
      </c>
      <c r="K6748">
        <f t="shared" si="2848"/>
        <v>3.69</v>
      </c>
      <c r="L6748">
        <f t="shared" si="2849"/>
        <v>3.605</v>
      </c>
      <c r="M6748">
        <f t="shared" si="2850"/>
        <v>8.4999999999999964E-2</v>
      </c>
      <c r="N6748">
        <f t="shared" si="2841"/>
        <v>0.16999999999999993</v>
      </c>
      <c r="O6748">
        <f t="shared" si="2851"/>
        <v>3.65</v>
      </c>
      <c r="P6748">
        <f t="shared" si="2852"/>
        <v>0.52941176470588169</v>
      </c>
      <c r="Q6748" t="str">
        <f t="shared" si="2842"/>
        <v>3.56% | 1.1%</v>
      </c>
      <c r="R6748" t="str">
        <f t="shared" si="2853"/>
        <v>BULLISH</v>
      </c>
      <c r="S6748">
        <f t="shared" si="2854"/>
        <v>1</v>
      </c>
    </row>
    <row r="6749" spans="1:19" hidden="1" x14ac:dyDescent="0.25">
      <c r="A6749" s="5" t="str">
        <f t="shared" si="2855"/>
        <v>44203MSFT</v>
      </c>
      <c r="B6749" s="6" t="s">
        <v>27</v>
      </c>
      <c r="C6749" s="6">
        <v>211</v>
      </c>
      <c r="D6749" s="6">
        <v>229</v>
      </c>
      <c r="E6749" s="6">
        <v>212</v>
      </c>
      <c r="F6749" t="str">
        <f t="shared" si="2843"/>
        <v>THU</v>
      </c>
      <c r="G6749" s="3">
        <f t="shared" si="2844"/>
        <v>44203</v>
      </c>
      <c r="H6749" s="2">
        <f t="shared" ca="1" si="2845"/>
        <v>50</v>
      </c>
      <c r="I6749" t="str">
        <f t="shared" si="2846"/>
        <v>MSFT</v>
      </c>
      <c r="J6749">
        <f t="shared" si="2847"/>
        <v>211</v>
      </c>
      <c r="K6749">
        <f t="shared" si="2848"/>
        <v>229</v>
      </c>
      <c r="L6749">
        <f t="shared" si="2849"/>
        <v>220</v>
      </c>
      <c r="M6749">
        <f t="shared" si="2850"/>
        <v>9</v>
      </c>
      <c r="N6749">
        <f t="shared" si="2841"/>
        <v>18</v>
      </c>
      <c r="O6749">
        <f t="shared" si="2851"/>
        <v>212</v>
      </c>
      <c r="P6749">
        <f t="shared" si="2852"/>
        <v>-0.88888888888888884</v>
      </c>
      <c r="Q6749" t="str">
        <f t="shared" si="2842"/>
        <v>0.47% | 8.02%</v>
      </c>
      <c r="R6749" t="str">
        <f t="shared" si="2853"/>
        <v>BULLISH</v>
      </c>
      <c r="S6749">
        <f t="shared" si="2854"/>
        <v>1</v>
      </c>
    </row>
    <row r="6750" spans="1:19" hidden="1" x14ac:dyDescent="0.25">
      <c r="A6750" s="5" t="str">
        <f t="shared" si="2855"/>
        <v>44203AAPL</v>
      </c>
      <c r="B6750" s="6" t="s">
        <v>28</v>
      </c>
      <c r="C6750" s="6">
        <v>125</v>
      </c>
      <c r="D6750" s="6">
        <v>138</v>
      </c>
      <c r="E6750" s="6">
        <v>126</v>
      </c>
      <c r="F6750" t="str">
        <f t="shared" si="2843"/>
        <v>THU</v>
      </c>
      <c r="G6750" s="3">
        <f t="shared" si="2844"/>
        <v>44203</v>
      </c>
      <c r="H6750" s="2">
        <f t="shared" ca="1" si="2845"/>
        <v>50</v>
      </c>
      <c r="I6750" t="str">
        <f t="shared" si="2846"/>
        <v>AAPL</v>
      </c>
      <c r="J6750">
        <f t="shared" si="2847"/>
        <v>125</v>
      </c>
      <c r="K6750">
        <f t="shared" si="2848"/>
        <v>138</v>
      </c>
      <c r="L6750">
        <f t="shared" si="2849"/>
        <v>131.5</v>
      </c>
      <c r="M6750">
        <f t="shared" si="2850"/>
        <v>6.5</v>
      </c>
      <c r="N6750">
        <f t="shared" si="2841"/>
        <v>13</v>
      </c>
      <c r="O6750">
        <f t="shared" si="2851"/>
        <v>126</v>
      </c>
      <c r="P6750">
        <f t="shared" si="2852"/>
        <v>-0.84615384615384615</v>
      </c>
      <c r="Q6750" t="str">
        <f t="shared" si="2842"/>
        <v>0.79% | 9.52%</v>
      </c>
      <c r="R6750" t="str">
        <f t="shared" si="2853"/>
        <v>BULLISH</v>
      </c>
      <c r="S6750">
        <f t="shared" si="2854"/>
        <v>1</v>
      </c>
    </row>
    <row r="6751" spans="1:19" hidden="1" x14ac:dyDescent="0.25">
      <c r="A6751" s="5" t="str">
        <f t="shared" si="2855"/>
        <v>44203AMZN</v>
      </c>
      <c r="B6751" s="6" t="s">
        <v>29</v>
      </c>
      <c r="C6751" s="6">
        <v>3110</v>
      </c>
      <c r="D6751" s="6">
        <v>3350</v>
      </c>
      <c r="E6751" s="6">
        <v>3138</v>
      </c>
      <c r="F6751" t="str">
        <f t="shared" si="2843"/>
        <v>THU</v>
      </c>
      <c r="G6751" s="3">
        <f t="shared" si="2844"/>
        <v>44203</v>
      </c>
      <c r="H6751" s="2">
        <f t="shared" ca="1" si="2845"/>
        <v>50</v>
      </c>
      <c r="I6751" t="str">
        <f t="shared" si="2846"/>
        <v>AMZN</v>
      </c>
      <c r="J6751">
        <f t="shared" si="2847"/>
        <v>3110</v>
      </c>
      <c r="K6751">
        <f t="shared" si="2848"/>
        <v>3350</v>
      </c>
      <c r="L6751">
        <f t="shared" si="2849"/>
        <v>3230</v>
      </c>
      <c r="M6751">
        <f t="shared" si="2850"/>
        <v>120</v>
      </c>
      <c r="N6751">
        <f t="shared" si="2841"/>
        <v>240</v>
      </c>
      <c r="O6751">
        <f t="shared" si="2851"/>
        <v>3138</v>
      </c>
      <c r="P6751">
        <f t="shared" si="2852"/>
        <v>-0.76666666666666672</v>
      </c>
      <c r="Q6751" t="str">
        <f t="shared" si="2842"/>
        <v>0.89% | 6.76%</v>
      </c>
      <c r="R6751" t="str">
        <f t="shared" si="2853"/>
        <v>BULLISH</v>
      </c>
      <c r="S6751">
        <f t="shared" si="2854"/>
        <v>1</v>
      </c>
    </row>
    <row r="6752" spans="1:19" hidden="1" x14ac:dyDescent="0.25">
      <c r="A6752" s="5" t="str">
        <f t="shared" si="2855"/>
        <v>44203FB</v>
      </c>
      <c r="B6752" s="6" t="s">
        <v>58</v>
      </c>
      <c r="C6752" s="6">
        <v>261</v>
      </c>
      <c r="D6752" s="6">
        <v>278</v>
      </c>
      <c r="E6752" s="6">
        <v>263</v>
      </c>
      <c r="F6752" t="str">
        <f t="shared" si="2843"/>
        <v>THU</v>
      </c>
      <c r="G6752" s="3">
        <f t="shared" si="2844"/>
        <v>44203</v>
      </c>
      <c r="H6752" s="2">
        <f t="shared" ca="1" si="2845"/>
        <v>50</v>
      </c>
      <c r="I6752" t="str">
        <f t="shared" si="2846"/>
        <v>FB</v>
      </c>
      <c r="J6752">
        <f t="shared" si="2847"/>
        <v>261</v>
      </c>
      <c r="K6752">
        <f t="shared" si="2848"/>
        <v>278</v>
      </c>
      <c r="L6752">
        <f t="shared" si="2849"/>
        <v>269.5</v>
      </c>
      <c r="M6752">
        <f t="shared" si="2850"/>
        <v>8.5</v>
      </c>
      <c r="N6752">
        <f t="shared" si="2841"/>
        <v>17</v>
      </c>
      <c r="O6752">
        <f t="shared" si="2851"/>
        <v>263</v>
      </c>
      <c r="P6752">
        <f t="shared" si="2852"/>
        <v>-0.76470588235294112</v>
      </c>
      <c r="Q6752" t="str">
        <f t="shared" si="2842"/>
        <v>0.76% | 5.7%</v>
      </c>
      <c r="R6752" t="str">
        <f t="shared" si="2853"/>
        <v>BEARISH</v>
      </c>
      <c r="S6752">
        <f t="shared" si="2854"/>
        <v>-1</v>
      </c>
    </row>
    <row r="6753" spans="1:19" hidden="1" x14ac:dyDescent="0.25">
      <c r="A6753" s="5" t="str">
        <f t="shared" si="2855"/>
        <v>44203GOOGL</v>
      </c>
      <c r="B6753" s="6" t="s">
        <v>31</v>
      </c>
      <c r="C6753" s="6">
        <v>1706</v>
      </c>
      <c r="D6753" s="6">
        <v>1774</v>
      </c>
      <c r="E6753" s="6">
        <v>1722</v>
      </c>
      <c r="F6753" t="str">
        <f t="shared" si="2843"/>
        <v>THU</v>
      </c>
      <c r="G6753" s="3">
        <f t="shared" si="2844"/>
        <v>44203</v>
      </c>
      <c r="H6753" s="2">
        <f t="shared" ca="1" si="2845"/>
        <v>50</v>
      </c>
      <c r="I6753" t="str">
        <f t="shared" si="2846"/>
        <v>GOOGL</v>
      </c>
      <c r="J6753">
        <f t="shared" si="2847"/>
        <v>1706</v>
      </c>
      <c r="K6753">
        <f t="shared" si="2848"/>
        <v>1774</v>
      </c>
      <c r="L6753">
        <f t="shared" si="2849"/>
        <v>1740</v>
      </c>
      <c r="M6753">
        <f t="shared" si="2850"/>
        <v>34</v>
      </c>
      <c r="N6753">
        <f t="shared" si="2841"/>
        <v>68</v>
      </c>
      <c r="O6753">
        <f t="shared" si="2851"/>
        <v>1722</v>
      </c>
      <c r="P6753">
        <f t="shared" si="2852"/>
        <v>-0.52941176470588236</v>
      </c>
      <c r="Q6753" t="str">
        <f t="shared" si="2842"/>
        <v>0.93% | 3.02%</v>
      </c>
      <c r="R6753" t="str">
        <f t="shared" si="2853"/>
        <v>BULLISH</v>
      </c>
      <c r="S6753">
        <f t="shared" si="2854"/>
        <v>1</v>
      </c>
    </row>
    <row r="6754" spans="1:19" hidden="1" x14ac:dyDescent="0.25">
      <c r="A6754" s="5" t="str">
        <f t="shared" si="2855"/>
        <v>44203NFLX</v>
      </c>
      <c r="B6754" s="6" t="s">
        <v>70</v>
      </c>
      <c r="C6754" s="6">
        <v>490</v>
      </c>
      <c r="D6754" s="6">
        <v>540</v>
      </c>
      <c r="E6754" s="6">
        <v>500</v>
      </c>
      <c r="F6754" t="str">
        <f t="shared" si="2843"/>
        <v>THU</v>
      </c>
      <c r="G6754" s="3">
        <f t="shared" si="2844"/>
        <v>44203</v>
      </c>
      <c r="H6754" s="2">
        <f t="shared" ca="1" si="2845"/>
        <v>50</v>
      </c>
      <c r="I6754" t="str">
        <f t="shared" si="2846"/>
        <v>NFLX</v>
      </c>
      <c r="J6754">
        <f t="shared" si="2847"/>
        <v>490</v>
      </c>
      <c r="K6754">
        <f t="shared" si="2848"/>
        <v>540</v>
      </c>
      <c r="L6754">
        <f t="shared" si="2849"/>
        <v>515</v>
      </c>
      <c r="M6754">
        <f t="shared" si="2850"/>
        <v>25</v>
      </c>
      <c r="N6754">
        <f t="shared" si="2841"/>
        <v>50</v>
      </c>
      <c r="O6754">
        <f t="shared" si="2851"/>
        <v>500</v>
      </c>
      <c r="P6754">
        <f t="shared" si="2852"/>
        <v>-0.6</v>
      </c>
      <c r="Q6754" t="str">
        <f t="shared" si="2842"/>
        <v>2% | 8%</v>
      </c>
      <c r="R6754" t="str">
        <f t="shared" si="2853"/>
        <v>NEUTRAL</v>
      </c>
      <c r="S6754">
        <f t="shared" si="2854"/>
        <v>0</v>
      </c>
    </row>
    <row r="6755" spans="1:19" x14ac:dyDescent="0.25">
      <c r="A6755" s="5" t="str">
        <f t="shared" si="2855"/>
        <v>44203TSLA</v>
      </c>
      <c r="B6755" s="6" t="s">
        <v>33</v>
      </c>
      <c r="C6755" s="6">
        <v>675</v>
      </c>
      <c r="D6755" s="6">
        <v>770</v>
      </c>
      <c r="E6755" s="6">
        <v>755</v>
      </c>
      <c r="F6755" t="str">
        <f t="shared" si="2843"/>
        <v>THU</v>
      </c>
      <c r="G6755" s="3">
        <f t="shared" si="2844"/>
        <v>44203</v>
      </c>
      <c r="H6755" s="2">
        <f t="shared" ca="1" si="2845"/>
        <v>50</v>
      </c>
      <c r="I6755" t="str">
        <f t="shared" si="2846"/>
        <v>TSLA</v>
      </c>
      <c r="J6755">
        <f t="shared" si="2847"/>
        <v>675</v>
      </c>
      <c r="K6755">
        <f t="shared" si="2848"/>
        <v>770</v>
      </c>
      <c r="L6755">
        <f t="shared" si="2849"/>
        <v>722.5</v>
      </c>
      <c r="M6755">
        <f t="shared" si="2850"/>
        <v>47.5</v>
      </c>
      <c r="N6755">
        <f t="shared" si="2841"/>
        <v>95</v>
      </c>
      <c r="O6755">
        <f t="shared" si="2851"/>
        <v>755</v>
      </c>
      <c r="P6755">
        <f t="shared" si="2852"/>
        <v>0.68421052631578949</v>
      </c>
      <c r="Q6755" t="str">
        <f t="shared" si="2842"/>
        <v>10.6% | 1.99%</v>
      </c>
      <c r="R6755" t="str">
        <f t="shared" si="2853"/>
        <v>BULLISH</v>
      </c>
      <c r="S6755">
        <f t="shared" si="2854"/>
        <v>1</v>
      </c>
    </row>
    <row r="6756" spans="1:19" hidden="1" x14ac:dyDescent="0.25">
      <c r="A6756" s="5" t="str">
        <f t="shared" si="2855"/>
        <v>44203NYXBT</v>
      </c>
      <c r="B6756" s="6" t="s">
        <v>60</v>
      </c>
      <c r="C6756" s="6">
        <v>29418</v>
      </c>
      <c r="D6756" s="6">
        <v>38739</v>
      </c>
      <c r="E6756" s="6">
        <v>34764</v>
      </c>
      <c r="F6756" t="str">
        <f t="shared" si="2843"/>
        <v>THU</v>
      </c>
      <c r="G6756" s="3">
        <f t="shared" si="2844"/>
        <v>44203</v>
      </c>
      <c r="H6756" s="2">
        <f t="shared" ca="1" si="2845"/>
        <v>50</v>
      </c>
      <c r="I6756" t="str">
        <f t="shared" si="2846"/>
        <v>NYXBT</v>
      </c>
      <c r="J6756">
        <f t="shared" si="2847"/>
        <v>29418</v>
      </c>
      <c r="K6756">
        <f t="shared" si="2848"/>
        <v>38739</v>
      </c>
      <c r="L6756">
        <f t="shared" si="2849"/>
        <v>34078.5</v>
      </c>
      <c r="M6756">
        <f t="shared" si="2850"/>
        <v>4660.5</v>
      </c>
      <c r="N6756">
        <f t="shared" si="2841"/>
        <v>9321</v>
      </c>
      <c r="O6756">
        <f t="shared" si="2851"/>
        <v>34764</v>
      </c>
      <c r="P6756">
        <f t="shared" si="2852"/>
        <v>0.14708722240102992</v>
      </c>
      <c r="Q6756" t="str">
        <f t="shared" si="2842"/>
        <v>15.38% | 11.43%</v>
      </c>
      <c r="R6756" t="str">
        <f t="shared" si="2853"/>
        <v>BULLISH</v>
      </c>
      <c r="S6756">
        <f t="shared" si="2854"/>
        <v>1</v>
      </c>
    </row>
    <row r="6757" spans="1:19" hidden="1" x14ac:dyDescent="0.25">
      <c r="A6757" s="5" t="str">
        <f t="shared" si="2855"/>
        <v>44204UST10Y</v>
      </c>
      <c r="B6757" s="6" t="s">
        <v>257</v>
      </c>
      <c r="C6757" s="6">
        <v>1.1000000000000001</v>
      </c>
      <c r="D6757" s="6">
        <v>0.97</v>
      </c>
      <c r="E6757" s="6">
        <v>1.08</v>
      </c>
      <c r="F6757" t="str">
        <f t="shared" si="2843"/>
        <v>FRI</v>
      </c>
      <c r="G6757" s="1">
        <f>DATE(2021,1,8)</f>
        <v>44204</v>
      </c>
      <c r="H6757" s="2">
        <f t="shared" ca="1" si="2845"/>
        <v>49</v>
      </c>
      <c r="I6757" t="str">
        <f t="shared" si="2846"/>
        <v>UST10Y</v>
      </c>
      <c r="J6757">
        <f t="shared" si="2847"/>
        <v>1.1000000000000001</v>
      </c>
      <c r="K6757">
        <f t="shared" si="2848"/>
        <v>0.97</v>
      </c>
      <c r="L6757">
        <f t="shared" si="2849"/>
        <v>1.0350000000000001</v>
      </c>
      <c r="M6757">
        <f t="shared" si="2850"/>
        <v>6.5000000000000058E-2</v>
      </c>
      <c r="N6757">
        <f t="shared" si="2841"/>
        <v>0.13000000000000012</v>
      </c>
      <c r="O6757">
        <f t="shared" si="2851"/>
        <v>1.08</v>
      </c>
      <c r="P6757">
        <f t="shared" si="2852"/>
        <v>0.69230769230769063</v>
      </c>
      <c r="Q6757" t="str">
        <f t="shared" si="2842"/>
        <v>1.85% | 10.19%</v>
      </c>
      <c r="R6757" t="str">
        <f t="shared" si="2853"/>
        <v>BULLISH</v>
      </c>
      <c r="S6757">
        <f t="shared" si="2854"/>
        <v>1</v>
      </c>
    </row>
    <row r="6758" spans="1:19" hidden="1" x14ac:dyDescent="0.25">
      <c r="A6758" s="5" t="str">
        <f t="shared" si="2855"/>
        <v>44204UST2Y</v>
      </c>
      <c r="B6758" s="6" t="s">
        <v>253</v>
      </c>
      <c r="C6758" s="6">
        <v>0.16</v>
      </c>
      <c r="D6758" s="6">
        <v>0.12</v>
      </c>
      <c r="E6758" s="6">
        <v>0.14000000000000001</v>
      </c>
      <c r="F6758" t="str">
        <f t="shared" ref="F6758:F6789" si="2856">UPPER(TEXT(G6758,"ddd"))</f>
        <v>FRI</v>
      </c>
      <c r="G6758" s="1">
        <f t="shared" ref="G6758:G6788" si="2857">DATE(2021,1,8)</f>
        <v>44204</v>
      </c>
      <c r="H6758" s="2">
        <f t="shared" ref="H6758:H6789" ca="1" si="2858">TODAY()-G6758</f>
        <v>49</v>
      </c>
      <c r="I6758" t="str">
        <f t="shared" ref="I6758:I6789" si="2859">TRIM(LEFT(B6758,FIND(" ",B6758,1)))</f>
        <v>UST2Y</v>
      </c>
      <c r="J6758">
        <f t="shared" ref="J6758:J6789" si="2860">C6758</f>
        <v>0.16</v>
      </c>
      <c r="K6758">
        <f t="shared" ref="K6758:K6789" si="2861">D6758</f>
        <v>0.12</v>
      </c>
      <c r="L6758">
        <f t="shared" ref="L6758:L6789" si="2862">AVERAGE(J6758:K6758)</f>
        <v>0.14000000000000001</v>
      </c>
      <c r="M6758">
        <f t="shared" ref="M6758:M6789" si="2863">_xlfn.STDEV.P(J6758:K6758)</f>
        <v>1.9999999999999938E-2</v>
      </c>
      <c r="N6758">
        <f t="shared" si="2841"/>
        <v>4.0000000000000008E-2</v>
      </c>
      <c r="O6758">
        <f t="shared" ref="O6758:O6789" si="2864">E6758</f>
        <v>0.14000000000000001</v>
      </c>
      <c r="P6758">
        <f t="shared" ref="P6758:P6789" si="2865">(O6758-L6758)/M6758</f>
        <v>0</v>
      </c>
      <c r="Q6758" t="str">
        <f t="shared" si="2842"/>
        <v>14.29% | 14.29%</v>
      </c>
      <c r="R6758" t="str">
        <f t="shared" ref="R6758:R6789" si="2866">MID(B6758,FIND("(",B6758,1)+1,FIND(")",B6758,1)-FIND("(",B6758,1)-1)</f>
        <v>NEUTRAL</v>
      </c>
      <c r="S6758">
        <f t="shared" ref="S6758:S6789" si="2867">IF(R6758="BEARISH",-1,IF(R6758="NEUTRAL",0,IF(R6758="BULLISH",1,99)))</f>
        <v>0</v>
      </c>
    </row>
    <row r="6759" spans="1:19" hidden="1" x14ac:dyDescent="0.25">
      <c r="A6759" s="5" t="str">
        <f t="shared" si="2855"/>
        <v>44204SPX</v>
      </c>
      <c r="B6759" s="6" t="s">
        <v>93</v>
      </c>
      <c r="C6759" s="6">
        <v>3692</v>
      </c>
      <c r="D6759" s="6">
        <v>3825</v>
      </c>
      <c r="E6759" s="6">
        <v>3803</v>
      </c>
      <c r="F6759" t="str">
        <f t="shared" si="2856"/>
        <v>FRI</v>
      </c>
      <c r="G6759" s="1">
        <f t="shared" si="2857"/>
        <v>44204</v>
      </c>
      <c r="H6759" s="2">
        <f t="shared" ca="1" si="2858"/>
        <v>49</v>
      </c>
      <c r="I6759" t="str">
        <f t="shared" si="2859"/>
        <v>SPX</v>
      </c>
      <c r="J6759">
        <f t="shared" si="2860"/>
        <v>3692</v>
      </c>
      <c r="K6759">
        <f t="shared" si="2861"/>
        <v>3825</v>
      </c>
      <c r="L6759">
        <f t="shared" si="2862"/>
        <v>3758.5</v>
      </c>
      <c r="M6759">
        <f t="shared" si="2863"/>
        <v>66.5</v>
      </c>
      <c r="N6759">
        <f t="shared" si="2841"/>
        <v>133</v>
      </c>
      <c r="O6759">
        <f t="shared" si="2864"/>
        <v>3803</v>
      </c>
      <c r="P6759">
        <f t="shared" si="2865"/>
        <v>0.66917293233082709</v>
      </c>
      <c r="Q6759" t="str">
        <f t="shared" si="2842"/>
        <v>2.92% | 0.58%</v>
      </c>
      <c r="R6759" t="str">
        <f t="shared" si="2866"/>
        <v>BULLISH</v>
      </c>
      <c r="S6759">
        <f t="shared" si="2867"/>
        <v>1</v>
      </c>
    </row>
    <row r="6760" spans="1:19" hidden="1" x14ac:dyDescent="0.25">
      <c r="A6760" s="5" t="str">
        <f t="shared" si="2855"/>
        <v>44204RUT</v>
      </c>
      <c r="B6760" s="6" t="s">
        <v>247</v>
      </c>
      <c r="C6760" s="6">
        <v>2045</v>
      </c>
      <c r="D6760" s="6">
        <v>2130</v>
      </c>
      <c r="E6760" s="6">
        <v>2096</v>
      </c>
      <c r="F6760" t="str">
        <f t="shared" si="2856"/>
        <v>FRI</v>
      </c>
      <c r="G6760" s="1">
        <f t="shared" si="2857"/>
        <v>44204</v>
      </c>
      <c r="H6760" s="2">
        <f t="shared" ca="1" si="2858"/>
        <v>49</v>
      </c>
      <c r="I6760" t="str">
        <f t="shared" si="2859"/>
        <v>RUT</v>
      </c>
      <c r="J6760">
        <f t="shared" si="2860"/>
        <v>2045</v>
      </c>
      <c r="K6760">
        <f t="shared" si="2861"/>
        <v>2130</v>
      </c>
      <c r="L6760">
        <f t="shared" si="2862"/>
        <v>2087.5</v>
      </c>
      <c r="M6760">
        <f t="shared" si="2863"/>
        <v>42.5</v>
      </c>
      <c r="N6760">
        <f t="shared" si="2841"/>
        <v>85</v>
      </c>
      <c r="O6760">
        <f t="shared" si="2864"/>
        <v>2096</v>
      </c>
      <c r="P6760">
        <f t="shared" si="2865"/>
        <v>0.2</v>
      </c>
      <c r="Q6760" t="str">
        <f t="shared" si="2842"/>
        <v>2.43% | 1.62%</v>
      </c>
      <c r="R6760" t="str">
        <f t="shared" si="2866"/>
        <v>BULLISH</v>
      </c>
      <c r="S6760">
        <f t="shared" si="2867"/>
        <v>1</v>
      </c>
    </row>
    <row r="6761" spans="1:19" hidden="1" x14ac:dyDescent="0.25">
      <c r="A6761" s="5" t="str">
        <f t="shared" si="2855"/>
        <v>44204COMPQ</v>
      </c>
      <c r="B6761" s="6" t="s">
        <v>8</v>
      </c>
      <c r="C6761" s="6">
        <v>12748</v>
      </c>
      <c r="D6761" s="6">
        <v>13155</v>
      </c>
      <c r="E6761" s="6">
        <v>13067</v>
      </c>
      <c r="F6761" t="str">
        <f t="shared" si="2856"/>
        <v>FRI</v>
      </c>
      <c r="G6761" s="1">
        <f t="shared" si="2857"/>
        <v>44204</v>
      </c>
      <c r="H6761" s="2">
        <f t="shared" ca="1" si="2858"/>
        <v>49</v>
      </c>
      <c r="I6761" t="str">
        <f t="shared" si="2859"/>
        <v>COMPQ</v>
      </c>
      <c r="J6761">
        <f t="shared" si="2860"/>
        <v>12748</v>
      </c>
      <c r="K6761">
        <f t="shared" si="2861"/>
        <v>13155</v>
      </c>
      <c r="L6761">
        <f t="shared" si="2862"/>
        <v>12951.5</v>
      </c>
      <c r="M6761">
        <f t="shared" si="2863"/>
        <v>203.5</v>
      </c>
      <c r="N6761">
        <f t="shared" si="2841"/>
        <v>407</v>
      </c>
      <c r="O6761">
        <f t="shared" si="2864"/>
        <v>13067</v>
      </c>
      <c r="P6761">
        <f t="shared" si="2865"/>
        <v>0.56756756756756754</v>
      </c>
      <c r="Q6761" t="str">
        <f t="shared" si="2842"/>
        <v>2.44% | 0.67%</v>
      </c>
      <c r="R6761" t="str">
        <f t="shared" si="2866"/>
        <v>BULLISH</v>
      </c>
      <c r="S6761">
        <f t="shared" si="2867"/>
        <v>1</v>
      </c>
    </row>
    <row r="6762" spans="1:19" hidden="1" x14ac:dyDescent="0.25">
      <c r="A6762" s="5" t="str">
        <f t="shared" si="2855"/>
        <v>44204XLK</v>
      </c>
      <c r="B6762" s="6" t="s">
        <v>10</v>
      </c>
      <c r="C6762" s="6">
        <v>126.71</v>
      </c>
      <c r="D6762" s="6">
        <v>131.96</v>
      </c>
      <c r="E6762" s="6">
        <v>129.91999999999999</v>
      </c>
      <c r="F6762" t="str">
        <f t="shared" si="2856"/>
        <v>FRI</v>
      </c>
      <c r="G6762" s="1">
        <f t="shared" si="2857"/>
        <v>44204</v>
      </c>
      <c r="H6762" s="2">
        <f t="shared" ca="1" si="2858"/>
        <v>49</v>
      </c>
      <c r="I6762" t="str">
        <f t="shared" si="2859"/>
        <v>XLK</v>
      </c>
      <c r="J6762">
        <f t="shared" si="2860"/>
        <v>126.71</v>
      </c>
      <c r="K6762">
        <f t="shared" si="2861"/>
        <v>131.96</v>
      </c>
      <c r="L6762">
        <f t="shared" si="2862"/>
        <v>129.33500000000001</v>
      </c>
      <c r="M6762">
        <f t="shared" si="2863"/>
        <v>2.6250000000000071</v>
      </c>
      <c r="N6762">
        <f t="shared" si="2841"/>
        <v>5.2500000000000142</v>
      </c>
      <c r="O6762">
        <f t="shared" si="2864"/>
        <v>129.91999999999999</v>
      </c>
      <c r="P6762">
        <f t="shared" si="2865"/>
        <v>0.22285714285713445</v>
      </c>
      <c r="Q6762" t="str">
        <f t="shared" si="2842"/>
        <v>2.47% | 1.57%</v>
      </c>
      <c r="R6762" t="str">
        <f t="shared" si="2866"/>
        <v>BULLISH</v>
      </c>
      <c r="S6762">
        <f t="shared" si="2867"/>
        <v>1</v>
      </c>
    </row>
    <row r="6763" spans="1:19" hidden="1" x14ac:dyDescent="0.25">
      <c r="A6763" s="5" t="str">
        <f t="shared" si="2855"/>
        <v>44204XLE</v>
      </c>
      <c r="B6763" s="6" t="s">
        <v>250</v>
      </c>
      <c r="C6763" s="6">
        <v>37.72</v>
      </c>
      <c r="D6763" s="6">
        <v>41.98</v>
      </c>
      <c r="E6763" s="6">
        <v>41.47</v>
      </c>
      <c r="F6763" t="str">
        <f t="shared" si="2856"/>
        <v>FRI</v>
      </c>
      <c r="G6763" s="1">
        <f t="shared" si="2857"/>
        <v>44204</v>
      </c>
      <c r="H6763" s="2">
        <f t="shared" ca="1" si="2858"/>
        <v>49</v>
      </c>
      <c r="I6763" t="str">
        <f t="shared" si="2859"/>
        <v>XLE</v>
      </c>
      <c r="J6763">
        <f t="shared" si="2860"/>
        <v>37.72</v>
      </c>
      <c r="K6763">
        <f t="shared" si="2861"/>
        <v>41.98</v>
      </c>
      <c r="L6763">
        <f t="shared" si="2862"/>
        <v>39.849999999999994</v>
      </c>
      <c r="M6763">
        <f t="shared" si="2863"/>
        <v>2.129999999999999</v>
      </c>
      <c r="N6763">
        <f t="shared" si="2841"/>
        <v>4.259999999999998</v>
      </c>
      <c r="O6763">
        <f t="shared" si="2864"/>
        <v>41.47</v>
      </c>
      <c r="P6763">
        <f t="shared" si="2865"/>
        <v>0.76056338028169268</v>
      </c>
      <c r="Q6763" t="str">
        <f t="shared" si="2842"/>
        <v>9.04% | 1.23%</v>
      </c>
      <c r="R6763" t="str">
        <f t="shared" si="2866"/>
        <v>BULLISH</v>
      </c>
      <c r="S6763">
        <f t="shared" si="2867"/>
        <v>1</v>
      </c>
    </row>
    <row r="6764" spans="1:19" hidden="1" x14ac:dyDescent="0.25">
      <c r="A6764" s="5" t="str">
        <f t="shared" si="2855"/>
        <v>44204XLF</v>
      </c>
      <c r="B6764" s="6" t="s">
        <v>258</v>
      </c>
      <c r="C6764" s="6">
        <v>28.85</v>
      </c>
      <c r="D6764" s="6">
        <v>31.2</v>
      </c>
      <c r="E6764" s="6">
        <v>30.94</v>
      </c>
      <c r="F6764" t="str">
        <f t="shared" si="2856"/>
        <v>FRI</v>
      </c>
      <c r="G6764" s="1">
        <f t="shared" si="2857"/>
        <v>44204</v>
      </c>
      <c r="H6764" s="2">
        <f t="shared" ca="1" si="2858"/>
        <v>49</v>
      </c>
      <c r="I6764" t="str">
        <f t="shared" si="2859"/>
        <v>XLF</v>
      </c>
      <c r="J6764">
        <f t="shared" si="2860"/>
        <v>28.85</v>
      </c>
      <c r="K6764">
        <f t="shared" si="2861"/>
        <v>31.2</v>
      </c>
      <c r="L6764">
        <f t="shared" si="2862"/>
        <v>30.024999999999999</v>
      </c>
      <c r="M6764">
        <f t="shared" si="2863"/>
        <v>1.1749999999999989</v>
      </c>
      <c r="N6764">
        <f t="shared" si="2841"/>
        <v>2.3499999999999979</v>
      </c>
      <c r="O6764">
        <f t="shared" si="2864"/>
        <v>30.94</v>
      </c>
      <c r="P6764">
        <f t="shared" si="2865"/>
        <v>0.77872340425532216</v>
      </c>
      <c r="Q6764" t="str">
        <f t="shared" si="2842"/>
        <v>6.76% | 0.84%</v>
      </c>
      <c r="R6764" t="str">
        <f t="shared" si="2866"/>
        <v>BULLISH</v>
      </c>
      <c r="S6764">
        <f t="shared" si="2867"/>
        <v>1</v>
      </c>
    </row>
    <row r="6765" spans="1:19" hidden="1" x14ac:dyDescent="0.25">
      <c r="A6765" s="5" t="str">
        <f t="shared" si="2855"/>
        <v>44204XLU</v>
      </c>
      <c r="B6765" s="6" t="s">
        <v>82</v>
      </c>
      <c r="C6765" s="6">
        <v>60.26</v>
      </c>
      <c r="D6765" s="6">
        <v>62.86</v>
      </c>
      <c r="E6765" s="6">
        <v>61.81</v>
      </c>
      <c r="F6765" t="str">
        <f t="shared" si="2856"/>
        <v>FRI</v>
      </c>
      <c r="G6765" s="1">
        <f t="shared" si="2857"/>
        <v>44204</v>
      </c>
      <c r="H6765" s="2">
        <f t="shared" ca="1" si="2858"/>
        <v>49</v>
      </c>
      <c r="I6765" t="str">
        <f t="shared" si="2859"/>
        <v>XLU</v>
      </c>
      <c r="J6765">
        <f t="shared" si="2860"/>
        <v>60.26</v>
      </c>
      <c r="K6765">
        <f t="shared" si="2861"/>
        <v>62.86</v>
      </c>
      <c r="L6765">
        <f t="shared" si="2862"/>
        <v>61.56</v>
      </c>
      <c r="M6765">
        <f t="shared" si="2863"/>
        <v>1.3000000000000007</v>
      </c>
      <c r="N6765">
        <f t="shared" si="2841"/>
        <v>2.6000000000000014</v>
      </c>
      <c r="O6765">
        <f t="shared" si="2864"/>
        <v>61.81</v>
      </c>
      <c r="P6765">
        <f t="shared" si="2865"/>
        <v>0.19230769230769221</v>
      </c>
      <c r="Q6765" t="str">
        <f t="shared" si="2842"/>
        <v>2.51% | 1.7%</v>
      </c>
      <c r="R6765" t="str">
        <f t="shared" si="2866"/>
        <v>BEARISH</v>
      </c>
      <c r="S6765">
        <f t="shared" si="2867"/>
        <v>-1</v>
      </c>
    </row>
    <row r="6766" spans="1:19" hidden="1" x14ac:dyDescent="0.25">
      <c r="A6766" s="5" t="str">
        <f t="shared" si="2855"/>
        <v>44204GDX</v>
      </c>
      <c r="B6766" s="6" t="s">
        <v>254</v>
      </c>
      <c r="C6766" s="6">
        <v>34.42</v>
      </c>
      <c r="D6766" s="6">
        <v>39.19</v>
      </c>
      <c r="E6766" s="6">
        <v>38.369999999999997</v>
      </c>
      <c r="F6766" t="str">
        <f t="shared" si="2856"/>
        <v>FRI</v>
      </c>
      <c r="G6766" s="1">
        <f t="shared" si="2857"/>
        <v>44204</v>
      </c>
      <c r="H6766" s="2">
        <f t="shared" ca="1" si="2858"/>
        <v>49</v>
      </c>
      <c r="I6766" t="str">
        <f t="shared" si="2859"/>
        <v>GDX</v>
      </c>
      <c r="J6766">
        <f t="shared" si="2860"/>
        <v>34.42</v>
      </c>
      <c r="K6766">
        <f t="shared" si="2861"/>
        <v>39.19</v>
      </c>
      <c r="L6766">
        <f t="shared" si="2862"/>
        <v>36.805</v>
      </c>
      <c r="M6766">
        <f t="shared" si="2863"/>
        <v>2.384999999999998</v>
      </c>
      <c r="N6766">
        <f t="shared" si="2841"/>
        <v>4.769999999999996</v>
      </c>
      <c r="O6766">
        <f t="shared" si="2864"/>
        <v>38.369999999999997</v>
      </c>
      <c r="P6766">
        <f t="shared" si="2865"/>
        <v>0.65618448637316518</v>
      </c>
      <c r="Q6766" t="str">
        <f t="shared" si="2842"/>
        <v>10.29% | 2.14%</v>
      </c>
      <c r="R6766" t="str">
        <f t="shared" si="2866"/>
        <v>BEARISH</v>
      </c>
      <c r="S6766">
        <f t="shared" si="2867"/>
        <v>-1</v>
      </c>
    </row>
    <row r="6767" spans="1:19" hidden="1" x14ac:dyDescent="0.25">
      <c r="A6767" s="5" t="str">
        <f t="shared" si="2855"/>
        <v>44204SSEC</v>
      </c>
      <c r="B6767" s="6" t="s">
        <v>104</v>
      </c>
      <c r="C6767" s="6">
        <v>3455</v>
      </c>
      <c r="D6767" s="6">
        <v>3599</v>
      </c>
      <c r="E6767" s="6">
        <v>3570</v>
      </c>
      <c r="F6767" t="str">
        <f t="shared" si="2856"/>
        <v>FRI</v>
      </c>
      <c r="G6767" s="1">
        <f t="shared" si="2857"/>
        <v>44204</v>
      </c>
      <c r="H6767" s="2">
        <f t="shared" ca="1" si="2858"/>
        <v>49</v>
      </c>
      <c r="I6767" t="str">
        <f t="shared" si="2859"/>
        <v>SSEC</v>
      </c>
      <c r="J6767">
        <f t="shared" si="2860"/>
        <v>3455</v>
      </c>
      <c r="K6767">
        <f t="shared" si="2861"/>
        <v>3599</v>
      </c>
      <c r="L6767">
        <f t="shared" si="2862"/>
        <v>3527</v>
      </c>
      <c r="M6767">
        <f t="shared" si="2863"/>
        <v>72</v>
      </c>
      <c r="N6767">
        <f t="shared" si="2841"/>
        <v>144</v>
      </c>
      <c r="O6767">
        <f t="shared" si="2864"/>
        <v>3570</v>
      </c>
      <c r="P6767">
        <f t="shared" si="2865"/>
        <v>0.59722222222222221</v>
      </c>
      <c r="Q6767" t="str">
        <f t="shared" si="2842"/>
        <v>3.22% | 0.81%</v>
      </c>
      <c r="R6767" t="str">
        <f t="shared" si="2866"/>
        <v>BULLISH</v>
      </c>
      <c r="S6767">
        <f t="shared" si="2867"/>
        <v>1</v>
      </c>
    </row>
    <row r="6768" spans="1:19" hidden="1" x14ac:dyDescent="0.25">
      <c r="A6768" s="5" t="str">
        <f t="shared" si="2855"/>
        <v>44204NIKK</v>
      </c>
      <c r="B6768" s="6" t="s">
        <v>91</v>
      </c>
      <c r="C6768" s="6">
        <v>26699</v>
      </c>
      <c r="D6768" s="6">
        <v>28151</v>
      </c>
      <c r="E6768" s="6">
        <v>28139</v>
      </c>
      <c r="F6768" t="str">
        <f t="shared" si="2856"/>
        <v>FRI</v>
      </c>
      <c r="G6768" s="1">
        <f t="shared" si="2857"/>
        <v>44204</v>
      </c>
      <c r="H6768" s="2">
        <f t="shared" ca="1" si="2858"/>
        <v>49</v>
      </c>
      <c r="I6768" t="str">
        <f t="shared" si="2859"/>
        <v>NIKK</v>
      </c>
      <c r="J6768">
        <f t="shared" si="2860"/>
        <v>26699</v>
      </c>
      <c r="K6768">
        <f t="shared" si="2861"/>
        <v>28151</v>
      </c>
      <c r="L6768">
        <f t="shared" si="2862"/>
        <v>27425</v>
      </c>
      <c r="M6768">
        <f t="shared" si="2863"/>
        <v>726</v>
      </c>
      <c r="N6768">
        <f t="shared" si="2841"/>
        <v>1452</v>
      </c>
      <c r="O6768">
        <f t="shared" si="2864"/>
        <v>28139</v>
      </c>
      <c r="P6768">
        <f t="shared" si="2865"/>
        <v>0.98347107438016534</v>
      </c>
      <c r="Q6768" t="str">
        <f t="shared" si="2842"/>
        <v>5.12% | 0.04%</v>
      </c>
      <c r="R6768" t="str">
        <f t="shared" si="2866"/>
        <v>BULLISH</v>
      </c>
      <c r="S6768">
        <f t="shared" si="2867"/>
        <v>1</v>
      </c>
    </row>
    <row r="6769" spans="1:19" hidden="1" x14ac:dyDescent="0.25">
      <c r="A6769" s="5" t="str">
        <f t="shared" si="2855"/>
        <v>44204DAX</v>
      </c>
      <c r="B6769" s="6" t="s">
        <v>98</v>
      </c>
      <c r="C6769" s="6">
        <v>13427</v>
      </c>
      <c r="D6769" s="6">
        <v>14099</v>
      </c>
      <c r="E6769" s="6">
        <v>13968</v>
      </c>
      <c r="F6769" t="str">
        <f t="shared" si="2856"/>
        <v>FRI</v>
      </c>
      <c r="G6769" s="1">
        <f t="shared" si="2857"/>
        <v>44204</v>
      </c>
      <c r="H6769" s="2">
        <f t="shared" ca="1" si="2858"/>
        <v>49</v>
      </c>
      <c r="I6769" t="str">
        <f t="shared" si="2859"/>
        <v>DAX</v>
      </c>
      <c r="J6769">
        <f t="shared" si="2860"/>
        <v>13427</v>
      </c>
      <c r="K6769">
        <f t="shared" si="2861"/>
        <v>14099</v>
      </c>
      <c r="L6769">
        <f t="shared" si="2862"/>
        <v>13763</v>
      </c>
      <c r="M6769">
        <f t="shared" si="2863"/>
        <v>336</v>
      </c>
      <c r="N6769">
        <f t="shared" si="2841"/>
        <v>672</v>
      </c>
      <c r="O6769">
        <f t="shared" si="2864"/>
        <v>13968</v>
      </c>
      <c r="P6769">
        <f t="shared" si="2865"/>
        <v>0.61011904761904767</v>
      </c>
      <c r="Q6769" t="str">
        <f t="shared" si="2842"/>
        <v>3.87% | 0.94%</v>
      </c>
      <c r="R6769" t="str">
        <f t="shared" si="2866"/>
        <v>BULLISH</v>
      </c>
      <c r="S6769">
        <f t="shared" si="2867"/>
        <v>1</v>
      </c>
    </row>
    <row r="6770" spans="1:19" hidden="1" x14ac:dyDescent="0.25">
      <c r="A6770" s="5" t="str">
        <f t="shared" si="2855"/>
        <v>44204VIX</v>
      </c>
      <c r="B6770" s="6" t="s">
        <v>96</v>
      </c>
      <c r="C6770" s="6">
        <v>19.91</v>
      </c>
      <c r="D6770" s="6">
        <v>26.99</v>
      </c>
      <c r="E6770" s="6">
        <v>22.37</v>
      </c>
      <c r="F6770" t="str">
        <f t="shared" si="2856"/>
        <v>FRI</v>
      </c>
      <c r="G6770" s="1">
        <f t="shared" si="2857"/>
        <v>44204</v>
      </c>
      <c r="H6770" s="2">
        <f t="shared" ca="1" si="2858"/>
        <v>49</v>
      </c>
      <c r="I6770" t="str">
        <f t="shared" si="2859"/>
        <v>VIX</v>
      </c>
      <c r="J6770">
        <f t="shared" si="2860"/>
        <v>19.91</v>
      </c>
      <c r="K6770">
        <f t="shared" si="2861"/>
        <v>26.99</v>
      </c>
      <c r="L6770">
        <f t="shared" si="2862"/>
        <v>23.45</v>
      </c>
      <c r="M6770">
        <f t="shared" si="2863"/>
        <v>3.5400000000000036</v>
      </c>
      <c r="N6770">
        <f t="shared" si="2841"/>
        <v>7.0799999999999983</v>
      </c>
      <c r="O6770">
        <f t="shared" si="2864"/>
        <v>22.37</v>
      </c>
      <c r="P6770">
        <f t="shared" si="2865"/>
        <v>-0.30508474576271105</v>
      </c>
      <c r="Q6770" t="str">
        <f t="shared" si="2842"/>
        <v>11% | 20.65%</v>
      </c>
      <c r="R6770" t="str">
        <f t="shared" si="2866"/>
        <v>BEARISH</v>
      </c>
      <c r="S6770">
        <f t="shared" si="2867"/>
        <v>-1</v>
      </c>
    </row>
    <row r="6771" spans="1:19" hidden="1" x14ac:dyDescent="0.25">
      <c r="A6771" s="5" t="str">
        <f t="shared" si="2855"/>
        <v>44204USD</v>
      </c>
      <c r="B6771" s="6" t="s">
        <v>94</v>
      </c>
      <c r="C6771" s="6">
        <v>89.21</v>
      </c>
      <c r="D6771" s="6">
        <v>90.39</v>
      </c>
      <c r="E6771" s="6">
        <v>89.79</v>
      </c>
      <c r="F6771" t="str">
        <f t="shared" si="2856"/>
        <v>FRI</v>
      </c>
      <c r="G6771" s="1">
        <f t="shared" si="2857"/>
        <v>44204</v>
      </c>
      <c r="H6771" s="2">
        <f t="shared" ca="1" si="2858"/>
        <v>49</v>
      </c>
      <c r="I6771" t="str">
        <f t="shared" si="2859"/>
        <v>USD</v>
      </c>
      <c r="J6771">
        <f t="shared" si="2860"/>
        <v>89.21</v>
      </c>
      <c r="K6771">
        <f t="shared" si="2861"/>
        <v>90.39</v>
      </c>
      <c r="L6771">
        <f t="shared" si="2862"/>
        <v>89.8</v>
      </c>
      <c r="M6771">
        <f t="shared" si="2863"/>
        <v>0.59000000000000341</v>
      </c>
      <c r="N6771">
        <f t="shared" si="2841"/>
        <v>1.1800000000000068</v>
      </c>
      <c r="O6771">
        <f t="shared" si="2864"/>
        <v>89.79</v>
      </c>
      <c r="P6771">
        <f t="shared" si="2865"/>
        <v>-1.6949152542357369E-2</v>
      </c>
      <c r="Q6771" t="str">
        <f t="shared" si="2842"/>
        <v>0.65% | 0.67%</v>
      </c>
      <c r="R6771" t="str">
        <f t="shared" si="2866"/>
        <v>BEARISH</v>
      </c>
      <c r="S6771">
        <f t="shared" si="2867"/>
        <v>-1</v>
      </c>
    </row>
    <row r="6772" spans="1:19" hidden="1" x14ac:dyDescent="0.25">
      <c r="A6772" s="5" t="str">
        <f t="shared" si="2855"/>
        <v>44204EUR/USD</v>
      </c>
      <c r="B6772" s="6" t="s">
        <v>99</v>
      </c>
      <c r="C6772" s="6">
        <v>1.2170000000000001</v>
      </c>
      <c r="D6772" s="6">
        <v>1.2350000000000001</v>
      </c>
      <c r="E6772" s="6">
        <v>1.228</v>
      </c>
      <c r="F6772" t="str">
        <f t="shared" si="2856"/>
        <v>FRI</v>
      </c>
      <c r="G6772" s="1">
        <f t="shared" si="2857"/>
        <v>44204</v>
      </c>
      <c r="H6772" s="2">
        <f t="shared" ca="1" si="2858"/>
        <v>49</v>
      </c>
      <c r="I6772" t="str">
        <f t="shared" si="2859"/>
        <v>EUR/USD</v>
      </c>
      <c r="J6772">
        <f t="shared" si="2860"/>
        <v>1.2170000000000001</v>
      </c>
      <c r="K6772">
        <f t="shared" si="2861"/>
        <v>1.2350000000000001</v>
      </c>
      <c r="L6772">
        <f t="shared" si="2862"/>
        <v>1.226</v>
      </c>
      <c r="M6772">
        <f t="shared" si="2863"/>
        <v>9.000000000000008E-3</v>
      </c>
      <c r="N6772">
        <f t="shared" si="2841"/>
        <v>1.8000000000000016E-2</v>
      </c>
      <c r="O6772">
        <f t="shared" si="2864"/>
        <v>1.228</v>
      </c>
      <c r="P6772">
        <f t="shared" si="2865"/>
        <v>0.22222222222222221</v>
      </c>
      <c r="Q6772" t="str">
        <f t="shared" si="2842"/>
        <v>0.9% | 0.57%</v>
      </c>
      <c r="R6772" t="str">
        <f t="shared" si="2866"/>
        <v>BULLISH</v>
      </c>
      <c r="S6772">
        <f t="shared" si="2867"/>
        <v>1</v>
      </c>
    </row>
    <row r="6773" spans="1:19" hidden="1" x14ac:dyDescent="0.25">
      <c r="A6773" s="5" t="str">
        <f t="shared" si="2855"/>
        <v>44204USD/JPY</v>
      </c>
      <c r="B6773" s="6" t="s">
        <v>20</v>
      </c>
      <c r="C6773" s="6">
        <v>102.65</v>
      </c>
      <c r="D6773" s="6">
        <v>104.14</v>
      </c>
      <c r="E6773" s="6">
        <v>103.81</v>
      </c>
      <c r="F6773" t="str">
        <f t="shared" si="2856"/>
        <v>FRI</v>
      </c>
      <c r="G6773" s="1">
        <f t="shared" si="2857"/>
        <v>44204</v>
      </c>
      <c r="H6773" s="2">
        <f t="shared" ca="1" si="2858"/>
        <v>49</v>
      </c>
      <c r="I6773" t="str">
        <f t="shared" si="2859"/>
        <v>USD/JPY</v>
      </c>
      <c r="J6773">
        <f t="shared" si="2860"/>
        <v>102.65</v>
      </c>
      <c r="K6773">
        <f t="shared" si="2861"/>
        <v>104.14</v>
      </c>
      <c r="L6773">
        <f t="shared" si="2862"/>
        <v>103.39500000000001</v>
      </c>
      <c r="M6773">
        <f t="shared" si="2863"/>
        <v>0.74499999999999733</v>
      </c>
      <c r="N6773">
        <f t="shared" si="2841"/>
        <v>1.4899999999999949</v>
      </c>
      <c r="O6773">
        <f t="shared" si="2864"/>
        <v>103.81</v>
      </c>
      <c r="P6773">
        <f t="shared" si="2865"/>
        <v>0.55704697986576313</v>
      </c>
      <c r="Q6773" t="str">
        <f t="shared" si="2842"/>
        <v>1.12% | 0.32%</v>
      </c>
      <c r="R6773" t="str">
        <f t="shared" si="2866"/>
        <v>BEARISH</v>
      </c>
      <c r="S6773">
        <f t="shared" si="2867"/>
        <v>-1</v>
      </c>
    </row>
    <row r="6774" spans="1:19" hidden="1" x14ac:dyDescent="0.25">
      <c r="A6774" s="5" t="str">
        <f t="shared" si="2855"/>
        <v>44204GBP/USD</v>
      </c>
      <c r="B6774" s="6" t="s">
        <v>102</v>
      </c>
      <c r="C6774" s="6">
        <v>1.3460000000000001</v>
      </c>
      <c r="D6774" s="6">
        <v>1.371</v>
      </c>
      <c r="E6774" s="6">
        <v>1.357</v>
      </c>
      <c r="F6774" t="str">
        <f t="shared" si="2856"/>
        <v>FRI</v>
      </c>
      <c r="G6774" s="1">
        <f t="shared" si="2857"/>
        <v>44204</v>
      </c>
      <c r="H6774" s="2">
        <f t="shared" ca="1" si="2858"/>
        <v>49</v>
      </c>
      <c r="I6774" t="str">
        <f t="shared" si="2859"/>
        <v>GBP/USD</v>
      </c>
      <c r="J6774">
        <f t="shared" si="2860"/>
        <v>1.3460000000000001</v>
      </c>
      <c r="K6774">
        <f t="shared" si="2861"/>
        <v>1.371</v>
      </c>
      <c r="L6774">
        <f t="shared" si="2862"/>
        <v>1.3585</v>
      </c>
      <c r="M6774">
        <f t="shared" si="2863"/>
        <v>1.2499999999999956E-2</v>
      </c>
      <c r="N6774">
        <f t="shared" si="2841"/>
        <v>2.4999999999999911E-2</v>
      </c>
      <c r="O6774">
        <f t="shared" si="2864"/>
        <v>1.357</v>
      </c>
      <c r="P6774">
        <f t="shared" si="2865"/>
        <v>-0.12000000000000498</v>
      </c>
      <c r="Q6774" t="str">
        <f t="shared" si="2842"/>
        <v>0.81% | 1.03%</v>
      </c>
      <c r="R6774" t="str">
        <f t="shared" si="2866"/>
        <v>BULLISH</v>
      </c>
      <c r="S6774">
        <f t="shared" si="2867"/>
        <v>1</v>
      </c>
    </row>
    <row r="6775" spans="1:19" hidden="1" x14ac:dyDescent="0.25">
      <c r="A6775" s="5" t="str">
        <f t="shared" si="2855"/>
        <v>44204CAD/USD</v>
      </c>
      <c r="B6775" s="6" t="s">
        <v>244</v>
      </c>
      <c r="C6775" s="6">
        <v>0.78</v>
      </c>
      <c r="D6775" s="6">
        <v>0.8</v>
      </c>
      <c r="E6775" s="6">
        <v>0.78</v>
      </c>
      <c r="F6775" t="str">
        <f t="shared" si="2856"/>
        <v>FRI</v>
      </c>
      <c r="G6775" s="1">
        <f t="shared" si="2857"/>
        <v>44204</v>
      </c>
      <c r="H6775" s="2">
        <f t="shared" ca="1" si="2858"/>
        <v>49</v>
      </c>
      <c r="I6775" t="str">
        <f t="shared" si="2859"/>
        <v>CAD/USD</v>
      </c>
      <c r="J6775">
        <f t="shared" si="2860"/>
        <v>0.78</v>
      </c>
      <c r="K6775">
        <f t="shared" si="2861"/>
        <v>0.8</v>
      </c>
      <c r="L6775">
        <f t="shared" si="2862"/>
        <v>0.79</v>
      </c>
      <c r="M6775">
        <f t="shared" si="2863"/>
        <v>1.0000000000000009E-2</v>
      </c>
      <c r="N6775">
        <f t="shared" si="2841"/>
        <v>2.0000000000000018E-2</v>
      </c>
      <c r="O6775">
        <f t="shared" si="2864"/>
        <v>0.78</v>
      </c>
      <c r="P6775">
        <f t="shared" si="2865"/>
        <v>-1</v>
      </c>
      <c r="Q6775" t="str">
        <f t="shared" si="2842"/>
        <v>0% | 2.56%</v>
      </c>
      <c r="R6775" t="str">
        <f t="shared" si="2866"/>
        <v>BULLISH</v>
      </c>
      <c r="S6775">
        <f t="shared" si="2867"/>
        <v>1</v>
      </c>
    </row>
    <row r="6776" spans="1:19" hidden="1" x14ac:dyDescent="0.25">
      <c r="A6776" s="5" t="str">
        <f t="shared" si="2855"/>
        <v>44204USD/CHF</v>
      </c>
      <c r="B6776" s="6" t="s">
        <v>76</v>
      </c>
      <c r="C6776" s="6">
        <v>0.87</v>
      </c>
      <c r="D6776" s="6">
        <v>0.89</v>
      </c>
      <c r="E6776" s="6">
        <v>0.88</v>
      </c>
      <c r="F6776" t="str">
        <f t="shared" si="2856"/>
        <v>FRI</v>
      </c>
      <c r="G6776" s="1">
        <f t="shared" si="2857"/>
        <v>44204</v>
      </c>
      <c r="H6776" s="2">
        <f t="shared" ca="1" si="2858"/>
        <v>49</v>
      </c>
      <c r="I6776" t="str">
        <f t="shared" si="2859"/>
        <v>USD/CHF</v>
      </c>
      <c r="J6776">
        <f t="shared" si="2860"/>
        <v>0.87</v>
      </c>
      <c r="K6776">
        <f t="shared" si="2861"/>
        <v>0.89</v>
      </c>
      <c r="L6776">
        <f t="shared" si="2862"/>
        <v>0.88</v>
      </c>
      <c r="M6776">
        <f t="shared" si="2863"/>
        <v>1.0000000000000009E-2</v>
      </c>
      <c r="N6776">
        <f t="shared" si="2841"/>
        <v>2.0000000000000018E-2</v>
      </c>
      <c r="O6776">
        <f t="shared" si="2864"/>
        <v>0.88</v>
      </c>
      <c r="P6776">
        <f t="shared" si="2865"/>
        <v>0</v>
      </c>
      <c r="Q6776" t="str">
        <f t="shared" si="2842"/>
        <v>1.14% | 1.14%</v>
      </c>
      <c r="R6776" t="str">
        <f t="shared" si="2866"/>
        <v>BEARISH</v>
      </c>
      <c r="S6776">
        <f t="shared" si="2867"/>
        <v>-1</v>
      </c>
    </row>
    <row r="6777" spans="1:19" hidden="1" x14ac:dyDescent="0.25">
      <c r="A6777" s="5" t="str">
        <f t="shared" si="2855"/>
        <v>44204WTIC</v>
      </c>
      <c r="B6777" s="6" t="s">
        <v>158</v>
      </c>
      <c r="C6777" s="6">
        <v>47.39</v>
      </c>
      <c r="D6777" s="6">
        <v>51.34</v>
      </c>
      <c r="E6777" s="6">
        <v>50.83</v>
      </c>
      <c r="F6777" t="str">
        <f t="shared" si="2856"/>
        <v>FRI</v>
      </c>
      <c r="G6777" s="1">
        <f t="shared" si="2857"/>
        <v>44204</v>
      </c>
      <c r="H6777" s="2">
        <f t="shared" ca="1" si="2858"/>
        <v>49</v>
      </c>
      <c r="I6777" t="str">
        <f t="shared" si="2859"/>
        <v>WTIC</v>
      </c>
      <c r="J6777">
        <f t="shared" si="2860"/>
        <v>47.39</v>
      </c>
      <c r="K6777">
        <f t="shared" si="2861"/>
        <v>51.34</v>
      </c>
      <c r="L6777">
        <f t="shared" si="2862"/>
        <v>49.365000000000002</v>
      </c>
      <c r="M6777">
        <f t="shared" si="2863"/>
        <v>1.9750000000000014</v>
      </c>
      <c r="N6777">
        <f t="shared" si="2841"/>
        <v>3.9500000000000028</v>
      </c>
      <c r="O6777">
        <f t="shared" si="2864"/>
        <v>50.83</v>
      </c>
      <c r="P6777">
        <f t="shared" si="2865"/>
        <v>0.7417721518987318</v>
      </c>
      <c r="Q6777" t="str">
        <f t="shared" si="2842"/>
        <v>6.77% | 1%</v>
      </c>
      <c r="R6777" t="str">
        <f t="shared" si="2866"/>
        <v>BULLISH</v>
      </c>
      <c r="S6777">
        <f t="shared" si="2867"/>
        <v>1</v>
      </c>
    </row>
    <row r="6778" spans="1:19" hidden="1" x14ac:dyDescent="0.25">
      <c r="A6778" s="5" t="str">
        <f t="shared" si="2855"/>
        <v>44204NATGAS</v>
      </c>
      <c r="B6778" s="6" t="s">
        <v>87</v>
      </c>
      <c r="C6778" s="6">
        <v>2.2599999999999998</v>
      </c>
      <c r="D6778" s="6">
        <v>2.81</v>
      </c>
      <c r="E6778" s="6">
        <v>2.73</v>
      </c>
      <c r="F6778" t="str">
        <f t="shared" si="2856"/>
        <v>FRI</v>
      </c>
      <c r="G6778" s="1">
        <f t="shared" si="2857"/>
        <v>44204</v>
      </c>
      <c r="H6778" s="2">
        <f t="shared" ca="1" si="2858"/>
        <v>49</v>
      </c>
      <c r="I6778" t="str">
        <f t="shared" si="2859"/>
        <v>NATGAS</v>
      </c>
      <c r="J6778">
        <f t="shared" si="2860"/>
        <v>2.2599999999999998</v>
      </c>
      <c r="K6778">
        <f t="shared" si="2861"/>
        <v>2.81</v>
      </c>
      <c r="L6778">
        <f t="shared" si="2862"/>
        <v>2.5350000000000001</v>
      </c>
      <c r="M6778">
        <f t="shared" si="2863"/>
        <v>0.27499999999999769</v>
      </c>
      <c r="N6778">
        <f t="shared" si="2841"/>
        <v>0.55000000000000027</v>
      </c>
      <c r="O6778">
        <f t="shared" si="2864"/>
        <v>2.73</v>
      </c>
      <c r="P6778">
        <f t="shared" si="2865"/>
        <v>0.70909090909091443</v>
      </c>
      <c r="Q6778" t="str">
        <f t="shared" si="2842"/>
        <v>17.22% | 2.93%</v>
      </c>
      <c r="R6778" t="str">
        <f t="shared" si="2866"/>
        <v>NEUTRAL</v>
      </c>
      <c r="S6778">
        <f t="shared" si="2867"/>
        <v>0</v>
      </c>
    </row>
    <row r="6779" spans="1:19" hidden="1" x14ac:dyDescent="0.25">
      <c r="A6779" s="5" t="str">
        <f t="shared" si="2855"/>
        <v>44204GOLD</v>
      </c>
      <c r="B6779" s="6" t="s">
        <v>85</v>
      </c>
      <c r="C6779" s="6">
        <v>1851</v>
      </c>
      <c r="D6779" s="6">
        <v>1955</v>
      </c>
      <c r="E6779" s="6">
        <v>1913</v>
      </c>
      <c r="F6779" t="str">
        <f t="shared" si="2856"/>
        <v>FRI</v>
      </c>
      <c r="G6779" s="1">
        <f t="shared" si="2857"/>
        <v>44204</v>
      </c>
      <c r="H6779" s="2">
        <f t="shared" ca="1" si="2858"/>
        <v>49</v>
      </c>
      <c r="I6779" t="str">
        <f t="shared" si="2859"/>
        <v>GOLD</v>
      </c>
      <c r="J6779">
        <f t="shared" si="2860"/>
        <v>1851</v>
      </c>
      <c r="K6779">
        <f t="shared" si="2861"/>
        <v>1955</v>
      </c>
      <c r="L6779">
        <f t="shared" si="2862"/>
        <v>1903</v>
      </c>
      <c r="M6779">
        <f t="shared" si="2863"/>
        <v>52</v>
      </c>
      <c r="N6779">
        <f t="shared" si="2841"/>
        <v>104</v>
      </c>
      <c r="O6779">
        <f t="shared" si="2864"/>
        <v>1913</v>
      </c>
      <c r="P6779">
        <f t="shared" si="2865"/>
        <v>0.19230769230769232</v>
      </c>
      <c r="Q6779" t="str">
        <f t="shared" si="2842"/>
        <v>3.24% | 2.2%</v>
      </c>
      <c r="R6779" t="str">
        <f t="shared" si="2866"/>
        <v>BEARISH</v>
      </c>
      <c r="S6779">
        <f t="shared" si="2867"/>
        <v>-1</v>
      </c>
    </row>
    <row r="6780" spans="1:19" hidden="1" x14ac:dyDescent="0.25">
      <c r="A6780" s="5" t="str">
        <f t="shared" si="2855"/>
        <v>44204COPPER</v>
      </c>
      <c r="B6780" s="6" t="s">
        <v>100</v>
      </c>
      <c r="C6780" s="6">
        <v>3.55</v>
      </c>
      <c r="D6780" s="6">
        <v>3.71</v>
      </c>
      <c r="E6780" s="6">
        <v>3.7</v>
      </c>
      <c r="F6780" t="str">
        <f t="shared" si="2856"/>
        <v>FRI</v>
      </c>
      <c r="G6780" s="1">
        <f t="shared" si="2857"/>
        <v>44204</v>
      </c>
      <c r="H6780" s="2">
        <f t="shared" ca="1" si="2858"/>
        <v>49</v>
      </c>
      <c r="I6780" t="str">
        <f t="shared" si="2859"/>
        <v>COPPER</v>
      </c>
      <c r="J6780">
        <f t="shared" si="2860"/>
        <v>3.55</v>
      </c>
      <c r="K6780">
        <f t="shared" si="2861"/>
        <v>3.71</v>
      </c>
      <c r="L6780">
        <f t="shared" si="2862"/>
        <v>3.63</v>
      </c>
      <c r="M6780">
        <f t="shared" si="2863"/>
        <v>8.0000000000000071E-2</v>
      </c>
      <c r="N6780">
        <f t="shared" si="2841"/>
        <v>0.16000000000000014</v>
      </c>
      <c r="O6780">
        <f t="shared" si="2864"/>
        <v>3.7</v>
      </c>
      <c r="P6780">
        <f t="shared" si="2865"/>
        <v>0.87500000000000278</v>
      </c>
      <c r="Q6780" t="str">
        <f t="shared" si="2842"/>
        <v>4.05% | 0.27%</v>
      </c>
      <c r="R6780" t="str">
        <f t="shared" si="2866"/>
        <v>BULLISH</v>
      </c>
      <c r="S6780">
        <f t="shared" si="2867"/>
        <v>1</v>
      </c>
    </row>
    <row r="6781" spans="1:19" hidden="1" x14ac:dyDescent="0.25">
      <c r="A6781" s="5" t="str">
        <f t="shared" si="2855"/>
        <v>44204MSFT</v>
      </c>
      <c r="B6781" s="6" t="s">
        <v>27</v>
      </c>
      <c r="C6781" s="6">
        <v>211</v>
      </c>
      <c r="D6781" s="6">
        <v>227</v>
      </c>
      <c r="E6781" s="6">
        <v>218</v>
      </c>
      <c r="F6781" t="str">
        <f t="shared" si="2856"/>
        <v>FRI</v>
      </c>
      <c r="G6781" s="1">
        <f t="shared" si="2857"/>
        <v>44204</v>
      </c>
      <c r="H6781" s="2">
        <f t="shared" ca="1" si="2858"/>
        <v>49</v>
      </c>
      <c r="I6781" t="str">
        <f t="shared" si="2859"/>
        <v>MSFT</v>
      </c>
      <c r="J6781">
        <f t="shared" si="2860"/>
        <v>211</v>
      </c>
      <c r="K6781">
        <f t="shared" si="2861"/>
        <v>227</v>
      </c>
      <c r="L6781">
        <f t="shared" si="2862"/>
        <v>219</v>
      </c>
      <c r="M6781">
        <f t="shared" si="2863"/>
        <v>8</v>
      </c>
      <c r="N6781">
        <f t="shared" si="2841"/>
        <v>16</v>
      </c>
      <c r="O6781">
        <f t="shared" si="2864"/>
        <v>218</v>
      </c>
      <c r="P6781">
        <f t="shared" si="2865"/>
        <v>-0.125</v>
      </c>
      <c r="Q6781" t="str">
        <f t="shared" si="2842"/>
        <v>3.21% | 4.13%</v>
      </c>
      <c r="R6781" t="str">
        <f t="shared" si="2866"/>
        <v>BULLISH</v>
      </c>
      <c r="S6781">
        <f t="shared" si="2867"/>
        <v>1</v>
      </c>
    </row>
    <row r="6782" spans="1:19" hidden="1" x14ac:dyDescent="0.25">
      <c r="A6782" s="5" t="str">
        <f t="shared" si="2855"/>
        <v>44204AAPL</v>
      </c>
      <c r="B6782" s="6" t="s">
        <v>28</v>
      </c>
      <c r="C6782" s="6">
        <v>126</v>
      </c>
      <c r="D6782" s="6">
        <v>138</v>
      </c>
      <c r="E6782" s="6">
        <v>130</v>
      </c>
      <c r="F6782" t="str">
        <f t="shared" si="2856"/>
        <v>FRI</v>
      </c>
      <c r="G6782" s="1">
        <f t="shared" si="2857"/>
        <v>44204</v>
      </c>
      <c r="H6782" s="2">
        <f t="shared" ca="1" si="2858"/>
        <v>49</v>
      </c>
      <c r="I6782" t="str">
        <f t="shared" si="2859"/>
        <v>AAPL</v>
      </c>
      <c r="J6782">
        <f t="shared" si="2860"/>
        <v>126</v>
      </c>
      <c r="K6782">
        <f t="shared" si="2861"/>
        <v>138</v>
      </c>
      <c r="L6782">
        <f t="shared" si="2862"/>
        <v>132</v>
      </c>
      <c r="M6782">
        <f t="shared" si="2863"/>
        <v>6</v>
      </c>
      <c r="N6782">
        <f t="shared" si="2841"/>
        <v>12</v>
      </c>
      <c r="O6782">
        <f t="shared" si="2864"/>
        <v>130</v>
      </c>
      <c r="P6782">
        <f t="shared" si="2865"/>
        <v>-0.33333333333333331</v>
      </c>
      <c r="Q6782" t="str">
        <f t="shared" si="2842"/>
        <v>3.08% | 6.15%</v>
      </c>
      <c r="R6782" t="str">
        <f t="shared" si="2866"/>
        <v>BULLISH</v>
      </c>
      <c r="S6782">
        <f t="shared" si="2867"/>
        <v>1</v>
      </c>
    </row>
    <row r="6783" spans="1:19" hidden="1" x14ac:dyDescent="0.25">
      <c r="A6783" s="5" t="str">
        <f t="shared" si="2855"/>
        <v>44204AMZN</v>
      </c>
      <c r="B6783" s="6" t="s">
        <v>29</v>
      </c>
      <c r="C6783" s="6">
        <v>3100</v>
      </c>
      <c r="D6783" s="6">
        <v>3350</v>
      </c>
      <c r="E6783" s="6">
        <v>3162</v>
      </c>
      <c r="F6783" t="str">
        <f t="shared" si="2856"/>
        <v>FRI</v>
      </c>
      <c r="G6783" s="1">
        <f t="shared" si="2857"/>
        <v>44204</v>
      </c>
      <c r="H6783" s="2">
        <f t="shared" ca="1" si="2858"/>
        <v>49</v>
      </c>
      <c r="I6783" t="str">
        <f t="shared" si="2859"/>
        <v>AMZN</v>
      </c>
      <c r="J6783">
        <f t="shared" si="2860"/>
        <v>3100</v>
      </c>
      <c r="K6783">
        <f t="shared" si="2861"/>
        <v>3350</v>
      </c>
      <c r="L6783">
        <f t="shared" si="2862"/>
        <v>3225</v>
      </c>
      <c r="M6783">
        <f t="shared" si="2863"/>
        <v>125</v>
      </c>
      <c r="N6783">
        <f t="shared" si="2841"/>
        <v>250</v>
      </c>
      <c r="O6783">
        <f t="shared" si="2864"/>
        <v>3162</v>
      </c>
      <c r="P6783">
        <f t="shared" si="2865"/>
        <v>-0.504</v>
      </c>
      <c r="Q6783" t="str">
        <f t="shared" si="2842"/>
        <v>1.96% | 5.95%</v>
      </c>
      <c r="R6783" t="str">
        <f t="shared" si="2866"/>
        <v>BULLISH</v>
      </c>
      <c r="S6783">
        <f t="shared" si="2867"/>
        <v>1</v>
      </c>
    </row>
    <row r="6784" spans="1:19" hidden="1" x14ac:dyDescent="0.25">
      <c r="A6784" s="5" t="str">
        <f t="shared" si="2855"/>
        <v>44204FB</v>
      </c>
      <c r="B6784" s="6" t="s">
        <v>58</v>
      </c>
      <c r="C6784" s="6">
        <v>260</v>
      </c>
      <c r="D6784" s="6">
        <v>278</v>
      </c>
      <c r="E6784" s="6">
        <v>268</v>
      </c>
      <c r="F6784" t="str">
        <f t="shared" si="2856"/>
        <v>FRI</v>
      </c>
      <c r="G6784" s="1">
        <f t="shared" si="2857"/>
        <v>44204</v>
      </c>
      <c r="H6784" s="2">
        <f t="shared" ca="1" si="2858"/>
        <v>49</v>
      </c>
      <c r="I6784" t="str">
        <f t="shared" si="2859"/>
        <v>FB</v>
      </c>
      <c r="J6784">
        <f t="shared" si="2860"/>
        <v>260</v>
      </c>
      <c r="K6784">
        <f t="shared" si="2861"/>
        <v>278</v>
      </c>
      <c r="L6784">
        <f t="shared" si="2862"/>
        <v>269</v>
      </c>
      <c r="M6784">
        <f t="shared" si="2863"/>
        <v>9</v>
      </c>
      <c r="N6784">
        <f t="shared" si="2841"/>
        <v>18</v>
      </c>
      <c r="O6784">
        <f t="shared" si="2864"/>
        <v>268</v>
      </c>
      <c r="P6784">
        <f t="shared" si="2865"/>
        <v>-0.1111111111111111</v>
      </c>
      <c r="Q6784" t="str">
        <f t="shared" si="2842"/>
        <v>2.99% | 3.73%</v>
      </c>
      <c r="R6784" t="str">
        <f t="shared" si="2866"/>
        <v>BEARISH</v>
      </c>
      <c r="S6784">
        <f t="shared" si="2867"/>
        <v>-1</v>
      </c>
    </row>
    <row r="6785" spans="1:19" hidden="1" x14ac:dyDescent="0.25">
      <c r="A6785" s="5" t="str">
        <f t="shared" si="2855"/>
        <v>44204GOOGL</v>
      </c>
      <c r="B6785" s="6" t="s">
        <v>31</v>
      </c>
      <c r="C6785" s="6">
        <v>1709</v>
      </c>
      <c r="D6785" s="6">
        <v>1792</v>
      </c>
      <c r="E6785" s="6">
        <v>1774</v>
      </c>
      <c r="F6785" t="str">
        <f t="shared" si="2856"/>
        <v>FRI</v>
      </c>
      <c r="G6785" s="1">
        <f t="shared" si="2857"/>
        <v>44204</v>
      </c>
      <c r="H6785" s="2">
        <f t="shared" ca="1" si="2858"/>
        <v>49</v>
      </c>
      <c r="I6785" t="str">
        <f t="shared" si="2859"/>
        <v>GOOGL</v>
      </c>
      <c r="J6785">
        <f t="shared" si="2860"/>
        <v>1709</v>
      </c>
      <c r="K6785">
        <f t="shared" si="2861"/>
        <v>1792</v>
      </c>
      <c r="L6785">
        <f t="shared" si="2862"/>
        <v>1750.5</v>
      </c>
      <c r="M6785">
        <f t="shared" si="2863"/>
        <v>41.5</v>
      </c>
      <c r="N6785">
        <f t="shared" si="2841"/>
        <v>83</v>
      </c>
      <c r="O6785">
        <f t="shared" si="2864"/>
        <v>1774</v>
      </c>
      <c r="P6785">
        <f t="shared" si="2865"/>
        <v>0.5662650602409639</v>
      </c>
      <c r="Q6785" t="str">
        <f t="shared" si="2842"/>
        <v>3.66% | 1.01%</v>
      </c>
      <c r="R6785" t="str">
        <f t="shared" si="2866"/>
        <v>BULLISH</v>
      </c>
      <c r="S6785">
        <f t="shared" si="2867"/>
        <v>1</v>
      </c>
    </row>
    <row r="6786" spans="1:19" hidden="1" x14ac:dyDescent="0.25">
      <c r="A6786" s="5" t="str">
        <f t="shared" si="2855"/>
        <v>44204NFLX</v>
      </c>
      <c r="B6786" s="6" t="s">
        <v>32</v>
      </c>
      <c r="C6786" s="6">
        <v>495</v>
      </c>
      <c r="D6786" s="6">
        <v>544</v>
      </c>
      <c r="E6786" s="6">
        <v>508</v>
      </c>
      <c r="F6786" t="str">
        <f t="shared" si="2856"/>
        <v>FRI</v>
      </c>
      <c r="G6786" s="1">
        <f t="shared" si="2857"/>
        <v>44204</v>
      </c>
      <c r="H6786" s="2">
        <f t="shared" ca="1" si="2858"/>
        <v>49</v>
      </c>
      <c r="I6786" t="str">
        <f t="shared" si="2859"/>
        <v>NFLX</v>
      </c>
      <c r="J6786">
        <f t="shared" si="2860"/>
        <v>495</v>
      </c>
      <c r="K6786">
        <f t="shared" si="2861"/>
        <v>544</v>
      </c>
      <c r="L6786">
        <f t="shared" si="2862"/>
        <v>519.5</v>
      </c>
      <c r="M6786">
        <f t="shared" si="2863"/>
        <v>24.5</v>
      </c>
      <c r="N6786">
        <f t="shared" si="2841"/>
        <v>49</v>
      </c>
      <c r="O6786">
        <f t="shared" si="2864"/>
        <v>508</v>
      </c>
      <c r="P6786">
        <f t="shared" si="2865"/>
        <v>-0.46938775510204084</v>
      </c>
      <c r="Q6786" t="str">
        <f t="shared" si="2842"/>
        <v>2.56% | 7.09%</v>
      </c>
      <c r="R6786" t="str">
        <f t="shared" si="2866"/>
        <v>BULLISH</v>
      </c>
      <c r="S6786">
        <f t="shared" si="2867"/>
        <v>1</v>
      </c>
    </row>
    <row r="6787" spans="1:19" x14ac:dyDescent="0.25">
      <c r="A6787" s="5" t="str">
        <f t="shared" si="2855"/>
        <v>44204TSLA</v>
      </c>
      <c r="B6787" s="6" t="s">
        <v>33</v>
      </c>
      <c r="C6787" s="6">
        <v>715</v>
      </c>
      <c r="D6787" s="6">
        <v>839</v>
      </c>
      <c r="E6787" s="6">
        <v>816</v>
      </c>
      <c r="F6787" t="str">
        <f t="shared" si="2856"/>
        <v>FRI</v>
      </c>
      <c r="G6787" s="1">
        <f t="shared" si="2857"/>
        <v>44204</v>
      </c>
      <c r="H6787" s="2">
        <f t="shared" ca="1" si="2858"/>
        <v>49</v>
      </c>
      <c r="I6787" t="str">
        <f t="shared" si="2859"/>
        <v>TSLA</v>
      </c>
      <c r="J6787">
        <f t="shared" si="2860"/>
        <v>715</v>
      </c>
      <c r="K6787">
        <f t="shared" si="2861"/>
        <v>839</v>
      </c>
      <c r="L6787">
        <f t="shared" si="2862"/>
        <v>777</v>
      </c>
      <c r="M6787">
        <f t="shared" si="2863"/>
        <v>62</v>
      </c>
      <c r="N6787">
        <f t="shared" ref="N6787:N6850" si="2868">ABS(K6787-J6787)</f>
        <v>124</v>
      </c>
      <c r="O6787">
        <f t="shared" si="2864"/>
        <v>816</v>
      </c>
      <c r="P6787">
        <f t="shared" si="2865"/>
        <v>0.62903225806451613</v>
      </c>
      <c r="Q6787" t="str">
        <f t="shared" ref="Q6787:Q6850" si="2869">ROUND(ABS(100*(O6787-J6787)/O6787),2)&amp;"% | "&amp;ROUND(ABS(100*(K6787-O6787)/O6787),2)&amp;"%"</f>
        <v>12.38% | 2.82%</v>
      </c>
      <c r="R6787" t="str">
        <f t="shared" si="2866"/>
        <v>BULLISH</v>
      </c>
      <c r="S6787">
        <f t="shared" si="2867"/>
        <v>1</v>
      </c>
    </row>
    <row r="6788" spans="1:19" hidden="1" x14ac:dyDescent="0.25">
      <c r="A6788" s="5" t="str">
        <f t="shared" si="2855"/>
        <v>44204NYXBT</v>
      </c>
      <c r="B6788" s="6" t="s">
        <v>60</v>
      </c>
      <c r="C6788" s="6">
        <v>28459</v>
      </c>
      <c r="D6788" s="6">
        <v>41109</v>
      </c>
      <c r="E6788" s="6">
        <f>E6756</f>
        <v>34764</v>
      </c>
      <c r="F6788" t="str">
        <f t="shared" si="2856"/>
        <v>FRI</v>
      </c>
      <c r="G6788" s="1">
        <f t="shared" si="2857"/>
        <v>44204</v>
      </c>
      <c r="H6788" s="2">
        <f t="shared" ca="1" si="2858"/>
        <v>49</v>
      </c>
      <c r="I6788" t="str">
        <f t="shared" si="2859"/>
        <v>NYXBT</v>
      </c>
      <c r="J6788">
        <f t="shared" si="2860"/>
        <v>28459</v>
      </c>
      <c r="K6788">
        <f t="shared" si="2861"/>
        <v>41109</v>
      </c>
      <c r="L6788">
        <f t="shared" si="2862"/>
        <v>34784</v>
      </c>
      <c r="M6788">
        <f t="shared" si="2863"/>
        <v>6325</v>
      </c>
      <c r="N6788">
        <f t="shared" si="2868"/>
        <v>12650</v>
      </c>
      <c r="O6788">
        <f t="shared" si="2864"/>
        <v>34764</v>
      </c>
      <c r="P6788">
        <f t="shared" si="2865"/>
        <v>-3.1620553359683794E-3</v>
      </c>
      <c r="Q6788" t="str">
        <f t="shared" si="2869"/>
        <v>18.14% | 18.25%</v>
      </c>
      <c r="R6788" t="str">
        <f t="shared" si="2866"/>
        <v>BULLISH</v>
      </c>
      <c r="S6788">
        <f t="shared" si="2867"/>
        <v>1</v>
      </c>
    </row>
    <row r="6789" spans="1:19" hidden="1" x14ac:dyDescent="0.25">
      <c r="A6789" s="5" t="str">
        <f t="shared" si="2855"/>
        <v>44207UST10Y</v>
      </c>
      <c r="B6789" s="6" t="s">
        <v>257</v>
      </c>
      <c r="C6789" s="6">
        <v>1.1299999999999999</v>
      </c>
      <c r="D6789" s="6">
        <v>0.98</v>
      </c>
      <c r="E6789" s="6">
        <v>1.1299999999999999</v>
      </c>
      <c r="F6789" t="str">
        <f t="shared" si="2856"/>
        <v>MON</v>
      </c>
      <c r="G6789" s="3">
        <f>DATE(2021,1,11)</f>
        <v>44207</v>
      </c>
      <c r="H6789" s="2">
        <f t="shared" ca="1" si="2858"/>
        <v>46</v>
      </c>
      <c r="I6789" t="str">
        <f t="shared" si="2859"/>
        <v>UST10Y</v>
      </c>
      <c r="J6789">
        <f t="shared" si="2860"/>
        <v>1.1299999999999999</v>
      </c>
      <c r="K6789">
        <f t="shared" si="2861"/>
        <v>0.98</v>
      </c>
      <c r="L6789">
        <f t="shared" si="2862"/>
        <v>1.0549999999999999</v>
      </c>
      <c r="M6789">
        <f t="shared" si="2863"/>
        <v>7.4999999999999956E-2</v>
      </c>
      <c r="N6789">
        <f t="shared" si="2868"/>
        <v>0.14999999999999991</v>
      </c>
      <c r="O6789">
        <f t="shared" si="2864"/>
        <v>1.1299999999999999</v>
      </c>
      <c r="P6789">
        <f t="shared" si="2865"/>
        <v>1</v>
      </c>
      <c r="Q6789" t="str">
        <f t="shared" si="2869"/>
        <v>0% | 13.27%</v>
      </c>
      <c r="R6789" t="str">
        <f t="shared" si="2866"/>
        <v>BULLISH</v>
      </c>
      <c r="S6789">
        <f t="shared" si="2867"/>
        <v>1</v>
      </c>
    </row>
    <row r="6790" spans="1:19" hidden="1" x14ac:dyDescent="0.25">
      <c r="A6790" s="5" t="str">
        <f t="shared" si="2855"/>
        <v>44207UST2Y</v>
      </c>
      <c r="B6790" s="6" t="s">
        <v>253</v>
      </c>
      <c r="C6790" s="6">
        <v>0.16</v>
      </c>
      <c r="D6790" s="6">
        <v>0.12</v>
      </c>
      <c r="E6790" s="6">
        <v>0.14000000000000001</v>
      </c>
      <c r="F6790" t="str">
        <f t="shared" ref="F6790:F6821" si="2870">UPPER(TEXT(G6790,"ddd"))</f>
        <v>MON</v>
      </c>
      <c r="G6790" s="3">
        <f t="shared" ref="G6790:G6820" si="2871">DATE(2021,1,11)</f>
        <v>44207</v>
      </c>
      <c r="H6790" s="2">
        <f t="shared" ref="H6790:H6821" ca="1" si="2872">TODAY()-G6790</f>
        <v>46</v>
      </c>
      <c r="I6790" t="str">
        <f t="shared" ref="I6790:I6821" si="2873">TRIM(LEFT(B6790,FIND(" ",B6790,1)))</f>
        <v>UST2Y</v>
      </c>
      <c r="J6790">
        <f t="shared" ref="J6790:J6821" si="2874">C6790</f>
        <v>0.16</v>
      </c>
      <c r="K6790">
        <f t="shared" ref="K6790:K6821" si="2875">D6790</f>
        <v>0.12</v>
      </c>
      <c r="L6790">
        <f t="shared" ref="L6790:L6821" si="2876">AVERAGE(J6790:K6790)</f>
        <v>0.14000000000000001</v>
      </c>
      <c r="M6790">
        <f t="shared" ref="M6790:M6821" si="2877">_xlfn.STDEV.P(J6790:K6790)</f>
        <v>1.9999999999999938E-2</v>
      </c>
      <c r="N6790">
        <f t="shared" si="2868"/>
        <v>4.0000000000000008E-2</v>
      </c>
      <c r="O6790">
        <f t="shared" ref="O6790:O6821" si="2878">E6790</f>
        <v>0.14000000000000001</v>
      </c>
      <c r="P6790">
        <f t="shared" ref="P6790:P6821" si="2879">(O6790-L6790)/M6790</f>
        <v>0</v>
      </c>
      <c r="Q6790" t="str">
        <f t="shared" si="2869"/>
        <v>14.29% | 14.29%</v>
      </c>
      <c r="R6790" t="str">
        <f t="shared" ref="R6790:R6821" si="2880">MID(B6790,FIND("(",B6790,1)+1,FIND(")",B6790,1)-FIND("(",B6790,1)-1)</f>
        <v>NEUTRAL</v>
      </c>
      <c r="S6790">
        <f t="shared" ref="S6790:S6821" si="2881">IF(R6790="BEARISH",-1,IF(R6790="NEUTRAL",0,IF(R6790="BULLISH",1,99)))</f>
        <v>0</v>
      </c>
    </row>
    <row r="6791" spans="1:19" hidden="1" x14ac:dyDescent="0.25">
      <c r="A6791" s="5" t="str">
        <f t="shared" si="2855"/>
        <v>44207SPX</v>
      </c>
      <c r="B6791" s="6" t="s">
        <v>93</v>
      </c>
      <c r="C6791" s="6">
        <v>3701</v>
      </c>
      <c r="D6791" s="6">
        <v>3854</v>
      </c>
      <c r="E6791" s="6">
        <v>3824</v>
      </c>
      <c r="F6791" t="str">
        <f t="shared" si="2870"/>
        <v>MON</v>
      </c>
      <c r="G6791" s="3">
        <f t="shared" si="2871"/>
        <v>44207</v>
      </c>
      <c r="H6791" s="2">
        <f t="shared" ca="1" si="2872"/>
        <v>46</v>
      </c>
      <c r="I6791" t="str">
        <f t="shared" si="2873"/>
        <v>SPX</v>
      </c>
      <c r="J6791">
        <f t="shared" si="2874"/>
        <v>3701</v>
      </c>
      <c r="K6791">
        <f t="shared" si="2875"/>
        <v>3854</v>
      </c>
      <c r="L6791">
        <f t="shared" si="2876"/>
        <v>3777.5</v>
      </c>
      <c r="M6791">
        <f t="shared" si="2877"/>
        <v>76.5</v>
      </c>
      <c r="N6791">
        <f t="shared" si="2868"/>
        <v>153</v>
      </c>
      <c r="O6791">
        <f t="shared" si="2878"/>
        <v>3824</v>
      </c>
      <c r="P6791">
        <f t="shared" si="2879"/>
        <v>0.60784313725490191</v>
      </c>
      <c r="Q6791" t="str">
        <f t="shared" si="2869"/>
        <v>3.22% | 0.78%</v>
      </c>
      <c r="R6791" t="str">
        <f t="shared" si="2880"/>
        <v>BULLISH</v>
      </c>
      <c r="S6791">
        <f t="shared" si="2881"/>
        <v>1</v>
      </c>
    </row>
    <row r="6792" spans="1:19" hidden="1" x14ac:dyDescent="0.25">
      <c r="A6792" s="5" t="str">
        <f t="shared" ref="A6792:A6855" si="2882">G6792&amp;I6792</f>
        <v>44207RUT</v>
      </c>
      <c r="B6792" s="6" t="s">
        <v>247</v>
      </c>
      <c r="C6792" s="6">
        <v>2011</v>
      </c>
      <c r="D6792" s="6">
        <v>2120</v>
      </c>
      <c r="E6792" s="6">
        <v>2091</v>
      </c>
      <c r="F6792" t="str">
        <f t="shared" si="2870"/>
        <v>MON</v>
      </c>
      <c r="G6792" s="3">
        <f t="shared" si="2871"/>
        <v>44207</v>
      </c>
      <c r="H6792" s="2">
        <f t="shared" ca="1" si="2872"/>
        <v>46</v>
      </c>
      <c r="I6792" t="str">
        <f t="shared" si="2873"/>
        <v>RUT</v>
      </c>
      <c r="J6792">
        <f t="shared" si="2874"/>
        <v>2011</v>
      </c>
      <c r="K6792">
        <f t="shared" si="2875"/>
        <v>2120</v>
      </c>
      <c r="L6792">
        <f t="shared" si="2876"/>
        <v>2065.5</v>
      </c>
      <c r="M6792">
        <f t="shared" si="2877"/>
        <v>54.5</v>
      </c>
      <c r="N6792">
        <f t="shared" si="2868"/>
        <v>109</v>
      </c>
      <c r="O6792">
        <f t="shared" si="2878"/>
        <v>2091</v>
      </c>
      <c r="P6792">
        <f t="shared" si="2879"/>
        <v>0.46788990825688076</v>
      </c>
      <c r="Q6792" t="str">
        <f t="shared" si="2869"/>
        <v>3.83% | 1.39%</v>
      </c>
      <c r="R6792" t="str">
        <f t="shared" si="2880"/>
        <v>BULLISH</v>
      </c>
      <c r="S6792">
        <f t="shared" si="2881"/>
        <v>1</v>
      </c>
    </row>
    <row r="6793" spans="1:19" hidden="1" x14ac:dyDescent="0.25">
      <c r="A6793" s="5" t="str">
        <f t="shared" si="2882"/>
        <v>44207COMPQ</v>
      </c>
      <c r="B6793" s="6" t="s">
        <v>8</v>
      </c>
      <c r="C6793" s="6">
        <v>12653</v>
      </c>
      <c r="D6793" s="6">
        <v>13290</v>
      </c>
      <c r="E6793" s="6">
        <v>13201</v>
      </c>
      <c r="F6793" t="str">
        <f t="shared" si="2870"/>
        <v>MON</v>
      </c>
      <c r="G6793" s="3">
        <f t="shared" si="2871"/>
        <v>44207</v>
      </c>
      <c r="H6793" s="2">
        <f t="shared" ca="1" si="2872"/>
        <v>46</v>
      </c>
      <c r="I6793" t="str">
        <f t="shared" si="2873"/>
        <v>COMPQ</v>
      </c>
      <c r="J6793">
        <f t="shared" si="2874"/>
        <v>12653</v>
      </c>
      <c r="K6793">
        <f t="shared" si="2875"/>
        <v>13290</v>
      </c>
      <c r="L6793">
        <f t="shared" si="2876"/>
        <v>12971.5</v>
      </c>
      <c r="M6793">
        <f t="shared" si="2877"/>
        <v>318.5</v>
      </c>
      <c r="N6793">
        <f t="shared" si="2868"/>
        <v>637</v>
      </c>
      <c r="O6793">
        <f t="shared" si="2878"/>
        <v>13201</v>
      </c>
      <c r="P6793">
        <f t="shared" si="2879"/>
        <v>0.72056514913657765</v>
      </c>
      <c r="Q6793" t="str">
        <f t="shared" si="2869"/>
        <v>4.15% | 0.67%</v>
      </c>
      <c r="R6793" t="str">
        <f t="shared" si="2880"/>
        <v>BULLISH</v>
      </c>
      <c r="S6793">
        <f t="shared" si="2881"/>
        <v>1</v>
      </c>
    </row>
    <row r="6794" spans="1:19" hidden="1" x14ac:dyDescent="0.25">
      <c r="A6794" s="5" t="str">
        <f t="shared" si="2882"/>
        <v>44207XLK</v>
      </c>
      <c r="B6794" s="6" t="s">
        <v>10</v>
      </c>
      <c r="C6794" s="6">
        <v>126.7</v>
      </c>
      <c r="D6794" s="6">
        <v>131.97999999999999</v>
      </c>
      <c r="E6794" s="6">
        <v>130.76</v>
      </c>
      <c r="F6794" t="str">
        <f t="shared" si="2870"/>
        <v>MON</v>
      </c>
      <c r="G6794" s="3">
        <f t="shared" si="2871"/>
        <v>44207</v>
      </c>
      <c r="H6794" s="2">
        <f t="shared" ca="1" si="2872"/>
        <v>46</v>
      </c>
      <c r="I6794" t="str">
        <f t="shared" si="2873"/>
        <v>XLK</v>
      </c>
      <c r="J6794">
        <f t="shared" si="2874"/>
        <v>126.7</v>
      </c>
      <c r="K6794">
        <f t="shared" si="2875"/>
        <v>131.97999999999999</v>
      </c>
      <c r="L6794">
        <f t="shared" si="2876"/>
        <v>129.34</v>
      </c>
      <c r="M6794">
        <f t="shared" si="2877"/>
        <v>2.6399999999999935</v>
      </c>
      <c r="N6794">
        <f t="shared" si="2868"/>
        <v>5.2799999999999869</v>
      </c>
      <c r="O6794">
        <f t="shared" si="2878"/>
        <v>130.76</v>
      </c>
      <c r="P6794">
        <f t="shared" si="2879"/>
        <v>0.53787878787878451</v>
      </c>
      <c r="Q6794" t="str">
        <f t="shared" si="2869"/>
        <v>3.1% | 0.93%</v>
      </c>
      <c r="R6794" t="str">
        <f t="shared" si="2880"/>
        <v>BULLISH</v>
      </c>
      <c r="S6794">
        <f t="shared" si="2881"/>
        <v>1</v>
      </c>
    </row>
    <row r="6795" spans="1:19" hidden="1" x14ac:dyDescent="0.25">
      <c r="A6795" s="5" t="str">
        <f t="shared" si="2882"/>
        <v>44207XLE</v>
      </c>
      <c r="B6795" s="6" t="s">
        <v>250</v>
      </c>
      <c r="C6795" s="6">
        <v>37.729999999999997</v>
      </c>
      <c r="D6795" s="6">
        <v>42.41</v>
      </c>
      <c r="E6795" s="6">
        <v>41.42</v>
      </c>
      <c r="F6795" t="str">
        <f t="shared" si="2870"/>
        <v>MON</v>
      </c>
      <c r="G6795" s="3">
        <f t="shared" si="2871"/>
        <v>44207</v>
      </c>
      <c r="H6795" s="2">
        <f t="shared" ca="1" si="2872"/>
        <v>46</v>
      </c>
      <c r="I6795" t="str">
        <f t="shared" si="2873"/>
        <v>XLE</v>
      </c>
      <c r="J6795">
        <f t="shared" si="2874"/>
        <v>37.729999999999997</v>
      </c>
      <c r="K6795">
        <f t="shared" si="2875"/>
        <v>42.41</v>
      </c>
      <c r="L6795">
        <f t="shared" si="2876"/>
        <v>40.069999999999993</v>
      </c>
      <c r="M6795">
        <f t="shared" si="2877"/>
        <v>2.34</v>
      </c>
      <c r="N6795">
        <f t="shared" si="2868"/>
        <v>4.68</v>
      </c>
      <c r="O6795">
        <f t="shared" si="2878"/>
        <v>41.42</v>
      </c>
      <c r="P6795">
        <f t="shared" si="2879"/>
        <v>0.57692307692308065</v>
      </c>
      <c r="Q6795" t="str">
        <f t="shared" si="2869"/>
        <v>8.91% | 2.39%</v>
      </c>
      <c r="R6795" t="str">
        <f t="shared" si="2880"/>
        <v>BULLISH</v>
      </c>
      <c r="S6795">
        <f t="shared" si="2881"/>
        <v>1</v>
      </c>
    </row>
    <row r="6796" spans="1:19" hidden="1" x14ac:dyDescent="0.25">
      <c r="A6796" s="5" t="str">
        <f t="shared" si="2882"/>
        <v>44207XLF</v>
      </c>
      <c r="B6796" s="6" t="s">
        <v>258</v>
      </c>
      <c r="C6796" s="6">
        <v>28.87</v>
      </c>
      <c r="D6796" s="6">
        <v>31.37</v>
      </c>
      <c r="E6796" s="6">
        <v>30.92</v>
      </c>
      <c r="F6796" t="str">
        <f t="shared" si="2870"/>
        <v>MON</v>
      </c>
      <c r="G6796" s="3">
        <f t="shared" si="2871"/>
        <v>44207</v>
      </c>
      <c r="H6796" s="2">
        <f t="shared" ca="1" si="2872"/>
        <v>46</v>
      </c>
      <c r="I6796" t="str">
        <f t="shared" si="2873"/>
        <v>XLF</v>
      </c>
      <c r="J6796">
        <f t="shared" si="2874"/>
        <v>28.87</v>
      </c>
      <c r="K6796">
        <f t="shared" si="2875"/>
        <v>31.37</v>
      </c>
      <c r="L6796">
        <f t="shared" si="2876"/>
        <v>30.12</v>
      </c>
      <c r="M6796">
        <f t="shared" si="2877"/>
        <v>1.25</v>
      </c>
      <c r="N6796">
        <f t="shared" si="2868"/>
        <v>2.5</v>
      </c>
      <c r="O6796">
        <f t="shared" si="2878"/>
        <v>30.92</v>
      </c>
      <c r="P6796">
        <f t="shared" si="2879"/>
        <v>0.64000000000000057</v>
      </c>
      <c r="Q6796" t="str">
        <f t="shared" si="2869"/>
        <v>6.63% | 1.46%</v>
      </c>
      <c r="R6796" t="str">
        <f t="shared" si="2880"/>
        <v>BULLISH</v>
      </c>
      <c r="S6796">
        <f t="shared" si="2881"/>
        <v>1</v>
      </c>
    </row>
    <row r="6797" spans="1:19" hidden="1" x14ac:dyDescent="0.25">
      <c r="A6797" s="5" t="str">
        <f t="shared" si="2882"/>
        <v>44207XLU</v>
      </c>
      <c r="B6797" s="6" t="s">
        <v>82</v>
      </c>
      <c r="C6797" s="6">
        <v>60.36</v>
      </c>
      <c r="D6797" s="6">
        <v>62.99</v>
      </c>
      <c r="E6797" s="6">
        <v>62.33</v>
      </c>
      <c r="F6797" t="str">
        <f t="shared" si="2870"/>
        <v>MON</v>
      </c>
      <c r="G6797" s="3">
        <f t="shared" si="2871"/>
        <v>44207</v>
      </c>
      <c r="H6797" s="2">
        <f t="shared" ca="1" si="2872"/>
        <v>46</v>
      </c>
      <c r="I6797" t="str">
        <f t="shared" si="2873"/>
        <v>XLU</v>
      </c>
      <c r="J6797">
        <f t="shared" si="2874"/>
        <v>60.36</v>
      </c>
      <c r="K6797">
        <f t="shared" si="2875"/>
        <v>62.99</v>
      </c>
      <c r="L6797">
        <f t="shared" si="2876"/>
        <v>61.674999999999997</v>
      </c>
      <c r="M6797">
        <f t="shared" si="2877"/>
        <v>1.3150000000000013</v>
      </c>
      <c r="N6797">
        <f t="shared" si="2868"/>
        <v>2.6300000000000026</v>
      </c>
      <c r="O6797">
        <f t="shared" si="2878"/>
        <v>62.33</v>
      </c>
      <c r="P6797">
        <f t="shared" si="2879"/>
        <v>0.49809885931558973</v>
      </c>
      <c r="Q6797" t="str">
        <f t="shared" si="2869"/>
        <v>3.16% | 1.06%</v>
      </c>
      <c r="R6797" t="str">
        <f t="shared" si="2880"/>
        <v>BEARISH</v>
      </c>
      <c r="S6797">
        <f t="shared" si="2881"/>
        <v>-1</v>
      </c>
    </row>
    <row r="6798" spans="1:19" hidden="1" x14ac:dyDescent="0.25">
      <c r="A6798" s="5" t="str">
        <f t="shared" si="2882"/>
        <v>44207GDX</v>
      </c>
      <c r="B6798" s="6" t="s">
        <v>254</v>
      </c>
      <c r="C6798" s="6">
        <v>34.450000000000003</v>
      </c>
      <c r="D6798" s="6">
        <v>39.549999999999997</v>
      </c>
      <c r="E6798" s="6">
        <v>36.520000000000003</v>
      </c>
      <c r="F6798" t="str">
        <f t="shared" si="2870"/>
        <v>MON</v>
      </c>
      <c r="G6798" s="3">
        <f t="shared" si="2871"/>
        <v>44207</v>
      </c>
      <c r="H6798" s="2">
        <f t="shared" ca="1" si="2872"/>
        <v>46</v>
      </c>
      <c r="I6798" t="str">
        <f t="shared" si="2873"/>
        <v>GDX</v>
      </c>
      <c r="J6798">
        <f t="shared" si="2874"/>
        <v>34.450000000000003</v>
      </c>
      <c r="K6798">
        <f t="shared" si="2875"/>
        <v>39.549999999999997</v>
      </c>
      <c r="L6798">
        <f t="shared" si="2876"/>
        <v>37</v>
      </c>
      <c r="M6798">
        <f t="shared" si="2877"/>
        <v>2.5499999999999972</v>
      </c>
      <c r="N6798">
        <f t="shared" si="2868"/>
        <v>5.0999999999999943</v>
      </c>
      <c r="O6798">
        <f t="shared" si="2878"/>
        <v>36.520000000000003</v>
      </c>
      <c r="P6798">
        <f t="shared" si="2879"/>
        <v>-0.18823529411764603</v>
      </c>
      <c r="Q6798" t="str">
        <f t="shared" si="2869"/>
        <v>5.67% | 8.3%</v>
      </c>
      <c r="R6798" t="str">
        <f t="shared" si="2880"/>
        <v>BEARISH</v>
      </c>
      <c r="S6798">
        <f t="shared" si="2881"/>
        <v>-1</v>
      </c>
    </row>
    <row r="6799" spans="1:19" hidden="1" x14ac:dyDescent="0.25">
      <c r="A6799" s="5" t="str">
        <f t="shared" si="2882"/>
        <v>44207SSEC</v>
      </c>
      <c r="B6799" s="6" t="s">
        <v>104</v>
      </c>
      <c r="C6799" s="6">
        <v>3436</v>
      </c>
      <c r="D6799" s="6">
        <v>3632</v>
      </c>
      <c r="E6799" s="6">
        <v>3531</v>
      </c>
      <c r="F6799" t="str">
        <f t="shared" si="2870"/>
        <v>MON</v>
      </c>
      <c r="G6799" s="3">
        <f t="shared" si="2871"/>
        <v>44207</v>
      </c>
      <c r="H6799" s="2">
        <f t="shared" ca="1" si="2872"/>
        <v>46</v>
      </c>
      <c r="I6799" t="str">
        <f t="shared" si="2873"/>
        <v>SSEC</v>
      </c>
      <c r="J6799">
        <f t="shared" si="2874"/>
        <v>3436</v>
      </c>
      <c r="K6799">
        <f t="shared" si="2875"/>
        <v>3632</v>
      </c>
      <c r="L6799">
        <f t="shared" si="2876"/>
        <v>3534</v>
      </c>
      <c r="M6799">
        <f t="shared" si="2877"/>
        <v>98</v>
      </c>
      <c r="N6799">
        <f t="shared" si="2868"/>
        <v>196</v>
      </c>
      <c r="O6799">
        <f t="shared" si="2878"/>
        <v>3531</v>
      </c>
      <c r="P6799">
        <f t="shared" si="2879"/>
        <v>-3.0612244897959183E-2</v>
      </c>
      <c r="Q6799" t="str">
        <f t="shared" si="2869"/>
        <v>2.69% | 2.86%</v>
      </c>
      <c r="R6799" t="str">
        <f t="shared" si="2880"/>
        <v>BULLISH</v>
      </c>
      <c r="S6799">
        <f t="shared" si="2881"/>
        <v>1</v>
      </c>
    </row>
    <row r="6800" spans="1:19" hidden="1" x14ac:dyDescent="0.25">
      <c r="A6800" s="5" t="str">
        <f t="shared" si="2882"/>
        <v>44207NIKK</v>
      </c>
      <c r="B6800" s="6" t="s">
        <v>91</v>
      </c>
      <c r="C6800" s="6">
        <v>26706</v>
      </c>
      <c r="D6800" s="6">
        <v>28155</v>
      </c>
      <c r="E6800" s="6">
        <v>28139</v>
      </c>
      <c r="F6800" t="str">
        <f t="shared" si="2870"/>
        <v>MON</v>
      </c>
      <c r="G6800" s="3">
        <f t="shared" si="2871"/>
        <v>44207</v>
      </c>
      <c r="H6800" s="2">
        <f t="shared" ca="1" si="2872"/>
        <v>46</v>
      </c>
      <c r="I6800" t="str">
        <f t="shared" si="2873"/>
        <v>NIKK</v>
      </c>
      <c r="J6800">
        <f t="shared" si="2874"/>
        <v>26706</v>
      </c>
      <c r="K6800">
        <f t="shared" si="2875"/>
        <v>28155</v>
      </c>
      <c r="L6800">
        <f t="shared" si="2876"/>
        <v>27430.5</v>
      </c>
      <c r="M6800">
        <f t="shared" si="2877"/>
        <v>724.5</v>
      </c>
      <c r="N6800">
        <f t="shared" si="2868"/>
        <v>1449</v>
      </c>
      <c r="O6800">
        <f t="shared" si="2878"/>
        <v>28139</v>
      </c>
      <c r="P6800">
        <f t="shared" si="2879"/>
        <v>0.97791580400276057</v>
      </c>
      <c r="Q6800" t="str">
        <f t="shared" si="2869"/>
        <v>5.09% | 0.06%</v>
      </c>
      <c r="R6800" t="str">
        <f t="shared" si="2880"/>
        <v>BULLISH</v>
      </c>
      <c r="S6800">
        <f t="shared" si="2881"/>
        <v>1</v>
      </c>
    </row>
    <row r="6801" spans="1:19" hidden="1" x14ac:dyDescent="0.25">
      <c r="A6801" s="5" t="str">
        <f t="shared" si="2882"/>
        <v>44207DAX</v>
      </c>
      <c r="B6801" s="6" t="s">
        <v>98</v>
      </c>
      <c r="C6801" s="6">
        <v>13499</v>
      </c>
      <c r="D6801" s="6">
        <v>14096</v>
      </c>
      <c r="E6801" s="6">
        <v>14049</v>
      </c>
      <c r="F6801" t="str">
        <f t="shared" si="2870"/>
        <v>MON</v>
      </c>
      <c r="G6801" s="3">
        <f t="shared" si="2871"/>
        <v>44207</v>
      </c>
      <c r="H6801" s="2">
        <f t="shared" ca="1" si="2872"/>
        <v>46</v>
      </c>
      <c r="I6801" t="str">
        <f t="shared" si="2873"/>
        <v>DAX</v>
      </c>
      <c r="J6801">
        <f t="shared" si="2874"/>
        <v>13499</v>
      </c>
      <c r="K6801">
        <f t="shared" si="2875"/>
        <v>14096</v>
      </c>
      <c r="L6801">
        <f t="shared" si="2876"/>
        <v>13797.5</v>
      </c>
      <c r="M6801">
        <f t="shared" si="2877"/>
        <v>298.5</v>
      </c>
      <c r="N6801">
        <f t="shared" si="2868"/>
        <v>597</v>
      </c>
      <c r="O6801">
        <f t="shared" si="2878"/>
        <v>14049</v>
      </c>
      <c r="P6801">
        <f t="shared" si="2879"/>
        <v>0.84254606365159124</v>
      </c>
      <c r="Q6801" t="str">
        <f t="shared" si="2869"/>
        <v>3.91% | 0.33%</v>
      </c>
      <c r="R6801" t="str">
        <f t="shared" si="2880"/>
        <v>BULLISH</v>
      </c>
      <c r="S6801">
        <f t="shared" si="2881"/>
        <v>1</v>
      </c>
    </row>
    <row r="6802" spans="1:19" hidden="1" x14ac:dyDescent="0.25">
      <c r="A6802" s="5" t="str">
        <f t="shared" si="2882"/>
        <v>44207VIX</v>
      </c>
      <c r="B6802" s="6" t="s">
        <v>96</v>
      </c>
      <c r="C6802" s="6">
        <v>20.010000000000002</v>
      </c>
      <c r="D6802" s="6">
        <v>26.99</v>
      </c>
      <c r="E6802" s="6">
        <v>21.56</v>
      </c>
      <c r="F6802" t="str">
        <f t="shared" si="2870"/>
        <v>MON</v>
      </c>
      <c r="G6802" s="3">
        <f t="shared" si="2871"/>
        <v>44207</v>
      </c>
      <c r="H6802" s="2">
        <f t="shared" ca="1" si="2872"/>
        <v>46</v>
      </c>
      <c r="I6802" t="str">
        <f t="shared" si="2873"/>
        <v>VIX</v>
      </c>
      <c r="J6802">
        <f t="shared" si="2874"/>
        <v>20.010000000000002</v>
      </c>
      <c r="K6802">
        <f t="shared" si="2875"/>
        <v>26.99</v>
      </c>
      <c r="L6802">
        <f t="shared" si="2876"/>
        <v>23.5</v>
      </c>
      <c r="M6802">
        <f t="shared" si="2877"/>
        <v>3.4900000000000055</v>
      </c>
      <c r="N6802">
        <f t="shared" si="2868"/>
        <v>6.9799999999999969</v>
      </c>
      <c r="O6802">
        <f t="shared" si="2878"/>
        <v>21.56</v>
      </c>
      <c r="P6802">
        <f t="shared" si="2879"/>
        <v>-0.55587392550143211</v>
      </c>
      <c r="Q6802" t="str">
        <f t="shared" si="2869"/>
        <v>7.19% | 25.19%</v>
      </c>
      <c r="R6802" t="str">
        <f t="shared" si="2880"/>
        <v>BEARISH</v>
      </c>
      <c r="S6802">
        <f t="shared" si="2881"/>
        <v>-1</v>
      </c>
    </row>
    <row r="6803" spans="1:19" hidden="1" x14ac:dyDescent="0.25">
      <c r="A6803" s="5" t="str">
        <f t="shared" si="2882"/>
        <v>44207USD</v>
      </c>
      <c r="B6803" s="6" t="s">
        <v>94</v>
      </c>
      <c r="C6803" s="6">
        <v>89.21</v>
      </c>
      <c r="D6803" s="6">
        <v>90.49</v>
      </c>
      <c r="E6803" s="6">
        <v>90.07</v>
      </c>
      <c r="F6803" t="str">
        <f t="shared" si="2870"/>
        <v>MON</v>
      </c>
      <c r="G6803" s="3">
        <f t="shared" si="2871"/>
        <v>44207</v>
      </c>
      <c r="H6803" s="2">
        <f t="shared" ca="1" si="2872"/>
        <v>46</v>
      </c>
      <c r="I6803" t="str">
        <f t="shared" si="2873"/>
        <v>USD</v>
      </c>
      <c r="J6803">
        <f t="shared" si="2874"/>
        <v>89.21</v>
      </c>
      <c r="K6803">
        <f t="shared" si="2875"/>
        <v>90.49</v>
      </c>
      <c r="L6803">
        <f t="shared" si="2876"/>
        <v>89.85</v>
      </c>
      <c r="M6803">
        <f t="shared" si="2877"/>
        <v>0.64000000000000057</v>
      </c>
      <c r="N6803">
        <f t="shared" si="2868"/>
        <v>1.2800000000000011</v>
      </c>
      <c r="O6803">
        <f t="shared" si="2878"/>
        <v>90.07</v>
      </c>
      <c r="P6803">
        <f t="shared" si="2879"/>
        <v>0.34374999999999795</v>
      </c>
      <c r="Q6803" t="str">
        <f t="shared" si="2869"/>
        <v>0.95% | 0.47%</v>
      </c>
      <c r="R6803" t="str">
        <f t="shared" si="2880"/>
        <v>BEARISH</v>
      </c>
      <c r="S6803">
        <f t="shared" si="2881"/>
        <v>-1</v>
      </c>
    </row>
    <row r="6804" spans="1:19" hidden="1" x14ac:dyDescent="0.25">
      <c r="A6804" s="5" t="str">
        <f t="shared" si="2882"/>
        <v>44207EUR/USD</v>
      </c>
      <c r="B6804" s="6" t="s">
        <v>99</v>
      </c>
      <c r="C6804" s="6">
        <v>1.216</v>
      </c>
      <c r="D6804" s="6">
        <v>1.2350000000000001</v>
      </c>
      <c r="E6804" s="6">
        <v>1.222</v>
      </c>
      <c r="F6804" t="str">
        <f t="shared" si="2870"/>
        <v>MON</v>
      </c>
      <c r="G6804" s="3">
        <f t="shared" si="2871"/>
        <v>44207</v>
      </c>
      <c r="H6804" s="2">
        <f t="shared" ca="1" si="2872"/>
        <v>46</v>
      </c>
      <c r="I6804" t="str">
        <f t="shared" si="2873"/>
        <v>EUR/USD</v>
      </c>
      <c r="J6804">
        <f t="shared" si="2874"/>
        <v>1.216</v>
      </c>
      <c r="K6804">
        <f t="shared" si="2875"/>
        <v>1.2350000000000001</v>
      </c>
      <c r="L6804">
        <f t="shared" si="2876"/>
        <v>1.2255</v>
      </c>
      <c r="M6804">
        <f t="shared" si="2877"/>
        <v>9.5000000000000639E-3</v>
      </c>
      <c r="N6804">
        <f t="shared" si="2868"/>
        <v>1.9000000000000128E-2</v>
      </c>
      <c r="O6804">
        <f t="shared" si="2878"/>
        <v>1.222</v>
      </c>
      <c r="P6804">
        <f t="shared" si="2879"/>
        <v>-0.36842105263158265</v>
      </c>
      <c r="Q6804" t="str">
        <f t="shared" si="2869"/>
        <v>0.49% | 1.06%</v>
      </c>
      <c r="R6804" t="str">
        <f t="shared" si="2880"/>
        <v>BULLISH</v>
      </c>
      <c r="S6804">
        <f t="shared" si="2881"/>
        <v>1</v>
      </c>
    </row>
    <row r="6805" spans="1:19" hidden="1" x14ac:dyDescent="0.25">
      <c r="A6805" s="5" t="str">
        <f t="shared" si="2882"/>
        <v>44207USD/JPY</v>
      </c>
      <c r="B6805" s="6" t="s">
        <v>20</v>
      </c>
      <c r="C6805" s="6">
        <v>102.64</v>
      </c>
      <c r="D6805" s="6">
        <v>104.26</v>
      </c>
      <c r="E6805" s="6">
        <v>103.96</v>
      </c>
      <c r="F6805" t="str">
        <f t="shared" si="2870"/>
        <v>MON</v>
      </c>
      <c r="G6805" s="3">
        <f t="shared" si="2871"/>
        <v>44207</v>
      </c>
      <c r="H6805" s="2">
        <f t="shared" ca="1" si="2872"/>
        <v>46</v>
      </c>
      <c r="I6805" t="str">
        <f t="shared" si="2873"/>
        <v>USD/JPY</v>
      </c>
      <c r="J6805">
        <f t="shared" si="2874"/>
        <v>102.64</v>
      </c>
      <c r="K6805">
        <f t="shared" si="2875"/>
        <v>104.26</v>
      </c>
      <c r="L6805">
        <f t="shared" si="2876"/>
        <v>103.45</v>
      </c>
      <c r="M6805">
        <f t="shared" si="2877"/>
        <v>0.81000000000000227</v>
      </c>
      <c r="N6805">
        <f t="shared" si="2868"/>
        <v>1.6200000000000045</v>
      </c>
      <c r="O6805">
        <f t="shared" si="2878"/>
        <v>103.96</v>
      </c>
      <c r="P6805">
        <f t="shared" si="2879"/>
        <v>0.62962962962961666</v>
      </c>
      <c r="Q6805" t="str">
        <f t="shared" si="2869"/>
        <v>1.27% | 0.29%</v>
      </c>
      <c r="R6805" t="str">
        <f t="shared" si="2880"/>
        <v>BEARISH</v>
      </c>
      <c r="S6805">
        <f t="shared" si="2881"/>
        <v>-1</v>
      </c>
    </row>
    <row r="6806" spans="1:19" hidden="1" x14ac:dyDescent="0.25">
      <c r="A6806" s="5" t="str">
        <f t="shared" si="2882"/>
        <v>44207GBP/USD</v>
      </c>
      <c r="B6806" s="6" t="s">
        <v>102</v>
      </c>
      <c r="C6806" s="6">
        <v>1.345</v>
      </c>
      <c r="D6806" s="6">
        <v>1.371</v>
      </c>
      <c r="E6806" s="6">
        <v>1.3560000000000001</v>
      </c>
      <c r="F6806" t="str">
        <f t="shared" si="2870"/>
        <v>MON</v>
      </c>
      <c r="G6806" s="3">
        <f t="shared" si="2871"/>
        <v>44207</v>
      </c>
      <c r="H6806" s="2">
        <f t="shared" ca="1" si="2872"/>
        <v>46</v>
      </c>
      <c r="I6806" t="str">
        <f t="shared" si="2873"/>
        <v>GBP/USD</v>
      </c>
      <c r="J6806">
        <f t="shared" si="2874"/>
        <v>1.345</v>
      </c>
      <c r="K6806">
        <f t="shared" si="2875"/>
        <v>1.371</v>
      </c>
      <c r="L6806">
        <f t="shared" si="2876"/>
        <v>1.3580000000000001</v>
      </c>
      <c r="M6806">
        <f t="shared" si="2877"/>
        <v>1.3000000000000012E-2</v>
      </c>
      <c r="N6806">
        <f t="shared" si="2868"/>
        <v>2.6000000000000023E-2</v>
      </c>
      <c r="O6806">
        <f t="shared" si="2878"/>
        <v>1.3560000000000001</v>
      </c>
      <c r="P6806">
        <f t="shared" si="2879"/>
        <v>-0.15384615384615385</v>
      </c>
      <c r="Q6806" t="str">
        <f t="shared" si="2869"/>
        <v>0.81% | 1.11%</v>
      </c>
      <c r="R6806" t="str">
        <f t="shared" si="2880"/>
        <v>BULLISH</v>
      </c>
      <c r="S6806">
        <f t="shared" si="2881"/>
        <v>1</v>
      </c>
    </row>
    <row r="6807" spans="1:19" hidden="1" x14ac:dyDescent="0.25">
      <c r="A6807" s="5" t="str">
        <f t="shared" si="2882"/>
        <v>44207CAD/USD</v>
      </c>
      <c r="B6807" s="6" t="s">
        <v>244</v>
      </c>
      <c r="C6807" s="6">
        <v>0.78</v>
      </c>
      <c r="D6807" s="6">
        <v>0.8</v>
      </c>
      <c r="E6807" s="6">
        <v>0.78</v>
      </c>
      <c r="F6807" t="str">
        <f t="shared" si="2870"/>
        <v>MON</v>
      </c>
      <c r="G6807" s="3">
        <f t="shared" si="2871"/>
        <v>44207</v>
      </c>
      <c r="H6807" s="2">
        <f t="shared" ca="1" si="2872"/>
        <v>46</v>
      </c>
      <c r="I6807" t="str">
        <f t="shared" si="2873"/>
        <v>CAD/USD</v>
      </c>
      <c r="J6807">
        <f t="shared" si="2874"/>
        <v>0.78</v>
      </c>
      <c r="K6807">
        <f t="shared" si="2875"/>
        <v>0.8</v>
      </c>
      <c r="L6807">
        <f t="shared" si="2876"/>
        <v>0.79</v>
      </c>
      <c r="M6807">
        <f t="shared" si="2877"/>
        <v>1.0000000000000009E-2</v>
      </c>
      <c r="N6807">
        <f t="shared" si="2868"/>
        <v>2.0000000000000018E-2</v>
      </c>
      <c r="O6807">
        <f t="shared" si="2878"/>
        <v>0.78</v>
      </c>
      <c r="P6807">
        <f t="shared" si="2879"/>
        <v>-1</v>
      </c>
      <c r="Q6807" t="str">
        <f t="shared" si="2869"/>
        <v>0% | 2.56%</v>
      </c>
      <c r="R6807" t="str">
        <f t="shared" si="2880"/>
        <v>BULLISH</v>
      </c>
      <c r="S6807">
        <f t="shared" si="2881"/>
        <v>1</v>
      </c>
    </row>
    <row r="6808" spans="1:19" hidden="1" x14ac:dyDescent="0.25">
      <c r="A6808" s="5" t="str">
        <f t="shared" si="2882"/>
        <v>44207USD/CHF</v>
      </c>
      <c r="B6808" s="6" t="s">
        <v>76</v>
      </c>
      <c r="C6808" s="6">
        <v>0.87</v>
      </c>
      <c r="D6808" s="6">
        <v>0.89</v>
      </c>
      <c r="E6808" s="6">
        <v>0.88</v>
      </c>
      <c r="F6808" t="str">
        <f t="shared" si="2870"/>
        <v>MON</v>
      </c>
      <c r="G6808" s="3">
        <f t="shared" si="2871"/>
        <v>44207</v>
      </c>
      <c r="H6808" s="2">
        <f t="shared" ca="1" si="2872"/>
        <v>46</v>
      </c>
      <c r="I6808" t="str">
        <f t="shared" si="2873"/>
        <v>USD/CHF</v>
      </c>
      <c r="J6808">
        <f t="shared" si="2874"/>
        <v>0.87</v>
      </c>
      <c r="K6808">
        <f t="shared" si="2875"/>
        <v>0.89</v>
      </c>
      <c r="L6808">
        <f t="shared" si="2876"/>
        <v>0.88</v>
      </c>
      <c r="M6808">
        <f t="shared" si="2877"/>
        <v>1.0000000000000009E-2</v>
      </c>
      <c r="N6808">
        <f t="shared" si="2868"/>
        <v>2.0000000000000018E-2</v>
      </c>
      <c r="O6808">
        <f t="shared" si="2878"/>
        <v>0.88</v>
      </c>
      <c r="P6808">
        <f t="shared" si="2879"/>
        <v>0</v>
      </c>
      <c r="Q6808" t="str">
        <f t="shared" si="2869"/>
        <v>1.14% | 1.14%</v>
      </c>
      <c r="R6808" t="str">
        <f t="shared" si="2880"/>
        <v>BEARISH</v>
      </c>
      <c r="S6808">
        <f t="shared" si="2881"/>
        <v>-1</v>
      </c>
    </row>
    <row r="6809" spans="1:19" hidden="1" x14ac:dyDescent="0.25">
      <c r="A6809" s="5" t="str">
        <f t="shared" si="2882"/>
        <v>44207WTIC</v>
      </c>
      <c r="B6809" s="6" t="s">
        <v>158</v>
      </c>
      <c r="C6809" s="6">
        <v>47.56</v>
      </c>
      <c r="D6809" s="6">
        <v>52.53</v>
      </c>
      <c r="E6809" s="6">
        <v>52.24</v>
      </c>
      <c r="F6809" t="str">
        <f t="shared" si="2870"/>
        <v>MON</v>
      </c>
      <c r="G6809" s="3">
        <f t="shared" si="2871"/>
        <v>44207</v>
      </c>
      <c r="H6809" s="2">
        <f t="shared" ca="1" si="2872"/>
        <v>46</v>
      </c>
      <c r="I6809" t="str">
        <f t="shared" si="2873"/>
        <v>WTIC</v>
      </c>
      <c r="J6809">
        <f t="shared" si="2874"/>
        <v>47.56</v>
      </c>
      <c r="K6809">
        <f t="shared" si="2875"/>
        <v>52.53</v>
      </c>
      <c r="L6809">
        <f t="shared" si="2876"/>
        <v>50.045000000000002</v>
      </c>
      <c r="M6809">
        <f t="shared" si="2877"/>
        <v>2.4849999999999994</v>
      </c>
      <c r="N6809">
        <f t="shared" si="2868"/>
        <v>4.9699999999999989</v>
      </c>
      <c r="O6809">
        <f t="shared" si="2878"/>
        <v>52.24</v>
      </c>
      <c r="P6809">
        <f t="shared" si="2879"/>
        <v>0.88329979879275689</v>
      </c>
      <c r="Q6809" t="str">
        <f t="shared" si="2869"/>
        <v>8.96% | 0.56%</v>
      </c>
      <c r="R6809" t="str">
        <f t="shared" si="2880"/>
        <v>BULLISH</v>
      </c>
      <c r="S6809">
        <f t="shared" si="2881"/>
        <v>1</v>
      </c>
    </row>
    <row r="6810" spans="1:19" hidden="1" x14ac:dyDescent="0.25">
      <c r="A6810" s="5" t="str">
        <f t="shared" si="2882"/>
        <v>44207NATGAS</v>
      </c>
      <c r="B6810" s="6" t="s">
        <v>87</v>
      </c>
      <c r="C6810" s="6">
        <v>2.2599999999999998</v>
      </c>
      <c r="D6810" s="6">
        <v>2.87</v>
      </c>
      <c r="E6810" s="6">
        <v>2.7</v>
      </c>
      <c r="F6810" t="str">
        <f t="shared" si="2870"/>
        <v>MON</v>
      </c>
      <c r="G6810" s="3">
        <f t="shared" si="2871"/>
        <v>44207</v>
      </c>
      <c r="H6810" s="2">
        <f t="shared" ca="1" si="2872"/>
        <v>46</v>
      </c>
      <c r="I6810" t="str">
        <f t="shared" si="2873"/>
        <v>NATGAS</v>
      </c>
      <c r="J6810">
        <f t="shared" si="2874"/>
        <v>2.2599999999999998</v>
      </c>
      <c r="K6810">
        <f t="shared" si="2875"/>
        <v>2.87</v>
      </c>
      <c r="L6810">
        <f t="shared" si="2876"/>
        <v>2.5649999999999999</v>
      </c>
      <c r="M6810">
        <f t="shared" si="2877"/>
        <v>0.30499999999999988</v>
      </c>
      <c r="N6810">
        <f t="shared" si="2868"/>
        <v>0.61000000000000032</v>
      </c>
      <c r="O6810">
        <f t="shared" si="2878"/>
        <v>2.7</v>
      </c>
      <c r="P6810">
        <f t="shared" si="2879"/>
        <v>0.44262295081967307</v>
      </c>
      <c r="Q6810" t="str">
        <f t="shared" si="2869"/>
        <v>16.3% | 6.3%</v>
      </c>
      <c r="R6810" t="str">
        <f t="shared" si="2880"/>
        <v>NEUTRAL</v>
      </c>
      <c r="S6810">
        <f t="shared" si="2881"/>
        <v>0</v>
      </c>
    </row>
    <row r="6811" spans="1:19" hidden="1" x14ac:dyDescent="0.25">
      <c r="A6811" s="5" t="str">
        <f t="shared" si="2882"/>
        <v>44207GOLD</v>
      </c>
      <c r="B6811" s="6" t="s">
        <v>85</v>
      </c>
      <c r="C6811" s="6">
        <v>1831</v>
      </c>
      <c r="D6811" s="6">
        <v>1912</v>
      </c>
      <c r="E6811" s="6">
        <v>1835</v>
      </c>
      <c r="F6811" t="str">
        <f t="shared" si="2870"/>
        <v>MON</v>
      </c>
      <c r="G6811" s="3">
        <f t="shared" si="2871"/>
        <v>44207</v>
      </c>
      <c r="H6811" s="2">
        <f t="shared" ca="1" si="2872"/>
        <v>46</v>
      </c>
      <c r="I6811" t="str">
        <f t="shared" si="2873"/>
        <v>GOLD</v>
      </c>
      <c r="J6811">
        <f t="shared" si="2874"/>
        <v>1831</v>
      </c>
      <c r="K6811">
        <f t="shared" si="2875"/>
        <v>1912</v>
      </c>
      <c r="L6811">
        <f t="shared" si="2876"/>
        <v>1871.5</v>
      </c>
      <c r="M6811">
        <f t="shared" si="2877"/>
        <v>40.5</v>
      </c>
      <c r="N6811">
        <f t="shared" si="2868"/>
        <v>81</v>
      </c>
      <c r="O6811">
        <f t="shared" si="2878"/>
        <v>1835</v>
      </c>
      <c r="P6811">
        <f t="shared" si="2879"/>
        <v>-0.90123456790123457</v>
      </c>
      <c r="Q6811" t="str">
        <f t="shared" si="2869"/>
        <v>0.22% | 4.2%</v>
      </c>
      <c r="R6811" t="str">
        <f t="shared" si="2880"/>
        <v>BEARISH</v>
      </c>
      <c r="S6811">
        <f t="shared" si="2881"/>
        <v>-1</v>
      </c>
    </row>
    <row r="6812" spans="1:19" hidden="1" x14ac:dyDescent="0.25">
      <c r="A6812" s="5" t="str">
        <f t="shared" si="2882"/>
        <v>44207COPPER</v>
      </c>
      <c r="B6812" s="6" t="s">
        <v>100</v>
      </c>
      <c r="C6812" s="6">
        <v>3.52</v>
      </c>
      <c r="D6812" s="6">
        <v>3.73</v>
      </c>
      <c r="E6812" s="6">
        <v>3.67</v>
      </c>
      <c r="F6812" t="str">
        <f t="shared" si="2870"/>
        <v>MON</v>
      </c>
      <c r="G6812" s="3">
        <f t="shared" si="2871"/>
        <v>44207</v>
      </c>
      <c r="H6812" s="2">
        <f t="shared" ca="1" si="2872"/>
        <v>46</v>
      </c>
      <c r="I6812" t="str">
        <f t="shared" si="2873"/>
        <v>COPPER</v>
      </c>
      <c r="J6812">
        <f t="shared" si="2874"/>
        <v>3.52</v>
      </c>
      <c r="K6812">
        <f t="shared" si="2875"/>
        <v>3.73</v>
      </c>
      <c r="L6812">
        <f t="shared" si="2876"/>
        <v>3.625</v>
      </c>
      <c r="M6812">
        <f t="shared" si="2877"/>
        <v>0.10499999999999998</v>
      </c>
      <c r="N6812">
        <f t="shared" si="2868"/>
        <v>0.20999999999999996</v>
      </c>
      <c r="O6812">
        <f t="shared" si="2878"/>
        <v>3.67</v>
      </c>
      <c r="P6812">
        <f t="shared" si="2879"/>
        <v>0.42857142857142799</v>
      </c>
      <c r="Q6812" t="str">
        <f t="shared" si="2869"/>
        <v>4.09% | 1.63%</v>
      </c>
      <c r="R6812" t="str">
        <f t="shared" si="2880"/>
        <v>BULLISH</v>
      </c>
      <c r="S6812">
        <f t="shared" si="2881"/>
        <v>1</v>
      </c>
    </row>
    <row r="6813" spans="1:19" hidden="1" x14ac:dyDescent="0.25">
      <c r="A6813" s="5" t="str">
        <f t="shared" si="2882"/>
        <v>44207MSFT</v>
      </c>
      <c r="B6813" s="6" t="s">
        <v>27</v>
      </c>
      <c r="C6813" s="6">
        <v>211</v>
      </c>
      <c r="D6813" s="6">
        <v>228</v>
      </c>
      <c r="E6813" s="6">
        <v>219</v>
      </c>
      <c r="F6813" t="str">
        <f t="shared" si="2870"/>
        <v>MON</v>
      </c>
      <c r="G6813" s="3">
        <f t="shared" si="2871"/>
        <v>44207</v>
      </c>
      <c r="H6813" s="2">
        <f t="shared" ca="1" si="2872"/>
        <v>46</v>
      </c>
      <c r="I6813" t="str">
        <f t="shared" si="2873"/>
        <v>MSFT</v>
      </c>
      <c r="J6813">
        <f t="shared" si="2874"/>
        <v>211</v>
      </c>
      <c r="K6813">
        <f t="shared" si="2875"/>
        <v>228</v>
      </c>
      <c r="L6813">
        <f t="shared" si="2876"/>
        <v>219.5</v>
      </c>
      <c r="M6813">
        <f t="shared" si="2877"/>
        <v>8.5</v>
      </c>
      <c r="N6813">
        <f t="shared" si="2868"/>
        <v>17</v>
      </c>
      <c r="O6813">
        <f t="shared" si="2878"/>
        <v>219</v>
      </c>
      <c r="P6813">
        <f t="shared" si="2879"/>
        <v>-5.8823529411764705E-2</v>
      </c>
      <c r="Q6813" t="str">
        <f t="shared" si="2869"/>
        <v>3.65% | 4.11%</v>
      </c>
      <c r="R6813" t="str">
        <f t="shared" si="2880"/>
        <v>BULLISH</v>
      </c>
      <c r="S6813">
        <f t="shared" si="2881"/>
        <v>1</v>
      </c>
    </row>
    <row r="6814" spans="1:19" hidden="1" x14ac:dyDescent="0.25">
      <c r="A6814" s="5" t="str">
        <f t="shared" si="2882"/>
        <v>44207AAPL</v>
      </c>
      <c r="B6814" s="6" t="s">
        <v>28</v>
      </c>
      <c r="C6814" s="6">
        <v>126</v>
      </c>
      <c r="D6814" s="6">
        <v>137</v>
      </c>
      <c r="E6814" s="6">
        <v>132</v>
      </c>
      <c r="F6814" t="str">
        <f t="shared" si="2870"/>
        <v>MON</v>
      </c>
      <c r="G6814" s="3">
        <f t="shared" si="2871"/>
        <v>44207</v>
      </c>
      <c r="H6814" s="2">
        <f t="shared" ca="1" si="2872"/>
        <v>46</v>
      </c>
      <c r="I6814" t="str">
        <f t="shared" si="2873"/>
        <v>AAPL</v>
      </c>
      <c r="J6814">
        <f t="shared" si="2874"/>
        <v>126</v>
      </c>
      <c r="K6814">
        <f t="shared" si="2875"/>
        <v>137</v>
      </c>
      <c r="L6814">
        <f t="shared" si="2876"/>
        <v>131.5</v>
      </c>
      <c r="M6814">
        <f t="shared" si="2877"/>
        <v>5.5</v>
      </c>
      <c r="N6814">
        <f t="shared" si="2868"/>
        <v>11</v>
      </c>
      <c r="O6814">
        <f t="shared" si="2878"/>
        <v>132</v>
      </c>
      <c r="P6814">
        <f t="shared" si="2879"/>
        <v>9.0909090909090912E-2</v>
      </c>
      <c r="Q6814" t="str">
        <f t="shared" si="2869"/>
        <v>4.55% | 3.79%</v>
      </c>
      <c r="R6814" t="str">
        <f t="shared" si="2880"/>
        <v>BULLISH</v>
      </c>
      <c r="S6814">
        <f t="shared" si="2881"/>
        <v>1</v>
      </c>
    </row>
    <row r="6815" spans="1:19" hidden="1" x14ac:dyDescent="0.25">
      <c r="A6815" s="5" t="str">
        <f t="shared" si="2882"/>
        <v>44207AMZN</v>
      </c>
      <c r="B6815" s="6" t="s">
        <v>29</v>
      </c>
      <c r="C6815" s="6">
        <v>3104</v>
      </c>
      <c r="D6815" s="6">
        <v>3349</v>
      </c>
      <c r="E6815" s="6">
        <v>3182</v>
      </c>
      <c r="F6815" t="str">
        <f t="shared" si="2870"/>
        <v>MON</v>
      </c>
      <c r="G6815" s="3">
        <f t="shared" si="2871"/>
        <v>44207</v>
      </c>
      <c r="H6815" s="2">
        <f t="shared" ca="1" si="2872"/>
        <v>46</v>
      </c>
      <c r="I6815" t="str">
        <f t="shared" si="2873"/>
        <v>AMZN</v>
      </c>
      <c r="J6815">
        <f t="shared" si="2874"/>
        <v>3104</v>
      </c>
      <c r="K6815">
        <f t="shared" si="2875"/>
        <v>3349</v>
      </c>
      <c r="L6815">
        <f t="shared" si="2876"/>
        <v>3226.5</v>
      </c>
      <c r="M6815">
        <f t="shared" si="2877"/>
        <v>122.5</v>
      </c>
      <c r="N6815">
        <f t="shared" si="2868"/>
        <v>245</v>
      </c>
      <c r="O6815">
        <f t="shared" si="2878"/>
        <v>3182</v>
      </c>
      <c r="P6815">
        <f t="shared" si="2879"/>
        <v>-0.36326530612244901</v>
      </c>
      <c r="Q6815" t="str">
        <f t="shared" si="2869"/>
        <v>2.45% | 5.25%</v>
      </c>
      <c r="R6815" t="str">
        <f t="shared" si="2880"/>
        <v>BULLISH</v>
      </c>
      <c r="S6815">
        <f t="shared" si="2881"/>
        <v>1</v>
      </c>
    </row>
    <row r="6816" spans="1:19" hidden="1" x14ac:dyDescent="0.25">
      <c r="A6816" s="5" t="str">
        <f t="shared" si="2882"/>
        <v>44207FB</v>
      </c>
      <c r="B6816" s="6" t="s">
        <v>58</v>
      </c>
      <c r="C6816" s="6">
        <v>260</v>
      </c>
      <c r="D6816" s="6">
        <v>278</v>
      </c>
      <c r="E6816" s="6">
        <v>267</v>
      </c>
      <c r="F6816" t="str">
        <f t="shared" si="2870"/>
        <v>MON</v>
      </c>
      <c r="G6816" s="3">
        <f t="shared" si="2871"/>
        <v>44207</v>
      </c>
      <c r="H6816" s="2">
        <f t="shared" ca="1" si="2872"/>
        <v>46</v>
      </c>
      <c r="I6816" t="str">
        <f t="shared" si="2873"/>
        <v>FB</v>
      </c>
      <c r="J6816">
        <f t="shared" si="2874"/>
        <v>260</v>
      </c>
      <c r="K6816">
        <f t="shared" si="2875"/>
        <v>278</v>
      </c>
      <c r="L6816">
        <f t="shared" si="2876"/>
        <v>269</v>
      </c>
      <c r="M6816">
        <f t="shared" si="2877"/>
        <v>9</v>
      </c>
      <c r="N6816">
        <f t="shared" si="2868"/>
        <v>18</v>
      </c>
      <c r="O6816">
        <f t="shared" si="2878"/>
        <v>267</v>
      </c>
      <c r="P6816">
        <f t="shared" si="2879"/>
        <v>-0.22222222222222221</v>
      </c>
      <c r="Q6816" t="str">
        <f t="shared" si="2869"/>
        <v>2.62% | 4.12%</v>
      </c>
      <c r="R6816" t="str">
        <f t="shared" si="2880"/>
        <v>BEARISH</v>
      </c>
      <c r="S6816">
        <f t="shared" si="2881"/>
        <v>-1</v>
      </c>
    </row>
    <row r="6817" spans="1:19" hidden="1" x14ac:dyDescent="0.25">
      <c r="A6817" s="5" t="str">
        <f t="shared" si="2882"/>
        <v>44207GOOGL</v>
      </c>
      <c r="B6817" s="6" t="s">
        <v>31</v>
      </c>
      <c r="C6817" s="6">
        <v>1705</v>
      </c>
      <c r="D6817" s="6">
        <v>1804</v>
      </c>
      <c r="E6817" s="6">
        <v>1797</v>
      </c>
      <c r="F6817" t="str">
        <f t="shared" si="2870"/>
        <v>MON</v>
      </c>
      <c r="G6817" s="3">
        <f t="shared" si="2871"/>
        <v>44207</v>
      </c>
      <c r="H6817" s="2">
        <f t="shared" ca="1" si="2872"/>
        <v>46</v>
      </c>
      <c r="I6817" t="str">
        <f t="shared" si="2873"/>
        <v>GOOGL</v>
      </c>
      <c r="J6817">
        <f t="shared" si="2874"/>
        <v>1705</v>
      </c>
      <c r="K6817">
        <f t="shared" si="2875"/>
        <v>1804</v>
      </c>
      <c r="L6817">
        <f t="shared" si="2876"/>
        <v>1754.5</v>
      </c>
      <c r="M6817">
        <f t="shared" si="2877"/>
        <v>49.5</v>
      </c>
      <c r="N6817">
        <f t="shared" si="2868"/>
        <v>99</v>
      </c>
      <c r="O6817">
        <f t="shared" si="2878"/>
        <v>1797</v>
      </c>
      <c r="P6817">
        <f t="shared" si="2879"/>
        <v>0.85858585858585856</v>
      </c>
      <c r="Q6817" t="str">
        <f t="shared" si="2869"/>
        <v>5.12% | 0.39%</v>
      </c>
      <c r="R6817" t="str">
        <f t="shared" si="2880"/>
        <v>BULLISH</v>
      </c>
      <c r="S6817">
        <f t="shared" si="2881"/>
        <v>1</v>
      </c>
    </row>
    <row r="6818" spans="1:19" hidden="1" x14ac:dyDescent="0.25">
      <c r="A6818" s="5" t="str">
        <f t="shared" si="2882"/>
        <v>44207NFLX</v>
      </c>
      <c r="B6818" s="6" t="s">
        <v>32</v>
      </c>
      <c r="C6818" s="6">
        <v>495</v>
      </c>
      <c r="D6818" s="6">
        <v>543</v>
      </c>
      <c r="E6818" s="6">
        <v>510</v>
      </c>
      <c r="F6818" t="str">
        <f t="shared" si="2870"/>
        <v>MON</v>
      </c>
      <c r="G6818" s="3">
        <f t="shared" si="2871"/>
        <v>44207</v>
      </c>
      <c r="H6818" s="2">
        <f t="shared" ca="1" si="2872"/>
        <v>46</v>
      </c>
      <c r="I6818" t="str">
        <f t="shared" si="2873"/>
        <v>NFLX</v>
      </c>
      <c r="J6818">
        <f t="shared" si="2874"/>
        <v>495</v>
      </c>
      <c r="K6818">
        <f t="shared" si="2875"/>
        <v>543</v>
      </c>
      <c r="L6818">
        <f t="shared" si="2876"/>
        <v>519</v>
      </c>
      <c r="M6818">
        <f t="shared" si="2877"/>
        <v>24</v>
      </c>
      <c r="N6818">
        <f t="shared" si="2868"/>
        <v>48</v>
      </c>
      <c r="O6818">
        <f t="shared" si="2878"/>
        <v>510</v>
      </c>
      <c r="P6818">
        <f t="shared" si="2879"/>
        <v>-0.375</v>
      </c>
      <c r="Q6818" t="str">
        <f t="shared" si="2869"/>
        <v>2.94% | 6.47%</v>
      </c>
      <c r="R6818" t="str">
        <f t="shared" si="2880"/>
        <v>BULLISH</v>
      </c>
      <c r="S6818">
        <f t="shared" si="2881"/>
        <v>1</v>
      </c>
    </row>
    <row r="6819" spans="1:19" x14ac:dyDescent="0.25">
      <c r="A6819" s="5" t="str">
        <f t="shared" si="2882"/>
        <v>44207TSLA</v>
      </c>
      <c r="B6819" s="6" t="s">
        <v>33</v>
      </c>
      <c r="C6819" s="6">
        <v>728</v>
      </c>
      <c r="D6819" s="6">
        <v>892</v>
      </c>
      <c r="E6819" s="6">
        <v>880</v>
      </c>
      <c r="F6819" t="str">
        <f t="shared" si="2870"/>
        <v>MON</v>
      </c>
      <c r="G6819" s="3">
        <f t="shared" si="2871"/>
        <v>44207</v>
      </c>
      <c r="H6819" s="2">
        <f t="shared" ca="1" si="2872"/>
        <v>46</v>
      </c>
      <c r="I6819" t="str">
        <f t="shared" si="2873"/>
        <v>TSLA</v>
      </c>
      <c r="J6819">
        <f t="shared" si="2874"/>
        <v>728</v>
      </c>
      <c r="K6819">
        <f t="shared" si="2875"/>
        <v>892</v>
      </c>
      <c r="L6819">
        <f t="shared" si="2876"/>
        <v>810</v>
      </c>
      <c r="M6819">
        <f t="shared" si="2877"/>
        <v>82</v>
      </c>
      <c r="N6819">
        <f t="shared" si="2868"/>
        <v>164</v>
      </c>
      <c r="O6819">
        <f t="shared" si="2878"/>
        <v>880</v>
      </c>
      <c r="P6819">
        <f t="shared" si="2879"/>
        <v>0.85365853658536583</v>
      </c>
      <c r="Q6819" t="str">
        <f t="shared" si="2869"/>
        <v>17.27% | 1.36%</v>
      </c>
      <c r="R6819" t="str">
        <f t="shared" si="2880"/>
        <v>BULLISH</v>
      </c>
      <c r="S6819">
        <f t="shared" si="2881"/>
        <v>1</v>
      </c>
    </row>
    <row r="6820" spans="1:19" hidden="1" x14ac:dyDescent="0.25">
      <c r="A6820" s="5" t="str">
        <f t="shared" si="2882"/>
        <v>44207NYXBT</v>
      </c>
      <c r="B6820" s="6" t="s">
        <v>60</v>
      </c>
      <c r="C6820" s="6">
        <v>30230</v>
      </c>
      <c r="D6820" s="6">
        <v>40041</v>
      </c>
      <c r="E6820" s="6">
        <v>34689</v>
      </c>
      <c r="F6820" t="str">
        <f t="shared" si="2870"/>
        <v>MON</v>
      </c>
      <c r="G6820" s="3">
        <f t="shared" si="2871"/>
        <v>44207</v>
      </c>
      <c r="H6820" s="2">
        <f t="shared" ca="1" si="2872"/>
        <v>46</v>
      </c>
      <c r="I6820" t="str">
        <f t="shared" si="2873"/>
        <v>NYXBT</v>
      </c>
      <c r="J6820">
        <f t="shared" si="2874"/>
        <v>30230</v>
      </c>
      <c r="K6820">
        <f t="shared" si="2875"/>
        <v>40041</v>
      </c>
      <c r="L6820">
        <f t="shared" si="2876"/>
        <v>35135.5</v>
      </c>
      <c r="M6820">
        <f t="shared" si="2877"/>
        <v>4905.5</v>
      </c>
      <c r="N6820">
        <f t="shared" si="2868"/>
        <v>9811</v>
      </c>
      <c r="O6820">
        <f t="shared" si="2878"/>
        <v>34689</v>
      </c>
      <c r="P6820">
        <f t="shared" si="2879"/>
        <v>-9.1020283355417383E-2</v>
      </c>
      <c r="Q6820" t="str">
        <f t="shared" si="2869"/>
        <v>12.85% | 15.43%</v>
      </c>
      <c r="R6820" t="str">
        <f t="shared" si="2880"/>
        <v>BULLISH</v>
      </c>
      <c r="S6820">
        <f t="shared" si="2881"/>
        <v>1</v>
      </c>
    </row>
    <row r="6821" spans="1:19" hidden="1" x14ac:dyDescent="0.25">
      <c r="A6821" s="5" t="str">
        <f t="shared" si="2882"/>
        <v>44208UST10Y</v>
      </c>
      <c r="B6821" s="6" t="s">
        <v>257</v>
      </c>
      <c r="C6821" s="6">
        <v>1.18</v>
      </c>
      <c r="D6821" s="6">
        <v>0.98</v>
      </c>
      <c r="E6821" s="6">
        <v>1.1499999999999999</v>
      </c>
      <c r="F6821" t="str">
        <f t="shared" si="2870"/>
        <v>TUE</v>
      </c>
      <c r="G6821" s="1">
        <f>DATE(2021,1,12)</f>
        <v>44208</v>
      </c>
      <c r="H6821" s="2">
        <f t="shared" ca="1" si="2872"/>
        <v>45</v>
      </c>
      <c r="I6821" t="str">
        <f t="shared" si="2873"/>
        <v>UST10Y</v>
      </c>
      <c r="J6821">
        <f t="shared" si="2874"/>
        <v>1.18</v>
      </c>
      <c r="K6821">
        <f t="shared" si="2875"/>
        <v>0.98</v>
      </c>
      <c r="L6821">
        <f t="shared" si="2876"/>
        <v>1.08</v>
      </c>
      <c r="M6821">
        <f t="shared" si="2877"/>
        <v>9.9999999999999978E-2</v>
      </c>
      <c r="N6821">
        <f t="shared" si="2868"/>
        <v>0.19999999999999996</v>
      </c>
      <c r="O6821">
        <f t="shared" si="2878"/>
        <v>1.1499999999999999</v>
      </c>
      <c r="P6821">
        <f t="shared" si="2879"/>
        <v>0.69999999999999851</v>
      </c>
      <c r="Q6821" t="str">
        <f t="shared" si="2869"/>
        <v>2.61% | 14.78%</v>
      </c>
      <c r="R6821" t="str">
        <f t="shared" si="2880"/>
        <v>BULLISH</v>
      </c>
      <c r="S6821">
        <f t="shared" si="2881"/>
        <v>1</v>
      </c>
    </row>
    <row r="6822" spans="1:19" hidden="1" x14ac:dyDescent="0.25">
      <c r="A6822" s="5" t="str">
        <f t="shared" si="2882"/>
        <v>44208UST2Y</v>
      </c>
      <c r="B6822" s="6" t="s">
        <v>259</v>
      </c>
      <c r="C6822" s="6">
        <v>0.16</v>
      </c>
      <c r="D6822" s="6">
        <v>0.12</v>
      </c>
      <c r="E6822" s="6">
        <v>0.14000000000000001</v>
      </c>
      <c r="F6822" t="str">
        <f t="shared" ref="F6822:F6853" si="2883">UPPER(TEXT(G6822,"ddd"))</f>
        <v>TUE</v>
      </c>
      <c r="G6822" s="1">
        <f t="shared" ref="G6822:G6852" si="2884">DATE(2021,1,12)</f>
        <v>44208</v>
      </c>
      <c r="H6822" s="2">
        <f t="shared" ref="H6822:H6853" ca="1" si="2885">TODAY()-G6822</f>
        <v>45</v>
      </c>
      <c r="I6822" t="str">
        <f t="shared" ref="I6822:I6853" si="2886">TRIM(LEFT(B6822,FIND(" ",B6822,1)))</f>
        <v>UST2Y</v>
      </c>
      <c r="J6822">
        <f t="shared" ref="J6822:J6853" si="2887">C6822</f>
        <v>0.16</v>
      </c>
      <c r="K6822">
        <f t="shared" ref="K6822:K6853" si="2888">D6822</f>
        <v>0.12</v>
      </c>
      <c r="L6822">
        <f t="shared" ref="L6822:L6853" si="2889">AVERAGE(J6822:K6822)</f>
        <v>0.14000000000000001</v>
      </c>
      <c r="M6822">
        <f t="shared" ref="M6822:M6853" si="2890">_xlfn.STDEV.P(J6822:K6822)</f>
        <v>1.9999999999999938E-2</v>
      </c>
      <c r="N6822">
        <f t="shared" si="2868"/>
        <v>4.0000000000000008E-2</v>
      </c>
      <c r="O6822">
        <f t="shared" ref="O6822:O6853" si="2891">E6822</f>
        <v>0.14000000000000001</v>
      </c>
      <c r="P6822">
        <f t="shared" ref="P6822:P6853" si="2892">(O6822-L6822)/M6822</f>
        <v>0</v>
      </c>
      <c r="Q6822" t="str">
        <f t="shared" si="2869"/>
        <v>14.29% | 14.29%</v>
      </c>
      <c r="R6822" t="str">
        <f t="shared" ref="R6822:R6853" si="2893">MID(B6822,FIND("(",B6822,1)+1,FIND(")",B6822,1)-FIND("(",B6822,1)-1)</f>
        <v>BULLISH</v>
      </c>
      <c r="S6822">
        <f t="shared" ref="S6822:S6853" si="2894">IF(R6822="BEARISH",-1,IF(R6822="NEUTRAL",0,IF(R6822="BULLISH",1,99)))</f>
        <v>1</v>
      </c>
    </row>
    <row r="6823" spans="1:19" hidden="1" x14ac:dyDescent="0.25">
      <c r="A6823" s="5" t="str">
        <f t="shared" si="2882"/>
        <v>44208SPX</v>
      </c>
      <c r="B6823" s="6" t="s">
        <v>93</v>
      </c>
      <c r="C6823" s="6">
        <v>3706</v>
      </c>
      <c r="D6823" s="6">
        <v>3839</v>
      </c>
      <c r="E6823" s="6">
        <v>3799</v>
      </c>
      <c r="F6823" t="str">
        <f t="shared" si="2883"/>
        <v>TUE</v>
      </c>
      <c r="G6823" s="1">
        <f t="shared" si="2884"/>
        <v>44208</v>
      </c>
      <c r="H6823" s="2">
        <f t="shared" ca="1" si="2885"/>
        <v>45</v>
      </c>
      <c r="I6823" t="str">
        <f t="shared" si="2886"/>
        <v>SPX</v>
      </c>
      <c r="J6823">
        <f t="shared" si="2887"/>
        <v>3706</v>
      </c>
      <c r="K6823">
        <f t="shared" si="2888"/>
        <v>3839</v>
      </c>
      <c r="L6823">
        <f t="shared" si="2889"/>
        <v>3772.5</v>
      </c>
      <c r="M6823">
        <f t="shared" si="2890"/>
        <v>66.5</v>
      </c>
      <c r="N6823">
        <f t="shared" si="2868"/>
        <v>133</v>
      </c>
      <c r="O6823">
        <f t="shared" si="2891"/>
        <v>3799</v>
      </c>
      <c r="P6823">
        <f t="shared" si="2892"/>
        <v>0.39849624060150374</v>
      </c>
      <c r="Q6823" t="str">
        <f t="shared" si="2869"/>
        <v>2.45% | 1.05%</v>
      </c>
      <c r="R6823" t="str">
        <f t="shared" si="2893"/>
        <v>BULLISH</v>
      </c>
      <c r="S6823">
        <f t="shared" si="2894"/>
        <v>1</v>
      </c>
    </row>
    <row r="6824" spans="1:19" hidden="1" x14ac:dyDescent="0.25">
      <c r="A6824" s="5" t="str">
        <f t="shared" si="2882"/>
        <v>44208RUT</v>
      </c>
      <c r="B6824" s="6" t="s">
        <v>247</v>
      </c>
      <c r="C6824" s="6">
        <v>2011</v>
      </c>
      <c r="D6824" s="6">
        <v>2142</v>
      </c>
      <c r="E6824" s="6">
        <v>2091</v>
      </c>
      <c r="F6824" t="str">
        <f t="shared" si="2883"/>
        <v>TUE</v>
      </c>
      <c r="G6824" s="1">
        <f t="shared" si="2884"/>
        <v>44208</v>
      </c>
      <c r="H6824" s="2">
        <f t="shared" ca="1" si="2885"/>
        <v>45</v>
      </c>
      <c r="I6824" t="str">
        <f t="shared" si="2886"/>
        <v>RUT</v>
      </c>
      <c r="J6824">
        <f t="shared" si="2887"/>
        <v>2011</v>
      </c>
      <c r="K6824">
        <f t="shared" si="2888"/>
        <v>2142</v>
      </c>
      <c r="L6824">
        <f t="shared" si="2889"/>
        <v>2076.5</v>
      </c>
      <c r="M6824">
        <f t="shared" si="2890"/>
        <v>65.5</v>
      </c>
      <c r="N6824">
        <f t="shared" si="2868"/>
        <v>131</v>
      </c>
      <c r="O6824">
        <f t="shared" si="2891"/>
        <v>2091</v>
      </c>
      <c r="P6824">
        <f t="shared" si="2892"/>
        <v>0.22137404580152673</v>
      </c>
      <c r="Q6824" t="str">
        <f t="shared" si="2869"/>
        <v>3.83% | 2.44%</v>
      </c>
      <c r="R6824" t="str">
        <f t="shared" si="2893"/>
        <v>BULLISH</v>
      </c>
      <c r="S6824">
        <f t="shared" si="2894"/>
        <v>1</v>
      </c>
    </row>
    <row r="6825" spans="1:19" hidden="1" x14ac:dyDescent="0.25">
      <c r="A6825" s="5" t="str">
        <f t="shared" si="2882"/>
        <v>44208COMPQ</v>
      </c>
      <c r="B6825" s="6" t="s">
        <v>8</v>
      </c>
      <c r="C6825" s="6">
        <v>12601</v>
      </c>
      <c r="D6825" s="6">
        <v>13218</v>
      </c>
      <c r="E6825" s="6">
        <v>13036</v>
      </c>
      <c r="F6825" t="str">
        <f t="shared" si="2883"/>
        <v>TUE</v>
      </c>
      <c r="G6825" s="1">
        <f t="shared" si="2884"/>
        <v>44208</v>
      </c>
      <c r="H6825" s="2">
        <f t="shared" ca="1" si="2885"/>
        <v>45</v>
      </c>
      <c r="I6825" t="str">
        <f t="shared" si="2886"/>
        <v>COMPQ</v>
      </c>
      <c r="J6825">
        <f t="shared" si="2887"/>
        <v>12601</v>
      </c>
      <c r="K6825">
        <f t="shared" si="2888"/>
        <v>13218</v>
      </c>
      <c r="L6825">
        <f t="shared" si="2889"/>
        <v>12909.5</v>
      </c>
      <c r="M6825">
        <f t="shared" si="2890"/>
        <v>308.5</v>
      </c>
      <c r="N6825">
        <f t="shared" si="2868"/>
        <v>617</v>
      </c>
      <c r="O6825">
        <f t="shared" si="2891"/>
        <v>13036</v>
      </c>
      <c r="P6825">
        <f t="shared" si="2892"/>
        <v>0.41004862236628847</v>
      </c>
      <c r="Q6825" t="str">
        <f t="shared" si="2869"/>
        <v>3.34% | 1.4%</v>
      </c>
      <c r="R6825" t="str">
        <f t="shared" si="2893"/>
        <v>BULLISH</v>
      </c>
      <c r="S6825">
        <f t="shared" si="2894"/>
        <v>1</v>
      </c>
    </row>
    <row r="6826" spans="1:19" hidden="1" x14ac:dyDescent="0.25">
      <c r="A6826" s="5" t="str">
        <f t="shared" si="2882"/>
        <v>44208XLK</v>
      </c>
      <c r="B6826" s="6" t="s">
        <v>10</v>
      </c>
      <c r="C6826" s="6">
        <v>126.72</v>
      </c>
      <c r="D6826" s="6">
        <v>131.83000000000001</v>
      </c>
      <c r="E6826" s="6">
        <v>129.68</v>
      </c>
      <c r="F6826" t="str">
        <f t="shared" si="2883"/>
        <v>TUE</v>
      </c>
      <c r="G6826" s="1">
        <f t="shared" si="2884"/>
        <v>44208</v>
      </c>
      <c r="H6826" s="2">
        <f t="shared" ca="1" si="2885"/>
        <v>45</v>
      </c>
      <c r="I6826" t="str">
        <f t="shared" si="2886"/>
        <v>XLK</v>
      </c>
      <c r="J6826">
        <f t="shared" si="2887"/>
        <v>126.72</v>
      </c>
      <c r="K6826">
        <f t="shared" si="2888"/>
        <v>131.83000000000001</v>
      </c>
      <c r="L6826">
        <f t="shared" si="2889"/>
        <v>129.27500000000001</v>
      </c>
      <c r="M6826">
        <f t="shared" si="2890"/>
        <v>2.5550000000000068</v>
      </c>
      <c r="N6826">
        <f t="shared" si="2868"/>
        <v>5.1100000000000136</v>
      </c>
      <c r="O6826">
        <f t="shared" si="2891"/>
        <v>129.68</v>
      </c>
      <c r="P6826">
        <f t="shared" si="2892"/>
        <v>0.15851272015655579</v>
      </c>
      <c r="Q6826" t="str">
        <f t="shared" si="2869"/>
        <v>2.28% | 1.66%</v>
      </c>
      <c r="R6826" t="str">
        <f t="shared" si="2893"/>
        <v>BULLISH</v>
      </c>
      <c r="S6826">
        <f t="shared" si="2894"/>
        <v>1</v>
      </c>
    </row>
    <row r="6827" spans="1:19" hidden="1" x14ac:dyDescent="0.25">
      <c r="A6827" s="5" t="str">
        <f t="shared" si="2882"/>
        <v>44208XLE</v>
      </c>
      <c r="B6827" s="6" t="s">
        <v>250</v>
      </c>
      <c r="C6827" s="6">
        <v>38.19</v>
      </c>
      <c r="D6827" s="6">
        <v>43.38</v>
      </c>
      <c r="E6827" s="6">
        <v>42.07</v>
      </c>
      <c r="F6827" t="str">
        <f t="shared" si="2883"/>
        <v>TUE</v>
      </c>
      <c r="G6827" s="1">
        <f t="shared" si="2884"/>
        <v>44208</v>
      </c>
      <c r="H6827" s="2">
        <f t="shared" ca="1" si="2885"/>
        <v>45</v>
      </c>
      <c r="I6827" t="str">
        <f t="shared" si="2886"/>
        <v>XLE</v>
      </c>
      <c r="J6827">
        <f t="shared" si="2887"/>
        <v>38.19</v>
      </c>
      <c r="K6827">
        <f t="shared" si="2888"/>
        <v>43.38</v>
      </c>
      <c r="L6827">
        <f t="shared" si="2889"/>
        <v>40.784999999999997</v>
      </c>
      <c r="M6827">
        <f t="shared" si="2890"/>
        <v>2.5950000000000024</v>
      </c>
      <c r="N6827">
        <f t="shared" si="2868"/>
        <v>5.1900000000000048</v>
      </c>
      <c r="O6827">
        <f t="shared" si="2891"/>
        <v>42.07</v>
      </c>
      <c r="P6827">
        <f t="shared" si="2892"/>
        <v>0.49518304431599325</v>
      </c>
      <c r="Q6827" t="str">
        <f t="shared" si="2869"/>
        <v>9.22% | 3.11%</v>
      </c>
      <c r="R6827" t="str">
        <f t="shared" si="2893"/>
        <v>BULLISH</v>
      </c>
      <c r="S6827">
        <f t="shared" si="2894"/>
        <v>1</v>
      </c>
    </row>
    <row r="6828" spans="1:19" hidden="1" x14ac:dyDescent="0.25">
      <c r="A6828" s="5" t="str">
        <f t="shared" si="2882"/>
        <v>44208XLF</v>
      </c>
      <c r="B6828" s="6" t="s">
        <v>258</v>
      </c>
      <c r="C6828" s="6">
        <v>29.05</v>
      </c>
      <c r="D6828" s="6">
        <v>31.82</v>
      </c>
      <c r="E6828" s="6">
        <v>31.02</v>
      </c>
      <c r="F6828" t="str">
        <f t="shared" si="2883"/>
        <v>TUE</v>
      </c>
      <c r="G6828" s="1">
        <f t="shared" si="2884"/>
        <v>44208</v>
      </c>
      <c r="H6828" s="2">
        <f t="shared" ca="1" si="2885"/>
        <v>45</v>
      </c>
      <c r="I6828" t="str">
        <f t="shared" si="2886"/>
        <v>XLF</v>
      </c>
      <c r="J6828">
        <f t="shared" si="2887"/>
        <v>29.05</v>
      </c>
      <c r="K6828">
        <f t="shared" si="2888"/>
        <v>31.82</v>
      </c>
      <c r="L6828">
        <f t="shared" si="2889"/>
        <v>30.435000000000002</v>
      </c>
      <c r="M6828">
        <f t="shared" si="2890"/>
        <v>1.3849999999999998</v>
      </c>
      <c r="N6828">
        <f t="shared" si="2868"/>
        <v>2.7699999999999996</v>
      </c>
      <c r="O6828">
        <f t="shared" si="2891"/>
        <v>31.02</v>
      </c>
      <c r="P6828">
        <f t="shared" si="2892"/>
        <v>0.42238267148014252</v>
      </c>
      <c r="Q6828" t="str">
        <f t="shared" si="2869"/>
        <v>6.35% | 2.58%</v>
      </c>
      <c r="R6828" t="str">
        <f t="shared" si="2893"/>
        <v>BULLISH</v>
      </c>
      <c r="S6828">
        <f t="shared" si="2894"/>
        <v>1</v>
      </c>
    </row>
    <row r="6829" spans="1:19" hidden="1" x14ac:dyDescent="0.25">
      <c r="A6829" s="5" t="str">
        <f t="shared" si="2882"/>
        <v>44208XLU</v>
      </c>
      <c r="B6829" s="6" t="s">
        <v>82</v>
      </c>
      <c r="C6829" s="6">
        <v>60.34</v>
      </c>
      <c r="D6829" s="6">
        <v>62.96</v>
      </c>
      <c r="E6829" s="6">
        <v>61.75</v>
      </c>
      <c r="F6829" t="str">
        <f t="shared" si="2883"/>
        <v>TUE</v>
      </c>
      <c r="G6829" s="1">
        <f t="shared" si="2884"/>
        <v>44208</v>
      </c>
      <c r="H6829" s="2">
        <f t="shared" ca="1" si="2885"/>
        <v>45</v>
      </c>
      <c r="I6829" t="str">
        <f t="shared" si="2886"/>
        <v>XLU</v>
      </c>
      <c r="J6829">
        <f t="shared" si="2887"/>
        <v>60.34</v>
      </c>
      <c r="K6829">
        <f t="shared" si="2888"/>
        <v>62.96</v>
      </c>
      <c r="L6829">
        <f t="shared" si="2889"/>
        <v>61.650000000000006</v>
      </c>
      <c r="M6829">
        <f t="shared" si="2890"/>
        <v>1.3099999999999987</v>
      </c>
      <c r="N6829">
        <f t="shared" si="2868"/>
        <v>2.6199999999999974</v>
      </c>
      <c r="O6829">
        <f t="shared" si="2891"/>
        <v>61.75</v>
      </c>
      <c r="P6829">
        <f t="shared" si="2892"/>
        <v>7.6335877862591162E-2</v>
      </c>
      <c r="Q6829" t="str">
        <f t="shared" si="2869"/>
        <v>2.28% | 1.96%</v>
      </c>
      <c r="R6829" t="str">
        <f t="shared" si="2893"/>
        <v>BEARISH</v>
      </c>
      <c r="S6829">
        <f t="shared" si="2894"/>
        <v>-1</v>
      </c>
    </row>
    <row r="6830" spans="1:19" hidden="1" x14ac:dyDescent="0.25">
      <c r="A6830" s="5" t="str">
        <f t="shared" si="2882"/>
        <v>44208GDX</v>
      </c>
      <c r="B6830" s="6" t="s">
        <v>254</v>
      </c>
      <c r="C6830" s="6">
        <v>34.479999999999997</v>
      </c>
      <c r="D6830" s="6">
        <v>38.99</v>
      </c>
      <c r="E6830" s="6">
        <v>35.78</v>
      </c>
      <c r="F6830" t="str">
        <f t="shared" si="2883"/>
        <v>TUE</v>
      </c>
      <c r="G6830" s="1">
        <f t="shared" si="2884"/>
        <v>44208</v>
      </c>
      <c r="H6830" s="2">
        <f t="shared" ca="1" si="2885"/>
        <v>45</v>
      </c>
      <c r="I6830" t="str">
        <f t="shared" si="2886"/>
        <v>GDX</v>
      </c>
      <c r="J6830">
        <f t="shared" si="2887"/>
        <v>34.479999999999997</v>
      </c>
      <c r="K6830">
        <f t="shared" si="2888"/>
        <v>38.99</v>
      </c>
      <c r="L6830">
        <f t="shared" si="2889"/>
        <v>36.734999999999999</v>
      </c>
      <c r="M6830">
        <f t="shared" si="2890"/>
        <v>2.2550000000000026</v>
      </c>
      <c r="N6830">
        <f t="shared" si="2868"/>
        <v>4.5100000000000051</v>
      </c>
      <c r="O6830">
        <f t="shared" si="2891"/>
        <v>35.78</v>
      </c>
      <c r="P6830">
        <f t="shared" si="2892"/>
        <v>-0.42350332594234907</v>
      </c>
      <c r="Q6830" t="str">
        <f t="shared" si="2869"/>
        <v>3.63% | 8.97%</v>
      </c>
      <c r="R6830" t="str">
        <f t="shared" si="2893"/>
        <v>BEARISH</v>
      </c>
      <c r="S6830">
        <f t="shared" si="2894"/>
        <v>-1</v>
      </c>
    </row>
    <row r="6831" spans="1:19" hidden="1" x14ac:dyDescent="0.25">
      <c r="A6831" s="5" t="str">
        <f t="shared" si="2882"/>
        <v>44208SSEC</v>
      </c>
      <c r="B6831" s="6" t="s">
        <v>104</v>
      </c>
      <c r="C6831" s="6">
        <v>3445</v>
      </c>
      <c r="D6831" s="6">
        <v>3642</v>
      </c>
      <c r="E6831" s="6">
        <v>3608</v>
      </c>
      <c r="F6831" t="str">
        <f t="shared" si="2883"/>
        <v>TUE</v>
      </c>
      <c r="G6831" s="1">
        <f t="shared" si="2884"/>
        <v>44208</v>
      </c>
      <c r="H6831" s="2">
        <f t="shared" ca="1" si="2885"/>
        <v>45</v>
      </c>
      <c r="I6831" t="str">
        <f t="shared" si="2886"/>
        <v>SSEC</v>
      </c>
      <c r="J6831">
        <f t="shared" si="2887"/>
        <v>3445</v>
      </c>
      <c r="K6831">
        <f t="shared" si="2888"/>
        <v>3642</v>
      </c>
      <c r="L6831">
        <f t="shared" si="2889"/>
        <v>3543.5</v>
      </c>
      <c r="M6831">
        <f t="shared" si="2890"/>
        <v>98.5</v>
      </c>
      <c r="N6831">
        <f t="shared" si="2868"/>
        <v>197</v>
      </c>
      <c r="O6831">
        <f t="shared" si="2891"/>
        <v>3608</v>
      </c>
      <c r="P6831">
        <f t="shared" si="2892"/>
        <v>0.65482233502538068</v>
      </c>
      <c r="Q6831" t="str">
        <f t="shared" si="2869"/>
        <v>4.52% | 0.94%</v>
      </c>
      <c r="R6831" t="str">
        <f t="shared" si="2893"/>
        <v>BULLISH</v>
      </c>
      <c r="S6831">
        <f t="shared" si="2894"/>
        <v>1</v>
      </c>
    </row>
    <row r="6832" spans="1:19" hidden="1" x14ac:dyDescent="0.25">
      <c r="A6832" s="5" t="str">
        <f t="shared" si="2882"/>
        <v>44208NIKK</v>
      </c>
      <c r="B6832" s="6" t="s">
        <v>91</v>
      </c>
      <c r="C6832" s="6">
        <v>26796</v>
      </c>
      <c r="D6832" s="6">
        <v>28279</v>
      </c>
      <c r="E6832" s="6">
        <v>28164</v>
      </c>
      <c r="F6832" t="str">
        <f t="shared" si="2883"/>
        <v>TUE</v>
      </c>
      <c r="G6832" s="1">
        <f t="shared" si="2884"/>
        <v>44208</v>
      </c>
      <c r="H6832" s="2">
        <f t="shared" ca="1" si="2885"/>
        <v>45</v>
      </c>
      <c r="I6832" t="str">
        <f t="shared" si="2886"/>
        <v>NIKK</v>
      </c>
      <c r="J6832">
        <f t="shared" si="2887"/>
        <v>26796</v>
      </c>
      <c r="K6832">
        <f t="shared" si="2888"/>
        <v>28279</v>
      </c>
      <c r="L6832">
        <f t="shared" si="2889"/>
        <v>27537.5</v>
      </c>
      <c r="M6832">
        <f t="shared" si="2890"/>
        <v>741.5</v>
      </c>
      <c r="N6832">
        <f t="shared" si="2868"/>
        <v>1483</v>
      </c>
      <c r="O6832">
        <f t="shared" si="2891"/>
        <v>28164</v>
      </c>
      <c r="P6832">
        <f t="shared" si="2892"/>
        <v>0.84490896830748485</v>
      </c>
      <c r="Q6832" t="str">
        <f t="shared" si="2869"/>
        <v>4.86% | 0.41%</v>
      </c>
      <c r="R6832" t="str">
        <f t="shared" si="2893"/>
        <v>BULLISH</v>
      </c>
      <c r="S6832">
        <f t="shared" si="2894"/>
        <v>1</v>
      </c>
    </row>
    <row r="6833" spans="1:19" hidden="1" x14ac:dyDescent="0.25">
      <c r="A6833" s="5" t="str">
        <f t="shared" si="2882"/>
        <v>44208DAX</v>
      </c>
      <c r="B6833" s="6" t="s">
        <v>98</v>
      </c>
      <c r="C6833" s="6">
        <v>13545</v>
      </c>
      <c r="D6833" s="6">
        <v>14115</v>
      </c>
      <c r="E6833" s="6">
        <v>13936</v>
      </c>
      <c r="F6833" t="str">
        <f t="shared" si="2883"/>
        <v>TUE</v>
      </c>
      <c r="G6833" s="1">
        <f t="shared" si="2884"/>
        <v>44208</v>
      </c>
      <c r="H6833" s="2">
        <f t="shared" ca="1" si="2885"/>
        <v>45</v>
      </c>
      <c r="I6833" t="str">
        <f t="shared" si="2886"/>
        <v>DAX</v>
      </c>
      <c r="J6833">
        <f t="shared" si="2887"/>
        <v>13545</v>
      </c>
      <c r="K6833">
        <f t="shared" si="2888"/>
        <v>14115</v>
      </c>
      <c r="L6833">
        <f t="shared" si="2889"/>
        <v>13830</v>
      </c>
      <c r="M6833">
        <f t="shared" si="2890"/>
        <v>285</v>
      </c>
      <c r="N6833">
        <f t="shared" si="2868"/>
        <v>570</v>
      </c>
      <c r="O6833">
        <f t="shared" si="2891"/>
        <v>13936</v>
      </c>
      <c r="P6833">
        <f t="shared" si="2892"/>
        <v>0.3719298245614035</v>
      </c>
      <c r="Q6833" t="str">
        <f t="shared" si="2869"/>
        <v>2.81% | 1.28%</v>
      </c>
      <c r="R6833" t="str">
        <f t="shared" si="2893"/>
        <v>BULLISH</v>
      </c>
      <c r="S6833">
        <f t="shared" si="2894"/>
        <v>1</v>
      </c>
    </row>
    <row r="6834" spans="1:19" hidden="1" x14ac:dyDescent="0.25">
      <c r="A6834" s="5" t="str">
        <f t="shared" si="2882"/>
        <v>44208VIX</v>
      </c>
      <c r="B6834" s="6" t="s">
        <v>96</v>
      </c>
      <c r="C6834" s="6">
        <v>20.420000000000002</v>
      </c>
      <c r="D6834" s="6">
        <v>27.13</v>
      </c>
      <c r="E6834" s="6">
        <v>24.08</v>
      </c>
      <c r="F6834" t="str">
        <f t="shared" si="2883"/>
        <v>TUE</v>
      </c>
      <c r="G6834" s="1">
        <f t="shared" si="2884"/>
        <v>44208</v>
      </c>
      <c r="H6834" s="2">
        <f t="shared" ca="1" si="2885"/>
        <v>45</v>
      </c>
      <c r="I6834" t="str">
        <f t="shared" si="2886"/>
        <v>VIX</v>
      </c>
      <c r="J6834">
        <f t="shared" si="2887"/>
        <v>20.420000000000002</v>
      </c>
      <c r="K6834">
        <f t="shared" si="2888"/>
        <v>27.13</v>
      </c>
      <c r="L6834">
        <f t="shared" si="2889"/>
        <v>23.774999999999999</v>
      </c>
      <c r="M6834">
        <f t="shared" si="2890"/>
        <v>3.3550000000000204</v>
      </c>
      <c r="N6834">
        <f t="shared" si="2868"/>
        <v>6.7099999999999973</v>
      </c>
      <c r="O6834">
        <f t="shared" si="2891"/>
        <v>24.08</v>
      </c>
      <c r="P6834">
        <f t="shared" si="2892"/>
        <v>9.0909090909090273E-2</v>
      </c>
      <c r="Q6834" t="str">
        <f t="shared" si="2869"/>
        <v>15.2% | 12.67%</v>
      </c>
      <c r="R6834" t="str">
        <f t="shared" si="2893"/>
        <v>BEARISH</v>
      </c>
      <c r="S6834">
        <f t="shared" si="2894"/>
        <v>-1</v>
      </c>
    </row>
    <row r="6835" spans="1:19" hidden="1" x14ac:dyDescent="0.25">
      <c r="A6835" s="5" t="str">
        <f t="shared" si="2882"/>
        <v>44208USD</v>
      </c>
      <c r="B6835" s="6" t="s">
        <v>94</v>
      </c>
      <c r="C6835" s="6">
        <v>89.22</v>
      </c>
      <c r="D6835" s="6">
        <v>90.62</v>
      </c>
      <c r="E6835" s="6">
        <v>90.44</v>
      </c>
      <c r="F6835" t="str">
        <f t="shared" si="2883"/>
        <v>TUE</v>
      </c>
      <c r="G6835" s="1">
        <f t="shared" si="2884"/>
        <v>44208</v>
      </c>
      <c r="H6835" s="2">
        <f t="shared" ca="1" si="2885"/>
        <v>45</v>
      </c>
      <c r="I6835" t="str">
        <f t="shared" si="2886"/>
        <v>USD</v>
      </c>
      <c r="J6835">
        <f t="shared" si="2887"/>
        <v>89.22</v>
      </c>
      <c r="K6835">
        <f t="shared" si="2888"/>
        <v>90.62</v>
      </c>
      <c r="L6835">
        <f t="shared" si="2889"/>
        <v>89.92</v>
      </c>
      <c r="M6835">
        <f t="shared" si="2890"/>
        <v>0.70000000000000284</v>
      </c>
      <c r="N6835">
        <f t="shared" si="2868"/>
        <v>1.4000000000000057</v>
      </c>
      <c r="O6835">
        <f t="shared" si="2891"/>
        <v>90.44</v>
      </c>
      <c r="P6835">
        <f t="shared" si="2892"/>
        <v>0.74285714285713411</v>
      </c>
      <c r="Q6835" t="str">
        <f t="shared" si="2869"/>
        <v>1.35% | 0.2%</v>
      </c>
      <c r="R6835" t="str">
        <f t="shared" si="2893"/>
        <v>BEARISH</v>
      </c>
      <c r="S6835">
        <f t="shared" si="2894"/>
        <v>-1</v>
      </c>
    </row>
    <row r="6836" spans="1:19" hidden="1" x14ac:dyDescent="0.25">
      <c r="A6836" s="5" t="str">
        <f t="shared" si="2882"/>
        <v>44208EUR/USD</v>
      </c>
      <c r="B6836" s="6" t="s">
        <v>99</v>
      </c>
      <c r="C6836" s="6">
        <v>1.214</v>
      </c>
      <c r="D6836" s="6">
        <v>1.236</v>
      </c>
      <c r="E6836" s="6">
        <v>1.2150000000000001</v>
      </c>
      <c r="F6836" t="str">
        <f t="shared" si="2883"/>
        <v>TUE</v>
      </c>
      <c r="G6836" s="1">
        <f t="shared" si="2884"/>
        <v>44208</v>
      </c>
      <c r="H6836" s="2">
        <f t="shared" ca="1" si="2885"/>
        <v>45</v>
      </c>
      <c r="I6836" t="str">
        <f t="shared" si="2886"/>
        <v>EUR/USD</v>
      </c>
      <c r="J6836">
        <f t="shared" si="2887"/>
        <v>1.214</v>
      </c>
      <c r="K6836">
        <f t="shared" si="2888"/>
        <v>1.236</v>
      </c>
      <c r="L6836">
        <f t="shared" si="2889"/>
        <v>1.2250000000000001</v>
      </c>
      <c r="M6836">
        <f t="shared" si="2890"/>
        <v>1.100000000000001E-2</v>
      </c>
      <c r="N6836">
        <f t="shared" si="2868"/>
        <v>2.200000000000002E-2</v>
      </c>
      <c r="O6836">
        <f t="shared" si="2891"/>
        <v>1.2150000000000001</v>
      </c>
      <c r="P6836">
        <f t="shared" si="2892"/>
        <v>-0.90909090909090906</v>
      </c>
      <c r="Q6836" t="str">
        <f t="shared" si="2869"/>
        <v>0.08% | 1.73%</v>
      </c>
      <c r="R6836" t="str">
        <f t="shared" si="2893"/>
        <v>BULLISH</v>
      </c>
      <c r="S6836">
        <f t="shared" si="2894"/>
        <v>1</v>
      </c>
    </row>
    <row r="6837" spans="1:19" hidden="1" x14ac:dyDescent="0.25">
      <c r="A6837" s="5" t="str">
        <f t="shared" si="2882"/>
        <v>44208USD/JPY</v>
      </c>
      <c r="B6837" s="6" t="s">
        <v>20</v>
      </c>
      <c r="C6837" s="6">
        <v>102.61</v>
      </c>
      <c r="D6837" s="6">
        <v>104.44</v>
      </c>
      <c r="E6837" s="6">
        <v>104.21</v>
      </c>
      <c r="F6837" t="str">
        <f t="shared" si="2883"/>
        <v>TUE</v>
      </c>
      <c r="G6837" s="1">
        <f t="shared" si="2884"/>
        <v>44208</v>
      </c>
      <c r="H6837" s="2">
        <f t="shared" ca="1" si="2885"/>
        <v>45</v>
      </c>
      <c r="I6837" t="str">
        <f t="shared" si="2886"/>
        <v>USD/JPY</v>
      </c>
      <c r="J6837">
        <f t="shared" si="2887"/>
        <v>102.61</v>
      </c>
      <c r="K6837">
        <f t="shared" si="2888"/>
        <v>104.44</v>
      </c>
      <c r="L6837">
        <f t="shared" si="2889"/>
        <v>103.52500000000001</v>
      </c>
      <c r="M6837">
        <f t="shared" si="2890"/>
        <v>0.91499999999999915</v>
      </c>
      <c r="N6837">
        <f t="shared" si="2868"/>
        <v>1.8299999999999983</v>
      </c>
      <c r="O6837">
        <f t="shared" si="2891"/>
        <v>104.21</v>
      </c>
      <c r="P6837">
        <f t="shared" si="2892"/>
        <v>0.74863387978140838</v>
      </c>
      <c r="Q6837" t="str">
        <f t="shared" si="2869"/>
        <v>1.54% | 0.22%</v>
      </c>
      <c r="R6837" t="str">
        <f t="shared" si="2893"/>
        <v>BEARISH</v>
      </c>
      <c r="S6837">
        <f t="shared" si="2894"/>
        <v>-1</v>
      </c>
    </row>
    <row r="6838" spans="1:19" hidden="1" x14ac:dyDescent="0.25">
      <c r="A6838" s="5" t="str">
        <f t="shared" si="2882"/>
        <v>44208GBP/USD</v>
      </c>
      <c r="B6838" s="6" t="s">
        <v>102</v>
      </c>
      <c r="C6838" s="6">
        <v>1.3460000000000001</v>
      </c>
      <c r="D6838" s="6">
        <v>1.37</v>
      </c>
      <c r="E6838" s="6">
        <v>1.351</v>
      </c>
      <c r="F6838" t="str">
        <f t="shared" si="2883"/>
        <v>TUE</v>
      </c>
      <c r="G6838" s="1">
        <f t="shared" si="2884"/>
        <v>44208</v>
      </c>
      <c r="H6838" s="2">
        <f t="shared" ca="1" si="2885"/>
        <v>45</v>
      </c>
      <c r="I6838" t="str">
        <f t="shared" si="2886"/>
        <v>GBP/USD</v>
      </c>
      <c r="J6838">
        <f t="shared" si="2887"/>
        <v>1.3460000000000001</v>
      </c>
      <c r="K6838">
        <f t="shared" si="2888"/>
        <v>1.37</v>
      </c>
      <c r="L6838">
        <f t="shared" si="2889"/>
        <v>1.3580000000000001</v>
      </c>
      <c r="M6838">
        <f t="shared" si="2890"/>
        <v>1.2000000000000011E-2</v>
      </c>
      <c r="N6838">
        <f t="shared" si="2868"/>
        <v>2.4000000000000021E-2</v>
      </c>
      <c r="O6838">
        <f t="shared" si="2891"/>
        <v>1.351</v>
      </c>
      <c r="P6838">
        <f t="shared" si="2892"/>
        <v>-0.58333333333334259</v>
      </c>
      <c r="Q6838" t="str">
        <f t="shared" si="2869"/>
        <v>0.37% | 1.41%</v>
      </c>
      <c r="R6838" t="str">
        <f t="shared" si="2893"/>
        <v>BULLISH</v>
      </c>
      <c r="S6838">
        <f t="shared" si="2894"/>
        <v>1</v>
      </c>
    </row>
    <row r="6839" spans="1:19" hidden="1" x14ac:dyDescent="0.25">
      <c r="A6839" s="5" t="str">
        <f t="shared" si="2882"/>
        <v>44208CAD/USD</v>
      </c>
      <c r="B6839" s="6" t="s">
        <v>244</v>
      </c>
      <c r="C6839" s="6">
        <v>0.78</v>
      </c>
      <c r="D6839" s="6">
        <v>0.8</v>
      </c>
      <c r="E6839" s="6">
        <v>0.78</v>
      </c>
      <c r="F6839" t="str">
        <f t="shared" si="2883"/>
        <v>TUE</v>
      </c>
      <c r="G6839" s="1">
        <f t="shared" si="2884"/>
        <v>44208</v>
      </c>
      <c r="H6839" s="2">
        <f t="shared" ca="1" si="2885"/>
        <v>45</v>
      </c>
      <c r="I6839" t="str">
        <f t="shared" si="2886"/>
        <v>CAD/USD</v>
      </c>
      <c r="J6839">
        <f t="shared" si="2887"/>
        <v>0.78</v>
      </c>
      <c r="K6839">
        <f t="shared" si="2888"/>
        <v>0.8</v>
      </c>
      <c r="L6839">
        <f t="shared" si="2889"/>
        <v>0.79</v>
      </c>
      <c r="M6839">
        <f t="shared" si="2890"/>
        <v>1.0000000000000009E-2</v>
      </c>
      <c r="N6839">
        <f t="shared" si="2868"/>
        <v>2.0000000000000018E-2</v>
      </c>
      <c r="O6839">
        <f t="shared" si="2891"/>
        <v>0.78</v>
      </c>
      <c r="P6839">
        <f t="shared" si="2892"/>
        <v>-1</v>
      </c>
      <c r="Q6839" t="str">
        <f t="shared" si="2869"/>
        <v>0% | 2.56%</v>
      </c>
      <c r="R6839" t="str">
        <f t="shared" si="2893"/>
        <v>BULLISH</v>
      </c>
      <c r="S6839">
        <f t="shared" si="2894"/>
        <v>1</v>
      </c>
    </row>
    <row r="6840" spans="1:19" hidden="1" x14ac:dyDescent="0.25">
      <c r="A6840" s="5" t="str">
        <f t="shared" si="2882"/>
        <v>44208USD/CHF</v>
      </c>
      <c r="B6840" s="6" t="s">
        <v>76</v>
      </c>
      <c r="C6840" s="6">
        <v>0.87</v>
      </c>
      <c r="D6840" s="6">
        <v>0.89</v>
      </c>
      <c r="E6840" s="6">
        <v>0.89</v>
      </c>
      <c r="F6840" t="str">
        <f t="shared" si="2883"/>
        <v>TUE</v>
      </c>
      <c r="G6840" s="1">
        <f t="shared" si="2884"/>
        <v>44208</v>
      </c>
      <c r="H6840" s="2">
        <f t="shared" ca="1" si="2885"/>
        <v>45</v>
      </c>
      <c r="I6840" t="str">
        <f t="shared" si="2886"/>
        <v>USD/CHF</v>
      </c>
      <c r="J6840">
        <f t="shared" si="2887"/>
        <v>0.87</v>
      </c>
      <c r="K6840">
        <f t="shared" si="2888"/>
        <v>0.89</v>
      </c>
      <c r="L6840">
        <f t="shared" si="2889"/>
        <v>0.88</v>
      </c>
      <c r="M6840">
        <f t="shared" si="2890"/>
        <v>1.0000000000000009E-2</v>
      </c>
      <c r="N6840">
        <f t="shared" si="2868"/>
        <v>2.0000000000000018E-2</v>
      </c>
      <c r="O6840">
        <f t="shared" si="2891"/>
        <v>0.89</v>
      </c>
      <c r="P6840">
        <f t="shared" si="2892"/>
        <v>1</v>
      </c>
      <c r="Q6840" t="str">
        <f t="shared" si="2869"/>
        <v>2.25% | 0%</v>
      </c>
      <c r="R6840" t="str">
        <f t="shared" si="2893"/>
        <v>BEARISH</v>
      </c>
      <c r="S6840">
        <f t="shared" si="2894"/>
        <v>-1</v>
      </c>
    </row>
    <row r="6841" spans="1:19" hidden="1" x14ac:dyDescent="0.25">
      <c r="A6841" s="5" t="str">
        <f t="shared" si="2882"/>
        <v>44208WTIC</v>
      </c>
      <c r="B6841" s="6" t="s">
        <v>158</v>
      </c>
      <c r="C6841" s="6">
        <v>47.98</v>
      </c>
      <c r="D6841" s="6">
        <v>53.28</v>
      </c>
      <c r="E6841" s="6">
        <v>52.25</v>
      </c>
      <c r="F6841" t="str">
        <f t="shared" si="2883"/>
        <v>TUE</v>
      </c>
      <c r="G6841" s="1">
        <f t="shared" si="2884"/>
        <v>44208</v>
      </c>
      <c r="H6841" s="2">
        <f t="shared" ca="1" si="2885"/>
        <v>45</v>
      </c>
      <c r="I6841" t="str">
        <f t="shared" si="2886"/>
        <v>WTIC</v>
      </c>
      <c r="J6841">
        <f t="shared" si="2887"/>
        <v>47.98</v>
      </c>
      <c r="K6841">
        <f t="shared" si="2888"/>
        <v>53.28</v>
      </c>
      <c r="L6841">
        <f t="shared" si="2889"/>
        <v>50.629999999999995</v>
      </c>
      <c r="M6841">
        <f t="shared" si="2890"/>
        <v>2.6500000000000021</v>
      </c>
      <c r="N6841">
        <f t="shared" si="2868"/>
        <v>5.3000000000000043</v>
      </c>
      <c r="O6841">
        <f t="shared" si="2891"/>
        <v>52.25</v>
      </c>
      <c r="P6841">
        <f t="shared" si="2892"/>
        <v>0.61132075471698233</v>
      </c>
      <c r="Q6841" t="str">
        <f t="shared" si="2869"/>
        <v>8.17% | 1.97%</v>
      </c>
      <c r="R6841" t="str">
        <f t="shared" si="2893"/>
        <v>BULLISH</v>
      </c>
      <c r="S6841">
        <f t="shared" si="2894"/>
        <v>1</v>
      </c>
    </row>
    <row r="6842" spans="1:19" hidden="1" x14ac:dyDescent="0.25">
      <c r="A6842" s="5" t="str">
        <f t="shared" si="2882"/>
        <v>44208NATGAS</v>
      </c>
      <c r="B6842" s="6" t="s">
        <v>89</v>
      </c>
      <c r="C6842" s="6">
        <v>2.35</v>
      </c>
      <c r="D6842" s="6">
        <v>2.89</v>
      </c>
      <c r="E6842" s="6">
        <v>2.75</v>
      </c>
      <c r="F6842" t="str">
        <f t="shared" si="2883"/>
        <v>TUE</v>
      </c>
      <c r="G6842" s="1">
        <f t="shared" si="2884"/>
        <v>44208</v>
      </c>
      <c r="H6842" s="2">
        <f t="shared" ca="1" si="2885"/>
        <v>45</v>
      </c>
      <c r="I6842" t="str">
        <f t="shared" si="2886"/>
        <v>NATGAS</v>
      </c>
      <c r="J6842">
        <f t="shared" si="2887"/>
        <v>2.35</v>
      </c>
      <c r="K6842">
        <f t="shared" si="2888"/>
        <v>2.89</v>
      </c>
      <c r="L6842">
        <f t="shared" si="2889"/>
        <v>2.62</v>
      </c>
      <c r="M6842">
        <f t="shared" si="2890"/>
        <v>0.26999999999999952</v>
      </c>
      <c r="N6842">
        <f t="shared" si="2868"/>
        <v>0.54</v>
      </c>
      <c r="O6842">
        <f t="shared" si="2891"/>
        <v>2.75</v>
      </c>
      <c r="P6842">
        <f t="shared" si="2892"/>
        <v>0.48148148148148195</v>
      </c>
      <c r="Q6842" t="str">
        <f t="shared" si="2869"/>
        <v>14.55% | 5.09%</v>
      </c>
      <c r="R6842" t="str">
        <f t="shared" si="2893"/>
        <v>BULLISH</v>
      </c>
      <c r="S6842">
        <f t="shared" si="2894"/>
        <v>1</v>
      </c>
    </row>
    <row r="6843" spans="1:19" hidden="1" x14ac:dyDescent="0.25">
      <c r="A6843" s="5" t="str">
        <f t="shared" si="2882"/>
        <v>44208GOLD</v>
      </c>
      <c r="B6843" s="6" t="s">
        <v>85</v>
      </c>
      <c r="C6843" s="6">
        <v>1821</v>
      </c>
      <c r="D6843" s="6">
        <v>1899</v>
      </c>
      <c r="E6843" s="6">
        <v>1850</v>
      </c>
      <c r="F6843" t="str">
        <f t="shared" si="2883"/>
        <v>TUE</v>
      </c>
      <c r="G6843" s="1">
        <f t="shared" si="2884"/>
        <v>44208</v>
      </c>
      <c r="H6843" s="2">
        <f t="shared" ca="1" si="2885"/>
        <v>45</v>
      </c>
      <c r="I6843" t="str">
        <f t="shared" si="2886"/>
        <v>GOLD</v>
      </c>
      <c r="J6843">
        <f t="shared" si="2887"/>
        <v>1821</v>
      </c>
      <c r="K6843">
        <f t="shared" si="2888"/>
        <v>1899</v>
      </c>
      <c r="L6843">
        <f t="shared" si="2889"/>
        <v>1860</v>
      </c>
      <c r="M6843">
        <f t="shared" si="2890"/>
        <v>39</v>
      </c>
      <c r="N6843">
        <f t="shared" si="2868"/>
        <v>78</v>
      </c>
      <c r="O6843">
        <f t="shared" si="2891"/>
        <v>1850</v>
      </c>
      <c r="P6843">
        <f t="shared" si="2892"/>
        <v>-0.25641025641025639</v>
      </c>
      <c r="Q6843" t="str">
        <f t="shared" si="2869"/>
        <v>1.57% | 2.65%</v>
      </c>
      <c r="R6843" t="str">
        <f t="shared" si="2893"/>
        <v>BEARISH</v>
      </c>
      <c r="S6843">
        <f t="shared" si="2894"/>
        <v>-1</v>
      </c>
    </row>
    <row r="6844" spans="1:19" hidden="1" x14ac:dyDescent="0.25">
      <c r="A6844" s="5" t="str">
        <f t="shared" si="2882"/>
        <v>44208COPPER</v>
      </c>
      <c r="B6844" s="6" t="s">
        <v>100</v>
      </c>
      <c r="C6844" s="6">
        <v>3.52</v>
      </c>
      <c r="D6844" s="6">
        <v>3.73</v>
      </c>
      <c r="E6844" s="6">
        <v>3.56</v>
      </c>
      <c r="F6844" t="str">
        <f t="shared" si="2883"/>
        <v>TUE</v>
      </c>
      <c r="G6844" s="1">
        <f t="shared" si="2884"/>
        <v>44208</v>
      </c>
      <c r="H6844" s="2">
        <f t="shared" ca="1" si="2885"/>
        <v>45</v>
      </c>
      <c r="I6844" t="str">
        <f t="shared" si="2886"/>
        <v>COPPER</v>
      </c>
      <c r="J6844">
        <f t="shared" si="2887"/>
        <v>3.52</v>
      </c>
      <c r="K6844">
        <f t="shared" si="2888"/>
        <v>3.73</v>
      </c>
      <c r="L6844">
        <f t="shared" si="2889"/>
        <v>3.625</v>
      </c>
      <c r="M6844">
        <f t="shared" si="2890"/>
        <v>0.10499999999999998</v>
      </c>
      <c r="N6844">
        <f t="shared" si="2868"/>
        <v>0.20999999999999996</v>
      </c>
      <c r="O6844">
        <f t="shared" si="2891"/>
        <v>3.56</v>
      </c>
      <c r="P6844">
        <f t="shared" si="2892"/>
        <v>-0.61904761904761862</v>
      </c>
      <c r="Q6844" t="str">
        <f t="shared" si="2869"/>
        <v>1.12% | 4.78%</v>
      </c>
      <c r="R6844" t="str">
        <f t="shared" si="2893"/>
        <v>BULLISH</v>
      </c>
      <c r="S6844">
        <f t="shared" si="2894"/>
        <v>1</v>
      </c>
    </row>
    <row r="6845" spans="1:19" hidden="1" x14ac:dyDescent="0.25">
      <c r="A6845" s="5" t="str">
        <f t="shared" si="2882"/>
        <v>44208MSFT</v>
      </c>
      <c r="B6845" s="6" t="s">
        <v>27</v>
      </c>
      <c r="C6845" s="6">
        <v>212</v>
      </c>
      <c r="D6845" s="6">
        <v>226</v>
      </c>
      <c r="E6845" s="6">
        <v>217</v>
      </c>
      <c r="F6845" t="str">
        <f t="shared" si="2883"/>
        <v>TUE</v>
      </c>
      <c r="G6845" s="1">
        <f t="shared" si="2884"/>
        <v>44208</v>
      </c>
      <c r="H6845" s="2">
        <f t="shared" ca="1" si="2885"/>
        <v>45</v>
      </c>
      <c r="I6845" t="str">
        <f t="shared" si="2886"/>
        <v>MSFT</v>
      </c>
      <c r="J6845">
        <f t="shared" si="2887"/>
        <v>212</v>
      </c>
      <c r="K6845">
        <f t="shared" si="2888"/>
        <v>226</v>
      </c>
      <c r="L6845">
        <f t="shared" si="2889"/>
        <v>219</v>
      </c>
      <c r="M6845">
        <f t="shared" si="2890"/>
        <v>7</v>
      </c>
      <c r="N6845">
        <f t="shared" si="2868"/>
        <v>14</v>
      </c>
      <c r="O6845">
        <f t="shared" si="2891"/>
        <v>217</v>
      </c>
      <c r="P6845">
        <f t="shared" si="2892"/>
        <v>-0.2857142857142857</v>
      </c>
      <c r="Q6845" t="str">
        <f t="shared" si="2869"/>
        <v>2.3% | 4.15%</v>
      </c>
      <c r="R6845" t="str">
        <f t="shared" si="2893"/>
        <v>BULLISH</v>
      </c>
      <c r="S6845">
        <f t="shared" si="2894"/>
        <v>1</v>
      </c>
    </row>
    <row r="6846" spans="1:19" hidden="1" x14ac:dyDescent="0.25">
      <c r="A6846" s="5" t="str">
        <f t="shared" si="2882"/>
        <v>44208AAPL</v>
      </c>
      <c r="B6846" s="6" t="s">
        <v>28</v>
      </c>
      <c r="C6846" s="6">
        <v>126</v>
      </c>
      <c r="D6846" s="6">
        <v>136</v>
      </c>
      <c r="E6846" s="6">
        <v>128</v>
      </c>
      <c r="F6846" t="str">
        <f t="shared" si="2883"/>
        <v>TUE</v>
      </c>
      <c r="G6846" s="1">
        <f t="shared" si="2884"/>
        <v>44208</v>
      </c>
      <c r="H6846" s="2">
        <f t="shared" ca="1" si="2885"/>
        <v>45</v>
      </c>
      <c r="I6846" t="str">
        <f t="shared" si="2886"/>
        <v>AAPL</v>
      </c>
      <c r="J6846">
        <f t="shared" si="2887"/>
        <v>126</v>
      </c>
      <c r="K6846">
        <f t="shared" si="2888"/>
        <v>136</v>
      </c>
      <c r="L6846">
        <f t="shared" si="2889"/>
        <v>131</v>
      </c>
      <c r="M6846">
        <f t="shared" si="2890"/>
        <v>5</v>
      </c>
      <c r="N6846">
        <f t="shared" si="2868"/>
        <v>10</v>
      </c>
      <c r="O6846">
        <f t="shared" si="2891"/>
        <v>128</v>
      </c>
      <c r="P6846">
        <f t="shared" si="2892"/>
        <v>-0.6</v>
      </c>
      <c r="Q6846" t="str">
        <f t="shared" si="2869"/>
        <v>1.56% | 6.25%</v>
      </c>
      <c r="R6846" t="str">
        <f t="shared" si="2893"/>
        <v>BULLISH</v>
      </c>
      <c r="S6846">
        <f t="shared" si="2894"/>
        <v>1</v>
      </c>
    </row>
    <row r="6847" spans="1:19" hidden="1" x14ac:dyDescent="0.25">
      <c r="A6847" s="5" t="str">
        <f t="shared" si="2882"/>
        <v>44208AMZN</v>
      </c>
      <c r="B6847" s="6" t="s">
        <v>69</v>
      </c>
      <c r="C6847" s="6">
        <v>3066</v>
      </c>
      <c r="D6847" s="6">
        <v>3339</v>
      </c>
      <c r="E6847" s="6">
        <v>3114</v>
      </c>
      <c r="F6847" t="str">
        <f t="shared" si="2883"/>
        <v>TUE</v>
      </c>
      <c r="G6847" s="1">
        <f t="shared" si="2884"/>
        <v>44208</v>
      </c>
      <c r="H6847" s="2">
        <f t="shared" ca="1" si="2885"/>
        <v>45</v>
      </c>
      <c r="I6847" t="str">
        <f t="shared" si="2886"/>
        <v>AMZN</v>
      </c>
      <c r="J6847">
        <f t="shared" si="2887"/>
        <v>3066</v>
      </c>
      <c r="K6847">
        <f t="shared" si="2888"/>
        <v>3339</v>
      </c>
      <c r="L6847">
        <f t="shared" si="2889"/>
        <v>3202.5</v>
      </c>
      <c r="M6847">
        <f t="shared" si="2890"/>
        <v>136.5</v>
      </c>
      <c r="N6847">
        <f t="shared" si="2868"/>
        <v>273</v>
      </c>
      <c r="O6847">
        <f t="shared" si="2891"/>
        <v>3114</v>
      </c>
      <c r="P6847">
        <f t="shared" si="2892"/>
        <v>-0.64835164835164838</v>
      </c>
      <c r="Q6847" t="str">
        <f t="shared" si="2869"/>
        <v>1.54% | 7.23%</v>
      </c>
      <c r="R6847" t="str">
        <f t="shared" si="2893"/>
        <v>NEUTRAL</v>
      </c>
      <c r="S6847">
        <f t="shared" si="2894"/>
        <v>0</v>
      </c>
    </row>
    <row r="6848" spans="1:19" hidden="1" x14ac:dyDescent="0.25">
      <c r="A6848" s="5" t="str">
        <f t="shared" si="2882"/>
        <v>44208FB</v>
      </c>
      <c r="B6848" s="6" t="s">
        <v>58</v>
      </c>
      <c r="C6848" s="6">
        <v>252</v>
      </c>
      <c r="D6848" s="6">
        <v>269</v>
      </c>
      <c r="E6848" s="6">
        <v>256</v>
      </c>
      <c r="F6848" t="str">
        <f t="shared" si="2883"/>
        <v>TUE</v>
      </c>
      <c r="G6848" s="1">
        <f t="shared" si="2884"/>
        <v>44208</v>
      </c>
      <c r="H6848" s="2">
        <f t="shared" ca="1" si="2885"/>
        <v>45</v>
      </c>
      <c r="I6848" t="str">
        <f t="shared" si="2886"/>
        <v>FB</v>
      </c>
      <c r="J6848">
        <f t="shared" si="2887"/>
        <v>252</v>
      </c>
      <c r="K6848">
        <f t="shared" si="2888"/>
        <v>269</v>
      </c>
      <c r="L6848">
        <f t="shared" si="2889"/>
        <v>260.5</v>
      </c>
      <c r="M6848">
        <f t="shared" si="2890"/>
        <v>8.5</v>
      </c>
      <c r="N6848">
        <f t="shared" si="2868"/>
        <v>17</v>
      </c>
      <c r="O6848">
        <f t="shared" si="2891"/>
        <v>256</v>
      </c>
      <c r="P6848">
        <f t="shared" si="2892"/>
        <v>-0.52941176470588236</v>
      </c>
      <c r="Q6848" t="str">
        <f t="shared" si="2869"/>
        <v>1.56% | 5.08%</v>
      </c>
      <c r="R6848" t="str">
        <f t="shared" si="2893"/>
        <v>BEARISH</v>
      </c>
      <c r="S6848">
        <f t="shared" si="2894"/>
        <v>-1</v>
      </c>
    </row>
    <row r="6849" spans="1:19" hidden="1" x14ac:dyDescent="0.25">
      <c r="A6849" s="5" t="str">
        <f t="shared" si="2882"/>
        <v>44208GOOGL</v>
      </c>
      <c r="B6849" s="6" t="s">
        <v>31</v>
      </c>
      <c r="C6849" s="6">
        <v>1721</v>
      </c>
      <c r="D6849" s="6">
        <v>1810</v>
      </c>
      <c r="E6849" s="6">
        <v>1756</v>
      </c>
      <c r="F6849" t="str">
        <f t="shared" si="2883"/>
        <v>TUE</v>
      </c>
      <c r="G6849" s="1">
        <f t="shared" si="2884"/>
        <v>44208</v>
      </c>
      <c r="H6849" s="2">
        <f t="shared" ca="1" si="2885"/>
        <v>45</v>
      </c>
      <c r="I6849" t="str">
        <f t="shared" si="2886"/>
        <v>GOOGL</v>
      </c>
      <c r="J6849">
        <f t="shared" si="2887"/>
        <v>1721</v>
      </c>
      <c r="K6849">
        <f t="shared" si="2888"/>
        <v>1810</v>
      </c>
      <c r="L6849">
        <f t="shared" si="2889"/>
        <v>1765.5</v>
      </c>
      <c r="M6849">
        <f t="shared" si="2890"/>
        <v>44.5</v>
      </c>
      <c r="N6849">
        <f t="shared" si="2868"/>
        <v>89</v>
      </c>
      <c r="O6849">
        <f t="shared" si="2891"/>
        <v>1756</v>
      </c>
      <c r="P6849">
        <f t="shared" si="2892"/>
        <v>-0.21348314606741572</v>
      </c>
      <c r="Q6849" t="str">
        <f t="shared" si="2869"/>
        <v>1.99% | 3.08%</v>
      </c>
      <c r="R6849" t="str">
        <f t="shared" si="2893"/>
        <v>BULLISH</v>
      </c>
      <c r="S6849">
        <f t="shared" si="2894"/>
        <v>1</v>
      </c>
    </row>
    <row r="6850" spans="1:19" hidden="1" x14ac:dyDescent="0.25">
      <c r="A6850" s="5" t="str">
        <f t="shared" si="2882"/>
        <v>44208NFLX</v>
      </c>
      <c r="B6850" s="6" t="s">
        <v>70</v>
      </c>
      <c r="C6850" s="6">
        <v>490</v>
      </c>
      <c r="D6850" s="6">
        <v>527</v>
      </c>
      <c r="E6850" s="6">
        <v>499</v>
      </c>
      <c r="F6850" t="str">
        <f t="shared" si="2883"/>
        <v>TUE</v>
      </c>
      <c r="G6850" s="1">
        <f t="shared" si="2884"/>
        <v>44208</v>
      </c>
      <c r="H6850" s="2">
        <f t="shared" ca="1" si="2885"/>
        <v>45</v>
      </c>
      <c r="I6850" t="str">
        <f t="shared" si="2886"/>
        <v>NFLX</v>
      </c>
      <c r="J6850">
        <f t="shared" si="2887"/>
        <v>490</v>
      </c>
      <c r="K6850">
        <f t="shared" si="2888"/>
        <v>527</v>
      </c>
      <c r="L6850">
        <f t="shared" si="2889"/>
        <v>508.5</v>
      </c>
      <c r="M6850">
        <f t="shared" si="2890"/>
        <v>18.5</v>
      </c>
      <c r="N6850">
        <f t="shared" si="2868"/>
        <v>37</v>
      </c>
      <c r="O6850">
        <f t="shared" si="2891"/>
        <v>499</v>
      </c>
      <c r="P6850">
        <f t="shared" si="2892"/>
        <v>-0.51351351351351349</v>
      </c>
      <c r="Q6850" t="str">
        <f t="shared" si="2869"/>
        <v>1.8% | 5.61%</v>
      </c>
      <c r="R6850" t="str">
        <f t="shared" si="2893"/>
        <v>NEUTRAL</v>
      </c>
      <c r="S6850">
        <f t="shared" si="2894"/>
        <v>0</v>
      </c>
    </row>
    <row r="6851" spans="1:19" x14ac:dyDescent="0.25">
      <c r="A6851" s="5" t="str">
        <f t="shared" si="2882"/>
        <v>44208TSLA</v>
      </c>
      <c r="B6851" s="6" t="s">
        <v>33</v>
      </c>
      <c r="C6851" s="6">
        <v>744</v>
      </c>
      <c r="D6851" s="6">
        <v>885</v>
      </c>
      <c r="E6851" s="6">
        <v>811</v>
      </c>
      <c r="F6851" t="str">
        <f t="shared" si="2883"/>
        <v>TUE</v>
      </c>
      <c r="G6851" s="1">
        <f t="shared" si="2884"/>
        <v>44208</v>
      </c>
      <c r="H6851" s="2">
        <f t="shared" ca="1" si="2885"/>
        <v>45</v>
      </c>
      <c r="I6851" t="str">
        <f t="shared" si="2886"/>
        <v>TSLA</v>
      </c>
      <c r="J6851">
        <f t="shared" si="2887"/>
        <v>744</v>
      </c>
      <c r="K6851">
        <f t="shared" si="2888"/>
        <v>885</v>
      </c>
      <c r="L6851">
        <f t="shared" si="2889"/>
        <v>814.5</v>
      </c>
      <c r="M6851">
        <f t="shared" si="2890"/>
        <v>70.5</v>
      </c>
      <c r="N6851">
        <f t="shared" ref="N6851:N6914" si="2895">ABS(K6851-J6851)</f>
        <v>141</v>
      </c>
      <c r="O6851">
        <f t="shared" si="2891"/>
        <v>811</v>
      </c>
      <c r="P6851">
        <f t="shared" si="2892"/>
        <v>-4.9645390070921988E-2</v>
      </c>
      <c r="Q6851" t="str">
        <f t="shared" ref="Q6851:Q6914" si="2896">ROUND(ABS(100*(O6851-J6851)/O6851),2)&amp;"% | "&amp;ROUND(ABS(100*(K6851-O6851)/O6851),2)&amp;"%"</f>
        <v>8.26% | 9.12%</v>
      </c>
      <c r="R6851" t="str">
        <f t="shared" si="2893"/>
        <v>BULLISH</v>
      </c>
      <c r="S6851">
        <f t="shared" si="2894"/>
        <v>1</v>
      </c>
    </row>
    <row r="6852" spans="1:19" hidden="1" x14ac:dyDescent="0.25">
      <c r="A6852" s="5" t="str">
        <f t="shared" si="2882"/>
        <v>44208NYXBT</v>
      </c>
      <c r="B6852" s="6" t="s">
        <v>60</v>
      </c>
      <c r="C6852" s="6">
        <v>31004</v>
      </c>
      <c r="D6852" s="6">
        <v>39294</v>
      </c>
      <c r="E6852" s="6">
        <v>32062</v>
      </c>
      <c r="F6852" t="str">
        <f t="shared" si="2883"/>
        <v>TUE</v>
      </c>
      <c r="G6852" s="1">
        <f t="shared" si="2884"/>
        <v>44208</v>
      </c>
      <c r="H6852" s="2">
        <f t="shared" ca="1" si="2885"/>
        <v>45</v>
      </c>
      <c r="I6852" t="str">
        <f t="shared" si="2886"/>
        <v>NYXBT</v>
      </c>
      <c r="J6852">
        <f t="shared" si="2887"/>
        <v>31004</v>
      </c>
      <c r="K6852">
        <f t="shared" si="2888"/>
        <v>39294</v>
      </c>
      <c r="L6852">
        <f t="shared" si="2889"/>
        <v>35149</v>
      </c>
      <c r="M6852">
        <f t="shared" si="2890"/>
        <v>4145</v>
      </c>
      <c r="N6852">
        <f t="shared" si="2895"/>
        <v>8290</v>
      </c>
      <c r="O6852">
        <f t="shared" si="2891"/>
        <v>32062</v>
      </c>
      <c r="P6852">
        <f t="shared" si="2892"/>
        <v>-0.74475271411338961</v>
      </c>
      <c r="Q6852" t="str">
        <f t="shared" si="2896"/>
        <v>3.3% | 22.56%</v>
      </c>
      <c r="R6852" t="str">
        <f t="shared" si="2893"/>
        <v>BULLISH</v>
      </c>
      <c r="S6852">
        <f t="shared" si="2894"/>
        <v>1</v>
      </c>
    </row>
    <row r="6853" spans="1:19" hidden="1" x14ac:dyDescent="0.25">
      <c r="A6853" s="5" t="str">
        <f t="shared" si="2882"/>
        <v>44209UST10Y</v>
      </c>
      <c r="B6853" s="6" t="s">
        <v>257</v>
      </c>
      <c r="C6853" s="6">
        <v>1.22</v>
      </c>
      <c r="D6853" s="6">
        <v>0.98</v>
      </c>
      <c r="E6853" s="6">
        <v>1.1499999999999999</v>
      </c>
      <c r="F6853" t="str">
        <f t="shared" si="2883"/>
        <v>WED</v>
      </c>
      <c r="G6853" s="3">
        <f>DATE(2021,1,13)</f>
        <v>44209</v>
      </c>
      <c r="H6853" s="2">
        <f t="shared" ca="1" si="2885"/>
        <v>44</v>
      </c>
      <c r="I6853" t="str">
        <f t="shared" si="2886"/>
        <v>UST10Y</v>
      </c>
      <c r="J6853">
        <f t="shared" si="2887"/>
        <v>1.22</v>
      </c>
      <c r="K6853">
        <f t="shared" si="2888"/>
        <v>0.98</v>
      </c>
      <c r="L6853">
        <f t="shared" si="2889"/>
        <v>1.1000000000000001</v>
      </c>
      <c r="M6853">
        <f t="shared" si="2890"/>
        <v>0.11999999999999894</v>
      </c>
      <c r="N6853">
        <f t="shared" si="2895"/>
        <v>0.24</v>
      </c>
      <c r="O6853">
        <f t="shared" si="2891"/>
        <v>1.1499999999999999</v>
      </c>
      <c r="P6853">
        <f t="shared" si="2892"/>
        <v>0.41666666666666885</v>
      </c>
      <c r="Q6853" t="str">
        <f t="shared" si="2896"/>
        <v>6.09% | 14.78%</v>
      </c>
      <c r="R6853" t="str">
        <f t="shared" si="2893"/>
        <v>BULLISH</v>
      </c>
      <c r="S6853">
        <f t="shared" si="2894"/>
        <v>1</v>
      </c>
    </row>
    <row r="6854" spans="1:19" hidden="1" x14ac:dyDescent="0.25">
      <c r="A6854" s="5" t="str">
        <f t="shared" si="2882"/>
        <v>44209UST2Y</v>
      </c>
      <c r="B6854" s="6" t="s">
        <v>259</v>
      </c>
      <c r="C6854" s="6">
        <v>0.17</v>
      </c>
      <c r="D6854" s="6">
        <v>0.12</v>
      </c>
      <c r="E6854" s="6">
        <v>0.14000000000000001</v>
      </c>
      <c r="F6854" t="str">
        <f t="shared" ref="F6854:F6885" si="2897">UPPER(TEXT(G6854,"ddd"))</f>
        <v>WED</v>
      </c>
      <c r="G6854" s="3">
        <f t="shared" ref="G6854:G6884" si="2898">DATE(2021,1,13)</f>
        <v>44209</v>
      </c>
      <c r="H6854" s="2">
        <f t="shared" ref="H6854:H6885" ca="1" si="2899">TODAY()-G6854</f>
        <v>44</v>
      </c>
      <c r="I6854" t="str">
        <f t="shared" ref="I6854:I6885" si="2900">TRIM(LEFT(B6854,FIND(" ",B6854,1)))</f>
        <v>UST2Y</v>
      </c>
      <c r="J6854">
        <f t="shared" ref="J6854:J6885" si="2901">C6854</f>
        <v>0.17</v>
      </c>
      <c r="K6854">
        <f t="shared" ref="K6854:K6885" si="2902">D6854</f>
        <v>0.12</v>
      </c>
      <c r="L6854">
        <f t="shared" ref="L6854:L6885" si="2903">AVERAGE(J6854:K6854)</f>
        <v>0.14500000000000002</v>
      </c>
      <c r="M6854">
        <f t="shared" ref="M6854:M6885" si="2904">_xlfn.STDEV.P(J6854:K6854)</f>
        <v>2.4999999999999942E-2</v>
      </c>
      <c r="N6854">
        <f t="shared" si="2895"/>
        <v>5.0000000000000017E-2</v>
      </c>
      <c r="O6854">
        <f t="shared" ref="O6854:O6885" si="2905">E6854</f>
        <v>0.14000000000000001</v>
      </c>
      <c r="P6854">
        <f t="shared" ref="P6854:P6885" si="2906">(O6854-L6854)/M6854</f>
        <v>-0.20000000000000065</v>
      </c>
      <c r="Q6854" t="str">
        <f t="shared" si="2896"/>
        <v>21.43% | 14.29%</v>
      </c>
      <c r="R6854" t="str">
        <f t="shared" ref="R6854:R6885" si="2907">MID(B6854,FIND("(",B6854,1)+1,FIND(")",B6854,1)-FIND("(",B6854,1)-1)</f>
        <v>BULLISH</v>
      </c>
      <c r="S6854">
        <f t="shared" ref="S6854:S6885" si="2908">IF(R6854="BEARISH",-1,IF(R6854="NEUTRAL",0,IF(R6854="BULLISH",1,99)))</f>
        <v>1</v>
      </c>
    </row>
    <row r="6855" spans="1:19" hidden="1" x14ac:dyDescent="0.25">
      <c r="A6855" s="5" t="str">
        <f t="shared" si="2882"/>
        <v>44209SPX</v>
      </c>
      <c r="B6855" s="6" t="s">
        <v>93</v>
      </c>
      <c r="C6855" s="6">
        <v>3713</v>
      </c>
      <c r="D6855" s="6">
        <v>3848</v>
      </c>
      <c r="E6855" s="6">
        <v>3801</v>
      </c>
      <c r="F6855" t="str">
        <f t="shared" si="2897"/>
        <v>WED</v>
      </c>
      <c r="G6855" s="3">
        <f t="shared" si="2898"/>
        <v>44209</v>
      </c>
      <c r="H6855" s="2">
        <f t="shared" ca="1" si="2899"/>
        <v>44</v>
      </c>
      <c r="I6855" t="str">
        <f t="shared" si="2900"/>
        <v>SPX</v>
      </c>
      <c r="J6855">
        <f t="shared" si="2901"/>
        <v>3713</v>
      </c>
      <c r="K6855">
        <f t="shared" si="2902"/>
        <v>3848</v>
      </c>
      <c r="L6855">
        <f t="shared" si="2903"/>
        <v>3780.5</v>
      </c>
      <c r="M6855">
        <f t="shared" si="2904"/>
        <v>67.5</v>
      </c>
      <c r="N6855">
        <f t="shared" si="2895"/>
        <v>135</v>
      </c>
      <c r="O6855">
        <f t="shared" si="2905"/>
        <v>3801</v>
      </c>
      <c r="P6855">
        <f t="shared" si="2906"/>
        <v>0.3037037037037037</v>
      </c>
      <c r="Q6855" t="str">
        <f t="shared" si="2896"/>
        <v>2.32% | 1.24%</v>
      </c>
      <c r="R6855" t="str">
        <f t="shared" si="2907"/>
        <v>BULLISH</v>
      </c>
      <c r="S6855">
        <f t="shared" si="2908"/>
        <v>1</v>
      </c>
    </row>
    <row r="6856" spans="1:19" hidden="1" x14ac:dyDescent="0.25">
      <c r="A6856" s="5" t="str">
        <f t="shared" ref="A6856:A6919" si="2909">G6856&amp;I6856</f>
        <v>44209RUT</v>
      </c>
      <c r="B6856" s="6" t="s">
        <v>247</v>
      </c>
      <c r="C6856" s="6">
        <v>2035</v>
      </c>
      <c r="D6856" s="6">
        <v>2170</v>
      </c>
      <c r="E6856" s="6">
        <v>2127</v>
      </c>
      <c r="F6856" t="str">
        <f t="shared" si="2897"/>
        <v>WED</v>
      </c>
      <c r="G6856" s="3">
        <f t="shared" si="2898"/>
        <v>44209</v>
      </c>
      <c r="H6856" s="2">
        <f t="shared" ca="1" si="2899"/>
        <v>44</v>
      </c>
      <c r="I6856" t="str">
        <f t="shared" si="2900"/>
        <v>RUT</v>
      </c>
      <c r="J6856">
        <f t="shared" si="2901"/>
        <v>2035</v>
      </c>
      <c r="K6856">
        <f t="shared" si="2902"/>
        <v>2170</v>
      </c>
      <c r="L6856">
        <f t="shared" si="2903"/>
        <v>2102.5</v>
      </c>
      <c r="M6856">
        <f t="shared" si="2904"/>
        <v>67.5</v>
      </c>
      <c r="N6856">
        <f t="shared" si="2895"/>
        <v>135</v>
      </c>
      <c r="O6856">
        <f t="shared" si="2905"/>
        <v>2127</v>
      </c>
      <c r="P6856">
        <f t="shared" si="2906"/>
        <v>0.36296296296296299</v>
      </c>
      <c r="Q6856" t="str">
        <f t="shared" si="2896"/>
        <v>4.33% | 2.02%</v>
      </c>
      <c r="R6856" t="str">
        <f t="shared" si="2907"/>
        <v>BULLISH</v>
      </c>
      <c r="S6856">
        <f t="shared" si="2908"/>
        <v>1</v>
      </c>
    </row>
    <row r="6857" spans="1:19" hidden="1" x14ac:dyDescent="0.25">
      <c r="A6857" s="5" t="str">
        <f t="shared" si="2909"/>
        <v>44209COMPQ</v>
      </c>
      <c r="B6857" s="6" t="s">
        <v>8</v>
      </c>
      <c r="C6857" s="6">
        <v>12701</v>
      </c>
      <c r="D6857" s="6">
        <v>13263</v>
      </c>
      <c r="E6857" s="6">
        <v>13072</v>
      </c>
      <c r="F6857" t="str">
        <f t="shared" si="2897"/>
        <v>WED</v>
      </c>
      <c r="G6857" s="3">
        <f t="shared" si="2898"/>
        <v>44209</v>
      </c>
      <c r="H6857" s="2">
        <f t="shared" ca="1" si="2899"/>
        <v>44</v>
      </c>
      <c r="I6857" t="str">
        <f t="shared" si="2900"/>
        <v>COMPQ</v>
      </c>
      <c r="J6857">
        <f t="shared" si="2901"/>
        <v>12701</v>
      </c>
      <c r="K6857">
        <f t="shared" si="2902"/>
        <v>13263</v>
      </c>
      <c r="L6857">
        <f t="shared" si="2903"/>
        <v>12982</v>
      </c>
      <c r="M6857">
        <f t="shared" si="2904"/>
        <v>281</v>
      </c>
      <c r="N6857">
        <f t="shared" si="2895"/>
        <v>562</v>
      </c>
      <c r="O6857">
        <f t="shared" si="2905"/>
        <v>13072</v>
      </c>
      <c r="P6857">
        <f t="shared" si="2906"/>
        <v>0.32028469750889682</v>
      </c>
      <c r="Q6857" t="str">
        <f t="shared" si="2896"/>
        <v>2.84% | 1.46%</v>
      </c>
      <c r="R6857" t="str">
        <f t="shared" si="2907"/>
        <v>BULLISH</v>
      </c>
      <c r="S6857">
        <f t="shared" si="2908"/>
        <v>1</v>
      </c>
    </row>
    <row r="6858" spans="1:19" hidden="1" x14ac:dyDescent="0.25">
      <c r="A6858" s="5" t="str">
        <f t="shared" si="2909"/>
        <v>44209XLK</v>
      </c>
      <c r="B6858" s="6" t="s">
        <v>10</v>
      </c>
      <c r="C6858" s="6">
        <v>126.71</v>
      </c>
      <c r="D6858" s="6">
        <v>131.80000000000001</v>
      </c>
      <c r="E6858" s="6">
        <v>129.06</v>
      </c>
      <c r="F6858" t="str">
        <f t="shared" si="2897"/>
        <v>WED</v>
      </c>
      <c r="G6858" s="3">
        <f t="shared" si="2898"/>
        <v>44209</v>
      </c>
      <c r="H6858" s="2">
        <f t="shared" ca="1" si="2899"/>
        <v>44</v>
      </c>
      <c r="I6858" t="str">
        <f t="shared" si="2900"/>
        <v>XLK</v>
      </c>
      <c r="J6858">
        <f t="shared" si="2901"/>
        <v>126.71</v>
      </c>
      <c r="K6858">
        <f t="shared" si="2902"/>
        <v>131.80000000000001</v>
      </c>
      <c r="L6858">
        <f t="shared" si="2903"/>
        <v>129.255</v>
      </c>
      <c r="M6858">
        <f t="shared" si="2904"/>
        <v>2.5450000000000088</v>
      </c>
      <c r="N6858">
        <f t="shared" si="2895"/>
        <v>5.0900000000000176</v>
      </c>
      <c r="O6858">
        <f t="shared" si="2905"/>
        <v>129.06</v>
      </c>
      <c r="P6858">
        <f t="shared" si="2906"/>
        <v>-7.6620825147344793E-2</v>
      </c>
      <c r="Q6858" t="str">
        <f t="shared" si="2896"/>
        <v>1.82% | 2.12%</v>
      </c>
      <c r="R6858" t="str">
        <f t="shared" si="2907"/>
        <v>BULLISH</v>
      </c>
      <c r="S6858">
        <f t="shared" si="2908"/>
        <v>1</v>
      </c>
    </row>
    <row r="6859" spans="1:19" hidden="1" x14ac:dyDescent="0.25">
      <c r="A6859" s="5" t="str">
        <f t="shared" si="2909"/>
        <v>44209XLE</v>
      </c>
      <c r="B6859" s="6" t="s">
        <v>250</v>
      </c>
      <c r="C6859" s="6">
        <v>39.03</v>
      </c>
      <c r="D6859" s="6">
        <v>44.25</v>
      </c>
      <c r="E6859" s="6">
        <v>43.54</v>
      </c>
      <c r="F6859" t="str">
        <f t="shared" si="2897"/>
        <v>WED</v>
      </c>
      <c r="G6859" s="3">
        <f t="shared" si="2898"/>
        <v>44209</v>
      </c>
      <c r="H6859" s="2">
        <f t="shared" ca="1" si="2899"/>
        <v>44</v>
      </c>
      <c r="I6859" t="str">
        <f t="shared" si="2900"/>
        <v>XLE</v>
      </c>
      <c r="J6859">
        <f t="shared" si="2901"/>
        <v>39.03</v>
      </c>
      <c r="K6859">
        <f t="shared" si="2902"/>
        <v>44.25</v>
      </c>
      <c r="L6859">
        <f t="shared" si="2903"/>
        <v>41.64</v>
      </c>
      <c r="M6859">
        <f t="shared" si="2904"/>
        <v>2.6099999999999994</v>
      </c>
      <c r="N6859">
        <f t="shared" si="2895"/>
        <v>5.2199999999999989</v>
      </c>
      <c r="O6859">
        <f t="shared" si="2905"/>
        <v>43.54</v>
      </c>
      <c r="P6859">
        <f t="shared" si="2906"/>
        <v>0.72796934865900342</v>
      </c>
      <c r="Q6859" t="str">
        <f t="shared" si="2896"/>
        <v>10.36% | 1.63%</v>
      </c>
      <c r="R6859" t="str">
        <f t="shared" si="2907"/>
        <v>BULLISH</v>
      </c>
      <c r="S6859">
        <f t="shared" si="2908"/>
        <v>1</v>
      </c>
    </row>
    <row r="6860" spans="1:19" hidden="1" x14ac:dyDescent="0.25">
      <c r="A6860" s="5" t="str">
        <f t="shared" si="2909"/>
        <v>44209XLF</v>
      </c>
      <c r="B6860" s="6" t="s">
        <v>258</v>
      </c>
      <c r="C6860" s="6">
        <v>29.25</v>
      </c>
      <c r="D6860" s="6">
        <v>31.99</v>
      </c>
      <c r="E6860" s="6">
        <v>31.34</v>
      </c>
      <c r="F6860" t="str">
        <f t="shared" si="2897"/>
        <v>WED</v>
      </c>
      <c r="G6860" s="3">
        <f t="shared" si="2898"/>
        <v>44209</v>
      </c>
      <c r="H6860" s="2">
        <f t="shared" ca="1" si="2899"/>
        <v>44</v>
      </c>
      <c r="I6860" t="str">
        <f t="shared" si="2900"/>
        <v>XLF</v>
      </c>
      <c r="J6860">
        <f t="shared" si="2901"/>
        <v>29.25</v>
      </c>
      <c r="K6860">
        <f t="shared" si="2902"/>
        <v>31.99</v>
      </c>
      <c r="L6860">
        <f t="shared" si="2903"/>
        <v>30.619999999999997</v>
      </c>
      <c r="M6860">
        <f t="shared" si="2904"/>
        <v>1.3699999999999992</v>
      </c>
      <c r="N6860">
        <f t="shared" si="2895"/>
        <v>2.7399999999999984</v>
      </c>
      <c r="O6860">
        <f t="shared" si="2905"/>
        <v>31.34</v>
      </c>
      <c r="P6860">
        <f t="shared" si="2906"/>
        <v>0.52554744525547648</v>
      </c>
      <c r="Q6860" t="str">
        <f t="shared" si="2896"/>
        <v>6.67% | 2.07%</v>
      </c>
      <c r="R6860" t="str">
        <f t="shared" si="2907"/>
        <v>BULLISH</v>
      </c>
      <c r="S6860">
        <f t="shared" si="2908"/>
        <v>1</v>
      </c>
    </row>
    <row r="6861" spans="1:19" hidden="1" x14ac:dyDescent="0.25">
      <c r="A6861" s="5" t="str">
        <f t="shared" si="2909"/>
        <v>44209XLU</v>
      </c>
      <c r="B6861" s="6" t="s">
        <v>82</v>
      </c>
      <c r="C6861" s="6">
        <v>60.33</v>
      </c>
      <c r="D6861" s="6">
        <v>62.96</v>
      </c>
      <c r="E6861" s="6">
        <v>61.42</v>
      </c>
      <c r="F6861" t="str">
        <f t="shared" si="2897"/>
        <v>WED</v>
      </c>
      <c r="G6861" s="3">
        <f t="shared" si="2898"/>
        <v>44209</v>
      </c>
      <c r="H6861" s="2">
        <f t="shared" ca="1" si="2899"/>
        <v>44</v>
      </c>
      <c r="I6861" t="str">
        <f t="shared" si="2900"/>
        <v>XLU</v>
      </c>
      <c r="J6861">
        <f t="shared" si="2901"/>
        <v>60.33</v>
      </c>
      <c r="K6861">
        <f t="shared" si="2902"/>
        <v>62.96</v>
      </c>
      <c r="L6861">
        <f t="shared" si="2903"/>
        <v>61.644999999999996</v>
      </c>
      <c r="M6861">
        <f t="shared" si="2904"/>
        <v>1.3150000000000013</v>
      </c>
      <c r="N6861">
        <f t="shared" si="2895"/>
        <v>2.6300000000000026</v>
      </c>
      <c r="O6861">
        <f t="shared" si="2905"/>
        <v>61.42</v>
      </c>
      <c r="P6861">
        <f t="shared" si="2906"/>
        <v>-0.1711026615969537</v>
      </c>
      <c r="Q6861" t="str">
        <f t="shared" si="2896"/>
        <v>1.77% | 2.51%</v>
      </c>
      <c r="R6861" t="str">
        <f t="shared" si="2907"/>
        <v>BEARISH</v>
      </c>
      <c r="S6861">
        <f t="shared" si="2908"/>
        <v>-1</v>
      </c>
    </row>
    <row r="6862" spans="1:19" hidden="1" x14ac:dyDescent="0.25">
      <c r="A6862" s="5" t="str">
        <f t="shared" si="2909"/>
        <v>44209GDX</v>
      </c>
      <c r="B6862" s="6" t="s">
        <v>254</v>
      </c>
      <c r="C6862" s="6">
        <v>34.6</v>
      </c>
      <c r="D6862" s="6">
        <v>39.4</v>
      </c>
      <c r="E6862" s="6">
        <v>36.04</v>
      </c>
      <c r="F6862" t="str">
        <f t="shared" si="2897"/>
        <v>WED</v>
      </c>
      <c r="G6862" s="3">
        <f t="shared" si="2898"/>
        <v>44209</v>
      </c>
      <c r="H6862" s="2">
        <f t="shared" ca="1" si="2899"/>
        <v>44</v>
      </c>
      <c r="I6862" t="str">
        <f t="shared" si="2900"/>
        <v>GDX</v>
      </c>
      <c r="J6862">
        <f t="shared" si="2901"/>
        <v>34.6</v>
      </c>
      <c r="K6862">
        <f t="shared" si="2902"/>
        <v>39.4</v>
      </c>
      <c r="L6862">
        <f t="shared" si="2903"/>
        <v>37</v>
      </c>
      <c r="M6862">
        <f t="shared" si="2904"/>
        <v>2.3999999999999986</v>
      </c>
      <c r="N6862">
        <f t="shared" si="2895"/>
        <v>4.7999999999999972</v>
      </c>
      <c r="O6862">
        <f t="shared" si="2905"/>
        <v>36.04</v>
      </c>
      <c r="P6862">
        <f t="shared" si="2906"/>
        <v>-0.40000000000000058</v>
      </c>
      <c r="Q6862" t="str">
        <f t="shared" si="2896"/>
        <v>4% | 9.32%</v>
      </c>
      <c r="R6862" t="str">
        <f t="shared" si="2907"/>
        <v>BEARISH</v>
      </c>
      <c r="S6862">
        <f t="shared" si="2908"/>
        <v>-1</v>
      </c>
    </row>
    <row r="6863" spans="1:19" hidden="1" x14ac:dyDescent="0.25">
      <c r="A6863" s="5" t="str">
        <f t="shared" si="2909"/>
        <v>44209SSEC</v>
      </c>
      <c r="B6863" s="6" t="s">
        <v>104</v>
      </c>
      <c r="C6863" s="6">
        <v>3457</v>
      </c>
      <c r="D6863" s="6">
        <v>3641</v>
      </c>
      <c r="E6863" s="6">
        <v>3598</v>
      </c>
      <c r="F6863" t="str">
        <f t="shared" si="2897"/>
        <v>WED</v>
      </c>
      <c r="G6863" s="3">
        <f t="shared" si="2898"/>
        <v>44209</v>
      </c>
      <c r="H6863" s="2">
        <f t="shared" ca="1" si="2899"/>
        <v>44</v>
      </c>
      <c r="I6863" t="str">
        <f t="shared" si="2900"/>
        <v>SSEC</v>
      </c>
      <c r="J6863">
        <f t="shared" si="2901"/>
        <v>3457</v>
      </c>
      <c r="K6863">
        <f t="shared" si="2902"/>
        <v>3641</v>
      </c>
      <c r="L6863">
        <f t="shared" si="2903"/>
        <v>3549</v>
      </c>
      <c r="M6863">
        <f t="shared" si="2904"/>
        <v>92</v>
      </c>
      <c r="N6863">
        <f t="shared" si="2895"/>
        <v>184</v>
      </c>
      <c r="O6863">
        <f t="shared" si="2905"/>
        <v>3598</v>
      </c>
      <c r="P6863">
        <f t="shared" si="2906"/>
        <v>0.53260869565217395</v>
      </c>
      <c r="Q6863" t="str">
        <f t="shared" si="2896"/>
        <v>3.92% | 1.2%</v>
      </c>
      <c r="R6863" t="str">
        <f t="shared" si="2907"/>
        <v>BULLISH</v>
      </c>
      <c r="S6863">
        <f t="shared" si="2908"/>
        <v>1</v>
      </c>
    </row>
    <row r="6864" spans="1:19" hidden="1" x14ac:dyDescent="0.25">
      <c r="A6864" s="5" t="str">
        <f t="shared" si="2909"/>
        <v>44209NIKK</v>
      </c>
      <c r="B6864" s="6" t="s">
        <v>91</v>
      </c>
      <c r="C6864" s="6">
        <v>26993</v>
      </c>
      <c r="D6864" s="6">
        <v>28510</v>
      </c>
      <c r="E6864" s="6">
        <v>28456</v>
      </c>
      <c r="F6864" t="str">
        <f t="shared" si="2897"/>
        <v>WED</v>
      </c>
      <c r="G6864" s="3">
        <f t="shared" si="2898"/>
        <v>44209</v>
      </c>
      <c r="H6864" s="2">
        <f t="shared" ca="1" si="2899"/>
        <v>44</v>
      </c>
      <c r="I6864" t="str">
        <f t="shared" si="2900"/>
        <v>NIKK</v>
      </c>
      <c r="J6864">
        <f t="shared" si="2901"/>
        <v>26993</v>
      </c>
      <c r="K6864">
        <f t="shared" si="2902"/>
        <v>28510</v>
      </c>
      <c r="L6864">
        <f t="shared" si="2903"/>
        <v>27751.5</v>
      </c>
      <c r="M6864">
        <f t="shared" si="2904"/>
        <v>758.5</v>
      </c>
      <c r="N6864">
        <f t="shared" si="2895"/>
        <v>1517</v>
      </c>
      <c r="O6864">
        <f t="shared" si="2905"/>
        <v>28456</v>
      </c>
      <c r="P6864">
        <f t="shared" si="2906"/>
        <v>0.92880685563612397</v>
      </c>
      <c r="Q6864" t="str">
        <f t="shared" si="2896"/>
        <v>5.14% | 0.19%</v>
      </c>
      <c r="R6864" t="str">
        <f t="shared" si="2907"/>
        <v>BULLISH</v>
      </c>
      <c r="S6864">
        <f t="shared" si="2908"/>
        <v>1</v>
      </c>
    </row>
    <row r="6865" spans="1:19" hidden="1" x14ac:dyDescent="0.25">
      <c r="A6865" s="5" t="str">
        <f t="shared" si="2909"/>
        <v>44209DAX</v>
      </c>
      <c r="B6865" s="6" t="s">
        <v>98</v>
      </c>
      <c r="C6865" s="6">
        <v>13561</v>
      </c>
      <c r="D6865" s="6">
        <v>14114</v>
      </c>
      <c r="E6865" s="6">
        <v>13925</v>
      </c>
      <c r="F6865" t="str">
        <f t="shared" si="2897"/>
        <v>WED</v>
      </c>
      <c r="G6865" s="3">
        <f t="shared" si="2898"/>
        <v>44209</v>
      </c>
      <c r="H6865" s="2">
        <f t="shared" ca="1" si="2899"/>
        <v>44</v>
      </c>
      <c r="I6865" t="str">
        <f t="shared" si="2900"/>
        <v>DAX</v>
      </c>
      <c r="J6865">
        <f t="shared" si="2901"/>
        <v>13561</v>
      </c>
      <c r="K6865">
        <f t="shared" si="2902"/>
        <v>14114</v>
      </c>
      <c r="L6865">
        <f t="shared" si="2903"/>
        <v>13837.5</v>
      </c>
      <c r="M6865">
        <f t="shared" si="2904"/>
        <v>276.5</v>
      </c>
      <c r="N6865">
        <f t="shared" si="2895"/>
        <v>553</v>
      </c>
      <c r="O6865">
        <f t="shared" si="2905"/>
        <v>13925</v>
      </c>
      <c r="P6865">
        <f t="shared" si="2906"/>
        <v>0.31645569620253167</v>
      </c>
      <c r="Q6865" t="str">
        <f t="shared" si="2896"/>
        <v>2.61% | 1.36%</v>
      </c>
      <c r="R6865" t="str">
        <f t="shared" si="2907"/>
        <v>BULLISH</v>
      </c>
      <c r="S6865">
        <f t="shared" si="2908"/>
        <v>1</v>
      </c>
    </row>
    <row r="6866" spans="1:19" hidden="1" x14ac:dyDescent="0.25">
      <c r="A6866" s="5" t="str">
        <f t="shared" si="2909"/>
        <v>44209VIX</v>
      </c>
      <c r="B6866" s="6" t="s">
        <v>96</v>
      </c>
      <c r="C6866" s="6">
        <v>20.27</v>
      </c>
      <c r="D6866" s="6">
        <v>27.06</v>
      </c>
      <c r="E6866" s="6">
        <v>23.33</v>
      </c>
      <c r="F6866" t="str">
        <f t="shared" si="2897"/>
        <v>WED</v>
      </c>
      <c r="G6866" s="3">
        <f t="shared" si="2898"/>
        <v>44209</v>
      </c>
      <c r="H6866" s="2">
        <f t="shared" ca="1" si="2899"/>
        <v>44</v>
      </c>
      <c r="I6866" t="str">
        <f t="shared" si="2900"/>
        <v>VIX</v>
      </c>
      <c r="J6866">
        <f t="shared" si="2901"/>
        <v>20.27</v>
      </c>
      <c r="K6866">
        <f t="shared" si="2902"/>
        <v>27.06</v>
      </c>
      <c r="L6866">
        <f t="shared" si="2903"/>
        <v>23.664999999999999</v>
      </c>
      <c r="M6866">
        <f t="shared" si="2904"/>
        <v>3.3950000000000005</v>
      </c>
      <c r="N6866">
        <f t="shared" si="2895"/>
        <v>6.7899999999999991</v>
      </c>
      <c r="O6866">
        <f t="shared" si="2905"/>
        <v>23.33</v>
      </c>
      <c r="P6866">
        <f t="shared" si="2906"/>
        <v>-9.8674521354933958E-2</v>
      </c>
      <c r="Q6866" t="str">
        <f t="shared" si="2896"/>
        <v>13.12% | 15.99%</v>
      </c>
      <c r="R6866" t="str">
        <f t="shared" si="2907"/>
        <v>BEARISH</v>
      </c>
      <c r="S6866">
        <f t="shared" si="2908"/>
        <v>-1</v>
      </c>
    </row>
    <row r="6867" spans="1:19" hidden="1" x14ac:dyDescent="0.25">
      <c r="A6867" s="5" t="str">
        <f t="shared" si="2909"/>
        <v>44209USD</v>
      </c>
      <c r="B6867" s="6" t="s">
        <v>94</v>
      </c>
      <c r="C6867" s="6">
        <v>89.2</v>
      </c>
      <c r="D6867" s="6">
        <v>90.48</v>
      </c>
      <c r="E6867" s="6">
        <v>90.06</v>
      </c>
      <c r="F6867" t="str">
        <f t="shared" si="2897"/>
        <v>WED</v>
      </c>
      <c r="G6867" s="3">
        <f t="shared" si="2898"/>
        <v>44209</v>
      </c>
      <c r="H6867" s="2">
        <f t="shared" ca="1" si="2899"/>
        <v>44</v>
      </c>
      <c r="I6867" t="str">
        <f t="shared" si="2900"/>
        <v>USD</v>
      </c>
      <c r="J6867">
        <f t="shared" si="2901"/>
        <v>89.2</v>
      </c>
      <c r="K6867">
        <f t="shared" si="2902"/>
        <v>90.48</v>
      </c>
      <c r="L6867">
        <f t="shared" si="2903"/>
        <v>89.84</v>
      </c>
      <c r="M6867">
        <f t="shared" si="2904"/>
        <v>0.64000000000000057</v>
      </c>
      <c r="N6867">
        <f t="shared" si="2895"/>
        <v>1.2800000000000011</v>
      </c>
      <c r="O6867">
        <f t="shared" si="2905"/>
        <v>90.06</v>
      </c>
      <c r="P6867">
        <f t="shared" si="2906"/>
        <v>0.34374999999999795</v>
      </c>
      <c r="Q6867" t="str">
        <f t="shared" si="2896"/>
        <v>0.95% | 0.47%</v>
      </c>
      <c r="R6867" t="str">
        <f t="shared" si="2907"/>
        <v>BEARISH</v>
      </c>
      <c r="S6867">
        <f t="shared" si="2908"/>
        <v>-1</v>
      </c>
    </row>
    <row r="6868" spans="1:19" hidden="1" x14ac:dyDescent="0.25">
      <c r="A6868" s="5" t="str">
        <f t="shared" si="2909"/>
        <v>44209EUR/USD</v>
      </c>
      <c r="B6868" s="6" t="s">
        <v>99</v>
      </c>
      <c r="C6868" s="6">
        <v>1.214</v>
      </c>
      <c r="D6868" s="6">
        <v>1.236</v>
      </c>
      <c r="E6868" s="6">
        <v>1.2210000000000001</v>
      </c>
      <c r="F6868" t="str">
        <f t="shared" si="2897"/>
        <v>WED</v>
      </c>
      <c r="G6868" s="3">
        <f t="shared" si="2898"/>
        <v>44209</v>
      </c>
      <c r="H6868" s="2">
        <f t="shared" ca="1" si="2899"/>
        <v>44</v>
      </c>
      <c r="I6868" t="str">
        <f t="shared" si="2900"/>
        <v>EUR/USD</v>
      </c>
      <c r="J6868">
        <f t="shared" si="2901"/>
        <v>1.214</v>
      </c>
      <c r="K6868">
        <f t="shared" si="2902"/>
        <v>1.236</v>
      </c>
      <c r="L6868">
        <f t="shared" si="2903"/>
        <v>1.2250000000000001</v>
      </c>
      <c r="M6868">
        <f t="shared" si="2904"/>
        <v>1.100000000000001E-2</v>
      </c>
      <c r="N6868">
        <f t="shared" si="2895"/>
        <v>2.200000000000002E-2</v>
      </c>
      <c r="O6868">
        <f t="shared" si="2905"/>
        <v>1.2210000000000001</v>
      </c>
      <c r="P6868">
        <f t="shared" si="2906"/>
        <v>-0.36363636363636365</v>
      </c>
      <c r="Q6868" t="str">
        <f t="shared" si="2896"/>
        <v>0.57% | 1.23%</v>
      </c>
      <c r="R6868" t="str">
        <f t="shared" si="2907"/>
        <v>BULLISH</v>
      </c>
      <c r="S6868">
        <f t="shared" si="2908"/>
        <v>1</v>
      </c>
    </row>
    <row r="6869" spans="1:19" hidden="1" x14ac:dyDescent="0.25">
      <c r="A6869" s="5" t="str">
        <f t="shared" si="2909"/>
        <v>44209USD/JPY</v>
      </c>
      <c r="B6869" s="6" t="s">
        <v>20</v>
      </c>
      <c r="C6869" s="6">
        <v>102.52</v>
      </c>
      <c r="D6869" s="6">
        <v>104.4</v>
      </c>
      <c r="E6869" s="6">
        <v>103.75</v>
      </c>
      <c r="F6869" t="str">
        <f t="shared" si="2897"/>
        <v>WED</v>
      </c>
      <c r="G6869" s="3">
        <f t="shared" si="2898"/>
        <v>44209</v>
      </c>
      <c r="H6869" s="2">
        <f t="shared" ca="1" si="2899"/>
        <v>44</v>
      </c>
      <c r="I6869" t="str">
        <f t="shared" si="2900"/>
        <v>USD/JPY</v>
      </c>
      <c r="J6869">
        <f t="shared" si="2901"/>
        <v>102.52</v>
      </c>
      <c r="K6869">
        <f t="shared" si="2902"/>
        <v>104.4</v>
      </c>
      <c r="L6869">
        <f t="shared" si="2903"/>
        <v>103.46000000000001</v>
      </c>
      <c r="M6869">
        <f t="shared" si="2904"/>
        <v>0.94000000000000483</v>
      </c>
      <c r="N6869">
        <f t="shared" si="2895"/>
        <v>1.8800000000000097</v>
      </c>
      <c r="O6869">
        <f t="shared" si="2905"/>
        <v>103.75</v>
      </c>
      <c r="P6869">
        <f t="shared" si="2906"/>
        <v>0.30851063829786229</v>
      </c>
      <c r="Q6869" t="str">
        <f t="shared" si="2896"/>
        <v>1.19% | 0.63%</v>
      </c>
      <c r="R6869" t="str">
        <f t="shared" si="2907"/>
        <v>BEARISH</v>
      </c>
      <c r="S6869">
        <f t="shared" si="2908"/>
        <v>-1</v>
      </c>
    </row>
    <row r="6870" spans="1:19" hidden="1" x14ac:dyDescent="0.25">
      <c r="A6870" s="5" t="str">
        <f t="shared" si="2909"/>
        <v>44209GBP/USD</v>
      </c>
      <c r="B6870" s="6" t="s">
        <v>102</v>
      </c>
      <c r="C6870" s="6">
        <v>1.349</v>
      </c>
      <c r="D6870" s="6">
        <v>1.371</v>
      </c>
      <c r="E6870" s="6">
        <v>1.367</v>
      </c>
      <c r="F6870" t="str">
        <f t="shared" si="2897"/>
        <v>WED</v>
      </c>
      <c r="G6870" s="3">
        <f t="shared" si="2898"/>
        <v>44209</v>
      </c>
      <c r="H6870" s="2">
        <f t="shared" ca="1" si="2899"/>
        <v>44</v>
      </c>
      <c r="I6870" t="str">
        <f t="shared" si="2900"/>
        <v>GBP/USD</v>
      </c>
      <c r="J6870">
        <f t="shared" si="2901"/>
        <v>1.349</v>
      </c>
      <c r="K6870">
        <f t="shared" si="2902"/>
        <v>1.371</v>
      </c>
      <c r="L6870">
        <f t="shared" si="2903"/>
        <v>1.3599999999999999</v>
      </c>
      <c r="M6870">
        <f t="shared" si="2904"/>
        <v>1.100000000000001E-2</v>
      </c>
      <c r="N6870">
        <f t="shared" si="2895"/>
        <v>2.200000000000002E-2</v>
      </c>
      <c r="O6870">
        <f t="shared" si="2905"/>
        <v>1.367</v>
      </c>
      <c r="P6870">
        <f t="shared" si="2906"/>
        <v>0.63636363636364646</v>
      </c>
      <c r="Q6870" t="str">
        <f t="shared" si="2896"/>
        <v>1.32% | 0.29%</v>
      </c>
      <c r="R6870" t="str">
        <f t="shared" si="2907"/>
        <v>BULLISH</v>
      </c>
      <c r="S6870">
        <f t="shared" si="2908"/>
        <v>1</v>
      </c>
    </row>
    <row r="6871" spans="1:19" hidden="1" x14ac:dyDescent="0.25">
      <c r="A6871" s="5" t="str">
        <f t="shared" si="2909"/>
        <v>44209CAD/USD</v>
      </c>
      <c r="B6871" s="6" t="s">
        <v>244</v>
      </c>
      <c r="C6871" s="6">
        <v>0.78</v>
      </c>
      <c r="D6871" s="6">
        <v>0.8</v>
      </c>
      <c r="E6871" s="6">
        <v>0.78</v>
      </c>
      <c r="F6871" t="str">
        <f t="shared" si="2897"/>
        <v>WED</v>
      </c>
      <c r="G6871" s="3">
        <f t="shared" si="2898"/>
        <v>44209</v>
      </c>
      <c r="H6871" s="2">
        <f t="shared" ca="1" si="2899"/>
        <v>44</v>
      </c>
      <c r="I6871" t="str">
        <f t="shared" si="2900"/>
        <v>CAD/USD</v>
      </c>
      <c r="J6871">
        <f t="shared" si="2901"/>
        <v>0.78</v>
      </c>
      <c r="K6871">
        <f t="shared" si="2902"/>
        <v>0.8</v>
      </c>
      <c r="L6871">
        <f t="shared" si="2903"/>
        <v>0.79</v>
      </c>
      <c r="M6871">
        <f t="shared" si="2904"/>
        <v>1.0000000000000009E-2</v>
      </c>
      <c r="N6871">
        <f t="shared" si="2895"/>
        <v>2.0000000000000018E-2</v>
      </c>
      <c r="O6871">
        <f t="shared" si="2905"/>
        <v>0.78</v>
      </c>
      <c r="P6871">
        <f t="shared" si="2906"/>
        <v>-1</v>
      </c>
      <c r="Q6871" t="str">
        <f t="shared" si="2896"/>
        <v>0% | 2.56%</v>
      </c>
      <c r="R6871" t="str">
        <f t="shared" si="2907"/>
        <v>BULLISH</v>
      </c>
      <c r="S6871">
        <f t="shared" si="2908"/>
        <v>1</v>
      </c>
    </row>
    <row r="6872" spans="1:19" hidden="1" x14ac:dyDescent="0.25">
      <c r="A6872" s="5" t="str">
        <f t="shared" si="2909"/>
        <v>44209USD/CHF</v>
      </c>
      <c r="B6872" s="6" t="s">
        <v>76</v>
      </c>
      <c r="C6872" s="6">
        <v>0.87</v>
      </c>
      <c r="D6872" s="6">
        <v>0.89</v>
      </c>
      <c r="E6872" s="6">
        <v>0.88</v>
      </c>
      <c r="F6872" t="str">
        <f t="shared" si="2897"/>
        <v>WED</v>
      </c>
      <c r="G6872" s="3">
        <f t="shared" si="2898"/>
        <v>44209</v>
      </c>
      <c r="H6872" s="2">
        <f t="shared" ca="1" si="2899"/>
        <v>44</v>
      </c>
      <c r="I6872" t="str">
        <f t="shared" si="2900"/>
        <v>USD/CHF</v>
      </c>
      <c r="J6872">
        <f t="shared" si="2901"/>
        <v>0.87</v>
      </c>
      <c r="K6872">
        <f t="shared" si="2902"/>
        <v>0.89</v>
      </c>
      <c r="L6872">
        <f t="shared" si="2903"/>
        <v>0.88</v>
      </c>
      <c r="M6872">
        <f t="shared" si="2904"/>
        <v>1.0000000000000009E-2</v>
      </c>
      <c r="N6872">
        <f t="shared" si="2895"/>
        <v>2.0000000000000018E-2</v>
      </c>
      <c r="O6872">
        <f t="shared" si="2905"/>
        <v>0.88</v>
      </c>
      <c r="P6872">
        <f t="shared" si="2906"/>
        <v>0</v>
      </c>
      <c r="Q6872" t="str">
        <f t="shared" si="2896"/>
        <v>1.14% | 1.14%</v>
      </c>
      <c r="R6872" t="str">
        <f t="shared" si="2907"/>
        <v>BEARISH</v>
      </c>
      <c r="S6872">
        <f t="shared" si="2908"/>
        <v>-1</v>
      </c>
    </row>
    <row r="6873" spans="1:19" hidden="1" x14ac:dyDescent="0.25">
      <c r="A6873" s="5" t="str">
        <f t="shared" si="2909"/>
        <v>44209WTIC</v>
      </c>
      <c r="B6873" s="6" t="s">
        <v>158</v>
      </c>
      <c r="C6873" s="6">
        <v>48.45</v>
      </c>
      <c r="D6873" s="6">
        <v>54.18</v>
      </c>
      <c r="E6873" s="6">
        <v>53.21</v>
      </c>
      <c r="F6873" t="str">
        <f t="shared" si="2897"/>
        <v>WED</v>
      </c>
      <c r="G6873" s="3">
        <f t="shared" si="2898"/>
        <v>44209</v>
      </c>
      <c r="H6873" s="2">
        <f t="shared" ca="1" si="2899"/>
        <v>44</v>
      </c>
      <c r="I6873" t="str">
        <f t="shared" si="2900"/>
        <v>WTIC</v>
      </c>
      <c r="J6873">
        <f t="shared" si="2901"/>
        <v>48.45</v>
      </c>
      <c r="K6873">
        <f t="shared" si="2902"/>
        <v>54.18</v>
      </c>
      <c r="L6873">
        <f t="shared" si="2903"/>
        <v>51.314999999999998</v>
      </c>
      <c r="M6873">
        <f t="shared" si="2904"/>
        <v>2.8649999999999984</v>
      </c>
      <c r="N6873">
        <f t="shared" si="2895"/>
        <v>5.7299999999999969</v>
      </c>
      <c r="O6873">
        <f t="shared" si="2905"/>
        <v>53.21</v>
      </c>
      <c r="P6873">
        <f t="shared" si="2906"/>
        <v>0.66143106457242729</v>
      </c>
      <c r="Q6873" t="str">
        <f t="shared" si="2896"/>
        <v>8.95% | 1.82%</v>
      </c>
      <c r="R6873" t="str">
        <f t="shared" si="2907"/>
        <v>BULLISH</v>
      </c>
      <c r="S6873">
        <f t="shared" si="2908"/>
        <v>1</v>
      </c>
    </row>
    <row r="6874" spans="1:19" hidden="1" x14ac:dyDescent="0.25">
      <c r="A6874" s="5" t="str">
        <f t="shared" si="2909"/>
        <v>44209NATGAS</v>
      </c>
      <c r="B6874" s="6" t="s">
        <v>89</v>
      </c>
      <c r="C6874" s="6">
        <v>2.41</v>
      </c>
      <c r="D6874" s="6">
        <v>2.89</v>
      </c>
      <c r="E6874" s="6">
        <v>2.75</v>
      </c>
      <c r="F6874" t="str">
        <f t="shared" si="2897"/>
        <v>WED</v>
      </c>
      <c r="G6874" s="3">
        <f t="shared" si="2898"/>
        <v>44209</v>
      </c>
      <c r="H6874" s="2">
        <f t="shared" ca="1" si="2899"/>
        <v>44</v>
      </c>
      <c r="I6874" t="str">
        <f t="shared" si="2900"/>
        <v>NATGAS</v>
      </c>
      <c r="J6874">
        <f t="shared" si="2901"/>
        <v>2.41</v>
      </c>
      <c r="K6874">
        <f t="shared" si="2902"/>
        <v>2.89</v>
      </c>
      <c r="L6874">
        <f t="shared" si="2903"/>
        <v>2.6500000000000004</v>
      </c>
      <c r="M6874">
        <f t="shared" si="2904"/>
        <v>0.24</v>
      </c>
      <c r="N6874">
        <f t="shared" si="2895"/>
        <v>0.48</v>
      </c>
      <c r="O6874">
        <f t="shared" si="2905"/>
        <v>2.75</v>
      </c>
      <c r="P6874">
        <f t="shared" si="2906"/>
        <v>0.41666666666666519</v>
      </c>
      <c r="Q6874" t="str">
        <f t="shared" si="2896"/>
        <v>12.36% | 5.09%</v>
      </c>
      <c r="R6874" t="str">
        <f t="shared" si="2907"/>
        <v>BULLISH</v>
      </c>
      <c r="S6874">
        <f t="shared" si="2908"/>
        <v>1</v>
      </c>
    </row>
    <row r="6875" spans="1:19" hidden="1" x14ac:dyDescent="0.25">
      <c r="A6875" s="5" t="str">
        <f t="shared" si="2909"/>
        <v>44209GOLD</v>
      </c>
      <c r="B6875" s="6" t="s">
        <v>85</v>
      </c>
      <c r="C6875" s="6">
        <v>1810</v>
      </c>
      <c r="D6875" s="6">
        <v>1895</v>
      </c>
      <c r="E6875" s="6">
        <v>1844</v>
      </c>
      <c r="F6875" t="str">
        <f t="shared" si="2897"/>
        <v>WED</v>
      </c>
      <c r="G6875" s="3">
        <f t="shared" si="2898"/>
        <v>44209</v>
      </c>
      <c r="H6875" s="2">
        <f t="shared" ca="1" si="2899"/>
        <v>44</v>
      </c>
      <c r="I6875" t="str">
        <f t="shared" si="2900"/>
        <v>GOLD</v>
      </c>
      <c r="J6875">
        <f t="shared" si="2901"/>
        <v>1810</v>
      </c>
      <c r="K6875">
        <f t="shared" si="2902"/>
        <v>1895</v>
      </c>
      <c r="L6875">
        <f t="shared" si="2903"/>
        <v>1852.5</v>
      </c>
      <c r="M6875">
        <f t="shared" si="2904"/>
        <v>42.5</v>
      </c>
      <c r="N6875">
        <f t="shared" si="2895"/>
        <v>85</v>
      </c>
      <c r="O6875">
        <f t="shared" si="2905"/>
        <v>1844</v>
      </c>
      <c r="P6875">
        <f t="shared" si="2906"/>
        <v>-0.2</v>
      </c>
      <c r="Q6875" t="str">
        <f t="shared" si="2896"/>
        <v>1.84% | 2.77%</v>
      </c>
      <c r="R6875" t="str">
        <f t="shared" si="2907"/>
        <v>BEARISH</v>
      </c>
      <c r="S6875">
        <f t="shared" si="2908"/>
        <v>-1</v>
      </c>
    </row>
    <row r="6876" spans="1:19" hidden="1" x14ac:dyDescent="0.25">
      <c r="A6876" s="5" t="str">
        <f t="shared" si="2909"/>
        <v>44209COPPER</v>
      </c>
      <c r="B6876" s="6" t="s">
        <v>100</v>
      </c>
      <c r="C6876" s="6">
        <v>3.51</v>
      </c>
      <c r="D6876" s="6">
        <v>3.73</v>
      </c>
      <c r="E6876" s="6">
        <v>3.61</v>
      </c>
      <c r="F6876" t="str">
        <f t="shared" si="2897"/>
        <v>WED</v>
      </c>
      <c r="G6876" s="3">
        <f t="shared" si="2898"/>
        <v>44209</v>
      </c>
      <c r="H6876" s="2">
        <f t="shared" ca="1" si="2899"/>
        <v>44</v>
      </c>
      <c r="I6876" t="str">
        <f t="shared" si="2900"/>
        <v>COPPER</v>
      </c>
      <c r="J6876">
        <f t="shared" si="2901"/>
        <v>3.51</v>
      </c>
      <c r="K6876">
        <f t="shared" si="2902"/>
        <v>3.73</v>
      </c>
      <c r="L6876">
        <f t="shared" si="2903"/>
        <v>3.62</v>
      </c>
      <c r="M6876">
        <f t="shared" si="2904"/>
        <v>0.1100000000000001</v>
      </c>
      <c r="N6876">
        <f t="shared" si="2895"/>
        <v>0.2200000000000002</v>
      </c>
      <c r="O6876">
        <f t="shared" si="2905"/>
        <v>3.61</v>
      </c>
      <c r="P6876">
        <f t="shared" si="2906"/>
        <v>-9.0909090909092924E-2</v>
      </c>
      <c r="Q6876" t="str">
        <f t="shared" si="2896"/>
        <v>2.77% | 3.32%</v>
      </c>
      <c r="R6876" t="str">
        <f t="shared" si="2907"/>
        <v>BULLISH</v>
      </c>
      <c r="S6876">
        <f t="shared" si="2908"/>
        <v>1</v>
      </c>
    </row>
    <row r="6877" spans="1:19" hidden="1" x14ac:dyDescent="0.25">
      <c r="A6877" s="5" t="str">
        <f t="shared" si="2909"/>
        <v>44209MSFT</v>
      </c>
      <c r="B6877" s="6" t="s">
        <v>27</v>
      </c>
      <c r="C6877" s="6">
        <v>212</v>
      </c>
      <c r="D6877" s="6">
        <v>224</v>
      </c>
      <c r="E6877" s="6">
        <v>214</v>
      </c>
      <c r="F6877" t="str">
        <f t="shared" si="2897"/>
        <v>WED</v>
      </c>
      <c r="G6877" s="3">
        <f t="shared" si="2898"/>
        <v>44209</v>
      </c>
      <c r="H6877" s="2">
        <f t="shared" ca="1" si="2899"/>
        <v>44</v>
      </c>
      <c r="I6877" t="str">
        <f t="shared" si="2900"/>
        <v>MSFT</v>
      </c>
      <c r="J6877">
        <f t="shared" si="2901"/>
        <v>212</v>
      </c>
      <c r="K6877">
        <f t="shared" si="2902"/>
        <v>224</v>
      </c>
      <c r="L6877">
        <f t="shared" si="2903"/>
        <v>218</v>
      </c>
      <c r="M6877">
        <f t="shared" si="2904"/>
        <v>6</v>
      </c>
      <c r="N6877">
        <f t="shared" si="2895"/>
        <v>12</v>
      </c>
      <c r="O6877">
        <f t="shared" si="2905"/>
        <v>214</v>
      </c>
      <c r="P6877">
        <f t="shared" si="2906"/>
        <v>-0.66666666666666663</v>
      </c>
      <c r="Q6877" t="str">
        <f t="shared" si="2896"/>
        <v>0.93% | 4.67%</v>
      </c>
      <c r="R6877" t="str">
        <f t="shared" si="2907"/>
        <v>BULLISH</v>
      </c>
      <c r="S6877">
        <f t="shared" si="2908"/>
        <v>1</v>
      </c>
    </row>
    <row r="6878" spans="1:19" hidden="1" x14ac:dyDescent="0.25">
      <c r="A6878" s="5" t="str">
        <f t="shared" si="2909"/>
        <v>44209AAPL</v>
      </c>
      <c r="B6878" s="6" t="s">
        <v>28</v>
      </c>
      <c r="C6878" s="6">
        <v>126</v>
      </c>
      <c r="D6878" s="6">
        <v>136</v>
      </c>
      <c r="E6878" s="6">
        <v>128</v>
      </c>
      <c r="F6878" t="str">
        <f t="shared" si="2897"/>
        <v>WED</v>
      </c>
      <c r="G6878" s="3">
        <f t="shared" si="2898"/>
        <v>44209</v>
      </c>
      <c r="H6878" s="2">
        <f t="shared" ca="1" si="2899"/>
        <v>44</v>
      </c>
      <c r="I6878" t="str">
        <f t="shared" si="2900"/>
        <v>AAPL</v>
      </c>
      <c r="J6878">
        <f t="shared" si="2901"/>
        <v>126</v>
      </c>
      <c r="K6878">
        <f t="shared" si="2902"/>
        <v>136</v>
      </c>
      <c r="L6878">
        <f t="shared" si="2903"/>
        <v>131</v>
      </c>
      <c r="M6878">
        <f t="shared" si="2904"/>
        <v>5</v>
      </c>
      <c r="N6878">
        <f t="shared" si="2895"/>
        <v>10</v>
      </c>
      <c r="O6878">
        <f t="shared" si="2905"/>
        <v>128</v>
      </c>
      <c r="P6878">
        <f t="shared" si="2906"/>
        <v>-0.6</v>
      </c>
      <c r="Q6878" t="str">
        <f t="shared" si="2896"/>
        <v>1.56% | 6.25%</v>
      </c>
      <c r="R6878" t="str">
        <f t="shared" si="2907"/>
        <v>BULLISH</v>
      </c>
      <c r="S6878">
        <f t="shared" si="2908"/>
        <v>1</v>
      </c>
    </row>
    <row r="6879" spans="1:19" hidden="1" x14ac:dyDescent="0.25">
      <c r="A6879" s="5" t="str">
        <f t="shared" si="2909"/>
        <v>44209AMZN</v>
      </c>
      <c r="B6879" s="6" t="s">
        <v>69</v>
      </c>
      <c r="C6879" s="6">
        <v>3062</v>
      </c>
      <c r="D6879" s="6">
        <v>3298</v>
      </c>
      <c r="E6879" s="6">
        <v>3120</v>
      </c>
      <c r="F6879" t="str">
        <f t="shared" si="2897"/>
        <v>WED</v>
      </c>
      <c r="G6879" s="3">
        <f t="shared" si="2898"/>
        <v>44209</v>
      </c>
      <c r="H6879" s="2">
        <f t="shared" ca="1" si="2899"/>
        <v>44</v>
      </c>
      <c r="I6879" t="str">
        <f t="shared" si="2900"/>
        <v>AMZN</v>
      </c>
      <c r="J6879">
        <f t="shared" si="2901"/>
        <v>3062</v>
      </c>
      <c r="K6879">
        <f t="shared" si="2902"/>
        <v>3298</v>
      </c>
      <c r="L6879">
        <f t="shared" si="2903"/>
        <v>3180</v>
      </c>
      <c r="M6879">
        <f t="shared" si="2904"/>
        <v>118</v>
      </c>
      <c r="N6879">
        <f t="shared" si="2895"/>
        <v>236</v>
      </c>
      <c r="O6879">
        <f t="shared" si="2905"/>
        <v>3120</v>
      </c>
      <c r="P6879">
        <f t="shared" si="2906"/>
        <v>-0.50847457627118642</v>
      </c>
      <c r="Q6879" t="str">
        <f t="shared" si="2896"/>
        <v>1.86% | 5.71%</v>
      </c>
      <c r="R6879" t="str">
        <f t="shared" si="2907"/>
        <v>NEUTRAL</v>
      </c>
      <c r="S6879">
        <f t="shared" si="2908"/>
        <v>0</v>
      </c>
    </row>
    <row r="6880" spans="1:19" hidden="1" x14ac:dyDescent="0.25">
      <c r="A6880" s="5" t="str">
        <f t="shared" si="2909"/>
        <v>44209FB</v>
      </c>
      <c r="B6880" s="6" t="s">
        <v>58</v>
      </c>
      <c r="C6880" s="6">
        <v>244</v>
      </c>
      <c r="D6880" s="6">
        <v>269</v>
      </c>
      <c r="E6880" s="6">
        <v>251</v>
      </c>
      <c r="F6880" t="str">
        <f t="shared" si="2897"/>
        <v>WED</v>
      </c>
      <c r="G6880" s="3">
        <f t="shared" si="2898"/>
        <v>44209</v>
      </c>
      <c r="H6880" s="2">
        <f t="shared" ca="1" si="2899"/>
        <v>44</v>
      </c>
      <c r="I6880" t="str">
        <f t="shared" si="2900"/>
        <v>FB</v>
      </c>
      <c r="J6880">
        <f t="shared" si="2901"/>
        <v>244</v>
      </c>
      <c r="K6880">
        <f t="shared" si="2902"/>
        <v>269</v>
      </c>
      <c r="L6880">
        <f t="shared" si="2903"/>
        <v>256.5</v>
      </c>
      <c r="M6880">
        <f t="shared" si="2904"/>
        <v>12.5</v>
      </c>
      <c r="N6880">
        <f t="shared" si="2895"/>
        <v>25</v>
      </c>
      <c r="O6880">
        <f t="shared" si="2905"/>
        <v>251</v>
      </c>
      <c r="P6880">
        <f t="shared" si="2906"/>
        <v>-0.44</v>
      </c>
      <c r="Q6880" t="str">
        <f t="shared" si="2896"/>
        <v>2.79% | 7.17%</v>
      </c>
      <c r="R6880" t="str">
        <f t="shared" si="2907"/>
        <v>BEARISH</v>
      </c>
      <c r="S6880">
        <f t="shared" si="2908"/>
        <v>-1</v>
      </c>
    </row>
    <row r="6881" spans="1:19" hidden="1" x14ac:dyDescent="0.25">
      <c r="A6881" s="5" t="str">
        <f t="shared" si="2909"/>
        <v>44209GOOGL</v>
      </c>
      <c r="B6881" s="6" t="s">
        <v>31</v>
      </c>
      <c r="C6881" s="6">
        <v>1702</v>
      </c>
      <c r="D6881" s="6">
        <v>1795</v>
      </c>
      <c r="E6881" s="6">
        <v>1737</v>
      </c>
      <c r="F6881" t="str">
        <f t="shared" si="2897"/>
        <v>WED</v>
      </c>
      <c r="G6881" s="3">
        <f t="shared" si="2898"/>
        <v>44209</v>
      </c>
      <c r="H6881" s="2">
        <f t="shared" ca="1" si="2899"/>
        <v>44</v>
      </c>
      <c r="I6881" t="str">
        <f t="shared" si="2900"/>
        <v>GOOGL</v>
      </c>
      <c r="J6881">
        <f t="shared" si="2901"/>
        <v>1702</v>
      </c>
      <c r="K6881">
        <f t="shared" si="2902"/>
        <v>1795</v>
      </c>
      <c r="L6881">
        <f t="shared" si="2903"/>
        <v>1748.5</v>
      </c>
      <c r="M6881">
        <f t="shared" si="2904"/>
        <v>46.5</v>
      </c>
      <c r="N6881">
        <f t="shared" si="2895"/>
        <v>93</v>
      </c>
      <c r="O6881">
        <f t="shared" si="2905"/>
        <v>1737</v>
      </c>
      <c r="P6881">
        <f t="shared" si="2906"/>
        <v>-0.24731182795698925</v>
      </c>
      <c r="Q6881" t="str">
        <f t="shared" si="2896"/>
        <v>2.01% | 3.34%</v>
      </c>
      <c r="R6881" t="str">
        <f t="shared" si="2907"/>
        <v>BULLISH</v>
      </c>
      <c r="S6881">
        <f t="shared" si="2908"/>
        <v>1</v>
      </c>
    </row>
    <row r="6882" spans="1:19" hidden="1" x14ac:dyDescent="0.25">
      <c r="A6882" s="5" t="str">
        <f t="shared" si="2909"/>
        <v>44209NFLX</v>
      </c>
      <c r="B6882" s="6" t="s">
        <v>81</v>
      </c>
      <c r="C6882" s="6">
        <v>482</v>
      </c>
      <c r="D6882" s="6">
        <v>526</v>
      </c>
      <c r="E6882" s="6">
        <v>494</v>
      </c>
      <c r="F6882" t="str">
        <f t="shared" si="2897"/>
        <v>WED</v>
      </c>
      <c r="G6882" s="3">
        <f t="shared" si="2898"/>
        <v>44209</v>
      </c>
      <c r="H6882" s="2">
        <f t="shared" ca="1" si="2899"/>
        <v>44</v>
      </c>
      <c r="I6882" t="str">
        <f t="shared" si="2900"/>
        <v>NFLX</v>
      </c>
      <c r="J6882">
        <f t="shared" si="2901"/>
        <v>482</v>
      </c>
      <c r="K6882">
        <f t="shared" si="2902"/>
        <v>526</v>
      </c>
      <c r="L6882">
        <f t="shared" si="2903"/>
        <v>504</v>
      </c>
      <c r="M6882">
        <f t="shared" si="2904"/>
        <v>22</v>
      </c>
      <c r="N6882">
        <f t="shared" si="2895"/>
        <v>44</v>
      </c>
      <c r="O6882">
        <f t="shared" si="2905"/>
        <v>494</v>
      </c>
      <c r="P6882">
        <f t="shared" si="2906"/>
        <v>-0.45454545454545453</v>
      </c>
      <c r="Q6882" t="str">
        <f t="shared" si="2896"/>
        <v>2.43% | 6.48%</v>
      </c>
      <c r="R6882" t="str">
        <f t="shared" si="2907"/>
        <v>BEARISH</v>
      </c>
      <c r="S6882">
        <f t="shared" si="2908"/>
        <v>-1</v>
      </c>
    </row>
    <row r="6883" spans="1:19" x14ac:dyDescent="0.25">
      <c r="A6883" s="5" t="str">
        <f t="shared" si="2909"/>
        <v>44209TSLA</v>
      </c>
      <c r="B6883" s="6" t="s">
        <v>33</v>
      </c>
      <c r="C6883" s="6">
        <v>776</v>
      </c>
      <c r="D6883" s="6">
        <v>901</v>
      </c>
      <c r="E6883" s="6">
        <v>849</v>
      </c>
      <c r="F6883" t="str">
        <f t="shared" si="2897"/>
        <v>WED</v>
      </c>
      <c r="G6883" s="3">
        <f t="shared" si="2898"/>
        <v>44209</v>
      </c>
      <c r="H6883" s="2">
        <f t="shared" ca="1" si="2899"/>
        <v>44</v>
      </c>
      <c r="I6883" t="str">
        <f t="shared" si="2900"/>
        <v>TSLA</v>
      </c>
      <c r="J6883">
        <f t="shared" si="2901"/>
        <v>776</v>
      </c>
      <c r="K6883">
        <f t="shared" si="2902"/>
        <v>901</v>
      </c>
      <c r="L6883">
        <f t="shared" si="2903"/>
        <v>838.5</v>
      </c>
      <c r="M6883">
        <f t="shared" si="2904"/>
        <v>62.5</v>
      </c>
      <c r="N6883">
        <f t="shared" si="2895"/>
        <v>125</v>
      </c>
      <c r="O6883">
        <f t="shared" si="2905"/>
        <v>849</v>
      </c>
      <c r="P6883">
        <f t="shared" si="2906"/>
        <v>0.16800000000000001</v>
      </c>
      <c r="Q6883" t="str">
        <f t="shared" si="2896"/>
        <v>8.6% | 6.12%</v>
      </c>
      <c r="R6883" t="str">
        <f t="shared" si="2907"/>
        <v>BULLISH</v>
      </c>
      <c r="S6883">
        <f t="shared" si="2908"/>
        <v>1</v>
      </c>
    </row>
    <row r="6884" spans="1:19" hidden="1" x14ac:dyDescent="0.25">
      <c r="A6884" s="5" t="str">
        <f t="shared" si="2909"/>
        <v>44209NYXBT</v>
      </c>
      <c r="B6884" s="6" t="s">
        <v>60</v>
      </c>
      <c r="C6884" s="6">
        <v>31085</v>
      </c>
      <c r="D6884" s="6">
        <v>39370</v>
      </c>
      <c r="E6884" s="6">
        <v>33863</v>
      </c>
      <c r="F6884" t="str">
        <f t="shared" si="2897"/>
        <v>WED</v>
      </c>
      <c r="G6884" s="3">
        <f t="shared" si="2898"/>
        <v>44209</v>
      </c>
      <c r="H6884" s="2">
        <f t="shared" ca="1" si="2899"/>
        <v>44</v>
      </c>
      <c r="I6884" t="str">
        <f t="shared" si="2900"/>
        <v>NYXBT</v>
      </c>
      <c r="J6884">
        <f t="shared" si="2901"/>
        <v>31085</v>
      </c>
      <c r="K6884">
        <f t="shared" si="2902"/>
        <v>39370</v>
      </c>
      <c r="L6884">
        <f t="shared" si="2903"/>
        <v>35227.5</v>
      </c>
      <c r="M6884">
        <f t="shared" si="2904"/>
        <v>4142.5</v>
      </c>
      <c r="N6884">
        <f t="shared" si="2895"/>
        <v>8285</v>
      </c>
      <c r="O6884">
        <f t="shared" si="2905"/>
        <v>33863</v>
      </c>
      <c r="P6884">
        <f t="shared" si="2906"/>
        <v>-0.32939046469523237</v>
      </c>
      <c r="Q6884" t="str">
        <f t="shared" si="2896"/>
        <v>8.2% | 16.26%</v>
      </c>
      <c r="R6884" t="str">
        <f t="shared" si="2907"/>
        <v>BULLISH</v>
      </c>
      <c r="S6884">
        <f t="shared" si="2908"/>
        <v>1</v>
      </c>
    </row>
    <row r="6885" spans="1:19" hidden="1" x14ac:dyDescent="0.25">
      <c r="A6885" s="5" t="str">
        <f t="shared" si="2909"/>
        <v>44210UST10Y</v>
      </c>
      <c r="B6885" s="6" t="s">
        <v>257</v>
      </c>
      <c r="C6885" s="6">
        <v>1.23</v>
      </c>
      <c r="D6885" s="6">
        <v>0.99</v>
      </c>
      <c r="E6885" s="6">
        <v>1.1000000000000001</v>
      </c>
      <c r="F6885" t="str">
        <f t="shared" si="2897"/>
        <v>THU</v>
      </c>
      <c r="G6885" s="1">
        <f>DATE(2021,1,14)</f>
        <v>44210</v>
      </c>
      <c r="H6885" s="2">
        <f t="shared" ca="1" si="2899"/>
        <v>43</v>
      </c>
      <c r="I6885" t="str">
        <f t="shared" si="2900"/>
        <v>UST10Y</v>
      </c>
      <c r="J6885">
        <f t="shared" si="2901"/>
        <v>1.23</v>
      </c>
      <c r="K6885">
        <f t="shared" si="2902"/>
        <v>0.99</v>
      </c>
      <c r="L6885">
        <f t="shared" si="2903"/>
        <v>1.1099999999999999</v>
      </c>
      <c r="M6885">
        <f t="shared" si="2904"/>
        <v>0.12000000000000079</v>
      </c>
      <c r="N6885">
        <f t="shared" si="2895"/>
        <v>0.24</v>
      </c>
      <c r="O6885">
        <f t="shared" si="2905"/>
        <v>1.1000000000000001</v>
      </c>
      <c r="P6885">
        <f t="shared" si="2906"/>
        <v>-8.3333333333331011E-2</v>
      </c>
      <c r="Q6885" t="str">
        <f t="shared" si="2896"/>
        <v>11.82% | 10%</v>
      </c>
      <c r="R6885" t="str">
        <f t="shared" si="2907"/>
        <v>BULLISH</v>
      </c>
      <c r="S6885">
        <f t="shared" si="2908"/>
        <v>1</v>
      </c>
    </row>
    <row r="6886" spans="1:19" hidden="1" x14ac:dyDescent="0.25">
      <c r="A6886" s="5" t="str">
        <f t="shared" si="2909"/>
        <v>44210UST2Y</v>
      </c>
      <c r="B6886" s="6" t="s">
        <v>259</v>
      </c>
      <c r="C6886" s="6">
        <v>0.17</v>
      </c>
      <c r="D6886" s="6">
        <v>0.12</v>
      </c>
      <c r="E6886" s="6">
        <v>0.14000000000000001</v>
      </c>
      <c r="F6886" t="str">
        <f t="shared" ref="F6886:F6917" si="2910">UPPER(TEXT(G6886,"ddd"))</f>
        <v>THU</v>
      </c>
      <c r="G6886" s="1">
        <f t="shared" ref="G6886:G6916" si="2911">DATE(2021,1,14)</f>
        <v>44210</v>
      </c>
      <c r="H6886" s="2">
        <f t="shared" ref="H6886:H6917" ca="1" si="2912">TODAY()-G6886</f>
        <v>43</v>
      </c>
      <c r="I6886" t="str">
        <f t="shared" ref="I6886:I6917" si="2913">TRIM(LEFT(B6886,FIND(" ",B6886,1)))</f>
        <v>UST2Y</v>
      </c>
      <c r="J6886">
        <f t="shared" ref="J6886:J6917" si="2914">C6886</f>
        <v>0.17</v>
      </c>
      <c r="K6886">
        <f t="shared" ref="K6886:K6917" si="2915">D6886</f>
        <v>0.12</v>
      </c>
      <c r="L6886">
        <f t="shared" ref="L6886:L6917" si="2916">AVERAGE(J6886:K6886)</f>
        <v>0.14500000000000002</v>
      </c>
      <c r="M6886">
        <f t="shared" ref="M6886:M6917" si="2917">_xlfn.STDEV.P(J6886:K6886)</f>
        <v>2.4999999999999942E-2</v>
      </c>
      <c r="N6886">
        <f t="shared" si="2895"/>
        <v>5.0000000000000017E-2</v>
      </c>
      <c r="O6886">
        <f t="shared" ref="O6886:O6917" si="2918">E6886</f>
        <v>0.14000000000000001</v>
      </c>
      <c r="P6886">
        <f t="shared" ref="P6886:P6917" si="2919">(O6886-L6886)/M6886</f>
        <v>-0.20000000000000065</v>
      </c>
      <c r="Q6886" t="str">
        <f t="shared" si="2896"/>
        <v>21.43% | 14.29%</v>
      </c>
      <c r="R6886" t="str">
        <f t="shared" ref="R6886:R6917" si="2920">MID(B6886,FIND("(",B6886,1)+1,FIND(")",B6886,1)-FIND("(",B6886,1)-1)</f>
        <v>BULLISH</v>
      </c>
      <c r="S6886">
        <f t="shared" ref="S6886:S6917" si="2921">IF(R6886="BEARISH",-1,IF(R6886="NEUTRAL",0,IF(R6886="BULLISH",1,99)))</f>
        <v>1</v>
      </c>
    </row>
    <row r="6887" spans="1:19" hidden="1" x14ac:dyDescent="0.25">
      <c r="A6887" s="5" t="str">
        <f t="shared" si="2909"/>
        <v>44210SPX</v>
      </c>
      <c r="B6887" s="6" t="s">
        <v>93</v>
      </c>
      <c r="C6887" s="6">
        <v>3715</v>
      </c>
      <c r="D6887" s="6">
        <v>3857</v>
      </c>
      <c r="E6887" s="6">
        <v>3809</v>
      </c>
      <c r="F6887" t="str">
        <f t="shared" si="2910"/>
        <v>THU</v>
      </c>
      <c r="G6887" s="1">
        <f t="shared" si="2911"/>
        <v>44210</v>
      </c>
      <c r="H6887" s="2">
        <f t="shared" ca="1" si="2912"/>
        <v>43</v>
      </c>
      <c r="I6887" t="str">
        <f t="shared" si="2913"/>
        <v>SPX</v>
      </c>
      <c r="J6887">
        <f t="shared" si="2914"/>
        <v>3715</v>
      </c>
      <c r="K6887">
        <f t="shared" si="2915"/>
        <v>3857</v>
      </c>
      <c r="L6887">
        <f t="shared" si="2916"/>
        <v>3786</v>
      </c>
      <c r="M6887">
        <f t="shared" si="2917"/>
        <v>71</v>
      </c>
      <c r="N6887">
        <f t="shared" si="2895"/>
        <v>142</v>
      </c>
      <c r="O6887">
        <f t="shared" si="2918"/>
        <v>3809</v>
      </c>
      <c r="P6887">
        <f t="shared" si="2919"/>
        <v>0.323943661971831</v>
      </c>
      <c r="Q6887" t="str">
        <f t="shared" si="2896"/>
        <v>2.47% | 1.26%</v>
      </c>
      <c r="R6887" t="str">
        <f t="shared" si="2920"/>
        <v>BULLISH</v>
      </c>
      <c r="S6887">
        <f t="shared" si="2921"/>
        <v>1</v>
      </c>
    </row>
    <row r="6888" spans="1:19" hidden="1" x14ac:dyDescent="0.25">
      <c r="A6888" s="5" t="str">
        <f t="shared" si="2909"/>
        <v>44210RUT</v>
      </c>
      <c r="B6888" s="6" t="s">
        <v>247</v>
      </c>
      <c r="C6888" s="6">
        <v>2041</v>
      </c>
      <c r="D6888" s="6">
        <v>2172</v>
      </c>
      <c r="E6888" s="6">
        <v>2111</v>
      </c>
      <c r="F6888" t="str">
        <f t="shared" si="2910"/>
        <v>THU</v>
      </c>
      <c r="G6888" s="1">
        <f t="shared" si="2911"/>
        <v>44210</v>
      </c>
      <c r="H6888" s="2">
        <f t="shared" ca="1" si="2912"/>
        <v>43</v>
      </c>
      <c r="I6888" t="str">
        <f t="shared" si="2913"/>
        <v>RUT</v>
      </c>
      <c r="J6888">
        <f t="shared" si="2914"/>
        <v>2041</v>
      </c>
      <c r="K6888">
        <f t="shared" si="2915"/>
        <v>2172</v>
      </c>
      <c r="L6888">
        <f t="shared" si="2916"/>
        <v>2106.5</v>
      </c>
      <c r="M6888">
        <f t="shared" si="2917"/>
        <v>65.5</v>
      </c>
      <c r="N6888">
        <f t="shared" si="2895"/>
        <v>131</v>
      </c>
      <c r="O6888">
        <f t="shared" si="2918"/>
        <v>2111</v>
      </c>
      <c r="P6888">
        <f t="shared" si="2919"/>
        <v>6.8702290076335881E-2</v>
      </c>
      <c r="Q6888" t="str">
        <f t="shared" si="2896"/>
        <v>3.32% | 2.89%</v>
      </c>
      <c r="R6888" t="str">
        <f t="shared" si="2920"/>
        <v>BULLISH</v>
      </c>
      <c r="S6888">
        <f t="shared" si="2921"/>
        <v>1</v>
      </c>
    </row>
    <row r="6889" spans="1:19" hidden="1" x14ac:dyDescent="0.25">
      <c r="A6889" s="5" t="str">
        <f t="shared" si="2909"/>
        <v>44210COMPQ</v>
      </c>
      <c r="B6889" s="6" t="s">
        <v>8</v>
      </c>
      <c r="C6889" s="6">
        <v>12731</v>
      </c>
      <c r="D6889" s="6">
        <v>13310</v>
      </c>
      <c r="E6889" s="6">
        <v>13128</v>
      </c>
      <c r="F6889" t="str">
        <f t="shared" si="2910"/>
        <v>THU</v>
      </c>
      <c r="G6889" s="1">
        <f t="shared" si="2911"/>
        <v>44210</v>
      </c>
      <c r="H6889" s="2">
        <f t="shared" ca="1" si="2912"/>
        <v>43</v>
      </c>
      <c r="I6889" t="str">
        <f t="shared" si="2913"/>
        <v>COMPQ</v>
      </c>
      <c r="J6889">
        <f t="shared" si="2914"/>
        <v>12731</v>
      </c>
      <c r="K6889">
        <f t="shared" si="2915"/>
        <v>13310</v>
      </c>
      <c r="L6889">
        <f t="shared" si="2916"/>
        <v>13020.5</v>
      </c>
      <c r="M6889">
        <f t="shared" si="2917"/>
        <v>289.5</v>
      </c>
      <c r="N6889">
        <f t="shared" si="2895"/>
        <v>579</v>
      </c>
      <c r="O6889">
        <f t="shared" si="2918"/>
        <v>13128</v>
      </c>
      <c r="P6889">
        <f t="shared" si="2919"/>
        <v>0.37132987910189985</v>
      </c>
      <c r="Q6889" t="str">
        <f t="shared" si="2896"/>
        <v>3.02% | 1.39%</v>
      </c>
      <c r="R6889" t="str">
        <f t="shared" si="2920"/>
        <v>BULLISH</v>
      </c>
      <c r="S6889">
        <f t="shared" si="2921"/>
        <v>1</v>
      </c>
    </row>
    <row r="6890" spans="1:19" hidden="1" x14ac:dyDescent="0.25">
      <c r="A6890" s="5" t="str">
        <f t="shared" si="2909"/>
        <v>44210XLK</v>
      </c>
      <c r="B6890" s="6" t="s">
        <v>10</v>
      </c>
      <c r="C6890" s="6">
        <v>126.74</v>
      </c>
      <c r="D6890" s="6">
        <v>131.81</v>
      </c>
      <c r="E6890" s="6">
        <v>129.88</v>
      </c>
      <c r="F6890" t="str">
        <f t="shared" si="2910"/>
        <v>THU</v>
      </c>
      <c r="G6890" s="1">
        <f t="shared" si="2911"/>
        <v>44210</v>
      </c>
      <c r="H6890" s="2">
        <f t="shared" ca="1" si="2912"/>
        <v>43</v>
      </c>
      <c r="I6890" t="str">
        <f t="shared" si="2913"/>
        <v>XLK</v>
      </c>
      <c r="J6890">
        <f t="shared" si="2914"/>
        <v>126.74</v>
      </c>
      <c r="K6890">
        <f t="shared" si="2915"/>
        <v>131.81</v>
      </c>
      <c r="L6890">
        <f t="shared" si="2916"/>
        <v>129.27500000000001</v>
      </c>
      <c r="M6890">
        <f t="shared" si="2917"/>
        <v>2.5350000000000037</v>
      </c>
      <c r="N6890">
        <f t="shared" si="2895"/>
        <v>5.0700000000000074</v>
      </c>
      <c r="O6890">
        <f t="shared" si="2918"/>
        <v>129.88</v>
      </c>
      <c r="P6890">
        <f t="shared" si="2919"/>
        <v>0.23865877712031119</v>
      </c>
      <c r="Q6890" t="str">
        <f t="shared" si="2896"/>
        <v>2.42% | 1.49%</v>
      </c>
      <c r="R6890" t="str">
        <f t="shared" si="2920"/>
        <v>BULLISH</v>
      </c>
      <c r="S6890">
        <f t="shared" si="2921"/>
        <v>1</v>
      </c>
    </row>
    <row r="6891" spans="1:19" hidden="1" x14ac:dyDescent="0.25">
      <c r="A6891" s="5" t="str">
        <f t="shared" si="2909"/>
        <v>44210XLE</v>
      </c>
      <c r="B6891" s="6" t="s">
        <v>250</v>
      </c>
      <c r="C6891" s="6">
        <v>39.22</v>
      </c>
      <c r="D6891" s="6">
        <v>44.95</v>
      </c>
      <c r="E6891" s="6">
        <v>43.2</v>
      </c>
      <c r="F6891" t="str">
        <f t="shared" si="2910"/>
        <v>THU</v>
      </c>
      <c r="G6891" s="1">
        <f t="shared" si="2911"/>
        <v>44210</v>
      </c>
      <c r="H6891" s="2">
        <f t="shared" ca="1" si="2912"/>
        <v>43</v>
      </c>
      <c r="I6891" t="str">
        <f t="shared" si="2913"/>
        <v>XLE</v>
      </c>
      <c r="J6891">
        <f t="shared" si="2914"/>
        <v>39.22</v>
      </c>
      <c r="K6891">
        <f t="shared" si="2915"/>
        <v>44.95</v>
      </c>
      <c r="L6891">
        <f t="shared" si="2916"/>
        <v>42.085000000000001</v>
      </c>
      <c r="M6891">
        <f t="shared" si="2917"/>
        <v>2.865000000000002</v>
      </c>
      <c r="N6891">
        <f t="shared" si="2895"/>
        <v>5.730000000000004</v>
      </c>
      <c r="O6891">
        <f t="shared" si="2918"/>
        <v>43.2</v>
      </c>
      <c r="P6891">
        <f t="shared" si="2919"/>
        <v>0.38917975567190272</v>
      </c>
      <c r="Q6891" t="str">
        <f t="shared" si="2896"/>
        <v>9.21% | 4.05%</v>
      </c>
      <c r="R6891" t="str">
        <f t="shared" si="2920"/>
        <v>BULLISH</v>
      </c>
      <c r="S6891">
        <f t="shared" si="2921"/>
        <v>1</v>
      </c>
    </row>
    <row r="6892" spans="1:19" hidden="1" x14ac:dyDescent="0.25">
      <c r="A6892" s="5" t="str">
        <f t="shared" si="2909"/>
        <v>44210XLF</v>
      </c>
      <c r="B6892" s="6" t="s">
        <v>258</v>
      </c>
      <c r="C6892" s="6">
        <v>29.27</v>
      </c>
      <c r="D6892" s="6">
        <v>32.25</v>
      </c>
      <c r="E6892" s="6">
        <v>31.32</v>
      </c>
      <c r="F6892" t="str">
        <f t="shared" si="2910"/>
        <v>THU</v>
      </c>
      <c r="G6892" s="1">
        <f t="shared" si="2911"/>
        <v>44210</v>
      </c>
      <c r="H6892" s="2">
        <f t="shared" ca="1" si="2912"/>
        <v>43</v>
      </c>
      <c r="I6892" t="str">
        <f t="shared" si="2913"/>
        <v>XLF</v>
      </c>
      <c r="J6892">
        <f t="shared" si="2914"/>
        <v>29.27</v>
      </c>
      <c r="K6892">
        <f t="shared" si="2915"/>
        <v>32.25</v>
      </c>
      <c r="L6892">
        <f t="shared" si="2916"/>
        <v>30.759999999999998</v>
      </c>
      <c r="M6892">
        <f t="shared" si="2917"/>
        <v>1.4900000000000002</v>
      </c>
      <c r="N6892">
        <f t="shared" si="2895"/>
        <v>2.9800000000000004</v>
      </c>
      <c r="O6892">
        <f t="shared" si="2918"/>
        <v>31.32</v>
      </c>
      <c r="P6892">
        <f t="shared" si="2919"/>
        <v>0.3758389261744981</v>
      </c>
      <c r="Q6892" t="str">
        <f t="shared" si="2896"/>
        <v>6.55% | 2.97%</v>
      </c>
      <c r="R6892" t="str">
        <f t="shared" si="2920"/>
        <v>BULLISH</v>
      </c>
      <c r="S6892">
        <f t="shared" si="2921"/>
        <v>1</v>
      </c>
    </row>
    <row r="6893" spans="1:19" hidden="1" x14ac:dyDescent="0.25">
      <c r="A6893" s="5" t="str">
        <f t="shared" si="2909"/>
        <v>44210XLU</v>
      </c>
      <c r="B6893" s="6" t="s">
        <v>82</v>
      </c>
      <c r="C6893" s="6">
        <v>60.6</v>
      </c>
      <c r="D6893" s="6">
        <v>63.18</v>
      </c>
      <c r="E6893" s="6">
        <v>62.62</v>
      </c>
      <c r="F6893" t="str">
        <f t="shared" si="2910"/>
        <v>THU</v>
      </c>
      <c r="G6893" s="1">
        <f t="shared" si="2911"/>
        <v>44210</v>
      </c>
      <c r="H6893" s="2">
        <f t="shared" ca="1" si="2912"/>
        <v>43</v>
      </c>
      <c r="I6893" t="str">
        <f t="shared" si="2913"/>
        <v>XLU</v>
      </c>
      <c r="J6893">
        <f t="shared" si="2914"/>
        <v>60.6</v>
      </c>
      <c r="K6893">
        <f t="shared" si="2915"/>
        <v>63.18</v>
      </c>
      <c r="L6893">
        <f t="shared" si="2916"/>
        <v>61.89</v>
      </c>
      <c r="M6893">
        <f t="shared" si="2917"/>
        <v>1.2899999999999991</v>
      </c>
      <c r="N6893">
        <f t="shared" si="2895"/>
        <v>2.5799999999999983</v>
      </c>
      <c r="O6893">
        <f t="shared" si="2918"/>
        <v>62.62</v>
      </c>
      <c r="P6893">
        <f t="shared" si="2919"/>
        <v>0.56589147286821495</v>
      </c>
      <c r="Q6893" t="str">
        <f t="shared" si="2896"/>
        <v>3.23% | 0.89%</v>
      </c>
      <c r="R6893" t="str">
        <f t="shared" si="2920"/>
        <v>BEARISH</v>
      </c>
      <c r="S6893">
        <f t="shared" si="2921"/>
        <v>-1</v>
      </c>
    </row>
    <row r="6894" spans="1:19" hidden="1" x14ac:dyDescent="0.25">
      <c r="A6894" s="5" t="str">
        <f t="shared" si="2909"/>
        <v>44210GDX</v>
      </c>
      <c r="B6894" s="6" t="s">
        <v>254</v>
      </c>
      <c r="C6894" s="6">
        <v>34.409999999999997</v>
      </c>
      <c r="D6894" s="6">
        <v>38.14</v>
      </c>
      <c r="E6894" s="6">
        <v>35.64</v>
      </c>
      <c r="F6894" t="str">
        <f t="shared" si="2910"/>
        <v>THU</v>
      </c>
      <c r="G6894" s="1">
        <f t="shared" si="2911"/>
        <v>44210</v>
      </c>
      <c r="H6894" s="2">
        <f t="shared" ca="1" si="2912"/>
        <v>43</v>
      </c>
      <c r="I6894" t="str">
        <f t="shared" si="2913"/>
        <v>GDX</v>
      </c>
      <c r="J6894">
        <f t="shared" si="2914"/>
        <v>34.409999999999997</v>
      </c>
      <c r="K6894">
        <f t="shared" si="2915"/>
        <v>38.14</v>
      </c>
      <c r="L6894">
        <f t="shared" si="2916"/>
        <v>36.274999999999999</v>
      </c>
      <c r="M6894">
        <f t="shared" si="2917"/>
        <v>1.865000000000002</v>
      </c>
      <c r="N6894">
        <f t="shared" si="2895"/>
        <v>3.730000000000004</v>
      </c>
      <c r="O6894">
        <f t="shared" si="2918"/>
        <v>35.64</v>
      </c>
      <c r="P6894">
        <f t="shared" si="2919"/>
        <v>-0.34048257372654012</v>
      </c>
      <c r="Q6894" t="str">
        <f t="shared" si="2896"/>
        <v>3.45% | 7.01%</v>
      </c>
      <c r="R6894" t="str">
        <f t="shared" si="2920"/>
        <v>BEARISH</v>
      </c>
      <c r="S6894">
        <f t="shared" si="2921"/>
        <v>-1</v>
      </c>
    </row>
    <row r="6895" spans="1:19" hidden="1" x14ac:dyDescent="0.25">
      <c r="A6895" s="5" t="str">
        <f t="shared" si="2909"/>
        <v>44210SSEC</v>
      </c>
      <c r="B6895" s="6" t="s">
        <v>104</v>
      </c>
      <c r="C6895" s="6">
        <v>3467</v>
      </c>
      <c r="D6895" s="6">
        <v>3635</v>
      </c>
      <c r="E6895" s="6">
        <v>3565</v>
      </c>
      <c r="F6895" t="str">
        <f t="shared" si="2910"/>
        <v>THU</v>
      </c>
      <c r="G6895" s="1">
        <f t="shared" si="2911"/>
        <v>44210</v>
      </c>
      <c r="H6895" s="2">
        <f t="shared" ca="1" si="2912"/>
        <v>43</v>
      </c>
      <c r="I6895" t="str">
        <f t="shared" si="2913"/>
        <v>SSEC</v>
      </c>
      <c r="J6895">
        <f t="shared" si="2914"/>
        <v>3467</v>
      </c>
      <c r="K6895">
        <f t="shared" si="2915"/>
        <v>3635</v>
      </c>
      <c r="L6895">
        <f t="shared" si="2916"/>
        <v>3551</v>
      </c>
      <c r="M6895">
        <f t="shared" si="2917"/>
        <v>84</v>
      </c>
      <c r="N6895">
        <f t="shared" si="2895"/>
        <v>168</v>
      </c>
      <c r="O6895">
        <f t="shared" si="2918"/>
        <v>3565</v>
      </c>
      <c r="P6895">
        <f t="shared" si="2919"/>
        <v>0.16666666666666666</v>
      </c>
      <c r="Q6895" t="str">
        <f t="shared" si="2896"/>
        <v>2.75% | 1.96%</v>
      </c>
      <c r="R6895" t="str">
        <f t="shared" si="2920"/>
        <v>BULLISH</v>
      </c>
      <c r="S6895">
        <f t="shared" si="2921"/>
        <v>1</v>
      </c>
    </row>
    <row r="6896" spans="1:19" hidden="1" x14ac:dyDescent="0.25">
      <c r="A6896" s="5" t="str">
        <f t="shared" si="2909"/>
        <v>44210NIKK</v>
      </c>
      <c r="B6896" s="6" t="s">
        <v>91</v>
      </c>
      <c r="C6896" s="6">
        <v>27015</v>
      </c>
      <c r="D6896" s="6">
        <v>28774</v>
      </c>
      <c r="E6896" s="6">
        <v>28698</v>
      </c>
      <c r="F6896" t="str">
        <f t="shared" si="2910"/>
        <v>THU</v>
      </c>
      <c r="G6896" s="1">
        <f t="shared" si="2911"/>
        <v>44210</v>
      </c>
      <c r="H6896" s="2">
        <f t="shared" ca="1" si="2912"/>
        <v>43</v>
      </c>
      <c r="I6896" t="str">
        <f t="shared" si="2913"/>
        <v>NIKK</v>
      </c>
      <c r="J6896">
        <f t="shared" si="2914"/>
        <v>27015</v>
      </c>
      <c r="K6896">
        <f t="shared" si="2915"/>
        <v>28774</v>
      </c>
      <c r="L6896">
        <f t="shared" si="2916"/>
        <v>27894.5</v>
      </c>
      <c r="M6896">
        <f t="shared" si="2917"/>
        <v>879.5</v>
      </c>
      <c r="N6896">
        <f t="shared" si="2895"/>
        <v>1759</v>
      </c>
      <c r="O6896">
        <f t="shared" si="2918"/>
        <v>28698</v>
      </c>
      <c r="P6896">
        <f t="shared" si="2919"/>
        <v>0.91358726549175673</v>
      </c>
      <c r="Q6896" t="str">
        <f t="shared" si="2896"/>
        <v>5.86% | 0.26%</v>
      </c>
      <c r="R6896" t="str">
        <f t="shared" si="2920"/>
        <v>BULLISH</v>
      </c>
      <c r="S6896">
        <f t="shared" si="2921"/>
        <v>1</v>
      </c>
    </row>
    <row r="6897" spans="1:19" hidden="1" x14ac:dyDescent="0.25">
      <c r="A6897" s="5" t="str">
        <f t="shared" si="2909"/>
        <v>44210DAX</v>
      </c>
      <c r="B6897" s="6" t="s">
        <v>98</v>
      </c>
      <c r="C6897" s="6">
        <v>13605</v>
      </c>
      <c r="D6897" s="6">
        <v>14172</v>
      </c>
      <c r="E6897" s="6">
        <v>13939</v>
      </c>
      <c r="F6897" t="str">
        <f t="shared" si="2910"/>
        <v>THU</v>
      </c>
      <c r="G6897" s="1">
        <f t="shared" si="2911"/>
        <v>44210</v>
      </c>
      <c r="H6897" s="2">
        <f t="shared" ca="1" si="2912"/>
        <v>43</v>
      </c>
      <c r="I6897" t="str">
        <f t="shared" si="2913"/>
        <v>DAX</v>
      </c>
      <c r="J6897">
        <f t="shared" si="2914"/>
        <v>13605</v>
      </c>
      <c r="K6897">
        <f t="shared" si="2915"/>
        <v>14172</v>
      </c>
      <c r="L6897">
        <f t="shared" si="2916"/>
        <v>13888.5</v>
      </c>
      <c r="M6897">
        <f t="shared" si="2917"/>
        <v>283.5</v>
      </c>
      <c r="N6897">
        <f t="shared" si="2895"/>
        <v>567</v>
      </c>
      <c r="O6897">
        <f t="shared" si="2918"/>
        <v>13939</v>
      </c>
      <c r="P6897">
        <f t="shared" si="2919"/>
        <v>0.17813051146384479</v>
      </c>
      <c r="Q6897" t="str">
        <f t="shared" si="2896"/>
        <v>2.4% | 1.67%</v>
      </c>
      <c r="R6897" t="str">
        <f t="shared" si="2920"/>
        <v>BULLISH</v>
      </c>
      <c r="S6897">
        <f t="shared" si="2921"/>
        <v>1</v>
      </c>
    </row>
    <row r="6898" spans="1:19" hidden="1" x14ac:dyDescent="0.25">
      <c r="A6898" s="5" t="str">
        <f t="shared" si="2909"/>
        <v>44210VIX</v>
      </c>
      <c r="B6898" s="6" t="s">
        <v>96</v>
      </c>
      <c r="C6898" s="6">
        <v>20.21</v>
      </c>
      <c r="D6898" s="6">
        <v>27.02</v>
      </c>
      <c r="E6898" s="6">
        <v>22.21</v>
      </c>
      <c r="F6898" t="str">
        <f t="shared" si="2910"/>
        <v>THU</v>
      </c>
      <c r="G6898" s="1">
        <f t="shared" si="2911"/>
        <v>44210</v>
      </c>
      <c r="H6898" s="2">
        <f t="shared" ca="1" si="2912"/>
        <v>43</v>
      </c>
      <c r="I6898" t="str">
        <f t="shared" si="2913"/>
        <v>VIX</v>
      </c>
      <c r="J6898">
        <f t="shared" si="2914"/>
        <v>20.21</v>
      </c>
      <c r="K6898">
        <f t="shared" si="2915"/>
        <v>27.02</v>
      </c>
      <c r="L6898">
        <f t="shared" si="2916"/>
        <v>23.615000000000002</v>
      </c>
      <c r="M6898">
        <f t="shared" si="2917"/>
        <v>3.4049999999999816</v>
      </c>
      <c r="N6898">
        <f t="shared" si="2895"/>
        <v>6.8099999999999987</v>
      </c>
      <c r="O6898">
        <f t="shared" si="2918"/>
        <v>22.21</v>
      </c>
      <c r="P6898">
        <f t="shared" si="2919"/>
        <v>-0.4126284875183579</v>
      </c>
      <c r="Q6898" t="str">
        <f t="shared" si="2896"/>
        <v>9% | 21.66%</v>
      </c>
      <c r="R6898" t="str">
        <f t="shared" si="2920"/>
        <v>BEARISH</v>
      </c>
      <c r="S6898">
        <f t="shared" si="2921"/>
        <v>-1</v>
      </c>
    </row>
    <row r="6899" spans="1:19" hidden="1" x14ac:dyDescent="0.25">
      <c r="A6899" s="5" t="str">
        <f t="shared" si="2909"/>
        <v>44210USD</v>
      </c>
      <c r="B6899" s="6" t="s">
        <v>94</v>
      </c>
      <c r="C6899" s="6">
        <v>89.18</v>
      </c>
      <c r="D6899" s="6">
        <v>90.61</v>
      </c>
      <c r="E6899" s="6">
        <v>90.33</v>
      </c>
      <c r="F6899" t="str">
        <f t="shared" si="2910"/>
        <v>THU</v>
      </c>
      <c r="G6899" s="1">
        <f t="shared" si="2911"/>
        <v>44210</v>
      </c>
      <c r="H6899" s="2">
        <f t="shared" ca="1" si="2912"/>
        <v>43</v>
      </c>
      <c r="I6899" t="str">
        <f t="shared" si="2913"/>
        <v>USD</v>
      </c>
      <c r="J6899">
        <f t="shared" si="2914"/>
        <v>89.18</v>
      </c>
      <c r="K6899">
        <f t="shared" si="2915"/>
        <v>90.61</v>
      </c>
      <c r="L6899">
        <f t="shared" si="2916"/>
        <v>89.89500000000001</v>
      </c>
      <c r="M6899">
        <f t="shared" si="2917"/>
        <v>0.71499999999999631</v>
      </c>
      <c r="N6899">
        <f t="shared" si="2895"/>
        <v>1.4299999999999926</v>
      </c>
      <c r="O6899">
        <f t="shared" si="2918"/>
        <v>90.33</v>
      </c>
      <c r="P6899">
        <f t="shared" si="2919"/>
        <v>0.60839160839159478</v>
      </c>
      <c r="Q6899" t="str">
        <f t="shared" si="2896"/>
        <v>1.27% | 0.31%</v>
      </c>
      <c r="R6899" t="str">
        <f t="shared" si="2920"/>
        <v>BEARISH</v>
      </c>
      <c r="S6899">
        <f t="shared" si="2921"/>
        <v>-1</v>
      </c>
    </row>
    <row r="6900" spans="1:19" hidden="1" x14ac:dyDescent="0.25">
      <c r="A6900" s="5" t="str">
        <f t="shared" si="2909"/>
        <v>44210EUR/USD</v>
      </c>
      <c r="B6900" s="6" t="s">
        <v>99</v>
      </c>
      <c r="C6900" s="6">
        <v>1.212</v>
      </c>
      <c r="D6900" s="6">
        <v>1.236</v>
      </c>
      <c r="E6900" s="6">
        <v>1.2150000000000001</v>
      </c>
      <c r="F6900" t="str">
        <f t="shared" si="2910"/>
        <v>THU</v>
      </c>
      <c r="G6900" s="1">
        <f t="shared" si="2911"/>
        <v>44210</v>
      </c>
      <c r="H6900" s="2">
        <f t="shared" ca="1" si="2912"/>
        <v>43</v>
      </c>
      <c r="I6900" t="str">
        <f t="shared" si="2913"/>
        <v>EUR/USD</v>
      </c>
      <c r="J6900">
        <f t="shared" si="2914"/>
        <v>1.212</v>
      </c>
      <c r="K6900">
        <f t="shared" si="2915"/>
        <v>1.236</v>
      </c>
      <c r="L6900">
        <f t="shared" si="2916"/>
        <v>1.224</v>
      </c>
      <c r="M6900">
        <f t="shared" si="2917"/>
        <v>1.2000000000000011E-2</v>
      </c>
      <c r="N6900">
        <f t="shared" si="2895"/>
        <v>2.4000000000000021E-2</v>
      </c>
      <c r="O6900">
        <f t="shared" si="2918"/>
        <v>1.2150000000000001</v>
      </c>
      <c r="P6900">
        <f t="shared" si="2919"/>
        <v>-0.74999999999999079</v>
      </c>
      <c r="Q6900" t="str">
        <f t="shared" si="2896"/>
        <v>0.25% | 1.73%</v>
      </c>
      <c r="R6900" t="str">
        <f t="shared" si="2920"/>
        <v>BULLISH</v>
      </c>
      <c r="S6900">
        <f t="shared" si="2921"/>
        <v>1</v>
      </c>
    </row>
    <row r="6901" spans="1:19" hidden="1" x14ac:dyDescent="0.25">
      <c r="A6901" s="5" t="str">
        <f t="shared" si="2909"/>
        <v>44210USD/JPY</v>
      </c>
      <c r="B6901" s="6" t="s">
        <v>20</v>
      </c>
      <c r="C6901" s="6">
        <v>102.5</v>
      </c>
      <c r="D6901" s="6">
        <v>104.42</v>
      </c>
      <c r="E6901" s="6">
        <v>103.89</v>
      </c>
      <c r="F6901" t="str">
        <f t="shared" si="2910"/>
        <v>THU</v>
      </c>
      <c r="G6901" s="1">
        <f t="shared" si="2911"/>
        <v>44210</v>
      </c>
      <c r="H6901" s="2">
        <f t="shared" ca="1" si="2912"/>
        <v>43</v>
      </c>
      <c r="I6901" t="str">
        <f t="shared" si="2913"/>
        <v>USD/JPY</v>
      </c>
      <c r="J6901">
        <f t="shared" si="2914"/>
        <v>102.5</v>
      </c>
      <c r="K6901">
        <f t="shared" si="2915"/>
        <v>104.42</v>
      </c>
      <c r="L6901">
        <f t="shared" si="2916"/>
        <v>103.46000000000001</v>
      </c>
      <c r="M6901">
        <f t="shared" si="2917"/>
        <v>0.96000000000000085</v>
      </c>
      <c r="N6901">
        <f t="shared" si="2895"/>
        <v>1.9200000000000017</v>
      </c>
      <c r="O6901">
        <f t="shared" si="2918"/>
        <v>103.89</v>
      </c>
      <c r="P6901">
        <f t="shared" si="2919"/>
        <v>0.44791666666665858</v>
      </c>
      <c r="Q6901" t="str">
        <f t="shared" si="2896"/>
        <v>1.34% | 0.51%</v>
      </c>
      <c r="R6901" t="str">
        <f t="shared" si="2920"/>
        <v>BEARISH</v>
      </c>
      <c r="S6901">
        <f t="shared" si="2921"/>
        <v>-1</v>
      </c>
    </row>
    <row r="6902" spans="1:19" hidden="1" x14ac:dyDescent="0.25">
      <c r="A6902" s="5" t="str">
        <f t="shared" si="2909"/>
        <v>44210GBP/USD</v>
      </c>
      <c r="B6902" s="6" t="s">
        <v>102</v>
      </c>
      <c r="C6902" s="6">
        <v>1.35</v>
      </c>
      <c r="D6902" s="6">
        <v>1.371</v>
      </c>
      <c r="E6902" s="6">
        <v>1.363</v>
      </c>
      <c r="F6902" t="str">
        <f t="shared" si="2910"/>
        <v>THU</v>
      </c>
      <c r="G6902" s="1">
        <f t="shared" si="2911"/>
        <v>44210</v>
      </c>
      <c r="H6902" s="2">
        <f t="shared" ca="1" si="2912"/>
        <v>43</v>
      </c>
      <c r="I6902" t="str">
        <f t="shared" si="2913"/>
        <v>GBP/USD</v>
      </c>
      <c r="J6902">
        <f t="shared" si="2914"/>
        <v>1.35</v>
      </c>
      <c r="K6902">
        <f t="shared" si="2915"/>
        <v>1.371</v>
      </c>
      <c r="L6902">
        <f t="shared" si="2916"/>
        <v>1.3605</v>
      </c>
      <c r="M6902">
        <f t="shared" si="2917"/>
        <v>1.0499999999999954E-2</v>
      </c>
      <c r="N6902">
        <f t="shared" si="2895"/>
        <v>2.0999999999999908E-2</v>
      </c>
      <c r="O6902">
        <f t="shared" si="2918"/>
        <v>1.363</v>
      </c>
      <c r="P6902">
        <f t="shared" si="2919"/>
        <v>0.23809523809523406</v>
      </c>
      <c r="Q6902" t="str">
        <f t="shared" si="2896"/>
        <v>0.95% | 0.59%</v>
      </c>
      <c r="R6902" t="str">
        <f t="shared" si="2920"/>
        <v>BULLISH</v>
      </c>
      <c r="S6902">
        <f t="shared" si="2921"/>
        <v>1</v>
      </c>
    </row>
    <row r="6903" spans="1:19" hidden="1" x14ac:dyDescent="0.25">
      <c r="A6903" s="5" t="str">
        <f t="shared" si="2909"/>
        <v>44210CAD/USD</v>
      </c>
      <c r="B6903" s="6" t="s">
        <v>244</v>
      </c>
      <c r="C6903" s="6">
        <v>0.78</v>
      </c>
      <c r="D6903" s="6">
        <v>0.8</v>
      </c>
      <c r="E6903" s="6">
        <v>0.78</v>
      </c>
      <c r="F6903" t="str">
        <f t="shared" si="2910"/>
        <v>THU</v>
      </c>
      <c r="G6903" s="1">
        <f t="shared" si="2911"/>
        <v>44210</v>
      </c>
      <c r="H6903" s="2">
        <f t="shared" ca="1" si="2912"/>
        <v>43</v>
      </c>
      <c r="I6903" t="str">
        <f t="shared" si="2913"/>
        <v>CAD/USD</v>
      </c>
      <c r="J6903">
        <f t="shared" si="2914"/>
        <v>0.78</v>
      </c>
      <c r="K6903">
        <f t="shared" si="2915"/>
        <v>0.8</v>
      </c>
      <c r="L6903">
        <f t="shared" si="2916"/>
        <v>0.79</v>
      </c>
      <c r="M6903">
        <f t="shared" si="2917"/>
        <v>1.0000000000000009E-2</v>
      </c>
      <c r="N6903">
        <f t="shared" si="2895"/>
        <v>2.0000000000000018E-2</v>
      </c>
      <c r="O6903">
        <f t="shared" si="2918"/>
        <v>0.78</v>
      </c>
      <c r="P6903">
        <f t="shared" si="2919"/>
        <v>-1</v>
      </c>
      <c r="Q6903" t="str">
        <f t="shared" si="2896"/>
        <v>0% | 2.56%</v>
      </c>
      <c r="R6903" t="str">
        <f t="shared" si="2920"/>
        <v>BULLISH</v>
      </c>
      <c r="S6903">
        <f t="shared" si="2921"/>
        <v>1</v>
      </c>
    </row>
    <row r="6904" spans="1:19" hidden="1" x14ac:dyDescent="0.25">
      <c r="A6904" s="5" t="str">
        <f t="shared" si="2909"/>
        <v>44210USD/CHF</v>
      </c>
      <c r="B6904" s="6" t="s">
        <v>76</v>
      </c>
      <c r="C6904" s="6">
        <v>0.87</v>
      </c>
      <c r="D6904" s="6">
        <v>0.89</v>
      </c>
      <c r="E6904" s="6">
        <v>0.88</v>
      </c>
      <c r="F6904" t="str">
        <f t="shared" si="2910"/>
        <v>THU</v>
      </c>
      <c r="G6904" s="1">
        <f t="shared" si="2911"/>
        <v>44210</v>
      </c>
      <c r="H6904" s="2">
        <f t="shared" ca="1" si="2912"/>
        <v>43</v>
      </c>
      <c r="I6904" t="str">
        <f t="shared" si="2913"/>
        <v>USD/CHF</v>
      </c>
      <c r="J6904">
        <f t="shared" si="2914"/>
        <v>0.87</v>
      </c>
      <c r="K6904">
        <f t="shared" si="2915"/>
        <v>0.89</v>
      </c>
      <c r="L6904">
        <f t="shared" si="2916"/>
        <v>0.88</v>
      </c>
      <c r="M6904">
        <f t="shared" si="2917"/>
        <v>1.0000000000000009E-2</v>
      </c>
      <c r="N6904">
        <f t="shared" si="2895"/>
        <v>2.0000000000000018E-2</v>
      </c>
      <c r="O6904">
        <f t="shared" si="2918"/>
        <v>0.88</v>
      </c>
      <c r="P6904">
        <f t="shared" si="2919"/>
        <v>0</v>
      </c>
      <c r="Q6904" t="str">
        <f t="shared" si="2896"/>
        <v>1.14% | 1.14%</v>
      </c>
      <c r="R6904" t="str">
        <f t="shared" si="2920"/>
        <v>BEARISH</v>
      </c>
      <c r="S6904">
        <f t="shared" si="2921"/>
        <v>-1</v>
      </c>
    </row>
    <row r="6905" spans="1:19" hidden="1" x14ac:dyDescent="0.25">
      <c r="A6905" s="5" t="str">
        <f t="shared" si="2909"/>
        <v>44210WTIC</v>
      </c>
      <c r="B6905" s="6" t="s">
        <v>158</v>
      </c>
      <c r="C6905" s="6">
        <v>48.66</v>
      </c>
      <c r="D6905" s="6">
        <v>54.59</v>
      </c>
      <c r="E6905" s="6">
        <v>52.91</v>
      </c>
      <c r="F6905" t="str">
        <f t="shared" si="2910"/>
        <v>THU</v>
      </c>
      <c r="G6905" s="1">
        <f t="shared" si="2911"/>
        <v>44210</v>
      </c>
      <c r="H6905" s="2">
        <f t="shared" ca="1" si="2912"/>
        <v>43</v>
      </c>
      <c r="I6905" t="str">
        <f t="shared" si="2913"/>
        <v>WTIC</v>
      </c>
      <c r="J6905">
        <f t="shared" si="2914"/>
        <v>48.66</v>
      </c>
      <c r="K6905">
        <f t="shared" si="2915"/>
        <v>54.59</v>
      </c>
      <c r="L6905">
        <f t="shared" si="2916"/>
        <v>51.625</v>
      </c>
      <c r="M6905">
        <f t="shared" si="2917"/>
        <v>2.9650000000000034</v>
      </c>
      <c r="N6905">
        <f t="shared" si="2895"/>
        <v>5.9300000000000068</v>
      </c>
      <c r="O6905">
        <f t="shared" si="2918"/>
        <v>52.91</v>
      </c>
      <c r="P6905">
        <f t="shared" si="2919"/>
        <v>0.43338954468802532</v>
      </c>
      <c r="Q6905" t="str">
        <f t="shared" si="2896"/>
        <v>8.03% | 3.18%</v>
      </c>
      <c r="R6905" t="str">
        <f t="shared" si="2920"/>
        <v>BULLISH</v>
      </c>
      <c r="S6905">
        <f t="shared" si="2921"/>
        <v>1</v>
      </c>
    </row>
    <row r="6906" spans="1:19" hidden="1" x14ac:dyDescent="0.25">
      <c r="A6906" s="5" t="str">
        <f t="shared" si="2909"/>
        <v>44210NATGAS</v>
      </c>
      <c r="B6906" s="6" t="s">
        <v>89</v>
      </c>
      <c r="C6906" s="6">
        <v>2.5</v>
      </c>
      <c r="D6906" s="6">
        <v>2.88</v>
      </c>
      <c r="E6906" s="6">
        <v>2.73</v>
      </c>
      <c r="F6906" t="str">
        <f t="shared" si="2910"/>
        <v>THU</v>
      </c>
      <c r="G6906" s="1">
        <f t="shared" si="2911"/>
        <v>44210</v>
      </c>
      <c r="H6906" s="2">
        <f t="shared" ca="1" si="2912"/>
        <v>43</v>
      </c>
      <c r="I6906" t="str">
        <f t="shared" si="2913"/>
        <v>NATGAS</v>
      </c>
      <c r="J6906">
        <f t="shared" si="2914"/>
        <v>2.5</v>
      </c>
      <c r="K6906">
        <f t="shared" si="2915"/>
        <v>2.88</v>
      </c>
      <c r="L6906">
        <f t="shared" si="2916"/>
        <v>2.69</v>
      </c>
      <c r="M6906">
        <f t="shared" si="2917"/>
        <v>0.18999999999999995</v>
      </c>
      <c r="N6906">
        <f t="shared" si="2895"/>
        <v>0.37999999999999989</v>
      </c>
      <c r="O6906">
        <f t="shared" si="2918"/>
        <v>2.73</v>
      </c>
      <c r="P6906">
        <f t="shared" si="2919"/>
        <v>0.21052631578947392</v>
      </c>
      <c r="Q6906" t="str">
        <f t="shared" si="2896"/>
        <v>8.42% | 5.49%</v>
      </c>
      <c r="R6906" t="str">
        <f t="shared" si="2920"/>
        <v>BULLISH</v>
      </c>
      <c r="S6906">
        <f t="shared" si="2921"/>
        <v>1</v>
      </c>
    </row>
    <row r="6907" spans="1:19" hidden="1" x14ac:dyDescent="0.25">
      <c r="A6907" s="5" t="str">
        <f t="shared" si="2909"/>
        <v>44210GOLD</v>
      </c>
      <c r="B6907" s="6" t="s">
        <v>85</v>
      </c>
      <c r="C6907" s="6">
        <v>1803</v>
      </c>
      <c r="D6907" s="6">
        <v>1877</v>
      </c>
      <c r="E6907" s="6">
        <v>1854</v>
      </c>
      <c r="F6907" t="str">
        <f t="shared" si="2910"/>
        <v>THU</v>
      </c>
      <c r="G6907" s="1">
        <f t="shared" si="2911"/>
        <v>44210</v>
      </c>
      <c r="H6907" s="2">
        <f t="shared" ca="1" si="2912"/>
        <v>43</v>
      </c>
      <c r="I6907" t="str">
        <f t="shared" si="2913"/>
        <v>GOLD</v>
      </c>
      <c r="J6907">
        <f t="shared" si="2914"/>
        <v>1803</v>
      </c>
      <c r="K6907">
        <f t="shared" si="2915"/>
        <v>1877</v>
      </c>
      <c r="L6907">
        <f t="shared" si="2916"/>
        <v>1840</v>
      </c>
      <c r="M6907">
        <f t="shared" si="2917"/>
        <v>37</v>
      </c>
      <c r="N6907">
        <f t="shared" si="2895"/>
        <v>74</v>
      </c>
      <c r="O6907">
        <f t="shared" si="2918"/>
        <v>1854</v>
      </c>
      <c r="P6907">
        <f t="shared" si="2919"/>
        <v>0.3783783783783784</v>
      </c>
      <c r="Q6907" t="str">
        <f t="shared" si="2896"/>
        <v>2.75% | 1.24%</v>
      </c>
      <c r="R6907" t="str">
        <f t="shared" si="2920"/>
        <v>BEARISH</v>
      </c>
      <c r="S6907">
        <f t="shared" si="2921"/>
        <v>-1</v>
      </c>
    </row>
    <row r="6908" spans="1:19" hidden="1" x14ac:dyDescent="0.25">
      <c r="A6908" s="5" t="str">
        <f t="shared" si="2909"/>
        <v>44210COPPER</v>
      </c>
      <c r="B6908" s="6" t="s">
        <v>100</v>
      </c>
      <c r="C6908" s="6">
        <v>3.51</v>
      </c>
      <c r="D6908" s="6">
        <v>3.73</v>
      </c>
      <c r="E6908" s="6">
        <v>3.62</v>
      </c>
      <c r="F6908" t="str">
        <f t="shared" si="2910"/>
        <v>THU</v>
      </c>
      <c r="G6908" s="1">
        <f t="shared" si="2911"/>
        <v>44210</v>
      </c>
      <c r="H6908" s="2">
        <f t="shared" ca="1" si="2912"/>
        <v>43</v>
      </c>
      <c r="I6908" t="str">
        <f t="shared" si="2913"/>
        <v>COPPER</v>
      </c>
      <c r="J6908">
        <f t="shared" si="2914"/>
        <v>3.51</v>
      </c>
      <c r="K6908">
        <f t="shared" si="2915"/>
        <v>3.73</v>
      </c>
      <c r="L6908">
        <f t="shared" si="2916"/>
        <v>3.62</v>
      </c>
      <c r="M6908">
        <f t="shared" si="2917"/>
        <v>0.1100000000000001</v>
      </c>
      <c r="N6908">
        <f t="shared" si="2895"/>
        <v>0.2200000000000002</v>
      </c>
      <c r="O6908">
        <f t="shared" si="2918"/>
        <v>3.62</v>
      </c>
      <c r="P6908">
        <f t="shared" si="2919"/>
        <v>0</v>
      </c>
      <c r="Q6908" t="str">
        <f t="shared" si="2896"/>
        <v>3.04% | 3.04%</v>
      </c>
      <c r="R6908" t="str">
        <f t="shared" si="2920"/>
        <v>BULLISH</v>
      </c>
      <c r="S6908">
        <f t="shared" si="2921"/>
        <v>1</v>
      </c>
    </row>
    <row r="6909" spans="1:19" hidden="1" x14ac:dyDescent="0.25">
      <c r="A6909" s="5" t="str">
        <f t="shared" si="2909"/>
        <v>44210MSFT</v>
      </c>
      <c r="B6909" s="6" t="s">
        <v>27</v>
      </c>
      <c r="C6909" s="6">
        <v>212</v>
      </c>
      <c r="D6909" s="6">
        <v>224</v>
      </c>
      <c r="E6909" s="6">
        <v>216</v>
      </c>
      <c r="F6909" t="str">
        <f t="shared" si="2910"/>
        <v>THU</v>
      </c>
      <c r="G6909" s="1">
        <f t="shared" si="2911"/>
        <v>44210</v>
      </c>
      <c r="H6909" s="2">
        <f t="shared" ca="1" si="2912"/>
        <v>43</v>
      </c>
      <c r="I6909" t="str">
        <f t="shared" si="2913"/>
        <v>MSFT</v>
      </c>
      <c r="J6909">
        <f t="shared" si="2914"/>
        <v>212</v>
      </c>
      <c r="K6909">
        <f t="shared" si="2915"/>
        <v>224</v>
      </c>
      <c r="L6909">
        <f t="shared" si="2916"/>
        <v>218</v>
      </c>
      <c r="M6909">
        <f t="shared" si="2917"/>
        <v>6</v>
      </c>
      <c r="N6909">
        <f t="shared" si="2895"/>
        <v>12</v>
      </c>
      <c r="O6909">
        <f t="shared" si="2918"/>
        <v>216</v>
      </c>
      <c r="P6909">
        <f t="shared" si="2919"/>
        <v>-0.33333333333333331</v>
      </c>
      <c r="Q6909" t="str">
        <f t="shared" si="2896"/>
        <v>1.85% | 3.7%</v>
      </c>
      <c r="R6909" t="str">
        <f t="shared" si="2920"/>
        <v>BULLISH</v>
      </c>
      <c r="S6909">
        <f t="shared" si="2921"/>
        <v>1</v>
      </c>
    </row>
    <row r="6910" spans="1:19" hidden="1" x14ac:dyDescent="0.25">
      <c r="A6910" s="5" t="str">
        <f t="shared" si="2909"/>
        <v>44210AAPL</v>
      </c>
      <c r="B6910" s="6" t="s">
        <v>28</v>
      </c>
      <c r="C6910" s="6">
        <v>127</v>
      </c>
      <c r="D6910" s="6">
        <v>135</v>
      </c>
      <c r="E6910" s="6">
        <v>130</v>
      </c>
      <c r="F6910" t="str">
        <f t="shared" si="2910"/>
        <v>THU</v>
      </c>
      <c r="G6910" s="1">
        <f t="shared" si="2911"/>
        <v>44210</v>
      </c>
      <c r="H6910" s="2">
        <f t="shared" ca="1" si="2912"/>
        <v>43</v>
      </c>
      <c r="I6910" t="str">
        <f t="shared" si="2913"/>
        <v>AAPL</v>
      </c>
      <c r="J6910">
        <f t="shared" si="2914"/>
        <v>127</v>
      </c>
      <c r="K6910">
        <f t="shared" si="2915"/>
        <v>135</v>
      </c>
      <c r="L6910">
        <f t="shared" si="2916"/>
        <v>131</v>
      </c>
      <c r="M6910">
        <f t="shared" si="2917"/>
        <v>4</v>
      </c>
      <c r="N6910">
        <f t="shared" si="2895"/>
        <v>8</v>
      </c>
      <c r="O6910">
        <f t="shared" si="2918"/>
        <v>130</v>
      </c>
      <c r="P6910">
        <f t="shared" si="2919"/>
        <v>-0.25</v>
      </c>
      <c r="Q6910" t="str">
        <f t="shared" si="2896"/>
        <v>2.31% | 3.85%</v>
      </c>
      <c r="R6910" t="str">
        <f t="shared" si="2920"/>
        <v>BULLISH</v>
      </c>
      <c r="S6910">
        <f t="shared" si="2921"/>
        <v>1</v>
      </c>
    </row>
    <row r="6911" spans="1:19" hidden="1" x14ac:dyDescent="0.25">
      <c r="A6911" s="5" t="str">
        <f t="shared" si="2909"/>
        <v>44210AMZN</v>
      </c>
      <c r="B6911" s="6" t="s">
        <v>29</v>
      </c>
      <c r="C6911" s="6">
        <v>3064</v>
      </c>
      <c r="D6911" s="6">
        <v>3265</v>
      </c>
      <c r="E6911" s="6">
        <v>3165</v>
      </c>
      <c r="F6911" t="str">
        <f t="shared" si="2910"/>
        <v>THU</v>
      </c>
      <c r="G6911" s="1">
        <f t="shared" si="2911"/>
        <v>44210</v>
      </c>
      <c r="H6911" s="2">
        <f t="shared" ca="1" si="2912"/>
        <v>43</v>
      </c>
      <c r="I6911" t="str">
        <f t="shared" si="2913"/>
        <v>AMZN</v>
      </c>
      <c r="J6911">
        <f t="shared" si="2914"/>
        <v>3064</v>
      </c>
      <c r="K6911">
        <f t="shared" si="2915"/>
        <v>3265</v>
      </c>
      <c r="L6911">
        <f t="shared" si="2916"/>
        <v>3164.5</v>
      </c>
      <c r="M6911">
        <f t="shared" si="2917"/>
        <v>100.5</v>
      </c>
      <c r="N6911">
        <f t="shared" si="2895"/>
        <v>201</v>
      </c>
      <c r="O6911">
        <f t="shared" si="2918"/>
        <v>3165</v>
      </c>
      <c r="P6911">
        <f t="shared" si="2919"/>
        <v>4.9751243781094526E-3</v>
      </c>
      <c r="Q6911" t="str">
        <f t="shared" si="2896"/>
        <v>3.19% | 3.16%</v>
      </c>
      <c r="R6911" t="str">
        <f t="shared" si="2920"/>
        <v>BULLISH</v>
      </c>
      <c r="S6911">
        <f t="shared" si="2921"/>
        <v>1</v>
      </c>
    </row>
    <row r="6912" spans="1:19" hidden="1" x14ac:dyDescent="0.25">
      <c r="A6912" s="5" t="str">
        <f t="shared" si="2909"/>
        <v>44210FB</v>
      </c>
      <c r="B6912" s="6" t="s">
        <v>58</v>
      </c>
      <c r="C6912" s="6">
        <v>245</v>
      </c>
      <c r="D6912" s="6">
        <v>266</v>
      </c>
      <c r="E6912" s="6">
        <v>251</v>
      </c>
      <c r="F6912" t="str">
        <f t="shared" si="2910"/>
        <v>THU</v>
      </c>
      <c r="G6912" s="1">
        <f t="shared" si="2911"/>
        <v>44210</v>
      </c>
      <c r="H6912" s="2">
        <f t="shared" ca="1" si="2912"/>
        <v>43</v>
      </c>
      <c r="I6912" t="str">
        <f t="shared" si="2913"/>
        <v>FB</v>
      </c>
      <c r="J6912">
        <f t="shared" si="2914"/>
        <v>245</v>
      </c>
      <c r="K6912">
        <f t="shared" si="2915"/>
        <v>266</v>
      </c>
      <c r="L6912">
        <f t="shared" si="2916"/>
        <v>255.5</v>
      </c>
      <c r="M6912">
        <f t="shared" si="2917"/>
        <v>10.5</v>
      </c>
      <c r="N6912">
        <f t="shared" si="2895"/>
        <v>21</v>
      </c>
      <c r="O6912">
        <f t="shared" si="2918"/>
        <v>251</v>
      </c>
      <c r="P6912">
        <f t="shared" si="2919"/>
        <v>-0.42857142857142855</v>
      </c>
      <c r="Q6912" t="str">
        <f t="shared" si="2896"/>
        <v>2.39% | 5.98%</v>
      </c>
      <c r="R6912" t="str">
        <f t="shared" si="2920"/>
        <v>BEARISH</v>
      </c>
      <c r="S6912">
        <f t="shared" si="2921"/>
        <v>-1</v>
      </c>
    </row>
    <row r="6913" spans="1:19" hidden="1" x14ac:dyDescent="0.25">
      <c r="A6913" s="5" t="str">
        <f t="shared" si="2909"/>
        <v>44210GOOGL</v>
      </c>
      <c r="B6913" s="6" t="s">
        <v>31</v>
      </c>
      <c r="C6913" s="6">
        <v>1707</v>
      </c>
      <c r="D6913" s="6">
        <v>1797</v>
      </c>
      <c r="E6913" s="6">
        <v>1747</v>
      </c>
      <c r="F6913" t="str">
        <f t="shared" si="2910"/>
        <v>THU</v>
      </c>
      <c r="G6913" s="1">
        <f t="shared" si="2911"/>
        <v>44210</v>
      </c>
      <c r="H6913" s="2">
        <f t="shared" ca="1" si="2912"/>
        <v>43</v>
      </c>
      <c r="I6913" t="str">
        <f t="shared" si="2913"/>
        <v>GOOGL</v>
      </c>
      <c r="J6913">
        <f t="shared" si="2914"/>
        <v>1707</v>
      </c>
      <c r="K6913">
        <f t="shared" si="2915"/>
        <v>1797</v>
      </c>
      <c r="L6913">
        <f t="shared" si="2916"/>
        <v>1752</v>
      </c>
      <c r="M6913">
        <f t="shared" si="2917"/>
        <v>45</v>
      </c>
      <c r="N6913">
        <f t="shared" si="2895"/>
        <v>90</v>
      </c>
      <c r="O6913">
        <f t="shared" si="2918"/>
        <v>1747</v>
      </c>
      <c r="P6913">
        <f t="shared" si="2919"/>
        <v>-0.1111111111111111</v>
      </c>
      <c r="Q6913" t="str">
        <f t="shared" si="2896"/>
        <v>2.29% | 2.86%</v>
      </c>
      <c r="R6913" t="str">
        <f t="shared" si="2920"/>
        <v>BULLISH</v>
      </c>
      <c r="S6913">
        <f t="shared" si="2921"/>
        <v>1</v>
      </c>
    </row>
    <row r="6914" spans="1:19" hidden="1" x14ac:dyDescent="0.25">
      <c r="A6914" s="5" t="str">
        <f t="shared" si="2909"/>
        <v>44210NFLX</v>
      </c>
      <c r="B6914" s="6" t="s">
        <v>70</v>
      </c>
      <c r="C6914" s="6">
        <v>483</v>
      </c>
      <c r="D6914" s="6">
        <v>539</v>
      </c>
      <c r="E6914" s="6">
        <v>507</v>
      </c>
      <c r="F6914" t="str">
        <f t="shared" si="2910"/>
        <v>THU</v>
      </c>
      <c r="G6914" s="1">
        <f t="shared" si="2911"/>
        <v>44210</v>
      </c>
      <c r="H6914" s="2">
        <f t="shared" ca="1" si="2912"/>
        <v>43</v>
      </c>
      <c r="I6914" t="str">
        <f t="shared" si="2913"/>
        <v>NFLX</v>
      </c>
      <c r="J6914">
        <f t="shared" si="2914"/>
        <v>483</v>
      </c>
      <c r="K6914">
        <f t="shared" si="2915"/>
        <v>539</v>
      </c>
      <c r="L6914">
        <f t="shared" si="2916"/>
        <v>511</v>
      </c>
      <c r="M6914">
        <f t="shared" si="2917"/>
        <v>28</v>
      </c>
      <c r="N6914">
        <f t="shared" si="2895"/>
        <v>56</v>
      </c>
      <c r="O6914">
        <f t="shared" si="2918"/>
        <v>507</v>
      </c>
      <c r="P6914">
        <f t="shared" si="2919"/>
        <v>-0.14285714285714285</v>
      </c>
      <c r="Q6914" t="str">
        <f t="shared" si="2896"/>
        <v>4.73% | 6.31%</v>
      </c>
      <c r="R6914" t="str">
        <f t="shared" si="2920"/>
        <v>NEUTRAL</v>
      </c>
      <c r="S6914">
        <f t="shared" si="2921"/>
        <v>0</v>
      </c>
    </row>
    <row r="6915" spans="1:19" x14ac:dyDescent="0.25">
      <c r="A6915" s="5" t="str">
        <f t="shared" si="2909"/>
        <v>44210TSLA</v>
      </c>
      <c r="B6915" s="6" t="s">
        <v>33</v>
      </c>
      <c r="C6915" s="6">
        <v>783</v>
      </c>
      <c r="D6915" s="6">
        <v>913</v>
      </c>
      <c r="E6915" s="6">
        <v>854</v>
      </c>
      <c r="F6915" t="str">
        <f t="shared" si="2910"/>
        <v>THU</v>
      </c>
      <c r="G6915" s="1">
        <f t="shared" si="2911"/>
        <v>44210</v>
      </c>
      <c r="H6915" s="2">
        <f t="shared" ca="1" si="2912"/>
        <v>43</v>
      </c>
      <c r="I6915" t="str">
        <f t="shared" si="2913"/>
        <v>TSLA</v>
      </c>
      <c r="J6915">
        <f t="shared" si="2914"/>
        <v>783</v>
      </c>
      <c r="K6915">
        <f t="shared" si="2915"/>
        <v>913</v>
      </c>
      <c r="L6915">
        <f t="shared" si="2916"/>
        <v>848</v>
      </c>
      <c r="M6915">
        <f t="shared" si="2917"/>
        <v>65</v>
      </c>
      <c r="N6915">
        <f t="shared" ref="N6915:N6978" si="2922">ABS(K6915-J6915)</f>
        <v>130</v>
      </c>
      <c r="O6915">
        <f t="shared" si="2918"/>
        <v>854</v>
      </c>
      <c r="P6915">
        <f t="shared" si="2919"/>
        <v>9.2307692307692313E-2</v>
      </c>
      <c r="Q6915" t="str">
        <f t="shared" ref="Q6915:Q6978" si="2923">ROUND(ABS(100*(O6915-J6915)/O6915),2)&amp;"% | "&amp;ROUND(ABS(100*(K6915-O6915)/O6915),2)&amp;"%"</f>
        <v>8.31% | 6.91%</v>
      </c>
      <c r="R6915" t="str">
        <f t="shared" si="2920"/>
        <v>BULLISH</v>
      </c>
      <c r="S6915">
        <f t="shared" si="2921"/>
        <v>1</v>
      </c>
    </row>
    <row r="6916" spans="1:19" hidden="1" x14ac:dyDescent="0.25">
      <c r="A6916" s="5" t="str">
        <f t="shared" si="2909"/>
        <v>44210NYXBT</v>
      </c>
      <c r="B6916" s="6" t="s">
        <v>60</v>
      </c>
      <c r="C6916" s="6">
        <v>32921</v>
      </c>
      <c r="D6916" s="6">
        <v>40207</v>
      </c>
      <c r="E6916" s="6">
        <v>34584</v>
      </c>
      <c r="F6916" t="str">
        <f t="shared" si="2910"/>
        <v>THU</v>
      </c>
      <c r="G6916" s="1">
        <f t="shared" si="2911"/>
        <v>44210</v>
      </c>
      <c r="H6916" s="2">
        <f t="shared" ca="1" si="2912"/>
        <v>43</v>
      </c>
      <c r="I6916" t="str">
        <f t="shared" si="2913"/>
        <v>NYXBT</v>
      </c>
      <c r="J6916">
        <f t="shared" si="2914"/>
        <v>32921</v>
      </c>
      <c r="K6916">
        <f t="shared" si="2915"/>
        <v>40207</v>
      </c>
      <c r="L6916">
        <f t="shared" si="2916"/>
        <v>36564</v>
      </c>
      <c r="M6916">
        <f t="shared" si="2917"/>
        <v>3643</v>
      </c>
      <c r="N6916">
        <f t="shared" si="2922"/>
        <v>7286</v>
      </c>
      <c r="O6916">
        <f t="shared" si="2918"/>
        <v>34584</v>
      </c>
      <c r="P6916">
        <f t="shared" si="2919"/>
        <v>-0.54350809772165798</v>
      </c>
      <c r="Q6916" t="str">
        <f t="shared" si="2923"/>
        <v>4.81% | 16.26%</v>
      </c>
      <c r="R6916" t="str">
        <f t="shared" si="2920"/>
        <v>BULLISH</v>
      </c>
      <c r="S6916">
        <f t="shared" si="2921"/>
        <v>1</v>
      </c>
    </row>
    <row r="6917" spans="1:19" hidden="1" x14ac:dyDescent="0.25">
      <c r="A6917" s="5" t="str">
        <f t="shared" si="2909"/>
        <v>44211UST10Y</v>
      </c>
      <c r="B6917" s="6" t="s">
        <v>257</v>
      </c>
      <c r="C6917" s="6">
        <v>1.24</v>
      </c>
      <c r="D6917" s="6">
        <v>1</v>
      </c>
      <c r="E6917" s="6">
        <v>1.1499999999999999</v>
      </c>
      <c r="F6917" t="str">
        <f t="shared" si="2910"/>
        <v>FRI</v>
      </c>
      <c r="G6917" s="3">
        <f>DATE(2021,1,15)</f>
        <v>44211</v>
      </c>
      <c r="H6917" s="2">
        <f t="shared" ca="1" si="2912"/>
        <v>42</v>
      </c>
      <c r="I6917" t="str">
        <f t="shared" si="2913"/>
        <v>UST10Y</v>
      </c>
      <c r="J6917">
        <f t="shared" si="2914"/>
        <v>1.24</v>
      </c>
      <c r="K6917">
        <f t="shared" si="2915"/>
        <v>1</v>
      </c>
      <c r="L6917">
        <f t="shared" si="2916"/>
        <v>1.1200000000000001</v>
      </c>
      <c r="M6917">
        <f t="shared" si="2917"/>
        <v>0.11999999999999987</v>
      </c>
      <c r="N6917">
        <f t="shared" si="2922"/>
        <v>0.24</v>
      </c>
      <c r="O6917">
        <f t="shared" si="2918"/>
        <v>1.1499999999999999</v>
      </c>
      <c r="P6917">
        <f t="shared" si="2919"/>
        <v>0.24999999999999864</v>
      </c>
      <c r="Q6917" t="str">
        <f t="shared" si="2923"/>
        <v>7.83% | 13.04%</v>
      </c>
      <c r="R6917" t="str">
        <f t="shared" si="2920"/>
        <v>BULLISH</v>
      </c>
      <c r="S6917">
        <f t="shared" si="2921"/>
        <v>1</v>
      </c>
    </row>
    <row r="6918" spans="1:19" hidden="1" x14ac:dyDescent="0.25">
      <c r="A6918" s="5" t="str">
        <f t="shared" si="2909"/>
        <v>44211UST2Y</v>
      </c>
      <c r="B6918" s="6" t="s">
        <v>259</v>
      </c>
      <c r="C6918" s="6">
        <v>0.17</v>
      </c>
      <c r="D6918" s="6">
        <v>0.12</v>
      </c>
      <c r="E6918" s="6">
        <v>0.16</v>
      </c>
      <c r="F6918" t="str">
        <f t="shared" ref="F6918:F6949" si="2924">UPPER(TEXT(G6918,"ddd"))</f>
        <v>FRI</v>
      </c>
      <c r="G6918" s="3">
        <f t="shared" ref="G6918:G6948" si="2925">DATE(2021,1,15)</f>
        <v>44211</v>
      </c>
      <c r="H6918" s="2">
        <f t="shared" ref="H6918:H6949" ca="1" si="2926">TODAY()-G6918</f>
        <v>42</v>
      </c>
      <c r="I6918" t="str">
        <f t="shared" ref="I6918:I6949" si="2927">TRIM(LEFT(B6918,FIND(" ",B6918,1)))</f>
        <v>UST2Y</v>
      </c>
      <c r="J6918">
        <f t="shared" ref="J6918:J6949" si="2928">C6918</f>
        <v>0.17</v>
      </c>
      <c r="K6918">
        <f t="shared" ref="K6918:K6949" si="2929">D6918</f>
        <v>0.12</v>
      </c>
      <c r="L6918">
        <f t="shared" ref="L6918:L6949" si="2930">AVERAGE(J6918:K6918)</f>
        <v>0.14500000000000002</v>
      </c>
      <c r="M6918">
        <f t="shared" ref="M6918:M6949" si="2931">_xlfn.STDEV.P(J6918:K6918)</f>
        <v>2.4999999999999942E-2</v>
      </c>
      <c r="N6918">
        <f t="shared" si="2922"/>
        <v>5.0000000000000017E-2</v>
      </c>
      <c r="O6918">
        <f t="shared" ref="O6918:O6949" si="2932">E6918</f>
        <v>0.16</v>
      </c>
      <c r="P6918">
        <f t="shared" ref="P6918:P6949" si="2933">(O6918-L6918)/M6918</f>
        <v>0.60000000000000075</v>
      </c>
      <c r="Q6918" t="str">
        <f t="shared" si="2923"/>
        <v>6.25% | 25%</v>
      </c>
      <c r="R6918" t="str">
        <f t="shared" ref="R6918:R6949" si="2934">MID(B6918,FIND("(",B6918,1)+1,FIND(")",B6918,1)-FIND("(",B6918,1)-1)</f>
        <v>BULLISH</v>
      </c>
      <c r="S6918">
        <f t="shared" ref="S6918:S6949" si="2935">IF(R6918="BEARISH",-1,IF(R6918="NEUTRAL",0,IF(R6918="BULLISH",1,99)))</f>
        <v>1</v>
      </c>
    </row>
    <row r="6919" spans="1:19" hidden="1" x14ac:dyDescent="0.25">
      <c r="A6919" s="5" t="str">
        <f t="shared" si="2909"/>
        <v>44211SPX</v>
      </c>
      <c r="B6919" s="6" t="s">
        <v>93</v>
      </c>
      <c r="C6919" s="6">
        <v>3717</v>
      </c>
      <c r="D6919" s="6">
        <v>3862</v>
      </c>
      <c r="E6919" s="6">
        <v>3795</v>
      </c>
      <c r="F6919" t="str">
        <f t="shared" si="2924"/>
        <v>FRI</v>
      </c>
      <c r="G6919" s="3">
        <f t="shared" si="2925"/>
        <v>44211</v>
      </c>
      <c r="H6919" s="2">
        <f t="shared" ca="1" si="2926"/>
        <v>42</v>
      </c>
      <c r="I6919" t="str">
        <f t="shared" si="2927"/>
        <v>SPX</v>
      </c>
      <c r="J6919">
        <f t="shared" si="2928"/>
        <v>3717</v>
      </c>
      <c r="K6919">
        <f t="shared" si="2929"/>
        <v>3862</v>
      </c>
      <c r="L6919">
        <f t="shared" si="2930"/>
        <v>3789.5</v>
      </c>
      <c r="M6919">
        <f t="shared" si="2931"/>
        <v>72.5</v>
      </c>
      <c r="N6919">
        <f t="shared" si="2922"/>
        <v>145</v>
      </c>
      <c r="O6919">
        <f t="shared" si="2932"/>
        <v>3795</v>
      </c>
      <c r="P6919">
        <f t="shared" si="2933"/>
        <v>7.586206896551724E-2</v>
      </c>
      <c r="Q6919" t="str">
        <f t="shared" si="2923"/>
        <v>2.06% | 1.77%</v>
      </c>
      <c r="R6919" t="str">
        <f t="shared" si="2934"/>
        <v>BULLISH</v>
      </c>
      <c r="S6919">
        <f t="shared" si="2935"/>
        <v>1</v>
      </c>
    </row>
    <row r="6920" spans="1:19" hidden="1" x14ac:dyDescent="0.25">
      <c r="A6920" s="5" t="str">
        <f t="shared" ref="A6920:A6983" si="2936">G6920&amp;I6920</f>
        <v>44211RUT</v>
      </c>
      <c r="B6920" s="6" t="s">
        <v>247</v>
      </c>
      <c r="C6920" s="6">
        <v>2075</v>
      </c>
      <c r="D6920" s="6">
        <v>2205</v>
      </c>
      <c r="E6920" s="6">
        <v>2155</v>
      </c>
      <c r="F6920" t="str">
        <f t="shared" si="2924"/>
        <v>FRI</v>
      </c>
      <c r="G6920" s="3">
        <f t="shared" si="2925"/>
        <v>44211</v>
      </c>
      <c r="H6920" s="2">
        <f t="shared" ca="1" si="2926"/>
        <v>42</v>
      </c>
      <c r="I6920" t="str">
        <f t="shared" si="2927"/>
        <v>RUT</v>
      </c>
      <c r="J6920">
        <f t="shared" si="2928"/>
        <v>2075</v>
      </c>
      <c r="K6920">
        <f t="shared" si="2929"/>
        <v>2205</v>
      </c>
      <c r="L6920">
        <f t="shared" si="2930"/>
        <v>2140</v>
      </c>
      <c r="M6920">
        <f t="shared" si="2931"/>
        <v>65</v>
      </c>
      <c r="N6920">
        <f t="shared" si="2922"/>
        <v>130</v>
      </c>
      <c r="O6920">
        <f t="shared" si="2932"/>
        <v>2155</v>
      </c>
      <c r="P6920">
        <f t="shared" si="2933"/>
        <v>0.23076923076923078</v>
      </c>
      <c r="Q6920" t="str">
        <f t="shared" si="2923"/>
        <v>3.71% | 2.32%</v>
      </c>
      <c r="R6920" t="str">
        <f t="shared" si="2934"/>
        <v>BULLISH</v>
      </c>
      <c r="S6920">
        <f t="shared" si="2935"/>
        <v>1</v>
      </c>
    </row>
    <row r="6921" spans="1:19" hidden="1" x14ac:dyDescent="0.25">
      <c r="A6921" s="5" t="str">
        <f t="shared" si="2936"/>
        <v>44211COMPQ</v>
      </c>
      <c r="B6921" s="6" t="s">
        <v>8</v>
      </c>
      <c r="C6921" s="6">
        <v>12759</v>
      </c>
      <c r="D6921" s="6">
        <v>13343</v>
      </c>
      <c r="E6921" s="6">
        <v>13112</v>
      </c>
      <c r="F6921" t="str">
        <f t="shared" si="2924"/>
        <v>FRI</v>
      </c>
      <c r="G6921" s="3">
        <f t="shared" si="2925"/>
        <v>44211</v>
      </c>
      <c r="H6921" s="2">
        <f t="shared" ca="1" si="2926"/>
        <v>42</v>
      </c>
      <c r="I6921" t="str">
        <f t="shared" si="2927"/>
        <v>COMPQ</v>
      </c>
      <c r="J6921">
        <f t="shared" si="2928"/>
        <v>12759</v>
      </c>
      <c r="K6921">
        <f t="shared" si="2929"/>
        <v>13343</v>
      </c>
      <c r="L6921">
        <f t="shared" si="2930"/>
        <v>13051</v>
      </c>
      <c r="M6921">
        <f t="shared" si="2931"/>
        <v>292</v>
      </c>
      <c r="N6921">
        <f t="shared" si="2922"/>
        <v>584</v>
      </c>
      <c r="O6921">
        <f t="shared" si="2932"/>
        <v>13112</v>
      </c>
      <c r="P6921">
        <f t="shared" si="2933"/>
        <v>0.2089041095890411</v>
      </c>
      <c r="Q6921" t="str">
        <f t="shared" si="2923"/>
        <v>2.69% | 1.76%</v>
      </c>
      <c r="R6921" t="str">
        <f t="shared" si="2934"/>
        <v>BULLISH</v>
      </c>
      <c r="S6921">
        <f t="shared" si="2935"/>
        <v>1</v>
      </c>
    </row>
    <row r="6922" spans="1:19" hidden="1" x14ac:dyDescent="0.25">
      <c r="A6922" s="5" t="str">
        <f t="shared" si="2936"/>
        <v>44211XLK</v>
      </c>
      <c r="B6922" s="6" t="s">
        <v>10</v>
      </c>
      <c r="C6922" s="6">
        <v>126.63</v>
      </c>
      <c r="D6922" s="6">
        <v>131.6</v>
      </c>
      <c r="E6922" s="6">
        <v>128.74</v>
      </c>
      <c r="F6922" t="str">
        <f t="shared" si="2924"/>
        <v>FRI</v>
      </c>
      <c r="G6922" s="3">
        <f t="shared" si="2925"/>
        <v>44211</v>
      </c>
      <c r="H6922" s="2">
        <f t="shared" ca="1" si="2926"/>
        <v>42</v>
      </c>
      <c r="I6922" t="str">
        <f t="shared" si="2927"/>
        <v>XLK</v>
      </c>
      <c r="J6922">
        <f t="shared" si="2928"/>
        <v>126.63</v>
      </c>
      <c r="K6922">
        <f t="shared" si="2929"/>
        <v>131.6</v>
      </c>
      <c r="L6922">
        <f t="shared" si="2930"/>
        <v>129.11500000000001</v>
      </c>
      <c r="M6922">
        <f t="shared" si="2931"/>
        <v>2.4849999999999994</v>
      </c>
      <c r="N6922">
        <f t="shared" si="2922"/>
        <v>4.9699999999999989</v>
      </c>
      <c r="O6922">
        <f t="shared" si="2932"/>
        <v>128.74</v>
      </c>
      <c r="P6922">
        <f t="shared" si="2933"/>
        <v>-0.15090543259557349</v>
      </c>
      <c r="Q6922" t="str">
        <f t="shared" si="2923"/>
        <v>1.64% | 2.22%</v>
      </c>
      <c r="R6922" t="str">
        <f t="shared" si="2934"/>
        <v>BULLISH</v>
      </c>
      <c r="S6922">
        <f t="shared" si="2935"/>
        <v>1</v>
      </c>
    </row>
    <row r="6923" spans="1:19" hidden="1" x14ac:dyDescent="0.25">
      <c r="A6923" s="5" t="str">
        <f t="shared" si="2936"/>
        <v>44211XLE</v>
      </c>
      <c r="B6923" s="6" t="s">
        <v>250</v>
      </c>
      <c r="C6923" s="6">
        <v>39.78</v>
      </c>
      <c r="D6923" s="6">
        <v>45.53</v>
      </c>
      <c r="E6923" s="6">
        <v>44.48</v>
      </c>
      <c r="F6923" t="str">
        <f t="shared" si="2924"/>
        <v>FRI</v>
      </c>
      <c r="G6923" s="3">
        <f t="shared" si="2925"/>
        <v>44211</v>
      </c>
      <c r="H6923" s="2">
        <f t="shared" ca="1" si="2926"/>
        <v>42</v>
      </c>
      <c r="I6923" t="str">
        <f t="shared" si="2927"/>
        <v>XLE</v>
      </c>
      <c r="J6923">
        <f t="shared" si="2928"/>
        <v>39.78</v>
      </c>
      <c r="K6923">
        <f t="shared" si="2929"/>
        <v>45.53</v>
      </c>
      <c r="L6923">
        <f t="shared" si="2930"/>
        <v>42.655000000000001</v>
      </c>
      <c r="M6923">
        <f t="shared" si="2931"/>
        <v>2.875</v>
      </c>
      <c r="N6923">
        <f t="shared" si="2922"/>
        <v>5.75</v>
      </c>
      <c r="O6923">
        <f t="shared" si="2932"/>
        <v>44.48</v>
      </c>
      <c r="P6923">
        <f t="shared" si="2933"/>
        <v>0.63478260869565073</v>
      </c>
      <c r="Q6923" t="str">
        <f t="shared" si="2923"/>
        <v>10.57% | 2.36%</v>
      </c>
      <c r="R6923" t="str">
        <f t="shared" si="2934"/>
        <v>BULLISH</v>
      </c>
      <c r="S6923">
        <f t="shared" si="2935"/>
        <v>1</v>
      </c>
    </row>
    <row r="6924" spans="1:19" hidden="1" x14ac:dyDescent="0.25">
      <c r="A6924" s="5" t="str">
        <f t="shared" si="2936"/>
        <v>44211XLF</v>
      </c>
      <c r="B6924" s="6" t="s">
        <v>258</v>
      </c>
      <c r="C6924" s="6">
        <v>29.42</v>
      </c>
      <c r="D6924" s="6">
        <v>32.43</v>
      </c>
      <c r="E6924" s="6">
        <v>31.46</v>
      </c>
      <c r="F6924" t="str">
        <f t="shared" si="2924"/>
        <v>FRI</v>
      </c>
      <c r="G6924" s="3">
        <f t="shared" si="2925"/>
        <v>44211</v>
      </c>
      <c r="H6924" s="2">
        <f t="shared" ca="1" si="2926"/>
        <v>42</v>
      </c>
      <c r="I6924" t="str">
        <f t="shared" si="2927"/>
        <v>XLF</v>
      </c>
      <c r="J6924">
        <f t="shared" si="2928"/>
        <v>29.42</v>
      </c>
      <c r="K6924">
        <f t="shared" si="2929"/>
        <v>32.43</v>
      </c>
      <c r="L6924">
        <f t="shared" si="2930"/>
        <v>30.925000000000001</v>
      </c>
      <c r="M6924">
        <f t="shared" si="2931"/>
        <v>1.504999999999999</v>
      </c>
      <c r="N6924">
        <f t="shared" si="2922"/>
        <v>3.009999999999998</v>
      </c>
      <c r="O6924">
        <f t="shared" si="2932"/>
        <v>31.46</v>
      </c>
      <c r="P6924">
        <f t="shared" si="2933"/>
        <v>0.35548172757475116</v>
      </c>
      <c r="Q6924" t="str">
        <f t="shared" si="2923"/>
        <v>6.48% | 3.08%</v>
      </c>
      <c r="R6924" t="str">
        <f t="shared" si="2934"/>
        <v>BULLISH</v>
      </c>
      <c r="S6924">
        <f t="shared" si="2935"/>
        <v>1</v>
      </c>
    </row>
    <row r="6925" spans="1:19" hidden="1" x14ac:dyDescent="0.25">
      <c r="A6925" s="5" t="str">
        <f t="shared" si="2936"/>
        <v>44211XLU</v>
      </c>
      <c r="B6925" s="6" t="s">
        <v>82</v>
      </c>
      <c r="C6925" s="6">
        <v>60.66</v>
      </c>
      <c r="D6925" s="6">
        <v>63.07</v>
      </c>
      <c r="E6925" s="6">
        <v>62.38</v>
      </c>
      <c r="F6925" t="str">
        <f t="shared" si="2924"/>
        <v>FRI</v>
      </c>
      <c r="G6925" s="3">
        <f t="shared" si="2925"/>
        <v>44211</v>
      </c>
      <c r="H6925" s="2">
        <f t="shared" ca="1" si="2926"/>
        <v>42</v>
      </c>
      <c r="I6925" t="str">
        <f t="shared" si="2927"/>
        <v>XLU</v>
      </c>
      <c r="J6925">
        <f t="shared" si="2928"/>
        <v>60.66</v>
      </c>
      <c r="K6925">
        <f t="shared" si="2929"/>
        <v>63.07</v>
      </c>
      <c r="L6925">
        <f t="shared" si="2930"/>
        <v>61.864999999999995</v>
      </c>
      <c r="M6925">
        <f t="shared" si="2931"/>
        <v>1.2050000000000018</v>
      </c>
      <c r="N6925">
        <f t="shared" si="2922"/>
        <v>2.4100000000000037</v>
      </c>
      <c r="O6925">
        <f t="shared" si="2932"/>
        <v>62.38</v>
      </c>
      <c r="P6925">
        <f t="shared" si="2933"/>
        <v>0.42738589211618827</v>
      </c>
      <c r="Q6925" t="str">
        <f t="shared" si="2923"/>
        <v>2.76% | 1.11%</v>
      </c>
      <c r="R6925" t="str">
        <f t="shared" si="2934"/>
        <v>BEARISH</v>
      </c>
      <c r="S6925">
        <f t="shared" si="2935"/>
        <v>-1</v>
      </c>
    </row>
    <row r="6926" spans="1:19" hidden="1" x14ac:dyDescent="0.25">
      <c r="A6926" s="5" t="str">
        <f t="shared" si="2936"/>
        <v>44211GDX</v>
      </c>
      <c r="B6926" s="6" t="s">
        <v>254</v>
      </c>
      <c r="C6926" s="6">
        <v>34.369999999999997</v>
      </c>
      <c r="D6926" s="6">
        <v>38.020000000000003</v>
      </c>
      <c r="E6926" s="6">
        <v>35.61</v>
      </c>
      <c r="F6926" t="str">
        <f t="shared" si="2924"/>
        <v>FRI</v>
      </c>
      <c r="G6926" s="3">
        <f t="shared" si="2925"/>
        <v>44211</v>
      </c>
      <c r="H6926" s="2">
        <f t="shared" ca="1" si="2926"/>
        <v>42</v>
      </c>
      <c r="I6926" t="str">
        <f t="shared" si="2927"/>
        <v>GDX</v>
      </c>
      <c r="J6926">
        <f t="shared" si="2928"/>
        <v>34.369999999999997</v>
      </c>
      <c r="K6926">
        <f t="shared" si="2929"/>
        <v>38.020000000000003</v>
      </c>
      <c r="L6926">
        <f t="shared" si="2930"/>
        <v>36.195</v>
      </c>
      <c r="M6926">
        <f t="shared" si="2931"/>
        <v>1.8250000000000028</v>
      </c>
      <c r="N6926">
        <f t="shared" si="2922"/>
        <v>3.6500000000000057</v>
      </c>
      <c r="O6926">
        <f t="shared" si="2932"/>
        <v>35.61</v>
      </c>
      <c r="P6926">
        <f t="shared" si="2933"/>
        <v>-0.32054794520547941</v>
      </c>
      <c r="Q6926" t="str">
        <f t="shared" si="2923"/>
        <v>3.48% | 6.77%</v>
      </c>
      <c r="R6926" t="str">
        <f t="shared" si="2934"/>
        <v>BEARISH</v>
      </c>
      <c r="S6926">
        <f t="shared" si="2935"/>
        <v>-1</v>
      </c>
    </row>
    <row r="6927" spans="1:19" hidden="1" x14ac:dyDescent="0.25">
      <c r="A6927" s="5" t="str">
        <f t="shared" si="2936"/>
        <v>44211SSEC</v>
      </c>
      <c r="B6927" s="6" t="s">
        <v>104</v>
      </c>
      <c r="C6927" s="6">
        <v>3484</v>
      </c>
      <c r="D6927" s="6">
        <v>3625</v>
      </c>
      <c r="E6927" s="6">
        <v>3566</v>
      </c>
      <c r="F6927" t="str">
        <f t="shared" si="2924"/>
        <v>FRI</v>
      </c>
      <c r="G6927" s="3">
        <f t="shared" si="2925"/>
        <v>44211</v>
      </c>
      <c r="H6927" s="2">
        <f t="shared" ca="1" si="2926"/>
        <v>42</v>
      </c>
      <c r="I6927" t="str">
        <f t="shared" si="2927"/>
        <v>SSEC</v>
      </c>
      <c r="J6927">
        <f t="shared" si="2928"/>
        <v>3484</v>
      </c>
      <c r="K6927">
        <f t="shared" si="2929"/>
        <v>3625</v>
      </c>
      <c r="L6927">
        <f t="shared" si="2930"/>
        <v>3554.5</v>
      </c>
      <c r="M6927">
        <f t="shared" si="2931"/>
        <v>70.5</v>
      </c>
      <c r="N6927">
        <f t="shared" si="2922"/>
        <v>141</v>
      </c>
      <c r="O6927">
        <f t="shared" si="2932"/>
        <v>3566</v>
      </c>
      <c r="P6927">
        <f t="shared" si="2933"/>
        <v>0.16312056737588654</v>
      </c>
      <c r="Q6927" t="str">
        <f t="shared" si="2923"/>
        <v>2.3% | 1.65%</v>
      </c>
      <c r="R6927" t="str">
        <f t="shared" si="2934"/>
        <v>BULLISH</v>
      </c>
      <c r="S6927">
        <f t="shared" si="2935"/>
        <v>1</v>
      </c>
    </row>
    <row r="6928" spans="1:19" hidden="1" x14ac:dyDescent="0.25">
      <c r="A6928" s="5" t="str">
        <f t="shared" si="2936"/>
        <v>44211NIKK</v>
      </c>
      <c r="B6928" s="6" t="s">
        <v>91</v>
      </c>
      <c r="C6928" s="6">
        <v>27226</v>
      </c>
      <c r="D6928" s="6">
        <v>28916</v>
      </c>
      <c r="E6928" s="6">
        <v>28519</v>
      </c>
      <c r="F6928" t="str">
        <f t="shared" si="2924"/>
        <v>FRI</v>
      </c>
      <c r="G6928" s="3">
        <f t="shared" si="2925"/>
        <v>44211</v>
      </c>
      <c r="H6928" s="2">
        <f t="shared" ca="1" si="2926"/>
        <v>42</v>
      </c>
      <c r="I6928" t="str">
        <f t="shared" si="2927"/>
        <v>NIKK</v>
      </c>
      <c r="J6928">
        <f t="shared" si="2928"/>
        <v>27226</v>
      </c>
      <c r="K6928">
        <f t="shared" si="2929"/>
        <v>28916</v>
      </c>
      <c r="L6928">
        <f t="shared" si="2930"/>
        <v>28071</v>
      </c>
      <c r="M6928">
        <f t="shared" si="2931"/>
        <v>845</v>
      </c>
      <c r="N6928">
        <f t="shared" si="2922"/>
        <v>1690</v>
      </c>
      <c r="O6928">
        <f t="shared" si="2932"/>
        <v>28519</v>
      </c>
      <c r="P6928">
        <f t="shared" si="2933"/>
        <v>0.53017751479289943</v>
      </c>
      <c r="Q6928" t="str">
        <f t="shared" si="2923"/>
        <v>4.53% | 1.39%</v>
      </c>
      <c r="R6928" t="str">
        <f t="shared" si="2934"/>
        <v>BULLISH</v>
      </c>
      <c r="S6928">
        <f t="shared" si="2935"/>
        <v>1</v>
      </c>
    </row>
    <row r="6929" spans="1:19" hidden="1" x14ac:dyDescent="0.25">
      <c r="A6929" s="5" t="str">
        <f t="shared" si="2936"/>
        <v>44211DAX</v>
      </c>
      <c r="B6929" s="6" t="s">
        <v>98</v>
      </c>
      <c r="C6929" s="6">
        <v>13650</v>
      </c>
      <c r="D6929" s="6">
        <v>14141</v>
      </c>
      <c r="E6929" s="6">
        <v>13988</v>
      </c>
      <c r="F6929" t="str">
        <f t="shared" si="2924"/>
        <v>FRI</v>
      </c>
      <c r="G6929" s="3">
        <f t="shared" si="2925"/>
        <v>44211</v>
      </c>
      <c r="H6929" s="2">
        <f t="shared" ca="1" si="2926"/>
        <v>42</v>
      </c>
      <c r="I6929" t="str">
        <f t="shared" si="2927"/>
        <v>DAX</v>
      </c>
      <c r="J6929">
        <f t="shared" si="2928"/>
        <v>13650</v>
      </c>
      <c r="K6929">
        <f t="shared" si="2929"/>
        <v>14141</v>
      </c>
      <c r="L6929">
        <f t="shared" si="2930"/>
        <v>13895.5</v>
      </c>
      <c r="M6929">
        <f t="shared" si="2931"/>
        <v>245.5</v>
      </c>
      <c r="N6929">
        <f t="shared" si="2922"/>
        <v>491</v>
      </c>
      <c r="O6929">
        <f t="shared" si="2932"/>
        <v>13988</v>
      </c>
      <c r="P6929">
        <f t="shared" si="2933"/>
        <v>0.37678207739307534</v>
      </c>
      <c r="Q6929" t="str">
        <f t="shared" si="2923"/>
        <v>2.42% | 1.09%</v>
      </c>
      <c r="R6929" t="str">
        <f t="shared" si="2934"/>
        <v>BULLISH</v>
      </c>
      <c r="S6929">
        <f t="shared" si="2935"/>
        <v>1</v>
      </c>
    </row>
    <row r="6930" spans="1:19" hidden="1" x14ac:dyDescent="0.25">
      <c r="A6930" s="5" t="str">
        <f t="shared" si="2936"/>
        <v>44211VIX</v>
      </c>
      <c r="B6930" s="6" t="s">
        <v>96</v>
      </c>
      <c r="C6930" s="6">
        <v>20.32</v>
      </c>
      <c r="D6930" s="6">
        <v>27.09</v>
      </c>
      <c r="E6930" s="6">
        <v>23.25</v>
      </c>
      <c r="F6930" t="str">
        <f t="shared" si="2924"/>
        <v>FRI</v>
      </c>
      <c r="G6930" s="3">
        <f t="shared" si="2925"/>
        <v>44211</v>
      </c>
      <c r="H6930" s="2">
        <f t="shared" ca="1" si="2926"/>
        <v>42</v>
      </c>
      <c r="I6930" t="str">
        <f t="shared" si="2927"/>
        <v>VIX</v>
      </c>
      <c r="J6930">
        <f t="shared" si="2928"/>
        <v>20.32</v>
      </c>
      <c r="K6930">
        <f t="shared" si="2929"/>
        <v>27.09</v>
      </c>
      <c r="L6930">
        <f t="shared" si="2930"/>
        <v>23.704999999999998</v>
      </c>
      <c r="M6930">
        <f t="shared" si="2931"/>
        <v>3.3850000000000122</v>
      </c>
      <c r="N6930">
        <f t="shared" si="2922"/>
        <v>6.77</v>
      </c>
      <c r="O6930">
        <f t="shared" si="2932"/>
        <v>23.25</v>
      </c>
      <c r="P6930">
        <f t="shared" si="2933"/>
        <v>-0.13441654357459282</v>
      </c>
      <c r="Q6930" t="str">
        <f t="shared" si="2923"/>
        <v>12.6% | 16.52%</v>
      </c>
      <c r="R6930" t="str">
        <f t="shared" si="2934"/>
        <v>BEARISH</v>
      </c>
      <c r="S6930">
        <f t="shared" si="2935"/>
        <v>-1</v>
      </c>
    </row>
    <row r="6931" spans="1:19" hidden="1" x14ac:dyDescent="0.25">
      <c r="A6931" s="5" t="str">
        <f t="shared" si="2936"/>
        <v>44211USD</v>
      </c>
      <c r="B6931" s="6" t="s">
        <v>94</v>
      </c>
      <c r="C6931" s="6">
        <v>89.19</v>
      </c>
      <c r="D6931" s="6">
        <v>90.64</v>
      </c>
      <c r="E6931" s="6">
        <v>90.21</v>
      </c>
      <c r="F6931" t="str">
        <f t="shared" si="2924"/>
        <v>FRI</v>
      </c>
      <c r="G6931" s="3">
        <f t="shared" si="2925"/>
        <v>44211</v>
      </c>
      <c r="H6931" s="2">
        <f t="shared" ca="1" si="2926"/>
        <v>42</v>
      </c>
      <c r="I6931" t="str">
        <f t="shared" si="2927"/>
        <v>USD</v>
      </c>
      <c r="J6931">
        <f t="shared" si="2928"/>
        <v>89.19</v>
      </c>
      <c r="K6931">
        <f t="shared" si="2929"/>
        <v>90.64</v>
      </c>
      <c r="L6931">
        <f t="shared" si="2930"/>
        <v>89.914999999999992</v>
      </c>
      <c r="M6931">
        <f t="shared" si="2931"/>
        <v>0.72500000000000142</v>
      </c>
      <c r="N6931">
        <f t="shared" si="2922"/>
        <v>1.4500000000000028</v>
      </c>
      <c r="O6931">
        <f t="shared" si="2932"/>
        <v>90.21</v>
      </c>
      <c r="P6931">
        <f t="shared" si="2933"/>
        <v>0.40689655172413947</v>
      </c>
      <c r="Q6931" t="str">
        <f t="shared" si="2923"/>
        <v>1.13% | 0.48%</v>
      </c>
      <c r="R6931" t="str">
        <f t="shared" si="2934"/>
        <v>BEARISH</v>
      </c>
      <c r="S6931">
        <f t="shared" si="2935"/>
        <v>-1</v>
      </c>
    </row>
    <row r="6932" spans="1:19" hidden="1" x14ac:dyDescent="0.25">
      <c r="A6932" s="5" t="str">
        <f t="shared" si="2936"/>
        <v>44211EUR/USD</v>
      </c>
      <c r="B6932" s="6" t="s">
        <v>99</v>
      </c>
      <c r="C6932" s="6">
        <v>1.2110000000000001</v>
      </c>
      <c r="D6932" s="6">
        <v>1.236</v>
      </c>
      <c r="E6932" s="6">
        <v>1.216</v>
      </c>
      <c r="F6932" t="str">
        <f t="shared" si="2924"/>
        <v>FRI</v>
      </c>
      <c r="G6932" s="3">
        <f t="shared" si="2925"/>
        <v>44211</v>
      </c>
      <c r="H6932" s="2">
        <f t="shared" ca="1" si="2926"/>
        <v>42</v>
      </c>
      <c r="I6932" t="str">
        <f t="shared" si="2927"/>
        <v>EUR/USD</v>
      </c>
      <c r="J6932">
        <f t="shared" si="2928"/>
        <v>1.2110000000000001</v>
      </c>
      <c r="K6932">
        <f t="shared" si="2929"/>
        <v>1.236</v>
      </c>
      <c r="L6932">
        <f t="shared" si="2930"/>
        <v>1.2235</v>
      </c>
      <c r="M6932">
        <f t="shared" si="2931"/>
        <v>1.2499999999999956E-2</v>
      </c>
      <c r="N6932">
        <f t="shared" si="2922"/>
        <v>2.4999999999999911E-2</v>
      </c>
      <c r="O6932">
        <f t="shared" si="2932"/>
        <v>1.216</v>
      </c>
      <c r="P6932">
        <f t="shared" si="2933"/>
        <v>-0.60000000000000708</v>
      </c>
      <c r="Q6932" t="str">
        <f t="shared" si="2923"/>
        <v>0.41% | 1.64%</v>
      </c>
      <c r="R6932" t="str">
        <f t="shared" si="2934"/>
        <v>BULLISH</v>
      </c>
      <c r="S6932">
        <f t="shared" si="2935"/>
        <v>1</v>
      </c>
    </row>
    <row r="6933" spans="1:19" hidden="1" x14ac:dyDescent="0.25">
      <c r="A6933" s="5" t="str">
        <f t="shared" si="2936"/>
        <v>44211USD/JPY</v>
      </c>
      <c r="B6933" s="6" t="s">
        <v>20</v>
      </c>
      <c r="C6933" s="6">
        <v>102.61</v>
      </c>
      <c r="D6933" s="6">
        <v>104.42</v>
      </c>
      <c r="E6933" s="6">
        <v>103.79</v>
      </c>
      <c r="F6933" t="str">
        <f t="shared" si="2924"/>
        <v>FRI</v>
      </c>
      <c r="G6933" s="3">
        <f t="shared" si="2925"/>
        <v>44211</v>
      </c>
      <c r="H6933" s="2">
        <f t="shared" ca="1" si="2926"/>
        <v>42</v>
      </c>
      <c r="I6933" t="str">
        <f t="shared" si="2927"/>
        <v>USD/JPY</v>
      </c>
      <c r="J6933">
        <f t="shared" si="2928"/>
        <v>102.61</v>
      </c>
      <c r="K6933">
        <f t="shared" si="2929"/>
        <v>104.42</v>
      </c>
      <c r="L6933">
        <f t="shared" si="2930"/>
        <v>103.515</v>
      </c>
      <c r="M6933">
        <f t="shared" si="2931"/>
        <v>0.90500000000000114</v>
      </c>
      <c r="N6933">
        <f t="shared" si="2922"/>
        <v>1.8100000000000023</v>
      </c>
      <c r="O6933">
        <f t="shared" si="2932"/>
        <v>103.79</v>
      </c>
      <c r="P6933">
        <f t="shared" si="2933"/>
        <v>0.30386740331492301</v>
      </c>
      <c r="Q6933" t="str">
        <f t="shared" si="2923"/>
        <v>1.14% | 0.61%</v>
      </c>
      <c r="R6933" t="str">
        <f t="shared" si="2934"/>
        <v>BEARISH</v>
      </c>
      <c r="S6933">
        <f t="shared" si="2935"/>
        <v>-1</v>
      </c>
    </row>
    <row r="6934" spans="1:19" hidden="1" x14ac:dyDescent="0.25">
      <c r="A6934" s="5" t="str">
        <f t="shared" si="2936"/>
        <v>44211GBP/USD</v>
      </c>
      <c r="B6934" s="6" t="s">
        <v>102</v>
      </c>
      <c r="C6934" s="6">
        <v>1.35</v>
      </c>
      <c r="D6934" s="6">
        <v>1.3720000000000001</v>
      </c>
      <c r="E6934" s="6">
        <v>1.369</v>
      </c>
      <c r="F6934" t="str">
        <f t="shared" si="2924"/>
        <v>FRI</v>
      </c>
      <c r="G6934" s="3">
        <f t="shared" si="2925"/>
        <v>44211</v>
      </c>
      <c r="H6934" s="2">
        <f t="shared" ca="1" si="2926"/>
        <v>42</v>
      </c>
      <c r="I6934" t="str">
        <f t="shared" si="2927"/>
        <v>GBP/USD</v>
      </c>
      <c r="J6934">
        <f t="shared" si="2928"/>
        <v>1.35</v>
      </c>
      <c r="K6934">
        <f t="shared" si="2929"/>
        <v>1.3720000000000001</v>
      </c>
      <c r="L6934">
        <f t="shared" si="2930"/>
        <v>1.3610000000000002</v>
      </c>
      <c r="M6934">
        <f t="shared" si="2931"/>
        <v>1.100000000000001E-2</v>
      </c>
      <c r="N6934">
        <f t="shared" si="2922"/>
        <v>2.200000000000002E-2</v>
      </c>
      <c r="O6934">
        <f t="shared" si="2932"/>
        <v>1.369</v>
      </c>
      <c r="P6934">
        <f t="shared" si="2933"/>
        <v>0.72727272727270709</v>
      </c>
      <c r="Q6934" t="str">
        <f t="shared" si="2923"/>
        <v>1.39% | 0.22%</v>
      </c>
      <c r="R6934" t="str">
        <f t="shared" si="2934"/>
        <v>BULLISH</v>
      </c>
      <c r="S6934">
        <f t="shared" si="2935"/>
        <v>1</v>
      </c>
    </row>
    <row r="6935" spans="1:19" hidden="1" x14ac:dyDescent="0.25">
      <c r="A6935" s="5" t="str">
        <f t="shared" si="2936"/>
        <v>44211CAD/USD</v>
      </c>
      <c r="B6935" s="6" t="s">
        <v>244</v>
      </c>
      <c r="C6935" s="6">
        <v>0.78</v>
      </c>
      <c r="D6935" s="6">
        <v>0.8</v>
      </c>
      <c r="E6935" s="6">
        <v>0.79</v>
      </c>
      <c r="F6935" t="str">
        <f t="shared" si="2924"/>
        <v>FRI</v>
      </c>
      <c r="G6935" s="3">
        <f t="shared" si="2925"/>
        <v>44211</v>
      </c>
      <c r="H6935" s="2">
        <f t="shared" ca="1" si="2926"/>
        <v>42</v>
      </c>
      <c r="I6935" t="str">
        <f t="shared" si="2927"/>
        <v>CAD/USD</v>
      </c>
      <c r="J6935">
        <f t="shared" si="2928"/>
        <v>0.78</v>
      </c>
      <c r="K6935">
        <f t="shared" si="2929"/>
        <v>0.8</v>
      </c>
      <c r="L6935">
        <f t="shared" si="2930"/>
        <v>0.79</v>
      </c>
      <c r="M6935">
        <f t="shared" si="2931"/>
        <v>1.0000000000000009E-2</v>
      </c>
      <c r="N6935">
        <f t="shared" si="2922"/>
        <v>2.0000000000000018E-2</v>
      </c>
      <c r="O6935">
        <f t="shared" si="2932"/>
        <v>0.79</v>
      </c>
      <c r="P6935">
        <f t="shared" si="2933"/>
        <v>0</v>
      </c>
      <c r="Q6935" t="str">
        <f t="shared" si="2923"/>
        <v>1.27% | 1.27%</v>
      </c>
      <c r="R6935" t="str">
        <f t="shared" si="2934"/>
        <v>BULLISH</v>
      </c>
      <c r="S6935">
        <f t="shared" si="2935"/>
        <v>1</v>
      </c>
    </row>
    <row r="6936" spans="1:19" hidden="1" x14ac:dyDescent="0.25">
      <c r="A6936" s="5" t="str">
        <f t="shared" si="2936"/>
        <v>44211USD/CHF</v>
      </c>
      <c r="B6936" s="6" t="s">
        <v>76</v>
      </c>
      <c r="C6936" s="6">
        <v>0.87</v>
      </c>
      <c r="D6936" s="6">
        <v>0.89</v>
      </c>
      <c r="E6936" s="6">
        <v>0.88</v>
      </c>
      <c r="F6936" t="str">
        <f t="shared" si="2924"/>
        <v>FRI</v>
      </c>
      <c r="G6936" s="3">
        <f t="shared" si="2925"/>
        <v>44211</v>
      </c>
      <c r="H6936" s="2">
        <f t="shared" ca="1" si="2926"/>
        <v>42</v>
      </c>
      <c r="I6936" t="str">
        <f t="shared" si="2927"/>
        <v>USD/CHF</v>
      </c>
      <c r="J6936">
        <f t="shared" si="2928"/>
        <v>0.87</v>
      </c>
      <c r="K6936">
        <f t="shared" si="2929"/>
        <v>0.89</v>
      </c>
      <c r="L6936">
        <f t="shared" si="2930"/>
        <v>0.88</v>
      </c>
      <c r="M6936">
        <f t="shared" si="2931"/>
        <v>1.0000000000000009E-2</v>
      </c>
      <c r="N6936">
        <f t="shared" si="2922"/>
        <v>2.0000000000000018E-2</v>
      </c>
      <c r="O6936">
        <f t="shared" si="2932"/>
        <v>0.88</v>
      </c>
      <c r="P6936">
        <f t="shared" si="2933"/>
        <v>0</v>
      </c>
      <c r="Q6936" t="str">
        <f t="shared" si="2923"/>
        <v>1.14% | 1.14%</v>
      </c>
      <c r="R6936" t="str">
        <f t="shared" si="2934"/>
        <v>BEARISH</v>
      </c>
      <c r="S6936">
        <f t="shared" si="2935"/>
        <v>-1</v>
      </c>
    </row>
    <row r="6937" spans="1:19" hidden="1" x14ac:dyDescent="0.25">
      <c r="A6937" s="5" t="str">
        <f t="shared" si="2936"/>
        <v>44211WTIC</v>
      </c>
      <c r="B6937" s="6" t="s">
        <v>158</v>
      </c>
      <c r="C6937" s="6">
        <v>49.12</v>
      </c>
      <c r="D6937" s="6">
        <v>55.16</v>
      </c>
      <c r="E6937" s="6">
        <v>53.57</v>
      </c>
      <c r="F6937" t="str">
        <f t="shared" si="2924"/>
        <v>FRI</v>
      </c>
      <c r="G6937" s="3">
        <f t="shared" si="2925"/>
        <v>44211</v>
      </c>
      <c r="H6937" s="2">
        <f t="shared" ca="1" si="2926"/>
        <v>42</v>
      </c>
      <c r="I6937" t="str">
        <f t="shared" si="2927"/>
        <v>WTIC</v>
      </c>
      <c r="J6937">
        <f t="shared" si="2928"/>
        <v>49.12</v>
      </c>
      <c r="K6937">
        <f t="shared" si="2929"/>
        <v>55.16</v>
      </c>
      <c r="L6937">
        <f t="shared" si="2930"/>
        <v>52.14</v>
      </c>
      <c r="M6937">
        <f t="shared" si="2931"/>
        <v>3.0199999999999996</v>
      </c>
      <c r="N6937">
        <f t="shared" si="2922"/>
        <v>6.0399999999999991</v>
      </c>
      <c r="O6937">
        <f t="shared" si="2932"/>
        <v>53.57</v>
      </c>
      <c r="P6937">
        <f t="shared" si="2933"/>
        <v>0.47350993377483441</v>
      </c>
      <c r="Q6937" t="str">
        <f t="shared" si="2923"/>
        <v>8.31% | 2.97%</v>
      </c>
      <c r="R6937" t="str">
        <f t="shared" si="2934"/>
        <v>BULLISH</v>
      </c>
      <c r="S6937">
        <f t="shared" si="2935"/>
        <v>1</v>
      </c>
    </row>
    <row r="6938" spans="1:19" hidden="1" x14ac:dyDescent="0.25">
      <c r="A6938" s="5" t="str">
        <f t="shared" si="2936"/>
        <v>44211NATGAS</v>
      </c>
      <c r="B6938" s="6" t="s">
        <v>89</v>
      </c>
      <c r="C6938" s="6">
        <v>2.5099999999999998</v>
      </c>
      <c r="D6938" s="6">
        <v>2.88</v>
      </c>
      <c r="E6938" s="6">
        <v>2.67</v>
      </c>
      <c r="F6938" t="str">
        <f t="shared" si="2924"/>
        <v>FRI</v>
      </c>
      <c r="G6938" s="3">
        <f t="shared" si="2925"/>
        <v>44211</v>
      </c>
      <c r="H6938" s="2">
        <f t="shared" ca="1" si="2926"/>
        <v>42</v>
      </c>
      <c r="I6938" t="str">
        <f t="shared" si="2927"/>
        <v>NATGAS</v>
      </c>
      <c r="J6938">
        <f t="shared" si="2928"/>
        <v>2.5099999999999998</v>
      </c>
      <c r="K6938">
        <f t="shared" si="2929"/>
        <v>2.88</v>
      </c>
      <c r="L6938">
        <f t="shared" si="2930"/>
        <v>2.6949999999999998</v>
      </c>
      <c r="M6938">
        <f t="shared" si="2931"/>
        <v>0.18500000000000005</v>
      </c>
      <c r="N6938">
        <f t="shared" si="2922"/>
        <v>0.37000000000000011</v>
      </c>
      <c r="O6938">
        <f t="shared" si="2932"/>
        <v>2.67</v>
      </c>
      <c r="P6938">
        <f t="shared" si="2933"/>
        <v>-0.13513513513513462</v>
      </c>
      <c r="Q6938" t="str">
        <f t="shared" si="2923"/>
        <v>5.99% | 7.87%</v>
      </c>
      <c r="R6938" t="str">
        <f t="shared" si="2934"/>
        <v>BULLISH</v>
      </c>
      <c r="S6938">
        <f t="shared" si="2935"/>
        <v>1</v>
      </c>
    </row>
    <row r="6939" spans="1:19" hidden="1" x14ac:dyDescent="0.25">
      <c r="A6939" s="5" t="str">
        <f t="shared" si="2936"/>
        <v>44211GOLD</v>
      </c>
      <c r="B6939" s="6" t="s">
        <v>85</v>
      </c>
      <c r="C6939" s="6">
        <v>1795</v>
      </c>
      <c r="D6939" s="6">
        <v>1884</v>
      </c>
      <c r="E6939" s="6">
        <v>1851</v>
      </c>
      <c r="F6939" t="str">
        <f t="shared" si="2924"/>
        <v>FRI</v>
      </c>
      <c r="G6939" s="3">
        <f t="shared" si="2925"/>
        <v>44211</v>
      </c>
      <c r="H6939" s="2">
        <f t="shared" ca="1" si="2926"/>
        <v>42</v>
      </c>
      <c r="I6939" t="str">
        <f t="shared" si="2927"/>
        <v>GOLD</v>
      </c>
      <c r="J6939">
        <f t="shared" si="2928"/>
        <v>1795</v>
      </c>
      <c r="K6939">
        <f t="shared" si="2929"/>
        <v>1884</v>
      </c>
      <c r="L6939">
        <f t="shared" si="2930"/>
        <v>1839.5</v>
      </c>
      <c r="M6939">
        <f t="shared" si="2931"/>
        <v>44.5</v>
      </c>
      <c r="N6939">
        <f t="shared" si="2922"/>
        <v>89</v>
      </c>
      <c r="O6939">
        <f t="shared" si="2932"/>
        <v>1851</v>
      </c>
      <c r="P6939">
        <f t="shared" si="2933"/>
        <v>0.25842696629213485</v>
      </c>
      <c r="Q6939" t="str">
        <f t="shared" si="2923"/>
        <v>3.03% | 1.78%</v>
      </c>
      <c r="R6939" t="str">
        <f t="shared" si="2934"/>
        <v>BEARISH</v>
      </c>
      <c r="S6939">
        <f t="shared" si="2935"/>
        <v>-1</v>
      </c>
    </row>
    <row r="6940" spans="1:19" hidden="1" x14ac:dyDescent="0.25">
      <c r="A6940" s="5" t="str">
        <f t="shared" si="2936"/>
        <v>44211COPPER</v>
      </c>
      <c r="B6940" s="6" t="s">
        <v>100</v>
      </c>
      <c r="C6940" s="6">
        <v>3.54</v>
      </c>
      <c r="D6940" s="6">
        <v>3.73</v>
      </c>
      <c r="E6940" s="6">
        <v>3.66</v>
      </c>
      <c r="F6940" t="str">
        <f t="shared" si="2924"/>
        <v>FRI</v>
      </c>
      <c r="G6940" s="3">
        <f t="shared" si="2925"/>
        <v>44211</v>
      </c>
      <c r="H6940" s="2">
        <f t="shared" ca="1" si="2926"/>
        <v>42</v>
      </c>
      <c r="I6940" t="str">
        <f t="shared" si="2927"/>
        <v>COPPER</v>
      </c>
      <c r="J6940">
        <f t="shared" si="2928"/>
        <v>3.54</v>
      </c>
      <c r="K6940">
        <f t="shared" si="2929"/>
        <v>3.73</v>
      </c>
      <c r="L6940">
        <f t="shared" si="2930"/>
        <v>3.6349999999999998</v>
      </c>
      <c r="M6940">
        <f t="shared" si="2931"/>
        <v>9.4999999999999973E-2</v>
      </c>
      <c r="N6940">
        <f t="shared" si="2922"/>
        <v>0.18999999999999995</v>
      </c>
      <c r="O6940">
        <f t="shared" si="2932"/>
        <v>3.66</v>
      </c>
      <c r="P6940">
        <f t="shared" si="2933"/>
        <v>0.26315789473684592</v>
      </c>
      <c r="Q6940" t="str">
        <f t="shared" si="2923"/>
        <v>3.28% | 1.91%</v>
      </c>
      <c r="R6940" t="str">
        <f t="shared" si="2934"/>
        <v>BULLISH</v>
      </c>
      <c r="S6940">
        <f t="shared" si="2935"/>
        <v>1</v>
      </c>
    </row>
    <row r="6941" spans="1:19" hidden="1" x14ac:dyDescent="0.25">
      <c r="A6941" s="5" t="str">
        <f t="shared" si="2936"/>
        <v>44211MSFT</v>
      </c>
      <c r="B6941" s="6" t="s">
        <v>27</v>
      </c>
      <c r="C6941" s="6">
        <v>211</v>
      </c>
      <c r="D6941" s="6">
        <v>222</v>
      </c>
      <c r="E6941" s="6">
        <v>213</v>
      </c>
      <c r="F6941" t="str">
        <f t="shared" si="2924"/>
        <v>FRI</v>
      </c>
      <c r="G6941" s="3">
        <f t="shared" si="2925"/>
        <v>44211</v>
      </c>
      <c r="H6941" s="2">
        <f t="shared" ca="1" si="2926"/>
        <v>42</v>
      </c>
      <c r="I6941" t="str">
        <f t="shared" si="2927"/>
        <v>MSFT</v>
      </c>
      <c r="J6941">
        <f t="shared" si="2928"/>
        <v>211</v>
      </c>
      <c r="K6941">
        <f t="shared" si="2929"/>
        <v>222</v>
      </c>
      <c r="L6941">
        <f t="shared" si="2930"/>
        <v>216.5</v>
      </c>
      <c r="M6941">
        <f t="shared" si="2931"/>
        <v>5.5</v>
      </c>
      <c r="N6941">
        <f t="shared" si="2922"/>
        <v>11</v>
      </c>
      <c r="O6941">
        <f t="shared" si="2932"/>
        <v>213</v>
      </c>
      <c r="P6941">
        <f t="shared" si="2933"/>
        <v>-0.63636363636363635</v>
      </c>
      <c r="Q6941" t="str">
        <f t="shared" si="2923"/>
        <v>0.94% | 4.23%</v>
      </c>
      <c r="R6941" t="str">
        <f t="shared" si="2934"/>
        <v>BULLISH</v>
      </c>
      <c r="S6941">
        <f t="shared" si="2935"/>
        <v>1</v>
      </c>
    </row>
    <row r="6942" spans="1:19" hidden="1" x14ac:dyDescent="0.25">
      <c r="A6942" s="5" t="str">
        <f t="shared" si="2936"/>
        <v>44211AAPL</v>
      </c>
      <c r="B6942" s="6" t="s">
        <v>28</v>
      </c>
      <c r="C6942" s="6">
        <v>126</v>
      </c>
      <c r="D6942" s="6">
        <v>134</v>
      </c>
      <c r="E6942" s="6">
        <v>128</v>
      </c>
      <c r="F6942" t="str">
        <f t="shared" si="2924"/>
        <v>FRI</v>
      </c>
      <c r="G6942" s="3">
        <f t="shared" si="2925"/>
        <v>44211</v>
      </c>
      <c r="H6942" s="2">
        <f t="shared" ca="1" si="2926"/>
        <v>42</v>
      </c>
      <c r="I6942" t="str">
        <f t="shared" si="2927"/>
        <v>AAPL</v>
      </c>
      <c r="J6942">
        <f t="shared" si="2928"/>
        <v>126</v>
      </c>
      <c r="K6942">
        <f t="shared" si="2929"/>
        <v>134</v>
      </c>
      <c r="L6942">
        <f t="shared" si="2930"/>
        <v>130</v>
      </c>
      <c r="M6942">
        <f t="shared" si="2931"/>
        <v>4</v>
      </c>
      <c r="N6942">
        <f t="shared" si="2922"/>
        <v>8</v>
      </c>
      <c r="O6942">
        <f t="shared" si="2932"/>
        <v>128</v>
      </c>
      <c r="P6942">
        <f t="shared" si="2933"/>
        <v>-0.5</v>
      </c>
      <c r="Q6942" t="str">
        <f t="shared" si="2923"/>
        <v>1.56% | 4.69%</v>
      </c>
      <c r="R6942" t="str">
        <f t="shared" si="2934"/>
        <v>BULLISH</v>
      </c>
      <c r="S6942">
        <f t="shared" si="2935"/>
        <v>1</v>
      </c>
    </row>
    <row r="6943" spans="1:19" hidden="1" x14ac:dyDescent="0.25">
      <c r="A6943" s="5" t="str">
        <f t="shared" si="2936"/>
        <v>44211AMZN</v>
      </c>
      <c r="B6943" s="6" t="s">
        <v>69</v>
      </c>
      <c r="C6943" s="6">
        <v>3071</v>
      </c>
      <c r="D6943" s="6">
        <v>3224</v>
      </c>
      <c r="E6943" s="6">
        <v>3127</v>
      </c>
      <c r="F6943" t="str">
        <f t="shared" si="2924"/>
        <v>FRI</v>
      </c>
      <c r="G6943" s="3">
        <f t="shared" si="2925"/>
        <v>44211</v>
      </c>
      <c r="H6943" s="2">
        <f t="shared" ca="1" si="2926"/>
        <v>42</v>
      </c>
      <c r="I6943" t="str">
        <f t="shared" si="2927"/>
        <v>AMZN</v>
      </c>
      <c r="J6943">
        <f t="shared" si="2928"/>
        <v>3071</v>
      </c>
      <c r="K6943">
        <f t="shared" si="2929"/>
        <v>3224</v>
      </c>
      <c r="L6943">
        <f t="shared" si="2930"/>
        <v>3147.5</v>
      </c>
      <c r="M6943">
        <f t="shared" si="2931"/>
        <v>76.5</v>
      </c>
      <c r="N6943">
        <f t="shared" si="2922"/>
        <v>153</v>
      </c>
      <c r="O6943">
        <f t="shared" si="2932"/>
        <v>3127</v>
      </c>
      <c r="P6943">
        <f t="shared" si="2933"/>
        <v>-0.26797385620915032</v>
      </c>
      <c r="Q6943" t="str">
        <f t="shared" si="2923"/>
        <v>1.79% | 3.1%</v>
      </c>
      <c r="R6943" t="str">
        <f t="shared" si="2934"/>
        <v>NEUTRAL</v>
      </c>
      <c r="S6943">
        <f t="shared" si="2935"/>
        <v>0</v>
      </c>
    </row>
    <row r="6944" spans="1:19" hidden="1" x14ac:dyDescent="0.25">
      <c r="A6944" s="5" t="str">
        <f t="shared" si="2936"/>
        <v>44211FB</v>
      </c>
      <c r="B6944" s="6" t="s">
        <v>58</v>
      </c>
      <c r="C6944" s="6">
        <v>239</v>
      </c>
      <c r="D6944" s="6">
        <v>261</v>
      </c>
      <c r="E6944" s="6">
        <v>245</v>
      </c>
      <c r="F6944" t="str">
        <f t="shared" si="2924"/>
        <v>FRI</v>
      </c>
      <c r="G6944" s="3">
        <f t="shared" si="2925"/>
        <v>44211</v>
      </c>
      <c r="H6944" s="2">
        <f t="shared" ca="1" si="2926"/>
        <v>42</v>
      </c>
      <c r="I6944" t="str">
        <f t="shared" si="2927"/>
        <v>FB</v>
      </c>
      <c r="J6944">
        <f t="shared" si="2928"/>
        <v>239</v>
      </c>
      <c r="K6944">
        <f t="shared" si="2929"/>
        <v>261</v>
      </c>
      <c r="L6944">
        <f t="shared" si="2930"/>
        <v>250</v>
      </c>
      <c r="M6944">
        <f t="shared" si="2931"/>
        <v>11</v>
      </c>
      <c r="N6944">
        <f t="shared" si="2922"/>
        <v>22</v>
      </c>
      <c r="O6944">
        <f t="shared" si="2932"/>
        <v>245</v>
      </c>
      <c r="P6944">
        <f t="shared" si="2933"/>
        <v>-0.45454545454545453</v>
      </c>
      <c r="Q6944" t="str">
        <f t="shared" si="2923"/>
        <v>2.45% | 6.53%</v>
      </c>
      <c r="R6944" t="str">
        <f t="shared" si="2934"/>
        <v>BEARISH</v>
      </c>
      <c r="S6944">
        <f t="shared" si="2935"/>
        <v>-1</v>
      </c>
    </row>
    <row r="6945" spans="1:19" hidden="1" x14ac:dyDescent="0.25">
      <c r="A6945" s="5" t="str">
        <f t="shared" si="2936"/>
        <v>44211GOOGL</v>
      </c>
      <c r="B6945" s="6" t="s">
        <v>31</v>
      </c>
      <c r="C6945" s="6">
        <v>1700</v>
      </c>
      <c r="D6945" s="6">
        <v>1796</v>
      </c>
      <c r="E6945" s="6">
        <v>1730</v>
      </c>
      <c r="F6945" t="str">
        <f t="shared" si="2924"/>
        <v>FRI</v>
      </c>
      <c r="G6945" s="3">
        <f t="shared" si="2925"/>
        <v>44211</v>
      </c>
      <c r="H6945" s="2">
        <f t="shared" ca="1" si="2926"/>
        <v>42</v>
      </c>
      <c r="I6945" t="str">
        <f t="shared" si="2927"/>
        <v>GOOGL</v>
      </c>
      <c r="J6945">
        <f t="shared" si="2928"/>
        <v>1700</v>
      </c>
      <c r="K6945">
        <f t="shared" si="2929"/>
        <v>1796</v>
      </c>
      <c r="L6945">
        <f t="shared" si="2930"/>
        <v>1748</v>
      </c>
      <c r="M6945">
        <f t="shared" si="2931"/>
        <v>48</v>
      </c>
      <c r="N6945">
        <f t="shared" si="2922"/>
        <v>96</v>
      </c>
      <c r="O6945">
        <f t="shared" si="2932"/>
        <v>1730</v>
      </c>
      <c r="P6945">
        <f t="shared" si="2933"/>
        <v>-0.375</v>
      </c>
      <c r="Q6945" t="str">
        <f t="shared" si="2923"/>
        <v>1.73% | 3.82%</v>
      </c>
      <c r="R6945" t="str">
        <f t="shared" si="2934"/>
        <v>BULLISH</v>
      </c>
      <c r="S6945">
        <f t="shared" si="2935"/>
        <v>1</v>
      </c>
    </row>
    <row r="6946" spans="1:19" hidden="1" x14ac:dyDescent="0.25">
      <c r="A6946" s="5" t="str">
        <f t="shared" si="2936"/>
        <v>44211NFLX</v>
      </c>
      <c r="B6946" s="6" t="s">
        <v>81</v>
      </c>
      <c r="C6946" s="6">
        <v>484</v>
      </c>
      <c r="D6946" s="6">
        <v>527</v>
      </c>
      <c r="E6946" s="6">
        <v>500</v>
      </c>
      <c r="F6946" t="str">
        <f t="shared" si="2924"/>
        <v>FRI</v>
      </c>
      <c r="G6946" s="3">
        <f t="shared" si="2925"/>
        <v>44211</v>
      </c>
      <c r="H6946" s="2">
        <f t="shared" ca="1" si="2926"/>
        <v>42</v>
      </c>
      <c r="I6946" t="str">
        <f t="shared" si="2927"/>
        <v>NFLX</v>
      </c>
      <c r="J6946">
        <f t="shared" si="2928"/>
        <v>484</v>
      </c>
      <c r="K6946">
        <f t="shared" si="2929"/>
        <v>527</v>
      </c>
      <c r="L6946">
        <f t="shared" si="2930"/>
        <v>505.5</v>
      </c>
      <c r="M6946">
        <f t="shared" si="2931"/>
        <v>21.5</v>
      </c>
      <c r="N6946">
        <f t="shared" si="2922"/>
        <v>43</v>
      </c>
      <c r="O6946">
        <f t="shared" si="2932"/>
        <v>500</v>
      </c>
      <c r="P6946">
        <f t="shared" si="2933"/>
        <v>-0.2558139534883721</v>
      </c>
      <c r="Q6946" t="str">
        <f t="shared" si="2923"/>
        <v>3.2% | 5.4%</v>
      </c>
      <c r="R6946" t="str">
        <f t="shared" si="2934"/>
        <v>BEARISH</v>
      </c>
      <c r="S6946">
        <f t="shared" si="2935"/>
        <v>-1</v>
      </c>
    </row>
    <row r="6947" spans="1:19" x14ac:dyDescent="0.25">
      <c r="A6947" s="5" t="str">
        <f t="shared" si="2936"/>
        <v>44211TSLA</v>
      </c>
      <c r="B6947" s="6" t="s">
        <v>33</v>
      </c>
      <c r="C6947" s="6">
        <v>788</v>
      </c>
      <c r="D6947" s="6">
        <v>915</v>
      </c>
      <c r="E6947" s="6">
        <v>845</v>
      </c>
      <c r="F6947" t="str">
        <f t="shared" si="2924"/>
        <v>FRI</v>
      </c>
      <c r="G6947" s="3">
        <f t="shared" si="2925"/>
        <v>44211</v>
      </c>
      <c r="H6947" s="2">
        <f t="shared" ca="1" si="2926"/>
        <v>42</v>
      </c>
      <c r="I6947" t="str">
        <f t="shared" si="2927"/>
        <v>TSLA</v>
      </c>
      <c r="J6947">
        <f t="shared" si="2928"/>
        <v>788</v>
      </c>
      <c r="K6947">
        <f t="shared" si="2929"/>
        <v>915</v>
      </c>
      <c r="L6947">
        <f t="shared" si="2930"/>
        <v>851.5</v>
      </c>
      <c r="M6947">
        <f t="shared" si="2931"/>
        <v>63.5</v>
      </c>
      <c r="N6947">
        <f t="shared" si="2922"/>
        <v>127</v>
      </c>
      <c r="O6947">
        <f t="shared" si="2932"/>
        <v>845</v>
      </c>
      <c r="P6947">
        <f t="shared" si="2933"/>
        <v>-0.10236220472440945</v>
      </c>
      <c r="Q6947" t="str">
        <f t="shared" si="2923"/>
        <v>6.75% | 8.28%</v>
      </c>
      <c r="R6947" t="str">
        <f t="shared" si="2934"/>
        <v>BULLISH</v>
      </c>
      <c r="S6947">
        <f t="shared" si="2935"/>
        <v>1</v>
      </c>
    </row>
    <row r="6948" spans="1:19" hidden="1" x14ac:dyDescent="0.25">
      <c r="A6948" s="5" t="str">
        <f t="shared" si="2936"/>
        <v>44211NYXBT</v>
      </c>
      <c r="B6948" s="6" t="s">
        <v>60</v>
      </c>
      <c r="C6948" s="6">
        <v>33251</v>
      </c>
      <c r="D6948" s="6">
        <v>40617</v>
      </c>
      <c r="E6948" s="6">
        <v>39637</v>
      </c>
      <c r="F6948" t="str">
        <f t="shared" si="2924"/>
        <v>FRI</v>
      </c>
      <c r="G6948" s="3">
        <f t="shared" si="2925"/>
        <v>44211</v>
      </c>
      <c r="H6948" s="2">
        <f t="shared" ca="1" si="2926"/>
        <v>42</v>
      </c>
      <c r="I6948" t="str">
        <f t="shared" si="2927"/>
        <v>NYXBT</v>
      </c>
      <c r="J6948">
        <f t="shared" si="2928"/>
        <v>33251</v>
      </c>
      <c r="K6948">
        <f t="shared" si="2929"/>
        <v>40617</v>
      </c>
      <c r="L6948">
        <f t="shared" si="2930"/>
        <v>36934</v>
      </c>
      <c r="M6948">
        <f t="shared" si="2931"/>
        <v>3683</v>
      </c>
      <c r="N6948">
        <f t="shared" si="2922"/>
        <v>7366</v>
      </c>
      <c r="O6948">
        <f t="shared" si="2932"/>
        <v>39637</v>
      </c>
      <c r="P6948">
        <f t="shared" si="2933"/>
        <v>0.73391257127341836</v>
      </c>
      <c r="Q6948" t="str">
        <f t="shared" si="2923"/>
        <v>16.11% | 2.47%</v>
      </c>
      <c r="R6948" t="str">
        <f t="shared" si="2934"/>
        <v>BULLISH</v>
      </c>
      <c r="S6948">
        <f t="shared" si="2935"/>
        <v>1</v>
      </c>
    </row>
    <row r="6949" spans="1:19" hidden="1" x14ac:dyDescent="0.25">
      <c r="A6949" s="5" t="str">
        <f t="shared" si="2936"/>
        <v>44215UST10Y</v>
      </c>
      <c r="B6949" s="6" t="s">
        <v>257</v>
      </c>
      <c r="C6949" s="6">
        <v>1.22</v>
      </c>
      <c r="D6949" s="6">
        <v>1</v>
      </c>
      <c r="E6949" s="6">
        <v>1.1100000000000001</v>
      </c>
      <c r="F6949" t="str">
        <f t="shared" si="2924"/>
        <v>TUE</v>
      </c>
      <c r="G6949" s="1">
        <f>DATE(2021,1,19)</f>
        <v>44215</v>
      </c>
      <c r="H6949" s="2">
        <f t="shared" ca="1" si="2926"/>
        <v>38</v>
      </c>
      <c r="I6949" t="str">
        <f t="shared" si="2927"/>
        <v>UST10Y</v>
      </c>
      <c r="J6949">
        <f t="shared" si="2928"/>
        <v>1.22</v>
      </c>
      <c r="K6949">
        <f t="shared" si="2929"/>
        <v>1</v>
      </c>
      <c r="L6949">
        <f t="shared" si="2930"/>
        <v>1.1099999999999999</v>
      </c>
      <c r="M6949">
        <f t="shared" si="2931"/>
        <v>0.10999999999999999</v>
      </c>
      <c r="N6949">
        <f t="shared" si="2922"/>
        <v>0.21999999999999997</v>
      </c>
      <c r="O6949">
        <f t="shared" si="2932"/>
        <v>1.1100000000000001</v>
      </c>
      <c r="P6949">
        <f t="shared" si="2933"/>
        <v>2.0185873175002848E-15</v>
      </c>
      <c r="Q6949" t="str">
        <f t="shared" si="2923"/>
        <v>9.91% | 9.91%</v>
      </c>
      <c r="R6949" t="str">
        <f t="shared" si="2934"/>
        <v>BULLISH</v>
      </c>
      <c r="S6949">
        <f t="shared" si="2935"/>
        <v>1</v>
      </c>
    </row>
    <row r="6950" spans="1:19" hidden="1" x14ac:dyDescent="0.25">
      <c r="A6950" s="5" t="str">
        <f t="shared" si="2936"/>
        <v>44215UST2Y</v>
      </c>
      <c r="B6950" s="6" t="s">
        <v>259</v>
      </c>
      <c r="C6950" s="6">
        <v>0.16</v>
      </c>
      <c r="D6950" s="6">
        <v>0.12</v>
      </c>
      <c r="E6950" s="6">
        <v>0.13</v>
      </c>
      <c r="F6950" t="str">
        <f t="shared" ref="F6950:F6981" si="2937">UPPER(TEXT(G6950,"ddd"))</f>
        <v>TUE</v>
      </c>
      <c r="G6950" s="1">
        <f t="shared" ref="G6950:G6980" si="2938">DATE(2021,1,19)</f>
        <v>44215</v>
      </c>
      <c r="H6950" s="2">
        <f t="shared" ref="H6950:H6981" ca="1" si="2939">TODAY()-G6950</f>
        <v>38</v>
      </c>
      <c r="I6950" t="str">
        <f t="shared" ref="I6950:I6981" si="2940">TRIM(LEFT(B6950,FIND(" ",B6950,1)))</f>
        <v>UST2Y</v>
      </c>
      <c r="J6950">
        <f t="shared" ref="J6950:J6981" si="2941">C6950</f>
        <v>0.16</v>
      </c>
      <c r="K6950">
        <f t="shared" ref="K6950:K6981" si="2942">D6950</f>
        <v>0.12</v>
      </c>
      <c r="L6950">
        <f t="shared" ref="L6950:L6981" si="2943">AVERAGE(J6950:K6950)</f>
        <v>0.14000000000000001</v>
      </c>
      <c r="M6950">
        <f t="shared" ref="M6950:M6981" si="2944">_xlfn.STDEV.P(J6950:K6950)</f>
        <v>1.9999999999999938E-2</v>
      </c>
      <c r="N6950">
        <f t="shared" si="2922"/>
        <v>4.0000000000000008E-2</v>
      </c>
      <c r="O6950">
        <f t="shared" ref="O6950:O6981" si="2945">E6950</f>
        <v>0.13</v>
      </c>
      <c r="P6950">
        <f t="shared" ref="P6950:P6981" si="2946">(O6950-L6950)/M6950</f>
        <v>-0.500000000000002</v>
      </c>
      <c r="Q6950" t="str">
        <f t="shared" si="2923"/>
        <v>23.08% | 7.69%</v>
      </c>
      <c r="R6950" t="str">
        <f t="shared" ref="R6950:R6981" si="2947">MID(B6950,FIND("(",B6950,1)+1,FIND(")",B6950,1)-FIND("(",B6950,1)-1)</f>
        <v>BULLISH</v>
      </c>
      <c r="S6950">
        <f t="shared" ref="S6950:S6981" si="2948">IF(R6950="BEARISH",-1,IF(R6950="NEUTRAL",0,IF(R6950="BULLISH",1,99)))</f>
        <v>1</v>
      </c>
    </row>
    <row r="6951" spans="1:19" hidden="1" x14ac:dyDescent="0.25">
      <c r="A6951" s="5" t="str">
        <f t="shared" si="2936"/>
        <v>44215SPX</v>
      </c>
      <c r="B6951" s="6" t="s">
        <v>93</v>
      </c>
      <c r="C6951" s="6">
        <v>3728</v>
      </c>
      <c r="D6951" s="6">
        <v>3848</v>
      </c>
      <c r="E6951" s="6">
        <v>3768</v>
      </c>
      <c r="F6951" t="str">
        <f t="shared" si="2937"/>
        <v>TUE</v>
      </c>
      <c r="G6951" s="1">
        <f t="shared" si="2938"/>
        <v>44215</v>
      </c>
      <c r="H6951" s="2">
        <f t="shared" ca="1" si="2939"/>
        <v>38</v>
      </c>
      <c r="I6951" t="str">
        <f t="shared" si="2940"/>
        <v>SPX</v>
      </c>
      <c r="J6951">
        <f t="shared" si="2941"/>
        <v>3728</v>
      </c>
      <c r="K6951">
        <f t="shared" si="2942"/>
        <v>3848</v>
      </c>
      <c r="L6951">
        <f t="shared" si="2943"/>
        <v>3788</v>
      </c>
      <c r="M6951">
        <f t="shared" si="2944"/>
        <v>60</v>
      </c>
      <c r="N6951">
        <f t="shared" si="2922"/>
        <v>120</v>
      </c>
      <c r="O6951">
        <f t="shared" si="2945"/>
        <v>3768</v>
      </c>
      <c r="P6951">
        <f t="shared" si="2946"/>
        <v>-0.33333333333333331</v>
      </c>
      <c r="Q6951" t="str">
        <f t="shared" si="2923"/>
        <v>1.06% | 2.12%</v>
      </c>
      <c r="R6951" t="str">
        <f t="shared" si="2947"/>
        <v>BULLISH</v>
      </c>
      <c r="S6951">
        <f t="shared" si="2948"/>
        <v>1</v>
      </c>
    </row>
    <row r="6952" spans="1:19" hidden="1" x14ac:dyDescent="0.25">
      <c r="A6952" s="5" t="str">
        <f t="shared" si="2936"/>
        <v>44215RUT</v>
      </c>
      <c r="B6952" s="6" t="s">
        <v>247</v>
      </c>
      <c r="C6952" s="6">
        <v>2093</v>
      </c>
      <c r="D6952" s="6">
        <v>2193</v>
      </c>
      <c r="E6952" s="6">
        <v>2123</v>
      </c>
      <c r="F6952" t="str">
        <f t="shared" si="2937"/>
        <v>TUE</v>
      </c>
      <c r="G6952" s="1">
        <f t="shared" si="2938"/>
        <v>44215</v>
      </c>
      <c r="H6952" s="2">
        <f t="shared" ca="1" si="2939"/>
        <v>38</v>
      </c>
      <c r="I6952" t="str">
        <f t="shared" si="2940"/>
        <v>RUT</v>
      </c>
      <c r="J6952">
        <f t="shared" si="2941"/>
        <v>2093</v>
      </c>
      <c r="K6952">
        <f t="shared" si="2942"/>
        <v>2193</v>
      </c>
      <c r="L6952">
        <f t="shared" si="2943"/>
        <v>2143</v>
      </c>
      <c r="M6952">
        <f t="shared" si="2944"/>
        <v>50</v>
      </c>
      <c r="N6952">
        <f t="shared" si="2922"/>
        <v>100</v>
      </c>
      <c r="O6952">
        <f t="shared" si="2945"/>
        <v>2123</v>
      </c>
      <c r="P6952">
        <f t="shared" si="2946"/>
        <v>-0.4</v>
      </c>
      <c r="Q6952" t="str">
        <f t="shared" si="2923"/>
        <v>1.41% | 3.3%</v>
      </c>
      <c r="R6952" t="str">
        <f t="shared" si="2947"/>
        <v>BULLISH</v>
      </c>
      <c r="S6952">
        <f t="shared" si="2948"/>
        <v>1</v>
      </c>
    </row>
    <row r="6953" spans="1:19" hidden="1" x14ac:dyDescent="0.25">
      <c r="A6953" s="5" t="str">
        <f t="shared" si="2936"/>
        <v>44215COMPQ</v>
      </c>
      <c r="B6953" s="6" t="s">
        <v>8</v>
      </c>
      <c r="C6953" s="6">
        <v>12765</v>
      </c>
      <c r="D6953" s="6">
        <v>13310</v>
      </c>
      <c r="E6953" s="6">
        <v>12998</v>
      </c>
      <c r="F6953" t="str">
        <f t="shared" si="2937"/>
        <v>TUE</v>
      </c>
      <c r="G6953" s="1">
        <f t="shared" si="2938"/>
        <v>44215</v>
      </c>
      <c r="H6953" s="2">
        <f t="shared" ca="1" si="2939"/>
        <v>38</v>
      </c>
      <c r="I6953" t="str">
        <f t="shared" si="2940"/>
        <v>COMPQ</v>
      </c>
      <c r="J6953">
        <f t="shared" si="2941"/>
        <v>12765</v>
      </c>
      <c r="K6953">
        <f t="shared" si="2942"/>
        <v>13310</v>
      </c>
      <c r="L6953">
        <f t="shared" si="2943"/>
        <v>13037.5</v>
      </c>
      <c r="M6953">
        <f t="shared" si="2944"/>
        <v>272.5</v>
      </c>
      <c r="N6953">
        <f t="shared" si="2922"/>
        <v>545</v>
      </c>
      <c r="O6953">
        <f t="shared" si="2945"/>
        <v>12998</v>
      </c>
      <c r="P6953">
        <f t="shared" si="2946"/>
        <v>-0.14495412844036698</v>
      </c>
      <c r="Q6953" t="str">
        <f t="shared" si="2923"/>
        <v>1.79% | 2.4%</v>
      </c>
      <c r="R6953" t="str">
        <f t="shared" si="2947"/>
        <v>BULLISH</v>
      </c>
      <c r="S6953">
        <f t="shared" si="2948"/>
        <v>1</v>
      </c>
    </row>
    <row r="6954" spans="1:19" hidden="1" x14ac:dyDescent="0.25">
      <c r="A6954" s="5" t="str">
        <f t="shared" si="2936"/>
        <v>44215XLK</v>
      </c>
      <c r="B6954" s="6" t="s">
        <v>10</v>
      </c>
      <c r="C6954" s="6">
        <v>126.45</v>
      </c>
      <c r="D6954" s="6">
        <v>131.56</v>
      </c>
      <c r="E6954" s="6">
        <v>127.42</v>
      </c>
      <c r="F6954" t="str">
        <f t="shared" si="2937"/>
        <v>TUE</v>
      </c>
      <c r="G6954" s="1">
        <f t="shared" si="2938"/>
        <v>44215</v>
      </c>
      <c r="H6954" s="2">
        <f t="shared" ca="1" si="2939"/>
        <v>38</v>
      </c>
      <c r="I6954" t="str">
        <f t="shared" si="2940"/>
        <v>XLK</v>
      </c>
      <c r="J6954">
        <f t="shared" si="2941"/>
        <v>126.45</v>
      </c>
      <c r="K6954">
        <f t="shared" si="2942"/>
        <v>131.56</v>
      </c>
      <c r="L6954">
        <f t="shared" si="2943"/>
        <v>129.005</v>
      </c>
      <c r="M6954">
        <f t="shared" si="2944"/>
        <v>2.5549999999999997</v>
      </c>
      <c r="N6954">
        <f t="shared" si="2922"/>
        <v>5.1099999999999994</v>
      </c>
      <c r="O6954">
        <f t="shared" si="2945"/>
        <v>127.42</v>
      </c>
      <c r="P6954">
        <f t="shared" si="2946"/>
        <v>-0.62035225048923437</v>
      </c>
      <c r="Q6954" t="str">
        <f t="shared" si="2923"/>
        <v>0.76% | 3.25%</v>
      </c>
      <c r="R6954" t="str">
        <f t="shared" si="2947"/>
        <v>BULLISH</v>
      </c>
      <c r="S6954">
        <f t="shared" si="2948"/>
        <v>1</v>
      </c>
    </row>
    <row r="6955" spans="1:19" hidden="1" x14ac:dyDescent="0.25">
      <c r="A6955" s="5" t="str">
        <f t="shared" si="2936"/>
        <v>44215XLE</v>
      </c>
      <c r="B6955" s="6" t="s">
        <v>250</v>
      </c>
      <c r="C6955" s="6">
        <v>39.979999999999997</v>
      </c>
      <c r="D6955" s="6">
        <v>45.13</v>
      </c>
      <c r="E6955" s="6">
        <v>42.75</v>
      </c>
      <c r="F6955" t="str">
        <f t="shared" si="2937"/>
        <v>TUE</v>
      </c>
      <c r="G6955" s="1">
        <f t="shared" si="2938"/>
        <v>44215</v>
      </c>
      <c r="H6955" s="2">
        <f t="shared" ca="1" si="2939"/>
        <v>38</v>
      </c>
      <c r="I6955" t="str">
        <f t="shared" si="2940"/>
        <v>XLE</v>
      </c>
      <c r="J6955">
        <f t="shared" si="2941"/>
        <v>39.979999999999997</v>
      </c>
      <c r="K6955">
        <f t="shared" si="2942"/>
        <v>45.13</v>
      </c>
      <c r="L6955">
        <f t="shared" si="2943"/>
        <v>42.555</v>
      </c>
      <c r="M6955">
        <f t="shared" si="2944"/>
        <v>2.5750000000000028</v>
      </c>
      <c r="N6955">
        <f t="shared" si="2922"/>
        <v>5.1500000000000057</v>
      </c>
      <c r="O6955">
        <f t="shared" si="2945"/>
        <v>42.75</v>
      </c>
      <c r="P6955">
        <f t="shared" si="2946"/>
        <v>7.5728155339805855E-2</v>
      </c>
      <c r="Q6955" t="str">
        <f t="shared" si="2923"/>
        <v>6.48% | 5.57%</v>
      </c>
      <c r="R6955" t="str">
        <f t="shared" si="2947"/>
        <v>BULLISH</v>
      </c>
      <c r="S6955">
        <f t="shared" si="2948"/>
        <v>1</v>
      </c>
    </row>
    <row r="6956" spans="1:19" hidden="1" x14ac:dyDescent="0.25">
      <c r="A6956" s="5" t="str">
        <f t="shared" si="2936"/>
        <v>44215XLF</v>
      </c>
      <c r="B6956" s="6" t="s">
        <v>258</v>
      </c>
      <c r="C6956" s="6">
        <v>29.52</v>
      </c>
      <c r="D6956" s="6">
        <v>32.33</v>
      </c>
      <c r="E6956" s="6">
        <v>30.94</v>
      </c>
      <c r="F6956" t="str">
        <f t="shared" si="2937"/>
        <v>TUE</v>
      </c>
      <c r="G6956" s="1">
        <f t="shared" si="2938"/>
        <v>44215</v>
      </c>
      <c r="H6956" s="2">
        <f t="shared" ca="1" si="2939"/>
        <v>38</v>
      </c>
      <c r="I6956" t="str">
        <f t="shared" si="2940"/>
        <v>XLF</v>
      </c>
      <c r="J6956">
        <f t="shared" si="2941"/>
        <v>29.52</v>
      </c>
      <c r="K6956">
        <f t="shared" si="2942"/>
        <v>32.33</v>
      </c>
      <c r="L6956">
        <f t="shared" si="2943"/>
        <v>30.924999999999997</v>
      </c>
      <c r="M6956">
        <f t="shared" si="2944"/>
        <v>1.4049999999999994</v>
      </c>
      <c r="N6956">
        <f t="shared" si="2922"/>
        <v>2.8099999999999987</v>
      </c>
      <c r="O6956">
        <f t="shared" si="2945"/>
        <v>30.94</v>
      </c>
      <c r="P6956">
        <f t="shared" si="2946"/>
        <v>1.067615658363283E-2</v>
      </c>
      <c r="Q6956" t="str">
        <f t="shared" si="2923"/>
        <v>4.59% | 4.49%</v>
      </c>
      <c r="R6956" t="str">
        <f t="shared" si="2947"/>
        <v>BULLISH</v>
      </c>
      <c r="S6956">
        <f t="shared" si="2948"/>
        <v>1</v>
      </c>
    </row>
    <row r="6957" spans="1:19" hidden="1" x14ac:dyDescent="0.25">
      <c r="A6957" s="5" t="str">
        <f t="shared" si="2936"/>
        <v>44215XLU</v>
      </c>
      <c r="B6957" s="6" t="s">
        <v>82</v>
      </c>
      <c r="C6957" s="6">
        <v>60.64</v>
      </c>
      <c r="D6957" s="6">
        <v>63.3</v>
      </c>
      <c r="E6957" s="6">
        <v>62.99</v>
      </c>
      <c r="F6957" t="str">
        <f t="shared" si="2937"/>
        <v>TUE</v>
      </c>
      <c r="G6957" s="1">
        <f t="shared" si="2938"/>
        <v>44215</v>
      </c>
      <c r="H6957" s="2">
        <f t="shared" ca="1" si="2939"/>
        <v>38</v>
      </c>
      <c r="I6957" t="str">
        <f t="shared" si="2940"/>
        <v>XLU</v>
      </c>
      <c r="J6957">
        <f t="shared" si="2941"/>
        <v>60.64</v>
      </c>
      <c r="K6957">
        <f t="shared" si="2942"/>
        <v>63.3</v>
      </c>
      <c r="L6957">
        <f t="shared" si="2943"/>
        <v>61.97</v>
      </c>
      <c r="M6957">
        <f t="shared" si="2944"/>
        <v>1.3299999999999983</v>
      </c>
      <c r="N6957">
        <f t="shared" si="2922"/>
        <v>2.6599999999999966</v>
      </c>
      <c r="O6957">
        <f t="shared" si="2945"/>
        <v>62.99</v>
      </c>
      <c r="P6957">
        <f t="shared" si="2946"/>
        <v>0.76691729323308599</v>
      </c>
      <c r="Q6957" t="str">
        <f t="shared" si="2923"/>
        <v>3.73% | 0.49%</v>
      </c>
      <c r="R6957" t="str">
        <f t="shared" si="2947"/>
        <v>BEARISH</v>
      </c>
      <c r="S6957">
        <f t="shared" si="2948"/>
        <v>-1</v>
      </c>
    </row>
    <row r="6958" spans="1:19" hidden="1" x14ac:dyDescent="0.25">
      <c r="A6958" s="5" t="str">
        <f t="shared" si="2936"/>
        <v>44215GDX</v>
      </c>
      <c r="B6958" s="6" t="s">
        <v>254</v>
      </c>
      <c r="C6958" s="6">
        <v>33.72</v>
      </c>
      <c r="D6958" s="6">
        <v>36.99</v>
      </c>
      <c r="E6958" s="6">
        <v>34.51</v>
      </c>
      <c r="F6958" t="str">
        <f t="shared" si="2937"/>
        <v>TUE</v>
      </c>
      <c r="G6958" s="1">
        <f t="shared" si="2938"/>
        <v>44215</v>
      </c>
      <c r="H6958" s="2">
        <f t="shared" ca="1" si="2939"/>
        <v>38</v>
      </c>
      <c r="I6958" t="str">
        <f t="shared" si="2940"/>
        <v>GDX</v>
      </c>
      <c r="J6958">
        <f t="shared" si="2941"/>
        <v>33.72</v>
      </c>
      <c r="K6958">
        <f t="shared" si="2942"/>
        <v>36.99</v>
      </c>
      <c r="L6958">
        <f t="shared" si="2943"/>
        <v>35.355000000000004</v>
      </c>
      <c r="M6958">
        <f t="shared" si="2944"/>
        <v>1.6350000000000016</v>
      </c>
      <c r="N6958">
        <f t="shared" si="2922"/>
        <v>3.2700000000000031</v>
      </c>
      <c r="O6958">
        <f t="shared" si="2945"/>
        <v>34.51</v>
      </c>
      <c r="P6958">
        <f t="shared" si="2946"/>
        <v>-0.51681957186544658</v>
      </c>
      <c r="Q6958" t="str">
        <f t="shared" si="2923"/>
        <v>2.29% | 7.19%</v>
      </c>
      <c r="R6958" t="str">
        <f t="shared" si="2947"/>
        <v>BEARISH</v>
      </c>
      <c r="S6958">
        <f t="shared" si="2948"/>
        <v>-1</v>
      </c>
    </row>
    <row r="6959" spans="1:19" hidden="1" x14ac:dyDescent="0.25">
      <c r="A6959" s="5" t="str">
        <f t="shared" si="2936"/>
        <v>44215SSEC</v>
      </c>
      <c r="B6959" s="6" t="s">
        <v>104</v>
      </c>
      <c r="C6959" s="6">
        <v>3525</v>
      </c>
      <c r="D6959" s="6">
        <v>3621</v>
      </c>
      <c r="E6959" s="6">
        <v>3566</v>
      </c>
      <c r="F6959" t="str">
        <f t="shared" si="2937"/>
        <v>TUE</v>
      </c>
      <c r="G6959" s="1">
        <f t="shared" si="2938"/>
        <v>44215</v>
      </c>
      <c r="H6959" s="2">
        <f t="shared" ca="1" si="2939"/>
        <v>38</v>
      </c>
      <c r="I6959" t="str">
        <f t="shared" si="2940"/>
        <v>SSEC</v>
      </c>
      <c r="J6959">
        <f t="shared" si="2941"/>
        <v>3525</v>
      </c>
      <c r="K6959">
        <f t="shared" si="2942"/>
        <v>3621</v>
      </c>
      <c r="L6959">
        <f t="shared" si="2943"/>
        <v>3573</v>
      </c>
      <c r="M6959">
        <f t="shared" si="2944"/>
        <v>48</v>
      </c>
      <c r="N6959">
        <f t="shared" si="2922"/>
        <v>96</v>
      </c>
      <c r="O6959">
        <f t="shared" si="2945"/>
        <v>3566</v>
      </c>
      <c r="P6959">
        <f t="shared" si="2946"/>
        <v>-0.14583333333333334</v>
      </c>
      <c r="Q6959" t="str">
        <f t="shared" si="2923"/>
        <v>1.15% | 1.54%</v>
      </c>
      <c r="R6959" t="str">
        <f t="shared" si="2947"/>
        <v>BULLISH</v>
      </c>
      <c r="S6959">
        <f t="shared" si="2948"/>
        <v>1</v>
      </c>
    </row>
    <row r="6960" spans="1:19" hidden="1" x14ac:dyDescent="0.25">
      <c r="A6960" s="5" t="str">
        <f t="shared" si="2936"/>
        <v>44215NIKK</v>
      </c>
      <c r="B6960" s="6" t="s">
        <v>91</v>
      </c>
      <c r="C6960" s="6">
        <v>27298</v>
      </c>
      <c r="D6960" s="6">
        <v>29142</v>
      </c>
      <c r="E6960" s="6">
        <v>28633</v>
      </c>
      <c r="F6960" t="str">
        <f t="shared" si="2937"/>
        <v>TUE</v>
      </c>
      <c r="G6960" s="1">
        <f t="shared" si="2938"/>
        <v>44215</v>
      </c>
      <c r="H6960" s="2">
        <f t="shared" ca="1" si="2939"/>
        <v>38</v>
      </c>
      <c r="I6960" t="str">
        <f t="shared" si="2940"/>
        <v>NIKK</v>
      </c>
      <c r="J6960">
        <f t="shared" si="2941"/>
        <v>27298</v>
      </c>
      <c r="K6960">
        <f t="shared" si="2942"/>
        <v>29142</v>
      </c>
      <c r="L6960">
        <f t="shared" si="2943"/>
        <v>28220</v>
      </c>
      <c r="M6960">
        <f t="shared" si="2944"/>
        <v>922</v>
      </c>
      <c r="N6960">
        <f t="shared" si="2922"/>
        <v>1844</v>
      </c>
      <c r="O6960">
        <f t="shared" si="2945"/>
        <v>28633</v>
      </c>
      <c r="P6960">
        <f t="shared" si="2946"/>
        <v>0.44793926247288501</v>
      </c>
      <c r="Q6960" t="str">
        <f t="shared" si="2923"/>
        <v>4.66% | 1.78%</v>
      </c>
      <c r="R6960" t="str">
        <f t="shared" si="2947"/>
        <v>BULLISH</v>
      </c>
      <c r="S6960">
        <f t="shared" si="2948"/>
        <v>1</v>
      </c>
    </row>
    <row r="6961" spans="1:19" hidden="1" x14ac:dyDescent="0.25">
      <c r="A6961" s="5" t="str">
        <f t="shared" si="2936"/>
        <v>44215DAX</v>
      </c>
      <c r="B6961" s="6" t="s">
        <v>98</v>
      </c>
      <c r="C6961" s="6">
        <v>13670</v>
      </c>
      <c r="D6961" s="6">
        <v>14091</v>
      </c>
      <c r="E6961" s="6">
        <v>13848</v>
      </c>
      <c r="F6961" t="str">
        <f t="shared" si="2937"/>
        <v>TUE</v>
      </c>
      <c r="G6961" s="1">
        <f t="shared" si="2938"/>
        <v>44215</v>
      </c>
      <c r="H6961" s="2">
        <f t="shared" ca="1" si="2939"/>
        <v>38</v>
      </c>
      <c r="I6961" t="str">
        <f t="shared" si="2940"/>
        <v>DAX</v>
      </c>
      <c r="J6961">
        <f t="shared" si="2941"/>
        <v>13670</v>
      </c>
      <c r="K6961">
        <f t="shared" si="2942"/>
        <v>14091</v>
      </c>
      <c r="L6961">
        <f t="shared" si="2943"/>
        <v>13880.5</v>
      </c>
      <c r="M6961">
        <f t="shared" si="2944"/>
        <v>210.5</v>
      </c>
      <c r="N6961">
        <f t="shared" si="2922"/>
        <v>421</v>
      </c>
      <c r="O6961">
        <f t="shared" si="2945"/>
        <v>13848</v>
      </c>
      <c r="P6961">
        <f t="shared" si="2946"/>
        <v>-0.15439429928741091</v>
      </c>
      <c r="Q6961" t="str">
        <f t="shared" si="2923"/>
        <v>1.29% | 1.75%</v>
      </c>
      <c r="R6961" t="str">
        <f t="shared" si="2947"/>
        <v>BULLISH</v>
      </c>
      <c r="S6961">
        <f t="shared" si="2948"/>
        <v>1</v>
      </c>
    </row>
    <row r="6962" spans="1:19" hidden="1" x14ac:dyDescent="0.25">
      <c r="A6962" s="5" t="str">
        <f t="shared" si="2936"/>
        <v>44215VIX</v>
      </c>
      <c r="B6962" s="6" t="s">
        <v>96</v>
      </c>
      <c r="C6962" s="6">
        <v>20.74</v>
      </c>
      <c r="D6962" s="6">
        <v>26.07</v>
      </c>
      <c r="E6962" s="6">
        <v>24.34</v>
      </c>
      <c r="F6962" t="str">
        <f t="shared" si="2937"/>
        <v>TUE</v>
      </c>
      <c r="G6962" s="1">
        <f t="shared" si="2938"/>
        <v>44215</v>
      </c>
      <c r="H6962" s="2">
        <f t="shared" ca="1" si="2939"/>
        <v>38</v>
      </c>
      <c r="I6962" t="str">
        <f t="shared" si="2940"/>
        <v>VIX</v>
      </c>
      <c r="J6962">
        <f t="shared" si="2941"/>
        <v>20.74</v>
      </c>
      <c r="K6962">
        <f t="shared" si="2942"/>
        <v>26.07</v>
      </c>
      <c r="L6962">
        <f t="shared" si="2943"/>
        <v>23.405000000000001</v>
      </c>
      <c r="M6962">
        <f t="shared" si="2944"/>
        <v>2.6649999999999956</v>
      </c>
      <c r="N6962">
        <f t="shared" si="2922"/>
        <v>5.3300000000000018</v>
      </c>
      <c r="O6962">
        <f t="shared" si="2945"/>
        <v>24.34</v>
      </c>
      <c r="P6962">
        <f t="shared" si="2946"/>
        <v>0.35084427767354609</v>
      </c>
      <c r="Q6962" t="str">
        <f t="shared" si="2923"/>
        <v>14.79% | 7.11%</v>
      </c>
      <c r="R6962" t="str">
        <f t="shared" si="2947"/>
        <v>BEARISH</v>
      </c>
      <c r="S6962">
        <f t="shared" si="2948"/>
        <v>-1</v>
      </c>
    </row>
    <row r="6963" spans="1:19" hidden="1" x14ac:dyDescent="0.25">
      <c r="A6963" s="5" t="str">
        <f t="shared" si="2936"/>
        <v>44215USD</v>
      </c>
      <c r="B6963" s="6" t="s">
        <v>94</v>
      </c>
      <c r="C6963" s="6">
        <v>89.21</v>
      </c>
      <c r="D6963" s="6">
        <v>90.79</v>
      </c>
      <c r="E6963" s="6">
        <v>90.75</v>
      </c>
      <c r="F6963" t="str">
        <f t="shared" si="2937"/>
        <v>TUE</v>
      </c>
      <c r="G6963" s="1">
        <f t="shared" si="2938"/>
        <v>44215</v>
      </c>
      <c r="H6963" s="2">
        <f t="shared" ca="1" si="2939"/>
        <v>38</v>
      </c>
      <c r="I6963" t="str">
        <f t="shared" si="2940"/>
        <v>USD</v>
      </c>
      <c r="J6963">
        <f t="shared" si="2941"/>
        <v>89.21</v>
      </c>
      <c r="K6963">
        <f t="shared" si="2942"/>
        <v>90.79</v>
      </c>
      <c r="L6963">
        <f t="shared" si="2943"/>
        <v>90</v>
      </c>
      <c r="M6963">
        <f t="shared" si="2944"/>
        <v>0.79000000000000625</v>
      </c>
      <c r="N6963">
        <f t="shared" si="2922"/>
        <v>1.5800000000000125</v>
      </c>
      <c r="O6963">
        <f t="shared" si="2945"/>
        <v>90.75</v>
      </c>
      <c r="P6963">
        <f t="shared" si="2946"/>
        <v>0.94936708860758745</v>
      </c>
      <c r="Q6963" t="str">
        <f t="shared" si="2923"/>
        <v>1.7% | 0.04%</v>
      </c>
      <c r="R6963" t="str">
        <f t="shared" si="2947"/>
        <v>BEARISH</v>
      </c>
      <c r="S6963">
        <f t="shared" si="2948"/>
        <v>-1</v>
      </c>
    </row>
    <row r="6964" spans="1:19" hidden="1" x14ac:dyDescent="0.25">
      <c r="A6964" s="5" t="str">
        <f t="shared" si="2936"/>
        <v>44215EUR/USD</v>
      </c>
      <c r="B6964" s="6" t="s">
        <v>99</v>
      </c>
      <c r="C6964" s="6">
        <v>1.206</v>
      </c>
      <c r="D6964" s="6">
        <v>1.236</v>
      </c>
      <c r="E6964" s="6">
        <v>1.208</v>
      </c>
      <c r="F6964" t="str">
        <f t="shared" si="2937"/>
        <v>TUE</v>
      </c>
      <c r="G6964" s="1">
        <f t="shared" si="2938"/>
        <v>44215</v>
      </c>
      <c r="H6964" s="2">
        <f t="shared" ca="1" si="2939"/>
        <v>38</v>
      </c>
      <c r="I6964" t="str">
        <f t="shared" si="2940"/>
        <v>EUR/USD</v>
      </c>
      <c r="J6964">
        <f t="shared" si="2941"/>
        <v>1.206</v>
      </c>
      <c r="K6964">
        <f t="shared" si="2942"/>
        <v>1.236</v>
      </c>
      <c r="L6964">
        <f t="shared" si="2943"/>
        <v>1.2210000000000001</v>
      </c>
      <c r="M6964">
        <f t="shared" si="2944"/>
        <v>1.5000000000000013E-2</v>
      </c>
      <c r="N6964">
        <f t="shared" si="2922"/>
        <v>3.0000000000000027E-2</v>
      </c>
      <c r="O6964">
        <f t="shared" si="2945"/>
        <v>1.208</v>
      </c>
      <c r="P6964">
        <f t="shared" si="2946"/>
        <v>-0.86666666666667402</v>
      </c>
      <c r="Q6964" t="str">
        <f t="shared" si="2923"/>
        <v>0.17% | 2.32%</v>
      </c>
      <c r="R6964" t="str">
        <f t="shared" si="2947"/>
        <v>BULLISH</v>
      </c>
      <c r="S6964">
        <f t="shared" si="2948"/>
        <v>1</v>
      </c>
    </row>
    <row r="6965" spans="1:19" hidden="1" x14ac:dyDescent="0.25">
      <c r="A6965" s="5" t="str">
        <f t="shared" si="2936"/>
        <v>44215USD/JPY</v>
      </c>
      <c r="B6965" s="6" t="s">
        <v>20</v>
      </c>
      <c r="C6965" s="6">
        <v>102.7</v>
      </c>
      <c r="D6965" s="6">
        <v>104.4</v>
      </c>
      <c r="E6965" s="6">
        <v>103.88</v>
      </c>
      <c r="F6965" t="str">
        <f t="shared" si="2937"/>
        <v>TUE</v>
      </c>
      <c r="G6965" s="1">
        <f t="shared" si="2938"/>
        <v>44215</v>
      </c>
      <c r="H6965" s="2">
        <f t="shared" ca="1" si="2939"/>
        <v>38</v>
      </c>
      <c r="I6965" t="str">
        <f t="shared" si="2940"/>
        <v>USD/JPY</v>
      </c>
      <c r="J6965">
        <f t="shared" si="2941"/>
        <v>102.7</v>
      </c>
      <c r="K6965">
        <f t="shared" si="2942"/>
        <v>104.4</v>
      </c>
      <c r="L6965">
        <f t="shared" si="2943"/>
        <v>103.55000000000001</v>
      </c>
      <c r="M6965">
        <f t="shared" si="2944"/>
        <v>0.85000000000000142</v>
      </c>
      <c r="N6965">
        <f t="shared" si="2922"/>
        <v>1.7000000000000028</v>
      </c>
      <c r="O6965">
        <f t="shared" si="2945"/>
        <v>103.88</v>
      </c>
      <c r="P6965">
        <f t="shared" si="2946"/>
        <v>0.38823529411762769</v>
      </c>
      <c r="Q6965" t="str">
        <f t="shared" si="2923"/>
        <v>1.14% | 0.5%</v>
      </c>
      <c r="R6965" t="str">
        <f t="shared" si="2947"/>
        <v>BEARISH</v>
      </c>
      <c r="S6965">
        <f t="shared" si="2948"/>
        <v>-1</v>
      </c>
    </row>
    <row r="6966" spans="1:19" hidden="1" x14ac:dyDescent="0.25">
      <c r="A6966" s="5" t="str">
        <f t="shared" si="2936"/>
        <v>44215GBP/USD</v>
      </c>
      <c r="B6966" s="6" t="s">
        <v>102</v>
      </c>
      <c r="C6966" s="6">
        <v>1.35</v>
      </c>
      <c r="D6966" s="6">
        <v>1.3720000000000001</v>
      </c>
      <c r="E6966" s="6">
        <v>1.3580000000000001</v>
      </c>
      <c r="F6966" t="str">
        <f t="shared" si="2937"/>
        <v>TUE</v>
      </c>
      <c r="G6966" s="1">
        <f t="shared" si="2938"/>
        <v>44215</v>
      </c>
      <c r="H6966" s="2">
        <f t="shared" ca="1" si="2939"/>
        <v>38</v>
      </c>
      <c r="I6966" t="str">
        <f t="shared" si="2940"/>
        <v>GBP/USD</v>
      </c>
      <c r="J6966">
        <f t="shared" si="2941"/>
        <v>1.35</v>
      </c>
      <c r="K6966">
        <f t="shared" si="2942"/>
        <v>1.3720000000000001</v>
      </c>
      <c r="L6966">
        <f t="shared" si="2943"/>
        <v>1.3610000000000002</v>
      </c>
      <c r="M6966">
        <f t="shared" si="2944"/>
        <v>1.100000000000001E-2</v>
      </c>
      <c r="N6966">
        <f t="shared" si="2922"/>
        <v>2.200000000000002E-2</v>
      </c>
      <c r="O6966">
        <f t="shared" si="2945"/>
        <v>1.3580000000000001</v>
      </c>
      <c r="P6966">
        <f t="shared" si="2946"/>
        <v>-0.27272727272728281</v>
      </c>
      <c r="Q6966" t="str">
        <f t="shared" si="2923"/>
        <v>0.59% | 1.03%</v>
      </c>
      <c r="R6966" t="str">
        <f t="shared" si="2947"/>
        <v>BULLISH</v>
      </c>
      <c r="S6966">
        <f t="shared" si="2948"/>
        <v>1</v>
      </c>
    </row>
    <row r="6967" spans="1:19" hidden="1" x14ac:dyDescent="0.25">
      <c r="A6967" s="5" t="str">
        <f t="shared" si="2936"/>
        <v>44215CAD/USD</v>
      </c>
      <c r="B6967" s="6" t="s">
        <v>244</v>
      </c>
      <c r="C6967" s="6">
        <v>0.78</v>
      </c>
      <c r="D6967" s="6">
        <v>0.8</v>
      </c>
      <c r="E6967" s="6">
        <v>0.78</v>
      </c>
      <c r="F6967" t="str">
        <f t="shared" si="2937"/>
        <v>TUE</v>
      </c>
      <c r="G6967" s="1">
        <f t="shared" si="2938"/>
        <v>44215</v>
      </c>
      <c r="H6967" s="2">
        <f t="shared" ca="1" si="2939"/>
        <v>38</v>
      </c>
      <c r="I6967" t="str">
        <f t="shared" si="2940"/>
        <v>CAD/USD</v>
      </c>
      <c r="J6967">
        <f t="shared" si="2941"/>
        <v>0.78</v>
      </c>
      <c r="K6967">
        <f t="shared" si="2942"/>
        <v>0.8</v>
      </c>
      <c r="L6967">
        <f t="shared" si="2943"/>
        <v>0.79</v>
      </c>
      <c r="M6967">
        <f t="shared" si="2944"/>
        <v>1.0000000000000009E-2</v>
      </c>
      <c r="N6967">
        <f t="shared" si="2922"/>
        <v>2.0000000000000018E-2</v>
      </c>
      <c r="O6967">
        <f t="shared" si="2945"/>
        <v>0.78</v>
      </c>
      <c r="P6967">
        <f t="shared" si="2946"/>
        <v>-1</v>
      </c>
      <c r="Q6967" t="str">
        <f t="shared" si="2923"/>
        <v>0% | 2.56%</v>
      </c>
      <c r="R6967" t="str">
        <f t="shared" si="2947"/>
        <v>BULLISH</v>
      </c>
      <c r="S6967">
        <f t="shared" si="2948"/>
        <v>1</v>
      </c>
    </row>
    <row r="6968" spans="1:19" hidden="1" x14ac:dyDescent="0.25">
      <c r="A6968" s="5" t="str">
        <f t="shared" si="2936"/>
        <v>44215USD/CHF</v>
      </c>
      <c r="B6968" s="6" t="s">
        <v>76</v>
      </c>
      <c r="C6968" s="6">
        <v>0.87</v>
      </c>
      <c r="D6968" s="6">
        <v>0.89</v>
      </c>
      <c r="E6968" s="6">
        <v>0.89</v>
      </c>
      <c r="F6968" t="str">
        <f t="shared" si="2937"/>
        <v>TUE</v>
      </c>
      <c r="G6968" s="1">
        <f t="shared" si="2938"/>
        <v>44215</v>
      </c>
      <c r="H6968" s="2">
        <f t="shared" ca="1" si="2939"/>
        <v>38</v>
      </c>
      <c r="I6968" t="str">
        <f t="shared" si="2940"/>
        <v>USD/CHF</v>
      </c>
      <c r="J6968">
        <f t="shared" si="2941"/>
        <v>0.87</v>
      </c>
      <c r="K6968">
        <f t="shared" si="2942"/>
        <v>0.89</v>
      </c>
      <c r="L6968">
        <f t="shared" si="2943"/>
        <v>0.88</v>
      </c>
      <c r="M6968">
        <f t="shared" si="2944"/>
        <v>1.0000000000000009E-2</v>
      </c>
      <c r="N6968">
        <f t="shared" si="2922"/>
        <v>2.0000000000000018E-2</v>
      </c>
      <c r="O6968">
        <f t="shared" si="2945"/>
        <v>0.89</v>
      </c>
      <c r="P6968">
        <f t="shared" si="2946"/>
        <v>1</v>
      </c>
      <c r="Q6968" t="str">
        <f t="shared" si="2923"/>
        <v>2.25% | 0%</v>
      </c>
      <c r="R6968" t="str">
        <f t="shared" si="2947"/>
        <v>BEARISH</v>
      </c>
      <c r="S6968">
        <f t="shared" si="2948"/>
        <v>-1</v>
      </c>
    </row>
    <row r="6969" spans="1:19" hidden="1" x14ac:dyDescent="0.25">
      <c r="A6969" s="5" t="str">
        <f t="shared" si="2936"/>
        <v>44215WTIC</v>
      </c>
      <c r="B6969" s="6" t="s">
        <v>158</v>
      </c>
      <c r="C6969" s="6">
        <v>49.65</v>
      </c>
      <c r="D6969" s="6">
        <v>54.46</v>
      </c>
      <c r="E6969" s="6">
        <v>52.42</v>
      </c>
      <c r="F6969" t="str">
        <f t="shared" si="2937"/>
        <v>TUE</v>
      </c>
      <c r="G6969" s="1">
        <f t="shared" si="2938"/>
        <v>44215</v>
      </c>
      <c r="H6969" s="2">
        <f t="shared" ca="1" si="2939"/>
        <v>38</v>
      </c>
      <c r="I6969" t="str">
        <f t="shared" si="2940"/>
        <v>WTIC</v>
      </c>
      <c r="J6969">
        <f t="shared" si="2941"/>
        <v>49.65</v>
      </c>
      <c r="K6969">
        <f t="shared" si="2942"/>
        <v>54.46</v>
      </c>
      <c r="L6969">
        <f t="shared" si="2943"/>
        <v>52.055</v>
      </c>
      <c r="M6969">
        <f t="shared" si="2944"/>
        <v>2.4050000000000011</v>
      </c>
      <c r="N6969">
        <f t="shared" si="2922"/>
        <v>4.8100000000000023</v>
      </c>
      <c r="O6969">
        <f t="shared" si="2945"/>
        <v>52.42</v>
      </c>
      <c r="P6969">
        <f t="shared" si="2946"/>
        <v>0.15176715176715252</v>
      </c>
      <c r="Q6969" t="str">
        <f t="shared" si="2923"/>
        <v>5.28% | 3.89%</v>
      </c>
      <c r="R6969" t="str">
        <f t="shared" si="2947"/>
        <v>BULLISH</v>
      </c>
      <c r="S6969">
        <f t="shared" si="2948"/>
        <v>1</v>
      </c>
    </row>
    <row r="6970" spans="1:19" hidden="1" x14ac:dyDescent="0.25">
      <c r="A6970" s="5" t="str">
        <f t="shared" si="2936"/>
        <v>44215NATGAS</v>
      </c>
      <c r="B6970" s="6" t="s">
        <v>89</v>
      </c>
      <c r="C6970" s="6">
        <v>2.54</v>
      </c>
      <c r="D6970" s="6">
        <v>2.81</v>
      </c>
      <c r="E6970" s="6">
        <v>2.74</v>
      </c>
      <c r="F6970" t="str">
        <f t="shared" si="2937"/>
        <v>TUE</v>
      </c>
      <c r="G6970" s="1">
        <f t="shared" si="2938"/>
        <v>44215</v>
      </c>
      <c r="H6970" s="2">
        <f t="shared" ca="1" si="2939"/>
        <v>38</v>
      </c>
      <c r="I6970" t="str">
        <f t="shared" si="2940"/>
        <v>NATGAS</v>
      </c>
      <c r="J6970">
        <f t="shared" si="2941"/>
        <v>2.54</v>
      </c>
      <c r="K6970">
        <f t="shared" si="2942"/>
        <v>2.81</v>
      </c>
      <c r="L6970">
        <f t="shared" si="2943"/>
        <v>2.6749999999999998</v>
      </c>
      <c r="M6970">
        <f t="shared" si="2944"/>
        <v>0.13500000000000001</v>
      </c>
      <c r="N6970">
        <f t="shared" si="2922"/>
        <v>0.27</v>
      </c>
      <c r="O6970">
        <f t="shared" si="2945"/>
        <v>2.74</v>
      </c>
      <c r="P6970">
        <f t="shared" si="2946"/>
        <v>0.48148148148148434</v>
      </c>
      <c r="Q6970" t="str">
        <f t="shared" si="2923"/>
        <v>7.3% | 2.55%</v>
      </c>
      <c r="R6970" t="str">
        <f t="shared" si="2947"/>
        <v>BULLISH</v>
      </c>
      <c r="S6970">
        <f t="shared" si="2948"/>
        <v>1</v>
      </c>
    </row>
    <row r="6971" spans="1:19" hidden="1" x14ac:dyDescent="0.25">
      <c r="A6971" s="5" t="str">
        <f t="shared" si="2936"/>
        <v>44215GOLD</v>
      </c>
      <c r="B6971" s="6" t="s">
        <v>85</v>
      </c>
      <c r="C6971" s="6">
        <v>1789</v>
      </c>
      <c r="D6971" s="6">
        <v>1877</v>
      </c>
      <c r="E6971" s="6">
        <v>1829</v>
      </c>
      <c r="F6971" t="str">
        <f t="shared" si="2937"/>
        <v>TUE</v>
      </c>
      <c r="G6971" s="1">
        <f t="shared" si="2938"/>
        <v>44215</v>
      </c>
      <c r="H6971" s="2">
        <f t="shared" ca="1" si="2939"/>
        <v>38</v>
      </c>
      <c r="I6971" t="str">
        <f t="shared" si="2940"/>
        <v>GOLD</v>
      </c>
      <c r="J6971">
        <f t="shared" si="2941"/>
        <v>1789</v>
      </c>
      <c r="K6971">
        <f t="shared" si="2942"/>
        <v>1877</v>
      </c>
      <c r="L6971">
        <f t="shared" si="2943"/>
        <v>1833</v>
      </c>
      <c r="M6971">
        <f t="shared" si="2944"/>
        <v>44</v>
      </c>
      <c r="N6971">
        <f t="shared" si="2922"/>
        <v>88</v>
      </c>
      <c r="O6971">
        <f t="shared" si="2945"/>
        <v>1829</v>
      </c>
      <c r="P6971">
        <f t="shared" si="2946"/>
        <v>-9.0909090909090912E-2</v>
      </c>
      <c r="Q6971" t="str">
        <f t="shared" si="2923"/>
        <v>2.19% | 2.62%</v>
      </c>
      <c r="R6971" t="str">
        <f t="shared" si="2947"/>
        <v>BEARISH</v>
      </c>
      <c r="S6971">
        <f t="shared" si="2948"/>
        <v>-1</v>
      </c>
    </row>
    <row r="6972" spans="1:19" hidden="1" x14ac:dyDescent="0.25">
      <c r="A6972" s="5" t="str">
        <f t="shared" si="2936"/>
        <v>44215COPPER</v>
      </c>
      <c r="B6972" s="6" t="s">
        <v>100</v>
      </c>
      <c r="C6972" s="6">
        <v>3.56</v>
      </c>
      <c r="D6972" s="6">
        <v>3.72</v>
      </c>
      <c r="E6972" s="6">
        <v>3.6</v>
      </c>
      <c r="F6972" t="str">
        <f t="shared" si="2937"/>
        <v>TUE</v>
      </c>
      <c r="G6972" s="1">
        <f t="shared" si="2938"/>
        <v>44215</v>
      </c>
      <c r="H6972" s="2">
        <f t="shared" ca="1" si="2939"/>
        <v>38</v>
      </c>
      <c r="I6972" t="str">
        <f t="shared" si="2940"/>
        <v>COPPER</v>
      </c>
      <c r="J6972">
        <f t="shared" si="2941"/>
        <v>3.56</v>
      </c>
      <c r="K6972">
        <f t="shared" si="2942"/>
        <v>3.72</v>
      </c>
      <c r="L6972">
        <f t="shared" si="2943"/>
        <v>3.64</v>
      </c>
      <c r="M6972">
        <f t="shared" si="2944"/>
        <v>8.0000000000000071E-2</v>
      </c>
      <c r="N6972">
        <f t="shared" si="2922"/>
        <v>0.16000000000000014</v>
      </c>
      <c r="O6972">
        <f t="shared" si="2945"/>
        <v>3.6</v>
      </c>
      <c r="P6972">
        <f t="shared" si="2946"/>
        <v>-0.5</v>
      </c>
      <c r="Q6972" t="str">
        <f t="shared" si="2923"/>
        <v>1.11% | 3.33%</v>
      </c>
      <c r="R6972" t="str">
        <f t="shared" si="2947"/>
        <v>BULLISH</v>
      </c>
      <c r="S6972">
        <f t="shared" si="2948"/>
        <v>1</v>
      </c>
    </row>
    <row r="6973" spans="1:19" hidden="1" x14ac:dyDescent="0.25">
      <c r="A6973" s="5" t="str">
        <f t="shared" si="2936"/>
        <v>44215MSFT</v>
      </c>
      <c r="B6973" s="6" t="s">
        <v>27</v>
      </c>
      <c r="C6973" s="6">
        <v>210</v>
      </c>
      <c r="D6973" s="6">
        <v>221</v>
      </c>
      <c r="E6973" s="6">
        <v>212</v>
      </c>
      <c r="F6973" t="str">
        <f t="shared" si="2937"/>
        <v>TUE</v>
      </c>
      <c r="G6973" s="1">
        <f t="shared" si="2938"/>
        <v>44215</v>
      </c>
      <c r="H6973" s="2">
        <f t="shared" ca="1" si="2939"/>
        <v>38</v>
      </c>
      <c r="I6973" t="str">
        <f t="shared" si="2940"/>
        <v>MSFT</v>
      </c>
      <c r="J6973">
        <f t="shared" si="2941"/>
        <v>210</v>
      </c>
      <c r="K6973">
        <f t="shared" si="2942"/>
        <v>221</v>
      </c>
      <c r="L6973">
        <f t="shared" si="2943"/>
        <v>215.5</v>
      </c>
      <c r="M6973">
        <f t="shared" si="2944"/>
        <v>5.5</v>
      </c>
      <c r="N6973">
        <f t="shared" si="2922"/>
        <v>11</v>
      </c>
      <c r="O6973">
        <f t="shared" si="2945"/>
        <v>212</v>
      </c>
      <c r="P6973">
        <f t="shared" si="2946"/>
        <v>-0.63636363636363635</v>
      </c>
      <c r="Q6973" t="str">
        <f t="shared" si="2923"/>
        <v>0.94% | 4.25%</v>
      </c>
      <c r="R6973" t="str">
        <f t="shared" si="2947"/>
        <v>BULLISH</v>
      </c>
      <c r="S6973">
        <f t="shared" si="2948"/>
        <v>1</v>
      </c>
    </row>
    <row r="6974" spans="1:19" hidden="1" x14ac:dyDescent="0.25">
      <c r="A6974" s="5" t="str">
        <f t="shared" si="2936"/>
        <v>44215AAPL</v>
      </c>
      <c r="B6974" s="6" t="s">
        <v>28</v>
      </c>
      <c r="C6974" s="6">
        <v>126</v>
      </c>
      <c r="D6974" s="6">
        <v>134</v>
      </c>
      <c r="E6974" s="6">
        <v>127</v>
      </c>
      <c r="F6974" t="str">
        <f t="shared" si="2937"/>
        <v>TUE</v>
      </c>
      <c r="G6974" s="1">
        <f t="shared" si="2938"/>
        <v>44215</v>
      </c>
      <c r="H6974" s="2">
        <f t="shared" ca="1" si="2939"/>
        <v>38</v>
      </c>
      <c r="I6974" t="str">
        <f t="shared" si="2940"/>
        <v>AAPL</v>
      </c>
      <c r="J6974">
        <f t="shared" si="2941"/>
        <v>126</v>
      </c>
      <c r="K6974">
        <f t="shared" si="2942"/>
        <v>134</v>
      </c>
      <c r="L6974">
        <f t="shared" si="2943"/>
        <v>130</v>
      </c>
      <c r="M6974">
        <f t="shared" si="2944"/>
        <v>4</v>
      </c>
      <c r="N6974">
        <f t="shared" si="2922"/>
        <v>8</v>
      </c>
      <c r="O6974">
        <f t="shared" si="2945"/>
        <v>127</v>
      </c>
      <c r="P6974">
        <f t="shared" si="2946"/>
        <v>-0.75</v>
      </c>
      <c r="Q6974" t="str">
        <f t="shared" si="2923"/>
        <v>0.79% | 5.51%</v>
      </c>
      <c r="R6974" t="str">
        <f t="shared" si="2947"/>
        <v>BULLISH</v>
      </c>
      <c r="S6974">
        <f t="shared" si="2948"/>
        <v>1</v>
      </c>
    </row>
    <row r="6975" spans="1:19" hidden="1" x14ac:dyDescent="0.25">
      <c r="A6975" s="5" t="str">
        <f t="shared" si="2936"/>
        <v>44215AMZN</v>
      </c>
      <c r="B6975" s="6" t="s">
        <v>69</v>
      </c>
      <c r="C6975" s="6">
        <v>3068</v>
      </c>
      <c r="D6975" s="6">
        <v>3175</v>
      </c>
      <c r="E6975" s="6">
        <v>3104</v>
      </c>
      <c r="F6975" t="str">
        <f t="shared" si="2937"/>
        <v>TUE</v>
      </c>
      <c r="G6975" s="1">
        <f t="shared" si="2938"/>
        <v>44215</v>
      </c>
      <c r="H6975" s="2">
        <f t="shared" ca="1" si="2939"/>
        <v>38</v>
      </c>
      <c r="I6975" t="str">
        <f t="shared" si="2940"/>
        <v>AMZN</v>
      </c>
      <c r="J6975">
        <f t="shared" si="2941"/>
        <v>3068</v>
      </c>
      <c r="K6975">
        <f t="shared" si="2942"/>
        <v>3175</v>
      </c>
      <c r="L6975">
        <f t="shared" si="2943"/>
        <v>3121.5</v>
      </c>
      <c r="M6975">
        <f t="shared" si="2944"/>
        <v>53.5</v>
      </c>
      <c r="N6975">
        <f t="shared" si="2922"/>
        <v>107</v>
      </c>
      <c r="O6975">
        <f t="shared" si="2945"/>
        <v>3104</v>
      </c>
      <c r="P6975">
        <f t="shared" si="2946"/>
        <v>-0.32710280373831774</v>
      </c>
      <c r="Q6975" t="str">
        <f t="shared" si="2923"/>
        <v>1.16% | 2.29%</v>
      </c>
      <c r="R6975" t="str">
        <f t="shared" si="2947"/>
        <v>NEUTRAL</v>
      </c>
      <c r="S6975">
        <f t="shared" si="2948"/>
        <v>0</v>
      </c>
    </row>
    <row r="6976" spans="1:19" hidden="1" x14ac:dyDescent="0.25">
      <c r="A6976" s="5" t="str">
        <f t="shared" si="2936"/>
        <v>44215FB</v>
      </c>
      <c r="B6976" s="6" t="s">
        <v>58</v>
      </c>
      <c r="C6976" s="6">
        <v>239</v>
      </c>
      <c r="D6976" s="6">
        <v>260</v>
      </c>
      <c r="E6976" s="6">
        <v>251</v>
      </c>
      <c r="F6976" t="str">
        <f t="shared" si="2937"/>
        <v>TUE</v>
      </c>
      <c r="G6976" s="1">
        <f t="shared" si="2938"/>
        <v>44215</v>
      </c>
      <c r="H6976" s="2">
        <f t="shared" ca="1" si="2939"/>
        <v>38</v>
      </c>
      <c r="I6976" t="str">
        <f t="shared" si="2940"/>
        <v>FB</v>
      </c>
      <c r="J6976">
        <f t="shared" si="2941"/>
        <v>239</v>
      </c>
      <c r="K6976">
        <f t="shared" si="2942"/>
        <v>260</v>
      </c>
      <c r="L6976">
        <f t="shared" si="2943"/>
        <v>249.5</v>
      </c>
      <c r="M6976">
        <f t="shared" si="2944"/>
        <v>10.5</v>
      </c>
      <c r="N6976">
        <f t="shared" si="2922"/>
        <v>21</v>
      </c>
      <c r="O6976">
        <f t="shared" si="2945"/>
        <v>251</v>
      </c>
      <c r="P6976">
        <f t="shared" si="2946"/>
        <v>0.14285714285714285</v>
      </c>
      <c r="Q6976" t="str">
        <f t="shared" si="2923"/>
        <v>4.78% | 3.59%</v>
      </c>
      <c r="R6976" t="str">
        <f t="shared" si="2947"/>
        <v>BEARISH</v>
      </c>
      <c r="S6976">
        <f t="shared" si="2948"/>
        <v>-1</v>
      </c>
    </row>
    <row r="6977" spans="1:19" hidden="1" x14ac:dyDescent="0.25">
      <c r="A6977" s="5" t="str">
        <f t="shared" si="2936"/>
        <v>44215GOOGL</v>
      </c>
      <c r="B6977" s="6" t="s">
        <v>31</v>
      </c>
      <c r="C6977" s="6">
        <v>1700</v>
      </c>
      <c r="D6977" s="6">
        <v>1795</v>
      </c>
      <c r="E6977" s="6">
        <v>1727</v>
      </c>
      <c r="F6977" t="str">
        <f t="shared" si="2937"/>
        <v>TUE</v>
      </c>
      <c r="G6977" s="1">
        <f t="shared" si="2938"/>
        <v>44215</v>
      </c>
      <c r="H6977" s="2">
        <f t="shared" ca="1" si="2939"/>
        <v>38</v>
      </c>
      <c r="I6977" t="str">
        <f t="shared" si="2940"/>
        <v>GOOGL</v>
      </c>
      <c r="J6977">
        <f t="shared" si="2941"/>
        <v>1700</v>
      </c>
      <c r="K6977">
        <f t="shared" si="2942"/>
        <v>1795</v>
      </c>
      <c r="L6977">
        <f t="shared" si="2943"/>
        <v>1747.5</v>
      </c>
      <c r="M6977">
        <f t="shared" si="2944"/>
        <v>47.5</v>
      </c>
      <c r="N6977">
        <f t="shared" si="2922"/>
        <v>95</v>
      </c>
      <c r="O6977">
        <f t="shared" si="2945"/>
        <v>1727</v>
      </c>
      <c r="P6977">
        <f t="shared" si="2946"/>
        <v>-0.43157894736842106</v>
      </c>
      <c r="Q6977" t="str">
        <f t="shared" si="2923"/>
        <v>1.56% | 3.94%</v>
      </c>
      <c r="R6977" t="str">
        <f t="shared" si="2947"/>
        <v>BULLISH</v>
      </c>
      <c r="S6977">
        <f t="shared" si="2948"/>
        <v>1</v>
      </c>
    </row>
    <row r="6978" spans="1:19" hidden="1" x14ac:dyDescent="0.25">
      <c r="A6978" s="5" t="str">
        <f t="shared" si="2936"/>
        <v>44215NFLX</v>
      </c>
      <c r="B6978" s="6" t="s">
        <v>81</v>
      </c>
      <c r="C6978" s="6">
        <v>485</v>
      </c>
      <c r="D6978" s="6">
        <v>521</v>
      </c>
      <c r="E6978" s="6">
        <v>497</v>
      </c>
      <c r="F6978" t="str">
        <f t="shared" si="2937"/>
        <v>TUE</v>
      </c>
      <c r="G6978" s="1">
        <f t="shared" si="2938"/>
        <v>44215</v>
      </c>
      <c r="H6978" s="2">
        <f t="shared" ca="1" si="2939"/>
        <v>38</v>
      </c>
      <c r="I6978" t="str">
        <f t="shared" si="2940"/>
        <v>NFLX</v>
      </c>
      <c r="J6978">
        <f t="shared" si="2941"/>
        <v>485</v>
      </c>
      <c r="K6978">
        <f t="shared" si="2942"/>
        <v>521</v>
      </c>
      <c r="L6978">
        <f t="shared" si="2943"/>
        <v>503</v>
      </c>
      <c r="M6978">
        <f t="shared" si="2944"/>
        <v>18</v>
      </c>
      <c r="N6978">
        <f t="shared" si="2922"/>
        <v>36</v>
      </c>
      <c r="O6978">
        <f t="shared" si="2945"/>
        <v>497</v>
      </c>
      <c r="P6978">
        <f t="shared" si="2946"/>
        <v>-0.33333333333333331</v>
      </c>
      <c r="Q6978" t="str">
        <f t="shared" si="2923"/>
        <v>2.41% | 4.83%</v>
      </c>
      <c r="R6978" t="str">
        <f t="shared" si="2947"/>
        <v>BEARISH</v>
      </c>
      <c r="S6978">
        <f t="shared" si="2948"/>
        <v>-1</v>
      </c>
    </row>
    <row r="6979" spans="1:19" x14ac:dyDescent="0.25">
      <c r="A6979" s="5" t="str">
        <f t="shared" si="2936"/>
        <v>44215TSLA</v>
      </c>
      <c r="B6979" s="6" t="s">
        <v>33</v>
      </c>
      <c r="C6979" s="6">
        <v>741</v>
      </c>
      <c r="D6979" s="6">
        <v>910</v>
      </c>
      <c r="E6979" s="6">
        <v>826</v>
      </c>
      <c r="F6979" t="str">
        <f t="shared" si="2937"/>
        <v>TUE</v>
      </c>
      <c r="G6979" s="1">
        <f t="shared" si="2938"/>
        <v>44215</v>
      </c>
      <c r="H6979" s="2">
        <f t="shared" ca="1" si="2939"/>
        <v>38</v>
      </c>
      <c r="I6979" t="str">
        <f t="shared" si="2940"/>
        <v>TSLA</v>
      </c>
      <c r="J6979">
        <f t="shared" si="2941"/>
        <v>741</v>
      </c>
      <c r="K6979">
        <f t="shared" si="2942"/>
        <v>910</v>
      </c>
      <c r="L6979">
        <f t="shared" si="2943"/>
        <v>825.5</v>
      </c>
      <c r="M6979">
        <f t="shared" si="2944"/>
        <v>84.5</v>
      </c>
      <c r="N6979">
        <f t="shared" ref="N6979:N7042" si="2949">ABS(K6979-J6979)</f>
        <v>169</v>
      </c>
      <c r="O6979">
        <f t="shared" si="2945"/>
        <v>826</v>
      </c>
      <c r="P6979">
        <f t="shared" si="2946"/>
        <v>5.9171597633136093E-3</v>
      </c>
      <c r="Q6979" t="str">
        <f t="shared" ref="Q6979:Q7042" si="2950">ROUND(ABS(100*(O6979-J6979)/O6979),2)&amp;"% | "&amp;ROUND(ABS(100*(K6979-O6979)/O6979),2)&amp;"%"</f>
        <v>10.29% | 10.17%</v>
      </c>
      <c r="R6979" t="str">
        <f t="shared" si="2947"/>
        <v>BULLISH</v>
      </c>
      <c r="S6979">
        <f t="shared" si="2948"/>
        <v>1</v>
      </c>
    </row>
    <row r="6980" spans="1:19" hidden="1" x14ac:dyDescent="0.25">
      <c r="A6980" s="5" t="str">
        <f t="shared" si="2936"/>
        <v>44215NYXBT</v>
      </c>
      <c r="B6980" s="6" t="s">
        <v>60</v>
      </c>
      <c r="C6980" s="6">
        <v>34044</v>
      </c>
      <c r="D6980" s="6">
        <v>40995</v>
      </c>
      <c r="E6980" s="6">
        <v>35910</v>
      </c>
      <c r="F6980" t="str">
        <f t="shared" si="2937"/>
        <v>TUE</v>
      </c>
      <c r="G6980" s="1">
        <f t="shared" si="2938"/>
        <v>44215</v>
      </c>
      <c r="H6980" s="2">
        <f t="shared" ca="1" si="2939"/>
        <v>38</v>
      </c>
      <c r="I6980" t="str">
        <f t="shared" si="2940"/>
        <v>NYXBT</v>
      </c>
      <c r="J6980">
        <f t="shared" si="2941"/>
        <v>34044</v>
      </c>
      <c r="K6980">
        <f t="shared" si="2942"/>
        <v>40995</v>
      </c>
      <c r="L6980">
        <f t="shared" si="2943"/>
        <v>37519.5</v>
      </c>
      <c r="M6980">
        <f t="shared" si="2944"/>
        <v>3475.5</v>
      </c>
      <c r="N6980">
        <f t="shared" si="2949"/>
        <v>6951</v>
      </c>
      <c r="O6980">
        <f t="shared" si="2945"/>
        <v>35910</v>
      </c>
      <c r="P6980">
        <f t="shared" si="2946"/>
        <v>-0.46309883470004315</v>
      </c>
      <c r="Q6980" t="str">
        <f t="shared" si="2950"/>
        <v>5.2% | 14.16%</v>
      </c>
      <c r="R6980" t="str">
        <f t="shared" si="2947"/>
        <v>BULLISH</v>
      </c>
      <c r="S6980">
        <f t="shared" si="2948"/>
        <v>1</v>
      </c>
    </row>
    <row r="6981" spans="1:19" hidden="1" x14ac:dyDescent="0.25">
      <c r="A6981" s="5" t="str">
        <f t="shared" si="2936"/>
        <v>44216UST10Y</v>
      </c>
      <c r="B6981" s="6" t="s">
        <v>257</v>
      </c>
      <c r="C6981" s="6">
        <v>1.2</v>
      </c>
      <c r="D6981" s="6">
        <v>1.02</v>
      </c>
      <c r="E6981" s="6">
        <v>1.1000000000000001</v>
      </c>
      <c r="F6981" t="str">
        <f t="shared" si="2937"/>
        <v>WED</v>
      </c>
      <c r="G6981" s="3">
        <f>DATE(2021,1,20)</f>
        <v>44216</v>
      </c>
      <c r="H6981" s="2">
        <f t="shared" ca="1" si="2939"/>
        <v>37</v>
      </c>
      <c r="I6981" t="str">
        <f t="shared" si="2940"/>
        <v>UST10Y</v>
      </c>
      <c r="J6981">
        <f t="shared" si="2941"/>
        <v>1.2</v>
      </c>
      <c r="K6981">
        <f t="shared" si="2942"/>
        <v>1.02</v>
      </c>
      <c r="L6981">
        <f t="shared" si="2943"/>
        <v>1.1099999999999999</v>
      </c>
      <c r="M6981">
        <f t="shared" si="2944"/>
        <v>8.9999999999999983E-2</v>
      </c>
      <c r="N6981">
        <f t="shared" si="2949"/>
        <v>0.17999999999999994</v>
      </c>
      <c r="O6981">
        <f t="shared" si="2945"/>
        <v>1.1000000000000001</v>
      </c>
      <c r="P6981">
        <f t="shared" si="2946"/>
        <v>-0.11111111111110876</v>
      </c>
      <c r="Q6981" t="str">
        <f t="shared" si="2950"/>
        <v>9.09% | 7.27%</v>
      </c>
      <c r="R6981" t="str">
        <f t="shared" si="2947"/>
        <v>BULLISH</v>
      </c>
      <c r="S6981">
        <f t="shared" si="2948"/>
        <v>1</v>
      </c>
    </row>
    <row r="6982" spans="1:19" hidden="1" x14ac:dyDescent="0.25">
      <c r="A6982" s="5" t="str">
        <f t="shared" si="2936"/>
        <v>44216UST2Y</v>
      </c>
      <c r="B6982" s="6" t="s">
        <v>259</v>
      </c>
      <c r="C6982" s="6">
        <v>0.16</v>
      </c>
      <c r="D6982" s="6">
        <v>0.12</v>
      </c>
      <c r="E6982" s="6">
        <v>0.14000000000000001</v>
      </c>
      <c r="F6982" t="str">
        <f t="shared" ref="F6982:F7013" si="2951">UPPER(TEXT(G6982,"ddd"))</f>
        <v>WED</v>
      </c>
      <c r="G6982" s="3">
        <f t="shared" ref="G6982:G7012" si="2952">DATE(2021,1,20)</f>
        <v>44216</v>
      </c>
      <c r="H6982" s="2">
        <f t="shared" ref="H6982:H7013" ca="1" si="2953">TODAY()-G6982</f>
        <v>37</v>
      </c>
      <c r="I6982" t="str">
        <f t="shared" ref="I6982:I7013" si="2954">TRIM(LEFT(B6982,FIND(" ",B6982,1)))</f>
        <v>UST2Y</v>
      </c>
      <c r="J6982">
        <f t="shared" ref="J6982:J7013" si="2955">C6982</f>
        <v>0.16</v>
      </c>
      <c r="K6982">
        <f t="shared" ref="K6982:K7013" si="2956">D6982</f>
        <v>0.12</v>
      </c>
      <c r="L6982">
        <f t="shared" ref="L6982:L7013" si="2957">AVERAGE(J6982:K6982)</f>
        <v>0.14000000000000001</v>
      </c>
      <c r="M6982">
        <f t="shared" ref="M6982:M7013" si="2958">_xlfn.STDEV.P(J6982:K6982)</f>
        <v>1.9999999999999938E-2</v>
      </c>
      <c r="N6982">
        <f t="shared" si="2949"/>
        <v>4.0000000000000008E-2</v>
      </c>
      <c r="O6982">
        <f t="shared" ref="O6982:O7013" si="2959">E6982</f>
        <v>0.14000000000000001</v>
      </c>
      <c r="P6982">
        <f t="shared" ref="P6982:P7013" si="2960">(O6982-L6982)/M6982</f>
        <v>0</v>
      </c>
      <c r="Q6982" t="str">
        <f t="shared" si="2950"/>
        <v>14.29% | 14.29%</v>
      </c>
      <c r="R6982" t="str">
        <f t="shared" ref="R6982:R7013" si="2961">MID(B6982,FIND("(",B6982,1)+1,FIND(")",B6982,1)-FIND("(",B6982,1)-1)</f>
        <v>BULLISH</v>
      </c>
      <c r="S6982">
        <f t="shared" ref="S6982:S7013" si="2962">IF(R6982="BEARISH",-1,IF(R6982="NEUTRAL",0,IF(R6982="BULLISH",1,99)))</f>
        <v>1</v>
      </c>
    </row>
    <row r="6983" spans="1:19" hidden="1" x14ac:dyDescent="0.25">
      <c r="A6983" s="5" t="str">
        <f t="shared" si="2936"/>
        <v>44216SPX</v>
      </c>
      <c r="B6983" s="6" t="s">
        <v>93</v>
      </c>
      <c r="C6983" s="6">
        <v>3735</v>
      </c>
      <c r="D6983" s="6">
        <v>3847</v>
      </c>
      <c r="E6983" s="6">
        <v>3798</v>
      </c>
      <c r="F6983" t="str">
        <f t="shared" si="2951"/>
        <v>WED</v>
      </c>
      <c r="G6983" s="3">
        <f t="shared" si="2952"/>
        <v>44216</v>
      </c>
      <c r="H6983" s="2">
        <f t="shared" ca="1" si="2953"/>
        <v>37</v>
      </c>
      <c r="I6983" t="str">
        <f t="shared" si="2954"/>
        <v>SPX</v>
      </c>
      <c r="J6983">
        <f t="shared" si="2955"/>
        <v>3735</v>
      </c>
      <c r="K6983">
        <f t="shared" si="2956"/>
        <v>3847</v>
      </c>
      <c r="L6983">
        <f t="shared" si="2957"/>
        <v>3791</v>
      </c>
      <c r="M6983">
        <f t="shared" si="2958"/>
        <v>56</v>
      </c>
      <c r="N6983">
        <f t="shared" si="2949"/>
        <v>112</v>
      </c>
      <c r="O6983">
        <f t="shared" si="2959"/>
        <v>3798</v>
      </c>
      <c r="P6983">
        <f t="shared" si="2960"/>
        <v>0.125</v>
      </c>
      <c r="Q6983" t="str">
        <f t="shared" si="2950"/>
        <v>1.66% | 1.29%</v>
      </c>
      <c r="R6983" t="str">
        <f t="shared" si="2961"/>
        <v>BULLISH</v>
      </c>
      <c r="S6983">
        <f t="shared" si="2962"/>
        <v>1</v>
      </c>
    </row>
    <row r="6984" spans="1:19" hidden="1" x14ac:dyDescent="0.25">
      <c r="A6984" s="5" t="str">
        <f t="shared" ref="A6984:A7047" si="2963">G6984&amp;I6984</f>
        <v>44216RUT</v>
      </c>
      <c r="B6984" s="6" t="s">
        <v>247</v>
      </c>
      <c r="C6984" s="6">
        <v>2061</v>
      </c>
      <c r="D6984" s="6">
        <v>2174</v>
      </c>
      <c r="E6984" s="6">
        <v>2151</v>
      </c>
      <c r="F6984" t="str">
        <f t="shared" si="2951"/>
        <v>WED</v>
      </c>
      <c r="G6984" s="3">
        <f t="shared" si="2952"/>
        <v>44216</v>
      </c>
      <c r="H6984" s="2">
        <f t="shared" ca="1" si="2953"/>
        <v>37</v>
      </c>
      <c r="I6984" t="str">
        <f t="shared" si="2954"/>
        <v>RUT</v>
      </c>
      <c r="J6984">
        <f t="shared" si="2955"/>
        <v>2061</v>
      </c>
      <c r="K6984">
        <f t="shared" si="2956"/>
        <v>2174</v>
      </c>
      <c r="L6984">
        <f t="shared" si="2957"/>
        <v>2117.5</v>
      </c>
      <c r="M6984">
        <f t="shared" si="2958"/>
        <v>56.5</v>
      </c>
      <c r="N6984">
        <f t="shared" si="2949"/>
        <v>113</v>
      </c>
      <c r="O6984">
        <f t="shared" si="2959"/>
        <v>2151</v>
      </c>
      <c r="P6984">
        <f t="shared" si="2960"/>
        <v>0.59292035398230092</v>
      </c>
      <c r="Q6984" t="str">
        <f t="shared" si="2950"/>
        <v>4.18% | 1.07%</v>
      </c>
      <c r="R6984" t="str">
        <f t="shared" si="2961"/>
        <v>BULLISH</v>
      </c>
      <c r="S6984">
        <f t="shared" si="2962"/>
        <v>1</v>
      </c>
    </row>
    <row r="6985" spans="1:19" hidden="1" x14ac:dyDescent="0.25">
      <c r="A6985" s="5" t="str">
        <f t="shared" si="2963"/>
        <v>44216COMPQ</v>
      </c>
      <c r="B6985" s="6" t="s">
        <v>8</v>
      </c>
      <c r="C6985" s="6">
        <v>12802</v>
      </c>
      <c r="D6985" s="6">
        <v>13332</v>
      </c>
      <c r="E6985" s="6">
        <v>13197</v>
      </c>
      <c r="F6985" t="str">
        <f t="shared" si="2951"/>
        <v>WED</v>
      </c>
      <c r="G6985" s="3">
        <f t="shared" si="2952"/>
        <v>44216</v>
      </c>
      <c r="H6985" s="2">
        <f t="shared" ca="1" si="2953"/>
        <v>37</v>
      </c>
      <c r="I6985" t="str">
        <f t="shared" si="2954"/>
        <v>COMPQ</v>
      </c>
      <c r="J6985">
        <f t="shared" si="2955"/>
        <v>12802</v>
      </c>
      <c r="K6985">
        <f t="shared" si="2956"/>
        <v>13332</v>
      </c>
      <c r="L6985">
        <f t="shared" si="2957"/>
        <v>13067</v>
      </c>
      <c r="M6985">
        <f t="shared" si="2958"/>
        <v>265</v>
      </c>
      <c r="N6985">
        <f t="shared" si="2949"/>
        <v>530</v>
      </c>
      <c r="O6985">
        <f t="shared" si="2959"/>
        <v>13197</v>
      </c>
      <c r="P6985">
        <f t="shared" si="2960"/>
        <v>0.49056603773584906</v>
      </c>
      <c r="Q6985" t="str">
        <f t="shared" si="2950"/>
        <v>2.99% | 1.02%</v>
      </c>
      <c r="R6985" t="str">
        <f t="shared" si="2961"/>
        <v>BULLISH</v>
      </c>
      <c r="S6985">
        <f t="shared" si="2962"/>
        <v>1</v>
      </c>
    </row>
    <row r="6986" spans="1:19" hidden="1" x14ac:dyDescent="0.25">
      <c r="A6986" s="5" t="str">
        <f t="shared" si="2963"/>
        <v>44216XLK</v>
      </c>
      <c r="B6986" s="6" t="s">
        <v>10</v>
      </c>
      <c r="C6986" s="6">
        <v>126.46</v>
      </c>
      <c r="D6986" s="6">
        <v>131.58000000000001</v>
      </c>
      <c r="E6986" s="6">
        <v>129.08000000000001</v>
      </c>
      <c r="F6986" t="str">
        <f t="shared" si="2951"/>
        <v>WED</v>
      </c>
      <c r="G6986" s="3">
        <f t="shared" si="2952"/>
        <v>44216</v>
      </c>
      <c r="H6986" s="2">
        <f t="shared" ca="1" si="2953"/>
        <v>37</v>
      </c>
      <c r="I6986" t="str">
        <f t="shared" si="2954"/>
        <v>XLK</v>
      </c>
      <c r="J6986">
        <f t="shared" si="2955"/>
        <v>126.46</v>
      </c>
      <c r="K6986">
        <f t="shared" si="2956"/>
        <v>131.58000000000001</v>
      </c>
      <c r="L6986">
        <f t="shared" si="2957"/>
        <v>129.02000000000001</v>
      </c>
      <c r="M6986">
        <f t="shared" si="2958"/>
        <v>2.5600000000000094</v>
      </c>
      <c r="N6986">
        <f t="shared" si="2949"/>
        <v>5.1200000000000188</v>
      </c>
      <c r="O6986">
        <f t="shared" si="2959"/>
        <v>129.08000000000001</v>
      </c>
      <c r="P6986">
        <f t="shared" si="2960"/>
        <v>2.3437500000000801E-2</v>
      </c>
      <c r="Q6986" t="str">
        <f t="shared" si="2950"/>
        <v>2.03% | 1.94%</v>
      </c>
      <c r="R6986" t="str">
        <f t="shared" si="2961"/>
        <v>BULLISH</v>
      </c>
      <c r="S6986">
        <f t="shared" si="2962"/>
        <v>1</v>
      </c>
    </row>
    <row r="6987" spans="1:19" hidden="1" x14ac:dyDescent="0.25">
      <c r="A6987" s="5" t="str">
        <f t="shared" si="2963"/>
        <v>44216XLE</v>
      </c>
      <c r="B6987" s="6" t="s">
        <v>250</v>
      </c>
      <c r="C6987" s="6">
        <v>40.25</v>
      </c>
      <c r="D6987" s="6">
        <v>45.13</v>
      </c>
      <c r="E6987" s="6">
        <v>43.61</v>
      </c>
      <c r="F6987" t="str">
        <f t="shared" si="2951"/>
        <v>WED</v>
      </c>
      <c r="G6987" s="3">
        <f t="shared" si="2952"/>
        <v>44216</v>
      </c>
      <c r="H6987" s="2">
        <f t="shared" ca="1" si="2953"/>
        <v>37</v>
      </c>
      <c r="I6987" t="str">
        <f t="shared" si="2954"/>
        <v>XLE</v>
      </c>
      <c r="J6987">
        <f t="shared" si="2955"/>
        <v>40.25</v>
      </c>
      <c r="K6987">
        <f t="shared" si="2956"/>
        <v>45.13</v>
      </c>
      <c r="L6987">
        <f t="shared" si="2957"/>
        <v>42.69</v>
      </c>
      <c r="M6987">
        <f t="shared" si="2958"/>
        <v>2.4400000000000013</v>
      </c>
      <c r="N6987">
        <f t="shared" si="2949"/>
        <v>4.8800000000000026</v>
      </c>
      <c r="O6987">
        <f t="shared" si="2959"/>
        <v>43.61</v>
      </c>
      <c r="P6987">
        <f t="shared" si="2960"/>
        <v>0.37704918032786933</v>
      </c>
      <c r="Q6987" t="str">
        <f t="shared" si="2950"/>
        <v>7.7% | 3.49%</v>
      </c>
      <c r="R6987" t="str">
        <f t="shared" si="2961"/>
        <v>BULLISH</v>
      </c>
      <c r="S6987">
        <f t="shared" si="2962"/>
        <v>1</v>
      </c>
    </row>
    <row r="6988" spans="1:19" hidden="1" x14ac:dyDescent="0.25">
      <c r="A6988" s="5" t="str">
        <f t="shared" si="2963"/>
        <v>44216XLF</v>
      </c>
      <c r="B6988" s="6" t="s">
        <v>258</v>
      </c>
      <c r="C6988" s="6">
        <v>29.92</v>
      </c>
      <c r="D6988" s="6">
        <v>32.020000000000003</v>
      </c>
      <c r="E6988" s="6">
        <v>31.02</v>
      </c>
      <c r="F6988" t="str">
        <f t="shared" si="2951"/>
        <v>WED</v>
      </c>
      <c r="G6988" s="3">
        <f t="shared" si="2952"/>
        <v>44216</v>
      </c>
      <c r="H6988" s="2">
        <f t="shared" ca="1" si="2953"/>
        <v>37</v>
      </c>
      <c r="I6988" t="str">
        <f t="shared" si="2954"/>
        <v>XLF</v>
      </c>
      <c r="J6988">
        <f t="shared" si="2955"/>
        <v>29.92</v>
      </c>
      <c r="K6988">
        <f t="shared" si="2956"/>
        <v>32.020000000000003</v>
      </c>
      <c r="L6988">
        <f t="shared" si="2957"/>
        <v>30.970000000000002</v>
      </c>
      <c r="M6988">
        <f t="shared" si="2958"/>
        <v>1.0500000000000007</v>
      </c>
      <c r="N6988">
        <f t="shared" si="2949"/>
        <v>2.1000000000000014</v>
      </c>
      <c r="O6988">
        <f t="shared" si="2959"/>
        <v>31.02</v>
      </c>
      <c r="P6988">
        <f t="shared" si="2960"/>
        <v>4.7619047619044882E-2</v>
      </c>
      <c r="Q6988" t="str">
        <f t="shared" si="2950"/>
        <v>3.55% | 3.22%</v>
      </c>
      <c r="R6988" t="str">
        <f t="shared" si="2961"/>
        <v>BULLISH</v>
      </c>
      <c r="S6988">
        <f t="shared" si="2962"/>
        <v>1</v>
      </c>
    </row>
    <row r="6989" spans="1:19" hidden="1" x14ac:dyDescent="0.25">
      <c r="A6989" s="5" t="str">
        <f t="shared" si="2963"/>
        <v>44216XLU</v>
      </c>
      <c r="B6989" s="6" t="s">
        <v>82</v>
      </c>
      <c r="C6989" s="6">
        <v>60.94</v>
      </c>
      <c r="D6989" s="6">
        <v>63.31</v>
      </c>
      <c r="E6989" s="6">
        <v>62.75</v>
      </c>
      <c r="F6989" t="str">
        <f t="shared" si="2951"/>
        <v>WED</v>
      </c>
      <c r="G6989" s="3">
        <f t="shared" si="2952"/>
        <v>44216</v>
      </c>
      <c r="H6989" s="2">
        <f t="shared" ca="1" si="2953"/>
        <v>37</v>
      </c>
      <c r="I6989" t="str">
        <f t="shared" si="2954"/>
        <v>XLU</v>
      </c>
      <c r="J6989">
        <f t="shared" si="2955"/>
        <v>60.94</v>
      </c>
      <c r="K6989">
        <f t="shared" si="2956"/>
        <v>63.31</v>
      </c>
      <c r="L6989">
        <f t="shared" si="2957"/>
        <v>62.125</v>
      </c>
      <c r="M6989">
        <f t="shared" si="2958"/>
        <v>1.1850000000000023</v>
      </c>
      <c r="N6989">
        <f t="shared" si="2949"/>
        <v>2.3700000000000045</v>
      </c>
      <c r="O6989">
        <f t="shared" si="2959"/>
        <v>62.75</v>
      </c>
      <c r="P6989">
        <f t="shared" si="2960"/>
        <v>0.52742616033755174</v>
      </c>
      <c r="Q6989" t="str">
        <f t="shared" si="2950"/>
        <v>2.88% | 0.89%</v>
      </c>
      <c r="R6989" t="str">
        <f t="shared" si="2961"/>
        <v>BEARISH</v>
      </c>
      <c r="S6989">
        <f t="shared" si="2962"/>
        <v>-1</v>
      </c>
    </row>
    <row r="6990" spans="1:19" hidden="1" x14ac:dyDescent="0.25">
      <c r="A6990" s="5" t="str">
        <f t="shared" si="2963"/>
        <v>44216GDX</v>
      </c>
      <c r="B6990" s="6" t="s">
        <v>254</v>
      </c>
      <c r="C6990" s="6">
        <v>33.479999999999997</v>
      </c>
      <c r="D6990" s="6">
        <v>36.909999999999997</v>
      </c>
      <c r="E6990" s="6">
        <v>34.869999999999997</v>
      </c>
      <c r="F6990" t="str">
        <f t="shared" si="2951"/>
        <v>WED</v>
      </c>
      <c r="G6990" s="3">
        <f t="shared" si="2952"/>
        <v>44216</v>
      </c>
      <c r="H6990" s="2">
        <f t="shared" ca="1" si="2953"/>
        <v>37</v>
      </c>
      <c r="I6990" t="str">
        <f t="shared" si="2954"/>
        <v>GDX</v>
      </c>
      <c r="J6990">
        <f t="shared" si="2955"/>
        <v>33.479999999999997</v>
      </c>
      <c r="K6990">
        <f t="shared" si="2956"/>
        <v>36.909999999999997</v>
      </c>
      <c r="L6990">
        <f t="shared" si="2957"/>
        <v>35.194999999999993</v>
      </c>
      <c r="M6990">
        <f t="shared" si="2958"/>
        <v>1.7149999999999999</v>
      </c>
      <c r="N6990">
        <f t="shared" si="2949"/>
        <v>3.4299999999999997</v>
      </c>
      <c r="O6990">
        <f t="shared" si="2959"/>
        <v>34.869999999999997</v>
      </c>
      <c r="P6990">
        <f t="shared" si="2960"/>
        <v>-0.18950437317784011</v>
      </c>
      <c r="Q6990" t="str">
        <f t="shared" si="2950"/>
        <v>3.99% | 5.85%</v>
      </c>
      <c r="R6990" t="str">
        <f t="shared" si="2961"/>
        <v>BEARISH</v>
      </c>
      <c r="S6990">
        <f t="shared" si="2962"/>
        <v>-1</v>
      </c>
    </row>
    <row r="6991" spans="1:19" hidden="1" x14ac:dyDescent="0.25">
      <c r="A6991" s="5" t="str">
        <f t="shared" si="2963"/>
        <v>44216SSEC</v>
      </c>
      <c r="B6991" s="6" t="s">
        <v>104</v>
      </c>
      <c r="C6991" s="6">
        <v>3521</v>
      </c>
      <c r="D6991" s="6">
        <v>3629</v>
      </c>
      <c r="E6991" s="6">
        <v>3583</v>
      </c>
      <c r="F6991" t="str">
        <f t="shared" si="2951"/>
        <v>WED</v>
      </c>
      <c r="G6991" s="3">
        <f t="shared" si="2952"/>
        <v>44216</v>
      </c>
      <c r="H6991" s="2">
        <f t="shared" ca="1" si="2953"/>
        <v>37</v>
      </c>
      <c r="I6991" t="str">
        <f t="shared" si="2954"/>
        <v>SSEC</v>
      </c>
      <c r="J6991">
        <f t="shared" si="2955"/>
        <v>3521</v>
      </c>
      <c r="K6991">
        <f t="shared" si="2956"/>
        <v>3629</v>
      </c>
      <c r="L6991">
        <f t="shared" si="2957"/>
        <v>3575</v>
      </c>
      <c r="M6991">
        <f t="shared" si="2958"/>
        <v>54</v>
      </c>
      <c r="N6991">
        <f t="shared" si="2949"/>
        <v>108</v>
      </c>
      <c r="O6991">
        <f t="shared" si="2959"/>
        <v>3583</v>
      </c>
      <c r="P6991">
        <f t="shared" si="2960"/>
        <v>0.14814814814814814</v>
      </c>
      <c r="Q6991" t="str">
        <f t="shared" si="2950"/>
        <v>1.73% | 1.28%</v>
      </c>
      <c r="R6991" t="str">
        <f t="shared" si="2961"/>
        <v>BULLISH</v>
      </c>
      <c r="S6991">
        <f t="shared" si="2962"/>
        <v>1</v>
      </c>
    </row>
    <row r="6992" spans="1:19" hidden="1" x14ac:dyDescent="0.25">
      <c r="A6992" s="5" t="str">
        <f t="shared" si="2963"/>
        <v>44216NIKK</v>
      </c>
      <c r="B6992" s="6" t="s">
        <v>91</v>
      </c>
      <c r="C6992" s="6">
        <v>27394</v>
      </c>
      <c r="D6992" s="6">
        <v>29198</v>
      </c>
      <c r="E6992" s="6">
        <v>28523</v>
      </c>
      <c r="F6992" t="str">
        <f t="shared" si="2951"/>
        <v>WED</v>
      </c>
      <c r="G6992" s="3">
        <f t="shared" si="2952"/>
        <v>44216</v>
      </c>
      <c r="H6992" s="2">
        <f t="shared" ca="1" si="2953"/>
        <v>37</v>
      </c>
      <c r="I6992" t="str">
        <f t="shared" si="2954"/>
        <v>NIKK</v>
      </c>
      <c r="J6992">
        <f t="shared" si="2955"/>
        <v>27394</v>
      </c>
      <c r="K6992">
        <f t="shared" si="2956"/>
        <v>29198</v>
      </c>
      <c r="L6992">
        <f t="shared" si="2957"/>
        <v>28296</v>
      </c>
      <c r="M6992">
        <f t="shared" si="2958"/>
        <v>902</v>
      </c>
      <c r="N6992">
        <f t="shared" si="2949"/>
        <v>1804</v>
      </c>
      <c r="O6992">
        <f t="shared" si="2959"/>
        <v>28523</v>
      </c>
      <c r="P6992">
        <f t="shared" si="2960"/>
        <v>0.25166297117516628</v>
      </c>
      <c r="Q6992" t="str">
        <f t="shared" si="2950"/>
        <v>3.96% | 2.37%</v>
      </c>
      <c r="R6992" t="str">
        <f t="shared" si="2961"/>
        <v>BULLISH</v>
      </c>
      <c r="S6992">
        <f t="shared" si="2962"/>
        <v>1</v>
      </c>
    </row>
    <row r="6993" spans="1:19" hidden="1" x14ac:dyDescent="0.25">
      <c r="A6993" s="5" t="str">
        <f t="shared" si="2963"/>
        <v>44216DAX</v>
      </c>
      <c r="B6993" s="6" t="s">
        <v>98</v>
      </c>
      <c r="C6993" s="6">
        <v>13672</v>
      </c>
      <c r="D6993" s="6">
        <v>14098</v>
      </c>
      <c r="E6993" s="6">
        <v>13815</v>
      </c>
      <c r="F6993" t="str">
        <f t="shared" si="2951"/>
        <v>WED</v>
      </c>
      <c r="G6993" s="3">
        <f t="shared" si="2952"/>
        <v>44216</v>
      </c>
      <c r="H6993" s="2">
        <f t="shared" ca="1" si="2953"/>
        <v>37</v>
      </c>
      <c r="I6993" t="str">
        <f t="shared" si="2954"/>
        <v>DAX</v>
      </c>
      <c r="J6993">
        <f t="shared" si="2955"/>
        <v>13672</v>
      </c>
      <c r="K6993">
        <f t="shared" si="2956"/>
        <v>14098</v>
      </c>
      <c r="L6993">
        <f t="shared" si="2957"/>
        <v>13885</v>
      </c>
      <c r="M6993">
        <f t="shared" si="2958"/>
        <v>213</v>
      </c>
      <c r="N6993">
        <f t="shared" si="2949"/>
        <v>426</v>
      </c>
      <c r="O6993">
        <f t="shared" si="2959"/>
        <v>13815</v>
      </c>
      <c r="P6993">
        <f t="shared" si="2960"/>
        <v>-0.32863849765258218</v>
      </c>
      <c r="Q6993" t="str">
        <f t="shared" si="2950"/>
        <v>1.04% | 2.05%</v>
      </c>
      <c r="R6993" t="str">
        <f t="shared" si="2961"/>
        <v>BULLISH</v>
      </c>
      <c r="S6993">
        <f t="shared" si="2962"/>
        <v>1</v>
      </c>
    </row>
    <row r="6994" spans="1:19" hidden="1" x14ac:dyDescent="0.25">
      <c r="A6994" s="5" t="str">
        <f t="shared" si="2963"/>
        <v>44216VIX</v>
      </c>
      <c r="B6994" s="6" t="s">
        <v>96</v>
      </c>
      <c r="C6994" s="6">
        <v>20.170000000000002</v>
      </c>
      <c r="D6994" s="6">
        <v>25.47</v>
      </c>
      <c r="E6994" s="6">
        <v>23.24</v>
      </c>
      <c r="F6994" t="str">
        <f t="shared" si="2951"/>
        <v>WED</v>
      </c>
      <c r="G6994" s="3">
        <f t="shared" si="2952"/>
        <v>44216</v>
      </c>
      <c r="H6994" s="2">
        <f t="shared" ca="1" si="2953"/>
        <v>37</v>
      </c>
      <c r="I6994" t="str">
        <f t="shared" si="2954"/>
        <v>VIX</v>
      </c>
      <c r="J6994">
        <f t="shared" si="2955"/>
        <v>20.170000000000002</v>
      </c>
      <c r="K6994">
        <f t="shared" si="2956"/>
        <v>25.47</v>
      </c>
      <c r="L6994">
        <f t="shared" si="2957"/>
        <v>22.82</v>
      </c>
      <c r="M6994">
        <f t="shared" si="2958"/>
        <v>2.650000000000007</v>
      </c>
      <c r="N6994">
        <f t="shared" si="2949"/>
        <v>5.2999999999999972</v>
      </c>
      <c r="O6994">
        <f t="shared" si="2959"/>
        <v>23.24</v>
      </c>
      <c r="P6994">
        <f t="shared" si="2960"/>
        <v>0.15849056603773473</v>
      </c>
      <c r="Q6994" t="str">
        <f t="shared" si="2950"/>
        <v>13.21% | 9.6%</v>
      </c>
      <c r="R6994" t="str">
        <f t="shared" si="2961"/>
        <v>BEARISH</v>
      </c>
      <c r="S6994">
        <f t="shared" si="2962"/>
        <v>-1</v>
      </c>
    </row>
    <row r="6995" spans="1:19" hidden="1" x14ac:dyDescent="0.25">
      <c r="A6995" s="5" t="str">
        <f t="shared" si="2963"/>
        <v>44216USD</v>
      </c>
      <c r="B6995" s="6" t="s">
        <v>94</v>
      </c>
      <c r="C6995" s="6">
        <v>89.27</v>
      </c>
      <c r="D6995" s="6">
        <v>90.9</v>
      </c>
      <c r="E6995" s="6">
        <v>90.46</v>
      </c>
      <c r="F6995" t="str">
        <f t="shared" si="2951"/>
        <v>WED</v>
      </c>
      <c r="G6995" s="3">
        <f t="shared" si="2952"/>
        <v>44216</v>
      </c>
      <c r="H6995" s="2">
        <f t="shared" ca="1" si="2953"/>
        <v>37</v>
      </c>
      <c r="I6995" t="str">
        <f t="shared" si="2954"/>
        <v>USD</v>
      </c>
      <c r="J6995">
        <f t="shared" si="2955"/>
        <v>89.27</v>
      </c>
      <c r="K6995">
        <f t="shared" si="2956"/>
        <v>90.9</v>
      </c>
      <c r="L6995">
        <f t="shared" si="2957"/>
        <v>90.085000000000008</v>
      </c>
      <c r="M6995">
        <f t="shared" si="2958"/>
        <v>0.81500000000000483</v>
      </c>
      <c r="N6995">
        <f t="shared" si="2949"/>
        <v>1.6300000000000097</v>
      </c>
      <c r="O6995">
        <f t="shared" si="2959"/>
        <v>90.46</v>
      </c>
      <c r="P6995">
        <f t="shared" si="2960"/>
        <v>0.46012269938648293</v>
      </c>
      <c r="Q6995" t="str">
        <f t="shared" si="2950"/>
        <v>1.32% | 0.49%</v>
      </c>
      <c r="R6995" t="str">
        <f t="shared" si="2961"/>
        <v>BEARISH</v>
      </c>
      <c r="S6995">
        <f t="shared" si="2962"/>
        <v>-1</v>
      </c>
    </row>
    <row r="6996" spans="1:19" hidden="1" x14ac:dyDescent="0.25">
      <c r="A6996" s="5" t="str">
        <f t="shared" si="2963"/>
        <v>44216EUR/USD</v>
      </c>
      <c r="B6996" s="6" t="s">
        <v>99</v>
      </c>
      <c r="C6996" s="6">
        <v>1.206</v>
      </c>
      <c r="D6996" s="6">
        <v>1.234</v>
      </c>
      <c r="E6996" s="6">
        <v>1.2130000000000001</v>
      </c>
      <c r="F6996" t="str">
        <f t="shared" si="2951"/>
        <v>WED</v>
      </c>
      <c r="G6996" s="3">
        <f t="shared" si="2952"/>
        <v>44216</v>
      </c>
      <c r="H6996" s="2">
        <f t="shared" ca="1" si="2953"/>
        <v>37</v>
      </c>
      <c r="I6996" t="str">
        <f t="shared" si="2954"/>
        <v>EUR/USD</v>
      </c>
      <c r="J6996">
        <f t="shared" si="2955"/>
        <v>1.206</v>
      </c>
      <c r="K6996">
        <f t="shared" si="2956"/>
        <v>1.234</v>
      </c>
      <c r="L6996">
        <f t="shared" si="2957"/>
        <v>1.22</v>
      </c>
      <c r="M6996">
        <f t="shared" si="2958"/>
        <v>1.4000000000000012E-2</v>
      </c>
      <c r="N6996">
        <f t="shared" si="2949"/>
        <v>2.8000000000000025E-2</v>
      </c>
      <c r="O6996">
        <f t="shared" si="2959"/>
        <v>1.2130000000000001</v>
      </c>
      <c r="P6996">
        <f t="shared" si="2960"/>
        <v>-0.49999999999999206</v>
      </c>
      <c r="Q6996" t="str">
        <f t="shared" si="2950"/>
        <v>0.58% | 1.73%</v>
      </c>
      <c r="R6996" t="str">
        <f t="shared" si="2961"/>
        <v>BULLISH</v>
      </c>
      <c r="S6996">
        <f t="shared" si="2962"/>
        <v>1</v>
      </c>
    </row>
    <row r="6997" spans="1:19" hidden="1" x14ac:dyDescent="0.25">
      <c r="A6997" s="5" t="str">
        <f t="shared" si="2963"/>
        <v>44216USD/JPY</v>
      </c>
      <c r="B6997" s="6" t="s">
        <v>20</v>
      </c>
      <c r="C6997" s="6">
        <v>102.91</v>
      </c>
      <c r="D6997" s="6">
        <v>104.38</v>
      </c>
      <c r="E6997" s="6">
        <v>103.89</v>
      </c>
      <c r="F6997" t="str">
        <f t="shared" si="2951"/>
        <v>WED</v>
      </c>
      <c r="G6997" s="3">
        <f t="shared" si="2952"/>
        <v>44216</v>
      </c>
      <c r="H6997" s="2">
        <f t="shared" ca="1" si="2953"/>
        <v>37</v>
      </c>
      <c r="I6997" t="str">
        <f t="shared" si="2954"/>
        <v>USD/JPY</v>
      </c>
      <c r="J6997">
        <f t="shared" si="2955"/>
        <v>102.91</v>
      </c>
      <c r="K6997">
        <f t="shared" si="2956"/>
        <v>104.38</v>
      </c>
      <c r="L6997">
        <f t="shared" si="2957"/>
        <v>103.645</v>
      </c>
      <c r="M6997">
        <f t="shared" si="2958"/>
        <v>0.73499999999999943</v>
      </c>
      <c r="N6997">
        <f t="shared" si="2949"/>
        <v>1.4699999999999989</v>
      </c>
      <c r="O6997">
        <f t="shared" si="2959"/>
        <v>103.89</v>
      </c>
      <c r="P6997">
        <f t="shared" si="2960"/>
        <v>0.33333333333333975</v>
      </c>
      <c r="Q6997" t="str">
        <f t="shared" si="2950"/>
        <v>0.94% | 0.47%</v>
      </c>
      <c r="R6997" t="str">
        <f t="shared" si="2961"/>
        <v>BEARISH</v>
      </c>
      <c r="S6997">
        <f t="shared" si="2962"/>
        <v>-1</v>
      </c>
    </row>
    <row r="6998" spans="1:19" hidden="1" x14ac:dyDescent="0.25">
      <c r="A6998" s="5" t="str">
        <f t="shared" si="2963"/>
        <v>44216GBP/USD</v>
      </c>
      <c r="B6998" s="6" t="s">
        <v>102</v>
      </c>
      <c r="C6998" s="6">
        <v>1.351</v>
      </c>
      <c r="D6998" s="6">
        <v>1.3720000000000001</v>
      </c>
      <c r="E6998" s="6">
        <v>1.363</v>
      </c>
      <c r="F6998" t="str">
        <f t="shared" si="2951"/>
        <v>WED</v>
      </c>
      <c r="G6998" s="3">
        <f t="shared" si="2952"/>
        <v>44216</v>
      </c>
      <c r="H6998" s="2">
        <f t="shared" ca="1" si="2953"/>
        <v>37</v>
      </c>
      <c r="I6998" t="str">
        <f t="shared" si="2954"/>
        <v>GBP/USD</v>
      </c>
      <c r="J6998">
        <f t="shared" si="2955"/>
        <v>1.351</v>
      </c>
      <c r="K6998">
        <f t="shared" si="2956"/>
        <v>1.3720000000000001</v>
      </c>
      <c r="L6998">
        <f t="shared" si="2957"/>
        <v>1.3614999999999999</v>
      </c>
      <c r="M6998">
        <f t="shared" si="2958"/>
        <v>1.0500000000000065E-2</v>
      </c>
      <c r="N6998">
        <f t="shared" si="2949"/>
        <v>2.100000000000013E-2</v>
      </c>
      <c r="O6998">
        <f t="shared" si="2959"/>
        <v>1.363</v>
      </c>
      <c r="P6998">
        <f t="shared" si="2960"/>
        <v>0.1428571428571474</v>
      </c>
      <c r="Q6998" t="str">
        <f t="shared" si="2950"/>
        <v>0.88% | 0.66%</v>
      </c>
      <c r="R6998" t="str">
        <f t="shared" si="2961"/>
        <v>BULLISH</v>
      </c>
      <c r="S6998">
        <f t="shared" si="2962"/>
        <v>1</v>
      </c>
    </row>
    <row r="6999" spans="1:19" hidden="1" x14ac:dyDescent="0.25">
      <c r="A6999" s="5" t="str">
        <f t="shared" si="2963"/>
        <v>44216CAD/USD</v>
      </c>
      <c r="B6999" s="6" t="s">
        <v>244</v>
      </c>
      <c r="C6999" s="6">
        <v>0.78</v>
      </c>
      <c r="D6999" s="6">
        <v>0.8</v>
      </c>
      <c r="E6999" s="6">
        <v>0.78</v>
      </c>
      <c r="F6999" t="str">
        <f t="shared" si="2951"/>
        <v>WED</v>
      </c>
      <c r="G6999" s="3">
        <f t="shared" si="2952"/>
        <v>44216</v>
      </c>
      <c r="H6999" s="2">
        <f t="shared" ca="1" si="2953"/>
        <v>37</v>
      </c>
      <c r="I6999" t="str">
        <f t="shared" si="2954"/>
        <v>CAD/USD</v>
      </c>
      <c r="J6999">
        <f t="shared" si="2955"/>
        <v>0.78</v>
      </c>
      <c r="K6999">
        <f t="shared" si="2956"/>
        <v>0.8</v>
      </c>
      <c r="L6999">
        <f t="shared" si="2957"/>
        <v>0.79</v>
      </c>
      <c r="M6999">
        <f t="shared" si="2958"/>
        <v>1.0000000000000009E-2</v>
      </c>
      <c r="N6999">
        <f t="shared" si="2949"/>
        <v>2.0000000000000018E-2</v>
      </c>
      <c r="O6999">
        <f t="shared" si="2959"/>
        <v>0.78</v>
      </c>
      <c r="P6999">
        <f t="shared" si="2960"/>
        <v>-1</v>
      </c>
      <c r="Q6999" t="str">
        <f t="shared" si="2950"/>
        <v>0% | 2.56%</v>
      </c>
      <c r="R6999" t="str">
        <f t="shared" si="2961"/>
        <v>BULLISH</v>
      </c>
      <c r="S6999">
        <f t="shared" si="2962"/>
        <v>1</v>
      </c>
    </row>
    <row r="7000" spans="1:19" hidden="1" x14ac:dyDescent="0.25">
      <c r="A7000" s="5" t="str">
        <f t="shared" si="2963"/>
        <v>44216USD/CHF</v>
      </c>
      <c r="B7000" s="6" t="s">
        <v>76</v>
      </c>
      <c r="C7000" s="6">
        <v>0.87</v>
      </c>
      <c r="D7000" s="6">
        <v>0.89</v>
      </c>
      <c r="E7000" s="6">
        <v>0.88</v>
      </c>
      <c r="F7000" t="str">
        <f t="shared" si="2951"/>
        <v>WED</v>
      </c>
      <c r="G7000" s="3">
        <f t="shared" si="2952"/>
        <v>44216</v>
      </c>
      <c r="H7000" s="2">
        <f t="shared" ca="1" si="2953"/>
        <v>37</v>
      </c>
      <c r="I7000" t="str">
        <f t="shared" si="2954"/>
        <v>USD/CHF</v>
      </c>
      <c r="J7000">
        <f t="shared" si="2955"/>
        <v>0.87</v>
      </c>
      <c r="K7000">
        <f t="shared" si="2956"/>
        <v>0.89</v>
      </c>
      <c r="L7000">
        <f t="shared" si="2957"/>
        <v>0.88</v>
      </c>
      <c r="M7000">
        <f t="shared" si="2958"/>
        <v>1.0000000000000009E-2</v>
      </c>
      <c r="N7000">
        <f t="shared" si="2949"/>
        <v>2.0000000000000018E-2</v>
      </c>
      <c r="O7000">
        <f t="shared" si="2959"/>
        <v>0.88</v>
      </c>
      <c r="P7000">
        <f t="shared" si="2960"/>
        <v>0</v>
      </c>
      <c r="Q7000" t="str">
        <f t="shared" si="2950"/>
        <v>1.14% | 1.14%</v>
      </c>
      <c r="R7000" t="str">
        <f t="shared" si="2961"/>
        <v>BEARISH</v>
      </c>
      <c r="S7000">
        <f t="shared" si="2962"/>
        <v>-1</v>
      </c>
    </row>
    <row r="7001" spans="1:19" hidden="1" x14ac:dyDescent="0.25">
      <c r="A7001" s="5" t="str">
        <f t="shared" si="2963"/>
        <v>44216WTIC</v>
      </c>
      <c r="B7001" s="6" t="s">
        <v>158</v>
      </c>
      <c r="C7001" s="6">
        <v>50.22</v>
      </c>
      <c r="D7001" s="6">
        <v>54.45</v>
      </c>
      <c r="E7001" s="6">
        <v>52.98</v>
      </c>
      <c r="F7001" t="str">
        <f t="shared" si="2951"/>
        <v>WED</v>
      </c>
      <c r="G7001" s="3">
        <f t="shared" si="2952"/>
        <v>44216</v>
      </c>
      <c r="H7001" s="2">
        <f t="shared" ca="1" si="2953"/>
        <v>37</v>
      </c>
      <c r="I7001" t="str">
        <f t="shared" si="2954"/>
        <v>WTIC</v>
      </c>
      <c r="J7001">
        <f t="shared" si="2955"/>
        <v>50.22</v>
      </c>
      <c r="K7001">
        <f t="shared" si="2956"/>
        <v>54.45</v>
      </c>
      <c r="L7001">
        <f t="shared" si="2957"/>
        <v>52.335000000000001</v>
      </c>
      <c r="M7001">
        <f t="shared" si="2958"/>
        <v>2.115000000000002</v>
      </c>
      <c r="N7001">
        <f t="shared" si="2949"/>
        <v>4.230000000000004</v>
      </c>
      <c r="O7001">
        <f t="shared" si="2959"/>
        <v>52.98</v>
      </c>
      <c r="P7001">
        <f t="shared" si="2960"/>
        <v>0.30496453900709003</v>
      </c>
      <c r="Q7001" t="str">
        <f t="shared" si="2950"/>
        <v>5.21% | 2.77%</v>
      </c>
      <c r="R7001" t="str">
        <f t="shared" si="2961"/>
        <v>BULLISH</v>
      </c>
      <c r="S7001">
        <f t="shared" si="2962"/>
        <v>1</v>
      </c>
    </row>
    <row r="7002" spans="1:19" hidden="1" x14ac:dyDescent="0.25">
      <c r="A7002" s="5" t="str">
        <f t="shared" si="2963"/>
        <v>44216NATGAS</v>
      </c>
      <c r="B7002" s="6" t="s">
        <v>87</v>
      </c>
      <c r="C7002" s="6">
        <v>2.48</v>
      </c>
      <c r="D7002" s="6">
        <v>2.8</v>
      </c>
      <c r="E7002" s="6">
        <v>2.5499999999999998</v>
      </c>
      <c r="F7002" t="str">
        <f t="shared" si="2951"/>
        <v>WED</v>
      </c>
      <c r="G7002" s="3">
        <f t="shared" si="2952"/>
        <v>44216</v>
      </c>
      <c r="H7002" s="2">
        <f t="shared" ca="1" si="2953"/>
        <v>37</v>
      </c>
      <c r="I7002" t="str">
        <f t="shared" si="2954"/>
        <v>NATGAS</v>
      </c>
      <c r="J7002">
        <f t="shared" si="2955"/>
        <v>2.48</v>
      </c>
      <c r="K7002">
        <f t="shared" si="2956"/>
        <v>2.8</v>
      </c>
      <c r="L7002">
        <f t="shared" si="2957"/>
        <v>2.6399999999999997</v>
      </c>
      <c r="M7002">
        <f t="shared" si="2958"/>
        <v>0.15999999999999992</v>
      </c>
      <c r="N7002">
        <f t="shared" si="2949"/>
        <v>0.31999999999999984</v>
      </c>
      <c r="O7002">
        <f t="shared" si="2959"/>
        <v>2.5499999999999998</v>
      </c>
      <c r="P7002">
        <f t="shared" si="2960"/>
        <v>-0.56249999999999944</v>
      </c>
      <c r="Q7002" t="str">
        <f t="shared" si="2950"/>
        <v>2.75% | 9.8%</v>
      </c>
      <c r="R7002" t="str">
        <f t="shared" si="2961"/>
        <v>NEUTRAL</v>
      </c>
      <c r="S7002">
        <f t="shared" si="2962"/>
        <v>0</v>
      </c>
    </row>
    <row r="7003" spans="1:19" hidden="1" x14ac:dyDescent="0.25">
      <c r="A7003" s="5" t="str">
        <f t="shared" si="2963"/>
        <v>44216GOLD</v>
      </c>
      <c r="B7003" s="6" t="s">
        <v>85</v>
      </c>
      <c r="C7003" s="6">
        <v>1792</v>
      </c>
      <c r="D7003" s="6">
        <v>1876</v>
      </c>
      <c r="E7003" s="6">
        <v>1840</v>
      </c>
      <c r="F7003" t="str">
        <f t="shared" si="2951"/>
        <v>WED</v>
      </c>
      <c r="G7003" s="3">
        <f t="shared" si="2952"/>
        <v>44216</v>
      </c>
      <c r="H7003" s="2">
        <f t="shared" ca="1" si="2953"/>
        <v>37</v>
      </c>
      <c r="I7003" t="str">
        <f t="shared" si="2954"/>
        <v>GOLD</v>
      </c>
      <c r="J7003">
        <f t="shared" si="2955"/>
        <v>1792</v>
      </c>
      <c r="K7003">
        <f t="shared" si="2956"/>
        <v>1876</v>
      </c>
      <c r="L7003">
        <f t="shared" si="2957"/>
        <v>1834</v>
      </c>
      <c r="M7003">
        <f t="shared" si="2958"/>
        <v>42</v>
      </c>
      <c r="N7003">
        <f t="shared" si="2949"/>
        <v>84</v>
      </c>
      <c r="O7003">
        <f t="shared" si="2959"/>
        <v>1840</v>
      </c>
      <c r="P7003">
        <f t="shared" si="2960"/>
        <v>0.14285714285714285</v>
      </c>
      <c r="Q7003" t="str">
        <f t="shared" si="2950"/>
        <v>2.61% | 1.96%</v>
      </c>
      <c r="R7003" t="str">
        <f t="shared" si="2961"/>
        <v>BEARISH</v>
      </c>
      <c r="S7003">
        <f t="shared" si="2962"/>
        <v>-1</v>
      </c>
    </row>
    <row r="7004" spans="1:19" hidden="1" x14ac:dyDescent="0.25">
      <c r="A7004" s="5" t="str">
        <f t="shared" si="2963"/>
        <v>44216COPPER</v>
      </c>
      <c r="B7004" s="6" t="s">
        <v>100</v>
      </c>
      <c r="C7004" s="6">
        <v>3.56</v>
      </c>
      <c r="D7004" s="6">
        <v>3.72</v>
      </c>
      <c r="E7004" s="6">
        <v>3.63</v>
      </c>
      <c r="F7004" t="str">
        <f t="shared" si="2951"/>
        <v>WED</v>
      </c>
      <c r="G7004" s="3">
        <f t="shared" si="2952"/>
        <v>44216</v>
      </c>
      <c r="H7004" s="2">
        <f t="shared" ca="1" si="2953"/>
        <v>37</v>
      </c>
      <c r="I7004" t="str">
        <f t="shared" si="2954"/>
        <v>COPPER</v>
      </c>
      <c r="J7004">
        <f t="shared" si="2955"/>
        <v>3.56</v>
      </c>
      <c r="K7004">
        <f t="shared" si="2956"/>
        <v>3.72</v>
      </c>
      <c r="L7004">
        <f t="shared" si="2957"/>
        <v>3.64</v>
      </c>
      <c r="M7004">
        <f t="shared" si="2958"/>
        <v>8.0000000000000071E-2</v>
      </c>
      <c r="N7004">
        <f t="shared" si="2949"/>
        <v>0.16000000000000014</v>
      </c>
      <c r="O7004">
        <f t="shared" si="2959"/>
        <v>3.63</v>
      </c>
      <c r="P7004">
        <f t="shared" si="2960"/>
        <v>-0.12500000000000278</v>
      </c>
      <c r="Q7004" t="str">
        <f t="shared" si="2950"/>
        <v>1.93% | 2.48%</v>
      </c>
      <c r="R7004" t="str">
        <f t="shared" si="2961"/>
        <v>BULLISH</v>
      </c>
      <c r="S7004">
        <f t="shared" si="2962"/>
        <v>1</v>
      </c>
    </row>
    <row r="7005" spans="1:19" hidden="1" x14ac:dyDescent="0.25">
      <c r="A7005" s="5" t="str">
        <f t="shared" si="2963"/>
        <v>44216MSFT</v>
      </c>
      <c r="B7005" s="6" t="s">
        <v>27</v>
      </c>
      <c r="C7005" s="6">
        <v>210</v>
      </c>
      <c r="D7005" s="6">
        <v>222</v>
      </c>
      <c r="E7005" s="6">
        <v>216</v>
      </c>
      <c r="F7005" t="str">
        <f t="shared" si="2951"/>
        <v>WED</v>
      </c>
      <c r="G7005" s="3">
        <f t="shared" si="2952"/>
        <v>44216</v>
      </c>
      <c r="H7005" s="2">
        <f t="shared" ca="1" si="2953"/>
        <v>37</v>
      </c>
      <c r="I7005" t="str">
        <f t="shared" si="2954"/>
        <v>MSFT</v>
      </c>
      <c r="J7005">
        <f t="shared" si="2955"/>
        <v>210</v>
      </c>
      <c r="K7005">
        <f t="shared" si="2956"/>
        <v>222</v>
      </c>
      <c r="L7005">
        <f t="shared" si="2957"/>
        <v>216</v>
      </c>
      <c r="M7005">
        <f t="shared" si="2958"/>
        <v>6</v>
      </c>
      <c r="N7005">
        <f t="shared" si="2949"/>
        <v>12</v>
      </c>
      <c r="O7005">
        <f t="shared" si="2959"/>
        <v>216</v>
      </c>
      <c r="P7005">
        <f t="shared" si="2960"/>
        <v>0</v>
      </c>
      <c r="Q7005" t="str">
        <f t="shared" si="2950"/>
        <v>2.78% | 2.78%</v>
      </c>
      <c r="R7005" t="str">
        <f t="shared" si="2961"/>
        <v>BULLISH</v>
      </c>
      <c r="S7005">
        <f t="shared" si="2962"/>
        <v>1</v>
      </c>
    </row>
    <row r="7006" spans="1:19" hidden="1" x14ac:dyDescent="0.25">
      <c r="A7006" s="5" t="str">
        <f t="shared" si="2963"/>
        <v>44216AAPL</v>
      </c>
      <c r="B7006" s="6" t="s">
        <v>28</v>
      </c>
      <c r="C7006" s="6">
        <v>125</v>
      </c>
      <c r="D7006" s="6">
        <v>133</v>
      </c>
      <c r="E7006" s="6">
        <v>127</v>
      </c>
      <c r="F7006" t="str">
        <f t="shared" si="2951"/>
        <v>WED</v>
      </c>
      <c r="G7006" s="3">
        <f t="shared" si="2952"/>
        <v>44216</v>
      </c>
      <c r="H7006" s="2">
        <f t="shared" ca="1" si="2953"/>
        <v>37</v>
      </c>
      <c r="I7006" t="str">
        <f t="shared" si="2954"/>
        <v>AAPL</v>
      </c>
      <c r="J7006">
        <f t="shared" si="2955"/>
        <v>125</v>
      </c>
      <c r="K7006">
        <f t="shared" si="2956"/>
        <v>133</v>
      </c>
      <c r="L7006">
        <f t="shared" si="2957"/>
        <v>129</v>
      </c>
      <c r="M7006">
        <f t="shared" si="2958"/>
        <v>4</v>
      </c>
      <c r="N7006">
        <f t="shared" si="2949"/>
        <v>8</v>
      </c>
      <c r="O7006">
        <f t="shared" si="2959"/>
        <v>127</v>
      </c>
      <c r="P7006">
        <f t="shared" si="2960"/>
        <v>-0.5</v>
      </c>
      <c r="Q7006" t="str">
        <f t="shared" si="2950"/>
        <v>1.57% | 4.72%</v>
      </c>
      <c r="R7006" t="str">
        <f t="shared" si="2961"/>
        <v>BULLISH</v>
      </c>
      <c r="S7006">
        <f t="shared" si="2962"/>
        <v>1</v>
      </c>
    </row>
    <row r="7007" spans="1:19" hidden="1" x14ac:dyDescent="0.25">
      <c r="A7007" s="5" t="str">
        <f t="shared" si="2963"/>
        <v>44216AMZN</v>
      </c>
      <c r="B7007" s="6" t="s">
        <v>69</v>
      </c>
      <c r="C7007" s="6">
        <v>3076</v>
      </c>
      <c r="D7007" s="6">
        <v>3198</v>
      </c>
      <c r="E7007" s="6">
        <v>3120</v>
      </c>
      <c r="F7007" t="str">
        <f t="shared" si="2951"/>
        <v>WED</v>
      </c>
      <c r="G7007" s="3">
        <f t="shared" si="2952"/>
        <v>44216</v>
      </c>
      <c r="H7007" s="2">
        <f t="shared" ca="1" si="2953"/>
        <v>37</v>
      </c>
      <c r="I7007" t="str">
        <f t="shared" si="2954"/>
        <v>AMZN</v>
      </c>
      <c r="J7007">
        <f t="shared" si="2955"/>
        <v>3076</v>
      </c>
      <c r="K7007">
        <f t="shared" si="2956"/>
        <v>3198</v>
      </c>
      <c r="L7007">
        <f t="shared" si="2957"/>
        <v>3137</v>
      </c>
      <c r="M7007">
        <f t="shared" si="2958"/>
        <v>61</v>
      </c>
      <c r="N7007">
        <f t="shared" si="2949"/>
        <v>122</v>
      </c>
      <c r="O7007">
        <f t="shared" si="2959"/>
        <v>3120</v>
      </c>
      <c r="P7007">
        <f t="shared" si="2960"/>
        <v>-0.27868852459016391</v>
      </c>
      <c r="Q7007" t="str">
        <f t="shared" si="2950"/>
        <v>1.41% | 2.5%</v>
      </c>
      <c r="R7007" t="str">
        <f t="shared" si="2961"/>
        <v>NEUTRAL</v>
      </c>
      <c r="S7007">
        <f t="shared" si="2962"/>
        <v>0</v>
      </c>
    </row>
    <row r="7008" spans="1:19" hidden="1" x14ac:dyDescent="0.25">
      <c r="A7008" s="5" t="str">
        <f t="shared" si="2963"/>
        <v>44216FB</v>
      </c>
      <c r="B7008" s="6" t="s">
        <v>58</v>
      </c>
      <c r="C7008" s="6">
        <v>240</v>
      </c>
      <c r="D7008" s="6">
        <v>272</v>
      </c>
      <c r="E7008" s="6">
        <v>261</v>
      </c>
      <c r="F7008" t="str">
        <f t="shared" si="2951"/>
        <v>WED</v>
      </c>
      <c r="G7008" s="3">
        <f t="shared" si="2952"/>
        <v>44216</v>
      </c>
      <c r="H7008" s="2">
        <f t="shared" ca="1" si="2953"/>
        <v>37</v>
      </c>
      <c r="I7008" t="str">
        <f t="shared" si="2954"/>
        <v>FB</v>
      </c>
      <c r="J7008">
        <f t="shared" si="2955"/>
        <v>240</v>
      </c>
      <c r="K7008">
        <f t="shared" si="2956"/>
        <v>272</v>
      </c>
      <c r="L7008">
        <f t="shared" si="2957"/>
        <v>256</v>
      </c>
      <c r="M7008">
        <f t="shared" si="2958"/>
        <v>16</v>
      </c>
      <c r="N7008">
        <f t="shared" si="2949"/>
        <v>32</v>
      </c>
      <c r="O7008">
        <f t="shared" si="2959"/>
        <v>261</v>
      </c>
      <c r="P7008">
        <f t="shared" si="2960"/>
        <v>0.3125</v>
      </c>
      <c r="Q7008" t="str">
        <f t="shared" si="2950"/>
        <v>8.05% | 4.21%</v>
      </c>
      <c r="R7008" t="str">
        <f t="shared" si="2961"/>
        <v>BEARISH</v>
      </c>
      <c r="S7008">
        <f t="shared" si="2962"/>
        <v>-1</v>
      </c>
    </row>
    <row r="7009" spans="1:19" hidden="1" x14ac:dyDescent="0.25">
      <c r="A7009" s="5" t="str">
        <f t="shared" si="2963"/>
        <v>44216GOOGL</v>
      </c>
      <c r="B7009" s="6" t="s">
        <v>31</v>
      </c>
      <c r="C7009" s="6">
        <v>1701</v>
      </c>
      <c r="D7009" s="6">
        <v>1810</v>
      </c>
      <c r="E7009" s="6">
        <v>1784</v>
      </c>
      <c r="F7009" t="str">
        <f t="shared" si="2951"/>
        <v>WED</v>
      </c>
      <c r="G7009" s="3">
        <f t="shared" si="2952"/>
        <v>44216</v>
      </c>
      <c r="H7009" s="2">
        <f t="shared" ca="1" si="2953"/>
        <v>37</v>
      </c>
      <c r="I7009" t="str">
        <f t="shared" si="2954"/>
        <v>GOOGL</v>
      </c>
      <c r="J7009">
        <f t="shared" si="2955"/>
        <v>1701</v>
      </c>
      <c r="K7009">
        <f t="shared" si="2956"/>
        <v>1810</v>
      </c>
      <c r="L7009">
        <f t="shared" si="2957"/>
        <v>1755.5</v>
      </c>
      <c r="M7009">
        <f t="shared" si="2958"/>
        <v>54.5</v>
      </c>
      <c r="N7009">
        <f t="shared" si="2949"/>
        <v>109</v>
      </c>
      <c r="O7009">
        <f t="shared" si="2959"/>
        <v>1784</v>
      </c>
      <c r="P7009">
        <f t="shared" si="2960"/>
        <v>0.52293577981651373</v>
      </c>
      <c r="Q7009" t="str">
        <f t="shared" si="2950"/>
        <v>4.65% | 1.46%</v>
      </c>
      <c r="R7009" t="str">
        <f t="shared" si="2961"/>
        <v>BULLISH</v>
      </c>
      <c r="S7009">
        <f t="shared" si="2962"/>
        <v>1</v>
      </c>
    </row>
    <row r="7010" spans="1:19" hidden="1" x14ac:dyDescent="0.25">
      <c r="A7010" s="5" t="str">
        <f t="shared" si="2963"/>
        <v>44216NFLX</v>
      </c>
      <c r="B7010" s="6" t="s">
        <v>32</v>
      </c>
      <c r="C7010" s="6">
        <v>486</v>
      </c>
      <c r="D7010" s="6">
        <v>551</v>
      </c>
      <c r="E7010" s="6">
        <v>501</v>
      </c>
      <c r="F7010" t="str">
        <f t="shared" si="2951"/>
        <v>WED</v>
      </c>
      <c r="G7010" s="3">
        <f t="shared" si="2952"/>
        <v>44216</v>
      </c>
      <c r="H7010" s="2">
        <f t="shared" ca="1" si="2953"/>
        <v>37</v>
      </c>
      <c r="I7010" t="str">
        <f t="shared" si="2954"/>
        <v>NFLX</v>
      </c>
      <c r="J7010">
        <f t="shared" si="2955"/>
        <v>486</v>
      </c>
      <c r="K7010">
        <f t="shared" si="2956"/>
        <v>551</v>
      </c>
      <c r="L7010">
        <f t="shared" si="2957"/>
        <v>518.5</v>
      </c>
      <c r="M7010">
        <f t="shared" si="2958"/>
        <v>32.5</v>
      </c>
      <c r="N7010">
        <f t="shared" si="2949"/>
        <v>65</v>
      </c>
      <c r="O7010">
        <f t="shared" si="2959"/>
        <v>501</v>
      </c>
      <c r="P7010">
        <f t="shared" si="2960"/>
        <v>-0.53846153846153844</v>
      </c>
      <c r="Q7010" t="str">
        <f t="shared" si="2950"/>
        <v>2.99% | 9.98%</v>
      </c>
      <c r="R7010" t="str">
        <f t="shared" si="2961"/>
        <v>BULLISH</v>
      </c>
      <c r="S7010">
        <f t="shared" si="2962"/>
        <v>1</v>
      </c>
    </row>
    <row r="7011" spans="1:19" x14ac:dyDescent="0.25">
      <c r="A7011" s="5" t="str">
        <f t="shared" si="2963"/>
        <v>44216TSLA</v>
      </c>
      <c r="B7011" s="6" t="s">
        <v>33</v>
      </c>
      <c r="C7011" s="6">
        <v>765</v>
      </c>
      <c r="D7011" s="6">
        <v>901</v>
      </c>
      <c r="E7011" s="6">
        <v>844</v>
      </c>
      <c r="F7011" t="str">
        <f t="shared" si="2951"/>
        <v>WED</v>
      </c>
      <c r="G7011" s="3">
        <f t="shared" si="2952"/>
        <v>44216</v>
      </c>
      <c r="H7011" s="2">
        <f t="shared" ca="1" si="2953"/>
        <v>37</v>
      </c>
      <c r="I7011" t="str">
        <f t="shared" si="2954"/>
        <v>TSLA</v>
      </c>
      <c r="J7011">
        <f t="shared" si="2955"/>
        <v>765</v>
      </c>
      <c r="K7011">
        <f t="shared" si="2956"/>
        <v>901</v>
      </c>
      <c r="L7011">
        <f t="shared" si="2957"/>
        <v>833</v>
      </c>
      <c r="M7011">
        <f t="shared" si="2958"/>
        <v>68</v>
      </c>
      <c r="N7011">
        <f t="shared" si="2949"/>
        <v>136</v>
      </c>
      <c r="O7011">
        <f t="shared" si="2959"/>
        <v>844</v>
      </c>
      <c r="P7011">
        <f t="shared" si="2960"/>
        <v>0.16176470588235295</v>
      </c>
      <c r="Q7011" t="str">
        <f t="shared" si="2950"/>
        <v>9.36% | 6.75%</v>
      </c>
      <c r="R7011" t="str">
        <f t="shared" si="2961"/>
        <v>BULLISH</v>
      </c>
      <c r="S7011">
        <f t="shared" si="2962"/>
        <v>1</v>
      </c>
    </row>
    <row r="7012" spans="1:19" hidden="1" x14ac:dyDescent="0.25">
      <c r="A7012" s="5" t="str">
        <f t="shared" si="2963"/>
        <v>44216NYXBT</v>
      </c>
      <c r="B7012" s="6" t="s">
        <v>60</v>
      </c>
      <c r="C7012" s="6">
        <v>33498</v>
      </c>
      <c r="D7012" s="6">
        <v>40947</v>
      </c>
      <c r="E7012" s="6">
        <v>37212</v>
      </c>
      <c r="F7012" t="str">
        <f t="shared" si="2951"/>
        <v>WED</v>
      </c>
      <c r="G7012" s="3">
        <f t="shared" si="2952"/>
        <v>44216</v>
      </c>
      <c r="H7012" s="2">
        <f t="shared" ca="1" si="2953"/>
        <v>37</v>
      </c>
      <c r="I7012" t="str">
        <f t="shared" si="2954"/>
        <v>NYXBT</v>
      </c>
      <c r="J7012">
        <f t="shared" si="2955"/>
        <v>33498</v>
      </c>
      <c r="K7012">
        <f t="shared" si="2956"/>
        <v>40947</v>
      </c>
      <c r="L7012">
        <f t="shared" si="2957"/>
        <v>37222.5</v>
      </c>
      <c r="M7012">
        <f t="shared" si="2958"/>
        <v>3724.5</v>
      </c>
      <c r="N7012">
        <f t="shared" si="2949"/>
        <v>7449</v>
      </c>
      <c r="O7012">
        <f t="shared" si="2959"/>
        <v>37212</v>
      </c>
      <c r="P7012">
        <f t="shared" si="2960"/>
        <v>-2.8191703584373741E-3</v>
      </c>
      <c r="Q7012" t="str">
        <f t="shared" si="2950"/>
        <v>9.98% | 10.04%</v>
      </c>
      <c r="R7012" t="str">
        <f t="shared" si="2961"/>
        <v>BULLISH</v>
      </c>
      <c r="S7012">
        <f t="shared" si="2962"/>
        <v>1</v>
      </c>
    </row>
    <row r="7013" spans="1:19" hidden="1" x14ac:dyDescent="0.25">
      <c r="A7013" s="5" t="str">
        <f t="shared" si="2963"/>
        <v>44217UST10Y</v>
      </c>
      <c r="B7013" s="6" t="s">
        <v>257</v>
      </c>
      <c r="C7013" s="6">
        <v>1.19</v>
      </c>
      <c r="D7013" s="6">
        <v>1.04</v>
      </c>
      <c r="E7013" s="6">
        <v>1.1000000000000001</v>
      </c>
      <c r="F7013" t="str">
        <f t="shared" si="2951"/>
        <v>THU</v>
      </c>
      <c r="G7013" s="1">
        <f>DATE(2021,1,21)</f>
        <v>44217</v>
      </c>
      <c r="H7013" s="2">
        <f t="shared" ca="1" si="2953"/>
        <v>36</v>
      </c>
      <c r="I7013" t="str">
        <f t="shared" si="2954"/>
        <v>UST10Y</v>
      </c>
      <c r="J7013">
        <f t="shared" si="2955"/>
        <v>1.19</v>
      </c>
      <c r="K7013">
        <f t="shared" si="2956"/>
        <v>1.04</v>
      </c>
      <c r="L7013">
        <f t="shared" si="2957"/>
        <v>1.115</v>
      </c>
      <c r="M7013">
        <f t="shared" si="2958"/>
        <v>7.4999999999999956E-2</v>
      </c>
      <c r="N7013">
        <f t="shared" si="2949"/>
        <v>0.14999999999999991</v>
      </c>
      <c r="O7013">
        <f t="shared" si="2959"/>
        <v>1.1000000000000001</v>
      </c>
      <c r="P7013">
        <f t="shared" si="2960"/>
        <v>-0.19999999999999882</v>
      </c>
      <c r="Q7013" t="str">
        <f t="shared" si="2950"/>
        <v>8.18% | 5.45%</v>
      </c>
      <c r="R7013" t="str">
        <f t="shared" si="2961"/>
        <v>BULLISH</v>
      </c>
      <c r="S7013">
        <f t="shared" si="2962"/>
        <v>1</v>
      </c>
    </row>
    <row r="7014" spans="1:19" hidden="1" x14ac:dyDescent="0.25">
      <c r="A7014" s="5" t="str">
        <f t="shared" si="2963"/>
        <v>44217UST2Y</v>
      </c>
      <c r="B7014" s="6" t="s">
        <v>259</v>
      </c>
      <c r="C7014" s="6">
        <v>0.16</v>
      </c>
      <c r="D7014" s="6">
        <v>0.12</v>
      </c>
      <c r="E7014" s="6">
        <v>0.13</v>
      </c>
      <c r="F7014" t="str">
        <f t="shared" ref="F7014:F7045" si="2964">UPPER(TEXT(G7014,"ddd"))</f>
        <v>THU</v>
      </c>
      <c r="G7014" s="1">
        <f t="shared" ref="G7014:G7044" si="2965">DATE(2021,1,21)</f>
        <v>44217</v>
      </c>
      <c r="H7014" s="2">
        <f t="shared" ref="H7014:H7045" ca="1" si="2966">TODAY()-G7014</f>
        <v>36</v>
      </c>
      <c r="I7014" t="str">
        <f t="shared" ref="I7014:I7045" si="2967">TRIM(LEFT(B7014,FIND(" ",B7014,1)))</f>
        <v>UST2Y</v>
      </c>
      <c r="J7014">
        <f t="shared" ref="J7014:J7045" si="2968">C7014</f>
        <v>0.16</v>
      </c>
      <c r="K7014">
        <f t="shared" ref="K7014:K7045" si="2969">D7014</f>
        <v>0.12</v>
      </c>
      <c r="L7014">
        <f t="shared" ref="L7014:L7045" si="2970">AVERAGE(J7014:K7014)</f>
        <v>0.14000000000000001</v>
      </c>
      <c r="M7014">
        <f t="shared" ref="M7014:M7045" si="2971">_xlfn.STDEV.P(J7014:K7014)</f>
        <v>1.9999999999999938E-2</v>
      </c>
      <c r="N7014">
        <f t="shared" si="2949"/>
        <v>4.0000000000000008E-2</v>
      </c>
      <c r="O7014">
        <f t="shared" ref="O7014:O7045" si="2972">E7014</f>
        <v>0.13</v>
      </c>
      <c r="P7014">
        <f t="shared" ref="P7014:P7045" si="2973">(O7014-L7014)/M7014</f>
        <v>-0.500000000000002</v>
      </c>
      <c r="Q7014" t="str">
        <f t="shared" si="2950"/>
        <v>23.08% | 7.69%</v>
      </c>
      <c r="R7014" t="str">
        <f t="shared" ref="R7014:R7045" si="2974">MID(B7014,FIND("(",B7014,1)+1,FIND(")",B7014,1)-FIND("(",B7014,1)-1)</f>
        <v>BULLISH</v>
      </c>
      <c r="S7014">
        <f t="shared" ref="S7014:S7045" si="2975">IF(R7014="BEARISH",-1,IF(R7014="NEUTRAL",0,IF(R7014="BULLISH",1,99)))</f>
        <v>1</v>
      </c>
    </row>
    <row r="7015" spans="1:19" hidden="1" x14ac:dyDescent="0.25">
      <c r="A7015" s="5" t="str">
        <f t="shared" si="2963"/>
        <v>44217SPX</v>
      </c>
      <c r="B7015" s="6" t="s">
        <v>93</v>
      </c>
      <c r="C7015" s="6">
        <v>3760</v>
      </c>
      <c r="D7015" s="6">
        <v>3876</v>
      </c>
      <c r="E7015" s="6">
        <v>3851</v>
      </c>
      <c r="F7015" t="str">
        <f t="shared" si="2964"/>
        <v>THU</v>
      </c>
      <c r="G7015" s="1">
        <f t="shared" si="2965"/>
        <v>44217</v>
      </c>
      <c r="H7015" s="2">
        <f t="shared" ca="1" si="2966"/>
        <v>36</v>
      </c>
      <c r="I7015" t="str">
        <f t="shared" si="2967"/>
        <v>SPX</v>
      </c>
      <c r="J7015">
        <f t="shared" si="2968"/>
        <v>3760</v>
      </c>
      <c r="K7015">
        <f t="shared" si="2969"/>
        <v>3876</v>
      </c>
      <c r="L7015">
        <f t="shared" si="2970"/>
        <v>3818</v>
      </c>
      <c r="M7015">
        <f t="shared" si="2971"/>
        <v>58</v>
      </c>
      <c r="N7015">
        <f t="shared" si="2949"/>
        <v>116</v>
      </c>
      <c r="O7015">
        <f t="shared" si="2972"/>
        <v>3851</v>
      </c>
      <c r="P7015">
        <f t="shared" si="2973"/>
        <v>0.56896551724137934</v>
      </c>
      <c r="Q7015" t="str">
        <f t="shared" si="2950"/>
        <v>2.36% | 0.65%</v>
      </c>
      <c r="R7015" t="str">
        <f t="shared" si="2974"/>
        <v>BULLISH</v>
      </c>
      <c r="S7015">
        <f t="shared" si="2975"/>
        <v>1</v>
      </c>
    </row>
    <row r="7016" spans="1:19" hidden="1" x14ac:dyDescent="0.25">
      <c r="A7016" s="5" t="str">
        <f t="shared" si="2963"/>
        <v>44217RUT</v>
      </c>
      <c r="B7016" s="6" t="s">
        <v>247</v>
      </c>
      <c r="C7016" s="6">
        <v>2110</v>
      </c>
      <c r="D7016" s="6">
        <v>2176</v>
      </c>
      <c r="E7016" s="6">
        <v>2160</v>
      </c>
      <c r="F7016" t="str">
        <f t="shared" si="2964"/>
        <v>THU</v>
      </c>
      <c r="G7016" s="1">
        <f t="shared" si="2965"/>
        <v>44217</v>
      </c>
      <c r="H7016" s="2">
        <f t="shared" ca="1" si="2966"/>
        <v>36</v>
      </c>
      <c r="I7016" t="str">
        <f t="shared" si="2967"/>
        <v>RUT</v>
      </c>
      <c r="J7016">
        <f t="shared" si="2968"/>
        <v>2110</v>
      </c>
      <c r="K7016">
        <f t="shared" si="2969"/>
        <v>2176</v>
      </c>
      <c r="L7016">
        <f t="shared" si="2970"/>
        <v>2143</v>
      </c>
      <c r="M7016">
        <f t="shared" si="2971"/>
        <v>33</v>
      </c>
      <c r="N7016">
        <f t="shared" si="2949"/>
        <v>66</v>
      </c>
      <c r="O7016">
        <f t="shared" si="2972"/>
        <v>2160</v>
      </c>
      <c r="P7016">
        <f t="shared" si="2973"/>
        <v>0.51515151515151514</v>
      </c>
      <c r="Q7016" t="str">
        <f t="shared" si="2950"/>
        <v>2.31% | 0.74%</v>
      </c>
      <c r="R7016" t="str">
        <f t="shared" si="2974"/>
        <v>BULLISH</v>
      </c>
      <c r="S7016">
        <f t="shared" si="2975"/>
        <v>1</v>
      </c>
    </row>
    <row r="7017" spans="1:19" hidden="1" x14ac:dyDescent="0.25">
      <c r="A7017" s="5" t="str">
        <f t="shared" si="2963"/>
        <v>44217COMPQ</v>
      </c>
      <c r="B7017" s="6" t="s">
        <v>8</v>
      </c>
      <c r="C7017" s="6">
        <v>12885</v>
      </c>
      <c r="D7017" s="6">
        <v>13595</v>
      </c>
      <c r="E7017" s="6">
        <v>13457</v>
      </c>
      <c r="F7017" t="str">
        <f t="shared" si="2964"/>
        <v>THU</v>
      </c>
      <c r="G7017" s="1">
        <f t="shared" si="2965"/>
        <v>44217</v>
      </c>
      <c r="H7017" s="2">
        <f t="shared" ca="1" si="2966"/>
        <v>36</v>
      </c>
      <c r="I7017" t="str">
        <f t="shared" si="2967"/>
        <v>COMPQ</v>
      </c>
      <c r="J7017">
        <f t="shared" si="2968"/>
        <v>12885</v>
      </c>
      <c r="K7017">
        <f t="shared" si="2969"/>
        <v>13595</v>
      </c>
      <c r="L7017">
        <f t="shared" si="2970"/>
        <v>13240</v>
      </c>
      <c r="M7017">
        <f t="shared" si="2971"/>
        <v>355</v>
      </c>
      <c r="N7017">
        <f t="shared" si="2949"/>
        <v>710</v>
      </c>
      <c r="O7017">
        <f t="shared" si="2972"/>
        <v>13457</v>
      </c>
      <c r="P7017">
        <f t="shared" si="2973"/>
        <v>0.61126760563380278</v>
      </c>
      <c r="Q7017" t="str">
        <f t="shared" si="2950"/>
        <v>4.25% | 1.03%</v>
      </c>
      <c r="R7017" t="str">
        <f t="shared" si="2974"/>
        <v>BULLISH</v>
      </c>
      <c r="S7017">
        <f t="shared" si="2975"/>
        <v>1</v>
      </c>
    </row>
    <row r="7018" spans="1:19" hidden="1" x14ac:dyDescent="0.25">
      <c r="A7018" s="5" t="str">
        <f t="shared" si="2963"/>
        <v>44217XLK</v>
      </c>
      <c r="B7018" s="6" t="s">
        <v>10</v>
      </c>
      <c r="C7018" s="6">
        <v>127.49</v>
      </c>
      <c r="D7018" s="6">
        <v>131.99</v>
      </c>
      <c r="E7018" s="6">
        <v>131.63999999999999</v>
      </c>
      <c r="F7018" t="str">
        <f t="shared" si="2964"/>
        <v>THU</v>
      </c>
      <c r="G7018" s="1">
        <f t="shared" si="2965"/>
        <v>44217</v>
      </c>
      <c r="H7018" s="2">
        <f t="shared" ca="1" si="2966"/>
        <v>36</v>
      </c>
      <c r="I7018" t="str">
        <f t="shared" si="2967"/>
        <v>XLK</v>
      </c>
      <c r="J7018">
        <f t="shared" si="2968"/>
        <v>127.49</v>
      </c>
      <c r="K7018">
        <f t="shared" si="2969"/>
        <v>131.99</v>
      </c>
      <c r="L7018">
        <f t="shared" si="2970"/>
        <v>129.74</v>
      </c>
      <c r="M7018">
        <f t="shared" si="2971"/>
        <v>2.2500000000000071</v>
      </c>
      <c r="N7018">
        <f t="shared" si="2949"/>
        <v>4.5000000000000142</v>
      </c>
      <c r="O7018">
        <f t="shared" si="2972"/>
        <v>131.63999999999999</v>
      </c>
      <c r="P7018">
        <f t="shared" si="2973"/>
        <v>0.84444444444443167</v>
      </c>
      <c r="Q7018" t="str">
        <f t="shared" si="2950"/>
        <v>3.15% | 0.27%</v>
      </c>
      <c r="R7018" t="str">
        <f t="shared" si="2974"/>
        <v>BULLISH</v>
      </c>
      <c r="S7018">
        <f t="shared" si="2975"/>
        <v>1</v>
      </c>
    </row>
    <row r="7019" spans="1:19" hidden="1" x14ac:dyDescent="0.25">
      <c r="A7019" s="5" t="str">
        <f t="shared" si="2963"/>
        <v>44217XLE</v>
      </c>
      <c r="B7019" s="6" t="s">
        <v>250</v>
      </c>
      <c r="C7019" s="6">
        <v>40.5</v>
      </c>
      <c r="D7019" s="6">
        <v>45.1</v>
      </c>
      <c r="E7019" s="6">
        <v>43.77</v>
      </c>
      <c r="F7019" t="str">
        <f t="shared" si="2964"/>
        <v>THU</v>
      </c>
      <c r="G7019" s="1">
        <f t="shared" si="2965"/>
        <v>44217</v>
      </c>
      <c r="H7019" s="2">
        <f t="shared" ca="1" si="2966"/>
        <v>36</v>
      </c>
      <c r="I7019" t="str">
        <f t="shared" si="2967"/>
        <v>XLE</v>
      </c>
      <c r="J7019">
        <f t="shared" si="2968"/>
        <v>40.5</v>
      </c>
      <c r="K7019">
        <f t="shared" si="2969"/>
        <v>45.1</v>
      </c>
      <c r="L7019">
        <f t="shared" si="2970"/>
        <v>42.8</v>
      </c>
      <c r="M7019">
        <f t="shared" si="2971"/>
        <v>2.3000000000000007</v>
      </c>
      <c r="N7019">
        <f t="shared" si="2949"/>
        <v>4.6000000000000014</v>
      </c>
      <c r="O7019">
        <f t="shared" si="2972"/>
        <v>43.77</v>
      </c>
      <c r="P7019">
        <f t="shared" si="2973"/>
        <v>0.42173913043478506</v>
      </c>
      <c r="Q7019" t="str">
        <f t="shared" si="2950"/>
        <v>7.47% | 3.04%</v>
      </c>
      <c r="R7019" t="str">
        <f t="shared" si="2974"/>
        <v>BULLISH</v>
      </c>
      <c r="S7019">
        <f t="shared" si="2975"/>
        <v>1</v>
      </c>
    </row>
    <row r="7020" spans="1:19" hidden="1" x14ac:dyDescent="0.25">
      <c r="A7020" s="5" t="str">
        <f t="shared" si="2963"/>
        <v>44217XLF</v>
      </c>
      <c r="B7020" s="6" t="s">
        <v>258</v>
      </c>
      <c r="C7020" s="6">
        <v>30.19</v>
      </c>
      <c r="D7020" s="6">
        <v>31.91</v>
      </c>
      <c r="E7020" s="6">
        <v>30.89</v>
      </c>
      <c r="F7020" t="str">
        <f t="shared" si="2964"/>
        <v>THU</v>
      </c>
      <c r="G7020" s="1">
        <f t="shared" si="2965"/>
        <v>44217</v>
      </c>
      <c r="H7020" s="2">
        <f t="shared" ca="1" si="2966"/>
        <v>36</v>
      </c>
      <c r="I7020" t="str">
        <f t="shared" si="2967"/>
        <v>XLF</v>
      </c>
      <c r="J7020">
        <f t="shared" si="2968"/>
        <v>30.19</v>
      </c>
      <c r="K7020">
        <f t="shared" si="2969"/>
        <v>31.91</v>
      </c>
      <c r="L7020">
        <f t="shared" si="2970"/>
        <v>31.05</v>
      </c>
      <c r="M7020">
        <f t="shared" si="2971"/>
        <v>0.85999999999999943</v>
      </c>
      <c r="N7020">
        <f t="shared" si="2949"/>
        <v>1.7199999999999989</v>
      </c>
      <c r="O7020">
        <f t="shared" si="2972"/>
        <v>30.89</v>
      </c>
      <c r="P7020">
        <f t="shared" si="2973"/>
        <v>-0.18604651162790725</v>
      </c>
      <c r="Q7020" t="str">
        <f t="shared" si="2950"/>
        <v>2.27% | 3.3%</v>
      </c>
      <c r="R7020" t="str">
        <f t="shared" si="2974"/>
        <v>BULLISH</v>
      </c>
      <c r="S7020">
        <f t="shared" si="2975"/>
        <v>1</v>
      </c>
    </row>
    <row r="7021" spans="1:19" hidden="1" x14ac:dyDescent="0.25">
      <c r="A7021" s="5" t="str">
        <f t="shared" si="2963"/>
        <v>44217XLU</v>
      </c>
      <c r="B7021" s="6" t="s">
        <v>82</v>
      </c>
      <c r="C7021" s="6">
        <v>61.23</v>
      </c>
      <c r="D7021" s="6">
        <v>63.56</v>
      </c>
      <c r="E7021" s="6">
        <v>63.12</v>
      </c>
      <c r="F7021" t="str">
        <f t="shared" si="2964"/>
        <v>THU</v>
      </c>
      <c r="G7021" s="1">
        <f t="shared" si="2965"/>
        <v>44217</v>
      </c>
      <c r="H7021" s="2">
        <f t="shared" ca="1" si="2966"/>
        <v>36</v>
      </c>
      <c r="I7021" t="str">
        <f t="shared" si="2967"/>
        <v>XLU</v>
      </c>
      <c r="J7021">
        <f t="shared" si="2968"/>
        <v>61.23</v>
      </c>
      <c r="K7021">
        <f t="shared" si="2969"/>
        <v>63.56</v>
      </c>
      <c r="L7021">
        <f t="shared" si="2970"/>
        <v>62.394999999999996</v>
      </c>
      <c r="M7021">
        <f t="shared" si="2971"/>
        <v>1.1650000000000027</v>
      </c>
      <c r="N7021">
        <f t="shared" si="2949"/>
        <v>2.3300000000000054</v>
      </c>
      <c r="O7021">
        <f t="shared" si="2972"/>
        <v>63.12</v>
      </c>
      <c r="P7021">
        <f t="shared" si="2973"/>
        <v>0.62231759656652341</v>
      </c>
      <c r="Q7021" t="str">
        <f t="shared" si="2950"/>
        <v>2.99% | 0.7%</v>
      </c>
      <c r="R7021" t="str">
        <f t="shared" si="2974"/>
        <v>BEARISH</v>
      </c>
      <c r="S7021">
        <f t="shared" si="2975"/>
        <v>-1</v>
      </c>
    </row>
    <row r="7022" spans="1:19" hidden="1" x14ac:dyDescent="0.25">
      <c r="A7022" s="5" t="str">
        <f t="shared" si="2963"/>
        <v>44217GDX</v>
      </c>
      <c r="B7022" s="6" t="s">
        <v>254</v>
      </c>
      <c r="C7022" s="6">
        <v>33.56</v>
      </c>
      <c r="D7022" s="6">
        <v>36.909999999999997</v>
      </c>
      <c r="E7022" s="6">
        <v>36.04</v>
      </c>
      <c r="F7022" t="str">
        <f t="shared" si="2964"/>
        <v>THU</v>
      </c>
      <c r="G7022" s="1">
        <f t="shared" si="2965"/>
        <v>44217</v>
      </c>
      <c r="H7022" s="2">
        <f t="shared" ca="1" si="2966"/>
        <v>36</v>
      </c>
      <c r="I7022" t="str">
        <f t="shared" si="2967"/>
        <v>GDX</v>
      </c>
      <c r="J7022">
        <f t="shared" si="2968"/>
        <v>33.56</v>
      </c>
      <c r="K7022">
        <f t="shared" si="2969"/>
        <v>36.909999999999997</v>
      </c>
      <c r="L7022">
        <f t="shared" si="2970"/>
        <v>35.234999999999999</v>
      </c>
      <c r="M7022">
        <f t="shared" si="2971"/>
        <v>1.6749999999999972</v>
      </c>
      <c r="N7022">
        <f t="shared" si="2949"/>
        <v>3.3499999999999943</v>
      </c>
      <c r="O7022">
        <f t="shared" si="2972"/>
        <v>36.04</v>
      </c>
      <c r="P7022">
        <f t="shared" si="2973"/>
        <v>0.48059701492537377</v>
      </c>
      <c r="Q7022" t="str">
        <f t="shared" si="2950"/>
        <v>6.88% | 2.41%</v>
      </c>
      <c r="R7022" t="str">
        <f t="shared" si="2974"/>
        <v>BEARISH</v>
      </c>
      <c r="S7022">
        <f t="shared" si="2975"/>
        <v>-1</v>
      </c>
    </row>
    <row r="7023" spans="1:19" hidden="1" x14ac:dyDescent="0.25">
      <c r="A7023" s="5" t="str">
        <f t="shared" si="2963"/>
        <v>44217SSEC</v>
      </c>
      <c r="B7023" s="6" t="s">
        <v>104</v>
      </c>
      <c r="C7023" s="6">
        <v>3534</v>
      </c>
      <c r="D7023" s="6">
        <v>3640</v>
      </c>
      <c r="E7023" s="6">
        <v>3621</v>
      </c>
      <c r="F7023" t="str">
        <f t="shared" si="2964"/>
        <v>THU</v>
      </c>
      <c r="G7023" s="1">
        <f t="shared" si="2965"/>
        <v>44217</v>
      </c>
      <c r="H7023" s="2">
        <f t="shared" ca="1" si="2966"/>
        <v>36</v>
      </c>
      <c r="I7023" t="str">
        <f t="shared" si="2967"/>
        <v>SSEC</v>
      </c>
      <c r="J7023">
        <f t="shared" si="2968"/>
        <v>3534</v>
      </c>
      <c r="K7023">
        <f t="shared" si="2969"/>
        <v>3640</v>
      </c>
      <c r="L7023">
        <f t="shared" si="2970"/>
        <v>3587</v>
      </c>
      <c r="M7023">
        <f t="shared" si="2971"/>
        <v>53</v>
      </c>
      <c r="N7023">
        <f t="shared" si="2949"/>
        <v>106</v>
      </c>
      <c r="O7023">
        <f t="shared" si="2972"/>
        <v>3621</v>
      </c>
      <c r="P7023">
        <f t="shared" si="2973"/>
        <v>0.64150943396226412</v>
      </c>
      <c r="Q7023" t="str">
        <f t="shared" si="2950"/>
        <v>2.4% | 0.52%</v>
      </c>
      <c r="R7023" t="str">
        <f t="shared" si="2974"/>
        <v>BULLISH</v>
      </c>
      <c r="S7023">
        <f t="shared" si="2975"/>
        <v>1</v>
      </c>
    </row>
    <row r="7024" spans="1:19" hidden="1" x14ac:dyDescent="0.25">
      <c r="A7024" s="5" t="str">
        <f t="shared" si="2963"/>
        <v>44217NIKK</v>
      </c>
      <c r="B7024" s="6" t="s">
        <v>91</v>
      </c>
      <c r="C7024" s="6">
        <v>27628</v>
      </c>
      <c r="D7024" s="6">
        <v>29035</v>
      </c>
      <c r="E7024" s="6">
        <v>28756</v>
      </c>
      <c r="F7024" t="str">
        <f t="shared" si="2964"/>
        <v>THU</v>
      </c>
      <c r="G7024" s="1">
        <f t="shared" si="2965"/>
        <v>44217</v>
      </c>
      <c r="H7024" s="2">
        <f t="shared" ca="1" si="2966"/>
        <v>36</v>
      </c>
      <c r="I7024" t="str">
        <f t="shared" si="2967"/>
        <v>NIKK</v>
      </c>
      <c r="J7024">
        <f t="shared" si="2968"/>
        <v>27628</v>
      </c>
      <c r="K7024">
        <f t="shared" si="2969"/>
        <v>29035</v>
      </c>
      <c r="L7024">
        <f t="shared" si="2970"/>
        <v>28331.5</v>
      </c>
      <c r="M7024">
        <f t="shared" si="2971"/>
        <v>703.5</v>
      </c>
      <c r="N7024">
        <f t="shared" si="2949"/>
        <v>1407</v>
      </c>
      <c r="O7024">
        <f t="shared" si="2972"/>
        <v>28756</v>
      </c>
      <c r="P7024">
        <f t="shared" si="2973"/>
        <v>0.60341151385927505</v>
      </c>
      <c r="Q7024" t="str">
        <f t="shared" si="2950"/>
        <v>3.92% | 0.97%</v>
      </c>
      <c r="R7024" t="str">
        <f t="shared" si="2974"/>
        <v>BULLISH</v>
      </c>
      <c r="S7024">
        <f t="shared" si="2975"/>
        <v>1</v>
      </c>
    </row>
    <row r="7025" spans="1:19" hidden="1" x14ac:dyDescent="0.25">
      <c r="A7025" s="5" t="str">
        <f t="shared" si="2963"/>
        <v>44217DAX</v>
      </c>
      <c r="B7025" s="6" t="s">
        <v>98</v>
      </c>
      <c r="C7025" s="6">
        <v>13705</v>
      </c>
      <c r="D7025" s="6">
        <v>14089</v>
      </c>
      <c r="E7025" s="6">
        <v>13921</v>
      </c>
      <c r="F7025" t="str">
        <f t="shared" si="2964"/>
        <v>THU</v>
      </c>
      <c r="G7025" s="1">
        <f t="shared" si="2965"/>
        <v>44217</v>
      </c>
      <c r="H7025" s="2">
        <f t="shared" ca="1" si="2966"/>
        <v>36</v>
      </c>
      <c r="I7025" t="str">
        <f t="shared" si="2967"/>
        <v>DAX</v>
      </c>
      <c r="J7025">
        <f t="shared" si="2968"/>
        <v>13705</v>
      </c>
      <c r="K7025">
        <f t="shared" si="2969"/>
        <v>14089</v>
      </c>
      <c r="L7025">
        <f t="shared" si="2970"/>
        <v>13897</v>
      </c>
      <c r="M7025">
        <f t="shared" si="2971"/>
        <v>192</v>
      </c>
      <c r="N7025">
        <f t="shared" si="2949"/>
        <v>384</v>
      </c>
      <c r="O7025">
        <f t="shared" si="2972"/>
        <v>13921</v>
      </c>
      <c r="P7025">
        <f t="shared" si="2973"/>
        <v>0.125</v>
      </c>
      <c r="Q7025" t="str">
        <f t="shared" si="2950"/>
        <v>1.55% | 1.21%</v>
      </c>
      <c r="R7025" t="str">
        <f t="shared" si="2974"/>
        <v>BULLISH</v>
      </c>
      <c r="S7025">
        <f t="shared" si="2975"/>
        <v>1</v>
      </c>
    </row>
    <row r="7026" spans="1:19" hidden="1" x14ac:dyDescent="0.25">
      <c r="A7026" s="5" t="str">
        <f t="shared" si="2963"/>
        <v>44217VIX</v>
      </c>
      <c r="B7026" s="6" t="s">
        <v>96</v>
      </c>
      <c r="C7026" s="6">
        <v>20.58</v>
      </c>
      <c r="D7026" s="6">
        <v>24.99</v>
      </c>
      <c r="E7026" s="6">
        <v>21.58</v>
      </c>
      <c r="F7026" t="str">
        <f t="shared" si="2964"/>
        <v>THU</v>
      </c>
      <c r="G7026" s="1">
        <f t="shared" si="2965"/>
        <v>44217</v>
      </c>
      <c r="H7026" s="2">
        <f t="shared" ca="1" si="2966"/>
        <v>36</v>
      </c>
      <c r="I7026" t="str">
        <f t="shared" si="2967"/>
        <v>VIX</v>
      </c>
      <c r="J7026">
        <f t="shared" si="2968"/>
        <v>20.58</v>
      </c>
      <c r="K7026">
        <f t="shared" si="2969"/>
        <v>24.99</v>
      </c>
      <c r="L7026">
        <f t="shared" si="2970"/>
        <v>22.784999999999997</v>
      </c>
      <c r="M7026">
        <f t="shared" si="2971"/>
        <v>2.2050000000000001</v>
      </c>
      <c r="N7026">
        <f t="shared" si="2949"/>
        <v>4.41</v>
      </c>
      <c r="O7026">
        <f t="shared" si="2972"/>
        <v>21.58</v>
      </c>
      <c r="P7026">
        <f t="shared" si="2973"/>
        <v>-0.54648526077097426</v>
      </c>
      <c r="Q7026" t="str">
        <f t="shared" si="2950"/>
        <v>4.63% | 15.8%</v>
      </c>
      <c r="R7026" t="str">
        <f t="shared" si="2974"/>
        <v>BEARISH</v>
      </c>
      <c r="S7026">
        <f t="shared" si="2975"/>
        <v>-1</v>
      </c>
    </row>
    <row r="7027" spans="1:19" hidden="1" x14ac:dyDescent="0.25">
      <c r="A7027" s="5" t="str">
        <f t="shared" si="2963"/>
        <v>44217USD</v>
      </c>
      <c r="B7027" s="6" t="s">
        <v>94</v>
      </c>
      <c r="C7027" s="6">
        <v>89.35</v>
      </c>
      <c r="D7027" s="6">
        <v>90.85</v>
      </c>
      <c r="E7027" s="6">
        <v>90.47</v>
      </c>
      <c r="F7027" t="str">
        <f t="shared" si="2964"/>
        <v>THU</v>
      </c>
      <c r="G7027" s="1">
        <f t="shared" si="2965"/>
        <v>44217</v>
      </c>
      <c r="H7027" s="2">
        <f t="shared" ca="1" si="2966"/>
        <v>36</v>
      </c>
      <c r="I7027" t="str">
        <f t="shared" si="2967"/>
        <v>USD</v>
      </c>
      <c r="J7027">
        <f t="shared" si="2968"/>
        <v>89.35</v>
      </c>
      <c r="K7027">
        <f t="shared" si="2969"/>
        <v>90.85</v>
      </c>
      <c r="L7027">
        <f t="shared" si="2970"/>
        <v>90.1</v>
      </c>
      <c r="M7027">
        <f t="shared" si="2971"/>
        <v>0.75</v>
      </c>
      <c r="N7027">
        <f t="shared" si="2949"/>
        <v>1.5</v>
      </c>
      <c r="O7027">
        <f t="shared" si="2972"/>
        <v>90.47</v>
      </c>
      <c r="P7027">
        <f t="shared" si="2973"/>
        <v>0.4933333333333394</v>
      </c>
      <c r="Q7027" t="str">
        <f t="shared" si="2950"/>
        <v>1.24% | 0.42%</v>
      </c>
      <c r="R7027" t="str">
        <f t="shared" si="2974"/>
        <v>BEARISH</v>
      </c>
      <c r="S7027">
        <f t="shared" si="2975"/>
        <v>-1</v>
      </c>
    </row>
    <row r="7028" spans="1:19" hidden="1" x14ac:dyDescent="0.25">
      <c r="A7028" s="5" t="str">
        <f t="shared" si="2963"/>
        <v>44217EUR/USD</v>
      </c>
      <c r="B7028" s="6" t="s">
        <v>99</v>
      </c>
      <c r="C7028" s="6">
        <v>1.206</v>
      </c>
      <c r="D7028" s="6">
        <v>1.2310000000000001</v>
      </c>
      <c r="E7028" s="6">
        <v>1.2110000000000001</v>
      </c>
      <c r="F7028" t="str">
        <f t="shared" si="2964"/>
        <v>THU</v>
      </c>
      <c r="G7028" s="1">
        <f t="shared" si="2965"/>
        <v>44217</v>
      </c>
      <c r="H7028" s="2">
        <f t="shared" ca="1" si="2966"/>
        <v>36</v>
      </c>
      <c r="I7028" t="str">
        <f t="shared" si="2967"/>
        <v>EUR/USD</v>
      </c>
      <c r="J7028">
        <f t="shared" si="2968"/>
        <v>1.206</v>
      </c>
      <c r="K7028">
        <f t="shared" si="2969"/>
        <v>1.2310000000000001</v>
      </c>
      <c r="L7028">
        <f t="shared" si="2970"/>
        <v>1.2185000000000001</v>
      </c>
      <c r="M7028">
        <f t="shared" si="2971"/>
        <v>1.2500000000000067E-2</v>
      </c>
      <c r="N7028">
        <f t="shared" si="2949"/>
        <v>2.5000000000000133E-2</v>
      </c>
      <c r="O7028">
        <f t="shared" si="2972"/>
        <v>1.2110000000000001</v>
      </c>
      <c r="P7028">
        <f t="shared" si="2973"/>
        <v>-0.60000000000000175</v>
      </c>
      <c r="Q7028" t="str">
        <f t="shared" si="2950"/>
        <v>0.41% | 1.65%</v>
      </c>
      <c r="R7028" t="str">
        <f t="shared" si="2974"/>
        <v>BULLISH</v>
      </c>
      <c r="S7028">
        <f t="shared" si="2975"/>
        <v>1</v>
      </c>
    </row>
    <row r="7029" spans="1:19" hidden="1" x14ac:dyDescent="0.25">
      <c r="A7029" s="5" t="str">
        <f t="shared" si="2963"/>
        <v>44217USD/JPY</v>
      </c>
      <c r="B7029" s="6" t="s">
        <v>20</v>
      </c>
      <c r="C7029" s="6">
        <v>102.99</v>
      </c>
      <c r="D7029" s="6">
        <v>104.31</v>
      </c>
      <c r="E7029" s="6">
        <v>103.54</v>
      </c>
      <c r="F7029" t="str">
        <f t="shared" si="2964"/>
        <v>THU</v>
      </c>
      <c r="G7029" s="1">
        <f t="shared" si="2965"/>
        <v>44217</v>
      </c>
      <c r="H7029" s="2">
        <f t="shared" ca="1" si="2966"/>
        <v>36</v>
      </c>
      <c r="I7029" t="str">
        <f t="shared" si="2967"/>
        <v>USD/JPY</v>
      </c>
      <c r="J7029">
        <f t="shared" si="2968"/>
        <v>102.99</v>
      </c>
      <c r="K7029">
        <f t="shared" si="2969"/>
        <v>104.31</v>
      </c>
      <c r="L7029">
        <f t="shared" si="2970"/>
        <v>103.65</v>
      </c>
      <c r="M7029">
        <f t="shared" si="2971"/>
        <v>0.66000000000000369</v>
      </c>
      <c r="N7029">
        <f t="shared" si="2949"/>
        <v>1.3200000000000074</v>
      </c>
      <c r="O7029">
        <f t="shared" si="2972"/>
        <v>103.54</v>
      </c>
      <c r="P7029">
        <f t="shared" si="2973"/>
        <v>-0.16666666666666488</v>
      </c>
      <c r="Q7029" t="str">
        <f t="shared" si="2950"/>
        <v>0.53% | 0.74%</v>
      </c>
      <c r="R7029" t="str">
        <f t="shared" si="2974"/>
        <v>BEARISH</v>
      </c>
      <c r="S7029">
        <f t="shared" si="2975"/>
        <v>-1</v>
      </c>
    </row>
    <row r="7030" spans="1:19" hidden="1" x14ac:dyDescent="0.25">
      <c r="A7030" s="5" t="str">
        <f t="shared" si="2963"/>
        <v>44217GBP/USD</v>
      </c>
      <c r="B7030" s="6" t="s">
        <v>102</v>
      </c>
      <c r="C7030" s="6">
        <v>1.353</v>
      </c>
      <c r="D7030" s="6">
        <v>1.373</v>
      </c>
      <c r="E7030" s="6">
        <v>1.3660000000000001</v>
      </c>
      <c r="F7030" t="str">
        <f t="shared" si="2964"/>
        <v>THU</v>
      </c>
      <c r="G7030" s="1">
        <f t="shared" si="2965"/>
        <v>44217</v>
      </c>
      <c r="H7030" s="2">
        <f t="shared" ca="1" si="2966"/>
        <v>36</v>
      </c>
      <c r="I7030" t="str">
        <f t="shared" si="2967"/>
        <v>GBP/USD</v>
      </c>
      <c r="J7030">
        <f t="shared" si="2968"/>
        <v>1.353</v>
      </c>
      <c r="K7030">
        <f t="shared" si="2969"/>
        <v>1.373</v>
      </c>
      <c r="L7030">
        <f t="shared" si="2970"/>
        <v>1.363</v>
      </c>
      <c r="M7030">
        <f t="shared" si="2971"/>
        <v>1.0000000000000009E-2</v>
      </c>
      <c r="N7030">
        <f t="shared" si="2949"/>
        <v>2.0000000000000018E-2</v>
      </c>
      <c r="O7030">
        <f t="shared" si="2972"/>
        <v>1.3660000000000001</v>
      </c>
      <c r="P7030">
        <f t="shared" si="2973"/>
        <v>0.30000000000001109</v>
      </c>
      <c r="Q7030" t="str">
        <f t="shared" si="2950"/>
        <v>0.95% | 0.51%</v>
      </c>
      <c r="R7030" t="str">
        <f t="shared" si="2974"/>
        <v>BULLISH</v>
      </c>
      <c r="S7030">
        <f t="shared" si="2975"/>
        <v>1</v>
      </c>
    </row>
    <row r="7031" spans="1:19" hidden="1" x14ac:dyDescent="0.25">
      <c r="A7031" s="5" t="str">
        <f t="shared" si="2963"/>
        <v>44217CAD/USD</v>
      </c>
      <c r="B7031" s="6" t="s">
        <v>244</v>
      </c>
      <c r="C7031" s="6">
        <v>0.78</v>
      </c>
      <c r="D7031" s="6">
        <v>0.8</v>
      </c>
      <c r="E7031" s="6">
        <v>0.79</v>
      </c>
      <c r="F7031" t="str">
        <f t="shared" si="2964"/>
        <v>THU</v>
      </c>
      <c r="G7031" s="1">
        <f t="shared" si="2965"/>
        <v>44217</v>
      </c>
      <c r="H7031" s="2">
        <f t="shared" ca="1" si="2966"/>
        <v>36</v>
      </c>
      <c r="I7031" t="str">
        <f t="shared" si="2967"/>
        <v>CAD/USD</v>
      </c>
      <c r="J7031">
        <f t="shared" si="2968"/>
        <v>0.78</v>
      </c>
      <c r="K7031">
        <f t="shared" si="2969"/>
        <v>0.8</v>
      </c>
      <c r="L7031">
        <f t="shared" si="2970"/>
        <v>0.79</v>
      </c>
      <c r="M7031">
        <f t="shared" si="2971"/>
        <v>1.0000000000000009E-2</v>
      </c>
      <c r="N7031">
        <f t="shared" si="2949"/>
        <v>2.0000000000000018E-2</v>
      </c>
      <c r="O7031">
        <f t="shared" si="2972"/>
        <v>0.79</v>
      </c>
      <c r="P7031">
        <f t="shared" si="2973"/>
        <v>0</v>
      </c>
      <c r="Q7031" t="str">
        <f t="shared" si="2950"/>
        <v>1.27% | 1.27%</v>
      </c>
      <c r="R7031" t="str">
        <f t="shared" si="2974"/>
        <v>BULLISH</v>
      </c>
      <c r="S7031">
        <f t="shared" si="2975"/>
        <v>1</v>
      </c>
    </row>
    <row r="7032" spans="1:19" hidden="1" x14ac:dyDescent="0.25">
      <c r="A7032" s="5" t="str">
        <f t="shared" si="2963"/>
        <v>44217USD/CHF</v>
      </c>
      <c r="B7032" s="6" t="s">
        <v>76</v>
      </c>
      <c r="C7032" s="6">
        <v>0.87</v>
      </c>
      <c r="D7032" s="6">
        <v>0.89</v>
      </c>
      <c r="E7032" s="6">
        <v>0.89</v>
      </c>
      <c r="F7032" t="str">
        <f t="shared" si="2964"/>
        <v>THU</v>
      </c>
      <c r="G7032" s="1">
        <f t="shared" si="2965"/>
        <v>44217</v>
      </c>
      <c r="H7032" s="2">
        <f t="shared" ca="1" si="2966"/>
        <v>36</v>
      </c>
      <c r="I7032" t="str">
        <f t="shared" si="2967"/>
        <v>USD/CHF</v>
      </c>
      <c r="J7032">
        <f t="shared" si="2968"/>
        <v>0.87</v>
      </c>
      <c r="K7032">
        <f t="shared" si="2969"/>
        <v>0.89</v>
      </c>
      <c r="L7032">
        <f t="shared" si="2970"/>
        <v>0.88</v>
      </c>
      <c r="M7032">
        <f t="shared" si="2971"/>
        <v>1.0000000000000009E-2</v>
      </c>
      <c r="N7032">
        <f t="shared" si="2949"/>
        <v>2.0000000000000018E-2</v>
      </c>
      <c r="O7032">
        <f t="shared" si="2972"/>
        <v>0.89</v>
      </c>
      <c r="P7032">
        <f t="shared" si="2973"/>
        <v>1</v>
      </c>
      <c r="Q7032" t="str">
        <f t="shared" si="2950"/>
        <v>2.25% | 0%</v>
      </c>
      <c r="R7032" t="str">
        <f t="shared" si="2974"/>
        <v>BEARISH</v>
      </c>
      <c r="S7032">
        <f t="shared" si="2975"/>
        <v>-1</v>
      </c>
    </row>
    <row r="7033" spans="1:19" hidden="1" x14ac:dyDescent="0.25">
      <c r="A7033" s="5" t="str">
        <f t="shared" si="2963"/>
        <v>44217WTIC</v>
      </c>
      <c r="B7033" s="6" t="s">
        <v>158</v>
      </c>
      <c r="C7033" s="6">
        <v>51</v>
      </c>
      <c r="D7033" s="6">
        <v>54.29</v>
      </c>
      <c r="E7033" s="6">
        <v>53.31</v>
      </c>
      <c r="F7033" t="str">
        <f t="shared" si="2964"/>
        <v>THU</v>
      </c>
      <c r="G7033" s="1">
        <f t="shared" si="2965"/>
        <v>44217</v>
      </c>
      <c r="H7033" s="2">
        <f t="shared" ca="1" si="2966"/>
        <v>36</v>
      </c>
      <c r="I7033" t="str">
        <f t="shared" si="2967"/>
        <v>WTIC</v>
      </c>
      <c r="J7033">
        <f t="shared" si="2968"/>
        <v>51</v>
      </c>
      <c r="K7033">
        <f t="shared" si="2969"/>
        <v>54.29</v>
      </c>
      <c r="L7033">
        <f t="shared" si="2970"/>
        <v>52.644999999999996</v>
      </c>
      <c r="M7033">
        <f t="shared" si="2971"/>
        <v>1.6449999999999996</v>
      </c>
      <c r="N7033">
        <f t="shared" si="2949"/>
        <v>3.2899999999999991</v>
      </c>
      <c r="O7033">
        <f t="shared" si="2972"/>
        <v>53.31</v>
      </c>
      <c r="P7033">
        <f t="shared" si="2973"/>
        <v>0.40425531914894008</v>
      </c>
      <c r="Q7033" t="str">
        <f t="shared" si="2950"/>
        <v>4.33% | 1.84%</v>
      </c>
      <c r="R7033" t="str">
        <f t="shared" si="2974"/>
        <v>BULLISH</v>
      </c>
      <c r="S7033">
        <f t="shared" si="2975"/>
        <v>1</v>
      </c>
    </row>
    <row r="7034" spans="1:19" hidden="1" x14ac:dyDescent="0.25">
      <c r="A7034" s="5" t="str">
        <f t="shared" si="2963"/>
        <v>44217NATGAS</v>
      </c>
      <c r="B7034" s="6" t="s">
        <v>24</v>
      </c>
      <c r="C7034" s="6">
        <v>2.41</v>
      </c>
      <c r="D7034" s="6">
        <v>2.8</v>
      </c>
      <c r="E7034" s="6">
        <v>2.54</v>
      </c>
      <c r="F7034" t="str">
        <f t="shared" si="2964"/>
        <v>THU</v>
      </c>
      <c r="G7034" s="1">
        <f t="shared" si="2965"/>
        <v>44217</v>
      </c>
      <c r="H7034" s="2">
        <f t="shared" ca="1" si="2966"/>
        <v>36</v>
      </c>
      <c r="I7034" t="str">
        <f t="shared" si="2967"/>
        <v>NATGAS</v>
      </c>
      <c r="J7034">
        <f t="shared" si="2968"/>
        <v>2.41</v>
      </c>
      <c r="K7034">
        <f t="shared" si="2969"/>
        <v>2.8</v>
      </c>
      <c r="L7034">
        <f t="shared" si="2970"/>
        <v>2.605</v>
      </c>
      <c r="M7034">
        <f t="shared" si="2971"/>
        <v>0.19499999999999984</v>
      </c>
      <c r="N7034">
        <f t="shared" si="2949"/>
        <v>0.38999999999999968</v>
      </c>
      <c r="O7034">
        <f t="shared" si="2972"/>
        <v>2.54</v>
      </c>
      <c r="P7034">
        <f t="shared" si="2973"/>
        <v>-0.33333333333333331</v>
      </c>
      <c r="Q7034" t="str">
        <f t="shared" si="2950"/>
        <v>5.12% | 10.24%</v>
      </c>
      <c r="R7034" t="str">
        <f t="shared" si="2974"/>
        <v>BEARISH</v>
      </c>
      <c r="S7034">
        <f t="shared" si="2975"/>
        <v>-1</v>
      </c>
    </row>
    <row r="7035" spans="1:19" hidden="1" x14ac:dyDescent="0.25">
      <c r="A7035" s="5" t="str">
        <f t="shared" si="2963"/>
        <v>44217GOLD</v>
      </c>
      <c r="B7035" s="6" t="s">
        <v>85</v>
      </c>
      <c r="C7035" s="6">
        <v>1801</v>
      </c>
      <c r="D7035" s="6">
        <v>1886</v>
      </c>
      <c r="E7035" s="6">
        <v>1866</v>
      </c>
      <c r="F7035" t="str">
        <f t="shared" si="2964"/>
        <v>THU</v>
      </c>
      <c r="G7035" s="1">
        <f t="shared" si="2965"/>
        <v>44217</v>
      </c>
      <c r="H7035" s="2">
        <f t="shared" ca="1" si="2966"/>
        <v>36</v>
      </c>
      <c r="I7035" t="str">
        <f t="shared" si="2967"/>
        <v>GOLD</v>
      </c>
      <c r="J7035">
        <f t="shared" si="2968"/>
        <v>1801</v>
      </c>
      <c r="K7035">
        <f t="shared" si="2969"/>
        <v>1886</v>
      </c>
      <c r="L7035">
        <f t="shared" si="2970"/>
        <v>1843.5</v>
      </c>
      <c r="M7035">
        <f t="shared" si="2971"/>
        <v>42.5</v>
      </c>
      <c r="N7035">
        <f t="shared" si="2949"/>
        <v>85</v>
      </c>
      <c r="O7035">
        <f t="shared" si="2972"/>
        <v>1866</v>
      </c>
      <c r="P7035">
        <f t="shared" si="2973"/>
        <v>0.52941176470588236</v>
      </c>
      <c r="Q7035" t="str">
        <f t="shared" si="2950"/>
        <v>3.48% | 1.07%</v>
      </c>
      <c r="R7035" t="str">
        <f t="shared" si="2974"/>
        <v>BEARISH</v>
      </c>
      <c r="S7035">
        <f t="shared" si="2975"/>
        <v>-1</v>
      </c>
    </row>
    <row r="7036" spans="1:19" hidden="1" x14ac:dyDescent="0.25">
      <c r="A7036" s="5" t="str">
        <f t="shared" si="2963"/>
        <v>44217COPPER</v>
      </c>
      <c r="B7036" s="6" t="s">
        <v>100</v>
      </c>
      <c r="C7036" s="6">
        <v>3.56</v>
      </c>
      <c r="D7036" s="6">
        <v>3.72</v>
      </c>
      <c r="E7036" s="6">
        <v>3.64</v>
      </c>
      <c r="F7036" t="str">
        <f t="shared" si="2964"/>
        <v>THU</v>
      </c>
      <c r="G7036" s="1">
        <f t="shared" si="2965"/>
        <v>44217</v>
      </c>
      <c r="H7036" s="2">
        <f t="shared" ca="1" si="2966"/>
        <v>36</v>
      </c>
      <c r="I7036" t="str">
        <f t="shared" si="2967"/>
        <v>COPPER</v>
      </c>
      <c r="J7036">
        <f t="shared" si="2968"/>
        <v>3.56</v>
      </c>
      <c r="K7036">
        <f t="shared" si="2969"/>
        <v>3.72</v>
      </c>
      <c r="L7036">
        <f t="shared" si="2970"/>
        <v>3.64</v>
      </c>
      <c r="M7036">
        <f t="shared" si="2971"/>
        <v>8.0000000000000071E-2</v>
      </c>
      <c r="N7036">
        <f t="shared" si="2949"/>
        <v>0.16000000000000014</v>
      </c>
      <c r="O7036">
        <f t="shared" si="2972"/>
        <v>3.64</v>
      </c>
      <c r="P7036">
        <f t="shared" si="2973"/>
        <v>0</v>
      </c>
      <c r="Q7036" t="str">
        <f t="shared" si="2950"/>
        <v>2.2% | 2.2%</v>
      </c>
      <c r="R7036" t="str">
        <f t="shared" si="2974"/>
        <v>BULLISH</v>
      </c>
      <c r="S7036">
        <f t="shared" si="2975"/>
        <v>1</v>
      </c>
    </row>
    <row r="7037" spans="1:19" hidden="1" x14ac:dyDescent="0.25">
      <c r="A7037" s="5" t="str">
        <f t="shared" si="2963"/>
        <v>44217MSFT</v>
      </c>
      <c r="B7037" s="6" t="s">
        <v>27</v>
      </c>
      <c r="C7037" s="6">
        <v>210</v>
      </c>
      <c r="D7037" s="6">
        <v>225</v>
      </c>
      <c r="E7037" s="6">
        <v>224</v>
      </c>
      <c r="F7037" t="str">
        <f t="shared" si="2964"/>
        <v>THU</v>
      </c>
      <c r="G7037" s="1">
        <f t="shared" si="2965"/>
        <v>44217</v>
      </c>
      <c r="H7037" s="2">
        <f t="shared" ca="1" si="2966"/>
        <v>36</v>
      </c>
      <c r="I7037" t="str">
        <f t="shared" si="2967"/>
        <v>MSFT</v>
      </c>
      <c r="J7037">
        <f t="shared" si="2968"/>
        <v>210</v>
      </c>
      <c r="K7037">
        <f t="shared" si="2969"/>
        <v>225</v>
      </c>
      <c r="L7037">
        <f t="shared" si="2970"/>
        <v>217.5</v>
      </c>
      <c r="M7037">
        <f t="shared" si="2971"/>
        <v>7.5</v>
      </c>
      <c r="N7037">
        <f t="shared" si="2949"/>
        <v>15</v>
      </c>
      <c r="O7037">
        <f t="shared" si="2972"/>
        <v>224</v>
      </c>
      <c r="P7037">
        <f t="shared" si="2973"/>
        <v>0.8666666666666667</v>
      </c>
      <c r="Q7037" t="str">
        <f t="shared" si="2950"/>
        <v>6.25% | 0.45%</v>
      </c>
      <c r="R7037" t="str">
        <f t="shared" si="2974"/>
        <v>BULLISH</v>
      </c>
      <c r="S7037">
        <f t="shared" si="2975"/>
        <v>1</v>
      </c>
    </row>
    <row r="7038" spans="1:19" hidden="1" x14ac:dyDescent="0.25">
      <c r="A7038" s="5" t="str">
        <f t="shared" si="2963"/>
        <v>44217AAPL</v>
      </c>
      <c r="B7038" s="6" t="s">
        <v>28</v>
      </c>
      <c r="C7038" s="6">
        <v>126</v>
      </c>
      <c r="D7038" s="6">
        <v>134</v>
      </c>
      <c r="E7038" s="6">
        <v>132</v>
      </c>
      <c r="F7038" t="str">
        <f t="shared" si="2964"/>
        <v>THU</v>
      </c>
      <c r="G7038" s="1">
        <f t="shared" si="2965"/>
        <v>44217</v>
      </c>
      <c r="H7038" s="2">
        <f t="shared" ca="1" si="2966"/>
        <v>36</v>
      </c>
      <c r="I7038" t="str">
        <f t="shared" si="2967"/>
        <v>AAPL</v>
      </c>
      <c r="J7038">
        <f t="shared" si="2968"/>
        <v>126</v>
      </c>
      <c r="K7038">
        <f t="shared" si="2969"/>
        <v>134</v>
      </c>
      <c r="L7038">
        <f t="shared" si="2970"/>
        <v>130</v>
      </c>
      <c r="M7038">
        <f t="shared" si="2971"/>
        <v>4</v>
      </c>
      <c r="N7038">
        <f t="shared" si="2949"/>
        <v>8</v>
      </c>
      <c r="O7038">
        <f t="shared" si="2972"/>
        <v>132</v>
      </c>
      <c r="P7038">
        <f t="shared" si="2973"/>
        <v>0.5</v>
      </c>
      <c r="Q7038" t="str">
        <f t="shared" si="2950"/>
        <v>4.55% | 1.52%</v>
      </c>
      <c r="R7038" t="str">
        <f t="shared" si="2974"/>
        <v>BULLISH</v>
      </c>
      <c r="S7038">
        <f t="shared" si="2975"/>
        <v>1</v>
      </c>
    </row>
    <row r="7039" spans="1:19" hidden="1" x14ac:dyDescent="0.25">
      <c r="A7039" s="5" t="str">
        <f t="shared" si="2963"/>
        <v>44217AMZN</v>
      </c>
      <c r="B7039" s="6" t="s">
        <v>29</v>
      </c>
      <c r="C7039" s="6">
        <v>3075</v>
      </c>
      <c r="D7039" s="6">
        <v>3290</v>
      </c>
      <c r="E7039" s="6">
        <v>3263</v>
      </c>
      <c r="F7039" t="str">
        <f t="shared" si="2964"/>
        <v>THU</v>
      </c>
      <c r="G7039" s="1">
        <f t="shared" si="2965"/>
        <v>44217</v>
      </c>
      <c r="H7039" s="2">
        <f t="shared" ca="1" si="2966"/>
        <v>36</v>
      </c>
      <c r="I7039" t="str">
        <f t="shared" si="2967"/>
        <v>AMZN</v>
      </c>
      <c r="J7039">
        <f t="shared" si="2968"/>
        <v>3075</v>
      </c>
      <c r="K7039">
        <f t="shared" si="2969"/>
        <v>3290</v>
      </c>
      <c r="L7039">
        <f t="shared" si="2970"/>
        <v>3182.5</v>
      </c>
      <c r="M7039">
        <f t="shared" si="2971"/>
        <v>107.5</v>
      </c>
      <c r="N7039">
        <f t="shared" si="2949"/>
        <v>215</v>
      </c>
      <c r="O7039">
        <f t="shared" si="2972"/>
        <v>3263</v>
      </c>
      <c r="P7039">
        <f t="shared" si="2973"/>
        <v>0.74883720930232556</v>
      </c>
      <c r="Q7039" t="str">
        <f t="shared" si="2950"/>
        <v>5.76% | 0.83%</v>
      </c>
      <c r="R7039" t="str">
        <f t="shared" si="2974"/>
        <v>BULLISH</v>
      </c>
      <c r="S7039">
        <f t="shared" si="2975"/>
        <v>1</v>
      </c>
    </row>
    <row r="7040" spans="1:19" hidden="1" x14ac:dyDescent="0.25">
      <c r="A7040" s="5" t="str">
        <f t="shared" si="2963"/>
        <v>44217FB</v>
      </c>
      <c r="B7040" s="6" t="s">
        <v>58</v>
      </c>
      <c r="C7040" s="6">
        <v>242</v>
      </c>
      <c r="D7040" s="6">
        <v>273</v>
      </c>
      <c r="E7040" s="6">
        <v>267</v>
      </c>
      <c r="F7040" t="str">
        <f t="shared" si="2964"/>
        <v>THU</v>
      </c>
      <c r="G7040" s="1">
        <f t="shared" si="2965"/>
        <v>44217</v>
      </c>
      <c r="H7040" s="2">
        <f t="shared" ca="1" si="2966"/>
        <v>36</v>
      </c>
      <c r="I7040" t="str">
        <f t="shared" si="2967"/>
        <v>FB</v>
      </c>
      <c r="J7040">
        <f t="shared" si="2968"/>
        <v>242</v>
      </c>
      <c r="K7040">
        <f t="shared" si="2969"/>
        <v>273</v>
      </c>
      <c r="L7040">
        <f t="shared" si="2970"/>
        <v>257.5</v>
      </c>
      <c r="M7040">
        <f t="shared" si="2971"/>
        <v>15.5</v>
      </c>
      <c r="N7040">
        <f t="shared" si="2949"/>
        <v>31</v>
      </c>
      <c r="O7040">
        <f t="shared" si="2972"/>
        <v>267</v>
      </c>
      <c r="P7040">
        <f t="shared" si="2973"/>
        <v>0.61290322580645162</v>
      </c>
      <c r="Q7040" t="str">
        <f t="shared" si="2950"/>
        <v>9.36% | 2.25%</v>
      </c>
      <c r="R7040" t="str">
        <f t="shared" si="2974"/>
        <v>BEARISH</v>
      </c>
      <c r="S7040">
        <f t="shared" si="2975"/>
        <v>-1</v>
      </c>
    </row>
    <row r="7041" spans="1:19" hidden="1" x14ac:dyDescent="0.25">
      <c r="A7041" s="5" t="str">
        <f t="shared" si="2963"/>
        <v>44217GOOGL</v>
      </c>
      <c r="B7041" s="6" t="s">
        <v>31</v>
      </c>
      <c r="C7041" s="6">
        <v>1728</v>
      </c>
      <c r="D7041" s="6">
        <v>1923</v>
      </c>
      <c r="E7041" s="6">
        <v>1880</v>
      </c>
      <c r="F7041" t="str">
        <f t="shared" si="2964"/>
        <v>THU</v>
      </c>
      <c r="G7041" s="1">
        <f t="shared" si="2965"/>
        <v>44217</v>
      </c>
      <c r="H7041" s="2">
        <f t="shared" ca="1" si="2966"/>
        <v>36</v>
      </c>
      <c r="I7041" t="str">
        <f t="shared" si="2967"/>
        <v>GOOGL</v>
      </c>
      <c r="J7041">
        <f t="shared" si="2968"/>
        <v>1728</v>
      </c>
      <c r="K7041">
        <f t="shared" si="2969"/>
        <v>1923</v>
      </c>
      <c r="L7041">
        <f t="shared" si="2970"/>
        <v>1825.5</v>
      </c>
      <c r="M7041">
        <f t="shared" si="2971"/>
        <v>97.5</v>
      </c>
      <c r="N7041">
        <f t="shared" si="2949"/>
        <v>195</v>
      </c>
      <c r="O7041">
        <f t="shared" si="2972"/>
        <v>1880</v>
      </c>
      <c r="P7041">
        <f t="shared" si="2973"/>
        <v>0.55897435897435899</v>
      </c>
      <c r="Q7041" t="str">
        <f t="shared" si="2950"/>
        <v>8.09% | 2.29%</v>
      </c>
      <c r="R7041" t="str">
        <f t="shared" si="2974"/>
        <v>BULLISH</v>
      </c>
      <c r="S7041">
        <f t="shared" si="2975"/>
        <v>1</v>
      </c>
    </row>
    <row r="7042" spans="1:19" hidden="1" x14ac:dyDescent="0.25">
      <c r="A7042" s="5" t="str">
        <f t="shared" si="2963"/>
        <v>44217NFLX</v>
      </c>
      <c r="B7042" s="6" t="s">
        <v>32</v>
      </c>
      <c r="C7042" s="6">
        <v>529</v>
      </c>
      <c r="D7042" s="6">
        <v>611</v>
      </c>
      <c r="E7042" s="6">
        <v>586</v>
      </c>
      <c r="F7042" t="str">
        <f t="shared" si="2964"/>
        <v>THU</v>
      </c>
      <c r="G7042" s="1">
        <f t="shared" si="2965"/>
        <v>44217</v>
      </c>
      <c r="H7042" s="2">
        <f t="shared" ca="1" si="2966"/>
        <v>36</v>
      </c>
      <c r="I7042" t="str">
        <f t="shared" si="2967"/>
        <v>NFLX</v>
      </c>
      <c r="J7042">
        <f t="shared" si="2968"/>
        <v>529</v>
      </c>
      <c r="K7042">
        <f t="shared" si="2969"/>
        <v>611</v>
      </c>
      <c r="L7042">
        <f t="shared" si="2970"/>
        <v>570</v>
      </c>
      <c r="M7042">
        <f t="shared" si="2971"/>
        <v>41</v>
      </c>
      <c r="N7042">
        <f t="shared" si="2949"/>
        <v>82</v>
      </c>
      <c r="O7042">
        <f t="shared" si="2972"/>
        <v>586</v>
      </c>
      <c r="P7042">
        <f t="shared" si="2973"/>
        <v>0.3902439024390244</v>
      </c>
      <c r="Q7042" t="str">
        <f t="shared" si="2950"/>
        <v>9.73% | 4.27%</v>
      </c>
      <c r="R7042" t="str">
        <f t="shared" si="2974"/>
        <v>BULLISH</v>
      </c>
      <c r="S7042">
        <f t="shared" si="2975"/>
        <v>1</v>
      </c>
    </row>
    <row r="7043" spans="1:19" x14ac:dyDescent="0.25">
      <c r="A7043" s="5" t="str">
        <f t="shared" si="2963"/>
        <v>44217TSLA</v>
      </c>
      <c r="B7043" s="6" t="s">
        <v>33</v>
      </c>
      <c r="C7043" s="6">
        <v>795</v>
      </c>
      <c r="D7043" s="6">
        <v>892</v>
      </c>
      <c r="E7043" s="6">
        <v>850</v>
      </c>
      <c r="F7043" t="str">
        <f t="shared" si="2964"/>
        <v>THU</v>
      </c>
      <c r="G7043" s="1">
        <f t="shared" si="2965"/>
        <v>44217</v>
      </c>
      <c r="H7043" s="2">
        <f t="shared" ca="1" si="2966"/>
        <v>36</v>
      </c>
      <c r="I7043" t="str">
        <f t="shared" si="2967"/>
        <v>TSLA</v>
      </c>
      <c r="J7043">
        <f t="shared" si="2968"/>
        <v>795</v>
      </c>
      <c r="K7043">
        <f t="shared" si="2969"/>
        <v>892</v>
      </c>
      <c r="L7043">
        <f t="shared" si="2970"/>
        <v>843.5</v>
      </c>
      <c r="M7043">
        <f t="shared" si="2971"/>
        <v>48.5</v>
      </c>
      <c r="N7043">
        <f t="shared" ref="N7043:N7106" si="2976">ABS(K7043-J7043)</f>
        <v>97</v>
      </c>
      <c r="O7043">
        <f t="shared" si="2972"/>
        <v>850</v>
      </c>
      <c r="P7043">
        <f t="shared" si="2973"/>
        <v>0.13402061855670103</v>
      </c>
      <c r="Q7043" t="str">
        <f t="shared" ref="Q7043:Q7106" si="2977">ROUND(ABS(100*(O7043-J7043)/O7043),2)&amp;"% | "&amp;ROUND(ABS(100*(K7043-O7043)/O7043),2)&amp;"%"</f>
        <v>6.47% | 4.94%</v>
      </c>
      <c r="R7043" t="str">
        <f t="shared" si="2974"/>
        <v>BULLISH</v>
      </c>
      <c r="S7043">
        <f t="shared" si="2975"/>
        <v>1</v>
      </c>
    </row>
    <row r="7044" spans="1:19" hidden="1" x14ac:dyDescent="0.25">
      <c r="A7044" s="5" t="str">
        <f t="shared" si="2963"/>
        <v>44217NYXBT</v>
      </c>
      <c r="B7044" s="6" t="s">
        <v>60</v>
      </c>
      <c r="C7044" s="6">
        <v>30962</v>
      </c>
      <c r="D7044" s="6">
        <v>41132</v>
      </c>
      <c r="E7044" s="6">
        <v>34425</v>
      </c>
      <c r="F7044" t="str">
        <f t="shared" si="2964"/>
        <v>THU</v>
      </c>
      <c r="G7044" s="1">
        <f t="shared" si="2965"/>
        <v>44217</v>
      </c>
      <c r="H7044" s="2">
        <f t="shared" ca="1" si="2966"/>
        <v>36</v>
      </c>
      <c r="I7044" t="str">
        <f t="shared" si="2967"/>
        <v>NYXBT</v>
      </c>
      <c r="J7044">
        <f t="shared" si="2968"/>
        <v>30962</v>
      </c>
      <c r="K7044">
        <f t="shared" si="2969"/>
        <v>41132</v>
      </c>
      <c r="L7044">
        <f t="shared" si="2970"/>
        <v>36047</v>
      </c>
      <c r="M7044">
        <f t="shared" si="2971"/>
        <v>5085</v>
      </c>
      <c r="N7044">
        <f t="shared" si="2976"/>
        <v>10170</v>
      </c>
      <c r="O7044">
        <f t="shared" si="2972"/>
        <v>34425</v>
      </c>
      <c r="P7044">
        <f t="shared" si="2973"/>
        <v>-0.31897738446411011</v>
      </c>
      <c r="Q7044" t="str">
        <f t="shared" si="2977"/>
        <v>10.06% | 19.48%</v>
      </c>
      <c r="R7044" t="str">
        <f t="shared" si="2974"/>
        <v>BULLISH</v>
      </c>
      <c r="S7044">
        <f t="shared" si="2975"/>
        <v>1</v>
      </c>
    </row>
    <row r="7045" spans="1:19" hidden="1" x14ac:dyDescent="0.25">
      <c r="A7045" s="5" t="str">
        <f t="shared" si="2963"/>
        <v>44218UST10Y</v>
      </c>
      <c r="B7045" s="6" t="s">
        <v>257</v>
      </c>
      <c r="C7045" s="6">
        <v>1.18</v>
      </c>
      <c r="D7045" s="6">
        <v>1.05</v>
      </c>
      <c r="E7045" s="6">
        <v>1.1200000000000001</v>
      </c>
      <c r="F7045" t="str">
        <f t="shared" si="2964"/>
        <v>FRI</v>
      </c>
      <c r="G7045" s="3">
        <f>DATE(2021,1,22)</f>
        <v>44218</v>
      </c>
      <c r="H7045" s="2">
        <f t="shared" ca="1" si="2966"/>
        <v>35</v>
      </c>
      <c r="I7045" t="str">
        <f t="shared" si="2967"/>
        <v>UST10Y</v>
      </c>
      <c r="J7045">
        <f t="shared" si="2968"/>
        <v>1.18</v>
      </c>
      <c r="K7045">
        <f t="shared" si="2969"/>
        <v>1.05</v>
      </c>
      <c r="L7045">
        <f t="shared" si="2970"/>
        <v>1.115</v>
      </c>
      <c r="M7045">
        <f t="shared" si="2971"/>
        <v>6.4999999999999947E-2</v>
      </c>
      <c r="N7045">
        <f t="shared" si="2976"/>
        <v>0.12999999999999989</v>
      </c>
      <c r="O7045">
        <f t="shared" si="2972"/>
        <v>1.1200000000000001</v>
      </c>
      <c r="P7045">
        <f t="shared" si="2973"/>
        <v>7.6923076923078759E-2</v>
      </c>
      <c r="Q7045" t="str">
        <f t="shared" si="2977"/>
        <v>5.36% | 6.25%</v>
      </c>
      <c r="R7045" t="str">
        <f t="shared" si="2974"/>
        <v>BULLISH</v>
      </c>
      <c r="S7045">
        <f t="shared" si="2975"/>
        <v>1</v>
      </c>
    </row>
    <row r="7046" spans="1:19" hidden="1" x14ac:dyDescent="0.25">
      <c r="A7046" s="5" t="str">
        <f t="shared" si="2963"/>
        <v>44218UST2Y</v>
      </c>
      <c r="B7046" s="6" t="s">
        <v>259</v>
      </c>
      <c r="C7046" s="6">
        <v>0.16</v>
      </c>
      <c r="D7046" s="6">
        <v>0.12</v>
      </c>
      <c r="E7046" s="6">
        <v>0.13</v>
      </c>
      <c r="F7046" t="str">
        <f t="shared" ref="F7046:F7077" si="2978">UPPER(TEXT(G7046,"ddd"))</f>
        <v>FRI</v>
      </c>
      <c r="G7046" s="3">
        <f t="shared" ref="G7046:G7076" si="2979">DATE(2021,1,22)</f>
        <v>44218</v>
      </c>
      <c r="H7046" s="2">
        <f t="shared" ref="H7046:H7077" ca="1" si="2980">TODAY()-G7046</f>
        <v>35</v>
      </c>
      <c r="I7046" t="str">
        <f t="shared" ref="I7046:I7077" si="2981">TRIM(LEFT(B7046,FIND(" ",B7046,1)))</f>
        <v>UST2Y</v>
      </c>
      <c r="J7046">
        <f t="shared" ref="J7046:J7077" si="2982">C7046</f>
        <v>0.16</v>
      </c>
      <c r="K7046">
        <f t="shared" ref="K7046:K7077" si="2983">D7046</f>
        <v>0.12</v>
      </c>
      <c r="L7046">
        <f t="shared" ref="L7046:L7077" si="2984">AVERAGE(J7046:K7046)</f>
        <v>0.14000000000000001</v>
      </c>
      <c r="M7046">
        <f t="shared" ref="M7046:M7077" si="2985">_xlfn.STDEV.P(J7046:K7046)</f>
        <v>1.9999999999999938E-2</v>
      </c>
      <c r="N7046">
        <f t="shared" si="2976"/>
        <v>4.0000000000000008E-2</v>
      </c>
      <c r="O7046">
        <f t="shared" ref="O7046:O7077" si="2986">E7046</f>
        <v>0.13</v>
      </c>
      <c r="P7046">
        <f t="shared" ref="P7046:P7077" si="2987">(O7046-L7046)/M7046</f>
        <v>-0.500000000000002</v>
      </c>
      <c r="Q7046" t="str">
        <f t="shared" si="2977"/>
        <v>23.08% | 7.69%</v>
      </c>
      <c r="R7046" t="str">
        <f t="shared" ref="R7046:R7077" si="2988">MID(B7046,FIND("(",B7046,1)+1,FIND(")",B7046,1)-FIND("(",B7046,1)-1)</f>
        <v>BULLISH</v>
      </c>
      <c r="S7046">
        <f t="shared" ref="S7046:S7077" si="2989">IF(R7046="BEARISH",-1,IF(R7046="NEUTRAL",0,IF(R7046="BULLISH",1,99)))</f>
        <v>1</v>
      </c>
    </row>
    <row r="7047" spans="1:19" hidden="1" x14ac:dyDescent="0.25">
      <c r="A7047" s="5" t="str">
        <f t="shared" si="2963"/>
        <v>44218SPX</v>
      </c>
      <c r="B7047" s="6" t="s">
        <v>93</v>
      </c>
      <c r="C7047" s="6">
        <v>3758</v>
      </c>
      <c r="D7047" s="6">
        <v>3866</v>
      </c>
      <c r="E7047" s="6">
        <v>3853</v>
      </c>
      <c r="F7047" t="str">
        <f t="shared" si="2978"/>
        <v>FRI</v>
      </c>
      <c r="G7047" s="3">
        <f t="shared" si="2979"/>
        <v>44218</v>
      </c>
      <c r="H7047" s="2">
        <f t="shared" ca="1" si="2980"/>
        <v>35</v>
      </c>
      <c r="I7047" t="str">
        <f t="shared" si="2981"/>
        <v>SPX</v>
      </c>
      <c r="J7047">
        <f t="shared" si="2982"/>
        <v>3758</v>
      </c>
      <c r="K7047">
        <f t="shared" si="2983"/>
        <v>3866</v>
      </c>
      <c r="L7047">
        <f t="shared" si="2984"/>
        <v>3812</v>
      </c>
      <c r="M7047">
        <f t="shared" si="2985"/>
        <v>54</v>
      </c>
      <c r="N7047">
        <f t="shared" si="2976"/>
        <v>108</v>
      </c>
      <c r="O7047">
        <f t="shared" si="2986"/>
        <v>3853</v>
      </c>
      <c r="P7047">
        <f t="shared" si="2987"/>
        <v>0.7592592592592593</v>
      </c>
      <c r="Q7047" t="str">
        <f t="shared" si="2977"/>
        <v>2.47% | 0.34%</v>
      </c>
      <c r="R7047" t="str">
        <f t="shared" si="2988"/>
        <v>BULLISH</v>
      </c>
      <c r="S7047">
        <f t="shared" si="2989"/>
        <v>1</v>
      </c>
    </row>
    <row r="7048" spans="1:19" hidden="1" x14ac:dyDescent="0.25">
      <c r="A7048" s="5" t="str">
        <f t="shared" ref="A7048:A7111" si="2990">G7048&amp;I7048</f>
        <v>44218RUT</v>
      </c>
      <c r="B7048" s="6" t="s">
        <v>247</v>
      </c>
      <c r="C7048" s="6">
        <v>2081</v>
      </c>
      <c r="D7048" s="6">
        <v>2176</v>
      </c>
      <c r="E7048" s="6">
        <v>2141</v>
      </c>
      <c r="F7048" t="str">
        <f t="shared" si="2978"/>
        <v>FRI</v>
      </c>
      <c r="G7048" s="3">
        <f t="shared" si="2979"/>
        <v>44218</v>
      </c>
      <c r="H7048" s="2">
        <f t="shared" ca="1" si="2980"/>
        <v>35</v>
      </c>
      <c r="I7048" t="str">
        <f t="shared" si="2981"/>
        <v>RUT</v>
      </c>
      <c r="J7048">
        <f t="shared" si="2982"/>
        <v>2081</v>
      </c>
      <c r="K7048">
        <f t="shared" si="2983"/>
        <v>2176</v>
      </c>
      <c r="L7048">
        <f t="shared" si="2984"/>
        <v>2128.5</v>
      </c>
      <c r="M7048">
        <f t="shared" si="2985"/>
        <v>47.5</v>
      </c>
      <c r="N7048">
        <f t="shared" si="2976"/>
        <v>95</v>
      </c>
      <c r="O7048">
        <f t="shared" si="2986"/>
        <v>2141</v>
      </c>
      <c r="P7048">
        <f t="shared" si="2987"/>
        <v>0.26315789473684209</v>
      </c>
      <c r="Q7048" t="str">
        <f t="shared" si="2977"/>
        <v>2.8% | 1.63%</v>
      </c>
      <c r="R7048" t="str">
        <f t="shared" si="2988"/>
        <v>BULLISH</v>
      </c>
      <c r="S7048">
        <f t="shared" si="2989"/>
        <v>1</v>
      </c>
    </row>
    <row r="7049" spans="1:19" hidden="1" x14ac:dyDescent="0.25">
      <c r="A7049" s="5" t="str">
        <f t="shared" si="2990"/>
        <v>44218COMPQ</v>
      </c>
      <c r="B7049" s="6" t="s">
        <v>8</v>
      </c>
      <c r="C7049" s="6">
        <v>12901</v>
      </c>
      <c r="D7049" s="6">
        <v>13560</v>
      </c>
      <c r="E7049" s="6">
        <v>13530</v>
      </c>
      <c r="F7049" t="str">
        <f t="shared" si="2978"/>
        <v>FRI</v>
      </c>
      <c r="G7049" s="3">
        <f t="shared" si="2979"/>
        <v>44218</v>
      </c>
      <c r="H7049" s="2">
        <f t="shared" ca="1" si="2980"/>
        <v>35</v>
      </c>
      <c r="I7049" t="str">
        <f t="shared" si="2981"/>
        <v>COMPQ</v>
      </c>
      <c r="J7049">
        <f t="shared" si="2982"/>
        <v>12901</v>
      </c>
      <c r="K7049">
        <f t="shared" si="2983"/>
        <v>13560</v>
      </c>
      <c r="L7049">
        <f t="shared" si="2984"/>
        <v>13230.5</v>
      </c>
      <c r="M7049">
        <f t="shared" si="2985"/>
        <v>329.5</v>
      </c>
      <c r="N7049">
        <f t="shared" si="2976"/>
        <v>659</v>
      </c>
      <c r="O7049">
        <f t="shared" si="2986"/>
        <v>13530</v>
      </c>
      <c r="P7049">
        <f t="shared" si="2987"/>
        <v>0.90895295902883155</v>
      </c>
      <c r="Q7049" t="str">
        <f t="shared" si="2977"/>
        <v>4.65% | 0.22%</v>
      </c>
      <c r="R7049" t="str">
        <f t="shared" si="2988"/>
        <v>BULLISH</v>
      </c>
      <c r="S7049">
        <f t="shared" si="2989"/>
        <v>1</v>
      </c>
    </row>
    <row r="7050" spans="1:19" hidden="1" x14ac:dyDescent="0.25">
      <c r="A7050" s="5" t="str">
        <f t="shared" si="2990"/>
        <v>44218XLK</v>
      </c>
      <c r="B7050" s="6" t="s">
        <v>10</v>
      </c>
      <c r="C7050" s="6">
        <v>126.7</v>
      </c>
      <c r="D7050" s="6">
        <v>133.66</v>
      </c>
      <c r="E7050" s="6">
        <v>133.34</v>
      </c>
      <c r="F7050" t="str">
        <f t="shared" si="2978"/>
        <v>FRI</v>
      </c>
      <c r="G7050" s="3">
        <f t="shared" si="2979"/>
        <v>44218</v>
      </c>
      <c r="H7050" s="2">
        <f t="shared" ca="1" si="2980"/>
        <v>35</v>
      </c>
      <c r="I7050" t="str">
        <f t="shared" si="2981"/>
        <v>XLK</v>
      </c>
      <c r="J7050">
        <f t="shared" si="2982"/>
        <v>126.7</v>
      </c>
      <c r="K7050">
        <f t="shared" si="2983"/>
        <v>133.66</v>
      </c>
      <c r="L7050">
        <f t="shared" si="2984"/>
        <v>130.18</v>
      </c>
      <c r="M7050">
        <f t="shared" si="2985"/>
        <v>3.4799999999999969</v>
      </c>
      <c r="N7050">
        <f t="shared" si="2976"/>
        <v>6.9599999999999937</v>
      </c>
      <c r="O7050">
        <f t="shared" si="2986"/>
        <v>133.34</v>
      </c>
      <c r="P7050">
        <f t="shared" si="2987"/>
        <v>0.90804597701149414</v>
      </c>
      <c r="Q7050" t="str">
        <f t="shared" si="2977"/>
        <v>4.98% | 0.24%</v>
      </c>
      <c r="R7050" t="str">
        <f t="shared" si="2988"/>
        <v>BULLISH</v>
      </c>
      <c r="S7050">
        <f t="shared" si="2989"/>
        <v>1</v>
      </c>
    </row>
    <row r="7051" spans="1:19" hidden="1" x14ac:dyDescent="0.25">
      <c r="A7051" s="5" t="str">
        <f t="shared" si="2990"/>
        <v>44218XLE</v>
      </c>
      <c r="B7051" s="6" t="s">
        <v>250</v>
      </c>
      <c r="C7051" s="6">
        <v>40.53</v>
      </c>
      <c r="D7051" s="6">
        <v>45.01</v>
      </c>
      <c r="E7051" s="6">
        <v>42.29</v>
      </c>
      <c r="F7051" t="str">
        <f t="shared" si="2978"/>
        <v>FRI</v>
      </c>
      <c r="G7051" s="3">
        <f t="shared" si="2979"/>
        <v>44218</v>
      </c>
      <c r="H7051" s="2">
        <f t="shared" ca="1" si="2980"/>
        <v>35</v>
      </c>
      <c r="I7051" t="str">
        <f t="shared" si="2981"/>
        <v>XLE</v>
      </c>
      <c r="J7051">
        <f t="shared" si="2982"/>
        <v>40.53</v>
      </c>
      <c r="K7051">
        <f t="shared" si="2983"/>
        <v>45.01</v>
      </c>
      <c r="L7051">
        <f t="shared" si="2984"/>
        <v>42.769999999999996</v>
      </c>
      <c r="M7051">
        <f t="shared" si="2985"/>
        <v>2.2399999999999984</v>
      </c>
      <c r="N7051">
        <f t="shared" si="2976"/>
        <v>4.4799999999999969</v>
      </c>
      <c r="O7051">
        <f t="shared" si="2986"/>
        <v>42.29</v>
      </c>
      <c r="P7051">
        <f t="shared" si="2987"/>
        <v>-0.21428571428571305</v>
      </c>
      <c r="Q7051" t="str">
        <f t="shared" si="2977"/>
        <v>4.16% | 6.43%</v>
      </c>
      <c r="R7051" t="str">
        <f t="shared" si="2988"/>
        <v>BULLISH</v>
      </c>
      <c r="S7051">
        <f t="shared" si="2989"/>
        <v>1</v>
      </c>
    </row>
    <row r="7052" spans="1:19" hidden="1" x14ac:dyDescent="0.25">
      <c r="A7052" s="5" t="str">
        <f t="shared" si="2990"/>
        <v>44218XLF</v>
      </c>
      <c r="B7052" s="6" t="s">
        <v>258</v>
      </c>
      <c r="C7052" s="6">
        <v>30.06</v>
      </c>
      <c r="D7052" s="6">
        <v>31.78</v>
      </c>
      <c r="E7052" s="6">
        <v>30.56</v>
      </c>
      <c r="F7052" t="str">
        <f t="shared" si="2978"/>
        <v>FRI</v>
      </c>
      <c r="G7052" s="3">
        <f t="shared" si="2979"/>
        <v>44218</v>
      </c>
      <c r="H7052" s="2">
        <f t="shared" ca="1" si="2980"/>
        <v>35</v>
      </c>
      <c r="I7052" t="str">
        <f t="shared" si="2981"/>
        <v>XLF</v>
      </c>
      <c r="J7052">
        <f t="shared" si="2982"/>
        <v>30.06</v>
      </c>
      <c r="K7052">
        <f t="shared" si="2983"/>
        <v>31.78</v>
      </c>
      <c r="L7052">
        <f t="shared" si="2984"/>
        <v>30.92</v>
      </c>
      <c r="M7052">
        <f t="shared" si="2985"/>
        <v>0.86000000000000121</v>
      </c>
      <c r="N7052">
        <f t="shared" si="2976"/>
        <v>1.7200000000000024</v>
      </c>
      <c r="O7052">
        <f t="shared" si="2986"/>
        <v>30.56</v>
      </c>
      <c r="P7052">
        <f t="shared" si="2987"/>
        <v>-0.41860465116279361</v>
      </c>
      <c r="Q7052" t="str">
        <f t="shared" si="2977"/>
        <v>1.64% | 3.99%</v>
      </c>
      <c r="R7052" t="str">
        <f t="shared" si="2988"/>
        <v>BULLISH</v>
      </c>
      <c r="S7052">
        <f t="shared" si="2989"/>
        <v>1</v>
      </c>
    </row>
    <row r="7053" spans="1:19" hidden="1" x14ac:dyDescent="0.25">
      <c r="A7053" s="5" t="str">
        <f t="shared" si="2990"/>
        <v>44218XLU</v>
      </c>
      <c r="B7053" s="6" t="s">
        <v>82</v>
      </c>
      <c r="C7053" s="6">
        <v>61.3</v>
      </c>
      <c r="D7053" s="6">
        <v>63.54</v>
      </c>
      <c r="E7053" s="6">
        <v>62.75</v>
      </c>
      <c r="F7053" t="str">
        <f t="shared" si="2978"/>
        <v>FRI</v>
      </c>
      <c r="G7053" s="3">
        <f t="shared" si="2979"/>
        <v>44218</v>
      </c>
      <c r="H7053" s="2">
        <f t="shared" ca="1" si="2980"/>
        <v>35</v>
      </c>
      <c r="I7053" t="str">
        <f t="shared" si="2981"/>
        <v>XLU</v>
      </c>
      <c r="J7053">
        <f t="shared" si="2982"/>
        <v>61.3</v>
      </c>
      <c r="K7053">
        <f t="shared" si="2983"/>
        <v>63.54</v>
      </c>
      <c r="L7053">
        <f t="shared" si="2984"/>
        <v>62.42</v>
      </c>
      <c r="M7053">
        <f t="shared" si="2985"/>
        <v>1.120000000000001</v>
      </c>
      <c r="N7053">
        <f t="shared" si="2976"/>
        <v>2.240000000000002</v>
      </c>
      <c r="O7053">
        <f t="shared" si="2986"/>
        <v>62.75</v>
      </c>
      <c r="P7053">
        <f t="shared" si="2987"/>
        <v>0.29464285714285537</v>
      </c>
      <c r="Q7053" t="str">
        <f t="shared" si="2977"/>
        <v>2.31% | 1.26%</v>
      </c>
      <c r="R7053" t="str">
        <f t="shared" si="2988"/>
        <v>BEARISH</v>
      </c>
      <c r="S7053">
        <f t="shared" si="2989"/>
        <v>-1</v>
      </c>
    </row>
    <row r="7054" spans="1:19" hidden="1" x14ac:dyDescent="0.25">
      <c r="A7054" s="5" t="str">
        <f t="shared" si="2990"/>
        <v>44218GDX</v>
      </c>
      <c r="B7054" s="6" t="s">
        <v>254</v>
      </c>
      <c r="C7054" s="6">
        <v>33.97</v>
      </c>
      <c r="D7054" s="6">
        <v>36.9</v>
      </c>
      <c r="E7054" s="6">
        <v>35.71</v>
      </c>
      <c r="F7054" t="str">
        <f t="shared" si="2978"/>
        <v>FRI</v>
      </c>
      <c r="G7054" s="3">
        <f t="shared" si="2979"/>
        <v>44218</v>
      </c>
      <c r="H7054" s="2">
        <f t="shared" ca="1" si="2980"/>
        <v>35</v>
      </c>
      <c r="I7054" t="str">
        <f t="shared" si="2981"/>
        <v>GDX</v>
      </c>
      <c r="J7054">
        <f t="shared" si="2982"/>
        <v>33.97</v>
      </c>
      <c r="K7054">
        <f t="shared" si="2983"/>
        <v>36.9</v>
      </c>
      <c r="L7054">
        <f t="shared" si="2984"/>
        <v>35.435000000000002</v>
      </c>
      <c r="M7054">
        <f t="shared" si="2985"/>
        <v>1.4649999999999999</v>
      </c>
      <c r="N7054">
        <f t="shared" si="2976"/>
        <v>2.9299999999999997</v>
      </c>
      <c r="O7054">
        <f t="shared" si="2986"/>
        <v>35.71</v>
      </c>
      <c r="P7054">
        <f t="shared" si="2987"/>
        <v>0.18771331058020382</v>
      </c>
      <c r="Q7054" t="str">
        <f t="shared" si="2977"/>
        <v>4.87% | 3.33%</v>
      </c>
      <c r="R7054" t="str">
        <f t="shared" si="2988"/>
        <v>BEARISH</v>
      </c>
      <c r="S7054">
        <f t="shared" si="2989"/>
        <v>-1</v>
      </c>
    </row>
    <row r="7055" spans="1:19" hidden="1" x14ac:dyDescent="0.25">
      <c r="A7055" s="5" t="str">
        <f t="shared" si="2990"/>
        <v>44218SSEC</v>
      </c>
      <c r="B7055" s="6" t="s">
        <v>104</v>
      </c>
      <c r="C7055" s="6">
        <v>3521</v>
      </c>
      <c r="D7055" s="6">
        <v>3635</v>
      </c>
      <c r="E7055" s="6">
        <v>3606</v>
      </c>
      <c r="F7055" t="str">
        <f t="shared" si="2978"/>
        <v>FRI</v>
      </c>
      <c r="G7055" s="3">
        <f t="shared" si="2979"/>
        <v>44218</v>
      </c>
      <c r="H7055" s="2">
        <f t="shared" ca="1" si="2980"/>
        <v>35</v>
      </c>
      <c r="I7055" t="str">
        <f t="shared" si="2981"/>
        <v>SSEC</v>
      </c>
      <c r="J7055">
        <f t="shared" si="2982"/>
        <v>3521</v>
      </c>
      <c r="K7055">
        <f t="shared" si="2983"/>
        <v>3635</v>
      </c>
      <c r="L7055">
        <f t="shared" si="2984"/>
        <v>3578</v>
      </c>
      <c r="M7055">
        <f t="shared" si="2985"/>
        <v>57</v>
      </c>
      <c r="N7055">
        <f t="shared" si="2976"/>
        <v>114</v>
      </c>
      <c r="O7055">
        <f t="shared" si="2986"/>
        <v>3606</v>
      </c>
      <c r="P7055">
        <f t="shared" si="2987"/>
        <v>0.49122807017543857</v>
      </c>
      <c r="Q7055" t="str">
        <f t="shared" si="2977"/>
        <v>2.36% | 0.8%</v>
      </c>
      <c r="R7055" t="str">
        <f t="shared" si="2988"/>
        <v>BULLISH</v>
      </c>
      <c r="S7055">
        <f t="shared" si="2989"/>
        <v>1</v>
      </c>
    </row>
    <row r="7056" spans="1:19" hidden="1" x14ac:dyDescent="0.25">
      <c r="A7056" s="5" t="str">
        <f t="shared" si="2990"/>
        <v>44218NIKK</v>
      </c>
      <c r="B7056" s="6" t="s">
        <v>91</v>
      </c>
      <c r="C7056" s="6">
        <v>28017</v>
      </c>
      <c r="D7056" s="6">
        <v>28921</v>
      </c>
      <c r="E7056" s="6">
        <v>28631</v>
      </c>
      <c r="F7056" t="str">
        <f t="shared" si="2978"/>
        <v>FRI</v>
      </c>
      <c r="G7056" s="3">
        <f t="shared" si="2979"/>
        <v>44218</v>
      </c>
      <c r="H7056" s="2">
        <f t="shared" ca="1" si="2980"/>
        <v>35</v>
      </c>
      <c r="I7056" t="str">
        <f t="shared" si="2981"/>
        <v>NIKK</v>
      </c>
      <c r="J7056">
        <f t="shared" si="2982"/>
        <v>28017</v>
      </c>
      <c r="K7056">
        <f t="shared" si="2983"/>
        <v>28921</v>
      </c>
      <c r="L7056">
        <f t="shared" si="2984"/>
        <v>28469</v>
      </c>
      <c r="M7056">
        <f t="shared" si="2985"/>
        <v>452</v>
      </c>
      <c r="N7056">
        <f t="shared" si="2976"/>
        <v>904</v>
      </c>
      <c r="O7056">
        <f t="shared" si="2986"/>
        <v>28631</v>
      </c>
      <c r="P7056">
        <f t="shared" si="2987"/>
        <v>0.3584070796460177</v>
      </c>
      <c r="Q7056" t="str">
        <f t="shared" si="2977"/>
        <v>2.14% | 1.01%</v>
      </c>
      <c r="R7056" t="str">
        <f t="shared" si="2988"/>
        <v>BULLISH</v>
      </c>
      <c r="S7056">
        <f t="shared" si="2989"/>
        <v>1</v>
      </c>
    </row>
    <row r="7057" spans="1:19" hidden="1" x14ac:dyDescent="0.25">
      <c r="A7057" s="5" t="str">
        <f t="shared" si="2990"/>
        <v>44218DAX</v>
      </c>
      <c r="B7057" s="6" t="s">
        <v>98</v>
      </c>
      <c r="C7057" s="6">
        <v>13704</v>
      </c>
      <c r="D7057" s="6">
        <v>14050</v>
      </c>
      <c r="E7057" s="6">
        <v>13906</v>
      </c>
      <c r="F7057" t="str">
        <f t="shared" si="2978"/>
        <v>FRI</v>
      </c>
      <c r="G7057" s="3">
        <f t="shared" si="2979"/>
        <v>44218</v>
      </c>
      <c r="H7057" s="2">
        <f t="shared" ca="1" si="2980"/>
        <v>35</v>
      </c>
      <c r="I7057" t="str">
        <f t="shared" si="2981"/>
        <v>DAX</v>
      </c>
      <c r="J7057">
        <f t="shared" si="2982"/>
        <v>13704</v>
      </c>
      <c r="K7057">
        <f t="shared" si="2983"/>
        <v>14050</v>
      </c>
      <c r="L7057">
        <f t="shared" si="2984"/>
        <v>13877</v>
      </c>
      <c r="M7057">
        <f t="shared" si="2985"/>
        <v>173</v>
      </c>
      <c r="N7057">
        <f t="shared" si="2976"/>
        <v>346</v>
      </c>
      <c r="O7057">
        <f t="shared" si="2986"/>
        <v>13906</v>
      </c>
      <c r="P7057">
        <f t="shared" si="2987"/>
        <v>0.16763005780346821</v>
      </c>
      <c r="Q7057" t="str">
        <f t="shared" si="2977"/>
        <v>1.45% | 1.04%</v>
      </c>
      <c r="R7057" t="str">
        <f t="shared" si="2988"/>
        <v>BULLISH</v>
      </c>
      <c r="S7057">
        <f t="shared" si="2989"/>
        <v>1</v>
      </c>
    </row>
    <row r="7058" spans="1:19" hidden="1" x14ac:dyDescent="0.25">
      <c r="A7058" s="5" t="str">
        <f t="shared" si="2990"/>
        <v>44218VIX</v>
      </c>
      <c r="B7058" s="6" t="s">
        <v>96</v>
      </c>
      <c r="C7058" s="6">
        <v>20.53</v>
      </c>
      <c r="D7058" s="6">
        <v>24.95</v>
      </c>
      <c r="E7058" s="6">
        <v>21.32</v>
      </c>
      <c r="F7058" t="str">
        <f t="shared" si="2978"/>
        <v>FRI</v>
      </c>
      <c r="G7058" s="3">
        <f t="shared" si="2979"/>
        <v>44218</v>
      </c>
      <c r="H7058" s="2">
        <f t="shared" ca="1" si="2980"/>
        <v>35</v>
      </c>
      <c r="I7058" t="str">
        <f t="shared" si="2981"/>
        <v>VIX</v>
      </c>
      <c r="J7058">
        <f t="shared" si="2982"/>
        <v>20.53</v>
      </c>
      <c r="K7058">
        <f t="shared" si="2983"/>
        <v>24.95</v>
      </c>
      <c r="L7058">
        <f t="shared" si="2984"/>
        <v>22.740000000000002</v>
      </c>
      <c r="M7058">
        <f t="shared" si="2985"/>
        <v>2.2099999999999991</v>
      </c>
      <c r="N7058">
        <f t="shared" si="2976"/>
        <v>4.4199999999999982</v>
      </c>
      <c r="O7058">
        <f t="shared" si="2986"/>
        <v>21.32</v>
      </c>
      <c r="P7058">
        <f t="shared" si="2987"/>
        <v>-0.64253393665158476</v>
      </c>
      <c r="Q7058" t="str">
        <f t="shared" si="2977"/>
        <v>3.71% | 17.03%</v>
      </c>
      <c r="R7058" t="str">
        <f t="shared" si="2988"/>
        <v>BEARISH</v>
      </c>
      <c r="S7058">
        <f t="shared" si="2989"/>
        <v>-1</v>
      </c>
    </row>
    <row r="7059" spans="1:19" hidden="1" x14ac:dyDescent="0.25">
      <c r="A7059" s="5" t="str">
        <f t="shared" si="2990"/>
        <v>44218USD</v>
      </c>
      <c r="B7059" s="6" t="s">
        <v>94</v>
      </c>
      <c r="C7059" s="6">
        <v>89.49</v>
      </c>
      <c r="D7059" s="6">
        <v>90.8</v>
      </c>
      <c r="E7059" s="6">
        <v>90.13</v>
      </c>
      <c r="F7059" t="str">
        <f t="shared" si="2978"/>
        <v>FRI</v>
      </c>
      <c r="G7059" s="3">
        <f t="shared" si="2979"/>
        <v>44218</v>
      </c>
      <c r="H7059" s="2">
        <f t="shared" ca="1" si="2980"/>
        <v>35</v>
      </c>
      <c r="I7059" t="str">
        <f t="shared" si="2981"/>
        <v>USD</v>
      </c>
      <c r="J7059">
        <f t="shared" si="2982"/>
        <v>89.49</v>
      </c>
      <c r="K7059">
        <f t="shared" si="2983"/>
        <v>90.8</v>
      </c>
      <c r="L7059">
        <f t="shared" si="2984"/>
        <v>90.144999999999996</v>
      </c>
      <c r="M7059">
        <f t="shared" si="2985"/>
        <v>0.65500000000000114</v>
      </c>
      <c r="N7059">
        <f t="shared" si="2976"/>
        <v>1.3100000000000023</v>
      </c>
      <c r="O7059">
        <f t="shared" si="2986"/>
        <v>90.13</v>
      </c>
      <c r="P7059">
        <f t="shared" si="2987"/>
        <v>-2.2900763358779455E-2</v>
      </c>
      <c r="Q7059" t="str">
        <f t="shared" si="2977"/>
        <v>0.71% | 0.74%</v>
      </c>
      <c r="R7059" t="str">
        <f t="shared" si="2988"/>
        <v>BEARISH</v>
      </c>
      <c r="S7059">
        <f t="shared" si="2989"/>
        <v>-1</v>
      </c>
    </row>
    <row r="7060" spans="1:19" hidden="1" x14ac:dyDescent="0.25">
      <c r="A7060" s="5" t="str">
        <f t="shared" si="2990"/>
        <v>44218EUR/USD</v>
      </c>
      <c r="B7060" s="6" t="s">
        <v>99</v>
      </c>
      <c r="C7060" s="6">
        <v>1.206</v>
      </c>
      <c r="D7060" s="6">
        <v>1.2270000000000001</v>
      </c>
      <c r="E7060" s="6">
        <v>1.2170000000000001</v>
      </c>
      <c r="F7060" t="str">
        <f t="shared" si="2978"/>
        <v>FRI</v>
      </c>
      <c r="G7060" s="3">
        <f t="shared" si="2979"/>
        <v>44218</v>
      </c>
      <c r="H7060" s="2">
        <f t="shared" ca="1" si="2980"/>
        <v>35</v>
      </c>
      <c r="I7060" t="str">
        <f t="shared" si="2981"/>
        <v>EUR/USD</v>
      </c>
      <c r="J7060">
        <f t="shared" si="2982"/>
        <v>1.206</v>
      </c>
      <c r="K7060">
        <f t="shared" si="2983"/>
        <v>1.2270000000000001</v>
      </c>
      <c r="L7060">
        <f t="shared" si="2984"/>
        <v>1.2164999999999999</v>
      </c>
      <c r="M7060">
        <f t="shared" si="2985"/>
        <v>1.0500000000000065E-2</v>
      </c>
      <c r="N7060">
        <f t="shared" si="2976"/>
        <v>2.100000000000013E-2</v>
      </c>
      <c r="O7060">
        <f t="shared" si="2986"/>
        <v>1.2170000000000001</v>
      </c>
      <c r="P7060">
        <f t="shared" si="2987"/>
        <v>4.7619047619063229E-2</v>
      </c>
      <c r="Q7060" t="str">
        <f t="shared" si="2977"/>
        <v>0.9% | 0.82%</v>
      </c>
      <c r="R7060" t="str">
        <f t="shared" si="2988"/>
        <v>BULLISH</v>
      </c>
      <c r="S7060">
        <f t="shared" si="2989"/>
        <v>1</v>
      </c>
    </row>
    <row r="7061" spans="1:19" hidden="1" x14ac:dyDescent="0.25">
      <c r="A7061" s="5" t="str">
        <f t="shared" si="2990"/>
        <v>44218USD/JPY</v>
      </c>
      <c r="B7061" s="6" t="s">
        <v>20</v>
      </c>
      <c r="C7061" s="6">
        <v>103.02</v>
      </c>
      <c r="D7061" s="6">
        <v>104.31</v>
      </c>
      <c r="E7061" s="6">
        <v>103.5</v>
      </c>
      <c r="F7061" t="str">
        <f t="shared" si="2978"/>
        <v>FRI</v>
      </c>
      <c r="G7061" s="3">
        <f t="shared" si="2979"/>
        <v>44218</v>
      </c>
      <c r="H7061" s="2">
        <f t="shared" ca="1" si="2980"/>
        <v>35</v>
      </c>
      <c r="I7061" t="str">
        <f t="shared" si="2981"/>
        <v>USD/JPY</v>
      </c>
      <c r="J7061">
        <f t="shared" si="2982"/>
        <v>103.02</v>
      </c>
      <c r="K7061">
        <f t="shared" si="2983"/>
        <v>104.31</v>
      </c>
      <c r="L7061">
        <f t="shared" si="2984"/>
        <v>103.66499999999999</v>
      </c>
      <c r="M7061">
        <f t="shared" si="2985"/>
        <v>0.64500000000000313</v>
      </c>
      <c r="N7061">
        <f t="shared" si="2976"/>
        <v>1.2900000000000063</v>
      </c>
      <c r="O7061">
        <f t="shared" si="2986"/>
        <v>103.5</v>
      </c>
      <c r="P7061">
        <f t="shared" si="2987"/>
        <v>-0.2558139534883585</v>
      </c>
      <c r="Q7061" t="str">
        <f t="shared" si="2977"/>
        <v>0.46% | 0.78%</v>
      </c>
      <c r="R7061" t="str">
        <f t="shared" si="2988"/>
        <v>BEARISH</v>
      </c>
      <c r="S7061">
        <f t="shared" si="2989"/>
        <v>-1</v>
      </c>
    </row>
    <row r="7062" spans="1:19" hidden="1" x14ac:dyDescent="0.25">
      <c r="A7062" s="5" t="str">
        <f t="shared" si="2990"/>
        <v>44218GBP/USD</v>
      </c>
      <c r="B7062" s="6" t="s">
        <v>102</v>
      </c>
      <c r="C7062" s="6">
        <v>1.3540000000000001</v>
      </c>
      <c r="D7062" s="6">
        <v>1.375</v>
      </c>
      <c r="E7062" s="6">
        <v>1.3740000000000001</v>
      </c>
      <c r="F7062" t="str">
        <f t="shared" si="2978"/>
        <v>FRI</v>
      </c>
      <c r="G7062" s="3">
        <f t="shared" si="2979"/>
        <v>44218</v>
      </c>
      <c r="H7062" s="2">
        <f t="shared" ca="1" si="2980"/>
        <v>35</v>
      </c>
      <c r="I7062" t="str">
        <f t="shared" si="2981"/>
        <v>GBP/USD</v>
      </c>
      <c r="J7062">
        <f t="shared" si="2982"/>
        <v>1.3540000000000001</v>
      </c>
      <c r="K7062">
        <f t="shared" si="2983"/>
        <v>1.375</v>
      </c>
      <c r="L7062">
        <f t="shared" si="2984"/>
        <v>1.3645</v>
      </c>
      <c r="M7062">
        <f t="shared" si="2985"/>
        <v>1.0499999999999954E-2</v>
      </c>
      <c r="N7062">
        <f t="shared" si="2976"/>
        <v>2.0999999999999908E-2</v>
      </c>
      <c r="O7062">
        <f t="shared" si="2986"/>
        <v>1.3740000000000001</v>
      </c>
      <c r="P7062">
        <f t="shared" si="2987"/>
        <v>0.90476190476191487</v>
      </c>
      <c r="Q7062" t="str">
        <f t="shared" si="2977"/>
        <v>1.46% | 0.07%</v>
      </c>
      <c r="R7062" t="str">
        <f t="shared" si="2988"/>
        <v>BULLISH</v>
      </c>
      <c r="S7062">
        <f t="shared" si="2989"/>
        <v>1</v>
      </c>
    </row>
    <row r="7063" spans="1:19" hidden="1" x14ac:dyDescent="0.25">
      <c r="A7063" s="5" t="str">
        <f t="shared" si="2990"/>
        <v>44218CAD/USD</v>
      </c>
      <c r="B7063" s="6" t="s">
        <v>244</v>
      </c>
      <c r="C7063" s="6">
        <v>0.78</v>
      </c>
      <c r="D7063" s="6">
        <v>0.8</v>
      </c>
      <c r="E7063" s="6">
        <v>0.79</v>
      </c>
      <c r="F7063" t="str">
        <f t="shared" si="2978"/>
        <v>FRI</v>
      </c>
      <c r="G7063" s="3">
        <f t="shared" si="2979"/>
        <v>44218</v>
      </c>
      <c r="H7063" s="2">
        <f t="shared" ca="1" si="2980"/>
        <v>35</v>
      </c>
      <c r="I7063" t="str">
        <f t="shared" si="2981"/>
        <v>CAD/USD</v>
      </c>
      <c r="J7063">
        <f t="shared" si="2982"/>
        <v>0.78</v>
      </c>
      <c r="K7063">
        <f t="shared" si="2983"/>
        <v>0.8</v>
      </c>
      <c r="L7063">
        <f t="shared" si="2984"/>
        <v>0.79</v>
      </c>
      <c r="M7063">
        <f t="shared" si="2985"/>
        <v>1.0000000000000009E-2</v>
      </c>
      <c r="N7063">
        <f t="shared" si="2976"/>
        <v>2.0000000000000018E-2</v>
      </c>
      <c r="O7063">
        <f t="shared" si="2986"/>
        <v>0.79</v>
      </c>
      <c r="P7063">
        <f t="shared" si="2987"/>
        <v>0</v>
      </c>
      <c r="Q7063" t="str">
        <f t="shared" si="2977"/>
        <v>1.27% | 1.27%</v>
      </c>
      <c r="R7063" t="str">
        <f t="shared" si="2988"/>
        <v>BULLISH</v>
      </c>
      <c r="S7063">
        <f t="shared" si="2989"/>
        <v>1</v>
      </c>
    </row>
    <row r="7064" spans="1:19" hidden="1" x14ac:dyDescent="0.25">
      <c r="A7064" s="5" t="str">
        <f t="shared" si="2990"/>
        <v>44218USD/CHF</v>
      </c>
      <c r="B7064" s="6" t="s">
        <v>76</v>
      </c>
      <c r="C7064" s="6">
        <v>0.87</v>
      </c>
      <c r="D7064" s="6">
        <v>0.89</v>
      </c>
      <c r="E7064" s="6">
        <v>0.88</v>
      </c>
      <c r="F7064" t="str">
        <f t="shared" si="2978"/>
        <v>FRI</v>
      </c>
      <c r="G7064" s="3">
        <f t="shared" si="2979"/>
        <v>44218</v>
      </c>
      <c r="H7064" s="2">
        <f t="shared" ca="1" si="2980"/>
        <v>35</v>
      </c>
      <c r="I7064" t="str">
        <f t="shared" si="2981"/>
        <v>USD/CHF</v>
      </c>
      <c r="J7064">
        <f t="shared" si="2982"/>
        <v>0.87</v>
      </c>
      <c r="K7064">
        <f t="shared" si="2983"/>
        <v>0.89</v>
      </c>
      <c r="L7064">
        <f t="shared" si="2984"/>
        <v>0.88</v>
      </c>
      <c r="M7064">
        <f t="shared" si="2985"/>
        <v>1.0000000000000009E-2</v>
      </c>
      <c r="N7064">
        <f t="shared" si="2976"/>
        <v>2.0000000000000018E-2</v>
      </c>
      <c r="O7064">
        <f t="shared" si="2986"/>
        <v>0.88</v>
      </c>
      <c r="P7064">
        <f t="shared" si="2987"/>
        <v>0</v>
      </c>
      <c r="Q7064" t="str">
        <f t="shared" si="2977"/>
        <v>1.14% | 1.14%</v>
      </c>
      <c r="R7064" t="str">
        <f t="shared" si="2988"/>
        <v>BEARISH</v>
      </c>
      <c r="S7064">
        <f t="shared" si="2989"/>
        <v>-1</v>
      </c>
    </row>
    <row r="7065" spans="1:19" hidden="1" x14ac:dyDescent="0.25">
      <c r="A7065" s="5" t="str">
        <f t="shared" si="2990"/>
        <v>44218WTIC</v>
      </c>
      <c r="B7065" s="6" t="s">
        <v>158</v>
      </c>
      <c r="C7065" s="6">
        <v>51.28</v>
      </c>
      <c r="D7065" s="6">
        <v>53.9</v>
      </c>
      <c r="E7065" s="6">
        <v>53.13</v>
      </c>
      <c r="F7065" t="str">
        <f t="shared" si="2978"/>
        <v>FRI</v>
      </c>
      <c r="G7065" s="3">
        <f t="shared" si="2979"/>
        <v>44218</v>
      </c>
      <c r="H7065" s="2">
        <f t="shared" ca="1" si="2980"/>
        <v>35</v>
      </c>
      <c r="I7065" t="str">
        <f t="shared" si="2981"/>
        <v>WTIC</v>
      </c>
      <c r="J7065">
        <f t="shared" si="2982"/>
        <v>51.28</v>
      </c>
      <c r="K7065">
        <f t="shared" si="2983"/>
        <v>53.9</v>
      </c>
      <c r="L7065">
        <f t="shared" si="2984"/>
        <v>52.59</v>
      </c>
      <c r="M7065">
        <f t="shared" si="2985"/>
        <v>1.3099999999999987</v>
      </c>
      <c r="N7065">
        <f t="shared" si="2976"/>
        <v>2.6199999999999974</v>
      </c>
      <c r="O7065">
        <f t="shared" si="2986"/>
        <v>53.13</v>
      </c>
      <c r="P7065">
        <f t="shared" si="2987"/>
        <v>0.41221374045801501</v>
      </c>
      <c r="Q7065" t="str">
        <f t="shared" si="2977"/>
        <v>3.48% | 1.45%</v>
      </c>
      <c r="R7065" t="str">
        <f t="shared" si="2988"/>
        <v>BULLISH</v>
      </c>
      <c r="S7065">
        <f t="shared" si="2989"/>
        <v>1</v>
      </c>
    </row>
    <row r="7066" spans="1:19" hidden="1" x14ac:dyDescent="0.25">
      <c r="A7066" s="5" t="str">
        <f t="shared" si="2990"/>
        <v>44218NATGAS</v>
      </c>
      <c r="B7066" s="6" t="s">
        <v>24</v>
      </c>
      <c r="C7066" s="6">
        <v>2.41</v>
      </c>
      <c r="D7066" s="6">
        <v>2.8</v>
      </c>
      <c r="E7066" s="6">
        <v>2.4900000000000002</v>
      </c>
      <c r="F7066" t="str">
        <f t="shared" si="2978"/>
        <v>FRI</v>
      </c>
      <c r="G7066" s="3">
        <f t="shared" si="2979"/>
        <v>44218</v>
      </c>
      <c r="H7066" s="2">
        <f t="shared" ca="1" si="2980"/>
        <v>35</v>
      </c>
      <c r="I7066" t="str">
        <f t="shared" si="2981"/>
        <v>NATGAS</v>
      </c>
      <c r="J7066">
        <f t="shared" si="2982"/>
        <v>2.41</v>
      </c>
      <c r="K7066">
        <f t="shared" si="2983"/>
        <v>2.8</v>
      </c>
      <c r="L7066">
        <f t="shared" si="2984"/>
        <v>2.605</v>
      </c>
      <c r="M7066">
        <f t="shared" si="2985"/>
        <v>0.19499999999999984</v>
      </c>
      <c r="N7066">
        <f t="shared" si="2976"/>
        <v>0.38999999999999968</v>
      </c>
      <c r="O7066">
        <f t="shared" si="2986"/>
        <v>2.4900000000000002</v>
      </c>
      <c r="P7066">
        <f t="shared" si="2987"/>
        <v>-0.58974358974358909</v>
      </c>
      <c r="Q7066" t="str">
        <f t="shared" si="2977"/>
        <v>3.21% | 12.45%</v>
      </c>
      <c r="R7066" t="str">
        <f t="shared" si="2988"/>
        <v>BEARISH</v>
      </c>
      <c r="S7066">
        <f t="shared" si="2989"/>
        <v>-1</v>
      </c>
    </row>
    <row r="7067" spans="1:19" hidden="1" x14ac:dyDescent="0.25">
      <c r="A7067" s="5" t="str">
        <f t="shared" si="2990"/>
        <v>44218GOLD</v>
      </c>
      <c r="B7067" s="6" t="s">
        <v>85</v>
      </c>
      <c r="C7067" s="6">
        <v>1804</v>
      </c>
      <c r="D7067" s="6">
        <v>1882</v>
      </c>
      <c r="E7067" s="6">
        <v>1865</v>
      </c>
      <c r="F7067" t="str">
        <f t="shared" si="2978"/>
        <v>FRI</v>
      </c>
      <c r="G7067" s="3">
        <f t="shared" si="2979"/>
        <v>44218</v>
      </c>
      <c r="H7067" s="2">
        <f t="shared" ca="1" si="2980"/>
        <v>35</v>
      </c>
      <c r="I7067" t="str">
        <f t="shared" si="2981"/>
        <v>GOLD</v>
      </c>
      <c r="J7067">
        <f t="shared" si="2982"/>
        <v>1804</v>
      </c>
      <c r="K7067">
        <f t="shared" si="2983"/>
        <v>1882</v>
      </c>
      <c r="L7067">
        <f t="shared" si="2984"/>
        <v>1843</v>
      </c>
      <c r="M7067">
        <f t="shared" si="2985"/>
        <v>39</v>
      </c>
      <c r="N7067">
        <f t="shared" si="2976"/>
        <v>78</v>
      </c>
      <c r="O7067">
        <f t="shared" si="2986"/>
        <v>1865</v>
      </c>
      <c r="P7067">
        <f t="shared" si="2987"/>
        <v>0.5641025641025641</v>
      </c>
      <c r="Q7067" t="str">
        <f t="shared" si="2977"/>
        <v>3.27% | 0.91%</v>
      </c>
      <c r="R7067" t="str">
        <f t="shared" si="2988"/>
        <v>BEARISH</v>
      </c>
      <c r="S7067">
        <f t="shared" si="2989"/>
        <v>-1</v>
      </c>
    </row>
    <row r="7068" spans="1:19" hidden="1" x14ac:dyDescent="0.25">
      <c r="A7068" s="5" t="str">
        <f t="shared" si="2990"/>
        <v>44218COPPER</v>
      </c>
      <c r="B7068" s="6" t="s">
        <v>100</v>
      </c>
      <c r="C7068" s="6">
        <v>3.54</v>
      </c>
      <c r="D7068" s="6">
        <v>3.71</v>
      </c>
      <c r="E7068" s="6">
        <v>3.65</v>
      </c>
      <c r="F7068" t="str">
        <f t="shared" si="2978"/>
        <v>FRI</v>
      </c>
      <c r="G7068" s="3">
        <f t="shared" si="2979"/>
        <v>44218</v>
      </c>
      <c r="H7068" s="2">
        <f t="shared" ca="1" si="2980"/>
        <v>35</v>
      </c>
      <c r="I7068" t="str">
        <f t="shared" si="2981"/>
        <v>COPPER</v>
      </c>
      <c r="J7068">
        <f t="shared" si="2982"/>
        <v>3.54</v>
      </c>
      <c r="K7068">
        <f t="shared" si="2983"/>
        <v>3.71</v>
      </c>
      <c r="L7068">
        <f t="shared" si="2984"/>
        <v>3.625</v>
      </c>
      <c r="M7068">
        <f t="shared" si="2985"/>
        <v>8.4999999999999964E-2</v>
      </c>
      <c r="N7068">
        <f t="shared" si="2976"/>
        <v>0.16999999999999993</v>
      </c>
      <c r="O7068">
        <f t="shared" si="2986"/>
        <v>3.65</v>
      </c>
      <c r="P7068">
        <f t="shared" si="2987"/>
        <v>0.2941176470588226</v>
      </c>
      <c r="Q7068" t="str">
        <f t="shared" si="2977"/>
        <v>3.01% | 1.64%</v>
      </c>
      <c r="R7068" t="str">
        <f t="shared" si="2988"/>
        <v>BULLISH</v>
      </c>
      <c r="S7068">
        <f t="shared" si="2989"/>
        <v>1</v>
      </c>
    </row>
    <row r="7069" spans="1:19" hidden="1" x14ac:dyDescent="0.25">
      <c r="A7069" s="5" t="str">
        <f t="shared" si="2990"/>
        <v>44218MSFT</v>
      </c>
      <c r="B7069" s="6" t="s">
        <v>27</v>
      </c>
      <c r="C7069" s="6">
        <v>210</v>
      </c>
      <c r="D7069" s="6">
        <v>226</v>
      </c>
      <c r="E7069" s="6">
        <v>224</v>
      </c>
      <c r="F7069" t="str">
        <f t="shared" si="2978"/>
        <v>FRI</v>
      </c>
      <c r="G7069" s="3">
        <f t="shared" si="2979"/>
        <v>44218</v>
      </c>
      <c r="H7069" s="2">
        <f t="shared" ca="1" si="2980"/>
        <v>35</v>
      </c>
      <c r="I7069" t="str">
        <f t="shared" si="2981"/>
        <v>MSFT</v>
      </c>
      <c r="J7069">
        <f t="shared" si="2982"/>
        <v>210</v>
      </c>
      <c r="K7069">
        <f t="shared" si="2983"/>
        <v>226</v>
      </c>
      <c r="L7069">
        <f t="shared" si="2984"/>
        <v>218</v>
      </c>
      <c r="M7069">
        <f t="shared" si="2985"/>
        <v>8</v>
      </c>
      <c r="N7069">
        <f t="shared" si="2976"/>
        <v>16</v>
      </c>
      <c r="O7069">
        <f t="shared" si="2986"/>
        <v>224</v>
      </c>
      <c r="P7069">
        <f t="shared" si="2987"/>
        <v>0.75</v>
      </c>
      <c r="Q7069" t="str">
        <f t="shared" si="2977"/>
        <v>6.25% | 0.89%</v>
      </c>
      <c r="R7069" t="str">
        <f t="shared" si="2988"/>
        <v>BULLISH</v>
      </c>
      <c r="S7069">
        <f t="shared" si="2989"/>
        <v>1</v>
      </c>
    </row>
    <row r="7070" spans="1:19" hidden="1" x14ac:dyDescent="0.25">
      <c r="A7070" s="5" t="str">
        <f t="shared" si="2990"/>
        <v>44218AAPL</v>
      </c>
      <c r="B7070" s="6" t="s">
        <v>28</v>
      </c>
      <c r="C7070" s="6">
        <v>127</v>
      </c>
      <c r="D7070" s="6">
        <v>138</v>
      </c>
      <c r="E7070" s="6">
        <v>136</v>
      </c>
      <c r="F7070" t="str">
        <f t="shared" si="2978"/>
        <v>FRI</v>
      </c>
      <c r="G7070" s="3">
        <f t="shared" si="2979"/>
        <v>44218</v>
      </c>
      <c r="H7070" s="2">
        <f t="shared" ca="1" si="2980"/>
        <v>35</v>
      </c>
      <c r="I7070" t="str">
        <f t="shared" si="2981"/>
        <v>AAPL</v>
      </c>
      <c r="J7070">
        <f t="shared" si="2982"/>
        <v>127</v>
      </c>
      <c r="K7070">
        <f t="shared" si="2983"/>
        <v>138</v>
      </c>
      <c r="L7070">
        <f t="shared" si="2984"/>
        <v>132.5</v>
      </c>
      <c r="M7070">
        <f t="shared" si="2985"/>
        <v>5.5</v>
      </c>
      <c r="N7070">
        <f t="shared" si="2976"/>
        <v>11</v>
      </c>
      <c r="O7070">
        <f t="shared" si="2986"/>
        <v>136</v>
      </c>
      <c r="P7070">
        <f t="shared" si="2987"/>
        <v>0.63636363636363635</v>
      </c>
      <c r="Q7070" t="str">
        <f t="shared" si="2977"/>
        <v>6.62% | 1.47%</v>
      </c>
      <c r="R7070" t="str">
        <f t="shared" si="2988"/>
        <v>BULLISH</v>
      </c>
      <c r="S7070">
        <f t="shared" si="2989"/>
        <v>1</v>
      </c>
    </row>
    <row r="7071" spans="1:19" hidden="1" x14ac:dyDescent="0.25">
      <c r="A7071" s="5" t="str">
        <f t="shared" si="2990"/>
        <v>44218AMZN</v>
      </c>
      <c r="B7071" s="6" t="s">
        <v>29</v>
      </c>
      <c r="C7071" s="6">
        <v>3070</v>
      </c>
      <c r="D7071" s="6">
        <v>3319</v>
      </c>
      <c r="E7071" s="6">
        <v>3306</v>
      </c>
      <c r="F7071" t="str">
        <f t="shared" si="2978"/>
        <v>FRI</v>
      </c>
      <c r="G7071" s="3">
        <f t="shared" si="2979"/>
        <v>44218</v>
      </c>
      <c r="H7071" s="2">
        <f t="shared" ca="1" si="2980"/>
        <v>35</v>
      </c>
      <c r="I7071" t="str">
        <f t="shared" si="2981"/>
        <v>AMZN</v>
      </c>
      <c r="J7071">
        <f t="shared" si="2982"/>
        <v>3070</v>
      </c>
      <c r="K7071">
        <f t="shared" si="2983"/>
        <v>3319</v>
      </c>
      <c r="L7071">
        <f t="shared" si="2984"/>
        <v>3194.5</v>
      </c>
      <c r="M7071">
        <f t="shared" si="2985"/>
        <v>124.5</v>
      </c>
      <c r="N7071">
        <f t="shared" si="2976"/>
        <v>249</v>
      </c>
      <c r="O7071">
        <f t="shared" si="2986"/>
        <v>3306</v>
      </c>
      <c r="P7071">
        <f t="shared" si="2987"/>
        <v>0.89558232931726911</v>
      </c>
      <c r="Q7071" t="str">
        <f t="shared" si="2977"/>
        <v>7.14% | 0.39%</v>
      </c>
      <c r="R7071" t="str">
        <f t="shared" si="2988"/>
        <v>BULLISH</v>
      </c>
      <c r="S7071">
        <f t="shared" si="2989"/>
        <v>1</v>
      </c>
    </row>
    <row r="7072" spans="1:19" hidden="1" x14ac:dyDescent="0.25">
      <c r="A7072" s="5" t="str">
        <f t="shared" si="2990"/>
        <v>44218FB</v>
      </c>
      <c r="B7072" s="6" t="s">
        <v>58</v>
      </c>
      <c r="C7072" s="6">
        <v>241</v>
      </c>
      <c r="D7072" s="6">
        <v>277</v>
      </c>
      <c r="E7072" s="6">
        <v>272</v>
      </c>
      <c r="F7072" t="str">
        <f t="shared" si="2978"/>
        <v>FRI</v>
      </c>
      <c r="G7072" s="3">
        <f t="shared" si="2979"/>
        <v>44218</v>
      </c>
      <c r="H7072" s="2">
        <f t="shared" ca="1" si="2980"/>
        <v>35</v>
      </c>
      <c r="I7072" t="str">
        <f t="shared" si="2981"/>
        <v>FB</v>
      </c>
      <c r="J7072">
        <f t="shared" si="2982"/>
        <v>241</v>
      </c>
      <c r="K7072">
        <f t="shared" si="2983"/>
        <v>277</v>
      </c>
      <c r="L7072">
        <f t="shared" si="2984"/>
        <v>259</v>
      </c>
      <c r="M7072">
        <f t="shared" si="2985"/>
        <v>18</v>
      </c>
      <c r="N7072">
        <f t="shared" si="2976"/>
        <v>36</v>
      </c>
      <c r="O7072">
        <f t="shared" si="2986"/>
        <v>272</v>
      </c>
      <c r="P7072">
        <f t="shared" si="2987"/>
        <v>0.72222222222222221</v>
      </c>
      <c r="Q7072" t="str">
        <f t="shared" si="2977"/>
        <v>11.4% | 1.84%</v>
      </c>
      <c r="R7072" t="str">
        <f t="shared" si="2988"/>
        <v>BEARISH</v>
      </c>
      <c r="S7072">
        <f t="shared" si="2989"/>
        <v>-1</v>
      </c>
    </row>
    <row r="7073" spans="1:19" hidden="1" x14ac:dyDescent="0.25">
      <c r="A7073" s="5" t="str">
        <f t="shared" si="2990"/>
        <v>44218GOOGL</v>
      </c>
      <c r="B7073" s="6" t="s">
        <v>31</v>
      </c>
      <c r="C7073" s="6">
        <v>1757</v>
      </c>
      <c r="D7073" s="6">
        <v>1903</v>
      </c>
      <c r="E7073" s="6">
        <v>1884</v>
      </c>
      <c r="F7073" t="str">
        <f t="shared" si="2978"/>
        <v>FRI</v>
      </c>
      <c r="G7073" s="3">
        <f t="shared" si="2979"/>
        <v>44218</v>
      </c>
      <c r="H7073" s="2">
        <f t="shared" ca="1" si="2980"/>
        <v>35</v>
      </c>
      <c r="I7073" t="str">
        <f t="shared" si="2981"/>
        <v>GOOGL</v>
      </c>
      <c r="J7073">
        <f t="shared" si="2982"/>
        <v>1757</v>
      </c>
      <c r="K7073">
        <f t="shared" si="2983"/>
        <v>1903</v>
      </c>
      <c r="L7073">
        <f t="shared" si="2984"/>
        <v>1830</v>
      </c>
      <c r="M7073">
        <f t="shared" si="2985"/>
        <v>73</v>
      </c>
      <c r="N7073">
        <f t="shared" si="2976"/>
        <v>146</v>
      </c>
      <c r="O7073">
        <f t="shared" si="2986"/>
        <v>1884</v>
      </c>
      <c r="P7073">
        <f t="shared" si="2987"/>
        <v>0.73972602739726023</v>
      </c>
      <c r="Q7073" t="str">
        <f t="shared" si="2977"/>
        <v>6.74% | 1.01%</v>
      </c>
      <c r="R7073" t="str">
        <f t="shared" si="2988"/>
        <v>BULLISH</v>
      </c>
      <c r="S7073">
        <f t="shared" si="2989"/>
        <v>1</v>
      </c>
    </row>
    <row r="7074" spans="1:19" hidden="1" x14ac:dyDescent="0.25">
      <c r="A7074" s="5" t="str">
        <f t="shared" si="2990"/>
        <v>44218NFLX</v>
      </c>
      <c r="B7074" s="6" t="s">
        <v>32</v>
      </c>
      <c r="C7074" s="6">
        <v>520</v>
      </c>
      <c r="D7074" s="6">
        <v>598</v>
      </c>
      <c r="E7074" s="6">
        <v>579</v>
      </c>
      <c r="F7074" t="str">
        <f t="shared" si="2978"/>
        <v>FRI</v>
      </c>
      <c r="G7074" s="3">
        <f t="shared" si="2979"/>
        <v>44218</v>
      </c>
      <c r="H7074" s="2">
        <f t="shared" ca="1" si="2980"/>
        <v>35</v>
      </c>
      <c r="I7074" t="str">
        <f t="shared" si="2981"/>
        <v>NFLX</v>
      </c>
      <c r="J7074">
        <f t="shared" si="2982"/>
        <v>520</v>
      </c>
      <c r="K7074">
        <f t="shared" si="2983"/>
        <v>598</v>
      </c>
      <c r="L7074">
        <f t="shared" si="2984"/>
        <v>559</v>
      </c>
      <c r="M7074">
        <f t="shared" si="2985"/>
        <v>39</v>
      </c>
      <c r="N7074">
        <f t="shared" si="2976"/>
        <v>78</v>
      </c>
      <c r="O7074">
        <f t="shared" si="2986"/>
        <v>579</v>
      </c>
      <c r="P7074">
        <f t="shared" si="2987"/>
        <v>0.51282051282051277</v>
      </c>
      <c r="Q7074" t="str">
        <f t="shared" si="2977"/>
        <v>10.19% | 3.28%</v>
      </c>
      <c r="R7074" t="str">
        <f t="shared" si="2988"/>
        <v>BULLISH</v>
      </c>
      <c r="S7074">
        <f t="shared" si="2989"/>
        <v>1</v>
      </c>
    </row>
    <row r="7075" spans="1:19" x14ac:dyDescent="0.25">
      <c r="A7075" s="5" t="str">
        <f t="shared" si="2990"/>
        <v>44218TSLA</v>
      </c>
      <c r="B7075" s="6" t="s">
        <v>33</v>
      </c>
      <c r="C7075" s="6">
        <v>798</v>
      </c>
      <c r="D7075" s="6">
        <v>890</v>
      </c>
      <c r="E7075" s="6">
        <v>844</v>
      </c>
      <c r="F7075" t="str">
        <f t="shared" si="2978"/>
        <v>FRI</v>
      </c>
      <c r="G7075" s="3">
        <f t="shared" si="2979"/>
        <v>44218</v>
      </c>
      <c r="H7075" s="2">
        <f t="shared" ca="1" si="2980"/>
        <v>35</v>
      </c>
      <c r="I7075" t="str">
        <f t="shared" si="2981"/>
        <v>TSLA</v>
      </c>
      <c r="J7075">
        <f t="shared" si="2982"/>
        <v>798</v>
      </c>
      <c r="K7075">
        <f t="shared" si="2983"/>
        <v>890</v>
      </c>
      <c r="L7075">
        <f t="shared" si="2984"/>
        <v>844</v>
      </c>
      <c r="M7075">
        <f t="shared" si="2985"/>
        <v>46</v>
      </c>
      <c r="N7075">
        <f t="shared" si="2976"/>
        <v>92</v>
      </c>
      <c r="O7075">
        <f t="shared" si="2986"/>
        <v>844</v>
      </c>
      <c r="P7075">
        <f t="shared" si="2987"/>
        <v>0</v>
      </c>
      <c r="Q7075" t="str">
        <f t="shared" si="2977"/>
        <v>5.45% | 5.45%</v>
      </c>
      <c r="R7075" t="str">
        <f t="shared" si="2988"/>
        <v>BULLISH</v>
      </c>
      <c r="S7075">
        <f t="shared" si="2989"/>
        <v>1</v>
      </c>
    </row>
    <row r="7076" spans="1:19" hidden="1" x14ac:dyDescent="0.25">
      <c r="A7076" s="5" t="str">
        <f t="shared" si="2990"/>
        <v>44218NYXBT</v>
      </c>
      <c r="B7076" s="6" t="s">
        <v>60</v>
      </c>
      <c r="C7076" s="6">
        <v>29514</v>
      </c>
      <c r="D7076" s="6">
        <v>41506</v>
      </c>
      <c r="E7076" s="6">
        <v>31431</v>
      </c>
      <c r="F7076" t="str">
        <f t="shared" si="2978"/>
        <v>FRI</v>
      </c>
      <c r="G7076" s="3">
        <f t="shared" si="2979"/>
        <v>44218</v>
      </c>
      <c r="H7076" s="2">
        <f t="shared" ca="1" si="2980"/>
        <v>35</v>
      </c>
      <c r="I7076" t="str">
        <f t="shared" si="2981"/>
        <v>NYXBT</v>
      </c>
      <c r="J7076">
        <f t="shared" si="2982"/>
        <v>29514</v>
      </c>
      <c r="K7076">
        <f t="shared" si="2983"/>
        <v>41506</v>
      </c>
      <c r="L7076">
        <f t="shared" si="2984"/>
        <v>35510</v>
      </c>
      <c r="M7076">
        <f t="shared" si="2985"/>
        <v>5996</v>
      </c>
      <c r="N7076">
        <f t="shared" si="2976"/>
        <v>11992</v>
      </c>
      <c r="O7076">
        <f t="shared" si="2986"/>
        <v>31431</v>
      </c>
      <c r="P7076">
        <f t="shared" si="2987"/>
        <v>-0.68028685790527021</v>
      </c>
      <c r="Q7076" t="str">
        <f t="shared" si="2977"/>
        <v>6.1% | 32.05%</v>
      </c>
      <c r="R7076" t="str">
        <f t="shared" si="2988"/>
        <v>BULLISH</v>
      </c>
      <c r="S7076">
        <f t="shared" si="2989"/>
        <v>1</v>
      </c>
    </row>
    <row r="7077" spans="1:19" hidden="1" x14ac:dyDescent="0.25">
      <c r="A7077" s="5" t="str">
        <f t="shared" si="2990"/>
        <v>44221UST10Y</v>
      </c>
      <c r="B7077" s="6" t="s">
        <v>257</v>
      </c>
      <c r="C7077" s="6">
        <v>1.18</v>
      </c>
      <c r="D7077" s="6">
        <v>1.05</v>
      </c>
      <c r="E7077" s="6">
        <v>1.1000000000000001</v>
      </c>
      <c r="F7077" t="str">
        <f t="shared" si="2978"/>
        <v>MON</v>
      </c>
      <c r="G7077" s="1">
        <f>DATE(2021,1,25)</f>
        <v>44221</v>
      </c>
      <c r="H7077" s="2">
        <f t="shared" ca="1" si="2980"/>
        <v>32</v>
      </c>
      <c r="I7077" t="str">
        <f t="shared" si="2981"/>
        <v>UST10Y</v>
      </c>
      <c r="J7077">
        <f t="shared" si="2982"/>
        <v>1.18</v>
      </c>
      <c r="K7077">
        <f t="shared" si="2983"/>
        <v>1.05</v>
      </c>
      <c r="L7077">
        <f t="shared" si="2984"/>
        <v>1.115</v>
      </c>
      <c r="M7077">
        <f t="shared" si="2985"/>
        <v>6.4999999999999947E-2</v>
      </c>
      <c r="N7077">
        <f t="shared" si="2976"/>
        <v>0.12999999999999989</v>
      </c>
      <c r="O7077">
        <f t="shared" si="2986"/>
        <v>1.1000000000000001</v>
      </c>
      <c r="P7077">
        <f t="shared" si="2987"/>
        <v>-0.23076923076922945</v>
      </c>
      <c r="Q7077" t="str">
        <f t="shared" si="2977"/>
        <v>7.27% | 4.55%</v>
      </c>
      <c r="R7077" t="str">
        <f t="shared" si="2988"/>
        <v>BULLISH</v>
      </c>
      <c r="S7077">
        <f t="shared" si="2989"/>
        <v>1</v>
      </c>
    </row>
    <row r="7078" spans="1:19" hidden="1" x14ac:dyDescent="0.25">
      <c r="A7078" s="5" t="str">
        <f t="shared" si="2990"/>
        <v>44221UST2Y</v>
      </c>
      <c r="B7078" s="6" t="s">
        <v>253</v>
      </c>
      <c r="C7078" s="6">
        <v>0.15</v>
      </c>
      <c r="D7078" s="6">
        <v>0.11</v>
      </c>
      <c r="E7078" s="6">
        <v>0.13</v>
      </c>
      <c r="F7078" t="str">
        <f t="shared" ref="F7078:F7109" si="2991">UPPER(TEXT(G7078,"ddd"))</f>
        <v>MON</v>
      </c>
      <c r="G7078" s="1">
        <f t="shared" ref="G7078:G7108" si="2992">DATE(2021,1,25)</f>
        <v>44221</v>
      </c>
      <c r="H7078" s="2">
        <f t="shared" ref="H7078:H7109" ca="1" si="2993">TODAY()-G7078</f>
        <v>32</v>
      </c>
      <c r="I7078" t="str">
        <f t="shared" ref="I7078:I7109" si="2994">TRIM(LEFT(B7078,FIND(" ",B7078,1)))</f>
        <v>UST2Y</v>
      </c>
      <c r="J7078">
        <f t="shared" ref="J7078:J7109" si="2995">C7078</f>
        <v>0.15</v>
      </c>
      <c r="K7078">
        <f t="shared" ref="K7078:K7109" si="2996">D7078</f>
        <v>0.11</v>
      </c>
      <c r="L7078">
        <f t="shared" ref="L7078:L7109" si="2997">AVERAGE(J7078:K7078)</f>
        <v>0.13</v>
      </c>
      <c r="M7078">
        <f t="shared" ref="M7078:M7109" si="2998">_xlfn.STDEV.P(J7078:K7078)</f>
        <v>1.9999999999999938E-2</v>
      </c>
      <c r="N7078">
        <f t="shared" si="2976"/>
        <v>3.9999999999999994E-2</v>
      </c>
      <c r="O7078">
        <f t="shared" ref="O7078:O7109" si="2999">E7078</f>
        <v>0.13</v>
      </c>
      <c r="P7078">
        <f t="shared" ref="P7078:P7109" si="3000">(O7078-L7078)/M7078</f>
        <v>0</v>
      </c>
      <c r="Q7078" t="str">
        <f t="shared" si="2977"/>
        <v>15.38% | 15.38%</v>
      </c>
      <c r="R7078" t="str">
        <f t="shared" ref="R7078:R7109" si="3001">MID(B7078,FIND("(",B7078,1)+1,FIND(")",B7078,1)-FIND("(",B7078,1)-1)</f>
        <v>NEUTRAL</v>
      </c>
      <c r="S7078">
        <f t="shared" ref="S7078:S7109" si="3002">IF(R7078="BEARISH",-1,IF(R7078="NEUTRAL",0,IF(R7078="BULLISH",1,99)))</f>
        <v>0</v>
      </c>
    </row>
    <row r="7079" spans="1:19" hidden="1" x14ac:dyDescent="0.25">
      <c r="A7079" s="5" t="str">
        <f t="shared" si="2990"/>
        <v>44221SPX</v>
      </c>
      <c r="B7079" s="6" t="s">
        <v>93</v>
      </c>
      <c r="C7079" s="6">
        <v>3756</v>
      </c>
      <c r="D7079" s="6">
        <v>3870</v>
      </c>
      <c r="E7079" s="6">
        <v>3841</v>
      </c>
      <c r="F7079" t="str">
        <f t="shared" si="2991"/>
        <v>MON</v>
      </c>
      <c r="G7079" s="1">
        <f t="shared" si="2992"/>
        <v>44221</v>
      </c>
      <c r="H7079" s="2">
        <f t="shared" ca="1" si="2993"/>
        <v>32</v>
      </c>
      <c r="I7079" t="str">
        <f t="shared" si="2994"/>
        <v>SPX</v>
      </c>
      <c r="J7079">
        <f t="shared" si="2995"/>
        <v>3756</v>
      </c>
      <c r="K7079">
        <f t="shared" si="2996"/>
        <v>3870</v>
      </c>
      <c r="L7079">
        <f t="shared" si="2997"/>
        <v>3813</v>
      </c>
      <c r="M7079">
        <f t="shared" si="2998"/>
        <v>57</v>
      </c>
      <c r="N7079">
        <f t="shared" si="2976"/>
        <v>114</v>
      </c>
      <c r="O7079">
        <f t="shared" si="2999"/>
        <v>3841</v>
      </c>
      <c r="P7079">
        <f t="shared" si="3000"/>
        <v>0.49122807017543857</v>
      </c>
      <c r="Q7079" t="str">
        <f t="shared" si="2977"/>
        <v>2.21% | 0.76%</v>
      </c>
      <c r="R7079" t="str">
        <f t="shared" si="3001"/>
        <v>BULLISH</v>
      </c>
      <c r="S7079">
        <f t="shared" si="3002"/>
        <v>1</v>
      </c>
    </row>
    <row r="7080" spans="1:19" hidden="1" x14ac:dyDescent="0.25">
      <c r="A7080" s="5" t="str">
        <f t="shared" si="2990"/>
        <v>44221RUT</v>
      </c>
      <c r="B7080" s="6" t="s">
        <v>247</v>
      </c>
      <c r="C7080" s="6">
        <v>2098</v>
      </c>
      <c r="D7080" s="6">
        <v>2186</v>
      </c>
      <c r="E7080" s="6">
        <v>2168</v>
      </c>
      <c r="F7080" t="str">
        <f t="shared" si="2991"/>
        <v>MON</v>
      </c>
      <c r="G7080" s="1">
        <f t="shared" si="2992"/>
        <v>44221</v>
      </c>
      <c r="H7080" s="2">
        <f t="shared" ca="1" si="2993"/>
        <v>32</v>
      </c>
      <c r="I7080" t="str">
        <f t="shared" si="2994"/>
        <v>RUT</v>
      </c>
      <c r="J7080">
        <f t="shared" si="2995"/>
        <v>2098</v>
      </c>
      <c r="K7080">
        <f t="shared" si="2996"/>
        <v>2186</v>
      </c>
      <c r="L7080">
        <f t="shared" si="2997"/>
        <v>2142</v>
      </c>
      <c r="M7080">
        <f t="shared" si="2998"/>
        <v>44</v>
      </c>
      <c r="N7080">
        <f t="shared" si="2976"/>
        <v>88</v>
      </c>
      <c r="O7080">
        <f t="shared" si="2999"/>
        <v>2168</v>
      </c>
      <c r="P7080">
        <f t="shared" si="3000"/>
        <v>0.59090909090909094</v>
      </c>
      <c r="Q7080" t="str">
        <f t="shared" si="2977"/>
        <v>3.23% | 0.83%</v>
      </c>
      <c r="R7080" t="str">
        <f t="shared" si="3001"/>
        <v>BULLISH</v>
      </c>
      <c r="S7080">
        <f t="shared" si="3002"/>
        <v>1</v>
      </c>
    </row>
    <row r="7081" spans="1:19" hidden="1" x14ac:dyDescent="0.25">
      <c r="A7081" s="5" t="str">
        <f t="shared" si="2990"/>
        <v>44221COMPQ</v>
      </c>
      <c r="B7081" s="6" t="s">
        <v>8</v>
      </c>
      <c r="C7081" s="6">
        <v>12945</v>
      </c>
      <c r="D7081" s="6">
        <v>13662</v>
      </c>
      <c r="E7081" s="6">
        <v>13543</v>
      </c>
      <c r="F7081" t="str">
        <f t="shared" si="2991"/>
        <v>MON</v>
      </c>
      <c r="G7081" s="1">
        <f t="shared" si="2992"/>
        <v>44221</v>
      </c>
      <c r="H7081" s="2">
        <f t="shared" ca="1" si="2993"/>
        <v>32</v>
      </c>
      <c r="I7081" t="str">
        <f t="shared" si="2994"/>
        <v>COMPQ</v>
      </c>
      <c r="J7081">
        <f t="shared" si="2995"/>
        <v>12945</v>
      </c>
      <c r="K7081">
        <f t="shared" si="2996"/>
        <v>13662</v>
      </c>
      <c r="L7081">
        <f t="shared" si="2997"/>
        <v>13303.5</v>
      </c>
      <c r="M7081">
        <f t="shared" si="2998"/>
        <v>358.5</v>
      </c>
      <c r="N7081">
        <f t="shared" si="2976"/>
        <v>717</v>
      </c>
      <c r="O7081">
        <f t="shared" si="2999"/>
        <v>13543</v>
      </c>
      <c r="P7081">
        <f t="shared" si="3000"/>
        <v>0.6680613668061367</v>
      </c>
      <c r="Q7081" t="str">
        <f t="shared" si="2977"/>
        <v>4.42% | 0.88%</v>
      </c>
      <c r="R7081" t="str">
        <f t="shared" si="3001"/>
        <v>BULLISH</v>
      </c>
      <c r="S7081">
        <f t="shared" si="3002"/>
        <v>1</v>
      </c>
    </row>
    <row r="7082" spans="1:19" hidden="1" x14ac:dyDescent="0.25">
      <c r="A7082" s="5" t="str">
        <f t="shared" si="2990"/>
        <v>44221XLK</v>
      </c>
      <c r="B7082" s="6" t="s">
        <v>10</v>
      </c>
      <c r="C7082" s="6">
        <v>126.94</v>
      </c>
      <c r="D7082" s="6">
        <v>133.99</v>
      </c>
      <c r="E7082" s="6">
        <v>132.83000000000001</v>
      </c>
      <c r="F7082" t="str">
        <f t="shared" si="2991"/>
        <v>MON</v>
      </c>
      <c r="G7082" s="1">
        <f t="shared" si="2992"/>
        <v>44221</v>
      </c>
      <c r="H7082" s="2">
        <f t="shared" ca="1" si="2993"/>
        <v>32</v>
      </c>
      <c r="I7082" t="str">
        <f t="shared" si="2994"/>
        <v>XLK</v>
      </c>
      <c r="J7082">
        <f t="shared" si="2995"/>
        <v>126.94</v>
      </c>
      <c r="K7082">
        <f t="shared" si="2996"/>
        <v>133.99</v>
      </c>
      <c r="L7082">
        <f t="shared" si="2997"/>
        <v>130.465</v>
      </c>
      <c r="M7082">
        <f t="shared" si="2998"/>
        <v>3.5250000000000057</v>
      </c>
      <c r="N7082">
        <f t="shared" si="2976"/>
        <v>7.0500000000000114</v>
      </c>
      <c r="O7082">
        <f t="shared" si="2999"/>
        <v>132.83000000000001</v>
      </c>
      <c r="P7082">
        <f t="shared" si="3000"/>
        <v>0.67092198581560436</v>
      </c>
      <c r="Q7082" t="str">
        <f t="shared" si="2977"/>
        <v>4.43% | 0.87%</v>
      </c>
      <c r="R7082" t="str">
        <f t="shared" si="3001"/>
        <v>BULLISH</v>
      </c>
      <c r="S7082">
        <f t="shared" si="3002"/>
        <v>1</v>
      </c>
    </row>
    <row r="7083" spans="1:19" hidden="1" x14ac:dyDescent="0.25">
      <c r="A7083" s="5" t="str">
        <f t="shared" si="2990"/>
        <v>44221XLE</v>
      </c>
      <c r="B7083" s="6" t="s">
        <v>250</v>
      </c>
      <c r="C7083" s="6">
        <v>41.09</v>
      </c>
      <c r="D7083" s="6">
        <v>44.98</v>
      </c>
      <c r="E7083" s="6">
        <v>42.07</v>
      </c>
      <c r="F7083" t="str">
        <f t="shared" si="2991"/>
        <v>MON</v>
      </c>
      <c r="G7083" s="1">
        <f t="shared" si="2992"/>
        <v>44221</v>
      </c>
      <c r="H7083" s="2">
        <f t="shared" ca="1" si="2993"/>
        <v>32</v>
      </c>
      <c r="I7083" t="str">
        <f t="shared" si="2994"/>
        <v>XLE</v>
      </c>
      <c r="J7083">
        <f t="shared" si="2995"/>
        <v>41.09</v>
      </c>
      <c r="K7083">
        <f t="shared" si="2996"/>
        <v>44.98</v>
      </c>
      <c r="L7083">
        <f t="shared" si="2997"/>
        <v>43.034999999999997</v>
      </c>
      <c r="M7083">
        <f t="shared" si="2998"/>
        <v>1.9449999999999967</v>
      </c>
      <c r="N7083">
        <f t="shared" si="2976"/>
        <v>3.8899999999999935</v>
      </c>
      <c r="O7083">
        <f t="shared" si="2999"/>
        <v>42.07</v>
      </c>
      <c r="P7083">
        <f t="shared" si="3000"/>
        <v>-0.49614395886889351</v>
      </c>
      <c r="Q7083" t="str">
        <f t="shared" si="2977"/>
        <v>2.33% | 6.92%</v>
      </c>
      <c r="R7083" t="str">
        <f t="shared" si="3001"/>
        <v>BULLISH</v>
      </c>
      <c r="S7083">
        <f t="shared" si="3002"/>
        <v>1</v>
      </c>
    </row>
    <row r="7084" spans="1:19" hidden="1" x14ac:dyDescent="0.25">
      <c r="A7084" s="5" t="str">
        <f t="shared" si="2990"/>
        <v>44221XLF</v>
      </c>
      <c r="B7084" s="6" t="s">
        <v>258</v>
      </c>
      <c r="C7084" s="6">
        <v>29.88</v>
      </c>
      <c r="D7084" s="6">
        <v>31.75</v>
      </c>
      <c r="E7084" s="6">
        <v>30.34</v>
      </c>
      <c r="F7084" t="str">
        <f t="shared" si="2991"/>
        <v>MON</v>
      </c>
      <c r="G7084" s="1">
        <f t="shared" si="2992"/>
        <v>44221</v>
      </c>
      <c r="H7084" s="2">
        <f t="shared" ca="1" si="2993"/>
        <v>32</v>
      </c>
      <c r="I7084" t="str">
        <f t="shared" si="2994"/>
        <v>XLF</v>
      </c>
      <c r="J7084">
        <f t="shared" si="2995"/>
        <v>29.88</v>
      </c>
      <c r="K7084">
        <f t="shared" si="2996"/>
        <v>31.75</v>
      </c>
      <c r="L7084">
        <f t="shared" si="2997"/>
        <v>30.814999999999998</v>
      </c>
      <c r="M7084">
        <f t="shared" si="2998"/>
        <v>0.9350000000000005</v>
      </c>
      <c r="N7084">
        <f t="shared" si="2976"/>
        <v>1.870000000000001</v>
      </c>
      <c r="O7084">
        <f t="shared" si="2999"/>
        <v>30.34</v>
      </c>
      <c r="P7084">
        <f t="shared" si="3000"/>
        <v>-0.50802139037432903</v>
      </c>
      <c r="Q7084" t="str">
        <f t="shared" si="2977"/>
        <v>1.52% | 4.65%</v>
      </c>
      <c r="R7084" t="str">
        <f t="shared" si="3001"/>
        <v>BULLISH</v>
      </c>
      <c r="S7084">
        <f t="shared" si="3002"/>
        <v>1</v>
      </c>
    </row>
    <row r="7085" spans="1:19" hidden="1" x14ac:dyDescent="0.25">
      <c r="A7085" s="5" t="str">
        <f t="shared" si="2990"/>
        <v>44221XLU</v>
      </c>
      <c r="B7085" s="6" t="s">
        <v>82</v>
      </c>
      <c r="C7085" s="6">
        <v>61.3</v>
      </c>
      <c r="D7085" s="6">
        <v>63.6</v>
      </c>
      <c r="E7085" s="6">
        <v>62.84</v>
      </c>
      <c r="F7085" t="str">
        <f t="shared" si="2991"/>
        <v>MON</v>
      </c>
      <c r="G7085" s="1">
        <f t="shared" si="2992"/>
        <v>44221</v>
      </c>
      <c r="H7085" s="2">
        <f t="shared" ca="1" si="2993"/>
        <v>32</v>
      </c>
      <c r="I7085" t="str">
        <f t="shared" si="2994"/>
        <v>XLU</v>
      </c>
      <c r="J7085">
        <f t="shared" si="2995"/>
        <v>61.3</v>
      </c>
      <c r="K7085">
        <f t="shared" si="2996"/>
        <v>63.6</v>
      </c>
      <c r="L7085">
        <f t="shared" si="2997"/>
        <v>62.45</v>
      </c>
      <c r="M7085">
        <f t="shared" si="2998"/>
        <v>1.1500000000000021</v>
      </c>
      <c r="N7085">
        <f t="shared" si="2976"/>
        <v>2.3000000000000043</v>
      </c>
      <c r="O7085">
        <f t="shared" si="2999"/>
        <v>62.84</v>
      </c>
      <c r="P7085">
        <f t="shared" si="3000"/>
        <v>0.33913043478260857</v>
      </c>
      <c r="Q7085" t="str">
        <f t="shared" si="2977"/>
        <v>2.45% | 1.21%</v>
      </c>
      <c r="R7085" t="str">
        <f t="shared" si="3001"/>
        <v>BEARISH</v>
      </c>
      <c r="S7085">
        <f t="shared" si="3002"/>
        <v>-1</v>
      </c>
    </row>
    <row r="7086" spans="1:19" hidden="1" x14ac:dyDescent="0.25">
      <c r="A7086" s="5" t="str">
        <f t="shared" si="2990"/>
        <v>44221GDX</v>
      </c>
      <c r="B7086" s="6" t="s">
        <v>254</v>
      </c>
      <c r="C7086" s="6">
        <v>34.11</v>
      </c>
      <c r="D7086" s="6">
        <v>36.58</v>
      </c>
      <c r="E7086" s="6">
        <v>35.229999999999997</v>
      </c>
      <c r="F7086" t="str">
        <f t="shared" si="2991"/>
        <v>MON</v>
      </c>
      <c r="G7086" s="1">
        <f t="shared" si="2992"/>
        <v>44221</v>
      </c>
      <c r="H7086" s="2">
        <f t="shared" ca="1" si="2993"/>
        <v>32</v>
      </c>
      <c r="I7086" t="str">
        <f t="shared" si="2994"/>
        <v>GDX</v>
      </c>
      <c r="J7086">
        <f t="shared" si="2995"/>
        <v>34.11</v>
      </c>
      <c r="K7086">
        <f t="shared" si="2996"/>
        <v>36.58</v>
      </c>
      <c r="L7086">
        <f t="shared" si="2997"/>
        <v>35.344999999999999</v>
      </c>
      <c r="M7086">
        <f t="shared" si="2998"/>
        <v>1.2349999999999994</v>
      </c>
      <c r="N7086">
        <f t="shared" si="2976"/>
        <v>2.4699999999999989</v>
      </c>
      <c r="O7086">
        <f t="shared" si="2999"/>
        <v>35.229999999999997</v>
      </c>
      <c r="P7086">
        <f t="shared" si="3000"/>
        <v>-9.3117408906884247E-2</v>
      </c>
      <c r="Q7086" t="str">
        <f t="shared" si="2977"/>
        <v>3.18% | 3.83%</v>
      </c>
      <c r="R7086" t="str">
        <f t="shared" si="3001"/>
        <v>BEARISH</v>
      </c>
      <c r="S7086">
        <f t="shared" si="3002"/>
        <v>-1</v>
      </c>
    </row>
    <row r="7087" spans="1:19" hidden="1" x14ac:dyDescent="0.25">
      <c r="A7087" s="5" t="str">
        <f t="shared" si="2990"/>
        <v>44221SSEC</v>
      </c>
      <c r="B7087" s="6" t="s">
        <v>104</v>
      </c>
      <c r="C7087" s="6">
        <v>3553</v>
      </c>
      <c r="D7087" s="6">
        <v>3639</v>
      </c>
      <c r="E7087" s="6">
        <v>3624</v>
      </c>
      <c r="F7087" t="str">
        <f t="shared" si="2991"/>
        <v>MON</v>
      </c>
      <c r="G7087" s="1">
        <f t="shared" si="2992"/>
        <v>44221</v>
      </c>
      <c r="H7087" s="2">
        <f t="shared" ca="1" si="2993"/>
        <v>32</v>
      </c>
      <c r="I7087" t="str">
        <f t="shared" si="2994"/>
        <v>SSEC</v>
      </c>
      <c r="J7087">
        <f t="shared" si="2995"/>
        <v>3553</v>
      </c>
      <c r="K7087">
        <f t="shared" si="2996"/>
        <v>3639</v>
      </c>
      <c r="L7087">
        <f t="shared" si="2997"/>
        <v>3596</v>
      </c>
      <c r="M7087">
        <f t="shared" si="2998"/>
        <v>43</v>
      </c>
      <c r="N7087">
        <f t="shared" si="2976"/>
        <v>86</v>
      </c>
      <c r="O7087">
        <f t="shared" si="2999"/>
        <v>3624</v>
      </c>
      <c r="P7087">
        <f t="shared" si="3000"/>
        <v>0.65116279069767447</v>
      </c>
      <c r="Q7087" t="str">
        <f t="shared" si="2977"/>
        <v>1.96% | 0.41%</v>
      </c>
      <c r="R7087" t="str">
        <f t="shared" si="3001"/>
        <v>BULLISH</v>
      </c>
      <c r="S7087">
        <f t="shared" si="3002"/>
        <v>1</v>
      </c>
    </row>
    <row r="7088" spans="1:19" hidden="1" x14ac:dyDescent="0.25">
      <c r="A7088" s="5" t="str">
        <f t="shared" si="2990"/>
        <v>44221NIKK</v>
      </c>
      <c r="B7088" s="6" t="s">
        <v>91</v>
      </c>
      <c r="C7088" s="6">
        <v>28126</v>
      </c>
      <c r="D7088" s="6">
        <v>28991</v>
      </c>
      <c r="E7088" s="6">
        <v>28822</v>
      </c>
      <c r="F7088" t="str">
        <f t="shared" si="2991"/>
        <v>MON</v>
      </c>
      <c r="G7088" s="1">
        <f t="shared" si="2992"/>
        <v>44221</v>
      </c>
      <c r="H7088" s="2">
        <f t="shared" ca="1" si="2993"/>
        <v>32</v>
      </c>
      <c r="I7088" t="str">
        <f t="shared" si="2994"/>
        <v>NIKK</v>
      </c>
      <c r="J7088">
        <f t="shared" si="2995"/>
        <v>28126</v>
      </c>
      <c r="K7088">
        <f t="shared" si="2996"/>
        <v>28991</v>
      </c>
      <c r="L7088">
        <f t="shared" si="2997"/>
        <v>28558.5</v>
      </c>
      <c r="M7088">
        <f t="shared" si="2998"/>
        <v>432.5</v>
      </c>
      <c r="N7088">
        <f t="shared" si="2976"/>
        <v>865</v>
      </c>
      <c r="O7088">
        <f t="shared" si="2999"/>
        <v>28822</v>
      </c>
      <c r="P7088">
        <f t="shared" si="3000"/>
        <v>0.60924855491329477</v>
      </c>
      <c r="Q7088" t="str">
        <f t="shared" si="2977"/>
        <v>2.41% | 0.59%</v>
      </c>
      <c r="R7088" t="str">
        <f t="shared" si="3001"/>
        <v>BULLISH</v>
      </c>
      <c r="S7088">
        <f t="shared" si="3002"/>
        <v>1</v>
      </c>
    </row>
    <row r="7089" spans="1:19" hidden="1" x14ac:dyDescent="0.25">
      <c r="A7089" s="5" t="str">
        <f t="shared" si="2990"/>
        <v>44221DAX</v>
      </c>
      <c r="B7089" s="6" t="s">
        <v>98</v>
      </c>
      <c r="C7089" s="6">
        <v>13717</v>
      </c>
      <c r="D7089" s="6">
        <v>14030</v>
      </c>
      <c r="E7089" s="6">
        <v>13873</v>
      </c>
      <c r="F7089" t="str">
        <f t="shared" si="2991"/>
        <v>MON</v>
      </c>
      <c r="G7089" s="1">
        <f t="shared" si="2992"/>
        <v>44221</v>
      </c>
      <c r="H7089" s="2">
        <f t="shared" ca="1" si="2993"/>
        <v>32</v>
      </c>
      <c r="I7089" t="str">
        <f t="shared" si="2994"/>
        <v>DAX</v>
      </c>
      <c r="J7089">
        <f t="shared" si="2995"/>
        <v>13717</v>
      </c>
      <c r="K7089">
        <f t="shared" si="2996"/>
        <v>14030</v>
      </c>
      <c r="L7089">
        <f t="shared" si="2997"/>
        <v>13873.5</v>
      </c>
      <c r="M7089">
        <f t="shared" si="2998"/>
        <v>156.5</v>
      </c>
      <c r="N7089">
        <f t="shared" si="2976"/>
        <v>313</v>
      </c>
      <c r="O7089">
        <f t="shared" si="2999"/>
        <v>13873</v>
      </c>
      <c r="P7089">
        <f t="shared" si="3000"/>
        <v>-3.1948881789137379E-3</v>
      </c>
      <c r="Q7089" t="str">
        <f t="shared" si="2977"/>
        <v>1.12% | 1.13%</v>
      </c>
      <c r="R7089" t="str">
        <f t="shared" si="3001"/>
        <v>BULLISH</v>
      </c>
      <c r="S7089">
        <f t="shared" si="3002"/>
        <v>1</v>
      </c>
    </row>
    <row r="7090" spans="1:19" hidden="1" x14ac:dyDescent="0.25">
      <c r="A7090" s="5" t="str">
        <f t="shared" si="2990"/>
        <v>44221VIX</v>
      </c>
      <c r="B7090" s="6" t="s">
        <v>96</v>
      </c>
      <c r="C7090" s="6">
        <v>20.65</v>
      </c>
      <c r="D7090" s="6">
        <v>24.96</v>
      </c>
      <c r="E7090" s="6">
        <v>21.91</v>
      </c>
      <c r="F7090" t="str">
        <f t="shared" si="2991"/>
        <v>MON</v>
      </c>
      <c r="G7090" s="1">
        <f t="shared" si="2992"/>
        <v>44221</v>
      </c>
      <c r="H7090" s="2">
        <f t="shared" ca="1" si="2993"/>
        <v>32</v>
      </c>
      <c r="I7090" t="str">
        <f t="shared" si="2994"/>
        <v>VIX</v>
      </c>
      <c r="J7090">
        <f t="shared" si="2995"/>
        <v>20.65</v>
      </c>
      <c r="K7090">
        <f t="shared" si="2996"/>
        <v>24.96</v>
      </c>
      <c r="L7090">
        <f t="shared" si="2997"/>
        <v>22.805</v>
      </c>
      <c r="M7090">
        <f t="shared" si="2998"/>
        <v>2.1550000000000011</v>
      </c>
      <c r="N7090">
        <f t="shared" si="2976"/>
        <v>4.3100000000000023</v>
      </c>
      <c r="O7090">
        <f t="shared" si="2999"/>
        <v>21.91</v>
      </c>
      <c r="P7090">
        <f t="shared" si="3000"/>
        <v>-0.41531322505800422</v>
      </c>
      <c r="Q7090" t="str">
        <f t="shared" si="2977"/>
        <v>5.75% | 13.92%</v>
      </c>
      <c r="R7090" t="str">
        <f t="shared" si="3001"/>
        <v>BEARISH</v>
      </c>
      <c r="S7090">
        <f t="shared" si="3002"/>
        <v>-1</v>
      </c>
    </row>
    <row r="7091" spans="1:19" hidden="1" x14ac:dyDescent="0.25">
      <c r="A7091" s="5" t="str">
        <f t="shared" si="2990"/>
        <v>44221USD</v>
      </c>
      <c r="B7091" s="6" t="s">
        <v>94</v>
      </c>
      <c r="C7091" s="6">
        <v>89.74</v>
      </c>
      <c r="D7091" s="6">
        <v>90.84</v>
      </c>
      <c r="E7091" s="6">
        <v>90.21</v>
      </c>
      <c r="F7091" t="str">
        <f t="shared" si="2991"/>
        <v>MON</v>
      </c>
      <c r="G7091" s="1">
        <f t="shared" si="2992"/>
        <v>44221</v>
      </c>
      <c r="H7091" s="2">
        <f t="shared" ca="1" si="2993"/>
        <v>32</v>
      </c>
      <c r="I7091" t="str">
        <f t="shared" si="2994"/>
        <v>USD</v>
      </c>
      <c r="J7091">
        <f t="shared" si="2995"/>
        <v>89.74</v>
      </c>
      <c r="K7091">
        <f t="shared" si="2996"/>
        <v>90.84</v>
      </c>
      <c r="L7091">
        <f t="shared" si="2997"/>
        <v>90.289999999999992</v>
      </c>
      <c r="M7091">
        <f t="shared" si="2998"/>
        <v>0.55000000000000426</v>
      </c>
      <c r="N7091">
        <f t="shared" si="2976"/>
        <v>1.1000000000000085</v>
      </c>
      <c r="O7091">
        <f t="shared" si="2999"/>
        <v>90.21</v>
      </c>
      <c r="P7091">
        <f t="shared" si="3000"/>
        <v>-0.14545454545454123</v>
      </c>
      <c r="Q7091" t="str">
        <f t="shared" si="2977"/>
        <v>0.52% | 0.7%</v>
      </c>
      <c r="R7091" t="str">
        <f t="shared" si="3001"/>
        <v>BEARISH</v>
      </c>
      <c r="S7091">
        <f t="shared" si="3002"/>
        <v>-1</v>
      </c>
    </row>
    <row r="7092" spans="1:19" hidden="1" x14ac:dyDescent="0.25">
      <c r="A7092" s="5" t="str">
        <f t="shared" si="2990"/>
        <v>44221EUR/USD</v>
      </c>
      <c r="B7092" s="6" t="s">
        <v>99</v>
      </c>
      <c r="C7092" s="6">
        <v>1.2070000000000001</v>
      </c>
      <c r="D7092" s="6">
        <v>1.2250000000000001</v>
      </c>
      <c r="E7092" s="6">
        <v>1.2170000000000001</v>
      </c>
      <c r="F7092" t="str">
        <f t="shared" si="2991"/>
        <v>MON</v>
      </c>
      <c r="G7092" s="1">
        <f t="shared" si="2992"/>
        <v>44221</v>
      </c>
      <c r="H7092" s="2">
        <f t="shared" ca="1" si="2993"/>
        <v>32</v>
      </c>
      <c r="I7092" t="str">
        <f t="shared" si="2994"/>
        <v>EUR/USD</v>
      </c>
      <c r="J7092">
        <f t="shared" si="2995"/>
        <v>1.2070000000000001</v>
      </c>
      <c r="K7092">
        <f t="shared" si="2996"/>
        <v>1.2250000000000001</v>
      </c>
      <c r="L7092">
        <f t="shared" si="2997"/>
        <v>1.2160000000000002</v>
      </c>
      <c r="M7092">
        <f t="shared" si="2998"/>
        <v>9.000000000000008E-3</v>
      </c>
      <c r="N7092">
        <f t="shared" si="2976"/>
        <v>1.8000000000000016E-2</v>
      </c>
      <c r="O7092">
        <f t="shared" si="2999"/>
        <v>1.2170000000000001</v>
      </c>
      <c r="P7092">
        <f t="shared" si="3000"/>
        <v>0.11111111111109878</v>
      </c>
      <c r="Q7092" t="str">
        <f t="shared" si="2977"/>
        <v>0.82% | 0.66%</v>
      </c>
      <c r="R7092" t="str">
        <f t="shared" si="3001"/>
        <v>BULLISH</v>
      </c>
      <c r="S7092">
        <f t="shared" si="3002"/>
        <v>1</v>
      </c>
    </row>
    <row r="7093" spans="1:19" hidden="1" x14ac:dyDescent="0.25">
      <c r="A7093" s="5" t="str">
        <f t="shared" si="2990"/>
        <v>44221USD/JPY</v>
      </c>
      <c r="B7093" s="6" t="s">
        <v>20</v>
      </c>
      <c r="C7093" s="6">
        <v>103.21</v>
      </c>
      <c r="D7093" s="6">
        <v>104.28</v>
      </c>
      <c r="E7093" s="6">
        <v>103.81</v>
      </c>
      <c r="F7093" t="str">
        <f t="shared" si="2991"/>
        <v>MON</v>
      </c>
      <c r="G7093" s="1">
        <f t="shared" si="2992"/>
        <v>44221</v>
      </c>
      <c r="H7093" s="2">
        <f t="shared" ca="1" si="2993"/>
        <v>32</v>
      </c>
      <c r="I7093" t="str">
        <f t="shared" si="2994"/>
        <v>USD/JPY</v>
      </c>
      <c r="J7093">
        <f t="shared" si="2995"/>
        <v>103.21</v>
      </c>
      <c r="K7093">
        <f t="shared" si="2996"/>
        <v>104.28</v>
      </c>
      <c r="L7093">
        <f t="shared" si="2997"/>
        <v>103.745</v>
      </c>
      <c r="M7093">
        <f t="shared" si="2998"/>
        <v>0.53500000000000369</v>
      </c>
      <c r="N7093">
        <f t="shared" si="2976"/>
        <v>1.0700000000000074</v>
      </c>
      <c r="O7093">
        <f t="shared" si="2999"/>
        <v>103.81</v>
      </c>
      <c r="P7093">
        <f t="shared" si="3000"/>
        <v>0.12149532710279864</v>
      </c>
      <c r="Q7093" t="str">
        <f t="shared" si="2977"/>
        <v>0.58% | 0.45%</v>
      </c>
      <c r="R7093" t="str">
        <f t="shared" si="3001"/>
        <v>BEARISH</v>
      </c>
      <c r="S7093">
        <f t="shared" si="3002"/>
        <v>-1</v>
      </c>
    </row>
    <row r="7094" spans="1:19" hidden="1" x14ac:dyDescent="0.25">
      <c r="A7094" s="5" t="str">
        <f t="shared" si="2990"/>
        <v>44221GBP/USD</v>
      </c>
      <c r="B7094" s="6" t="s">
        <v>102</v>
      </c>
      <c r="C7094" s="6">
        <v>1.353</v>
      </c>
      <c r="D7094" s="6">
        <v>1.3779999999999999</v>
      </c>
      <c r="E7094" s="6">
        <v>1.369</v>
      </c>
      <c r="F7094" t="str">
        <f t="shared" si="2991"/>
        <v>MON</v>
      </c>
      <c r="G7094" s="1">
        <f t="shared" si="2992"/>
        <v>44221</v>
      </c>
      <c r="H7094" s="2">
        <f t="shared" ca="1" si="2993"/>
        <v>32</v>
      </c>
      <c r="I7094" t="str">
        <f t="shared" si="2994"/>
        <v>GBP/USD</v>
      </c>
      <c r="J7094">
        <f t="shared" si="2995"/>
        <v>1.353</v>
      </c>
      <c r="K7094">
        <f t="shared" si="2996"/>
        <v>1.3779999999999999</v>
      </c>
      <c r="L7094">
        <f t="shared" si="2997"/>
        <v>1.3654999999999999</v>
      </c>
      <c r="M7094">
        <f t="shared" si="2998"/>
        <v>1.2499999999999956E-2</v>
      </c>
      <c r="N7094">
        <f t="shared" si="2976"/>
        <v>2.4999999999999911E-2</v>
      </c>
      <c r="O7094">
        <f t="shared" si="2999"/>
        <v>1.369</v>
      </c>
      <c r="P7094">
        <f t="shared" si="3000"/>
        <v>0.28000000000000569</v>
      </c>
      <c r="Q7094" t="str">
        <f t="shared" si="2977"/>
        <v>1.17% | 0.66%</v>
      </c>
      <c r="R7094" t="str">
        <f t="shared" si="3001"/>
        <v>BULLISH</v>
      </c>
      <c r="S7094">
        <f t="shared" si="3002"/>
        <v>1</v>
      </c>
    </row>
    <row r="7095" spans="1:19" hidden="1" x14ac:dyDescent="0.25">
      <c r="A7095" s="5" t="str">
        <f t="shared" si="2990"/>
        <v>44221CAD/USD</v>
      </c>
      <c r="B7095" s="6" t="s">
        <v>244</v>
      </c>
      <c r="C7095" s="6">
        <v>0.78</v>
      </c>
      <c r="D7095" s="6">
        <v>0.8</v>
      </c>
      <c r="E7095" s="6">
        <v>0.78</v>
      </c>
      <c r="F7095" t="str">
        <f t="shared" si="2991"/>
        <v>MON</v>
      </c>
      <c r="G7095" s="1">
        <f t="shared" si="2992"/>
        <v>44221</v>
      </c>
      <c r="H7095" s="2">
        <f t="shared" ca="1" si="2993"/>
        <v>32</v>
      </c>
      <c r="I7095" t="str">
        <f t="shared" si="2994"/>
        <v>CAD/USD</v>
      </c>
      <c r="J7095">
        <f t="shared" si="2995"/>
        <v>0.78</v>
      </c>
      <c r="K7095">
        <f t="shared" si="2996"/>
        <v>0.8</v>
      </c>
      <c r="L7095">
        <f t="shared" si="2997"/>
        <v>0.79</v>
      </c>
      <c r="M7095">
        <f t="shared" si="2998"/>
        <v>1.0000000000000009E-2</v>
      </c>
      <c r="N7095">
        <f t="shared" si="2976"/>
        <v>2.0000000000000018E-2</v>
      </c>
      <c r="O7095">
        <f t="shared" si="2999"/>
        <v>0.78</v>
      </c>
      <c r="P7095">
        <f t="shared" si="3000"/>
        <v>-1</v>
      </c>
      <c r="Q7095" t="str">
        <f t="shared" si="2977"/>
        <v>0% | 2.56%</v>
      </c>
      <c r="R7095" t="str">
        <f t="shared" si="3001"/>
        <v>BULLISH</v>
      </c>
      <c r="S7095">
        <f t="shared" si="3002"/>
        <v>1</v>
      </c>
    </row>
    <row r="7096" spans="1:19" hidden="1" x14ac:dyDescent="0.25">
      <c r="A7096" s="5" t="str">
        <f t="shared" si="2990"/>
        <v>44221USD/CHF</v>
      </c>
      <c r="B7096" s="6" t="s">
        <v>76</v>
      </c>
      <c r="C7096" s="6">
        <v>0.87</v>
      </c>
      <c r="D7096" s="6">
        <v>0.89</v>
      </c>
      <c r="E7096" s="6">
        <v>0.88</v>
      </c>
      <c r="F7096" t="str">
        <f t="shared" si="2991"/>
        <v>MON</v>
      </c>
      <c r="G7096" s="1">
        <f t="shared" si="2992"/>
        <v>44221</v>
      </c>
      <c r="H7096" s="2">
        <f t="shared" ca="1" si="2993"/>
        <v>32</v>
      </c>
      <c r="I7096" t="str">
        <f t="shared" si="2994"/>
        <v>USD/CHF</v>
      </c>
      <c r="J7096">
        <f t="shared" si="2995"/>
        <v>0.87</v>
      </c>
      <c r="K7096">
        <f t="shared" si="2996"/>
        <v>0.89</v>
      </c>
      <c r="L7096">
        <f t="shared" si="2997"/>
        <v>0.88</v>
      </c>
      <c r="M7096">
        <f t="shared" si="2998"/>
        <v>1.0000000000000009E-2</v>
      </c>
      <c r="N7096">
        <f t="shared" si="2976"/>
        <v>2.0000000000000018E-2</v>
      </c>
      <c r="O7096">
        <f t="shared" si="2999"/>
        <v>0.88</v>
      </c>
      <c r="P7096">
        <f t="shared" si="3000"/>
        <v>0</v>
      </c>
      <c r="Q7096" t="str">
        <f t="shared" si="2977"/>
        <v>1.14% | 1.14%</v>
      </c>
      <c r="R7096" t="str">
        <f t="shared" si="3001"/>
        <v>BEARISH</v>
      </c>
      <c r="S7096">
        <f t="shared" si="3002"/>
        <v>-1</v>
      </c>
    </row>
    <row r="7097" spans="1:19" hidden="1" x14ac:dyDescent="0.25">
      <c r="A7097" s="5" t="str">
        <f t="shared" si="2990"/>
        <v>44221WTIC</v>
      </c>
      <c r="B7097" s="6" t="s">
        <v>158</v>
      </c>
      <c r="C7097" s="6">
        <v>51.39</v>
      </c>
      <c r="D7097" s="6">
        <v>53.99</v>
      </c>
      <c r="E7097" s="6">
        <v>52.27</v>
      </c>
      <c r="F7097" t="str">
        <f t="shared" si="2991"/>
        <v>MON</v>
      </c>
      <c r="G7097" s="1">
        <f t="shared" si="2992"/>
        <v>44221</v>
      </c>
      <c r="H7097" s="2">
        <f t="shared" ca="1" si="2993"/>
        <v>32</v>
      </c>
      <c r="I7097" t="str">
        <f t="shared" si="2994"/>
        <v>WTIC</v>
      </c>
      <c r="J7097">
        <f t="shared" si="2995"/>
        <v>51.39</v>
      </c>
      <c r="K7097">
        <f t="shared" si="2996"/>
        <v>53.99</v>
      </c>
      <c r="L7097">
        <f t="shared" si="2997"/>
        <v>52.69</v>
      </c>
      <c r="M7097">
        <f t="shared" si="2998"/>
        <v>1.3000000000000007</v>
      </c>
      <c r="N7097">
        <f t="shared" si="2976"/>
        <v>2.6000000000000014</v>
      </c>
      <c r="O7097">
        <f t="shared" si="2999"/>
        <v>52.27</v>
      </c>
      <c r="P7097">
        <f t="shared" si="3000"/>
        <v>-0.32307692307691876</v>
      </c>
      <c r="Q7097" t="str">
        <f t="shared" si="2977"/>
        <v>1.68% | 3.29%</v>
      </c>
      <c r="R7097" t="str">
        <f t="shared" si="3001"/>
        <v>BULLISH</v>
      </c>
      <c r="S7097">
        <f t="shared" si="3002"/>
        <v>1</v>
      </c>
    </row>
    <row r="7098" spans="1:19" hidden="1" x14ac:dyDescent="0.25">
      <c r="A7098" s="5" t="str">
        <f t="shared" si="2990"/>
        <v>44221NATGAS</v>
      </c>
      <c r="B7098" s="6" t="s">
        <v>24</v>
      </c>
      <c r="C7098" s="6">
        <v>2.4</v>
      </c>
      <c r="D7098" s="6">
        <v>2.8</v>
      </c>
      <c r="E7098" s="6">
        <v>2.46</v>
      </c>
      <c r="F7098" t="str">
        <f t="shared" si="2991"/>
        <v>MON</v>
      </c>
      <c r="G7098" s="1">
        <f t="shared" si="2992"/>
        <v>44221</v>
      </c>
      <c r="H7098" s="2">
        <f t="shared" ca="1" si="2993"/>
        <v>32</v>
      </c>
      <c r="I7098" t="str">
        <f t="shared" si="2994"/>
        <v>NATGAS</v>
      </c>
      <c r="J7098">
        <f t="shared" si="2995"/>
        <v>2.4</v>
      </c>
      <c r="K7098">
        <f t="shared" si="2996"/>
        <v>2.8</v>
      </c>
      <c r="L7098">
        <f t="shared" si="2997"/>
        <v>2.5999999999999996</v>
      </c>
      <c r="M7098">
        <f t="shared" si="2998"/>
        <v>0.19999999999999996</v>
      </c>
      <c r="N7098">
        <f t="shared" si="2976"/>
        <v>0.39999999999999991</v>
      </c>
      <c r="O7098">
        <f t="shared" si="2999"/>
        <v>2.46</v>
      </c>
      <c r="P7098">
        <f t="shared" si="3000"/>
        <v>-0.69999999999999851</v>
      </c>
      <c r="Q7098" t="str">
        <f t="shared" si="2977"/>
        <v>2.44% | 13.82%</v>
      </c>
      <c r="R7098" t="str">
        <f t="shared" si="3001"/>
        <v>BEARISH</v>
      </c>
      <c r="S7098">
        <f t="shared" si="3002"/>
        <v>-1</v>
      </c>
    </row>
    <row r="7099" spans="1:19" hidden="1" x14ac:dyDescent="0.25">
      <c r="A7099" s="5" t="str">
        <f t="shared" si="2990"/>
        <v>44221GOLD</v>
      </c>
      <c r="B7099" s="6" t="s">
        <v>85</v>
      </c>
      <c r="C7099" s="6">
        <v>1818</v>
      </c>
      <c r="D7099" s="6">
        <v>1876</v>
      </c>
      <c r="E7099" s="6">
        <v>1856</v>
      </c>
      <c r="F7099" t="str">
        <f t="shared" si="2991"/>
        <v>MON</v>
      </c>
      <c r="G7099" s="1">
        <f t="shared" si="2992"/>
        <v>44221</v>
      </c>
      <c r="H7099" s="2">
        <f t="shared" ca="1" si="2993"/>
        <v>32</v>
      </c>
      <c r="I7099" t="str">
        <f t="shared" si="2994"/>
        <v>GOLD</v>
      </c>
      <c r="J7099">
        <f t="shared" si="2995"/>
        <v>1818</v>
      </c>
      <c r="K7099">
        <f t="shared" si="2996"/>
        <v>1876</v>
      </c>
      <c r="L7099">
        <f t="shared" si="2997"/>
        <v>1847</v>
      </c>
      <c r="M7099">
        <f t="shared" si="2998"/>
        <v>29</v>
      </c>
      <c r="N7099">
        <f t="shared" si="2976"/>
        <v>58</v>
      </c>
      <c r="O7099">
        <f t="shared" si="2999"/>
        <v>1856</v>
      </c>
      <c r="P7099">
        <f t="shared" si="3000"/>
        <v>0.31034482758620691</v>
      </c>
      <c r="Q7099" t="str">
        <f t="shared" si="2977"/>
        <v>2.05% | 1.08%</v>
      </c>
      <c r="R7099" t="str">
        <f t="shared" si="3001"/>
        <v>BEARISH</v>
      </c>
      <c r="S7099">
        <f t="shared" si="3002"/>
        <v>-1</v>
      </c>
    </row>
    <row r="7100" spans="1:19" hidden="1" x14ac:dyDescent="0.25">
      <c r="A7100" s="5" t="str">
        <f t="shared" si="2990"/>
        <v>44221COPPER</v>
      </c>
      <c r="B7100" s="6" t="s">
        <v>100</v>
      </c>
      <c r="C7100" s="6">
        <v>3.57</v>
      </c>
      <c r="D7100" s="6">
        <v>3.7</v>
      </c>
      <c r="E7100" s="6">
        <v>3.63</v>
      </c>
      <c r="F7100" t="str">
        <f t="shared" si="2991"/>
        <v>MON</v>
      </c>
      <c r="G7100" s="1">
        <f t="shared" si="2992"/>
        <v>44221</v>
      </c>
      <c r="H7100" s="2">
        <f t="shared" ca="1" si="2993"/>
        <v>32</v>
      </c>
      <c r="I7100" t="str">
        <f t="shared" si="2994"/>
        <v>COPPER</v>
      </c>
      <c r="J7100">
        <f t="shared" si="2995"/>
        <v>3.57</v>
      </c>
      <c r="K7100">
        <f t="shared" si="2996"/>
        <v>3.7</v>
      </c>
      <c r="L7100">
        <f t="shared" si="2997"/>
        <v>3.6349999999999998</v>
      </c>
      <c r="M7100">
        <f t="shared" si="2998"/>
        <v>6.5000000000000169E-2</v>
      </c>
      <c r="N7100">
        <f t="shared" si="2976"/>
        <v>0.13000000000000034</v>
      </c>
      <c r="O7100">
        <f t="shared" si="2999"/>
        <v>3.63</v>
      </c>
      <c r="P7100">
        <f t="shared" si="3000"/>
        <v>-7.6923076923075082E-2</v>
      </c>
      <c r="Q7100" t="str">
        <f t="shared" si="2977"/>
        <v>1.65% | 1.93%</v>
      </c>
      <c r="R7100" t="str">
        <f t="shared" si="3001"/>
        <v>BULLISH</v>
      </c>
      <c r="S7100">
        <f t="shared" si="3002"/>
        <v>1</v>
      </c>
    </row>
    <row r="7101" spans="1:19" hidden="1" x14ac:dyDescent="0.25">
      <c r="A7101" s="5" t="str">
        <f t="shared" si="2990"/>
        <v>44221MSFT</v>
      </c>
      <c r="B7101" s="6" t="s">
        <v>27</v>
      </c>
      <c r="C7101" s="6">
        <v>207</v>
      </c>
      <c r="D7101" s="6">
        <v>229</v>
      </c>
      <c r="E7101" s="6">
        <v>225</v>
      </c>
      <c r="F7101" t="str">
        <f t="shared" si="2991"/>
        <v>MON</v>
      </c>
      <c r="G7101" s="1">
        <f t="shared" si="2992"/>
        <v>44221</v>
      </c>
      <c r="H7101" s="2">
        <f t="shared" ca="1" si="2993"/>
        <v>32</v>
      </c>
      <c r="I7101" t="str">
        <f t="shared" si="2994"/>
        <v>MSFT</v>
      </c>
      <c r="J7101">
        <f t="shared" si="2995"/>
        <v>207</v>
      </c>
      <c r="K7101">
        <f t="shared" si="2996"/>
        <v>229</v>
      </c>
      <c r="L7101">
        <f t="shared" si="2997"/>
        <v>218</v>
      </c>
      <c r="M7101">
        <f t="shared" si="2998"/>
        <v>11</v>
      </c>
      <c r="N7101">
        <f t="shared" si="2976"/>
        <v>22</v>
      </c>
      <c r="O7101">
        <f t="shared" si="2999"/>
        <v>225</v>
      </c>
      <c r="P7101">
        <f t="shared" si="3000"/>
        <v>0.63636363636363635</v>
      </c>
      <c r="Q7101" t="str">
        <f t="shared" si="2977"/>
        <v>8% | 1.78%</v>
      </c>
      <c r="R7101" t="str">
        <f t="shared" si="3001"/>
        <v>BULLISH</v>
      </c>
      <c r="S7101">
        <f t="shared" si="3002"/>
        <v>1</v>
      </c>
    </row>
    <row r="7102" spans="1:19" hidden="1" x14ac:dyDescent="0.25">
      <c r="A7102" s="5" t="str">
        <f t="shared" si="2990"/>
        <v>44221AAPL</v>
      </c>
      <c r="B7102" s="6" t="s">
        <v>28</v>
      </c>
      <c r="C7102" s="6">
        <v>129</v>
      </c>
      <c r="D7102" s="6">
        <v>141</v>
      </c>
      <c r="E7102" s="6">
        <v>139</v>
      </c>
      <c r="F7102" t="str">
        <f t="shared" si="2991"/>
        <v>MON</v>
      </c>
      <c r="G7102" s="1">
        <f t="shared" si="2992"/>
        <v>44221</v>
      </c>
      <c r="H7102" s="2">
        <f t="shared" ca="1" si="2993"/>
        <v>32</v>
      </c>
      <c r="I7102" t="str">
        <f t="shared" si="2994"/>
        <v>AAPL</v>
      </c>
      <c r="J7102">
        <f t="shared" si="2995"/>
        <v>129</v>
      </c>
      <c r="K7102">
        <f t="shared" si="2996"/>
        <v>141</v>
      </c>
      <c r="L7102">
        <f t="shared" si="2997"/>
        <v>135</v>
      </c>
      <c r="M7102">
        <f t="shared" si="2998"/>
        <v>6</v>
      </c>
      <c r="N7102">
        <f t="shared" si="2976"/>
        <v>12</v>
      </c>
      <c r="O7102">
        <f t="shared" si="2999"/>
        <v>139</v>
      </c>
      <c r="P7102">
        <f t="shared" si="3000"/>
        <v>0.66666666666666663</v>
      </c>
      <c r="Q7102" t="str">
        <f t="shared" si="2977"/>
        <v>7.19% | 1.44%</v>
      </c>
      <c r="R7102" t="str">
        <f t="shared" si="3001"/>
        <v>BULLISH</v>
      </c>
      <c r="S7102">
        <f t="shared" si="3002"/>
        <v>1</v>
      </c>
    </row>
    <row r="7103" spans="1:19" hidden="1" x14ac:dyDescent="0.25">
      <c r="A7103" s="5" t="str">
        <f t="shared" si="2990"/>
        <v>44221AMZN</v>
      </c>
      <c r="B7103" s="6" t="s">
        <v>29</v>
      </c>
      <c r="C7103" s="6">
        <v>3101</v>
      </c>
      <c r="D7103" s="6">
        <v>3339</v>
      </c>
      <c r="E7103" s="6">
        <v>3292</v>
      </c>
      <c r="F7103" t="str">
        <f t="shared" si="2991"/>
        <v>MON</v>
      </c>
      <c r="G7103" s="1">
        <f t="shared" si="2992"/>
        <v>44221</v>
      </c>
      <c r="H7103" s="2">
        <f t="shared" ca="1" si="2993"/>
        <v>32</v>
      </c>
      <c r="I7103" t="str">
        <f t="shared" si="2994"/>
        <v>AMZN</v>
      </c>
      <c r="J7103">
        <f t="shared" si="2995"/>
        <v>3101</v>
      </c>
      <c r="K7103">
        <f t="shared" si="2996"/>
        <v>3339</v>
      </c>
      <c r="L7103">
        <f t="shared" si="2997"/>
        <v>3220</v>
      </c>
      <c r="M7103">
        <f t="shared" si="2998"/>
        <v>119</v>
      </c>
      <c r="N7103">
        <f t="shared" si="2976"/>
        <v>238</v>
      </c>
      <c r="O7103">
        <f t="shared" si="2999"/>
        <v>3292</v>
      </c>
      <c r="P7103">
        <f t="shared" si="3000"/>
        <v>0.60504201680672265</v>
      </c>
      <c r="Q7103" t="str">
        <f t="shared" si="2977"/>
        <v>5.8% | 1.43%</v>
      </c>
      <c r="R7103" t="str">
        <f t="shared" si="3001"/>
        <v>BULLISH</v>
      </c>
      <c r="S7103">
        <f t="shared" si="3002"/>
        <v>1</v>
      </c>
    </row>
    <row r="7104" spans="1:19" hidden="1" x14ac:dyDescent="0.25">
      <c r="A7104" s="5" t="str">
        <f t="shared" si="2990"/>
        <v>44221FB</v>
      </c>
      <c r="B7104" s="6" t="s">
        <v>58</v>
      </c>
      <c r="C7104" s="6">
        <v>240</v>
      </c>
      <c r="D7104" s="6">
        <v>280</v>
      </c>
      <c r="E7104" s="6">
        <v>274</v>
      </c>
      <c r="F7104" t="str">
        <f t="shared" si="2991"/>
        <v>MON</v>
      </c>
      <c r="G7104" s="1">
        <f t="shared" si="2992"/>
        <v>44221</v>
      </c>
      <c r="H7104" s="2">
        <f t="shared" ca="1" si="2993"/>
        <v>32</v>
      </c>
      <c r="I7104" t="str">
        <f t="shared" si="2994"/>
        <v>FB</v>
      </c>
      <c r="J7104">
        <f t="shared" si="2995"/>
        <v>240</v>
      </c>
      <c r="K7104">
        <f t="shared" si="2996"/>
        <v>280</v>
      </c>
      <c r="L7104">
        <f t="shared" si="2997"/>
        <v>260</v>
      </c>
      <c r="M7104">
        <f t="shared" si="2998"/>
        <v>20</v>
      </c>
      <c r="N7104">
        <f t="shared" si="2976"/>
        <v>40</v>
      </c>
      <c r="O7104">
        <f t="shared" si="2999"/>
        <v>274</v>
      </c>
      <c r="P7104">
        <f t="shared" si="3000"/>
        <v>0.7</v>
      </c>
      <c r="Q7104" t="str">
        <f t="shared" si="2977"/>
        <v>12.41% | 2.19%</v>
      </c>
      <c r="R7104" t="str">
        <f t="shared" si="3001"/>
        <v>BEARISH</v>
      </c>
      <c r="S7104">
        <f t="shared" si="3002"/>
        <v>-1</v>
      </c>
    </row>
    <row r="7105" spans="1:19" hidden="1" x14ac:dyDescent="0.25">
      <c r="A7105" s="5" t="str">
        <f t="shared" si="2990"/>
        <v>44221GOOGL</v>
      </c>
      <c r="B7105" s="6" t="s">
        <v>31</v>
      </c>
      <c r="C7105" s="6">
        <v>1766</v>
      </c>
      <c r="D7105" s="6">
        <v>1929</v>
      </c>
      <c r="E7105" s="6">
        <v>1892</v>
      </c>
      <c r="F7105" t="str">
        <f t="shared" si="2991"/>
        <v>MON</v>
      </c>
      <c r="G7105" s="1">
        <f t="shared" si="2992"/>
        <v>44221</v>
      </c>
      <c r="H7105" s="2">
        <f t="shared" ca="1" si="2993"/>
        <v>32</v>
      </c>
      <c r="I7105" t="str">
        <f t="shared" si="2994"/>
        <v>GOOGL</v>
      </c>
      <c r="J7105">
        <f t="shared" si="2995"/>
        <v>1766</v>
      </c>
      <c r="K7105">
        <f t="shared" si="2996"/>
        <v>1929</v>
      </c>
      <c r="L7105">
        <f t="shared" si="2997"/>
        <v>1847.5</v>
      </c>
      <c r="M7105">
        <f t="shared" si="2998"/>
        <v>81.5</v>
      </c>
      <c r="N7105">
        <f t="shared" si="2976"/>
        <v>163</v>
      </c>
      <c r="O7105">
        <f t="shared" si="2999"/>
        <v>1892</v>
      </c>
      <c r="P7105">
        <f t="shared" si="3000"/>
        <v>0.54601226993865026</v>
      </c>
      <c r="Q7105" t="str">
        <f t="shared" si="2977"/>
        <v>6.66% | 1.96%</v>
      </c>
      <c r="R7105" t="str">
        <f t="shared" si="3001"/>
        <v>BULLISH</v>
      </c>
      <c r="S7105">
        <f t="shared" si="3002"/>
        <v>1</v>
      </c>
    </row>
    <row r="7106" spans="1:19" hidden="1" x14ac:dyDescent="0.25">
      <c r="A7106" s="5" t="str">
        <f t="shared" si="2990"/>
        <v>44221NFLX</v>
      </c>
      <c r="B7106" s="6" t="s">
        <v>32</v>
      </c>
      <c r="C7106" s="6">
        <v>524</v>
      </c>
      <c r="D7106" s="6">
        <v>599</v>
      </c>
      <c r="E7106" s="6">
        <v>565</v>
      </c>
      <c r="F7106" t="str">
        <f t="shared" si="2991"/>
        <v>MON</v>
      </c>
      <c r="G7106" s="1">
        <f t="shared" si="2992"/>
        <v>44221</v>
      </c>
      <c r="H7106" s="2">
        <f t="shared" ca="1" si="2993"/>
        <v>32</v>
      </c>
      <c r="I7106" t="str">
        <f t="shared" si="2994"/>
        <v>NFLX</v>
      </c>
      <c r="J7106">
        <f t="shared" si="2995"/>
        <v>524</v>
      </c>
      <c r="K7106">
        <f t="shared" si="2996"/>
        <v>599</v>
      </c>
      <c r="L7106">
        <f t="shared" si="2997"/>
        <v>561.5</v>
      </c>
      <c r="M7106">
        <f t="shared" si="2998"/>
        <v>37.5</v>
      </c>
      <c r="N7106">
        <f t="shared" si="2976"/>
        <v>75</v>
      </c>
      <c r="O7106">
        <f t="shared" si="2999"/>
        <v>565</v>
      </c>
      <c r="P7106">
        <f t="shared" si="3000"/>
        <v>9.3333333333333338E-2</v>
      </c>
      <c r="Q7106" t="str">
        <f t="shared" si="2977"/>
        <v>7.26% | 6.02%</v>
      </c>
      <c r="R7106" t="str">
        <f t="shared" si="3001"/>
        <v>BULLISH</v>
      </c>
      <c r="S7106">
        <f t="shared" si="3002"/>
        <v>1</v>
      </c>
    </row>
    <row r="7107" spans="1:19" x14ac:dyDescent="0.25">
      <c r="A7107" s="5" t="str">
        <f t="shared" si="2990"/>
        <v>44221TSLA</v>
      </c>
      <c r="B7107" s="6" t="s">
        <v>33</v>
      </c>
      <c r="C7107" s="6">
        <v>805</v>
      </c>
      <c r="D7107" s="6">
        <v>887</v>
      </c>
      <c r="E7107" s="6">
        <v>846</v>
      </c>
      <c r="F7107" t="str">
        <f t="shared" si="2991"/>
        <v>MON</v>
      </c>
      <c r="G7107" s="1">
        <f t="shared" si="2992"/>
        <v>44221</v>
      </c>
      <c r="H7107" s="2">
        <f t="shared" ca="1" si="2993"/>
        <v>32</v>
      </c>
      <c r="I7107" t="str">
        <f t="shared" si="2994"/>
        <v>TSLA</v>
      </c>
      <c r="J7107">
        <f t="shared" si="2995"/>
        <v>805</v>
      </c>
      <c r="K7107">
        <f t="shared" si="2996"/>
        <v>887</v>
      </c>
      <c r="L7107">
        <f t="shared" si="2997"/>
        <v>846</v>
      </c>
      <c r="M7107">
        <f t="shared" si="2998"/>
        <v>41</v>
      </c>
      <c r="N7107">
        <f t="shared" ref="N7107:N7170" si="3003">ABS(K7107-J7107)</f>
        <v>82</v>
      </c>
      <c r="O7107">
        <f t="shared" si="2999"/>
        <v>846</v>
      </c>
      <c r="P7107">
        <f t="shared" si="3000"/>
        <v>0</v>
      </c>
      <c r="Q7107" t="str">
        <f t="shared" ref="Q7107:Q7170" si="3004">ROUND(ABS(100*(O7107-J7107)/O7107),2)&amp;"% | "&amp;ROUND(ABS(100*(K7107-O7107)/O7107),2)&amp;"%"</f>
        <v>4.85% | 4.85%</v>
      </c>
      <c r="R7107" t="str">
        <f t="shared" si="3001"/>
        <v>BULLISH</v>
      </c>
      <c r="S7107">
        <f t="shared" si="3002"/>
        <v>1</v>
      </c>
    </row>
    <row r="7108" spans="1:19" hidden="1" x14ac:dyDescent="0.25">
      <c r="A7108" s="5" t="str">
        <f t="shared" si="2990"/>
        <v>44221NYXBT</v>
      </c>
      <c r="B7108" s="6" t="s">
        <v>60</v>
      </c>
      <c r="C7108" s="6">
        <v>29667</v>
      </c>
      <c r="D7108" s="6">
        <v>39790</v>
      </c>
      <c r="E7108" s="6">
        <v>32442</v>
      </c>
      <c r="F7108" t="str">
        <f t="shared" si="2991"/>
        <v>MON</v>
      </c>
      <c r="G7108" s="1">
        <f t="shared" si="2992"/>
        <v>44221</v>
      </c>
      <c r="H7108" s="2">
        <f t="shared" ca="1" si="2993"/>
        <v>32</v>
      </c>
      <c r="I7108" t="str">
        <f t="shared" si="2994"/>
        <v>NYXBT</v>
      </c>
      <c r="J7108">
        <f t="shared" si="2995"/>
        <v>29667</v>
      </c>
      <c r="K7108">
        <f t="shared" si="2996"/>
        <v>39790</v>
      </c>
      <c r="L7108">
        <f t="shared" si="2997"/>
        <v>34728.5</v>
      </c>
      <c r="M7108">
        <f t="shared" si="2998"/>
        <v>5061.5</v>
      </c>
      <c r="N7108">
        <f t="shared" si="3003"/>
        <v>10123</v>
      </c>
      <c r="O7108">
        <f t="shared" si="2999"/>
        <v>32442</v>
      </c>
      <c r="P7108">
        <f t="shared" si="3000"/>
        <v>-0.45174355428232738</v>
      </c>
      <c r="Q7108" t="str">
        <f t="shared" si="3004"/>
        <v>8.55% | 22.65%</v>
      </c>
      <c r="R7108" t="str">
        <f t="shared" si="3001"/>
        <v>BULLISH</v>
      </c>
      <c r="S7108">
        <f t="shared" si="3002"/>
        <v>1</v>
      </c>
    </row>
    <row r="7109" spans="1:19" hidden="1" x14ac:dyDescent="0.25">
      <c r="A7109" s="5" t="str">
        <f t="shared" si="2990"/>
        <v>44222UST10Y</v>
      </c>
      <c r="B7109" s="6" t="s">
        <v>257</v>
      </c>
      <c r="C7109" s="6">
        <v>1.17</v>
      </c>
      <c r="D7109" s="6">
        <v>1.03</v>
      </c>
      <c r="E7109" s="6">
        <v>1.05</v>
      </c>
      <c r="F7109" t="str">
        <f t="shared" si="2991"/>
        <v>TUE</v>
      </c>
      <c r="G7109" s="3">
        <f>DATE(2021,1,26)</f>
        <v>44222</v>
      </c>
      <c r="H7109" s="2">
        <f t="shared" ca="1" si="2993"/>
        <v>31</v>
      </c>
      <c r="I7109" t="str">
        <f t="shared" si="2994"/>
        <v>UST10Y</v>
      </c>
      <c r="J7109">
        <f t="shared" si="2995"/>
        <v>1.17</v>
      </c>
      <c r="K7109">
        <f t="shared" si="2996"/>
        <v>1.03</v>
      </c>
      <c r="L7109">
        <f t="shared" si="2997"/>
        <v>1.1000000000000001</v>
      </c>
      <c r="M7109">
        <f t="shared" si="2998"/>
        <v>6.9999999999999951E-2</v>
      </c>
      <c r="N7109">
        <f t="shared" si="3003"/>
        <v>0.1399999999999999</v>
      </c>
      <c r="O7109">
        <f t="shared" si="2999"/>
        <v>1.05</v>
      </c>
      <c r="P7109">
        <f t="shared" si="3000"/>
        <v>-0.71428571428571541</v>
      </c>
      <c r="Q7109" t="str">
        <f t="shared" si="3004"/>
        <v>11.43% | 1.9%</v>
      </c>
      <c r="R7109" t="str">
        <f t="shared" si="3001"/>
        <v>BULLISH</v>
      </c>
      <c r="S7109">
        <f t="shared" si="3002"/>
        <v>1</v>
      </c>
    </row>
    <row r="7110" spans="1:19" hidden="1" x14ac:dyDescent="0.25">
      <c r="A7110" s="5" t="str">
        <f t="shared" si="2990"/>
        <v>44222UST2Y</v>
      </c>
      <c r="B7110" s="6" t="s">
        <v>253</v>
      </c>
      <c r="C7110" s="6">
        <v>0.15</v>
      </c>
      <c r="D7110" s="6">
        <v>0.11</v>
      </c>
      <c r="E7110" s="6">
        <v>0.13</v>
      </c>
      <c r="F7110" t="str">
        <f t="shared" ref="F7110:F7141" si="3005">UPPER(TEXT(G7110,"ddd"))</f>
        <v>TUE</v>
      </c>
      <c r="G7110" s="3">
        <f t="shared" ref="G7110:G7140" si="3006">DATE(2021,1,26)</f>
        <v>44222</v>
      </c>
      <c r="H7110" s="2">
        <f t="shared" ref="H7110:H7141" ca="1" si="3007">TODAY()-G7110</f>
        <v>31</v>
      </c>
      <c r="I7110" t="str">
        <f t="shared" ref="I7110:I7141" si="3008">TRIM(LEFT(B7110,FIND(" ",B7110,1)))</f>
        <v>UST2Y</v>
      </c>
      <c r="J7110">
        <f t="shared" ref="J7110:J7141" si="3009">C7110</f>
        <v>0.15</v>
      </c>
      <c r="K7110">
        <f t="shared" ref="K7110:K7141" si="3010">D7110</f>
        <v>0.11</v>
      </c>
      <c r="L7110">
        <f t="shared" ref="L7110:L7141" si="3011">AVERAGE(J7110:K7110)</f>
        <v>0.13</v>
      </c>
      <c r="M7110">
        <f t="shared" ref="M7110:M7141" si="3012">_xlfn.STDEV.P(J7110:K7110)</f>
        <v>1.9999999999999938E-2</v>
      </c>
      <c r="N7110">
        <f t="shared" si="3003"/>
        <v>3.9999999999999994E-2</v>
      </c>
      <c r="O7110">
        <f t="shared" ref="O7110:O7141" si="3013">E7110</f>
        <v>0.13</v>
      </c>
      <c r="P7110">
        <f t="shared" ref="P7110:P7141" si="3014">(O7110-L7110)/M7110</f>
        <v>0</v>
      </c>
      <c r="Q7110" t="str">
        <f t="shared" si="3004"/>
        <v>15.38% | 15.38%</v>
      </c>
      <c r="R7110" t="str">
        <f t="shared" ref="R7110:R7141" si="3015">MID(B7110,FIND("(",B7110,1)+1,FIND(")",B7110,1)-FIND("(",B7110,1)-1)</f>
        <v>NEUTRAL</v>
      </c>
      <c r="S7110">
        <f t="shared" ref="S7110:S7141" si="3016">IF(R7110="BEARISH",-1,IF(R7110="NEUTRAL",0,IF(R7110="BULLISH",1,99)))</f>
        <v>0</v>
      </c>
    </row>
    <row r="7111" spans="1:19" hidden="1" x14ac:dyDescent="0.25">
      <c r="A7111" s="5" t="str">
        <f t="shared" si="2990"/>
        <v>44222SPX</v>
      </c>
      <c r="B7111" s="6" t="s">
        <v>93</v>
      </c>
      <c r="C7111" s="6">
        <v>3765</v>
      </c>
      <c r="D7111" s="6">
        <v>3885</v>
      </c>
      <c r="E7111" s="6">
        <v>3855</v>
      </c>
      <c r="F7111" t="str">
        <f t="shared" si="3005"/>
        <v>TUE</v>
      </c>
      <c r="G7111" s="3">
        <f t="shared" si="3006"/>
        <v>44222</v>
      </c>
      <c r="H7111" s="2">
        <f t="shared" ca="1" si="3007"/>
        <v>31</v>
      </c>
      <c r="I7111" t="str">
        <f t="shared" si="3008"/>
        <v>SPX</v>
      </c>
      <c r="J7111">
        <f t="shared" si="3009"/>
        <v>3765</v>
      </c>
      <c r="K7111">
        <f t="shared" si="3010"/>
        <v>3885</v>
      </c>
      <c r="L7111">
        <f t="shared" si="3011"/>
        <v>3825</v>
      </c>
      <c r="M7111">
        <f t="shared" si="3012"/>
        <v>60</v>
      </c>
      <c r="N7111">
        <f t="shared" si="3003"/>
        <v>120</v>
      </c>
      <c r="O7111">
        <f t="shared" si="3013"/>
        <v>3855</v>
      </c>
      <c r="P7111">
        <f t="shared" si="3014"/>
        <v>0.5</v>
      </c>
      <c r="Q7111" t="str">
        <f t="shared" si="3004"/>
        <v>2.33% | 0.78%</v>
      </c>
      <c r="R7111" t="str">
        <f t="shared" si="3015"/>
        <v>BULLISH</v>
      </c>
      <c r="S7111">
        <f t="shared" si="3016"/>
        <v>1</v>
      </c>
    </row>
    <row r="7112" spans="1:19" hidden="1" x14ac:dyDescent="0.25">
      <c r="A7112" s="5" t="str">
        <f t="shared" ref="A7112:A7175" si="3017">G7112&amp;I7112</f>
        <v>44222RUT</v>
      </c>
      <c r="B7112" s="6" t="s">
        <v>247</v>
      </c>
      <c r="C7112" s="6">
        <v>2113</v>
      </c>
      <c r="D7112" s="6">
        <v>2182</v>
      </c>
      <c r="E7112" s="6">
        <v>2163</v>
      </c>
      <c r="F7112" t="str">
        <f t="shared" si="3005"/>
        <v>TUE</v>
      </c>
      <c r="G7112" s="3">
        <f t="shared" si="3006"/>
        <v>44222</v>
      </c>
      <c r="H7112" s="2">
        <f t="shared" ca="1" si="3007"/>
        <v>31</v>
      </c>
      <c r="I7112" t="str">
        <f t="shared" si="3008"/>
        <v>RUT</v>
      </c>
      <c r="J7112">
        <f t="shared" si="3009"/>
        <v>2113</v>
      </c>
      <c r="K7112">
        <f t="shared" si="3010"/>
        <v>2182</v>
      </c>
      <c r="L7112">
        <f t="shared" si="3011"/>
        <v>2147.5</v>
      </c>
      <c r="M7112">
        <f t="shared" si="3012"/>
        <v>34.5</v>
      </c>
      <c r="N7112">
        <f t="shared" si="3003"/>
        <v>69</v>
      </c>
      <c r="O7112">
        <f t="shared" si="3013"/>
        <v>2163</v>
      </c>
      <c r="P7112">
        <f t="shared" si="3014"/>
        <v>0.44927536231884058</v>
      </c>
      <c r="Q7112" t="str">
        <f t="shared" si="3004"/>
        <v>2.31% | 0.88%</v>
      </c>
      <c r="R7112" t="str">
        <f t="shared" si="3015"/>
        <v>BULLISH</v>
      </c>
      <c r="S7112">
        <f t="shared" si="3016"/>
        <v>1</v>
      </c>
    </row>
    <row r="7113" spans="1:19" hidden="1" x14ac:dyDescent="0.25">
      <c r="A7113" s="5" t="str">
        <f t="shared" si="3017"/>
        <v>44222COMPQ</v>
      </c>
      <c r="B7113" s="6" t="s">
        <v>8</v>
      </c>
      <c r="C7113" s="6">
        <v>12996</v>
      </c>
      <c r="D7113" s="6">
        <v>13763</v>
      </c>
      <c r="E7113" s="6">
        <v>13635</v>
      </c>
      <c r="F7113" t="str">
        <f t="shared" si="3005"/>
        <v>TUE</v>
      </c>
      <c r="G7113" s="3">
        <f t="shared" si="3006"/>
        <v>44222</v>
      </c>
      <c r="H7113" s="2">
        <f t="shared" ca="1" si="3007"/>
        <v>31</v>
      </c>
      <c r="I7113" t="str">
        <f t="shared" si="3008"/>
        <v>COMPQ</v>
      </c>
      <c r="J7113">
        <f t="shared" si="3009"/>
        <v>12996</v>
      </c>
      <c r="K7113">
        <f t="shared" si="3010"/>
        <v>13763</v>
      </c>
      <c r="L7113">
        <f t="shared" si="3011"/>
        <v>13379.5</v>
      </c>
      <c r="M7113">
        <f t="shared" si="3012"/>
        <v>383.5</v>
      </c>
      <c r="N7113">
        <f t="shared" si="3003"/>
        <v>767</v>
      </c>
      <c r="O7113">
        <f t="shared" si="3013"/>
        <v>13635</v>
      </c>
      <c r="P7113">
        <f t="shared" si="3014"/>
        <v>0.66623207301173404</v>
      </c>
      <c r="Q7113" t="str">
        <f t="shared" si="3004"/>
        <v>4.69% | 0.94%</v>
      </c>
      <c r="R7113" t="str">
        <f t="shared" si="3015"/>
        <v>BULLISH</v>
      </c>
      <c r="S7113">
        <f t="shared" si="3016"/>
        <v>1</v>
      </c>
    </row>
    <row r="7114" spans="1:19" hidden="1" x14ac:dyDescent="0.25">
      <c r="A7114" s="5" t="str">
        <f t="shared" si="3017"/>
        <v>44222XLK</v>
      </c>
      <c r="B7114" s="6" t="s">
        <v>10</v>
      </c>
      <c r="C7114" s="6">
        <v>129.08000000000001</v>
      </c>
      <c r="D7114" s="6">
        <v>135.15</v>
      </c>
      <c r="E7114" s="6">
        <v>133.94</v>
      </c>
      <c r="F7114" t="str">
        <f t="shared" si="3005"/>
        <v>TUE</v>
      </c>
      <c r="G7114" s="3">
        <f t="shared" si="3006"/>
        <v>44222</v>
      </c>
      <c r="H7114" s="2">
        <f t="shared" ca="1" si="3007"/>
        <v>31</v>
      </c>
      <c r="I7114" t="str">
        <f t="shared" si="3008"/>
        <v>XLK</v>
      </c>
      <c r="J7114">
        <f t="shared" si="3009"/>
        <v>129.08000000000001</v>
      </c>
      <c r="K7114">
        <f t="shared" si="3010"/>
        <v>135.15</v>
      </c>
      <c r="L7114">
        <f t="shared" si="3011"/>
        <v>132.11500000000001</v>
      </c>
      <c r="M7114">
        <f t="shared" si="3012"/>
        <v>3.0349999999999966</v>
      </c>
      <c r="N7114">
        <f t="shared" si="3003"/>
        <v>6.0699999999999932</v>
      </c>
      <c r="O7114">
        <f t="shared" si="3013"/>
        <v>133.94</v>
      </c>
      <c r="P7114">
        <f t="shared" si="3014"/>
        <v>0.60131795716638903</v>
      </c>
      <c r="Q7114" t="str">
        <f t="shared" si="3004"/>
        <v>3.63% | 0.9%</v>
      </c>
      <c r="R7114" t="str">
        <f t="shared" si="3015"/>
        <v>BULLISH</v>
      </c>
      <c r="S7114">
        <f t="shared" si="3016"/>
        <v>1</v>
      </c>
    </row>
    <row r="7115" spans="1:19" hidden="1" x14ac:dyDescent="0.25">
      <c r="A7115" s="5" t="str">
        <f t="shared" si="3017"/>
        <v>44222XLE</v>
      </c>
      <c r="B7115" s="6" t="s">
        <v>250</v>
      </c>
      <c r="C7115" s="6">
        <v>40.81</v>
      </c>
      <c r="D7115" s="6">
        <v>44.97</v>
      </c>
      <c r="E7115" s="6">
        <v>41.64</v>
      </c>
      <c r="F7115" t="str">
        <f t="shared" si="3005"/>
        <v>TUE</v>
      </c>
      <c r="G7115" s="3">
        <f t="shared" si="3006"/>
        <v>44222</v>
      </c>
      <c r="H7115" s="2">
        <f t="shared" ca="1" si="3007"/>
        <v>31</v>
      </c>
      <c r="I7115" t="str">
        <f t="shared" si="3008"/>
        <v>XLE</v>
      </c>
      <c r="J7115">
        <f t="shared" si="3009"/>
        <v>40.81</v>
      </c>
      <c r="K7115">
        <f t="shared" si="3010"/>
        <v>44.97</v>
      </c>
      <c r="L7115">
        <f t="shared" si="3011"/>
        <v>42.89</v>
      </c>
      <c r="M7115">
        <f t="shared" si="3012"/>
        <v>2.0799999999999983</v>
      </c>
      <c r="N7115">
        <f t="shared" si="3003"/>
        <v>4.1599999999999966</v>
      </c>
      <c r="O7115">
        <f t="shared" si="3013"/>
        <v>41.64</v>
      </c>
      <c r="P7115">
        <f t="shared" si="3014"/>
        <v>-0.60096153846153899</v>
      </c>
      <c r="Q7115" t="str">
        <f t="shared" si="3004"/>
        <v>1.99% | 8%</v>
      </c>
      <c r="R7115" t="str">
        <f t="shared" si="3015"/>
        <v>BULLISH</v>
      </c>
      <c r="S7115">
        <f t="shared" si="3016"/>
        <v>1</v>
      </c>
    </row>
    <row r="7116" spans="1:19" hidden="1" x14ac:dyDescent="0.25">
      <c r="A7116" s="5" t="str">
        <f t="shared" si="3017"/>
        <v>44222XLF</v>
      </c>
      <c r="B7116" s="6" t="s">
        <v>258</v>
      </c>
      <c r="C7116" s="6">
        <v>29.88</v>
      </c>
      <c r="D7116" s="6">
        <v>31.79</v>
      </c>
      <c r="E7116" s="6">
        <v>30.12</v>
      </c>
      <c r="F7116" t="str">
        <f t="shared" si="3005"/>
        <v>TUE</v>
      </c>
      <c r="G7116" s="3">
        <f t="shared" si="3006"/>
        <v>44222</v>
      </c>
      <c r="H7116" s="2">
        <f t="shared" ca="1" si="3007"/>
        <v>31</v>
      </c>
      <c r="I7116" t="str">
        <f t="shared" si="3008"/>
        <v>XLF</v>
      </c>
      <c r="J7116">
        <f t="shared" si="3009"/>
        <v>29.88</v>
      </c>
      <c r="K7116">
        <f t="shared" si="3010"/>
        <v>31.79</v>
      </c>
      <c r="L7116">
        <f t="shared" si="3011"/>
        <v>30.835000000000001</v>
      </c>
      <c r="M7116">
        <f t="shared" si="3012"/>
        <v>0.95500000000000007</v>
      </c>
      <c r="N7116">
        <f t="shared" si="3003"/>
        <v>1.9100000000000001</v>
      </c>
      <c r="O7116">
        <f t="shared" si="3013"/>
        <v>30.12</v>
      </c>
      <c r="P7116">
        <f t="shared" si="3014"/>
        <v>-0.74869109947643964</v>
      </c>
      <c r="Q7116" t="str">
        <f t="shared" si="3004"/>
        <v>0.8% | 5.54%</v>
      </c>
      <c r="R7116" t="str">
        <f t="shared" si="3015"/>
        <v>BULLISH</v>
      </c>
      <c r="S7116">
        <f t="shared" si="3016"/>
        <v>1</v>
      </c>
    </row>
    <row r="7117" spans="1:19" hidden="1" x14ac:dyDescent="0.25">
      <c r="A7117" s="5" t="str">
        <f t="shared" si="3017"/>
        <v>44222XLU</v>
      </c>
      <c r="B7117" s="6" t="s">
        <v>82</v>
      </c>
      <c r="C7117" s="6">
        <v>61.35</v>
      </c>
      <c r="D7117" s="6">
        <v>64.260000000000005</v>
      </c>
      <c r="E7117" s="6">
        <v>64.099999999999994</v>
      </c>
      <c r="F7117" t="str">
        <f t="shared" si="3005"/>
        <v>TUE</v>
      </c>
      <c r="G7117" s="3">
        <f t="shared" si="3006"/>
        <v>44222</v>
      </c>
      <c r="H7117" s="2">
        <f t="shared" ca="1" si="3007"/>
        <v>31</v>
      </c>
      <c r="I7117" t="str">
        <f t="shared" si="3008"/>
        <v>XLU</v>
      </c>
      <c r="J7117">
        <f t="shared" si="3009"/>
        <v>61.35</v>
      </c>
      <c r="K7117">
        <f t="shared" si="3010"/>
        <v>64.260000000000005</v>
      </c>
      <c r="L7117">
        <f t="shared" si="3011"/>
        <v>62.805000000000007</v>
      </c>
      <c r="M7117">
        <f t="shared" si="3012"/>
        <v>1.4550000000000018</v>
      </c>
      <c r="N7117">
        <f t="shared" si="3003"/>
        <v>2.9100000000000037</v>
      </c>
      <c r="O7117">
        <f t="shared" si="3013"/>
        <v>64.099999999999994</v>
      </c>
      <c r="P7117">
        <f t="shared" si="3014"/>
        <v>0.89003436426115867</v>
      </c>
      <c r="Q7117" t="str">
        <f t="shared" si="3004"/>
        <v>4.29% | 0.25%</v>
      </c>
      <c r="R7117" t="str">
        <f t="shared" si="3015"/>
        <v>BEARISH</v>
      </c>
      <c r="S7117">
        <f t="shared" si="3016"/>
        <v>-1</v>
      </c>
    </row>
    <row r="7118" spans="1:19" hidden="1" x14ac:dyDescent="0.25">
      <c r="A7118" s="5" t="str">
        <f t="shared" si="3017"/>
        <v>44222GDX</v>
      </c>
      <c r="B7118" s="6" t="s">
        <v>254</v>
      </c>
      <c r="C7118" s="6">
        <v>34.15</v>
      </c>
      <c r="D7118" s="6">
        <v>36.46</v>
      </c>
      <c r="E7118" s="6">
        <v>35.19</v>
      </c>
      <c r="F7118" t="str">
        <f t="shared" si="3005"/>
        <v>TUE</v>
      </c>
      <c r="G7118" s="3">
        <f t="shared" si="3006"/>
        <v>44222</v>
      </c>
      <c r="H7118" s="2">
        <f t="shared" ca="1" si="3007"/>
        <v>31</v>
      </c>
      <c r="I7118" t="str">
        <f t="shared" si="3008"/>
        <v>GDX</v>
      </c>
      <c r="J7118">
        <f t="shared" si="3009"/>
        <v>34.15</v>
      </c>
      <c r="K7118">
        <f t="shared" si="3010"/>
        <v>36.46</v>
      </c>
      <c r="L7118">
        <f t="shared" si="3011"/>
        <v>35.305</v>
      </c>
      <c r="M7118">
        <f t="shared" si="3012"/>
        <v>1.1550000000000011</v>
      </c>
      <c r="N7118">
        <f t="shared" si="3003"/>
        <v>2.3100000000000023</v>
      </c>
      <c r="O7118">
        <f t="shared" si="3013"/>
        <v>35.19</v>
      </c>
      <c r="P7118">
        <f t="shared" si="3014"/>
        <v>-9.9567099567101192E-2</v>
      </c>
      <c r="Q7118" t="str">
        <f t="shared" si="3004"/>
        <v>2.96% | 3.61%</v>
      </c>
      <c r="R7118" t="str">
        <f t="shared" si="3015"/>
        <v>BEARISH</v>
      </c>
      <c r="S7118">
        <f t="shared" si="3016"/>
        <v>-1</v>
      </c>
    </row>
    <row r="7119" spans="1:19" hidden="1" x14ac:dyDescent="0.25">
      <c r="A7119" s="5" t="str">
        <f t="shared" si="3017"/>
        <v>44222SSEC</v>
      </c>
      <c r="B7119" s="6" t="s">
        <v>104</v>
      </c>
      <c r="C7119" s="6">
        <v>3546</v>
      </c>
      <c r="D7119" s="6">
        <v>3640</v>
      </c>
      <c r="E7119" s="6">
        <v>3569</v>
      </c>
      <c r="F7119" t="str">
        <f t="shared" si="3005"/>
        <v>TUE</v>
      </c>
      <c r="G7119" s="3">
        <f t="shared" si="3006"/>
        <v>44222</v>
      </c>
      <c r="H7119" s="2">
        <f t="shared" ca="1" si="3007"/>
        <v>31</v>
      </c>
      <c r="I7119" t="str">
        <f t="shared" si="3008"/>
        <v>SSEC</v>
      </c>
      <c r="J7119">
        <f t="shared" si="3009"/>
        <v>3546</v>
      </c>
      <c r="K7119">
        <f t="shared" si="3010"/>
        <v>3640</v>
      </c>
      <c r="L7119">
        <f t="shared" si="3011"/>
        <v>3593</v>
      </c>
      <c r="M7119">
        <f t="shared" si="3012"/>
        <v>47</v>
      </c>
      <c r="N7119">
        <f t="shared" si="3003"/>
        <v>94</v>
      </c>
      <c r="O7119">
        <f t="shared" si="3013"/>
        <v>3569</v>
      </c>
      <c r="P7119">
        <f t="shared" si="3014"/>
        <v>-0.51063829787234039</v>
      </c>
      <c r="Q7119" t="str">
        <f t="shared" si="3004"/>
        <v>0.64% | 1.99%</v>
      </c>
      <c r="R7119" t="str">
        <f t="shared" si="3015"/>
        <v>BULLISH</v>
      </c>
      <c r="S7119">
        <f t="shared" si="3016"/>
        <v>1</v>
      </c>
    </row>
    <row r="7120" spans="1:19" hidden="1" x14ac:dyDescent="0.25">
      <c r="A7120" s="5" t="str">
        <f t="shared" si="3017"/>
        <v>44222NIKK</v>
      </c>
      <c r="B7120" s="6" t="s">
        <v>91</v>
      </c>
      <c r="C7120" s="6">
        <v>28216</v>
      </c>
      <c r="D7120" s="6">
        <v>28937</v>
      </c>
      <c r="E7120" s="6">
        <v>28546</v>
      </c>
      <c r="F7120" t="str">
        <f t="shared" si="3005"/>
        <v>TUE</v>
      </c>
      <c r="G7120" s="3">
        <f t="shared" si="3006"/>
        <v>44222</v>
      </c>
      <c r="H7120" s="2">
        <f t="shared" ca="1" si="3007"/>
        <v>31</v>
      </c>
      <c r="I7120" t="str">
        <f t="shared" si="3008"/>
        <v>NIKK</v>
      </c>
      <c r="J7120">
        <f t="shared" si="3009"/>
        <v>28216</v>
      </c>
      <c r="K7120">
        <f t="shared" si="3010"/>
        <v>28937</v>
      </c>
      <c r="L7120">
        <f t="shared" si="3011"/>
        <v>28576.5</v>
      </c>
      <c r="M7120">
        <f t="shared" si="3012"/>
        <v>360.5</v>
      </c>
      <c r="N7120">
        <f t="shared" si="3003"/>
        <v>721</v>
      </c>
      <c r="O7120">
        <f t="shared" si="3013"/>
        <v>28546</v>
      </c>
      <c r="P7120">
        <f t="shared" si="3014"/>
        <v>-8.4604715672676842E-2</v>
      </c>
      <c r="Q7120" t="str">
        <f t="shared" si="3004"/>
        <v>1.16% | 1.37%</v>
      </c>
      <c r="R7120" t="str">
        <f t="shared" si="3015"/>
        <v>BULLISH</v>
      </c>
      <c r="S7120">
        <f t="shared" si="3016"/>
        <v>1</v>
      </c>
    </row>
    <row r="7121" spans="1:19" hidden="1" x14ac:dyDescent="0.25">
      <c r="A7121" s="5" t="str">
        <f t="shared" si="3017"/>
        <v>44222DAX</v>
      </c>
      <c r="B7121" s="6" t="s">
        <v>98</v>
      </c>
      <c r="C7121" s="6">
        <v>13606</v>
      </c>
      <c r="D7121" s="6">
        <v>14060</v>
      </c>
      <c r="E7121" s="6">
        <v>13643</v>
      </c>
      <c r="F7121" t="str">
        <f t="shared" si="3005"/>
        <v>TUE</v>
      </c>
      <c r="G7121" s="3">
        <f t="shared" si="3006"/>
        <v>44222</v>
      </c>
      <c r="H7121" s="2">
        <f t="shared" ca="1" si="3007"/>
        <v>31</v>
      </c>
      <c r="I7121" t="str">
        <f t="shared" si="3008"/>
        <v>DAX</v>
      </c>
      <c r="J7121">
        <f t="shared" si="3009"/>
        <v>13606</v>
      </c>
      <c r="K7121">
        <f t="shared" si="3010"/>
        <v>14060</v>
      </c>
      <c r="L7121">
        <f t="shared" si="3011"/>
        <v>13833</v>
      </c>
      <c r="M7121">
        <f t="shared" si="3012"/>
        <v>227</v>
      </c>
      <c r="N7121">
        <f t="shared" si="3003"/>
        <v>454</v>
      </c>
      <c r="O7121">
        <f t="shared" si="3013"/>
        <v>13643</v>
      </c>
      <c r="P7121">
        <f t="shared" si="3014"/>
        <v>-0.83700440528634357</v>
      </c>
      <c r="Q7121" t="str">
        <f t="shared" si="3004"/>
        <v>0.27% | 3.06%</v>
      </c>
      <c r="R7121" t="str">
        <f t="shared" si="3015"/>
        <v>BULLISH</v>
      </c>
      <c r="S7121">
        <f t="shared" si="3016"/>
        <v>1</v>
      </c>
    </row>
    <row r="7122" spans="1:19" hidden="1" x14ac:dyDescent="0.25">
      <c r="A7122" s="5" t="str">
        <f t="shared" si="3017"/>
        <v>44222VIX</v>
      </c>
      <c r="B7122" s="6" t="s">
        <v>96</v>
      </c>
      <c r="C7122" s="6">
        <v>20.63</v>
      </c>
      <c r="D7122" s="6">
        <v>24.69</v>
      </c>
      <c r="E7122" s="6">
        <v>23.19</v>
      </c>
      <c r="F7122" t="str">
        <f t="shared" si="3005"/>
        <v>TUE</v>
      </c>
      <c r="G7122" s="3">
        <f t="shared" si="3006"/>
        <v>44222</v>
      </c>
      <c r="H7122" s="2">
        <f t="shared" ca="1" si="3007"/>
        <v>31</v>
      </c>
      <c r="I7122" t="str">
        <f t="shared" si="3008"/>
        <v>VIX</v>
      </c>
      <c r="J7122">
        <f t="shared" si="3009"/>
        <v>20.63</v>
      </c>
      <c r="K7122">
        <f t="shared" si="3010"/>
        <v>24.69</v>
      </c>
      <c r="L7122">
        <f t="shared" si="3011"/>
        <v>22.66</v>
      </c>
      <c r="M7122">
        <f t="shared" si="3012"/>
        <v>2.0300000000000011</v>
      </c>
      <c r="N7122">
        <f t="shared" si="3003"/>
        <v>4.0600000000000023</v>
      </c>
      <c r="O7122">
        <f t="shared" si="3013"/>
        <v>23.19</v>
      </c>
      <c r="P7122">
        <f t="shared" si="3014"/>
        <v>0.26108374384236493</v>
      </c>
      <c r="Q7122" t="str">
        <f t="shared" si="3004"/>
        <v>11.04% | 6.47%</v>
      </c>
      <c r="R7122" t="str">
        <f t="shared" si="3015"/>
        <v>BEARISH</v>
      </c>
      <c r="S7122">
        <f t="shared" si="3016"/>
        <v>-1</v>
      </c>
    </row>
    <row r="7123" spans="1:19" hidden="1" x14ac:dyDescent="0.25">
      <c r="A7123" s="5" t="str">
        <f t="shared" si="3017"/>
        <v>44222USD</v>
      </c>
      <c r="B7123" s="6" t="s">
        <v>94</v>
      </c>
      <c r="C7123" s="6">
        <v>89.74</v>
      </c>
      <c r="D7123" s="6">
        <v>90.75</v>
      </c>
      <c r="E7123" s="6">
        <v>90.38</v>
      </c>
      <c r="F7123" t="str">
        <f t="shared" si="3005"/>
        <v>TUE</v>
      </c>
      <c r="G7123" s="3">
        <f t="shared" si="3006"/>
        <v>44222</v>
      </c>
      <c r="H7123" s="2">
        <f t="shared" ca="1" si="3007"/>
        <v>31</v>
      </c>
      <c r="I7123" t="str">
        <f t="shared" si="3008"/>
        <v>USD</v>
      </c>
      <c r="J7123">
        <f t="shared" si="3009"/>
        <v>89.74</v>
      </c>
      <c r="K7123">
        <f t="shared" si="3010"/>
        <v>90.75</v>
      </c>
      <c r="L7123">
        <f t="shared" si="3011"/>
        <v>90.245000000000005</v>
      </c>
      <c r="M7123">
        <f t="shared" si="3012"/>
        <v>0.50500000000000256</v>
      </c>
      <c r="N7123">
        <f t="shared" si="3003"/>
        <v>1.0100000000000051</v>
      </c>
      <c r="O7123">
        <f t="shared" si="3013"/>
        <v>90.38</v>
      </c>
      <c r="P7123">
        <f t="shared" si="3014"/>
        <v>0.26732673267324797</v>
      </c>
      <c r="Q7123" t="str">
        <f t="shared" si="3004"/>
        <v>0.71% | 0.41%</v>
      </c>
      <c r="R7123" t="str">
        <f t="shared" si="3015"/>
        <v>BEARISH</v>
      </c>
      <c r="S7123">
        <f t="shared" si="3016"/>
        <v>-1</v>
      </c>
    </row>
    <row r="7124" spans="1:19" hidden="1" x14ac:dyDescent="0.25">
      <c r="A7124" s="5" t="str">
        <f t="shared" si="3017"/>
        <v>44222EUR/USD</v>
      </c>
      <c r="B7124" s="6" t="s">
        <v>99</v>
      </c>
      <c r="C7124" s="6">
        <v>1.2070000000000001</v>
      </c>
      <c r="D7124" s="6">
        <v>1.2230000000000001</v>
      </c>
      <c r="E7124" s="6">
        <v>1.214</v>
      </c>
      <c r="F7124" t="str">
        <f t="shared" si="3005"/>
        <v>TUE</v>
      </c>
      <c r="G7124" s="3">
        <f t="shared" si="3006"/>
        <v>44222</v>
      </c>
      <c r="H7124" s="2">
        <f t="shared" ca="1" si="3007"/>
        <v>31</v>
      </c>
      <c r="I7124" t="str">
        <f t="shared" si="3008"/>
        <v>EUR/USD</v>
      </c>
      <c r="J7124">
        <f t="shared" si="3009"/>
        <v>1.2070000000000001</v>
      </c>
      <c r="K7124">
        <f t="shared" si="3010"/>
        <v>1.2230000000000001</v>
      </c>
      <c r="L7124">
        <f t="shared" si="3011"/>
        <v>1.2150000000000001</v>
      </c>
      <c r="M7124">
        <f t="shared" si="3012"/>
        <v>8.0000000000000071E-3</v>
      </c>
      <c r="N7124">
        <f t="shared" si="3003"/>
        <v>1.6000000000000014E-2</v>
      </c>
      <c r="O7124">
        <f t="shared" si="3013"/>
        <v>1.214</v>
      </c>
      <c r="P7124">
        <f t="shared" si="3014"/>
        <v>-0.12500000000001388</v>
      </c>
      <c r="Q7124" t="str">
        <f t="shared" si="3004"/>
        <v>0.58% | 0.74%</v>
      </c>
      <c r="R7124" t="str">
        <f t="shared" si="3015"/>
        <v>BULLISH</v>
      </c>
      <c r="S7124">
        <f t="shared" si="3016"/>
        <v>1</v>
      </c>
    </row>
    <row r="7125" spans="1:19" hidden="1" x14ac:dyDescent="0.25">
      <c r="A7125" s="5" t="str">
        <f t="shared" si="3017"/>
        <v>44222USD/JPY</v>
      </c>
      <c r="B7125" s="6" t="s">
        <v>20</v>
      </c>
      <c r="C7125" s="6">
        <v>103.21</v>
      </c>
      <c r="D7125" s="6">
        <v>104.12</v>
      </c>
      <c r="E7125" s="6">
        <v>103.77</v>
      </c>
      <c r="F7125" t="str">
        <f t="shared" si="3005"/>
        <v>TUE</v>
      </c>
      <c r="G7125" s="3">
        <f t="shared" si="3006"/>
        <v>44222</v>
      </c>
      <c r="H7125" s="2">
        <f t="shared" ca="1" si="3007"/>
        <v>31</v>
      </c>
      <c r="I7125" t="str">
        <f t="shared" si="3008"/>
        <v>USD/JPY</v>
      </c>
      <c r="J7125">
        <f t="shared" si="3009"/>
        <v>103.21</v>
      </c>
      <c r="K7125">
        <f t="shared" si="3010"/>
        <v>104.12</v>
      </c>
      <c r="L7125">
        <f t="shared" si="3011"/>
        <v>103.66499999999999</v>
      </c>
      <c r="M7125">
        <f t="shared" si="3012"/>
        <v>0.4550000000000054</v>
      </c>
      <c r="N7125">
        <f t="shared" si="3003"/>
        <v>0.9100000000000108</v>
      </c>
      <c r="O7125">
        <f t="shared" si="3013"/>
        <v>103.77</v>
      </c>
      <c r="P7125">
        <f t="shared" si="3014"/>
        <v>0.23076923076923678</v>
      </c>
      <c r="Q7125" t="str">
        <f t="shared" si="3004"/>
        <v>0.54% | 0.34%</v>
      </c>
      <c r="R7125" t="str">
        <f t="shared" si="3015"/>
        <v>BEARISH</v>
      </c>
      <c r="S7125">
        <f t="shared" si="3016"/>
        <v>-1</v>
      </c>
    </row>
    <row r="7126" spans="1:19" hidden="1" x14ac:dyDescent="0.25">
      <c r="A7126" s="5" t="str">
        <f t="shared" si="3017"/>
        <v>44222GBP/USD</v>
      </c>
      <c r="B7126" s="6" t="s">
        <v>102</v>
      </c>
      <c r="C7126" s="6">
        <v>1.355</v>
      </c>
      <c r="D7126" s="6">
        <v>1.3759999999999999</v>
      </c>
      <c r="E7126" s="6">
        <v>1.367</v>
      </c>
      <c r="F7126" t="str">
        <f t="shared" si="3005"/>
        <v>TUE</v>
      </c>
      <c r="G7126" s="3">
        <f t="shared" si="3006"/>
        <v>44222</v>
      </c>
      <c r="H7126" s="2">
        <f t="shared" ca="1" si="3007"/>
        <v>31</v>
      </c>
      <c r="I7126" t="str">
        <f t="shared" si="3008"/>
        <v>GBP/USD</v>
      </c>
      <c r="J7126">
        <f t="shared" si="3009"/>
        <v>1.355</v>
      </c>
      <c r="K7126">
        <f t="shared" si="3010"/>
        <v>1.3759999999999999</v>
      </c>
      <c r="L7126">
        <f t="shared" si="3011"/>
        <v>1.3654999999999999</v>
      </c>
      <c r="M7126">
        <f t="shared" si="3012"/>
        <v>1.0499999999999954E-2</v>
      </c>
      <c r="N7126">
        <f t="shared" si="3003"/>
        <v>2.0999999999999908E-2</v>
      </c>
      <c r="O7126">
        <f t="shared" si="3013"/>
        <v>1.367</v>
      </c>
      <c r="P7126">
        <f t="shared" si="3014"/>
        <v>0.1428571428571489</v>
      </c>
      <c r="Q7126" t="str">
        <f t="shared" si="3004"/>
        <v>0.88% | 0.66%</v>
      </c>
      <c r="R7126" t="str">
        <f t="shared" si="3015"/>
        <v>BULLISH</v>
      </c>
      <c r="S7126">
        <f t="shared" si="3016"/>
        <v>1</v>
      </c>
    </row>
    <row r="7127" spans="1:19" hidden="1" x14ac:dyDescent="0.25">
      <c r="A7127" s="5" t="str">
        <f t="shared" si="3017"/>
        <v>44222CAD/USD</v>
      </c>
      <c r="B7127" s="6" t="s">
        <v>244</v>
      </c>
      <c r="C7127" s="6">
        <v>0.78</v>
      </c>
      <c r="D7127" s="6">
        <v>0.8</v>
      </c>
      <c r="E7127" s="6">
        <v>0.78</v>
      </c>
      <c r="F7127" t="str">
        <f t="shared" si="3005"/>
        <v>TUE</v>
      </c>
      <c r="G7127" s="3">
        <f t="shared" si="3006"/>
        <v>44222</v>
      </c>
      <c r="H7127" s="2">
        <f t="shared" ca="1" si="3007"/>
        <v>31</v>
      </c>
      <c r="I7127" t="str">
        <f t="shared" si="3008"/>
        <v>CAD/USD</v>
      </c>
      <c r="J7127">
        <f t="shared" si="3009"/>
        <v>0.78</v>
      </c>
      <c r="K7127">
        <f t="shared" si="3010"/>
        <v>0.8</v>
      </c>
      <c r="L7127">
        <f t="shared" si="3011"/>
        <v>0.79</v>
      </c>
      <c r="M7127">
        <f t="shared" si="3012"/>
        <v>1.0000000000000009E-2</v>
      </c>
      <c r="N7127">
        <f t="shared" si="3003"/>
        <v>2.0000000000000018E-2</v>
      </c>
      <c r="O7127">
        <f t="shared" si="3013"/>
        <v>0.78</v>
      </c>
      <c r="P7127">
        <f t="shared" si="3014"/>
        <v>-1</v>
      </c>
      <c r="Q7127" t="str">
        <f t="shared" si="3004"/>
        <v>0% | 2.56%</v>
      </c>
      <c r="R7127" t="str">
        <f t="shared" si="3015"/>
        <v>BULLISH</v>
      </c>
      <c r="S7127">
        <f t="shared" si="3016"/>
        <v>1</v>
      </c>
    </row>
    <row r="7128" spans="1:19" hidden="1" x14ac:dyDescent="0.25">
      <c r="A7128" s="5" t="str">
        <f t="shared" si="3017"/>
        <v>44222USD/CHF</v>
      </c>
      <c r="B7128" s="6" t="s">
        <v>76</v>
      </c>
      <c r="C7128" s="6">
        <v>0.87</v>
      </c>
      <c r="D7128" s="6">
        <v>0.89</v>
      </c>
      <c r="E7128" s="6">
        <v>0.88</v>
      </c>
      <c r="F7128" t="str">
        <f t="shared" si="3005"/>
        <v>TUE</v>
      </c>
      <c r="G7128" s="3">
        <f t="shared" si="3006"/>
        <v>44222</v>
      </c>
      <c r="H7128" s="2">
        <f t="shared" ca="1" si="3007"/>
        <v>31</v>
      </c>
      <c r="I7128" t="str">
        <f t="shared" si="3008"/>
        <v>USD/CHF</v>
      </c>
      <c r="J7128">
        <f t="shared" si="3009"/>
        <v>0.87</v>
      </c>
      <c r="K7128">
        <f t="shared" si="3010"/>
        <v>0.89</v>
      </c>
      <c r="L7128">
        <f t="shared" si="3011"/>
        <v>0.88</v>
      </c>
      <c r="M7128">
        <f t="shared" si="3012"/>
        <v>1.0000000000000009E-2</v>
      </c>
      <c r="N7128">
        <f t="shared" si="3003"/>
        <v>2.0000000000000018E-2</v>
      </c>
      <c r="O7128">
        <f t="shared" si="3013"/>
        <v>0.88</v>
      </c>
      <c r="P7128">
        <f t="shared" si="3014"/>
        <v>0</v>
      </c>
      <c r="Q7128" t="str">
        <f t="shared" si="3004"/>
        <v>1.14% | 1.14%</v>
      </c>
      <c r="R7128" t="str">
        <f t="shared" si="3015"/>
        <v>BEARISH</v>
      </c>
      <c r="S7128">
        <f t="shared" si="3016"/>
        <v>-1</v>
      </c>
    </row>
    <row r="7129" spans="1:19" hidden="1" x14ac:dyDescent="0.25">
      <c r="A7129" s="5" t="str">
        <f t="shared" si="3017"/>
        <v>44222WTIC</v>
      </c>
      <c r="B7129" s="6" t="s">
        <v>158</v>
      </c>
      <c r="C7129" s="6">
        <v>51.97</v>
      </c>
      <c r="D7129" s="6">
        <v>53.94</v>
      </c>
      <c r="E7129" s="6">
        <v>52.77</v>
      </c>
      <c r="F7129" t="str">
        <f t="shared" si="3005"/>
        <v>TUE</v>
      </c>
      <c r="G7129" s="3">
        <f t="shared" si="3006"/>
        <v>44222</v>
      </c>
      <c r="H7129" s="2">
        <f t="shared" ca="1" si="3007"/>
        <v>31</v>
      </c>
      <c r="I7129" t="str">
        <f t="shared" si="3008"/>
        <v>WTIC</v>
      </c>
      <c r="J7129">
        <f t="shared" si="3009"/>
        <v>51.97</v>
      </c>
      <c r="K7129">
        <f t="shared" si="3010"/>
        <v>53.94</v>
      </c>
      <c r="L7129">
        <f t="shared" si="3011"/>
        <v>52.954999999999998</v>
      </c>
      <c r="M7129">
        <f t="shared" si="3012"/>
        <v>0.98499999999999943</v>
      </c>
      <c r="N7129">
        <f t="shared" si="3003"/>
        <v>1.9699999999999989</v>
      </c>
      <c r="O7129">
        <f t="shared" si="3013"/>
        <v>52.77</v>
      </c>
      <c r="P7129">
        <f t="shared" si="3014"/>
        <v>-0.18781725888324394</v>
      </c>
      <c r="Q7129" t="str">
        <f t="shared" si="3004"/>
        <v>1.52% | 2.22%</v>
      </c>
      <c r="R7129" t="str">
        <f t="shared" si="3015"/>
        <v>BULLISH</v>
      </c>
      <c r="S7129">
        <f t="shared" si="3016"/>
        <v>1</v>
      </c>
    </row>
    <row r="7130" spans="1:19" hidden="1" x14ac:dyDescent="0.25">
      <c r="A7130" s="5" t="str">
        <f t="shared" si="3017"/>
        <v>44222NATGAS</v>
      </c>
      <c r="B7130" s="6" t="s">
        <v>87</v>
      </c>
      <c r="C7130" s="6">
        <v>2.4300000000000002</v>
      </c>
      <c r="D7130" s="6">
        <v>2.83</v>
      </c>
      <c r="E7130" s="6">
        <v>2.6</v>
      </c>
      <c r="F7130" t="str">
        <f t="shared" si="3005"/>
        <v>TUE</v>
      </c>
      <c r="G7130" s="3">
        <f t="shared" si="3006"/>
        <v>44222</v>
      </c>
      <c r="H7130" s="2">
        <f t="shared" ca="1" si="3007"/>
        <v>31</v>
      </c>
      <c r="I7130" t="str">
        <f t="shared" si="3008"/>
        <v>NATGAS</v>
      </c>
      <c r="J7130">
        <f t="shared" si="3009"/>
        <v>2.4300000000000002</v>
      </c>
      <c r="K7130">
        <f t="shared" si="3010"/>
        <v>2.83</v>
      </c>
      <c r="L7130">
        <f t="shared" si="3011"/>
        <v>2.63</v>
      </c>
      <c r="M7130">
        <f t="shared" si="3012"/>
        <v>0.19999999999999996</v>
      </c>
      <c r="N7130">
        <f t="shared" si="3003"/>
        <v>0.39999999999999991</v>
      </c>
      <c r="O7130">
        <f t="shared" si="3013"/>
        <v>2.6</v>
      </c>
      <c r="P7130">
        <f t="shared" si="3014"/>
        <v>-0.14999999999999905</v>
      </c>
      <c r="Q7130" t="str">
        <f t="shared" si="3004"/>
        <v>6.54% | 8.85%</v>
      </c>
      <c r="R7130" t="str">
        <f t="shared" si="3015"/>
        <v>NEUTRAL</v>
      </c>
      <c r="S7130">
        <f t="shared" si="3016"/>
        <v>0</v>
      </c>
    </row>
    <row r="7131" spans="1:19" hidden="1" x14ac:dyDescent="0.25">
      <c r="A7131" s="5" t="str">
        <f t="shared" si="3017"/>
        <v>44222GOLD</v>
      </c>
      <c r="B7131" s="6" t="s">
        <v>85</v>
      </c>
      <c r="C7131" s="6">
        <v>1821</v>
      </c>
      <c r="D7131" s="6">
        <v>1874</v>
      </c>
      <c r="E7131" s="6">
        <v>1855</v>
      </c>
      <c r="F7131" t="str">
        <f t="shared" si="3005"/>
        <v>TUE</v>
      </c>
      <c r="G7131" s="3">
        <f t="shared" si="3006"/>
        <v>44222</v>
      </c>
      <c r="H7131" s="2">
        <f t="shared" ca="1" si="3007"/>
        <v>31</v>
      </c>
      <c r="I7131" t="str">
        <f t="shared" si="3008"/>
        <v>GOLD</v>
      </c>
      <c r="J7131">
        <f t="shared" si="3009"/>
        <v>1821</v>
      </c>
      <c r="K7131">
        <f t="shared" si="3010"/>
        <v>1874</v>
      </c>
      <c r="L7131">
        <f t="shared" si="3011"/>
        <v>1847.5</v>
      </c>
      <c r="M7131">
        <f t="shared" si="3012"/>
        <v>26.5</v>
      </c>
      <c r="N7131">
        <f t="shared" si="3003"/>
        <v>53</v>
      </c>
      <c r="O7131">
        <f t="shared" si="3013"/>
        <v>1855</v>
      </c>
      <c r="P7131">
        <f t="shared" si="3014"/>
        <v>0.28301886792452829</v>
      </c>
      <c r="Q7131" t="str">
        <f t="shared" si="3004"/>
        <v>1.83% | 1.02%</v>
      </c>
      <c r="R7131" t="str">
        <f t="shared" si="3015"/>
        <v>BEARISH</v>
      </c>
      <c r="S7131">
        <f t="shared" si="3016"/>
        <v>-1</v>
      </c>
    </row>
    <row r="7132" spans="1:19" hidden="1" x14ac:dyDescent="0.25">
      <c r="A7132" s="5" t="str">
        <f t="shared" si="3017"/>
        <v>44222COPPER</v>
      </c>
      <c r="B7132" s="6" t="s">
        <v>100</v>
      </c>
      <c r="C7132" s="6">
        <v>3.56</v>
      </c>
      <c r="D7132" s="6">
        <v>3.68</v>
      </c>
      <c r="E7132" s="6">
        <v>3.63</v>
      </c>
      <c r="F7132" t="str">
        <f t="shared" si="3005"/>
        <v>TUE</v>
      </c>
      <c r="G7132" s="3">
        <f t="shared" si="3006"/>
        <v>44222</v>
      </c>
      <c r="H7132" s="2">
        <f t="shared" ca="1" si="3007"/>
        <v>31</v>
      </c>
      <c r="I7132" t="str">
        <f t="shared" si="3008"/>
        <v>COPPER</v>
      </c>
      <c r="J7132">
        <f t="shared" si="3009"/>
        <v>3.56</v>
      </c>
      <c r="K7132">
        <f t="shared" si="3010"/>
        <v>3.68</v>
      </c>
      <c r="L7132">
        <f t="shared" si="3011"/>
        <v>3.62</v>
      </c>
      <c r="M7132">
        <f t="shared" si="3012"/>
        <v>6.0000000000000053E-2</v>
      </c>
      <c r="N7132">
        <f t="shared" si="3003"/>
        <v>0.12000000000000011</v>
      </c>
      <c r="O7132">
        <f t="shared" si="3013"/>
        <v>3.63</v>
      </c>
      <c r="P7132">
        <f t="shared" si="3014"/>
        <v>0.16666666666666297</v>
      </c>
      <c r="Q7132" t="str">
        <f t="shared" si="3004"/>
        <v>1.93% | 1.38%</v>
      </c>
      <c r="R7132" t="str">
        <f t="shared" si="3015"/>
        <v>BULLISH</v>
      </c>
      <c r="S7132">
        <f t="shared" si="3016"/>
        <v>1</v>
      </c>
    </row>
    <row r="7133" spans="1:19" hidden="1" x14ac:dyDescent="0.25">
      <c r="A7133" s="5" t="str">
        <f t="shared" si="3017"/>
        <v>44222MSFT</v>
      </c>
      <c r="B7133" s="6" t="s">
        <v>27</v>
      </c>
      <c r="C7133" s="6">
        <v>208</v>
      </c>
      <c r="D7133" s="6">
        <v>232</v>
      </c>
      <c r="E7133" s="6">
        <v>229</v>
      </c>
      <c r="F7133" t="str">
        <f t="shared" si="3005"/>
        <v>TUE</v>
      </c>
      <c r="G7133" s="3">
        <f t="shared" si="3006"/>
        <v>44222</v>
      </c>
      <c r="H7133" s="2">
        <f t="shared" ca="1" si="3007"/>
        <v>31</v>
      </c>
      <c r="I7133" t="str">
        <f t="shared" si="3008"/>
        <v>MSFT</v>
      </c>
      <c r="J7133">
        <f t="shared" si="3009"/>
        <v>208</v>
      </c>
      <c r="K7133">
        <f t="shared" si="3010"/>
        <v>232</v>
      </c>
      <c r="L7133">
        <f t="shared" si="3011"/>
        <v>220</v>
      </c>
      <c r="M7133">
        <f t="shared" si="3012"/>
        <v>12</v>
      </c>
      <c r="N7133">
        <f t="shared" si="3003"/>
        <v>24</v>
      </c>
      <c r="O7133">
        <f t="shared" si="3013"/>
        <v>229</v>
      </c>
      <c r="P7133">
        <f t="shared" si="3014"/>
        <v>0.75</v>
      </c>
      <c r="Q7133" t="str">
        <f t="shared" si="3004"/>
        <v>9.17% | 1.31%</v>
      </c>
      <c r="R7133" t="str">
        <f t="shared" si="3015"/>
        <v>BULLISH</v>
      </c>
      <c r="S7133">
        <f t="shared" si="3016"/>
        <v>1</v>
      </c>
    </row>
    <row r="7134" spans="1:19" hidden="1" x14ac:dyDescent="0.25">
      <c r="A7134" s="5" t="str">
        <f t="shared" si="3017"/>
        <v>44222AAPL</v>
      </c>
      <c r="B7134" s="6" t="s">
        <v>28</v>
      </c>
      <c r="C7134" s="6">
        <v>131</v>
      </c>
      <c r="D7134" s="6">
        <v>145</v>
      </c>
      <c r="E7134" s="6">
        <v>142</v>
      </c>
      <c r="F7134" t="str">
        <f t="shared" si="3005"/>
        <v>TUE</v>
      </c>
      <c r="G7134" s="3">
        <f t="shared" si="3006"/>
        <v>44222</v>
      </c>
      <c r="H7134" s="2">
        <f t="shared" ca="1" si="3007"/>
        <v>31</v>
      </c>
      <c r="I7134" t="str">
        <f t="shared" si="3008"/>
        <v>AAPL</v>
      </c>
      <c r="J7134">
        <f t="shared" si="3009"/>
        <v>131</v>
      </c>
      <c r="K7134">
        <f t="shared" si="3010"/>
        <v>145</v>
      </c>
      <c r="L7134">
        <f t="shared" si="3011"/>
        <v>138</v>
      </c>
      <c r="M7134">
        <f t="shared" si="3012"/>
        <v>7</v>
      </c>
      <c r="N7134">
        <f t="shared" si="3003"/>
        <v>14</v>
      </c>
      <c r="O7134">
        <f t="shared" si="3013"/>
        <v>142</v>
      </c>
      <c r="P7134">
        <f t="shared" si="3014"/>
        <v>0.5714285714285714</v>
      </c>
      <c r="Q7134" t="str">
        <f t="shared" si="3004"/>
        <v>7.75% | 2.11%</v>
      </c>
      <c r="R7134" t="str">
        <f t="shared" si="3015"/>
        <v>BULLISH</v>
      </c>
      <c r="S7134">
        <f t="shared" si="3016"/>
        <v>1</v>
      </c>
    </row>
    <row r="7135" spans="1:19" hidden="1" x14ac:dyDescent="0.25">
      <c r="A7135" s="5" t="str">
        <f t="shared" si="3017"/>
        <v>44222AMZN</v>
      </c>
      <c r="B7135" s="6" t="s">
        <v>29</v>
      </c>
      <c r="C7135" s="6">
        <v>3165</v>
      </c>
      <c r="D7135" s="6">
        <v>3368</v>
      </c>
      <c r="E7135" s="6">
        <v>3294</v>
      </c>
      <c r="F7135" t="str">
        <f t="shared" si="3005"/>
        <v>TUE</v>
      </c>
      <c r="G7135" s="3">
        <f t="shared" si="3006"/>
        <v>44222</v>
      </c>
      <c r="H7135" s="2">
        <f t="shared" ca="1" si="3007"/>
        <v>31</v>
      </c>
      <c r="I7135" t="str">
        <f t="shared" si="3008"/>
        <v>AMZN</v>
      </c>
      <c r="J7135">
        <f t="shared" si="3009"/>
        <v>3165</v>
      </c>
      <c r="K7135">
        <f t="shared" si="3010"/>
        <v>3368</v>
      </c>
      <c r="L7135">
        <f t="shared" si="3011"/>
        <v>3266.5</v>
      </c>
      <c r="M7135">
        <f t="shared" si="3012"/>
        <v>101.5</v>
      </c>
      <c r="N7135">
        <f t="shared" si="3003"/>
        <v>203</v>
      </c>
      <c r="O7135">
        <f t="shared" si="3013"/>
        <v>3294</v>
      </c>
      <c r="P7135">
        <f t="shared" si="3014"/>
        <v>0.27093596059113301</v>
      </c>
      <c r="Q7135" t="str">
        <f t="shared" si="3004"/>
        <v>3.92% | 2.25%</v>
      </c>
      <c r="R7135" t="str">
        <f t="shared" si="3015"/>
        <v>BULLISH</v>
      </c>
      <c r="S7135">
        <f t="shared" si="3016"/>
        <v>1</v>
      </c>
    </row>
    <row r="7136" spans="1:19" hidden="1" x14ac:dyDescent="0.25">
      <c r="A7136" s="5" t="str">
        <f t="shared" si="3017"/>
        <v>44222FB</v>
      </c>
      <c r="B7136" s="6" t="s">
        <v>30</v>
      </c>
      <c r="C7136" s="6">
        <v>251</v>
      </c>
      <c r="D7136" s="6">
        <v>286</v>
      </c>
      <c r="E7136" s="6">
        <v>278</v>
      </c>
      <c r="F7136" t="str">
        <f t="shared" si="3005"/>
        <v>TUE</v>
      </c>
      <c r="G7136" s="3">
        <f t="shared" si="3006"/>
        <v>44222</v>
      </c>
      <c r="H7136" s="2">
        <f t="shared" ca="1" si="3007"/>
        <v>31</v>
      </c>
      <c r="I7136" t="str">
        <f t="shared" si="3008"/>
        <v>FB</v>
      </c>
      <c r="J7136">
        <f t="shared" si="3009"/>
        <v>251</v>
      </c>
      <c r="K7136">
        <f t="shared" si="3010"/>
        <v>286</v>
      </c>
      <c r="L7136">
        <f t="shared" si="3011"/>
        <v>268.5</v>
      </c>
      <c r="M7136">
        <f t="shared" si="3012"/>
        <v>17.5</v>
      </c>
      <c r="N7136">
        <f t="shared" si="3003"/>
        <v>35</v>
      </c>
      <c r="O7136">
        <f t="shared" si="3013"/>
        <v>278</v>
      </c>
      <c r="P7136">
        <f t="shared" si="3014"/>
        <v>0.54285714285714282</v>
      </c>
      <c r="Q7136" t="str">
        <f t="shared" si="3004"/>
        <v>9.71% | 2.88%</v>
      </c>
      <c r="R7136" t="str">
        <f t="shared" si="3015"/>
        <v>BULLISH</v>
      </c>
      <c r="S7136">
        <f t="shared" si="3016"/>
        <v>1</v>
      </c>
    </row>
    <row r="7137" spans="1:19" hidden="1" x14ac:dyDescent="0.25">
      <c r="A7137" s="5" t="str">
        <f t="shared" si="3017"/>
        <v>44222GOOGL</v>
      </c>
      <c r="B7137" s="6" t="s">
        <v>31</v>
      </c>
      <c r="C7137" s="6">
        <v>1774</v>
      </c>
      <c r="D7137" s="6">
        <v>1955</v>
      </c>
      <c r="E7137" s="6">
        <v>1894</v>
      </c>
      <c r="F7137" t="str">
        <f t="shared" si="3005"/>
        <v>TUE</v>
      </c>
      <c r="G7137" s="3">
        <f t="shared" si="3006"/>
        <v>44222</v>
      </c>
      <c r="H7137" s="2">
        <f t="shared" ca="1" si="3007"/>
        <v>31</v>
      </c>
      <c r="I7137" t="str">
        <f t="shared" si="3008"/>
        <v>GOOGL</v>
      </c>
      <c r="J7137">
        <f t="shared" si="3009"/>
        <v>1774</v>
      </c>
      <c r="K7137">
        <f t="shared" si="3010"/>
        <v>1955</v>
      </c>
      <c r="L7137">
        <f t="shared" si="3011"/>
        <v>1864.5</v>
      </c>
      <c r="M7137">
        <f t="shared" si="3012"/>
        <v>90.5</v>
      </c>
      <c r="N7137">
        <f t="shared" si="3003"/>
        <v>181</v>
      </c>
      <c r="O7137">
        <f t="shared" si="3013"/>
        <v>1894</v>
      </c>
      <c r="P7137">
        <f t="shared" si="3014"/>
        <v>0.32596685082872928</v>
      </c>
      <c r="Q7137" t="str">
        <f t="shared" si="3004"/>
        <v>6.34% | 3.22%</v>
      </c>
      <c r="R7137" t="str">
        <f t="shared" si="3015"/>
        <v>BULLISH</v>
      </c>
      <c r="S7137">
        <f t="shared" si="3016"/>
        <v>1</v>
      </c>
    </row>
    <row r="7138" spans="1:19" hidden="1" x14ac:dyDescent="0.25">
      <c r="A7138" s="5" t="str">
        <f t="shared" si="3017"/>
        <v>44222NFLX</v>
      </c>
      <c r="B7138" s="6" t="s">
        <v>32</v>
      </c>
      <c r="C7138" s="6">
        <v>525</v>
      </c>
      <c r="D7138" s="6">
        <v>606</v>
      </c>
      <c r="E7138" s="6">
        <v>556</v>
      </c>
      <c r="F7138" t="str">
        <f t="shared" si="3005"/>
        <v>TUE</v>
      </c>
      <c r="G7138" s="3">
        <f t="shared" si="3006"/>
        <v>44222</v>
      </c>
      <c r="H7138" s="2">
        <f t="shared" ca="1" si="3007"/>
        <v>31</v>
      </c>
      <c r="I7138" t="str">
        <f t="shared" si="3008"/>
        <v>NFLX</v>
      </c>
      <c r="J7138">
        <f t="shared" si="3009"/>
        <v>525</v>
      </c>
      <c r="K7138">
        <f t="shared" si="3010"/>
        <v>606</v>
      </c>
      <c r="L7138">
        <f t="shared" si="3011"/>
        <v>565.5</v>
      </c>
      <c r="M7138">
        <f t="shared" si="3012"/>
        <v>40.5</v>
      </c>
      <c r="N7138">
        <f t="shared" si="3003"/>
        <v>81</v>
      </c>
      <c r="O7138">
        <f t="shared" si="3013"/>
        <v>556</v>
      </c>
      <c r="P7138">
        <f t="shared" si="3014"/>
        <v>-0.23456790123456789</v>
      </c>
      <c r="Q7138" t="str">
        <f t="shared" si="3004"/>
        <v>5.58% | 8.99%</v>
      </c>
      <c r="R7138" t="str">
        <f t="shared" si="3015"/>
        <v>BULLISH</v>
      </c>
      <c r="S7138">
        <f t="shared" si="3016"/>
        <v>1</v>
      </c>
    </row>
    <row r="7139" spans="1:19" x14ac:dyDescent="0.25">
      <c r="A7139" s="5" t="str">
        <f t="shared" si="3017"/>
        <v>44222TSLA</v>
      </c>
      <c r="B7139" s="6" t="s">
        <v>33</v>
      </c>
      <c r="C7139" s="6">
        <v>821</v>
      </c>
      <c r="D7139" s="6">
        <v>886</v>
      </c>
      <c r="E7139" s="6">
        <v>880</v>
      </c>
      <c r="F7139" t="str">
        <f t="shared" si="3005"/>
        <v>TUE</v>
      </c>
      <c r="G7139" s="3">
        <f t="shared" si="3006"/>
        <v>44222</v>
      </c>
      <c r="H7139" s="2">
        <f t="shared" ca="1" si="3007"/>
        <v>31</v>
      </c>
      <c r="I7139" t="str">
        <f t="shared" si="3008"/>
        <v>TSLA</v>
      </c>
      <c r="J7139">
        <f t="shared" si="3009"/>
        <v>821</v>
      </c>
      <c r="K7139">
        <f t="shared" si="3010"/>
        <v>886</v>
      </c>
      <c r="L7139">
        <f t="shared" si="3011"/>
        <v>853.5</v>
      </c>
      <c r="M7139">
        <f t="shared" si="3012"/>
        <v>32.5</v>
      </c>
      <c r="N7139">
        <f t="shared" si="3003"/>
        <v>65</v>
      </c>
      <c r="O7139">
        <f t="shared" si="3013"/>
        <v>880</v>
      </c>
      <c r="P7139">
        <f t="shared" si="3014"/>
        <v>0.81538461538461537</v>
      </c>
      <c r="Q7139" t="str">
        <f t="shared" si="3004"/>
        <v>6.7% | 0.68%</v>
      </c>
      <c r="R7139" t="str">
        <f t="shared" si="3015"/>
        <v>BULLISH</v>
      </c>
      <c r="S7139">
        <f t="shared" si="3016"/>
        <v>1</v>
      </c>
    </row>
    <row r="7140" spans="1:19" hidden="1" x14ac:dyDescent="0.25">
      <c r="A7140" s="5" t="str">
        <f t="shared" si="3017"/>
        <v>44222NYXBT</v>
      </c>
      <c r="B7140" s="6" t="s">
        <v>60</v>
      </c>
      <c r="C7140" s="6">
        <v>30063</v>
      </c>
      <c r="D7140" s="6">
        <v>39561</v>
      </c>
      <c r="E7140" s="6">
        <v>34382</v>
      </c>
      <c r="F7140" t="str">
        <f t="shared" si="3005"/>
        <v>TUE</v>
      </c>
      <c r="G7140" s="3">
        <f t="shared" si="3006"/>
        <v>44222</v>
      </c>
      <c r="H7140" s="2">
        <f t="shared" ca="1" si="3007"/>
        <v>31</v>
      </c>
      <c r="I7140" t="str">
        <f t="shared" si="3008"/>
        <v>NYXBT</v>
      </c>
      <c r="J7140">
        <f t="shared" si="3009"/>
        <v>30063</v>
      </c>
      <c r="K7140">
        <f t="shared" si="3010"/>
        <v>39561</v>
      </c>
      <c r="L7140">
        <f t="shared" si="3011"/>
        <v>34812</v>
      </c>
      <c r="M7140">
        <f t="shared" si="3012"/>
        <v>4749</v>
      </c>
      <c r="N7140">
        <f t="shared" si="3003"/>
        <v>9498</v>
      </c>
      <c r="O7140">
        <f t="shared" si="3013"/>
        <v>34382</v>
      </c>
      <c r="P7140">
        <f t="shared" si="3014"/>
        <v>-9.0545377974310379E-2</v>
      </c>
      <c r="Q7140" t="str">
        <f t="shared" si="3004"/>
        <v>12.56% | 15.06%</v>
      </c>
      <c r="R7140" t="str">
        <f t="shared" si="3015"/>
        <v>BULLISH</v>
      </c>
      <c r="S7140">
        <f t="shared" si="3016"/>
        <v>1</v>
      </c>
    </row>
    <row r="7141" spans="1:19" hidden="1" x14ac:dyDescent="0.25">
      <c r="A7141" s="5" t="str">
        <f t="shared" si="3017"/>
        <v>44223UST10Y</v>
      </c>
      <c r="B7141" s="6" t="s">
        <v>257</v>
      </c>
      <c r="C7141" s="6">
        <v>1.17</v>
      </c>
      <c r="D7141" s="6">
        <v>1.03</v>
      </c>
      <c r="E7141" s="6">
        <v>1.05</v>
      </c>
      <c r="F7141" t="str">
        <f t="shared" si="3005"/>
        <v>WED</v>
      </c>
      <c r="G7141" s="1">
        <f>DATE(2021,1,27)</f>
        <v>44223</v>
      </c>
      <c r="H7141" s="2">
        <f t="shared" ca="1" si="3007"/>
        <v>30</v>
      </c>
      <c r="I7141" t="str">
        <f t="shared" si="3008"/>
        <v>UST10Y</v>
      </c>
      <c r="J7141">
        <f t="shared" si="3009"/>
        <v>1.17</v>
      </c>
      <c r="K7141">
        <f t="shared" si="3010"/>
        <v>1.03</v>
      </c>
      <c r="L7141">
        <f t="shared" si="3011"/>
        <v>1.1000000000000001</v>
      </c>
      <c r="M7141">
        <f t="shared" si="3012"/>
        <v>6.9999999999999951E-2</v>
      </c>
      <c r="N7141">
        <f t="shared" si="3003"/>
        <v>0.1399999999999999</v>
      </c>
      <c r="O7141">
        <f t="shared" si="3013"/>
        <v>1.05</v>
      </c>
      <c r="P7141">
        <f t="shared" si="3014"/>
        <v>-0.71428571428571541</v>
      </c>
      <c r="Q7141" t="str">
        <f t="shared" si="3004"/>
        <v>11.43% | 1.9%</v>
      </c>
      <c r="R7141" t="str">
        <f t="shared" si="3015"/>
        <v>BULLISH</v>
      </c>
      <c r="S7141">
        <f t="shared" si="3016"/>
        <v>1</v>
      </c>
    </row>
    <row r="7142" spans="1:19" hidden="1" x14ac:dyDescent="0.25">
      <c r="A7142" s="5" t="str">
        <f t="shared" si="3017"/>
        <v>44223UST2Y</v>
      </c>
      <c r="B7142" s="6" t="s">
        <v>253</v>
      </c>
      <c r="C7142" s="6">
        <v>0.15</v>
      </c>
      <c r="D7142" s="6">
        <v>0.11</v>
      </c>
      <c r="E7142" s="6">
        <v>0.11</v>
      </c>
      <c r="F7142" t="str">
        <f t="shared" ref="F7142:F7173" si="3018">UPPER(TEXT(G7142,"ddd"))</f>
        <v>WED</v>
      </c>
      <c r="G7142" s="1">
        <f t="shared" ref="G7142:G7172" si="3019">DATE(2021,1,27)</f>
        <v>44223</v>
      </c>
      <c r="H7142" s="2">
        <f t="shared" ref="H7142:H7173" ca="1" si="3020">TODAY()-G7142</f>
        <v>30</v>
      </c>
      <c r="I7142" t="str">
        <f t="shared" ref="I7142:I7173" si="3021">TRIM(LEFT(B7142,FIND(" ",B7142,1)))</f>
        <v>UST2Y</v>
      </c>
      <c r="J7142">
        <f t="shared" ref="J7142:J7173" si="3022">C7142</f>
        <v>0.15</v>
      </c>
      <c r="K7142">
        <f t="shared" ref="K7142:K7173" si="3023">D7142</f>
        <v>0.11</v>
      </c>
      <c r="L7142">
        <f t="shared" ref="L7142:L7173" si="3024">AVERAGE(J7142:K7142)</f>
        <v>0.13</v>
      </c>
      <c r="M7142">
        <f t="shared" ref="M7142:M7173" si="3025">_xlfn.STDEV.P(J7142:K7142)</f>
        <v>1.9999999999999938E-2</v>
      </c>
      <c r="N7142">
        <f t="shared" si="3003"/>
        <v>3.9999999999999994E-2</v>
      </c>
      <c r="O7142">
        <f t="shared" ref="O7142:O7173" si="3026">E7142</f>
        <v>0.11</v>
      </c>
      <c r="P7142">
        <f t="shared" ref="P7142:P7173" si="3027">(O7142-L7142)/M7142</f>
        <v>-1.0000000000000033</v>
      </c>
      <c r="Q7142" t="str">
        <f t="shared" si="3004"/>
        <v>36.36% | 0%</v>
      </c>
      <c r="R7142" t="str">
        <f t="shared" ref="R7142:R7173" si="3028">MID(B7142,FIND("(",B7142,1)+1,FIND(")",B7142,1)-FIND("(",B7142,1)-1)</f>
        <v>NEUTRAL</v>
      </c>
      <c r="S7142">
        <f t="shared" ref="S7142:S7173" si="3029">IF(R7142="BEARISH",-1,IF(R7142="NEUTRAL",0,IF(R7142="BULLISH",1,99)))</f>
        <v>0</v>
      </c>
    </row>
    <row r="7143" spans="1:19" hidden="1" x14ac:dyDescent="0.25">
      <c r="A7143" s="5" t="str">
        <f t="shared" si="3017"/>
        <v>44223SPX</v>
      </c>
      <c r="B7143" s="6" t="s">
        <v>93</v>
      </c>
      <c r="C7143" s="6">
        <v>3770</v>
      </c>
      <c r="D7143" s="6">
        <v>3887</v>
      </c>
      <c r="E7143" s="6">
        <v>3849</v>
      </c>
      <c r="F7143" t="str">
        <f t="shared" si="3018"/>
        <v>WED</v>
      </c>
      <c r="G7143" s="1">
        <f t="shared" si="3019"/>
        <v>44223</v>
      </c>
      <c r="H7143" s="2">
        <f t="shared" ca="1" si="3020"/>
        <v>30</v>
      </c>
      <c r="I7143" t="str">
        <f t="shared" si="3021"/>
        <v>SPX</v>
      </c>
      <c r="J7143">
        <f t="shared" si="3022"/>
        <v>3770</v>
      </c>
      <c r="K7143">
        <f t="shared" si="3023"/>
        <v>3887</v>
      </c>
      <c r="L7143">
        <f t="shared" si="3024"/>
        <v>3828.5</v>
      </c>
      <c r="M7143">
        <f t="shared" si="3025"/>
        <v>58.5</v>
      </c>
      <c r="N7143">
        <f t="shared" si="3003"/>
        <v>117</v>
      </c>
      <c r="O7143">
        <f t="shared" si="3026"/>
        <v>3849</v>
      </c>
      <c r="P7143">
        <f t="shared" si="3027"/>
        <v>0.3504273504273504</v>
      </c>
      <c r="Q7143" t="str">
        <f t="shared" si="3004"/>
        <v>2.05% | 0.99%</v>
      </c>
      <c r="R7143" t="str">
        <f t="shared" si="3028"/>
        <v>BULLISH</v>
      </c>
      <c r="S7143">
        <f t="shared" si="3029"/>
        <v>1</v>
      </c>
    </row>
    <row r="7144" spans="1:19" hidden="1" x14ac:dyDescent="0.25">
      <c r="A7144" s="5" t="str">
        <f t="shared" si="3017"/>
        <v>44223RUT</v>
      </c>
      <c r="B7144" s="6" t="s">
        <v>247</v>
      </c>
      <c r="C7144" s="6">
        <v>2115</v>
      </c>
      <c r="D7144" s="6">
        <v>2180</v>
      </c>
      <c r="E7144" s="6">
        <v>2149</v>
      </c>
      <c r="F7144" t="str">
        <f t="shared" si="3018"/>
        <v>WED</v>
      </c>
      <c r="G7144" s="1">
        <f t="shared" si="3019"/>
        <v>44223</v>
      </c>
      <c r="H7144" s="2">
        <f t="shared" ca="1" si="3020"/>
        <v>30</v>
      </c>
      <c r="I7144" t="str">
        <f t="shared" si="3021"/>
        <v>RUT</v>
      </c>
      <c r="J7144">
        <f t="shared" si="3022"/>
        <v>2115</v>
      </c>
      <c r="K7144">
        <f t="shared" si="3023"/>
        <v>2180</v>
      </c>
      <c r="L7144">
        <f t="shared" si="3024"/>
        <v>2147.5</v>
      </c>
      <c r="M7144">
        <f t="shared" si="3025"/>
        <v>32.5</v>
      </c>
      <c r="N7144">
        <f t="shared" si="3003"/>
        <v>65</v>
      </c>
      <c r="O7144">
        <f t="shared" si="3026"/>
        <v>2149</v>
      </c>
      <c r="P7144">
        <f t="shared" si="3027"/>
        <v>4.6153846153846156E-2</v>
      </c>
      <c r="Q7144" t="str">
        <f t="shared" si="3004"/>
        <v>1.58% | 1.44%</v>
      </c>
      <c r="R7144" t="str">
        <f t="shared" si="3028"/>
        <v>BULLISH</v>
      </c>
      <c r="S7144">
        <f t="shared" si="3029"/>
        <v>1</v>
      </c>
    </row>
    <row r="7145" spans="1:19" hidden="1" x14ac:dyDescent="0.25">
      <c r="A7145" s="5" t="str">
        <f t="shared" si="3017"/>
        <v>44223COMPQ</v>
      </c>
      <c r="B7145" s="6" t="s">
        <v>8</v>
      </c>
      <c r="C7145" s="6">
        <v>13020</v>
      </c>
      <c r="D7145" s="6">
        <v>13836</v>
      </c>
      <c r="E7145" s="6">
        <v>13626</v>
      </c>
      <c r="F7145" t="str">
        <f t="shared" si="3018"/>
        <v>WED</v>
      </c>
      <c r="G7145" s="1">
        <f t="shared" si="3019"/>
        <v>44223</v>
      </c>
      <c r="H7145" s="2">
        <f t="shared" ca="1" si="3020"/>
        <v>30</v>
      </c>
      <c r="I7145" t="str">
        <f t="shared" si="3021"/>
        <v>COMPQ</v>
      </c>
      <c r="J7145">
        <f t="shared" si="3022"/>
        <v>13020</v>
      </c>
      <c r="K7145">
        <f t="shared" si="3023"/>
        <v>13836</v>
      </c>
      <c r="L7145">
        <f t="shared" si="3024"/>
        <v>13428</v>
      </c>
      <c r="M7145">
        <f t="shared" si="3025"/>
        <v>408</v>
      </c>
      <c r="N7145">
        <f t="shared" si="3003"/>
        <v>816</v>
      </c>
      <c r="O7145">
        <f t="shared" si="3026"/>
        <v>13626</v>
      </c>
      <c r="P7145">
        <f t="shared" si="3027"/>
        <v>0.48529411764705882</v>
      </c>
      <c r="Q7145" t="str">
        <f t="shared" si="3004"/>
        <v>4.45% | 1.54%</v>
      </c>
      <c r="R7145" t="str">
        <f t="shared" si="3028"/>
        <v>BULLISH</v>
      </c>
      <c r="S7145">
        <f t="shared" si="3029"/>
        <v>1</v>
      </c>
    </row>
    <row r="7146" spans="1:19" hidden="1" x14ac:dyDescent="0.25">
      <c r="A7146" s="5" t="str">
        <f t="shared" si="3017"/>
        <v>44223XLK</v>
      </c>
      <c r="B7146" s="6" t="s">
        <v>10</v>
      </c>
      <c r="C7146" s="6">
        <v>129.24</v>
      </c>
      <c r="D7146" s="6">
        <v>136.09</v>
      </c>
      <c r="E7146" s="6">
        <v>134.03</v>
      </c>
      <c r="F7146" t="str">
        <f t="shared" si="3018"/>
        <v>WED</v>
      </c>
      <c r="G7146" s="1">
        <f t="shared" si="3019"/>
        <v>44223</v>
      </c>
      <c r="H7146" s="2">
        <f t="shared" ca="1" si="3020"/>
        <v>30</v>
      </c>
      <c r="I7146" t="str">
        <f t="shared" si="3021"/>
        <v>XLK</v>
      </c>
      <c r="J7146">
        <f t="shared" si="3022"/>
        <v>129.24</v>
      </c>
      <c r="K7146">
        <f t="shared" si="3023"/>
        <v>136.09</v>
      </c>
      <c r="L7146">
        <f t="shared" si="3024"/>
        <v>132.66500000000002</v>
      </c>
      <c r="M7146">
        <f t="shared" si="3025"/>
        <v>3.4249999999999972</v>
      </c>
      <c r="N7146">
        <f t="shared" si="3003"/>
        <v>6.8499999999999943</v>
      </c>
      <c r="O7146">
        <f t="shared" si="3026"/>
        <v>134.03</v>
      </c>
      <c r="P7146">
        <f t="shared" si="3027"/>
        <v>0.39854014598539617</v>
      </c>
      <c r="Q7146" t="str">
        <f t="shared" si="3004"/>
        <v>3.57% | 1.54%</v>
      </c>
      <c r="R7146" t="str">
        <f t="shared" si="3028"/>
        <v>BULLISH</v>
      </c>
      <c r="S7146">
        <f t="shared" si="3029"/>
        <v>1</v>
      </c>
    </row>
    <row r="7147" spans="1:19" hidden="1" x14ac:dyDescent="0.25">
      <c r="A7147" s="5" t="str">
        <f t="shared" si="3017"/>
        <v>44223XLE</v>
      </c>
      <c r="B7147" s="6" t="s">
        <v>250</v>
      </c>
      <c r="C7147" s="6">
        <v>40.43</v>
      </c>
      <c r="D7147" s="6">
        <v>44.98</v>
      </c>
      <c r="E7147" s="6">
        <v>40.75</v>
      </c>
      <c r="F7147" t="str">
        <f t="shared" si="3018"/>
        <v>WED</v>
      </c>
      <c r="G7147" s="1">
        <f t="shared" si="3019"/>
        <v>44223</v>
      </c>
      <c r="H7147" s="2">
        <f t="shared" ca="1" si="3020"/>
        <v>30</v>
      </c>
      <c r="I7147" t="str">
        <f t="shared" si="3021"/>
        <v>XLE</v>
      </c>
      <c r="J7147">
        <f t="shared" si="3022"/>
        <v>40.43</v>
      </c>
      <c r="K7147">
        <f t="shared" si="3023"/>
        <v>44.98</v>
      </c>
      <c r="L7147">
        <f t="shared" si="3024"/>
        <v>42.704999999999998</v>
      </c>
      <c r="M7147">
        <f t="shared" si="3025"/>
        <v>2.2749999999999986</v>
      </c>
      <c r="N7147">
        <f t="shared" si="3003"/>
        <v>4.5499999999999972</v>
      </c>
      <c r="O7147">
        <f t="shared" si="3026"/>
        <v>40.75</v>
      </c>
      <c r="P7147">
        <f t="shared" si="3027"/>
        <v>-0.85934065934065917</v>
      </c>
      <c r="Q7147" t="str">
        <f t="shared" si="3004"/>
        <v>0.79% | 10.38%</v>
      </c>
      <c r="R7147" t="str">
        <f t="shared" si="3028"/>
        <v>BULLISH</v>
      </c>
      <c r="S7147">
        <f t="shared" si="3029"/>
        <v>1</v>
      </c>
    </row>
    <row r="7148" spans="1:19" hidden="1" x14ac:dyDescent="0.25">
      <c r="A7148" s="5" t="str">
        <f t="shared" si="3017"/>
        <v>44223XLF</v>
      </c>
      <c r="B7148" s="6" t="s">
        <v>258</v>
      </c>
      <c r="C7148" s="6">
        <v>29.61</v>
      </c>
      <c r="D7148" s="6">
        <v>31.77</v>
      </c>
      <c r="E7148" s="6">
        <v>29.88</v>
      </c>
      <c r="F7148" t="str">
        <f t="shared" si="3018"/>
        <v>WED</v>
      </c>
      <c r="G7148" s="1">
        <f t="shared" si="3019"/>
        <v>44223</v>
      </c>
      <c r="H7148" s="2">
        <f t="shared" ca="1" si="3020"/>
        <v>30</v>
      </c>
      <c r="I7148" t="str">
        <f t="shared" si="3021"/>
        <v>XLF</v>
      </c>
      <c r="J7148">
        <f t="shared" si="3022"/>
        <v>29.61</v>
      </c>
      <c r="K7148">
        <f t="shared" si="3023"/>
        <v>31.77</v>
      </c>
      <c r="L7148">
        <f t="shared" si="3024"/>
        <v>30.689999999999998</v>
      </c>
      <c r="M7148">
        <f t="shared" si="3025"/>
        <v>1.08</v>
      </c>
      <c r="N7148">
        <f t="shared" si="3003"/>
        <v>2.16</v>
      </c>
      <c r="O7148">
        <f t="shared" si="3026"/>
        <v>29.88</v>
      </c>
      <c r="P7148">
        <f t="shared" si="3027"/>
        <v>-0.74999999999999878</v>
      </c>
      <c r="Q7148" t="str">
        <f t="shared" si="3004"/>
        <v>0.9% | 6.33%</v>
      </c>
      <c r="R7148" t="str">
        <f t="shared" si="3028"/>
        <v>BULLISH</v>
      </c>
      <c r="S7148">
        <f t="shared" si="3029"/>
        <v>1</v>
      </c>
    </row>
    <row r="7149" spans="1:19" hidden="1" x14ac:dyDescent="0.25">
      <c r="A7149" s="5" t="str">
        <f t="shared" si="3017"/>
        <v>44223XLU</v>
      </c>
      <c r="B7149" s="6" t="s">
        <v>82</v>
      </c>
      <c r="C7149" s="6">
        <v>61.97</v>
      </c>
      <c r="D7149" s="6">
        <v>64.06</v>
      </c>
      <c r="E7149" s="6">
        <v>63.46</v>
      </c>
      <c r="F7149" t="str">
        <f t="shared" si="3018"/>
        <v>WED</v>
      </c>
      <c r="G7149" s="1">
        <f t="shared" si="3019"/>
        <v>44223</v>
      </c>
      <c r="H7149" s="2">
        <f t="shared" ca="1" si="3020"/>
        <v>30</v>
      </c>
      <c r="I7149" t="str">
        <f t="shared" si="3021"/>
        <v>XLU</v>
      </c>
      <c r="J7149">
        <f t="shared" si="3022"/>
        <v>61.97</v>
      </c>
      <c r="K7149">
        <f t="shared" si="3023"/>
        <v>64.06</v>
      </c>
      <c r="L7149">
        <f t="shared" si="3024"/>
        <v>63.015000000000001</v>
      </c>
      <c r="M7149">
        <f t="shared" si="3025"/>
        <v>1.0450000000000017</v>
      </c>
      <c r="N7149">
        <f t="shared" si="3003"/>
        <v>2.0900000000000034</v>
      </c>
      <c r="O7149">
        <f t="shared" si="3026"/>
        <v>63.46</v>
      </c>
      <c r="P7149">
        <f t="shared" si="3027"/>
        <v>0.42583732057416224</v>
      </c>
      <c r="Q7149" t="str">
        <f t="shared" si="3004"/>
        <v>2.35% | 0.95%</v>
      </c>
      <c r="R7149" t="str">
        <f t="shared" si="3028"/>
        <v>BEARISH</v>
      </c>
      <c r="S7149">
        <f t="shared" si="3029"/>
        <v>-1</v>
      </c>
    </row>
    <row r="7150" spans="1:19" hidden="1" x14ac:dyDescent="0.25">
      <c r="A7150" s="5" t="str">
        <f t="shared" si="3017"/>
        <v>44223GDX</v>
      </c>
      <c r="B7150" s="6" t="s">
        <v>254</v>
      </c>
      <c r="C7150" s="6">
        <v>34.229999999999997</v>
      </c>
      <c r="D7150" s="6">
        <v>36.31</v>
      </c>
      <c r="E7150" s="6">
        <v>35.090000000000003</v>
      </c>
      <c r="F7150" t="str">
        <f t="shared" si="3018"/>
        <v>WED</v>
      </c>
      <c r="G7150" s="1">
        <f t="shared" si="3019"/>
        <v>44223</v>
      </c>
      <c r="H7150" s="2">
        <f t="shared" ca="1" si="3020"/>
        <v>30</v>
      </c>
      <c r="I7150" t="str">
        <f t="shared" si="3021"/>
        <v>GDX</v>
      </c>
      <c r="J7150">
        <f t="shared" si="3022"/>
        <v>34.229999999999997</v>
      </c>
      <c r="K7150">
        <f t="shared" si="3023"/>
        <v>36.31</v>
      </c>
      <c r="L7150">
        <f t="shared" si="3024"/>
        <v>35.269999999999996</v>
      </c>
      <c r="M7150">
        <f t="shared" si="3025"/>
        <v>1.0400000000000027</v>
      </c>
      <c r="N7150">
        <f t="shared" si="3003"/>
        <v>2.0800000000000054</v>
      </c>
      <c r="O7150">
        <f t="shared" si="3026"/>
        <v>35.090000000000003</v>
      </c>
      <c r="P7150">
        <f t="shared" si="3027"/>
        <v>-0.17307692307691552</v>
      </c>
      <c r="Q7150" t="str">
        <f t="shared" si="3004"/>
        <v>2.45% | 3.48%</v>
      </c>
      <c r="R7150" t="str">
        <f t="shared" si="3028"/>
        <v>BEARISH</v>
      </c>
      <c r="S7150">
        <f t="shared" si="3029"/>
        <v>-1</v>
      </c>
    </row>
    <row r="7151" spans="1:19" hidden="1" x14ac:dyDescent="0.25">
      <c r="A7151" s="5" t="str">
        <f t="shared" si="3017"/>
        <v>44223SSEC</v>
      </c>
      <c r="B7151" s="6" t="s">
        <v>104</v>
      </c>
      <c r="C7151" s="6">
        <v>3533</v>
      </c>
      <c r="D7151" s="6">
        <v>3650</v>
      </c>
      <c r="E7151" s="6">
        <v>3573</v>
      </c>
      <c r="F7151" t="str">
        <f t="shared" si="3018"/>
        <v>WED</v>
      </c>
      <c r="G7151" s="1">
        <f t="shared" si="3019"/>
        <v>44223</v>
      </c>
      <c r="H7151" s="2">
        <f t="shared" ca="1" si="3020"/>
        <v>30</v>
      </c>
      <c r="I7151" t="str">
        <f t="shared" si="3021"/>
        <v>SSEC</v>
      </c>
      <c r="J7151">
        <f t="shared" si="3022"/>
        <v>3533</v>
      </c>
      <c r="K7151">
        <f t="shared" si="3023"/>
        <v>3650</v>
      </c>
      <c r="L7151">
        <f t="shared" si="3024"/>
        <v>3591.5</v>
      </c>
      <c r="M7151">
        <f t="shared" si="3025"/>
        <v>58.5</v>
      </c>
      <c r="N7151">
        <f t="shared" si="3003"/>
        <v>117</v>
      </c>
      <c r="O7151">
        <f t="shared" si="3026"/>
        <v>3573</v>
      </c>
      <c r="P7151">
        <f t="shared" si="3027"/>
        <v>-0.31623931623931623</v>
      </c>
      <c r="Q7151" t="str">
        <f t="shared" si="3004"/>
        <v>1.12% | 2.16%</v>
      </c>
      <c r="R7151" t="str">
        <f t="shared" si="3028"/>
        <v>BULLISH</v>
      </c>
      <c r="S7151">
        <f t="shared" si="3029"/>
        <v>1</v>
      </c>
    </row>
    <row r="7152" spans="1:19" hidden="1" x14ac:dyDescent="0.25">
      <c r="A7152" s="5" t="str">
        <f t="shared" si="3017"/>
        <v>44223NIKK</v>
      </c>
      <c r="B7152" s="6" t="s">
        <v>91</v>
      </c>
      <c r="C7152" s="6">
        <v>28217</v>
      </c>
      <c r="D7152" s="6">
        <v>28996</v>
      </c>
      <c r="E7152" s="6">
        <v>28635</v>
      </c>
      <c r="F7152" t="str">
        <f t="shared" si="3018"/>
        <v>WED</v>
      </c>
      <c r="G7152" s="1">
        <f t="shared" si="3019"/>
        <v>44223</v>
      </c>
      <c r="H7152" s="2">
        <f t="shared" ca="1" si="3020"/>
        <v>30</v>
      </c>
      <c r="I7152" t="str">
        <f t="shared" si="3021"/>
        <v>NIKK</v>
      </c>
      <c r="J7152">
        <f t="shared" si="3022"/>
        <v>28217</v>
      </c>
      <c r="K7152">
        <f t="shared" si="3023"/>
        <v>28996</v>
      </c>
      <c r="L7152">
        <f t="shared" si="3024"/>
        <v>28606.5</v>
      </c>
      <c r="M7152">
        <f t="shared" si="3025"/>
        <v>389.5</v>
      </c>
      <c r="N7152">
        <f t="shared" si="3003"/>
        <v>779</v>
      </c>
      <c r="O7152">
        <f t="shared" si="3026"/>
        <v>28635</v>
      </c>
      <c r="P7152">
        <f t="shared" si="3027"/>
        <v>7.3170731707317069E-2</v>
      </c>
      <c r="Q7152" t="str">
        <f t="shared" si="3004"/>
        <v>1.46% | 1.26%</v>
      </c>
      <c r="R7152" t="str">
        <f t="shared" si="3028"/>
        <v>BULLISH</v>
      </c>
      <c r="S7152">
        <f t="shared" si="3029"/>
        <v>1</v>
      </c>
    </row>
    <row r="7153" spans="1:19" hidden="1" x14ac:dyDescent="0.25">
      <c r="A7153" s="5" t="str">
        <f t="shared" si="3017"/>
        <v>44223DAX</v>
      </c>
      <c r="B7153" s="6" t="s">
        <v>98</v>
      </c>
      <c r="C7153" s="6">
        <v>13640</v>
      </c>
      <c r="D7153" s="6">
        <v>14044</v>
      </c>
      <c r="E7153" s="6">
        <v>13870</v>
      </c>
      <c r="F7153" t="str">
        <f t="shared" si="3018"/>
        <v>WED</v>
      </c>
      <c r="G7153" s="1">
        <f t="shared" si="3019"/>
        <v>44223</v>
      </c>
      <c r="H7153" s="2">
        <f t="shared" ca="1" si="3020"/>
        <v>30</v>
      </c>
      <c r="I7153" t="str">
        <f t="shared" si="3021"/>
        <v>DAX</v>
      </c>
      <c r="J7153">
        <f t="shared" si="3022"/>
        <v>13640</v>
      </c>
      <c r="K7153">
        <f t="shared" si="3023"/>
        <v>14044</v>
      </c>
      <c r="L7153">
        <f t="shared" si="3024"/>
        <v>13842</v>
      </c>
      <c r="M7153">
        <f t="shared" si="3025"/>
        <v>202</v>
      </c>
      <c r="N7153">
        <f t="shared" si="3003"/>
        <v>404</v>
      </c>
      <c r="O7153">
        <f t="shared" si="3026"/>
        <v>13870</v>
      </c>
      <c r="P7153">
        <f t="shared" si="3027"/>
        <v>0.13861386138613863</v>
      </c>
      <c r="Q7153" t="str">
        <f t="shared" si="3004"/>
        <v>1.66% | 1.25%</v>
      </c>
      <c r="R7153" t="str">
        <f t="shared" si="3028"/>
        <v>BULLISH</v>
      </c>
      <c r="S7153">
        <f t="shared" si="3029"/>
        <v>1</v>
      </c>
    </row>
    <row r="7154" spans="1:19" hidden="1" x14ac:dyDescent="0.25">
      <c r="A7154" s="5" t="str">
        <f t="shared" si="3017"/>
        <v>44223VIX</v>
      </c>
      <c r="B7154" s="6" t="s">
        <v>96</v>
      </c>
      <c r="C7154" s="6">
        <v>20.63</v>
      </c>
      <c r="D7154" s="6">
        <v>24.72</v>
      </c>
      <c r="E7154" s="6">
        <v>23.02</v>
      </c>
      <c r="F7154" t="str">
        <f t="shared" si="3018"/>
        <v>WED</v>
      </c>
      <c r="G7154" s="1">
        <f t="shared" si="3019"/>
        <v>44223</v>
      </c>
      <c r="H7154" s="2">
        <f t="shared" ca="1" si="3020"/>
        <v>30</v>
      </c>
      <c r="I7154" t="str">
        <f t="shared" si="3021"/>
        <v>VIX</v>
      </c>
      <c r="J7154">
        <f t="shared" si="3022"/>
        <v>20.63</v>
      </c>
      <c r="K7154">
        <f t="shared" si="3023"/>
        <v>24.72</v>
      </c>
      <c r="L7154">
        <f t="shared" si="3024"/>
        <v>22.674999999999997</v>
      </c>
      <c r="M7154">
        <f t="shared" si="3025"/>
        <v>2.0449999999999999</v>
      </c>
      <c r="N7154">
        <f t="shared" si="3003"/>
        <v>4.09</v>
      </c>
      <c r="O7154">
        <f t="shared" si="3026"/>
        <v>23.02</v>
      </c>
      <c r="P7154">
        <f t="shared" si="3027"/>
        <v>0.1687041564792188</v>
      </c>
      <c r="Q7154" t="str">
        <f t="shared" si="3004"/>
        <v>10.38% | 7.38%</v>
      </c>
      <c r="R7154" t="str">
        <f t="shared" si="3028"/>
        <v>BEARISH</v>
      </c>
      <c r="S7154">
        <f t="shared" si="3029"/>
        <v>-1</v>
      </c>
    </row>
    <row r="7155" spans="1:19" hidden="1" x14ac:dyDescent="0.25">
      <c r="A7155" s="5" t="str">
        <f t="shared" si="3017"/>
        <v>44223USD</v>
      </c>
      <c r="B7155" s="6" t="s">
        <v>94</v>
      </c>
      <c r="C7155" s="6">
        <v>89.77</v>
      </c>
      <c r="D7155" s="6">
        <v>90.74</v>
      </c>
      <c r="E7155" s="6">
        <v>90.15</v>
      </c>
      <c r="F7155" t="str">
        <f t="shared" si="3018"/>
        <v>WED</v>
      </c>
      <c r="G7155" s="1">
        <f t="shared" si="3019"/>
        <v>44223</v>
      </c>
      <c r="H7155" s="2">
        <f t="shared" ca="1" si="3020"/>
        <v>30</v>
      </c>
      <c r="I7155" t="str">
        <f t="shared" si="3021"/>
        <v>USD</v>
      </c>
      <c r="J7155">
        <f t="shared" si="3022"/>
        <v>89.77</v>
      </c>
      <c r="K7155">
        <f t="shared" si="3023"/>
        <v>90.74</v>
      </c>
      <c r="L7155">
        <f t="shared" si="3024"/>
        <v>90.254999999999995</v>
      </c>
      <c r="M7155">
        <f t="shared" si="3025"/>
        <v>0.48499999999999943</v>
      </c>
      <c r="N7155">
        <f t="shared" si="3003"/>
        <v>0.96999999999999886</v>
      </c>
      <c r="O7155">
        <f t="shared" si="3026"/>
        <v>90.15</v>
      </c>
      <c r="P7155">
        <f t="shared" si="3027"/>
        <v>-0.21649484536080391</v>
      </c>
      <c r="Q7155" t="str">
        <f t="shared" si="3004"/>
        <v>0.42% | 0.65%</v>
      </c>
      <c r="R7155" t="str">
        <f t="shared" si="3028"/>
        <v>BEARISH</v>
      </c>
      <c r="S7155">
        <f t="shared" si="3029"/>
        <v>-1</v>
      </c>
    </row>
    <row r="7156" spans="1:19" hidden="1" x14ac:dyDescent="0.25">
      <c r="A7156" s="5" t="str">
        <f t="shared" si="3017"/>
        <v>44223EUR/USD</v>
      </c>
      <c r="B7156" s="6" t="s">
        <v>99</v>
      </c>
      <c r="C7156" s="6">
        <v>1.2070000000000001</v>
      </c>
      <c r="D7156" s="6">
        <v>1.2210000000000001</v>
      </c>
      <c r="E7156" s="6">
        <v>1.216</v>
      </c>
      <c r="F7156" t="str">
        <f t="shared" si="3018"/>
        <v>WED</v>
      </c>
      <c r="G7156" s="1">
        <f t="shared" si="3019"/>
        <v>44223</v>
      </c>
      <c r="H7156" s="2">
        <f t="shared" ca="1" si="3020"/>
        <v>30</v>
      </c>
      <c r="I7156" t="str">
        <f t="shared" si="3021"/>
        <v>EUR/USD</v>
      </c>
      <c r="J7156">
        <f t="shared" si="3022"/>
        <v>1.2070000000000001</v>
      </c>
      <c r="K7156">
        <f t="shared" si="3023"/>
        <v>1.2210000000000001</v>
      </c>
      <c r="L7156">
        <f t="shared" si="3024"/>
        <v>1.214</v>
      </c>
      <c r="M7156">
        <f t="shared" si="3025"/>
        <v>7.0000000000000062E-3</v>
      </c>
      <c r="N7156">
        <f t="shared" si="3003"/>
        <v>1.4000000000000012E-2</v>
      </c>
      <c r="O7156">
        <f t="shared" si="3026"/>
        <v>1.216</v>
      </c>
      <c r="P7156">
        <f t="shared" si="3027"/>
        <v>0.2857142857142857</v>
      </c>
      <c r="Q7156" t="str">
        <f t="shared" si="3004"/>
        <v>0.74% | 0.41%</v>
      </c>
      <c r="R7156" t="str">
        <f t="shared" si="3028"/>
        <v>BULLISH</v>
      </c>
      <c r="S7156">
        <f t="shared" si="3029"/>
        <v>1</v>
      </c>
    </row>
    <row r="7157" spans="1:19" hidden="1" x14ac:dyDescent="0.25">
      <c r="A7157" s="5" t="str">
        <f t="shared" si="3017"/>
        <v>44223USD/JPY</v>
      </c>
      <c r="B7157" s="6" t="s">
        <v>20</v>
      </c>
      <c r="C7157" s="6">
        <v>103.24</v>
      </c>
      <c r="D7157" s="6">
        <v>104.13</v>
      </c>
      <c r="E7157" s="6">
        <v>103.61</v>
      </c>
      <c r="F7157" t="str">
        <f t="shared" si="3018"/>
        <v>WED</v>
      </c>
      <c r="G7157" s="1">
        <f t="shared" si="3019"/>
        <v>44223</v>
      </c>
      <c r="H7157" s="2">
        <f t="shared" ca="1" si="3020"/>
        <v>30</v>
      </c>
      <c r="I7157" t="str">
        <f t="shared" si="3021"/>
        <v>USD/JPY</v>
      </c>
      <c r="J7157">
        <f t="shared" si="3022"/>
        <v>103.24</v>
      </c>
      <c r="K7157">
        <f t="shared" si="3023"/>
        <v>104.13</v>
      </c>
      <c r="L7157">
        <f t="shared" si="3024"/>
        <v>103.685</v>
      </c>
      <c r="M7157">
        <f t="shared" si="3025"/>
        <v>0.44500000000000028</v>
      </c>
      <c r="N7157">
        <f t="shared" si="3003"/>
        <v>0.89000000000000057</v>
      </c>
      <c r="O7157">
        <f t="shared" si="3026"/>
        <v>103.61</v>
      </c>
      <c r="P7157">
        <f t="shared" si="3027"/>
        <v>-0.1685393258427029</v>
      </c>
      <c r="Q7157" t="str">
        <f t="shared" si="3004"/>
        <v>0.36% | 0.5%</v>
      </c>
      <c r="R7157" t="str">
        <f t="shared" si="3028"/>
        <v>BEARISH</v>
      </c>
      <c r="S7157">
        <f t="shared" si="3029"/>
        <v>-1</v>
      </c>
    </row>
    <row r="7158" spans="1:19" hidden="1" x14ac:dyDescent="0.25">
      <c r="A7158" s="5" t="str">
        <f t="shared" si="3017"/>
        <v>44223GBP/USD</v>
      </c>
      <c r="B7158" s="6" t="s">
        <v>102</v>
      </c>
      <c r="C7158" s="6">
        <v>1.3560000000000001</v>
      </c>
      <c r="D7158" s="6">
        <v>1.377</v>
      </c>
      <c r="E7158" s="6">
        <v>1.3740000000000001</v>
      </c>
      <c r="F7158" t="str">
        <f t="shared" si="3018"/>
        <v>WED</v>
      </c>
      <c r="G7158" s="1">
        <f t="shared" si="3019"/>
        <v>44223</v>
      </c>
      <c r="H7158" s="2">
        <f t="shared" ca="1" si="3020"/>
        <v>30</v>
      </c>
      <c r="I7158" t="str">
        <f t="shared" si="3021"/>
        <v>GBP/USD</v>
      </c>
      <c r="J7158">
        <f t="shared" si="3022"/>
        <v>1.3560000000000001</v>
      </c>
      <c r="K7158">
        <f t="shared" si="3023"/>
        <v>1.377</v>
      </c>
      <c r="L7158">
        <f t="shared" si="3024"/>
        <v>1.3665</v>
      </c>
      <c r="M7158">
        <f t="shared" si="3025"/>
        <v>1.0499999999999954E-2</v>
      </c>
      <c r="N7158">
        <f t="shared" si="3003"/>
        <v>2.0999999999999908E-2</v>
      </c>
      <c r="O7158">
        <f t="shared" si="3026"/>
        <v>1.3740000000000001</v>
      </c>
      <c r="P7158">
        <f t="shared" si="3027"/>
        <v>0.71428571428572329</v>
      </c>
      <c r="Q7158" t="str">
        <f t="shared" si="3004"/>
        <v>1.31% | 0.22%</v>
      </c>
      <c r="R7158" t="str">
        <f t="shared" si="3028"/>
        <v>BULLISH</v>
      </c>
      <c r="S7158">
        <f t="shared" si="3029"/>
        <v>1</v>
      </c>
    </row>
    <row r="7159" spans="1:19" hidden="1" x14ac:dyDescent="0.25">
      <c r="A7159" s="5" t="str">
        <f t="shared" si="3017"/>
        <v>44223CAD/USD</v>
      </c>
      <c r="B7159" s="6" t="s">
        <v>244</v>
      </c>
      <c r="C7159" s="6">
        <v>0.78</v>
      </c>
      <c r="D7159" s="6">
        <v>0.8</v>
      </c>
      <c r="E7159" s="6">
        <v>0.78</v>
      </c>
      <c r="F7159" t="str">
        <f t="shared" si="3018"/>
        <v>WED</v>
      </c>
      <c r="G7159" s="1">
        <f t="shared" si="3019"/>
        <v>44223</v>
      </c>
      <c r="H7159" s="2">
        <f t="shared" ca="1" si="3020"/>
        <v>30</v>
      </c>
      <c r="I7159" t="str">
        <f t="shared" si="3021"/>
        <v>CAD/USD</v>
      </c>
      <c r="J7159">
        <f t="shared" si="3022"/>
        <v>0.78</v>
      </c>
      <c r="K7159">
        <f t="shared" si="3023"/>
        <v>0.8</v>
      </c>
      <c r="L7159">
        <f t="shared" si="3024"/>
        <v>0.79</v>
      </c>
      <c r="M7159">
        <f t="shared" si="3025"/>
        <v>1.0000000000000009E-2</v>
      </c>
      <c r="N7159">
        <f t="shared" si="3003"/>
        <v>2.0000000000000018E-2</v>
      </c>
      <c r="O7159">
        <f t="shared" si="3026"/>
        <v>0.78</v>
      </c>
      <c r="P7159">
        <f t="shared" si="3027"/>
        <v>-1</v>
      </c>
      <c r="Q7159" t="str">
        <f t="shared" si="3004"/>
        <v>0% | 2.56%</v>
      </c>
      <c r="R7159" t="str">
        <f t="shared" si="3028"/>
        <v>BULLISH</v>
      </c>
      <c r="S7159">
        <f t="shared" si="3029"/>
        <v>1</v>
      </c>
    </row>
    <row r="7160" spans="1:19" hidden="1" x14ac:dyDescent="0.25">
      <c r="A7160" s="5" t="str">
        <f t="shared" si="3017"/>
        <v>44223USD/CHF</v>
      </c>
      <c r="B7160" s="6" t="s">
        <v>76</v>
      </c>
      <c r="C7160" s="6">
        <v>0.87</v>
      </c>
      <c r="D7160" s="6">
        <v>0.89</v>
      </c>
      <c r="E7160" s="6">
        <v>0.88</v>
      </c>
      <c r="F7160" t="str">
        <f t="shared" si="3018"/>
        <v>WED</v>
      </c>
      <c r="G7160" s="1">
        <f t="shared" si="3019"/>
        <v>44223</v>
      </c>
      <c r="H7160" s="2">
        <f t="shared" ca="1" si="3020"/>
        <v>30</v>
      </c>
      <c r="I7160" t="str">
        <f t="shared" si="3021"/>
        <v>USD/CHF</v>
      </c>
      <c r="J7160">
        <f t="shared" si="3022"/>
        <v>0.87</v>
      </c>
      <c r="K7160">
        <f t="shared" si="3023"/>
        <v>0.89</v>
      </c>
      <c r="L7160">
        <f t="shared" si="3024"/>
        <v>0.88</v>
      </c>
      <c r="M7160">
        <f t="shared" si="3025"/>
        <v>1.0000000000000009E-2</v>
      </c>
      <c r="N7160">
        <f t="shared" si="3003"/>
        <v>2.0000000000000018E-2</v>
      </c>
      <c r="O7160">
        <f t="shared" si="3026"/>
        <v>0.88</v>
      </c>
      <c r="P7160">
        <f t="shared" si="3027"/>
        <v>0</v>
      </c>
      <c r="Q7160" t="str">
        <f t="shared" si="3004"/>
        <v>1.14% | 1.14%</v>
      </c>
      <c r="R7160" t="str">
        <f t="shared" si="3028"/>
        <v>BEARISH</v>
      </c>
      <c r="S7160">
        <f t="shared" si="3029"/>
        <v>-1</v>
      </c>
    </row>
    <row r="7161" spans="1:19" hidden="1" x14ac:dyDescent="0.25">
      <c r="A7161" s="5" t="str">
        <f t="shared" si="3017"/>
        <v>44223WTIC</v>
      </c>
      <c r="B7161" s="6" t="s">
        <v>158</v>
      </c>
      <c r="C7161" s="6">
        <v>52.01</v>
      </c>
      <c r="D7161" s="6">
        <v>53.98</v>
      </c>
      <c r="E7161" s="6">
        <v>52.61</v>
      </c>
      <c r="F7161" t="str">
        <f t="shared" si="3018"/>
        <v>WED</v>
      </c>
      <c r="G7161" s="1">
        <f t="shared" si="3019"/>
        <v>44223</v>
      </c>
      <c r="H7161" s="2">
        <f t="shared" ca="1" si="3020"/>
        <v>30</v>
      </c>
      <c r="I7161" t="str">
        <f t="shared" si="3021"/>
        <v>WTIC</v>
      </c>
      <c r="J7161">
        <f t="shared" si="3022"/>
        <v>52.01</v>
      </c>
      <c r="K7161">
        <f t="shared" si="3023"/>
        <v>53.98</v>
      </c>
      <c r="L7161">
        <f t="shared" si="3024"/>
        <v>52.994999999999997</v>
      </c>
      <c r="M7161">
        <f t="shared" si="3025"/>
        <v>0.98499999999999943</v>
      </c>
      <c r="N7161">
        <f t="shared" si="3003"/>
        <v>1.9699999999999989</v>
      </c>
      <c r="O7161">
        <f t="shared" si="3026"/>
        <v>52.61</v>
      </c>
      <c r="P7161">
        <f t="shared" si="3027"/>
        <v>-0.39086294416243478</v>
      </c>
      <c r="Q7161" t="str">
        <f t="shared" si="3004"/>
        <v>1.14% | 2.6%</v>
      </c>
      <c r="R7161" t="str">
        <f t="shared" si="3028"/>
        <v>BULLISH</v>
      </c>
      <c r="S7161">
        <f t="shared" si="3029"/>
        <v>1</v>
      </c>
    </row>
    <row r="7162" spans="1:19" hidden="1" x14ac:dyDescent="0.25">
      <c r="A7162" s="5" t="str">
        <f t="shared" si="3017"/>
        <v>44223NATGAS</v>
      </c>
      <c r="B7162" s="6" t="s">
        <v>89</v>
      </c>
      <c r="C7162" s="6">
        <v>2.4300000000000002</v>
      </c>
      <c r="D7162" s="6">
        <v>2.83</v>
      </c>
      <c r="E7162" s="6">
        <v>2.64</v>
      </c>
      <c r="F7162" t="str">
        <f t="shared" si="3018"/>
        <v>WED</v>
      </c>
      <c r="G7162" s="1">
        <f t="shared" si="3019"/>
        <v>44223</v>
      </c>
      <c r="H7162" s="2">
        <f t="shared" ca="1" si="3020"/>
        <v>30</v>
      </c>
      <c r="I7162" t="str">
        <f t="shared" si="3021"/>
        <v>NATGAS</v>
      </c>
      <c r="J7162">
        <f t="shared" si="3022"/>
        <v>2.4300000000000002</v>
      </c>
      <c r="K7162">
        <f t="shared" si="3023"/>
        <v>2.83</v>
      </c>
      <c r="L7162">
        <f t="shared" si="3024"/>
        <v>2.63</v>
      </c>
      <c r="M7162">
        <f t="shared" si="3025"/>
        <v>0.19999999999999996</v>
      </c>
      <c r="N7162">
        <f t="shared" si="3003"/>
        <v>0.39999999999999991</v>
      </c>
      <c r="O7162">
        <f t="shared" si="3026"/>
        <v>2.64</v>
      </c>
      <c r="P7162">
        <f t="shared" si="3027"/>
        <v>5.0000000000001169E-2</v>
      </c>
      <c r="Q7162" t="str">
        <f t="shared" si="3004"/>
        <v>7.95% | 7.2%</v>
      </c>
      <c r="R7162" t="str">
        <f t="shared" si="3028"/>
        <v>BULLISH</v>
      </c>
      <c r="S7162">
        <f t="shared" si="3029"/>
        <v>1</v>
      </c>
    </row>
    <row r="7163" spans="1:19" hidden="1" x14ac:dyDescent="0.25">
      <c r="A7163" s="5" t="str">
        <f t="shared" si="3017"/>
        <v>44223GOLD</v>
      </c>
      <c r="B7163" s="6" t="s">
        <v>85</v>
      </c>
      <c r="C7163" s="6">
        <v>1819</v>
      </c>
      <c r="D7163" s="6">
        <v>1872</v>
      </c>
      <c r="E7163" s="6">
        <v>1850</v>
      </c>
      <c r="F7163" t="str">
        <f t="shared" si="3018"/>
        <v>WED</v>
      </c>
      <c r="G7163" s="1">
        <f t="shared" si="3019"/>
        <v>44223</v>
      </c>
      <c r="H7163" s="2">
        <f t="shared" ca="1" si="3020"/>
        <v>30</v>
      </c>
      <c r="I7163" t="str">
        <f t="shared" si="3021"/>
        <v>GOLD</v>
      </c>
      <c r="J7163">
        <f t="shared" si="3022"/>
        <v>1819</v>
      </c>
      <c r="K7163">
        <f t="shared" si="3023"/>
        <v>1872</v>
      </c>
      <c r="L7163">
        <f t="shared" si="3024"/>
        <v>1845.5</v>
      </c>
      <c r="M7163">
        <f t="shared" si="3025"/>
        <v>26.5</v>
      </c>
      <c r="N7163">
        <f t="shared" si="3003"/>
        <v>53</v>
      </c>
      <c r="O7163">
        <f t="shared" si="3026"/>
        <v>1850</v>
      </c>
      <c r="P7163">
        <f t="shared" si="3027"/>
        <v>0.16981132075471697</v>
      </c>
      <c r="Q7163" t="str">
        <f t="shared" si="3004"/>
        <v>1.68% | 1.19%</v>
      </c>
      <c r="R7163" t="str">
        <f t="shared" si="3028"/>
        <v>BEARISH</v>
      </c>
      <c r="S7163">
        <f t="shared" si="3029"/>
        <v>-1</v>
      </c>
    </row>
    <row r="7164" spans="1:19" hidden="1" x14ac:dyDescent="0.25">
      <c r="A7164" s="5" t="str">
        <f t="shared" si="3017"/>
        <v>44223COPPER</v>
      </c>
      <c r="B7164" s="6" t="s">
        <v>100</v>
      </c>
      <c r="C7164" s="6">
        <v>3.57</v>
      </c>
      <c r="D7164" s="6">
        <v>3.69</v>
      </c>
      <c r="E7164" s="6">
        <v>3.62</v>
      </c>
      <c r="F7164" t="str">
        <f t="shared" si="3018"/>
        <v>WED</v>
      </c>
      <c r="G7164" s="1">
        <f t="shared" si="3019"/>
        <v>44223</v>
      </c>
      <c r="H7164" s="2">
        <f t="shared" ca="1" si="3020"/>
        <v>30</v>
      </c>
      <c r="I7164" t="str">
        <f t="shared" si="3021"/>
        <v>COPPER</v>
      </c>
      <c r="J7164">
        <f t="shared" si="3022"/>
        <v>3.57</v>
      </c>
      <c r="K7164">
        <f t="shared" si="3023"/>
        <v>3.69</v>
      </c>
      <c r="L7164">
        <f t="shared" si="3024"/>
        <v>3.63</v>
      </c>
      <c r="M7164">
        <f t="shared" si="3025"/>
        <v>6.0000000000000053E-2</v>
      </c>
      <c r="N7164">
        <f t="shared" si="3003"/>
        <v>0.12000000000000011</v>
      </c>
      <c r="O7164">
        <f t="shared" si="3026"/>
        <v>3.62</v>
      </c>
      <c r="P7164">
        <f t="shared" si="3027"/>
        <v>-0.16666666666666297</v>
      </c>
      <c r="Q7164" t="str">
        <f t="shared" si="3004"/>
        <v>1.38% | 1.93%</v>
      </c>
      <c r="R7164" t="str">
        <f t="shared" si="3028"/>
        <v>BULLISH</v>
      </c>
      <c r="S7164">
        <f t="shared" si="3029"/>
        <v>1</v>
      </c>
    </row>
    <row r="7165" spans="1:19" hidden="1" x14ac:dyDescent="0.25">
      <c r="A7165" s="5" t="str">
        <f t="shared" si="3017"/>
        <v>44223MSFT</v>
      </c>
      <c r="B7165" s="6" t="s">
        <v>27</v>
      </c>
      <c r="C7165" s="6">
        <v>222</v>
      </c>
      <c r="D7165" s="6">
        <v>244</v>
      </c>
      <c r="E7165" s="6">
        <v>232</v>
      </c>
      <c r="F7165" t="str">
        <f t="shared" si="3018"/>
        <v>WED</v>
      </c>
      <c r="G7165" s="1">
        <f t="shared" si="3019"/>
        <v>44223</v>
      </c>
      <c r="H7165" s="2">
        <f t="shared" ca="1" si="3020"/>
        <v>30</v>
      </c>
      <c r="I7165" t="str">
        <f t="shared" si="3021"/>
        <v>MSFT</v>
      </c>
      <c r="J7165">
        <f t="shared" si="3022"/>
        <v>222</v>
      </c>
      <c r="K7165">
        <f t="shared" si="3023"/>
        <v>244</v>
      </c>
      <c r="L7165">
        <f t="shared" si="3024"/>
        <v>233</v>
      </c>
      <c r="M7165">
        <f t="shared" si="3025"/>
        <v>11</v>
      </c>
      <c r="N7165">
        <f t="shared" si="3003"/>
        <v>22</v>
      </c>
      <c r="O7165">
        <f t="shared" si="3026"/>
        <v>232</v>
      </c>
      <c r="P7165">
        <f t="shared" si="3027"/>
        <v>-9.0909090909090912E-2</v>
      </c>
      <c r="Q7165" t="str">
        <f t="shared" si="3004"/>
        <v>4.31% | 5.17%</v>
      </c>
      <c r="R7165" t="str">
        <f t="shared" si="3028"/>
        <v>BULLISH</v>
      </c>
      <c r="S7165">
        <f t="shared" si="3029"/>
        <v>1</v>
      </c>
    </row>
    <row r="7166" spans="1:19" hidden="1" x14ac:dyDescent="0.25">
      <c r="A7166" s="5" t="str">
        <f t="shared" si="3017"/>
        <v>44223AAPL</v>
      </c>
      <c r="B7166" s="6" t="s">
        <v>28</v>
      </c>
      <c r="C7166" s="6">
        <v>133</v>
      </c>
      <c r="D7166" s="6">
        <v>147</v>
      </c>
      <c r="E7166" s="6">
        <v>143</v>
      </c>
      <c r="F7166" t="str">
        <f t="shared" si="3018"/>
        <v>WED</v>
      </c>
      <c r="G7166" s="1">
        <f t="shared" si="3019"/>
        <v>44223</v>
      </c>
      <c r="H7166" s="2">
        <f t="shared" ca="1" si="3020"/>
        <v>30</v>
      </c>
      <c r="I7166" t="str">
        <f t="shared" si="3021"/>
        <v>AAPL</v>
      </c>
      <c r="J7166">
        <f t="shared" si="3022"/>
        <v>133</v>
      </c>
      <c r="K7166">
        <f t="shared" si="3023"/>
        <v>147</v>
      </c>
      <c r="L7166">
        <f t="shared" si="3024"/>
        <v>140</v>
      </c>
      <c r="M7166">
        <f t="shared" si="3025"/>
        <v>7</v>
      </c>
      <c r="N7166">
        <f t="shared" si="3003"/>
        <v>14</v>
      </c>
      <c r="O7166">
        <f t="shared" si="3026"/>
        <v>143</v>
      </c>
      <c r="P7166">
        <f t="shared" si="3027"/>
        <v>0.42857142857142855</v>
      </c>
      <c r="Q7166" t="str">
        <f t="shared" si="3004"/>
        <v>6.99% | 2.8%</v>
      </c>
      <c r="R7166" t="str">
        <f t="shared" si="3028"/>
        <v>BULLISH</v>
      </c>
      <c r="S7166">
        <f t="shared" si="3029"/>
        <v>1</v>
      </c>
    </row>
    <row r="7167" spans="1:19" hidden="1" x14ac:dyDescent="0.25">
      <c r="A7167" s="5" t="str">
        <f t="shared" si="3017"/>
        <v>44223AMZN</v>
      </c>
      <c r="B7167" s="6" t="s">
        <v>29</v>
      </c>
      <c r="C7167" s="6">
        <v>3167</v>
      </c>
      <c r="D7167" s="6">
        <v>3399</v>
      </c>
      <c r="E7167" s="6">
        <v>3326</v>
      </c>
      <c r="F7167" t="str">
        <f t="shared" si="3018"/>
        <v>WED</v>
      </c>
      <c r="G7167" s="1">
        <f t="shared" si="3019"/>
        <v>44223</v>
      </c>
      <c r="H7167" s="2">
        <f t="shared" ca="1" si="3020"/>
        <v>30</v>
      </c>
      <c r="I7167" t="str">
        <f t="shared" si="3021"/>
        <v>AMZN</v>
      </c>
      <c r="J7167">
        <f t="shared" si="3022"/>
        <v>3167</v>
      </c>
      <c r="K7167">
        <f t="shared" si="3023"/>
        <v>3399</v>
      </c>
      <c r="L7167">
        <f t="shared" si="3024"/>
        <v>3283</v>
      </c>
      <c r="M7167">
        <f t="shared" si="3025"/>
        <v>116</v>
      </c>
      <c r="N7167">
        <f t="shared" si="3003"/>
        <v>232</v>
      </c>
      <c r="O7167">
        <f t="shared" si="3026"/>
        <v>3326</v>
      </c>
      <c r="P7167">
        <f t="shared" si="3027"/>
        <v>0.37068965517241381</v>
      </c>
      <c r="Q7167" t="str">
        <f t="shared" si="3004"/>
        <v>4.78% | 2.19%</v>
      </c>
      <c r="R7167" t="str">
        <f t="shared" si="3028"/>
        <v>BULLISH</v>
      </c>
      <c r="S7167">
        <f t="shared" si="3029"/>
        <v>1</v>
      </c>
    </row>
    <row r="7168" spans="1:19" hidden="1" x14ac:dyDescent="0.25">
      <c r="A7168" s="5" t="str">
        <f t="shared" si="3017"/>
        <v>44223FB</v>
      </c>
      <c r="B7168" s="6" t="s">
        <v>30</v>
      </c>
      <c r="C7168" s="6">
        <v>245</v>
      </c>
      <c r="D7168" s="6">
        <v>292</v>
      </c>
      <c r="E7168" s="6">
        <v>282</v>
      </c>
      <c r="F7168" t="str">
        <f t="shared" si="3018"/>
        <v>WED</v>
      </c>
      <c r="G7168" s="1">
        <f t="shared" si="3019"/>
        <v>44223</v>
      </c>
      <c r="H7168" s="2">
        <f t="shared" ca="1" si="3020"/>
        <v>30</v>
      </c>
      <c r="I7168" t="str">
        <f t="shared" si="3021"/>
        <v>FB</v>
      </c>
      <c r="J7168">
        <f t="shared" si="3022"/>
        <v>245</v>
      </c>
      <c r="K7168">
        <f t="shared" si="3023"/>
        <v>292</v>
      </c>
      <c r="L7168">
        <f t="shared" si="3024"/>
        <v>268.5</v>
      </c>
      <c r="M7168">
        <f t="shared" si="3025"/>
        <v>23.5</v>
      </c>
      <c r="N7168">
        <f t="shared" si="3003"/>
        <v>47</v>
      </c>
      <c r="O7168">
        <f t="shared" si="3026"/>
        <v>282</v>
      </c>
      <c r="P7168">
        <f t="shared" si="3027"/>
        <v>0.57446808510638303</v>
      </c>
      <c r="Q7168" t="str">
        <f t="shared" si="3004"/>
        <v>13.12% | 3.55%</v>
      </c>
      <c r="R7168" t="str">
        <f t="shared" si="3028"/>
        <v>BULLISH</v>
      </c>
      <c r="S7168">
        <f t="shared" si="3029"/>
        <v>1</v>
      </c>
    </row>
    <row r="7169" spans="1:19" hidden="1" x14ac:dyDescent="0.25">
      <c r="A7169" s="5" t="str">
        <f t="shared" si="3017"/>
        <v>44223GOOGL</v>
      </c>
      <c r="B7169" s="6" t="s">
        <v>31</v>
      </c>
      <c r="C7169" s="6">
        <v>1793</v>
      </c>
      <c r="D7169" s="6">
        <v>1980</v>
      </c>
      <c r="E7169" s="6">
        <v>1907</v>
      </c>
      <c r="F7169" t="str">
        <f t="shared" si="3018"/>
        <v>WED</v>
      </c>
      <c r="G7169" s="1">
        <f t="shared" si="3019"/>
        <v>44223</v>
      </c>
      <c r="H7169" s="2">
        <f t="shared" ca="1" si="3020"/>
        <v>30</v>
      </c>
      <c r="I7169" t="str">
        <f t="shared" si="3021"/>
        <v>GOOGL</v>
      </c>
      <c r="J7169">
        <f t="shared" si="3022"/>
        <v>1793</v>
      </c>
      <c r="K7169">
        <f t="shared" si="3023"/>
        <v>1980</v>
      </c>
      <c r="L7169">
        <f t="shared" si="3024"/>
        <v>1886.5</v>
      </c>
      <c r="M7169">
        <f t="shared" si="3025"/>
        <v>93.5</v>
      </c>
      <c r="N7169">
        <f t="shared" si="3003"/>
        <v>187</v>
      </c>
      <c r="O7169">
        <f t="shared" si="3026"/>
        <v>1907</v>
      </c>
      <c r="P7169">
        <f t="shared" si="3027"/>
        <v>0.21925133689839571</v>
      </c>
      <c r="Q7169" t="str">
        <f t="shared" si="3004"/>
        <v>5.98% | 3.83%</v>
      </c>
      <c r="R7169" t="str">
        <f t="shared" si="3028"/>
        <v>BULLISH</v>
      </c>
      <c r="S7169">
        <f t="shared" si="3029"/>
        <v>1</v>
      </c>
    </row>
    <row r="7170" spans="1:19" hidden="1" x14ac:dyDescent="0.25">
      <c r="A7170" s="5" t="str">
        <f t="shared" si="3017"/>
        <v>44223NFLX</v>
      </c>
      <c r="B7170" s="6" t="s">
        <v>32</v>
      </c>
      <c r="C7170" s="6">
        <v>526</v>
      </c>
      <c r="D7170" s="6">
        <v>611</v>
      </c>
      <c r="E7170" s="6">
        <v>561</v>
      </c>
      <c r="F7170" t="str">
        <f t="shared" si="3018"/>
        <v>WED</v>
      </c>
      <c r="G7170" s="1">
        <f t="shared" si="3019"/>
        <v>44223</v>
      </c>
      <c r="H7170" s="2">
        <f t="shared" ca="1" si="3020"/>
        <v>30</v>
      </c>
      <c r="I7170" t="str">
        <f t="shared" si="3021"/>
        <v>NFLX</v>
      </c>
      <c r="J7170">
        <f t="shared" si="3022"/>
        <v>526</v>
      </c>
      <c r="K7170">
        <f t="shared" si="3023"/>
        <v>611</v>
      </c>
      <c r="L7170">
        <f t="shared" si="3024"/>
        <v>568.5</v>
      </c>
      <c r="M7170">
        <f t="shared" si="3025"/>
        <v>42.5</v>
      </c>
      <c r="N7170">
        <f t="shared" si="3003"/>
        <v>85</v>
      </c>
      <c r="O7170">
        <f t="shared" si="3026"/>
        <v>561</v>
      </c>
      <c r="P7170">
        <f t="shared" si="3027"/>
        <v>-0.17647058823529413</v>
      </c>
      <c r="Q7170" t="str">
        <f t="shared" si="3004"/>
        <v>6.24% | 8.91%</v>
      </c>
      <c r="R7170" t="str">
        <f t="shared" si="3028"/>
        <v>BULLISH</v>
      </c>
      <c r="S7170">
        <f t="shared" si="3029"/>
        <v>1</v>
      </c>
    </row>
    <row r="7171" spans="1:19" x14ac:dyDescent="0.25">
      <c r="A7171" s="5" t="str">
        <f t="shared" si="3017"/>
        <v>44223TSLA</v>
      </c>
      <c r="B7171" s="6" t="s">
        <v>33</v>
      </c>
      <c r="C7171" s="6">
        <v>816</v>
      </c>
      <c r="D7171" s="6">
        <v>897</v>
      </c>
      <c r="E7171" s="6">
        <v>883</v>
      </c>
      <c r="F7171" t="str">
        <f t="shared" si="3018"/>
        <v>WED</v>
      </c>
      <c r="G7171" s="1">
        <f t="shared" si="3019"/>
        <v>44223</v>
      </c>
      <c r="H7171" s="2">
        <f t="shared" ca="1" si="3020"/>
        <v>30</v>
      </c>
      <c r="I7171" t="str">
        <f t="shared" si="3021"/>
        <v>TSLA</v>
      </c>
      <c r="J7171">
        <f t="shared" si="3022"/>
        <v>816</v>
      </c>
      <c r="K7171">
        <f t="shared" si="3023"/>
        <v>897</v>
      </c>
      <c r="L7171">
        <f t="shared" si="3024"/>
        <v>856.5</v>
      </c>
      <c r="M7171">
        <f t="shared" si="3025"/>
        <v>40.5</v>
      </c>
      <c r="N7171">
        <f t="shared" ref="N7171:N7234" si="3030">ABS(K7171-J7171)</f>
        <v>81</v>
      </c>
      <c r="O7171">
        <f t="shared" si="3026"/>
        <v>883</v>
      </c>
      <c r="P7171">
        <f t="shared" si="3027"/>
        <v>0.65432098765432101</v>
      </c>
      <c r="Q7171" t="str">
        <f t="shared" ref="Q7171:Q7234" si="3031">ROUND(ABS(100*(O7171-J7171)/O7171),2)&amp;"% | "&amp;ROUND(ABS(100*(K7171-O7171)/O7171),2)&amp;"%"</f>
        <v>7.59% | 1.59%</v>
      </c>
      <c r="R7171" t="str">
        <f t="shared" si="3028"/>
        <v>BULLISH</v>
      </c>
      <c r="S7171">
        <f t="shared" si="3029"/>
        <v>1</v>
      </c>
    </row>
    <row r="7172" spans="1:19" hidden="1" x14ac:dyDescent="0.25">
      <c r="A7172" s="5" t="str">
        <f t="shared" si="3017"/>
        <v>44223NYXBT</v>
      </c>
      <c r="B7172" s="6" t="s">
        <v>60</v>
      </c>
      <c r="C7172" s="6">
        <v>29418</v>
      </c>
      <c r="D7172" s="6">
        <v>39670</v>
      </c>
      <c r="E7172" s="6">
        <v>31752</v>
      </c>
      <c r="F7172" t="str">
        <f t="shared" si="3018"/>
        <v>WED</v>
      </c>
      <c r="G7172" s="1">
        <f t="shared" si="3019"/>
        <v>44223</v>
      </c>
      <c r="H7172" s="2">
        <f t="shared" ca="1" si="3020"/>
        <v>30</v>
      </c>
      <c r="I7172" t="str">
        <f t="shared" si="3021"/>
        <v>NYXBT</v>
      </c>
      <c r="J7172">
        <f t="shared" si="3022"/>
        <v>29418</v>
      </c>
      <c r="K7172">
        <f t="shared" si="3023"/>
        <v>39670</v>
      </c>
      <c r="L7172">
        <f t="shared" si="3024"/>
        <v>34544</v>
      </c>
      <c r="M7172">
        <f t="shared" si="3025"/>
        <v>5126</v>
      </c>
      <c r="N7172">
        <f t="shared" si="3030"/>
        <v>10252</v>
      </c>
      <c r="O7172">
        <f t="shared" si="3026"/>
        <v>31752</v>
      </c>
      <c r="P7172">
        <f t="shared" si="3027"/>
        <v>-0.54467420991026139</v>
      </c>
      <c r="Q7172" t="str">
        <f t="shared" si="3031"/>
        <v>7.35% | 24.94%</v>
      </c>
      <c r="R7172" t="str">
        <f t="shared" si="3028"/>
        <v>BULLISH</v>
      </c>
      <c r="S7172">
        <f t="shared" si="3029"/>
        <v>1</v>
      </c>
    </row>
    <row r="7173" spans="1:19" hidden="1" x14ac:dyDescent="0.25">
      <c r="A7173" s="5" t="str">
        <f t="shared" si="3017"/>
        <v>44224UST10Y</v>
      </c>
      <c r="B7173" s="6" t="s">
        <v>257</v>
      </c>
      <c r="C7173" s="6">
        <v>1.17</v>
      </c>
      <c r="D7173" s="6">
        <v>1</v>
      </c>
      <c r="E7173" s="6">
        <v>1.04</v>
      </c>
      <c r="F7173" t="str">
        <f t="shared" si="3018"/>
        <v>THU</v>
      </c>
      <c r="G7173" s="3">
        <f>DATE(2021,1,28)</f>
        <v>44224</v>
      </c>
      <c r="H7173" s="2">
        <f t="shared" ca="1" si="3020"/>
        <v>29</v>
      </c>
      <c r="I7173" t="str">
        <f t="shared" si="3021"/>
        <v>UST10Y</v>
      </c>
      <c r="J7173">
        <f t="shared" si="3022"/>
        <v>1.17</v>
      </c>
      <c r="K7173">
        <f t="shared" si="3023"/>
        <v>1</v>
      </c>
      <c r="L7173">
        <f t="shared" si="3024"/>
        <v>1.085</v>
      </c>
      <c r="M7173">
        <f t="shared" si="3025"/>
        <v>8.4999999999999964E-2</v>
      </c>
      <c r="N7173">
        <f t="shared" si="3030"/>
        <v>0.16999999999999993</v>
      </c>
      <c r="O7173">
        <f t="shared" si="3026"/>
        <v>1.04</v>
      </c>
      <c r="P7173">
        <f t="shared" si="3027"/>
        <v>-0.52941176470588169</v>
      </c>
      <c r="Q7173" t="str">
        <f t="shared" si="3031"/>
        <v>12.5% | 3.85%</v>
      </c>
      <c r="R7173" t="str">
        <f t="shared" si="3028"/>
        <v>BULLISH</v>
      </c>
      <c r="S7173">
        <f t="shared" si="3029"/>
        <v>1</v>
      </c>
    </row>
    <row r="7174" spans="1:19" hidden="1" x14ac:dyDescent="0.25">
      <c r="A7174" s="5" t="str">
        <f t="shared" si="3017"/>
        <v>44224UST2Y</v>
      </c>
      <c r="B7174" s="6" t="s">
        <v>253</v>
      </c>
      <c r="C7174" s="6">
        <v>0.15</v>
      </c>
      <c r="D7174" s="6">
        <v>0.11</v>
      </c>
      <c r="E7174" s="6">
        <v>0.12</v>
      </c>
      <c r="F7174" t="str">
        <f t="shared" ref="F7174:F7205" si="3032">UPPER(TEXT(G7174,"ddd"))</f>
        <v>THU</v>
      </c>
      <c r="G7174" s="3">
        <f t="shared" ref="G7174:G7204" si="3033">DATE(2021,1,28)</f>
        <v>44224</v>
      </c>
      <c r="H7174" s="2">
        <f t="shared" ref="H7174:H7205" ca="1" si="3034">TODAY()-G7174</f>
        <v>29</v>
      </c>
      <c r="I7174" t="str">
        <f t="shared" ref="I7174:I7205" si="3035">TRIM(LEFT(B7174,FIND(" ",B7174,1)))</f>
        <v>UST2Y</v>
      </c>
      <c r="J7174">
        <f t="shared" ref="J7174:J7205" si="3036">C7174</f>
        <v>0.15</v>
      </c>
      <c r="K7174">
        <f t="shared" ref="K7174:K7205" si="3037">D7174</f>
        <v>0.11</v>
      </c>
      <c r="L7174">
        <f t="shared" ref="L7174:L7205" si="3038">AVERAGE(J7174:K7174)</f>
        <v>0.13</v>
      </c>
      <c r="M7174">
        <f t="shared" ref="M7174:M7205" si="3039">_xlfn.STDEV.P(J7174:K7174)</f>
        <v>1.9999999999999938E-2</v>
      </c>
      <c r="N7174">
        <f t="shared" si="3030"/>
        <v>3.9999999999999994E-2</v>
      </c>
      <c r="O7174">
        <f t="shared" ref="O7174:O7205" si="3040">E7174</f>
        <v>0.12</v>
      </c>
      <c r="P7174">
        <f t="shared" ref="P7174:P7205" si="3041">(O7174-L7174)/M7174</f>
        <v>-0.500000000000002</v>
      </c>
      <c r="Q7174" t="str">
        <f t="shared" si="3031"/>
        <v>25% | 8.33%</v>
      </c>
      <c r="R7174" t="str">
        <f t="shared" ref="R7174:R7205" si="3042">MID(B7174,FIND("(",B7174,1)+1,FIND(")",B7174,1)-FIND("(",B7174,1)-1)</f>
        <v>NEUTRAL</v>
      </c>
      <c r="S7174">
        <f t="shared" ref="S7174:S7205" si="3043">IF(R7174="BEARISH",-1,IF(R7174="NEUTRAL",0,IF(R7174="BULLISH",1,99)))</f>
        <v>0</v>
      </c>
    </row>
    <row r="7175" spans="1:19" hidden="1" x14ac:dyDescent="0.25">
      <c r="A7175" s="5" t="str">
        <f t="shared" si="3017"/>
        <v>44224SPX</v>
      </c>
      <c r="B7175" s="6" t="s">
        <v>93</v>
      </c>
      <c r="C7175" s="6">
        <v>3721</v>
      </c>
      <c r="D7175" s="6">
        <v>3895</v>
      </c>
      <c r="E7175" s="6">
        <v>3750</v>
      </c>
      <c r="F7175" t="str">
        <f t="shared" si="3032"/>
        <v>THU</v>
      </c>
      <c r="G7175" s="3">
        <f t="shared" si="3033"/>
        <v>44224</v>
      </c>
      <c r="H7175" s="2">
        <f t="shared" ca="1" si="3034"/>
        <v>29</v>
      </c>
      <c r="I7175" t="str">
        <f t="shared" si="3035"/>
        <v>SPX</v>
      </c>
      <c r="J7175">
        <f t="shared" si="3036"/>
        <v>3721</v>
      </c>
      <c r="K7175">
        <f t="shared" si="3037"/>
        <v>3895</v>
      </c>
      <c r="L7175">
        <f t="shared" si="3038"/>
        <v>3808</v>
      </c>
      <c r="M7175">
        <f t="shared" si="3039"/>
        <v>87</v>
      </c>
      <c r="N7175">
        <f t="shared" si="3030"/>
        <v>174</v>
      </c>
      <c r="O7175">
        <f t="shared" si="3040"/>
        <v>3750</v>
      </c>
      <c r="P7175">
        <f t="shared" si="3041"/>
        <v>-0.66666666666666663</v>
      </c>
      <c r="Q7175" t="str">
        <f t="shared" si="3031"/>
        <v>0.77% | 3.87%</v>
      </c>
      <c r="R7175" t="str">
        <f t="shared" si="3042"/>
        <v>BULLISH</v>
      </c>
      <c r="S7175">
        <f t="shared" si="3043"/>
        <v>1</v>
      </c>
    </row>
    <row r="7176" spans="1:19" hidden="1" x14ac:dyDescent="0.25">
      <c r="A7176" s="5" t="str">
        <f t="shared" ref="A7176:A7239" si="3044">G7176&amp;I7176</f>
        <v>44224RUT</v>
      </c>
      <c r="B7176" s="6" t="s">
        <v>247</v>
      </c>
      <c r="C7176" s="6">
        <v>2086</v>
      </c>
      <c r="D7176" s="6">
        <v>2178</v>
      </c>
      <c r="E7176" s="6">
        <v>2108</v>
      </c>
      <c r="F7176" t="str">
        <f t="shared" si="3032"/>
        <v>THU</v>
      </c>
      <c r="G7176" s="3">
        <f t="shared" si="3033"/>
        <v>44224</v>
      </c>
      <c r="H7176" s="2">
        <f t="shared" ca="1" si="3034"/>
        <v>29</v>
      </c>
      <c r="I7176" t="str">
        <f t="shared" si="3035"/>
        <v>RUT</v>
      </c>
      <c r="J7176">
        <f t="shared" si="3036"/>
        <v>2086</v>
      </c>
      <c r="K7176">
        <f t="shared" si="3037"/>
        <v>2178</v>
      </c>
      <c r="L7176">
        <f t="shared" si="3038"/>
        <v>2132</v>
      </c>
      <c r="M7176">
        <f t="shared" si="3039"/>
        <v>46</v>
      </c>
      <c r="N7176">
        <f t="shared" si="3030"/>
        <v>92</v>
      </c>
      <c r="O7176">
        <f t="shared" si="3040"/>
        <v>2108</v>
      </c>
      <c r="P7176">
        <f t="shared" si="3041"/>
        <v>-0.52173913043478259</v>
      </c>
      <c r="Q7176" t="str">
        <f t="shared" si="3031"/>
        <v>1.04% | 3.32%</v>
      </c>
      <c r="R7176" t="str">
        <f t="shared" si="3042"/>
        <v>BULLISH</v>
      </c>
      <c r="S7176">
        <f t="shared" si="3043"/>
        <v>1</v>
      </c>
    </row>
    <row r="7177" spans="1:19" hidden="1" x14ac:dyDescent="0.25">
      <c r="A7177" s="5" t="str">
        <f t="shared" si="3044"/>
        <v>44224COMPQ</v>
      </c>
      <c r="B7177" s="6" t="s">
        <v>8</v>
      </c>
      <c r="C7177" s="6">
        <v>12931</v>
      </c>
      <c r="D7177" s="6">
        <v>13820</v>
      </c>
      <c r="E7177" s="6">
        <v>13270</v>
      </c>
      <c r="F7177" t="str">
        <f t="shared" si="3032"/>
        <v>THU</v>
      </c>
      <c r="G7177" s="3">
        <f t="shared" si="3033"/>
        <v>44224</v>
      </c>
      <c r="H7177" s="2">
        <f t="shared" ca="1" si="3034"/>
        <v>29</v>
      </c>
      <c r="I7177" t="str">
        <f t="shared" si="3035"/>
        <v>COMPQ</v>
      </c>
      <c r="J7177">
        <f t="shared" si="3036"/>
        <v>12931</v>
      </c>
      <c r="K7177">
        <f t="shared" si="3037"/>
        <v>13820</v>
      </c>
      <c r="L7177">
        <f t="shared" si="3038"/>
        <v>13375.5</v>
      </c>
      <c r="M7177">
        <f t="shared" si="3039"/>
        <v>444.5</v>
      </c>
      <c r="N7177">
        <f t="shared" si="3030"/>
        <v>889</v>
      </c>
      <c r="O7177">
        <f t="shared" si="3040"/>
        <v>13270</v>
      </c>
      <c r="P7177">
        <f t="shared" si="3041"/>
        <v>-0.2373453318335208</v>
      </c>
      <c r="Q7177" t="str">
        <f t="shared" si="3031"/>
        <v>2.55% | 4.14%</v>
      </c>
      <c r="R7177" t="str">
        <f t="shared" si="3042"/>
        <v>BULLISH</v>
      </c>
      <c r="S7177">
        <f t="shared" si="3043"/>
        <v>1</v>
      </c>
    </row>
    <row r="7178" spans="1:19" hidden="1" x14ac:dyDescent="0.25">
      <c r="A7178" s="5" t="str">
        <f t="shared" si="3044"/>
        <v>44224XLK</v>
      </c>
      <c r="B7178" s="6" t="s">
        <v>10</v>
      </c>
      <c r="C7178" s="6">
        <v>126.99</v>
      </c>
      <c r="D7178" s="6">
        <v>136.05000000000001</v>
      </c>
      <c r="E7178" s="6">
        <v>131.5</v>
      </c>
      <c r="F7178" t="str">
        <f t="shared" si="3032"/>
        <v>THU</v>
      </c>
      <c r="G7178" s="3">
        <f t="shared" si="3033"/>
        <v>44224</v>
      </c>
      <c r="H7178" s="2">
        <f t="shared" ca="1" si="3034"/>
        <v>29</v>
      </c>
      <c r="I7178" t="str">
        <f t="shared" si="3035"/>
        <v>XLK</v>
      </c>
      <c r="J7178">
        <f t="shared" si="3036"/>
        <v>126.99</v>
      </c>
      <c r="K7178">
        <f t="shared" si="3037"/>
        <v>136.05000000000001</v>
      </c>
      <c r="L7178">
        <f t="shared" si="3038"/>
        <v>131.52000000000001</v>
      </c>
      <c r="M7178">
        <f t="shared" si="3039"/>
        <v>4.5300000000000082</v>
      </c>
      <c r="N7178">
        <f t="shared" si="3030"/>
        <v>9.0600000000000165</v>
      </c>
      <c r="O7178">
        <f t="shared" si="3040"/>
        <v>131.5</v>
      </c>
      <c r="P7178">
        <f t="shared" si="3041"/>
        <v>-4.4150110375298446E-3</v>
      </c>
      <c r="Q7178" t="str">
        <f t="shared" si="3031"/>
        <v>3.43% | 3.46%</v>
      </c>
      <c r="R7178" t="str">
        <f t="shared" si="3042"/>
        <v>BULLISH</v>
      </c>
      <c r="S7178">
        <f t="shared" si="3043"/>
        <v>1</v>
      </c>
    </row>
    <row r="7179" spans="1:19" hidden="1" x14ac:dyDescent="0.25">
      <c r="A7179" s="5" t="str">
        <f t="shared" si="3044"/>
        <v>44224XLE</v>
      </c>
      <c r="B7179" s="6" t="s">
        <v>250</v>
      </c>
      <c r="C7179" s="6">
        <v>39.42</v>
      </c>
      <c r="D7179" s="6">
        <v>45.17</v>
      </c>
      <c r="E7179" s="6">
        <v>40.200000000000003</v>
      </c>
      <c r="F7179" t="str">
        <f t="shared" si="3032"/>
        <v>THU</v>
      </c>
      <c r="G7179" s="3">
        <f t="shared" si="3033"/>
        <v>44224</v>
      </c>
      <c r="H7179" s="2">
        <f t="shared" ca="1" si="3034"/>
        <v>29</v>
      </c>
      <c r="I7179" t="str">
        <f t="shared" si="3035"/>
        <v>XLE</v>
      </c>
      <c r="J7179">
        <f t="shared" si="3036"/>
        <v>39.42</v>
      </c>
      <c r="K7179">
        <f t="shared" si="3037"/>
        <v>45.17</v>
      </c>
      <c r="L7179">
        <f t="shared" si="3038"/>
        <v>42.295000000000002</v>
      </c>
      <c r="M7179">
        <f t="shared" si="3039"/>
        <v>2.875</v>
      </c>
      <c r="N7179">
        <f t="shared" si="3030"/>
        <v>5.75</v>
      </c>
      <c r="O7179">
        <f t="shared" si="3040"/>
        <v>40.200000000000003</v>
      </c>
      <c r="P7179">
        <f t="shared" si="3041"/>
        <v>-0.72869565217391263</v>
      </c>
      <c r="Q7179" t="str">
        <f t="shared" si="3031"/>
        <v>1.94% | 12.36%</v>
      </c>
      <c r="R7179" t="str">
        <f t="shared" si="3042"/>
        <v>BULLISH</v>
      </c>
      <c r="S7179">
        <f t="shared" si="3043"/>
        <v>1</v>
      </c>
    </row>
    <row r="7180" spans="1:19" hidden="1" x14ac:dyDescent="0.25">
      <c r="A7180" s="5" t="str">
        <f t="shared" si="3044"/>
        <v>44224XLF</v>
      </c>
      <c r="B7180" s="6" t="s">
        <v>258</v>
      </c>
      <c r="C7180" s="6">
        <v>27.89</v>
      </c>
      <c r="D7180" s="6">
        <v>31.81</v>
      </c>
      <c r="E7180" s="6">
        <v>29</v>
      </c>
      <c r="F7180" t="str">
        <f t="shared" si="3032"/>
        <v>THU</v>
      </c>
      <c r="G7180" s="3">
        <f t="shared" si="3033"/>
        <v>44224</v>
      </c>
      <c r="H7180" s="2">
        <f t="shared" ca="1" si="3034"/>
        <v>29</v>
      </c>
      <c r="I7180" t="str">
        <f t="shared" si="3035"/>
        <v>XLF</v>
      </c>
      <c r="J7180">
        <f t="shared" si="3036"/>
        <v>27.89</v>
      </c>
      <c r="K7180">
        <f t="shared" si="3037"/>
        <v>31.81</v>
      </c>
      <c r="L7180">
        <f t="shared" si="3038"/>
        <v>29.85</v>
      </c>
      <c r="M7180">
        <f t="shared" si="3039"/>
        <v>1.9599999999999991</v>
      </c>
      <c r="N7180">
        <f t="shared" si="3030"/>
        <v>3.9199999999999982</v>
      </c>
      <c r="O7180">
        <f t="shared" si="3040"/>
        <v>29</v>
      </c>
      <c r="P7180">
        <f t="shared" si="3041"/>
        <v>-0.43367346938775603</v>
      </c>
      <c r="Q7180" t="str">
        <f t="shared" si="3031"/>
        <v>3.83% | 9.69%</v>
      </c>
      <c r="R7180" t="str">
        <f t="shared" si="3042"/>
        <v>BULLISH</v>
      </c>
      <c r="S7180">
        <f t="shared" si="3043"/>
        <v>1</v>
      </c>
    </row>
    <row r="7181" spans="1:19" hidden="1" x14ac:dyDescent="0.25">
      <c r="A7181" s="5" t="str">
        <f t="shared" si="3044"/>
        <v>44224XLU</v>
      </c>
      <c r="B7181" s="6" t="s">
        <v>82</v>
      </c>
      <c r="C7181" s="6">
        <v>61.17</v>
      </c>
      <c r="D7181" s="6">
        <v>64.010000000000005</v>
      </c>
      <c r="E7181" s="6">
        <v>61.75</v>
      </c>
      <c r="F7181" t="str">
        <f t="shared" si="3032"/>
        <v>THU</v>
      </c>
      <c r="G7181" s="3">
        <f t="shared" si="3033"/>
        <v>44224</v>
      </c>
      <c r="H7181" s="2">
        <f t="shared" ca="1" si="3034"/>
        <v>29</v>
      </c>
      <c r="I7181" t="str">
        <f t="shared" si="3035"/>
        <v>XLU</v>
      </c>
      <c r="J7181">
        <f t="shared" si="3036"/>
        <v>61.17</v>
      </c>
      <c r="K7181">
        <f t="shared" si="3037"/>
        <v>64.010000000000005</v>
      </c>
      <c r="L7181">
        <f t="shared" si="3038"/>
        <v>62.59</v>
      </c>
      <c r="M7181">
        <f t="shared" si="3039"/>
        <v>1.4200000000000017</v>
      </c>
      <c r="N7181">
        <f t="shared" si="3030"/>
        <v>2.8400000000000034</v>
      </c>
      <c r="O7181">
        <f t="shared" si="3040"/>
        <v>61.75</v>
      </c>
      <c r="P7181">
        <f t="shared" si="3041"/>
        <v>-0.59154929577464954</v>
      </c>
      <c r="Q7181" t="str">
        <f t="shared" si="3031"/>
        <v>0.94% | 3.66%</v>
      </c>
      <c r="R7181" t="str">
        <f t="shared" si="3042"/>
        <v>BEARISH</v>
      </c>
      <c r="S7181">
        <f t="shared" si="3043"/>
        <v>-1</v>
      </c>
    </row>
    <row r="7182" spans="1:19" hidden="1" x14ac:dyDescent="0.25">
      <c r="A7182" s="5" t="str">
        <f t="shared" si="3044"/>
        <v>44224GDX</v>
      </c>
      <c r="B7182" s="6" t="s">
        <v>254</v>
      </c>
      <c r="C7182" s="6">
        <v>33.11</v>
      </c>
      <c r="D7182" s="6">
        <v>36.1</v>
      </c>
      <c r="E7182" s="6">
        <v>33.74</v>
      </c>
      <c r="F7182" t="str">
        <f t="shared" si="3032"/>
        <v>THU</v>
      </c>
      <c r="G7182" s="3">
        <f t="shared" si="3033"/>
        <v>44224</v>
      </c>
      <c r="H7182" s="2">
        <f t="shared" ca="1" si="3034"/>
        <v>29</v>
      </c>
      <c r="I7182" t="str">
        <f t="shared" si="3035"/>
        <v>GDX</v>
      </c>
      <c r="J7182">
        <f t="shared" si="3036"/>
        <v>33.11</v>
      </c>
      <c r="K7182">
        <f t="shared" si="3037"/>
        <v>36.1</v>
      </c>
      <c r="L7182">
        <f t="shared" si="3038"/>
        <v>34.605000000000004</v>
      </c>
      <c r="M7182">
        <f t="shared" si="3039"/>
        <v>1.495000000000001</v>
      </c>
      <c r="N7182">
        <f t="shared" si="3030"/>
        <v>2.990000000000002</v>
      </c>
      <c r="O7182">
        <f t="shared" si="3040"/>
        <v>33.74</v>
      </c>
      <c r="P7182">
        <f t="shared" si="3041"/>
        <v>-0.57859531772575346</v>
      </c>
      <c r="Q7182" t="str">
        <f t="shared" si="3031"/>
        <v>1.87% | 6.99%</v>
      </c>
      <c r="R7182" t="str">
        <f t="shared" si="3042"/>
        <v>BEARISH</v>
      </c>
      <c r="S7182">
        <f t="shared" si="3043"/>
        <v>-1</v>
      </c>
    </row>
    <row r="7183" spans="1:19" hidden="1" x14ac:dyDescent="0.25">
      <c r="A7183" s="5" t="str">
        <f t="shared" si="3044"/>
        <v>44224SSEC</v>
      </c>
      <c r="B7183" s="6" t="s">
        <v>104</v>
      </c>
      <c r="C7183" s="6">
        <v>3490</v>
      </c>
      <c r="D7183" s="6">
        <v>3631</v>
      </c>
      <c r="E7183" s="6">
        <v>3505</v>
      </c>
      <c r="F7183" t="str">
        <f t="shared" si="3032"/>
        <v>THU</v>
      </c>
      <c r="G7183" s="3">
        <f t="shared" si="3033"/>
        <v>44224</v>
      </c>
      <c r="H7183" s="2">
        <f t="shared" ca="1" si="3034"/>
        <v>29</v>
      </c>
      <c r="I7183" t="str">
        <f t="shared" si="3035"/>
        <v>SSEC</v>
      </c>
      <c r="J7183">
        <f t="shared" si="3036"/>
        <v>3490</v>
      </c>
      <c r="K7183">
        <f t="shared" si="3037"/>
        <v>3631</v>
      </c>
      <c r="L7183">
        <f t="shared" si="3038"/>
        <v>3560.5</v>
      </c>
      <c r="M7183">
        <f t="shared" si="3039"/>
        <v>70.5</v>
      </c>
      <c r="N7183">
        <f t="shared" si="3030"/>
        <v>141</v>
      </c>
      <c r="O7183">
        <f t="shared" si="3040"/>
        <v>3505</v>
      </c>
      <c r="P7183">
        <f t="shared" si="3041"/>
        <v>-0.78723404255319152</v>
      </c>
      <c r="Q7183" t="str">
        <f t="shared" si="3031"/>
        <v>0.43% | 3.59%</v>
      </c>
      <c r="R7183" t="str">
        <f t="shared" si="3042"/>
        <v>BULLISH</v>
      </c>
      <c r="S7183">
        <f t="shared" si="3043"/>
        <v>1</v>
      </c>
    </row>
    <row r="7184" spans="1:19" hidden="1" x14ac:dyDescent="0.25">
      <c r="A7184" s="5" t="str">
        <f t="shared" si="3044"/>
        <v>44224NIKK</v>
      </c>
      <c r="B7184" s="6" t="s">
        <v>91</v>
      </c>
      <c r="C7184" s="6">
        <v>28017</v>
      </c>
      <c r="D7184" s="6">
        <v>28912</v>
      </c>
      <c r="E7184" s="6">
        <v>28197</v>
      </c>
      <c r="F7184" t="str">
        <f t="shared" si="3032"/>
        <v>THU</v>
      </c>
      <c r="G7184" s="3">
        <f t="shared" si="3033"/>
        <v>44224</v>
      </c>
      <c r="H7184" s="2">
        <f t="shared" ca="1" si="3034"/>
        <v>29</v>
      </c>
      <c r="I7184" t="str">
        <f t="shared" si="3035"/>
        <v>NIKK</v>
      </c>
      <c r="J7184">
        <f t="shared" si="3036"/>
        <v>28017</v>
      </c>
      <c r="K7184">
        <f t="shared" si="3037"/>
        <v>28912</v>
      </c>
      <c r="L7184">
        <f t="shared" si="3038"/>
        <v>28464.5</v>
      </c>
      <c r="M7184">
        <f t="shared" si="3039"/>
        <v>447.5</v>
      </c>
      <c r="N7184">
        <f t="shared" si="3030"/>
        <v>895</v>
      </c>
      <c r="O7184">
        <f t="shared" si="3040"/>
        <v>28197</v>
      </c>
      <c r="P7184">
        <f t="shared" si="3041"/>
        <v>-0.5977653631284916</v>
      </c>
      <c r="Q7184" t="str">
        <f t="shared" si="3031"/>
        <v>0.64% | 2.54%</v>
      </c>
      <c r="R7184" t="str">
        <f t="shared" si="3042"/>
        <v>BULLISH</v>
      </c>
      <c r="S7184">
        <f t="shared" si="3043"/>
        <v>1</v>
      </c>
    </row>
    <row r="7185" spans="1:19" hidden="1" x14ac:dyDescent="0.25">
      <c r="A7185" s="5" t="str">
        <f t="shared" si="3044"/>
        <v>44224DAX</v>
      </c>
      <c r="B7185" s="6" t="s">
        <v>98</v>
      </c>
      <c r="C7185" s="6">
        <v>13404</v>
      </c>
      <c r="D7185" s="6">
        <v>14025</v>
      </c>
      <c r="E7185" s="6">
        <v>13870</v>
      </c>
      <c r="F7185" t="str">
        <f t="shared" si="3032"/>
        <v>THU</v>
      </c>
      <c r="G7185" s="3">
        <f t="shared" si="3033"/>
        <v>44224</v>
      </c>
      <c r="H7185" s="2">
        <f t="shared" ca="1" si="3034"/>
        <v>29</v>
      </c>
      <c r="I7185" t="str">
        <f t="shared" si="3035"/>
        <v>DAX</v>
      </c>
      <c r="J7185">
        <f t="shared" si="3036"/>
        <v>13404</v>
      </c>
      <c r="K7185">
        <f t="shared" si="3037"/>
        <v>14025</v>
      </c>
      <c r="L7185">
        <f t="shared" si="3038"/>
        <v>13714.5</v>
      </c>
      <c r="M7185">
        <f t="shared" si="3039"/>
        <v>310.5</v>
      </c>
      <c r="N7185">
        <f t="shared" si="3030"/>
        <v>621</v>
      </c>
      <c r="O7185">
        <f t="shared" si="3040"/>
        <v>13870</v>
      </c>
      <c r="P7185">
        <f t="shared" si="3041"/>
        <v>0.50080515297906603</v>
      </c>
      <c r="Q7185" t="str">
        <f t="shared" si="3031"/>
        <v>3.36% | 1.12%</v>
      </c>
      <c r="R7185" t="str">
        <f t="shared" si="3042"/>
        <v>BULLISH</v>
      </c>
      <c r="S7185">
        <f t="shared" si="3043"/>
        <v>1</v>
      </c>
    </row>
    <row r="7186" spans="1:19" hidden="1" x14ac:dyDescent="0.25">
      <c r="A7186" s="5" t="str">
        <f t="shared" si="3044"/>
        <v>44224VIX</v>
      </c>
      <c r="B7186" s="6" t="s">
        <v>96</v>
      </c>
      <c r="C7186" s="6">
        <v>18.010000000000002</v>
      </c>
      <c r="D7186" s="6">
        <v>40.11</v>
      </c>
      <c r="E7186" s="6">
        <v>37.21</v>
      </c>
      <c r="F7186" t="str">
        <f t="shared" si="3032"/>
        <v>THU</v>
      </c>
      <c r="G7186" s="3">
        <f t="shared" si="3033"/>
        <v>44224</v>
      </c>
      <c r="H7186" s="2">
        <f t="shared" ca="1" si="3034"/>
        <v>29</v>
      </c>
      <c r="I7186" t="str">
        <f t="shared" si="3035"/>
        <v>VIX</v>
      </c>
      <c r="J7186">
        <f t="shared" si="3036"/>
        <v>18.010000000000002</v>
      </c>
      <c r="K7186">
        <f t="shared" si="3037"/>
        <v>40.11</v>
      </c>
      <c r="L7186">
        <f t="shared" si="3038"/>
        <v>29.060000000000002</v>
      </c>
      <c r="M7186">
        <f t="shared" si="3039"/>
        <v>11.049999999999994</v>
      </c>
      <c r="N7186">
        <f t="shared" si="3030"/>
        <v>22.099999999999998</v>
      </c>
      <c r="O7186">
        <f t="shared" si="3040"/>
        <v>37.21</v>
      </c>
      <c r="P7186">
        <f t="shared" si="3041"/>
        <v>0.73755656108597312</v>
      </c>
      <c r="Q7186" t="str">
        <f t="shared" si="3031"/>
        <v>51.6% | 7.79%</v>
      </c>
      <c r="R7186" t="str">
        <f t="shared" si="3042"/>
        <v>BEARISH</v>
      </c>
      <c r="S7186">
        <f t="shared" si="3043"/>
        <v>-1</v>
      </c>
    </row>
    <row r="7187" spans="1:19" hidden="1" x14ac:dyDescent="0.25">
      <c r="A7187" s="5" t="str">
        <f t="shared" si="3044"/>
        <v>44224USD</v>
      </c>
      <c r="B7187" s="6" t="s">
        <v>94</v>
      </c>
      <c r="C7187" s="6">
        <v>89.76</v>
      </c>
      <c r="D7187" s="6">
        <v>90.8</v>
      </c>
      <c r="E7187" s="6">
        <v>90.6</v>
      </c>
      <c r="F7187" t="str">
        <f t="shared" si="3032"/>
        <v>THU</v>
      </c>
      <c r="G7187" s="3">
        <f t="shared" si="3033"/>
        <v>44224</v>
      </c>
      <c r="H7187" s="2">
        <f t="shared" ca="1" si="3034"/>
        <v>29</v>
      </c>
      <c r="I7187" t="str">
        <f t="shared" si="3035"/>
        <v>USD</v>
      </c>
      <c r="J7187">
        <f t="shared" si="3036"/>
        <v>89.76</v>
      </c>
      <c r="K7187">
        <f t="shared" si="3037"/>
        <v>90.8</v>
      </c>
      <c r="L7187">
        <f t="shared" si="3038"/>
        <v>90.28</v>
      </c>
      <c r="M7187">
        <f t="shared" si="3039"/>
        <v>0.51999999999999602</v>
      </c>
      <c r="N7187">
        <f t="shared" si="3030"/>
        <v>1.039999999999992</v>
      </c>
      <c r="O7187">
        <f t="shared" si="3040"/>
        <v>90.6</v>
      </c>
      <c r="P7187">
        <f t="shared" si="3041"/>
        <v>0.61538461538460698</v>
      </c>
      <c r="Q7187" t="str">
        <f t="shared" si="3031"/>
        <v>0.93% | 0.22%</v>
      </c>
      <c r="R7187" t="str">
        <f t="shared" si="3042"/>
        <v>BEARISH</v>
      </c>
      <c r="S7187">
        <f t="shared" si="3043"/>
        <v>-1</v>
      </c>
    </row>
    <row r="7188" spans="1:19" hidden="1" x14ac:dyDescent="0.25">
      <c r="A7188" s="5" t="str">
        <f t="shared" si="3044"/>
        <v>44224EUR/USD</v>
      </c>
      <c r="B7188" s="6" t="s">
        <v>99</v>
      </c>
      <c r="C7188" s="6">
        <v>1.2070000000000001</v>
      </c>
      <c r="D7188" s="6">
        <v>1.22</v>
      </c>
      <c r="E7188" s="6">
        <v>1.2110000000000001</v>
      </c>
      <c r="F7188" t="str">
        <f t="shared" si="3032"/>
        <v>THU</v>
      </c>
      <c r="G7188" s="3">
        <f t="shared" si="3033"/>
        <v>44224</v>
      </c>
      <c r="H7188" s="2">
        <f t="shared" ca="1" si="3034"/>
        <v>29</v>
      </c>
      <c r="I7188" t="str">
        <f t="shared" si="3035"/>
        <v>EUR/USD</v>
      </c>
      <c r="J7188">
        <f t="shared" si="3036"/>
        <v>1.2070000000000001</v>
      </c>
      <c r="K7188">
        <f t="shared" si="3037"/>
        <v>1.22</v>
      </c>
      <c r="L7188">
        <f t="shared" si="3038"/>
        <v>1.2135</v>
      </c>
      <c r="M7188">
        <f t="shared" si="3039"/>
        <v>6.4999999999999503E-3</v>
      </c>
      <c r="N7188">
        <f t="shared" si="3030"/>
        <v>1.2999999999999901E-2</v>
      </c>
      <c r="O7188">
        <f t="shared" si="3040"/>
        <v>1.2110000000000001</v>
      </c>
      <c r="P7188">
        <f t="shared" si="3041"/>
        <v>-0.38461538461537936</v>
      </c>
      <c r="Q7188" t="str">
        <f t="shared" si="3031"/>
        <v>0.33% | 0.74%</v>
      </c>
      <c r="R7188" t="str">
        <f t="shared" si="3042"/>
        <v>BULLISH</v>
      </c>
      <c r="S7188">
        <f t="shared" si="3043"/>
        <v>1</v>
      </c>
    </row>
    <row r="7189" spans="1:19" hidden="1" x14ac:dyDescent="0.25">
      <c r="A7189" s="5" t="str">
        <f t="shared" si="3044"/>
        <v>44224USD/JPY</v>
      </c>
      <c r="B7189" s="6" t="s">
        <v>20</v>
      </c>
      <c r="C7189" s="6">
        <v>103.3</v>
      </c>
      <c r="D7189" s="6">
        <v>104.33</v>
      </c>
      <c r="E7189" s="6">
        <v>104.1</v>
      </c>
      <c r="F7189" t="str">
        <f t="shared" si="3032"/>
        <v>THU</v>
      </c>
      <c r="G7189" s="3">
        <f t="shared" si="3033"/>
        <v>44224</v>
      </c>
      <c r="H7189" s="2">
        <f t="shared" ca="1" si="3034"/>
        <v>29</v>
      </c>
      <c r="I7189" t="str">
        <f t="shared" si="3035"/>
        <v>USD/JPY</v>
      </c>
      <c r="J7189">
        <f t="shared" si="3036"/>
        <v>103.3</v>
      </c>
      <c r="K7189">
        <f t="shared" si="3037"/>
        <v>104.33</v>
      </c>
      <c r="L7189">
        <f t="shared" si="3038"/>
        <v>103.815</v>
      </c>
      <c r="M7189">
        <f t="shared" si="3039"/>
        <v>0.51500000000000057</v>
      </c>
      <c r="N7189">
        <f t="shared" si="3030"/>
        <v>1.0300000000000011</v>
      </c>
      <c r="O7189">
        <f t="shared" si="3040"/>
        <v>104.1</v>
      </c>
      <c r="P7189">
        <f t="shared" si="3041"/>
        <v>0.55339805825241994</v>
      </c>
      <c r="Q7189" t="str">
        <f t="shared" si="3031"/>
        <v>0.77% | 0.22%</v>
      </c>
      <c r="R7189" t="str">
        <f t="shared" si="3042"/>
        <v>BEARISH</v>
      </c>
      <c r="S7189">
        <f t="shared" si="3043"/>
        <v>-1</v>
      </c>
    </row>
    <row r="7190" spans="1:19" hidden="1" x14ac:dyDescent="0.25">
      <c r="A7190" s="5" t="str">
        <f t="shared" si="3044"/>
        <v>44224GBP/USD</v>
      </c>
      <c r="B7190" s="6" t="s">
        <v>102</v>
      </c>
      <c r="C7190" s="6">
        <v>1.3560000000000001</v>
      </c>
      <c r="D7190" s="6">
        <v>1.3779999999999999</v>
      </c>
      <c r="E7190" s="6">
        <v>1.369</v>
      </c>
      <c r="F7190" t="str">
        <f t="shared" si="3032"/>
        <v>THU</v>
      </c>
      <c r="G7190" s="3">
        <f t="shared" si="3033"/>
        <v>44224</v>
      </c>
      <c r="H7190" s="2">
        <f t="shared" ca="1" si="3034"/>
        <v>29</v>
      </c>
      <c r="I7190" t="str">
        <f t="shared" si="3035"/>
        <v>GBP/USD</v>
      </c>
      <c r="J7190">
        <f t="shared" si="3036"/>
        <v>1.3560000000000001</v>
      </c>
      <c r="K7190">
        <f t="shared" si="3037"/>
        <v>1.3779999999999999</v>
      </c>
      <c r="L7190">
        <f t="shared" si="3038"/>
        <v>1.367</v>
      </c>
      <c r="M7190">
        <f t="shared" si="3039"/>
        <v>1.0999999999999899E-2</v>
      </c>
      <c r="N7190">
        <f t="shared" si="3030"/>
        <v>2.1999999999999797E-2</v>
      </c>
      <c r="O7190">
        <f t="shared" si="3040"/>
        <v>1.369</v>
      </c>
      <c r="P7190">
        <f t="shared" si="3041"/>
        <v>0.18181818181818366</v>
      </c>
      <c r="Q7190" t="str">
        <f t="shared" si="3031"/>
        <v>0.95% | 0.66%</v>
      </c>
      <c r="R7190" t="str">
        <f t="shared" si="3042"/>
        <v>BULLISH</v>
      </c>
      <c r="S7190">
        <f t="shared" si="3043"/>
        <v>1</v>
      </c>
    </row>
    <row r="7191" spans="1:19" hidden="1" x14ac:dyDescent="0.25">
      <c r="A7191" s="5" t="str">
        <f t="shared" si="3044"/>
        <v>44224CAD/USD</v>
      </c>
      <c r="B7191" s="6" t="s">
        <v>244</v>
      </c>
      <c r="C7191" s="6">
        <v>0.78</v>
      </c>
      <c r="D7191" s="6">
        <v>0.8</v>
      </c>
      <c r="E7191" s="6">
        <v>0.78</v>
      </c>
      <c r="F7191" t="str">
        <f t="shared" si="3032"/>
        <v>THU</v>
      </c>
      <c r="G7191" s="3">
        <f t="shared" si="3033"/>
        <v>44224</v>
      </c>
      <c r="H7191" s="2">
        <f t="shared" ca="1" si="3034"/>
        <v>29</v>
      </c>
      <c r="I7191" t="str">
        <f t="shared" si="3035"/>
        <v>CAD/USD</v>
      </c>
      <c r="J7191">
        <f t="shared" si="3036"/>
        <v>0.78</v>
      </c>
      <c r="K7191">
        <f t="shared" si="3037"/>
        <v>0.8</v>
      </c>
      <c r="L7191">
        <f t="shared" si="3038"/>
        <v>0.79</v>
      </c>
      <c r="M7191">
        <f t="shared" si="3039"/>
        <v>1.0000000000000009E-2</v>
      </c>
      <c r="N7191">
        <f t="shared" si="3030"/>
        <v>2.0000000000000018E-2</v>
      </c>
      <c r="O7191">
        <f t="shared" si="3040"/>
        <v>0.78</v>
      </c>
      <c r="P7191">
        <f t="shared" si="3041"/>
        <v>-1</v>
      </c>
      <c r="Q7191" t="str">
        <f t="shared" si="3031"/>
        <v>0% | 2.56%</v>
      </c>
      <c r="R7191" t="str">
        <f t="shared" si="3042"/>
        <v>BULLISH</v>
      </c>
      <c r="S7191">
        <f t="shared" si="3043"/>
        <v>1</v>
      </c>
    </row>
    <row r="7192" spans="1:19" hidden="1" x14ac:dyDescent="0.25">
      <c r="A7192" s="5" t="str">
        <f t="shared" si="3044"/>
        <v>44224USD/CHF</v>
      </c>
      <c r="B7192" s="6" t="s">
        <v>76</v>
      </c>
      <c r="C7192" s="6">
        <v>0.87</v>
      </c>
      <c r="D7192" s="6">
        <v>0.89</v>
      </c>
      <c r="E7192" s="6">
        <v>0.88</v>
      </c>
      <c r="F7192" t="str">
        <f t="shared" si="3032"/>
        <v>THU</v>
      </c>
      <c r="G7192" s="3">
        <f t="shared" si="3033"/>
        <v>44224</v>
      </c>
      <c r="H7192" s="2">
        <f t="shared" ca="1" si="3034"/>
        <v>29</v>
      </c>
      <c r="I7192" t="str">
        <f t="shared" si="3035"/>
        <v>USD/CHF</v>
      </c>
      <c r="J7192">
        <f t="shared" si="3036"/>
        <v>0.87</v>
      </c>
      <c r="K7192">
        <f t="shared" si="3037"/>
        <v>0.89</v>
      </c>
      <c r="L7192">
        <f t="shared" si="3038"/>
        <v>0.88</v>
      </c>
      <c r="M7192">
        <f t="shared" si="3039"/>
        <v>1.0000000000000009E-2</v>
      </c>
      <c r="N7192">
        <f t="shared" si="3030"/>
        <v>2.0000000000000018E-2</v>
      </c>
      <c r="O7192">
        <f t="shared" si="3040"/>
        <v>0.88</v>
      </c>
      <c r="P7192">
        <f t="shared" si="3041"/>
        <v>0</v>
      </c>
      <c r="Q7192" t="str">
        <f t="shared" si="3031"/>
        <v>1.14% | 1.14%</v>
      </c>
      <c r="R7192" t="str">
        <f t="shared" si="3042"/>
        <v>BEARISH</v>
      </c>
      <c r="S7192">
        <f t="shared" si="3043"/>
        <v>-1</v>
      </c>
    </row>
    <row r="7193" spans="1:19" hidden="1" x14ac:dyDescent="0.25">
      <c r="A7193" s="5" t="str">
        <f t="shared" si="3044"/>
        <v>44224WTIC</v>
      </c>
      <c r="B7193" s="6" t="s">
        <v>158</v>
      </c>
      <c r="C7193" s="6">
        <v>51.99</v>
      </c>
      <c r="D7193" s="6">
        <v>53.97</v>
      </c>
      <c r="E7193" s="6">
        <v>52.85</v>
      </c>
      <c r="F7193" t="str">
        <f t="shared" si="3032"/>
        <v>THU</v>
      </c>
      <c r="G7193" s="3">
        <f t="shared" si="3033"/>
        <v>44224</v>
      </c>
      <c r="H7193" s="2">
        <f t="shared" ca="1" si="3034"/>
        <v>29</v>
      </c>
      <c r="I7193" t="str">
        <f t="shared" si="3035"/>
        <v>WTIC</v>
      </c>
      <c r="J7193">
        <f t="shared" si="3036"/>
        <v>51.99</v>
      </c>
      <c r="K7193">
        <f t="shared" si="3037"/>
        <v>53.97</v>
      </c>
      <c r="L7193">
        <f t="shared" si="3038"/>
        <v>52.980000000000004</v>
      </c>
      <c r="M7193">
        <f t="shared" si="3039"/>
        <v>0.98999999999999844</v>
      </c>
      <c r="N7193">
        <f t="shared" si="3030"/>
        <v>1.9799999999999969</v>
      </c>
      <c r="O7193">
        <f t="shared" si="3040"/>
        <v>52.85</v>
      </c>
      <c r="P7193">
        <f t="shared" si="3041"/>
        <v>-0.1313131313131341</v>
      </c>
      <c r="Q7193" t="str">
        <f t="shared" si="3031"/>
        <v>1.63% | 2.12%</v>
      </c>
      <c r="R7193" t="str">
        <f t="shared" si="3042"/>
        <v>BULLISH</v>
      </c>
      <c r="S7193">
        <f t="shared" si="3043"/>
        <v>1</v>
      </c>
    </row>
    <row r="7194" spans="1:19" hidden="1" x14ac:dyDescent="0.25">
      <c r="A7194" s="5" t="str">
        <f t="shared" si="3044"/>
        <v>44224NATGAS</v>
      </c>
      <c r="B7194" s="6" t="s">
        <v>89</v>
      </c>
      <c r="C7194" s="6">
        <v>2.41</v>
      </c>
      <c r="D7194" s="6">
        <v>2.82</v>
      </c>
      <c r="E7194" s="6">
        <v>2.7</v>
      </c>
      <c r="F7194" t="str">
        <f t="shared" si="3032"/>
        <v>THU</v>
      </c>
      <c r="G7194" s="3">
        <f t="shared" si="3033"/>
        <v>44224</v>
      </c>
      <c r="H7194" s="2">
        <f t="shared" ca="1" si="3034"/>
        <v>29</v>
      </c>
      <c r="I7194" t="str">
        <f t="shared" si="3035"/>
        <v>NATGAS</v>
      </c>
      <c r="J7194">
        <f t="shared" si="3036"/>
        <v>2.41</v>
      </c>
      <c r="K7194">
        <f t="shared" si="3037"/>
        <v>2.82</v>
      </c>
      <c r="L7194">
        <f t="shared" si="3038"/>
        <v>2.6150000000000002</v>
      </c>
      <c r="M7194">
        <f t="shared" si="3039"/>
        <v>0.20499999999999985</v>
      </c>
      <c r="N7194">
        <f t="shared" si="3030"/>
        <v>0.4099999999999997</v>
      </c>
      <c r="O7194">
        <f t="shared" si="3040"/>
        <v>2.7</v>
      </c>
      <c r="P7194">
        <f t="shared" si="3041"/>
        <v>0.41463414634146356</v>
      </c>
      <c r="Q7194" t="str">
        <f t="shared" si="3031"/>
        <v>10.74% | 4.44%</v>
      </c>
      <c r="R7194" t="str">
        <f t="shared" si="3042"/>
        <v>BULLISH</v>
      </c>
      <c r="S7194">
        <f t="shared" si="3043"/>
        <v>1</v>
      </c>
    </row>
    <row r="7195" spans="1:19" hidden="1" x14ac:dyDescent="0.25">
      <c r="A7195" s="5" t="str">
        <f t="shared" si="3044"/>
        <v>44224GOLD</v>
      </c>
      <c r="B7195" s="6" t="s">
        <v>85</v>
      </c>
      <c r="C7195" s="6">
        <v>1819</v>
      </c>
      <c r="D7195" s="6">
        <v>1871</v>
      </c>
      <c r="E7195" s="6">
        <v>1844</v>
      </c>
      <c r="F7195" t="str">
        <f t="shared" si="3032"/>
        <v>THU</v>
      </c>
      <c r="G7195" s="3">
        <f t="shared" si="3033"/>
        <v>44224</v>
      </c>
      <c r="H7195" s="2">
        <f t="shared" ca="1" si="3034"/>
        <v>29</v>
      </c>
      <c r="I7195" t="str">
        <f t="shared" si="3035"/>
        <v>GOLD</v>
      </c>
      <c r="J7195">
        <f t="shared" si="3036"/>
        <v>1819</v>
      </c>
      <c r="K7195">
        <f t="shared" si="3037"/>
        <v>1871</v>
      </c>
      <c r="L7195">
        <f t="shared" si="3038"/>
        <v>1845</v>
      </c>
      <c r="M7195">
        <f t="shared" si="3039"/>
        <v>26</v>
      </c>
      <c r="N7195">
        <f t="shared" si="3030"/>
        <v>52</v>
      </c>
      <c r="O7195">
        <f t="shared" si="3040"/>
        <v>1844</v>
      </c>
      <c r="P7195">
        <f t="shared" si="3041"/>
        <v>-3.8461538461538464E-2</v>
      </c>
      <c r="Q7195" t="str">
        <f t="shared" si="3031"/>
        <v>1.36% | 1.46%</v>
      </c>
      <c r="R7195" t="str">
        <f t="shared" si="3042"/>
        <v>BEARISH</v>
      </c>
      <c r="S7195">
        <f t="shared" si="3043"/>
        <v>-1</v>
      </c>
    </row>
    <row r="7196" spans="1:19" hidden="1" x14ac:dyDescent="0.25">
      <c r="A7196" s="5" t="str">
        <f t="shared" si="3044"/>
        <v>44224COPPER</v>
      </c>
      <c r="B7196" s="6" t="s">
        <v>100</v>
      </c>
      <c r="C7196" s="6">
        <v>3.47</v>
      </c>
      <c r="D7196" s="6">
        <v>3.69</v>
      </c>
      <c r="E7196" s="6">
        <v>3.56</v>
      </c>
      <c r="F7196" t="str">
        <f t="shared" si="3032"/>
        <v>THU</v>
      </c>
      <c r="G7196" s="3">
        <f t="shared" si="3033"/>
        <v>44224</v>
      </c>
      <c r="H7196" s="2">
        <f t="shared" ca="1" si="3034"/>
        <v>29</v>
      </c>
      <c r="I7196" t="str">
        <f t="shared" si="3035"/>
        <v>COPPER</v>
      </c>
      <c r="J7196">
        <f t="shared" si="3036"/>
        <v>3.47</v>
      </c>
      <c r="K7196">
        <f t="shared" si="3037"/>
        <v>3.69</v>
      </c>
      <c r="L7196">
        <f t="shared" si="3038"/>
        <v>3.58</v>
      </c>
      <c r="M7196">
        <f t="shared" si="3039"/>
        <v>0.10999999999999988</v>
      </c>
      <c r="N7196">
        <f t="shared" si="3030"/>
        <v>0.21999999999999975</v>
      </c>
      <c r="O7196">
        <f t="shared" si="3040"/>
        <v>3.56</v>
      </c>
      <c r="P7196">
        <f t="shared" si="3041"/>
        <v>-0.18181818181818218</v>
      </c>
      <c r="Q7196" t="str">
        <f t="shared" si="3031"/>
        <v>2.53% | 3.65%</v>
      </c>
      <c r="R7196" t="str">
        <f t="shared" si="3042"/>
        <v>BULLISH</v>
      </c>
      <c r="S7196">
        <f t="shared" si="3043"/>
        <v>1</v>
      </c>
    </row>
    <row r="7197" spans="1:19" hidden="1" x14ac:dyDescent="0.25">
      <c r="A7197" s="5" t="str">
        <f t="shared" si="3044"/>
        <v>44224MSFT</v>
      </c>
      <c r="B7197" s="6" t="s">
        <v>27</v>
      </c>
      <c r="C7197" s="6">
        <v>222</v>
      </c>
      <c r="D7197" s="6">
        <v>242</v>
      </c>
      <c r="E7197" s="6">
        <v>232</v>
      </c>
      <c r="F7197" t="str">
        <f t="shared" si="3032"/>
        <v>THU</v>
      </c>
      <c r="G7197" s="3">
        <f t="shared" si="3033"/>
        <v>44224</v>
      </c>
      <c r="H7197" s="2">
        <f t="shared" ca="1" si="3034"/>
        <v>29</v>
      </c>
      <c r="I7197" t="str">
        <f t="shared" si="3035"/>
        <v>MSFT</v>
      </c>
      <c r="J7197">
        <f t="shared" si="3036"/>
        <v>222</v>
      </c>
      <c r="K7197">
        <f t="shared" si="3037"/>
        <v>242</v>
      </c>
      <c r="L7197">
        <f t="shared" si="3038"/>
        <v>232</v>
      </c>
      <c r="M7197">
        <f t="shared" si="3039"/>
        <v>10</v>
      </c>
      <c r="N7197">
        <f t="shared" si="3030"/>
        <v>20</v>
      </c>
      <c r="O7197">
        <f t="shared" si="3040"/>
        <v>232</v>
      </c>
      <c r="P7197">
        <f t="shared" si="3041"/>
        <v>0</v>
      </c>
      <c r="Q7197" t="str">
        <f t="shared" si="3031"/>
        <v>4.31% | 4.31%</v>
      </c>
      <c r="R7197" t="str">
        <f t="shared" si="3042"/>
        <v>BULLISH</v>
      </c>
      <c r="S7197">
        <f t="shared" si="3043"/>
        <v>1</v>
      </c>
    </row>
    <row r="7198" spans="1:19" hidden="1" x14ac:dyDescent="0.25">
      <c r="A7198" s="5" t="str">
        <f t="shared" si="3044"/>
        <v>44224AAPL</v>
      </c>
      <c r="B7198" s="6" t="s">
        <v>28</v>
      </c>
      <c r="C7198" s="6">
        <v>125</v>
      </c>
      <c r="D7198" s="6">
        <v>148</v>
      </c>
      <c r="E7198" s="6">
        <v>142</v>
      </c>
      <c r="F7198" t="str">
        <f t="shared" si="3032"/>
        <v>THU</v>
      </c>
      <c r="G7198" s="3">
        <f t="shared" si="3033"/>
        <v>44224</v>
      </c>
      <c r="H7198" s="2">
        <f t="shared" ca="1" si="3034"/>
        <v>29</v>
      </c>
      <c r="I7198" t="str">
        <f t="shared" si="3035"/>
        <v>AAPL</v>
      </c>
      <c r="J7198">
        <f t="shared" si="3036"/>
        <v>125</v>
      </c>
      <c r="K7198">
        <f t="shared" si="3037"/>
        <v>148</v>
      </c>
      <c r="L7198">
        <f t="shared" si="3038"/>
        <v>136.5</v>
      </c>
      <c r="M7198">
        <f t="shared" si="3039"/>
        <v>11.5</v>
      </c>
      <c r="N7198">
        <f t="shared" si="3030"/>
        <v>23</v>
      </c>
      <c r="O7198">
        <f t="shared" si="3040"/>
        <v>142</v>
      </c>
      <c r="P7198">
        <f t="shared" si="3041"/>
        <v>0.47826086956521741</v>
      </c>
      <c r="Q7198" t="str">
        <f t="shared" si="3031"/>
        <v>11.97% | 4.23%</v>
      </c>
      <c r="R7198" t="str">
        <f t="shared" si="3042"/>
        <v>BULLISH</v>
      </c>
      <c r="S7198">
        <f t="shared" si="3043"/>
        <v>1</v>
      </c>
    </row>
    <row r="7199" spans="1:19" hidden="1" x14ac:dyDescent="0.25">
      <c r="A7199" s="5" t="str">
        <f t="shared" si="3044"/>
        <v>44224AMZN</v>
      </c>
      <c r="B7199" s="6" t="s">
        <v>29</v>
      </c>
      <c r="C7199" s="6">
        <v>3065</v>
      </c>
      <c r="D7199" s="6">
        <v>3399</v>
      </c>
      <c r="E7199" s="6">
        <v>3232</v>
      </c>
      <c r="F7199" t="str">
        <f t="shared" si="3032"/>
        <v>THU</v>
      </c>
      <c r="G7199" s="3">
        <f t="shared" si="3033"/>
        <v>44224</v>
      </c>
      <c r="H7199" s="2">
        <f t="shared" ca="1" si="3034"/>
        <v>29</v>
      </c>
      <c r="I7199" t="str">
        <f t="shared" si="3035"/>
        <v>AMZN</v>
      </c>
      <c r="J7199">
        <f t="shared" si="3036"/>
        <v>3065</v>
      </c>
      <c r="K7199">
        <f t="shared" si="3037"/>
        <v>3399</v>
      </c>
      <c r="L7199">
        <f t="shared" si="3038"/>
        <v>3232</v>
      </c>
      <c r="M7199">
        <f t="shared" si="3039"/>
        <v>167</v>
      </c>
      <c r="N7199">
        <f t="shared" si="3030"/>
        <v>334</v>
      </c>
      <c r="O7199">
        <f t="shared" si="3040"/>
        <v>3232</v>
      </c>
      <c r="P7199">
        <f t="shared" si="3041"/>
        <v>0</v>
      </c>
      <c r="Q7199" t="str">
        <f t="shared" si="3031"/>
        <v>5.17% | 5.17%</v>
      </c>
      <c r="R7199" t="str">
        <f t="shared" si="3042"/>
        <v>BULLISH</v>
      </c>
      <c r="S7199">
        <f t="shared" si="3043"/>
        <v>1</v>
      </c>
    </row>
    <row r="7200" spans="1:19" hidden="1" x14ac:dyDescent="0.25">
      <c r="A7200" s="5" t="str">
        <f t="shared" si="3044"/>
        <v>44224FB</v>
      </c>
      <c r="B7200" s="6" t="s">
        <v>30</v>
      </c>
      <c r="C7200" s="6">
        <v>245</v>
      </c>
      <c r="D7200" s="6">
        <v>291</v>
      </c>
      <c r="E7200" s="6">
        <v>272</v>
      </c>
      <c r="F7200" t="str">
        <f t="shared" si="3032"/>
        <v>THU</v>
      </c>
      <c r="G7200" s="3">
        <f t="shared" si="3033"/>
        <v>44224</v>
      </c>
      <c r="H7200" s="2">
        <f t="shared" ca="1" si="3034"/>
        <v>29</v>
      </c>
      <c r="I7200" t="str">
        <f t="shared" si="3035"/>
        <v>FB</v>
      </c>
      <c r="J7200">
        <f t="shared" si="3036"/>
        <v>245</v>
      </c>
      <c r="K7200">
        <f t="shared" si="3037"/>
        <v>291</v>
      </c>
      <c r="L7200">
        <f t="shared" si="3038"/>
        <v>268</v>
      </c>
      <c r="M7200">
        <f t="shared" si="3039"/>
        <v>23</v>
      </c>
      <c r="N7200">
        <f t="shared" si="3030"/>
        <v>46</v>
      </c>
      <c r="O7200">
        <f t="shared" si="3040"/>
        <v>272</v>
      </c>
      <c r="P7200">
        <f t="shared" si="3041"/>
        <v>0.17391304347826086</v>
      </c>
      <c r="Q7200" t="str">
        <f t="shared" si="3031"/>
        <v>9.93% | 6.99%</v>
      </c>
      <c r="R7200" t="str">
        <f t="shared" si="3042"/>
        <v>BULLISH</v>
      </c>
      <c r="S7200">
        <f t="shared" si="3043"/>
        <v>1</v>
      </c>
    </row>
    <row r="7201" spans="1:19" hidden="1" x14ac:dyDescent="0.25">
      <c r="A7201" s="5" t="str">
        <f t="shared" si="3044"/>
        <v>44224GOOGL</v>
      </c>
      <c r="B7201" s="6" t="s">
        <v>31</v>
      </c>
      <c r="C7201" s="6">
        <v>1717</v>
      </c>
      <c r="D7201" s="6">
        <v>1972</v>
      </c>
      <c r="E7201" s="6">
        <v>1818</v>
      </c>
      <c r="F7201" t="str">
        <f t="shared" si="3032"/>
        <v>THU</v>
      </c>
      <c r="G7201" s="3">
        <f t="shared" si="3033"/>
        <v>44224</v>
      </c>
      <c r="H7201" s="2">
        <f t="shared" ca="1" si="3034"/>
        <v>29</v>
      </c>
      <c r="I7201" t="str">
        <f t="shared" si="3035"/>
        <v>GOOGL</v>
      </c>
      <c r="J7201">
        <f t="shared" si="3036"/>
        <v>1717</v>
      </c>
      <c r="K7201">
        <f t="shared" si="3037"/>
        <v>1972</v>
      </c>
      <c r="L7201">
        <f t="shared" si="3038"/>
        <v>1844.5</v>
      </c>
      <c r="M7201">
        <f t="shared" si="3039"/>
        <v>127.5</v>
      </c>
      <c r="N7201">
        <f t="shared" si="3030"/>
        <v>255</v>
      </c>
      <c r="O7201">
        <f t="shared" si="3040"/>
        <v>1818</v>
      </c>
      <c r="P7201">
        <f t="shared" si="3041"/>
        <v>-0.20784313725490197</v>
      </c>
      <c r="Q7201" t="str">
        <f t="shared" si="3031"/>
        <v>5.56% | 8.47%</v>
      </c>
      <c r="R7201" t="str">
        <f t="shared" si="3042"/>
        <v>BULLISH</v>
      </c>
      <c r="S7201">
        <f t="shared" si="3043"/>
        <v>1</v>
      </c>
    </row>
    <row r="7202" spans="1:19" hidden="1" x14ac:dyDescent="0.25">
      <c r="A7202" s="5" t="str">
        <f t="shared" si="3044"/>
        <v>44224NFLX</v>
      </c>
      <c r="B7202" s="6" t="s">
        <v>32</v>
      </c>
      <c r="C7202" s="6">
        <v>475</v>
      </c>
      <c r="D7202" s="6">
        <v>610</v>
      </c>
      <c r="E7202" s="6">
        <v>523</v>
      </c>
      <c r="F7202" t="str">
        <f t="shared" si="3032"/>
        <v>THU</v>
      </c>
      <c r="G7202" s="3">
        <f t="shared" si="3033"/>
        <v>44224</v>
      </c>
      <c r="H7202" s="2">
        <f t="shared" ca="1" si="3034"/>
        <v>29</v>
      </c>
      <c r="I7202" t="str">
        <f t="shared" si="3035"/>
        <v>NFLX</v>
      </c>
      <c r="J7202">
        <f t="shared" si="3036"/>
        <v>475</v>
      </c>
      <c r="K7202">
        <f t="shared" si="3037"/>
        <v>610</v>
      </c>
      <c r="L7202">
        <f t="shared" si="3038"/>
        <v>542.5</v>
      </c>
      <c r="M7202">
        <f t="shared" si="3039"/>
        <v>67.5</v>
      </c>
      <c r="N7202">
        <f t="shared" si="3030"/>
        <v>135</v>
      </c>
      <c r="O7202">
        <f t="shared" si="3040"/>
        <v>523</v>
      </c>
      <c r="P7202">
        <f t="shared" si="3041"/>
        <v>-0.28888888888888886</v>
      </c>
      <c r="Q7202" t="str">
        <f t="shared" si="3031"/>
        <v>9.18% | 16.63%</v>
      </c>
      <c r="R7202" t="str">
        <f t="shared" si="3042"/>
        <v>BULLISH</v>
      </c>
      <c r="S7202">
        <f t="shared" si="3043"/>
        <v>1</v>
      </c>
    </row>
    <row r="7203" spans="1:19" x14ac:dyDescent="0.25">
      <c r="A7203" s="5" t="str">
        <f t="shared" si="3044"/>
        <v>44224TSLA</v>
      </c>
      <c r="B7203" s="6" t="s">
        <v>33</v>
      </c>
      <c r="C7203" s="6">
        <v>808</v>
      </c>
      <c r="D7203" s="6">
        <v>890</v>
      </c>
      <c r="E7203" s="6">
        <v>864</v>
      </c>
      <c r="F7203" t="str">
        <f t="shared" si="3032"/>
        <v>THU</v>
      </c>
      <c r="G7203" s="3">
        <f t="shared" si="3033"/>
        <v>44224</v>
      </c>
      <c r="H7203" s="2">
        <f t="shared" ca="1" si="3034"/>
        <v>29</v>
      </c>
      <c r="I7203" t="str">
        <f t="shared" si="3035"/>
        <v>TSLA</v>
      </c>
      <c r="J7203">
        <f t="shared" si="3036"/>
        <v>808</v>
      </c>
      <c r="K7203">
        <f t="shared" si="3037"/>
        <v>890</v>
      </c>
      <c r="L7203">
        <f t="shared" si="3038"/>
        <v>849</v>
      </c>
      <c r="M7203">
        <f t="shared" si="3039"/>
        <v>41</v>
      </c>
      <c r="N7203">
        <f t="shared" si="3030"/>
        <v>82</v>
      </c>
      <c r="O7203">
        <f t="shared" si="3040"/>
        <v>864</v>
      </c>
      <c r="P7203">
        <f t="shared" si="3041"/>
        <v>0.36585365853658536</v>
      </c>
      <c r="Q7203" t="str">
        <f t="shared" si="3031"/>
        <v>6.48% | 3.01%</v>
      </c>
      <c r="R7203" t="str">
        <f t="shared" si="3042"/>
        <v>BULLISH</v>
      </c>
      <c r="S7203">
        <f t="shared" si="3043"/>
        <v>1</v>
      </c>
    </row>
    <row r="7204" spans="1:19" hidden="1" x14ac:dyDescent="0.25">
      <c r="A7204" s="5" t="str">
        <f t="shared" si="3044"/>
        <v>44224NYXBT</v>
      </c>
      <c r="B7204" s="6" t="s">
        <v>60</v>
      </c>
      <c r="C7204" s="6">
        <v>28307</v>
      </c>
      <c r="D7204" s="6">
        <v>39902</v>
      </c>
      <c r="E7204" s="6">
        <v>30155</v>
      </c>
      <c r="F7204" t="str">
        <f t="shared" si="3032"/>
        <v>THU</v>
      </c>
      <c r="G7204" s="3">
        <f t="shared" si="3033"/>
        <v>44224</v>
      </c>
      <c r="H7204" s="2">
        <f t="shared" ca="1" si="3034"/>
        <v>29</v>
      </c>
      <c r="I7204" t="str">
        <f t="shared" si="3035"/>
        <v>NYXBT</v>
      </c>
      <c r="J7204">
        <f t="shared" si="3036"/>
        <v>28307</v>
      </c>
      <c r="K7204">
        <f t="shared" si="3037"/>
        <v>39902</v>
      </c>
      <c r="L7204">
        <f t="shared" si="3038"/>
        <v>34104.5</v>
      </c>
      <c r="M7204">
        <f t="shared" si="3039"/>
        <v>5797.5</v>
      </c>
      <c r="N7204">
        <f t="shared" si="3030"/>
        <v>11595</v>
      </c>
      <c r="O7204">
        <f t="shared" si="3040"/>
        <v>30155</v>
      </c>
      <c r="P7204">
        <f t="shared" si="3041"/>
        <v>-0.68124191461837003</v>
      </c>
      <c r="Q7204" t="str">
        <f t="shared" si="3031"/>
        <v>6.13% | 32.32%</v>
      </c>
      <c r="R7204" t="str">
        <f t="shared" si="3042"/>
        <v>BULLISH</v>
      </c>
      <c r="S7204">
        <f t="shared" si="3043"/>
        <v>1</v>
      </c>
    </row>
    <row r="7205" spans="1:19" hidden="1" x14ac:dyDescent="0.25">
      <c r="A7205" s="5" t="str">
        <f t="shared" si="3044"/>
        <v>44225UST10Y</v>
      </c>
      <c r="B7205" s="6" t="s">
        <v>257</v>
      </c>
      <c r="C7205" s="6">
        <v>1.1499999999999999</v>
      </c>
      <c r="D7205" s="6">
        <v>1.01</v>
      </c>
      <c r="E7205" s="6">
        <v>1.07</v>
      </c>
      <c r="F7205" t="str">
        <f t="shared" si="3032"/>
        <v>FRI</v>
      </c>
      <c r="G7205" s="1">
        <f>DATE(2021,1,29)</f>
        <v>44225</v>
      </c>
      <c r="H7205" s="2">
        <f t="shared" ca="1" si="3034"/>
        <v>28</v>
      </c>
      <c r="I7205" t="str">
        <f t="shared" si="3035"/>
        <v>UST10Y</v>
      </c>
      <c r="J7205">
        <f t="shared" si="3036"/>
        <v>1.1499999999999999</v>
      </c>
      <c r="K7205">
        <f t="shared" si="3037"/>
        <v>1.01</v>
      </c>
      <c r="L7205">
        <f t="shared" si="3038"/>
        <v>1.08</v>
      </c>
      <c r="M7205">
        <f t="shared" si="3039"/>
        <v>6.9999999999999951E-2</v>
      </c>
      <c r="N7205">
        <f t="shared" si="3030"/>
        <v>0.1399999999999999</v>
      </c>
      <c r="O7205">
        <f t="shared" si="3040"/>
        <v>1.07</v>
      </c>
      <c r="P7205">
        <f t="shared" si="3041"/>
        <v>-0.14285714285714307</v>
      </c>
      <c r="Q7205" t="str">
        <f t="shared" si="3031"/>
        <v>7.48% | 5.61%</v>
      </c>
      <c r="R7205" t="str">
        <f t="shared" si="3042"/>
        <v>BULLISH</v>
      </c>
      <c r="S7205">
        <f t="shared" si="3043"/>
        <v>1</v>
      </c>
    </row>
    <row r="7206" spans="1:19" hidden="1" x14ac:dyDescent="0.25">
      <c r="A7206" s="5" t="str">
        <f t="shared" si="3044"/>
        <v>44225UST2Y</v>
      </c>
      <c r="B7206" s="6" t="s">
        <v>253</v>
      </c>
      <c r="C7206" s="6">
        <v>0.15</v>
      </c>
      <c r="D7206" s="6">
        <v>0.11</v>
      </c>
      <c r="E7206" s="6">
        <v>0.12</v>
      </c>
      <c r="F7206" t="str">
        <f t="shared" ref="F7206:F7237" si="3045">UPPER(TEXT(G7206,"ddd"))</f>
        <v>FRI</v>
      </c>
      <c r="G7206" s="1">
        <f t="shared" ref="G7206:G7236" si="3046">DATE(2021,1,29)</f>
        <v>44225</v>
      </c>
      <c r="H7206" s="2">
        <f t="shared" ref="H7206:H7237" ca="1" si="3047">TODAY()-G7206</f>
        <v>28</v>
      </c>
      <c r="I7206" t="str">
        <f t="shared" ref="I7206:I7237" si="3048">TRIM(LEFT(B7206,FIND(" ",B7206,1)))</f>
        <v>UST2Y</v>
      </c>
      <c r="J7206">
        <f t="shared" ref="J7206:J7237" si="3049">C7206</f>
        <v>0.15</v>
      </c>
      <c r="K7206">
        <f t="shared" ref="K7206:K7237" si="3050">D7206</f>
        <v>0.11</v>
      </c>
      <c r="L7206">
        <f t="shared" ref="L7206:L7237" si="3051">AVERAGE(J7206:K7206)</f>
        <v>0.13</v>
      </c>
      <c r="M7206">
        <f t="shared" ref="M7206:M7237" si="3052">_xlfn.STDEV.P(J7206:K7206)</f>
        <v>1.9999999999999938E-2</v>
      </c>
      <c r="N7206">
        <f t="shared" si="3030"/>
        <v>3.9999999999999994E-2</v>
      </c>
      <c r="O7206">
        <f t="shared" ref="O7206:O7237" si="3053">E7206</f>
        <v>0.12</v>
      </c>
      <c r="P7206">
        <f t="shared" ref="P7206:P7237" si="3054">(O7206-L7206)/M7206</f>
        <v>-0.500000000000002</v>
      </c>
      <c r="Q7206" t="str">
        <f t="shared" si="3031"/>
        <v>25% | 8.33%</v>
      </c>
      <c r="R7206" t="str">
        <f t="shared" ref="R7206:R7237" si="3055">MID(B7206,FIND("(",B7206,1)+1,FIND(")",B7206,1)-FIND("(",B7206,1)-1)</f>
        <v>NEUTRAL</v>
      </c>
      <c r="S7206">
        <f t="shared" ref="S7206:S7237" si="3056">IF(R7206="BEARISH",-1,IF(R7206="NEUTRAL",0,IF(R7206="BULLISH",1,99)))</f>
        <v>0</v>
      </c>
    </row>
    <row r="7207" spans="1:19" hidden="1" x14ac:dyDescent="0.25">
      <c r="A7207" s="5" t="str">
        <f t="shared" si="3044"/>
        <v>44225SPX</v>
      </c>
      <c r="B7207" s="6" t="s">
        <v>93</v>
      </c>
      <c r="C7207" s="6">
        <v>3737</v>
      </c>
      <c r="D7207" s="6">
        <v>3897</v>
      </c>
      <c r="E7207" s="6">
        <v>3787</v>
      </c>
      <c r="F7207" t="str">
        <f t="shared" si="3045"/>
        <v>FRI</v>
      </c>
      <c r="G7207" s="1">
        <f t="shared" si="3046"/>
        <v>44225</v>
      </c>
      <c r="H7207" s="2">
        <f t="shared" ca="1" si="3047"/>
        <v>28</v>
      </c>
      <c r="I7207" t="str">
        <f t="shared" si="3048"/>
        <v>SPX</v>
      </c>
      <c r="J7207">
        <f t="shared" si="3049"/>
        <v>3737</v>
      </c>
      <c r="K7207">
        <f t="shared" si="3050"/>
        <v>3897</v>
      </c>
      <c r="L7207">
        <f t="shared" si="3051"/>
        <v>3817</v>
      </c>
      <c r="M7207">
        <f t="shared" si="3052"/>
        <v>80</v>
      </c>
      <c r="N7207">
        <f t="shared" si="3030"/>
        <v>160</v>
      </c>
      <c r="O7207">
        <f t="shared" si="3053"/>
        <v>3787</v>
      </c>
      <c r="P7207">
        <f t="shared" si="3054"/>
        <v>-0.375</v>
      </c>
      <c r="Q7207" t="str">
        <f t="shared" si="3031"/>
        <v>1.32% | 2.9%</v>
      </c>
      <c r="R7207" t="str">
        <f t="shared" si="3055"/>
        <v>BULLISH</v>
      </c>
      <c r="S7207">
        <f t="shared" si="3056"/>
        <v>1</v>
      </c>
    </row>
    <row r="7208" spans="1:19" hidden="1" x14ac:dyDescent="0.25">
      <c r="A7208" s="5" t="str">
        <f t="shared" si="3044"/>
        <v>44225RUT</v>
      </c>
      <c r="B7208" s="6" t="s">
        <v>247</v>
      </c>
      <c r="C7208" s="6">
        <v>2095</v>
      </c>
      <c r="D7208" s="6">
        <v>2186</v>
      </c>
      <c r="E7208" s="6">
        <v>2106</v>
      </c>
      <c r="F7208" t="str">
        <f t="shared" si="3045"/>
        <v>FRI</v>
      </c>
      <c r="G7208" s="1">
        <f t="shared" si="3046"/>
        <v>44225</v>
      </c>
      <c r="H7208" s="2">
        <f t="shared" ca="1" si="3047"/>
        <v>28</v>
      </c>
      <c r="I7208" t="str">
        <f t="shared" si="3048"/>
        <v>RUT</v>
      </c>
      <c r="J7208">
        <f t="shared" si="3049"/>
        <v>2095</v>
      </c>
      <c r="K7208">
        <f t="shared" si="3050"/>
        <v>2186</v>
      </c>
      <c r="L7208">
        <f t="shared" si="3051"/>
        <v>2140.5</v>
      </c>
      <c r="M7208">
        <f t="shared" si="3052"/>
        <v>45.5</v>
      </c>
      <c r="N7208">
        <f t="shared" si="3030"/>
        <v>91</v>
      </c>
      <c r="O7208">
        <f t="shared" si="3053"/>
        <v>2106</v>
      </c>
      <c r="P7208">
        <f t="shared" si="3054"/>
        <v>-0.75824175824175821</v>
      </c>
      <c r="Q7208" t="str">
        <f t="shared" si="3031"/>
        <v>0.52% | 3.8%</v>
      </c>
      <c r="R7208" t="str">
        <f t="shared" si="3055"/>
        <v>BULLISH</v>
      </c>
      <c r="S7208">
        <f t="shared" si="3056"/>
        <v>1</v>
      </c>
    </row>
    <row r="7209" spans="1:19" hidden="1" x14ac:dyDescent="0.25">
      <c r="A7209" s="5" t="str">
        <f t="shared" si="3044"/>
        <v>44225COMPQ</v>
      </c>
      <c r="B7209" s="6" t="s">
        <v>8</v>
      </c>
      <c r="C7209" s="6">
        <v>12990</v>
      </c>
      <c r="D7209" s="6">
        <v>13815</v>
      </c>
      <c r="E7209" s="6">
        <v>13337</v>
      </c>
      <c r="F7209" t="str">
        <f t="shared" si="3045"/>
        <v>FRI</v>
      </c>
      <c r="G7209" s="1">
        <f t="shared" si="3046"/>
        <v>44225</v>
      </c>
      <c r="H7209" s="2">
        <f t="shared" ca="1" si="3047"/>
        <v>28</v>
      </c>
      <c r="I7209" t="str">
        <f t="shared" si="3048"/>
        <v>COMPQ</v>
      </c>
      <c r="J7209">
        <f t="shared" si="3049"/>
        <v>12990</v>
      </c>
      <c r="K7209">
        <f t="shared" si="3050"/>
        <v>13815</v>
      </c>
      <c r="L7209">
        <f t="shared" si="3051"/>
        <v>13402.5</v>
      </c>
      <c r="M7209">
        <f t="shared" si="3052"/>
        <v>412.5</v>
      </c>
      <c r="N7209">
        <f t="shared" si="3030"/>
        <v>825</v>
      </c>
      <c r="O7209">
        <f t="shared" si="3053"/>
        <v>13337</v>
      </c>
      <c r="P7209">
        <f t="shared" si="3054"/>
        <v>-0.15878787878787878</v>
      </c>
      <c r="Q7209" t="str">
        <f t="shared" si="3031"/>
        <v>2.6% | 3.58%</v>
      </c>
      <c r="R7209" t="str">
        <f t="shared" si="3055"/>
        <v>BULLISH</v>
      </c>
      <c r="S7209">
        <f t="shared" si="3056"/>
        <v>1</v>
      </c>
    </row>
    <row r="7210" spans="1:19" hidden="1" x14ac:dyDescent="0.25">
      <c r="A7210" s="5" t="str">
        <f t="shared" si="3044"/>
        <v>44225XLK</v>
      </c>
      <c r="B7210" s="6" t="s">
        <v>10</v>
      </c>
      <c r="C7210" s="6">
        <v>127.46</v>
      </c>
      <c r="D7210" s="6">
        <v>136</v>
      </c>
      <c r="E7210" s="6">
        <v>132.04</v>
      </c>
      <c r="F7210" t="str">
        <f t="shared" si="3045"/>
        <v>FRI</v>
      </c>
      <c r="G7210" s="1">
        <f t="shared" si="3046"/>
        <v>44225</v>
      </c>
      <c r="H7210" s="2">
        <f t="shared" ca="1" si="3047"/>
        <v>28</v>
      </c>
      <c r="I7210" t="str">
        <f t="shared" si="3048"/>
        <v>XLK</v>
      </c>
      <c r="J7210">
        <f t="shared" si="3049"/>
        <v>127.46</v>
      </c>
      <c r="K7210">
        <f t="shared" si="3050"/>
        <v>136</v>
      </c>
      <c r="L7210">
        <f t="shared" si="3051"/>
        <v>131.72999999999999</v>
      </c>
      <c r="M7210">
        <f t="shared" si="3052"/>
        <v>4.2700000000000031</v>
      </c>
      <c r="N7210">
        <f t="shared" si="3030"/>
        <v>8.5400000000000063</v>
      </c>
      <c r="O7210">
        <f t="shared" si="3053"/>
        <v>132.04</v>
      </c>
      <c r="P7210">
        <f t="shared" si="3054"/>
        <v>7.2599531615925542E-2</v>
      </c>
      <c r="Q7210" t="str">
        <f t="shared" si="3031"/>
        <v>3.47% | 3%</v>
      </c>
      <c r="R7210" t="str">
        <f t="shared" si="3055"/>
        <v>BULLISH</v>
      </c>
      <c r="S7210">
        <f t="shared" si="3056"/>
        <v>1</v>
      </c>
    </row>
    <row r="7211" spans="1:19" hidden="1" x14ac:dyDescent="0.25">
      <c r="A7211" s="5" t="str">
        <f t="shared" si="3044"/>
        <v>44225XLE</v>
      </c>
      <c r="B7211" s="6" t="s">
        <v>250</v>
      </c>
      <c r="C7211" s="6">
        <v>39.43</v>
      </c>
      <c r="D7211" s="6">
        <v>44.58</v>
      </c>
      <c r="E7211" s="6">
        <v>40.67</v>
      </c>
      <c r="F7211" t="str">
        <f t="shared" si="3045"/>
        <v>FRI</v>
      </c>
      <c r="G7211" s="1">
        <f t="shared" si="3046"/>
        <v>44225</v>
      </c>
      <c r="H7211" s="2">
        <f t="shared" ca="1" si="3047"/>
        <v>28</v>
      </c>
      <c r="I7211" t="str">
        <f t="shared" si="3048"/>
        <v>XLE</v>
      </c>
      <c r="J7211">
        <f t="shared" si="3049"/>
        <v>39.43</v>
      </c>
      <c r="K7211">
        <f t="shared" si="3050"/>
        <v>44.58</v>
      </c>
      <c r="L7211">
        <f t="shared" si="3051"/>
        <v>42.004999999999995</v>
      </c>
      <c r="M7211">
        <f t="shared" si="3052"/>
        <v>2.5749999999999993</v>
      </c>
      <c r="N7211">
        <f t="shared" si="3030"/>
        <v>5.1499999999999986</v>
      </c>
      <c r="O7211">
        <f t="shared" si="3053"/>
        <v>40.67</v>
      </c>
      <c r="P7211">
        <f t="shared" si="3054"/>
        <v>-0.5184466019417453</v>
      </c>
      <c r="Q7211" t="str">
        <f t="shared" si="3031"/>
        <v>3.05% | 9.61%</v>
      </c>
      <c r="R7211" t="str">
        <f t="shared" si="3055"/>
        <v>BULLISH</v>
      </c>
      <c r="S7211">
        <f t="shared" si="3056"/>
        <v>1</v>
      </c>
    </row>
    <row r="7212" spans="1:19" hidden="1" x14ac:dyDescent="0.25">
      <c r="A7212" s="5" t="str">
        <f t="shared" si="3044"/>
        <v>44225XLF</v>
      </c>
      <c r="B7212" s="6" t="s">
        <v>258</v>
      </c>
      <c r="C7212" s="6">
        <v>28.71</v>
      </c>
      <c r="D7212" s="6">
        <v>31.6</v>
      </c>
      <c r="E7212" s="6">
        <v>29.54</v>
      </c>
      <c r="F7212" t="str">
        <f t="shared" si="3045"/>
        <v>FRI</v>
      </c>
      <c r="G7212" s="1">
        <f t="shared" si="3046"/>
        <v>44225</v>
      </c>
      <c r="H7212" s="2">
        <f t="shared" ca="1" si="3047"/>
        <v>28</v>
      </c>
      <c r="I7212" t="str">
        <f t="shared" si="3048"/>
        <v>XLF</v>
      </c>
      <c r="J7212">
        <f t="shared" si="3049"/>
        <v>28.71</v>
      </c>
      <c r="K7212">
        <f t="shared" si="3050"/>
        <v>31.6</v>
      </c>
      <c r="L7212">
        <f t="shared" si="3051"/>
        <v>30.155000000000001</v>
      </c>
      <c r="M7212">
        <f t="shared" si="3052"/>
        <v>1.4450000000000003</v>
      </c>
      <c r="N7212">
        <f t="shared" si="3030"/>
        <v>2.8900000000000006</v>
      </c>
      <c r="O7212">
        <f t="shared" si="3053"/>
        <v>29.54</v>
      </c>
      <c r="P7212">
        <f t="shared" si="3054"/>
        <v>-0.42560553633218123</v>
      </c>
      <c r="Q7212" t="str">
        <f t="shared" si="3031"/>
        <v>2.81% | 6.97%</v>
      </c>
      <c r="R7212" t="str">
        <f t="shared" si="3055"/>
        <v>BULLISH</v>
      </c>
      <c r="S7212">
        <f t="shared" si="3056"/>
        <v>1</v>
      </c>
    </row>
    <row r="7213" spans="1:19" hidden="1" x14ac:dyDescent="0.25">
      <c r="A7213" s="5" t="str">
        <f t="shared" si="3044"/>
        <v>44225XLU</v>
      </c>
      <c r="B7213" s="6" t="s">
        <v>82</v>
      </c>
      <c r="C7213" s="6">
        <v>61.5</v>
      </c>
      <c r="D7213" s="6">
        <v>64.17</v>
      </c>
      <c r="E7213" s="6">
        <v>62.49</v>
      </c>
      <c r="F7213" t="str">
        <f t="shared" si="3045"/>
        <v>FRI</v>
      </c>
      <c r="G7213" s="1">
        <f t="shared" si="3046"/>
        <v>44225</v>
      </c>
      <c r="H7213" s="2">
        <f t="shared" ca="1" si="3047"/>
        <v>28</v>
      </c>
      <c r="I7213" t="str">
        <f t="shared" si="3048"/>
        <v>XLU</v>
      </c>
      <c r="J7213">
        <f t="shared" si="3049"/>
        <v>61.5</v>
      </c>
      <c r="K7213">
        <f t="shared" si="3050"/>
        <v>64.17</v>
      </c>
      <c r="L7213">
        <f t="shared" si="3051"/>
        <v>62.835000000000001</v>
      </c>
      <c r="M7213">
        <f t="shared" si="3052"/>
        <v>1.3350000000000009</v>
      </c>
      <c r="N7213">
        <f t="shared" si="3030"/>
        <v>2.6700000000000017</v>
      </c>
      <c r="O7213">
        <f t="shared" si="3053"/>
        <v>62.49</v>
      </c>
      <c r="P7213">
        <f t="shared" si="3054"/>
        <v>-0.2584269662921338</v>
      </c>
      <c r="Q7213" t="str">
        <f t="shared" si="3031"/>
        <v>1.58% | 2.69%</v>
      </c>
      <c r="R7213" t="str">
        <f t="shared" si="3055"/>
        <v>BEARISH</v>
      </c>
      <c r="S7213">
        <f t="shared" si="3056"/>
        <v>-1</v>
      </c>
    </row>
    <row r="7214" spans="1:19" hidden="1" x14ac:dyDescent="0.25">
      <c r="A7214" s="5" t="str">
        <f t="shared" si="3044"/>
        <v>44225GDX</v>
      </c>
      <c r="B7214" s="6" t="s">
        <v>254</v>
      </c>
      <c r="C7214" s="6">
        <v>33.21</v>
      </c>
      <c r="D7214" s="6">
        <v>36.299999999999997</v>
      </c>
      <c r="E7214" s="6">
        <v>34.58</v>
      </c>
      <c r="F7214" t="str">
        <f t="shared" si="3045"/>
        <v>FRI</v>
      </c>
      <c r="G7214" s="1">
        <f t="shared" si="3046"/>
        <v>44225</v>
      </c>
      <c r="H7214" s="2">
        <f t="shared" ca="1" si="3047"/>
        <v>28</v>
      </c>
      <c r="I7214" t="str">
        <f t="shared" si="3048"/>
        <v>GDX</v>
      </c>
      <c r="J7214">
        <f t="shared" si="3049"/>
        <v>33.21</v>
      </c>
      <c r="K7214">
        <f t="shared" si="3050"/>
        <v>36.299999999999997</v>
      </c>
      <c r="L7214">
        <f t="shared" si="3051"/>
        <v>34.754999999999995</v>
      </c>
      <c r="M7214">
        <f t="shared" si="3052"/>
        <v>1.5449999999999982</v>
      </c>
      <c r="N7214">
        <f t="shared" si="3030"/>
        <v>3.0899999999999963</v>
      </c>
      <c r="O7214">
        <f t="shared" si="3053"/>
        <v>34.58</v>
      </c>
      <c r="P7214">
        <f t="shared" si="3054"/>
        <v>-0.11326860841423778</v>
      </c>
      <c r="Q7214" t="str">
        <f t="shared" si="3031"/>
        <v>3.96% | 4.97%</v>
      </c>
      <c r="R7214" t="str">
        <f t="shared" si="3055"/>
        <v>BEARISH</v>
      </c>
      <c r="S7214">
        <f t="shared" si="3056"/>
        <v>-1</v>
      </c>
    </row>
    <row r="7215" spans="1:19" hidden="1" x14ac:dyDescent="0.25">
      <c r="A7215" s="5" t="str">
        <f t="shared" si="3044"/>
        <v>44225SSEC</v>
      </c>
      <c r="B7215" s="6" t="s">
        <v>104</v>
      </c>
      <c r="C7215" s="6">
        <v>3465</v>
      </c>
      <c r="D7215" s="6">
        <v>3652</v>
      </c>
      <c r="E7215" s="6">
        <v>3483</v>
      </c>
      <c r="F7215" t="str">
        <f t="shared" si="3045"/>
        <v>FRI</v>
      </c>
      <c r="G7215" s="1">
        <f t="shared" si="3046"/>
        <v>44225</v>
      </c>
      <c r="H7215" s="2">
        <f t="shared" ca="1" si="3047"/>
        <v>28</v>
      </c>
      <c r="I7215" t="str">
        <f t="shared" si="3048"/>
        <v>SSEC</v>
      </c>
      <c r="J7215">
        <f t="shared" si="3049"/>
        <v>3465</v>
      </c>
      <c r="K7215">
        <f t="shared" si="3050"/>
        <v>3652</v>
      </c>
      <c r="L7215">
        <f t="shared" si="3051"/>
        <v>3558.5</v>
      </c>
      <c r="M7215">
        <f t="shared" si="3052"/>
        <v>93.5</v>
      </c>
      <c r="N7215">
        <f t="shared" si="3030"/>
        <v>187</v>
      </c>
      <c r="O7215">
        <f t="shared" si="3053"/>
        <v>3483</v>
      </c>
      <c r="P7215">
        <f t="shared" si="3054"/>
        <v>-0.80748663101604279</v>
      </c>
      <c r="Q7215" t="str">
        <f t="shared" si="3031"/>
        <v>0.52% | 4.85%</v>
      </c>
      <c r="R7215" t="str">
        <f t="shared" si="3055"/>
        <v>BULLISH</v>
      </c>
      <c r="S7215">
        <f t="shared" si="3056"/>
        <v>1</v>
      </c>
    </row>
    <row r="7216" spans="1:19" hidden="1" x14ac:dyDescent="0.25">
      <c r="A7216" s="5" t="str">
        <f t="shared" si="3044"/>
        <v>44225NIKK</v>
      </c>
      <c r="B7216" s="6" t="s">
        <v>91</v>
      </c>
      <c r="C7216" s="6">
        <v>27570</v>
      </c>
      <c r="D7216" s="6">
        <v>28962</v>
      </c>
      <c r="E7216" s="6">
        <v>27663</v>
      </c>
      <c r="F7216" t="str">
        <f t="shared" si="3045"/>
        <v>FRI</v>
      </c>
      <c r="G7216" s="1">
        <f t="shared" si="3046"/>
        <v>44225</v>
      </c>
      <c r="H7216" s="2">
        <f t="shared" ca="1" si="3047"/>
        <v>28</v>
      </c>
      <c r="I7216" t="str">
        <f t="shared" si="3048"/>
        <v>NIKK</v>
      </c>
      <c r="J7216">
        <f t="shared" si="3049"/>
        <v>27570</v>
      </c>
      <c r="K7216">
        <f t="shared" si="3050"/>
        <v>28962</v>
      </c>
      <c r="L7216">
        <f t="shared" si="3051"/>
        <v>28266</v>
      </c>
      <c r="M7216">
        <f t="shared" si="3052"/>
        <v>696</v>
      </c>
      <c r="N7216">
        <f t="shared" si="3030"/>
        <v>1392</v>
      </c>
      <c r="O7216">
        <f t="shared" si="3053"/>
        <v>27663</v>
      </c>
      <c r="P7216">
        <f t="shared" si="3054"/>
        <v>-0.86637931034482762</v>
      </c>
      <c r="Q7216" t="str">
        <f t="shared" si="3031"/>
        <v>0.34% | 4.7%</v>
      </c>
      <c r="R7216" t="str">
        <f t="shared" si="3055"/>
        <v>BULLISH</v>
      </c>
      <c r="S7216">
        <f t="shared" si="3056"/>
        <v>1</v>
      </c>
    </row>
    <row r="7217" spans="1:19" hidden="1" x14ac:dyDescent="0.25">
      <c r="A7217" s="5" t="str">
        <f t="shared" si="3044"/>
        <v>44225DAX</v>
      </c>
      <c r="B7217" s="6" t="s">
        <v>98</v>
      </c>
      <c r="C7217" s="6">
        <v>13471</v>
      </c>
      <c r="D7217" s="6">
        <v>14031</v>
      </c>
      <c r="E7217" s="6">
        <v>13665</v>
      </c>
      <c r="F7217" t="str">
        <f t="shared" si="3045"/>
        <v>FRI</v>
      </c>
      <c r="G7217" s="1">
        <f t="shared" si="3046"/>
        <v>44225</v>
      </c>
      <c r="H7217" s="2">
        <f t="shared" ca="1" si="3047"/>
        <v>28</v>
      </c>
      <c r="I7217" t="str">
        <f t="shared" si="3048"/>
        <v>DAX</v>
      </c>
      <c r="J7217">
        <f t="shared" si="3049"/>
        <v>13471</v>
      </c>
      <c r="K7217">
        <f t="shared" si="3050"/>
        <v>14031</v>
      </c>
      <c r="L7217">
        <f t="shared" si="3051"/>
        <v>13751</v>
      </c>
      <c r="M7217">
        <f t="shared" si="3052"/>
        <v>280</v>
      </c>
      <c r="N7217">
        <f t="shared" si="3030"/>
        <v>560</v>
      </c>
      <c r="O7217">
        <f t="shared" si="3053"/>
        <v>13665</v>
      </c>
      <c r="P7217">
        <f t="shared" si="3054"/>
        <v>-0.30714285714285716</v>
      </c>
      <c r="Q7217" t="str">
        <f t="shared" si="3031"/>
        <v>1.42% | 2.68%</v>
      </c>
      <c r="R7217" t="str">
        <f t="shared" si="3055"/>
        <v>BULLISH</v>
      </c>
      <c r="S7217">
        <f t="shared" si="3056"/>
        <v>1</v>
      </c>
    </row>
    <row r="7218" spans="1:19" hidden="1" x14ac:dyDescent="0.25">
      <c r="A7218" s="5" t="str">
        <f t="shared" si="3044"/>
        <v>44225VIX</v>
      </c>
      <c r="B7218" s="6" t="s">
        <v>96</v>
      </c>
      <c r="C7218" s="6">
        <v>18.190000000000001</v>
      </c>
      <c r="D7218" s="6">
        <v>34.04</v>
      </c>
      <c r="E7218" s="6">
        <v>30.21</v>
      </c>
      <c r="F7218" t="str">
        <f t="shared" si="3045"/>
        <v>FRI</v>
      </c>
      <c r="G7218" s="1">
        <f t="shared" si="3046"/>
        <v>44225</v>
      </c>
      <c r="H7218" s="2">
        <f t="shared" ca="1" si="3047"/>
        <v>28</v>
      </c>
      <c r="I7218" t="str">
        <f t="shared" si="3048"/>
        <v>VIX</v>
      </c>
      <c r="J7218">
        <f t="shared" si="3049"/>
        <v>18.190000000000001</v>
      </c>
      <c r="K7218">
        <f t="shared" si="3050"/>
        <v>34.04</v>
      </c>
      <c r="L7218">
        <f t="shared" si="3051"/>
        <v>26.115000000000002</v>
      </c>
      <c r="M7218">
        <f t="shared" si="3052"/>
        <v>7.9249999999999909</v>
      </c>
      <c r="N7218">
        <f t="shared" si="3030"/>
        <v>15.849999999999998</v>
      </c>
      <c r="O7218">
        <f t="shared" si="3053"/>
        <v>30.21</v>
      </c>
      <c r="P7218">
        <f t="shared" si="3054"/>
        <v>0.51671924290220861</v>
      </c>
      <c r="Q7218" t="str">
        <f t="shared" si="3031"/>
        <v>39.79% | 12.68%</v>
      </c>
      <c r="R7218" t="str">
        <f t="shared" si="3055"/>
        <v>BEARISH</v>
      </c>
      <c r="S7218">
        <f t="shared" si="3056"/>
        <v>-1</v>
      </c>
    </row>
    <row r="7219" spans="1:19" hidden="1" x14ac:dyDescent="0.25">
      <c r="A7219" s="5" t="str">
        <f t="shared" si="3044"/>
        <v>44225USD</v>
      </c>
      <c r="B7219" s="6" t="s">
        <v>94</v>
      </c>
      <c r="C7219" s="6">
        <v>89.81</v>
      </c>
      <c r="D7219" s="6">
        <v>90.84</v>
      </c>
      <c r="E7219" s="6">
        <v>90.53</v>
      </c>
      <c r="F7219" t="str">
        <f t="shared" si="3045"/>
        <v>FRI</v>
      </c>
      <c r="G7219" s="1">
        <f t="shared" si="3046"/>
        <v>44225</v>
      </c>
      <c r="H7219" s="2">
        <f t="shared" ca="1" si="3047"/>
        <v>28</v>
      </c>
      <c r="I7219" t="str">
        <f t="shared" si="3048"/>
        <v>USD</v>
      </c>
      <c r="J7219">
        <f t="shared" si="3049"/>
        <v>89.81</v>
      </c>
      <c r="K7219">
        <f t="shared" si="3050"/>
        <v>90.84</v>
      </c>
      <c r="L7219">
        <f t="shared" si="3051"/>
        <v>90.325000000000003</v>
      </c>
      <c r="M7219">
        <f t="shared" si="3052"/>
        <v>0.51500000000000057</v>
      </c>
      <c r="N7219">
        <f t="shared" si="3030"/>
        <v>1.0300000000000011</v>
      </c>
      <c r="O7219">
        <f t="shared" si="3053"/>
        <v>90.53</v>
      </c>
      <c r="P7219">
        <f t="shared" si="3054"/>
        <v>0.39805825242718074</v>
      </c>
      <c r="Q7219" t="str">
        <f t="shared" si="3031"/>
        <v>0.8% | 0.34%</v>
      </c>
      <c r="R7219" t="str">
        <f t="shared" si="3055"/>
        <v>BEARISH</v>
      </c>
      <c r="S7219">
        <f t="shared" si="3056"/>
        <v>-1</v>
      </c>
    </row>
    <row r="7220" spans="1:19" hidden="1" x14ac:dyDescent="0.25">
      <c r="A7220" s="5" t="str">
        <f t="shared" si="3044"/>
        <v>44225EUR/USD</v>
      </c>
      <c r="B7220" s="6" t="s">
        <v>99</v>
      </c>
      <c r="C7220" s="6">
        <v>1.208</v>
      </c>
      <c r="D7220" s="6">
        <v>1.22</v>
      </c>
      <c r="E7220" s="6">
        <v>1.212</v>
      </c>
      <c r="F7220" t="str">
        <f t="shared" si="3045"/>
        <v>FRI</v>
      </c>
      <c r="G7220" s="1">
        <f t="shared" si="3046"/>
        <v>44225</v>
      </c>
      <c r="H7220" s="2">
        <f t="shared" ca="1" si="3047"/>
        <v>28</v>
      </c>
      <c r="I7220" t="str">
        <f t="shared" si="3048"/>
        <v>EUR/USD</v>
      </c>
      <c r="J7220">
        <f t="shared" si="3049"/>
        <v>1.208</v>
      </c>
      <c r="K7220">
        <f t="shared" si="3050"/>
        <v>1.22</v>
      </c>
      <c r="L7220">
        <f t="shared" si="3051"/>
        <v>1.214</v>
      </c>
      <c r="M7220">
        <f t="shared" si="3052"/>
        <v>6.0000000000000053E-3</v>
      </c>
      <c r="N7220">
        <f t="shared" si="3030"/>
        <v>1.2000000000000011E-2</v>
      </c>
      <c r="O7220">
        <f t="shared" si="3053"/>
        <v>1.212</v>
      </c>
      <c r="P7220">
        <f t="shared" si="3054"/>
        <v>-0.33333333333333331</v>
      </c>
      <c r="Q7220" t="str">
        <f t="shared" si="3031"/>
        <v>0.33% | 0.66%</v>
      </c>
      <c r="R7220" t="str">
        <f t="shared" si="3055"/>
        <v>BULLISH</v>
      </c>
      <c r="S7220">
        <f t="shared" si="3056"/>
        <v>1</v>
      </c>
    </row>
    <row r="7221" spans="1:19" hidden="1" x14ac:dyDescent="0.25">
      <c r="A7221" s="5" t="str">
        <f t="shared" si="3044"/>
        <v>44225USD/JPY</v>
      </c>
      <c r="B7221" s="6" t="s">
        <v>20</v>
      </c>
      <c r="C7221" s="6">
        <v>103.33</v>
      </c>
      <c r="D7221" s="6">
        <v>104.88</v>
      </c>
      <c r="E7221" s="6">
        <v>104.25</v>
      </c>
      <c r="F7221" t="str">
        <f t="shared" si="3045"/>
        <v>FRI</v>
      </c>
      <c r="G7221" s="1">
        <f t="shared" si="3046"/>
        <v>44225</v>
      </c>
      <c r="H7221" s="2">
        <f t="shared" ca="1" si="3047"/>
        <v>28</v>
      </c>
      <c r="I7221" t="str">
        <f t="shared" si="3048"/>
        <v>USD/JPY</v>
      </c>
      <c r="J7221">
        <f t="shared" si="3049"/>
        <v>103.33</v>
      </c>
      <c r="K7221">
        <f t="shared" si="3050"/>
        <v>104.88</v>
      </c>
      <c r="L7221">
        <f t="shared" si="3051"/>
        <v>104.10499999999999</v>
      </c>
      <c r="M7221">
        <f t="shared" si="3052"/>
        <v>0.77499999999999858</v>
      </c>
      <c r="N7221">
        <f t="shared" si="3030"/>
        <v>1.5499999999999972</v>
      </c>
      <c r="O7221">
        <f t="shared" si="3053"/>
        <v>104.25</v>
      </c>
      <c r="P7221">
        <f t="shared" si="3054"/>
        <v>0.18709677419356194</v>
      </c>
      <c r="Q7221" t="str">
        <f t="shared" si="3031"/>
        <v>0.88% | 0.6%</v>
      </c>
      <c r="R7221" t="str">
        <f t="shared" si="3055"/>
        <v>BEARISH</v>
      </c>
      <c r="S7221">
        <f t="shared" si="3056"/>
        <v>-1</v>
      </c>
    </row>
    <row r="7222" spans="1:19" hidden="1" x14ac:dyDescent="0.25">
      <c r="A7222" s="5" t="str">
        <f t="shared" si="3044"/>
        <v>44225GBP/USD</v>
      </c>
      <c r="B7222" s="6" t="s">
        <v>102</v>
      </c>
      <c r="C7222" s="6">
        <v>1.359</v>
      </c>
      <c r="D7222" s="6">
        <v>1.379</v>
      </c>
      <c r="E7222" s="6">
        <v>1.373</v>
      </c>
      <c r="F7222" t="str">
        <f t="shared" si="3045"/>
        <v>FRI</v>
      </c>
      <c r="G7222" s="1">
        <f t="shared" si="3046"/>
        <v>44225</v>
      </c>
      <c r="H7222" s="2">
        <f t="shared" ca="1" si="3047"/>
        <v>28</v>
      </c>
      <c r="I7222" t="str">
        <f t="shared" si="3048"/>
        <v>GBP/USD</v>
      </c>
      <c r="J7222">
        <f t="shared" si="3049"/>
        <v>1.359</v>
      </c>
      <c r="K7222">
        <f t="shared" si="3050"/>
        <v>1.379</v>
      </c>
      <c r="L7222">
        <f t="shared" si="3051"/>
        <v>1.369</v>
      </c>
      <c r="M7222">
        <f t="shared" si="3052"/>
        <v>1.0000000000000009E-2</v>
      </c>
      <c r="N7222">
        <f t="shared" si="3030"/>
        <v>2.0000000000000018E-2</v>
      </c>
      <c r="O7222">
        <f t="shared" si="3053"/>
        <v>1.373</v>
      </c>
      <c r="P7222">
        <f t="shared" si="3054"/>
        <v>0.4</v>
      </c>
      <c r="Q7222" t="str">
        <f t="shared" si="3031"/>
        <v>1.02% | 0.44%</v>
      </c>
      <c r="R7222" t="str">
        <f t="shared" si="3055"/>
        <v>BULLISH</v>
      </c>
      <c r="S7222">
        <f t="shared" si="3056"/>
        <v>1</v>
      </c>
    </row>
    <row r="7223" spans="1:19" hidden="1" x14ac:dyDescent="0.25">
      <c r="A7223" s="5" t="str">
        <f t="shared" si="3044"/>
        <v>44225CAD/USD</v>
      </c>
      <c r="B7223" s="6" t="s">
        <v>244</v>
      </c>
      <c r="C7223" s="6">
        <v>0.78</v>
      </c>
      <c r="D7223" s="6">
        <v>0.8</v>
      </c>
      <c r="E7223" s="6">
        <v>0.78</v>
      </c>
      <c r="F7223" t="str">
        <f t="shared" si="3045"/>
        <v>FRI</v>
      </c>
      <c r="G7223" s="1">
        <f t="shared" si="3046"/>
        <v>44225</v>
      </c>
      <c r="H7223" s="2">
        <f t="shared" ca="1" si="3047"/>
        <v>28</v>
      </c>
      <c r="I7223" t="str">
        <f t="shared" si="3048"/>
        <v>CAD/USD</v>
      </c>
      <c r="J7223">
        <f t="shared" si="3049"/>
        <v>0.78</v>
      </c>
      <c r="K7223">
        <f t="shared" si="3050"/>
        <v>0.8</v>
      </c>
      <c r="L7223">
        <f t="shared" si="3051"/>
        <v>0.79</v>
      </c>
      <c r="M7223">
        <f t="shared" si="3052"/>
        <v>1.0000000000000009E-2</v>
      </c>
      <c r="N7223">
        <f t="shared" si="3030"/>
        <v>2.0000000000000018E-2</v>
      </c>
      <c r="O7223">
        <f t="shared" si="3053"/>
        <v>0.78</v>
      </c>
      <c r="P7223">
        <f t="shared" si="3054"/>
        <v>-1</v>
      </c>
      <c r="Q7223" t="str">
        <f t="shared" si="3031"/>
        <v>0% | 2.56%</v>
      </c>
      <c r="R7223" t="str">
        <f t="shared" si="3055"/>
        <v>BULLISH</v>
      </c>
      <c r="S7223">
        <f t="shared" si="3056"/>
        <v>1</v>
      </c>
    </row>
    <row r="7224" spans="1:19" hidden="1" x14ac:dyDescent="0.25">
      <c r="A7224" s="5" t="str">
        <f t="shared" si="3044"/>
        <v>44225USD/CHF</v>
      </c>
      <c r="B7224" s="6" t="s">
        <v>76</v>
      </c>
      <c r="C7224" s="6">
        <v>0.87</v>
      </c>
      <c r="D7224" s="6">
        <v>0.89</v>
      </c>
      <c r="E7224" s="6">
        <v>0.88</v>
      </c>
      <c r="F7224" t="str">
        <f t="shared" si="3045"/>
        <v>FRI</v>
      </c>
      <c r="G7224" s="1">
        <f t="shared" si="3046"/>
        <v>44225</v>
      </c>
      <c r="H7224" s="2">
        <f t="shared" ca="1" si="3047"/>
        <v>28</v>
      </c>
      <c r="I7224" t="str">
        <f t="shared" si="3048"/>
        <v>USD/CHF</v>
      </c>
      <c r="J7224">
        <f t="shared" si="3049"/>
        <v>0.87</v>
      </c>
      <c r="K7224">
        <f t="shared" si="3050"/>
        <v>0.89</v>
      </c>
      <c r="L7224">
        <f t="shared" si="3051"/>
        <v>0.88</v>
      </c>
      <c r="M7224">
        <f t="shared" si="3052"/>
        <v>1.0000000000000009E-2</v>
      </c>
      <c r="N7224">
        <f t="shared" si="3030"/>
        <v>2.0000000000000018E-2</v>
      </c>
      <c r="O7224">
        <f t="shared" si="3053"/>
        <v>0.88</v>
      </c>
      <c r="P7224">
        <f t="shared" si="3054"/>
        <v>0</v>
      </c>
      <c r="Q7224" t="str">
        <f t="shared" si="3031"/>
        <v>1.14% | 1.14%</v>
      </c>
      <c r="R7224" t="str">
        <f t="shared" si="3055"/>
        <v>BEARISH</v>
      </c>
      <c r="S7224">
        <f t="shared" si="3056"/>
        <v>-1</v>
      </c>
    </row>
    <row r="7225" spans="1:19" hidden="1" x14ac:dyDescent="0.25">
      <c r="A7225" s="5" t="str">
        <f t="shared" si="3044"/>
        <v>44225WTIC</v>
      </c>
      <c r="B7225" s="6" t="s">
        <v>158</v>
      </c>
      <c r="C7225" s="6">
        <v>52</v>
      </c>
      <c r="D7225" s="6">
        <v>53.72</v>
      </c>
      <c r="E7225" s="6">
        <v>52.34</v>
      </c>
      <c r="F7225" t="str">
        <f t="shared" si="3045"/>
        <v>FRI</v>
      </c>
      <c r="G7225" s="1">
        <f t="shared" si="3046"/>
        <v>44225</v>
      </c>
      <c r="H7225" s="2">
        <f t="shared" ca="1" si="3047"/>
        <v>28</v>
      </c>
      <c r="I7225" t="str">
        <f t="shared" si="3048"/>
        <v>WTIC</v>
      </c>
      <c r="J7225">
        <f t="shared" si="3049"/>
        <v>52</v>
      </c>
      <c r="K7225">
        <f t="shared" si="3050"/>
        <v>53.72</v>
      </c>
      <c r="L7225">
        <f t="shared" si="3051"/>
        <v>52.86</v>
      </c>
      <c r="M7225">
        <f t="shared" si="3052"/>
        <v>0.85999999999999943</v>
      </c>
      <c r="N7225">
        <f t="shared" si="3030"/>
        <v>1.7199999999999989</v>
      </c>
      <c r="O7225">
        <f t="shared" si="3053"/>
        <v>52.34</v>
      </c>
      <c r="P7225">
        <f t="shared" si="3054"/>
        <v>-0.60465116279069342</v>
      </c>
      <c r="Q7225" t="str">
        <f t="shared" si="3031"/>
        <v>0.65% | 2.64%</v>
      </c>
      <c r="R7225" t="str">
        <f t="shared" si="3055"/>
        <v>BULLISH</v>
      </c>
      <c r="S7225">
        <f t="shared" si="3056"/>
        <v>1</v>
      </c>
    </row>
    <row r="7226" spans="1:19" hidden="1" x14ac:dyDescent="0.25">
      <c r="A7226" s="5" t="str">
        <f t="shared" si="3044"/>
        <v>44225NATGAS</v>
      </c>
      <c r="B7226" s="6" t="s">
        <v>89</v>
      </c>
      <c r="C7226" s="6">
        <v>2.4300000000000002</v>
      </c>
      <c r="D7226" s="6">
        <v>2.8</v>
      </c>
      <c r="E7226" s="6">
        <v>2.66</v>
      </c>
      <c r="F7226" t="str">
        <f t="shared" si="3045"/>
        <v>FRI</v>
      </c>
      <c r="G7226" s="1">
        <f t="shared" si="3046"/>
        <v>44225</v>
      </c>
      <c r="H7226" s="2">
        <f t="shared" ca="1" si="3047"/>
        <v>28</v>
      </c>
      <c r="I7226" t="str">
        <f t="shared" si="3048"/>
        <v>NATGAS</v>
      </c>
      <c r="J7226">
        <f t="shared" si="3049"/>
        <v>2.4300000000000002</v>
      </c>
      <c r="K7226">
        <f t="shared" si="3050"/>
        <v>2.8</v>
      </c>
      <c r="L7226">
        <f t="shared" si="3051"/>
        <v>2.6150000000000002</v>
      </c>
      <c r="M7226">
        <f t="shared" si="3052"/>
        <v>0.18499999999999983</v>
      </c>
      <c r="N7226">
        <f t="shared" si="3030"/>
        <v>0.36999999999999966</v>
      </c>
      <c r="O7226">
        <f t="shared" si="3053"/>
        <v>2.66</v>
      </c>
      <c r="P7226">
        <f t="shared" si="3054"/>
        <v>0.24324324324324309</v>
      </c>
      <c r="Q7226" t="str">
        <f t="shared" si="3031"/>
        <v>8.65% | 5.26%</v>
      </c>
      <c r="R7226" t="str">
        <f t="shared" si="3055"/>
        <v>BULLISH</v>
      </c>
      <c r="S7226">
        <f t="shared" si="3056"/>
        <v>1</v>
      </c>
    </row>
    <row r="7227" spans="1:19" hidden="1" x14ac:dyDescent="0.25">
      <c r="A7227" s="5" t="str">
        <f t="shared" si="3044"/>
        <v>44225GOLD</v>
      </c>
      <c r="B7227" s="6" t="s">
        <v>85</v>
      </c>
      <c r="C7227" s="6">
        <v>1821</v>
      </c>
      <c r="D7227" s="6">
        <v>1874</v>
      </c>
      <c r="E7227" s="6">
        <v>1841</v>
      </c>
      <c r="F7227" t="str">
        <f t="shared" si="3045"/>
        <v>FRI</v>
      </c>
      <c r="G7227" s="1">
        <f t="shared" si="3046"/>
        <v>44225</v>
      </c>
      <c r="H7227" s="2">
        <f t="shared" ca="1" si="3047"/>
        <v>28</v>
      </c>
      <c r="I7227" t="str">
        <f t="shared" si="3048"/>
        <v>GOLD</v>
      </c>
      <c r="J7227">
        <f t="shared" si="3049"/>
        <v>1821</v>
      </c>
      <c r="K7227">
        <f t="shared" si="3050"/>
        <v>1874</v>
      </c>
      <c r="L7227">
        <f t="shared" si="3051"/>
        <v>1847.5</v>
      </c>
      <c r="M7227">
        <f t="shared" si="3052"/>
        <v>26.5</v>
      </c>
      <c r="N7227">
        <f t="shared" si="3030"/>
        <v>53</v>
      </c>
      <c r="O7227">
        <f t="shared" si="3053"/>
        <v>1841</v>
      </c>
      <c r="P7227">
        <f t="shared" si="3054"/>
        <v>-0.24528301886792453</v>
      </c>
      <c r="Q7227" t="str">
        <f t="shared" si="3031"/>
        <v>1.09% | 1.79%</v>
      </c>
      <c r="R7227" t="str">
        <f t="shared" si="3055"/>
        <v>BEARISH</v>
      </c>
      <c r="S7227">
        <f t="shared" si="3056"/>
        <v>-1</v>
      </c>
    </row>
    <row r="7228" spans="1:19" hidden="1" x14ac:dyDescent="0.25">
      <c r="A7228" s="5" t="str">
        <f t="shared" si="3044"/>
        <v>44225COPPER</v>
      </c>
      <c r="B7228" s="6" t="s">
        <v>100</v>
      </c>
      <c r="C7228" s="6">
        <v>3.54</v>
      </c>
      <c r="D7228" s="6">
        <v>3.68</v>
      </c>
      <c r="E7228" s="6">
        <v>3.58</v>
      </c>
      <c r="F7228" t="str">
        <f t="shared" si="3045"/>
        <v>FRI</v>
      </c>
      <c r="G7228" s="1">
        <f t="shared" si="3046"/>
        <v>44225</v>
      </c>
      <c r="H7228" s="2">
        <f t="shared" ca="1" si="3047"/>
        <v>28</v>
      </c>
      <c r="I7228" t="str">
        <f t="shared" si="3048"/>
        <v>COPPER</v>
      </c>
      <c r="J7228">
        <f t="shared" si="3049"/>
        <v>3.54</v>
      </c>
      <c r="K7228">
        <f t="shared" si="3050"/>
        <v>3.68</v>
      </c>
      <c r="L7228">
        <f t="shared" si="3051"/>
        <v>3.6100000000000003</v>
      </c>
      <c r="M7228">
        <f t="shared" si="3052"/>
        <v>7.0000000000000062E-2</v>
      </c>
      <c r="N7228">
        <f t="shared" si="3030"/>
        <v>0.14000000000000012</v>
      </c>
      <c r="O7228">
        <f t="shared" si="3053"/>
        <v>3.58</v>
      </c>
      <c r="P7228">
        <f t="shared" si="3054"/>
        <v>-0.42857142857143177</v>
      </c>
      <c r="Q7228" t="str">
        <f t="shared" si="3031"/>
        <v>1.12% | 2.79%</v>
      </c>
      <c r="R7228" t="str">
        <f t="shared" si="3055"/>
        <v>BULLISH</v>
      </c>
      <c r="S7228">
        <f t="shared" si="3056"/>
        <v>1</v>
      </c>
    </row>
    <row r="7229" spans="1:19" hidden="1" x14ac:dyDescent="0.25">
      <c r="A7229" s="5" t="str">
        <f t="shared" si="3044"/>
        <v>44225MSFT</v>
      </c>
      <c r="B7229" s="6" t="s">
        <v>27</v>
      </c>
      <c r="C7229" s="6">
        <v>225</v>
      </c>
      <c r="D7229" s="6">
        <v>243</v>
      </c>
      <c r="E7229" s="6">
        <v>238</v>
      </c>
      <c r="F7229" t="str">
        <f t="shared" si="3045"/>
        <v>FRI</v>
      </c>
      <c r="G7229" s="1">
        <f t="shared" si="3046"/>
        <v>44225</v>
      </c>
      <c r="H7229" s="2">
        <f t="shared" ca="1" si="3047"/>
        <v>28</v>
      </c>
      <c r="I7229" t="str">
        <f t="shared" si="3048"/>
        <v>MSFT</v>
      </c>
      <c r="J7229">
        <f t="shared" si="3049"/>
        <v>225</v>
      </c>
      <c r="K7229">
        <f t="shared" si="3050"/>
        <v>243</v>
      </c>
      <c r="L7229">
        <f t="shared" si="3051"/>
        <v>234</v>
      </c>
      <c r="M7229">
        <f t="shared" si="3052"/>
        <v>9</v>
      </c>
      <c r="N7229">
        <f t="shared" si="3030"/>
        <v>18</v>
      </c>
      <c r="O7229">
        <f t="shared" si="3053"/>
        <v>238</v>
      </c>
      <c r="P7229">
        <f t="shared" si="3054"/>
        <v>0.44444444444444442</v>
      </c>
      <c r="Q7229" t="str">
        <f t="shared" si="3031"/>
        <v>5.46% | 2.1%</v>
      </c>
      <c r="R7229" t="str">
        <f t="shared" si="3055"/>
        <v>BULLISH</v>
      </c>
      <c r="S7229">
        <f t="shared" si="3056"/>
        <v>1</v>
      </c>
    </row>
    <row r="7230" spans="1:19" hidden="1" x14ac:dyDescent="0.25">
      <c r="A7230" s="5" t="str">
        <f t="shared" si="3044"/>
        <v>44225AAPL</v>
      </c>
      <c r="B7230" s="6" t="s">
        <v>28</v>
      </c>
      <c r="C7230" s="6">
        <v>126</v>
      </c>
      <c r="D7230" s="6">
        <v>148</v>
      </c>
      <c r="E7230" s="6">
        <v>137</v>
      </c>
      <c r="F7230" t="str">
        <f t="shared" si="3045"/>
        <v>FRI</v>
      </c>
      <c r="G7230" s="1">
        <f t="shared" si="3046"/>
        <v>44225</v>
      </c>
      <c r="H7230" s="2">
        <f t="shared" ca="1" si="3047"/>
        <v>28</v>
      </c>
      <c r="I7230" t="str">
        <f t="shared" si="3048"/>
        <v>AAPL</v>
      </c>
      <c r="J7230">
        <f t="shared" si="3049"/>
        <v>126</v>
      </c>
      <c r="K7230">
        <f t="shared" si="3050"/>
        <v>148</v>
      </c>
      <c r="L7230">
        <f t="shared" si="3051"/>
        <v>137</v>
      </c>
      <c r="M7230">
        <f t="shared" si="3052"/>
        <v>11</v>
      </c>
      <c r="N7230">
        <f t="shared" si="3030"/>
        <v>22</v>
      </c>
      <c r="O7230">
        <f t="shared" si="3053"/>
        <v>137</v>
      </c>
      <c r="P7230">
        <f t="shared" si="3054"/>
        <v>0</v>
      </c>
      <c r="Q7230" t="str">
        <f t="shared" si="3031"/>
        <v>8.03% | 8.03%</v>
      </c>
      <c r="R7230" t="str">
        <f t="shared" si="3055"/>
        <v>BULLISH</v>
      </c>
      <c r="S7230">
        <f t="shared" si="3056"/>
        <v>1</v>
      </c>
    </row>
    <row r="7231" spans="1:19" hidden="1" x14ac:dyDescent="0.25">
      <c r="A7231" s="5" t="str">
        <f t="shared" si="3044"/>
        <v>44225AMZN</v>
      </c>
      <c r="B7231" s="6" t="s">
        <v>29</v>
      </c>
      <c r="C7231" s="6">
        <v>3095</v>
      </c>
      <c r="D7231" s="6">
        <v>3395</v>
      </c>
      <c r="E7231" s="6">
        <v>3237</v>
      </c>
      <c r="F7231" t="str">
        <f t="shared" si="3045"/>
        <v>FRI</v>
      </c>
      <c r="G7231" s="1">
        <f t="shared" si="3046"/>
        <v>44225</v>
      </c>
      <c r="H7231" s="2">
        <f t="shared" ca="1" si="3047"/>
        <v>28</v>
      </c>
      <c r="I7231" t="str">
        <f t="shared" si="3048"/>
        <v>AMZN</v>
      </c>
      <c r="J7231">
        <f t="shared" si="3049"/>
        <v>3095</v>
      </c>
      <c r="K7231">
        <f t="shared" si="3050"/>
        <v>3395</v>
      </c>
      <c r="L7231">
        <f t="shared" si="3051"/>
        <v>3245</v>
      </c>
      <c r="M7231">
        <f t="shared" si="3052"/>
        <v>150</v>
      </c>
      <c r="N7231">
        <f t="shared" si="3030"/>
        <v>300</v>
      </c>
      <c r="O7231">
        <f t="shared" si="3053"/>
        <v>3237</v>
      </c>
      <c r="P7231">
        <f t="shared" si="3054"/>
        <v>-5.3333333333333337E-2</v>
      </c>
      <c r="Q7231" t="str">
        <f t="shared" si="3031"/>
        <v>4.39% | 4.88%</v>
      </c>
      <c r="R7231" t="str">
        <f t="shared" si="3055"/>
        <v>BULLISH</v>
      </c>
      <c r="S7231">
        <f t="shared" si="3056"/>
        <v>1</v>
      </c>
    </row>
    <row r="7232" spans="1:19" hidden="1" x14ac:dyDescent="0.25">
      <c r="A7232" s="5" t="str">
        <f t="shared" si="3044"/>
        <v>44225FB</v>
      </c>
      <c r="B7232" s="6" t="s">
        <v>157</v>
      </c>
      <c r="C7232" s="6">
        <v>249</v>
      </c>
      <c r="D7232" s="6">
        <v>288</v>
      </c>
      <c r="E7232" s="6">
        <v>265</v>
      </c>
      <c r="F7232" t="str">
        <f t="shared" si="3045"/>
        <v>FRI</v>
      </c>
      <c r="G7232" s="1">
        <f t="shared" si="3046"/>
        <v>44225</v>
      </c>
      <c r="H7232" s="2">
        <f t="shared" ca="1" si="3047"/>
        <v>28</v>
      </c>
      <c r="I7232" t="str">
        <f t="shared" si="3048"/>
        <v>FB</v>
      </c>
      <c r="J7232">
        <f t="shared" si="3049"/>
        <v>249</v>
      </c>
      <c r="K7232">
        <f t="shared" si="3050"/>
        <v>288</v>
      </c>
      <c r="L7232">
        <f t="shared" si="3051"/>
        <v>268.5</v>
      </c>
      <c r="M7232">
        <f t="shared" si="3052"/>
        <v>19.5</v>
      </c>
      <c r="N7232">
        <f t="shared" si="3030"/>
        <v>39</v>
      </c>
      <c r="O7232">
        <f t="shared" si="3053"/>
        <v>265</v>
      </c>
      <c r="P7232">
        <f t="shared" si="3054"/>
        <v>-0.17948717948717949</v>
      </c>
      <c r="Q7232" t="str">
        <f t="shared" si="3031"/>
        <v>6.04% | 8.68%</v>
      </c>
      <c r="R7232" t="str">
        <f t="shared" si="3055"/>
        <v>NEUTRAL</v>
      </c>
      <c r="S7232">
        <f t="shared" si="3056"/>
        <v>0</v>
      </c>
    </row>
    <row r="7233" spans="1:19" hidden="1" x14ac:dyDescent="0.25">
      <c r="A7233" s="5" t="str">
        <f t="shared" si="3044"/>
        <v>44225GOOGL</v>
      </c>
      <c r="B7233" s="6" t="s">
        <v>31</v>
      </c>
      <c r="C7233" s="6">
        <v>1735</v>
      </c>
      <c r="D7233" s="6">
        <v>1966</v>
      </c>
      <c r="E7233" s="6">
        <v>1853</v>
      </c>
      <c r="F7233" t="str">
        <f t="shared" si="3045"/>
        <v>FRI</v>
      </c>
      <c r="G7233" s="1">
        <f t="shared" si="3046"/>
        <v>44225</v>
      </c>
      <c r="H7233" s="2">
        <f t="shared" ca="1" si="3047"/>
        <v>28</v>
      </c>
      <c r="I7233" t="str">
        <f t="shared" si="3048"/>
        <v>GOOGL</v>
      </c>
      <c r="J7233">
        <f t="shared" si="3049"/>
        <v>1735</v>
      </c>
      <c r="K7233">
        <f t="shared" si="3050"/>
        <v>1966</v>
      </c>
      <c r="L7233">
        <f t="shared" si="3051"/>
        <v>1850.5</v>
      </c>
      <c r="M7233">
        <f t="shared" si="3052"/>
        <v>115.5</v>
      </c>
      <c r="N7233">
        <f t="shared" si="3030"/>
        <v>231</v>
      </c>
      <c r="O7233">
        <f t="shared" si="3053"/>
        <v>1853</v>
      </c>
      <c r="P7233">
        <f t="shared" si="3054"/>
        <v>2.1645021645021644E-2</v>
      </c>
      <c r="Q7233" t="str">
        <f t="shared" si="3031"/>
        <v>6.37% | 6.1%</v>
      </c>
      <c r="R7233" t="str">
        <f t="shared" si="3055"/>
        <v>BULLISH</v>
      </c>
      <c r="S7233">
        <f t="shared" si="3056"/>
        <v>1</v>
      </c>
    </row>
    <row r="7234" spans="1:19" hidden="1" x14ac:dyDescent="0.25">
      <c r="A7234" s="5" t="str">
        <f t="shared" si="3044"/>
        <v>44225NFLX</v>
      </c>
      <c r="B7234" s="6" t="s">
        <v>32</v>
      </c>
      <c r="C7234" s="6">
        <v>485</v>
      </c>
      <c r="D7234" s="6">
        <v>608</v>
      </c>
      <c r="E7234" s="6">
        <v>538</v>
      </c>
      <c r="F7234" t="str">
        <f t="shared" si="3045"/>
        <v>FRI</v>
      </c>
      <c r="G7234" s="1">
        <f t="shared" si="3046"/>
        <v>44225</v>
      </c>
      <c r="H7234" s="2">
        <f t="shared" ca="1" si="3047"/>
        <v>28</v>
      </c>
      <c r="I7234" t="str">
        <f t="shared" si="3048"/>
        <v>NFLX</v>
      </c>
      <c r="J7234">
        <f t="shared" si="3049"/>
        <v>485</v>
      </c>
      <c r="K7234">
        <f t="shared" si="3050"/>
        <v>608</v>
      </c>
      <c r="L7234">
        <f t="shared" si="3051"/>
        <v>546.5</v>
      </c>
      <c r="M7234">
        <f t="shared" si="3052"/>
        <v>61.5</v>
      </c>
      <c r="N7234">
        <f t="shared" si="3030"/>
        <v>123</v>
      </c>
      <c r="O7234">
        <f t="shared" si="3053"/>
        <v>538</v>
      </c>
      <c r="P7234">
        <f t="shared" si="3054"/>
        <v>-0.13821138211382114</v>
      </c>
      <c r="Q7234" t="str">
        <f t="shared" si="3031"/>
        <v>9.85% | 13.01%</v>
      </c>
      <c r="R7234" t="str">
        <f t="shared" si="3055"/>
        <v>BULLISH</v>
      </c>
      <c r="S7234">
        <f t="shared" si="3056"/>
        <v>1</v>
      </c>
    </row>
    <row r="7235" spans="1:19" x14ac:dyDescent="0.25">
      <c r="A7235" s="5" t="str">
        <f t="shared" si="3044"/>
        <v>44225TSLA</v>
      </c>
      <c r="B7235" s="6" t="s">
        <v>33</v>
      </c>
      <c r="C7235" s="6">
        <v>810</v>
      </c>
      <c r="D7235" s="6">
        <v>891</v>
      </c>
      <c r="E7235" s="6">
        <v>835</v>
      </c>
      <c r="F7235" t="str">
        <f t="shared" si="3045"/>
        <v>FRI</v>
      </c>
      <c r="G7235" s="1">
        <f t="shared" si="3046"/>
        <v>44225</v>
      </c>
      <c r="H7235" s="2">
        <f t="shared" ca="1" si="3047"/>
        <v>28</v>
      </c>
      <c r="I7235" t="str">
        <f t="shared" si="3048"/>
        <v>TSLA</v>
      </c>
      <c r="J7235">
        <f t="shared" si="3049"/>
        <v>810</v>
      </c>
      <c r="K7235">
        <f t="shared" si="3050"/>
        <v>891</v>
      </c>
      <c r="L7235">
        <f t="shared" si="3051"/>
        <v>850.5</v>
      </c>
      <c r="M7235">
        <f t="shared" si="3052"/>
        <v>40.5</v>
      </c>
      <c r="N7235">
        <f t="shared" ref="N7235:N7298" si="3057">ABS(K7235-J7235)</f>
        <v>81</v>
      </c>
      <c r="O7235">
        <f t="shared" si="3053"/>
        <v>835</v>
      </c>
      <c r="P7235">
        <f t="shared" si="3054"/>
        <v>-0.38271604938271603</v>
      </c>
      <c r="Q7235" t="str">
        <f t="shared" ref="Q7235:Q7298" si="3058">ROUND(ABS(100*(O7235-J7235)/O7235),2)&amp;"% | "&amp;ROUND(ABS(100*(K7235-O7235)/O7235),2)&amp;"%"</f>
        <v>2.99% | 6.71%</v>
      </c>
      <c r="R7235" t="str">
        <f t="shared" si="3055"/>
        <v>BULLISH</v>
      </c>
      <c r="S7235">
        <f t="shared" si="3056"/>
        <v>1</v>
      </c>
    </row>
    <row r="7236" spans="1:19" hidden="1" x14ac:dyDescent="0.25">
      <c r="A7236" s="5" t="str">
        <f t="shared" si="3044"/>
        <v>44225NYXBT</v>
      </c>
      <c r="B7236" s="6" t="s">
        <v>60</v>
      </c>
      <c r="C7236" s="6">
        <v>30309</v>
      </c>
      <c r="D7236" s="6">
        <v>37770</v>
      </c>
      <c r="E7236" s="6">
        <v>31988</v>
      </c>
      <c r="F7236" t="str">
        <f t="shared" si="3045"/>
        <v>FRI</v>
      </c>
      <c r="G7236" s="1">
        <f t="shared" si="3046"/>
        <v>44225</v>
      </c>
      <c r="H7236" s="2">
        <f t="shared" ca="1" si="3047"/>
        <v>28</v>
      </c>
      <c r="I7236" t="str">
        <f t="shared" si="3048"/>
        <v>NYXBT</v>
      </c>
      <c r="J7236">
        <f t="shared" si="3049"/>
        <v>30309</v>
      </c>
      <c r="K7236">
        <f t="shared" si="3050"/>
        <v>37770</v>
      </c>
      <c r="L7236">
        <f t="shared" si="3051"/>
        <v>34039.5</v>
      </c>
      <c r="M7236">
        <f t="shared" si="3052"/>
        <v>3730.5</v>
      </c>
      <c r="N7236">
        <f t="shared" si="3057"/>
        <v>7461</v>
      </c>
      <c r="O7236">
        <f t="shared" si="3053"/>
        <v>31988</v>
      </c>
      <c r="P7236">
        <f t="shared" si="3054"/>
        <v>-0.54992628334003479</v>
      </c>
      <c r="Q7236" t="str">
        <f t="shared" si="3058"/>
        <v>5.25% | 18.08%</v>
      </c>
      <c r="R7236" t="str">
        <f t="shared" si="3055"/>
        <v>BULLISH</v>
      </c>
      <c r="S7236">
        <f t="shared" si="3056"/>
        <v>1</v>
      </c>
    </row>
    <row r="7237" spans="1:19" hidden="1" x14ac:dyDescent="0.25">
      <c r="A7237" s="5" t="str">
        <f t="shared" si="3044"/>
        <v>44228UST10Y</v>
      </c>
      <c r="B7237" s="6" t="s">
        <v>257</v>
      </c>
      <c r="C7237" s="6">
        <v>1.1499999999999999</v>
      </c>
      <c r="D7237" s="6">
        <v>1.02</v>
      </c>
      <c r="E7237" s="6">
        <v>1.1100000000000001</v>
      </c>
      <c r="F7237" t="str">
        <f t="shared" si="3045"/>
        <v>MON</v>
      </c>
      <c r="G7237" s="3">
        <f>DATE(2021,2,1)</f>
        <v>44228</v>
      </c>
      <c r="H7237" s="2">
        <f t="shared" ca="1" si="3047"/>
        <v>25</v>
      </c>
      <c r="I7237" t="str">
        <f t="shared" si="3048"/>
        <v>UST10Y</v>
      </c>
      <c r="J7237">
        <f t="shared" si="3049"/>
        <v>1.1499999999999999</v>
      </c>
      <c r="K7237">
        <f t="shared" si="3050"/>
        <v>1.02</v>
      </c>
      <c r="L7237">
        <f t="shared" si="3051"/>
        <v>1.085</v>
      </c>
      <c r="M7237">
        <f t="shared" si="3052"/>
        <v>6.4999999999999947E-2</v>
      </c>
      <c r="N7237">
        <f t="shared" si="3057"/>
        <v>0.12999999999999989</v>
      </c>
      <c r="O7237">
        <f t="shared" si="3053"/>
        <v>1.1100000000000001</v>
      </c>
      <c r="P7237">
        <f t="shared" si="3054"/>
        <v>0.38461538461538697</v>
      </c>
      <c r="Q7237" t="str">
        <f t="shared" si="3058"/>
        <v>3.6% | 8.11%</v>
      </c>
      <c r="R7237" t="str">
        <f t="shared" si="3055"/>
        <v>BULLISH</v>
      </c>
      <c r="S7237">
        <f t="shared" si="3056"/>
        <v>1</v>
      </c>
    </row>
    <row r="7238" spans="1:19" hidden="1" x14ac:dyDescent="0.25">
      <c r="A7238" s="5" t="str">
        <f t="shared" si="3044"/>
        <v>44228UST2Y</v>
      </c>
      <c r="B7238" s="6" t="s">
        <v>253</v>
      </c>
      <c r="C7238" s="6">
        <v>0.15</v>
      </c>
      <c r="D7238" s="6">
        <v>0.11</v>
      </c>
      <c r="E7238" s="6">
        <v>0.11</v>
      </c>
      <c r="F7238" t="str">
        <f t="shared" ref="F7238:F7269" si="3059">UPPER(TEXT(G7238,"ddd"))</f>
        <v>MON</v>
      </c>
      <c r="G7238" s="3">
        <f t="shared" ref="G7238:G7268" si="3060">DATE(2021,2,1)</f>
        <v>44228</v>
      </c>
      <c r="H7238" s="2">
        <f t="shared" ref="H7238:H7269" ca="1" si="3061">TODAY()-G7238</f>
        <v>25</v>
      </c>
      <c r="I7238" t="str">
        <f t="shared" ref="I7238:I7269" si="3062">TRIM(LEFT(B7238,FIND(" ",B7238,1)))</f>
        <v>UST2Y</v>
      </c>
      <c r="J7238">
        <f t="shared" ref="J7238:J7269" si="3063">C7238</f>
        <v>0.15</v>
      </c>
      <c r="K7238">
        <f t="shared" ref="K7238:K7269" si="3064">D7238</f>
        <v>0.11</v>
      </c>
      <c r="L7238">
        <f t="shared" ref="L7238:L7269" si="3065">AVERAGE(J7238:K7238)</f>
        <v>0.13</v>
      </c>
      <c r="M7238">
        <f t="shared" ref="M7238:M7269" si="3066">_xlfn.STDEV.P(J7238:K7238)</f>
        <v>1.9999999999999938E-2</v>
      </c>
      <c r="N7238">
        <f t="shared" si="3057"/>
        <v>3.9999999999999994E-2</v>
      </c>
      <c r="O7238">
        <f t="shared" ref="O7238:O7269" si="3067">E7238</f>
        <v>0.11</v>
      </c>
      <c r="P7238">
        <f t="shared" ref="P7238:P7269" si="3068">(O7238-L7238)/M7238</f>
        <v>-1.0000000000000033</v>
      </c>
      <c r="Q7238" t="str">
        <f t="shared" si="3058"/>
        <v>36.36% | 0%</v>
      </c>
      <c r="R7238" t="str">
        <f t="shared" ref="R7238:R7269" si="3069">MID(B7238,FIND("(",B7238,1)+1,FIND(")",B7238,1)-FIND("(",B7238,1)-1)</f>
        <v>NEUTRAL</v>
      </c>
      <c r="S7238">
        <f t="shared" ref="S7238:S7269" si="3070">IF(R7238="BEARISH",-1,IF(R7238="NEUTRAL",0,IF(R7238="BULLISH",1,99)))</f>
        <v>0</v>
      </c>
    </row>
    <row r="7239" spans="1:19" hidden="1" x14ac:dyDescent="0.25">
      <c r="A7239" s="5" t="str">
        <f t="shared" si="3044"/>
        <v>44228SPX</v>
      </c>
      <c r="B7239" s="6" t="s">
        <v>93</v>
      </c>
      <c r="C7239" s="6">
        <v>3690</v>
      </c>
      <c r="D7239" s="6">
        <v>3905</v>
      </c>
      <c r="E7239" s="6">
        <v>3714</v>
      </c>
      <c r="F7239" t="str">
        <f t="shared" si="3059"/>
        <v>MON</v>
      </c>
      <c r="G7239" s="3">
        <f t="shared" si="3060"/>
        <v>44228</v>
      </c>
      <c r="H7239" s="2">
        <f t="shared" ca="1" si="3061"/>
        <v>25</v>
      </c>
      <c r="I7239" t="str">
        <f t="shared" si="3062"/>
        <v>SPX</v>
      </c>
      <c r="J7239">
        <f t="shared" si="3063"/>
        <v>3690</v>
      </c>
      <c r="K7239">
        <f t="shared" si="3064"/>
        <v>3905</v>
      </c>
      <c r="L7239">
        <f t="shared" si="3065"/>
        <v>3797.5</v>
      </c>
      <c r="M7239">
        <f t="shared" si="3066"/>
        <v>107.5</v>
      </c>
      <c r="N7239">
        <f t="shared" si="3057"/>
        <v>215</v>
      </c>
      <c r="O7239">
        <f t="shared" si="3067"/>
        <v>3714</v>
      </c>
      <c r="P7239">
        <f t="shared" si="3068"/>
        <v>-0.77674418604651163</v>
      </c>
      <c r="Q7239" t="str">
        <f t="shared" si="3058"/>
        <v>0.65% | 5.14%</v>
      </c>
      <c r="R7239" t="str">
        <f t="shared" si="3069"/>
        <v>BULLISH</v>
      </c>
      <c r="S7239">
        <f t="shared" si="3070"/>
        <v>1</v>
      </c>
    </row>
    <row r="7240" spans="1:19" hidden="1" x14ac:dyDescent="0.25">
      <c r="A7240" s="5" t="str">
        <f t="shared" ref="A7240:A7303" si="3071">G7240&amp;I7240</f>
        <v>44228RUT</v>
      </c>
      <c r="B7240" s="6" t="s">
        <v>247</v>
      </c>
      <c r="C7240" s="6">
        <v>2060</v>
      </c>
      <c r="D7240" s="6">
        <v>2199</v>
      </c>
      <c r="E7240" s="6">
        <v>2073</v>
      </c>
      <c r="F7240" t="str">
        <f t="shared" si="3059"/>
        <v>MON</v>
      </c>
      <c r="G7240" s="3">
        <f t="shared" si="3060"/>
        <v>44228</v>
      </c>
      <c r="H7240" s="2">
        <f t="shared" ca="1" si="3061"/>
        <v>25</v>
      </c>
      <c r="I7240" t="str">
        <f t="shared" si="3062"/>
        <v>RUT</v>
      </c>
      <c r="J7240">
        <f t="shared" si="3063"/>
        <v>2060</v>
      </c>
      <c r="K7240">
        <f t="shared" si="3064"/>
        <v>2199</v>
      </c>
      <c r="L7240">
        <f t="shared" si="3065"/>
        <v>2129.5</v>
      </c>
      <c r="M7240">
        <f t="shared" si="3066"/>
        <v>69.5</v>
      </c>
      <c r="N7240">
        <f t="shared" si="3057"/>
        <v>139</v>
      </c>
      <c r="O7240">
        <f t="shared" si="3067"/>
        <v>2073</v>
      </c>
      <c r="P7240">
        <f t="shared" si="3068"/>
        <v>-0.81294964028776984</v>
      </c>
      <c r="Q7240" t="str">
        <f t="shared" si="3058"/>
        <v>0.63% | 6.08%</v>
      </c>
      <c r="R7240" t="str">
        <f t="shared" si="3069"/>
        <v>BULLISH</v>
      </c>
      <c r="S7240">
        <f t="shared" si="3070"/>
        <v>1</v>
      </c>
    </row>
    <row r="7241" spans="1:19" hidden="1" x14ac:dyDescent="0.25">
      <c r="A7241" s="5" t="str">
        <f t="shared" si="3071"/>
        <v>44228COMPQ</v>
      </c>
      <c r="B7241" s="6" t="s">
        <v>8</v>
      </c>
      <c r="C7241" s="6">
        <v>13002</v>
      </c>
      <c r="D7241" s="6">
        <v>13786</v>
      </c>
      <c r="E7241" s="6">
        <v>13070</v>
      </c>
      <c r="F7241" t="str">
        <f t="shared" si="3059"/>
        <v>MON</v>
      </c>
      <c r="G7241" s="3">
        <f t="shared" si="3060"/>
        <v>44228</v>
      </c>
      <c r="H7241" s="2">
        <f t="shared" ca="1" si="3061"/>
        <v>25</v>
      </c>
      <c r="I7241" t="str">
        <f t="shared" si="3062"/>
        <v>COMPQ</v>
      </c>
      <c r="J7241">
        <f t="shared" si="3063"/>
        <v>13002</v>
      </c>
      <c r="K7241">
        <f t="shared" si="3064"/>
        <v>13786</v>
      </c>
      <c r="L7241">
        <f t="shared" si="3065"/>
        <v>13394</v>
      </c>
      <c r="M7241">
        <f t="shared" si="3066"/>
        <v>392</v>
      </c>
      <c r="N7241">
        <f t="shared" si="3057"/>
        <v>784</v>
      </c>
      <c r="O7241">
        <f t="shared" si="3067"/>
        <v>13070</v>
      </c>
      <c r="P7241">
        <f t="shared" si="3068"/>
        <v>-0.82653061224489799</v>
      </c>
      <c r="Q7241" t="str">
        <f t="shared" si="3058"/>
        <v>0.52% | 5.48%</v>
      </c>
      <c r="R7241" t="str">
        <f t="shared" si="3069"/>
        <v>BULLISH</v>
      </c>
      <c r="S7241">
        <f t="shared" si="3070"/>
        <v>1</v>
      </c>
    </row>
    <row r="7242" spans="1:19" hidden="1" x14ac:dyDescent="0.25">
      <c r="A7242" s="5" t="str">
        <f t="shared" si="3071"/>
        <v>44228XLK</v>
      </c>
      <c r="B7242" s="6" t="s">
        <v>10</v>
      </c>
      <c r="C7242" s="6">
        <v>127.66</v>
      </c>
      <c r="D7242" s="6">
        <v>135.68</v>
      </c>
      <c r="E7242" s="6">
        <v>128.93</v>
      </c>
      <c r="F7242" t="str">
        <f t="shared" si="3059"/>
        <v>MON</v>
      </c>
      <c r="G7242" s="3">
        <f t="shared" si="3060"/>
        <v>44228</v>
      </c>
      <c r="H7242" s="2">
        <f t="shared" ca="1" si="3061"/>
        <v>25</v>
      </c>
      <c r="I7242" t="str">
        <f t="shared" si="3062"/>
        <v>XLK</v>
      </c>
      <c r="J7242">
        <f t="shared" si="3063"/>
        <v>127.66</v>
      </c>
      <c r="K7242">
        <f t="shared" si="3064"/>
        <v>135.68</v>
      </c>
      <c r="L7242">
        <f t="shared" si="3065"/>
        <v>131.67000000000002</v>
      </c>
      <c r="M7242">
        <f t="shared" si="3066"/>
        <v>4.0100000000000051</v>
      </c>
      <c r="N7242">
        <f t="shared" si="3057"/>
        <v>8.0200000000000102</v>
      </c>
      <c r="O7242">
        <f t="shared" si="3067"/>
        <v>128.93</v>
      </c>
      <c r="P7242">
        <f t="shared" si="3068"/>
        <v>-0.68329177057356749</v>
      </c>
      <c r="Q7242" t="str">
        <f t="shared" si="3058"/>
        <v>0.99% | 5.24%</v>
      </c>
      <c r="R7242" t="str">
        <f t="shared" si="3069"/>
        <v>BULLISH</v>
      </c>
      <c r="S7242">
        <f t="shared" si="3070"/>
        <v>1</v>
      </c>
    </row>
    <row r="7243" spans="1:19" hidden="1" x14ac:dyDescent="0.25">
      <c r="A7243" s="5" t="str">
        <f t="shared" si="3071"/>
        <v>44228XLE</v>
      </c>
      <c r="B7243" s="6" t="s">
        <v>250</v>
      </c>
      <c r="C7243" s="6">
        <v>38.549999999999997</v>
      </c>
      <c r="D7243" s="6">
        <v>44.53</v>
      </c>
      <c r="E7243" s="6">
        <v>39.32</v>
      </c>
      <c r="F7243" t="str">
        <f t="shared" si="3059"/>
        <v>MON</v>
      </c>
      <c r="G7243" s="3">
        <f t="shared" si="3060"/>
        <v>44228</v>
      </c>
      <c r="H7243" s="2">
        <f t="shared" ca="1" si="3061"/>
        <v>25</v>
      </c>
      <c r="I7243" t="str">
        <f t="shared" si="3062"/>
        <v>XLE</v>
      </c>
      <c r="J7243">
        <f t="shared" si="3063"/>
        <v>38.549999999999997</v>
      </c>
      <c r="K7243">
        <f t="shared" si="3064"/>
        <v>44.53</v>
      </c>
      <c r="L7243">
        <f t="shared" si="3065"/>
        <v>41.54</v>
      </c>
      <c r="M7243">
        <f t="shared" si="3066"/>
        <v>2.990000000000002</v>
      </c>
      <c r="N7243">
        <f t="shared" si="3057"/>
        <v>5.980000000000004</v>
      </c>
      <c r="O7243">
        <f t="shared" si="3067"/>
        <v>39.32</v>
      </c>
      <c r="P7243">
        <f t="shared" si="3068"/>
        <v>-0.74247491638795904</v>
      </c>
      <c r="Q7243" t="str">
        <f t="shared" si="3058"/>
        <v>1.96% | 13.25%</v>
      </c>
      <c r="R7243" t="str">
        <f t="shared" si="3069"/>
        <v>BULLISH</v>
      </c>
      <c r="S7243">
        <f t="shared" si="3070"/>
        <v>1</v>
      </c>
    </row>
    <row r="7244" spans="1:19" hidden="1" x14ac:dyDescent="0.25">
      <c r="A7244" s="5" t="str">
        <f t="shared" si="3071"/>
        <v>44228XLU</v>
      </c>
      <c r="B7244" s="6" t="s">
        <v>82</v>
      </c>
      <c r="C7244" s="6">
        <v>61.42</v>
      </c>
      <c r="D7244" s="6">
        <v>64.14</v>
      </c>
      <c r="E7244" s="6">
        <v>62.15</v>
      </c>
      <c r="F7244" t="str">
        <f t="shared" si="3059"/>
        <v>MON</v>
      </c>
      <c r="G7244" s="3">
        <f t="shared" si="3060"/>
        <v>44228</v>
      </c>
      <c r="H7244" s="2">
        <f t="shared" ca="1" si="3061"/>
        <v>25</v>
      </c>
      <c r="I7244" t="str">
        <f t="shared" si="3062"/>
        <v>XLU</v>
      </c>
      <c r="J7244">
        <f t="shared" si="3063"/>
        <v>61.42</v>
      </c>
      <c r="K7244">
        <f t="shared" si="3064"/>
        <v>64.14</v>
      </c>
      <c r="L7244">
        <f t="shared" si="3065"/>
        <v>62.78</v>
      </c>
      <c r="M7244">
        <f t="shared" si="3066"/>
        <v>1.3599999999999994</v>
      </c>
      <c r="N7244">
        <f t="shared" si="3057"/>
        <v>2.7199999999999989</v>
      </c>
      <c r="O7244">
        <f t="shared" si="3067"/>
        <v>62.15</v>
      </c>
      <c r="P7244">
        <f t="shared" si="3068"/>
        <v>-0.46323529411764913</v>
      </c>
      <c r="Q7244" t="str">
        <f t="shared" si="3058"/>
        <v>1.17% | 3.2%</v>
      </c>
      <c r="R7244" t="str">
        <f t="shared" si="3069"/>
        <v>BEARISH</v>
      </c>
      <c r="S7244">
        <f t="shared" si="3070"/>
        <v>-1</v>
      </c>
    </row>
    <row r="7245" spans="1:19" hidden="1" x14ac:dyDescent="0.25">
      <c r="A7245" s="5" t="str">
        <f t="shared" si="3071"/>
        <v>44228GDX</v>
      </c>
      <c r="B7245" s="6" t="s">
        <v>254</v>
      </c>
      <c r="C7245" s="6">
        <v>33.42</v>
      </c>
      <c r="D7245" s="6">
        <v>36.57</v>
      </c>
      <c r="E7245" s="6">
        <v>34.51</v>
      </c>
      <c r="F7245" t="str">
        <f t="shared" si="3059"/>
        <v>MON</v>
      </c>
      <c r="G7245" s="3">
        <f t="shared" si="3060"/>
        <v>44228</v>
      </c>
      <c r="H7245" s="2">
        <f t="shared" ca="1" si="3061"/>
        <v>25</v>
      </c>
      <c r="I7245" t="str">
        <f t="shared" si="3062"/>
        <v>GDX</v>
      </c>
      <c r="J7245">
        <f t="shared" si="3063"/>
        <v>33.42</v>
      </c>
      <c r="K7245">
        <f t="shared" si="3064"/>
        <v>36.57</v>
      </c>
      <c r="L7245">
        <f t="shared" si="3065"/>
        <v>34.995000000000005</v>
      </c>
      <c r="M7245">
        <f t="shared" si="3066"/>
        <v>1.5749999999999993</v>
      </c>
      <c r="N7245">
        <f t="shared" si="3057"/>
        <v>3.1499999999999986</v>
      </c>
      <c r="O7245">
        <f t="shared" si="3067"/>
        <v>34.51</v>
      </c>
      <c r="P7245">
        <f t="shared" si="3068"/>
        <v>-0.30793650793651223</v>
      </c>
      <c r="Q7245" t="str">
        <f t="shared" si="3058"/>
        <v>3.16% | 5.97%</v>
      </c>
      <c r="R7245" t="str">
        <f t="shared" si="3069"/>
        <v>BEARISH</v>
      </c>
      <c r="S7245">
        <f t="shared" si="3070"/>
        <v>-1</v>
      </c>
    </row>
    <row r="7246" spans="1:19" hidden="1" x14ac:dyDescent="0.25">
      <c r="A7246" s="5" t="str">
        <f t="shared" si="3071"/>
        <v>44228SSEC</v>
      </c>
      <c r="B7246" s="6" t="s">
        <v>104</v>
      </c>
      <c r="C7246" s="6">
        <v>3476</v>
      </c>
      <c r="D7246" s="6">
        <v>3626</v>
      </c>
      <c r="E7246" s="6">
        <v>3505</v>
      </c>
      <c r="F7246" t="str">
        <f t="shared" si="3059"/>
        <v>MON</v>
      </c>
      <c r="G7246" s="3">
        <f t="shared" si="3060"/>
        <v>44228</v>
      </c>
      <c r="H7246" s="2">
        <f t="shared" ca="1" si="3061"/>
        <v>25</v>
      </c>
      <c r="I7246" t="str">
        <f t="shared" si="3062"/>
        <v>SSEC</v>
      </c>
      <c r="J7246">
        <f t="shared" si="3063"/>
        <v>3476</v>
      </c>
      <c r="K7246">
        <f t="shared" si="3064"/>
        <v>3626</v>
      </c>
      <c r="L7246">
        <f t="shared" si="3065"/>
        <v>3551</v>
      </c>
      <c r="M7246">
        <f t="shared" si="3066"/>
        <v>75</v>
      </c>
      <c r="N7246">
        <f t="shared" si="3057"/>
        <v>150</v>
      </c>
      <c r="O7246">
        <f t="shared" si="3067"/>
        <v>3505</v>
      </c>
      <c r="P7246">
        <f t="shared" si="3068"/>
        <v>-0.61333333333333329</v>
      </c>
      <c r="Q7246" t="str">
        <f t="shared" si="3058"/>
        <v>0.83% | 3.45%</v>
      </c>
      <c r="R7246" t="str">
        <f t="shared" si="3069"/>
        <v>BULLISH</v>
      </c>
      <c r="S7246">
        <f t="shared" si="3070"/>
        <v>1</v>
      </c>
    </row>
    <row r="7247" spans="1:19" hidden="1" x14ac:dyDescent="0.25">
      <c r="A7247" s="5" t="str">
        <f t="shared" si="3071"/>
        <v>44228NIKK</v>
      </c>
      <c r="B7247" s="6" t="s">
        <v>91</v>
      </c>
      <c r="C7247" s="6">
        <v>27617</v>
      </c>
      <c r="D7247" s="6">
        <v>28165</v>
      </c>
      <c r="E7247" s="6">
        <v>28091</v>
      </c>
      <c r="F7247" t="str">
        <f t="shared" si="3059"/>
        <v>MON</v>
      </c>
      <c r="G7247" s="3">
        <f t="shared" si="3060"/>
        <v>44228</v>
      </c>
      <c r="H7247" s="2">
        <f t="shared" ca="1" si="3061"/>
        <v>25</v>
      </c>
      <c r="I7247" t="str">
        <f t="shared" si="3062"/>
        <v>NIKK</v>
      </c>
      <c r="J7247">
        <f t="shared" si="3063"/>
        <v>27617</v>
      </c>
      <c r="K7247">
        <f t="shared" si="3064"/>
        <v>28165</v>
      </c>
      <c r="L7247">
        <f t="shared" si="3065"/>
        <v>27891</v>
      </c>
      <c r="M7247">
        <f t="shared" si="3066"/>
        <v>274</v>
      </c>
      <c r="N7247">
        <f t="shared" si="3057"/>
        <v>548</v>
      </c>
      <c r="O7247">
        <f t="shared" si="3067"/>
        <v>28091</v>
      </c>
      <c r="P7247">
        <f t="shared" si="3068"/>
        <v>0.72992700729927007</v>
      </c>
      <c r="Q7247" t="str">
        <f t="shared" si="3058"/>
        <v>1.69% | 0.26%</v>
      </c>
      <c r="R7247" t="str">
        <f t="shared" si="3069"/>
        <v>BULLISH</v>
      </c>
      <c r="S7247">
        <f t="shared" si="3070"/>
        <v>1</v>
      </c>
    </row>
    <row r="7248" spans="1:19" hidden="1" x14ac:dyDescent="0.25">
      <c r="A7248" s="5" t="str">
        <f t="shared" si="3071"/>
        <v>44228DAX</v>
      </c>
      <c r="B7248" s="6" t="s">
        <v>98</v>
      </c>
      <c r="C7248" s="6">
        <v>13330</v>
      </c>
      <c r="D7248" s="6">
        <v>14075</v>
      </c>
      <c r="E7248" s="6">
        <v>13432</v>
      </c>
      <c r="F7248" t="str">
        <f t="shared" si="3059"/>
        <v>MON</v>
      </c>
      <c r="G7248" s="3">
        <f t="shared" si="3060"/>
        <v>44228</v>
      </c>
      <c r="H7248" s="2">
        <f t="shared" ca="1" si="3061"/>
        <v>25</v>
      </c>
      <c r="I7248" t="str">
        <f t="shared" si="3062"/>
        <v>DAX</v>
      </c>
      <c r="J7248">
        <f t="shared" si="3063"/>
        <v>13330</v>
      </c>
      <c r="K7248">
        <f t="shared" si="3064"/>
        <v>14075</v>
      </c>
      <c r="L7248">
        <f t="shared" si="3065"/>
        <v>13702.5</v>
      </c>
      <c r="M7248">
        <f t="shared" si="3066"/>
        <v>372.5</v>
      </c>
      <c r="N7248">
        <f t="shared" si="3057"/>
        <v>745</v>
      </c>
      <c r="O7248">
        <f t="shared" si="3067"/>
        <v>13432</v>
      </c>
      <c r="P7248">
        <f t="shared" si="3068"/>
        <v>-0.72617449664429534</v>
      </c>
      <c r="Q7248" t="str">
        <f t="shared" si="3058"/>
        <v>0.76% | 4.79%</v>
      </c>
      <c r="R7248" t="str">
        <f t="shared" si="3069"/>
        <v>BULLISH</v>
      </c>
      <c r="S7248">
        <f t="shared" si="3070"/>
        <v>1</v>
      </c>
    </row>
    <row r="7249" spans="1:19" hidden="1" x14ac:dyDescent="0.25">
      <c r="A7249" s="5" t="str">
        <f t="shared" si="3071"/>
        <v>44228VIX</v>
      </c>
      <c r="B7249" s="6" t="s">
        <v>159</v>
      </c>
      <c r="C7249" s="6">
        <v>19.010000000000002</v>
      </c>
      <c r="D7249" s="6">
        <v>37.26</v>
      </c>
      <c r="E7249" s="6">
        <v>33.090000000000003</v>
      </c>
      <c r="F7249" t="str">
        <f t="shared" si="3059"/>
        <v>MON</v>
      </c>
      <c r="G7249" s="3">
        <f t="shared" si="3060"/>
        <v>44228</v>
      </c>
      <c r="H7249" s="2">
        <f t="shared" ca="1" si="3061"/>
        <v>25</v>
      </c>
      <c r="I7249" t="str">
        <f t="shared" si="3062"/>
        <v>VIX</v>
      </c>
      <c r="J7249">
        <f t="shared" si="3063"/>
        <v>19.010000000000002</v>
      </c>
      <c r="K7249">
        <f t="shared" si="3064"/>
        <v>37.26</v>
      </c>
      <c r="L7249">
        <f t="shared" si="3065"/>
        <v>28.134999999999998</v>
      </c>
      <c r="M7249">
        <f t="shared" si="3066"/>
        <v>9.1250000000000071</v>
      </c>
      <c r="N7249">
        <f t="shared" si="3057"/>
        <v>18.249999999999996</v>
      </c>
      <c r="O7249">
        <f t="shared" si="3067"/>
        <v>33.090000000000003</v>
      </c>
      <c r="P7249">
        <f t="shared" si="3068"/>
        <v>0.54301369863013715</v>
      </c>
      <c r="Q7249" t="str">
        <f t="shared" si="3058"/>
        <v>42.55% | 12.6%</v>
      </c>
      <c r="R7249" t="str">
        <f t="shared" si="3069"/>
        <v>NEUTRAL</v>
      </c>
      <c r="S7249">
        <f t="shared" si="3070"/>
        <v>0</v>
      </c>
    </row>
    <row r="7250" spans="1:19" hidden="1" x14ac:dyDescent="0.25">
      <c r="A7250" s="5" t="str">
        <f t="shared" si="3071"/>
        <v>44228USD</v>
      </c>
      <c r="B7250" s="6" t="s">
        <v>94</v>
      </c>
      <c r="C7250" s="6">
        <v>89.84</v>
      </c>
      <c r="D7250" s="6">
        <v>90.93</v>
      </c>
      <c r="E7250" s="6">
        <v>90.57</v>
      </c>
      <c r="F7250" t="str">
        <f t="shared" si="3059"/>
        <v>MON</v>
      </c>
      <c r="G7250" s="3">
        <f t="shared" si="3060"/>
        <v>44228</v>
      </c>
      <c r="H7250" s="2">
        <f t="shared" ca="1" si="3061"/>
        <v>25</v>
      </c>
      <c r="I7250" t="str">
        <f t="shared" si="3062"/>
        <v>USD</v>
      </c>
      <c r="J7250">
        <f t="shared" si="3063"/>
        <v>89.84</v>
      </c>
      <c r="K7250">
        <f t="shared" si="3064"/>
        <v>90.93</v>
      </c>
      <c r="L7250">
        <f t="shared" si="3065"/>
        <v>90.385000000000005</v>
      </c>
      <c r="M7250">
        <f t="shared" si="3066"/>
        <v>0.54500000000000171</v>
      </c>
      <c r="N7250">
        <f t="shared" si="3057"/>
        <v>1.0900000000000034</v>
      </c>
      <c r="O7250">
        <f t="shared" si="3067"/>
        <v>90.57</v>
      </c>
      <c r="P7250">
        <f t="shared" si="3068"/>
        <v>0.33944954128438071</v>
      </c>
      <c r="Q7250" t="str">
        <f t="shared" si="3058"/>
        <v>0.81% | 0.4%</v>
      </c>
      <c r="R7250" t="str">
        <f t="shared" si="3069"/>
        <v>BEARISH</v>
      </c>
      <c r="S7250">
        <f t="shared" si="3070"/>
        <v>-1</v>
      </c>
    </row>
    <row r="7251" spans="1:19" hidden="1" x14ac:dyDescent="0.25">
      <c r="A7251" s="5" t="str">
        <f t="shared" si="3071"/>
        <v>44228EUR/USD</v>
      </c>
      <c r="B7251" s="6" t="s">
        <v>99</v>
      </c>
      <c r="C7251" s="6">
        <v>1.2070000000000001</v>
      </c>
      <c r="D7251" s="6">
        <v>1.22</v>
      </c>
      <c r="E7251" s="6">
        <v>1.2130000000000001</v>
      </c>
      <c r="F7251" t="str">
        <f t="shared" si="3059"/>
        <v>MON</v>
      </c>
      <c r="G7251" s="3">
        <f t="shared" si="3060"/>
        <v>44228</v>
      </c>
      <c r="H7251" s="2">
        <f t="shared" ca="1" si="3061"/>
        <v>25</v>
      </c>
      <c r="I7251" t="str">
        <f t="shared" si="3062"/>
        <v>EUR/USD</v>
      </c>
      <c r="J7251">
        <f t="shared" si="3063"/>
        <v>1.2070000000000001</v>
      </c>
      <c r="K7251">
        <f t="shared" si="3064"/>
        <v>1.22</v>
      </c>
      <c r="L7251">
        <f t="shared" si="3065"/>
        <v>1.2135</v>
      </c>
      <c r="M7251">
        <f t="shared" si="3066"/>
        <v>6.4999999999999503E-3</v>
      </c>
      <c r="N7251">
        <f t="shared" si="3057"/>
        <v>1.2999999999999901E-2</v>
      </c>
      <c r="O7251">
        <f t="shared" si="3067"/>
        <v>1.2130000000000001</v>
      </c>
      <c r="P7251">
        <f t="shared" si="3068"/>
        <v>-7.6923076923069045E-2</v>
      </c>
      <c r="Q7251" t="str">
        <f t="shared" si="3058"/>
        <v>0.49% | 0.58%</v>
      </c>
      <c r="R7251" t="str">
        <f t="shared" si="3069"/>
        <v>BULLISH</v>
      </c>
      <c r="S7251">
        <f t="shared" si="3070"/>
        <v>1</v>
      </c>
    </row>
    <row r="7252" spans="1:19" hidden="1" x14ac:dyDescent="0.25">
      <c r="A7252" s="5" t="str">
        <f t="shared" si="3071"/>
        <v>44228USD/JPY</v>
      </c>
      <c r="B7252" s="6" t="s">
        <v>86</v>
      </c>
      <c r="C7252" s="6">
        <v>103.27</v>
      </c>
      <c r="D7252" s="6">
        <v>104.99</v>
      </c>
      <c r="E7252" s="6">
        <v>104.73</v>
      </c>
      <c r="F7252" t="str">
        <f t="shared" si="3059"/>
        <v>MON</v>
      </c>
      <c r="G7252" s="3">
        <f t="shared" si="3060"/>
        <v>44228</v>
      </c>
      <c r="H7252" s="2">
        <f t="shared" ca="1" si="3061"/>
        <v>25</v>
      </c>
      <c r="I7252" t="str">
        <f t="shared" si="3062"/>
        <v>USD/JPY</v>
      </c>
      <c r="J7252">
        <f t="shared" si="3063"/>
        <v>103.27</v>
      </c>
      <c r="K7252">
        <f t="shared" si="3064"/>
        <v>104.99</v>
      </c>
      <c r="L7252">
        <f t="shared" si="3065"/>
        <v>104.13</v>
      </c>
      <c r="M7252">
        <f t="shared" si="3066"/>
        <v>0.85999999999999943</v>
      </c>
      <c r="N7252">
        <f t="shared" si="3057"/>
        <v>1.7199999999999989</v>
      </c>
      <c r="O7252">
        <f t="shared" si="3067"/>
        <v>104.73</v>
      </c>
      <c r="P7252">
        <f t="shared" si="3068"/>
        <v>0.69767441860466151</v>
      </c>
      <c r="Q7252" t="str">
        <f t="shared" si="3058"/>
        <v>1.39% | 0.25%</v>
      </c>
      <c r="R7252" t="str">
        <f t="shared" si="3069"/>
        <v>NEUTRAL</v>
      </c>
      <c r="S7252">
        <f t="shared" si="3070"/>
        <v>0</v>
      </c>
    </row>
    <row r="7253" spans="1:19" hidden="1" x14ac:dyDescent="0.25">
      <c r="A7253" s="5" t="str">
        <f t="shared" si="3071"/>
        <v>44228GBP/USD</v>
      </c>
      <c r="B7253" s="6" t="s">
        <v>102</v>
      </c>
      <c r="C7253" s="6">
        <v>1.361</v>
      </c>
      <c r="D7253" s="6">
        <v>1.3779999999999999</v>
      </c>
      <c r="E7253" s="6">
        <v>1.369</v>
      </c>
      <c r="F7253" t="str">
        <f t="shared" si="3059"/>
        <v>MON</v>
      </c>
      <c r="G7253" s="3">
        <f t="shared" si="3060"/>
        <v>44228</v>
      </c>
      <c r="H7253" s="2">
        <f t="shared" ca="1" si="3061"/>
        <v>25</v>
      </c>
      <c r="I7253" t="str">
        <f t="shared" si="3062"/>
        <v>GBP/USD</v>
      </c>
      <c r="J7253">
        <f t="shared" si="3063"/>
        <v>1.361</v>
      </c>
      <c r="K7253">
        <f t="shared" si="3064"/>
        <v>1.3779999999999999</v>
      </c>
      <c r="L7253">
        <f t="shared" si="3065"/>
        <v>1.3694999999999999</v>
      </c>
      <c r="M7253">
        <f t="shared" si="3066"/>
        <v>8.499999999999952E-3</v>
      </c>
      <c r="N7253">
        <f t="shared" si="3057"/>
        <v>1.6999999999999904E-2</v>
      </c>
      <c r="O7253">
        <f t="shared" si="3067"/>
        <v>1.369</v>
      </c>
      <c r="P7253">
        <f t="shared" si="3068"/>
        <v>-5.8823529411758557E-2</v>
      </c>
      <c r="Q7253" t="str">
        <f t="shared" si="3058"/>
        <v>0.58% | 0.66%</v>
      </c>
      <c r="R7253" t="str">
        <f t="shared" si="3069"/>
        <v>BULLISH</v>
      </c>
      <c r="S7253">
        <f t="shared" si="3070"/>
        <v>1</v>
      </c>
    </row>
    <row r="7254" spans="1:19" hidden="1" x14ac:dyDescent="0.25">
      <c r="A7254" s="5" t="str">
        <f t="shared" si="3071"/>
        <v>44228CAD/USD</v>
      </c>
      <c r="B7254" s="6" t="s">
        <v>244</v>
      </c>
      <c r="C7254" s="6">
        <v>0.78</v>
      </c>
      <c r="D7254" s="6">
        <v>0.8</v>
      </c>
      <c r="E7254" s="6">
        <v>0.78</v>
      </c>
      <c r="F7254" t="str">
        <f t="shared" si="3059"/>
        <v>MON</v>
      </c>
      <c r="G7254" s="3">
        <f t="shared" si="3060"/>
        <v>44228</v>
      </c>
      <c r="H7254" s="2">
        <f t="shared" ca="1" si="3061"/>
        <v>25</v>
      </c>
      <c r="I7254" t="str">
        <f t="shared" si="3062"/>
        <v>CAD/USD</v>
      </c>
      <c r="J7254">
        <f t="shared" si="3063"/>
        <v>0.78</v>
      </c>
      <c r="K7254">
        <f t="shared" si="3064"/>
        <v>0.8</v>
      </c>
      <c r="L7254">
        <f t="shared" si="3065"/>
        <v>0.79</v>
      </c>
      <c r="M7254">
        <f t="shared" si="3066"/>
        <v>1.0000000000000009E-2</v>
      </c>
      <c r="N7254">
        <f t="shared" si="3057"/>
        <v>2.0000000000000018E-2</v>
      </c>
      <c r="O7254">
        <f t="shared" si="3067"/>
        <v>0.78</v>
      </c>
      <c r="P7254">
        <f t="shared" si="3068"/>
        <v>-1</v>
      </c>
      <c r="Q7254" t="str">
        <f t="shared" si="3058"/>
        <v>0% | 2.56%</v>
      </c>
      <c r="R7254" t="str">
        <f t="shared" si="3069"/>
        <v>BULLISH</v>
      </c>
      <c r="S7254">
        <f t="shared" si="3070"/>
        <v>1</v>
      </c>
    </row>
    <row r="7255" spans="1:19" hidden="1" x14ac:dyDescent="0.25">
      <c r="A7255" s="5" t="str">
        <f t="shared" si="3071"/>
        <v>44228USD/CHF</v>
      </c>
      <c r="B7255" s="6" t="s">
        <v>76</v>
      </c>
      <c r="C7255" s="6">
        <v>0.88</v>
      </c>
      <c r="D7255" s="6">
        <v>0.9</v>
      </c>
      <c r="E7255" s="6">
        <v>0.89</v>
      </c>
      <c r="F7255" t="str">
        <f t="shared" si="3059"/>
        <v>MON</v>
      </c>
      <c r="G7255" s="3">
        <f t="shared" si="3060"/>
        <v>44228</v>
      </c>
      <c r="H7255" s="2">
        <f t="shared" ca="1" si="3061"/>
        <v>25</v>
      </c>
      <c r="I7255" t="str">
        <f t="shared" si="3062"/>
        <v>USD/CHF</v>
      </c>
      <c r="J7255">
        <f t="shared" si="3063"/>
        <v>0.88</v>
      </c>
      <c r="K7255">
        <f t="shared" si="3064"/>
        <v>0.9</v>
      </c>
      <c r="L7255">
        <f t="shared" si="3065"/>
        <v>0.89</v>
      </c>
      <c r="M7255">
        <f t="shared" si="3066"/>
        <v>1.0000000000000009E-2</v>
      </c>
      <c r="N7255">
        <f t="shared" si="3057"/>
        <v>2.0000000000000018E-2</v>
      </c>
      <c r="O7255">
        <f t="shared" si="3067"/>
        <v>0.89</v>
      </c>
      <c r="P7255">
        <f t="shared" si="3068"/>
        <v>0</v>
      </c>
      <c r="Q7255" t="str">
        <f t="shared" si="3058"/>
        <v>1.12% | 1.12%</v>
      </c>
      <c r="R7255" t="str">
        <f t="shared" si="3069"/>
        <v>BEARISH</v>
      </c>
      <c r="S7255">
        <f t="shared" si="3070"/>
        <v>-1</v>
      </c>
    </row>
    <row r="7256" spans="1:19" hidden="1" x14ac:dyDescent="0.25">
      <c r="A7256" s="5" t="str">
        <f t="shared" si="3071"/>
        <v>44228WTIC</v>
      </c>
      <c r="B7256" s="6" t="s">
        <v>158</v>
      </c>
      <c r="C7256" s="6">
        <v>51.88</v>
      </c>
      <c r="D7256" s="6">
        <v>53.66</v>
      </c>
      <c r="E7256" s="6">
        <v>52.2</v>
      </c>
      <c r="F7256" t="str">
        <f t="shared" si="3059"/>
        <v>MON</v>
      </c>
      <c r="G7256" s="3">
        <f t="shared" si="3060"/>
        <v>44228</v>
      </c>
      <c r="H7256" s="2">
        <f t="shared" ca="1" si="3061"/>
        <v>25</v>
      </c>
      <c r="I7256" t="str">
        <f t="shared" si="3062"/>
        <v>WTIC</v>
      </c>
      <c r="J7256">
        <f t="shared" si="3063"/>
        <v>51.88</v>
      </c>
      <c r="K7256">
        <f t="shared" si="3064"/>
        <v>53.66</v>
      </c>
      <c r="L7256">
        <f t="shared" si="3065"/>
        <v>52.769999999999996</v>
      </c>
      <c r="M7256">
        <f t="shared" si="3066"/>
        <v>0.88999999999999702</v>
      </c>
      <c r="N7256">
        <f t="shared" si="3057"/>
        <v>1.779999999999994</v>
      </c>
      <c r="O7256">
        <f t="shared" si="3067"/>
        <v>52.2</v>
      </c>
      <c r="P7256">
        <f t="shared" si="3068"/>
        <v>-0.64044943820224165</v>
      </c>
      <c r="Q7256" t="str">
        <f t="shared" si="3058"/>
        <v>0.61% | 2.8%</v>
      </c>
      <c r="R7256" t="str">
        <f t="shared" si="3069"/>
        <v>BULLISH</v>
      </c>
      <c r="S7256">
        <f t="shared" si="3070"/>
        <v>1</v>
      </c>
    </row>
    <row r="7257" spans="1:19" hidden="1" x14ac:dyDescent="0.25">
      <c r="A7257" s="5" t="str">
        <f t="shared" si="3071"/>
        <v>44228NATGAS</v>
      </c>
      <c r="B7257" s="6" t="s">
        <v>89</v>
      </c>
      <c r="C7257" s="6">
        <v>2.4500000000000002</v>
      </c>
      <c r="D7257" s="6">
        <v>2.91</v>
      </c>
      <c r="E7257" s="6">
        <v>2.56</v>
      </c>
      <c r="F7257" t="str">
        <f t="shared" si="3059"/>
        <v>MON</v>
      </c>
      <c r="G7257" s="3">
        <f t="shared" si="3060"/>
        <v>44228</v>
      </c>
      <c r="H7257" s="2">
        <f t="shared" ca="1" si="3061"/>
        <v>25</v>
      </c>
      <c r="I7257" t="str">
        <f t="shared" si="3062"/>
        <v>NATGAS</v>
      </c>
      <c r="J7257">
        <f t="shared" si="3063"/>
        <v>2.4500000000000002</v>
      </c>
      <c r="K7257">
        <f t="shared" si="3064"/>
        <v>2.91</v>
      </c>
      <c r="L7257">
        <f t="shared" si="3065"/>
        <v>2.68</v>
      </c>
      <c r="M7257">
        <f t="shared" si="3066"/>
        <v>0.22999999999999998</v>
      </c>
      <c r="N7257">
        <f t="shared" si="3057"/>
        <v>0.45999999999999996</v>
      </c>
      <c r="O7257">
        <f t="shared" si="3067"/>
        <v>2.56</v>
      </c>
      <c r="P7257">
        <f t="shared" si="3068"/>
        <v>-0.52173913043478315</v>
      </c>
      <c r="Q7257" t="str">
        <f t="shared" si="3058"/>
        <v>4.3% | 13.67%</v>
      </c>
      <c r="R7257" t="str">
        <f t="shared" si="3069"/>
        <v>BULLISH</v>
      </c>
      <c r="S7257">
        <f t="shared" si="3070"/>
        <v>1</v>
      </c>
    </row>
    <row r="7258" spans="1:19" hidden="1" x14ac:dyDescent="0.25">
      <c r="A7258" s="5" t="str">
        <f t="shared" si="3071"/>
        <v>44228GOLD</v>
      </c>
      <c r="B7258" s="6" t="s">
        <v>85</v>
      </c>
      <c r="C7258" s="6">
        <v>1824</v>
      </c>
      <c r="D7258" s="6">
        <v>1880</v>
      </c>
      <c r="E7258" s="6">
        <v>1850</v>
      </c>
      <c r="F7258" t="str">
        <f t="shared" si="3059"/>
        <v>MON</v>
      </c>
      <c r="G7258" s="3">
        <f t="shared" si="3060"/>
        <v>44228</v>
      </c>
      <c r="H7258" s="2">
        <f t="shared" ca="1" si="3061"/>
        <v>25</v>
      </c>
      <c r="I7258" t="str">
        <f t="shared" si="3062"/>
        <v>GOLD</v>
      </c>
      <c r="J7258">
        <f t="shared" si="3063"/>
        <v>1824</v>
      </c>
      <c r="K7258">
        <f t="shared" si="3064"/>
        <v>1880</v>
      </c>
      <c r="L7258">
        <f t="shared" si="3065"/>
        <v>1852</v>
      </c>
      <c r="M7258">
        <f t="shared" si="3066"/>
        <v>28</v>
      </c>
      <c r="N7258">
        <f t="shared" si="3057"/>
        <v>56</v>
      </c>
      <c r="O7258">
        <f t="shared" si="3067"/>
        <v>1850</v>
      </c>
      <c r="P7258">
        <f t="shared" si="3068"/>
        <v>-7.1428571428571425E-2</v>
      </c>
      <c r="Q7258" t="str">
        <f t="shared" si="3058"/>
        <v>1.41% | 1.62%</v>
      </c>
      <c r="R7258" t="str">
        <f t="shared" si="3069"/>
        <v>BEARISH</v>
      </c>
      <c r="S7258">
        <f t="shared" si="3070"/>
        <v>-1</v>
      </c>
    </row>
    <row r="7259" spans="1:19" hidden="1" x14ac:dyDescent="0.25">
      <c r="A7259" s="5" t="str">
        <f t="shared" si="3071"/>
        <v>44228COPPER</v>
      </c>
      <c r="B7259" s="6" t="s">
        <v>100</v>
      </c>
      <c r="C7259" s="6">
        <v>3.52</v>
      </c>
      <c r="D7259" s="6">
        <v>3.69</v>
      </c>
      <c r="E7259" s="6">
        <v>3.56</v>
      </c>
      <c r="F7259" t="str">
        <f t="shared" si="3059"/>
        <v>MON</v>
      </c>
      <c r="G7259" s="3">
        <f t="shared" si="3060"/>
        <v>44228</v>
      </c>
      <c r="H7259" s="2">
        <f t="shared" ca="1" si="3061"/>
        <v>25</v>
      </c>
      <c r="I7259" t="str">
        <f t="shared" si="3062"/>
        <v>COPPER</v>
      </c>
      <c r="J7259">
        <f t="shared" si="3063"/>
        <v>3.52</v>
      </c>
      <c r="K7259">
        <f t="shared" si="3064"/>
        <v>3.69</v>
      </c>
      <c r="L7259">
        <f t="shared" si="3065"/>
        <v>3.605</v>
      </c>
      <c r="M7259">
        <f t="shared" si="3066"/>
        <v>8.4999999999999964E-2</v>
      </c>
      <c r="N7259">
        <f t="shared" si="3057"/>
        <v>0.16999999999999993</v>
      </c>
      <c r="O7259">
        <f t="shared" si="3067"/>
        <v>3.56</v>
      </c>
      <c r="P7259">
        <f t="shared" si="3068"/>
        <v>-0.52941176470588169</v>
      </c>
      <c r="Q7259" t="str">
        <f t="shared" si="3058"/>
        <v>1.12% | 3.65%</v>
      </c>
      <c r="R7259" t="str">
        <f t="shared" si="3069"/>
        <v>BULLISH</v>
      </c>
      <c r="S7259">
        <f t="shared" si="3070"/>
        <v>1</v>
      </c>
    </row>
    <row r="7260" spans="1:19" hidden="1" x14ac:dyDescent="0.25">
      <c r="A7260" s="5" t="str">
        <f t="shared" si="3071"/>
        <v>44228SILVER</v>
      </c>
      <c r="B7260" s="6" t="s">
        <v>195</v>
      </c>
      <c r="C7260" s="6">
        <v>25.74</v>
      </c>
      <c r="D7260" s="6">
        <v>30.86</v>
      </c>
      <c r="E7260" s="6">
        <v>26.91</v>
      </c>
      <c r="F7260" t="str">
        <f t="shared" si="3059"/>
        <v>MON</v>
      </c>
      <c r="G7260" s="3">
        <f t="shared" si="3060"/>
        <v>44228</v>
      </c>
      <c r="H7260" s="2">
        <f t="shared" ca="1" si="3061"/>
        <v>25</v>
      </c>
      <c r="I7260" t="str">
        <f t="shared" si="3062"/>
        <v>SILVER</v>
      </c>
      <c r="J7260">
        <f t="shared" si="3063"/>
        <v>25.74</v>
      </c>
      <c r="K7260">
        <f t="shared" si="3064"/>
        <v>30.86</v>
      </c>
      <c r="L7260">
        <f t="shared" si="3065"/>
        <v>28.299999999999997</v>
      </c>
      <c r="M7260">
        <f t="shared" si="3066"/>
        <v>2.5600000000000005</v>
      </c>
      <c r="N7260">
        <f t="shared" si="3057"/>
        <v>5.120000000000001</v>
      </c>
      <c r="O7260">
        <f t="shared" si="3067"/>
        <v>26.91</v>
      </c>
      <c r="P7260">
        <f t="shared" si="3068"/>
        <v>-0.54296874999999878</v>
      </c>
      <c r="Q7260" t="str">
        <f t="shared" si="3058"/>
        <v>4.35% | 14.68%</v>
      </c>
      <c r="R7260" t="str">
        <f t="shared" si="3069"/>
        <v>BULLISH</v>
      </c>
      <c r="S7260">
        <f t="shared" si="3070"/>
        <v>1</v>
      </c>
    </row>
    <row r="7261" spans="1:19" hidden="1" x14ac:dyDescent="0.25">
      <c r="A7261" s="5" t="str">
        <f t="shared" si="3071"/>
        <v>44228MSFT</v>
      </c>
      <c r="B7261" s="6" t="s">
        <v>27</v>
      </c>
      <c r="C7261" s="6">
        <v>226</v>
      </c>
      <c r="D7261" s="6">
        <v>241</v>
      </c>
      <c r="E7261" s="6">
        <v>231</v>
      </c>
      <c r="F7261" t="str">
        <f t="shared" si="3059"/>
        <v>MON</v>
      </c>
      <c r="G7261" s="3">
        <f t="shared" si="3060"/>
        <v>44228</v>
      </c>
      <c r="H7261" s="2">
        <f t="shared" ca="1" si="3061"/>
        <v>25</v>
      </c>
      <c r="I7261" t="str">
        <f t="shared" si="3062"/>
        <v>MSFT</v>
      </c>
      <c r="J7261">
        <f t="shared" si="3063"/>
        <v>226</v>
      </c>
      <c r="K7261">
        <f t="shared" si="3064"/>
        <v>241</v>
      </c>
      <c r="L7261">
        <f t="shared" si="3065"/>
        <v>233.5</v>
      </c>
      <c r="M7261">
        <f t="shared" si="3066"/>
        <v>7.5</v>
      </c>
      <c r="N7261">
        <f t="shared" si="3057"/>
        <v>15</v>
      </c>
      <c r="O7261">
        <f t="shared" si="3067"/>
        <v>231</v>
      </c>
      <c r="P7261">
        <f t="shared" si="3068"/>
        <v>-0.33333333333333331</v>
      </c>
      <c r="Q7261" t="str">
        <f t="shared" si="3058"/>
        <v>2.16% | 4.33%</v>
      </c>
      <c r="R7261" t="str">
        <f t="shared" si="3069"/>
        <v>BULLISH</v>
      </c>
      <c r="S7261">
        <f t="shared" si="3070"/>
        <v>1</v>
      </c>
    </row>
    <row r="7262" spans="1:19" hidden="1" x14ac:dyDescent="0.25">
      <c r="A7262" s="5" t="str">
        <f t="shared" si="3071"/>
        <v>44228AAPL</v>
      </c>
      <c r="B7262" s="6" t="s">
        <v>28</v>
      </c>
      <c r="C7262" s="6">
        <v>126</v>
      </c>
      <c r="D7262" s="6">
        <v>148</v>
      </c>
      <c r="E7262" s="6">
        <v>131</v>
      </c>
      <c r="F7262" t="str">
        <f t="shared" si="3059"/>
        <v>MON</v>
      </c>
      <c r="G7262" s="3">
        <f t="shared" si="3060"/>
        <v>44228</v>
      </c>
      <c r="H7262" s="2">
        <f t="shared" ca="1" si="3061"/>
        <v>25</v>
      </c>
      <c r="I7262" t="str">
        <f t="shared" si="3062"/>
        <v>AAPL</v>
      </c>
      <c r="J7262">
        <f t="shared" si="3063"/>
        <v>126</v>
      </c>
      <c r="K7262">
        <f t="shared" si="3064"/>
        <v>148</v>
      </c>
      <c r="L7262">
        <f t="shared" si="3065"/>
        <v>137</v>
      </c>
      <c r="M7262">
        <f t="shared" si="3066"/>
        <v>11</v>
      </c>
      <c r="N7262">
        <f t="shared" si="3057"/>
        <v>22</v>
      </c>
      <c r="O7262">
        <f t="shared" si="3067"/>
        <v>131</v>
      </c>
      <c r="P7262">
        <f t="shared" si="3068"/>
        <v>-0.54545454545454541</v>
      </c>
      <c r="Q7262" t="str">
        <f t="shared" si="3058"/>
        <v>3.82% | 12.98%</v>
      </c>
      <c r="R7262" t="str">
        <f t="shared" si="3069"/>
        <v>BULLISH</v>
      </c>
      <c r="S7262">
        <f t="shared" si="3070"/>
        <v>1</v>
      </c>
    </row>
    <row r="7263" spans="1:19" hidden="1" x14ac:dyDescent="0.25">
      <c r="A7263" s="5" t="str">
        <f t="shared" si="3071"/>
        <v>44228AMZN</v>
      </c>
      <c r="B7263" s="6" t="s">
        <v>29</v>
      </c>
      <c r="C7263" s="6">
        <v>3124</v>
      </c>
      <c r="D7263" s="6">
        <v>3376</v>
      </c>
      <c r="E7263" s="6">
        <v>3206</v>
      </c>
      <c r="F7263" t="str">
        <f t="shared" si="3059"/>
        <v>MON</v>
      </c>
      <c r="G7263" s="3">
        <f t="shared" si="3060"/>
        <v>44228</v>
      </c>
      <c r="H7263" s="2">
        <f t="shared" ca="1" si="3061"/>
        <v>25</v>
      </c>
      <c r="I7263" t="str">
        <f t="shared" si="3062"/>
        <v>AMZN</v>
      </c>
      <c r="J7263">
        <f t="shared" si="3063"/>
        <v>3124</v>
      </c>
      <c r="K7263">
        <f t="shared" si="3064"/>
        <v>3376</v>
      </c>
      <c r="L7263">
        <f t="shared" si="3065"/>
        <v>3250</v>
      </c>
      <c r="M7263">
        <f t="shared" si="3066"/>
        <v>126</v>
      </c>
      <c r="N7263">
        <f t="shared" si="3057"/>
        <v>252</v>
      </c>
      <c r="O7263">
        <f t="shared" si="3067"/>
        <v>3206</v>
      </c>
      <c r="P7263">
        <f t="shared" si="3068"/>
        <v>-0.34920634920634919</v>
      </c>
      <c r="Q7263" t="str">
        <f t="shared" si="3058"/>
        <v>2.56% | 5.3%</v>
      </c>
      <c r="R7263" t="str">
        <f t="shared" si="3069"/>
        <v>BULLISH</v>
      </c>
      <c r="S7263">
        <f t="shared" si="3070"/>
        <v>1</v>
      </c>
    </row>
    <row r="7264" spans="1:19" hidden="1" x14ac:dyDescent="0.25">
      <c r="A7264" s="5" t="str">
        <f t="shared" si="3071"/>
        <v>44228FB</v>
      </c>
      <c r="B7264" s="6" t="s">
        <v>157</v>
      </c>
      <c r="C7264" s="6">
        <v>249</v>
      </c>
      <c r="D7264" s="6">
        <v>285</v>
      </c>
      <c r="E7264" s="6">
        <v>258</v>
      </c>
      <c r="F7264" t="str">
        <f t="shared" si="3059"/>
        <v>MON</v>
      </c>
      <c r="G7264" s="3">
        <f t="shared" si="3060"/>
        <v>44228</v>
      </c>
      <c r="H7264" s="2">
        <f t="shared" ca="1" si="3061"/>
        <v>25</v>
      </c>
      <c r="I7264" t="str">
        <f t="shared" si="3062"/>
        <v>FB</v>
      </c>
      <c r="J7264">
        <f t="shared" si="3063"/>
        <v>249</v>
      </c>
      <c r="K7264">
        <f t="shared" si="3064"/>
        <v>285</v>
      </c>
      <c r="L7264">
        <f t="shared" si="3065"/>
        <v>267</v>
      </c>
      <c r="M7264">
        <f t="shared" si="3066"/>
        <v>18</v>
      </c>
      <c r="N7264">
        <f t="shared" si="3057"/>
        <v>36</v>
      </c>
      <c r="O7264">
        <f t="shared" si="3067"/>
        <v>258</v>
      </c>
      <c r="P7264">
        <f t="shared" si="3068"/>
        <v>-0.5</v>
      </c>
      <c r="Q7264" t="str">
        <f t="shared" si="3058"/>
        <v>3.49% | 10.47%</v>
      </c>
      <c r="R7264" t="str">
        <f t="shared" si="3069"/>
        <v>NEUTRAL</v>
      </c>
      <c r="S7264">
        <f t="shared" si="3070"/>
        <v>0</v>
      </c>
    </row>
    <row r="7265" spans="1:19" hidden="1" x14ac:dyDescent="0.25">
      <c r="A7265" s="5" t="str">
        <f t="shared" si="3071"/>
        <v>44228GOOGL</v>
      </c>
      <c r="B7265" s="6" t="s">
        <v>31</v>
      </c>
      <c r="C7265" s="6">
        <v>1771</v>
      </c>
      <c r="D7265" s="6">
        <v>1941</v>
      </c>
      <c r="E7265" s="6">
        <v>1827</v>
      </c>
      <c r="F7265" t="str">
        <f t="shared" si="3059"/>
        <v>MON</v>
      </c>
      <c r="G7265" s="3">
        <f t="shared" si="3060"/>
        <v>44228</v>
      </c>
      <c r="H7265" s="2">
        <f t="shared" ca="1" si="3061"/>
        <v>25</v>
      </c>
      <c r="I7265" t="str">
        <f t="shared" si="3062"/>
        <v>GOOGL</v>
      </c>
      <c r="J7265">
        <f t="shared" si="3063"/>
        <v>1771</v>
      </c>
      <c r="K7265">
        <f t="shared" si="3064"/>
        <v>1941</v>
      </c>
      <c r="L7265">
        <f t="shared" si="3065"/>
        <v>1856</v>
      </c>
      <c r="M7265">
        <f t="shared" si="3066"/>
        <v>85</v>
      </c>
      <c r="N7265">
        <f t="shared" si="3057"/>
        <v>170</v>
      </c>
      <c r="O7265">
        <f t="shared" si="3067"/>
        <v>1827</v>
      </c>
      <c r="P7265">
        <f t="shared" si="3068"/>
        <v>-0.3411764705882353</v>
      </c>
      <c r="Q7265" t="str">
        <f t="shared" si="3058"/>
        <v>3.07% | 6.24%</v>
      </c>
      <c r="R7265" t="str">
        <f t="shared" si="3069"/>
        <v>BULLISH</v>
      </c>
      <c r="S7265">
        <f t="shared" si="3070"/>
        <v>1</v>
      </c>
    </row>
    <row r="7266" spans="1:19" hidden="1" x14ac:dyDescent="0.25">
      <c r="A7266" s="5" t="str">
        <f t="shared" si="3071"/>
        <v>44228NFLX</v>
      </c>
      <c r="B7266" s="6" t="s">
        <v>32</v>
      </c>
      <c r="C7266" s="6">
        <v>495</v>
      </c>
      <c r="D7266" s="6">
        <v>602</v>
      </c>
      <c r="E7266" s="6">
        <v>532</v>
      </c>
      <c r="F7266" t="str">
        <f t="shared" si="3059"/>
        <v>MON</v>
      </c>
      <c r="G7266" s="3">
        <f t="shared" si="3060"/>
        <v>44228</v>
      </c>
      <c r="H7266" s="2">
        <f t="shared" ca="1" si="3061"/>
        <v>25</v>
      </c>
      <c r="I7266" t="str">
        <f t="shared" si="3062"/>
        <v>NFLX</v>
      </c>
      <c r="J7266">
        <f t="shared" si="3063"/>
        <v>495</v>
      </c>
      <c r="K7266">
        <f t="shared" si="3064"/>
        <v>602</v>
      </c>
      <c r="L7266">
        <f t="shared" si="3065"/>
        <v>548.5</v>
      </c>
      <c r="M7266">
        <f t="shared" si="3066"/>
        <v>53.5</v>
      </c>
      <c r="N7266">
        <f t="shared" si="3057"/>
        <v>107</v>
      </c>
      <c r="O7266">
        <f t="shared" si="3067"/>
        <v>532</v>
      </c>
      <c r="P7266">
        <f t="shared" si="3068"/>
        <v>-0.30841121495327101</v>
      </c>
      <c r="Q7266" t="str">
        <f t="shared" si="3058"/>
        <v>6.95% | 13.16%</v>
      </c>
      <c r="R7266" t="str">
        <f t="shared" si="3069"/>
        <v>BULLISH</v>
      </c>
      <c r="S7266">
        <f t="shared" si="3070"/>
        <v>1</v>
      </c>
    </row>
    <row r="7267" spans="1:19" x14ac:dyDescent="0.25">
      <c r="A7267" s="5" t="str">
        <f t="shared" si="3071"/>
        <v>44228TSLA</v>
      </c>
      <c r="B7267" s="6" t="s">
        <v>33</v>
      </c>
      <c r="C7267" s="6">
        <v>776</v>
      </c>
      <c r="D7267" s="6">
        <v>901</v>
      </c>
      <c r="E7267" s="6">
        <v>793</v>
      </c>
      <c r="F7267" t="str">
        <f t="shared" si="3059"/>
        <v>MON</v>
      </c>
      <c r="G7267" s="3">
        <f t="shared" si="3060"/>
        <v>44228</v>
      </c>
      <c r="H7267" s="2">
        <f t="shared" ca="1" si="3061"/>
        <v>25</v>
      </c>
      <c r="I7267" t="str">
        <f t="shared" si="3062"/>
        <v>TSLA</v>
      </c>
      <c r="J7267">
        <f t="shared" si="3063"/>
        <v>776</v>
      </c>
      <c r="K7267">
        <f t="shared" si="3064"/>
        <v>901</v>
      </c>
      <c r="L7267">
        <f t="shared" si="3065"/>
        <v>838.5</v>
      </c>
      <c r="M7267">
        <f t="shared" si="3066"/>
        <v>62.5</v>
      </c>
      <c r="N7267">
        <f t="shared" si="3057"/>
        <v>125</v>
      </c>
      <c r="O7267">
        <f t="shared" si="3067"/>
        <v>793</v>
      </c>
      <c r="P7267">
        <f t="shared" si="3068"/>
        <v>-0.72799999999999998</v>
      </c>
      <c r="Q7267" t="str">
        <f t="shared" si="3058"/>
        <v>2.14% | 13.62%</v>
      </c>
      <c r="R7267" t="str">
        <f t="shared" si="3069"/>
        <v>BULLISH</v>
      </c>
      <c r="S7267">
        <f t="shared" si="3070"/>
        <v>1</v>
      </c>
    </row>
    <row r="7268" spans="1:19" hidden="1" x14ac:dyDescent="0.25">
      <c r="A7268" s="5" t="str">
        <f t="shared" si="3071"/>
        <v>44228NYXBT</v>
      </c>
      <c r="B7268" s="6" t="s">
        <v>60</v>
      </c>
      <c r="C7268" s="6">
        <v>30801</v>
      </c>
      <c r="D7268" s="6">
        <v>39163</v>
      </c>
      <c r="E7268" s="6">
        <v>37112</v>
      </c>
      <c r="F7268" t="str">
        <f t="shared" si="3059"/>
        <v>MON</v>
      </c>
      <c r="G7268" s="3">
        <f t="shared" si="3060"/>
        <v>44228</v>
      </c>
      <c r="H7268" s="2">
        <f t="shared" ca="1" si="3061"/>
        <v>25</v>
      </c>
      <c r="I7268" t="str">
        <f t="shared" si="3062"/>
        <v>NYXBT</v>
      </c>
      <c r="J7268">
        <f t="shared" si="3063"/>
        <v>30801</v>
      </c>
      <c r="K7268">
        <f t="shared" si="3064"/>
        <v>39163</v>
      </c>
      <c r="L7268">
        <f t="shared" si="3065"/>
        <v>34982</v>
      </c>
      <c r="M7268">
        <f t="shared" si="3066"/>
        <v>4181</v>
      </c>
      <c r="N7268">
        <f t="shared" si="3057"/>
        <v>8362</v>
      </c>
      <c r="O7268">
        <f t="shared" si="3067"/>
        <v>37112</v>
      </c>
      <c r="P7268">
        <f t="shared" si="3068"/>
        <v>0.50944750059794308</v>
      </c>
      <c r="Q7268" t="str">
        <f t="shared" si="3058"/>
        <v>17.01% | 5.53%</v>
      </c>
      <c r="R7268" t="str">
        <f t="shared" si="3069"/>
        <v>BULLISH</v>
      </c>
      <c r="S7268">
        <f t="shared" si="3070"/>
        <v>1</v>
      </c>
    </row>
    <row r="7269" spans="1:19" hidden="1" x14ac:dyDescent="0.25">
      <c r="A7269" s="5" t="str">
        <f t="shared" si="3071"/>
        <v>44229UST10Y</v>
      </c>
      <c r="B7269" s="6" t="s">
        <v>257</v>
      </c>
      <c r="C7269" s="6">
        <v>1.1599999999999999</v>
      </c>
      <c r="D7269" s="6">
        <v>1.04</v>
      </c>
      <c r="E7269" s="6">
        <v>1.0900000000000001</v>
      </c>
      <c r="F7269" t="str">
        <f t="shared" si="3059"/>
        <v>TUE</v>
      </c>
      <c r="G7269" s="1">
        <f>DATE(2021,2,2)</f>
        <v>44229</v>
      </c>
      <c r="H7269" s="2">
        <f t="shared" ca="1" si="3061"/>
        <v>24</v>
      </c>
      <c r="I7269" t="str">
        <f t="shared" si="3062"/>
        <v>UST10Y</v>
      </c>
      <c r="J7269">
        <f t="shared" si="3063"/>
        <v>1.1599999999999999</v>
      </c>
      <c r="K7269">
        <f t="shared" si="3064"/>
        <v>1.04</v>
      </c>
      <c r="L7269">
        <f t="shared" si="3065"/>
        <v>1.1000000000000001</v>
      </c>
      <c r="M7269">
        <f t="shared" si="3066"/>
        <v>5.9999999999999942E-2</v>
      </c>
      <c r="N7269">
        <f t="shared" si="3057"/>
        <v>0.11999999999999988</v>
      </c>
      <c r="O7269">
        <f t="shared" si="3067"/>
        <v>1.0900000000000001</v>
      </c>
      <c r="P7269">
        <f t="shared" si="3068"/>
        <v>-0.16666666666666696</v>
      </c>
      <c r="Q7269" t="str">
        <f t="shared" si="3058"/>
        <v>6.42% | 4.59%</v>
      </c>
      <c r="R7269" t="str">
        <f t="shared" si="3069"/>
        <v>BULLISH</v>
      </c>
      <c r="S7269">
        <f t="shared" si="3070"/>
        <v>1</v>
      </c>
    </row>
    <row r="7270" spans="1:19" hidden="1" x14ac:dyDescent="0.25">
      <c r="A7270" s="5" t="str">
        <f t="shared" si="3071"/>
        <v>44229UST2Y</v>
      </c>
      <c r="B7270" s="6" t="s">
        <v>253</v>
      </c>
      <c r="C7270" s="6">
        <v>0.15</v>
      </c>
      <c r="D7270" s="6">
        <v>0.1</v>
      </c>
      <c r="E7270" s="6">
        <v>0.11</v>
      </c>
      <c r="F7270" t="str">
        <f t="shared" ref="F7270:F7301" si="3072">UPPER(TEXT(G7270,"ddd"))</f>
        <v>TUE</v>
      </c>
      <c r="G7270" s="1">
        <f t="shared" ref="G7270:G7300" si="3073">DATE(2021,2,2)</f>
        <v>44229</v>
      </c>
      <c r="H7270" s="2">
        <f t="shared" ref="H7270:H7301" ca="1" si="3074">TODAY()-G7270</f>
        <v>24</v>
      </c>
      <c r="I7270" t="str">
        <f t="shared" ref="I7270:I7301" si="3075">TRIM(LEFT(B7270,FIND(" ",B7270,1)))</f>
        <v>UST2Y</v>
      </c>
      <c r="J7270">
        <f t="shared" ref="J7270:J7301" si="3076">C7270</f>
        <v>0.15</v>
      </c>
      <c r="K7270">
        <f t="shared" ref="K7270:K7301" si="3077">D7270</f>
        <v>0.1</v>
      </c>
      <c r="L7270">
        <f t="shared" ref="L7270:L7301" si="3078">AVERAGE(J7270:K7270)</f>
        <v>0.125</v>
      </c>
      <c r="M7270">
        <f t="shared" ref="M7270:M7301" si="3079">_xlfn.STDEV.P(J7270:K7270)</f>
        <v>2.5000000000000012E-2</v>
      </c>
      <c r="N7270">
        <f t="shared" si="3057"/>
        <v>4.9999999999999989E-2</v>
      </c>
      <c r="O7270">
        <f t="shared" ref="O7270:O7301" si="3080">E7270</f>
        <v>0.11</v>
      </c>
      <c r="P7270">
        <f t="shared" ref="P7270:P7301" si="3081">(O7270-L7270)/M7270</f>
        <v>-0.59999999999999964</v>
      </c>
      <c r="Q7270" t="str">
        <f t="shared" si="3058"/>
        <v>36.36% | 9.09%</v>
      </c>
      <c r="R7270" t="str">
        <f t="shared" ref="R7270:R7301" si="3082">MID(B7270,FIND("(",B7270,1)+1,FIND(")",B7270,1)-FIND("(",B7270,1)-1)</f>
        <v>NEUTRAL</v>
      </c>
      <c r="S7270">
        <f t="shared" ref="S7270:S7301" si="3083">IF(R7270="BEARISH",-1,IF(R7270="NEUTRAL",0,IF(R7270="BULLISH",1,99)))</f>
        <v>0</v>
      </c>
    </row>
    <row r="7271" spans="1:19" hidden="1" x14ac:dyDescent="0.25">
      <c r="A7271" s="5" t="str">
        <f t="shared" si="3071"/>
        <v>44229SPX</v>
      </c>
      <c r="B7271" s="6" t="s">
        <v>93</v>
      </c>
      <c r="C7271" s="6">
        <v>3705</v>
      </c>
      <c r="D7271" s="6">
        <v>3910</v>
      </c>
      <c r="E7271" s="6">
        <v>3773</v>
      </c>
      <c r="F7271" t="str">
        <f t="shared" si="3072"/>
        <v>TUE</v>
      </c>
      <c r="G7271" s="1">
        <f t="shared" si="3073"/>
        <v>44229</v>
      </c>
      <c r="H7271" s="2">
        <f t="shared" ca="1" si="3074"/>
        <v>24</v>
      </c>
      <c r="I7271" t="str">
        <f t="shared" si="3075"/>
        <v>SPX</v>
      </c>
      <c r="J7271">
        <f t="shared" si="3076"/>
        <v>3705</v>
      </c>
      <c r="K7271">
        <f t="shared" si="3077"/>
        <v>3910</v>
      </c>
      <c r="L7271">
        <f t="shared" si="3078"/>
        <v>3807.5</v>
      </c>
      <c r="M7271">
        <f t="shared" si="3079"/>
        <v>102.5</v>
      </c>
      <c r="N7271">
        <f t="shared" si="3057"/>
        <v>205</v>
      </c>
      <c r="O7271">
        <f t="shared" si="3080"/>
        <v>3773</v>
      </c>
      <c r="P7271">
        <f t="shared" si="3081"/>
        <v>-0.33658536585365856</v>
      </c>
      <c r="Q7271" t="str">
        <f t="shared" si="3058"/>
        <v>1.8% | 3.63%</v>
      </c>
      <c r="R7271" t="str">
        <f t="shared" si="3082"/>
        <v>BULLISH</v>
      </c>
      <c r="S7271">
        <f t="shared" si="3083"/>
        <v>1</v>
      </c>
    </row>
    <row r="7272" spans="1:19" hidden="1" x14ac:dyDescent="0.25">
      <c r="A7272" s="5" t="str">
        <f t="shared" si="3071"/>
        <v>44229RUT</v>
      </c>
      <c r="B7272" s="6" t="s">
        <v>247</v>
      </c>
      <c r="C7272" s="6">
        <v>2077</v>
      </c>
      <c r="D7272" s="6">
        <v>2196</v>
      </c>
      <c r="E7272" s="6">
        <v>2126</v>
      </c>
      <c r="F7272" t="str">
        <f t="shared" si="3072"/>
        <v>TUE</v>
      </c>
      <c r="G7272" s="1">
        <f t="shared" si="3073"/>
        <v>44229</v>
      </c>
      <c r="H7272" s="2">
        <f t="shared" ca="1" si="3074"/>
        <v>24</v>
      </c>
      <c r="I7272" t="str">
        <f t="shared" si="3075"/>
        <v>RUT</v>
      </c>
      <c r="J7272">
        <f t="shared" si="3076"/>
        <v>2077</v>
      </c>
      <c r="K7272">
        <f t="shared" si="3077"/>
        <v>2196</v>
      </c>
      <c r="L7272">
        <f t="shared" si="3078"/>
        <v>2136.5</v>
      </c>
      <c r="M7272">
        <f t="shared" si="3079"/>
        <v>59.5</v>
      </c>
      <c r="N7272">
        <f t="shared" si="3057"/>
        <v>119</v>
      </c>
      <c r="O7272">
        <f t="shared" si="3080"/>
        <v>2126</v>
      </c>
      <c r="P7272">
        <f t="shared" si="3081"/>
        <v>-0.17647058823529413</v>
      </c>
      <c r="Q7272" t="str">
        <f t="shared" si="3058"/>
        <v>2.3% | 3.29%</v>
      </c>
      <c r="R7272" t="str">
        <f t="shared" si="3082"/>
        <v>BULLISH</v>
      </c>
      <c r="S7272">
        <f t="shared" si="3083"/>
        <v>1</v>
      </c>
    </row>
    <row r="7273" spans="1:19" hidden="1" x14ac:dyDescent="0.25">
      <c r="A7273" s="5" t="str">
        <f t="shared" si="3071"/>
        <v>44229COMPQ</v>
      </c>
      <c r="B7273" s="6" t="s">
        <v>8</v>
      </c>
      <c r="C7273" s="6">
        <v>13083</v>
      </c>
      <c r="D7273" s="6">
        <v>13785</v>
      </c>
      <c r="E7273" s="6">
        <v>13403</v>
      </c>
      <c r="F7273" t="str">
        <f t="shared" si="3072"/>
        <v>TUE</v>
      </c>
      <c r="G7273" s="1">
        <f t="shared" si="3073"/>
        <v>44229</v>
      </c>
      <c r="H7273" s="2">
        <f t="shared" ca="1" si="3074"/>
        <v>24</v>
      </c>
      <c r="I7273" t="str">
        <f t="shared" si="3075"/>
        <v>COMPQ</v>
      </c>
      <c r="J7273">
        <f t="shared" si="3076"/>
        <v>13083</v>
      </c>
      <c r="K7273">
        <f t="shared" si="3077"/>
        <v>13785</v>
      </c>
      <c r="L7273">
        <f t="shared" si="3078"/>
        <v>13434</v>
      </c>
      <c r="M7273">
        <f t="shared" si="3079"/>
        <v>351</v>
      </c>
      <c r="N7273">
        <f t="shared" si="3057"/>
        <v>702</v>
      </c>
      <c r="O7273">
        <f t="shared" si="3080"/>
        <v>13403</v>
      </c>
      <c r="P7273">
        <f t="shared" si="3081"/>
        <v>-8.8319088319088315E-2</v>
      </c>
      <c r="Q7273" t="str">
        <f t="shared" si="3058"/>
        <v>2.39% | 2.85%</v>
      </c>
      <c r="R7273" t="str">
        <f t="shared" si="3082"/>
        <v>BULLISH</v>
      </c>
      <c r="S7273">
        <f t="shared" si="3083"/>
        <v>1</v>
      </c>
    </row>
    <row r="7274" spans="1:19" hidden="1" x14ac:dyDescent="0.25">
      <c r="A7274" s="5" t="str">
        <f t="shared" si="3071"/>
        <v>44229XLK</v>
      </c>
      <c r="B7274" s="6" t="s">
        <v>10</v>
      </c>
      <c r="C7274" s="6">
        <v>128.32</v>
      </c>
      <c r="D7274" s="6">
        <v>135.52000000000001</v>
      </c>
      <c r="E7274" s="6">
        <v>132.16</v>
      </c>
      <c r="F7274" t="str">
        <f t="shared" si="3072"/>
        <v>TUE</v>
      </c>
      <c r="G7274" s="1">
        <f t="shared" si="3073"/>
        <v>44229</v>
      </c>
      <c r="H7274" s="2">
        <f t="shared" ca="1" si="3074"/>
        <v>24</v>
      </c>
      <c r="I7274" t="str">
        <f t="shared" si="3075"/>
        <v>XLK</v>
      </c>
      <c r="J7274">
        <f t="shared" si="3076"/>
        <v>128.32</v>
      </c>
      <c r="K7274">
        <f t="shared" si="3077"/>
        <v>135.52000000000001</v>
      </c>
      <c r="L7274">
        <f t="shared" si="3078"/>
        <v>131.92000000000002</v>
      </c>
      <c r="M7274">
        <f t="shared" si="3079"/>
        <v>3.6000000000000085</v>
      </c>
      <c r="N7274">
        <f t="shared" si="3057"/>
        <v>7.2000000000000171</v>
      </c>
      <c r="O7274">
        <f t="shared" si="3080"/>
        <v>132.16</v>
      </c>
      <c r="P7274">
        <f t="shared" si="3081"/>
        <v>6.6666666666661142E-2</v>
      </c>
      <c r="Q7274" t="str">
        <f t="shared" si="3058"/>
        <v>2.91% | 2.54%</v>
      </c>
      <c r="R7274" t="str">
        <f t="shared" si="3082"/>
        <v>BULLISH</v>
      </c>
      <c r="S7274">
        <f t="shared" si="3083"/>
        <v>1</v>
      </c>
    </row>
    <row r="7275" spans="1:19" hidden="1" x14ac:dyDescent="0.25">
      <c r="A7275" s="5" t="str">
        <f t="shared" si="3071"/>
        <v>44229XLE</v>
      </c>
      <c r="B7275" s="6" t="s">
        <v>250</v>
      </c>
      <c r="C7275" s="6">
        <v>38.4</v>
      </c>
      <c r="D7275" s="6">
        <v>44.01</v>
      </c>
      <c r="E7275" s="6">
        <v>39.6</v>
      </c>
      <c r="F7275" t="str">
        <f t="shared" si="3072"/>
        <v>TUE</v>
      </c>
      <c r="G7275" s="1">
        <f t="shared" si="3073"/>
        <v>44229</v>
      </c>
      <c r="H7275" s="2">
        <f t="shared" ca="1" si="3074"/>
        <v>24</v>
      </c>
      <c r="I7275" t="str">
        <f t="shared" si="3075"/>
        <v>XLE</v>
      </c>
      <c r="J7275">
        <f t="shared" si="3076"/>
        <v>38.4</v>
      </c>
      <c r="K7275">
        <f t="shared" si="3077"/>
        <v>44.01</v>
      </c>
      <c r="L7275">
        <f t="shared" si="3078"/>
        <v>41.204999999999998</v>
      </c>
      <c r="M7275">
        <f t="shared" si="3079"/>
        <v>2.8049999999999997</v>
      </c>
      <c r="N7275">
        <f t="shared" si="3057"/>
        <v>5.6099999999999994</v>
      </c>
      <c r="O7275">
        <f t="shared" si="3080"/>
        <v>39.6</v>
      </c>
      <c r="P7275">
        <f t="shared" si="3081"/>
        <v>-0.57219251336898291</v>
      </c>
      <c r="Q7275" t="str">
        <f t="shared" si="3058"/>
        <v>3.03% | 11.14%</v>
      </c>
      <c r="R7275" t="str">
        <f t="shared" si="3082"/>
        <v>BULLISH</v>
      </c>
      <c r="S7275">
        <f t="shared" si="3083"/>
        <v>1</v>
      </c>
    </row>
    <row r="7276" spans="1:19" hidden="1" x14ac:dyDescent="0.25">
      <c r="A7276" s="5" t="str">
        <f t="shared" si="3071"/>
        <v>44229XLU</v>
      </c>
      <c r="B7276" s="6" t="s">
        <v>82</v>
      </c>
      <c r="C7276" s="6">
        <v>61.44</v>
      </c>
      <c r="D7276" s="6">
        <v>64.13</v>
      </c>
      <c r="E7276" s="6">
        <v>62.45</v>
      </c>
      <c r="F7276" t="str">
        <f t="shared" si="3072"/>
        <v>TUE</v>
      </c>
      <c r="G7276" s="1">
        <f t="shared" si="3073"/>
        <v>44229</v>
      </c>
      <c r="H7276" s="2">
        <f t="shared" ca="1" si="3074"/>
        <v>24</v>
      </c>
      <c r="I7276" t="str">
        <f t="shared" si="3075"/>
        <v>XLU</v>
      </c>
      <c r="J7276">
        <f t="shared" si="3076"/>
        <v>61.44</v>
      </c>
      <c r="K7276">
        <f t="shared" si="3077"/>
        <v>64.13</v>
      </c>
      <c r="L7276">
        <f t="shared" si="3078"/>
        <v>62.784999999999997</v>
      </c>
      <c r="M7276">
        <f t="shared" si="3079"/>
        <v>1.3449999999999989</v>
      </c>
      <c r="N7276">
        <f t="shared" si="3057"/>
        <v>2.6899999999999977</v>
      </c>
      <c r="O7276">
        <f t="shared" si="3080"/>
        <v>62.45</v>
      </c>
      <c r="P7276">
        <f t="shared" si="3081"/>
        <v>-0.24907063197025578</v>
      </c>
      <c r="Q7276" t="str">
        <f t="shared" si="3058"/>
        <v>1.62% | 2.69%</v>
      </c>
      <c r="R7276" t="str">
        <f t="shared" si="3082"/>
        <v>BEARISH</v>
      </c>
      <c r="S7276">
        <f t="shared" si="3083"/>
        <v>-1</v>
      </c>
    </row>
    <row r="7277" spans="1:19" hidden="1" x14ac:dyDescent="0.25">
      <c r="A7277" s="5" t="str">
        <f t="shared" si="3071"/>
        <v>44229GDX</v>
      </c>
      <c r="B7277" s="6" t="s">
        <v>254</v>
      </c>
      <c r="C7277" s="6">
        <v>33.64</v>
      </c>
      <c r="D7277" s="6">
        <v>36.54</v>
      </c>
      <c r="E7277" s="6">
        <v>35.68</v>
      </c>
      <c r="F7277" t="str">
        <f t="shared" si="3072"/>
        <v>TUE</v>
      </c>
      <c r="G7277" s="1">
        <f t="shared" si="3073"/>
        <v>44229</v>
      </c>
      <c r="H7277" s="2">
        <f t="shared" ca="1" si="3074"/>
        <v>24</v>
      </c>
      <c r="I7277" t="str">
        <f t="shared" si="3075"/>
        <v>GDX</v>
      </c>
      <c r="J7277">
        <f t="shared" si="3076"/>
        <v>33.64</v>
      </c>
      <c r="K7277">
        <f t="shared" si="3077"/>
        <v>36.54</v>
      </c>
      <c r="L7277">
        <f t="shared" si="3078"/>
        <v>35.090000000000003</v>
      </c>
      <c r="M7277">
        <f t="shared" si="3079"/>
        <v>1.4499999999999993</v>
      </c>
      <c r="N7277">
        <f t="shared" si="3057"/>
        <v>2.8999999999999986</v>
      </c>
      <c r="O7277">
        <f t="shared" si="3080"/>
        <v>35.68</v>
      </c>
      <c r="P7277">
        <f t="shared" si="3081"/>
        <v>0.40689655172413558</v>
      </c>
      <c r="Q7277" t="str">
        <f t="shared" si="3058"/>
        <v>5.72% | 2.41%</v>
      </c>
      <c r="R7277" t="str">
        <f t="shared" si="3082"/>
        <v>BEARISH</v>
      </c>
      <c r="S7277">
        <f t="shared" si="3083"/>
        <v>-1</v>
      </c>
    </row>
    <row r="7278" spans="1:19" hidden="1" x14ac:dyDescent="0.25">
      <c r="A7278" s="5" t="str">
        <f t="shared" si="3071"/>
        <v>44229SSEC</v>
      </c>
      <c r="B7278" s="6" t="s">
        <v>104</v>
      </c>
      <c r="C7278" s="6">
        <v>3460</v>
      </c>
      <c r="D7278" s="6">
        <v>3665</v>
      </c>
      <c r="E7278" s="6">
        <v>3533</v>
      </c>
      <c r="F7278" t="str">
        <f t="shared" si="3072"/>
        <v>TUE</v>
      </c>
      <c r="G7278" s="1">
        <f t="shared" si="3073"/>
        <v>44229</v>
      </c>
      <c r="H7278" s="2">
        <f t="shared" ca="1" si="3074"/>
        <v>24</v>
      </c>
      <c r="I7278" t="str">
        <f t="shared" si="3075"/>
        <v>SSEC</v>
      </c>
      <c r="J7278">
        <f t="shared" si="3076"/>
        <v>3460</v>
      </c>
      <c r="K7278">
        <f t="shared" si="3077"/>
        <v>3665</v>
      </c>
      <c r="L7278">
        <f t="shared" si="3078"/>
        <v>3562.5</v>
      </c>
      <c r="M7278">
        <f t="shared" si="3079"/>
        <v>102.5</v>
      </c>
      <c r="N7278">
        <f t="shared" si="3057"/>
        <v>205</v>
      </c>
      <c r="O7278">
        <f t="shared" si="3080"/>
        <v>3533</v>
      </c>
      <c r="P7278">
        <f t="shared" si="3081"/>
        <v>-0.28780487804878047</v>
      </c>
      <c r="Q7278" t="str">
        <f t="shared" si="3058"/>
        <v>2.07% | 3.74%</v>
      </c>
      <c r="R7278" t="str">
        <f t="shared" si="3082"/>
        <v>BULLISH</v>
      </c>
      <c r="S7278">
        <f t="shared" si="3083"/>
        <v>1</v>
      </c>
    </row>
    <row r="7279" spans="1:19" hidden="1" x14ac:dyDescent="0.25">
      <c r="A7279" s="5" t="str">
        <f t="shared" si="3071"/>
        <v>44229NIKK</v>
      </c>
      <c r="B7279" s="6" t="s">
        <v>91</v>
      </c>
      <c r="C7279" s="6">
        <v>27703</v>
      </c>
      <c r="D7279" s="6">
        <v>29140</v>
      </c>
      <c r="E7279" s="6">
        <v>28362</v>
      </c>
      <c r="F7279" t="str">
        <f t="shared" si="3072"/>
        <v>TUE</v>
      </c>
      <c r="G7279" s="1">
        <f t="shared" si="3073"/>
        <v>44229</v>
      </c>
      <c r="H7279" s="2">
        <f t="shared" ca="1" si="3074"/>
        <v>24</v>
      </c>
      <c r="I7279" t="str">
        <f t="shared" si="3075"/>
        <v>NIKK</v>
      </c>
      <c r="J7279">
        <f t="shared" si="3076"/>
        <v>27703</v>
      </c>
      <c r="K7279">
        <f t="shared" si="3077"/>
        <v>29140</v>
      </c>
      <c r="L7279">
        <f t="shared" si="3078"/>
        <v>28421.5</v>
      </c>
      <c r="M7279">
        <f t="shared" si="3079"/>
        <v>718.5</v>
      </c>
      <c r="N7279">
        <f t="shared" si="3057"/>
        <v>1437</v>
      </c>
      <c r="O7279">
        <f t="shared" si="3080"/>
        <v>28362</v>
      </c>
      <c r="P7279">
        <f t="shared" si="3081"/>
        <v>-8.2811412665274878E-2</v>
      </c>
      <c r="Q7279" t="str">
        <f t="shared" si="3058"/>
        <v>2.32% | 2.74%</v>
      </c>
      <c r="R7279" t="str">
        <f t="shared" si="3082"/>
        <v>BULLISH</v>
      </c>
      <c r="S7279">
        <f t="shared" si="3083"/>
        <v>1</v>
      </c>
    </row>
    <row r="7280" spans="1:19" hidden="1" x14ac:dyDescent="0.25">
      <c r="A7280" s="5" t="str">
        <f t="shared" si="3071"/>
        <v>44229DAX</v>
      </c>
      <c r="B7280" s="6" t="s">
        <v>98</v>
      </c>
      <c r="C7280" s="6">
        <v>13417</v>
      </c>
      <c r="D7280" s="6">
        <v>14051</v>
      </c>
      <c r="E7280" s="6">
        <v>13622</v>
      </c>
      <c r="F7280" t="str">
        <f t="shared" si="3072"/>
        <v>TUE</v>
      </c>
      <c r="G7280" s="1">
        <f t="shared" si="3073"/>
        <v>44229</v>
      </c>
      <c r="H7280" s="2">
        <f t="shared" ca="1" si="3074"/>
        <v>24</v>
      </c>
      <c r="I7280" t="str">
        <f t="shared" si="3075"/>
        <v>DAX</v>
      </c>
      <c r="J7280">
        <f t="shared" si="3076"/>
        <v>13417</v>
      </c>
      <c r="K7280">
        <f t="shared" si="3077"/>
        <v>14051</v>
      </c>
      <c r="L7280">
        <f t="shared" si="3078"/>
        <v>13734</v>
      </c>
      <c r="M7280">
        <f t="shared" si="3079"/>
        <v>317</v>
      </c>
      <c r="N7280">
        <f t="shared" si="3057"/>
        <v>634</v>
      </c>
      <c r="O7280">
        <f t="shared" si="3080"/>
        <v>13622</v>
      </c>
      <c r="P7280">
        <f t="shared" si="3081"/>
        <v>-0.35331230283911674</v>
      </c>
      <c r="Q7280" t="str">
        <f t="shared" si="3058"/>
        <v>1.5% | 3.15%</v>
      </c>
      <c r="R7280" t="str">
        <f t="shared" si="3082"/>
        <v>BULLISH</v>
      </c>
      <c r="S7280">
        <f t="shared" si="3083"/>
        <v>1</v>
      </c>
    </row>
    <row r="7281" spans="1:19" hidden="1" x14ac:dyDescent="0.25">
      <c r="A7281" s="5" t="str">
        <f t="shared" si="3071"/>
        <v>44229VIX</v>
      </c>
      <c r="B7281" s="6" t="s">
        <v>96</v>
      </c>
      <c r="C7281" s="6">
        <v>18.71</v>
      </c>
      <c r="D7281" s="6">
        <v>37.020000000000003</v>
      </c>
      <c r="E7281" s="6">
        <v>30.24</v>
      </c>
      <c r="F7281" t="str">
        <f t="shared" si="3072"/>
        <v>TUE</v>
      </c>
      <c r="G7281" s="1">
        <f t="shared" si="3073"/>
        <v>44229</v>
      </c>
      <c r="H7281" s="2">
        <f t="shared" ca="1" si="3074"/>
        <v>24</v>
      </c>
      <c r="I7281" t="str">
        <f t="shared" si="3075"/>
        <v>VIX</v>
      </c>
      <c r="J7281">
        <f t="shared" si="3076"/>
        <v>18.71</v>
      </c>
      <c r="K7281">
        <f t="shared" si="3077"/>
        <v>37.020000000000003</v>
      </c>
      <c r="L7281">
        <f t="shared" si="3078"/>
        <v>27.865000000000002</v>
      </c>
      <c r="M7281">
        <f t="shared" si="3079"/>
        <v>9.1550000000000011</v>
      </c>
      <c r="N7281">
        <f t="shared" si="3057"/>
        <v>18.310000000000002</v>
      </c>
      <c r="O7281">
        <f t="shared" si="3080"/>
        <v>30.24</v>
      </c>
      <c r="P7281">
        <f t="shared" si="3081"/>
        <v>0.25942108137629666</v>
      </c>
      <c r="Q7281" t="str">
        <f t="shared" si="3058"/>
        <v>38.13% | 22.42%</v>
      </c>
      <c r="R7281" t="str">
        <f t="shared" si="3082"/>
        <v>BEARISH</v>
      </c>
      <c r="S7281">
        <f t="shared" si="3083"/>
        <v>-1</v>
      </c>
    </row>
    <row r="7282" spans="1:19" hidden="1" x14ac:dyDescent="0.25">
      <c r="A7282" s="5" t="str">
        <f t="shared" si="3071"/>
        <v>44229USD</v>
      </c>
      <c r="B7282" s="6" t="s">
        <v>94</v>
      </c>
      <c r="C7282" s="6">
        <v>89.81</v>
      </c>
      <c r="D7282" s="6">
        <v>91.16</v>
      </c>
      <c r="E7282" s="6">
        <v>91.04</v>
      </c>
      <c r="F7282" t="str">
        <f t="shared" si="3072"/>
        <v>TUE</v>
      </c>
      <c r="G7282" s="1">
        <f t="shared" si="3073"/>
        <v>44229</v>
      </c>
      <c r="H7282" s="2">
        <f t="shared" ca="1" si="3074"/>
        <v>24</v>
      </c>
      <c r="I7282" t="str">
        <f t="shared" si="3075"/>
        <v>USD</v>
      </c>
      <c r="J7282">
        <f t="shared" si="3076"/>
        <v>89.81</v>
      </c>
      <c r="K7282">
        <f t="shared" si="3077"/>
        <v>91.16</v>
      </c>
      <c r="L7282">
        <f t="shared" si="3078"/>
        <v>90.484999999999999</v>
      </c>
      <c r="M7282">
        <f t="shared" si="3079"/>
        <v>0.67499999999999716</v>
      </c>
      <c r="N7282">
        <f t="shared" si="3057"/>
        <v>1.3499999999999943</v>
      </c>
      <c r="O7282">
        <f t="shared" si="3080"/>
        <v>91.04</v>
      </c>
      <c r="P7282">
        <f t="shared" si="3081"/>
        <v>0.82222222222223584</v>
      </c>
      <c r="Q7282" t="str">
        <f t="shared" si="3058"/>
        <v>1.35% | 0.13%</v>
      </c>
      <c r="R7282" t="str">
        <f t="shared" si="3082"/>
        <v>BEARISH</v>
      </c>
      <c r="S7282">
        <f t="shared" si="3083"/>
        <v>-1</v>
      </c>
    </row>
    <row r="7283" spans="1:19" hidden="1" x14ac:dyDescent="0.25">
      <c r="A7283" s="5" t="str">
        <f t="shared" si="3071"/>
        <v>44229EUR/USD</v>
      </c>
      <c r="B7283" s="6" t="s">
        <v>99</v>
      </c>
      <c r="C7283" s="6">
        <v>1.202</v>
      </c>
      <c r="D7283" s="6">
        <v>1.2210000000000001</v>
      </c>
      <c r="E7283" s="6">
        <v>1.206</v>
      </c>
      <c r="F7283" t="str">
        <f t="shared" si="3072"/>
        <v>TUE</v>
      </c>
      <c r="G7283" s="1">
        <f t="shared" si="3073"/>
        <v>44229</v>
      </c>
      <c r="H7283" s="2">
        <f t="shared" ca="1" si="3074"/>
        <v>24</v>
      </c>
      <c r="I7283" t="str">
        <f t="shared" si="3075"/>
        <v>EUR/USD</v>
      </c>
      <c r="J7283">
        <f t="shared" si="3076"/>
        <v>1.202</v>
      </c>
      <c r="K7283">
        <f t="shared" si="3077"/>
        <v>1.2210000000000001</v>
      </c>
      <c r="L7283">
        <f t="shared" si="3078"/>
        <v>1.2115</v>
      </c>
      <c r="M7283">
        <f t="shared" si="3079"/>
        <v>9.5000000000000639E-3</v>
      </c>
      <c r="N7283">
        <f t="shared" si="3057"/>
        <v>1.9000000000000128E-2</v>
      </c>
      <c r="O7283">
        <f t="shared" si="3080"/>
        <v>1.206</v>
      </c>
      <c r="P7283">
        <f t="shared" si="3081"/>
        <v>-0.5789473684210551</v>
      </c>
      <c r="Q7283" t="str">
        <f t="shared" si="3058"/>
        <v>0.33% | 1.24%</v>
      </c>
      <c r="R7283" t="str">
        <f t="shared" si="3082"/>
        <v>BULLISH</v>
      </c>
      <c r="S7283">
        <f t="shared" si="3083"/>
        <v>1</v>
      </c>
    </row>
    <row r="7284" spans="1:19" hidden="1" x14ac:dyDescent="0.25">
      <c r="A7284" s="5" t="str">
        <f t="shared" si="3071"/>
        <v>44229USD/JPY</v>
      </c>
      <c r="B7284" s="6" t="s">
        <v>86</v>
      </c>
      <c r="C7284" s="6">
        <v>103.24</v>
      </c>
      <c r="D7284" s="6">
        <v>105.15</v>
      </c>
      <c r="E7284" s="6">
        <v>104.94</v>
      </c>
      <c r="F7284" t="str">
        <f t="shared" si="3072"/>
        <v>TUE</v>
      </c>
      <c r="G7284" s="1">
        <f t="shared" si="3073"/>
        <v>44229</v>
      </c>
      <c r="H7284" s="2">
        <f t="shared" ca="1" si="3074"/>
        <v>24</v>
      </c>
      <c r="I7284" t="str">
        <f t="shared" si="3075"/>
        <v>USD/JPY</v>
      </c>
      <c r="J7284">
        <f t="shared" si="3076"/>
        <v>103.24</v>
      </c>
      <c r="K7284">
        <f t="shared" si="3077"/>
        <v>105.15</v>
      </c>
      <c r="L7284">
        <f t="shared" si="3078"/>
        <v>104.19499999999999</v>
      </c>
      <c r="M7284">
        <f t="shared" si="3079"/>
        <v>0.9550000000000054</v>
      </c>
      <c r="N7284">
        <f t="shared" si="3057"/>
        <v>1.9100000000000108</v>
      </c>
      <c r="O7284">
        <f t="shared" si="3080"/>
        <v>104.94</v>
      </c>
      <c r="P7284">
        <f t="shared" si="3081"/>
        <v>0.78010471204188514</v>
      </c>
      <c r="Q7284" t="str">
        <f t="shared" si="3058"/>
        <v>1.62% | 0.2%</v>
      </c>
      <c r="R7284" t="str">
        <f t="shared" si="3082"/>
        <v>NEUTRAL</v>
      </c>
      <c r="S7284">
        <f t="shared" si="3083"/>
        <v>0</v>
      </c>
    </row>
    <row r="7285" spans="1:19" hidden="1" x14ac:dyDescent="0.25">
      <c r="A7285" s="5" t="str">
        <f t="shared" si="3071"/>
        <v>44229GBP/USD</v>
      </c>
      <c r="B7285" s="6" t="s">
        <v>102</v>
      </c>
      <c r="C7285" s="6">
        <v>1.361</v>
      </c>
      <c r="D7285" s="6">
        <v>1.3779999999999999</v>
      </c>
      <c r="E7285" s="6">
        <v>1.3660000000000001</v>
      </c>
      <c r="F7285" t="str">
        <f t="shared" si="3072"/>
        <v>TUE</v>
      </c>
      <c r="G7285" s="1">
        <f t="shared" si="3073"/>
        <v>44229</v>
      </c>
      <c r="H7285" s="2">
        <f t="shared" ca="1" si="3074"/>
        <v>24</v>
      </c>
      <c r="I7285" t="str">
        <f t="shared" si="3075"/>
        <v>GBP/USD</v>
      </c>
      <c r="J7285">
        <f t="shared" si="3076"/>
        <v>1.361</v>
      </c>
      <c r="K7285">
        <f t="shared" si="3077"/>
        <v>1.3779999999999999</v>
      </c>
      <c r="L7285">
        <f t="shared" si="3078"/>
        <v>1.3694999999999999</v>
      </c>
      <c r="M7285">
        <f t="shared" si="3079"/>
        <v>8.499999999999952E-3</v>
      </c>
      <c r="N7285">
        <f t="shared" si="3057"/>
        <v>1.6999999999999904E-2</v>
      </c>
      <c r="O7285">
        <f t="shared" si="3080"/>
        <v>1.3660000000000001</v>
      </c>
      <c r="P7285">
        <f t="shared" si="3081"/>
        <v>-0.41176470588233605</v>
      </c>
      <c r="Q7285" t="str">
        <f t="shared" si="3058"/>
        <v>0.37% | 0.88%</v>
      </c>
      <c r="R7285" t="str">
        <f t="shared" si="3082"/>
        <v>BULLISH</v>
      </c>
      <c r="S7285">
        <f t="shared" si="3083"/>
        <v>1</v>
      </c>
    </row>
    <row r="7286" spans="1:19" hidden="1" x14ac:dyDescent="0.25">
      <c r="A7286" s="5" t="str">
        <f t="shared" si="3071"/>
        <v>44229CAD/USD</v>
      </c>
      <c r="B7286" s="6" t="s">
        <v>244</v>
      </c>
      <c r="C7286" s="6">
        <v>0.77</v>
      </c>
      <c r="D7286" s="6">
        <v>0.8</v>
      </c>
      <c r="E7286" s="6">
        <v>0.77</v>
      </c>
      <c r="F7286" t="str">
        <f t="shared" si="3072"/>
        <v>TUE</v>
      </c>
      <c r="G7286" s="1">
        <f t="shared" si="3073"/>
        <v>44229</v>
      </c>
      <c r="H7286" s="2">
        <f t="shared" ca="1" si="3074"/>
        <v>24</v>
      </c>
      <c r="I7286" t="str">
        <f t="shared" si="3075"/>
        <v>CAD/USD</v>
      </c>
      <c r="J7286">
        <f t="shared" si="3076"/>
        <v>0.77</v>
      </c>
      <c r="K7286">
        <f t="shared" si="3077"/>
        <v>0.8</v>
      </c>
      <c r="L7286">
        <f t="shared" si="3078"/>
        <v>0.78500000000000003</v>
      </c>
      <c r="M7286">
        <f t="shared" si="3079"/>
        <v>1.5000000000000013E-2</v>
      </c>
      <c r="N7286">
        <f t="shared" si="3057"/>
        <v>3.0000000000000027E-2</v>
      </c>
      <c r="O7286">
        <f t="shared" si="3080"/>
        <v>0.77</v>
      </c>
      <c r="P7286">
        <f t="shared" si="3081"/>
        <v>-1</v>
      </c>
      <c r="Q7286" t="str">
        <f t="shared" si="3058"/>
        <v>0% | 3.9%</v>
      </c>
      <c r="R7286" t="str">
        <f t="shared" si="3082"/>
        <v>BULLISH</v>
      </c>
      <c r="S7286">
        <f t="shared" si="3083"/>
        <v>1</v>
      </c>
    </row>
    <row r="7287" spans="1:19" hidden="1" x14ac:dyDescent="0.25">
      <c r="A7287" s="5" t="str">
        <f t="shared" si="3071"/>
        <v>44229USD/CHF</v>
      </c>
      <c r="B7287" s="6" t="s">
        <v>76</v>
      </c>
      <c r="C7287" s="6">
        <v>0.88</v>
      </c>
      <c r="D7287" s="6">
        <v>0.9</v>
      </c>
      <c r="E7287" s="6">
        <v>0.89</v>
      </c>
      <c r="F7287" t="str">
        <f t="shared" si="3072"/>
        <v>TUE</v>
      </c>
      <c r="G7287" s="1">
        <f t="shared" si="3073"/>
        <v>44229</v>
      </c>
      <c r="H7287" s="2">
        <f t="shared" ca="1" si="3074"/>
        <v>24</v>
      </c>
      <c r="I7287" t="str">
        <f t="shared" si="3075"/>
        <v>USD/CHF</v>
      </c>
      <c r="J7287">
        <f t="shared" si="3076"/>
        <v>0.88</v>
      </c>
      <c r="K7287">
        <f t="shared" si="3077"/>
        <v>0.9</v>
      </c>
      <c r="L7287">
        <f t="shared" si="3078"/>
        <v>0.89</v>
      </c>
      <c r="M7287">
        <f t="shared" si="3079"/>
        <v>1.0000000000000009E-2</v>
      </c>
      <c r="N7287">
        <f t="shared" si="3057"/>
        <v>2.0000000000000018E-2</v>
      </c>
      <c r="O7287">
        <f t="shared" si="3080"/>
        <v>0.89</v>
      </c>
      <c r="P7287">
        <f t="shared" si="3081"/>
        <v>0</v>
      </c>
      <c r="Q7287" t="str">
        <f t="shared" si="3058"/>
        <v>1.12% | 1.12%</v>
      </c>
      <c r="R7287" t="str">
        <f t="shared" si="3082"/>
        <v>BEARISH</v>
      </c>
      <c r="S7287">
        <f t="shared" si="3083"/>
        <v>-1</v>
      </c>
    </row>
    <row r="7288" spans="1:19" hidden="1" x14ac:dyDescent="0.25">
      <c r="A7288" s="5" t="str">
        <f t="shared" si="3071"/>
        <v>44229WTIC</v>
      </c>
      <c r="B7288" s="6" t="s">
        <v>158</v>
      </c>
      <c r="C7288" s="6">
        <v>51.98</v>
      </c>
      <c r="D7288" s="6">
        <v>54.68</v>
      </c>
      <c r="E7288" s="6">
        <v>53.55</v>
      </c>
      <c r="F7288" t="str">
        <f t="shared" si="3072"/>
        <v>TUE</v>
      </c>
      <c r="G7288" s="1">
        <f t="shared" si="3073"/>
        <v>44229</v>
      </c>
      <c r="H7288" s="2">
        <f t="shared" ca="1" si="3074"/>
        <v>24</v>
      </c>
      <c r="I7288" t="str">
        <f t="shared" si="3075"/>
        <v>WTIC</v>
      </c>
      <c r="J7288">
        <f t="shared" si="3076"/>
        <v>51.98</v>
      </c>
      <c r="K7288">
        <f t="shared" si="3077"/>
        <v>54.68</v>
      </c>
      <c r="L7288">
        <f t="shared" si="3078"/>
        <v>53.33</v>
      </c>
      <c r="M7288">
        <f t="shared" si="3079"/>
        <v>1.3500000000000014</v>
      </c>
      <c r="N7288">
        <f t="shared" si="3057"/>
        <v>2.7000000000000028</v>
      </c>
      <c r="O7288">
        <f t="shared" si="3080"/>
        <v>53.55</v>
      </c>
      <c r="P7288">
        <f t="shared" si="3081"/>
        <v>0.16296296296296195</v>
      </c>
      <c r="Q7288" t="str">
        <f t="shared" si="3058"/>
        <v>2.93% | 2.11%</v>
      </c>
      <c r="R7288" t="str">
        <f t="shared" si="3082"/>
        <v>BULLISH</v>
      </c>
      <c r="S7288">
        <f t="shared" si="3083"/>
        <v>1</v>
      </c>
    </row>
    <row r="7289" spans="1:19" hidden="1" x14ac:dyDescent="0.25">
      <c r="A7289" s="5" t="str">
        <f t="shared" si="3071"/>
        <v>44229NATGAS</v>
      </c>
      <c r="B7289" s="6" t="s">
        <v>89</v>
      </c>
      <c r="C7289" s="6">
        <v>2.4500000000000002</v>
      </c>
      <c r="D7289" s="6">
        <v>3.03</v>
      </c>
      <c r="E7289" s="6">
        <v>2.85</v>
      </c>
      <c r="F7289" t="str">
        <f t="shared" si="3072"/>
        <v>TUE</v>
      </c>
      <c r="G7289" s="1">
        <f t="shared" si="3073"/>
        <v>44229</v>
      </c>
      <c r="H7289" s="2">
        <f t="shared" ca="1" si="3074"/>
        <v>24</v>
      </c>
      <c r="I7289" t="str">
        <f t="shared" si="3075"/>
        <v>NATGAS</v>
      </c>
      <c r="J7289">
        <f t="shared" si="3076"/>
        <v>2.4500000000000002</v>
      </c>
      <c r="K7289">
        <f t="shared" si="3077"/>
        <v>3.03</v>
      </c>
      <c r="L7289">
        <f t="shared" si="3078"/>
        <v>2.74</v>
      </c>
      <c r="M7289">
        <f t="shared" si="3079"/>
        <v>0.28999999999999898</v>
      </c>
      <c r="N7289">
        <f t="shared" si="3057"/>
        <v>0.57999999999999963</v>
      </c>
      <c r="O7289">
        <f t="shared" si="3080"/>
        <v>2.85</v>
      </c>
      <c r="P7289">
        <f t="shared" si="3081"/>
        <v>0.37931034482758713</v>
      </c>
      <c r="Q7289" t="str">
        <f t="shared" si="3058"/>
        <v>14.04% | 6.32%</v>
      </c>
      <c r="R7289" t="str">
        <f t="shared" si="3082"/>
        <v>BULLISH</v>
      </c>
      <c r="S7289">
        <f t="shared" si="3083"/>
        <v>1</v>
      </c>
    </row>
    <row r="7290" spans="1:19" hidden="1" x14ac:dyDescent="0.25">
      <c r="A7290" s="5" t="str">
        <f t="shared" si="3071"/>
        <v>44229GOLD</v>
      </c>
      <c r="B7290" s="6" t="s">
        <v>85</v>
      </c>
      <c r="C7290" s="6">
        <v>1827</v>
      </c>
      <c r="D7290" s="6">
        <v>1872</v>
      </c>
      <c r="E7290" s="6">
        <v>1863</v>
      </c>
      <c r="F7290" t="str">
        <f t="shared" si="3072"/>
        <v>TUE</v>
      </c>
      <c r="G7290" s="1">
        <f t="shared" si="3073"/>
        <v>44229</v>
      </c>
      <c r="H7290" s="2">
        <f t="shared" ca="1" si="3074"/>
        <v>24</v>
      </c>
      <c r="I7290" t="str">
        <f t="shared" si="3075"/>
        <v>GOLD</v>
      </c>
      <c r="J7290">
        <f t="shared" si="3076"/>
        <v>1827</v>
      </c>
      <c r="K7290">
        <f t="shared" si="3077"/>
        <v>1872</v>
      </c>
      <c r="L7290">
        <f t="shared" si="3078"/>
        <v>1849.5</v>
      </c>
      <c r="M7290">
        <f t="shared" si="3079"/>
        <v>22.5</v>
      </c>
      <c r="N7290">
        <f t="shared" si="3057"/>
        <v>45</v>
      </c>
      <c r="O7290">
        <f t="shared" si="3080"/>
        <v>1863</v>
      </c>
      <c r="P7290">
        <f t="shared" si="3081"/>
        <v>0.6</v>
      </c>
      <c r="Q7290" t="str">
        <f t="shared" si="3058"/>
        <v>1.93% | 0.48%</v>
      </c>
      <c r="R7290" t="str">
        <f t="shared" si="3082"/>
        <v>BEARISH</v>
      </c>
      <c r="S7290">
        <f t="shared" si="3083"/>
        <v>-1</v>
      </c>
    </row>
    <row r="7291" spans="1:19" hidden="1" x14ac:dyDescent="0.25">
      <c r="A7291" s="5" t="str">
        <f t="shared" si="3071"/>
        <v>44229COPPER</v>
      </c>
      <c r="B7291" s="6" t="s">
        <v>100</v>
      </c>
      <c r="C7291" s="6">
        <v>3.51</v>
      </c>
      <c r="D7291" s="6">
        <v>3.69</v>
      </c>
      <c r="E7291" s="6">
        <v>3.55</v>
      </c>
      <c r="F7291" t="str">
        <f t="shared" si="3072"/>
        <v>TUE</v>
      </c>
      <c r="G7291" s="1">
        <f t="shared" si="3073"/>
        <v>44229</v>
      </c>
      <c r="H7291" s="2">
        <f t="shared" ca="1" si="3074"/>
        <v>24</v>
      </c>
      <c r="I7291" t="str">
        <f t="shared" si="3075"/>
        <v>COPPER</v>
      </c>
      <c r="J7291">
        <f t="shared" si="3076"/>
        <v>3.51</v>
      </c>
      <c r="K7291">
        <f t="shared" si="3077"/>
        <v>3.69</v>
      </c>
      <c r="L7291">
        <f t="shared" si="3078"/>
        <v>3.5999999999999996</v>
      </c>
      <c r="M7291">
        <f t="shared" si="3079"/>
        <v>9.000000000000008E-2</v>
      </c>
      <c r="N7291">
        <f t="shared" si="3057"/>
        <v>0.18000000000000016</v>
      </c>
      <c r="O7291">
        <f t="shared" si="3080"/>
        <v>3.55</v>
      </c>
      <c r="P7291">
        <f t="shared" si="3081"/>
        <v>-0.55555555555555314</v>
      </c>
      <c r="Q7291" t="str">
        <f t="shared" si="3058"/>
        <v>1.13% | 3.94%</v>
      </c>
      <c r="R7291" t="str">
        <f t="shared" si="3082"/>
        <v>BULLISH</v>
      </c>
      <c r="S7291">
        <f t="shared" si="3083"/>
        <v>1</v>
      </c>
    </row>
    <row r="7292" spans="1:19" hidden="1" x14ac:dyDescent="0.25">
      <c r="A7292" s="5" t="str">
        <f t="shared" si="3071"/>
        <v>44229SILVER</v>
      </c>
      <c r="B7292" s="6" t="s">
        <v>195</v>
      </c>
      <c r="C7292" s="6">
        <v>26.2</v>
      </c>
      <c r="D7292" s="6">
        <v>29.63</v>
      </c>
      <c r="E7292" s="6">
        <v>29.42</v>
      </c>
      <c r="F7292" t="str">
        <f t="shared" si="3072"/>
        <v>TUE</v>
      </c>
      <c r="G7292" s="1">
        <f t="shared" si="3073"/>
        <v>44229</v>
      </c>
      <c r="H7292" s="2">
        <f t="shared" ca="1" si="3074"/>
        <v>24</v>
      </c>
      <c r="I7292" t="str">
        <f t="shared" si="3075"/>
        <v>SILVER</v>
      </c>
      <c r="J7292">
        <f t="shared" si="3076"/>
        <v>26.2</v>
      </c>
      <c r="K7292">
        <f t="shared" si="3077"/>
        <v>29.63</v>
      </c>
      <c r="L7292">
        <f t="shared" si="3078"/>
        <v>27.914999999999999</v>
      </c>
      <c r="M7292">
        <f t="shared" si="3079"/>
        <v>1.7149999999999999</v>
      </c>
      <c r="N7292">
        <f t="shared" si="3057"/>
        <v>3.4299999999999997</v>
      </c>
      <c r="O7292">
        <f t="shared" si="3080"/>
        <v>29.42</v>
      </c>
      <c r="P7292">
        <f t="shared" si="3081"/>
        <v>0.87755102040816479</v>
      </c>
      <c r="Q7292" t="str">
        <f t="shared" si="3058"/>
        <v>10.94% | 0.71%</v>
      </c>
      <c r="R7292" t="str">
        <f t="shared" si="3082"/>
        <v>BULLISH</v>
      </c>
      <c r="S7292">
        <f t="shared" si="3083"/>
        <v>1</v>
      </c>
    </row>
    <row r="7293" spans="1:19" hidden="1" x14ac:dyDescent="0.25">
      <c r="A7293" s="5" t="str">
        <f t="shared" si="3071"/>
        <v>44229MSFT</v>
      </c>
      <c r="B7293" s="6" t="s">
        <v>27</v>
      </c>
      <c r="C7293" s="6">
        <v>230</v>
      </c>
      <c r="D7293" s="6">
        <v>243</v>
      </c>
      <c r="E7293" s="6">
        <v>239</v>
      </c>
      <c r="F7293" t="str">
        <f t="shared" si="3072"/>
        <v>TUE</v>
      </c>
      <c r="G7293" s="1">
        <f t="shared" si="3073"/>
        <v>44229</v>
      </c>
      <c r="H7293" s="2">
        <f t="shared" ca="1" si="3074"/>
        <v>24</v>
      </c>
      <c r="I7293" t="str">
        <f t="shared" si="3075"/>
        <v>MSFT</v>
      </c>
      <c r="J7293">
        <f t="shared" si="3076"/>
        <v>230</v>
      </c>
      <c r="K7293">
        <f t="shared" si="3077"/>
        <v>243</v>
      </c>
      <c r="L7293">
        <f t="shared" si="3078"/>
        <v>236.5</v>
      </c>
      <c r="M7293">
        <f t="shared" si="3079"/>
        <v>6.5</v>
      </c>
      <c r="N7293">
        <f t="shared" si="3057"/>
        <v>13</v>
      </c>
      <c r="O7293">
        <f t="shared" si="3080"/>
        <v>239</v>
      </c>
      <c r="P7293">
        <f t="shared" si="3081"/>
        <v>0.38461538461538464</v>
      </c>
      <c r="Q7293" t="str">
        <f t="shared" si="3058"/>
        <v>3.77% | 1.67%</v>
      </c>
      <c r="R7293" t="str">
        <f t="shared" si="3082"/>
        <v>BULLISH</v>
      </c>
      <c r="S7293">
        <f t="shared" si="3083"/>
        <v>1</v>
      </c>
    </row>
    <row r="7294" spans="1:19" hidden="1" x14ac:dyDescent="0.25">
      <c r="A7294" s="5" t="str">
        <f t="shared" si="3071"/>
        <v>44229AAPL</v>
      </c>
      <c r="B7294" s="6" t="s">
        <v>28</v>
      </c>
      <c r="C7294" s="6">
        <v>128</v>
      </c>
      <c r="D7294" s="6">
        <v>147</v>
      </c>
      <c r="E7294" s="6">
        <v>134</v>
      </c>
      <c r="F7294" t="str">
        <f t="shared" si="3072"/>
        <v>TUE</v>
      </c>
      <c r="G7294" s="1">
        <f t="shared" si="3073"/>
        <v>44229</v>
      </c>
      <c r="H7294" s="2">
        <f t="shared" ca="1" si="3074"/>
        <v>24</v>
      </c>
      <c r="I7294" t="str">
        <f t="shared" si="3075"/>
        <v>AAPL</v>
      </c>
      <c r="J7294">
        <f t="shared" si="3076"/>
        <v>128</v>
      </c>
      <c r="K7294">
        <f t="shared" si="3077"/>
        <v>147</v>
      </c>
      <c r="L7294">
        <f t="shared" si="3078"/>
        <v>137.5</v>
      </c>
      <c r="M7294">
        <f t="shared" si="3079"/>
        <v>9.5</v>
      </c>
      <c r="N7294">
        <f t="shared" si="3057"/>
        <v>19</v>
      </c>
      <c r="O7294">
        <f t="shared" si="3080"/>
        <v>134</v>
      </c>
      <c r="P7294">
        <f t="shared" si="3081"/>
        <v>-0.36842105263157893</v>
      </c>
      <c r="Q7294" t="str">
        <f t="shared" si="3058"/>
        <v>4.48% | 9.7%</v>
      </c>
      <c r="R7294" t="str">
        <f t="shared" si="3082"/>
        <v>BULLISH</v>
      </c>
      <c r="S7294">
        <f t="shared" si="3083"/>
        <v>1</v>
      </c>
    </row>
    <row r="7295" spans="1:19" hidden="1" x14ac:dyDescent="0.25">
      <c r="A7295" s="5" t="str">
        <f t="shared" si="3071"/>
        <v>44229AMZN</v>
      </c>
      <c r="B7295" s="6" t="s">
        <v>29</v>
      </c>
      <c r="C7295" s="6">
        <v>3175</v>
      </c>
      <c r="D7295" s="6">
        <v>3394</v>
      </c>
      <c r="E7295" s="6">
        <v>3342</v>
      </c>
      <c r="F7295" t="str">
        <f t="shared" si="3072"/>
        <v>TUE</v>
      </c>
      <c r="G7295" s="1">
        <f t="shared" si="3073"/>
        <v>44229</v>
      </c>
      <c r="H7295" s="2">
        <f t="shared" ca="1" si="3074"/>
        <v>24</v>
      </c>
      <c r="I7295" t="str">
        <f t="shared" si="3075"/>
        <v>AMZN</v>
      </c>
      <c r="J7295">
        <f t="shared" si="3076"/>
        <v>3175</v>
      </c>
      <c r="K7295">
        <f t="shared" si="3077"/>
        <v>3394</v>
      </c>
      <c r="L7295">
        <f t="shared" si="3078"/>
        <v>3284.5</v>
      </c>
      <c r="M7295">
        <f t="shared" si="3079"/>
        <v>109.5</v>
      </c>
      <c r="N7295">
        <f t="shared" si="3057"/>
        <v>219</v>
      </c>
      <c r="O7295">
        <f t="shared" si="3080"/>
        <v>3342</v>
      </c>
      <c r="P7295">
        <f t="shared" si="3081"/>
        <v>0.52511415525114158</v>
      </c>
      <c r="Q7295" t="str">
        <f t="shared" si="3058"/>
        <v>5% | 1.56%</v>
      </c>
      <c r="R7295" t="str">
        <f t="shared" si="3082"/>
        <v>BULLISH</v>
      </c>
      <c r="S7295">
        <f t="shared" si="3083"/>
        <v>1</v>
      </c>
    </row>
    <row r="7296" spans="1:19" hidden="1" x14ac:dyDescent="0.25">
      <c r="A7296" s="5" t="str">
        <f t="shared" si="3071"/>
        <v>44229FB</v>
      </c>
      <c r="B7296" s="6" t="s">
        <v>157</v>
      </c>
      <c r="C7296" s="6">
        <v>253</v>
      </c>
      <c r="D7296" s="6">
        <v>285</v>
      </c>
      <c r="E7296" s="6">
        <v>262</v>
      </c>
      <c r="F7296" t="str">
        <f t="shared" si="3072"/>
        <v>TUE</v>
      </c>
      <c r="G7296" s="1">
        <f t="shared" si="3073"/>
        <v>44229</v>
      </c>
      <c r="H7296" s="2">
        <f t="shared" ca="1" si="3074"/>
        <v>24</v>
      </c>
      <c r="I7296" t="str">
        <f t="shared" si="3075"/>
        <v>FB</v>
      </c>
      <c r="J7296">
        <f t="shared" si="3076"/>
        <v>253</v>
      </c>
      <c r="K7296">
        <f t="shared" si="3077"/>
        <v>285</v>
      </c>
      <c r="L7296">
        <f t="shared" si="3078"/>
        <v>269</v>
      </c>
      <c r="M7296">
        <f t="shared" si="3079"/>
        <v>16</v>
      </c>
      <c r="N7296">
        <f t="shared" si="3057"/>
        <v>32</v>
      </c>
      <c r="O7296">
        <f t="shared" si="3080"/>
        <v>262</v>
      </c>
      <c r="P7296">
        <f t="shared" si="3081"/>
        <v>-0.4375</v>
      </c>
      <c r="Q7296" t="str">
        <f t="shared" si="3058"/>
        <v>3.44% | 8.78%</v>
      </c>
      <c r="R7296" t="str">
        <f t="shared" si="3082"/>
        <v>NEUTRAL</v>
      </c>
      <c r="S7296">
        <f t="shared" si="3083"/>
        <v>0</v>
      </c>
    </row>
    <row r="7297" spans="1:19" hidden="1" x14ac:dyDescent="0.25">
      <c r="A7297" s="5" t="str">
        <f t="shared" si="3071"/>
        <v>44229GOOGL</v>
      </c>
      <c r="B7297" s="6" t="s">
        <v>31</v>
      </c>
      <c r="C7297" s="6">
        <v>1791</v>
      </c>
      <c r="D7297" s="6">
        <v>1942</v>
      </c>
      <c r="E7297" s="6">
        <v>1893</v>
      </c>
      <c r="F7297" t="str">
        <f t="shared" si="3072"/>
        <v>TUE</v>
      </c>
      <c r="G7297" s="1">
        <f t="shared" si="3073"/>
        <v>44229</v>
      </c>
      <c r="H7297" s="2">
        <f t="shared" ca="1" si="3074"/>
        <v>24</v>
      </c>
      <c r="I7297" t="str">
        <f t="shared" si="3075"/>
        <v>GOOGL</v>
      </c>
      <c r="J7297">
        <f t="shared" si="3076"/>
        <v>1791</v>
      </c>
      <c r="K7297">
        <f t="shared" si="3077"/>
        <v>1942</v>
      </c>
      <c r="L7297">
        <f t="shared" si="3078"/>
        <v>1866.5</v>
      </c>
      <c r="M7297">
        <f t="shared" si="3079"/>
        <v>75.5</v>
      </c>
      <c r="N7297">
        <f t="shared" si="3057"/>
        <v>151</v>
      </c>
      <c r="O7297">
        <f t="shared" si="3080"/>
        <v>1893</v>
      </c>
      <c r="P7297">
        <f t="shared" si="3081"/>
        <v>0.35099337748344372</v>
      </c>
      <c r="Q7297" t="str">
        <f t="shared" si="3058"/>
        <v>5.39% | 2.59%</v>
      </c>
      <c r="R7297" t="str">
        <f t="shared" si="3082"/>
        <v>BULLISH</v>
      </c>
      <c r="S7297">
        <f t="shared" si="3083"/>
        <v>1</v>
      </c>
    </row>
    <row r="7298" spans="1:19" hidden="1" x14ac:dyDescent="0.25">
      <c r="A7298" s="5" t="str">
        <f t="shared" si="3071"/>
        <v>44229NFLX</v>
      </c>
      <c r="B7298" s="6" t="s">
        <v>32</v>
      </c>
      <c r="C7298" s="6">
        <v>499</v>
      </c>
      <c r="D7298" s="6">
        <v>600</v>
      </c>
      <c r="E7298" s="6">
        <v>539</v>
      </c>
      <c r="F7298" t="str">
        <f t="shared" si="3072"/>
        <v>TUE</v>
      </c>
      <c r="G7298" s="1">
        <f t="shared" si="3073"/>
        <v>44229</v>
      </c>
      <c r="H7298" s="2">
        <f t="shared" ca="1" si="3074"/>
        <v>24</v>
      </c>
      <c r="I7298" t="str">
        <f t="shared" si="3075"/>
        <v>NFLX</v>
      </c>
      <c r="J7298">
        <f t="shared" si="3076"/>
        <v>499</v>
      </c>
      <c r="K7298">
        <f t="shared" si="3077"/>
        <v>600</v>
      </c>
      <c r="L7298">
        <f t="shared" si="3078"/>
        <v>549.5</v>
      </c>
      <c r="M7298">
        <f t="shared" si="3079"/>
        <v>50.5</v>
      </c>
      <c r="N7298">
        <f t="shared" si="3057"/>
        <v>101</v>
      </c>
      <c r="O7298">
        <f t="shared" si="3080"/>
        <v>539</v>
      </c>
      <c r="P7298">
        <f t="shared" si="3081"/>
        <v>-0.20792079207920791</v>
      </c>
      <c r="Q7298" t="str">
        <f t="shared" si="3058"/>
        <v>7.42% | 11.32%</v>
      </c>
      <c r="R7298" t="str">
        <f t="shared" si="3082"/>
        <v>BULLISH</v>
      </c>
      <c r="S7298">
        <f t="shared" si="3083"/>
        <v>1</v>
      </c>
    </row>
    <row r="7299" spans="1:19" x14ac:dyDescent="0.25">
      <c r="A7299" s="5" t="str">
        <f t="shared" si="3071"/>
        <v>44229TSLA</v>
      </c>
      <c r="B7299" s="6" t="s">
        <v>33</v>
      </c>
      <c r="C7299" s="6">
        <v>788</v>
      </c>
      <c r="D7299" s="6">
        <v>901</v>
      </c>
      <c r="E7299" s="6">
        <v>839</v>
      </c>
      <c r="F7299" t="str">
        <f t="shared" si="3072"/>
        <v>TUE</v>
      </c>
      <c r="G7299" s="1">
        <f t="shared" si="3073"/>
        <v>44229</v>
      </c>
      <c r="H7299" s="2">
        <f t="shared" ca="1" si="3074"/>
        <v>24</v>
      </c>
      <c r="I7299" t="str">
        <f t="shared" si="3075"/>
        <v>TSLA</v>
      </c>
      <c r="J7299">
        <f t="shared" si="3076"/>
        <v>788</v>
      </c>
      <c r="K7299">
        <f t="shared" si="3077"/>
        <v>901</v>
      </c>
      <c r="L7299">
        <f t="shared" si="3078"/>
        <v>844.5</v>
      </c>
      <c r="M7299">
        <f t="shared" si="3079"/>
        <v>56.5</v>
      </c>
      <c r="N7299">
        <f t="shared" ref="N7299:N7362" si="3084">ABS(K7299-J7299)</f>
        <v>113</v>
      </c>
      <c r="O7299">
        <f t="shared" si="3080"/>
        <v>839</v>
      </c>
      <c r="P7299">
        <f t="shared" si="3081"/>
        <v>-9.7345132743362831E-2</v>
      </c>
      <c r="Q7299" t="str">
        <f t="shared" ref="Q7299:Q7362" si="3085">ROUND(ABS(100*(O7299-J7299)/O7299),2)&amp;"% | "&amp;ROUND(ABS(100*(K7299-O7299)/O7299),2)&amp;"%"</f>
        <v>6.08% | 7.39%</v>
      </c>
      <c r="R7299" t="str">
        <f t="shared" si="3082"/>
        <v>BULLISH</v>
      </c>
      <c r="S7299">
        <f t="shared" si="3083"/>
        <v>1</v>
      </c>
    </row>
    <row r="7300" spans="1:19" hidden="1" x14ac:dyDescent="0.25">
      <c r="A7300" s="5" t="str">
        <f t="shared" si="3071"/>
        <v>44229NYXBT</v>
      </c>
      <c r="B7300" s="6" t="s">
        <v>60</v>
      </c>
      <c r="C7300" s="6">
        <v>30996</v>
      </c>
      <c r="D7300" s="6">
        <v>37935</v>
      </c>
      <c r="E7300" s="6">
        <v>33474</v>
      </c>
      <c r="F7300" t="str">
        <f t="shared" si="3072"/>
        <v>TUE</v>
      </c>
      <c r="G7300" s="1">
        <f t="shared" si="3073"/>
        <v>44229</v>
      </c>
      <c r="H7300" s="2">
        <f t="shared" ca="1" si="3074"/>
        <v>24</v>
      </c>
      <c r="I7300" t="str">
        <f t="shared" si="3075"/>
        <v>NYXBT</v>
      </c>
      <c r="J7300">
        <f t="shared" si="3076"/>
        <v>30996</v>
      </c>
      <c r="K7300">
        <f t="shared" si="3077"/>
        <v>37935</v>
      </c>
      <c r="L7300">
        <f t="shared" si="3078"/>
        <v>34465.5</v>
      </c>
      <c r="M7300">
        <f t="shared" si="3079"/>
        <v>3469.5</v>
      </c>
      <c r="N7300">
        <f t="shared" si="3084"/>
        <v>6939</v>
      </c>
      <c r="O7300">
        <f t="shared" si="3080"/>
        <v>33474</v>
      </c>
      <c r="P7300">
        <f t="shared" si="3081"/>
        <v>-0.2857760484219628</v>
      </c>
      <c r="Q7300" t="str">
        <f t="shared" si="3085"/>
        <v>7.4% | 13.33%</v>
      </c>
      <c r="R7300" t="str">
        <f t="shared" si="3082"/>
        <v>BULLISH</v>
      </c>
      <c r="S7300">
        <f t="shared" si="3083"/>
        <v>1</v>
      </c>
    </row>
    <row r="7301" spans="1:19" hidden="1" x14ac:dyDescent="0.25">
      <c r="A7301" s="5" t="str">
        <f t="shared" si="3071"/>
        <v>44230UST10Y</v>
      </c>
      <c r="B7301" s="6" t="s">
        <v>257</v>
      </c>
      <c r="C7301" s="6">
        <v>1.1599999999999999</v>
      </c>
      <c r="D7301" s="6">
        <v>1.05</v>
      </c>
      <c r="E7301" s="6">
        <v>1.1200000000000001</v>
      </c>
      <c r="F7301" t="str">
        <f t="shared" si="3072"/>
        <v>WED</v>
      </c>
      <c r="G7301" s="3">
        <f>DATE(2021,2,3)</f>
        <v>44230</v>
      </c>
      <c r="H7301" s="2">
        <f t="shared" ca="1" si="3074"/>
        <v>23</v>
      </c>
      <c r="I7301" t="str">
        <f t="shared" si="3075"/>
        <v>UST10Y</v>
      </c>
      <c r="J7301">
        <f t="shared" si="3076"/>
        <v>1.1599999999999999</v>
      </c>
      <c r="K7301">
        <f t="shared" si="3077"/>
        <v>1.05</v>
      </c>
      <c r="L7301">
        <f t="shared" si="3078"/>
        <v>1.105</v>
      </c>
      <c r="M7301">
        <f t="shared" si="3079"/>
        <v>5.4999999999999938E-2</v>
      </c>
      <c r="N7301">
        <f t="shared" si="3084"/>
        <v>0.10999999999999988</v>
      </c>
      <c r="O7301">
        <f t="shared" si="3080"/>
        <v>1.1200000000000001</v>
      </c>
      <c r="P7301">
        <f t="shared" si="3081"/>
        <v>0.27272727272727532</v>
      </c>
      <c r="Q7301" t="str">
        <f t="shared" si="3085"/>
        <v>3.57% | 6.25%</v>
      </c>
      <c r="R7301" t="str">
        <f t="shared" si="3082"/>
        <v>BULLISH</v>
      </c>
      <c r="S7301">
        <f t="shared" si="3083"/>
        <v>1</v>
      </c>
    </row>
    <row r="7302" spans="1:19" hidden="1" x14ac:dyDescent="0.25">
      <c r="A7302" s="5" t="str">
        <f t="shared" si="3071"/>
        <v>44230UST2Y</v>
      </c>
      <c r="B7302" s="6" t="s">
        <v>253</v>
      </c>
      <c r="C7302" s="6">
        <v>0.15</v>
      </c>
      <c r="D7302" s="6">
        <v>0.11</v>
      </c>
      <c r="E7302" s="6">
        <v>0.11</v>
      </c>
      <c r="F7302" t="str">
        <f t="shared" ref="F7302:F7333" si="3086">UPPER(TEXT(G7302,"ddd"))</f>
        <v>WED</v>
      </c>
      <c r="G7302" s="3">
        <f t="shared" ref="G7302:G7332" si="3087">DATE(2021,2,3)</f>
        <v>44230</v>
      </c>
      <c r="H7302" s="2">
        <f t="shared" ref="H7302:H7333" ca="1" si="3088">TODAY()-G7302</f>
        <v>23</v>
      </c>
      <c r="I7302" t="str">
        <f t="shared" ref="I7302:I7333" si="3089">TRIM(LEFT(B7302,FIND(" ",B7302,1)))</f>
        <v>UST2Y</v>
      </c>
      <c r="J7302">
        <f t="shared" ref="J7302:J7333" si="3090">C7302</f>
        <v>0.15</v>
      </c>
      <c r="K7302">
        <f t="shared" ref="K7302:K7333" si="3091">D7302</f>
        <v>0.11</v>
      </c>
      <c r="L7302">
        <f t="shared" ref="L7302:L7333" si="3092">AVERAGE(J7302:K7302)</f>
        <v>0.13</v>
      </c>
      <c r="M7302">
        <f t="shared" ref="M7302:M7333" si="3093">_xlfn.STDEV.P(J7302:K7302)</f>
        <v>1.9999999999999938E-2</v>
      </c>
      <c r="N7302">
        <f t="shared" si="3084"/>
        <v>3.9999999999999994E-2</v>
      </c>
      <c r="O7302">
        <f t="shared" ref="O7302:O7333" si="3094">E7302</f>
        <v>0.11</v>
      </c>
      <c r="P7302">
        <f t="shared" ref="P7302:P7333" si="3095">(O7302-L7302)/M7302</f>
        <v>-1.0000000000000033</v>
      </c>
      <c r="Q7302" t="str">
        <f t="shared" si="3085"/>
        <v>36.36% | 0%</v>
      </c>
      <c r="R7302" t="str">
        <f t="shared" ref="R7302:R7333" si="3096">MID(B7302,FIND("(",B7302,1)+1,FIND(")",B7302,1)-FIND("(",B7302,1)-1)</f>
        <v>NEUTRAL</v>
      </c>
      <c r="S7302">
        <f t="shared" ref="S7302:S7333" si="3097">IF(R7302="BEARISH",-1,IF(R7302="NEUTRAL",0,IF(R7302="BULLISH",1,99)))</f>
        <v>0</v>
      </c>
    </row>
    <row r="7303" spans="1:19" hidden="1" x14ac:dyDescent="0.25">
      <c r="A7303" s="5" t="str">
        <f t="shared" si="3071"/>
        <v>44230SPX</v>
      </c>
      <c r="B7303" s="6" t="s">
        <v>93</v>
      </c>
      <c r="C7303" s="6">
        <v>3711</v>
      </c>
      <c r="D7303" s="6">
        <v>3903</v>
      </c>
      <c r="E7303" s="6">
        <v>3826</v>
      </c>
      <c r="F7303" t="str">
        <f t="shared" si="3086"/>
        <v>WED</v>
      </c>
      <c r="G7303" s="3">
        <f t="shared" si="3087"/>
        <v>44230</v>
      </c>
      <c r="H7303" s="2">
        <f t="shared" ca="1" si="3088"/>
        <v>23</v>
      </c>
      <c r="I7303" t="str">
        <f t="shared" si="3089"/>
        <v>SPX</v>
      </c>
      <c r="J7303">
        <f t="shared" si="3090"/>
        <v>3711</v>
      </c>
      <c r="K7303">
        <f t="shared" si="3091"/>
        <v>3903</v>
      </c>
      <c r="L7303">
        <f t="shared" si="3092"/>
        <v>3807</v>
      </c>
      <c r="M7303">
        <f t="shared" si="3093"/>
        <v>96</v>
      </c>
      <c r="N7303">
        <f t="shared" si="3084"/>
        <v>192</v>
      </c>
      <c r="O7303">
        <f t="shared" si="3094"/>
        <v>3826</v>
      </c>
      <c r="P7303">
        <f t="shared" si="3095"/>
        <v>0.19791666666666666</v>
      </c>
      <c r="Q7303" t="str">
        <f t="shared" si="3085"/>
        <v>3.01% | 2.01%</v>
      </c>
      <c r="R7303" t="str">
        <f t="shared" si="3096"/>
        <v>BULLISH</v>
      </c>
      <c r="S7303">
        <f t="shared" si="3097"/>
        <v>1</v>
      </c>
    </row>
    <row r="7304" spans="1:19" hidden="1" x14ac:dyDescent="0.25">
      <c r="A7304" s="5" t="str">
        <f t="shared" ref="A7304:A7367" si="3098">G7304&amp;I7304</f>
        <v>44230RUT</v>
      </c>
      <c r="B7304" s="6" t="s">
        <v>247</v>
      </c>
      <c r="C7304" s="6">
        <v>2084</v>
      </c>
      <c r="D7304" s="6">
        <v>2192</v>
      </c>
      <c r="E7304" s="6">
        <v>2151</v>
      </c>
      <c r="F7304" t="str">
        <f t="shared" si="3086"/>
        <v>WED</v>
      </c>
      <c r="G7304" s="3">
        <f t="shared" si="3087"/>
        <v>44230</v>
      </c>
      <c r="H7304" s="2">
        <f t="shared" ca="1" si="3088"/>
        <v>23</v>
      </c>
      <c r="I7304" t="str">
        <f t="shared" si="3089"/>
        <v>RUT</v>
      </c>
      <c r="J7304">
        <f t="shared" si="3090"/>
        <v>2084</v>
      </c>
      <c r="K7304">
        <f t="shared" si="3091"/>
        <v>2192</v>
      </c>
      <c r="L7304">
        <f t="shared" si="3092"/>
        <v>2138</v>
      </c>
      <c r="M7304">
        <f t="shared" si="3093"/>
        <v>54</v>
      </c>
      <c r="N7304">
        <f t="shared" si="3084"/>
        <v>108</v>
      </c>
      <c r="O7304">
        <f t="shared" si="3094"/>
        <v>2151</v>
      </c>
      <c r="P7304">
        <f t="shared" si="3095"/>
        <v>0.24074074074074073</v>
      </c>
      <c r="Q7304" t="str">
        <f t="shared" si="3085"/>
        <v>3.11% | 1.91%</v>
      </c>
      <c r="R7304" t="str">
        <f t="shared" si="3096"/>
        <v>BULLISH</v>
      </c>
      <c r="S7304">
        <f t="shared" si="3097"/>
        <v>1</v>
      </c>
    </row>
    <row r="7305" spans="1:19" hidden="1" x14ac:dyDescent="0.25">
      <c r="A7305" s="5" t="str">
        <f t="shared" si="3098"/>
        <v>44230COMPQ</v>
      </c>
      <c r="B7305" s="6" t="s">
        <v>8</v>
      </c>
      <c r="C7305" s="6">
        <v>13135</v>
      </c>
      <c r="D7305" s="6">
        <v>13821</v>
      </c>
      <c r="E7305" s="6">
        <v>13612</v>
      </c>
      <c r="F7305" t="str">
        <f t="shared" si="3086"/>
        <v>WED</v>
      </c>
      <c r="G7305" s="3">
        <f t="shared" si="3087"/>
        <v>44230</v>
      </c>
      <c r="H7305" s="2">
        <f t="shared" ca="1" si="3088"/>
        <v>23</v>
      </c>
      <c r="I7305" t="str">
        <f t="shared" si="3089"/>
        <v>COMPQ</v>
      </c>
      <c r="J7305">
        <f t="shared" si="3090"/>
        <v>13135</v>
      </c>
      <c r="K7305">
        <f t="shared" si="3091"/>
        <v>13821</v>
      </c>
      <c r="L7305">
        <f t="shared" si="3092"/>
        <v>13478</v>
      </c>
      <c r="M7305">
        <f t="shared" si="3093"/>
        <v>343</v>
      </c>
      <c r="N7305">
        <f t="shared" si="3084"/>
        <v>686</v>
      </c>
      <c r="O7305">
        <f t="shared" si="3094"/>
        <v>13612</v>
      </c>
      <c r="P7305">
        <f t="shared" si="3095"/>
        <v>0.39067055393586003</v>
      </c>
      <c r="Q7305" t="str">
        <f t="shared" si="3085"/>
        <v>3.5% | 1.54%</v>
      </c>
      <c r="R7305" t="str">
        <f t="shared" si="3096"/>
        <v>BULLISH</v>
      </c>
      <c r="S7305">
        <f t="shared" si="3097"/>
        <v>1</v>
      </c>
    </row>
    <row r="7306" spans="1:19" hidden="1" x14ac:dyDescent="0.25">
      <c r="A7306" s="5" t="str">
        <f t="shared" si="3098"/>
        <v>44230XLK</v>
      </c>
      <c r="B7306" s="6" t="s">
        <v>10</v>
      </c>
      <c r="C7306" s="6">
        <v>129.4</v>
      </c>
      <c r="D7306" s="6">
        <v>135.91</v>
      </c>
      <c r="E7306" s="6">
        <v>133.94999999999999</v>
      </c>
      <c r="F7306" t="str">
        <f t="shared" si="3086"/>
        <v>WED</v>
      </c>
      <c r="G7306" s="3">
        <f t="shared" si="3087"/>
        <v>44230</v>
      </c>
      <c r="H7306" s="2">
        <f t="shared" ca="1" si="3088"/>
        <v>23</v>
      </c>
      <c r="I7306" t="str">
        <f t="shared" si="3089"/>
        <v>XLK</v>
      </c>
      <c r="J7306">
        <f t="shared" si="3090"/>
        <v>129.4</v>
      </c>
      <c r="K7306">
        <f t="shared" si="3091"/>
        <v>135.91</v>
      </c>
      <c r="L7306">
        <f t="shared" si="3092"/>
        <v>132.655</v>
      </c>
      <c r="M7306">
        <f t="shared" si="3093"/>
        <v>3.2549999999999955</v>
      </c>
      <c r="N7306">
        <f t="shared" si="3084"/>
        <v>6.5099999999999909</v>
      </c>
      <c r="O7306">
        <f t="shared" si="3094"/>
        <v>133.94999999999999</v>
      </c>
      <c r="P7306">
        <f t="shared" si="3095"/>
        <v>0.3978494623655881</v>
      </c>
      <c r="Q7306" t="str">
        <f t="shared" si="3085"/>
        <v>3.4% | 1.46%</v>
      </c>
      <c r="R7306" t="str">
        <f t="shared" si="3096"/>
        <v>BULLISH</v>
      </c>
      <c r="S7306">
        <f t="shared" si="3097"/>
        <v>1</v>
      </c>
    </row>
    <row r="7307" spans="1:19" hidden="1" x14ac:dyDescent="0.25">
      <c r="A7307" s="5" t="str">
        <f t="shared" si="3098"/>
        <v>44230XLE</v>
      </c>
      <c r="B7307" s="6" t="s">
        <v>250</v>
      </c>
      <c r="C7307" s="6">
        <v>38.479999999999997</v>
      </c>
      <c r="D7307" s="6">
        <v>43.74</v>
      </c>
      <c r="E7307" s="6">
        <v>40.03</v>
      </c>
      <c r="F7307" t="str">
        <f t="shared" si="3086"/>
        <v>WED</v>
      </c>
      <c r="G7307" s="3">
        <f t="shared" si="3087"/>
        <v>44230</v>
      </c>
      <c r="H7307" s="2">
        <f t="shared" ca="1" si="3088"/>
        <v>23</v>
      </c>
      <c r="I7307" t="str">
        <f t="shared" si="3089"/>
        <v>XLE</v>
      </c>
      <c r="J7307">
        <f t="shared" si="3090"/>
        <v>38.479999999999997</v>
      </c>
      <c r="K7307">
        <f t="shared" si="3091"/>
        <v>43.74</v>
      </c>
      <c r="L7307">
        <f t="shared" si="3092"/>
        <v>41.11</v>
      </c>
      <c r="M7307">
        <f t="shared" si="3093"/>
        <v>2.6300000000000026</v>
      </c>
      <c r="N7307">
        <f t="shared" si="3084"/>
        <v>5.2600000000000051</v>
      </c>
      <c r="O7307">
        <f t="shared" si="3094"/>
        <v>40.03</v>
      </c>
      <c r="P7307">
        <f t="shared" si="3095"/>
        <v>-0.41064638783269858</v>
      </c>
      <c r="Q7307" t="str">
        <f t="shared" si="3085"/>
        <v>3.87% | 9.27%</v>
      </c>
      <c r="R7307" t="str">
        <f t="shared" si="3096"/>
        <v>BULLISH</v>
      </c>
      <c r="S7307">
        <f t="shared" si="3097"/>
        <v>1</v>
      </c>
    </row>
    <row r="7308" spans="1:19" hidden="1" x14ac:dyDescent="0.25">
      <c r="A7308" s="5" t="str">
        <f t="shared" si="3098"/>
        <v>44230XLU</v>
      </c>
      <c r="B7308" s="6" t="s">
        <v>82</v>
      </c>
      <c r="C7308" s="6">
        <v>61.44</v>
      </c>
      <c r="D7308" s="6">
        <v>64.11</v>
      </c>
      <c r="E7308" s="6">
        <v>62.96</v>
      </c>
      <c r="F7308" t="str">
        <f t="shared" si="3086"/>
        <v>WED</v>
      </c>
      <c r="G7308" s="3">
        <f t="shared" si="3087"/>
        <v>44230</v>
      </c>
      <c r="H7308" s="2">
        <f t="shared" ca="1" si="3088"/>
        <v>23</v>
      </c>
      <c r="I7308" t="str">
        <f t="shared" si="3089"/>
        <v>XLU</v>
      </c>
      <c r="J7308">
        <f t="shared" si="3090"/>
        <v>61.44</v>
      </c>
      <c r="K7308">
        <f t="shared" si="3091"/>
        <v>64.11</v>
      </c>
      <c r="L7308">
        <f t="shared" si="3092"/>
        <v>62.774999999999999</v>
      </c>
      <c r="M7308">
        <f t="shared" si="3093"/>
        <v>1.3350000000000009</v>
      </c>
      <c r="N7308">
        <f t="shared" si="3084"/>
        <v>2.6700000000000017</v>
      </c>
      <c r="O7308">
        <f t="shared" si="3094"/>
        <v>62.96</v>
      </c>
      <c r="P7308">
        <f t="shared" si="3095"/>
        <v>0.13857677902621884</v>
      </c>
      <c r="Q7308" t="str">
        <f t="shared" si="3085"/>
        <v>2.41% | 1.83%</v>
      </c>
      <c r="R7308" t="str">
        <f t="shared" si="3096"/>
        <v>BEARISH</v>
      </c>
      <c r="S7308">
        <f t="shared" si="3097"/>
        <v>-1</v>
      </c>
    </row>
    <row r="7309" spans="1:19" hidden="1" x14ac:dyDescent="0.25">
      <c r="A7309" s="5" t="str">
        <f t="shared" si="3098"/>
        <v>44230GDX</v>
      </c>
      <c r="B7309" s="6" t="s">
        <v>254</v>
      </c>
      <c r="C7309" s="6">
        <v>33.6</v>
      </c>
      <c r="D7309" s="6">
        <v>36.21</v>
      </c>
      <c r="E7309" s="6">
        <v>34.619999999999997</v>
      </c>
      <c r="F7309" t="str">
        <f t="shared" si="3086"/>
        <v>WED</v>
      </c>
      <c r="G7309" s="3">
        <f t="shared" si="3087"/>
        <v>44230</v>
      </c>
      <c r="H7309" s="2">
        <f t="shared" ca="1" si="3088"/>
        <v>23</v>
      </c>
      <c r="I7309" t="str">
        <f t="shared" si="3089"/>
        <v>GDX</v>
      </c>
      <c r="J7309">
        <f t="shared" si="3090"/>
        <v>33.6</v>
      </c>
      <c r="K7309">
        <f t="shared" si="3091"/>
        <v>36.21</v>
      </c>
      <c r="L7309">
        <f t="shared" si="3092"/>
        <v>34.905000000000001</v>
      </c>
      <c r="M7309">
        <f t="shared" si="3093"/>
        <v>1.3049999999999997</v>
      </c>
      <c r="N7309">
        <f t="shared" si="3084"/>
        <v>2.6099999999999994</v>
      </c>
      <c r="O7309">
        <f t="shared" si="3094"/>
        <v>34.619999999999997</v>
      </c>
      <c r="P7309">
        <f t="shared" si="3095"/>
        <v>-0.21839080459770402</v>
      </c>
      <c r="Q7309" t="str">
        <f t="shared" si="3085"/>
        <v>2.95% | 4.59%</v>
      </c>
      <c r="R7309" t="str">
        <f t="shared" si="3096"/>
        <v>BEARISH</v>
      </c>
      <c r="S7309">
        <f t="shared" si="3097"/>
        <v>-1</v>
      </c>
    </row>
    <row r="7310" spans="1:19" hidden="1" x14ac:dyDescent="0.25">
      <c r="A7310" s="5" t="str">
        <f t="shared" si="3098"/>
        <v>44230SSEC</v>
      </c>
      <c r="B7310" s="6" t="s">
        <v>104</v>
      </c>
      <c r="C7310" s="6">
        <v>3455</v>
      </c>
      <c r="D7310" s="6">
        <v>3653</v>
      </c>
      <c r="E7310" s="6">
        <v>3517</v>
      </c>
      <c r="F7310" t="str">
        <f t="shared" si="3086"/>
        <v>WED</v>
      </c>
      <c r="G7310" s="3">
        <f t="shared" si="3087"/>
        <v>44230</v>
      </c>
      <c r="H7310" s="2">
        <f t="shared" ca="1" si="3088"/>
        <v>23</v>
      </c>
      <c r="I7310" t="str">
        <f t="shared" si="3089"/>
        <v>SSEC</v>
      </c>
      <c r="J7310">
        <f t="shared" si="3090"/>
        <v>3455</v>
      </c>
      <c r="K7310">
        <f t="shared" si="3091"/>
        <v>3653</v>
      </c>
      <c r="L7310">
        <f t="shared" si="3092"/>
        <v>3554</v>
      </c>
      <c r="M7310">
        <f t="shared" si="3093"/>
        <v>99</v>
      </c>
      <c r="N7310">
        <f t="shared" si="3084"/>
        <v>198</v>
      </c>
      <c r="O7310">
        <f t="shared" si="3094"/>
        <v>3517</v>
      </c>
      <c r="P7310">
        <f t="shared" si="3095"/>
        <v>-0.37373737373737376</v>
      </c>
      <c r="Q7310" t="str">
        <f t="shared" si="3085"/>
        <v>1.76% | 3.87%</v>
      </c>
      <c r="R7310" t="str">
        <f t="shared" si="3096"/>
        <v>BULLISH</v>
      </c>
      <c r="S7310">
        <f t="shared" si="3097"/>
        <v>1</v>
      </c>
    </row>
    <row r="7311" spans="1:19" hidden="1" x14ac:dyDescent="0.25">
      <c r="A7311" s="5" t="str">
        <f t="shared" si="3098"/>
        <v>44230NIKK</v>
      </c>
      <c r="B7311" s="6" t="s">
        <v>91</v>
      </c>
      <c r="C7311" s="6">
        <v>27701</v>
      </c>
      <c r="D7311" s="6">
        <v>29125</v>
      </c>
      <c r="E7311" s="6">
        <v>28646</v>
      </c>
      <c r="F7311" t="str">
        <f t="shared" si="3086"/>
        <v>WED</v>
      </c>
      <c r="G7311" s="3">
        <f t="shared" si="3087"/>
        <v>44230</v>
      </c>
      <c r="H7311" s="2">
        <f t="shared" ca="1" si="3088"/>
        <v>23</v>
      </c>
      <c r="I7311" t="str">
        <f t="shared" si="3089"/>
        <v>NIKK</v>
      </c>
      <c r="J7311">
        <f t="shared" si="3090"/>
        <v>27701</v>
      </c>
      <c r="K7311">
        <f t="shared" si="3091"/>
        <v>29125</v>
      </c>
      <c r="L7311">
        <f t="shared" si="3092"/>
        <v>28413</v>
      </c>
      <c r="M7311">
        <f t="shared" si="3093"/>
        <v>712</v>
      </c>
      <c r="N7311">
        <f t="shared" si="3084"/>
        <v>1424</v>
      </c>
      <c r="O7311">
        <f t="shared" si="3094"/>
        <v>28646</v>
      </c>
      <c r="P7311">
        <f t="shared" si="3095"/>
        <v>0.32724719101123595</v>
      </c>
      <c r="Q7311" t="str">
        <f t="shared" si="3085"/>
        <v>3.3% | 1.67%</v>
      </c>
      <c r="R7311" t="str">
        <f t="shared" si="3096"/>
        <v>BULLISH</v>
      </c>
      <c r="S7311">
        <f t="shared" si="3097"/>
        <v>1</v>
      </c>
    </row>
    <row r="7312" spans="1:19" hidden="1" x14ac:dyDescent="0.25">
      <c r="A7312" s="5" t="str">
        <f t="shared" si="3098"/>
        <v>44230DAX</v>
      </c>
      <c r="B7312" s="6" t="s">
        <v>98</v>
      </c>
      <c r="C7312" s="6">
        <v>13427</v>
      </c>
      <c r="D7312" s="6">
        <v>14041</v>
      </c>
      <c r="E7312" s="6">
        <v>13835</v>
      </c>
      <c r="F7312" t="str">
        <f t="shared" si="3086"/>
        <v>WED</v>
      </c>
      <c r="G7312" s="3">
        <f t="shared" si="3087"/>
        <v>44230</v>
      </c>
      <c r="H7312" s="2">
        <f t="shared" ca="1" si="3088"/>
        <v>23</v>
      </c>
      <c r="I7312" t="str">
        <f t="shared" si="3089"/>
        <v>DAX</v>
      </c>
      <c r="J7312">
        <f t="shared" si="3090"/>
        <v>13427</v>
      </c>
      <c r="K7312">
        <f t="shared" si="3091"/>
        <v>14041</v>
      </c>
      <c r="L7312">
        <f t="shared" si="3092"/>
        <v>13734</v>
      </c>
      <c r="M7312">
        <f t="shared" si="3093"/>
        <v>307</v>
      </c>
      <c r="N7312">
        <f t="shared" si="3084"/>
        <v>614</v>
      </c>
      <c r="O7312">
        <f t="shared" si="3094"/>
        <v>13835</v>
      </c>
      <c r="P7312">
        <f t="shared" si="3095"/>
        <v>0.3289902280130293</v>
      </c>
      <c r="Q7312" t="str">
        <f t="shared" si="3085"/>
        <v>2.95% | 1.49%</v>
      </c>
      <c r="R7312" t="str">
        <f t="shared" si="3096"/>
        <v>BULLISH</v>
      </c>
      <c r="S7312">
        <f t="shared" si="3097"/>
        <v>1</v>
      </c>
    </row>
    <row r="7313" spans="1:19" hidden="1" x14ac:dyDescent="0.25">
      <c r="A7313" s="5" t="str">
        <f t="shared" si="3098"/>
        <v>44230VIX</v>
      </c>
      <c r="B7313" s="6" t="s">
        <v>96</v>
      </c>
      <c r="C7313" s="6">
        <v>17.72</v>
      </c>
      <c r="D7313" s="6">
        <v>35.799999999999997</v>
      </c>
      <c r="E7313" s="6">
        <v>25.56</v>
      </c>
      <c r="F7313" t="str">
        <f t="shared" si="3086"/>
        <v>WED</v>
      </c>
      <c r="G7313" s="3">
        <f t="shared" si="3087"/>
        <v>44230</v>
      </c>
      <c r="H7313" s="2">
        <f t="shared" ca="1" si="3088"/>
        <v>23</v>
      </c>
      <c r="I7313" t="str">
        <f t="shared" si="3089"/>
        <v>VIX</v>
      </c>
      <c r="J7313">
        <f t="shared" si="3090"/>
        <v>17.72</v>
      </c>
      <c r="K7313">
        <f t="shared" si="3091"/>
        <v>35.799999999999997</v>
      </c>
      <c r="L7313">
        <f t="shared" si="3092"/>
        <v>26.759999999999998</v>
      </c>
      <c r="M7313">
        <f t="shared" si="3093"/>
        <v>9.0399999999999974</v>
      </c>
      <c r="N7313">
        <f t="shared" si="3084"/>
        <v>18.079999999999998</v>
      </c>
      <c r="O7313">
        <f t="shared" si="3094"/>
        <v>25.56</v>
      </c>
      <c r="P7313">
        <f t="shared" si="3095"/>
        <v>-0.13274336283185836</v>
      </c>
      <c r="Q7313" t="str">
        <f t="shared" si="3085"/>
        <v>30.67% | 40.06%</v>
      </c>
      <c r="R7313" t="str">
        <f t="shared" si="3096"/>
        <v>BEARISH</v>
      </c>
      <c r="S7313">
        <f t="shared" si="3097"/>
        <v>-1</v>
      </c>
    </row>
    <row r="7314" spans="1:19" hidden="1" x14ac:dyDescent="0.25">
      <c r="A7314" s="5" t="str">
        <f t="shared" si="3098"/>
        <v>44230USD</v>
      </c>
      <c r="B7314" s="6" t="s">
        <v>94</v>
      </c>
      <c r="C7314" s="6">
        <v>89.82</v>
      </c>
      <c r="D7314" s="6">
        <v>91.34</v>
      </c>
      <c r="E7314" s="6">
        <v>91.19</v>
      </c>
      <c r="F7314" t="str">
        <f t="shared" si="3086"/>
        <v>WED</v>
      </c>
      <c r="G7314" s="3">
        <f t="shared" si="3087"/>
        <v>44230</v>
      </c>
      <c r="H7314" s="2">
        <f t="shared" ca="1" si="3088"/>
        <v>23</v>
      </c>
      <c r="I7314" t="str">
        <f t="shared" si="3089"/>
        <v>USD</v>
      </c>
      <c r="J7314">
        <f t="shared" si="3090"/>
        <v>89.82</v>
      </c>
      <c r="K7314">
        <f t="shared" si="3091"/>
        <v>91.34</v>
      </c>
      <c r="L7314">
        <f t="shared" si="3092"/>
        <v>90.58</v>
      </c>
      <c r="M7314">
        <f t="shared" si="3093"/>
        <v>0.76000000000000512</v>
      </c>
      <c r="N7314">
        <f t="shared" si="3084"/>
        <v>1.5200000000000102</v>
      </c>
      <c r="O7314">
        <f t="shared" si="3094"/>
        <v>91.19</v>
      </c>
      <c r="P7314">
        <f t="shared" si="3095"/>
        <v>0.80263157894736226</v>
      </c>
      <c r="Q7314" t="str">
        <f t="shared" si="3085"/>
        <v>1.5% | 0.16%</v>
      </c>
      <c r="R7314" t="str">
        <f t="shared" si="3096"/>
        <v>BEARISH</v>
      </c>
      <c r="S7314">
        <f t="shared" si="3097"/>
        <v>-1</v>
      </c>
    </row>
    <row r="7315" spans="1:19" hidden="1" x14ac:dyDescent="0.25">
      <c r="A7315" s="5" t="str">
        <f t="shared" si="3098"/>
        <v>44230EUR/USD</v>
      </c>
      <c r="B7315" s="6" t="s">
        <v>99</v>
      </c>
      <c r="C7315" s="6">
        <v>1.2010000000000001</v>
      </c>
      <c r="D7315" s="6">
        <v>1.222</v>
      </c>
      <c r="E7315" s="6">
        <v>1.204</v>
      </c>
      <c r="F7315" t="str">
        <f t="shared" si="3086"/>
        <v>WED</v>
      </c>
      <c r="G7315" s="3">
        <f t="shared" si="3087"/>
        <v>44230</v>
      </c>
      <c r="H7315" s="2">
        <f t="shared" ca="1" si="3088"/>
        <v>23</v>
      </c>
      <c r="I7315" t="str">
        <f t="shared" si="3089"/>
        <v>EUR/USD</v>
      </c>
      <c r="J7315">
        <f t="shared" si="3090"/>
        <v>1.2010000000000001</v>
      </c>
      <c r="K7315">
        <f t="shared" si="3091"/>
        <v>1.222</v>
      </c>
      <c r="L7315">
        <f t="shared" si="3092"/>
        <v>1.2115</v>
      </c>
      <c r="M7315">
        <f t="shared" si="3093"/>
        <v>1.0499999999999954E-2</v>
      </c>
      <c r="N7315">
        <f t="shared" si="3084"/>
        <v>2.0999999999999908E-2</v>
      </c>
      <c r="O7315">
        <f t="shared" si="3094"/>
        <v>1.204</v>
      </c>
      <c r="P7315">
        <f t="shared" si="3095"/>
        <v>-0.71428571428572329</v>
      </c>
      <c r="Q7315" t="str">
        <f t="shared" si="3085"/>
        <v>0.25% | 1.5%</v>
      </c>
      <c r="R7315" t="str">
        <f t="shared" si="3096"/>
        <v>BULLISH</v>
      </c>
      <c r="S7315">
        <f t="shared" si="3097"/>
        <v>1</v>
      </c>
    </row>
    <row r="7316" spans="1:19" hidden="1" x14ac:dyDescent="0.25">
      <c r="A7316" s="5" t="str">
        <f t="shared" si="3098"/>
        <v>44230USD/JPY</v>
      </c>
      <c r="B7316" s="6" t="s">
        <v>86</v>
      </c>
      <c r="C7316" s="6">
        <v>103.12</v>
      </c>
      <c r="D7316" s="6">
        <v>105.3</v>
      </c>
      <c r="E7316" s="6">
        <v>105</v>
      </c>
      <c r="F7316" t="str">
        <f t="shared" si="3086"/>
        <v>WED</v>
      </c>
      <c r="G7316" s="3">
        <f t="shared" si="3087"/>
        <v>44230</v>
      </c>
      <c r="H7316" s="2">
        <f t="shared" ca="1" si="3088"/>
        <v>23</v>
      </c>
      <c r="I7316" t="str">
        <f t="shared" si="3089"/>
        <v>USD/JPY</v>
      </c>
      <c r="J7316">
        <f t="shared" si="3090"/>
        <v>103.12</v>
      </c>
      <c r="K7316">
        <f t="shared" si="3091"/>
        <v>105.3</v>
      </c>
      <c r="L7316">
        <f t="shared" si="3092"/>
        <v>104.21000000000001</v>
      </c>
      <c r="M7316">
        <f t="shared" si="3093"/>
        <v>1.0899999999999963</v>
      </c>
      <c r="N7316">
        <f t="shared" si="3084"/>
        <v>2.1799999999999926</v>
      </c>
      <c r="O7316">
        <f t="shared" si="3094"/>
        <v>105</v>
      </c>
      <c r="P7316">
        <f t="shared" si="3095"/>
        <v>0.72477064220183007</v>
      </c>
      <c r="Q7316" t="str">
        <f t="shared" si="3085"/>
        <v>1.79% | 0.29%</v>
      </c>
      <c r="R7316" t="str">
        <f t="shared" si="3096"/>
        <v>NEUTRAL</v>
      </c>
      <c r="S7316">
        <f t="shared" si="3097"/>
        <v>0</v>
      </c>
    </row>
    <row r="7317" spans="1:19" hidden="1" x14ac:dyDescent="0.25">
      <c r="A7317" s="5" t="str">
        <f t="shared" si="3098"/>
        <v>44230GBP/USD</v>
      </c>
      <c r="B7317" s="6" t="s">
        <v>102</v>
      </c>
      <c r="C7317" s="6">
        <v>1.361</v>
      </c>
      <c r="D7317" s="6">
        <v>1.3759999999999999</v>
      </c>
      <c r="E7317" s="6">
        <v>1.3660000000000001</v>
      </c>
      <c r="F7317" t="str">
        <f t="shared" si="3086"/>
        <v>WED</v>
      </c>
      <c r="G7317" s="3">
        <f t="shared" si="3087"/>
        <v>44230</v>
      </c>
      <c r="H7317" s="2">
        <f t="shared" ca="1" si="3088"/>
        <v>23</v>
      </c>
      <c r="I7317" t="str">
        <f t="shared" si="3089"/>
        <v>GBP/USD</v>
      </c>
      <c r="J7317">
        <f t="shared" si="3090"/>
        <v>1.361</v>
      </c>
      <c r="K7317">
        <f t="shared" si="3091"/>
        <v>1.3759999999999999</v>
      </c>
      <c r="L7317">
        <f t="shared" si="3092"/>
        <v>1.3685</v>
      </c>
      <c r="M7317">
        <f t="shared" si="3093"/>
        <v>7.4999999999999512E-3</v>
      </c>
      <c r="N7317">
        <f t="shared" si="3084"/>
        <v>1.4999999999999902E-2</v>
      </c>
      <c r="O7317">
        <f t="shared" si="3094"/>
        <v>1.3660000000000001</v>
      </c>
      <c r="P7317">
        <f t="shared" si="3095"/>
        <v>-0.33333333333332837</v>
      </c>
      <c r="Q7317" t="str">
        <f t="shared" si="3085"/>
        <v>0.37% | 0.73%</v>
      </c>
      <c r="R7317" t="str">
        <f t="shared" si="3096"/>
        <v>BULLISH</v>
      </c>
      <c r="S7317">
        <f t="shared" si="3097"/>
        <v>1</v>
      </c>
    </row>
    <row r="7318" spans="1:19" hidden="1" x14ac:dyDescent="0.25">
      <c r="A7318" s="5" t="str">
        <f t="shared" si="3098"/>
        <v>44230CAD/USD</v>
      </c>
      <c r="B7318" s="6" t="s">
        <v>244</v>
      </c>
      <c r="C7318" s="6">
        <v>0.77</v>
      </c>
      <c r="D7318" s="6">
        <v>0.79</v>
      </c>
      <c r="E7318" s="6">
        <v>0.78</v>
      </c>
      <c r="F7318" t="str">
        <f t="shared" si="3086"/>
        <v>WED</v>
      </c>
      <c r="G7318" s="3">
        <f t="shared" si="3087"/>
        <v>44230</v>
      </c>
      <c r="H7318" s="2">
        <f t="shared" ca="1" si="3088"/>
        <v>23</v>
      </c>
      <c r="I7318" t="str">
        <f t="shared" si="3089"/>
        <v>CAD/USD</v>
      </c>
      <c r="J7318">
        <f t="shared" si="3090"/>
        <v>0.77</v>
      </c>
      <c r="K7318">
        <f t="shared" si="3091"/>
        <v>0.79</v>
      </c>
      <c r="L7318">
        <f t="shared" si="3092"/>
        <v>0.78</v>
      </c>
      <c r="M7318">
        <f t="shared" si="3093"/>
        <v>1.0000000000000009E-2</v>
      </c>
      <c r="N7318">
        <f t="shared" si="3084"/>
        <v>2.0000000000000018E-2</v>
      </c>
      <c r="O7318">
        <f t="shared" si="3094"/>
        <v>0.78</v>
      </c>
      <c r="P7318">
        <f t="shared" si="3095"/>
        <v>0</v>
      </c>
      <c r="Q7318" t="str">
        <f t="shared" si="3085"/>
        <v>1.28% | 1.28%</v>
      </c>
      <c r="R7318" t="str">
        <f t="shared" si="3096"/>
        <v>BULLISH</v>
      </c>
      <c r="S7318">
        <f t="shared" si="3097"/>
        <v>1</v>
      </c>
    </row>
    <row r="7319" spans="1:19" hidden="1" x14ac:dyDescent="0.25">
      <c r="A7319" s="5" t="str">
        <f t="shared" si="3098"/>
        <v>44230USD/CHF</v>
      </c>
      <c r="B7319" s="6" t="s">
        <v>76</v>
      </c>
      <c r="C7319" s="6">
        <v>0.88</v>
      </c>
      <c r="D7319" s="6">
        <v>0.9</v>
      </c>
      <c r="E7319" s="6">
        <v>0.89</v>
      </c>
      <c r="F7319" t="str">
        <f t="shared" si="3086"/>
        <v>WED</v>
      </c>
      <c r="G7319" s="3">
        <f t="shared" si="3087"/>
        <v>44230</v>
      </c>
      <c r="H7319" s="2">
        <f t="shared" ca="1" si="3088"/>
        <v>23</v>
      </c>
      <c r="I7319" t="str">
        <f t="shared" si="3089"/>
        <v>USD/CHF</v>
      </c>
      <c r="J7319">
        <f t="shared" si="3090"/>
        <v>0.88</v>
      </c>
      <c r="K7319">
        <f t="shared" si="3091"/>
        <v>0.9</v>
      </c>
      <c r="L7319">
        <f t="shared" si="3092"/>
        <v>0.89</v>
      </c>
      <c r="M7319">
        <f t="shared" si="3093"/>
        <v>1.0000000000000009E-2</v>
      </c>
      <c r="N7319">
        <f t="shared" si="3084"/>
        <v>2.0000000000000018E-2</v>
      </c>
      <c r="O7319">
        <f t="shared" si="3094"/>
        <v>0.89</v>
      </c>
      <c r="P7319">
        <f t="shared" si="3095"/>
        <v>0</v>
      </c>
      <c r="Q7319" t="str">
        <f t="shared" si="3085"/>
        <v>1.12% | 1.12%</v>
      </c>
      <c r="R7319" t="str">
        <f t="shared" si="3096"/>
        <v>BEARISH</v>
      </c>
      <c r="S7319">
        <f t="shared" si="3097"/>
        <v>-1</v>
      </c>
    </row>
    <row r="7320" spans="1:19" hidden="1" x14ac:dyDescent="0.25">
      <c r="A7320" s="5" t="str">
        <f t="shared" si="3098"/>
        <v>44230WTIC</v>
      </c>
      <c r="B7320" s="6" t="s">
        <v>158</v>
      </c>
      <c r="C7320" s="6">
        <v>51.43</v>
      </c>
      <c r="D7320" s="6">
        <v>55.57</v>
      </c>
      <c r="E7320" s="6">
        <v>54.76</v>
      </c>
      <c r="F7320" t="str">
        <f t="shared" si="3086"/>
        <v>WED</v>
      </c>
      <c r="G7320" s="3">
        <f t="shared" si="3087"/>
        <v>44230</v>
      </c>
      <c r="H7320" s="2">
        <f t="shared" ca="1" si="3088"/>
        <v>23</v>
      </c>
      <c r="I7320" t="str">
        <f t="shared" si="3089"/>
        <v>WTIC</v>
      </c>
      <c r="J7320">
        <f t="shared" si="3090"/>
        <v>51.43</v>
      </c>
      <c r="K7320">
        <f t="shared" si="3091"/>
        <v>55.57</v>
      </c>
      <c r="L7320">
        <f t="shared" si="3092"/>
        <v>53.5</v>
      </c>
      <c r="M7320">
        <f t="shared" si="3093"/>
        <v>2.0700000000000003</v>
      </c>
      <c r="N7320">
        <f t="shared" si="3084"/>
        <v>4.1400000000000006</v>
      </c>
      <c r="O7320">
        <f t="shared" si="3094"/>
        <v>54.76</v>
      </c>
      <c r="P7320">
        <f t="shared" si="3095"/>
        <v>0.60869565217391197</v>
      </c>
      <c r="Q7320" t="str">
        <f t="shared" si="3085"/>
        <v>6.08% | 1.48%</v>
      </c>
      <c r="R7320" t="str">
        <f t="shared" si="3096"/>
        <v>BULLISH</v>
      </c>
      <c r="S7320">
        <f t="shared" si="3097"/>
        <v>1</v>
      </c>
    </row>
    <row r="7321" spans="1:19" hidden="1" x14ac:dyDescent="0.25">
      <c r="A7321" s="5" t="str">
        <f t="shared" si="3098"/>
        <v>44230NATGAS</v>
      </c>
      <c r="B7321" s="6" t="s">
        <v>89</v>
      </c>
      <c r="C7321" s="6">
        <v>2.4500000000000002</v>
      </c>
      <c r="D7321" s="6">
        <v>2.94</v>
      </c>
      <c r="E7321" s="6">
        <v>2.85</v>
      </c>
      <c r="F7321" t="str">
        <f t="shared" si="3086"/>
        <v>WED</v>
      </c>
      <c r="G7321" s="3">
        <f t="shared" si="3087"/>
        <v>44230</v>
      </c>
      <c r="H7321" s="2">
        <f t="shared" ca="1" si="3088"/>
        <v>23</v>
      </c>
      <c r="I7321" t="str">
        <f t="shared" si="3089"/>
        <v>NATGAS</v>
      </c>
      <c r="J7321">
        <f t="shared" si="3090"/>
        <v>2.4500000000000002</v>
      </c>
      <c r="K7321">
        <f t="shared" si="3091"/>
        <v>2.94</v>
      </c>
      <c r="L7321">
        <f t="shared" si="3092"/>
        <v>2.6950000000000003</v>
      </c>
      <c r="M7321">
        <f t="shared" si="3093"/>
        <v>0.24499999999999988</v>
      </c>
      <c r="N7321">
        <f t="shared" si="3084"/>
        <v>0.48999999999999977</v>
      </c>
      <c r="O7321">
        <f t="shared" si="3094"/>
        <v>2.85</v>
      </c>
      <c r="P7321">
        <f t="shared" si="3095"/>
        <v>0.63265306122448928</v>
      </c>
      <c r="Q7321" t="str">
        <f t="shared" si="3085"/>
        <v>14.04% | 3.16%</v>
      </c>
      <c r="R7321" t="str">
        <f t="shared" si="3096"/>
        <v>BULLISH</v>
      </c>
      <c r="S7321">
        <f t="shared" si="3097"/>
        <v>1</v>
      </c>
    </row>
    <row r="7322" spans="1:19" hidden="1" x14ac:dyDescent="0.25">
      <c r="A7322" s="5" t="str">
        <f t="shared" si="3098"/>
        <v>44230GOLD</v>
      </c>
      <c r="B7322" s="6" t="s">
        <v>85</v>
      </c>
      <c r="C7322" s="6">
        <v>1824</v>
      </c>
      <c r="D7322" s="6">
        <v>1869</v>
      </c>
      <c r="E7322" s="6">
        <v>1833</v>
      </c>
      <c r="F7322" t="str">
        <f t="shared" si="3086"/>
        <v>WED</v>
      </c>
      <c r="G7322" s="3">
        <f t="shared" si="3087"/>
        <v>44230</v>
      </c>
      <c r="H7322" s="2">
        <f t="shared" ca="1" si="3088"/>
        <v>23</v>
      </c>
      <c r="I7322" t="str">
        <f t="shared" si="3089"/>
        <v>GOLD</v>
      </c>
      <c r="J7322">
        <f t="shared" si="3090"/>
        <v>1824</v>
      </c>
      <c r="K7322">
        <f t="shared" si="3091"/>
        <v>1869</v>
      </c>
      <c r="L7322">
        <f t="shared" si="3092"/>
        <v>1846.5</v>
      </c>
      <c r="M7322">
        <f t="shared" si="3093"/>
        <v>22.5</v>
      </c>
      <c r="N7322">
        <f t="shared" si="3084"/>
        <v>45</v>
      </c>
      <c r="O7322">
        <f t="shared" si="3094"/>
        <v>1833</v>
      </c>
      <c r="P7322">
        <f t="shared" si="3095"/>
        <v>-0.6</v>
      </c>
      <c r="Q7322" t="str">
        <f t="shared" si="3085"/>
        <v>0.49% | 1.96%</v>
      </c>
      <c r="R7322" t="str">
        <f t="shared" si="3096"/>
        <v>BEARISH</v>
      </c>
      <c r="S7322">
        <f t="shared" si="3097"/>
        <v>-1</v>
      </c>
    </row>
    <row r="7323" spans="1:19" hidden="1" x14ac:dyDescent="0.25">
      <c r="A7323" s="5" t="str">
        <f t="shared" si="3098"/>
        <v>44230COPPER</v>
      </c>
      <c r="B7323" s="6" t="s">
        <v>100</v>
      </c>
      <c r="C7323" s="6">
        <v>3.5</v>
      </c>
      <c r="D7323" s="6">
        <v>3.68</v>
      </c>
      <c r="E7323" s="6">
        <v>3.52</v>
      </c>
      <c r="F7323" t="str">
        <f t="shared" si="3086"/>
        <v>WED</v>
      </c>
      <c r="G7323" s="3">
        <f t="shared" si="3087"/>
        <v>44230</v>
      </c>
      <c r="H7323" s="2">
        <f t="shared" ca="1" si="3088"/>
        <v>23</v>
      </c>
      <c r="I7323" t="str">
        <f t="shared" si="3089"/>
        <v>COPPER</v>
      </c>
      <c r="J7323">
        <f t="shared" si="3090"/>
        <v>3.5</v>
      </c>
      <c r="K7323">
        <f t="shared" si="3091"/>
        <v>3.68</v>
      </c>
      <c r="L7323">
        <f t="shared" si="3092"/>
        <v>3.59</v>
      </c>
      <c r="M7323">
        <f t="shared" si="3093"/>
        <v>9.000000000000008E-2</v>
      </c>
      <c r="N7323">
        <f t="shared" si="3084"/>
        <v>0.18000000000000016</v>
      </c>
      <c r="O7323">
        <f t="shared" si="3094"/>
        <v>3.52</v>
      </c>
      <c r="P7323">
        <f t="shared" si="3095"/>
        <v>-0.77777777777777535</v>
      </c>
      <c r="Q7323" t="str">
        <f t="shared" si="3085"/>
        <v>0.57% | 4.55%</v>
      </c>
      <c r="R7323" t="str">
        <f t="shared" si="3096"/>
        <v>BULLISH</v>
      </c>
      <c r="S7323">
        <f t="shared" si="3097"/>
        <v>1</v>
      </c>
    </row>
    <row r="7324" spans="1:19" hidden="1" x14ac:dyDescent="0.25">
      <c r="A7324" s="5" t="str">
        <f t="shared" si="3098"/>
        <v>44230SILVER</v>
      </c>
      <c r="B7324" s="6" t="s">
        <v>195</v>
      </c>
      <c r="C7324" s="6">
        <v>25.17</v>
      </c>
      <c r="D7324" s="6">
        <v>28.81</v>
      </c>
      <c r="E7324" s="6">
        <v>26.4</v>
      </c>
      <c r="F7324" t="str">
        <f t="shared" si="3086"/>
        <v>WED</v>
      </c>
      <c r="G7324" s="3">
        <f t="shared" si="3087"/>
        <v>44230</v>
      </c>
      <c r="H7324" s="2">
        <f t="shared" ca="1" si="3088"/>
        <v>23</v>
      </c>
      <c r="I7324" t="str">
        <f t="shared" si="3089"/>
        <v>SILVER</v>
      </c>
      <c r="J7324">
        <f t="shared" si="3090"/>
        <v>25.17</v>
      </c>
      <c r="K7324">
        <f t="shared" si="3091"/>
        <v>28.81</v>
      </c>
      <c r="L7324">
        <f t="shared" si="3092"/>
        <v>26.990000000000002</v>
      </c>
      <c r="M7324">
        <f t="shared" si="3093"/>
        <v>1.8199999999999985</v>
      </c>
      <c r="N7324">
        <f t="shared" si="3084"/>
        <v>3.639999999999997</v>
      </c>
      <c r="O7324">
        <f t="shared" si="3094"/>
        <v>26.4</v>
      </c>
      <c r="P7324">
        <f t="shared" si="3095"/>
        <v>-0.3241758241758263</v>
      </c>
      <c r="Q7324" t="str">
        <f t="shared" si="3085"/>
        <v>4.66% | 9.13%</v>
      </c>
      <c r="R7324" t="str">
        <f t="shared" si="3096"/>
        <v>BULLISH</v>
      </c>
      <c r="S7324">
        <f t="shared" si="3097"/>
        <v>1</v>
      </c>
    </row>
    <row r="7325" spans="1:19" hidden="1" x14ac:dyDescent="0.25">
      <c r="A7325" s="5" t="str">
        <f t="shared" si="3098"/>
        <v>44230MSFT</v>
      </c>
      <c r="B7325" s="6" t="s">
        <v>27</v>
      </c>
      <c r="C7325" s="6">
        <v>231</v>
      </c>
      <c r="D7325" s="6">
        <v>245</v>
      </c>
      <c r="E7325" s="6">
        <v>239</v>
      </c>
      <c r="F7325" t="str">
        <f t="shared" si="3086"/>
        <v>WED</v>
      </c>
      <c r="G7325" s="3">
        <f t="shared" si="3087"/>
        <v>44230</v>
      </c>
      <c r="H7325" s="2">
        <f t="shared" ca="1" si="3088"/>
        <v>23</v>
      </c>
      <c r="I7325" t="str">
        <f t="shared" si="3089"/>
        <v>MSFT</v>
      </c>
      <c r="J7325">
        <f t="shared" si="3090"/>
        <v>231</v>
      </c>
      <c r="K7325">
        <f t="shared" si="3091"/>
        <v>245</v>
      </c>
      <c r="L7325">
        <f t="shared" si="3092"/>
        <v>238</v>
      </c>
      <c r="M7325">
        <f t="shared" si="3093"/>
        <v>7</v>
      </c>
      <c r="N7325">
        <f t="shared" si="3084"/>
        <v>14</v>
      </c>
      <c r="O7325">
        <f t="shared" si="3094"/>
        <v>239</v>
      </c>
      <c r="P7325">
        <f t="shared" si="3095"/>
        <v>0.14285714285714285</v>
      </c>
      <c r="Q7325" t="str">
        <f t="shared" si="3085"/>
        <v>3.35% | 2.51%</v>
      </c>
      <c r="R7325" t="str">
        <f t="shared" si="3096"/>
        <v>BULLISH</v>
      </c>
      <c r="S7325">
        <f t="shared" si="3097"/>
        <v>1</v>
      </c>
    </row>
    <row r="7326" spans="1:19" hidden="1" x14ac:dyDescent="0.25">
      <c r="A7326" s="5" t="str">
        <f t="shared" si="3098"/>
        <v>44230AAPL</v>
      </c>
      <c r="B7326" s="6" t="s">
        <v>28</v>
      </c>
      <c r="C7326" s="6">
        <v>130</v>
      </c>
      <c r="D7326" s="6">
        <v>146</v>
      </c>
      <c r="E7326" s="6">
        <v>134</v>
      </c>
      <c r="F7326" t="str">
        <f t="shared" si="3086"/>
        <v>WED</v>
      </c>
      <c r="G7326" s="3">
        <f t="shared" si="3087"/>
        <v>44230</v>
      </c>
      <c r="H7326" s="2">
        <f t="shared" ca="1" si="3088"/>
        <v>23</v>
      </c>
      <c r="I7326" t="str">
        <f t="shared" si="3089"/>
        <v>AAPL</v>
      </c>
      <c r="J7326">
        <f t="shared" si="3090"/>
        <v>130</v>
      </c>
      <c r="K7326">
        <f t="shared" si="3091"/>
        <v>146</v>
      </c>
      <c r="L7326">
        <f t="shared" si="3092"/>
        <v>138</v>
      </c>
      <c r="M7326">
        <f t="shared" si="3093"/>
        <v>8</v>
      </c>
      <c r="N7326">
        <f t="shared" si="3084"/>
        <v>16</v>
      </c>
      <c r="O7326">
        <f t="shared" si="3094"/>
        <v>134</v>
      </c>
      <c r="P7326">
        <f t="shared" si="3095"/>
        <v>-0.5</v>
      </c>
      <c r="Q7326" t="str">
        <f t="shared" si="3085"/>
        <v>2.99% | 8.96%</v>
      </c>
      <c r="R7326" t="str">
        <f t="shared" si="3096"/>
        <v>BULLISH</v>
      </c>
      <c r="S7326">
        <f t="shared" si="3097"/>
        <v>1</v>
      </c>
    </row>
    <row r="7327" spans="1:19" hidden="1" x14ac:dyDescent="0.25">
      <c r="A7327" s="5" t="str">
        <f t="shared" si="3098"/>
        <v>44230AMZN</v>
      </c>
      <c r="B7327" s="6" t="s">
        <v>29</v>
      </c>
      <c r="C7327" s="6">
        <v>3234</v>
      </c>
      <c r="D7327" s="6">
        <v>3408</v>
      </c>
      <c r="E7327" s="6">
        <v>3380</v>
      </c>
      <c r="F7327" t="str">
        <f t="shared" si="3086"/>
        <v>WED</v>
      </c>
      <c r="G7327" s="3">
        <f t="shared" si="3087"/>
        <v>44230</v>
      </c>
      <c r="H7327" s="2">
        <f t="shared" ca="1" si="3088"/>
        <v>23</v>
      </c>
      <c r="I7327" t="str">
        <f t="shared" si="3089"/>
        <v>AMZN</v>
      </c>
      <c r="J7327">
        <f t="shared" si="3090"/>
        <v>3234</v>
      </c>
      <c r="K7327">
        <f t="shared" si="3091"/>
        <v>3408</v>
      </c>
      <c r="L7327">
        <f t="shared" si="3092"/>
        <v>3321</v>
      </c>
      <c r="M7327">
        <f t="shared" si="3093"/>
        <v>87</v>
      </c>
      <c r="N7327">
        <f t="shared" si="3084"/>
        <v>174</v>
      </c>
      <c r="O7327">
        <f t="shared" si="3094"/>
        <v>3380</v>
      </c>
      <c r="P7327">
        <f t="shared" si="3095"/>
        <v>0.67816091954022983</v>
      </c>
      <c r="Q7327" t="str">
        <f t="shared" si="3085"/>
        <v>4.32% | 0.83%</v>
      </c>
      <c r="R7327" t="str">
        <f t="shared" si="3096"/>
        <v>BULLISH</v>
      </c>
      <c r="S7327">
        <f t="shared" si="3097"/>
        <v>1</v>
      </c>
    </row>
    <row r="7328" spans="1:19" hidden="1" x14ac:dyDescent="0.25">
      <c r="A7328" s="5" t="str">
        <f t="shared" si="3098"/>
        <v>44230FB</v>
      </c>
      <c r="B7328" s="6" t="s">
        <v>157</v>
      </c>
      <c r="C7328" s="6">
        <v>254</v>
      </c>
      <c r="D7328" s="6">
        <v>285</v>
      </c>
      <c r="E7328" s="6">
        <v>267</v>
      </c>
      <c r="F7328" t="str">
        <f t="shared" si="3086"/>
        <v>WED</v>
      </c>
      <c r="G7328" s="3">
        <f t="shared" si="3087"/>
        <v>44230</v>
      </c>
      <c r="H7328" s="2">
        <f t="shared" ca="1" si="3088"/>
        <v>23</v>
      </c>
      <c r="I7328" t="str">
        <f t="shared" si="3089"/>
        <v>FB</v>
      </c>
      <c r="J7328">
        <f t="shared" si="3090"/>
        <v>254</v>
      </c>
      <c r="K7328">
        <f t="shared" si="3091"/>
        <v>285</v>
      </c>
      <c r="L7328">
        <f t="shared" si="3092"/>
        <v>269.5</v>
      </c>
      <c r="M7328">
        <f t="shared" si="3093"/>
        <v>15.5</v>
      </c>
      <c r="N7328">
        <f t="shared" si="3084"/>
        <v>31</v>
      </c>
      <c r="O7328">
        <f t="shared" si="3094"/>
        <v>267</v>
      </c>
      <c r="P7328">
        <f t="shared" si="3095"/>
        <v>-0.16129032258064516</v>
      </c>
      <c r="Q7328" t="str">
        <f t="shared" si="3085"/>
        <v>4.87% | 6.74%</v>
      </c>
      <c r="R7328" t="str">
        <f t="shared" si="3096"/>
        <v>NEUTRAL</v>
      </c>
      <c r="S7328">
        <f t="shared" si="3097"/>
        <v>0</v>
      </c>
    </row>
    <row r="7329" spans="1:19" hidden="1" x14ac:dyDescent="0.25">
      <c r="A7329" s="5" t="str">
        <f t="shared" si="3098"/>
        <v>44230GOOGL</v>
      </c>
      <c r="B7329" s="6" t="s">
        <v>31</v>
      </c>
      <c r="C7329" s="6">
        <v>1873</v>
      </c>
      <c r="D7329" s="6">
        <v>2074</v>
      </c>
      <c r="E7329" s="6">
        <v>1919</v>
      </c>
      <c r="F7329" t="str">
        <f t="shared" si="3086"/>
        <v>WED</v>
      </c>
      <c r="G7329" s="3">
        <f t="shared" si="3087"/>
        <v>44230</v>
      </c>
      <c r="H7329" s="2">
        <f t="shared" ca="1" si="3088"/>
        <v>23</v>
      </c>
      <c r="I7329" t="str">
        <f t="shared" si="3089"/>
        <v>GOOGL</v>
      </c>
      <c r="J7329">
        <f t="shared" si="3090"/>
        <v>1873</v>
      </c>
      <c r="K7329">
        <f t="shared" si="3091"/>
        <v>2074</v>
      </c>
      <c r="L7329">
        <f t="shared" si="3092"/>
        <v>1973.5</v>
      </c>
      <c r="M7329">
        <f t="shared" si="3093"/>
        <v>100.5</v>
      </c>
      <c r="N7329">
        <f t="shared" si="3084"/>
        <v>201</v>
      </c>
      <c r="O7329">
        <f t="shared" si="3094"/>
        <v>1919</v>
      </c>
      <c r="P7329">
        <f t="shared" si="3095"/>
        <v>-0.54228855721393032</v>
      </c>
      <c r="Q7329" t="str">
        <f t="shared" si="3085"/>
        <v>2.4% | 8.08%</v>
      </c>
      <c r="R7329" t="str">
        <f t="shared" si="3096"/>
        <v>BULLISH</v>
      </c>
      <c r="S7329">
        <f t="shared" si="3097"/>
        <v>1</v>
      </c>
    </row>
    <row r="7330" spans="1:19" hidden="1" x14ac:dyDescent="0.25">
      <c r="A7330" s="5" t="str">
        <f t="shared" si="3098"/>
        <v>44230NFLX</v>
      </c>
      <c r="B7330" s="6" t="s">
        <v>32</v>
      </c>
      <c r="C7330" s="6">
        <v>514</v>
      </c>
      <c r="D7330" s="6">
        <v>585</v>
      </c>
      <c r="E7330" s="6">
        <v>548</v>
      </c>
      <c r="F7330" t="str">
        <f t="shared" si="3086"/>
        <v>WED</v>
      </c>
      <c r="G7330" s="3">
        <f t="shared" si="3087"/>
        <v>44230</v>
      </c>
      <c r="H7330" s="2">
        <f t="shared" ca="1" si="3088"/>
        <v>23</v>
      </c>
      <c r="I7330" t="str">
        <f t="shared" si="3089"/>
        <v>NFLX</v>
      </c>
      <c r="J7330">
        <f t="shared" si="3090"/>
        <v>514</v>
      </c>
      <c r="K7330">
        <f t="shared" si="3091"/>
        <v>585</v>
      </c>
      <c r="L7330">
        <f t="shared" si="3092"/>
        <v>549.5</v>
      </c>
      <c r="M7330">
        <f t="shared" si="3093"/>
        <v>35.5</v>
      </c>
      <c r="N7330">
        <f t="shared" si="3084"/>
        <v>71</v>
      </c>
      <c r="O7330">
        <f t="shared" si="3094"/>
        <v>548</v>
      </c>
      <c r="P7330">
        <f t="shared" si="3095"/>
        <v>-4.2253521126760563E-2</v>
      </c>
      <c r="Q7330" t="str">
        <f t="shared" si="3085"/>
        <v>6.2% | 6.75%</v>
      </c>
      <c r="R7330" t="str">
        <f t="shared" si="3096"/>
        <v>BULLISH</v>
      </c>
      <c r="S7330">
        <f t="shared" si="3097"/>
        <v>1</v>
      </c>
    </row>
    <row r="7331" spans="1:19" x14ac:dyDescent="0.25">
      <c r="A7331" s="5" t="str">
        <f t="shared" si="3098"/>
        <v>44230TSLA</v>
      </c>
      <c r="B7331" s="6" t="s">
        <v>33</v>
      </c>
      <c r="C7331" s="6">
        <v>794</v>
      </c>
      <c r="D7331" s="6">
        <v>915</v>
      </c>
      <c r="E7331" s="6">
        <v>872</v>
      </c>
      <c r="F7331" t="str">
        <f t="shared" si="3086"/>
        <v>WED</v>
      </c>
      <c r="G7331" s="3">
        <f t="shared" si="3087"/>
        <v>44230</v>
      </c>
      <c r="H7331" s="2">
        <f t="shared" ca="1" si="3088"/>
        <v>23</v>
      </c>
      <c r="I7331" t="str">
        <f t="shared" si="3089"/>
        <v>TSLA</v>
      </c>
      <c r="J7331">
        <f t="shared" si="3090"/>
        <v>794</v>
      </c>
      <c r="K7331">
        <f t="shared" si="3091"/>
        <v>915</v>
      </c>
      <c r="L7331">
        <f t="shared" si="3092"/>
        <v>854.5</v>
      </c>
      <c r="M7331">
        <f t="shared" si="3093"/>
        <v>60.5</v>
      </c>
      <c r="N7331">
        <f t="shared" si="3084"/>
        <v>121</v>
      </c>
      <c r="O7331">
        <f t="shared" si="3094"/>
        <v>872</v>
      </c>
      <c r="P7331">
        <f t="shared" si="3095"/>
        <v>0.28925619834710742</v>
      </c>
      <c r="Q7331" t="str">
        <f t="shared" si="3085"/>
        <v>8.94% | 4.93%</v>
      </c>
      <c r="R7331" t="str">
        <f t="shared" si="3096"/>
        <v>BULLISH</v>
      </c>
      <c r="S7331">
        <f t="shared" si="3097"/>
        <v>1</v>
      </c>
    </row>
    <row r="7332" spans="1:19" hidden="1" x14ac:dyDescent="0.25">
      <c r="A7332" s="5" t="str">
        <f t="shared" si="3098"/>
        <v>44230NYXBT</v>
      </c>
      <c r="B7332" s="6" t="s">
        <v>60</v>
      </c>
      <c r="C7332" s="6">
        <v>31209</v>
      </c>
      <c r="D7332" s="6">
        <v>38012</v>
      </c>
      <c r="E7332" s="6">
        <v>34698</v>
      </c>
      <c r="F7332" t="str">
        <f t="shared" si="3086"/>
        <v>WED</v>
      </c>
      <c r="G7332" s="3">
        <f t="shared" si="3087"/>
        <v>44230</v>
      </c>
      <c r="H7332" s="2">
        <f t="shared" ca="1" si="3088"/>
        <v>23</v>
      </c>
      <c r="I7332" t="str">
        <f t="shared" si="3089"/>
        <v>NYXBT</v>
      </c>
      <c r="J7332">
        <f t="shared" si="3090"/>
        <v>31209</v>
      </c>
      <c r="K7332">
        <f t="shared" si="3091"/>
        <v>38012</v>
      </c>
      <c r="L7332">
        <f t="shared" si="3092"/>
        <v>34610.5</v>
      </c>
      <c r="M7332">
        <f t="shared" si="3093"/>
        <v>3401.5</v>
      </c>
      <c r="N7332">
        <f t="shared" si="3084"/>
        <v>6803</v>
      </c>
      <c r="O7332">
        <f t="shared" si="3094"/>
        <v>34698</v>
      </c>
      <c r="P7332">
        <f t="shared" si="3095"/>
        <v>2.5723945318241952E-2</v>
      </c>
      <c r="Q7332" t="str">
        <f t="shared" si="3085"/>
        <v>10.06% | 9.55%</v>
      </c>
      <c r="R7332" t="str">
        <f t="shared" si="3096"/>
        <v>BULLISH</v>
      </c>
      <c r="S7332">
        <f t="shared" si="3097"/>
        <v>1</v>
      </c>
    </row>
    <row r="7333" spans="1:19" hidden="1" x14ac:dyDescent="0.25">
      <c r="A7333" s="5" t="str">
        <f t="shared" si="3098"/>
        <v>44231UST10Y</v>
      </c>
      <c r="B7333" s="6" t="s">
        <v>257</v>
      </c>
      <c r="C7333" s="6">
        <v>1.17</v>
      </c>
      <c r="D7333" s="6">
        <v>1.07</v>
      </c>
      <c r="E7333" s="6">
        <v>1.1499999999999999</v>
      </c>
      <c r="F7333" t="str">
        <f t="shared" si="3086"/>
        <v>THU</v>
      </c>
      <c r="G7333" s="1">
        <f>DATE(2021,2,4)</f>
        <v>44231</v>
      </c>
      <c r="H7333" s="2">
        <f t="shared" ca="1" si="3088"/>
        <v>22</v>
      </c>
      <c r="I7333" t="str">
        <f t="shared" si="3089"/>
        <v>UST10Y</v>
      </c>
      <c r="J7333">
        <f t="shared" si="3090"/>
        <v>1.17</v>
      </c>
      <c r="K7333">
        <f t="shared" si="3091"/>
        <v>1.07</v>
      </c>
      <c r="L7333">
        <f t="shared" si="3092"/>
        <v>1.1200000000000001</v>
      </c>
      <c r="M7333">
        <f t="shared" si="3093"/>
        <v>4.9999999999999933E-2</v>
      </c>
      <c r="N7333">
        <f t="shared" si="3084"/>
        <v>9.9999999999999867E-2</v>
      </c>
      <c r="O7333">
        <f t="shared" si="3094"/>
        <v>1.1499999999999999</v>
      </c>
      <c r="P7333">
        <f t="shared" si="3095"/>
        <v>0.59999999999999687</v>
      </c>
      <c r="Q7333" t="str">
        <f t="shared" si="3085"/>
        <v>1.74% | 6.96%</v>
      </c>
      <c r="R7333" t="str">
        <f t="shared" si="3096"/>
        <v>BULLISH</v>
      </c>
      <c r="S7333">
        <f t="shared" si="3097"/>
        <v>1</v>
      </c>
    </row>
    <row r="7334" spans="1:19" hidden="1" x14ac:dyDescent="0.25">
      <c r="A7334" s="5" t="str">
        <f t="shared" si="3098"/>
        <v>44231UST2Y</v>
      </c>
      <c r="B7334" s="6" t="s">
        <v>253</v>
      </c>
      <c r="C7334" s="6">
        <v>0.15</v>
      </c>
      <c r="D7334" s="6">
        <v>0.11</v>
      </c>
      <c r="E7334" s="6">
        <v>0.11</v>
      </c>
      <c r="F7334" t="str">
        <f t="shared" ref="F7334:F7365" si="3099">UPPER(TEXT(G7334,"ddd"))</f>
        <v>THU</v>
      </c>
      <c r="G7334" s="1">
        <f t="shared" ref="G7334:G7364" si="3100">DATE(2021,2,4)</f>
        <v>44231</v>
      </c>
      <c r="H7334" s="2">
        <f t="shared" ref="H7334:H7365" ca="1" si="3101">TODAY()-G7334</f>
        <v>22</v>
      </c>
      <c r="I7334" t="str">
        <f t="shared" ref="I7334:I7365" si="3102">TRIM(LEFT(B7334,FIND(" ",B7334,1)))</f>
        <v>UST2Y</v>
      </c>
      <c r="J7334">
        <f t="shared" ref="J7334:J7365" si="3103">C7334</f>
        <v>0.15</v>
      </c>
      <c r="K7334">
        <f t="shared" ref="K7334:K7365" si="3104">D7334</f>
        <v>0.11</v>
      </c>
      <c r="L7334">
        <f t="shared" ref="L7334:L7365" si="3105">AVERAGE(J7334:K7334)</f>
        <v>0.13</v>
      </c>
      <c r="M7334">
        <f t="shared" ref="M7334:M7365" si="3106">_xlfn.STDEV.P(J7334:K7334)</f>
        <v>1.9999999999999938E-2</v>
      </c>
      <c r="N7334">
        <f t="shared" si="3084"/>
        <v>3.9999999999999994E-2</v>
      </c>
      <c r="O7334">
        <f t="shared" ref="O7334:O7365" si="3107">E7334</f>
        <v>0.11</v>
      </c>
      <c r="P7334">
        <f t="shared" ref="P7334:P7365" si="3108">(O7334-L7334)/M7334</f>
        <v>-1.0000000000000033</v>
      </c>
      <c r="Q7334" t="str">
        <f t="shared" si="3085"/>
        <v>36.36% | 0%</v>
      </c>
      <c r="R7334" t="str">
        <f t="shared" ref="R7334:R7365" si="3109">MID(B7334,FIND("(",B7334,1)+1,FIND(")",B7334,1)-FIND("(",B7334,1)-1)</f>
        <v>NEUTRAL</v>
      </c>
      <c r="S7334">
        <f t="shared" ref="S7334:S7365" si="3110">IF(R7334="BEARISH",-1,IF(R7334="NEUTRAL",0,IF(R7334="BULLISH",1,99)))</f>
        <v>0</v>
      </c>
    </row>
    <row r="7335" spans="1:19" hidden="1" x14ac:dyDescent="0.25">
      <c r="A7335" s="5" t="str">
        <f t="shared" si="3098"/>
        <v>44231SPX</v>
      </c>
      <c r="B7335" s="6" t="s">
        <v>93</v>
      </c>
      <c r="C7335" s="6">
        <v>3712</v>
      </c>
      <c r="D7335" s="6">
        <v>3898</v>
      </c>
      <c r="E7335" s="6">
        <v>3830</v>
      </c>
      <c r="F7335" t="str">
        <f t="shared" si="3099"/>
        <v>THU</v>
      </c>
      <c r="G7335" s="1">
        <f t="shared" si="3100"/>
        <v>44231</v>
      </c>
      <c r="H7335" s="2">
        <f t="shared" ca="1" si="3101"/>
        <v>22</v>
      </c>
      <c r="I7335" t="str">
        <f t="shared" si="3102"/>
        <v>SPX</v>
      </c>
      <c r="J7335">
        <f t="shared" si="3103"/>
        <v>3712</v>
      </c>
      <c r="K7335">
        <f t="shared" si="3104"/>
        <v>3898</v>
      </c>
      <c r="L7335">
        <f t="shared" si="3105"/>
        <v>3805</v>
      </c>
      <c r="M7335">
        <f t="shared" si="3106"/>
        <v>93</v>
      </c>
      <c r="N7335">
        <f t="shared" si="3084"/>
        <v>186</v>
      </c>
      <c r="O7335">
        <f t="shared" si="3107"/>
        <v>3830</v>
      </c>
      <c r="P7335">
        <f t="shared" si="3108"/>
        <v>0.26881720430107525</v>
      </c>
      <c r="Q7335" t="str">
        <f t="shared" si="3085"/>
        <v>3.08% | 1.78%</v>
      </c>
      <c r="R7335" t="str">
        <f t="shared" si="3109"/>
        <v>BULLISH</v>
      </c>
      <c r="S7335">
        <f t="shared" si="3110"/>
        <v>1</v>
      </c>
    </row>
    <row r="7336" spans="1:19" hidden="1" x14ac:dyDescent="0.25">
      <c r="A7336" s="5" t="str">
        <f t="shared" si="3098"/>
        <v>44231RUT</v>
      </c>
      <c r="B7336" s="6" t="s">
        <v>247</v>
      </c>
      <c r="C7336" s="6">
        <v>2087</v>
      </c>
      <c r="D7336" s="6">
        <v>2199</v>
      </c>
      <c r="E7336" s="6">
        <v>2159</v>
      </c>
      <c r="F7336" t="str">
        <f t="shared" si="3099"/>
        <v>THU</v>
      </c>
      <c r="G7336" s="1">
        <f t="shared" si="3100"/>
        <v>44231</v>
      </c>
      <c r="H7336" s="2">
        <f t="shared" ca="1" si="3101"/>
        <v>22</v>
      </c>
      <c r="I7336" t="str">
        <f t="shared" si="3102"/>
        <v>RUT</v>
      </c>
      <c r="J7336">
        <f t="shared" si="3103"/>
        <v>2087</v>
      </c>
      <c r="K7336">
        <f t="shared" si="3104"/>
        <v>2199</v>
      </c>
      <c r="L7336">
        <f t="shared" si="3105"/>
        <v>2143</v>
      </c>
      <c r="M7336">
        <f t="shared" si="3106"/>
        <v>56</v>
      </c>
      <c r="N7336">
        <f t="shared" si="3084"/>
        <v>112</v>
      </c>
      <c r="O7336">
        <f t="shared" si="3107"/>
        <v>2159</v>
      </c>
      <c r="P7336">
        <f t="shared" si="3108"/>
        <v>0.2857142857142857</v>
      </c>
      <c r="Q7336" t="str">
        <f t="shared" si="3085"/>
        <v>3.33% | 1.85%</v>
      </c>
      <c r="R7336" t="str">
        <f t="shared" si="3109"/>
        <v>BULLISH</v>
      </c>
      <c r="S7336">
        <f t="shared" si="3110"/>
        <v>1</v>
      </c>
    </row>
    <row r="7337" spans="1:19" hidden="1" x14ac:dyDescent="0.25">
      <c r="A7337" s="5" t="str">
        <f t="shared" si="3098"/>
        <v>44231COMPQ</v>
      </c>
      <c r="B7337" s="6" t="s">
        <v>8</v>
      </c>
      <c r="C7337" s="6">
        <v>13171</v>
      </c>
      <c r="D7337" s="6">
        <v>13842</v>
      </c>
      <c r="E7337" s="6">
        <v>13610</v>
      </c>
      <c r="F7337" t="str">
        <f t="shared" si="3099"/>
        <v>THU</v>
      </c>
      <c r="G7337" s="1">
        <f t="shared" si="3100"/>
        <v>44231</v>
      </c>
      <c r="H7337" s="2">
        <f t="shared" ca="1" si="3101"/>
        <v>22</v>
      </c>
      <c r="I7337" t="str">
        <f t="shared" si="3102"/>
        <v>COMPQ</v>
      </c>
      <c r="J7337">
        <f t="shared" si="3103"/>
        <v>13171</v>
      </c>
      <c r="K7337">
        <f t="shared" si="3104"/>
        <v>13842</v>
      </c>
      <c r="L7337">
        <f t="shared" si="3105"/>
        <v>13506.5</v>
      </c>
      <c r="M7337">
        <f t="shared" si="3106"/>
        <v>335.5</v>
      </c>
      <c r="N7337">
        <f t="shared" si="3084"/>
        <v>671</v>
      </c>
      <c r="O7337">
        <f t="shared" si="3107"/>
        <v>13610</v>
      </c>
      <c r="P7337">
        <f t="shared" si="3108"/>
        <v>0.30849478390461998</v>
      </c>
      <c r="Q7337" t="str">
        <f t="shared" si="3085"/>
        <v>3.23% | 1.7%</v>
      </c>
      <c r="R7337" t="str">
        <f t="shared" si="3109"/>
        <v>BULLISH</v>
      </c>
      <c r="S7337">
        <f t="shared" si="3110"/>
        <v>1</v>
      </c>
    </row>
    <row r="7338" spans="1:19" hidden="1" x14ac:dyDescent="0.25">
      <c r="A7338" s="5" t="str">
        <f t="shared" si="3098"/>
        <v>44231XLK</v>
      </c>
      <c r="B7338" s="6" t="s">
        <v>10</v>
      </c>
      <c r="C7338" s="6">
        <v>130.01</v>
      </c>
      <c r="D7338" s="6">
        <v>135.74</v>
      </c>
      <c r="E7338" s="6">
        <v>133.49</v>
      </c>
      <c r="F7338" t="str">
        <f t="shared" si="3099"/>
        <v>THU</v>
      </c>
      <c r="G7338" s="1">
        <f t="shared" si="3100"/>
        <v>44231</v>
      </c>
      <c r="H7338" s="2">
        <f t="shared" ca="1" si="3101"/>
        <v>22</v>
      </c>
      <c r="I7338" t="str">
        <f t="shared" si="3102"/>
        <v>XLK</v>
      </c>
      <c r="J7338">
        <f t="shared" si="3103"/>
        <v>130.01</v>
      </c>
      <c r="K7338">
        <f t="shared" si="3104"/>
        <v>135.74</v>
      </c>
      <c r="L7338">
        <f t="shared" si="3105"/>
        <v>132.875</v>
      </c>
      <c r="M7338">
        <f t="shared" si="3106"/>
        <v>2.8650000000000091</v>
      </c>
      <c r="N7338">
        <f t="shared" si="3084"/>
        <v>5.7300000000000182</v>
      </c>
      <c r="O7338">
        <f t="shared" si="3107"/>
        <v>133.49</v>
      </c>
      <c r="P7338">
        <f t="shared" si="3108"/>
        <v>0.21465968586387685</v>
      </c>
      <c r="Q7338" t="str">
        <f t="shared" si="3085"/>
        <v>2.61% | 1.69%</v>
      </c>
      <c r="R7338" t="str">
        <f t="shared" si="3109"/>
        <v>BULLISH</v>
      </c>
      <c r="S7338">
        <f t="shared" si="3110"/>
        <v>1</v>
      </c>
    </row>
    <row r="7339" spans="1:19" hidden="1" x14ac:dyDescent="0.25">
      <c r="A7339" s="5" t="str">
        <f t="shared" si="3098"/>
        <v>44231XLE</v>
      </c>
      <c r="B7339" s="6" t="s">
        <v>250</v>
      </c>
      <c r="C7339" s="6">
        <v>38.619999999999997</v>
      </c>
      <c r="D7339" s="6">
        <v>43.71</v>
      </c>
      <c r="E7339" s="6">
        <v>41.74</v>
      </c>
      <c r="F7339" t="str">
        <f t="shared" si="3099"/>
        <v>THU</v>
      </c>
      <c r="G7339" s="1">
        <f t="shared" si="3100"/>
        <v>44231</v>
      </c>
      <c r="H7339" s="2">
        <f t="shared" ca="1" si="3101"/>
        <v>22</v>
      </c>
      <c r="I7339" t="str">
        <f t="shared" si="3102"/>
        <v>XLE</v>
      </c>
      <c r="J7339">
        <f t="shared" si="3103"/>
        <v>38.619999999999997</v>
      </c>
      <c r="K7339">
        <f t="shared" si="3104"/>
        <v>43.71</v>
      </c>
      <c r="L7339">
        <f t="shared" si="3105"/>
        <v>41.164999999999999</v>
      </c>
      <c r="M7339">
        <f t="shared" si="3106"/>
        <v>2.5450000000000017</v>
      </c>
      <c r="N7339">
        <f t="shared" si="3084"/>
        <v>5.0900000000000034</v>
      </c>
      <c r="O7339">
        <f t="shared" si="3107"/>
        <v>41.74</v>
      </c>
      <c r="P7339">
        <f t="shared" si="3108"/>
        <v>0.22593320235756481</v>
      </c>
      <c r="Q7339" t="str">
        <f t="shared" si="3085"/>
        <v>7.47% | 4.72%</v>
      </c>
      <c r="R7339" t="str">
        <f t="shared" si="3109"/>
        <v>BULLISH</v>
      </c>
      <c r="S7339">
        <f t="shared" si="3110"/>
        <v>1</v>
      </c>
    </row>
    <row r="7340" spans="1:19" hidden="1" x14ac:dyDescent="0.25">
      <c r="A7340" s="5" t="str">
        <f t="shared" si="3098"/>
        <v>44231XLU</v>
      </c>
      <c r="B7340" s="6" t="s">
        <v>82</v>
      </c>
      <c r="C7340" s="6">
        <v>61.44</v>
      </c>
      <c r="D7340" s="6">
        <v>64.08</v>
      </c>
      <c r="E7340" s="6">
        <v>62.76</v>
      </c>
      <c r="F7340" t="str">
        <f t="shared" si="3099"/>
        <v>THU</v>
      </c>
      <c r="G7340" s="1">
        <f t="shared" si="3100"/>
        <v>44231</v>
      </c>
      <c r="H7340" s="2">
        <f t="shared" ca="1" si="3101"/>
        <v>22</v>
      </c>
      <c r="I7340" t="str">
        <f t="shared" si="3102"/>
        <v>XLU</v>
      </c>
      <c r="J7340">
        <f t="shared" si="3103"/>
        <v>61.44</v>
      </c>
      <c r="K7340">
        <f t="shared" si="3104"/>
        <v>64.08</v>
      </c>
      <c r="L7340">
        <f t="shared" si="3105"/>
        <v>62.76</v>
      </c>
      <c r="M7340">
        <f t="shared" si="3106"/>
        <v>1.3200000000000003</v>
      </c>
      <c r="N7340">
        <f t="shared" si="3084"/>
        <v>2.6400000000000006</v>
      </c>
      <c r="O7340">
        <f t="shared" si="3107"/>
        <v>62.76</v>
      </c>
      <c r="P7340">
        <f t="shared" si="3108"/>
        <v>0</v>
      </c>
      <c r="Q7340" t="str">
        <f t="shared" si="3085"/>
        <v>2.1% | 2.1%</v>
      </c>
      <c r="R7340" t="str">
        <f t="shared" si="3109"/>
        <v>BEARISH</v>
      </c>
      <c r="S7340">
        <f t="shared" si="3110"/>
        <v>-1</v>
      </c>
    </row>
    <row r="7341" spans="1:19" hidden="1" x14ac:dyDescent="0.25">
      <c r="A7341" s="5" t="str">
        <f t="shared" si="3098"/>
        <v>44231GDX</v>
      </c>
      <c r="B7341" s="6" t="s">
        <v>254</v>
      </c>
      <c r="C7341" s="6">
        <v>33.619999999999997</v>
      </c>
      <c r="D7341" s="6">
        <v>36.01</v>
      </c>
      <c r="E7341" s="6">
        <v>34.61</v>
      </c>
      <c r="F7341" t="str">
        <f t="shared" si="3099"/>
        <v>THU</v>
      </c>
      <c r="G7341" s="1">
        <f t="shared" si="3100"/>
        <v>44231</v>
      </c>
      <c r="H7341" s="2">
        <f t="shared" ca="1" si="3101"/>
        <v>22</v>
      </c>
      <c r="I7341" t="str">
        <f t="shared" si="3102"/>
        <v>GDX</v>
      </c>
      <c r="J7341">
        <f t="shared" si="3103"/>
        <v>33.619999999999997</v>
      </c>
      <c r="K7341">
        <f t="shared" si="3104"/>
        <v>36.01</v>
      </c>
      <c r="L7341">
        <f t="shared" si="3105"/>
        <v>34.814999999999998</v>
      </c>
      <c r="M7341">
        <f t="shared" si="3106"/>
        <v>1.1950000000000003</v>
      </c>
      <c r="N7341">
        <f t="shared" si="3084"/>
        <v>2.3900000000000006</v>
      </c>
      <c r="O7341">
        <f t="shared" si="3107"/>
        <v>34.61</v>
      </c>
      <c r="P7341">
        <f t="shared" si="3108"/>
        <v>-0.17154811715481025</v>
      </c>
      <c r="Q7341" t="str">
        <f t="shared" si="3085"/>
        <v>2.86% | 4.05%</v>
      </c>
      <c r="R7341" t="str">
        <f t="shared" si="3109"/>
        <v>BEARISH</v>
      </c>
      <c r="S7341">
        <f t="shared" si="3110"/>
        <v>-1</v>
      </c>
    </row>
    <row r="7342" spans="1:19" hidden="1" x14ac:dyDescent="0.25">
      <c r="A7342" s="5" t="str">
        <f t="shared" si="3098"/>
        <v>44231SSEC</v>
      </c>
      <c r="B7342" s="6" t="s">
        <v>104</v>
      </c>
      <c r="C7342" s="6">
        <v>3440</v>
      </c>
      <c r="D7342" s="6">
        <v>3640</v>
      </c>
      <c r="E7342" s="6">
        <v>3501</v>
      </c>
      <c r="F7342" t="str">
        <f t="shared" si="3099"/>
        <v>THU</v>
      </c>
      <c r="G7342" s="1">
        <f t="shared" si="3100"/>
        <v>44231</v>
      </c>
      <c r="H7342" s="2">
        <f t="shared" ca="1" si="3101"/>
        <v>22</v>
      </c>
      <c r="I7342" t="str">
        <f t="shared" si="3102"/>
        <v>SSEC</v>
      </c>
      <c r="J7342">
        <f t="shared" si="3103"/>
        <v>3440</v>
      </c>
      <c r="K7342">
        <f t="shared" si="3104"/>
        <v>3640</v>
      </c>
      <c r="L7342">
        <f t="shared" si="3105"/>
        <v>3540</v>
      </c>
      <c r="M7342">
        <f t="shared" si="3106"/>
        <v>100</v>
      </c>
      <c r="N7342">
        <f t="shared" si="3084"/>
        <v>200</v>
      </c>
      <c r="O7342">
        <f t="shared" si="3107"/>
        <v>3501</v>
      </c>
      <c r="P7342">
        <f t="shared" si="3108"/>
        <v>-0.39</v>
      </c>
      <c r="Q7342" t="str">
        <f t="shared" si="3085"/>
        <v>1.74% | 3.97%</v>
      </c>
      <c r="R7342" t="str">
        <f t="shared" si="3109"/>
        <v>BULLISH</v>
      </c>
      <c r="S7342">
        <f t="shared" si="3110"/>
        <v>1</v>
      </c>
    </row>
    <row r="7343" spans="1:19" hidden="1" x14ac:dyDescent="0.25">
      <c r="A7343" s="5" t="str">
        <f t="shared" si="3098"/>
        <v>44231NIKK</v>
      </c>
      <c r="B7343" s="6" t="s">
        <v>91</v>
      </c>
      <c r="C7343" s="6">
        <v>27706</v>
      </c>
      <c r="D7343" s="6">
        <v>29082</v>
      </c>
      <c r="E7343" s="6">
        <v>28341</v>
      </c>
      <c r="F7343" t="str">
        <f t="shared" si="3099"/>
        <v>THU</v>
      </c>
      <c r="G7343" s="1">
        <f t="shared" si="3100"/>
        <v>44231</v>
      </c>
      <c r="H7343" s="2">
        <f t="shared" ca="1" si="3101"/>
        <v>22</v>
      </c>
      <c r="I7343" t="str">
        <f t="shared" si="3102"/>
        <v>NIKK</v>
      </c>
      <c r="J7343">
        <f t="shared" si="3103"/>
        <v>27706</v>
      </c>
      <c r="K7343">
        <f t="shared" si="3104"/>
        <v>29082</v>
      </c>
      <c r="L7343">
        <f t="shared" si="3105"/>
        <v>28394</v>
      </c>
      <c r="M7343">
        <f t="shared" si="3106"/>
        <v>688</v>
      </c>
      <c r="N7343">
        <f t="shared" si="3084"/>
        <v>1376</v>
      </c>
      <c r="O7343">
        <f t="shared" si="3107"/>
        <v>28341</v>
      </c>
      <c r="P7343">
        <f t="shared" si="3108"/>
        <v>-7.7034883720930231E-2</v>
      </c>
      <c r="Q7343" t="str">
        <f t="shared" si="3085"/>
        <v>2.24% | 2.61%</v>
      </c>
      <c r="R7343" t="str">
        <f t="shared" si="3109"/>
        <v>BULLISH</v>
      </c>
      <c r="S7343">
        <f t="shared" si="3110"/>
        <v>1</v>
      </c>
    </row>
    <row r="7344" spans="1:19" hidden="1" x14ac:dyDescent="0.25">
      <c r="A7344" s="5" t="str">
        <f t="shared" si="3098"/>
        <v>44231DAX</v>
      </c>
      <c r="B7344" s="6" t="s">
        <v>98</v>
      </c>
      <c r="C7344" s="6">
        <v>13422</v>
      </c>
      <c r="D7344" s="6">
        <v>14041</v>
      </c>
      <c r="E7344" s="6">
        <v>13933</v>
      </c>
      <c r="F7344" t="str">
        <f t="shared" si="3099"/>
        <v>THU</v>
      </c>
      <c r="G7344" s="1">
        <f t="shared" si="3100"/>
        <v>44231</v>
      </c>
      <c r="H7344" s="2">
        <f t="shared" ca="1" si="3101"/>
        <v>22</v>
      </c>
      <c r="I7344" t="str">
        <f t="shared" si="3102"/>
        <v>DAX</v>
      </c>
      <c r="J7344">
        <f t="shared" si="3103"/>
        <v>13422</v>
      </c>
      <c r="K7344">
        <f t="shared" si="3104"/>
        <v>14041</v>
      </c>
      <c r="L7344">
        <f t="shared" si="3105"/>
        <v>13731.5</v>
      </c>
      <c r="M7344">
        <f t="shared" si="3106"/>
        <v>309.5</v>
      </c>
      <c r="N7344">
        <f t="shared" si="3084"/>
        <v>619</v>
      </c>
      <c r="O7344">
        <f t="shared" si="3107"/>
        <v>13933</v>
      </c>
      <c r="P7344">
        <f t="shared" si="3108"/>
        <v>0.65105008077544424</v>
      </c>
      <c r="Q7344" t="str">
        <f t="shared" si="3085"/>
        <v>3.67% | 0.78%</v>
      </c>
      <c r="R7344" t="str">
        <f t="shared" si="3109"/>
        <v>BULLISH</v>
      </c>
      <c r="S7344">
        <f t="shared" si="3110"/>
        <v>1</v>
      </c>
    </row>
    <row r="7345" spans="1:19" hidden="1" x14ac:dyDescent="0.25">
      <c r="A7345" s="5" t="str">
        <f t="shared" si="3098"/>
        <v>44231VIX</v>
      </c>
      <c r="B7345" s="6" t="s">
        <v>96</v>
      </c>
      <c r="C7345" s="6">
        <v>17.21</v>
      </c>
      <c r="D7345" s="6">
        <v>32.299999999999997</v>
      </c>
      <c r="E7345" s="6">
        <v>22.91</v>
      </c>
      <c r="F7345" t="str">
        <f t="shared" si="3099"/>
        <v>THU</v>
      </c>
      <c r="G7345" s="1">
        <f t="shared" si="3100"/>
        <v>44231</v>
      </c>
      <c r="H7345" s="2">
        <f t="shared" ca="1" si="3101"/>
        <v>22</v>
      </c>
      <c r="I7345" t="str">
        <f t="shared" si="3102"/>
        <v>VIX</v>
      </c>
      <c r="J7345">
        <f t="shared" si="3103"/>
        <v>17.21</v>
      </c>
      <c r="K7345">
        <f t="shared" si="3104"/>
        <v>32.299999999999997</v>
      </c>
      <c r="L7345">
        <f t="shared" si="3105"/>
        <v>24.754999999999999</v>
      </c>
      <c r="M7345">
        <f t="shared" si="3106"/>
        <v>7.5449999999999973</v>
      </c>
      <c r="N7345">
        <f t="shared" si="3084"/>
        <v>15.089999999999996</v>
      </c>
      <c r="O7345">
        <f t="shared" si="3107"/>
        <v>22.91</v>
      </c>
      <c r="P7345">
        <f t="shared" si="3108"/>
        <v>-0.24453280318091444</v>
      </c>
      <c r="Q7345" t="str">
        <f t="shared" si="3085"/>
        <v>24.88% | 40.99%</v>
      </c>
      <c r="R7345" t="str">
        <f t="shared" si="3109"/>
        <v>BEARISH</v>
      </c>
      <c r="S7345">
        <f t="shared" si="3110"/>
        <v>-1</v>
      </c>
    </row>
    <row r="7346" spans="1:19" hidden="1" x14ac:dyDescent="0.25">
      <c r="A7346" s="5" t="str">
        <f t="shared" si="3098"/>
        <v>44231USD</v>
      </c>
      <c r="B7346" s="6" t="s">
        <v>94</v>
      </c>
      <c r="C7346" s="6">
        <v>89.75</v>
      </c>
      <c r="D7346" s="6">
        <v>91.4</v>
      </c>
      <c r="E7346" s="6">
        <v>91.15</v>
      </c>
      <c r="F7346" t="str">
        <f t="shared" si="3099"/>
        <v>THU</v>
      </c>
      <c r="G7346" s="1">
        <f t="shared" si="3100"/>
        <v>44231</v>
      </c>
      <c r="H7346" s="2">
        <f t="shared" ca="1" si="3101"/>
        <v>22</v>
      </c>
      <c r="I7346" t="str">
        <f t="shared" si="3102"/>
        <v>USD</v>
      </c>
      <c r="J7346">
        <f t="shared" si="3103"/>
        <v>89.75</v>
      </c>
      <c r="K7346">
        <f t="shared" si="3104"/>
        <v>91.4</v>
      </c>
      <c r="L7346">
        <f t="shared" si="3105"/>
        <v>90.575000000000003</v>
      </c>
      <c r="M7346">
        <f t="shared" si="3106"/>
        <v>0.82500000000000284</v>
      </c>
      <c r="N7346">
        <f t="shared" si="3084"/>
        <v>1.6500000000000057</v>
      </c>
      <c r="O7346">
        <f t="shared" si="3107"/>
        <v>91.15</v>
      </c>
      <c r="P7346">
        <f t="shared" si="3108"/>
        <v>0.69696969696969802</v>
      </c>
      <c r="Q7346" t="str">
        <f t="shared" si="3085"/>
        <v>1.54% | 0.27%</v>
      </c>
      <c r="R7346" t="str">
        <f t="shared" si="3109"/>
        <v>BEARISH</v>
      </c>
      <c r="S7346">
        <f t="shared" si="3110"/>
        <v>-1</v>
      </c>
    </row>
    <row r="7347" spans="1:19" hidden="1" x14ac:dyDescent="0.25">
      <c r="A7347" s="5" t="str">
        <f t="shared" si="3098"/>
        <v>44231EUR/USD</v>
      </c>
      <c r="B7347" s="6" t="s">
        <v>99</v>
      </c>
      <c r="C7347" s="6">
        <v>1.1990000000000001</v>
      </c>
      <c r="D7347" s="6">
        <v>1.222</v>
      </c>
      <c r="E7347" s="6">
        <v>1.204</v>
      </c>
      <c r="F7347" t="str">
        <f t="shared" si="3099"/>
        <v>THU</v>
      </c>
      <c r="G7347" s="1">
        <f t="shared" si="3100"/>
        <v>44231</v>
      </c>
      <c r="H7347" s="2">
        <f t="shared" ca="1" si="3101"/>
        <v>22</v>
      </c>
      <c r="I7347" t="str">
        <f t="shared" si="3102"/>
        <v>EUR/USD</v>
      </c>
      <c r="J7347">
        <f t="shared" si="3103"/>
        <v>1.1990000000000001</v>
      </c>
      <c r="K7347">
        <f t="shared" si="3104"/>
        <v>1.222</v>
      </c>
      <c r="L7347">
        <f t="shared" si="3105"/>
        <v>1.2105000000000001</v>
      </c>
      <c r="M7347">
        <f t="shared" si="3106"/>
        <v>1.1499999999999955E-2</v>
      </c>
      <c r="N7347">
        <f t="shared" si="3084"/>
        <v>2.2999999999999909E-2</v>
      </c>
      <c r="O7347">
        <f t="shared" si="3107"/>
        <v>1.204</v>
      </c>
      <c r="P7347">
        <f t="shared" si="3108"/>
        <v>-0.56521739130436499</v>
      </c>
      <c r="Q7347" t="str">
        <f t="shared" si="3085"/>
        <v>0.42% | 1.5%</v>
      </c>
      <c r="R7347" t="str">
        <f t="shared" si="3109"/>
        <v>BULLISH</v>
      </c>
      <c r="S7347">
        <f t="shared" si="3110"/>
        <v>1</v>
      </c>
    </row>
    <row r="7348" spans="1:19" hidden="1" x14ac:dyDescent="0.25">
      <c r="A7348" s="5" t="str">
        <f t="shared" si="3098"/>
        <v>44231USD/JPY</v>
      </c>
      <c r="B7348" s="6" t="s">
        <v>86</v>
      </c>
      <c r="C7348" s="6">
        <v>103.3</v>
      </c>
      <c r="D7348" s="6">
        <v>105.44</v>
      </c>
      <c r="E7348" s="6">
        <v>105.01</v>
      </c>
      <c r="F7348" t="str">
        <f t="shared" si="3099"/>
        <v>THU</v>
      </c>
      <c r="G7348" s="1">
        <f t="shared" si="3100"/>
        <v>44231</v>
      </c>
      <c r="H7348" s="2">
        <f t="shared" ca="1" si="3101"/>
        <v>22</v>
      </c>
      <c r="I7348" t="str">
        <f t="shared" si="3102"/>
        <v>USD/JPY</v>
      </c>
      <c r="J7348">
        <f t="shared" si="3103"/>
        <v>103.3</v>
      </c>
      <c r="K7348">
        <f t="shared" si="3104"/>
        <v>105.44</v>
      </c>
      <c r="L7348">
        <f t="shared" si="3105"/>
        <v>104.37</v>
      </c>
      <c r="M7348">
        <f t="shared" si="3106"/>
        <v>1.0700000000000003</v>
      </c>
      <c r="N7348">
        <f t="shared" si="3084"/>
        <v>2.1400000000000006</v>
      </c>
      <c r="O7348">
        <f t="shared" si="3107"/>
        <v>105.01</v>
      </c>
      <c r="P7348">
        <f t="shared" si="3108"/>
        <v>0.59813084112149573</v>
      </c>
      <c r="Q7348" t="str">
        <f t="shared" si="3085"/>
        <v>1.63% | 0.41%</v>
      </c>
      <c r="R7348" t="str">
        <f t="shared" si="3109"/>
        <v>NEUTRAL</v>
      </c>
      <c r="S7348">
        <f t="shared" si="3110"/>
        <v>0</v>
      </c>
    </row>
    <row r="7349" spans="1:19" hidden="1" x14ac:dyDescent="0.25">
      <c r="A7349" s="5" t="str">
        <f t="shared" si="3098"/>
        <v>44231GBP/USD</v>
      </c>
      <c r="B7349" s="6" t="s">
        <v>102</v>
      </c>
      <c r="C7349" s="6">
        <v>1.3580000000000001</v>
      </c>
      <c r="D7349" s="6">
        <v>1.375</v>
      </c>
      <c r="E7349" s="6">
        <v>1.3640000000000001</v>
      </c>
      <c r="F7349" t="str">
        <f t="shared" si="3099"/>
        <v>THU</v>
      </c>
      <c r="G7349" s="1">
        <f t="shared" si="3100"/>
        <v>44231</v>
      </c>
      <c r="H7349" s="2">
        <f t="shared" ca="1" si="3101"/>
        <v>22</v>
      </c>
      <c r="I7349" t="str">
        <f t="shared" si="3102"/>
        <v>GBP/USD</v>
      </c>
      <c r="J7349">
        <f t="shared" si="3103"/>
        <v>1.3580000000000001</v>
      </c>
      <c r="K7349">
        <f t="shared" si="3104"/>
        <v>1.375</v>
      </c>
      <c r="L7349">
        <f t="shared" si="3105"/>
        <v>1.3665</v>
      </c>
      <c r="M7349">
        <f t="shared" si="3106"/>
        <v>8.499999999999952E-3</v>
      </c>
      <c r="N7349">
        <f t="shared" si="3084"/>
        <v>1.6999999999999904E-2</v>
      </c>
      <c r="O7349">
        <f t="shared" si="3107"/>
        <v>1.3640000000000001</v>
      </c>
      <c r="P7349">
        <f t="shared" si="3108"/>
        <v>-0.29411764705881893</v>
      </c>
      <c r="Q7349" t="str">
        <f t="shared" si="3085"/>
        <v>0.44% | 0.81%</v>
      </c>
      <c r="R7349" t="str">
        <f t="shared" si="3109"/>
        <v>BULLISH</v>
      </c>
      <c r="S7349">
        <f t="shared" si="3110"/>
        <v>1</v>
      </c>
    </row>
    <row r="7350" spans="1:19" hidden="1" x14ac:dyDescent="0.25">
      <c r="A7350" s="5" t="str">
        <f t="shared" si="3098"/>
        <v>44231CAD/USD</v>
      </c>
      <c r="B7350" s="6" t="s">
        <v>244</v>
      </c>
      <c r="C7350" s="6">
        <v>0.77</v>
      </c>
      <c r="D7350" s="6">
        <v>0.79</v>
      </c>
      <c r="E7350" s="6">
        <v>0.78</v>
      </c>
      <c r="F7350" t="str">
        <f t="shared" si="3099"/>
        <v>THU</v>
      </c>
      <c r="G7350" s="1">
        <f t="shared" si="3100"/>
        <v>44231</v>
      </c>
      <c r="H7350" s="2">
        <f t="shared" ca="1" si="3101"/>
        <v>22</v>
      </c>
      <c r="I7350" t="str">
        <f t="shared" si="3102"/>
        <v>CAD/USD</v>
      </c>
      <c r="J7350">
        <f t="shared" si="3103"/>
        <v>0.77</v>
      </c>
      <c r="K7350">
        <f t="shared" si="3104"/>
        <v>0.79</v>
      </c>
      <c r="L7350">
        <f t="shared" si="3105"/>
        <v>0.78</v>
      </c>
      <c r="M7350">
        <f t="shared" si="3106"/>
        <v>1.0000000000000009E-2</v>
      </c>
      <c r="N7350">
        <f t="shared" si="3084"/>
        <v>2.0000000000000018E-2</v>
      </c>
      <c r="O7350">
        <f t="shared" si="3107"/>
        <v>0.78</v>
      </c>
      <c r="P7350">
        <f t="shared" si="3108"/>
        <v>0</v>
      </c>
      <c r="Q7350" t="str">
        <f t="shared" si="3085"/>
        <v>1.28% | 1.28%</v>
      </c>
      <c r="R7350" t="str">
        <f t="shared" si="3109"/>
        <v>BULLISH</v>
      </c>
      <c r="S7350">
        <f t="shared" si="3110"/>
        <v>1</v>
      </c>
    </row>
    <row r="7351" spans="1:19" hidden="1" x14ac:dyDescent="0.25">
      <c r="A7351" s="5" t="str">
        <f t="shared" si="3098"/>
        <v>44231USD/CHF</v>
      </c>
      <c r="B7351" s="6" t="s">
        <v>76</v>
      </c>
      <c r="C7351" s="6">
        <v>0.88</v>
      </c>
      <c r="D7351" s="6">
        <v>0.9</v>
      </c>
      <c r="E7351" s="6">
        <v>0.89</v>
      </c>
      <c r="F7351" t="str">
        <f t="shared" si="3099"/>
        <v>THU</v>
      </c>
      <c r="G7351" s="1">
        <f t="shared" si="3100"/>
        <v>44231</v>
      </c>
      <c r="H7351" s="2">
        <f t="shared" ca="1" si="3101"/>
        <v>22</v>
      </c>
      <c r="I7351" t="str">
        <f t="shared" si="3102"/>
        <v>USD/CHF</v>
      </c>
      <c r="J7351">
        <f t="shared" si="3103"/>
        <v>0.88</v>
      </c>
      <c r="K7351">
        <f t="shared" si="3104"/>
        <v>0.9</v>
      </c>
      <c r="L7351">
        <f t="shared" si="3105"/>
        <v>0.89</v>
      </c>
      <c r="M7351">
        <f t="shared" si="3106"/>
        <v>1.0000000000000009E-2</v>
      </c>
      <c r="N7351">
        <f t="shared" si="3084"/>
        <v>2.0000000000000018E-2</v>
      </c>
      <c r="O7351">
        <f t="shared" si="3107"/>
        <v>0.89</v>
      </c>
      <c r="P7351">
        <f t="shared" si="3108"/>
        <v>0</v>
      </c>
      <c r="Q7351" t="str">
        <f t="shared" si="3085"/>
        <v>1.12% | 1.12%</v>
      </c>
      <c r="R7351" t="str">
        <f t="shared" si="3109"/>
        <v>BEARISH</v>
      </c>
      <c r="S7351">
        <f t="shared" si="3110"/>
        <v>-1</v>
      </c>
    </row>
    <row r="7352" spans="1:19" hidden="1" x14ac:dyDescent="0.25">
      <c r="A7352" s="5" t="str">
        <f t="shared" si="3098"/>
        <v>44231WTIC</v>
      </c>
      <c r="B7352" s="6" t="s">
        <v>158</v>
      </c>
      <c r="C7352" s="6">
        <v>51.98</v>
      </c>
      <c r="D7352" s="6">
        <v>56.64</v>
      </c>
      <c r="E7352" s="6">
        <v>55.69</v>
      </c>
      <c r="F7352" t="str">
        <f t="shared" si="3099"/>
        <v>THU</v>
      </c>
      <c r="G7352" s="1">
        <f t="shared" si="3100"/>
        <v>44231</v>
      </c>
      <c r="H7352" s="2">
        <f t="shared" ca="1" si="3101"/>
        <v>22</v>
      </c>
      <c r="I7352" t="str">
        <f t="shared" si="3102"/>
        <v>WTIC</v>
      </c>
      <c r="J7352">
        <f t="shared" si="3103"/>
        <v>51.98</v>
      </c>
      <c r="K7352">
        <f t="shared" si="3104"/>
        <v>56.64</v>
      </c>
      <c r="L7352">
        <f t="shared" si="3105"/>
        <v>54.31</v>
      </c>
      <c r="M7352">
        <f t="shared" si="3106"/>
        <v>2.3300000000000018</v>
      </c>
      <c r="N7352">
        <f t="shared" si="3084"/>
        <v>4.6600000000000037</v>
      </c>
      <c r="O7352">
        <f t="shared" si="3107"/>
        <v>55.69</v>
      </c>
      <c r="P7352">
        <f t="shared" si="3108"/>
        <v>0.59227467811158552</v>
      </c>
      <c r="Q7352" t="str">
        <f t="shared" si="3085"/>
        <v>6.66% | 1.71%</v>
      </c>
      <c r="R7352" t="str">
        <f t="shared" si="3109"/>
        <v>BULLISH</v>
      </c>
      <c r="S7352">
        <f t="shared" si="3110"/>
        <v>1</v>
      </c>
    </row>
    <row r="7353" spans="1:19" hidden="1" x14ac:dyDescent="0.25">
      <c r="A7353" s="5" t="str">
        <f t="shared" si="3098"/>
        <v>44231NATGAS</v>
      </c>
      <c r="B7353" s="6" t="s">
        <v>89</v>
      </c>
      <c r="C7353" s="6">
        <v>2.4700000000000002</v>
      </c>
      <c r="D7353" s="6">
        <v>2.94</v>
      </c>
      <c r="E7353" s="6">
        <v>2.79</v>
      </c>
      <c r="F7353" t="str">
        <f t="shared" si="3099"/>
        <v>THU</v>
      </c>
      <c r="G7353" s="1">
        <f t="shared" si="3100"/>
        <v>44231</v>
      </c>
      <c r="H7353" s="2">
        <f t="shared" ca="1" si="3101"/>
        <v>22</v>
      </c>
      <c r="I7353" t="str">
        <f t="shared" si="3102"/>
        <v>NATGAS</v>
      </c>
      <c r="J7353">
        <f t="shared" si="3103"/>
        <v>2.4700000000000002</v>
      </c>
      <c r="K7353">
        <f t="shared" si="3104"/>
        <v>2.94</v>
      </c>
      <c r="L7353">
        <f t="shared" si="3105"/>
        <v>2.7050000000000001</v>
      </c>
      <c r="M7353">
        <f t="shared" si="3106"/>
        <v>0.23499999999999988</v>
      </c>
      <c r="N7353">
        <f t="shared" si="3084"/>
        <v>0.46999999999999975</v>
      </c>
      <c r="O7353">
        <f t="shared" si="3107"/>
        <v>2.79</v>
      </c>
      <c r="P7353">
        <f t="shared" si="3108"/>
        <v>0.36170212765957449</v>
      </c>
      <c r="Q7353" t="str">
        <f t="shared" si="3085"/>
        <v>11.47% | 5.38%</v>
      </c>
      <c r="R7353" t="str">
        <f t="shared" si="3109"/>
        <v>BULLISH</v>
      </c>
      <c r="S7353">
        <f t="shared" si="3110"/>
        <v>1</v>
      </c>
    </row>
    <row r="7354" spans="1:19" hidden="1" x14ac:dyDescent="0.25">
      <c r="A7354" s="5" t="str">
        <f t="shared" si="3098"/>
        <v>44231GOLD</v>
      </c>
      <c r="B7354" s="6" t="s">
        <v>85</v>
      </c>
      <c r="C7354" s="6">
        <v>1805</v>
      </c>
      <c r="D7354" s="6">
        <v>1859</v>
      </c>
      <c r="E7354" s="6">
        <v>1835</v>
      </c>
      <c r="F7354" t="str">
        <f t="shared" si="3099"/>
        <v>THU</v>
      </c>
      <c r="G7354" s="1">
        <f t="shared" si="3100"/>
        <v>44231</v>
      </c>
      <c r="H7354" s="2">
        <f t="shared" ca="1" si="3101"/>
        <v>22</v>
      </c>
      <c r="I7354" t="str">
        <f t="shared" si="3102"/>
        <v>GOLD</v>
      </c>
      <c r="J7354">
        <f t="shared" si="3103"/>
        <v>1805</v>
      </c>
      <c r="K7354">
        <f t="shared" si="3104"/>
        <v>1859</v>
      </c>
      <c r="L7354">
        <f t="shared" si="3105"/>
        <v>1832</v>
      </c>
      <c r="M7354">
        <f t="shared" si="3106"/>
        <v>27</v>
      </c>
      <c r="N7354">
        <f t="shared" si="3084"/>
        <v>54</v>
      </c>
      <c r="O7354">
        <f t="shared" si="3107"/>
        <v>1835</v>
      </c>
      <c r="P7354">
        <f t="shared" si="3108"/>
        <v>0.1111111111111111</v>
      </c>
      <c r="Q7354" t="str">
        <f t="shared" si="3085"/>
        <v>1.63% | 1.31%</v>
      </c>
      <c r="R7354" t="str">
        <f t="shared" si="3109"/>
        <v>BEARISH</v>
      </c>
      <c r="S7354">
        <f t="shared" si="3110"/>
        <v>-1</v>
      </c>
    </row>
    <row r="7355" spans="1:19" hidden="1" x14ac:dyDescent="0.25">
      <c r="A7355" s="5" t="str">
        <f t="shared" si="3098"/>
        <v>44231COPPER</v>
      </c>
      <c r="B7355" s="6" t="s">
        <v>100</v>
      </c>
      <c r="C7355" s="6">
        <v>3.5</v>
      </c>
      <c r="D7355" s="6">
        <v>3.68</v>
      </c>
      <c r="E7355" s="6">
        <v>3.57</v>
      </c>
      <c r="F7355" t="str">
        <f t="shared" si="3099"/>
        <v>THU</v>
      </c>
      <c r="G7355" s="1">
        <f t="shared" si="3100"/>
        <v>44231</v>
      </c>
      <c r="H7355" s="2">
        <f t="shared" ca="1" si="3101"/>
        <v>22</v>
      </c>
      <c r="I7355" t="str">
        <f t="shared" si="3102"/>
        <v>COPPER</v>
      </c>
      <c r="J7355">
        <f t="shared" si="3103"/>
        <v>3.5</v>
      </c>
      <c r="K7355">
        <f t="shared" si="3104"/>
        <v>3.68</v>
      </c>
      <c r="L7355">
        <f t="shared" si="3105"/>
        <v>3.59</v>
      </c>
      <c r="M7355">
        <f t="shared" si="3106"/>
        <v>9.000000000000008E-2</v>
      </c>
      <c r="N7355">
        <f t="shared" si="3084"/>
        <v>0.18000000000000016</v>
      </c>
      <c r="O7355">
        <f t="shared" si="3107"/>
        <v>3.57</v>
      </c>
      <c r="P7355">
        <f t="shared" si="3108"/>
        <v>-0.22222222222222221</v>
      </c>
      <c r="Q7355" t="str">
        <f t="shared" si="3085"/>
        <v>1.96% | 3.08%</v>
      </c>
      <c r="R7355" t="str">
        <f t="shared" si="3109"/>
        <v>BULLISH</v>
      </c>
      <c r="S7355">
        <f t="shared" si="3110"/>
        <v>1</v>
      </c>
    </row>
    <row r="7356" spans="1:19" hidden="1" x14ac:dyDescent="0.25">
      <c r="A7356" s="5" t="str">
        <f t="shared" si="3098"/>
        <v>44231SILVER</v>
      </c>
      <c r="B7356" s="6" t="s">
        <v>195</v>
      </c>
      <c r="C7356" s="6">
        <v>25.21</v>
      </c>
      <c r="D7356" s="6">
        <v>28.91</v>
      </c>
      <c r="E7356" s="6">
        <v>26.89</v>
      </c>
      <c r="F7356" t="str">
        <f t="shared" si="3099"/>
        <v>THU</v>
      </c>
      <c r="G7356" s="1">
        <f t="shared" si="3100"/>
        <v>44231</v>
      </c>
      <c r="H7356" s="2">
        <f t="shared" ca="1" si="3101"/>
        <v>22</v>
      </c>
      <c r="I7356" t="str">
        <f t="shared" si="3102"/>
        <v>SILVER</v>
      </c>
      <c r="J7356">
        <f t="shared" si="3103"/>
        <v>25.21</v>
      </c>
      <c r="K7356">
        <f t="shared" si="3104"/>
        <v>28.91</v>
      </c>
      <c r="L7356">
        <f t="shared" si="3105"/>
        <v>27.060000000000002</v>
      </c>
      <c r="M7356">
        <f t="shared" si="3106"/>
        <v>1.8499999999999996</v>
      </c>
      <c r="N7356">
        <f t="shared" si="3084"/>
        <v>3.6999999999999993</v>
      </c>
      <c r="O7356">
        <f t="shared" si="3107"/>
        <v>26.89</v>
      </c>
      <c r="P7356">
        <f t="shared" si="3108"/>
        <v>-9.1891891891892827E-2</v>
      </c>
      <c r="Q7356" t="str">
        <f t="shared" si="3085"/>
        <v>6.25% | 7.51%</v>
      </c>
      <c r="R7356" t="str">
        <f t="shared" si="3109"/>
        <v>BULLISH</v>
      </c>
      <c r="S7356">
        <f t="shared" si="3110"/>
        <v>1</v>
      </c>
    </row>
    <row r="7357" spans="1:19" hidden="1" x14ac:dyDescent="0.25">
      <c r="A7357" s="5" t="str">
        <f t="shared" si="3098"/>
        <v>44231MSFT</v>
      </c>
      <c r="B7357" s="6" t="s">
        <v>27</v>
      </c>
      <c r="C7357" s="6">
        <v>233</v>
      </c>
      <c r="D7357" s="6">
        <v>246</v>
      </c>
      <c r="E7357" s="6">
        <v>243</v>
      </c>
      <c r="F7357" t="str">
        <f t="shared" si="3099"/>
        <v>THU</v>
      </c>
      <c r="G7357" s="1">
        <f t="shared" si="3100"/>
        <v>44231</v>
      </c>
      <c r="H7357" s="2">
        <f t="shared" ca="1" si="3101"/>
        <v>22</v>
      </c>
      <c r="I7357" t="str">
        <f t="shared" si="3102"/>
        <v>MSFT</v>
      </c>
      <c r="J7357">
        <f t="shared" si="3103"/>
        <v>233</v>
      </c>
      <c r="K7357">
        <f t="shared" si="3104"/>
        <v>246</v>
      </c>
      <c r="L7357">
        <f t="shared" si="3105"/>
        <v>239.5</v>
      </c>
      <c r="M7357">
        <f t="shared" si="3106"/>
        <v>6.5</v>
      </c>
      <c r="N7357">
        <f t="shared" si="3084"/>
        <v>13</v>
      </c>
      <c r="O7357">
        <f t="shared" si="3107"/>
        <v>243</v>
      </c>
      <c r="P7357">
        <f t="shared" si="3108"/>
        <v>0.53846153846153844</v>
      </c>
      <c r="Q7357" t="str">
        <f t="shared" si="3085"/>
        <v>4.12% | 1.23%</v>
      </c>
      <c r="R7357" t="str">
        <f t="shared" si="3109"/>
        <v>BULLISH</v>
      </c>
      <c r="S7357">
        <f t="shared" si="3110"/>
        <v>1</v>
      </c>
    </row>
    <row r="7358" spans="1:19" hidden="1" x14ac:dyDescent="0.25">
      <c r="A7358" s="5" t="str">
        <f t="shared" si="3098"/>
        <v>44231AAPL</v>
      </c>
      <c r="B7358" s="6" t="s">
        <v>28</v>
      </c>
      <c r="C7358" s="6">
        <v>130</v>
      </c>
      <c r="D7358" s="6">
        <v>146</v>
      </c>
      <c r="E7358" s="6">
        <v>133</v>
      </c>
      <c r="F7358" t="str">
        <f t="shared" si="3099"/>
        <v>THU</v>
      </c>
      <c r="G7358" s="1">
        <f t="shared" si="3100"/>
        <v>44231</v>
      </c>
      <c r="H7358" s="2">
        <f t="shared" ca="1" si="3101"/>
        <v>22</v>
      </c>
      <c r="I7358" t="str">
        <f t="shared" si="3102"/>
        <v>AAPL</v>
      </c>
      <c r="J7358">
        <f t="shared" si="3103"/>
        <v>130</v>
      </c>
      <c r="K7358">
        <f t="shared" si="3104"/>
        <v>146</v>
      </c>
      <c r="L7358">
        <f t="shared" si="3105"/>
        <v>138</v>
      </c>
      <c r="M7358">
        <f t="shared" si="3106"/>
        <v>8</v>
      </c>
      <c r="N7358">
        <f t="shared" si="3084"/>
        <v>16</v>
      </c>
      <c r="O7358">
        <f t="shared" si="3107"/>
        <v>133</v>
      </c>
      <c r="P7358">
        <f t="shared" si="3108"/>
        <v>-0.625</v>
      </c>
      <c r="Q7358" t="str">
        <f t="shared" si="3085"/>
        <v>2.26% | 9.77%</v>
      </c>
      <c r="R7358" t="str">
        <f t="shared" si="3109"/>
        <v>BULLISH</v>
      </c>
      <c r="S7358">
        <f t="shared" si="3110"/>
        <v>1</v>
      </c>
    </row>
    <row r="7359" spans="1:19" hidden="1" x14ac:dyDescent="0.25">
      <c r="A7359" s="5" t="str">
        <f t="shared" si="3098"/>
        <v>44231AMZN</v>
      </c>
      <c r="B7359" s="6" t="s">
        <v>29</v>
      </c>
      <c r="C7359" s="6">
        <v>3238</v>
      </c>
      <c r="D7359" s="6">
        <v>3406</v>
      </c>
      <c r="E7359" s="6">
        <v>3312</v>
      </c>
      <c r="F7359" t="str">
        <f t="shared" si="3099"/>
        <v>THU</v>
      </c>
      <c r="G7359" s="1">
        <f t="shared" si="3100"/>
        <v>44231</v>
      </c>
      <c r="H7359" s="2">
        <f t="shared" ca="1" si="3101"/>
        <v>22</v>
      </c>
      <c r="I7359" t="str">
        <f t="shared" si="3102"/>
        <v>AMZN</v>
      </c>
      <c r="J7359">
        <f t="shared" si="3103"/>
        <v>3238</v>
      </c>
      <c r="K7359">
        <f t="shared" si="3104"/>
        <v>3406</v>
      </c>
      <c r="L7359">
        <f t="shared" si="3105"/>
        <v>3322</v>
      </c>
      <c r="M7359">
        <f t="shared" si="3106"/>
        <v>84</v>
      </c>
      <c r="N7359">
        <f t="shared" si="3084"/>
        <v>168</v>
      </c>
      <c r="O7359">
        <f t="shared" si="3107"/>
        <v>3312</v>
      </c>
      <c r="P7359">
        <f t="shared" si="3108"/>
        <v>-0.11904761904761904</v>
      </c>
      <c r="Q7359" t="str">
        <f t="shared" si="3085"/>
        <v>2.23% | 2.84%</v>
      </c>
      <c r="R7359" t="str">
        <f t="shared" si="3109"/>
        <v>BULLISH</v>
      </c>
      <c r="S7359">
        <f t="shared" si="3110"/>
        <v>1</v>
      </c>
    </row>
    <row r="7360" spans="1:19" hidden="1" x14ac:dyDescent="0.25">
      <c r="A7360" s="5" t="str">
        <f t="shared" si="3098"/>
        <v>44231FB</v>
      </c>
      <c r="B7360" s="6" t="s">
        <v>157</v>
      </c>
      <c r="C7360" s="6">
        <v>254</v>
      </c>
      <c r="D7360" s="6">
        <v>285</v>
      </c>
      <c r="E7360" s="6">
        <v>266</v>
      </c>
      <c r="F7360" t="str">
        <f t="shared" si="3099"/>
        <v>THU</v>
      </c>
      <c r="G7360" s="1">
        <f t="shared" si="3100"/>
        <v>44231</v>
      </c>
      <c r="H7360" s="2">
        <f t="shared" ca="1" si="3101"/>
        <v>22</v>
      </c>
      <c r="I7360" t="str">
        <f t="shared" si="3102"/>
        <v>FB</v>
      </c>
      <c r="J7360">
        <f t="shared" si="3103"/>
        <v>254</v>
      </c>
      <c r="K7360">
        <f t="shared" si="3104"/>
        <v>285</v>
      </c>
      <c r="L7360">
        <f t="shared" si="3105"/>
        <v>269.5</v>
      </c>
      <c r="M7360">
        <f t="shared" si="3106"/>
        <v>15.5</v>
      </c>
      <c r="N7360">
        <f t="shared" si="3084"/>
        <v>31</v>
      </c>
      <c r="O7360">
        <f t="shared" si="3107"/>
        <v>266</v>
      </c>
      <c r="P7360">
        <f t="shared" si="3108"/>
        <v>-0.22580645161290322</v>
      </c>
      <c r="Q7360" t="str">
        <f t="shared" si="3085"/>
        <v>4.51% | 7.14%</v>
      </c>
      <c r="R7360" t="str">
        <f t="shared" si="3109"/>
        <v>NEUTRAL</v>
      </c>
      <c r="S7360">
        <f t="shared" si="3110"/>
        <v>0</v>
      </c>
    </row>
    <row r="7361" spans="1:19" hidden="1" x14ac:dyDescent="0.25">
      <c r="A7361" s="5" t="str">
        <f t="shared" si="3098"/>
        <v>44231GOOGL</v>
      </c>
      <c r="B7361" s="6" t="s">
        <v>31</v>
      </c>
      <c r="C7361" s="6">
        <v>1899</v>
      </c>
      <c r="D7361" s="6">
        <v>2075</v>
      </c>
      <c r="E7361" s="6">
        <v>2058</v>
      </c>
      <c r="F7361" t="str">
        <f t="shared" si="3099"/>
        <v>THU</v>
      </c>
      <c r="G7361" s="1">
        <f t="shared" si="3100"/>
        <v>44231</v>
      </c>
      <c r="H7361" s="2">
        <f t="shared" ca="1" si="3101"/>
        <v>22</v>
      </c>
      <c r="I7361" t="str">
        <f t="shared" si="3102"/>
        <v>GOOGL</v>
      </c>
      <c r="J7361">
        <f t="shared" si="3103"/>
        <v>1899</v>
      </c>
      <c r="K7361">
        <f t="shared" si="3104"/>
        <v>2075</v>
      </c>
      <c r="L7361">
        <f t="shared" si="3105"/>
        <v>1987</v>
      </c>
      <c r="M7361">
        <f t="shared" si="3106"/>
        <v>88</v>
      </c>
      <c r="N7361">
        <f t="shared" si="3084"/>
        <v>176</v>
      </c>
      <c r="O7361">
        <f t="shared" si="3107"/>
        <v>2058</v>
      </c>
      <c r="P7361">
        <f t="shared" si="3108"/>
        <v>0.80681818181818177</v>
      </c>
      <c r="Q7361" t="str">
        <f t="shared" si="3085"/>
        <v>7.73% | 0.83%</v>
      </c>
      <c r="R7361" t="str">
        <f t="shared" si="3109"/>
        <v>BULLISH</v>
      </c>
      <c r="S7361">
        <f t="shared" si="3110"/>
        <v>1</v>
      </c>
    </row>
    <row r="7362" spans="1:19" hidden="1" x14ac:dyDescent="0.25">
      <c r="A7362" s="5" t="str">
        <f t="shared" si="3098"/>
        <v>44231NFLX</v>
      </c>
      <c r="B7362" s="6" t="s">
        <v>32</v>
      </c>
      <c r="C7362" s="6">
        <v>514</v>
      </c>
      <c r="D7362" s="6">
        <v>572</v>
      </c>
      <c r="E7362" s="6">
        <v>539</v>
      </c>
      <c r="F7362" t="str">
        <f t="shared" si="3099"/>
        <v>THU</v>
      </c>
      <c r="G7362" s="1">
        <f t="shared" si="3100"/>
        <v>44231</v>
      </c>
      <c r="H7362" s="2">
        <f t="shared" ca="1" si="3101"/>
        <v>22</v>
      </c>
      <c r="I7362" t="str">
        <f t="shared" si="3102"/>
        <v>NFLX</v>
      </c>
      <c r="J7362">
        <f t="shared" si="3103"/>
        <v>514</v>
      </c>
      <c r="K7362">
        <f t="shared" si="3104"/>
        <v>572</v>
      </c>
      <c r="L7362">
        <f t="shared" si="3105"/>
        <v>543</v>
      </c>
      <c r="M7362">
        <f t="shared" si="3106"/>
        <v>29</v>
      </c>
      <c r="N7362">
        <f t="shared" si="3084"/>
        <v>58</v>
      </c>
      <c r="O7362">
        <f t="shared" si="3107"/>
        <v>539</v>
      </c>
      <c r="P7362">
        <f t="shared" si="3108"/>
        <v>-0.13793103448275862</v>
      </c>
      <c r="Q7362" t="str">
        <f t="shared" si="3085"/>
        <v>4.64% | 6.12%</v>
      </c>
      <c r="R7362" t="str">
        <f t="shared" si="3109"/>
        <v>BULLISH</v>
      </c>
      <c r="S7362">
        <f t="shared" si="3110"/>
        <v>1</v>
      </c>
    </row>
    <row r="7363" spans="1:19" x14ac:dyDescent="0.25">
      <c r="A7363" s="5" t="str">
        <f t="shared" si="3098"/>
        <v>44231TSLA</v>
      </c>
      <c r="B7363" s="6" t="s">
        <v>33</v>
      </c>
      <c r="C7363" s="6">
        <v>795</v>
      </c>
      <c r="D7363" s="6">
        <v>910</v>
      </c>
      <c r="E7363" s="6">
        <v>854</v>
      </c>
      <c r="F7363" t="str">
        <f t="shared" si="3099"/>
        <v>THU</v>
      </c>
      <c r="G7363" s="1">
        <f t="shared" si="3100"/>
        <v>44231</v>
      </c>
      <c r="H7363" s="2">
        <f t="shared" ca="1" si="3101"/>
        <v>22</v>
      </c>
      <c r="I7363" t="str">
        <f t="shared" si="3102"/>
        <v>TSLA</v>
      </c>
      <c r="J7363">
        <f t="shared" si="3103"/>
        <v>795</v>
      </c>
      <c r="K7363">
        <f t="shared" si="3104"/>
        <v>910</v>
      </c>
      <c r="L7363">
        <f t="shared" si="3105"/>
        <v>852.5</v>
      </c>
      <c r="M7363">
        <f t="shared" si="3106"/>
        <v>57.5</v>
      </c>
      <c r="N7363">
        <f t="shared" ref="N7363:N7426" si="3111">ABS(K7363-J7363)</f>
        <v>115</v>
      </c>
      <c r="O7363">
        <f t="shared" si="3107"/>
        <v>854</v>
      </c>
      <c r="P7363">
        <f t="shared" si="3108"/>
        <v>2.6086956521739129E-2</v>
      </c>
      <c r="Q7363" t="str">
        <f t="shared" ref="Q7363:Q7426" si="3112">ROUND(ABS(100*(O7363-J7363)/O7363),2)&amp;"% | "&amp;ROUND(ABS(100*(K7363-O7363)/O7363),2)&amp;"%"</f>
        <v>6.91% | 6.56%</v>
      </c>
      <c r="R7363" t="str">
        <f t="shared" si="3109"/>
        <v>BULLISH</v>
      </c>
      <c r="S7363">
        <f t="shared" si="3110"/>
        <v>1</v>
      </c>
    </row>
    <row r="7364" spans="1:19" hidden="1" x14ac:dyDescent="0.25">
      <c r="A7364" s="5" t="str">
        <f t="shared" si="3098"/>
        <v>44231NYXBT</v>
      </c>
      <c r="B7364" s="6" t="s">
        <v>60</v>
      </c>
      <c r="C7364" s="6">
        <v>31607</v>
      </c>
      <c r="D7364" s="6">
        <v>39059</v>
      </c>
      <c r="E7364" s="6">
        <v>36827</v>
      </c>
      <c r="F7364" t="str">
        <f t="shared" si="3099"/>
        <v>THU</v>
      </c>
      <c r="G7364" s="1">
        <f t="shared" si="3100"/>
        <v>44231</v>
      </c>
      <c r="H7364" s="2">
        <f t="shared" ca="1" si="3101"/>
        <v>22</v>
      </c>
      <c r="I7364" t="str">
        <f t="shared" si="3102"/>
        <v>NYXBT</v>
      </c>
      <c r="J7364">
        <f t="shared" si="3103"/>
        <v>31607</v>
      </c>
      <c r="K7364">
        <f t="shared" si="3104"/>
        <v>39059</v>
      </c>
      <c r="L7364">
        <f t="shared" si="3105"/>
        <v>35333</v>
      </c>
      <c r="M7364">
        <f t="shared" si="3106"/>
        <v>3726</v>
      </c>
      <c r="N7364">
        <f t="shared" si="3111"/>
        <v>7452</v>
      </c>
      <c r="O7364">
        <f t="shared" si="3107"/>
        <v>36827</v>
      </c>
      <c r="P7364">
        <f t="shared" si="3108"/>
        <v>0.40096618357487923</v>
      </c>
      <c r="Q7364" t="str">
        <f t="shared" si="3112"/>
        <v>14.17% | 6.06%</v>
      </c>
      <c r="R7364" t="str">
        <f t="shared" si="3109"/>
        <v>BULLISH</v>
      </c>
      <c r="S7364">
        <f t="shared" si="3110"/>
        <v>1</v>
      </c>
    </row>
    <row r="7365" spans="1:19" hidden="1" x14ac:dyDescent="0.25">
      <c r="A7365" s="5" t="str">
        <f t="shared" si="3098"/>
        <v>44232UST10Y</v>
      </c>
      <c r="B7365" s="6" t="s">
        <v>257</v>
      </c>
      <c r="C7365" s="6">
        <v>1.17</v>
      </c>
      <c r="D7365" s="6">
        <v>1.07</v>
      </c>
      <c r="E7365" s="6">
        <v>1.1499999999999999</v>
      </c>
      <c r="F7365" t="str">
        <f t="shared" si="3099"/>
        <v>FRI</v>
      </c>
      <c r="G7365" s="3">
        <f>DATE(2021,2,5)</f>
        <v>44232</v>
      </c>
      <c r="H7365" s="2">
        <f t="shared" ca="1" si="3101"/>
        <v>21</v>
      </c>
      <c r="I7365" t="str">
        <f t="shared" si="3102"/>
        <v>UST10Y</v>
      </c>
      <c r="J7365">
        <f t="shared" si="3103"/>
        <v>1.17</v>
      </c>
      <c r="K7365">
        <f t="shared" si="3104"/>
        <v>1.07</v>
      </c>
      <c r="L7365">
        <f t="shared" si="3105"/>
        <v>1.1200000000000001</v>
      </c>
      <c r="M7365">
        <f t="shared" si="3106"/>
        <v>4.9999999999999933E-2</v>
      </c>
      <c r="N7365">
        <f t="shared" si="3111"/>
        <v>9.9999999999999867E-2</v>
      </c>
      <c r="O7365">
        <f t="shared" si="3107"/>
        <v>1.1499999999999999</v>
      </c>
      <c r="P7365">
        <f t="shared" si="3108"/>
        <v>0.59999999999999687</v>
      </c>
      <c r="Q7365" t="str">
        <f t="shared" si="3112"/>
        <v>1.74% | 6.96%</v>
      </c>
      <c r="R7365" t="str">
        <f t="shared" si="3109"/>
        <v>BULLISH</v>
      </c>
      <c r="S7365">
        <f t="shared" si="3110"/>
        <v>1</v>
      </c>
    </row>
    <row r="7366" spans="1:19" hidden="1" x14ac:dyDescent="0.25">
      <c r="A7366" s="5" t="str">
        <f t="shared" si="3098"/>
        <v>44232UST2Y</v>
      </c>
      <c r="B7366" s="6" t="s">
        <v>253</v>
      </c>
      <c r="C7366" s="6">
        <v>0.15</v>
      </c>
      <c r="D7366" s="6">
        <v>0.11</v>
      </c>
      <c r="E7366" s="6">
        <v>0.11</v>
      </c>
      <c r="F7366" t="str">
        <f t="shared" ref="F7366:F7398" si="3113">UPPER(TEXT(G7366,"ddd"))</f>
        <v>FRI</v>
      </c>
      <c r="G7366" s="3">
        <f t="shared" ref="G7366:G7397" si="3114">DATE(2021,2,5)</f>
        <v>44232</v>
      </c>
      <c r="H7366" s="2">
        <f t="shared" ref="H7366:H7398" ca="1" si="3115">TODAY()-G7366</f>
        <v>21</v>
      </c>
      <c r="I7366" t="str">
        <f t="shared" ref="I7366:I7398" si="3116">TRIM(LEFT(B7366,FIND(" ",B7366,1)))</f>
        <v>UST2Y</v>
      </c>
      <c r="J7366">
        <f t="shared" ref="J7366:J7398" si="3117">C7366</f>
        <v>0.15</v>
      </c>
      <c r="K7366">
        <f t="shared" ref="K7366:K7398" si="3118">D7366</f>
        <v>0.11</v>
      </c>
      <c r="L7366">
        <f t="shared" ref="L7366:L7398" si="3119">AVERAGE(J7366:K7366)</f>
        <v>0.13</v>
      </c>
      <c r="M7366">
        <f t="shared" ref="M7366:M7398" si="3120">_xlfn.STDEV.P(J7366:K7366)</f>
        <v>1.9999999999999938E-2</v>
      </c>
      <c r="N7366">
        <f t="shared" si="3111"/>
        <v>3.9999999999999994E-2</v>
      </c>
      <c r="O7366">
        <f t="shared" ref="O7366:O7398" si="3121">E7366</f>
        <v>0.11</v>
      </c>
      <c r="P7366">
        <f t="shared" ref="P7366:P7398" si="3122">(O7366-L7366)/M7366</f>
        <v>-1.0000000000000033</v>
      </c>
      <c r="Q7366" t="str">
        <f t="shared" si="3112"/>
        <v>36.36% | 0%</v>
      </c>
      <c r="R7366" t="str">
        <f t="shared" ref="R7366:R7398" si="3123">MID(B7366,FIND("(",B7366,1)+1,FIND(")",B7366,1)-FIND("(",B7366,1)-1)</f>
        <v>NEUTRAL</v>
      </c>
      <c r="S7366">
        <f t="shared" ref="S7366:S7398" si="3124">IF(R7366="BEARISH",-1,IF(R7366="NEUTRAL",0,IF(R7366="BULLISH",1,99)))</f>
        <v>0</v>
      </c>
    </row>
    <row r="7367" spans="1:19" hidden="1" x14ac:dyDescent="0.25">
      <c r="A7367" s="5" t="str">
        <f t="shared" si="3098"/>
        <v>44232SPX</v>
      </c>
      <c r="B7367" s="6" t="s">
        <v>93</v>
      </c>
      <c r="C7367" s="6">
        <v>3780</v>
      </c>
      <c r="D7367" s="6">
        <v>3911</v>
      </c>
      <c r="E7367" s="6">
        <v>3871</v>
      </c>
      <c r="F7367" t="str">
        <f t="shared" si="3113"/>
        <v>FRI</v>
      </c>
      <c r="G7367" s="3">
        <f t="shared" si="3114"/>
        <v>44232</v>
      </c>
      <c r="H7367" s="2">
        <f t="shared" ca="1" si="3115"/>
        <v>21</v>
      </c>
      <c r="I7367" t="str">
        <f t="shared" si="3116"/>
        <v>SPX</v>
      </c>
      <c r="J7367">
        <f t="shared" si="3117"/>
        <v>3780</v>
      </c>
      <c r="K7367">
        <f t="shared" si="3118"/>
        <v>3911</v>
      </c>
      <c r="L7367">
        <f t="shared" si="3119"/>
        <v>3845.5</v>
      </c>
      <c r="M7367">
        <f t="shared" si="3120"/>
        <v>65.5</v>
      </c>
      <c r="N7367">
        <f t="shared" si="3111"/>
        <v>131</v>
      </c>
      <c r="O7367">
        <f t="shared" si="3121"/>
        <v>3871</v>
      </c>
      <c r="P7367">
        <f t="shared" si="3122"/>
        <v>0.38931297709923662</v>
      </c>
      <c r="Q7367" t="str">
        <f t="shared" si="3112"/>
        <v>2.35% | 1.03%</v>
      </c>
      <c r="R7367" t="str">
        <f t="shared" si="3123"/>
        <v>BULLISH</v>
      </c>
      <c r="S7367">
        <f t="shared" si="3124"/>
        <v>1</v>
      </c>
    </row>
    <row r="7368" spans="1:19" hidden="1" x14ac:dyDescent="0.25">
      <c r="A7368" s="5" t="str">
        <f t="shared" ref="A7368:A7431" si="3125">G7368&amp;I7368</f>
        <v>44232RUT</v>
      </c>
      <c r="B7368" s="6" t="s">
        <v>247</v>
      </c>
      <c r="C7368" s="6">
        <v>2091</v>
      </c>
      <c r="D7368" s="6">
        <v>2215</v>
      </c>
      <c r="E7368" s="6">
        <v>2202</v>
      </c>
      <c r="F7368" t="str">
        <f t="shared" si="3113"/>
        <v>FRI</v>
      </c>
      <c r="G7368" s="3">
        <f t="shared" si="3114"/>
        <v>44232</v>
      </c>
      <c r="H7368" s="2">
        <f t="shared" ca="1" si="3115"/>
        <v>21</v>
      </c>
      <c r="I7368" t="str">
        <f t="shared" si="3116"/>
        <v>RUT</v>
      </c>
      <c r="J7368">
        <f t="shared" si="3117"/>
        <v>2091</v>
      </c>
      <c r="K7368">
        <f t="shared" si="3118"/>
        <v>2215</v>
      </c>
      <c r="L7368">
        <f t="shared" si="3119"/>
        <v>2153</v>
      </c>
      <c r="M7368">
        <f t="shared" si="3120"/>
        <v>62</v>
      </c>
      <c r="N7368">
        <f t="shared" si="3111"/>
        <v>124</v>
      </c>
      <c r="O7368">
        <f t="shared" si="3121"/>
        <v>2202</v>
      </c>
      <c r="P7368">
        <f t="shared" si="3122"/>
        <v>0.79032258064516125</v>
      </c>
      <c r="Q7368" t="str">
        <f t="shared" si="3112"/>
        <v>5.04% | 0.59%</v>
      </c>
      <c r="R7368" t="str">
        <f t="shared" si="3123"/>
        <v>BULLISH</v>
      </c>
      <c r="S7368">
        <f t="shared" si="3124"/>
        <v>1</v>
      </c>
    </row>
    <row r="7369" spans="1:19" hidden="1" x14ac:dyDescent="0.25">
      <c r="A7369" s="5" t="str">
        <f t="shared" si="3125"/>
        <v>44232COMPQ</v>
      </c>
      <c r="B7369" s="6" t="s">
        <v>8</v>
      </c>
      <c r="C7369" s="6">
        <v>13214</v>
      </c>
      <c r="D7369" s="6">
        <v>13917</v>
      </c>
      <c r="E7369" s="6">
        <v>13777</v>
      </c>
      <c r="F7369" t="str">
        <f t="shared" si="3113"/>
        <v>FRI</v>
      </c>
      <c r="G7369" s="3">
        <f t="shared" si="3114"/>
        <v>44232</v>
      </c>
      <c r="H7369" s="2">
        <f t="shared" ca="1" si="3115"/>
        <v>21</v>
      </c>
      <c r="I7369" t="str">
        <f t="shared" si="3116"/>
        <v>COMPQ</v>
      </c>
      <c r="J7369">
        <f t="shared" si="3117"/>
        <v>13214</v>
      </c>
      <c r="K7369">
        <f t="shared" si="3118"/>
        <v>13917</v>
      </c>
      <c r="L7369">
        <f t="shared" si="3119"/>
        <v>13565.5</v>
      </c>
      <c r="M7369">
        <f t="shared" si="3120"/>
        <v>351.5</v>
      </c>
      <c r="N7369">
        <f t="shared" si="3111"/>
        <v>703</v>
      </c>
      <c r="O7369">
        <f t="shared" si="3121"/>
        <v>13777</v>
      </c>
      <c r="P7369">
        <f t="shared" si="3122"/>
        <v>0.60170697012802277</v>
      </c>
      <c r="Q7369" t="str">
        <f t="shared" si="3112"/>
        <v>4.09% | 1.02%</v>
      </c>
      <c r="R7369" t="str">
        <f t="shared" si="3123"/>
        <v>BULLISH</v>
      </c>
      <c r="S7369">
        <f t="shared" si="3124"/>
        <v>1</v>
      </c>
    </row>
    <row r="7370" spans="1:19" hidden="1" x14ac:dyDescent="0.25">
      <c r="A7370" s="5" t="str">
        <f t="shared" si="3125"/>
        <v>44232XLK</v>
      </c>
      <c r="B7370" s="6" t="s">
        <v>10</v>
      </c>
      <c r="C7370" s="6">
        <v>130.77000000000001</v>
      </c>
      <c r="D7370" s="6">
        <v>136.61000000000001</v>
      </c>
      <c r="E7370" s="6">
        <v>135.62</v>
      </c>
      <c r="F7370" t="str">
        <f t="shared" si="3113"/>
        <v>FRI</v>
      </c>
      <c r="G7370" s="3">
        <f t="shared" si="3114"/>
        <v>44232</v>
      </c>
      <c r="H7370" s="2">
        <f t="shared" ca="1" si="3115"/>
        <v>21</v>
      </c>
      <c r="I7370" t="str">
        <f t="shared" si="3116"/>
        <v>XLK</v>
      </c>
      <c r="J7370">
        <f t="shared" si="3117"/>
        <v>130.77000000000001</v>
      </c>
      <c r="K7370">
        <f t="shared" si="3118"/>
        <v>136.61000000000001</v>
      </c>
      <c r="L7370">
        <f t="shared" si="3119"/>
        <v>133.69</v>
      </c>
      <c r="M7370">
        <f t="shared" si="3120"/>
        <v>2.9200000000000017</v>
      </c>
      <c r="N7370">
        <f t="shared" si="3111"/>
        <v>5.8400000000000034</v>
      </c>
      <c r="O7370">
        <f t="shared" si="3121"/>
        <v>135.62</v>
      </c>
      <c r="P7370">
        <f t="shared" si="3122"/>
        <v>0.66095890410959102</v>
      </c>
      <c r="Q7370" t="str">
        <f t="shared" si="3112"/>
        <v>3.58% | 0.73%</v>
      </c>
      <c r="R7370" t="str">
        <f t="shared" si="3123"/>
        <v>BULLISH</v>
      </c>
      <c r="S7370">
        <f t="shared" si="3124"/>
        <v>1</v>
      </c>
    </row>
    <row r="7371" spans="1:19" hidden="1" x14ac:dyDescent="0.25">
      <c r="A7371" s="5" t="str">
        <f t="shared" si="3125"/>
        <v>44232XLE</v>
      </c>
      <c r="B7371" s="6" t="s">
        <v>250</v>
      </c>
      <c r="C7371" s="6">
        <v>38.69</v>
      </c>
      <c r="D7371" s="6">
        <v>43.57</v>
      </c>
      <c r="E7371" s="6">
        <v>42.2</v>
      </c>
      <c r="F7371" t="str">
        <f t="shared" si="3113"/>
        <v>FRI</v>
      </c>
      <c r="G7371" s="3">
        <f t="shared" si="3114"/>
        <v>44232</v>
      </c>
      <c r="H7371" s="2">
        <f t="shared" ca="1" si="3115"/>
        <v>21</v>
      </c>
      <c r="I7371" t="str">
        <f t="shared" si="3116"/>
        <v>XLE</v>
      </c>
      <c r="J7371">
        <f t="shared" si="3117"/>
        <v>38.69</v>
      </c>
      <c r="K7371">
        <f t="shared" si="3118"/>
        <v>43.57</v>
      </c>
      <c r="L7371">
        <f t="shared" si="3119"/>
        <v>41.129999999999995</v>
      </c>
      <c r="M7371">
        <f t="shared" si="3120"/>
        <v>2.4400000000000013</v>
      </c>
      <c r="N7371">
        <f t="shared" si="3111"/>
        <v>4.8800000000000026</v>
      </c>
      <c r="O7371">
        <f t="shared" si="3121"/>
        <v>42.2</v>
      </c>
      <c r="P7371">
        <f t="shared" si="3122"/>
        <v>0.43852459016393724</v>
      </c>
      <c r="Q7371" t="str">
        <f t="shared" si="3112"/>
        <v>8.32% | 3.25%</v>
      </c>
      <c r="R7371" t="str">
        <f t="shared" si="3123"/>
        <v>BULLISH</v>
      </c>
      <c r="S7371">
        <f t="shared" si="3124"/>
        <v>1</v>
      </c>
    </row>
    <row r="7372" spans="1:19" hidden="1" x14ac:dyDescent="0.25">
      <c r="A7372" s="5" t="str">
        <f t="shared" si="3125"/>
        <v>44232XLU</v>
      </c>
      <c r="B7372" s="6" t="s">
        <v>82</v>
      </c>
      <c r="C7372" s="6">
        <v>61.45</v>
      </c>
      <c r="D7372" s="6">
        <v>64.2</v>
      </c>
      <c r="E7372" s="6">
        <v>63.25</v>
      </c>
      <c r="F7372" t="str">
        <f t="shared" si="3113"/>
        <v>FRI</v>
      </c>
      <c r="G7372" s="3">
        <f t="shared" si="3114"/>
        <v>44232</v>
      </c>
      <c r="H7372" s="2">
        <f t="shared" ca="1" si="3115"/>
        <v>21</v>
      </c>
      <c r="I7372" t="str">
        <f t="shared" si="3116"/>
        <v>XLU</v>
      </c>
      <c r="J7372">
        <f t="shared" si="3117"/>
        <v>61.45</v>
      </c>
      <c r="K7372">
        <f t="shared" si="3118"/>
        <v>64.2</v>
      </c>
      <c r="L7372">
        <f t="shared" si="3119"/>
        <v>62.825000000000003</v>
      </c>
      <c r="M7372">
        <f t="shared" si="3120"/>
        <v>1.375</v>
      </c>
      <c r="N7372">
        <f t="shared" si="3111"/>
        <v>2.75</v>
      </c>
      <c r="O7372">
        <f t="shared" si="3121"/>
        <v>63.25</v>
      </c>
      <c r="P7372">
        <f t="shared" si="3122"/>
        <v>0.30909090909090703</v>
      </c>
      <c r="Q7372" t="str">
        <f t="shared" si="3112"/>
        <v>2.85% | 1.5%</v>
      </c>
      <c r="R7372" t="str">
        <f t="shared" si="3123"/>
        <v>BEARISH</v>
      </c>
      <c r="S7372">
        <f t="shared" si="3124"/>
        <v>-1</v>
      </c>
    </row>
    <row r="7373" spans="1:19" hidden="1" x14ac:dyDescent="0.25">
      <c r="A7373" s="5" t="str">
        <f t="shared" si="3125"/>
        <v>44232GDX</v>
      </c>
      <c r="B7373" s="6" t="s">
        <v>254</v>
      </c>
      <c r="C7373" s="6">
        <v>33.39</v>
      </c>
      <c r="D7373" s="6">
        <v>35.46</v>
      </c>
      <c r="E7373" s="6">
        <v>33.840000000000003</v>
      </c>
      <c r="F7373" t="str">
        <f t="shared" si="3113"/>
        <v>FRI</v>
      </c>
      <c r="G7373" s="3">
        <f t="shared" si="3114"/>
        <v>44232</v>
      </c>
      <c r="H7373" s="2">
        <f t="shared" ca="1" si="3115"/>
        <v>21</v>
      </c>
      <c r="I7373" t="str">
        <f t="shared" si="3116"/>
        <v>GDX</v>
      </c>
      <c r="J7373">
        <f t="shared" si="3117"/>
        <v>33.39</v>
      </c>
      <c r="K7373">
        <f t="shared" si="3118"/>
        <v>35.46</v>
      </c>
      <c r="L7373">
        <f t="shared" si="3119"/>
        <v>34.424999999999997</v>
      </c>
      <c r="M7373">
        <f t="shared" si="3120"/>
        <v>1.0350000000000001</v>
      </c>
      <c r="N7373">
        <f t="shared" si="3111"/>
        <v>2.0700000000000003</v>
      </c>
      <c r="O7373">
        <f t="shared" si="3121"/>
        <v>33.840000000000003</v>
      </c>
      <c r="P7373">
        <f t="shared" si="3122"/>
        <v>-0.56521739130434168</v>
      </c>
      <c r="Q7373" t="str">
        <f t="shared" si="3112"/>
        <v>1.33% | 4.79%</v>
      </c>
      <c r="R7373" t="str">
        <f t="shared" si="3123"/>
        <v>BEARISH</v>
      </c>
      <c r="S7373">
        <f t="shared" si="3124"/>
        <v>-1</v>
      </c>
    </row>
    <row r="7374" spans="1:19" hidden="1" x14ac:dyDescent="0.25">
      <c r="A7374" s="5" t="str">
        <f t="shared" si="3125"/>
        <v>44232SSEC</v>
      </c>
      <c r="B7374" s="6" t="s">
        <v>104</v>
      </c>
      <c r="C7374" s="6">
        <v>3435</v>
      </c>
      <c r="D7374" s="6">
        <v>3620</v>
      </c>
      <c r="E7374" s="6">
        <v>3496</v>
      </c>
      <c r="F7374" t="str">
        <f t="shared" si="3113"/>
        <v>FRI</v>
      </c>
      <c r="G7374" s="3">
        <f t="shared" si="3114"/>
        <v>44232</v>
      </c>
      <c r="H7374" s="2">
        <f t="shared" ca="1" si="3115"/>
        <v>21</v>
      </c>
      <c r="I7374" t="str">
        <f t="shared" si="3116"/>
        <v>SSEC</v>
      </c>
      <c r="J7374">
        <f t="shared" si="3117"/>
        <v>3435</v>
      </c>
      <c r="K7374">
        <f t="shared" si="3118"/>
        <v>3620</v>
      </c>
      <c r="L7374">
        <f t="shared" si="3119"/>
        <v>3527.5</v>
      </c>
      <c r="M7374">
        <f t="shared" si="3120"/>
        <v>92.5</v>
      </c>
      <c r="N7374">
        <f t="shared" si="3111"/>
        <v>185</v>
      </c>
      <c r="O7374">
        <f t="shared" si="3121"/>
        <v>3496</v>
      </c>
      <c r="P7374">
        <f t="shared" si="3122"/>
        <v>-0.34054054054054056</v>
      </c>
      <c r="Q7374" t="str">
        <f t="shared" si="3112"/>
        <v>1.74% | 3.55%</v>
      </c>
      <c r="R7374" t="str">
        <f t="shared" si="3123"/>
        <v>BULLISH</v>
      </c>
      <c r="S7374">
        <f t="shared" si="3124"/>
        <v>1</v>
      </c>
    </row>
    <row r="7375" spans="1:19" hidden="1" x14ac:dyDescent="0.25">
      <c r="A7375" s="5" t="str">
        <f t="shared" si="3125"/>
        <v>44232NIKK</v>
      </c>
      <c r="B7375" s="6" t="s">
        <v>91</v>
      </c>
      <c r="C7375" s="6">
        <v>27985</v>
      </c>
      <c r="D7375" s="6">
        <v>29051</v>
      </c>
      <c r="E7375" s="6">
        <v>28779</v>
      </c>
      <c r="F7375" t="str">
        <f t="shared" si="3113"/>
        <v>FRI</v>
      </c>
      <c r="G7375" s="3">
        <f t="shared" si="3114"/>
        <v>44232</v>
      </c>
      <c r="H7375" s="2">
        <f t="shared" ca="1" si="3115"/>
        <v>21</v>
      </c>
      <c r="I7375" t="str">
        <f t="shared" si="3116"/>
        <v>NIKK</v>
      </c>
      <c r="J7375">
        <f t="shared" si="3117"/>
        <v>27985</v>
      </c>
      <c r="K7375">
        <f t="shared" si="3118"/>
        <v>29051</v>
      </c>
      <c r="L7375">
        <f t="shared" si="3119"/>
        <v>28518</v>
      </c>
      <c r="M7375">
        <f t="shared" si="3120"/>
        <v>533</v>
      </c>
      <c r="N7375">
        <f t="shared" si="3111"/>
        <v>1066</v>
      </c>
      <c r="O7375">
        <f t="shared" si="3121"/>
        <v>28779</v>
      </c>
      <c r="P7375">
        <f t="shared" si="3122"/>
        <v>0.4896810506566604</v>
      </c>
      <c r="Q7375" t="str">
        <f t="shared" si="3112"/>
        <v>2.76% | 0.95%</v>
      </c>
      <c r="R7375" t="str">
        <f t="shared" si="3123"/>
        <v>BULLISH</v>
      </c>
      <c r="S7375">
        <f t="shared" si="3124"/>
        <v>1</v>
      </c>
    </row>
    <row r="7376" spans="1:19" hidden="1" x14ac:dyDescent="0.25">
      <c r="A7376" s="5" t="str">
        <f t="shared" si="3125"/>
        <v>44232DAX</v>
      </c>
      <c r="B7376" s="6" t="s">
        <v>98</v>
      </c>
      <c r="C7376" s="6">
        <v>13405</v>
      </c>
      <c r="D7376" s="6">
        <v>14130</v>
      </c>
      <c r="E7376" s="6">
        <v>14060</v>
      </c>
      <c r="F7376" t="str">
        <f t="shared" si="3113"/>
        <v>FRI</v>
      </c>
      <c r="G7376" s="3">
        <f t="shared" si="3114"/>
        <v>44232</v>
      </c>
      <c r="H7376" s="2">
        <f t="shared" ca="1" si="3115"/>
        <v>21</v>
      </c>
      <c r="I7376" t="str">
        <f t="shared" si="3116"/>
        <v>DAX</v>
      </c>
      <c r="J7376">
        <f t="shared" si="3117"/>
        <v>13405</v>
      </c>
      <c r="K7376">
        <f t="shared" si="3118"/>
        <v>14130</v>
      </c>
      <c r="L7376">
        <f t="shared" si="3119"/>
        <v>13767.5</v>
      </c>
      <c r="M7376">
        <f t="shared" si="3120"/>
        <v>362.5</v>
      </c>
      <c r="N7376">
        <f t="shared" si="3111"/>
        <v>725</v>
      </c>
      <c r="O7376">
        <f t="shared" si="3121"/>
        <v>14060</v>
      </c>
      <c r="P7376">
        <f t="shared" si="3122"/>
        <v>0.80689655172413788</v>
      </c>
      <c r="Q7376" t="str">
        <f t="shared" si="3112"/>
        <v>4.66% | 0.5%</v>
      </c>
      <c r="R7376" t="str">
        <f t="shared" si="3123"/>
        <v>BULLISH</v>
      </c>
      <c r="S7376">
        <f t="shared" si="3124"/>
        <v>1</v>
      </c>
    </row>
    <row r="7377" spans="1:19" hidden="1" x14ac:dyDescent="0.25">
      <c r="A7377" s="5" t="str">
        <f t="shared" si="3125"/>
        <v>44232VIX</v>
      </c>
      <c r="B7377" s="6" t="s">
        <v>96</v>
      </c>
      <c r="C7377" s="6">
        <v>17.2</v>
      </c>
      <c r="D7377" s="6">
        <v>27.97</v>
      </c>
      <c r="E7377" s="6">
        <v>21.77</v>
      </c>
      <c r="F7377" t="str">
        <f t="shared" si="3113"/>
        <v>FRI</v>
      </c>
      <c r="G7377" s="3">
        <f t="shared" si="3114"/>
        <v>44232</v>
      </c>
      <c r="H7377" s="2">
        <f t="shared" ca="1" si="3115"/>
        <v>21</v>
      </c>
      <c r="I7377" t="str">
        <f t="shared" si="3116"/>
        <v>VIX</v>
      </c>
      <c r="J7377">
        <f t="shared" si="3117"/>
        <v>17.2</v>
      </c>
      <c r="K7377">
        <f t="shared" si="3118"/>
        <v>27.97</v>
      </c>
      <c r="L7377">
        <f t="shared" si="3119"/>
        <v>22.585000000000001</v>
      </c>
      <c r="M7377">
        <f t="shared" si="3120"/>
        <v>5.3849999999999882</v>
      </c>
      <c r="N7377">
        <f t="shared" si="3111"/>
        <v>10.77</v>
      </c>
      <c r="O7377">
        <f t="shared" si="3121"/>
        <v>21.77</v>
      </c>
      <c r="P7377">
        <f t="shared" si="3122"/>
        <v>-0.15134633240482878</v>
      </c>
      <c r="Q7377" t="str">
        <f t="shared" si="3112"/>
        <v>20.99% | 28.48%</v>
      </c>
      <c r="R7377" t="str">
        <f t="shared" si="3123"/>
        <v>BEARISH</v>
      </c>
      <c r="S7377">
        <f t="shared" si="3124"/>
        <v>-1</v>
      </c>
    </row>
    <row r="7378" spans="1:19" hidden="1" x14ac:dyDescent="0.25">
      <c r="A7378" s="5" t="str">
        <f t="shared" si="3125"/>
        <v>44232USD</v>
      </c>
      <c r="B7378" s="6" t="s">
        <v>94</v>
      </c>
      <c r="C7378" s="6">
        <v>89.84</v>
      </c>
      <c r="D7378" s="6">
        <v>91.65</v>
      </c>
      <c r="E7378" s="6">
        <v>91.52</v>
      </c>
      <c r="F7378" t="str">
        <f t="shared" si="3113"/>
        <v>FRI</v>
      </c>
      <c r="G7378" s="3">
        <f t="shared" si="3114"/>
        <v>44232</v>
      </c>
      <c r="H7378" s="2">
        <f t="shared" ca="1" si="3115"/>
        <v>21</v>
      </c>
      <c r="I7378" t="str">
        <f t="shared" si="3116"/>
        <v>USD</v>
      </c>
      <c r="J7378">
        <f t="shared" si="3117"/>
        <v>89.84</v>
      </c>
      <c r="K7378">
        <f t="shared" si="3118"/>
        <v>91.65</v>
      </c>
      <c r="L7378">
        <f t="shared" si="3119"/>
        <v>90.745000000000005</v>
      </c>
      <c r="M7378">
        <f t="shared" si="3120"/>
        <v>0.90500000000000114</v>
      </c>
      <c r="N7378">
        <f t="shared" si="3111"/>
        <v>1.8100000000000023</v>
      </c>
      <c r="O7378">
        <f t="shared" si="3121"/>
        <v>91.52</v>
      </c>
      <c r="P7378">
        <f t="shared" si="3122"/>
        <v>0.85635359116021048</v>
      </c>
      <c r="Q7378" t="str">
        <f t="shared" si="3112"/>
        <v>1.84% | 0.14%</v>
      </c>
      <c r="R7378" t="str">
        <f t="shared" si="3123"/>
        <v>BEARISH</v>
      </c>
      <c r="S7378">
        <f t="shared" si="3124"/>
        <v>-1</v>
      </c>
    </row>
    <row r="7379" spans="1:19" hidden="1" x14ac:dyDescent="0.25">
      <c r="A7379" s="5" t="str">
        <f t="shared" si="3125"/>
        <v>44232EUR/USD</v>
      </c>
      <c r="B7379" s="6" t="s">
        <v>99</v>
      </c>
      <c r="C7379" s="6">
        <v>1.196</v>
      </c>
      <c r="D7379" s="6">
        <v>1.2230000000000001</v>
      </c>
      <c r="E7379" s="6">
        <v>1.196</v>
      </c>
      <c r="F7379" t="str">
        <f t="shared" si="3113"/>
        <v>FRI</v>
      </c>
      <c r="G7379" s="3">
        <f t="shared" si="3114"/>
        <v>44232</v>
      </c>
      <c r="H7379" s="2">
        <f t="shared" ca="1" si="3115"/>
        <v>21</v>
      </c>
      <c r="I7379" t="str">
        <f t="shared" si="3116"/>
        <v>EUR/USD</v>
      </c>
      <c r="J7379">
        <f t="shared" si="3117"/>
        <v>1.196</v>
      </c>
      <c r="K7379">
        <f t="shared" si="3118"/>
        <v>1.2230000000000001</v>
      </c>
      <c r="L7379">
        <f t="shared" si="3119"/>
        <v>1.2095</v>
      </c>
      <c r="M7379">
        <f t="shared" si="3120"/>
        <v>1.3500000000000068E-2</v>
      </c>
      <c r="N7379">
        <f t="shared" si="3111"/>
        <v>2.7000000000000135E-2</v>
      </c>
      <c r="O7379">
        <f t="shared" si="3121"/>
        <v>1.196</v>
      </c>
      <c r="P7379">
        <f t="shared" si="3122"/>
        <v>-1</v>
      </c>
      <c r="Q7379" t="str">
        <f t="shared" si="3112"/>
        <v>0% | 2.26%</v>
      </c>
      <c r="R7379" t="str">
        <f t="shared" si="3123"/>
        <v>BULLISH</v>
      </c>
      <c r="S7379">
        <f t="shared" si="3124"/>
        <v>1</v>
      </c>
    </row>
    <row r="7380" spans="1:19" hidden="1" x14ac:dyDescent="0.25">
      <c r="A7380" s="5" t="str">
        <f t="shared" si="3125"/>
        <v>44232USD/JPY</v>
      </c>
      <c r="B7380" s="6" t="s">
        <v>86</v>
      </c>
      <c r="C7380" s="6">
        <v>103.35</v>
      </c>
      <c r="D7380" s="6">
        <v>105.81</v>
      </c>
      <c r="E7380" s="6">
        <v>105.54</v>
      </c>
      <c r="F7380" t="str">
        <f t="shared" si="3113"/>
        <v>FRI</v>
      </c>
      <c r="G7380" s="3">
        <f t="shared" si="3114"/>
        <v>44232</v>
      </c>
      <c r="H7380" s="2">
        <f t="shared" ca="1" si="3115"/>
        <v>21</v>
      </c>
      <c r="I7380" t="str">
        <f t="shared" si="3116"/>
        <v>USD/JPY</v>
      </c>
      <c r="J7380">
        <f t="shared" si="3117"/>
        <v>103.35</v>
      </c>
      <c r="K7380">
        <f t="shared" si="3118"/>
        <v>105.81</v>
      </c>
      <c r="L7380">
        <f t="shared" si="3119"/>
        <v>104.58</v>
      </c>
      <c r="M7380">
        <f t="shared" si="3120"/>
        <v>1.230000000000004</v>
      </c>
      <c r="N7380">
        <f t="shared" si="3111"/>
        <v>2.460000000000008</v>
      </c>
      <c r="O7380">
        <f t="shared" si="3121"/>
        <v>105.54</v>
      </c>
      <c r="P7380">
        <f t="shared" si="3122"/>
        <v>0.78048780487805269</v>
      </c>
      <c r="Q7380" t="str">
        <f t="shared" si="3112"/>
        <v>2.08% | 0.26%</v>
      </c>
      <c r="R7380" t="str">
        <f t="shared" si="3123"/>
        <v>NEUTRAL</v>
      </c>
      <c r="S7380">
        <f t="shared" si="3124"/>
        <v>0</v>
      </c>
    </row>
    <row r="7381" spans="1:19" hidden="1" x14ac:dyDescent="0.25">
      <c r="A7381" s="5" t="str">
        <f t="shared" si="3125"/>
        <v>44232GBP/USD</v>
      </c>
      <c r="B7381" s="6" t="s">
        <v>102</v>
      </c>
      <c r="C7381" s="6">
        <v>1.36</v>
      </c>
      <c r="D7381" s="6">
        <v>1.3759999999999999</v>
      </c>
      <c r="E7381" s="6">
        <v>1.367</v>
      </c>
      <c r="F7381" t="str">
        <f t="shared" si="3113"/>
        <v>FRI</v>
      </c>
      <c r="G7381" s="3">
        <f t="shared" si="3114"/>
        <v>44232</v>
      </c>
      <c r="H7381" s="2">
        <f t="shared" ca="1" si="3115"/>
        <v>21</v>
      </c>
      <c r="I7381" t="str">
        <f t="shared" si="3116"/>
        <v>GBP/USD</v>
      </c>
      <c r="J7381">
        <f t="shared" si="3117"/>
        <v>1.36</v>
      </c>
      <c r="K7381">
        <f t="shared" si="3118"/>
        <v>1.3759999999999999</v>
      </c>
      <c r="L7381">
        <f t="shared" si="3119"/>
        <v>1.3679999999999999</v>
      </c>
      <c r="M7381">
        <f t="shared" si="3120"/>
        <v>7.9999999999998961E-3</v>
      </c>
      <c r="N7381">
        <f t="shared" si="3111"/>
        <v>1.5999999999999792E-2</v>
      </c>
      <c r="O7381">
        <f t="shared" si="3121"/>
        <v>1.367</v>
      </c>
      <c r="P7381">
        <f t="shared" si="3122"/>
        <v>-0.12499999999998786</v>
      </c>
      <c r="Q7381" t="str">
        <f t="shared" si="3112"/>
        <v>0.51% | 0.66%</v>
      </c>
      <c r="R7381" t="str">
        <f t="shared" si="3123"/>
        <v>BULLISH</v>
      </c>
      <c r="S7381">
        <f t="shared" si="3124"/>
        <v>1</v>
      </c>
    </row>
    <row r="7382" spans="1:19" hidden="1" x14ac:dyDescent="0.25">
      <c r="A7382" s="5" t="str">
        <f t="shared" si="3125"/>
        <v>44232CAD/USD</v>
      </c>
      <c r="B7382" s="6" t="s">
        <v>244</v>
      </c>
      <c r="C7382" s="6">
        <v>0.77</v>
      </c>
      <c r="D7382" s="6">
        <v>0.79</v>
      </c>
      <c r="E7382" s="6">
        <v>0.78</v>
      </c>
      <c r="F7382" t="str">
        <f t="shared" si="3113"/>
        <v>FRI</v>
      </c>
      <c r="G7382" s="3">
        <f t="shared" si="3114"/>
        <v>44232</v>
      </c>
      <c r="H7382" s="2">
        <f t="shared" ca="1" si="3115"/>
        <v>21</v>
      </c>
      <c r="I7382" t="str">
        <f t="shared" si="3116"/>
        <v>CAD/USD</v>
      </c>
      <c r="J7382">
        <f t="shared" si="3117"/>
        <v>0.77</v>
      </c>
      <c r="K7382">
        <f t="shared" si="3118"/>
        <v>0.79</v>
      </c>
      <c r="L7382">
        <f t="shared" si="3119"/>
        <v>0.78</v>
      </c>
      <c r="M7382">
        <f t="shared" si="3120"/>
        <v>1.0000000000000009E-2</v>
      </c>
      <c r="N7382">
        <f t="shared" si="3111"/>
        <v>2.0000000000000018E-2</v>
      </c>
      <c r="O7382">
        <f t="shared" si="3121"/>
        <v>0.78</v>
      </c>
      <c r="P7382">
        <f t="shared" si="3122"/>
        <v>0</v>
      </c>
      <c r="Q7382" t="str">
        <f t="shared" si="3112"/>
        <v>1.28% | 1.28%</v>
      </c>
      <c r="R7382" t="str">
        <f t="shared" si="3123"/>
        <v>BULLISH</v>
      </c>
      <c r="S7382">
        <f t="shared" si="3124"/>
        <v>1</v>
      </c>
    </row>
    <row r="7383" spans="1:19" hidden="1" x14ac:dyDescent="0.25">
      <c r="A7383" s="5" t="str">
        <f t="shared" si="3125"/>
        <v>44232USD/CHF</v>
      </c>
      <c r="B7383" s="6" t="s">
        <v>76</v>
      </c>
      <c r="C7383" s="6">
        <v>0.88</v>
      </c>
      <c r="D7383" s="6">
        <v>0.9</v>
      </c>
      <c r="E7383" s="6">
        <v>0.9</v>
      </c>
      <c r="F7383" t="str">
        <f t="shared" si="3113"/>
        <v>FRI</v>
      </c>
      <c r="G7383" s="3">
        <f t="shared" si="3114"/>
        <v>44232</v>
      </c>
      <c r="H7383" s="2">
        <f t="shared" ca="1" si="3115"/>
        <v>21</v>
      </c>
      <c r="I7383" t="str">
        <f t="shared" si="3116"/>
        <v>USD/CHF</v>
      </c>
      <c r="J7383">
        <f t="shared" si="3117"/>
        <v>0.88</v>
      </c>
      <c r="K7383">
        <f t="shared" si="3118"/>
        <v>0.9</v>
      </c>
      <c r="L7383">
        <f t="shared" si="3119"/>
        <v>0.89</v>
      </c>
      <c r="M7383">
        <f t="shared" si="3120"/>
        <v>1.0000000000000009E-2</v>
      </c>
      <c r="N7383">
        <f t="shared" si="3111"/>
        <v>2.0000000000000018E-2</v>
      </c>
      <c r="O7383">
        <f t="shared" si="3121"/>
        <v>0.9</v>
      </c>
      <c r="P7383">
        <f t="shared" si="3122"/>
        <v>1</v>
      </c>
      <c r="Q7383" t="str">
        <f t="shared" si="3112"/>
        <v>2.22% | 0%</v>
      </c>
      <c r="R7383" t="str">
        <f t="shared" si="3123"/>
        <v>BEARISH</v>
      </c>
      <c r="S7383">
        <f t="shared" si="3124"/>
        <v>-1</v>
      </c>
    </row>
    <row r="7384" spans="1:19" hidden="1" x14ac:dyDescent="0.25">
      <c r="A7384" s="5" t="str">
        <f t="shared" si="3125"/>
        <v>44232WTIC</v>
      </c>
      <c r="B7384" s="6" t="s">
        <v>158</v>
      </c>
      <c r="C7384" s="6">
        <v>52.01</v>
      </c>
      <c r="D7384" s="6">
        <v>57.22</v>
      </c>
      <c r="E7384" s="6">
        <v>56.23</v>
      </c>
      <c r="F7384" t="str">
        <f t="shared" si="3113"/>
        <v>FRI</v>
      </c>
      <c r="G7384" s="3">
        <f t="shared" si="3114"/>
        <v>44232</v>
      </c>
      <c r="H7384" s="2">
        <f t="shared" ca="1" si="3115"/>
        <v>21</v>
      </c>
      <c r="I7384" t="str">
        <f t="shared" si="3116"/>
        <v>WTIC</v>
      </c>
      <c r="J7384">
        <f t="shared" si="3117"/>
        <v>52.01</v>
      </c>
      <c r="K7384">
        <f t="shared" si="3118"/>
        <v>57.22</v>
      </c>
      <c r="L7384">
        <f t="shared" si="3119"/>
        <v>54.614999999999995</v>
      </c>
      <c r="M7384">
        <f t="shared" si="3120"/>
        <v>2.6050000000000004</v>
      </c>
      <c r="N7384">
        <f t="shared" si="3111"/>
        <v>5.2100000000000009</v>
      </c>
      <c r="O7384">
        <f t="shared" si="3121"/>
        <v>56.23</v>
      </c>
      <c r="P7384">
        <f t="shared" si="3122"/>
        <v>0.61996161228406976</v>
      </c>
      <c r="Q7384" t="str">
        <f t="shared" si="3112"/>
        <v>7.5% | 1.76%</v>
      </c>
      <c r="R7384" t="str">
        <f t="shared" si="3123"/>
        <v>BULLISH</v>
      </c>
      <c r="S7384">
        <f t="shared" si="3124"/>
        <v>1</v>
      </c>
    </row>
    <row r="7385" spans="1:19" hidden="1" x14ac:dyDescent="0.25">
      <c r="A7385" s="5" t="str">
        <f t="shared" si="3125"/>
        <v>44232NATGAS</v>
      </c>
      <c r="B7385" s="6" t="s">
        <v>89</v>
      </c>
      <c r="C7385" s="6">
        <v>2.5099999999999998</v>
      </c>
      <c r="D7385" s="6">
        <v>3.07</v>
      </c>
      <c r="E7385" s="6">
        <v>2.93</v>
      </c>
      <c r="F7385" t="str">
        <f t="shared" si="3113"/>
        <v>FRI</v>
      </c>
      <c r="G7385" s="3">
        <f t="shared" si="3114"/>
        <v>44232</v>
      </c>
      <c r="H7385" s="2">
        <f t="shared" ca="1" si="3115"/>
        <v>21</v>
      </c>
      <c r="I7385" t="str">
        <f t="shared" si="3116"/>
        <v>NATGAS</v>
      </c>
      <c r="J7385">
        <f t="shared" si="3117"/>
        <v>2.5099999999999998</v>
      </c>
      <c r="K7385">
        <f t="shared" si="3118"/>
        <v>3.07</v>
      </c>
      <c r="L7385">
        <f t="shared" si="3119"/>
        <v>2.79</v>
      </c>
      <c r="M7385">
        <f t="shared" si="3120"/>
        <v>0.28000000000000003</v>
      </c>
      <c r="N7385">
        <f t="shared" si="3111"/>
        <v>0.56000000000000005</v>
      </c>
      <c r="O7385">
        <f t="shared" si="3121"/>
        <v>2.93</v>
      </c>
      <c r="P7385">
        <f t="shared" si="3122"/>
        <v>0.50000000000000044</v>
      </c>
      <c r="Q7385" t="str">
        <f t="shared" si="3112"/>
        <v>14.33% | 4.78%</v>
      </c>
      <c r="R7385" t="str">
        <f t="shared" si="3123"/>
        <v>BULLISH</v>
      </c>
      <c r="S7385">
        <f t="shared" si="3124"/>
        <v>1</v>
      </c>
    </row>
    <row r="7386" spans="1:19" hidden="1" x14ac:dyDescent="0.25">
      <c r="A7386" s="5" t="str">
        <f t="shared" si="3125"/>
        <v>44232GOLD</v>
      </c>
      <c r="B7386" s="6" t="s">
        <v>85</v>
      </c>
      <c r="C7386" s="6">
        <v>1786</v>
      </c>
      <c r="D7386" s="6">
        <v>1841</v>
      </c>
      <c r="E7386" s="6">
        <v>1791</v>
      </c>
      <c r="F7386" t="str">
        <f t="shared" si="3113"/>
        <v>FRI</v>
      </c>
      <c r="G7386" s="3">
        <f t="shared" si="3114"/>
        <v>44232</v>
      </c>
      <c r="H7386" s="2">
        <f t="shared" ca="1" si="3115"/>
        <v>21</v>
      </c>
      <c r="I7386" t="str">
        <f t="shared" si="3116"/>
        <v>GOLD</v>
      </c>
      <c r="J7386">
        <f t="shared" si="3117"/>
        <v>1786</v>
      </c>
      <c r="K7386">
        <f t="shared" si="3118"/>
        <v>1841</v>
      </c>
      <c r="L7386">
        <f t="shared" si="3119"/>
        <v>1813.5</v>
      </c>
      <c r="M7386">
        <f t="shared" si="3120"/>
        <v>27.5</v>
      </c>
      <c r="N7386">
        <f t="shared" si="3111"/>
        <v>55</v>
      </c>
      <c r="O7386">
        <f t="shared" si="3121"/>
        <v>1791</v>
      </c>
      <c r="P7386">
        <f t="shared" si="3122"/>
        <v>-0.81818181818181823</v>
      </c>
      <c r="Q7386" t="str">
        <f t="shared" si="3112"/>
        <v>0.28% | 2.79%</v>
      </c>
      <c r="R7386" t="str">
        <f t="shared" si="3123"/>
        <v>BEARISH</v>
      </c>
      <c r="S7386">
        <f t="shared" si="3124"/>
        <v>-1</v>
      </c>
    </row>
    <row r="7387" spans="1:19" hidden="1" x14ac:dyDescent="0.25">
      <c r="A7387" s="5" t="str">
        <f t="shared" si="3125"/>
        <v>44232COPPER</v>
      </c>
      <c r="B7387" s="6" t="s">
        <v>100</v>
      </c>
      <c r="C7387" s="6">
        <v>3.51</v>
      </c>
      <c r="D7387" s="6">
        <v>3.68</v>
      </c>
      <c r="E7387" s="6">
        <v>3.55</v>
      </c>
      <c r="F7387" t="str">
        <f t="shared" si="3113"/>
        <v>FRI</v>
      </c>
      <c r="G7387" s="3">
        <f t="shared" si="3114"/>
        <v>44232</v>
      </c>
      <c r="H7387" s="2">
        <f t="shared" ca="1" si="3115"/>
        <v>21</v>
      </c>
      <c r="I7387" t="str">
        <f t="shared" si="3116"/>
        <v>COPPER</v>
      </c>
      <c r="J7387">
        <f t="shared" si="3117"/>
        <v>3.51</v>
      </c>
      <c r="K7387">
        <f t="shared" si="3118"/>
        <v>3.68</v>
      </c>
      <c r="L7387">
        <f t="shared" si="3119"/>
        <v>3.5949999999999998</v>
      </c>
      <c r="M7387">
        <f t="shared" si="3120"/>
        <v>8.5000000000000187E-2</v>
      </c>
      <c r="N7387">
        <f t="shared" si="3111"/>
        <v>0.17000000000000037</v>
      </c>
      <c r="O7387">
        <f t="shared" si="3121"/>
        <v>3.55</v>
      </c>
      <c r="P7387">
        <f t="shared" si="3122"/>
        <v>-0.52941176470588036</v>
      </c>
      <c r="Q7387" t="str">
        <f t="shared" si="3112"/>
        <v>1.13% | 3.66%</v>
      </c>
      <c r="R7387" t="str">
        <f t="shared" si="3123"/>
        <v>BULLISH</v>
      </c>
      <c r="S7387">
        <f t="shared" si="3124"/>
        <v>1</v>
      </c>
    </row>
    <row r="7388" spans="1:19" hidden="1" x14ac:dyDescent="0.25">
      <c r="A7388" s="5" t="str">
        <f t="shared" si="3125"/>
        <v>44232SILVER</v>
      </c>
      <c r="B7388" s="6" t="s">
        <v>195</v>
      </c>
      <c r="C7388" s="6">
        <v>25.26</v>
      </c>
      <c r="D7388" s="6">
        <v>28.92</v>
      </c>
      <c r="E7388" s="6">
        <v>26.23</v>
      </c>
      <c r="F7388" t="str">
        <f t="shared" si="3113"/>
        <v>FRI</v>
      </c>
      <c r="G7388" s="3">
        <f t="shared" si="3114"/>
        <v>44232</v>
      </c>
      <c r="H7388" s="2">
        <f t="shared" ca="1" si="3115"/>
        <v>21</v>
      </c>
      <c r="I7388" t="str">
        <f t="shared" si="3116"/>
        <v>SILVER</v>
      </c>
      <c r="J7388">
        <f t="shared" si="3117"/>
        <v>25.26</v>
      </c>
      <c r="K7388">
        <f t="shared" si="3118"/>
        <v>28.92</v>
      </c>
      <c r="L7388">
        <f t="shared" si="3119"/>
        <v>27.090000000000003</v>
      </c>
      <c r="M7388">
        <f t="shared" si="3120"/>
        <v>1.83</v>
      </c>
      <c r="N7388">
        <f t="shared" si="3111"/>
        <v>3.66</v>
      </c>
      <c r="O7388">
        <f t="shared" si="3121"/>
        <v>26.23</v>
      </c>
      <c r="P7388">
        <f t="shared" si="3122"/>
        <v>-0.46994535519125846</v>
      </c>
      <c r="Q7388" t="str">
        <f t="shared" si="3112"/>
        <v>3.7% | 10.26%</v>
      </c>
      <c r="R7388" t="str">
        <f t="shared" si="3123"/>
        <v>BULLISH</v>
      </c>
      <c r="S7388">
        <f t="shared" si="3124"/>
        <v>1</v>
      </c>
    </row>
    <row r="7389" spans="1:19" hidden="1" x14ac:dyDescent="0.25">
      <c r="A7389" s="5" t="str">
        <f t="shared" si="3125"/>
        <v>44232MSFT</v>
      </c>
      <c r="B7389" s="6" t="s">
        <v>27</v>
      </c>
      <c r="C7389" s="6">
        <v>235</v>
      </c>
      <c r="D7389" s="6">
        <v>247</v>
      </c>
      <c r="E7389" s="6">
        <v>242</v>
      </c>
      <c r="F7389" t="str">
        <f t="shared" si="3113"/>
        <v>FRI</v>
      </c>
      <c r="G7389" s="3">
        <f t="shared" si="3114"/>
        <v>44232</v>
      </c>
      <c r="H7389" s="2">
        <f t="shared" ca="1" si="3115"/>
        <v>21</v>
      </c>
      <c r="I7389" t="str">
        <f t="shared" si="3116"/>
        <v>MSFT</v>
      </c>
      <c r="J7389">
        <f t="shared" si="3117"/>
        <v>235</v>
      </c>
      <c r="K7389">
        <f t="shared" si="3118"/>
        <v>247</v>
      </c>
      <c r="L7389">
        <f t="shared" si="3119"/>
        <v>241</v>
      </c>
      <c r="M7389">
        <f t="shared" si="3120"/>
        <v>6</v>
      </c>
      <c r="N7389">
        <f t="shared" si="3111"/>
        <v>12</v>
      </c>
      <c r="O7389">
        <f t="shared" si="3121"/>
        <v>242</v>
      </c>
      <c r="P7389">
        <f t="shared" si="3122"/>
        <v>0.16666666666666666</v>
      </c>
      <c r="Q7389" t="str">
        <f t="shared" si="3112"/>
        <v>2.89% | 2.07%</v>
      </c>
      <c r="R7389" t="str">
        <f t="shared" si="3123"/>
        <v>BULLISH</v>
      </c>
      <c r="S7389">
        <f t="shared" si="3124"/>
        <v>1</v>
      </c>
    </row>
    <row r="7390" spans="1:19" hidden="1" x14ac:dyDescent="0.25">
      <c r="A7390" s="5" t="str">
        <f t="shared" si="3125"/>
        <v>44232AAPL</v>
      </c>
      <c r="B7390" s="6" t="s">
        <v>28</v>
      </c>
      <c r="C7390" s="6">
        <v>132</v>
      </c>
      <c r="D7390" s="6">
        <v>146</v>
      </c>
      <c r="E7390" s="6">
        <v>137</v>
      </c>
      <c r="F7390" t="str">
        <f t="shared" si="3113"/>
        <v>FRI</v>
      </c>
      <c r="G7390" s="3">
        <f t="shared" si="3114"/>
        <v>44232</v>
      </c>
      <c r="H7390" s="2">
        <f t="shared" ca="1" si="3115"/>
        <v>21</v>
      </c>
      <c r="I7390" t="str">
        <f t="shared" si="3116"/>
        <v>AAPL</v>
      </c>
      <c r="J7390">
        <f t="shared" si="3117"/>
        <v>132</v>
      </c>
      <c r="K7390">
        <f t="shared" si="3118"/>
        <v>146</v>
      </c>
      <c r="L7390">
        <f t="shared" si="3119"/>
        <v>139</v>
      </c>
      <c r="M7390">
        <f t="shared" si="3120"/>
        <v>7</v>
      </c>
      <c r="N7390">
        <f t="shared" si="3111"/>
        <v>14</v>
      </c>
      <c r="O7390">
        <f t="shared" si="3121"/>
        <v>137</v>
      </c>
      <c r="P7390">
        <f t="shared" si="3122"/>
        <v>-0.2857142857142857</v>
      </c>
      <c r="Q7390" t="str">
        <f t="shared" si="3112"/>
        <v>3.65% | 6.57%</v>
      </c>
      <c r="R7390" t="str">
        <f t="shared" si="3123"/>
        <v>BULLISH</v>
      </c>
      <c r="S7390">
        <f t="shared" si="3124"/>
        <v>1</v>
      </c>
    </row>
    <row r="7391" spans="1:19" hidden="1" x14ac:dyDescent="0.25">
      <c r="A7391" s="5" t="str">
        <f t="shared" si="3125"/>
        <v>44232AMZN</v>
      </c>
      <c r="B7391" s="6" t="s">
        <v>29</v>
      </c>
      <c r="C7391" s="6">
        <v>3245</v>
      </c>
      <c r="D7391" s="6">
        <v>3407</v>
      </c>
      <c r="E7391" s="6">
        <v>3331</v>
      </c>
      <c r="F7391" t="str">
        <f t="shared" si="3113"/>
        <v>FRI</v>
      </c>
      <c r="G7391" s="3">
        <f t="shared" si="3114"/>
        <v>44232</v>
      </c>
      <c r="H7391" s="2">
        <f t="shared" ca="1" si="3115"/>
        <v>21</v>
      </c>
      <c r="I7391" t="str">
        <f t="shared" si="3116"/>
        <v>AMZN</v>
      </c>
      <c r="J7391">
        <f t="shared" si="3117"/>
        <v>3245</v>
      </c>
      <c r="K7391">
        <f t="shared" si="3118"/>
        <v>3407</v>
      </c>
      <c r="L7391">
        <f t="shared" si="3119"/>
        <v>3326</v>
      </c>
      <c r="M7391">
        <f t="shared" si="3120"/>
        <v>81</v>
      </c>
      <c r="N7391">
        <f t="shared" si="3111"/>
        <v>162</v>
      </c>
      <c r="O7391">
        <f t="shared" si="3121"/>
        <v>3331</v>
      </c>
      <c r="P7391">
        <f t="shared" si="3122"/>
        <v>6.1728395061728392E-2</v>
      </c>
      <c r="Q7391" t="str">
        <f t="shared" si="3112"/>
        <v>2.58% | 2.28%</v>
      </c>
      <c r="R7391" t="str">
        <f t="shared" si="3123"/>
        <v>BULLISH</v>
      </c>
      <c r="S7391">
        <f t="shared" si="3124"/>
        <v>1</v>
      </c>
    </row>
    <row r="7392" spans="1:19" hidden="1" x14ac:dyDescent="0.25">
      <c r="A7392" s="5" t="str">
        <f t="shared" si="3125"/>
        <v>44232FB</v>
      </c>
      <c r="B7392" s="6" t="s">
        <v>157</v>
      </c>
      <c r="C7392" s="6">
        <v>254</v>
      </c>
      <c r="D7392" s="6">
        <v>284</v>
      </c>
      <c r="E7392" s="6">
        <v>266</v>
      </c>
      <c r="F7392" t="str">
        <f t="shared" si="3113"/>
        <v>FRI</v>
      </c>
      <c r="G7392" s="3">
        <f t="shared" si="3114"/>
        <v>44232</v>
      </c>
      <c r="H7392" s="2">
        <f t="shared" ca="1" si="3115"/>
        <v>21</v>
      </c>
      <c r="I7392" t="str">
        <f t="shared" si="3116"/>
        <v>FB</v>
      </c>
      <c r="J7392">
        <f t="shared" si="3117"/>
        <v>254</v>
      </c>
      <c r="K7392">
        <f t="shared" si="3118"/>
        <v>284</v>
      </c>
      <c r="L7392">
        <f t="shared" si="3119"/>
        <v>269</v>
      </c>
      <c r="M7392">
        <f t="shared" si="3120"/>
        <v>15</v>
      </c>
      <c r="N7392">
        <f t="shared" si="3111"/>
        <v>30</v>
      </c>
      <c r="O7392">
        <f t="shared" si="3121"/>
        <v>266</v>
      </c>
      <c r="P7392">
        <f t="shared" si="3122"/>
        <v>-0.2</v>
      </c>
      <c r="Q7392" t="str">
        <f t="shared" si="3112"/>
        <v>4.51% | 6.77%</v>
      </c>
      <c r="R7392" t="str">
        <f t="shared" si="3123"/>
        <v>NEUTRAL</v>
      </c>
      <c r="S7392">
        <f t="shared" si="3124"/>
        <v>0</v>
      </c>
    </row>
    <row r="7393" spans="1:19" hidden="1" x14ac:dyDescent="0.25">
      <c r="A7393" s="5" t="str">
        <f t="shared" si="3125"/>
        <v>44232GOOGL</v>
      </c>
      <c r="B7393" s="6" t="s">
        <v>31</v>
      </c>
      <c r="C7393" s="6">
        <v>1915</v>
      </c>
      <c r="D7393" s="6">
        <v>2081</v>
      </c>
      <c r="E7393" s="6">
        <v>2053</v>
      </c>
      <c r="F7393" t="str">
        <f t="shared" si="3113"/>
        <v>FRI</v>
      </c>
      <c r="G7393" s="3">
        <f t="shared" si="3114"/>
        <v>44232</v>
      </c>
      <c r="H7393" s="2">
        <f t="shared" ca="1" si="3115"/>
        <v>21</v>
      </c>
      <c r="I7393" t="str">
        <f t="shared" si="3116"/>
        <v>GOOGL</v>
      </c>
      <c r="J7393">
        <f t="shared" si="3117"/>
        <v>1915</v>
      </c>
      <c r="K7393">
        <f t="shared" si="3118"/>
        <v>2081</v>
      </c>
      <c r="L7393">
        <f t="shared" si="3119"/>
        <v>1998</v>
      </c>
      <c r="M7393">
        <f t="shared" si="3120"/>
        <v>83</v>
      </c>
      <c r="N7393">
        <f t="shared" si="3111"/>
        <v>166</v>
      </c>
      <c r="O7393">
        <f t="shared" si="3121"/>
        <v>2053</v>
      </c>
      <c r="P7393">
        <f t="shared" si="3122"/>
        <v>0.66265060240963858</v>
      </c>
      <c r="Q7393" t="str">
        <f t="shared" si="3112"/>
        <v>6.72% | 1.36%</v>
      </c>
      <c r="R7393" t="str">
        <f t="shared" si="3123"/>
        <v>BULLISH</v>
      </c>
      <c r="S7393">
        <f t="shared" si="3124"/>
        <v>1</v>
      </c>
    </row>
    <row r="7394" spans="1:19" hidden="1" x14ac:dyDescent="0.25">
      <c r="A7394" s="5" t="str">
        <f t="shared" si="3125"/>
        <v>44232NFLX</v>
      </c>
      <c r="B7394" s="6" t="s">
        <v>32</v>
      </c>
      <c r="C7394" s="6">
        <v>521</v>
      </c>
      <c r="D7394" s="6">
        <v>571</v>
      </c>
      <c r="E7394" s="6">
        <v>552</v>
      </c>
      <c r="F7394" t="str">
        <f t="shared" si="3113"/>
        <v>FRI</v>
      </c>
      <c r="G7394" s="3">
        <f t="shared" si="3114"/>
        <v>44232</v>
      </c>
      <c r="H7394" s="2">
        <f t="shared" ca="1" si="3115"/>
        <v>21</v>
      </c>
      <c r="I7394" t="str">
        <f t="shared" si="3116"/>
        <v>NFLX</v>
      </c>
      <c r="J7394">
        <f t="shared" si="3117"/>
        <v>521</v>
      </c>
      <c r="K7394">
        <f t="shared" si="3118"/>
        <v>571</v>
      </c>
      <c r="L7394">
        <f t="shared" si="3119"/>
        <v>546</v>
      </c>
      <c r="M7394">
        <f t="shared" si="3120"/>
        <v>25</v>
      </c>
      <c r="N7394">
        <f t="shared" si="3111"/>
        <v>50</v>
      </c>
      <c r="O7394">
        <f t="shared" si="3121"/>
        <v>552</v>
      </c>
      <c r="P7394">
        <f t="shared" si="3122"/>
        <v>0.24</v>
      </c>
      <c r="Q7394" t="str">
        <f t="shared" si="3112"/>
        <v>5.62% | 3.44%</v>
      </c>
      <c r="R7394" t="str">
        <f t="shared" si="3123"/>
        <v>BULLISH</v>
      </c>
      <c r="S7394">
        <f t="shared" si="3124"/>
        <v>1</v>
      </c>
    </row>
    <row r="7395" spans="1:19" x14ac:dyDescent="0.25">
      <c r="A7395" s="5" t="str">
        <f t="shared" si="3125"/>
        <v>44232TSLA</v>
      </c>
      <c r="B7395" s="6" t="s">
        <v>33</v>
      </c>
      <c r="C7395" s="6">
        <v>797</v>
      </c>
      <c r="D7395" s="6">
        <v>909</v>
      </c>
      <c r="E7395" s="6">
        <v>849</v>
      </c>
      <c r="F7395" t="str">
        <f t="shared" si="3113"/>
        <v>FRI</v>
      </c>
      <c r="G7395" s="3">
        <f t="shared" si="3114"/>
        <v>44232</v>
      </c>
      <c r="H7395" s="2">
        <f t="shared" ca="1" si="3115"/>
        <v>21</v>
      </c>
      <c r="I7395" t="str">
        <f t="shared" si="3116"/>
        <v>TSLA</v>
      </c>
      <c r="J7395">
        <f t="shared" si="3117"/>
        <v>797</v>
      </c>
      <c r="K7395">
        <f t="shared" si="3118"/>
        <v>909</v>
      </c>
      <c r="L7395">
        <f t="shared" si="3119"/>
        <v>853</v>
      </c>
      <c r="M7395">
        <f t="shared" si="3120"/>
        <v>56</v>
      </c>
      <c r="N7395">
        <f t="shared" si="3111"/>
        <v>112</v>
      </c>
      <c r="O7395">
        <f t="shared" si="3121"/>
        <v>849</v>
      </c>
      <c r="P7395">
        <f t="shared" si="3122"/>
        <v>-7.1428571428571425E-2</v>
      </c>
      <c r="Q7395" t="str">
        <f t="shared" si="3112"/>
        <v>6.12% | 7.07%</v>
      </c>
      <c r="R7395" t="str">
        <f t="shared" si="3123"/>
        <v>BULLISH</v>
      </c>
      <c r="S7395">
        <f t="shared" si="3124"/>
        <v>1</v>
      </c>
    </row>
    <row r="7396" spans="1:19" hidden="1" x14ac:dyDescent="0.25">
      <c r="A7396" s="5" t="str">
        <f t="shared" si="3125"/>
        <v>44232NYXBT</v>
      </c>
      <c r="B7396" s="6" t="s">
        <v>60</v>
      </c>
      <c r="C7396" s="6">
        <v>32001</v>
      </c>
      <c r="D7396" s="6">
        <v>38990</v>
      </c>
      <c r="E7396" s="6">
        <v>36537</v>
      </c>
      <c r="F7396" t="str">
        <f t="shared" si="3113"/>
        <v>FRI</v>
      </c>
      <c r="G7396" s="3">
        <f t="shared" si="3114"/>
        <v>44232</v>
      </c>
      <c r="H7396" s="2">
        <f t="shared" ca="1" si="3115"/>
        <v>21</v>
      </c>
      <c r="I7396" t="str">
        <f t="shared" si="3116"/>
        <v>NYXBT</v>
      </c>
      <c r="J7396">
        <f t="shared" si="3117"/>
        <v>32001</v>
      </c>
      <c r="K7396">
        <f t="shared" si="3118"/>
        <v>38990</v>
      </c>
      <c r="L7396">
        <f t="shared" si="3119"/>
        <v>35495.5</v>
      </c>
      <c r="M7396">
        <f t="shared" si="3120"/>
        <v>3494.5</v>
      </c>
      <c r="N7396">
        <f t="shared" si="3111"/>
        <v>6989</v>
      </c>
      <c r="O7396">
        <f t="shared" si="3121"/>
        <v>36537</v>
      </c>
      <c r="P7396">
        <f t="shared" si="3122"/>
        <v>0.29803977679210186</v>
      </c>
      <c r="Q7396" t="str">
        <f t="shared" si="3112"/>
        <v>12.41% | 6.71%</v>
      </c>
      <c r="R7396" t="str">
        <f t="shared" si="3123"/>
        <v>BULLISH</v>
      </c>
      <c r="S7396">
        <f t="shared" si="3124"/>
        <v>1</v>
      </c>
    </row>
    <row r="7397" spans="1:19" hidden="1" x14ac:dyDescent="0.25">
      <c r="A7397" s="5" t="str">
        <f t="shared" si="3125"/>
        <v>44232GME</v>
      </c>
      <c r="B7397" s="6" t="s">
        <v>260</v>
      </c>
      <c r="C7397" s="6">
        <v>43.01</v>
      </c>
      <c r="D7397" s="6">
        <v>171.42</v>
      </c>
      <c r="E7397" s="6">
        <v>53.5</v>
      </c>
      <c r="F7397" t="str">
        <f t="shared" si="3113"/>
        <v>FRI</v>
      </c>
      <c r="G7397" s="3">
        <f t="shared" si="3114"/>
        <v>44232</v>
      </c>
      <c r="H7397" s="2">
        <f t="shared" ca="1" si="3115"/>
        <v>21</v>
      </c>
      <c r="I7397" t="str">
        <f t="shared" si="3116"/>
        <v>GME</v>
      </c>
      <c r="J7397">
        <f t="shared" si="3117"/>
        <v>43.01</v>
      </c>
      <c r="K7397">
        <f t="shared" si="3118"/>
        <v>171.42</v>
      </c>
      <c r="L7397">
        <f t="shared" si="3119"/>
        <v>107.21499999999999</v>
      </c>
      <c r="M7397">
        <f t="shared" si="3120"/>
        <v>64.204999999999984</v>
      </c>
      <c r="N7397">
        <f t="shared" si="3111"/>
        <v>128.41</v>
      </c>
      <c r="O7397">
        <f t="shared" si="3121"/>
        <v>53.5</v>
      </c>
      <c r="P7397">
        <f t="shared" si="3122"/>
        <v>-0.836617085896737</v>
      </c>
      <c r="Q7397" t="str">
        <f t="shared" si="3112"/>
        <v>19.61% | 220.41%</v>
      </c>
      <c r="R7397" t="str">
        <f t="shared" si="3123"/>
        <v>BULLISH</v>
      </c>
      <c r="S7397">
        <f t="shared" si="3124"/>
        <v>1</v>
      </c>
    </row>
    <row r="7398" spans="1:19" hidden="1" x14ac:dyDescent="0.25">
      <c r="A7398" s="5" t="str">
        <f t="shared" si="3125"/>
        <v>44235UST10Y</v>
      </c>
      <c r="B7398" s="6" t="s">
        <v>257</v>
      </c>
      <c r="C7398" s="6">
        <v>1.21</v>
      </c>
      <c r="D7398" s="6">
        <v>1.07</v>
      </c>
      <c r="E7398" s="6">
        <v>1.19</v>
      </c>
      <c r="F7398" t="str">
        <f t="shared" si="3113"/>
        <v>MON</v>
      </c>
      <c r="G7398" s="1">
        <f>DATE(2021,2,8)</f>
        <v>44235</v>
      </c>
      <c r="H7398" s="2">
        <f t="shared" ca="1" si="3115"/>
        <v>18</v>
      </c>
      <c r="I7398" t="str">
        <f t="shared" si="3116"/>
        <v>UST10Y</v>
      </c>
      <c r="J7398">
        <f t="shared" si="3117"/>
        <v>1.21</v>
      </c>
      <c r="K7398">
        <f t="shared" si="3118"/>
        <v>1.07</v>
      </c>
      <c r="L7398">
        <f t="shared" si="3119"/>
        <v>1.1400000000000001</v>
      </c>
      <c r="M7398">
        <f t="shared" si="3120"/>
        <v>6.9999999999999951E-2</v>
      </c>
      <c r="N7398">
        <f t="shared" si="3111"/>
        <v>0.1399999999999999</v>
      </c>
      <c r="O7398">
        <f t="shared" si="3121"/>
        <v>1.19</v>
      </c>
      <c r="P7398">
        <f t="shared" si="3122"/>
        <v>0.71428571428571219</v>
      </c>
      <c r="Q7398" t="str">
        <f t="shared" si="3112"/>
        <v>1.68% | 10.08%</v>
      </c>
      <c r="R7398" t="str">
        <f t="shared" si="3123"/>
        <v>BULLISH</v>
      </c>
      <c r="S7398">
        <f t="shared" si="3124"/>
        <v>1</v>
      </c>
    </row>
    <row r="7399" spans="1:19" hidden="1" x14ac:dyDescent="0.25">
      <c r="A7399" s="5" t="str">
        <f t="shared" si="3125"/>
        <v>44235UST2Y</v>
      </c>
      <c r="B7399" s="6" t="s">
        <v>5</v>
      </c>
      <c r="C7399" s="6">
        <v>0.13</v>
      </c>
      <c r="D7399" s="6">
        <v>0.09</v>
      </c>
      <c r="E7399" s="6">
        <v>0.09</v>
      </c>
      <c r="F7399" t="str">
        <f t="shared" ref="F7399:F7430" si="3126">UPPER(TEXT(G7399,"ddd"))</f>
        <v>MON</v>
      </c>
      <c r="G7399" s="1">
        <f t="shared" ref="G7399:G7429" si="3127">DATE(2021,2,8)</f>
        <v>44235</v>
      </c>
      <c r="H7399" s="2">
        <f t="shared" ref="H7399:H7430" ca="1" si="3128">TODAY()-G7399</f>
        <v>18</v>
      </c>
      <c r="I7399" t="str">
        <f t="shared" ref="I7399:I7430" si="3129">TRIM(LEFT(B7399,FIND(" ",B7399,1)))</f>
        <v>UST2Y</v>
      </c>
      <c r="J7399">
        <f t="shared" ref="J7399:J7430" si="3130">C7399</f>
        <v>0.13</v>
      </c>
      <c r="K7399">
        <f t="shared" ref="K7399:K7430" si="3131">D7399</f>
        <v>0.09</v>
      </c>
      <c r="L7399">
        <f t="shared" ref="L7399:L7430" si="3132">AVERAGE(J7399:K7399)</f>
        <v>0.11</v>
      </c>
      <c r="M7399">
        <f t="shared" ref="M7399:M7430" si="3133">_xlfn.STDEV.P(J7399:K7399)</f>
        <v>2.0000000000000025E-2</v>
      </c>
      <c r="N7399">
        <f t="shared" si="3111"/>
        <v>4.0000000000000008E-2</v>
      </c>
      <c r="O7399">
        <f t="shared" ref="O7399:O7430" si="3134">E7399</f>
        <v>0.09</v>
      </c>
      <c r="P7399">
        <f t="shared" ref="P7399:P7430" si="3135">(O7399-L7399)/M7399</f>
        <v>-0.999999999999999</v>
      </c>
      <c r="Q7399" t="str">
        <f t="shared" si="3112"/>
        <v>44.44% | 0%</v>
      </c>
      <c r="R7399" t="str">
        <f t="shared" ref="R7399:R7430" si="3136">MID(B7399,FIND("(",B7399,1)+1,FIND(")",B7399,1)-FIND("(",B7399,1)-1)</f>
        <v>BEARISH</v>
      </c>
      <c r="S7399">
        <f t="shared" ref="S7399:S7430" si="3137">IF(R7399="BEARISH",-1,IF(R7399="NEUTRAL",0,IF(R7399="BULLISH",1,99)))</f>
        <v>-1</v>
      </c>
    </row>
    <row r="7400" spans="1:19" hidden="1" x14ac:dyDescent="0.25">
      <c r="A7400" s="5" t="str">
        <f t="shared" si="3125"/>
        <v>44235SPX</v>
      </c>
      <c r="B7400" s="6" t="s">
        <v>93</v>
      </c>
      <c r="C7400" s="6">
        <v>3790</v>
      </c>
      <c r="D7400" s="6">
        <v>3920</v>
      </c>
      <c r="E7400" s="6">
        <v>3886</v>
      </c>
      <c r="F7400" t="str">
        <f t="shared" si="3126"/>
        <v>MON</v>
      </c>
      <c r="G7400" s="1">
        <f t="shared" si="3127"/>
        <v>44235</v>
      </c>
      <c r="H7400" s="2">
        <f t="shared" ca="1" si="3128"/>
        <v>18</v>
      </c>
      <c r="I7400" t="str">
        <f t="shared" si="3129"/>
        <v>SPX</v>
      </c>
      <c r="J7400">
        <f t="shared" si="3130"/>
        <v>3790</v>
      </c>
      <c r="K7400">
        <f t="shared" si="3131"/>
        <v>3920</v>
      </c>
      <c r="L7400">
        <f t="shared" si="3132"/>
        <v>3855</v>
      </c>
      <c r="M7400">
        <f t="shared" si="3133"/>
        <v>65</v>
      </c>
      <c r="N7400">
        <f t="shared" si="3111"/>
        <v>130</v>
      </c>
      <c r="O7400">
        <f t="shared" si="3134"/>
        <v>3886</v>
      </c>
      <c r="P7400">
        <f t="shared" si="3135"/>
        <v>0.47692307692307695</v>
      </c>
      <c r="Q7400" t="str">
        <f t="shared" si="3112"/>
        <v>2.47% | 0.87%</v>
      </c>
      <c r="R7400" t="str">
        <f t="shared" si="3136"/>
        <v>BULLISH</v>
      </c>
      <c r="S7400">
        <f t="shared" si="3137"/>
        <v>1</v>
      </c>
    </row>
    <row r="7401" spans="1:19" hidden="1" x14ac:dyDescent="0.25">
      <c r="A7401" s="5" t="str">
        <f t="shared" si="3125"/>
        <v>44235RUT</v>
      </c>
      <c r="B7401" s="6" t="s">
        <v>247</v>
      </c>
      <c r="C7401" s="6">
        <v>2133</v>
      </c>
      <c r="D7401" s="6">
        <v>2247</v>
      </c>
      <c r="E7401" s="6">
        <v>2233</v>
      </c>
      <c r="F7401" t="str">
        <f t="shared" si="3126"/>
        <v>MON</v>
      </c>
      <c r="G7401" s="1">
        <f t="shared" si="3127"/>
        <v>44235</v>
      </c>
      <c r="H7401" s="2">
        <f t="shared" ca="1" si="3128"/>
        <v>18</v>
      </c>
      <c r="I7401" t="str">
        <f t="shared" si="3129"/>
        <v>RUT</v>
      </c>
      <c r="J7401">
        <f t="shared" si="3130"/>
        <v>2133</v>
      </c>
      <c r="K7401">
        <f t="shared" si="3131"/>
        <v>2247</v>
      </c>
      <c r="L7401">
        <f t="shared" si="3132"/>
        <v>2190</v>
      </c>
      <c r="M7401">
        <f t="shared" si="3133"/>
        <v>57</v>
      </c>
      <c r="N7401">
        <f t="shared" si="3111"/>
        <v>114</v>
      </c>
      <c r="O7401">
        <f t="shared" si="3134"/>
        <v>2233</v>
      </c>
      <c r="P7401">
        <f t="shared" si="3135"/>
        <v>0.75438596491228072</v>
      </c>
      <c r="Q7401" t="str">
        <f t="shared" si="3112"/>
        <v>4.48% | 0.63%</v>
      </c>
      <c r="R7401" t="str">
        <f t="shared" si="3136"/>
        <v>BULLISH</v>
      </c>
      <c r="S7401">
        <f t="shared" si="3137"/>
        <v>1</v>
      </c>
    </row>
    <row r="7402" spans="1:19" hidden="1" x14ac:dyDescent="0.25">
      <c r="A7402" s="5" t="str">
        <f t="shared" si="3125"/>
        <v>44235COMPQ</v>
      </c>
      <c r="B7402" s="6" t="s">
        <v>8</v>
      </c>
      <c r="C7402" s="6">
        <v>13260</v>
      </c>
      <c r="D7402" s="6">
        <v>13996</v>
      </c>
      <c r="E7402" s="6">
        <v>13856</v>
      </c>
      <c r="F7402" t="str">
        <f t="shared" si="3126"/>
        <v>MON</v>
      </c>
      <c r="G7402" s="1">
        <f t="shared" si="3127"/>
        <v>44235</v>
      </c>
      <c r="H7402" s="2">
        <f t="shared" ca="1" si="3128"/>
        <v>18</v>
      </c>
      <c r="I7402" t="str">
        <f t="shared" si="3129"/>
        <v>COMPQ</v>
      </c>
      <c r="J7402">
        <f t="shared" si="3130"/>
        <v>13260</v>
      </c>
      <c r="K7402">
        <f t="shared" si="3131"/>
        <v>13996</v>
      </c>
      <c r="L7402">
        <f t="shared" si="3132"/>
        <v>13628</v>
      </c>
      <c r="M7402">
        <f t="shared" si="3133"/>
        <v>368</v>
      </c>
      <c r="N7402">
        <f t="shared" si="3111"/>
        <v>736</v>
      </c>
      <c r="O7402">
        <f t="shared" si="3134"/>
        <v>13856</v>
      </c>
      <c r="P7402">
        <f t="shared" si="3135"/>
        <v>0.61956521739130432</v>
      </c>
      <c r="Q7402" t="str">
        <f t="shared" si="3112"/>
        <v>4.3% | 1.01%</v>
      </c>
      <c r="R7402" t="str">
        <f t="shared" si="3136"/>
        <v>BULLISH</v>
      </c>
      <c r="S7402">
        <f t="shared" si="3137"/>
        <v>1</v>
      </c>
    </row>
    <row r="7403" spans="1:19" hidden="1" x14ac:dyDescent="0.25">
      <c r="A7403" s="5" t="str">
        <f t="shared" si="3125"/>
        <v>44235XLK</v>
      </c>
      <c r="B7403" s="6" t="s">
        <v>10</v>
      </c>
      <c r="C7403" s="6">
        <v>131.1</v>
      </c>
      <c r="D7403" s="6">
        <v>136.97</v>
      </c>
      <c r="E7403" s="6">
        <v>135.32</v>
      </c>
      <c r="F7403" t="str">
        <f t="shared" si="3126"/>
        <v>MON</v>
      </c>
      <c r="G7403" s="1">
        <f t="shared" si="3127"/>
        <v>44235</v>
      </c>
      <c r="H7403" s="2">
        <f t="shared" ca="1" si="3128"/>
        <v>18</v>
      </c>
      <c r="I7403" t="str">
        <f t="shared" si="3129"/>
        <v>XLK</v>
      </c>
      <c r="J7403">
        <f t="shared" si="3130"/>
        <v>131.1</v>
      </c>
      <c r="K7403">
        <f t="shared" si="3131"/>
        <v>136.97</v>
      </c>
      <c r="L7403">
        <f t="shared" si="3132"/>
        <v>134.035</v>
      </c>
      <c r="M7403">
        <f t="shared" si="3133"/>
        <v>2.9350000000000023</v>
      </c>
      <c r="N7403">
        <f t="shared" si="3111"/>
        <v>5.8700000000000045</v>
      </c>
      <c r="O7403">
        <f t="shared" si="3134"/>
        <v>135.32</v>
      </c>
      <c r="P7403">
        <f t="shared" si="3135"/>
        <v>0.43781942078364416</v>
      </c>
      <c r="Q7403" t="str">
        <f t="shared" si="3112"/>
        <v>3.12% | 1.22%</v>
      </c>
      <c r="R7403" t="str">
        <f t="shared" si="3136"/>
        <v>BULLISH</v>
      </c>
      <c r="S7403">
        <f t="shared" si="3137"/>
        <v>1</v>
      </c>
    </row>
    <row r="7404" spans="1:19" hidden="1" x14ac:dyDescent="0.25">
      <c r="A7404" s="5" t="str">
        <f t="shared" si="3125"/>
        <v>44235XLE</v>
      </c>
      <c r="B7404" s="6" t="s">
        <v>250</v>
      </c>
      <c r="C7404" s="6">
        <v>38.69</v>
      </c>
      <c r="D7404" s="6">
        <v>43.95</v>
      </c>
      <c r="E7404" s="6">
        <v>42.56</v>
      </c>
      <c r="F7404" t="str">
        <f t="shared" si="3126"/>
        <v>MON</v>
      </c>
      <c r="G7404" s="1">
        <f t="shared" si="3127"/>
        <v>44235</v>
      </c>
      <c r="H7404" s="2">
        <f t="shared" ca="1" si="3128"/>
        <v>18</v>
      </c>
      <c r="I7404" t="str">
        <f t="shared" si="3129"/>
        <v>XLE</v>
      </c>
      <c r="J7404">
        <f t="shared" si="3130"/>
        <v>38.69</v>
      </c>
      <c r="K7404">
        <f t="shared" si="3131"/>
        <v>43.95</v>
      </c>
      <c r="L7404">
        <f t="shared" si="3132"/>
        <v>41.32</v>
      </c>
      <c r="M7404">
        <f t="shared" si="3133"/>
        <v>2.6300000000000026</v>
      </c>
      <c r="N7404">
        <f t="shared" si="3111"/>
        <v>5.2600000000000051</v>
      </c>
      <c r="O7404">
        <f t="shared" si="3134"/>
        <v>42.56</v>
      </c>
      <c r="P7404">
        <f t="shared" si="3135"/>
        <v>0.47148288973384062</v>
      </c>
      <c r="Q7404" t="str">
        <f t="shared" si="3112"/>
        <v>9.09% | 3.27%</v>
      </c>
      <c r="R7404" t="str">
        <f t="shared" si="3136"/>
        <v>BULLISH</v>
      </c>
      <c r="S7404">
        <f t="shared" si="3137"/>
        <v>1</v>
      </c>
    </row>
    <row r="7405" spans="1:19" hidden="1" x14ac:dyDescent="0.25">
      <c r="A7405" s="5" t="str">
        <f t="shared" si="3125"/>
        <v>44235XLU</v>
      </c>
      <c r="B7405" s="6" t="s">
        <v>82</v>
      </c>
      <c r="C7405" s="6">
        <v>61.4</v>
      </c>
      <c r="D7405" s="6">
        <v>64.02</v>
      </c>
      <c r="E7405" s="6">
        <v>63.59</v>
      </c>
      <c r="F7405" t="str">
        <f t="shared" si="3126"/>
        <v>MON</v>
      </c>
      <c r="G7405" s="1">
        <f t="shared" si="3127"/>
        <v>44235</v>
      </c>
      <c r="H7405" s="2">
        <f t="shared" ca="1" si="3128"/>
        <v>18</v>
      </c>
      <c r="I7405" t="str">
        <f t="shared" si="3129"/>
        <v>XLU</v>
      </c>
      <c r="J7405">
        <f t="shared" si="3130"/>
        <v>61.4</v>
      </c>
      <c r="K7405">
        <f t="shared" si="3131"/>
        <v>64.02</v>
      </c>
      <c r="L7405">
        <f t="shared" si="3132"/>
        <v>62.709999999999994</v>
      </c>
      <c r="M7405">
        <f t="shared" si="3133"/>
        <v>1.3099999999999987</v>
      </c>
      <c r="N7405">
        <f t="shared" si="3111"/>
        <v>2.6199999999999974</v>
      </c>
      <c r="O7405">
        <f t="shared" si="3134"/>
        <v>63.59</v>
      </c>
      <c r="P7405">
        <f t="shared" si="3135"/>
        <v>0.6717557251908477</v>
      </c>
      <c r="Q7405" t="str">
        <f t="shared" si="3112"/>
        <v>3.44% | 0.68%</v>
      </c>
      <c r="R7405" t="str">
        <f t="shared" si="3136"/>
        <v>BEARISH</v>
      </c>
      <c r="S7405">
        <f t="shared" si="3137"/>
        <v>-1</v>
      </c>
    </row>
    <row r="7406" spans="1:19" hidden="1" x14ac:dyDescent="0.25">
      <c r="A7406" s="5" t="str">
        <f t="shared" si="3125"/>
        <v>44235GDX</v>
      </c>
      <c r="B7406" s="6" t="s">
        <v>254</v>
      </c>
      <c r="C7406" s="6">
        <v>33.380000000000003</v>
      </c>
      <c r="D7406" s="6">
        <v>35.700000000000003</v>
      </c>
      <c r="E7406" s="6">
        <v>34.61</v>
      </c>
      <c r="F7406" t="str">
        <f t="shared" si="3126"/>
        <v>MON</v>
      </c>
      <c r="G7406" s="1">
        <f t="shared" si="3127"/>
        <v>44235</v>
      </c>
      <c r="H7406" s="2">
        <f t="shared" ca="1" si="3128"/>
        <v>18</v>
      </c>
      <c r="I7406" t="str">
        <f t="shared" si="3129"/>
        <v>GDX</v>
      </c>
      <c r="J7406">
        <f t="shared" si="3130"/>
        <v>33.380000000000003</v>
      </c>
      <c r="K7406">
        <f t="shared" si="3131"/>
        <v>35.700000000000003</v>
      </c>
      <c r="L7406">
        <f t="shared" si="3132"/>
        <v>34.540000000000006</v>
      </c>
      <c r="M7406">
        <f t="shared" si="3133"/>
        <v>1.1600000000000001</v>
      </c>
      <c r="N7406">
        <f t="shared" si="3111"/>
        <v>2.3200000000000003</v>
      </c>
      <c r="O7406">
        <f t="shared" si="3134"/>
        <v>34.61</v>
      </c>
      <c r="P7406">
        <f t="shared" si="3135"/>
        <v>6.0344827586201008E-2</v>
      </c>
      <c r="Q7406" t="str">
        <f t="shared" si="3112"/>
        <v>3.55% | 3.15%</v>
      </c>
      <c r="R7406" t="str">
        <f t="shared" si="3136"/>
        <v>BEARISH</v>
      </c>
      <c r="S7406">
        <f t="shared" si="3137"/>
        <v>-1</v>
      </c>
    </row>
    <row r="7407" spans="1:19" hidden="1" x14ac:dyDescent="0.25">
      <c r="A7407" s="5" t="str">
        <f t="shared" si="3125"/>
        <v>44235SSEC</v>
      </c>
      <c r="B7407" s="6" t="s">
        <v>104</v>
      </c>
      <c r="C7407" s="6">
        <v>3461</v>
      </c>
      <c r="D7407" s="6">
        <v>3590</v>
      </c>
      <c r="E7407" s="6">
        <v>3532</v>
      </c>
      <c r="F7407" t="str">
        <f t="shared" si="3126"/>
        <v>MON</v>
      </c>
      <c r="G7407" s="1">
        <f t="shared" si="3127"/>
        <v>44235</v>
      </c>
      <c r="H7407" s="2">
        <f t="shared" ca="1" si="3128"/>
        <v>18</v>
      </c>
      <c r="I7407" t="str">
        <f t="shared" si="3129"/>
        <v>SSEC</v>
      </c>
      <c r="J7407">
        <f t="shared" si="3130"/>
        <v>3461</v>
      </c>
      <c r="K7407">
        <f t="shared" si="3131"/>
        <v>3590</v>
      </c>
      <c r="L7407">
        <f t="shared" si="3132"/>
        <v>3525.5</v>
      </c>
      <c r="M7407">
        <f t="shared" si="3133"/>
        <v>64.5</v>
      </c>
      <c r="N7407">
        <f t="shared" si="3111"/>
        <v>129</v>
      </c>
      <c r="O7407">
        <f t="shared" si="3134"/>
        <v>3532</v>
      </c>
      <c r="P7407">
        <f t="shared" si="3135"/>
        <v>0.10077519379844961</v>
      </c>
      <c r="Q7407" t="str">
        <f t="shared" si="3112"/>
        <v>2.01% | 1.64%</v>
      </c>
      <c r="R7407" t="str">
        <f t="shared" si="3136"/>
        <v>BULLISH</v>
      </c>
      <c r="S7407">
        <f t="shared" si="3137"/>
        <v>1</v>
      </c>
    </row>
    <row r="7408" spans="1:19" hidden="1" x14ac:dyDescent="0.25">
      <c r="A7408" s="5" t="str">
        <f t="shared" si="3125"/>
        <v>44235NIKK</v>
      </c>
      <c r="B7408" s="6" t="s">
        <v>91</v>
      </c>
      <c r="C7408" s="6">
        <v>28034</v>
      </c>
      <c r="D7408" s="6">
        <v>29501</v>
      </c>
      <c r="E7408" s="6">
        <v>29388</v>
      </c>
      <c r="F7408" t="str">
        <f t="shared" si="3126"/>
        <v>MON</v>
      </c>
      <c r="G7408" s="1">
        <f t="shared" si="3127"/>
        <v>44235</v>
      </c>
      <c r="H7408" s="2">
        <f t="shared" ca="1" si="3128"/>
        <v>18</v>
      </c>
      <c r="I7408" t="str">
        <f t="shared" si="3129"/>
        <v>NIKK</v>
      </c>
      <c r="J7408">
        <f t="shared" si="3130"/>
        <v>28034</v>
      </c>
      <c r="K7408">
        <f t="shared" si="3131"/>
        <v>29501</v>
      </c>
      <c r="L7408">
        <f t="shared" si="3132"/>
        <v>28767.5</v>
      </c>
      <c r="M7408">
        <f t="shared" si="3133"/>
        <v>733.5</v>
      </c>
      <c r="N7408">
        <f t="shared" si="3111"/>
        <v>1467</v>
      </c>
      <c r="O7408">
        <f t="shared" si="3134"/>
        <v>29388</v>
      </c>
      <c r="P7408">
        <f t="shared" si="3135"/>
        <v>0.84594410361281525</v>
      </c>
      <c r="Q7408" t="str">
        <f t="shared" si="3112"/>
        <v>4.61% | 0.38%</v>
      </c>
      <c r="R7408" t="str">
        <f t="shared" si="3136"/>
        <v>BULLISH</v>
      </c>
      <c r="S7408">
        <f t="shared" si="3137"/>
        <v>1</v>
      </c>
    </row>
    <row r="7409" spans="1:19" hidden="1" x14ac:dyDescent="0.25">
      <c r="A7409" s="5" t="str">
        <f t="shared" si="3125"/>
        <v>44235DAX</v>
      </c>
      <c r="B7409" s="6" t="s">
        <v>98</v>
      </c>
      <c r="C7409" s="6">
        <v>13502</v>
      </c>
      <c r="D7409" s="6">
        <v>14198</v>
      </c>
      <c r="E7409" s="6">
        <v>14056</v>
      </c>
      <c r="F7409" t="str">
        <f t="shared" si="3126"/>
        <v>MON</v>
      </c>
      <c r="G7409" s="1">
        <f t="shared" si="3127"/>
        <v>44235</v>
      </c>
      <c r="H7409" s="2">
        <f t="shared" ca="1" si="3128"/>
        <v>18</v>
      </c>
      <c r="I7409" t="str">
        <f t="shared" si="3129"/>
        <v>DAX</v>
      </c>
      <c r="J7409">
        <f t="shared" si="3130"/>
        <v>13502</v>
      </c>
      <c r="K7409">
        <f t="shared" si="3131"/>
        <v>14198</v>
      </c>
      <c r="L7409">
        <f t="shared" si="3132"/>
        <v>13850</v>
      </c>
      <c r="M7409">
        <f t="shared" si="3133"/>
        <v>348</v>
      </c>
      <c r="N7409">
        <f t="shared" si="3111"/>
        <v>696</v>
      </c>
      <c r="O7409">
        <f t="shared" si="3134"/>
        <v>14056</v>
      </c>
      <c r="P7409">
        <f t="shared" si="3135"/>
        <v>0.59195402298850575</v>
      </c>
      <c r="Q7409" t="str">
        <f t="shared" si="3112"/>
        <v>3.94% | 1.01%</v>
      </c>
      <c r="R7409" t="str">
        <f t="shared" si="3136"/>
        <v>BULLISH</v>
      </c>
      <c r="S7409">
        <f t="shared" si="3137"/>
        <v>1</v>
      </c>
    </row>
    <row r="7410" spans="1:19" hidden="1" x14ac:dyDescent="0.25">
      <c r="A7410" s="5" t="str">
        <f t="shared" si="3125"/>
        <v>44235VIX</v>
      </c>
      <c r="B7410" s="6" t="s">
        <v>96</v>
      </c>
      <c r="C7410" s="6">
        <v>17.43</v>
      </c>
      <c r="D7410" s="6">
        <v>27.31</v>
      </c>
      <c r="E7410" s="6">
        <v>20.87</v>
      </c>
      <c r="F7410" t="str">
        <f t="shared" si="3126"/>
        <v>MON</v>
      </c>
      <c r="G7410" s="1">
        <f t="shared" si="3127"/>
        <v>44235</v>
      </c>
      <c r="H7410" s="2">
        <f t="shared" ca="1" si="3128"/>
        <v>18</v>
      </c>
      <c r="I7410" t="str">
        <f t="shared" si="3129"/>
        <v>VIX</v>
      </c>
      <c r="J7410">
        <f t="shared" si="3130"/>
        <v>17.43</v>
      </c>
      <c r="K7410">
        <f t="shared" si="3131"/>
        <v>27.31</v>
      </c>
      <c r="L7410">
        <f t="shared" si="3132"/>
        <v>22.369999999999997</v>
      </c>
      <c r="M7410">
        <f t="shared" si="3133"/>
        <v>4.9400000000000039</v>
      </c>
      <c r="N7410">
        <f t="shared" si="3111"/>
        <v>9.879999999999999</v>
      </c>
      <c r="O7410">
        <f t="shared" si="3134"/>
        <v>20.87</v>
      </c>
      <c r="P7410">
        <f t="shared" si="3135"/>
        <v>-0.30364372469635531</v>
      </c>
      <c r="Q7410" t="str">
        <f t="shared" si="3112"/>
        <v>16.48% | 30.86%</v>
      </c>
      <c r="R7410" t="str">
        <f t="shared" si="3136"/>
        <v>BEARISH</v>
      </c>
      <c r="S7410">
        <f t="shared" si="3137"/>
        <v>-1</v>
      </c>
    </row>
    <row r="7411" spans="1:19" hidden="1" x14ac:dyDescent="0.25">
      <c r="A7411" s="5" t="str">
        <f t="shared" si="3125"/>
        <v>44235USD</v>
      </c>
      <c r="B7411" s="6" t="s">
        <v>94</v>
      </c>
      <c r="C7411" s="6">
        <v>89.96</v>
      </c>
      <c r="D7411" s="6">
        <v>91.45</v>
      </c>
      <c r="E7411" s="6">
        <v>91.03</v>
      </c>
      <c r="F7411" t="str">
        <f t="shared" si="3126"/>
        <v>MON</v>
      </c>
      <c r="G7411" s="1">
        <f t="shared" si="3127"/>
        <v>44235</v>
      </c>
      <c r="H7411" s="2">
        <f t="shared" ca="1" si="3128"/>
        <v>18</v>
      </c>
      <c r="I7411" t="str">
        <f t="shared" si="3129"/>
        <v>USD</v>
      </c>
      <c r="J7411">
        <f t="shared" si="3130"/>
        <v>89.96</v>
      </c>
      <c r="K7411">
        <f t="shared" si="3131"/>
        <v>91.45</v>
      </c>
      <c r="L7411">
        <f t="shared" si="3132"/>
        <v>90.704999999999998</v>
      </c>
      <c r="M7411">
        <f t="shared" si="3133"/>
        <v>0.74500000000000455</v>
      </c>
      <c r="N7411">
        <f t="shared" si="3111"/>
        <v>1.4900000000000091</v>
      </c>
      <c r="O7411">
        <f t="shared" si="3134"/>
        <v>91.03</v>
      </c>
      <c r="P7411">
        <f t="shared" si="3135"/>
        <v>0.43624161073825618</v>
      </c>
      <c r="Q7411" t="str">
        <f t="shared" si="3112"/>
        <v>1.18% | 0.46%</v>
      </c>
      <c r="R7411" t="str">
        <f t="shared" si="3136"/>
        <v>BEARISH</v>
      </c>
      <c r="S7411">
        <f t="shared" si="3137"/>
        <v>-1</v>
      </c>
    </row>
    <row r="7412" spans="1:19" hidden="1" x14ac:dyDescent="0.25">
      <c r="A7412" s="5" t="str">
        <f t="shared" si="3125"/>
        <v>44235EUR/USD</v>
      </c>
      <c r="B7412" s="6" t="s">
        <v>99</v>
      </c>
      <c r="C7412" s="6">
        <v>1.196</v>
      </c>
      <c r="D7412" s="6">
        <v>1.2210000000000001</v>
      </c>
      <c r="E7412" s="6">
        <v>1.2050000000000001</v>
      </c>
      <c r="F7412" t="str">
        <f t="shared" si="3126"/>
        <v>MON</v>
      </c>
      <c r="G7412" s="1">
        <f t="shared" si="3127"/>
        <v>44235</v>
      </c>
      <c r="H7412" s="2">
        <f t="shared" ca="1" si="3128"/>
        <v>18</v>
      </c>
      <c r="I7412" t="str">
        <f t="shared" si="3129"/>
        <v>EUR/USD</v>
      </c>
      <c r="J7412">
        <f t="shared" si="3130"/>
        <v>1.196</v>
      </c>
      <c r="K7412">
        <f t="shared" si="3131"/>
        <v>1.2210000000000001</v>
      </c>
      <c r="L7412">
        <f t="shared" si="3132"/>
        <v>1.2084999999999999</v>
      </c>
      <c r="M7412">
        <f t="shared" si="3133"/>
        <v>1.2500000000000067E-2</v>
      </c>
      <c r="N7412">
        <f t="shared" si="3111"/>
        <v>2.5000000000000133E-2</v>
      </c>
      <c r="O7412">
        <f t="shared" si="3134"/>
        <v>1.2050000000000001</v>
      </c>
      <c r="P7412">
        <f t="shared" si="3135"/>
        <v>-0.27999999999998543</v>
      </c>
      <c r="Q7412" t="str">
        <f t="shared" si="3112"/>
        <v>0.75% | 1.33%</v>
      </c>
      <c r="R7412" t="str">
        <f t="shared" si="3136"/>
        <v>BULLISH</v>
      </c>
      <c r="S7412">
        <f t="shared" si="3137"/>
        <v>1</v>
      </c>
    </row>
    <row r="7413" spans="1:19" hidden="1" x14ac:dyDescent="0.25">
      <c r="A7413" s="5" t="str">
        <f t="shared" si="3125"/>
        <v>44235USD/JPY</v>
      </c>
      <c r="B7413" s="6" t="s">
        <v>86</v>
      </c>
      <c r="C7413" s="6">
        <v>103.51</v>
      </c>
      <c r="D7413" s="6">
        <v>105.93</v>
      </c>
      <c r="E7413" s="6">
        <v>105.39</v>
      </c>
      <c r="F7413" t="str">
        <f t="shared" si="3126"/>
        <v>MON</v>
      </c>
      <c r="G7413" s="1">
        <f t="shared" si="3127"/>
        <v>44235</v>
      </c>
      <c r="H7413" s="2">
        <f t="shared" ca="1" si="3128"/>
        <v>18</v>
      </c>
      <c r="I7413" t="str">
        <f t="shared" si="3129"/>
        <v>USD/JPY</v>
      </c>
      <c r="J7413">
        <f t="shared" si="3130"/>
        <v>103.51</v>
      </c>
      <c r="K7413">
        <f t="shared" si="3131"/>
        <v>105.93</v>
      </c>
      <c r="L7413">
        <f t="shared" si="3132"/>
        <v>104.72</v>
      </c>
      <c r="M7413">
        <f t="shared" si="3133"/>
        <v>1.2100000000000009</v>
      </c>
      <c r="N7413">
        <f t="shared" si="3111"/>
        <v>2.4200000000000017</v>
      </c>
      <c r="O7413">
        <f t="shared" si="3134"/>
        <v>105.39</v>
      </c>
      <c r="P7413">
        <f t="shared" si="3135"/>
        <v>0.55371900826446385</v>
      </c>
      <c r="Q7413" t="str">
        <f t="shared" si="3112"/>
        <v>1.78% | 0.51%</v>
      </c>
      <c r="R7413" t="str">
        <f t="shared" si="3136"/>
        <v>NEUTRAL</v>
      </c>
      <c r="S7413">
        <f t="shared" si="3137"/>
        <v>0</v>
      </c>
    </row>
    <row r="7414" spans="1:19" hidden="1" x14ac:dyDescent="0.25">
      <c r="A7414" s="5" t="str">
        <f t="shared" si="3125"/>
        <v>44235GBP/USD</v>
      </c>
      <c r="B7414" s="6" t="s">
        <v>102</v>
      </c>
      <c r="C7414" s="6">
        <v>1.361</v>
      </c>
      <c r="D7414" s="6">
        <v>1.377</v>
      </c>
      <c r="E7414" s="6">
        <v>1.3740000000000001</v>
      </c>
      <c r="F7414" t="str">
        <f t="shared" si="3126"/>
        <v>MON</v>
      </c>
      <c r="G7414" s="1">
        <f t="shared" si="3127"/>
        <v>44235</v>
      </c>
      <c r="H7414" s="2">
        <f t="shared" ca="1" si="3128"/>
        <v>18</v>
      </c>
      <c r="I7414" t="str">
        <f t="shared" si="3129"/>
        <v>GBP/USD</v>
      </c>
      <c r="J7414">
        <f t="shared" si="3130"/>
        <v>1.361</v>
      </c>
      <c r="K7414">
        <f t="shared" si="3131"/>
        <v>1.377</v>
      </c>
      <c r="L7414">
        <f t="shared" si="3132"/>
        <v>1.369</v>
      </c>
      <c r="M7414">
        <f t="shared" si="3133"/>
        <v>8.0000000000000071E-3</v>
      </c>
      <c r="N7414">
        <f t="shared" si="3111"/>
        <v>1.6000000000000014E-2</v>
      </c>
      <c r="O7414">
        <f t="shared" si="3134"/>
        <v>1.3740000000000001</v>
      </c>
      <c r="P7414">
        <f t="shared" si="3135"/>
        <v>0.62500000000001388</v>
      </c>
      <c r="Q7414" t="str">
        <f t="shared" si="3112"/>
        <v>0.95% | 0.22%</v>
      </c>
      <c r="R7414" t="str">
        <f t="shared" si="3136"/>
        <v>BULLISH</v>
      </c>
      <c r="S7414">
        <f t="shared" si="3137"/>
        <v>1</v>
      </c>
    </row>
    <row r="7415" spans="1:19" hidden="1" x14ac:dyDescent="0.25">
      <c r="A7415" s="5" t="str">
        <f t="shared" si="3125"/>
        <v>44235CAD/USD</v>
      </c>
      <c r="B7415" s="6" t="s">
        <v>244</v>
      </c>
      <c r="C7415" s="6">
        <v>0.77</v>
      </c>
      <c r="D7415" s="6">
        <v>0.79</v>
      </c>
      <c r="E7415" s="6">
        <v>0.78</v>
      </c>
      <c r="F7415" t="str">
        <f t="shared" si="3126"/>
        <v>MON</v>
      </c>
      <c r="G7415" s="1">
        <f t="shared" si="3127"/>
        <v>44235</v>
      </c>
      <c r="H7415" s="2">
        <f t="shared" ca="1" si="3128"/>
        <v>18</v>
      </c>
      <c r="I7415" t="str">
        <f t="shared" si="3129"/>
        <v>CAD/USD</v>
      </c>
      <c r="J7415">
        <f t="shared" si="3130"/>
        <v>0.77</v>
      </c>
      <c r="K7415">
        <f t="shared" si="3131"/>
        <v>0.79</v>
      </c>
      <c r="L7415">
        <f t="shared" si="3132"/>
        <v>0.78</v>
      </c>
      <c r="M7415">
        <f t="shared" si="3133"/>
        <v>1.0000000000000009E-2</v>
      </c>
      <c r="N7415">
        <f t="shared" si="3111"/>
        <v>2.0000000000000018E-2</v>
      </c>
      <c r="O7415">
        <f t="shared" si="3134"/>
        <v>0.78</v>
      </c>
      <c r="P7415">
        <f t="shared" si="3135"/>
        <v>0</v>
      </c>
      <c r="Q7415" t="str">
        <f t="shared" si="3112"/>
        <v>1.28% | 1.28%</v>
      </c>
      <c r="R7415" t="str">
        <f t="shared" si="3136"/>
        <v>BULLISH</v>
      </c>
      <c r="S7415">
        <f t="shared" si="3137"/>
        <v>1</v>
      </c>
    </row>
    <row r="7416" spans="1:19" hidden="1" x14ac:dyDescent="0.25">
      <c r="A7416" s="5" t="str">
        <f t="shared" si="3125"/>
        <v>44235USD/CHF</v>
      </c>
      <c r="B7416" s="6" t="s">
        <v>76</v>
      </c>
      <c r="C7416" s="6">
        <v>0.88</v>
      </c>
      <c r="D7416" s="6">
        <v>0.9</v>
      </c>
      <c r="E7416" s="6">
        <v>0.89</v>
      </c>
      <c r="F7416" t="str">
        <f t="shared" si="3126"/>
        <v>MON</v>
      </c>
      <c r="G7416" s="1">
        <f t="shared" si="3127"/>
        <v>44235</v>
      </c>
      <c r="H7416" s="2">
        <f t="shared" ca="1" si="3128"/>
        <v>18</v>
      </c>
      <c r="I7416" t="str">
        <f t="shared" si="3129"/>
        <v>USD/CHF</v>
      </c>
      <c r="J7416">
        <f t="shared" si="3130"/>
        <v>0.88</v>
      </c>
      <c r="K7416">
        <f t="shared" si="3131"/>
        <v>0.9</v>
      </c>
      <c r="L7416">
        <f t="shared" si="3132"/>
        <v>0.89</v>
      </c>
      <c r="M7416">
        <f t="shared" si="3133"/>
        <v>1.0000000000000009E-2</v>
      </c>
      <c r="N7416">
        <f t="shared" si="3111"/>
        <v>2.0000000000000018E-2</v>
      </c>
      <c r="O7416">
        <f t="shared" si="3134"/>
        <v>0.89</v>
      </c>
      <c r="P7416">
        <f t="shared" si="3135"/>
        <v>0</v>
      </c>
      <c r="Q7416" t="str">
        <f t="shared" si="3112"/>
        <v>1.12% | 1.12%</v>
      </c>
      <c r="R7416" t="str">
        <f t="shared" si="3136"/>
        <v>BEARISH</v>
      </c>
      <c r="S7416">
        <f t="shared" si="3137"/>
        <v>-1</v>
      </c>
    </row>
    <row r="7417" spans="1:19" hidden="1" x14ac:dyDescent="0.25">
      <c r="A7417" s="5" t="str">
        <f t="shared" si="3125"/>
        <v>44235WTIC</v>
      </c>
      <c r="B7417" s="6" t="s">
        <v>158</v>
      </c>
      <c r="C7417" s="6">
        <v>52.36</v>
      </c>
      <c r="D7417" s="6">
        <v>57.91</v>
      </c>
      <c r="E7417" s="6">
        <v>56.85</v>
      </c>
      <c r="F7417" t="str">
        <f t="shared" si="3126"/>
        <v>MON</v>
      </c>
      <c r="G7417" s="1">
        <f t="shared" si="3127"/>
        <v>44235</v>
      </c>
      <c r="H7417" s="2">
        <f t="shared" ca="1" si="3128"/>
        <v>18</v>
      </c>
      <c r="I7417" t="str">
        <f t="shared" si="3129"/>
        <v>WTIC</v>
      </c>
      <c r="J7417">
        <f t="shared" si="3130"/>
        <v>52.36</v>
      </c>
      <c r="K7417">
        <f t="shared" si="3131"/>
        <v>57.91</v>
      </c>
      <c r="L7417">
        <f t="shared" si="3132"/>
        <v>55.134999999999998</v>
      </c>
      <c r="M7417">
        <f t="shared" si="3133"/>
        <v>2.7749999999999986</v>
      </c>
      <c r="N7417">
        <f t="shared" si="3111"/>
        <v>5.5499999999999972</v>
      </c>
      <c r="O7417">
        <f t="shared" si="3134"/>
        <v>56.85</v>
      </c>
      <c r="P7417">
        <f t="shared" si="3135"/>
        <v>0.61801801801801959</v>
      </c>
      <c r="Q7417" t="str">
        <f t="shared" si="3112"/>
        <v>7.9% | 1.86%</v>
      </c>
      <c r="R7417" t="str">
        <f t="shared" si="3136"/>
        <v>BULLISH</v>
      </c>
      <c r="S7417">
        <f t="shared" si="3137"/>
        <v>1</v>
      </c>
    </row>
    <row r="7418" spans="1:19" hidden="1" x14ac:dyDescent="0.25">
      <c r="A7418" s="5" t="str">
        <f t="shared" si="3125"/>
        <v>44235NATGAS</v>
      </c>
      <c r="B7418" s="6" t="s">
        <v>89</v>
      </c>
      <c r="C7418" s="6">
        <v>2.54</v>
      </c>
      <c r="D7418" s="6">
        <v>3.05</v>
      </c>
      <c r="E7418" s="6">
        <v>2.86</v>
      </c>
      <c r="F7418" t="str">
        <f t="shared" si="3126"/>
        <v>MON</v>
      </c>
      <c r="G7418" s="1">
        <f t="shared" si="3127"/>
        <v>44235</v>
      </c>
      <c r="H7418" s="2">
        <f t="shared" ca="1" si="3128"/>
        <v>18</v>
      </c>
      <c r="I7418" t="str">
        <f t="shared" si="3129"/>
        <v>NATGAS</v>
      </c>
      <c r="J7418">
        <f t="shared" si="3130"/>
        <v>2.54</v>
      </c>
      <c r="K7418">
        <f t="shared" si="3131"/>
        <v>3.05</v>
      </c>
      <c r="L7418">
        <f t="shared" si="3132"/>
        <v>2.7949999999999999</v>
      </c>
      <c r="M7418">
        <f t="shared" si="3133"/>
        <v>0.25499999999999989</v>
      </c>
      <c r="N7418">
        <f t="shared" si="3111"/>
        <v>0.50999999999999979</v>
      </c>
      <c r="O7418">
        <f t="shared" si="3134"/>
        <v>2.86</v>
      </c>
      <c r="P7418">
        <f t="shared" si="3135"/>
        <v>0.2549019607843136</v>
      </c>
      <c r="Q7418" t="str">
        <f t="shared" si="3112"/>
        <v>11.19% | 6.64%</v>
      </c>
      <c r="R7418" t="str">
        <f t="shared" si="3136"/>
        <v>BULLISH</v>
      </c>
      <c r="S7418">
        <f t="shared" si="3137"/>
        <v>1</v>
      </c>
    </row>
    <row r="7419" spans="1:19" hidden="1" x14ac:dyDescent="0.25">
      <c r="A7419" s="5" t="str">
        <f t="shared" si="3125"/>
        <v>44235GOLD</v>
      </c>
      <c r="B7419" s="6" t="s">
        <v>85</v>
      </c>
      <c r="C7419" s="6">
        <v>1792</v>
      </c>
      <c r="D7419" s="6">
        <v>1850</v>
      </c>
      <c r="E7419" s="6">
        <v>1813</v>
      </c>
      <c r="F7419" t="str">
        <f t="shared" si="3126"/>
        <v>MON</v>
      </c>
      <c r="G7419" s="1">
        <f t="shared" si="3127"/>
        <v>44235</v>
      </c>
      <c r="H7419" s="2">
        <f t="shared" ca="1" si="3128"/>
        <v>18</v>
      </c>
      <c r="I7419" t="str">
        <f t="shared" si="3129"/>
        <v>GOLD</v>
      </c>
      <c r="J7419">
        <f t="shared" si="3130"/>
        <v>1792</v>
      </c>
      <c r="K7419">
        <f t="shared" si="3131"/>
        <v>1850</v>
      </c>
      <c r="L7419">
        <f t="shared" si="3132"/>
        <v>1821</v>
      </c>
      <c r="M7419">
        <f t="shared" si="3133"/>
        <v>29</v>
      </c>
      <c r="N7419">
        <f t="shared" si="3111"/>
        <v>58</v>
      </c>
      <c r="O7419">
        <f t="shared" si="3134"/>
        <v>1813</v>
      </c>
      <c r="P7419">
        <f t="shared" si="3135"/>
        <v>-0.27586206896551724</v>
      </c>
      <c r="Q7419" t="str">
        <f t="shared" si="3112"/>
        <v>1.16% | 2.04%</v>
      </c>
      <c r="R7419" t="str">
        <f t="shared" si="3136"/>
        <v>BEARISH</v>
      </c>
      <c r="S7419">
        <f t="shared" si="3137"/>
        <v>-1</v>
      </c>
    </row>
    <row r="7420" spans="1:19" hidden="1" x14ac:dyDescent="0.25">
      <c r="A7420" s="5" t="str">
        <f t="shared" si="3125"/>
        <v>44235COPPER</v>
      </c>
      <c r="B7420" s="6" t="s">
        <v>100</v>
      </c>
      <c r="C7420" s="6">
        <v>3.51</v>
      </c>
      <c r="D7420" s="6">
        <v>3.66</v>
      </c>
      <c r="E7420" s="6">
        <v>3.63</v>
      </c>
      <c r="F7420" t="str">
        <f t="shared" si="3126"/>
        <v>MON</v>
      </c>
      <c r="G7420" s="1">
        <f t="shared" si="3127"/>
        <v>44235</v>
      </c>
      <c r="H7420" s="2">
        <f t="shared" ca="1" si="3128"/>
        <v>18</v>
      </c>
      <c r="I7420" t="str">
        <f t="shared" si="3129"/>
        <v>COPPER</v>
      </c>
      <c r="J7420">
        <f t="shared" si="3130"/>
        <v>3.51</v>
      </c>
      <c r="K7420">
        <f t="shared" si="3131"/>
        <v>3.66</v>
      </c>
      <c r="L7420">
        <f t="shared" si="3132"/>
        <v>3.585</v>
      </c>
      <c r="M7420">
        <f t="shared" si="3133"/>
        <v>7.5000000000000178E-2</v>
      </c>
      <c r="N7420">
        <f t="shared" si="3111"/>
        <v>0.15000000000000036</v>
      </c>
      <c r="O7420">
        <f t="shared" si="3134"/>
        <v>3.63</v>
      </c>
      <c r="P7420">
        <f t="shared" si="3135"/>
        <v>0.59999999999999765</v>
      </c>
      <c r="Q7420" t="str">
        <f t="shared" si="3112"/>
        <v>3.31% | 0.83%</v>
      </c>
      <c r="R7420" t="str">
        <f t="shared" si="3136"/>
        <v>BULLISH</v>
      </c>
      <c r="S7420">
        <f t="shared" si="3137"/>
        <v>1</v>
      </c>
    </row>
    <row r="7421" spans="1:19" hidden="1" x14ac:dyDescent="0.25">
      <c r="A7421" s="5" t="str">
        <f t="shared" si="3125"/>
        <v>44235SILVER</v>
      </c>
      <c r="B7421" s="6" t="s">
        <v>195</v>
      </c>
      <c r="C7421" s="6">
        <v>25.28</v>
      </c>
      <c r="D7421" s="6">
        <v>28.95</v>
      </c>
      <c r="E7421" s="6">
        <v>27.02</v>
      </c>
      <c r="F7421" t="str">
        <f t="shared" si="3126"/>
        <v>MON</v>
      </c>
      <c r="G7421" s="1">
        <f t="shared" si="3127"/>
        <v>44235</v>
      </c>
      <c r="H7421" s="2">
        <f t="shared" ca="1" si="3128"/>
        <v>18</v>
      </c>
      <c r="I7421" t="str">
        <f t="shared" si="3129"/>
        <v>SILVER</v>
      </c>
      <c r="J7421">
        <f t="shared" si="3130"/>
        <v>25.28</v>
      </c>
      <c r="K7421">
        <f t="shared" si="3131"/>
        <v>28.95</v>
      </c>
      <c r="L7421">
        <f t="shared" si="3132"/>
        <v>27.115000000000002</v>
      </c>
      <c r="M7421">
        <f t="shared" si="3133"/>
        <v>1.8349999999999991</v>
      </c>
      <c r="N7421">
        <f t="shared" si="3111"/>
        <v>3.6699999999999982</v>
      </c>
      <c r="O7421">
        <f t="shared" si="3134"/>
        <v>27.02</v>
      </c>
      <c r="P7421">
        <f t="shared" si="3135"/>
        <v>-5.1771117166213874E-2</v>
      </c>
      <c r="Q7421" t="str">
        <f t="shared" si="3112"/>
        <v>6.44% | 7.14%</v>
      </c>
      <c r="R7421" t="str">
        <f t="shared" si="3136"/>
        <v>BULLISH</v>
      </c>
      <c r="S7421">
        <f t="shared" si="3137"/>
        <v>1</v>
      </c>
    </row>
    <row r="7422" spans="1:19" hidden="1" x14ac:dyDescent="0.25">
      <c r="A7422" s="5" t="str">
        <f t="shared" si="3125"/>
        <v>44235MSFT</v>
      </c>
      <c r="B7422" s="6" t="s">
        <v>27</v>
      </c>
      <c r="C7422" s="6">
        <v>237</v>
      </c>
      <c r="D7422" s="6">
        <v>248</v>
      </c>
      <c r="E7422" s="6">
        <v>242</v>
      </c>
      <c r="F7422" t="str">
        <f t="shared" si="3126"/>
        <v>MON</v>
      </c>
      <c r="G7422" s="1">
        <f t="shared" si="3127"/>
        <v>44235</v>
      </c>
      <c r="H7422" s="2">
        <f t="shared" ca="1" si="3128"/>
        <v>18</v>
      </c>
      <c r="I7422" t="str">
        <f t="shared" si="3129"/>
        <v>MSFT</v>
      </c>
      <c r="J7422">
        <f t="shared" si="3130"/>
        <v>237</v>
      </c>
      <c r="K7422">
        <f t="shared" si="3131"/>
        <v>248</v>
      </c>
      <c r="L7422">
        <f t="shared" si="3132"/>
        <v>242.5</v>
      </c>
      <c r="M7422">
        <f t="shared" si="3133"/>
        <v>5.5</v>
      </c>
      <c r="N7422">
        <f t="shared" si="3111"/>
        <v>11</v>
      </c>
      <c r="O7422">
        <f t="shared" si="3134"/>
        <v>242</v>
      </c>
      <c r="P7422">
        <f t="shared" si="3135"/>
        <v>-9.0909090909090912E-2</v>
      </c>
      <c r="Q7422" t="str">
        <f t="shared" si="3112"/>
        <v>2.07% | 2.48%</v>
      </c>
      <c r="R7422" t="str">
        <f t="shared" si="3136"/>
        <v>BULLISH</v>
      </c>
      <c r="S7422">
        <f t="shared" si="3137"/>
        <v>1</v>
      </c>
    </row>
    <row r="7423" spans="1:19" hidden="1" x14ac:dyDescent="0.25">
      <c r="A7423" s="5" t="str">
        <f t="shared" si="3125"/>
        <v>44235AAPL</v>
      </c>
      <c r="B7423" s="6" t="s">
        <v>28</v>
      </c>
      <c r="C7423" s="6">
        <v>129</v>
      </c>
      <c r="D7423" s="6">
        <v>145</v>
      </c>
      <c r="E7423" s="6">
        <v>136</v>
      </c>
      <c r="F7423" t="str">
        <f t="shared" si="3126"/>
        <v>MON</v>
      </c>
      <c r="G7423" s="1">
        <f t="shared" si="3127"/>
        <v>44235</v>
      </c>
      <c r="H7423" s="2">
        <f t="shared" ca="1" si="3128"/>
        <v>18</v>
      </c>
      <c r="I7423" t="str">
        <f t="shared" si="3129"/>
        <v>AAPL</v>
      </c>
      <c r="J7423">
        <f t="shared" si="3130"/>
        <v>129</v>
      </c>
      <c r="K7423">
        <f t="shared" si="3131"/>
        <v>145</v>
      </c>
      <c r="L7423">
        <f t="shared" si="3132"/>
        <v>137</v>
      </c>
      <c r="M7423">
        <f t="shared" si="3133"/>
        <v>8</v>
      </c>
      <c r="N7423">
        <f t="shared" si="3111"/>
        <v>16</v>
      </c>
      <c r="O7423">
        <f t="shared" si="3134"/>
        <v>136</v>
      </c>
      <c r="P7423">
        <f t="shared" si="3135"/>
        <v>-0.125</v>
      </c>
      <c r="Q7423" t="str">
        <f t="shared" si="3112"/>
        <v>5.15% | 6.62%</v>
      </c>
      <c r="R7423" t="str">
        <f t="shared" si="3136"/>
        <v>BULLISH</v>
      </c>
      <c r="S7423">
        <f t="shared" si="3137"/>
        <v>1</v>
      </c>
    </row>
    <row r="7424" spans="1:19" hidden="1" x14ac:dyDescent="0.25">
      <c r="A7424" s="5" t="str">
        <f t="shared" si="3125"/>
        <v>44235AMZN</v>
      </c>
      <c r="B7424" s="6" t="s">
        <v>29</v>
      </c>
      <c r="C7424" s="6">
        <v>3254</v>
      </c>
      <c r="D7424" s="6">
        <v>3421</v>
      </c>
      <c r="E7424" s="6">
        <v>3352</v>
      </c>
      <c r="F7424" t="str">
        <f t="shared" si="3126"/>
        <v>MON</v>
      </c>
      <c r="G7424" s="1">
        <f t="shared" si="3127"/>
        <v>44235</v>
      </c>
      <c r="H7424" s="2">
        <f t="shared" ca="1" si="3128"/>
        <v>18</v>
      </c>
      <c r="I7424" t="str">
        <f t="shared" si="3129"/>
        <v>AMZN</v>
      </c>
      <c r="J7424">
        <f t="shared" si="3130"/>
        <v>3254</v>
      </c>
      <c r="K7424">
        <f t="shared" si="3131"/>
        <v>3421</v>
      </c>
      <c r="L7424">
        <f t="shared" si="3132"/>
        <v>3337.5</v>
      </c>
      <c r="M7424">
        <f t="shared" si="3133"/>
        <v>83.5</v>
      </c>
      <c r="N7424">
        <f t="shared" si="3111"/>
        <v>167</v>
      </c>
      <c r="O7424">
        <f t="shared" si="3134"/>
        <v>3352</v>
      </c>
      <c r="P7424">
        <f t="shared" si="3135"/>
        <v>0.17365269461077845</v>
      </c>
      <c r="Q7424" t="str">
        <f t="shared" si="3112"/>
        <v>2.92% | 2.06%</v>
      </c>
      <c r="R7424" t="str">
        <f t="shared" si="3136"/>
        <v>BULLISH</v>
      </c>
      <c r="S7424">
        <f t="shared" si="3137"/>
        <v>1</v>
      </c>
    </row>
    <row r="7425" spans="1:19" hidden="1" x14ac:dyDescent="0.25">
      <c r="A7425" s="5" t="str">
        <f t="shared" si="3125"/>
        <v>44235FB</v>
      </c>
      <c r="B7425" s="6" t="s">
        <v>157</v>
      </c>
      <c r="C7425" s="6">
        <v>254</v>
      </c>
      <c r="D7425" s="6">
        <v>282</v>
      </c>
      <c r="E7425" s="6">
        <v>268</v>
      </c>
      <c r="F7425" t="str">
        <f t="shared" si="3126"/>
        <v>MON</v>
      </c>
      <c r="G7425" s="1">
        <f t="shared" si="3127"/>
        <v>44235</v>
      </c>
      <c r="H7425" s="2">
        <f t="shared" ca="1" si="3128"/>
        <v>18</v>
      </c>
      <c r="I7425" t="str">
        <f t="shared" si="3129"/>
        <v>FB</v>
      </c>
      <c r="J7425">
        <f t="shared" si="3130"/>
        <v>254</v>
      </c>
      <c r="K7425">
        <f t="shared" si="3131"/>
        <v>282</v>
      </c>
      <c r="L7425">
        <f t="shared" si="3132"/>
        <v>268</v>
      </c>
      <c r="M7425">
        <f t="shared" si="3133"/>
        <v>14</v>
      </c>
      <c r="N7425">
        <f t="shared" si="3111"/>
        <v>28</v>
      </c>
      <c r="O7425">
        <f t="shared" si="3134"/>
        <v>268</v>
      </c>
      <c r="P7425">
        <f t="shared" si="3135"/>
        <v>0</v>
      </c>
      <c r="Q7425" t="str">
        <f t="shared" si="3112"/>
        <v>5.22% | 5.22%</v>
      </c>
      <c r="R7425" t="str">
        <f t="shared" si="3136"/>
        <v>NEUTRAL</v>
      </c>
      <c r="S7425">
        <f t="shared" si="3137"/>
        <v>0</v>
      </c>
    </row>
    <row r="7426" spans="1:19" hidden="1" x14ac:dyDescent="0.25">
      <c r="A7426" s="5" t="str">
        <f t="shared" si="3125"/>
        <v>44235GOOGL</v>
      </c>
      <c r="B7426" s="6" t="s">
        <v>31</v>
      </c>
      <c r="C7426" s="6">
        <v>1934</v>
      </c>
      <c r="D7426" s="6">
        <v>2134</v>
      </c>
      <c r="E7426" s="6">
        <v>2088</v>
      </c>
      <c r="F7426" t="str">
        <f t="shared" si="3126"/>
        <v>MON</v>
      </c>
      <c r="G7426" s="1">
        <f t="shared" si="3127"/>
        <v>44235</v>
      </c>
      <c r="H7426" s="2">
        <f t="shared" ca="1" si="3128"/>
        <v>18</v>
      </c>
      <c r="I7426" t="str">
        <f t="shared" si="3129"/>
        <v>GOOGL</v>
      </c>
      <c r="J7426">
        <f t="shared" si="3130"/>
        <v>1934</v>
      </c>
      <c r="K7426">
        <f t="shared" si="3131"/>
        <v>2134</v>
      </c>
      <c r="L7426">
        <f t="shared" si="3132"/>
        <v>2034</v>
      </c>
      <c r="M7426">
        <f t="shared" si="3133"/>
        <v>100</v>
      </c>
      <c r="N7426">
        <f t="shared" si="3111"/>
        <v>200</v>
      </c>
      <c r="O7426">
        <f t="shared" si="3134"/>
        <v>2088</v>
      </c>
      <c r="P7426">
        <f t="shared" si="3135"/>
        <v>0.54</v>
      </c>
      <c r="Q7426" t="str">
        <f t="shared" si="3112"/>
        <v>7.38% | 2.2%</v>
      </c>
      <c r="R7426" t="str">
        <f t="shared" si="3136"/>
        <v>BULLISH</v>
      </c>
      <c r="S7426">
        <f t="shared" si="3137"/>
        <v>1</v>
      </c>
    </row>
    <row r="7427" spans="1:19" hidden="1" x14ac:dyDescent="0.25">
      <c r="A7427" s="5" t="str">
        <f t="shared" si="3125"/>
        <v>44235NFLX</v>
      </c>
      <c r="B7427" s="6" t="s">
        <v>32</v>
      </c>
      <c r="C7427" s="6">
        <v>520</v>
      </c>
      <c r="D7427" s="6">
        <v>566</v>
      </c>
      <c r="E7427" s="6">
        <v>550</v>
      </c>
      <c r="F7427" t="str">
        <f t="shared" si="3126"/>
        <v>MON</v>
      </c>
      <c r="G7427" s="1">
        <f t="shared" si="3127"/>
        <v>44235</v>
      </c>
      <c r="H7427" s="2">
        <f t="shared" ca="1" si="3128"/>
        <v>18</v>
      </c>
      <c r="I7427" t="str">
        <f t="shared" si="3129"/>
        <v>NFLX</v>
      </c>
      <c r="J7427">
        <f t="shared" si="3130"/>
        <v>520</v>
      </c>
      <c r="K7427">
        <f t="shared" si="3131"/>
        <v>566</v>
      </c>
      <c r="L7427">
        <f t="shared" si="3132"/>
        <v>543</v>
      </c>
      <c r="M7427">
        <f t="shared" si="3133"/>
        <v>23</v>
      </c>
      <c r="N7427">
        <f t="shared" ref="N7427:N7490" si="3138">ABS(K7427-J7427)</f>
        <v>46</v>
      </c>
      <c r="O7427">
        <f t="shared" si="3134"/>
        <v>550</v>
      </c>
      <c r="P7427">
        <f t="shared" si="3135"/>
        <v>0.30434782608695654</v>
      </c>
      <c r="Q7427" t="str">
        <f t="shared" ref="Q7427:Q7490" si="3139">ROUND(ABS(100*(O7427-J7427)/O7427),2)&amp;"% | "&amp;ROUND(ABS(100*(K7427-O7427)/O7427),2)&amp;"%"</f>
        <v>5.45% | 2.91%</v>
      </c>
      <c r="R7427" t="str">
        <f t="shared" si="3136"/>
        <v>BULLISH</v>
      </c>
      <c r="S7427">
        <f t="shared" si="3137"/>
        <v>1</v>
      </c>
    </row>
    <row r="7428" spans="1:19" x14ac:dyDescent="0.25">
      <c r="A7428" s="5" t="str">
        <f t="shared" si="3125"/>
        <v>44235TSLA</v>
      </c>
      <c r="B7428" s="6" t="s">
        <v>33</v>
      </c>
      <c r="C7428" s="6">
        <v>799</v>
      </c>
      <c r="D7428" s="6">
        <v>899</v>
      </c>
      <c r="E7428" s="6">
        <v>852</v>
      </c>
      <c r="F7428" t="str">
        <f t="shared" si="3126"/>
        <v>MON</v>
      </c>
      <c r="G7428" s="1">
        <f t="shared" si="3127"/>
        <v>44235</v>
      </c>
      <c r="H7428" s="2">
        <f t="shared" ca="1" si="3128"/>
        <v>18</v>
      </c>
      <c r="I7428" t="str">
        <f t="shared" si="3129"/>
        <v>TSLA</v>
      </c>
      <c r="J7428">
        <f t="shared" si="3130"/>
        <v>799</v>
      </c>
      <c r="K7428">
        <f t="shared" si="3131"/>
        <v>899</v>
      </c>
      <c r="L7428">
        <f t="shared" si="3132"/>
        <v>849</v>
      </c>
      <c r="M7428">
        <f t="shared" si="3133"/>
        <v>50</v>
      </c>
      <c r="N7428">
        <f t="shared" si="3138"/>
        <v>100</v>
      </c>
      <c r="O7428">
        <f t="shared" si="3134"/>
        <v>852</v>
      </c>
      <c r="P7428">
        <f t="shared" si="3135"/>
        <v>0.06</v>
      </c>
      <c r="Q7428" t="str">
        <f t="shared" si="3139"/>
        <v>6.22% | 5.52%</v>
      </c>
      <c r="R7428" t="str">
        <f t="shared" si="3136"/>
        <v>BULLISH</v>
      </c>
      <c r="S7428">
        <f t="shared" si="3137"/>
        <v>1</v>
      </c>
    </row>
    <row r="7429" spans="1:19" hidden="1" x14ac:dyDescent="0.25">
      <c r="A7429" s="5" t="str">
        <f t="shared" si="3125"/>
        <v>44235NYXBT</v>
      </c>
      <c r="B7429" s="6" t="s">
        <v>60</v>
      </c>
      <c r="C7429" s="6">
        <v>32457</v>
      </c>
      <c r="D7429" s="6">
        <v>39952</v>
      </c>
      <c r="E7429" s="6">
        <v>38190</v>
      </c>
      <c r="F7429" t="str">
        <f t="shared" si="3126"/>
        <v>MON</v>
      </c>
      <c r="G7429" s="1">
        <f t="shared" si="3127"/>
        <v>44235</v>
      </c>
      <c r="H7429" s="2">
        <f t="shared" ca="1" si="3128"/>
        <v>18</v>
      </c>
      <c r="I7429" t="str">
        <f t="shared" si="3129"/>
        <v>NYXBT</v>
      </c>
      <c r="J7429">
        <f t="shared" si="3130"/>
        <v>32457</v>
      </c>
      <c r="K7429">
        <f t="shared" si="3131"/>
        <v>39952</v>
      </c>
      <c r="L7429">
        <f t="shared" si="3132"/>
        <v>36204.5</v>
      </c>
      <c r="M7429">
        <f t="shared" si="3133"/>
        <v>3747.5</v>
      </c>
      <c r="N7429">
        <f t="shared" si="3138"/>
        <v>7495</v>
      </c>
      <c r="O7429">
        <f t="shared" si="3134"/>
        <v>38190</v>
      </c>
      <c r="P7429">
        <f t="shared" si="3135"/>
        <v>0.52981987991994661</v>
      </c>
      <c r="Q7429" t="str">
        <f t="shared" si="3139"/>
        <v>15.01% | 4.61%</v>
      </c>
      <c r="R7429" t="str">
        <f t="shared" si="3136"/>
        <v>BULLISH</v>
      </c>
      <c r="S7429">
        <f t="shared" si="3137"/>
        <v>1</v>
      </c>
    </row>
    <row r="7430" spans="1:19" hidden="1" x14ac:dyDescent="0.25">
      <c r="A7430" s="5" t="str">
        <f t="shared" si="3125"/>
        <v>44236UST10Y</v>
      </c>
      <c r="B7430" s="6" t="s">
        <v>257</v>
      </c>
      <c r="C7430" s="6">
        <v>1.22</v>
      </c>
      <c r="D7430" s="6">
        <v>1.08</v>
      </c>
      <c r="E7430" s="6">
        <v>1.19</v>
      </c>
      <c r="F7430" t="str">
        <f t="shared" si="3126"/>
        <v>TUE</v>
      </c>
      <c r="G7430" s="3">
        <f>DATE(2021,2,9)</f>
        <v>44236</v>
      </c>
      <c r="H7430" s="2">
        <f t="shared" ca="1" si="3128"/>
        <v>17</v>
      </c>
      <c r="I7430" t="str">
        <f t="shared" si="3129"/>
        <v>UST10Y</v>
      </c>
      <c r="J7430">
        <f t="shared" si="3130"/>
        <v>1.22</v>
      </c>
      <c r="K7430">
        <f t="shared" si="3131"/>
        <v>1.08</v>
      </c>
      <c r="L7430">
        <f t="shared" si="3132"/>
        <v>1.1499999999999999</v>
      </c>
      <c r="M7430">
        <f t="shared" si="3133"/>
        <v>6.9999999999999951E-2</v>
      </c>
      <c r="N7430">
        <f t="shared" si="3138"/>
        <v>0.1399999999999999</v>
      </c>
      <c r="O7430">
        <f t="shared" si="3134"/>
        <v>1.19</v>
      </c>
      <c r="P7430">
        <f t="shared" si="3135"/>
        <v>0.57142857142857229</v>
      </c>
      <c r="Q7430" t="str">
        <f t="shared" si="3139"/>
        <v>2.52% | 9.24%</v>
      </c>
      <c r="R7430" t="str">
        <f t="shared" si="3136"/>
        <v>BULLISH</v>
      </c>
      <c r="S7430">
        <f t="shared" si="3137"/>
        <v>1</v>
      </c>
    </row>
    <row r="7431" spans="1:19" hidden="1" x14ac:dyDescent="0.25">
      <c r="A7431" s="5" t="str">
        <f t="shared" si="3125"/>
        <v>44236UST2Y</v>
      </c>
      <c r="B7431" s="6" t="s">
        <v>5</v>
      </c>
      <c r="C7431" s="6">
        <v>0.13</v>
      </c>
      <c r="D7431" s="6">
        <v>0.09</v>
      </c>
      <c r="E7431" s="6">
        <v>0.11</v>
      </c>
      <c r="F7431" t="str">
        <f t="shared" ref="F7431:F7462" si="3140">UPPER(TEXT(G7431,"ddd"))</f>
        <v>TUE</v>
      </c>
      <c r="G7431" s="3">
        <f t="shared" ref="G7431:G7461" si="3141">DATE(2021,2,9)</f>
        <v>44236</v>
      </c>
      <c r="H7431" s="2">
        <f t="shared" ref="H7431:H7462" ca="1" si="3142">TODAY()-G7431</f>
        <v>17</v>
      </c>
      <c r="I7431" t="str">
        <f t="shared" ref="I7431:I7462" si="3143">TRIM(LEFT(B7431,FIND(" ",B7431,1)))</f>
        <v>UST2Y</v>
      </c>
      <c r="J7431">
        <f t="shared" ref="J7431:J7462" si="3144">C7431</f>
        <v>0.13</v>
      </c>
      <c r="K7431">
        <f t="shared" ref="K7431:K7462" si="3145">D7431</f>
        <v>0.09</v>
      </c>
      <c r="L7431">
        <f t="shared" ref="L7431:L7462" si="3146">AVERAGE(J7431:K7431)</f>
        <v>0.11</v>
      </c>
      <c r="M7431">
        <f t="shared" ref="M7431:M7462" si="3147">_xlfn.STDEV.P(J7431:K7431)</f>
        <v>2.0000000000000025E-2</v>
      </c>
      <c r="N7431">
        <f t="shared" si="3138"/>
        <v>4.0000000000000008E-2</v>
      </c>
      <c r="O7431">
        <f t="shared" ref="O7431:O7462" si="3148">E7431</f>
        <v>0.11</v>
      </c>
      <c r="P7431">
        <f t="shared" ref="P7431:P7462" si="3149">(O7431-L7431)/M7431</f>
        <v>0</v>
      </c>
      <c r="Q7431" t="str">
        <f t="shared" si="3139"/>
        <v>18.18% | 18.18%</v>
      </c>
      <c r="R7431" t="str">
        <f t="shared" ref="R7431:R7462" si="3150">MID(B7431,FIND("(",B7431,1)+1,FIND(")",B7431,1)-FIND("(",B7431,1)-1)</f>
        <v>BEARISH</v>
      </c>
      <c r="S7431">
        <f t="shared" ref="S7431:S7462" si="3151">IF(R7431="BEARISH",-1,IF(R7431="NEUTRAL",0,IF(R7431="BULLISH",1,99)))</f>
        <v>-1</v>
      </c>
    </row>
    <row r="7432" spans="1:19" hidden="1" x14ac:dyDescent="0.25">
      <c r="A7432" s="5" t="str">
        <f t="shared" ref="A7432:A7495" si="3152">G7432&amp;I7432</f>
        <v>44236SPX</v>
      </c>
      <c r="B7432" s="6" t="s">
        <v>93</v>
      </c>
      <c r="C7432" s="6">
        <v>3799</v>
      </c>
      <c r="D7432" s="6">
        <v>3944</v>
      </c>
      <c r="E7432" s="6">
        <v>3915</v>
      </c>
      <c r="F7432" t="str">
        <f t="shared" si="3140"/>
        <v>TUE</v>
      </c>
      <c r="G7432" s="3">
        <f t="shared" si="3141"/>
        <v>44236</v>
      </c>
      <c r="H7432" s="2">
        <f t="shared" ca="1" si="3142"/>
        <v>17</v>
      </c>
      <c r="I7432" t="str">
        <f t="shared" si="3143"/>
        <v>SPX</v>
      </c>
      <c r="J7432">
        <f t="shared" si="3144"/>
        <v>3799</v>
      </c>
      <c r="K7432">
        <f t="shared" si="3145"/>
        <v>3944</v>
      </c>
      <c r="L7432">
        <f t="shared" si="3146"/>
        <v>3871.5</v>
      </c>
      <c r="M7432">
        <f t="shared" si="3147"/>
        <v>72.5</v>
      </c>
      <c r="N7432">
        <f t="shared" si="3138"/>
        <v>145</v>
      </c>
      <c r="O7432">
        <f t="shared" si="3148"/>
        <v>3915</v>
      </c>
      <c r="P7432">
        <f t="shared" si="3149"/>
        <v>0.6</v>
      </c>
      <c r="Q7432" t="str">
        <f t="shared" si="3139"/>
        <v>2.96% | 0.74%</v>
      </c>
      <c r="R7432" t="str">
        <f t="shared" si="3150"/>
        <v>BULLISH</v>
      </c>
      <c r="S7432">
        <f t="shared" si="3151"/>
        <v>1</v>
      </c>
    </row>
    <row r="7433" spans="1:19" hidden="1" x14ac:dyDescent="0.25">
      <c r="A7433" s="5" t="str">
        <f t="shared" si="3152"/>
        <v>44236RUT</v>
      </c>
      <c r="B7433" s="6" t="s">
        <v>247</v>
      </c>
      <c r="C7433" s="6">
        <v>2158</v>
      </c>
      <c r="D7433" s="6">
        <v>2299</v>
      </c>
      <c r="E7433" s="6">
        <v>2289</v>
      </c>
      <c r="F7433" t="str">
        <f t="shared" si="3140"/>
        <v>TUE</v>
      </c>
      <c r="G7433" s="3">
        <f t="shared" si="3141"/>
        <v>44236</v>
      </c>
      <c r="H7433" s="2">
        <f t="shared" ca="1" si="3142"/>
        <v>17</v>
      </c>
      <c r="I7433" t="str">
        <f t="shared" si="3143"/>
        <v>RUT</v>
      </c>
      <c r="J7433">
        <f t="shared" si="3144"/>
        <v>2158</v>
      </c>
      <c r="K7433">
        <f t="shared" si="3145"/>
        <v>2299</v>
      </c>
      <c r="L7433">
        <f t="shared" si="3146"/>
        <v>2228.5</v>
      </c>
      <c r="M7433">
        <f t="shared" si="3147"/>
        <v>70.5</v>
      </c>
      <c r="N7433">
        <f t="shared" si="3138"/>
        <v>141</v>
      </c>
      <c r="O7433">
        <f t="shared" si="3148"/>
        <v>2289</v>
      </c>
      <c r="P7433">
        <f t="shared" si="3149"/>
        <v>0.85815602836879434</v>
      </c>
      <c r="Q7433" t="str">
        <f t="shared" si="3139"/>
        <v>5.72% | 0.44%</v>
      </c>
      <c r="R7433" t="str">
        <f t="shared" si="3150"/>
        <v>BULLISH</v>
      </c>
      <c r="S7433">
        <f t="shared" si="3151"/>
        <v>1</v>
      </c>
    </row>
    <row r="7434" spans="1:19" hidden="1" x14ac:dyDescent="0.25">
      <c r="A7434" s="5" t="str">
        <f t="shared" si="3152"/>
        <v>44236COMPQ</v>
      </c>
      <c r="B7434" s="6" t="s">
        <v>8</v>
      </c>
      <c r="C7434" s="6">
        <v>13312</v>
      </c>
      <c r="D7434" s="6">
        <v>14122</v>
      </c>
      <c r="E7434" s="6">
        <v>13987</v>
      </c>
      <c r="F7434" t="str">
        <f t="shared" si="3140"/>
        <v>TUE</v>
      </c>
      <c r="G7434" s="3">
        <f t="shared" si="3141"/>
        <v>44236</v>
      </c>
      <c r="H7434" s="2">
        <f t="shared" ca="1" si="3142"/>
        <v>17</v>
      </c>
      <c r="I7434" t="str">
        <f t="shared" si="3143"/>
        <v>COMPQ</v>
      </c>
      <c r="J7434">
        <f t="shared" si="3144"/>
        <v>13312</v>
      </c>
      <c r="K7434">
        <f t="shared" si="3145"/>
        <v>14122</v>
      </c>
      <c r="L7434">
        <f t="shared" si="3146"/>
        <v>13717</v>
      </c>
      <c r="M7434">
        <f t="shared" si="3147"/>
        <v>405</v>
      </c>
      <c r="N7434">
        <f t="shared" si="3138"/>
        <v>810</v>
      </c>
      <c r="O7434">
        <f t="shared" si="3148"/>
        <v>13987</v>
      </c>
      <c r="P7434">
        <f t="shared" si="3149"/>
        <v>0.66666666666666663</v>
      </c>
      <c r="Q7434" t="str">
        <f t="shared" si="3139"/>
        <v>4.83% | 0.97%</v>
      </c>
      <c r="R7434" t="str">
        <f t="shared" si="3150"/>
        <v>BULLISH</v>
      </c>
      <c r="S7434">
        <f t="shared" si="3151"/>
        <v>1</v>
      </c>
    </row>
    <row r="7435" spans="1:19" hidden="1" x14ac:dyDescent="0.25">
      <c r="A7435" s="5" t="str">
        <f t="shared" si="3152"/>
        <v>44236XLK</v>
      </c>
      <c r="B7435" s="6" t="s">
        <v>10</v>
      </c>
      <c r="C7435" s="6">
        <v>131.4</v>
      </c>
      <c r="D7435" s="6">
        <v>137.97</v>
      </c>
      <c r="E7435" s="6">
        <v>136.74</v>
      </c>
      <c r="F7435" t="str">
        <f t="shared" si="3140"/>
        <v>TUE</v>
      </c>
      <c r="G7435" s="3">
        <f t="shared" si="3141"/>
        <v>44236</v>
      </c>
      <c r="H7435" s="2">
        <f t="shared" ca="1" si="3142"/>
        <v>17</v>
      </c>
      <c r="I7435" t="str">
        <f t="shared" si="3143"/>
        <v>XLK</v>
      </c>
      <c r="J7435">
        <f t="shared" si="3144"/>
        <v>131.4</v>
      </c>
      <c r="K7435">
        <f t="shared" si="3145"/>
        <v>137.97</v>
      </c>
      <c r="L7435">
        <f t="shared" si="3146"/>
        <v>134.685</v>
      </c>
      <c r="M7435">
        <f t="shared" si="3147"/>
        <v>3.2849999999999966</v>
      </c>
      <c r="N7435">
        <f t="shared" si="3138"/>
        <v>6.5699999999999932</v>
      </c>
      <c r="O7435">
        <f t="shared" si="3148"/>
        <v>136.74</v>
      </c>
      <c r="P7435">
        <f t="shared" si="3149"/>
        <v>0.62557077625571045</v>
      </c>
      <c r="Q7435" t="str">
        <f t="shared" si="3139"/>
        <v>3.91% | 0.9%</v>
      </c>
      <c r="R7435" t="str">
        <f t="shared" si="3150"/>
        <v>BULLISH</v>
      </c>
      <c r="S7435">
        <f t="shared" si="3151"/>
        <v>1</v>
      </c>
    </row>
    <row r="7436" spans="1:19" hidden="1" x14ac:dyDescent="0.25">
      <c r="A7436" s="5" t="str">
        <f t="shared" si="3152"/>
        <v>44236XLE</v>
      </c>
      <c r="B7436" s="6" t="s">
        <v>250</v>
      </c>
      <c r="C7436" s="6">
        <v>38.47</v>
      </c>
      <c r="D7436" s="6">
        <v>45.09</v>
      </c>
      <c r="E7436" s="6">
        <v>44.34</v>
      </c>
      <c r="F7436" t="str">
        <f t="shared" si="3140"/>
        <v>TUE</v>
      </c>
      <c r="G7436" s="3">
        <f t="shared" si="3141"/>
        <v>44236</v>
      </c>
      <c r="H7436" s="2">
        <f t="shared" ca="1" si="3142"/>
        <v>17</v>
      </c>
      <c r="I7436" t="str">
        <f t="shared" si="3143"/>
        <v>XLE</v>
      </c>
      <c r="J7436">
        <f t="shared" si="3144"/>
        <v>38.47</v>
      </c>
      <c r="K7436">
        <f t="shared" si="3145"/>
        <v>45.09</v>
      </c>
      <c r="L7436">
        <f t="shared" si="3146"/>
        <v>41.78</v>
      </c>
      <c r="M7436">
        <f t="shared" si="3147"/>
        <v>3.3100000000000023</v>
      </c>
      <c r="N7436">
        <f t="shared" si="3138"/>
        <v>6.6200000000000045</v>
      </c>
      <c r="O7436">
        <f t="shared" si="3148"/>
        <v>44.34</v>
      </c>
      <c r="P7436">
        <f t="shared" si="3149"/>
        <v>0.77341389728096688</v>
      </c>
      <c r="Q7436" t="str">
        <f t="shared" si="3139"/>
        <v>13.24% | 1.69%</v>
      </c>
      <c r="R7436" t="str">
        <f t="shared" si="3150"/>
        <v>BULLISH</v>
      </c>
      <c r="S7436">
        <f t="shared" si="3151"/>
        <v>1</v>
      </c>
    </row>
    <row r="7437" spans="1:19" hidden="1" x14ac:dyDescent="0.25">
      <c r="A7437" s="5" t="str">
        <f t="shared" si="3152"/>
        <v>44236XLU</v>
      </c>
      <c r="B7437" s="6" t="s">
        <v>82</v>
      </c>
      <c r="C7437" s="6">
        <v>61.44</v>
      </c>
      <c r="D7437" s="6">
        <v>63.9</v>
      </c>
      <c r="E7437" s="6">
        <v>63.1</v>
      </c>
      <c r="F7437" t="str">
        <f t="shared" si="3140"/>
        <v>TUE</v>
      </c>
      <c r="G7437" s="3">
        <f t="shared" si="3141"/>
        <v>44236</v>
      </c>
      <c r="H7437" s="2">
        <f t="shared" ca="1" si="3142"/>
        <v>17</v>
      </c>
      <c r="I7437" t="str">
        <f t="shared" si="3143"/>
        <v>XLU</v>
      </c>
      <c r="J7437">
        <f t="shared" si="3144"/>
        <v>61.44</v>
      </c>
      <c r="K7437">
        <f t="shared" si="3145"/>
        <v>63.9</v>
      </c>
      <c r="L7437">
        <f t="shared" si="3146"/>
        <v>62.67</v>
      </c>
      <c r="M7437">
        <f t="shared" si="3147"/>
        <v>1.2300000000000004</v>
      </c>
      <c r="N7437">
        <f t="shared" si="3138"/>
        <v>2.4600000000000009</v>
      </c>
      <c r="O7437">
        <f t="shared" si="3148"/>
        <v>63.1</v>
      </c>
      <c r="P7437">
        <f t="shared" si="3149"/>
        <v>0.34959349593495898</v>
      </c>
      <c r="Q7437" t="str">
        <f t="shared" si="3139"/>
        <v>2.63% | 1.27%</v>
      </c>
      <c r="R7437" t="str">
        <f t="shared" si="3150"/>
        <v>BEARISH</v>
      </c>
      <c r="S7437">
        <f t="shared" si="3151"/>
        <v>-1</v>
      </c>
    </row>
    <row r="7438" spans="1:19" hidden="1" x14ac:dyDescent="0.25">
      <c r="A7438" s="5" t="str">
        <f t="shared" si="3152"/>
        <v>44236GDX</v>
      </c>
      <c r="B7438" s="6" t="s">
        <v>254</v>
      </c>
      <c r="C7438" s="6">
        <v>33.369999999999997</v>
      </c>
      <c r="D7438" s="6">
        <v>35.83</v>
      </c>
      <c r="E7438" s="6">
        <v>35.22</v>
      </c>
      <c r="F7438" t="str">
        <f t="shared" si="3140"/>
        <v>TUE</v>
      </c>
      <c r="G7438" s="3">
        <f t="shared" si="3141"/>
        <v>44236</v>
      </c>
      <c r="H7438" s="2">
        <f t="shared" ca="1" si="3142"/>
        <v>17</v>
      </c>
      <c r="I7438" t="str">
        <f t="shared" si="3143"/>
        <v>GDX</v>
      </c>
      <c r="J7438">
        <f t="shared" si="3144"/>
        <v>33.369999999999997</v>
      </c>
      <c r="K7438">
        <f t="shared" si="3145"/>
        <v>35.83</v>
      </c>
      <c r="L7438">
        <f t="shared" si="3146"/>
        <v>34.599999999999994</v>
      </c>
      <c r="M7438">
        <f t="shared" si="3147"/>
        <v>1.2300000000000004</v>
      </c>
      <c r="N7438">
        <f t="shared" si="3138"/>
        <v>2.4600000000000009</v>
      </c>
      <c r="O7438">
        <f t="shared" si="3148"/>
        <v>35.22</v>
      </c>
      <c r="P7438">
        <f t="shared" si="3149"/>
        <v>0.50406504065041002</v>
      </c>
      <c r="Q7438" t="str">
        <f t="shared" si="3139"/>
        <v>5.25% | 1.73%</v>
      </c>
      <c r="R7438" t="str">
        <f t="shared" si="3150"/>
        <v>BEARISH</v>
      </c>
      <c r="S7438">
        <f t="shared" si="3151"/>
        <v>-1</v>
      </c>
    </row>
    <row r="7439" spans="1:19" hidden="1" x14ac:dyDescent="0.25">
      <c r="A7439" s="5" t="str">
        <f t="shared" si="3152"/>
        <v>44236SSEC</v>
      </c>
      <c r="B7439" s="6" t="s">
        <v>104</v>
      </c>
      <c r="C7439" s="6">
        <v>3466</v>
      </c>
      <c r="D7439" s="6">
        <v>3613</v>
      </c>
      <c r="E7439" s="6">
        <v>3603</v>
      </c>
      <c r="F7439" t="str">
        <f t="shared" si="3140"/>
        <v>TUE</v>
      </c>
      <c r="G7439" s="3">
        <f t="shared" si="3141"/>
        <v>44236</v>
      </c>
      <c r="H7439" s="2">
        <f t="shared" ca="1" si="3142"/>
        <v>17</v>
      </c>
      <c r="I7439" t="str">
        <f t="shared" si="3143"/>
        <v>SSEC</v>
      </c>
      <c r="J7439">
        <f t="shared" si="3144"/>
        <v>3466</v>
      </c>
      <c r="K7439">
        <f t="shared" si="3145"/>
        <v>3613</v>
      </c>
      <c r="L7439">
        <f t="shared" si="3146"/>
        <v>3539.5</v>
      </c>
      <c r="M7439">
        <f t="shared" si="3147"/>
        <v>73.5</v>
      </c>
      <c r="N7439">
        <f t="shared" si="3138"/>
        <v>147</v>
      </c>
      <c r="O7439">
        <f t="shared" si="3148"/>
        <v>3603</v>
      </c>
      <c r="P7439">
        <f t="shared" si="3149"/>
        <v>0.86394557823129248</v>
      </c>
      <c r="Q7439" t="str">
        <f t="shared" si="3139"/>
        <v>3.8% | 0.28%</v>
      </c>
      <c r="R7439" t="str">
        <f t="shared" si="3150"/>
        <v>BULLISH</v>
      </c>
      <c r="S7439">
        <f t="shared" si="3151"/>
        <v>1</v>
      </c>
    </row>
    <row r="7440" spans="1:19" hidden="1" x14ac:dyDescent="0.25">
      <c r="A7440" s="5" t="str">
        <f t="shared" si="3152"/>
        <v>44236NIKK</v>
      </c>
      <c r="B7440" s="6" t="s">
        <v>91</v>
      </c>
      <c r="C7440" s="6">
        <v>28141</v>
      </c>
      <c r="D7440" s="6">
        <v>29573</v>
      </c>
      <c r="E7440" s="6">
        <v>29505</v>
      </c>
      <c r="F7440" t="str">
        <f t="shared" si="3140"/>
        <v>TUE</v>
      </c>
      <c r="G7440" s="3">
        <f t="shared" si="3141"/>
        <v>44236</v>
      </c>
      <c r="H7440" s="2">
        <f t="shared" ca="1" si="3142"/>
        <v>17</v>
      </c>
      <c r="I7440" t="str">
        <f t="shared" si="3143"/>
        <v>NIKK</v>
      </c>
      <c r="J7440">
        <f t="shared" si="3144"/>
        <v>28141</v>
      </c>
      <c r="K7440">
        <f t="shared" si="3145"/>
        <v>29573</v>
      </c>
      <c r="L7440">
        <f t="shared" si="3146"/>
        <v>28857</v>
      </c>
      <c r="M7440">
        <f t="shared" si="3147"/>
        <v>716</v>
      </c>
      <c r="N7440">
        <f t="shared" si="3138"/>
        <v>1432</v>
      </c>
      <c r="O7440">
        <f t="shared" si="3148"/>
        <v>29505</v>
      </c>
      <c r="P7440">
        <f t="shared" si="3149"/>
        <v>0.9050279329608939</v>
      </c>
      <c r="Q7440" t="str">
        <f t="shared" si="3139"/>
        <v>4.62% | 0.23%</v>
      </c>
      <c r="R7440" t="str">
        <f t="shared" si="3150"/>
        <v>BULLISH</v>
      </c>
      <c r="S7440">
        <f t="shared" si="3151"/>
        <v>1</v>
      </c>
    </row>
    <row r="7441" spans="1:19" hidden="1" x14ac:dyDescent="0.25">
      <c r="A7441" s="5" t="str">
        <f t="shared" si="3152"/>
        <v>44236DAX</v>
      </c>
      <c r="B7441" s="6" t="s">
        <v>98</v>
      </c>
      <c r="C7441" s="6">
        <v>13428</v>
      </c>
      <c r="D7441" s="6">
        <v>14250</v>
      </c>
      <c r="E7441" s="6">
        <v>14059</v>
      </c>
      <c r="F7441" t="str">
        <f t="shared" si="3140"/>
        <v>TUE</v>
      </c>
      <c r="G7441" s="3">
        <f t="shared" si="3141"/>
        <v>44236</v>
      </c>
      <c r="H7441" s="2">
        <f t="shared" ca="1" si="3142"/>
        <v>17</v>
      </c>
      <c r="I7441" t="str">
        <f t="shared" si="3143"/>
        <v>DAX</v>
      </c>
      <c r="J7441">
        <f t="shared" si="3144"/>
        <v>13428</v>
      </c>
      <c r="K7441">
        <f t="shared" si="3145"/>
        <v>14250</v>
      </c>
      <c r="L7441">
        <f t="shared" si="3146"/>
        <v>13839</v>
      </c>
      <c r="M7441">
        <f t="shared" si="3147"/>
        <v>411</v>
      </c>
      <c r="N7441">
        <f t="shared" si="3138"/>
        <v>822</v>
      </c>
      <c r="O7441">
        <f t="shared" si="3148"/>
        <v>14059</v>
      </c>
      <c r="P7441">
        <f t="shared" si="3149"/>
        <v>0.53527980535279807</v>
      </c>
      <c r="Q7441" t="str">
        <f t="shared" si="3139"/>
        <v>4.49% | 1.36%</v>
      </c>
      <c r="R7441" t="str">
        <f t="shared" si="3150"/>
        <v>BULLISH</v>
      </c>
      <c r="S7441">
        <f t="shared" si="3151"/>
        <v>1</v>
      </c>
    </row>
    <row r="7442" spans="1:19" hidden="1" x14ac:dyDescent="0.25">
      <c r="A7442" s="5" t="str">
        <f t="shared" si="3152"/>
        <v>44236VIX</v>
      </c>
      <c r="B7442" s="6" t="s">
        <v>96</v>
      </c>
      <c r="C7442" s="6">
        <v>16.87</v>
      </c>
      <c r="D7442" s="6">
        <v>27.11</v>
      </c>
      <c r="E7442" s="6">
        <v>21.24</v>
      </c>
      <c r="F7442" t="str">
        <f t="shared" si="3140"/>
        <v>TUE</v>
      </c>
      <c r="G7442" s="3">
        <f t="shared" si="3141"/>
        <v>44236</v>
      </c>
      <c r="H7442" s="2">
        <f t="shared" ca="1" si="3142"/>
        <v>17</v>
      </c>
      <c r="I7442" t="str">
        <f t="shared" si="3143"/>
        <v>VIX</v>
      </c>
      <c r="J7442">
        <f t="shared" si="3144"/>
        <v>16.87</v>
      </c>
      <c r="K7442">
        <f t="shared" si="3145"/>
        <v>27.11</v>
      </c>
      <c r="L7442">
        <f t="shared" si="3146"/>
        <v>21.990000000000002</v>
      </c>
      <c r="M7442">
        <f t="shared" si="3147"/>
        <v>5.1199999999999903</v>
      </c>
      <c r="N7442">
        <f t="shared" si="3138"/>
        <v>10.239999999999998</v>
      </c>
      <c r="O7442">
        <f t="shared" si="3148"/>
        <v>21.24</v>
      </c>
      <c r="P7442">
        <f t="shared" si="3149"/>
        <v>-0.14648437500000097</v>
      </c>
      <c r="Q7442" t="str">
        <f t="shared" si="3139"/>
        <v>20.57% | 27.64%</v>
      </c>
      <c r="R7442" t="str">
        <f t="shared" si="3150"/>
        <v>BEARISH</v>
      </c>
      <c r="S7442">
        <f t="shared" si="3151"/>
        <v>-1</v>
      </c>
    </row>
    <row r="7443" spans="1:19" hidden="1" x14ac:dyDescent="0.25">
      <c r="A7443" s="5" t="str">
        <f t="shared" si="3152"/>
        <v>44236USD</v>
      </c>
      <c r="B7443" s="6" t="s">
        <v>94</v>
      </c>
      <c r="C7443" s="6">
        <v>89.92</v>
      </c>
      <c r="D7443" s="6">
        <v>91.54</v>
      </c>
      <c r="E7443" s="6">
        <v>90.92</v>
      </c>
      <c r="F7443" t="str">
        <f t="shared" si="3140"/>
        <v>TUE</v>
      </c>
      <c r="G7443" s="3">
        <f t="shared" si="3141"/>
        <v>44236</v>
      </c>
      <c r="H7443" s="2">
        <f t="shared" ca="1" si="3142"/>
        <v>17</v>
      </c>
      <c r="I7443" t="str">
        <f t="shared" si="3143"/>
        <v>USD</v>
      </c>
      <c r="J7443">
        <f t="shared" si="3144"/>
        <v>89.92</v>
      </c>
      <c r="K7443">
        <f t="shared" si="3145"/>
        <v>91.54</v>
      </c>
      <c r="L7443">
        <f t="shared" si="3146"/>
        <v>90.73</v>
      </c>
      <c r="M7443">
        <f t="shared" si="3147"/>
        <v>0.81000000000000227</v>
      </c>
      <c r="N7443">
        <f t="shared" si="3138"/>
        <v>1.6200000000000045</v>
      </c>
      <c r="O7443">
        <f t="shared" si="3148"/>
        <v>90.92</v>
      </c>
      <c r="P7443">
        <f t="shared" si="3149"/>
        <v>0.23456790123456445</v>
      </c>
      <c r="Q7443" t="str">
        <f t="shared" si="3139"/>
        <v>1.1% | 0.68%</v>
      </c>
      <c r="R7443" t="str">
        <f t="shared" si="3150"/>
        <v>BEARISH</v>
      </c>
      <c r="S7443">
        <f t="shared" si="3151"/>
        <v>-1</v>
      </c>
    </row>
    <row r="7444" spans="1:19" hidden="1" x14ac:dyDescent="0.25">
      <c r="A7444" s="5" t="str">
        <f t="shared" si="3152"/>
        <v>44236EUR/USD</v>
      </c>
      <c r="B7444" s="6" t="s">
        <v>99</v>
      </c>
      <c r="C7444" s="6">
        <v>1.196</v>
      </c>
      <c r="D7444" s="6">
        <v>1.2190000000000001</v>
      </c>
      <c r="E7444" s="6">
        <v>1.2050000000000001</v>
      </c>
      <c r="F7444" t="str">
        <f t="shared" si="3140"/>
        <v>TUE</v>
      </c>
      <c r="G7444" s="3">
        <f t="shared" si="3141"/>
        <v>44236</v>
      </c>
      <c r="H7444" s="2">
        <f t="shared" ca="1" si="3142"/>
        <v>17</v>
      </c>
      <c r="I7444" t="str">
        <f t="shared" si="3143"/>
        <v>EUR/USD</v>
      </c>
      <c r="J7444">
        <f t="shared" si="3144"/>
        <v>1.196</v>
      </c>
      <c r="K7444">
        <f t="shared" si="3145"/>
        <v>1.2190000000000001</v>
      </c>
      <c r="L7444">
        <f t="shared" si="3146"/>
        <v>1.2075</v>
      </c>
      <c r="M7444">
        <f t="shared" si="3147"/>
        <v>1.1500000000000066E-2</v>
      </c>
      <c r="N7444">
        <f t="shared" si="3138"/>
        <v>2.3000000000000131E-2</v>
      </c>
      <c r="O7444">
        <f t="shared" si="3148"/>
        <v>1.2050000000000001</v>
      </c>
      <c r="P7444">
        <f t="shared" si="3149"/>
        <v>-0.2173913043478202</v>
      </c>
      <c r="Q7444" t="str">
        <f t="shared" si="3139"/>
        <v>0.75% | 1.16%</v>
      </c>
      <c r="R7444" t="str">
        <f t="shared" si="3150"/>
        <v>BULLISH</v>
      </c>
      <c r="S7444">
        <f t="shared" si="3151"/>
        <v>1</v>
      </c>
    </row>
    <row r="7445" spans="1:19" hidden="1" x14ac:dyDescent="0.25">
      <c r="A7445" s="5" t="str">
        <f t="shared" si="3152"/>
        <v>44236USD/JPY</v>
      </c>
      <c r="B7445" s="6" t="s">
        <v>86</v>
      </c>
      <c r="C7445" s="6">
        <v>103.91</v>
      </c>
      <c r="D7445" s="6">
        <v>105.9</v>
      </c>
      <c r="E7445" s="6">
        <v>105.25</v>
      </c>
      <c r="F7445" t="str">
        <f t="shared" si="3140"/>
        <v>TUE</v>
      </c>
      <c r="G7445" s="3">
        <f t="shared" si="3141"/>
        <v>44236</v>
      </c>
      <c r="H7445" s="2">
        <f t="shared" ca="1" si="3142"/>
        <v>17</v>
      </c>
      <c r="I7445" t="str">
        <f t="shared" si="3143"/>
        <v>USD/JPY</v>
      </c>
      <c r="J7445">
        <f t="shared" si="3144"/>
        <v>103.91</v>
      </c>
      <c r="K7445">
        <f t="shared" si="3145"/>
        <v>105.9</v>
      </c>
      <c r="L7445">
        <f t="shared" si="3146"/>
        <v>104.905</v>
      </c>
      <c r="M7445">
        <f t="shared" si="3147"/>
        <v>0.99500000000000455</v>
      </c>
      <c r="N7445">
        <f t="shared" si="3138"/>
        <v>1.9900000000000091</v>
      </c>
      <c r="O7445">
        <f t="shared" si="3148"/>
        <v>105.25</v>
      </c>
      <c r="P7445">
        <f t="shared" si="3149"/>
        <v>0.34673366834170583</v>
      </c>
      <c r="Q7445" t="str">
        <f t="shared" si="3139"/>
        <v>1.27% | 0.62%</v>
      </c>
      <c r="R7445" t="str">
        <f t="shared" si="3150"/>
        <v>NEUTRAL</v>
      </c>
      <c r="S7445">
        <f t="shared" si="3151"/>
        <v>0</v>
      </c>
    </row>
    <row r="7446" spans="1:19" hidden="1" x14ac:dyDescent="0.25">
      <c r="A7446" s="5" t="str">
        <f t="shared" si="3152"/>
        <v>44236GBP/USD</v>
      </c>
      <c r="B7446" s="6" t="s">
        <v>102</v>
      </c>
      <c r="C7446" s="6">
        <v>1.3640000000000001</v>
      </c>
      <c r="D7446" s="6">
        <v>1.3779999999999999</v>
      </c>
      <c r="E7446" s="6">
        <v>1.3740000000000001</v>
      </c>
      <c r="F7446" t="str">
        <f t="shared" si="3140"/>
        <v>TUE</v>
      </c>
      <c r="G7446" s="3">
        <f t="shared" si="3141"/>
        <v>44236</v>
      </c>
      <c r="H7446" s="2">
        <f t="shared" ca="1" si="3142"/>
        <v>17</v>
      </c>
      <c r="I7446" t="str">
        <f t="shared" si="3143"/>
        <v>GBP/USD</v>
      </c>
      <c r="J7446">
        <f t="shared" si="3144"/>
        <v>1.3640000000000001</v>
      </c>
      <c r="K7446">
        <f t="shared" si="3145"/>
        <v>1.3779999999999999</v>
      </c>
      <c r="L7446">
        <f t="shared" si="3146"/>
        <v>1.371</v>
      </c>
      <c r="M7446">
        <f t="shared" si="3147"/>
        <v>6.9999999999998952E-3</v>
      </c>
      <c r="N7446">
        <f t="shared" si="3138"/>
        <v>1.399999999999979E-2</v>
      </c>
      <c r="O7446">
        <f t="shared" si="3148"/>
        <v>1.3740000000000001</v>
      </c>
      <c r="P7446">
        <f t="shared" si="3149"/>
        <v>0.42857142857145125</v>
      </c>
      <c r="Q7446" t="str">
        <f t="shared" si="3139"/>
        <v>0.73% | 0.29%</v>
      </c>
      <c r="R7446" t="str">
        <f t="shared" si="3150"/>
        <v>BULLISH</v>
      </c>
      <c r="S7446">
        <f t="shared" si="3151"/>
        <v>1</v>
      </c>
    </row>
    <row r="7447" spans="1:19" hidden="1" x14ac:dyDescent="0.25">
      <c r="A7447" s="5" t="str">
        <f t="shared" si="3152"/>
        <v>44236CAD/USD</v>
      </c>
      <c r="B7447" s="6" t="s">
        <v>244</v>
      </c>
      <c r="C7447" s="6">
        <v>0.77</v>
      </c>
      <c r="D7447" s="6">
        <v>0.79</v>
      </c>
      <c r="E7447" s="6">
        <v>0.78</v>
      </c>
      <c r="F7447" t="str">
        <f t="shared" si="3140"/>
        <v>TUE</v>
      </c>
      <c r="G7447" s="3">
        <f t="shared" si="3141"/>
        <v>44236</v>
      </c>
      <c r="H7447" s="2">
        <f t="shared" ca="1" si="3142"/>
        <v>17</v>
      </c>
      <c r="I7447" t="str">
        <f t="shared" si="3143"/>
        <v>CAD/USD</v>
      </c>
      <c r="J7447">
        <f t="shared" si="3144"/>
        <v>0.77</v>
      </c>
      <c r="K7447">
        <f t="shared" si="3145"/>
        <v>0.79</v>
      </c>
      <c r="L7447">
        <f t="shared" si="3146"/>
        <v>0.78</v>
      </c>
      <c r="M7447">
        <f t="shared" si="3147"/>
        <v>1.0000000000000009E-2</v>
      </c>
      <c r="N7447">
        <f t="shared" si="3138"/>
        <v>2.0000000000000018E-2</v>
      </c>
      <c r="O7447">
        <f t="shared" si="3148"/>
        <v>0.78</v>
      </c>
      <c r="P7447">
        <f t="shared" si="3149"/>
        <v>0</v>
      </c>
      <c r="Q7447" t="str">
        <f t="shared" si="3139"/>
        <v>1.28% | 1.28%</v>
      </c>
      <c r="R7447" t="str">
        <f t="shared" si="3150"/>
        <v>BULLISH</v>
      </c>
      <c r="S7447">
        <f t="shared" si="3151"/>
        <v>1</v>
      </c>
    </row>
    <row r="7448" spans="1:19" hidden="1" x14ac:dyDescent="0.25">
      <c r="A7448" s="5" t="str">
        <f t="shared" si="3152"/>
        <v>44236USD/CHF</v>
      </c>
      <c r="B7448" s="6" t="s">
        <v>76</v>
      </c>
      <c r="C7448" s="6">
        <v>0.88</v>
      </c>
      <c r="D7448" s="6">
        <v>0.9</v>
      </c>
      <c r="E7448" s="6">
        <v>0.89</v>
      </c>
      <c r="F7448" t="str">
        <f t="shared" si="3140"/>
        <v>TUE</v>
      </c>
      <c r="G7448" s="3">
        <f t="shared" si="3141"/>
        <v>44236</v>
      </c>
      <c r="H7448" s="2">
        <f t="shared" ca="1" si="3142"/>
        <v>17</v>
      </c>
      <c r="I7448" t="str">
        <f t="shared" si="3143"/>
        <v>USD/CHF</v>
      </c>
      <c r="J7448">
        <f t="shared" si="3144"/>
        <v>0.88</v>
      </c>
      <c r="K7448">
        <f t="shared" si="3145"/>
        <v>0.9</v>
      </c>
      <c r="L7448">
        <f t="shared" si="3146"/>
        <v>0.89</v>
      </c>
      <c r="M7448">
        <f t="shared" si="3147"/>
        <v>1.0000000000000009E-2</v>
      </c>
      <c r="N7448">
        <f t="shared" si="3138"/>
        <v>2.0000000000000018E-2</v>
      </c>
      <c r="O7448">
        <f t="shared" si="3148"/>
        <v>0.89</v>
      </c>
      <c r="P7448">
        <f t="shared" si="3149"/>
        <v>0</v>
      </c>
      <c r="Q7448" t="str">
        <f t="shared" si="3139"/>
        <v>1.12% | 1.12%</v>
      </c>
      <c r="R7448" t="str">
        <f t="shared" si="3150"/>
        <v>BEARISH</v>
      </c>
      <c r="S7448">
        <f t="shared" si="3151"/>
        <v>-1</v>
      </c>
    </row>
    <row r="7449" spans="1:19" hidden="1" x14ac:dyDescent="0.25">
      <c r="A7449" s="5" t="str">
        <f t="shared" si="3152"/>
        <v>44236WTIC</v>
      </c>
      <c r="B7449" s="6" t="s">
        <v>158</v>
      </c>
      <c r="C7449" s="6">
        <v>52.76</v>
      </c>
      <c r="D7449" s="6">
        <v>58.77</v>
      </c>
      <c r="E7449" s="6">
        <v>57.97</v>
      </c>
      <c r="F7449" t="str">
        <f t="shared" si="3140"/>
        <v>TUE</v>
      </c>
      <c r="G7449" s="3">
        <f t="shared" si="3141"/>
        <v>44236</v>
      </c>
      <c r="H7449" s="2">
        <f t="shared" ca="1" si="3142"/>
        <v>17</v>
      </c>
      <c r="I7449" t="str">
        <f t="shared" si="3143"/>
        <v>WTIC</v>
      </c>
      <c r="J7449">
        <f t="shared" si="3144"/>
        <v>52.76</v>
      </c>
      <c r="K7449">
        <f t="shared" si="3145"/>
        <v>58.77</v>
      </c>
      <c r="L7449">
        <f t="shared" si="3146"/>
        <v>55.765000000000001</v>
      </c>
      <c r="M7449">
        <f t="shared" si="3147"/>
        <v>3.0050000000000026</v>
      </c>
      <c r="N7449">
        <f t="shared" si="3138"/>
        <v>6.0100000000000051</v>
      </c>
      <c r="O7449">
        <f t="shared" si="3148"/>
        <v>57.97</v>
      </c>
      <c r="P7449">
        <f t="shared" si="3149"/>
        <v>0.73377703826954954</v>
      </c>
      <c r="Q7449" t="str">
        <f t="shared" si="3139"/>
        <v>8.99% | 1.38%</v>
      </c>
      <c r="R7449" t="str">
        <f t="shared" si="3150"/>
        <v>BULLISH</v>
      </c>
      <c r="S7449">
        <f t="shared" si="3151"/>
        <v>1</v>
      </c>
    </row>
    <row r="7450" spans="1:19" hidden="1" x14ac:dyDescent="0.25">
      <c r="A7450" s="5" t="str">
        <f t="shared" si="3152"/>
        <v>44236NATGAS</v>
      </c>
      <c r="B7450" s="6" t="s">
        <v>89</v>
      </c>
      <c r="C7450" s="6">
        <v>2.5499999999999998</v>
      </c>
      <c r="D7450" s="6">
        <v>3.03</v>
      </c>
      <c r="E7450" s="6">
        <v>2.88</v>
      </c>
      <c r="F7450" t="str">
        <f t="shared" si="3140"/>
        <v>TUE</v>
      </c>
      <c r="G7450" s="3">
        <f t="shared" si="3141"/>
        <v>44236</v>
      </c>
      <c r="H7450" s="2">
        <f t="shared" ca="1" si="3142"/>
        <v>17</v>
      </c>
      <c r="I7450" t="str">
        <f t="shared" si="3143"/>
        <v>NATGAS</v>
      </c>
      <c r="J7450">
        <f t="shared" si="3144"/>
        <v>2.5499999999999998</v>
      </c>
      <c r="K7450">
        <f t="shared" si="3145"/>
        <v>3.03</v>
      </c>
      <c r="L7450">
        <f t="shared" si="3146"/>
        <v>2.79</v>
      </c>
      <c r="M7450">
        <f t="shared" si="3147"/>
        <v>0.24</v>
      </c>
      <c r="N7450">
        <f t="shared" si="3138"/>
        <v>0.48</v>
      </c>
      <c r="O7450">
        <f t="shared" si="3148"/>
        <v>2.88</v>
      </c>
      <c r="P7450">
        <f t="shared" si="3149"/>
        <v>0.37499999999999944</v>
      </c>
      <c r="Q7450" t="str">
        <f t="shared" si="3139"/>
        <v>11.46% | 5.21%</v>
      </c>
      <c r="R7450" t="str">
        <f t="shared" si="3150"/>
        <v>BULLISH</v>
      </c>
      <c r="S7450">
        <f t="shared" si="3151"/>
        <v>1</v>
      </c>
    </row>
    <row r="7451" spans="1:19" hidden="1" x14ac:dyDescent="0.25">
      <c r="A7451" s="5" t="str">
        <f t="shared" si="3152"/>
        <v>44236GOLD</v>
      </c>
      <c r="B7451" s="6" t="s">
        <v>85</v>
      </c>
      <c r="C7451" s="6">
        <v>1792</v>
      </c>
      <c r="D7451" s="6">
        <v>1864</v>
      </c>
      <c r="E7451" s="6">
        <v>1834</v>
      </c>
      <c r="F7451" t="str">
        <f t="shared" si="3140"/>
        <v>TUE</v>
      </c>
      <c r="G7451" s="3">
        <f t="shared" si="3141"/>
        <v>44236</v>
      </c>
      <c r="H7451" s="2">
        <f t="shared" ca="1" si="3142"/>
        <v>17</v>
      </c>
      <c r="I7451" t="str">
        <f t="shared" si="3143"/>
        <v>GOLD</v>
      </c>
      <c r="J7451">
        <f t="shared" si="3144"/>
        <v>1792</v>
      </c>
      <c r="K7451">
        <f t="shared" si="3145"/>
        <v>1864</v>
      </c>
      <c r="L7451">
        <f t="shared" si="3146"/>
        <v>1828</v>
      </c>
      <c r="M7451">
        <f t="shared" si="3147"/>
        <v>36</v>
      </c>
      <c r="N7451">
        <f t="shared" si="3138"/>
        <v>72</v>
      </c>
      <c r="O7451">
        <f t="shared" si="3148"/>
        <v>1834</v>
      </c>
      <c r="P7451">
        <f t="shared" si="3149"/>
        <v>0.16666666666666666</v>
      </c>
      <c r="Q7451" t="str">
        <f t="shared" si="3139"/>
        <v>2.29% | 1.64%</v>
      </c>
      <c r="R7451" t="str">
        <f t="shared" si="3150"/>
        <v>BEARISH</v>
      </c>
      <c r="S7451">
        <f t="shared" si="3151"/>
        <v>-1</v>
      </c>
    </row>
    <row r="7452" spans="1:19" hidden="1" x14ac:dyDescent="0.25">
      <c r="A7452" s="5" t="str">
        <f t="shared" si="3152"/>
        <v>44236COPPER</v>
      </c>
      <c r="B7452" s="6" t="s">
        <v>100</v>
      </c>
      <c r="C7452" s="6">
        <v>3.5</v>
      </c>
      <c r="D7452" s="6">
        <v>3.71</v>
      </c>
      <c r="E7452" s="6">
        <v>3.67</v>
      </c>
      <c r="F7452" t="str">
        <f t="shared" si="3140"/>
        <v>TUE</v>
      </c>
      <c r="G7452" s="3">
        <f t="shared" si="3141"/>
        <v>44236</v>
      </c>
      <c r="H7452" s="2">
        <f t="shared" ca="1" si="3142"/>
        <v>17</v>
      </c>
      <c r="I7452" t="str">
        <f t="shared" si="3143"/>
        <v>COPPER</v>
      </c>
      <c r="J7452">
        <f t="shared" si="3144"/>
        <v>3.5</v>
      </c>
      <c r="K7452">
        <f t="shared" si="3145"/>
        <v>3.71</v>
      </c>
      <c r="L7452">
        <f t="shared" si="3146"/>
        <v>3.605</v>
      </c>
      <c r="M7452">
        <f t="shared" si="3147"/>
        <v>0.10499999999999998</v>
      </c>
      <c r="N7452">
        <f t="shared" si="3138"/>
        <v>0.20999999999999996</v>
      </c>
      <c r="O7452">
        <f t="shared" si="3148"/>
        <v>3.67</v>
      </c>
      <c r="P7452">
        <f t="shared" si="3149"/>
        <v>0.61904761904761862</v>
      </c>
      <c r="Q7452" t="str">
        <f t="shared" si="3139"/>
        <v>4.63% | 1.09%</v>
      </c>
      <c r="R7452" t="str">
        <f t="shared" si="3150"/>
        <v>BULLISH</v>
      </c>
      <c r="S7452">
        <f t="shared" si="3151"/>
        <v>1</v>
      </c>
    </row>
    <row r="7453" spans="1:19" hidden="1" x14ac:dyDescent="0.25">
      <c r="A7453" s="5" t="str">
        <f t="shared" si="3152"/>
        <v>44236SILVER</v>
      </c>
      <c r="B7453" s="6" t="s">
        <v>195</v>
      </c>
      <c r="C7453" s="6">
        <v>25.34</v>
      </c>
      <c r="D7453" s="6">
        <v>29.15</v>
      </c>
      <c r="E7453" s="6">
        <v>27.58</v>
      </c>
      <c r="F7453" t="str">
        <f t="shared" si="3140"/>
        <v>TUE</v>
      </c>
      <c r="G7453" s="3">
        <f t="shared" si="3141"/>
        <v>44236</v>
      </c>
      <c r="H7453" s="2">
        <f t="shared" ca="1" si="3142"/>
        <v>17</v>
      </c>
      <c r="I7453" t="str">
        <f t="shared" si="3143"/>
        <v>SILVER</v>
      </c>
      <c r="J7453">
        <f t="shared" si="3144"/>
        <v>25.34</v>
      </c>
      <c r="K7453">
        <f t="shared" si="3145"/>
        <v>29.15</v>
      </c>
      <c r="L7453">
        <f t="shared" si="3146"/>
        <v>27.244999999999997</v>
      </c>
      <c r="M7453">
        <f t="shared" si="3147"/>
        <v>1.9049999999999994</v>
      </c>
      <c r="N7453">
        <f t="shared" si="3138"/>
        <v>3.8099999999999987</v>
      </c>
      <c r="O7453">
        <f t="shared" si="3148"/>
        <v>27.58</v>
      </c>
      <c r="P7453">
        <f t="shared" si="3149"/>
        <v>0.17585301837270392</v>
      </c>
      <c r="Q7453" t="str">
        <f t="shared" si="3139"/>
        <v>8.12% | 5.69%</v>
      </c>
      <c r="R7453" t="str">
        <f t="shared" si="3150"/>
        <v>BULLISH</v>
      </c>
      <c r="S7453">
        <f t="shared" si="3151"/>
        <v>1</v>
      </c>
    </row>
    <row r="7454" spans="1:19" hidden="1" x14ac:dyDescent="0.25">
      <c r="A7454" s="5" t="str">
        <f t="shared" si="3152"/>
        <v>44236MSFT</v>
      </c>
      <c r="B7454" s="6" t="s">
        <v>27</v>
      </c>
      <c r="C7454" s="6">
        <v>236</v>
      </c>
      <c r="D7454" s="6">
        <v>247</v>
      </c>
      <c r="E7454" s="6">
        <v>242</v>
      </c>
      <c r="F7454" t="str">
        <f t="shared" si="3140"/>
        <v>TUE</v>
      </c>
      <c r="G7454" s="3">
        <f t="shared" si="3141"/>
        <v>44236</v>
      </c>
      <c r="H7454" s="2">
        <f t="shared" ca="1" si="3142"/>
        <v>17</v>
      </c>
      <c r="I7454" t="str">
        <f t="shared" si="3143"/>
        <v>MSFT</v>
      </c>
      <c r="J7454">
        <f t="shared" si="3144"/>
        <v>236</v>
      </c>
      <c r="K7454">
        <f t="shared" si="3145"/>
        <v>247</v>
      </c>
      <c r="L7454">
        <f t="shared" si="3146"/>
        <v>241.5</v>
      </c>
      <c r="M7454">
        <f t="shared" si="3147"/>
        <v>5.5</v>
      </c>
      <c r="N7454">
        <f t="shared" si="3138"/>
        <v>11</v>
      </c>
      <c r="O7454">
        <f t="shared" si="3148"/>
        <v>242</v>
      </c>
      <c r="P7454">
        <f t="shared" si="3149"/>
        <v>9.0909090909090912E-2</v>
      </c>
      <c r="Q7454" t="str">
        <f t="shared" si="3139"/>
        <v>2.48% | 2.07%</v>
      </c>
      <c r="R7454" t="str">
        <f t="shared" si="3150"/>
        <v>BULLISH</v>
      </c>
      <c r="S7454">
        <f t="shared" si="3151"/>
        <v>1</v>
      </c>
    </row>
    <row r="7455" spans="1:19" hidden="1" x14ac:dyDescent="0.25">
      <c r="A7455" s="5" t="str">
        <f t="shared" si="3152"/>
        <v>44236AAPL</v>
      </c>
      <c r="B7455" s="6" t="s">
        <v>28</v>
      </c>
      <c r="C7455" s="6">
        <v>130</v>
      </c>
      <c r="D7455" s="6">
        <v>142</v>
      </c>
      <c r="E7455" s="6">
        <v>136</v>
      </c>
      <c r="F7455" t="str">
        <f t="shared" si="3140"/>
        <v>TUE</v>
      </c>
      <c r="G7455" s="3">
        <f t="shared" si="3141"/>
        <v>44236</v>
      </c>
      <c r="H7455" s="2">
        <f t="shared" ca="1" si="3142"/>
        <v>17</v>
      </c>
      <c r="I7455" t="str">
        <f t="shared" si="3143"/>
        <v>AAPL</v>
      </c>
      <c r="J7455">
        <f t="shared" si="3144"/>
        <v>130</v>
      </c>
      <c r="K7455">
        <f t="shared" si="3145"/>
        <v>142</v>
      </c>
      <c r="L7455">
        <f t="shared" si="3146"/>
        <v>136</v>
      </c>
      <c r="M7455">
        <f t="shared" si="3147"/>
        <v>6</v>
      </c>
      <c r="N7455">
        <f t="shared" si="3138"/>
        <v>12</v>
      </c>
      <c r="O7455">
        <f t="shared" si="3148"/>
        <v>136</v>
      </c>
      <c r="P7455">
        <f t="shared" si="3149"/>
        <v>0</v>
      </c>
      <c r="Q7455" t="str">
        <f t="shared" si="3139"/>
        <v>4.41% | 4.41%</v>
      </c>
      <c r="R7455" t="str">
        <f t="shared" si="3150"/>
        <v>BULLISH</v>
      </c>
      <c r="S7455">
        <f t="shared" si="3151"/>
        <v>1</v>
      </c>
    </row>
    <row r="7456" spans="1:19" hidden="1" x14ac:dyDescent="0.25">
      <c r="A7456" s="5" t="str">
        <f t="shared" si="3152"/>
        <v>44236AMZN</v>
      </c>
      <c r="B7456" s="6" t="s">
        <v>29</v>
      </c>
      <c r="C7456" s="6">
        <v>3248</v>
      </c>
      <c r="D7456" s="6">
        <v>3420</v>
      </c>
      <c r="E7456" s="6">
        <v>3322</v>
      </c>
      <c r="F7456" t="str">
        <f t="shared" si="3140"/>
        <v>TUE</v>
      </c>
      <c r="G7456" s="3">
        <f t="shared" si="3141"/>
        <v>44236</v>
      </c>
      <c r="H7456" s="2">
        <f t="shared" ca="1" si="3142"/>
        <v>17</v>
      </c>
      <c r="I7456" t="str">
        <f t="shared" si="3143"/>
        <v>AMZN</v>
      </c>
      <c r="J7456">
        <f t="shared" si="3144"/>
        <v>3248</v>
      </c>
      <c r="K7456">
        <f t="shared" si="3145"/>
        <v>3420</v>
      </c>
      <c r="L7456">
        <f t="shared" si="3146"/>
        <v>3334</v>
      </c>
      <c r="M7456">
        <f t="shared" si="3147"/>
        <v>86</v>
      </c>
      <c r="N7456">
        <f t="shared" si="3138"/>
        <v>172</v>
      </c>
      <c r="O7456">
        <f t="shared" si="3148"/>
        <v>3322</v>
      </c>
      <c r="P7456">
        <f t="shared" si="3149"/>
        <v>-0.13953488372093023</v>
      </c>
      <c r="Q7456" t="str">
        <f t="shared" si="3139"/>
        <v>2.23% | 2.95%</v>
      </c>
      <c r="R7456" t="str">
        <f t="shared" si="3150"/>
        <v>BULLISH</v>
      </c>
      <c r="S7456">
        <f t="shared" si="3151"/>
        <v>1</v>
      </c>
    </row>
    <row r="7457" spans="1:19" hidden="1" x14ac:dyDescent="0.25">
      <c r="A7457" s="5" t="str">
        <f t="shared" si="3152"/>
        <v>44236FB</v>
      </c>
      <c r="B7457" s="6" t="s">
        <v>58</v>
      </c>
      <c r="C7457" s="6">
        <v>256</v>
      </c>
      <c r="D7457" s="6">
        <v>275</v>
      </c>
      <c r="E7457" s="6">
        <v>266</v>
      </c>
      <c r="F7457" t="str">
        <f t="shared" si="3140"/>
        <v>TUE</v>
      </c>
      <c r="G7457" s="3">
        <f t="shared" si="3141"/>
        <v>44236</v>
      </c>
      <c r="H7457" s="2">
        <f t="shared" ca="1" si="3142"/>
        <v>17</v>
      </c>
      <c r="I7457" t="str">
        <f t="shared" si="3143"/>
        <v>FB</v>
      </c>
      <c r="J7457">
        <f t="shared" si="3144"/>
        <v>256</v>
      </c>
      <c r="K7457">
        <f t="shared" si="3145"/>
        <v>275</v>
      </c>
      <c r="L7457">
        <f t="shared" si="3146"/>
        <v>265.5</v>
      </c>
      <c r="M7457">
        <f t="shared" si="3147"/>
        <v>9.5</v>
      </c>
      <c r="N7457">
        <f t="shared" si="3138"/>
        <v>19</v>
      </c>
      <c r="O7457">
        <f t="shared" si="3148"/>
        <v>266</v>
      </c>
      <c r="P7457">
        <f t="shared" si="3149"/>
        <v>5.2631578947368418E-2</v>
      </c>
      <c r="Q7457" t="str">
        <f t="shared" si="3139"/>
        <v>3.76% | 3.38%</v>
      </c>
      <c r="R7457" t="str">
        <f t="shared" si="3150"/>
        <v>BEARISH</v>
      </c>
      <c r="S7457">
        <f t="shared" si="3151"/>
        <v>-1</v>
      </c>
    </row>
    <row r="7458" spans="1:19" hidden="1" x14ac:dyDescent="0.25">
      <c r="A7458" s="5" t="str">
        <f t="shared" si="3152"/>
        <v>44236GOOGL</v>
      </c>
      <c r="B7458" s="6" t="s">
        <v>31</v>
      </c>
      <c r="C7458" s="6">
        <v>1955</v>
      </c>
      <c r="D7458" s="6">
        <v>2172</v>
      </c>
      <c r="E7458" s="6">
        <v>2084</v>
      </c>
      <c r="F7458" t="str">
        <f t="shared" si="3140"/>
        <v>TUE</v>
      </c>
      <c r="G7458" s="3">
        <f t="shared" si="3141"/>
        <v>44236</v>
      </c>
      <c r="H7458" s="2">
        <f t="shared" ca="1" si="3142"/>
        <v>17</v>
      </c>
      <c r="I7458" t="str">
        <f t="shared" si="3143"/>
        <v>GOOGL</v>
      </c>
      <c r="J7458">
        <f t="shared" si="3144"/>
        <v>1955</v>
      </c>
      <c r="K7458">
        <f t="shared" si="3145"/>
        <v>2172</v>
      </c>
      <c r="L7458">
        <f t="shared" si="3146"/>
        <v>2063.5</v>
      </c>
      <c r="M7458">
        <f t="shared" si="3147"/>
        <v>108.5</v>
      </c>
      <c r="N7458">
        <f t="shared" si="3138"/>
        <v>217</v>
      </c>
      <c r="O7458">
        <f t="shared" si="3148"/>
        <v>2084</v>
      </c>
      <c r="P7458">
        <f t="shared" si="3149"/>
        <v>0.1889400921658986</v>
      </c>
      <c r="Q7458" t="str">
        <f t="shared" si="3139"/>
        <v>6.19% | 4.22%</v>
      </c>
      <c r="R7458" t="str">
        <f t="shared" si="3150"/>
        <v>BULLISH</v>
      </c>
      <c r="S7458">
        <f t="shared" si="3151"/>
        <v>1</v>
      </c>
    </row>
    <row r="7459" spans="1:19" hidden="1" x14ac:dyDescent="0.25">
      <c r="A7459" s="5" t="str">
        <f t="shared" si="3152"/>
        <v>44236NFLX</v>
      </c>
      <c r="B7459" s="6" t="s">
        <v>32</v>
      </c>
      <c r="C7459" s="6">
        <v>522</v>
      </c>
      <c r="D7459" s="6">
        <v>561</v>
      </c>
      <c r="E7459" s="6">
        <v>547</v>
      </c>
      <c r="F7459" t="str">
        <f t="shared" si="3140"/>
        <v>TUE</v>
      </c>
      <c r="G7459" s="3">
        <f t="shared" si="3141"/>
        <v>44236</v>
      </c>
      <c r="H7459" s="2">
        <f t="shared" ca="1" si="3142"/>
        <v>17</v>
      </c>
      <c r="I7459" t="str">
        <f t="shared" si="3143"/>
        <v>NFLX</v>
      </c>
      <c r="J7459">
        <f t="shared" si="3144"/>
        <v>522</v>
      </c>
      <c r="K7459">
        <f t="shared" si="3145"/>
        <v>561</v>
      </c>
      <c r="L7459">
        <f t="shared" si="3146"/>
        <v>541.5</v>
      </c>
      <c r="M7459">
        <f t="shared" si="3147"/>
        <v>19.5</v>
      </c>
      <c r="N7459">
        <f t="shared" si="3138"/>
        <v>39</v>
      </c>
      <c r="O7459">
        <f t="shared" si="3148"/>
        <v>547</v>
      </c>
      <c r="P7459">
        <f t="shared" si="3149"/>
        <v>0.28205128205128205</v>
      </c>
      <c r="Q7459" t="str">
        <f t="shared" si="3139"/>
        <v>4.57% | 2.56%</v>
      </c>
      <c r="R7459" t="str">
        <f t="shared" si="3150"/>
        <v>BULLISH</v>
      </c>
      <c r="S7459">
        <f t="shared" si="3151"/>
        <v>1</v>
      </c>
    </row>
    <row r="7460" spans="1:19" x14ac:dyDescent="0.25">
      <c r="A7460" s="5" t="str">
        <f t="shared" si="3152"/>
        <v>44236TSLA</v>
      </c>
      <c r="B7460" s="6" t="s">
        <v>33</v>
      </c>
      <c r="C7460" s="6">
        <v>799</v>
      </c>
      <c r="D7460" s="6">
        <v>895</v>
      </c>
      <c r="E7460" s="6">
        <v>863</v>
      </c>
      <c r="F7460" t="str">
        <f t="shared" si="3140"/>
        <v>TUE</v>
      </c>
      <c r="G7460" s="3">
        <f t="shared" si="3141"/>
        <v>44236</v>
      </c>
      <c r="H7460" s="2">
        <f t="shared" ca="1" si="3142"/>
        <v>17</v>
      </c>
      <c r="I7460" t="str">
        <f t="shared" si="3143"/>
        <v>TSLA</v>
      </c>
      <c r="J7460">
        <f t="shared" si="3144"/>
        <v>799</v>
      </c>
      <c r="K7460">
        <f t="shared" si="3145"/>
        <v>895</v>
      </c>
      <c r="L7460">
        <f t="shared" si="3146"/>
        <v>847</v>
      </c>
      <c r="M7460">
        <f t="shared" si="3147"/>
        <v>48</v>
      </c>
      <c r="N7460">
        <f t="shared" si="3138"/>
        <v>96</v>
      </c>
      <c r="O7460">
        <f t="shared" si="3148"/>
        <v>863</v>
      </c>
      <c r="P7460">
        <f t="shared" si="3149"/>
        <v>0.33333333333333331</v>
      </c>
      <c r="Q7460" t="str">
        <f t="shared" si="3139"/>
        <v>7.42% | 3.71%</v>
      </c>
      <c r="R7460" t="str">
        <f t="shared" si="3150"/>
        <v>BULLISH</v>
      </c>
      <c r="S7460">
        <f t="shared" si="3151"/>
        <v>1</v>
      </c>
    </row>
    <row r="7461" spans="1:19" hidden="1" x14ac:dyDescent="0.25">
      <c r="A7461" s="5" t="str">
        <f t="shared" si="3152"/>
        <v>44236NYXBT</v>
      </c>
      <c r="B7461" s="6" t="s">
        <v>60</v>
      </c>
      <c r="C7461" s="6">
        <v>35963</v>
      </c>
      <c r="D7461" s="6">
        <v>47708</v>
      </c>
      <c r="E7461" s="6">
        <v>43786</v>
      </c>
      <c r="F7461" t="str">
        <f t="shared" si="3140"/>
        <v>TUE</v>
      </c>
      <c r="G7461" s="3">
        <f t="shared" si="3141"/>
        <v>44236</v>
      </c>
      <c r="H7461" s="2">
        <f t="shared" ca="1" si="3142"/>
        <v>17</v>
      </c>
      <c r="I7461" t="str">
        <f t="shared" si="3143"/>
        <v>NYXBT</v>
      </c>
      <c r="J7461">
        <f t="shared" si="3144"/>
        <v>35963</v>
      </c>
      <c r="K7461">
        <f t="shared" si="3145"/>
        <v>47708</v>
      </c>
      <c r="L7461">
        <f t="shared" si="3146"/>
        <v>41835.5</v>
      </c>
      <c r="M7461">
        <f t="shared" si="3147"/>
        <v>5872.5</v>
      </c>
      <c r="N7461">
        <f t="shared" si="3138"/>
        <v>11745</v>
      </c>
      <c r="O7461">
        <f t="shared" si="3148"/>
        <v>43786</v>
      </c>
      <c r="P7461">
        <f t="shared" si="3149"/>
        <v>0.3321413367390379</v>
      </c>
      <c r="Q7461" t="str">
        <f t="shared" si="3139"/>
        <v>17.87% | 8.96%</v>
      </c>
      <c r="R7461" t="str">
        <f t="shared" si="3150"/>
        <v>BULLISH</v>
      </c>
      <c r="S7461">
        <f t="shared" si="3151"/>
        <v>1</v>
      </c>
    </row>
    <row r="7462" spans="1:19" hidden="1" x14ac:dyDescent="0.25">
      <c r="A7462" s="5" t="str">
        <f t="shared" si="3152"/>
        <v>44237UST10Y</v>
      </c>
      <c r="B7462" s="6" t="s">
        <v>257</v>
      </c>
      <c r="C7462" s="6">
        <v>1.22</v>
      </c>
      <c r="D7462" s="6">
        <v>1.0900000000000001</v>
      </c>
      <c r="E7462" s="6">
        <v>1.18</v>
      </c>
      <c r="F7462" t="str">
        <f t="shared" si="3140"/>
        <v>WED</v>
      </c>
      <c r="G7462" s="1">
        <f>DATE(2021,2,10)</f>
        <v>44237</v>
      </c>
      <c r="H7462" s="2">
        <f t="shared" ca="1" si="3142"/>
        <v>16</v>
      </c>
      <c r="I7462" t="str">
        <f t="shared" si="3143"/>
        <v>UST10Y</v>
      </c>
      <c r="J7462">
        <f t="shared" si="3144"/>
        <v>1.22</v>
      </c>
      <c r="K7462">
        <f t="shared" si="3145"/>
        <v>1.0900000000000001</v>
      </c>
      <c r="L7462">
        <f t="shared" si="3146"/>
        <v>1.155</v>
      </c>
      <c r="M7462">
        <f t="shared" si="3147"/>
        <v>6.4999999999999947E-2</v>
      </c>
      <c r="N7462">
        <f t="shared" si="3138"/>
        <v>0.12999999999999989</v>
      </c>
      <c r="O7462">
        <f t="shared" si="3148"/>
        <v>1.18</v>
      </c>
      <c r="P7462">
        <f t="shared" si="3149"/>
        <v>0.38461538461538358</v>
      </c>
      <c r="Q7462" t="str">
        <f t="shared" si="3139"/>
        <v>3.39% | 7.63%</v>
      </c>
      <c r="R7462" t="str">
        <f t="shared" si="3150"/>
        <v>BULLISH</v>
      </c>
      <c r="S7462">
        <f t="shared" si="3151"/>
        <v>1</v>
      </c>
    </row>
    <row r="7463" spans="1:19" hidden="1" x14ac:dyDescent="0.25">
      <c r="A7463" s="5" t="str">
        <f t="shared" si="3152"/>
        <v>44237UST2Y</v>
      </c>
      <c r="B7463" s="6" t="s">
        <v>5</v>
      </c>
      <c r="C7463" s="6">
        <v>0.13</v>
      </c>
      <c r="D7463" s="6">
        <v>0.1</v>
      </c>
      <c r="E7463" s="6">
        <v>0.11</v>
      </c>
      <c r="F7463" t="str">
        <f t="shared" ref="F7463:F7494" si="3153">UPPER(TEXT(G7463,"ddd"))</f>
        <v>WED</v>
      </c>
      <c r="G7463" s="1">
        <f t="shared" ref="G7463:G7493" si="3154">DATE(2021,2,10)</f>
        <v>44237</v>
      </c>
      <c r="H7463" s="2">
        <f t="shared" ref="H7463:H7494" ca="1" si="3155">TODAY()-G7463</f>
        <v>16</v>
      </c>
      <c r="I7463" t="str">
        <f t="shared" ref="I7463:I7494" si="3156">TRIM(LEFT(B7463,FIND(" ",B7463,1)))</f>
        <v>UST2Y</v>
      </c>
      <c r="J7463">
        <f t="shared" ref="J7463:J7494" si="3157">C7463</f>
        <v>0.13</v>
      </c>
      <c r="K7463">
        <f t="shared" ref="K7463:K7494" si="3158">D7463</f>
        <v>0.1</v>
      </c>
      <c r="L7463">
        <f t="shared" ref="L7463:L7494" si="3159">AVERAGE(J7463:K7463)</f>
        <v>0.115</v>
      </c>
      <c r="M7463">
        <f t="shared" ref="M7463:M7494" si="3160">_xlfn.STDEV.P(J7463:K7463)</f>
        <v>1.5000000000000041E-2</v>
      </c>
      <c r="N7463">
        <f t="shared" si="3138"/>
        <v>0.03</v>
      </c>
      <c r="O7463">
        <f t="shared" ref="O7463:O7494" si="3161">E7463</f>
        <v>0.11</v>
      </c>
      <c r="P7463">
        <f t="shared" ref="P7463:P7494" si="3162">(O7463-L7463)/M7463</f>
        <v>-0.3333333333333327</v>
      </c>
      <c r="Q7463" t="str">
        <f t="shared" si="3139"/>
        <v>18.18% | 9.09%</v>
      </c>
      <c r="R7463" t="str">
        <f t="shared" ref="R7463:R7494" si="3163">MID(B7463,FIND("(",B7463,1)+1,FIND(")",B7463,1)-FIND("(",B7463,1)-1)</f>
        <v>BEARISH</v>
      </c>
      <c r="S7463">
        <f t="shared" ref="S7463:S7494" si="3164">IF(R7463="BEARISH",-1,IF(R7463="NEUTRAL",0,IF(R7463="BULLISH",1,99)))</f>
        <v>-1</v>
      </c>
    </row>
    <row r="7464" spans="1:19" hidden="1" x14ac:dyDescent="0.25">
      <c r="A7464" s="5" t="str">
        <f t="shared" si="3152"/>
        <v>44237SPX</v>
      </c>
      <c r="B7464" s="6" t="s">
        <v>93</v>
      </c>
      <c r="C7464" s="6">
        <v>3805</v>
      </c>
      <c r="D7464" s="6">
        <v>3965</v>
      </c>
      <c r="E7464" s="6">
        <v>3911</v>
      </c>
      <c r="F7464" t="str">
        <f t="shared" si="3153"/>
        <v>WED</v>
      </c>
      <c r="G7464" s="1">
        <f t="shared" si="3154"/>
        <v>44237</v>
      </c>
      <c r="H7464" s="2">
        <f t="shared" ca="1" si="3155"/>
        <v>16</v>
      </c>
      <c r="I7464" t="str">
        <f t="shared" si="3156"/>
        <v>SPX</v>
      </c>
      <c r="J7464">
        <f t="shared" si="3157"/>
        <v>3805</v>
      </c>
      <c r="K7464">
        <f t="shared" si="3158"/>
        <v>3965</v>
      </c>
      <c r="L7464">
        <f t="shared" si="3159"/>
        <v>3885</v>
      </c>
      <c r="M7464">
        <f t="shared" si="3160"/>
        <v>80</v>
      </c>
      <c r="N7464">
        <f t="shared" si="3138"/>
        <v>160</v>
      </c>
      <c r="O7464">
        <f t="shared" si="3161"/>
        <v>3911</v>
      </c>
      <c r="P7464">
        <f t="shared" si="3162"/>
        <v>0.32500000000000001</v>
      </c>
      <c r="Q7464" t="str">
        <f t="shared" si="3139"/>
        <v>2.71% | 1.38%</v>
      </c>
      <c r="R7464" t="str">
        <f t="shared" si="3163"/>
        <v>BULLISH</v>
      </c>
      <c r="S7464">
        <f t="shared" si="3164"/>
        <v>1</v>
      </c>
    </row>
    <row r="7465" spans="1:19" hidden="1" x14ac:dyDescent="0.25">
      <c r="A7465" s="5" t="str">
        <f t="shared" si="3152"/>
        <v>44237RUT</v>
      </c>
      <c r="B7465" s="6" t="s">
        <v>247</v>
      </c>
      <c r="C7465" s="6">
        <v>2179</v>
      </c>
      <c r="D7465" s="6">
        <v>2330</v>
      </c>
      <c r="E7465" s="6">
        <v>2299</v>
      </c>
      <c r="F7465" t="str">
        <f t="shared" si="3153"/>
        <v>WED</v>
      </c>
      <c r="G7465" s="1">
        <f t="shared" si="3154"/>
        <v>44237</v>
      </c>
      <c r="H7465" s="2">
        <f t="shared" ca="1" si="3155"/>
        <v>16</v>
      </c>
      <c r="I7465" t="str">
        <f t="shared" si="3156"/>
        <v>RUT</v>
      </c>
      <c r="J7465">
        <f t="shared" si="3157"/>
        <v>2179</v>
      </c>
      <c r="K7465">
        <f t="shared" si="3158"/>
        <v>2330</v>
      </c>
      <c r="L7465">
        <f t="shared" si="3159"/>
        <v>2254.5</v>
      </c>
      <c r="M7465">
        <f t="shared" si="3160"/>
        <v>75.5</v>
      </c>
      <c r="N7465">
        <f t="shared" si="3138"/>
        <v>151</v>
      </c>
      <c r="O7465">
        <f t="shared" si="3161"/>
        <v>2299</v>
      </c>
      <c r="P7465">
        <f t="shared" si="3162"/>
        <v>0.58940397350993379</v>
      </c>
      <c r="Q7465" t="str">
        <f t="shared" si="3139"/>
        <v>5.22% | 1.35%</v>
      </c>
      <c r="R7465" t="str">
        <f t="shared" si="3163"/>
        <v>BULLISH</v>
      </c>
      <c r="S7465">
        <f t="shared" si="3164"/>
        <v>1</v>
      </c>
    </row>
    <row r="7466" spans="1:19" hidden="1" x14ac:dyDescent="0.25">
      <c r="A7466" s="5" t="str">
        <f t="shared" si="3152"/>
        <v>44237COMPQ</v>
      </c>
      <c r="B7466" s="6" t="s">
        <v>8</v>
      </c>
      <c r="C7466" s="6">
        <v>13363</v>
      </c>
      <c r="D7466" s="6">
        <v>14225</v>
      </c>
      <c r="E7466" s="6">
        <v>14007</v>
      </c>
      <c r="F7466" t="str">
        <f t="shared" si="3153"/>
        <v>WED</v>
      </c>
      <c r="G7466" s="1">
        <f t="shared" si="3154"/>
        <v>44237</v>
      </c>
      <c r="H7466" s="2">
        <f t="shared" ca="1" si="3155"/>
        <v>16</v>
      </c>
      <c r="I7466" t="str">
        <f t="shared" si="3156"/>
        <v>COMPQ</v>
      </c>
      <c r="J7466">
        <f t="shared" si="3157"/>
        <v>13363</v>
      </c>
      <c r="K7466">
        <f t="shared" si="3158"/>
        <v>14225</v>
      </c>
      <c r="L7466">
        <f t="shared" si="3159"/>
        <v>13794</v>
      </c>
      <c r="M7466">
        <f t="shared" si="3160"/>
        <v>431</v>
      </c>
      <c r="N7466">
        <f t="shared" si="3138"/>
        <v>862</v>
      </c>
      <c r="O7466">
        <f t="shared" si="3161"/>
        <v>14007</v>
      </c>
      <c r="P7466">
        <f t="shared" si="3162"/>
        <v>0.49419953596287702</v>
      </c>
      <c r="Q7466" t="str">
        <f t="shared" si="3139"/>
        <v>4.6% | 1.56%</v>
      </c>
      <c r="R7466" t="str">
        <f t="shared" si="3163"/>
        <v>BULLISH</v>
      </c>
      <c r="S7466">
        <f t="shared" si="3164"/>
        <v>1</v>
      </c>
    </row>
    <row r="7467" spans="1:19" hidden="1" x14ac:dyDescent="0.25">
      <c r="A7467" s="5" t="str">
        <f t="shared" si="3152"/>
        <v>44237XLK</v>
      </c>
      <c r="B7467" s="6" t="s">
        <v>10</v>
      </c>
      <c r="C7467" s="6">
        <v>131.77000000000001</v>
      </c>
      <c r="D7467" s="6">
        <v>138.86000000000001</v>
      </c>
      <c r="E7467" s="6">
        <v>136.58000000000001</v>
      </c>
      <c r="F7467" t="str">
        <f t="shared" si="3153"/>
        <v>WED</v>
      </c>
      <c r="G7467" s="1">
        <f t="shared" si="3154"/>
        <v>44237</v>
      </c>
      <c r="H7467" s="2">
        <f t="shared" ca="1" si="3155"/>
        <v>16</v>
      </c>
      <c r="I7467" t="str">
        <f t="shared" si="3156"/>
        <v>XLK</v>
      </c>
      <c r="J7467">
        <f t="shared" si="3157"/>
        <v>131.77000000000001</v>
      </c>
      <c r="K7467">
        <f t="shared" si="3158"/>
        <v>138.86000000000001</v>
      </c>
      <c r="L7467">
        <f t="shared" si="3159"/>
        <v>135.315</v>
      </c>
      <c r="M7467">
        <f t="shared" si="3160"/>
        <v>3.5450000000000017</v>
      </c>
      <c r="N7467">
        <f t="shared" si="3138"/>
        <v>7.0900000000000034</v>
      </c>
      <c r="O7467">
        <f t="shared" si="3161"/>
        <v>136.58000000000001</v>
      </c>
      <c r="P7467">
        <f t="shared" si="3162"/>
        <v>0.35684062059238764</v>
      </c>
      <c r="Q7467" t="str">
        <f t="shared" si="3139"/>
        <v>3.52% | 1.67%</v>
      </c>
      <c r="R7467" t="str">
        <f t="shared" si="3163"/>
        <v>BULLISH</v>
      </c>
      <c r="S7467">
        <f t="shared" si="3164"/>
        <v>1</v>
      </c>
    </row>
    <row r="7468" spans="1:19" hidden="1" x14ac:dyDescent="0.25">
      <c r="A7468" s="5" t="str">
        <f t="shared" si="3152"/>
        <v>44237XLE</v>
      </c>
      <c r="B7468" s="6" t="s">
        <v>250</v>
      </c>
      <c r="C7468" s="6">
        <v>38.549999999999997</v>
      </c>
      <c r="D7468" s="6">
        <v>45.12</v>
      </c>
      <c r="E7468" s="6">
        <v>43.87</v>
      </c>
      <c r="F7468" t="str">
        <f t="shared" si="3153"/>
        <v>WED</v>
      </c>
      <c r="G7468" s="1">
        <f t="shared" si="3154"/>
        <v>44237</v>
      </c>
      <c r="H7468" s="2">
        <f t="shared" ca="1" si="3155"/>
        <v>16</v>
      </c>
      <c r="I7468" t="str">
        <f t="shared" si="3156"/>
        <v>XLE</v>
      </c>
      <c r="J7468">
        <f t="shared" si="3157"/>
        <v>38.549999999999997</v>
      </c>
      <c r="K7468">
        <f t="shared" si="3158"/>
        <v>45.12</v>
      </c>
      <c r="L7468">
        <f t="shared" si="3159"/>
        <v>41.834999999999994</v>
      </c>
      <c r="M7468">
        <f t="shared" si="3160"/>
        <v>3.2850000000000001</v>
      </c>
      <c r="N7468">
        <f t="shared" si="3138"/>
        <v>6.57</v>
      </c>
      <c r="O7468">
        <f t="shared" si="3161"/>
        <v>43.87</v>
      </c>
      <c r="P7468">
        <f t="shared" si="3162"/>
        <v>0.61948249619482609</v>
      </c>
      <c r="Q7468" t="str">
        <f t="shared" si="3139"/>
        <v>12.13% | 2.85%</v>
      </c>
      <c r="R7468" t="str">
        <f t="shared" si="3163"/>
        <v>BULLISH</v>
      </c>
      <c r="S7468">
        <f t="shared" si="3164"/>
        <v>1</v>
      </c>
    </row>
    <row r="7469" spans="1:19" hidden="1" x14ac:dyDescent="0.25">
      <c r="A7469" s="5" t="str">
        <f t="shared" si="3152"/>
        <v>44237XLU</v>
      </c>
      <c r="B7469" s="6" t="s">
        <v>82</v>
      </c>
      <c r="C7469" s="6">
        <v>61.82</v>
      </c>
      <c r="D7469" s="6">
        <v>63.85</v>
      </c>
      <c r="E7469" s="6">
        <v>63.19</v>
      </c>
      <c r="F7469" t="str">
        <f t="shared" si="3153"/>
        <v>WED</v>
      </c>
      <c r="G7469" s="1">
        <f t="shared" si="3154"/>
        <v>44237</v>
      </c>
      <c r="H7469" s="2">
        <f t="shared" ca="1" si="3155"/>
        <v>16</v>
      </c>
      <c r="I7469" t="str">
        <f t="shared" si="3156"/>
        <v>XLU</v>
      </c>
      <c r="J7469">
        <f t="shared" si="3157"/>
        <v>61.82</v>
      </c>
      <c r="K7469">
        <f t="shared" si="3158"/>
        <v>63.85</v>
      </c>
      <c r="L7469">
        <f t="shared" si="3159"/>
        <v>62.835000000000001</v>
      </c>
      <c r="M7469">
        <f t="shared" si="3160"/>
        <v>1.0150000000000006</v>
      </c>
      <c r="N7469">
        <f t="shared" si="3138"/>
        <v>2.0300000000000011</v>
      </c>
      <c r="O7469">
        <f t="shared" si="3161"/>
        <v>63.19</v>
      </c>
      <c r="P7469">
        <f t="shared" si="3162"/>
        <v>0.34975369458127753</v>
      </c>
      <c r="Q7469" t="str">
        <f t="shared" si="3139"/>
        <v>2.17% | 1.04%</v>
      </c>
      <c r="R7469" t="str">
        <f t="shared" si="3163"/>
        <v>BEARISH</v>
      </c>
      <c r="S7469">
        <f t="shared" si="3164"/>
        <v>-1</v>
      </c>
    </row>
    <row r="7470" spans="1:19" hidden="1" x14ac:dyDescent="0.25">
      <c r="A7470" s="5" t="str">
        <f t="shared" si="3152"/>
        <v>44237GDX</v>
      </c>
      <c r="B7470" s="6" t="s">
        <v>254</v>
      </c>
      <c r="C7470" s="6">
        <v>33.46</v>
      </c>
      <c r="D7470" s="6">
        <v>35.82</v>
      </c>
      <c r="E7470" s="6">
        <v>35.18</v>
      </c>
      <c r="F7470" t="str">
        <f t="shared" si="3153"/>
        <v>WED</v>
      </c>
      <c r="G7470" s="1">
        <f t="shared" si="3154"/>
        <v>44237</v>
      </c>
      <c r="H7470" s="2">
        <f t="shared" ca="1" si="3155"/>
        <v>16</v>
      </c>
      <c r="I7470" t="str">
        <f t="shared" si="3156"/>
        <v>GDX</v>
      </c>
      <c r="J7470">
        <f t="shared" si="3157"/>
        <v>33.46</v>
      </c>
      <c r="K7470">
        <f t="shared" si="3158"/>
        <v>35.82</v>
      </c>
      <c r="L7470">
        <f t="shared" si="3159"/>
        <v>34.64</v>
      </c>
      <c r="M7470">
        <f t="shared" si="3160"/>
        <v>1.1799999999999997</v>
      </c>
      <c r="N7470">
        <f t="shared" si="3138"/>
        <v>2.3599999999999994</v>
      </c>
      <c r="O7470">
        <f t="shared" si="3161"/>
        <v>35.18</v>
      </c>
      <c r="P7470">
        <f t="shared" si="3162"/>
        <v>0.45762711864406719</v>
      </c>
      <c r="Q7470" t="str">
        <f t="shared" si="3139"/>
        <v>4.89% | 1.82%</v>
      </c>
      <c r="R7470" t="str">
        <f t="shared" si="3163"/>
        <v>BEARISH</v>
      </c>
      <c r="S7470">
        <f t="shared" si="3164"/>
        <v>-1</v>
      </c>
    </row>
    <row r="7471" spans="1:19" hidden="1" x14ac:dyDescent="0.25">
      <c r="A7471" s="5" t="str">
        <f t="shared" si="3152"/>
        <v>44237SSEC</v>
      </c>
      <c r="B7471" s="6" t="s">
        <v>104</v>
      </c>
      <c r="C7471" s="6">
        <v>3455</v>
      </c>
      <c r="D7471" s="6">
        <v>3686</v>
      </c>
      <c r="E7471" s="6">
        <v>3655</v>
      </c>
      <c r="F7471" t="str">
        <f t="shared" si="3153"/>
        <v>WED</v>
      </c>
      <c r="G7471" s="1">
        <f t="shared" si="3154"/>
        <v>44237</v>
      </c>
      <c r="H7471" s="2">
        <f t="shared" ca="1" si="3155"/>
        <v>16</v>
      </c>
      <c r="I7471" t="str">
        <f t="shared" si="3156"/>
        <v>SSEC</v>
      </c>
      <c r="J7471">
        <f t="shared" si="3157"/>
        <v>3455</v>
      </c>
      <c r="K7471">
        <f t="shared" si="3158"/>
        <v>3686</v>
      </c>
      <c r="L7471">
        <f t="shared" si="3159"/>
        <v>3570.5</v>
      </c>
      <c r="M7471">
        <f t="shared" si="3160"/>
        <v>115.5</v>
      </c>
      <c r="N7471">
        <f t="shared" si="3138"/>
        <v>231</v>
      </c>
      <c r="O7471">
        <f t="shared" si="3161"/>
        <v>3655</v>
      </c>
      <c r="P7471">
        <f t="shared" si="3162"/>
        <v>0.73160173160173159</v>
      </c>
      <c r="Q7471" t="str">
        <f t="shared" si="3139"/>
        <v>5.47% | 0.85%</v>
      </c>
      <c r="R7471" t="str">
        <f t="shared" si="3163"/>
        <v>BULLISH</v>
      </c>
      <c r="S7471">
        <f t="shared" si="3164"/>
        <v>1</v>
      </c>
    </row>
    <row r="7472" spans="1:19" hidden="1" x14ac:dyDescent="0.25">
      <c r="A7472" s="5" t="str">
        <f t="shared" si="3152"/>
        <v>44237NIKK</v>
      </c>
      <c r="B7472" s="6" t="s">
        <v>91</v>
      </c>
      <c r="C7472" s="6">
        <v>28239</v>
      </c>
      <c r="D7472" s="6">
        <v>29673</v>
      </c>
      <c r="E7472" s="6">
        <v>29562</v>
      </c>
      <c r="F7472" t="str">
        <f t="shared" si="3153"/>
        <v>WED</v>
      </c>
      <c r="G7472" s="1">
        <f t="shared" si="3154"/>
        <v>44237</v>
      </c>
      <c r="H7472" s="2">
        <f t="shared" ca="1" si="3155"/>
        <v>16</v>
      </c>
      <c r="I7472" t="str">
        <f t="shared" si="3156"/>
        <v>NIKK</v>
      </c>
      <c r="J7472">
        <f t="shared" si="3157"/>
        <v>28239</v>
      </c>
      <c r="K7472">
        <f t="shared" si="3158"/>
        <v>29673</v>
      </c>
      <c r="L7472">
        <f t="shared" si="3159"/>
        <v>28956</v>
      </c>
      <c r="M7472">
        <f t="shared" si="3160"/>
        <v>717</v>
      </c>
      <c r="N7472">
        <f t="shared" si="3138"/>
        <v>1434</v>
      </c>
      <c r="O7472">
        <f t="shared" si="3161"/>
        <v>29562</v>
      </c>
      <c r="P7472">
        <f t="shared" si="3162"/>
        <v>0.84518828451882844</v>
      </c>
      <c r="Q7472" t="str">
        <f t="shared" si="3139"/>
        <v>4.48% | 0.38%</v>
      </c>
      <c r="R7472" t="str">
        <f t="shared" si="3163"/>
        <v>BULLISH</v>
      </c>
      <c r="S7472">
        <f t="shared" si="3164"/>
        <v>1</v>
      </c>
    </row>
    <row r="7473" spans="1:19" hidden="1" x14ac:dyDescent="0.25">
      <c r="A7473" s="5" t="str">
        <f t="shared" si="3152"/>
        <v>44237DAX</v>
      </c>
      <c r="B7473" s="6" t="s">
        <v>98</v>
      </c>
      <c r="C7473" s="6">
        <v>13453</v>
      </c>
      <c r="D7473" s="6">
        <v>14289</v>
      </c>
      <c r="E7473" s="6">
        <v>14011</v>
      </c>
      <c r="F7473" t="str">
        <f t="shared" si="3153"/>
        <v>WED</v>
      </c>
      <c r="G7473" s="1">
        <f t="shared" si="3154"/>
        <v>44237</v>
      </c>
      <c r="H7473" s="2">
        <f t="shared" ca="1" si="3155"/>
        <v>16</v>
      </c>
      <c r="I7473" t="str">
        <f t="shared" si="3156"/>
        <v>DAX</v>
      </c>
      <c r="J7473">
        <f t="shared" si="3157"/>
        <v>13453</v>
      </c>
      <c r="K7473">
        <f t="shared" si="3158"/>
        <v>14289</v>
      </c>
      <c r="L7473">
        <f t="shared" si="3159"/>
        <v>13871</v>
      </c>
      <c r="M7473">
        <f t="shared" si="3160"/>
        <v>418</v>
      </c>
      <c r="N7473">
        <f t="shared" si="3138"/>
        <v>836</v>
      </c>
      <c r="O7473">
        <f t="shared" si="3161"/>
        <v>14011</v>
      </c>
      <c r="P7473">
        <f t="shared" si="3162"/>
        <v>0.3349282296650718</v>
      </c>
      <c r="Q7473" t="str">
        <f t="shared" si="3139"/>
        <v>3.98% | 1.98%</v>
      </c>
      <c r="R7473" t="str">
        <f t="shared" si="3163"/>
        <v>BULLISH</v>
      </c>
      <c r="S7473">
        <f t="shared" si="3164"/>
        <v>1</v>
      </c>
    </row>
    <row r="7474" spans="1:19" hidden="1" x14ac:dyDescent="0.25">
      <c r="A7474" s="5" t="str">
        <f t="shared" si="3152"/>
        <v>44237VIX</v>
      </c>
      <c r="B7474" s="6" t="s">
        <v>96</v>
      </c>
      <c r="C7474" s="6">
        <v>16.510000000000002</v>
      </c>
      <c r="D7474" s="6">
        <v>25.38</v>
      </c>
      <c r="E7474" s="6">
        <v>21.63</v>
      </c>
      <c r="F7474" t="str">
        <f t="shared" si="3153"/>
        <v>WED</v>
      </c>
      <c r="G7474" s="1">
        <f t="shared" si="3154"/>
        <v>44237</v>
      </c>
      <c r="H7474" s="2">
        <f t="shared" ca="1" si="3155"/>
        <v>16</v>
      </c>
      <c r="I7474" t="str">
        <f t="shared" si="3156"/>
        <v>VIX</v>
      </c>
      <c r="J7474">
        <f t="shared" si="3157"/>
        <v>16.510000000000002</v>
      </c>
      <c r="K7474">
        <f t="shared" si="3158"/>
        <v>25.38</v>
      </c>
      <c r="L7474">
        <f t="shared" si="3159"/>
        <v>20.945</v>
      </c>
      <c r="M7474">
        <f t="shared" si="3160"/>
        <v>4.4349999999999978</v>
      </c>
      <c r="N7474">
        <f t="shared" si="3138"/>
        <v>8.8699999999999974</v>
      </c>
      <c r="O7474">
        <f t="shared" si="3161"/>
        <v>21.63</v>
      </c>
      <c r="P7474">
        <f t="shared" si="3162"/>
        <v>0.15445321307779009</v>
      </c>
      <c r="Q7474" t="str">
        <f t="shared" si="3139"/>
        <v>23.67% | 17.34%</v>
      </c>
      <c r="R7474" t="str">
        <f t="shared" si="3163"/>
        <v>BEARISH</v>
      </c>
      <c r="S7474">
        <f t="shared" si="3164"/>
        <v>-1</v>
      </c>
    </row>
    <row r="7475" spans="1:19" hidden="1" x14ac:dyDescent="0.25">
      <c r="A7475" s="5" t="str">
        <f t="shared" si="3152"/>
        <v>44237USD</v>
      </c>
      <c r="B7475" s="6" t="s">
        <v>94</v>
      </c>
      <c r="C7475" s="6">
        <v>89.76</v>
      </c>
      <c r="D7475" s="6">
        <v>91.4</v>
      </c>
      <c r="E7475" s="6">
        <v>90.43</v>
      </c>
      <c r="F7475" t="str">
        <f t="shared" si="3153"/>
        <v>WED</v>
      </c>
      <c r="G7475" s="1">
        <f t="shared" si="3154"/>
        <v>44237</v>
      </c>
      <c r="H7475" s="2">
        <f t="shared" ca="1" si="3155"/>
        <v>16</v>
      </c>
      <c r="I7475" t="str">
        <f t="shared" si="3156"/>
        <v>USD</v>
      </c>
      <c r="J7475">
        <f t="shared" si="3157"/>
        <v>89.76</v>
      </c>
      <c r="K7475">
        <f t="shared" si="3158"/>
        <v>91.4</v>
      </c>
      <c r="L7475">
        <f t="shared" si="3159"/>
        <v>90.580000000000013</v>
      </c>
      <c r="M7475">
        <f t="shared" si="3160"/>
        <v>0.82000000000000028</v>
      </c>
      <c r="N7475">
        <f t="shared" si="3138"/>
        <v>1.6400000000000006</v>
      </c>
      <c r="O7475">
        <f t="shared" si="3161"/>
        <v>90.43</v>
      </c>
      <c r="P7475">
        <f t="shared" si="3162"/>
        <v>-0.18292682926829956</v>
      </c>
      <c r="Q7475" t="str">
        <f t="shared" si="3139"/>
        <v>0.74% | 1.07%</v>
      </c>
      <c r="R7475" t="str">
        <f t="shared" si="3163"/>
        <v>BEARISH</v>
      </c>
      <c r="S7475">
        <f t="shared" si="3164"/>
        <v>-1</v>
      </c>
    </row>
    <row r="7476" spans="1:19" hidden="1" x14ac:dyDescent="0.25">
      <c r="A7476" s="5" t="str">
        <f t="shared" si="3152"/>
        <v>44237EUR/USD</v>
      </c>
      <c r="B7476" s="6" t="s">
        <v>99</v>
      </c>
      <c r="C7476" s="6">
        <v>1.196</v>
      </c>
      <c r="D7476" s="6">
        <v>1.218</v>
      </c>
      <c r="E7476" s="6">
        <v>1.212</v>
      </c>
      <c r="F7476" t="str">
        <f t="shared" si="3153"/>
        <v>WED</v>
      </c>
      <c r="G7476" s="1">
        <f t="shared" si="3154"/>
        <v>44237</v>
      </c>
      <c r="H7476" s="2">
        <f t="shared" ca="1" si="3155"/>
        <v>16</v>
      </c>
      <c r="I7476" t="str">
        <f t="shared" si="3156"/>
        <v>EUR/USD</v>
      </c>
      <c r="J7476">
        <f t="shared" si="3157"/>
        <v>1.196</v>
      </c>
      <c r="K7476">
        <f t="shared" si="3158"/>
        <v>1.218</v>
      </c>
      <c r="L7476">
        <f t="shared" si="3159"/>
        <v>1.2069999999999999</v>
      </c>
      <c r="M7476">
        <f t="shared" si="3160"/>
        <v>1.100000000000001E-2</v>
      </c>
      <c r="N7476">
        <f t="shared" si="3138"/>
        <v>2.200000000000002E-2</v>
      </c>
      <c r="O7476">
        <f t="shared" si="3161"/>
        <v>1.212</v>
      </c>
      <c r="P7476">
        <f t="shared" si="3162"/>
        <v>0.45454545454546463</v>
      </c>
      <c r="Q7476" t="str">
        <f t="shared" si="3139"/>
        <v>1.32% | 0.5%</v>
      </c>
      <c r="R7476" t="str">
        <f t="shared" si="3163"/>
        <v>BULLISH</v>
      </c>
      <c r="S7476">
        <f t="shared" si="3164"/>
        <v>1</v>
      </c>
    </row>
    <row r="7477" spans="1:19" hidden="1" x14ac:dyDescent="0.25">
      <c r="A7477" s="5" t="str">
        <f t="shared" si="3152"/>
        <v>44237USD/JPY</v>
      </c>
      <c r="B7477" s="6" t="s">
        <v>86</v>
      </c>
      <c r="C7477" s="6">
        <v>103.99</v>
      </c>
      <c r="D7477" s="6">
        <v>105.75</v>
      </c>
      <c r="E7477" s="6">
        <v>104.57</v>
      </c>
      <c r="F7477" t="str">
        <f t="shared" si="3153"/>
        <v>WED</v>
      </c>
      <c r="G7477" s="1">
        <f t="shared" si="3154"/>
        <v>44237</v>
      </c>
      <c r="H7477" s="2">
        <f t="shared" ca="1" si="3155"/>
        <v>16</v>
      </c>
      <c r="I7477" t="str">
        <f t="shared" si="3156"/>
        <v>USD/JPY</v>
      </c>
      <c r="J7477">
        <f t="shared" si="3157"/>
        <v>103.99</v>
      </c>
      <c r="K7477">
        <f t="shared" si="3158"/>
        <v>105.75</v>
      </c>
      <c r="L7477">
        <f t="shared" si="3159"/>
        <v>104.87</v>
      </c>
      <c r="M7477">
        <f t="shared" si="3160"/>
        <v>0.88000000000000256</v>
      </c>
      <c r="N7477">
        <f t="shared" si="3138"/>
        <v>1.7600000000000051</v>
      </c>
      <c r="O7477">
        <f t="shared" si="3161"/>
        <v>104.57</v>
      </c>
      <c r="P7477">
        <f t="shared" si="3162"/>
        <v>-0.34090909090910282</v>
      </c>
      <c r="Q7477" t="str">
        <f t="shared" si="3139"/>
        <v>0.55% | 1.13%</v>
      </c>
      <c r="R7477" t="str">
        <f t="shared" si="3163"/>
        <v>NEUTRAL</v>
      </c>
      <c r="S7477">
        <f t="shared" si="3164"/>
        <v>0</v>
      </c>
    </row>
    <row r="7478" spans="1:19" hidden="1" x14ac:dyDescent="0.25">
      <c r="A7478" s="5" t="str">
        <f t="shared" si="3152"/>
        <v>44237GBP/USD</v>
      </c>
      <c r="B7478" s="6" t="s">
        <v>102</v>
      </c>
      <c r="C7478" s="6">
        <v>1.365</v>
      </c>
      <c r="D7478" s="6">
        <v>1.385</v>
      </c>
      <c r="E7478" s="6">
        <v>1.381</v>
      </c>
      <c r="F7478" t="str">
        <f t="shared" si="3153"/>
        <v>WED</v>
      </c>
      <c r="G7478" s="1">
        <f t="shared" si="3154"/>
        <v>44237</v>
      </c>
      <c r="H7478" s="2">
        <f t="shared" ca="1" si="3155"/>
        <v>16</v>
      </c>
      <c r="I7478" t="str">
        <f t="shared" si="3156"/>
        <v>GBP/USD</v>
      </c>
      <c r="J7478">
        <f t="shared" si="3157"/>
        <v>1.365</v>
      </c>
      <c r="K7478">
        <f t="shared" si="3158"/>
        <v>1.385</v>
      </c>
      <c r="L7478">
        <f t="shared" si="3159"/>
        <v>1.375</v>
      </c>
      <c r="M7478">
        <f t="shared" si="3160"/>
        <v>1.0000000000000009E-2</v>
      </c>
      <c r="N7478">
        <f t="shared" si="3138"/>
        <v>2.0000000000000018E-2</v>
      </c>
      <c r="O7478">
        <f t="shared" si="3161"/>
        <v>1.381</v>
      </c>
      <c r="P7478">
        <f t="shared" si="3162"/>
        <v>0.6</v>
      </c>
      <c r="Q7478" t="str">
        <f t="shared" si="3139"/>
        <v>1.16% | 0.29%</v>
      </c>
      <c r="R7478" t="str">
        <f t="shared" si="3163"/>
        <v>BULLISH</v>
      </c>
      <c r="S7478">
        <f t="shared" si="3164"/>
        <v>1</v>
      </c>
    </row>
    <row r="7479" spans="1:19" hidden="1" x14ac:dyDescent="0.25">
      <c r="A7479" s="5" t="str">
        <f t="shared" si="3152"/>
        <v>44237CAD/USD</v>
      </c>
      <c r="B7479" s="6" t="s">
        <v>244</v>
      </c>
      <c r="C7479" s="6">
        <v>0.77</v>
      </c>
      <c r="D7479" s="6">
        <v>0.79</v>
      </c>
      <c r="E7479" s="6">
        <v>0.78</v>
      </c>
      <c r="F7479" t="str">
        <f t="shared" si="3153"/>
        <v>WED</v>
      </c>
      <c r="G7479" s="1">
        <f t="shared" si="3154"/>
        <v>44237</v>
      </c>
      <c r="H7479" s="2">
        <f t="shared" ca="1" si="3155"/>
        <v>16</v>
      </c>
      <c r="I7479" t="str">
        <f t="shared" si="3156"/>
        <v>CAD/USD</v>
      </c>
      <c r="J7479">
        <f t="shared" si="3157"/>
        <v>0.77</v>
      </c>
      <c r="K7479">
        <f t="shared" si="3158"/>
        <v>0.79</v>
      </c>
      <c r="L7479">
        <f t="shared" si="3159"/>
        <v>0.78</v>
      </c>
      <c r="M7479">
        <f t="shared" si="3160"/>
        <v>1.0000000000000009E-2</v>
      </c>
      <c r="N7479">
        <f t="shared" si="3138"/>
        <v>2.0000000000000018E-2</v>
      </c>
      <c r="O7479">
        <f t="shared" si="3161"/>
        <v>0.78</v>
      </c>
      <c r="P7479">
        <f t="shared" si="3162"/>
        <v>0</v>
      </c>
      <c r="Q7479" t="str">
        <f t="shared" si="3139"/>
        <v>1.28% | 1.28%</v>
      </c>
      <c r="R7479" t="str">
        <f t="shared" si="3163"/>
        <v>BULLISH</v>
      </c>
      <c r="S7479">
        <f t="shared" si="3164"/>
        <v>1</v>
      </c>
    </row>
    <row r="7480" spans="1:19" hidden="1" x14ac:dyDescent="0.25">
      <c r="A7480" s="5" t="str">
        <f t="shared" si="3152"/>
        <v>44237USD/CHF</v>
      </c>
      <c r="B7480" s="6" t="s">
        <v>76</v>
      </c>
      <c r="C7480" s="6">
        <v>0.88</v>
      </c>
      <c r="D7480" s="6">
        <v>0.9</v>
      </c>
      <c r="E7480" s="6">
        <v>0.89</v>
      </c>
      <c r="F7480" t="str">
        <f t="shared" si="3153"/>
        <v>WED</v>
      </c>
      <c r="G7480" s="1">
        <f t="shared" si="3154"/>
        <v>44237</v>
      </c>
      <c r="H7480" s="2">
        <f t="shared" ca="1" si="3155"/>
        <v>16</v>
      </c>
      <c r="I7480" t="str">
        <f t="shared" si="3156"/>
        <v>USD/CHF</v>
      </c>
      <c r="J7480">
        <f t="shared" si="3157"/>
        <v>0.88</v>
      </c>
      <c r="K7480">
        <f t="shared" si="3158"/>
        <v>0.9</v>
      </c>
      <c r="L7480">
        <f t="shared" si="3159"/>
        <v>0.89</v>
      </c>
      <c r="M7480">
        <f t="shared" si="3160"/>
        <v>1.0000000000000009E-2</v>
      </c>
      <c r="N7480">
        <f t="shared" si="3138"/>
        <v>2.0000000000000018E-2</v>
      </c>
      <c r="O7480">
        <f t="shared" si="3161"/>
        <v>0.89</v>
      </c>
      <c r="P7480">
        <f t="shared" si="3162"/>
        <v>0</v>
      </c>
      <c r="Q7480" t="str">
        <f t="shared" si="3139"/>
        <v>1.12% | 1.12%</v>
      </c>
      <c r="R7480" t="str">
        <f t="shared" si="3163"/>
        <v>BEARISH</v>
      </c>
      <c r="S7480">
        <f t="shared" si="3164"/>
        <v>-1</v>
      </c>
    </row>
    <row r="7481" spans="1:19" hidden="1" x14ac:dyDescent="0.25">
      <c r="A7481" s="5" t="str">
        <f t="shared" si="3152"/>
        <v>44237WTIC</v>
      </c>
      <c r="B7481" s="6" t="s">
        <v>158</v>
      </c>
      <c r="C7481" s="6">
        <v>53.25</v>
      </c>
      <c r="D7481" s="6">
        <v>59.73</v>
      </c>
      <c r="E7481" s="6">
        <v>58.36</v>
      </c>
      <c r="F7481" t="str">
        <f t="shared" si="3153"/>
        <v>WED</v>
      </c>
      <c r="G7481" s="1">
        <f t="shared" si="3154"/>
        <v>44237</v>
      </c>
      <c r="H7481" s="2">
        <f t="shared" ca="1" si="3155"/>
        <v>16</v>
      </c>
      <c r="I7481" t="str">
        <f t="shared" si="3156"/>
        <v>WTIC</v>
      </c>
      <c r="J7481">
        <f t="shared" si="3157"/>
        <v>53.25</v>
      </c>
      <c r="K7481">
        <f t="shared" si="3158"/>
        <v>59.73</v>
      </c>
      <c r="L7481">
        <f t="shared" si="3159"/>
        <v>56.489999999999995</v>
      </c>
      <c r="M7481">
        <f t="shared" si="3160"/>
        <v>3.2399999999999984</v>
      </c>
      <c r="N7481">
        <f t="shared" si="3138"/>
        <v>6.4799999999999969</v>
      </c>
      <c r="O7481">
        <f t="shared" si="3161"/>
        <v>58.36</v>
      </c>
      <c r="P7481">
        <f t="shared" si="3162"/>
        <v>0.57716049382716217</v>
      </c>
      <c r="Q7481" t="str">
        <f t="shared" si="3139"/>
        <v>8.76% | 2.35%</v>
      </c>
      <c r="R7481" t="str">
        <f t="shared" si="3163"/>
        <v>BULLISH</v>
      </c>
      <c r="S7481">
        <f t="shared" si="3164"/>
        <v>1</v>
      </c>
    </row>
    <row r="7482" spans="1:19" hidden="1" x14ac:dyDescent="0.25">
      <c r="A7482" s="5" t="str">
        <f t="shared" si="3152"/>
        <v>44237NATGAS</v>
      </c>
      <c r="B7482" s="6" t="s">
        <v>89</v>
      </c>
      <c r="C7482" s="6">
        <v>2.57</v>
      </c>
      <c r="D7482" s="6">
        <v>3.01</v>
      </c>
      <c r="E7482" s="6">
        <v>2.84</v>
      </c>
      <c r="F7482" t="str">
        <f t="shared" si="3153"/>
        <v>WED</v>
      </c>
      <c r="G7482" s="1">
        <f t="shared" si="3154"/>
        <v>44237</v>
      </c>
      <c r="H7482" s="2">
        <f t="shared" ca="1" si="3155"/>
        <v>16</v>
      </c>
      <c r="I7482" t="str">
        <f t="shared" si="3156"/>
        <v>NATGAS</v>
      </c>
      <c r="J7482">
        <f t="shared" si="3157"/>
        <v>2.57</v>
      </c>
      <c r="K7482">
        <f t="shared" si="3158"/>
        <v>3.01</v>
      </c>
      <c r="L7482">
        <f t="shared" si="3159"/>
        <v>2.79</v>
      </c>
      <c r="M7482">
        <f t="shared" si="3160"/>
        <v>0.21999999999999997</v>
      </c>
      <c r="N7482">
        <f t="shared" si="3138"/>
        <v>0.43999999999999995</v>
      </c>
      <c r="O7482">
        <f t="shared" si="3161"/>
        <v>2.84</v>
      </c>
      <c r="P7482">
        <f t="shared" si="3162"/>
        <v>0.22727272727272649</v>
      </c>
      <c r="Q7482" t="str">
        <f t="shared" si="3139"/>
        <v>9.51% | 5.99%</v>
      </c>
      <c r="R7482" t="str">
        <f t="shared" si="3163"/>
        <v>BULLISH</v>
      </c>
      <c r="S7482">
        <f t="shared" si="3164"/>
        <v>1</v>
      </c>
    </row>
    <row r="7483" spans="1:19" hidden="1" x14ac:dyDescent="0.25">
      <c r="A7483" s="5" t="str">
        <f t="shared" si="3152"/>
        <v>44237GOLD</v>
      </c>
      <c r="B7483" s="6" t="s">
        <v>85</v>
      </c>
      <c r="C7483" s="6">
        <v>1791</v>
      </c>
      <c r="D7483" s="6">
        <v>1863</v>
      </c>
      <c r="E7483" s="6">
        <v>1837</v>
      </c>
      <c r="F7483" t="str">
        <f t="shared" si="3153"/>
        <v>WED</v>
      </c>
      <c r="G7483" s="1">
        <f t="shared" si="3154"/>
        <v>44237</v>
      </c>
      <c r="H7483" s="2">
        <f t="shared" ca="1" si="3155"/>
        <v>16</v>
      </c>
      <c r="I7483" t="str">
        <f t="shared" si="3156"/>
        <v>GOLD</v>
      </c>
      <c r="J7483">
        <f t="shared" si="3157"/>
        <v>1791</v>
      </c>
      <c r="K7483">
        <f t="shared" si="3158"/>
        <v>1863</v>
      </c>
      <c r="L7483">
        <f t="shared" si="3159"/>
        <v>1827</v>
      </c>
      <c r="M7483">
        <f t="shared" si="3160"/>
        <v>36</v>
      </c>
      <c r="N7483">
        <f t="shared" si="3138"/>
        <v>72</v>
      </c>
      <c r="O7483">
        <f t="shared" si="3161"/>
        <v>1837</v>
      </c>
      <c r="P7483">
        <f t="shared" si="3162"/>
        <v>0.27777777777777779</v>
      </c>
      <c r="Q7483" t="str">
        <f t="shared" si="3139"/>
        <v>2.5% | 1.42%</v>
      </c>
      <c r="R7483" t="str">
        <f t="shared" si="3163"/>
        <v>BEARISH</v>
      </c>
      <c r="S7483">
        <f t="shared" si="3164"/>
        <v>-1</v>
      </c>
    </row>
    <row r="7484" spans="1:19" hidden="1" x14ac:dyDescent="0.25">
      <c r="A7484" s="5" t="str">
        <f t="shared" si="3152"/>
        <v>44237COPPER</v>
      </c>
      <c r="B7484" s="6" t="s">
        <v>100</v>
      </c>
      <c r="C7484" s="6">
        <v>3.56</v>
      </c>
      <c r="D7484" s="6">
        <v>3.79</v>
      </c>
      <c r="E7484" s="6">
        <v>3.72</v>
      </c>
      <c r="F7484" t="str">
        <f t="shared" si="3153"/>
        <v>WED</v>
      </c>
      <c r="G7484" s="1">
        <f t="shared" si="3154"/>
        <v>44237</v>
      </c>
      <c r="H7484" s="2">
        <f t="shared" ca="1" si="3155"/>
        <v>16</v>
      </c>
      <c r="I7484" t="str">
        <f t="shared" si="3156"/>
        <v>COPPER</v>
      </c>
      <c r="J7484">
        <f t="shared" si="3157"/>
        <v>3.56</v>
      </c>
      <c r="K7484">
        <f t="shared" si="3158"/>
        <v>3.79</v>
      </c>
      <c r="L7484">
        <f t="shared" si="3159"/>
        <v>3.6749999999999998</v>
      </c>
      <c r="M7484">
        <f t="shared" si="3160"/>
        <v>0.11499999999999999</v>
      </c>
      <c r="N7484">
        <f t="shared" si="3138"/>
        <v>0.22999999999999998</v>
      </c>
      <c r="O7484">
        <f t="shared" si="3161"/>
        <v>3.72</v>
      </c>
      <c r="P7484">
        <f t="shared" si="3162"/>
        <v>0.39130434782609025</v>
      </c>
      <c r="Q7484" t="str">
        <f t="shared" si="3139"/>
        <v>4.3% | 1.88%</v>
      </c>
      <c r="R7484" t="str">
        <f t="shared" si="3163"/>
        <v>BULLISH</v>
      </c>
      <c r="S7484">
        <f t="shared" si="3164"/>
        <v>1</v>
      </c>
    </row>
    <row r="7485" spans="1:19" hidden="1" x14ac:dyDescent="0.25">
      <c r="A7485" s="5" t="str">
        <f t="shared" si="3152"/>
        <v>44237SILVER</v>
      </c>
      <c r="B7485" s="6" t="s">
        <v>195</v>
      </c>
      <c r="C7485" s="6">
        <v>25.14</v>
      </c>
      <c r="D7485" s="6">
        <v>29.04</v>
      </c>
      <c r="E7485" s="6">
        <v>27.4</v>
      </c>
      <c r="F7485" t="str">
        <f t="shared" si="3153"/>
        <v>WED</v>
      </c>
      <c r="G7485" s="1">
        <f t="shared" si="3154"/>
        <v>44237</v>
      </c>
      <c r="H7485" s="2">
        <f t="shared" ca="1" si="3155"/>
        <v>16</v>
      </c>
      <c r="I7485" t="str">
        <f t="shared" si="3156"/>
        <v>SILVER</v>
      </c>
      <c r="J7485">
        <f t="shared" si="3157"/>
        <v>25.14</v>
      </c>
      <c r="K7485">
        <f t="shared" si="3158"/>
        <v>29.04</v>
      </c>
      <c r="L7485">
        <f t="shared" si="3159"/>
        <v>27.09</v>
      </c>
      <c r="M7485">
        <f t="shared" si="3160"/>
        <v>1.9499999999999993</v>
      </c>
      <c r="N7485">
        <f t="shared" si="3138"/>
        <v>3.8999999999999986</v>
      </c>
      <c r="O7485">
        <f t="shared" si="3161"/>
        <v>27.4</v>
      </c>
      <c r="P7485">
        <f t="shared" si="3162"/>
        <v>0.15897435897435838</v>
      </c>
      <c r="Q7485" t="str">
        <f t="shared" si="3139"/>
        <v>8.25% | 5.99%</v>
      </c>
      <c r="R7485" t="str">
        <f t="shared" si="3163"/>
        <v>BULLISH</v>
      </c>
      <c r="S7485">
        <f t="shared" si="3164"/>
        <v>1</v>
      </c>
    </row>
    <row r="7486" spans="1:19" hidden="1" x14ac:dyDescent="0.25">
      <c r="A7486" s="5" t="str">
        <f t="shared" si="3152"/>
        <v>44237MSFT</v>
      </c>
      <c r="B7486" s="6" t="s">
        <v>27</v>
      </c>
      <c r="C7486" s="6">
        <v>238</v>
      </c>
      <c r="D7486" s="6">
        <v>248</v>
      </c>
      <c r="E7486" s="6">
        <v>243</v>
      </c>
      <c r="F7486" t="str">
        <f t="shared" si="3153"/>
        <v>WED</v>
      </c>
      <c r="G7486" s="1">
        <f t="shared" si="3154"/>
        <v>44237</v>
      </c>
      <c r="H7486" s="2">
        <f t="shared" ca="1" si="3155"/>
        <v>16</v>
      </c>
      <c r="I7486" t="str">
        <f t="shared" si="3156"/>
        <v>MSFT</v>
      </c>
      <c r="J7486">
        <f t="shared" si="3157"/>
        <v>238</v>
      </c>
      <c r="K7486">
        <f t="shared" si="3158"/>
        <v>248</v>
      </c>
      <c r="L7486">
        <f t="shared" si="3159"/>
        <v>243</v>
      </c>
      <c r="M7486">
        <f t="shared" si="3160"/>
        <v>5</v>
      </c>
      <c r="N7486">
        <f t="shared" si="3138"/>
        <v>10</v>
      </c>
      <c r="O7486">
        <f t="shared" si="3161"/>
        <v>243</v>
      </c>
      <c r="P7486">
        <f t="shared" si="3162"/>
        <v>0</v>
      </c>
      <c r="Q7486" t="str">
        <f t="shared" si="3139"/>
        <v>2.06% | 2.06%</v>
      </c>
      <c r="R7486" t="str">
        <f t="shared" si="3163"/>
        <v>BULLISH</v>
      </c>
      <c r="S7486">
        <f t="shared" si="3164"/>
        <v>1</v>
      </c>
    </row>
    <row r="7487" spans="1:19" hidden="1" x14ac:dyDescent="0.25">
      <c r="A7487" s="5" t="str">
        <f t="shared" si="3152"/>
        <v>44237AAPL</v>
      </c>
      <c r="B7487" s="6" t="s">
        <v>28</v>
      </c>
      <c r="C7487" s="6">
        <v>132</v>
      </c>
      <c r="D7487" s="6">
        <v>141</v>
      </c>
      <c r="E7487" s="6">
        <v>136</v>
      </c>
      <c r="F7487" t="str">
        <f t="shared" si="3153"/>
        <v>WED</v>
      </c>
      <c r="G7487" s="1">
        <f t="shared" si="3154"/>
        <v>44237</v>
      </c>
      <c r="H7487" s="2">
        <f t="shared" ca="1" si="3155"/>
        <v>16</v>
      </c>
      <c r="I7487" t="str">
        <f t="shared" si="3156"/>
        <v>AAPL</v>
      </c>
      <c r="J7487">
        <f t="shared" si="3157"/>
        <v>132</v>
      </c>
      <c r="K7487">
        <f t="shared" si="3158"/>
        <v>141</v>
      </c>
      <c r="L7487">
        <f t="shared" si="3159"/>
        <v>136.5</v>
      </c>
      <c r="M7487">
        <f t="shared" si="3160"/>
        <v>4.5</v>
      </c>
      <c r="N7487">
        <f t="shared" si="3138"/>
        <v>9</v>
      </c>
      <c r="O7487">
        <f t="shared" si="3161"/>
        <v>136</v>
      </c>
      <c r="P7487">
        <f t="shared" si="3162"/>
        <v>-0.1111111111111111</v>
      </c>
      <c r="Q7487" t="str">
        <f t="shared" si="3139"/>
        <v>2.94% | 3.68%</v>
      </c>
      <c r="R7487" t="str">
        <f t="shared" si="3163"/>
        <v>BULLISH</v>
      </c>
      <c r="S7487">
        <f t="shared" si="3164"/>
        <v>1</v>
      </c>
    </row>
    <row r="7488" spans="1:19" hidden="1" x14ac:dyDescent="0.25">
      <c r="A7488" s="5" t="str">
        <f t="shared" si="3152"/>
        <v>44237AMZN</v>
      </c>
      <c r="B7488" s="6" t="s">
        <v>29</v>
      </c>
      <c r="C7488" s="6">
        <v>3251</v>
      </c>
      <c r="D7488" s="6">
        <v>3419</v>
      </c>
      <c r="E7488" s="6">
        <v>3305</v>
      </c>
      <c r="F7488" t="str">
        <f t="shared" si="3153"/>
        <v>WED</v>
      </c>
      <c r="G7488" s="1">
        <f t="shared" si="3154"/>
        <v>44237</v>
      </c>
      <c r="H7488" s="2">
        <f t="shared" ca="1" si="3155"/>
        <v>16</v>
      </c>
      <c r="I7488" t="str">
        <f t="shared" si="3156"/>
        <v>AMZN</v>
      </c>
      <c r="J7488">
        <f t="shared" si="3157"/>
        <v>3251</v>
      </c>
      <c r="K7488">
        <f t="shared" si="3158"/>
        <v>3419</v>
      </c>
      <c r="L7488">
        <f t="shared" si="3159"/>
        <v>3335</v>
      </c>
      <c r="M7488">
        <f t="shared" si="3160"/>
        <v>84</v>
      </c>
      <c r="N7488">
        <f t="shared" si="3138"/>
        <v>168</v>
      </c>
      <c r="O7488">
        <f t="shared" si="3161"/>
        <v>3305</v>
      </c>
      <c r="P7488">
        <f t="shared" si="3162"/>
        <v>-0.35714285714285715</v>
      </c>
      <c r="Q7488" t="str">
        <f t="shared" si="3139"/>
        <v>1.63% | 3.45%</v>
      </c>
      <c r="R7488" t="str">
        <f t="shared" si="3163"/>
        <v>BULLISH</v>
      </c>
      <c r="S7488">
        <f t="shared" si="3164"/>
        <v>1</v>
      </c>
    </row>
    <row r="7489" spans="1:19" hidden="1" x14ac:dyDescent="0.25">
      <c r="A7489" s="5" t="str">
        <f t="shared" si="3152"/>
        <v>44237FB</v>
      </c>
      <c r="B7489" s="6" t="s">
        <v>157</v>
      </c>
      <c r="C7489" s="6">
        <v>258</v>
      </c>
      <c r="D7489" s="6">
        <v>274</v>
      </c>
      <c r="E7489" s="6">
        <v>269</v>
      </c>
      <c r="F7489" t="str">
        <f t="shared" si="3153"/>
        <v>WED</v>
      </c>
      <c r="G7489" s="1">
        <f t="shared" si="3154"/>
        <v>44237</v>
      </c>
      <c r="H7489" s="2">
        <f t="shared" ca="1" si="3155"/>
        <v>16</v>
      </c>
      <c r="I7489" t="str">
        <f t="shared" si="3156"/>
        <v>FB</v>
      </c>
      <c r="J7489">
        <f t="shared" si="3157"/>
        <v>258</v>
      </c>
      <c r="K7489">
        <f t="shared" si="3158"/>
        <v>274</v>
      </c>
      <c r="L7489">
        <f t="shared" si="3159"/>
        <v>266</v>
      </c>
      <c r="M7489">
        <f t="shared" si="3160"/>
        <v>8</v>
      </c>
      <c r="N7489">
        <f t="shared" si="3138"/>
        <v>16</v>
      </c>
      <c r="O7489">
        <f t="shared" si="3161"/>
        <v>269</v>
      </c>
      <c r="P7489">
        <f t="shared" si="3162"/>
        <v>0.375</v>
      </c>
      <c r="Q7489" t="str">
        <f t="shared" si="3139"/>
        <v>4.09% | 1.86%</v>
      </c>
      <c r="R7489" t="str">
        <f t="shared" si="3163"/>
        <v>NEUTRAL</v>
      </c>
      <c r="S7489">
        <f t="shared" si="3164"/>
        <v>0</v>
      </c>
    </row>
    <row r="7490" spans="1:19" hidden="1" x14ac:dyDescent="0.25">
      <c r="A7490" s="5" t="str">
        <f t="shared" si="3152"/>
        <v>44237GOOGL</v>
      </c>
      <c r="B7490" s="6" t="s">
        <v>31</v>
      </c>
      <c r="C7490" s="6">
        <v>1982</v>
      </c>
      <c r="D7490" s="6">
        <v>2190</v>
      </c>
      <c r="E7490" s="6">
        <v>2075</v>
      </c>
      <c r="F7490" t="str">
        <f t="shared" si="3153"/>
        <v>WED</v>
      </c>
      <c r="G7490" s="1">
        <f t="shared" si="3154"/>
        <v>44237</v>
      </c>
      <c r="H7490" s="2">
        <f t="shared" ca="1" si="3155"/>
        <v>16</v>
      </c>
      <c r="I7490" t="str">
        <f t="shared" si="3156"/>
        <v>GOOGL</v>
      </c>
      <c r="J7490">
        <f t="shared" si="3157"/>
        <v>1982</v>
      </c>
      <c r="K7490">
        <f t="shared" si="3158"/>
        <v>2190</v>
      </c>
      <c r="L7490">
        <f t="shared" si="3159"/>
        <v>2086</v>
      </c>
      <c r="M7490">
        <f t="shared" si="3160"/>
        <v>104</v>
      </c>
      <c r="N7490">
        <f t="shared" si="3138"/>
        <v>208</v>
      </c>
      <c r="O7490">
        <f t="shared" si="3161"/>
        <v>2075</v>
      </c>
      <c r="P7490">
        <f t="shared" si="3162"/>
        <v>-0.10576923076923077</v>
      </c>
      <c r="Q7490" t="str">
        <f t="shared" si="3139"/>
        <v>4.48% | 5.54%</v>
      </c>
      <c r="R7490" t="str">
        <f t="shared" si="3163"/>
        <v>BULLISH</v>
      </c>
      <c r="S7490">
        <f t="shared" si="3164"/>
        <v>1</v>
      </c>
    </row>
    <row r="7491" spans="1:19" hidden="1" x14ac:dyDescent="0.25">
      <c r="A7491" s="5" t="str">
        <f t="shared" si="3152"/>
        <v>44237NFLX</v>
      </c>
      <c r="B7491" s="6" t="s">
        <v>32</v>
      </c>
      <c r="C7491" s="6">
        <v>528</v>
      </c>
      <c r="D7491" s="6">
        <v>563</v>
      </c>
      <c r="E7491" s="6">
        <v>559</v>
      </c>
      <c r="F7491" t="str">
        <f t="shared" si="3153"/>
        <v>WED</v>
      </c>
      <c r="G7491" s="1">
        <f t="shared" si="3154"/>
        <v>44237</v>
      </c>
      <c r="H7491" s="2">
        <f t="shared" ca="1" si="3155"/>
        <v>16</v>
      </c>
      <c r="I7491" t="str">
        <f t="shared" si="3156"/>
        <v>NFLX</v>
      </c>
      <c r="J7491">
        <f t="shared" si="3157"/>
        <v>528</v>
      </c>
      <c r="K7491">
        <f t="shared" si="3158"/>
        <v>563</v>
      </c>
      <c r="L7491">
        <f t="shared" si="3159"/>
        <v>545.5</v>
      </c>
      <c r="M7491">
        <f t="shared" si="3160"/>
        <v>17.5</v>
      </c>
      <c r="N7491">
        <f t="shared" ref="N7491:N7554" si="3165">ABS(K7491-J7491)</f>
        <v>35</v>
      </c>
      <c r="O7491">
        <f t="shared" si="3161"/>
        <v>559</v>
      </c>
      <c r="P7491">
        <f t="shared" si="3162"/>
        <v>0.77142857142857146</v>
      </c>
      <c r="Q7491" t="str">
        <f t="shared" ref="Q7491:Q7554" si="3166">ROUND(ABS(100*(O7491-J7491)/O7491),2)&amp;"% | "&amp;ROUND(ABS(100*(K7491-O7491)/O7491),2)&amp;"%"</f>
        <v>5.55% | 0.72%</v>
      </c>
      <c r="R7491" t="str">
        <f t="shared" si="3163"/>
        <v>BULLISH</v>
      </c>
      <c r="S7491">
        <f t="shared" si="3164"/>
        <v>1</v>
      </c>
    </row>
    <row r="7492" spans="1:19" x14ac:dyDescent="0.25">
      <c r="A7492" s="5" t="str">
        <f t="shared" si="3152"/>
        <v>44237TSLA</v>
      </c>
      <c r="B7492" s="6" t="s">
        <v>33</v>
      </c>
      <c r="C7492" s="6">
        <v>799</v>
      </c>
      <c r="D7492" s="6">
        <v>891</v>
      </c>
      <c r="E7492" s="6">
        <v>849</v>
      </c>
      <c r="F7492" t="str">
        <f t="shared" si="3153"/>
        <v>WED</v>
      </c>
      <c r="G7492" s="1">
        <f t="shared" si="3154"/>
        <v>44237</v>
      </c>
      <c r="H7492" s="2">
        <f t="shared" ca="1" si="3155"/>
        <v>16</v>
      </c>
      <c r="I7492" t="str">
        <f t="shared" si="3156"/>
        <v>TSLA</v>
      </c>
      <c r="J7492">
        <f t="shared" si="3157"/>
        <v>799</v>
      </c>
      <c r="K7492">
        <f t="shared" si="3158"/>
        <v>891</v>
      </c>
      <c r="L7492">
        <f t="shared" si="3159"/>
        <v>845</v>
      </c>
      <c r="M7492">
        <f t="shared" si="3160"/>
        <v>46</v>
      </c>
      <c r="N7492">
        <f t="shared" si="3165"/>
        <v>92</v>
      </c>
      <c r="O7492">
        <f t="shared" si="3161"/>
        <v>849</v>
      </c>
      <c r="P7492">
        <f t="shared" si="3162"/>
        <v>8.6956521739130432E-2</v>
      </c>
      <c r="Q7492" t="str">
        <f t="shared" si="3166"/>
        <v>5.89% | 4.95%</v>
      </c>
      <c r="R7492" t="str">
        <f t="shared" si="3163"/>
        <v>BULLISH</v>
      </c>
      <c r="S7492">
        <f t="shared" si="3164"/>
        <v>1</v>
      </c>
    </row>
    <row r="7493" spans="1:19" hidden="1" x14ac:dyDescent="0.25">
      <c r="A7493" s="5" t="str">
        <f t="shared" si="3152"/>
        <v>44237NYXBT</v>
      </c>
      <c r="B7493" s="6" t="s">
        <v>60</v>
      </c>
      <c r="C7493" s="6">
        <v>35964</v>
      </c>
      <c r="D7493" s="6">
        <v>50142</v>
      </c>
      <c r="E7493" s="6">
        <v>46868</v>
      </c>
      <c r="F7493" t="str">
        <f t="shared" si="3153"/>
        <v>WED</v>
      </c>
      <c r="G7493" s="1">
        <f t="shared" si="3154"/>
        <v>44237</v>
      </c>
      <c r="H7493" s="2">
        <f t="shared" ca="1" si="3155"/>
        <v>16</v>
      </c>
      <c r="I7493" t="str">
        <f t="shared" si="3156"/>
        <v>NYXBT</v>
      </c>
      <c r="J7493">
        <f t="shared" si="3157"/>
        <v>35964</v>
      </c>
      <c r="K7493">
        <f t="shared" si="3158"/>
        <v>50142</v>
      </c>
      <c r="L7493">
        <f t="shared" si="3159"/>
        <v>43053</v>
      </c>
      <c r="M7493">
        <f t="shared" si="3160"/>
        <v>7089</v>
      </c>
      <c r="N7493">
        <f t="shared" si="3165"/>
        <v>14178</v>
      </c>
      <c r="O7493">
        <f t="shared" si="3161"/>
        <v>46868</v>
      </c>
      <c r="P7493">
        <f t="shared" si="3162"/>
        <v>0.53815770912681615</v>
      </c>
      <c r="Q7493" t="str">
        <f t="shared" si="3166"/>
        <v>23.27% | 6.99%</v>
      </c>
      <c r="R7493" t="str">
        <f t="shared" si="3163"/>
        <v>BULLISH</v>
      </c>
      <c r="S7493">
        <f t="shared" si="3164"/>
        <v>1</v>
      </c>
    </row>
    <row r="7494" spans="1:19" hidden="1" x14ac:dyDescent="0.25">
      <c r="A7494" s="5" t="str">
        <f t="shared" si="3152"/>
        <v>44238UST10Y</v>
      </c>
      <c r="B7494" s="6" t="s">
        <v>257</v>
      </c>
      <c r="C7494" s="6">
        <v>1.22</v>
      </c>
      <c r="D7494" s="6">
        <v>1.0900000000000001</v>
      </c>
      <c r="E7494" s="6">
        <v>1.1499999999999999</v>
      </c>
      <c r="F7494" t="str">
        <f t="shared" si="3153"/>
        <v>THU</v>
      </c>
      <c r="G7494" s="3">
        <f>DATE(2021,2,11)</f>
        <v>44238</v>
      </c>
      <c r="H7494" s="2">
        <f t="shared" ca="1" si="3155"/>
        <v>15</v>
      </c>
      <c r="I7494" t="str">
        <f t="shared" si="3156"/>
        <v>UST10Y</v>
      </c>
      <c r="J7494">
        <f t="shared" si="3157"/>
        <v>1.22</v>
      </c>
      <c r="K7494">
        <f t="shared" si="3158"/>
        <v>1.0900000000000001</v>
      </c>
      <c r="L7494">
        <f t="shared" si="3159"/>
        <v>1.155</v>
      </c>
      <c r="M7494">
        <f t="shared" si="3160"/>
        <v>6.4999999999999947E-2</v>
      </c>
      <c r="N7494">
        <f t="shared" si="3165"/>
        <v>0.12999999999999989</v>
      </c>
      <c r="O7494">
        <f t="shared" si="3161"/>
        <v>1.1499999999999999</v>
      </c>
      <c r="P7494">
        <f t="shared" si="3162"/>
        <v>-7.6923076923078759E-2</v>
      </c>
      <c r="Q7494" t="str">
        <f t="shared" si="3166"/>
        <v>6.09% | 5.22%</v>
      </c>
      <c r="R7494" t="str">
        <f t="shared" si="3163"/>
        <v>BULLISH</v>
      </c>
      <c r="S7494">
        <f t="shared" si="3164"/>
        <v>1</v>
      </c>
    </row>
    <row r="7495" spans="1:19" hidden="1" x14ac:dyDescent="0.25">
      <c r="A7495" s="5" t="str">
        <f t="shared" si="3152"/>
        <v>44238UST2Y</v>
      </c>
      <c r="B7495" s="6" t="s">
        <v>5</v>
      </c>
      <c r="C7495" s="6">
        <v>0.12</v>
      </c>
      <c r="D7495" s="6">
        <v>0.09</v>
      </c>
      <c r="E7495" s="6">
        <v>0.11</v>
      </c>
      <c r="F7495" t="str">
        <f t="shared" ref="F7495:F7526" si="3167">UPPER(TEXT(G7495,"ddd"))</f>
        <v>THU</v>
      </c>
      <c r="G7495" s="3">
        <f t="shared" ref="G7495:G7525" si="3168">DATE(2021,2,11)</f>
        <v>44238</v>
      </c>
      <c r="H7495" s="2">
        <f t="shared" ref="H7495:H7526" ca="1" si="3169">TODAY()-G7495</f>
        <v>15</v>
      </c>
      <c r="I7495" t="str">
        <f t="shared" ref="I7495:I7526" si="3170">TRIM(LEFT(B7495,FIND(" ",B7495,1)))</f>
        <v>UST2Y</v>
      </c>
      <c r="J7495">
        <f t="shared" ref="J7495:J7526" si="3171">C7495</f>
        <v>0.12</v>
      </c>
      <c r="K7495">
        <f t="shared" ref="K7495:K7526" si="3172">D7495</f>
        <v>0.09</v>
      </c>
      <c r="L7495">
        <f t="shared" ref="L7495:L7526" si="3173">AVERAGE(J7495:K7495)</f>
        <v>0.105</v>
      </c>
      <c r="M7495">
        <f t="shared" ref="M7495:M7526" si="3174">_xlfn.STDEV.P(J7495:K7495)</f>
        <v>1.5000000000000041E-2</v>
      </c>
      <c r="N7495">
        <f t="shared" si="3165"/>
        <v>0.03</v>
      </c>
      <c r="O7495">
        <f t="shared" ref="O7495:O7526" si="3175">E7495</f>
        <v>0.11</v>
      </c>
      <c r="P7495">
        <f t="shared" ref="P7495:P7526" si="3176">(O7495-L7495)/M7495</f>
        <v>0.3333333333333327</v>
      </c>
      <c r="Q7495" t="str">
        <f t="shared" si="3166"/>
        <v>9.09% | 18.18%</v>
      </c>
      <c r="R7495" t="str">
        <f t="shared" ref="R7495:R7526" si="3177">MID(B7495,FIND("(",B7495,1)+1,FIND(")",B7495,1)-FIND("(",B7495,1)-1)</f>
        <v>BEARISH</v>
      </c>
      <c r="S7495">
        <f t="shared" ref="S7495:S7526" si="3178">IF(R7495="BEARISH",-1,IF(R7495="NEUTRAL",0,IF(R7495="BULLISH",1,99)))</f>
        <v>-1</v>
      </c>
    </row>
    <row r="7496" spans="1:19" hidden="1" x14ac:dyDescent="0.25">
      <c r="A7496" s="5" t="str">
        <f t="shared" ref="A7496:A7559" si="3179">G7496&amp;I7496</f>
        <v>44238SPX</v>
      </c>
      <c r="B7496" s="6" t="s">
        <v>93</v>
      </c>
      <c r="C7496" s="6">
        <v>3814</v>
      </c>
      <c r="D7496" s="6">
        <v>3981</v>
      </c>
      <c r="E7496" s="6">
        <v>3909</v>
      </c>
      <c r="F7496" t="str">
        <f t="shared" si="3167"/>
        <v>THU</v>
      </c>
      <c r="G7496" s="3">
        <f t="shared" si="3168"/>
        <v>44238</v>
      </c>
      <c r="H7496" s="2">
        <f t="shared" ca="1" si="3169"/>
        <v>15</v>
      </c>
      <c r="I7496" t="str">
        <f t="shared" si="3170"/>
        <v>SPX</v>
      </c>
      <c r="J7496">
        <f t="shared" si="3171"/>
        <v>3814</v>
      </c>
      <c r="K7496">
        <f t="shared" si="3172"/>
        <v>3981</v>
      </c>
      <c r="L7496">
        <f t="shared" si="3173"/>
        <v>3897.5</v>
      </c>
      <c r="M7496">
        <f t="shared" si="3174"/>
        <v>83.5</v>
      </c>
      <c r="N7496">
        <f t="shared" si="3165"/>
        <v>167</v>
      </c>
      <c r="O7496">
        <f t="shared" si="3175"/>
        <v>3909</v>
      </c>
      <c r="P7496">
        <f t="shared" si="3176"/>
        <v>0.1377245508982036</v>
      </c>
      <c r="Q7496" t="str">
        <f t="shared" si="3166"/>
        <v>2.43% | 1.84%</v>
      </c>
      <c r="R7496" t="str">
        <f t="shared" si="3177"/>
        <v>BULLISH</v>
      </c>
      <c r="S7496">
        <f t="shared" si="3178"/>
        <v>1</v>
      </c>
    </row>
    <row r="7497" spans="1:19" hidden="1" x14ac:dyDescent="0.25">
      <c r="A7497" s="5" t="str">
        <f t="shared" si="3179"/>
        <v>44238RUT</v>
      </c>
      <c r="B7497" s="6" t="s">
        <v>247</v>
      </c>
      <c r="C7497" s="6">
        <v>2202</v>
      </c>
      <c r="D7497" s="6">
        <v>2353</v>
      </c>
      <c r="E7497" s="6">
        <v>2282</v>
      </c>
      <c r="F7497" t="str">
        <f t="shared" si="3167"/>
        <v>THU</v>
      </c>
      <c r="G7497" s="3">
        <f t="shared" si="3168"/>
        <v>44238</v>
      </c>
      <c r="H7497" s="2">
        <f t="shared" ca="1" si="3169"/>
        <v>15</v>
      </c>
      <c r="I7497" t="str">
        <f t="shared" si="3170"/>
        <v>RUT</v>
      </c>
      <c r="J7497">
        <f t="shared" si="3171"/>
        <v>2202</v>
      </c>
      <c r="K7497">
        <f t="shared" si="3172"/>
        <v>2353</v>
      </c>
      <c r="L7497">
        <f t="shared" si="3173"/>
        <v>2277.5</v>
      </c>
      <c r="M7497">
        <f t="shared" si="3174"/>
        <v>75.5</v>
      </c>
      <c r="N7497">
        <f t="shared" si="3165"/>
        <v>151</v>
      </c>
      <c r="O7497">
        <f t="shared" si="3175"/>
        <v>2282</v>
      </c>
      <c r="P7497">
        <f t="shared" si="3176"/>
        <v>5.9602649006622516E-2</v>
      </c>
      <c r="Q7497" t="str">
        <f t="shared" si="3166"/>
        <v>3.51% | 3.11%</v>
      </c>
      <c r="R7497" t="str">
        <f t="shared" si="3177"/>
        <v>BULLISH</v>
      </c>
      <c r="S7497">
        <f t="shared" si="3178"/>
        <v>1</v>
      </c>
    </row>
    <row r="7498" spans="1:19" hidden="1" x14ac:dyDescent="0.25">
      <c r="A7498" s="5" t="str">
        <f t="shared" si="3179"/>
        <v>44238COMPQ</v>
      </c>
      <c r="B7498" s="6" t="s">
        <v>8</v>
      </c>
      <c r="C7498" s="6">
        <v>13406</v>
      </c>
      <c r="D7498" s="6">
        <v>14299</v>
      </c>
      <c r="E7498" s="6">
        <v>13972</v>
      </c>
      <c r="F7498" t="str">
        <f t="shared" si="3167"/>
        <v>THU</v>
      </c>
      <c r="G7498" s="3">
        <f t="shared" si="3168"/>
        <v>44238</v>
      </c>
      <c r="H7498" s="2">
        <f t="shared" ca="1" si="3169"/>
        <v>15</v>
      </c>
      <c r="I7498" t="str">
        <f t="shared" si="3170"/>
        <v>COMPQ</v>
      </c>
      <c r="J7498">
        <f t="shared" si="3171"/>
        <v>13406</v>
      </c>
      <c r="K7498">
        <f t="shared" si="3172"/>
        <v>14299</v>
      </c>
      <c r="L7498">
        <f t="shared" si="3173"/>
        <v>13852.5</v>
      </c>
      <c r="M7498">
        <f t="shared" si="3174"/>
        <v>446.5</v>
      </c>
      <c r="N7498">
        <f t="shared" si="3165"/>
        <v>893</v>
      </c>
      <c r="O7498">
        <f t="shared" si="3175"/>
        <v>13972</v>
      </c>
      <c r="P7498">
        <f t="shared" si="3176"/>
        <v>0.26763717805151177</v>
      </c>
      <c r="Q7498" t="str">
        <f t="shared" si="3166"/>
        <v>4.05% | 2.34%</v>
      </c>
      <c r="R7498" t="str">
        <f t="shared" si="3177"/>
        <v>BULLISH</v>
      </c>
      <c r="S7498">
        <f t="shared" si="3178"/>
        <v>1</v>
      </c>
    </row>
    <row r="7499" spans="1:19" hidden="1" x14ac:dyDescent="0.25">
      <c r="A7499" s="5" t="str">
        <f t="shared" si="3179"/>
        <v>44238XLK</v>
      </c>
      <c r="B7499" s="6" t="s">
        <v>10</v>
      </c>
      <c r="C7499" s="6">
        <v>132.16999999999999</v>
      </c>
      <c r="D7499" s="6">
        <v>139.28</v>
      </c>
      <c r="E7499" s="6">
        <v>136.38</v>
      </c>
      <c r="F7499" t="str">
        <f t="shared" si="3167"/>
        <v>THU</v>
      </c>
      <c r="G7499" s="3">
        <f t="shared" si="3168"/>
        <v>44238</v>
      </c>
      <c r="H7499" s="2">
        <f t="shared" ca="1" si="3169"/>
        <v>15</v>
      </c>
      <c r="I7499" t="str">
        <f t="shared" si="3170"/>
        <v>XLK</v>
      </c>
      <c r="J7499">
        <f t="shared" si="3171"/>
        <v>132.16999999999999</v>
      </c>
      <c r="K7499">
        <f t="shared" si="3172"/>
        <v>139.28</v>
      </c>
      <c r="L7499">
        <f t="shared" si="3173"/>
        <v>135.72499999999999</v>
      </c>
      <c r="M7499">
        <f t="shared" si="3174"/>
        <v>3.5550000000000068</v>
      </c>
      <c r="N7499">
        <f t="shared" si="3165"/>
        <v>7.1100000000000136</v>
      </c>
      <c r="O7499">
        <f t="shared" si="3175"/>
        <v>136.38</v>
      </c>
      <c r="P7499">
        <f t="shared" si="3176"/>
        <v>0.1842475386779184</v>
      </c>
      <c r="Q7499" t="str">
        <f t="shared" si="3166"/>
        <v>3.09% | 2.13%</v>
      </c>
      <c r="R7499" t="str">
        <f t="shared" si="3177"/>
        <v>BULLISH</v>
      </c>
      <c r="S7499">
        <f t="shared" si="3178"/>
        <v>1</v>
      </c>
    </row>
    <row r="7500" spans="1:19" hidden="1" x14ac:dyDescent="0.25">
      <c r="A7500" s="5" t="str">
        <f t="shared" si="3179"/>
        <v>44238XLE</v>
      </c>
      <c r="B7500" s="6" t="s">
        <v>250</v>
      </c>
      <c r="C7500" s="6">
        <v>39.549999999999997</v>
      </c>
      <c r="D7500" s="6">
        <v>45.98</v>
      </c>
      <c r="E7500" s="6">
        <v>44.71</v>
      </c>
      <c r="F7500" t="str">
        <f t="shared" si="3167"/>
        <v>THU</v>
      </c>
      <c r="G7500" s="3">
        <f t="shared" si="3168"/>
        <v>44238</v>
      </c>
      <c r="H7500" s="2">
        <f t="shared" ca="1" si="3169"/>
        <v>15</v>
      </c>
      <c r="I7500" t="str">
        <f t="shared" si="3170"/>
        <v>XLE</v>
      </c>
      <c r="J7500">
        <f t="shared" si="3171"/>
        <v>39.549999999999997</v>
      </c>
      <c r="K7500">
        <f t="shared" si="3172"/>
        <v>45.98</v>
      </c>
      <c r="L7500">
        <f t="shared" si="3173"/>
        <v>42.765000000000001</v>
      </c>
      <c r="M7500">
        <f t="shared" si="3174"/>
        <v>3.2149999999999999</v>
      </c>
      <c r="N7500">
        <f t="shared" si="3165"/>
        <v>6.43</v>
      </c>
      <c r="O7500">
        <f t="shared" si="3175"/>
        <v>44.71</v>
      </c>
      <c r="P7500">
        <f t="shared" si="3176"/>
        <v>0.60497667185069992</v>
      </c>
      <c r="Q7500" t="str">
        <f t="shared" si="3166"/>
        <v>11.54% | 2.84%</v>
      </c>
      <c r="R7500" t="str">
        <f t="shared" si="3177"/>
        <v>BULLISH</v>
      </c>
      <c r="S7500">
        <f t="shared" si="3178"/>
        <v>1</v>
      </c>
    </row>
    <row r="7501" spans="1:19" hidden="1" x14ac:dyDescent="0.25">
      <c r="A7501" s="5" t="str">
        <f t="shared" si="3179"/>
        <v>44238XLU</v>
      </c>
      <c r="B7501" s="6" t="s">
        <v>82</v>
      </c>
      <c r="C7501" s="6">
        <v>61.85</v>
      </c>
      <c r="D7501" s="6">
        <v>63.97</v>
      </c>
      <c r="E7501" s="6">
        <v>63.44</v>
      </c>
      <c r="F7501" t="str">
        <f t="shared" si="3167"/>
        <v>THU</v>
      </c>
      <c r="G7501" s="3">
        <f t="shared" si="3168"/>
        <v>44238</v>
      </c>
      <c r="H7501" s="2">
        <f t="shared" ca="1" si="3169"/>
        <v>15</v>
      </c>
      <c r="I7501" t="str">
        <f t="shared" si="3170"/>
        <v>XLU</v>
      </c>
      <c r="J7501">
        <f t="shared" si="3171"/>
        <v>61.85</v>
      </c>
      <c r="K7501">
        <f t="shared" si="3172"/>
        <v>63.97</v>
      </c>
      <c r="L7501">
        <f t="shared" si="3173"/>
        <v>62.91</v>
      </c>
      <c r="M7501">
        <f t="shared" si="3174"/>
        <v>1.0599999999999987</v>
      </c>
      <c r="N7501">
        <f t="shared" si="3165"/>
        <v>2.1199999999999974</v>
      </c>
      <c r="O7501">
        <f t="shared" si="3175"/>
        <v>63.44</v>
      </c>
      <c r="P7501">
        <f t="shared" si="3176"/>
        <v>0.50000000000000167</v>
      </c>
      <c r="Q7501" t="str">
        <f t="shared" si="3166"/>
        <v>2.51% | 0.84%</v>
      </c>
      <c r="R7501" t="str">
        <f t="shared" si="3177"/>
        <v>BEARISH</v>
      </c>
      <c r="S7501">
        <f t="shared" si="3178"/>
        <v>-1</v>
      </c>
    </row>
    <row r="7502" spans="1:19" hidden="1" x14ac:dyDescent="0.25">
      <c r="A7502" s="5" t="str">
        <f t="shared" si="3179"/>
        <v>44238GDX</v>
      </c>
      <c r="B7502" s="6" t="s">
        <v>254</v>
      </c>
      <c r="C7502" s="6">
        <v>33.6</v>
      </c>
      <c r="D7502" s="6">
        <v>35.9</v>
      </c>
      <c r="E7502" s="6">
        <v>35.28</v>
      </c>
      <c r="F7502" t="str">
        <f t="shared" si="3167"/>
        <v>THU</v>
      </c>
      <c r="G7502" s="3">
        <f t="shared" si="3168"/>
        <v>44238</v>
      </c>
      <c r="H7502" s="2">
        <f t="shared" ca="1" si="3169"/>
        <v>15</v>
      </c>
      <c r="I7502" t="str">
        <f t="shared" si="3170"/>
        <v>GDX</v>
      </c>
      <c r="J7502">
        <f t="shared" si="3171"/>
        <v>33.6</v>
      </c>
      <c r="K7502">
        <f t="shared" si="3172"/>
        <v>35.9</v>
      </c>
      <c r="L7502">
        <f t="shared" si="3173"/>
        <v>34.75</v>
      </c>
      <c r="M7502">
        <f t="shared" si="3174"/>
        <v>1.1499999999999986</v>
      </c>
      <c r="N7502">
        <f t="shared" si="3165"/>
        <v>2.2999999999999972</v>
      </c>
      <c r="O7502">
        <f t="shared" si="3175"/>
        <v>35.28</v>
      </c>
      <c r="P7502">
        <f t="shared" si="3176"/>
        <v>0.46086956521739286</v>
      </c>
      <c r="Q7502" t="str">
        <f t="shared" si="3166"/>
        <v>4.76% | 1.76%</v>
      </c>
      <c r="R7502" t="str">
        <f t="shared" si="3177"/>
        <v>BEARISH</v>
      </c>
      <c r="S7502">
        <f t="shared" si="3178"/>
        <v>-1</v>
      </c>
    </row>
    <row r="7503" spans="1:19" hidden="1" x14ac:dyDescent="0.25">
      <c r="A7503" s="5" t="str">
        <f t="shared" si="3179"/>
        <v>44238SSEC</v>
      </c>
      <c r="B7503" s="6" t="s">
        <v>104</v>
      </c>
      <c r="C7503" s="6">
        <v>3455</v>
      </c>
      <c r="D7503" s="6">
        <v>3686</v>
      </c>
      <c r="E7503" s="6">
        <v>3655</v>
      </c>
      <c r="F7503" t="str">
        <f t="shared" si="3167"/>
        <v>THU</v>
      </c>
      <c r="G7503" s="3">
        <f t="shared" si="3168"/>
        <v>44238</v>
      </c>
      <c r="H7503" s="2">
        <f t="shared" ca="1" si="3169"/>
        <v>15</v>
      </c>
      <c r="I7503" t="str">
        <f t="shared" si="3170"/>
        <v>SSEC</v>
      </c>
      <c r="J7503">
        <f t="shared" si="3171"/>
        <v>3455</v>
      </c>
      <c r="K7503">
        <f t="shared" si="3172"/>
        <v>3686</v>
      </c>
      <c r="L7503">
        <f t="shared" si="3173"/>
        <v>3570.5</v>
      </c>
      <c r="M7503">
        <f t="shared" si="3174"/>
        <v>115.5</v>
      </c>
      <c r="N7503">
        <f t="shared" si="3165"/>
        <v>231</v>
      </c>
      <c r="O7503">
        <f t="shared" si="3175"/>
        <v>3655</v>
      </c>
      <c r="P7503">
        <f t="shared" si="3176"/>
        <v>0.73160173160173159</v>
      </c>
      <c r="Q7503" t="str">
        <f t="shared" si="3166"/>
        <v>5.47% | 0.85%</v>
      </c>
      <c r="R7503" t="str">
        <f t="shared" si="3177"/>
        <v>BULLISH</v>
      </c>
      <c r="S7503">
        <f t="shared" si="3178"/>
        <v>1</v>
      </c>
    </row>
    <row r="7504" spans="1:19" hidden="1" x14ac:dyDescent="0.25">
      <c r="A7504" s="5" t="str">
        <f t="shared" si="3179"/>
        <v>44238NIKK</v>
      </c>
      <c r="B7504" s="6" t="s">
        <v>91</v>
      </c>
      <c r="C7504" s="6">
        <v>28239</v>
      </c>
      <c r="D7504" s="6">
        <v>29673</v>
      </c>
      <c r="E7504" s="6">
        <v>29562</v>
      </c>
      <c r="F7504" t="str">
        <f t="shared" si="3167"/>
        <v>THU</v>
      </c>
      <c r="G7504" s="3">
        <f t="shared" si="3168"/>
        <v>44238</v>
      </c>
      <c r="H7504" s="2">
        <f t="shared" ca="1" si="3169"/>
        <v>15</v>
      </c>
      <c r="I7504" t="str">
        <f t="shared" si="3170"/>
        <v>NIKK</v>
      </c>
      <c r="J7504">
        <f t="shared" si="3171"/>
        <v>28239</v>
      </c>
      <c r="K7504">
        <f t="shared" si="3172"/>
        <v>29673</v>
      </c>
      <c r="L7504">
        <f t="shared" si="3173"/>
        <v>28956</v>
      </c>
      <c r="M7504">
        <f t="shared" si="3174"/>
        <v>717</v>
      </c>
      <c r="N7504">
        <f t="shared" si="3165"/>
        <v>1434</v>
      </c>
      <c r="O7504">
        <f t="shared" si="3175"/>
        <v>29562</v>
      </c>
      <c r="P7504">
        <f t="shared" si="3176"/>
        <v>0.84518828451882844</v>
      </c>
      <c r="Q7504" t="str">
        <f t="shared" si="3166"/>
        <v>4.48% | 0.38%</v>
      </c>
      <c r="R7504" t="str">
        <f t="shared" si="3177"/>
        <v>BULLISH</v>
      </c>
      <c r="S7504">
        <f t="shared" si="3178"/>
        <v>1</v>
      </c>
    </row>
    <row r="7505" spans="1:19" hidden="1" x14ac:dyDescent="0.25">
      <c r="A7505" s="5" t="str">
        <f t="shared" si="3179"/>
        <v>44238DAX</v>
      </c>
      <c r="B7505" s="6" t="s">
        <v>98</v>
      </c>
      <c r="C7505" s="6">
        <v>13709</v>
      </c>
      <c r="D7505" s="6">
        <v>14299</v>
      </c>
      <c r="E7505" s="6">
        <v>13932</v>
      </c>
      <c r="F7505" t="str">
        <f t="shared" si="3167"/>
        <v>THU</v>
      </c>
      <c r="G7505" s="3">
        <f t="shared" si="3168"/>
        <v>44238</v>
      </c>
      <c r="H7505" s="2">
        <f t="shared" ca="1" si="3169"/>
        <v>15</v>
      </c>
      <c r="I7505" t="str">
        <f t="shared" si="3170"/>
        <v>DAX</v>
      </c>
      <c r="J7505">
        <f t="shared" si="3171"/>
        <v>13709</v>
      </c>
      <c r="K7505">
        <f t="shared" si="3172"/>
        <v>14299</v>
      </c>
      <c r="L7505">
        <f t="shared" si="3173"/>
        <v>14004</v>
      </c>
      <c r="M7505">
        <f t="shared" si="3174"/>
        <v>295</v>
      </c>
      <c r="N7505">
        <f t="shared" si="3165"/>
        <v>590</v>
      </c>
      <c r="O7505">
        <f t="shared" si="3175"/>
        <v>13932</v>
      </c>
      <c r="P7505">
        <f t="shared" si="3176"/>
        <v>-0.2440677966101695</v>
      </c>
      <c r="Q7505" t="str">
        <f t="shared" si="3166"/>
        <v>1.6% | 2.63%</v>
      </c>
      <c r="R7505" t="str">
        <f t="shared" si="3177"/>
        <v>BULLISH</v>
      </c>
      <c r="S7505">
        <f t="shared" si="3178"/>
        <v>1</v>
      </c>
    </row>
    <row r="7506" spans="1:19" hidden="1" x14ac:dyDescent="0.25">
      <c r="A7506" s="5" t="str">
        <f t="shared" si="3179"/>
        <v>44238VIX</v>
      </c>
      <c r="B7506" s="6" t="s">
        <v>96</v>
      </c>
      <c r="C7506" s="6">
        <v>16.09</v>
      </c>
      <c r="D7506" s="6">
        <v>24.85</v>
      </c>
      <c r="E7506" s="6">
        <v>21.99</v>
      </c>
      <c r="F7506" t="str">
        <f t="shared" si="3167"/>
        <v>THU</v>
      </c>
      <c r="G7506" s="3">
        <f t="shared" si="3168"/>
        <v>44238</v>
      </c>
      <c r="H7506" s="2">
        <f t="shared" ca="1" si="3169"/>
        <v>15</v>
      </c>
      <c r="I7506" t="str">
        <f t="shared" si="3170"/>
        <v>VIX</v>
      </c>
      <c r="J7506">
        <f t="shared" si="3171"/>
        <v>16.09</v>
      </c>
      <c r="K7506">
        <f t="shared" si="3172"/>
        <v>24.85</v>
      </c>
      <c r="L7506">
        <f t="shared" si="3173"/>
        <v>20.47</v>
      </c>
      <c r="M7506">
        <f t="shared" si="3174"/>
        <v>4.3800000000000106</v>
      </c>
      <c r="N7506">
        <f t="shared" si="3165"/>
        <v>8.7600000000000016</v>
      </c>
      <c r="O7506">
        <f t="shared" si="3175"/>
        <v>21.99</v>
      </c>
      <c r="P7506">
        <f t="shared" si="3176"/>
        <v>0.34703196347031873</v>
      </c>
      <c r="Q7506" t="str">
        <f t="shared" si="3166"/>
        <v>26.83% | 13.01%</v>
      </c>
      <c r="R7506" t="str">
        <f t="shared" si="3177"/>
        <v>BEARISH</v>
      </c>
      <c r="S7506">
        <f t="shared" si="3178"/>
        <v>-1</v>
      </c>
    </row>
    <row r="7507" spans="1:19" hidden="1" x14ac:dyDescent="0.25">
      <c r="A7507" s="5" t="str">
        <f t="shared" si="3179"/>
        <v>44238USD</v>
      </c>
      <c r="B7507" s="6" t="s">
        <v>94</v>
      </c>
      <c r="C7507" s="6">
        <v>89.89</v>
      </c>
      <c r="D7507" s="6">
        <v>91.38</v>
      </c>
      <c r="E7507" s="6">
        <v>90.36</v>
      </c>
      <c r="F7507" t="str">
        <f t="shared" si="3167"/>
        <v>THU</v>
      </c>
      <c r="G7507" s="3">
        <f t="shared" si="3168"/>
        <v>44238</v>
      </c>
      <c r="H7507" s="2">
        <f t="shared" ca="1" si="3169"/>
        <v>15</v>
      </c>
      <c r="I7507" t="str">
        <f t="shared" si="3170"/>
        <v>USD</v>
      </c>
      <c r="J7507">
        <f t="shared" si="3171"/>
        <v>89.89</v>
      </c>
      <c r="K7507">
        <f t="shared" si="3172"/>
        <v>91.38</v>
      </c>
      <c r="L7507">
        <f t="shared" si="3173"/>
        <v>90.634999999999991</v>
      </c>
      <c r="M7507">
        <f t="shared" si="3174"/>
        <v>0.74499999999999733</v>
      </c>
      <c r="N7507">
        <f t="shared" si="3165"/>
        <v>1.4899999999999949</v>
      </c>
      <c r="O7507">
        <f t="shared" si="3175"/>
        <v>90.36</v>
      </c>
      <c r="P7507">
        <f t="shared" si="3176"/>
        <v>-0.36912751677851335</v>
      </c>
      <c r="Q7507" t="str">
        <f t="shared" si="3166"/>
        <v>0.52% | 1.13%</v>
      </c>
      <c r="R7507" t="str">
        <f t="shared" si="3177"/>
        <v>BEARISH</v>
      </c>
      <c r="S7507">
        <f t="shared" si="3178"/>
        <v>-1</v>
      </c>
    </row>
    <row r="7508" spans="1:19" hidden="1" x14ac:dyDescent="0.25">
      <c r="A7508" s="5" t="str">
        <f t="shared" si="3179"/>
        <v>44238EUR/USD</v>
      </c>
      <c r="B7508" s="6" t="s">
        <v>99</v>
      </c>
      <c r="C7508" s="6">
        <v>1.196</v>
      </c>
      <c r="D7508" s="6">
        <v>1.218</v>
      </c>
      <c r="E7508" s="6">
        <v>1.212</v>
      </c>
      <c r="F7508" t="str">
        <f t="shared" si="3167"/>
        <v>THU</v>
      </c>
      <c r="G7508" s="3">
        <f t="shared" si="3168"/>
        <v>44238</v>
      </c>
      <c r="H7508" s="2">
        <f t="shared" ca="1" si="3169"/>
        <v>15</v>
      </c>
      <c r="I7508" t="str">
        <f t="shared" si="3170"/>
        <v>EUR/USD</v>
      </c>
      <c r="J7508">
        <f t="shared" si="3171"/>
        <v>1.196</v>
      </c>
      <c r="K7508">
        <f t="shared" si="3172"/>
        <v>1.218</v>
      </c>
      <c r="L7508">
        <f t="shared" si="3173"/>
        <v>1.2069999999999999</v>
      </c>
      <c r="M7508">
        <f t="shared" si="3174"/>
        <v>1.100000000000001E-2</v>
      </c>
      <c r="N7508">
        <f t="shared" si="3165"/>
        <v>2.200000000000002E-2</v>
      </c>
      <c r="O7508">
        <f t="shared" si="3175"/>
        <v>1.212</v>
      </c>
      <c r="P7508">
        <f t="shared" si="3176"/>
        <v>0.45454545454546463</v>
      </c>
      <c r="Q7508" t="str">
        <f t="shared" si="3166"/>
        <v>1.32% | 0.5%</v>
      </c>
      <c r="R7508" t="str">
        <f t="shared" si="3177"/>
        <v>BULLISH</v>
      </c>
      <c r="S7508">
        <f t="shared" si="3178"/>
        <v>1</v>
      </c>
    </row>
    <row r="7509" spans="1:19" hidden="1" x14ac:dyDescent="0.25">
      <c r="A7509" s="5" t="str">
        <f t="shared" si="3179"/>
        <v>44238USD/JPY</v>
      </c>
      <c r="B7509" s="6" t="s">
        <v>86</v>
      </c>
      <c r="C7509" s="6">
        <v>104.15</v>
      </c>
      <c r="D7509" s="6">
        <v>105.7</v>
      </c>
      <c r="E7509" s="6">
        <v>104.58</v>
      </c>
      <c r="F7509" t="str">
        <f t="shared" si="3167"/>
        <v>THU</v>
      </c>
      <c r="G7509" s="3">
        <f t="shared" si="3168"/>
        <v>44238</v>
      </c>
      <c r="H7509" s="2">
        <f t="shared" ca="1" si="3169"/>
        <v>15</v>
      </c>
      <c r="I7509" t="str">
        <f t="shared" si="3170"/>
        <v>USD/JPY</v>
      </c>
      <c r="J7509">
        <f t="shared" si="3171"/>
        <v>104.15</v>
      </c>
      <c r="K7509">
        <f t="shared" si="3172"/>
        <v>105.7</v>
      </c>
      <c r="L7509">
        <f t="shared" si="3173"/>
        <v>104.92500000000001</v>
      </c>
      <c r="M7509">
        <f t="shared" si="3174"/>
        <v>0.77499999999999858</v>
      </c>
      <c r="N7509">
        <f t="shared" si="3165"/>
        <v>1.5499999999999972</v>
      </c>
      <c r="O7509">
        <f t="shared" si="3175"/>
        <v>104.58</v>
      </c>
      <c r="P7509">
        <f t="shared" si="3176"/>
        <v>-0.44516129032259832</v>
      </c>
      <c r="Q7509" t="str">
        <f t="shared" si="3166"/>
        <v>0.41% | 1.07%</v>
      </c>
      <c r="R7509" t="str">
        <f t="shared" si="3177"/>
        <v>NEUTRAL</v>
      </c>
      <c r="S7509">
        <f t="shared" si="3178"/>
        <v>0</v>
      </c>
    </row>
    <row r="7510" spans="1:19" hidden="1" x14ac:dyDescent="0.25">
      <c r="A7510" s="5" t="str">
        <f t="shared" si="3179"/>
        <v>44238GBP/USD</v>
      </c>
      <c r="B7510" s="6" t="s">
        <v>102</v>
      </c>
      <c r="C7510" s="6">
        <v>1.3660000000000001</v>
      </c>
      <c r="D7510" s="6">
        <v>1.3859999999999999</v>
      </c>
      <c r="E7510" s="6">
        <v>1.383</v>
      </c>
      <c r="F7510" t="str">
        <f t="shared" si="3167"/>
        <v>THU</v>
      </c>
      <c r="G7510" s="3">
        <f t="shared" si="3168"/>
        <v>44238</v>
      </c>
      <c r="H7510" s="2">
        <f t="shared" ca="1" si="3169"/>
        <v>15</v>
      </c>
      <c r="I7510" t="str">
        <f t="shared" si="3170"/>
        <v>GBP/USD</v>
      </c>
      <c r="J7510">
        <f t="shared" si="3171"/>
        <v>1.3660000000000001</v>
      </c>
      <c r="K7510">
        <f t="shared" si="3172"/>
        <v>1.3859999999999999</v>
      </c>
      <c r="L7510">
        <f t="shared" si="3173"/>
        <v>1.3759999999999999</v>
      </c>
      <c r="M7510">
        <f t="shared" si="3174"/>
        <v>9.9999999999998979E-3</v>
      </c>
      <c r="N7510">
        <f t="shared" si="3165"/>
        <v>1.9999999999999796E-2</v>
      </c>
      <c r="O7510">
        <f t="shared" si="3175"/>
        <v>1.383</v>
      </c>
      <c r="P7510">
        <f t="shared" si="3176"/>
        <v>0.70000000000001883</v>
      </c>
      <c r="Q7510" t="str">
        <f t="shared" si="3166"/>
        <v>1.23% | 0.22%</v>
      </c>
      <c r="R7510" t="str">
        <f t="shared" si="3177"/>
        <v>BULLISH</v>
      </c>
      <c r="S7510">
        <f t="shared" si="3178"/>
        <v>1</v>
      </c>
    </row>
    <row r="7511" spans="1:19" hidden="1" x14ac:dyDescent="0.25">
      <c r="A7511" s="5" t="str">
        <f t="shared" si="3179"/>
        <v>44238CAD/USD</v>
      </c>
      <c r="B7511" s="6" t="s">
        <v>244</v>
      </c>
      <c r="C7511" s="6">
        <v>0.77</v>
      </c>
      <c r="D7511" s="6">
        <v>0.79</v>
      </c>
      <c r="E7511" s="6">
        <v>0.78</v>
      </c>
      <c r="F7511" t="str">
        <f t="shared" si="3167"/>
        <v>THU</v>
      </c>
      <c r="G7511" s="3">
        <f t="shared" si="3168"/>
        <v>44238</v>
      </c>
      <c r="H7511" s="2">
        <f t="shared" ca="1" si="3169"/>
        <v>15</v>
      </c>
      <c r="I7511" t="str">
        <f t="shared" si="3170"/>
        <v>CAD/USD</v>
      </c>
      <c r="J7511">
        <f t="shared" si="3171"/>
        <v>0.77</v>
      </c>
      <c r="K7511">
        <f t="shared" si="3172"/>
        <v>0.79</v>
      </c>
      <c r="L7511">
        <f t="shared" si="3173"/>
        <v>0.78</v>
      </c>
      <c r="M7511">
        <f t="shared" si="3174"/>
        <v>1.0000000000000009E-2</v>
      </c>
      <c r="N7511">
        <f t="shared" si="3165"/>
        <v>2.0000000000000018E-2</v>
      </c>
      <c r="O7511">
        <f t="shared" si="3175"/>
        <v>0.78</v>
      </c>
      <c r="P7511">
        <f t="shared" si="3176"/>
        <v>0</v>
      </c>
      <c r="Q7511" t="str">
        <f t="shared" si="3166"/>
        <v>1.28% | 1.28%</v>
      </c>
      <c r="R7511" t="str">
        <f t="shared" si="3177"/>
        <v>BULLISH</v>
      </c>
      <c r="S7511">
        <f t="shared" si="3178"/>
        <v>1</v>
      </c>
    </row>
    <row r="7512" spans="1:19" hidden="1" x14ac:dyDescent="0.25">
      <c r="A7512" s="5" t="str">
        <f t="shared" si="3179"/>
        <v>44238USD/CHF</v>
      </c>
      <c r="B7512" s="6" t="s">
        <v>76</v>
      </c>
      <c r="C7512" s="6">
        <v>0.88</v>
      </c>
      <c r="D7512" s="6">
        <v>0.9</v>
      </c>
      <c r="E7512" s="6">
        <v>0.89</v>
      </c>
      <c r="F7512" t="str">
        <f t="shared" si="3167"/>
        <v>THU</v>
      </c>
      <c r="G7512" s="3">
        <f t="shared" si="3168"/>
        <v>44238</v>
      </c>
      <c r="H7512" s="2">
        <f t="shared" ca="1" si="3169"/>
        <v>15</v>
      </c>
      <c r="I7512" t="str">
        <f t="shared" si="3170"/>
        <v>USD/CHF</v>
      </c>
      <c r="J7512">
        <f t="shared" si="3171"/>
        <v>0.88</v>
      </c>
      <c r="K7512">
        <f t="shared" si="3172"/>
        <v>0.9</v>
      </c>
      <c r="L7512">
        <f t="shared" si="3173"/>
        <v>0.89</v>
      </c>
      <c r="M7512">
        <f t="shared" si="3174"/>
        <v>1.0000000000000009E-2</v>
      </c>
      <c r="N7512">
        <f t="shared" si="3165"/>
        <v>2.0000000000000018E-2</v>
      </c>
      <c r="O7512">
        <f t="shared" si="3175"/>
        <v>0.89</v>
      </c>
      <c r="P7512">
        <f t="shared" si="3176"/>
        <v>0</v>
      </c>
      <c r="Q7512" t="str">
        <f t="shared" si="3166"/>
        <v>1.12% | 1.12%</v>
      </c>
      <c r="R7512" t="str">
        <f t="shared" si="3177"/>
        <v>BEARISH</v>
      </c>
      <c r="S7512">
        <f t="shared" si="3178"/>
        <v>-1</v>
      </c>
    </row>
    <row r="7513" spans="1:19" hidden="1" x14ac:dyDescent="0.25">
      <c r="A7513" s="5" t="str">
        <f t="shared" si="3179"/>
        <v>44238WTIC</v>
      </c>
      <c r="B7513" s="6" t="s">
        <v>158</v>
      </c>
      <c r="C7513" s="6">
        <v>53.65</v>
      </c>
      <c r="D7513" s="6">
        <v>60.32</v>
      </c>
      <c r="E7513" s="6">
        <v>58.68</v>
      </c>
      <c r="F7513" t="str">
        <f t="shared" si="3167"/>
        <v>THU</v>
      </c>
      <c r="G7513" s="3">
        <f t="shared" si="3168"/>
        <v>44238</v>
      </c>
      <c r="H7513" s="2">
        <f t="shared" ca="1" si="3169"/>
        <v>15</v>
      </c>
      <c r="I7513" t="str">
        <f t="shared" si="3170"/>
        <v>WTIC</v>
      </c>
      <c r="J7513">
        <f t="shared" si="3171"/>
        <v>53.65</v>
      </c>
      <c r="K7513">
        <f t="shared" si="3172"/>
        <v>60.32</v>
      </c>
      <c r="L7513">
        <f t="shared" si="3173"/>
        <v>56.984999999999999</v>
      </c>
      <c r="M7513">
        <f t="shared" si="3174"/>
        <v>3.3350000000000009</v>
      </c>
      <c r="N7513">
        <f t="shared" si="3165"/>
        <v>6.6700000000000017</v>
      </c>
      <c r="O7513">
        <f t="shared" si="3175"/>
        <v>58.68</v>
      </c>
      <c r="P7513">
        <f t="shared" si="3176"/>
        <v>0.50824587706146918</v>
      </c>
      <c r="Q7513" t="str">
        <f t="shared" si="3166"/>
        <v>8.57% | 2.79%</v>
      </c>
      <c r="R7513" t="str">
        <f t="shared" si="3177"/>
        <v>BULLISH</v>
      </c>
      <c r="S7513">
        <f t="shared" si="3178"/>
        <v>1</v>
      </c>
    </row>
    <row r="7514" spans="1:19" hidden="1" x14ac:dyDescent="0.25">
      <c r="A7514" s="5" t="str">
        <f t="shared" si="3179"/>
        <v>44238NATGAS</v>
      </c>
      <c r="B7514" s="6" t="s">
        <v>89</v>
      </c>
      <c r="C7514" s="6">
        <v>2.67</v>
      </c>
      <c r="D7514" s="6">
        <v>3.08</v>
      </c>
      <c r="E7514" s="6">
        <v>2.91</v>
      </c>
      <c r="F7514" t="str">
        <f t="shared" si="3167"/>
        <v>THU</v>
      </c>
      <c r="G7514" s="3">
        <f t="shared" si="3168"/>
        <v>44238</v>
      </c>
      <c r="H7514" s="2">
        <f t="shared" ca="1" si="3169"/>
        <v>15</v>
      </c>
      <c r="I7514" t="str">
        <f t="shared" si="3170"/>
        <v>NATGAS</v>
      </c>
      <c r="J7514">
        <f t="shared" si="3171"/>
        <v>2.67</v>
      </c>
      <c r="K7514">
        <f t="shared" si="3172"/>
        <v>3.08</v>
      </c>
      <c r="L7514">
        <f t="shared" si="3173"/>
        <v>2.875</v>
      </c>
      <c r="M7514">
        <f t="shared" si="3174"/>
        <v>0.20500000000000007</v>
      </c>
      <c r="N7514">
        <f t="shared" si="3165"/>
        <v>0.41000000000000014</v>
      </c>
      <c r="O7514">
        <f t="shared" si="3175"/>
        <v>2.91</v>
      </c>
      <c r="P7514">
        <f t="shared" si="3176"/>
        <v>0.17073170731707379</v>
      </c>
      <c r="Q7514" t="str">
        <f t="shared" si="3166"/>
        <v>8.25% | 5.84%</v>
      </c>
      <c r="R7514" t="str">
        <f t="shared" si="3177"/>
        <v>BULLISH</v>
      </c>
      <c r="S7514">
        <f t="shared" si="3178"/>
        <v>1</v>
      </c>
    </row>
    <row r="7515" spans="1:19" hidden="1" x14ac:dyDescent="0.25">
      <c r="A7515" s="5" t="str">
        <f t="shared" si="3179"/>
        <v>44238GOLD</v>
      </c>
      <c r="B7515" s="6" t="s">
        <v>85</v>
      </c>
      <c r="C7515" s="6">
        <v>1792</v>
      </c>
      <c r="D7515" s="6">
        <v>1863</v>
      </c>
      <c r="E7515" s="6">
        <v>1842</v>
      </c>
      <c r="F7515" t="str">
        <f t="shared" si="3167"/>
        <v>THU</v>
      </c>
      <c r="G7515" s="3">
        <f t="shared" si="3168"/>
        <v>44238</v>
      </c>
      <c r="H7515" s="2">
        <f t="shared" ca="1" si="3169"/>
        <v>15</v>
      </c>
      <c r="I7515" t="str">
        <f t="shared" si="3170"/>
        <v>GOLD</v>
      </c>
      <c r="J7515">
        <f t="shared" si="3171"/>
        <v>1792</v>
      </c>
      <c r="K7515">
        <f t="shared" si="3172"/>
        <v>1863</v>
      </c>
      <c r="L7515">
        <f t="shared" si="3173"/>
        <v>1827.5</v>
      </c>
      <c r="M7515">
        <f t="shared" si="3174"/>
        <v>35.5</v>
      </c>
      <c r="N7515">
        <f t="shared" si="3165"/>
        <v>71</v>
      </c>
      <c r="O7515">
        <f t="shared" si="3175"/>
        <v>1842</v>
      </c>
      <c r="P7515">
        <f t="shared" si="3176"/>
        <v>0.40845070422535212</v>
      </c>
      <c r="Q7515" t="str">
        <f t="shared" si="3166"/>
        <v>2.71% | 1.14%</v>
      </c>
      <c r="R7515" t="str">
        <f t="shared" si="3177"/>
        <v>BEARISH</v>
      </c>
      <c r="S7515">
        <f t="shared" si="3178"/>
        <v>-1</v>
      </c>
    </row>
    <row r="7516" spans="1:19" hidden="1" x14ac:dyDescent="0.25">
      <c r="A7516" s="5" t="str">
        <f t="shared" si="3179"/>
        <v>44238COPPER</v>
      </c>
      <c r="B7516" s="6" t="s">
        <v>100</v>
      </c>
      <c r="C7516" s="6">
        <v>3.59</v>
      </c>
      <c r="D7516" s="6">
        <v>3.79</v>
      </c>
      <c r="E7516" s="6">
        <v>3.77</v>
      </c>
      <c r="F7516" t="str">
        <f t="shared" si="3167"/>
        <v>THU</v>
      </c>
      <c r="G7516" s="3">
        <f t="shared" si="3168"/>
        <v>44238</v>
      </c>
      <c r="H7516" s="2">
        <f t="shared" ca="1" si="3169"/>
        <v>15</v>
      </c>
      <c r="I7516" t="str">
        <f t="shared" si="3170"/>
        <v>COPPER</v>
      </c>
      <c r="J7516">
        <f t="shared" si="3171"/>
        <v>3.59</v>
      </c>
      <c r="K7516">
        <f t="shared" si="3172"/>
        <v>3.79</v>
      </c>
      <c r="L7516">
        <f t="shared" si="3173"/>
        <v>3.69</v>
      </c>
      <c r="M7516">
        <f t="shared" si="3174"/>
        <v>0.10000000000000009</v>
      </c>
      <c r="N7516">
        <f t="shared" si="3165"/>
        <v>0.20000000000000018</v>
      </c>
      <c r="O7516">
        <f t="shared" si="3175"/>
        <v>3.77</v>
      </c>
      <c r="P7516">
        <f t="shared" si="3176"/>
        <v>0.8</v>
      </c>
      <c r="Q7516" t="str">
        <f t="shared" si="3166"/>
        <v>4.77% | 0.53%</v>
      </c>
      <c r="R7516" t="str">
        <f t="shared" si="3177"/>
        <v>BULLISH</v>
      </c>
      <c r="S7516">
        <f t="shared" si="3178"/>
        <v>1</v>
      </c>
    </row>
    <row r="7517" spans="1:19" hidden="1" x14ac:dyDescent="0.25">
      <c r="A7517" s="5" t="str">
        <f t="shared" si="3179"/>
        <v>44238SILVER</v>
      </c>
      <c r="B7517" s="6" t="s">
        <v>195</v>
      </c>
      <c r="C7517" s="6">
        <v>25.44</v>
      </c>
      <c r="D7517" s="6">
        <v>29.07</v>
      </c>
      <c r="E7517" s="6">
        <v>27.08</v>
      </c>
      <c r="F7517" t="str">
        <f t="shared" si="3167"/>
        <v>THU</v>
      </c>
      <c r="G7517" s="3">
        <f t="shared" si="3168"/>
        <v>44238</v>
      </c>
      <c r="H7517" s="2">
        <f t="shared" ca="1" si="3169"/>
        <v>15</v>
      </c>
      <c r="I7517" t="str">
        <f t="shared" si="3170"/>
        <v>SILVER</v>
      </c>
      <c r="J7517">
        <f t="shared" si="3171"/>
        <v>25.44</v>
      </c>
      <c r="K7517">
        <f t="shared" si="3172"/>
        <v>29.07</v>
      </c>
      <c r="L7517">
        <f t="shared" si="3173"/>
        <v>27.255000000000003</v>
      </c>
      <c r="M7517">
        <f t="shared" si="3174"/>
        <v>1.8149999999999995</v>
      </c>
      <c r="N7517">
        <f t="shared" si="3165"/>
        <v>3.629999999999999</v>
      </c>
      <c r="O7517">
        <f t="shared" si="3175"/>
        <v>27.08</v>
      </c>
      <c r="P7517">
        <f t="shared" si="3176"/>
        <v>-9.6418732782371522E-2</v>
      </c>
      <c r="Q7517" t="str">
        <f t="shared" si="3166"/>
        <v>6.06% | 7.35%</v>
      </c>
      <c r="R7517" t="str">
        <f t="shared" si="3177"/>
        <v>BULLISH</v>
      </c>
      <c r="S7517">
        <f t="shared" si="3178"/>
        <v>1</v>
      </c>
    </row>
    <row r="7518" spans="1:19" hidden="1" x14ac:dyDescent="0.25">
      <c r="A7518" s="5" t="str">
        <f t="shared" si="3179"/>
        <v>44238MSFT</v>
      </c>
      <c r="B7518" s="6" t="s">
        <v>27</v>
      </c>
      <c r="C7518" s="6">
        <v>238</v>
      </c>
      <c r="D7518" s="6">
        <v>248</v>
      </c>
      <c r="E7518" s="6">
        <v>242</v>
      </c>
      <c r="F7518" t="str">
        <f t="shared" si="3167"/>
        <v>THU</v>
      </c>
      <c r="G7518" s="3">
        <f t="shared" si="3168"/>
        <v>44238</v>
      </c>
      <c r="H7518" s="2">
        <f t="shared" ca="1" si="3169"/>
        <v>15</v>
      </c>
      <c r="I7518" t="str">
        <f t="shared" si="3170"/>
        <v>MSFT</v>
      </c>
      <c r="J7518">
        <f t="shared" si="3171"/>
        <v>238</v>
      </c>
      <c r="K7518">
        <f t="shared" si="3172"/>
        <v>248</v>
      </c>
      <c r="L7518">
        <f t="shared" si="3173"/>
        <v>243</v>
      </c>
      <c r="M7518">
        <f t="shared" si="3174"/>
        <v>5</v>
      </c>
      <c r="N7518">
        <f t="shared" si="3165"/>
        <v>10</v>
      </c>
      <c r="O7518">
        <f t="shared" si="3175"/>
        <v>242</v>
      </c>
      <c r="P7518">
        <f t="shared" si="3176"/>
        <v>-0.2</v>
      </c>
      <c r="Q7518" t="str">
        <f t="shared" si="3166"/>
        <v>1.65% | 2.48%</v>
      </c>
      <c r="R7518" t="str">
        <f t="shared" si="3177"/>
        <v>BULLISH</v>
      </c>
      <c r="S7518">
        <f t="shared" si="3178"/>
        <v>1</v>
      </c>
    </row>
    <row r="7519" spans="1:19" hidden="1" x14ac:dyDescent="0.25">
      <c r="A7519" s="5" t="str">
        <f t="shared" si="3179"/>
        <v>44238AAPL</v>
      </c>
      <c r="B7519" s="6" t="s">
        <v>28</v>
      </c>
      <c r="C7519" s="6">
        <v>132</v>
      </c>
      <c r="D7519" s="6">
        <v>140</v>
      </c>
      <c r="E7519" s="6">
        <v>135</v>
      </c>
      <c r="F7519" t="str">
        <f t="shared" si="3167"/>
        <v>THU</v>
      </c>
      <c r="G7519" s="3">
        <f t="shared" si="3168"/>
        <v>44238</v>
      </c>
      <c r="H7519" s="2">
        <f t="shared" ca="1" si="3169"/>
        <v>15</v>
      </c>
      <c r="I7519" t="str">
        <f t="shared" si="3170"/>
        <v>AAPL</v>
      </c>
      <c r="J7519">
        <f t="shared" si="3171"/>
        <v>132</v>
      </c>
      <c r="K7519">
        <f t="shared" si="3172"/>
        <v>140</v>
      </c>
      <c r="L7519">
        <f t="shared" si="3173"/>
        <v>136</v>
      </c>
      <c r="M7519">
        <f t="shared" si="3174"/>
        <v>4</v>
      </c>
      <c r="N7519">
        <f t="shared" si="3165"/>
        <v>8</v>
      </c>
      <c r="O7519">
        <f t="shared" si="3175"/>
        <v>135</v>
      </c>
      <c r="P7519">
        <f t="shared" si="3176"/>
        <v>-0.25</v>
      </c>
      <c r="Q7519" t="str">
        <f t="shared" si="3166"/>
        <v>2.22% | 3.7%</v>
      </c>
      <c r="R7519" t="str">
        <f t="shared" si="3177"/>
        <v>BULLISH</v>
      </c>
      <c r="S7519">
        <f t="shared" si="3178"/>
        <v>1</v>
      </c>
    </row>
    <row r="7520" spans="1:19" hidden="1" x14ac:dyDescent="0.25">
      <c r="A7520" s="5" t="str">
        <f t="shared" si="3179"/>
        <v>44238AMZN</v>
      </c>
      <c r="B7520" s="6" t="s">
        <v>29</v>
      </c>
      <c r="C7520" s="6">
        <v>3231</v>
      </c>
      <c r="D7520" s="6">
        <v>3418</v>
      </c>
      <c r="E7520" s="6">
        <v>3286</v>
      </c>
      <c r="F7520" t="str">
        <f t="shared" si="3167"/>
        <v>THU</v>
      </c>
      <c r="G7520" s="3">
        <f t="shared" si="3168"/>
        <v>44238</v>
      </c>
      <c r="H7520" s="2">
        <f t="shared" ca="1" si="3169"/>
        <v>15</v>
      </c>
      <c r="I7520" t="str">
        <f t="shared" si="3170"/>
        <v>AMZN</v>
      </c>
      <c r="J7520">
        <f t="shared" si="3171"/>
        <v>3231</v>
      </c>
      <c r="K7520">
        <f t="shared" si="3172"/>
        <v>3418</v>
      </c>
      <c r="L7520">
        <f t="shared" si="3173"/>
        <v>3324.5</v>
      </c>
      <c r="M7520">
        <f t="shared" si="3174"/>
        <v>93.5</v>
      </c>
      <c r="N7520">
        <f t="shared" si="3165"/>
        <v>187</v>
      </c>
      <c r="O7520">
        <f t="shared" si="3175"/>
        <v>3286</v>
      </c>
      <c r="P7520">
        <f t="shared" si="3176"/>
        <v>-0.41176470588235292</v>
      </c>
      <c r="Q7520" t="str">
        <f t="shared" si="3166"/>
        <v>1.67% | 4.02%</v>
      </c>
      <c r="R7520" t="str">
        <f t="shared" si="3177"/>
        <v>BULLISH</v>
      </c>
      <c r="S7520">
        <f t="shared" si="3178"/>
        <v>1</v>
      </c>
    </row>
    <row r="7521" spans="1:19" hidden="1" x14ac:dyDescent="0.25">
      <c r="A7521" s="5" t="str">
        <f t="shared" si="3179"/>
        <v>44238FB</v>
      </c>
      <c r="B7521" s="6" t="s">
        <v>30</v>
      </c>
      <c r="C7521" s="6">
        <v>258</v>
      </c>
      <c r="D7521" s="6">
        <v>274</v>
      </c>
      <c r="E7521" s="6">
        <v>271</v>
      </c>
      <c r="F7521" t="str">
        <f t="shared" si="3167"/>
        <v>THU</v>
      </c>
      <c r="G7521" s="3">
        <f t="shared" si="3168"/>
        <v>44238</v>
      </c>
      <c r="H7521" s="2">
        <f t="shared" ca="1" si="3169"/>
        <v>15</v>
      </c>
      <c r="I7521" t="str">
        <f t="shared" si="3170"/>
        <v>FB</v>
      </c>
      <c r="J7521">
        <f t="shared" si="3171"/>
        <v>258</v>
      </c>
      <c r="K7521">
        <f t="shared" si="3172"/>
        <v>274</v>
      </c>
      <c r="L7521">
        <f t="shared" si="3173"/>
        <v>266</v>
      </c>
      <c r="M7521">
        <f t="shared" si="3174"/>
        <v>8</v>
      </c>
      <c r="N7521">
        <f t="shared" si="3165"/>
        <v>16</v>
      </c>
      <c r="O7521">
        <f t="shared" si="3175"/>
        <v>271</v>
      </c>
      <c r="P7521">
        <f t="shared" si="3176"/>
        <v>0.625</v>
      </c>
      <c r="Q7521" t="str">
        <f t="shared" si="3166"/>
        <v>4.8% | 1.11%</v>
      </c>
      <c r="R7521" t="str">
        <f t="shared" si="3177"/>
        <v>BULLISH</v>
      </c>
      <c r="S7521">
        <f t="shared" si="3178"/>
        <v>1</v>
      </c>
    </row>
    <row r="7522" spans="1:19" hidden="1" x14ac:dyDescent="0.25">
      <c r="A7522" s="5" t="str">
        <f t="shared" si="3179"/>
        <v>44238GOOGL</v>
      </c>
      <c r="B7522" s="6" t="s">
        <v>31</v>
      </c>
      <c r="C7522" s="6">
        <v>2008</v>
      </c>
      <c r="D7522" s="6">
        <v>2199</v>
      </c>
      <c r="E7522" s="6">
        <v>2086</v>
      </c>
      <c r="F7522" t="str">
        <f t="shared" si="3167"/>
        <v>THU</v>
      </c>
      <c r="G7522" s="3">
        <f t="shared" si="3168"/>
        <v>44238</v>
      </c>
      <c r="H7522" s="2">
        <f t="shared" ca="1" si="3169"/>
        <v>15</v>
      </c>
      <c r="I7522" t="str">
        <f t="shared" si="3170"/>
        <v>GOOGL</v>
      </c>
      <c r="J7522">
        <f t="shared" si="3171"/>
        <v>2008</v>
      </c>
      <c r="K7522">
        <f t="shared" si="3172"/>
        <v>2199</v>
      </c>
      <c r="L7522">
        <f t="shared" si="3173"/>
        <v>2103.5</v>
      </c>
      <c r="M7522">
        <f t="shared" si="3174"/>
        <v>95.5</v>
      </c>
      <c r="N7522">
        <f t="shared" si="3165"/>
        <v>191</v>
      </c>
      <c r="O7522">
        <f t="shared" si="3175"/>
        <v>2086</v>
      </c>
      <c r="P7522">
        <f t="shared" si="3176"/>
        <v>-0.18324607329842932</v>
      </c>
      <c r="Q7522" t="str">
        <f t="shared" si="3166"/>
        <v>3.74% | 5.42%</v>
      </c>
      <c r="R7522" t="str">
        <f t="shared" si="3177"/>
        <v>BULLISH</v>
      </c>
      <c r="S7522">
        <f t="shared" si="3178"/>
        <v>1</v>
      </c>
    </row>
    <row r="7523" spans="1:19" hidden="1" x14ac:dyDescent="0.25">
      <c r="A7523" s="5" t="str">
        <f t="shared" si="3179"/>
        <v>44238NFLX</v>
      </c>
      <c r="B7523" s="6" t="s">
        <v>32</v>
      </c>
      <c r="C7523" s="6">
        <v>531</v>
      </c>
      <c r="D7523" s="6">
        <v>569</v>
      </c>
      <c r="E7523" s="6">
        <v>563</v>
      </c>
      <c r="F7523" t="str">
        <f t="shared" si="3167"/>
        <v>THU</v>
      </c>
      <c r="G7523" s="3">
        <f t="shared" si="3168"/>
        <v>44238</v>
      </c>
      <c r="H7523" s="2">
        <f t="shared" ca="1" si="3169"/>
        <v>15</v>
      </c>
      <c r="I7523" t="str">
        <f t="shared" si="3170"/>
        <v>NFLX</v>
      </c>
      <c r="J7523">
        <f t="shared" si="3171"/>
        <v>531</v>
      </c>
      <c r="K7523">
        <f t="shared" si="3172"/>
        <v>569</v>
      </c>
      <c r="L7523">
        <f t="shared" si="3173"/>
        <v>550</v>
      </c>
      <c r="M7523">
        <f t="shared" si="3174"/>
        <v>19</v>
      </c>
      <c r="N7523">
        <f t="shared" si="3165"/>
        <v>38</v>
      </c>
      <c r="O7523">
        <f t="shared" si="3175"/>
        <v>563</v>
      </c>
      <c r="P7523">
        <f t="shared" si="3176"/>
        <v>0.68421052631578949</v>
      </c>
      <c r="Q7523" t="str">
        <f t="shared" si="3166"/>
        <v>5.68% | 1.07%</v>
      </c>
      <c r="R7523" t="str">
        <f t="shared" si="3177"/>
        <v>BULLISH</v>
      </c>
      <c r="S7523">
        <f t="shared" si="3178"/>
        <v>1</v>
      </c>
    </row>
    <row r="7524" spans="1:19" x14ac:dyDescent="0.25">
      <c r="A7524" s="5" t="str">
        <f t="shared" si="3179"/>
        <v>44238TSLA</v>
      </c>
      <c r="B7524" s="6" t="s">
        <v>33</v>
      </c>
      <c r="C7524" s="6">
        <v>790</v>
      </c>
      <c r="D7524" s="6">
        <v>893</v>
      </c>
      <c r="E7524" s="6">
        <v>804</v>
      </c>
      <c r="F7524" t="str">
        <f t="shared" si="3167"/>
        <v>THU</v>
      </c>
      <c r="G7524" s="3">
        <f t="shared" si="3168"/>
        <v>44238</v>
      </c>
      <c r="H7524" s="2">
        <f t="shared" ca="1" si="3169"/>
        <v>15</v>
      </c>
      <c r="I7524" t="str">
        <f t="shared" si="3170"/>
        <v>TSLA</v>
      </c>
      <c r="J7524">
        <f t="shared" si="3171"/>
        <v>790</v>
      </c>
      <c r="K7524">
        <f t="shared" si="3172"/>
        <v>893</v>
      </c>
      <c r="L7524">
        <f t="shared" si="3173"/>
        <v>841.5</v>
      </c>
      <c r="M7524">
        <f t="shared" si="3174"/>
        <v>51.5</v>
      </c>
      <c r="N7524">
        <f t="shared" si="3165"/>
        <v>103</v>
      </c>
      <c r="O7524">
        <f t="shared" si="3175"/>
        <v>804</v>
      </c>
      <c r="P7524">
        <f t="shared" si="3176"/>
        <v>-0.72815533980582525</v>
      </c>
      <c r="Q7524" t="str">
        <f t="shared" si="3166"/>
        <v>1.74% | 11.07%</v>
      </c>
      <c r="R7524" t="str">
        <f t="shared" si="3177"/>
        <v>BULLISH</v>
      </c>
      <c r="S7524">
        <f t="shared" si="3178"/>
        <v>1</v>
      </c>
    </row>
    <row r="7525" spans="1:19" hidden="1" x14ac:dyDescent="0.25">
      <c r="A7525" s="5" t="str">
        <f t="shared" si="3179"/>
        <v>44238NYXBT</v>
      </c>
      <c r="B7525" s="6" t="s">
        <v>60</v>
      </c>
      <c r="C7525" s="6">
        <v>38089</v>
      </c>
      <c r="D7525" s="6">
        <v>48956</v>
      </c>
      <c r="E7525" s="6">
        <v>44304</v>
      </c>
      <c r="F7525" t="str">
        <f t="shared" si="3167"/>
        <v>THU</v>
      </c>
      <c r="G7525" s="3">
        <f t="shared" si="3168"/>
        <v>44238</v>
      </c>
      <c r="H7525" s="2">
        <f t="shared" ca="1" si="3169"/>
        <v>15</v>
      </c>
      <c r="I7525" t="str">
        <f t="shared" si="3170"/>
        <v>NYXBT</v>
      </c>
      <c r="J7525">
        <f t="shared" si="3171"/>
        <v>38089</v>
      </c>
      <c r="K7525">
        <f t="shared" si="3172"/>
        <v>48956</v>
      </c>
      <c r="L7525">
        <f t="shared" si="3173"/>
        <v>43522.5</v>
      </c>
      <c r="M7525">
        <f t="shared" si="3174"/>
        <v>5433.5</v>
      </c>
      <c r="N7525">
        <f t="shared" si="3165"/>
        <v>10867</v>
      </c>
      <c r="O7525">
        <f t="shared" si="3175"/>
        <v>44304</v>
      </c>
      <c r="P7525">
        <f t="shared" si="3176"/>
        <v>0.14382994386675255</v>
      </c>
      <c r="Q7525" t="str">
        <f t="shared" si="3166"/>
        <v>14.03% | 10.5%</v>
      </c>
      <c r="R7525" t="str">
        <f t="shared" si="3177"/>
        <v>BULLISH</v>
      </c>
      <c r="S7525">
        <f t="shared" si="3178"/>
        <v>1</v>
      </c>
    </row>
    <row r="7526" spans="1:19" hidden="1" x14ac:dyDescent="0.25">
      <c r="A7526" s="5" t="str">
        <f t="shared" si="3179"/>
        <v>44239UST10Y</v>
      </c>
      <c r="B7526" s="6" t="s">
        <v>257</v>
      </c>
      <c r="C7526" s="6">
        <v>1.23</v>
      </c>
      <c r="D7526" s="6">
        <v>1.0900000000000001</v>
      </c>
      <c r="E7526" s="6">
        <v>1.1599999999999999</v>
      </c>
      <c r="F7526" t="str">
        <f t="shared" si="3167"/>
        <v>FRI</v>
      </c>
      <c r="G7526" s="1">
        <f>DATE(2021,2,12)</f>
        <v>44239</v>
      </c>
      <c r="H7526" s="2">
        <f t="shared" ca="1" si="3169"/>
        <v>14</v>
      </c>
      <c r="I7526" t="str">
        <f t="shared" si="3170"/>
        <v>UST10Y</v>
      </c>
      <c r="J7526">
        <f t="shared" si="3171"/>
        <v>1.23</v>
      </c>
      <c r="K7526">
        <f t="shared" si="3172"/>
        <v>1.0900000000000001</v>
      </c>
      <c r="L7526">
        <f t="shared" si="3173"/>
        <v>1.1600000000000001</v>
      </c>
      <c r="M7526">
        <f t="shared" si="3174"/>
        <v>6.9999999999999951E-2</v>
      </c>
      <c r="N7526">
        <f t="shared" si="3165"/>
        <v>0.1399999999999999</v>
      </c>
      <c r="O7526">
        <f t="shared" si="3175"/>
        <v>1.1599999999999999</v>
      </c>
      <c r="P7526">
        <f t="shared" si="3176"/>
        <v>-3.1720657846433065E-15</v>
      </c>
      <c r="Q7526" t="str">
        <f t="shared" si="3166"/>
        <v>6.03% | 6.03%</v>
      </c>
      <c r="R7526" t="str">
        <f t="shared" si="3177"/>
        <v>BULLISH</v>
      </c>
      <c r="S7526">
        <f t="shared" si="3178"/>
        <v>1</v>
      </c>
    </row>
    <row r="7527" spans="1:19" hidden="1" x14ac:dyDescent="0.25">
      <c r="A7527" s="5" t="str">
        <f t="shared" si="3179"/>
        <v>44239UST2Y</v>
      </c>
      <c r="B7527" s="6" t="s">
        <v>5</v>
      </c>
      <c r="C7527" s="6">
        <v>0.12</v>
      </c>
      <c r="D7527" s="6">
        <v>0.09</v>
      </c>
      <c r="E7527" s="6">
        <v>0.11</v>
      </c>
      <c r="F7527" t="str">
        <f t="shared" ref="F7527:F7558" si="3180">UPPER(TEXT(G7527,"ddd"))</f>
        <v>FRI</v>
      </c>
      <c r="G7527" s="1">
        <f t="shared" ref="G7527:G7557" si="3181">DATE(2021,2,12)</f>
        <v>44239</v>
      </c>
      <c r="H7527" s="2">
        <f t="shared" ref="H7527:H7558" ca="1" si="3182">TODAY()-G7527</f>
        <v>14</v>
      </c>
      <c r="I7527" t="str">
        <f t="shared" ref="I7527:I7558" si="3183">TRIM(LEFT(B7527,FIND(" ",B7527,1)))</f>
        <v>UST2Y</v>
      </c>
      <c r="J7527">
        <f t="shared" ref="J7527:J7558" si="3184">C7527</f>
        <v>0.12</v>
      </c>
      <c r="K7527">
        <f t="shared" ref="K7527:K7558" si="3185">D7527</f>
        <v>0.09</v>
      </c>
      <c r="L7527">
        <f t="shared" ref="L7527:L7558" si="3186">AVERAGE(J7527:K7527)</f>
        <v>0.105</v>
      </c>
      <c r="M7527">
        <f t="shared" ref="M7527:M7558" si="3187">_xlfn.STDEV.P(J7527:K7527)</f>
        <v>1.5000000000000041E-2</v>
      </c>
      <c r="N7527">
        <f t="shared" si="3165"/>
        <v>0.03</v>
      </c>
      <c r="O7527">
        <f t="shared" ref="O7527:O7558" si="3188">E7527</f>
        <v>0.11</v>
      </c>
      <c r="P7527">
        <f t="shared" ref="P7527:P7558" si="3189">(O7527-L7527)/M7527</f>
        <v>0.3333333333333327</v>
      </c>
      <c r="Q7527" t="str">
        <f t="shared" si="3166"/>
        <v>9.09% | 18.18%</v>
      </c>
      <c r="R7527" t="str">
        <f t="shared" ref="R7527:R7558" si="3190">MID(B7527,FIND("(",B7527,1)+1,FIND(")",B7527,1)-FIND("(",B7527,1)-1)</f>
        <v>BEARISH</v>
      </c>
      <c r="S7527">
        <f t="shared" ref="S7527:S7558" si="3191">IF(R7527="BEARISH",-1,IF(R7527="NEUTRAL",0,IF(R7527="BULLISH",1,99)))</f>
        <v>-1</v>
      </c>
    </row>
    <row r="7528" spans="1:19" hidden="1" x14ac:dyDescent="0.25">
      <c r="A7528" s="5" t="str">
        <f t="shared" si="3179"/>
        <v>44239SPX</v>
      </c>
      <c r="B7528" s="6" t="s">
        <v>93</v>
      </c>
      <c r="C7528" s="6">
        <v>3821</v>
      </c>
      <c r="D7528" s="6">
        <v>3976</v>
      </c>
      <c r="E7528" s="6">
        <v>3916</v>
      </c>
      <c r="F7528" t="str">
        <f t="shared" si="3180"/>
        <v>FRI</v>
      </c>
      <c r="G7528" s="1">
        <f t="shared" si="3181"/>
        <v>44239</v>
      </c>
      <c r="H7528" s="2">
        <f t="shared" ca="1" si="3182"/>
        <v>14</v>
      </c>
      <c r="I7528" t="str">
        <f t="shared" si="3183"/>
        <v>SPX</v>
      </c>
      <c r="J7528">
        <f t="shared" si="3184"/>
        <v>3821</v>
      </c>
      <c r="K7528">
        <f t="shared" si="3185"/>
        <v>3976</v>
      </c>
      <c r="L7528">
        <f t="shared" si="3186"/>
        <v>3898.5</v>
      </c>
      <c r="M7528">
        <f t="shared" si="3187"/>
        <v>77.5</v>
      </c>
      <c r="N7528">
        <f t="shared" si="3165"/>
        <v>155</v>
      </c>
      <c r="O7528">
        <f t="shared" si="3188"/>
        <v>3916</v>
      </c>
      <c r="P7528">
        <f t="shared" si="3189"/>
        <v>0.22580645161290322</v>
      </c>
      <c r="Q7528" t="str">
        <f t="shared" si="3166"/>
        <v>2.43% | 1.53%</v>
      </c>
      <c r="R7528" t="str">
        <f t="shared" si="3190"/>
        <v>BULLISH</v>
      </c>
      <c r="S7528">
        <f t="shared" si="3191"/>
        <v>1</v>
      </c>
    </row>
    <row r="7529" spans="1:19" hidden="1" x14ac:dyDescent="0.25">
      <c r="A7529" s="5" t="str">
        <f t="shared" si="3179"/>
        <v>44239RUT</v>
      </c>
      <c r="B7529" s="6" t="s">
        <v>247</v>
      </c>
      <c r="C7529" s="6">
        <v>2155</v>
      </c>
      <c r="D7529" s="6">
        <v>2354</v>
      </c>
      <c r="E7529" s="6">
        <v>2285</v>
      </c>
      <c r="F7529" t="str">
        <f t="shared" si="3180"/>
        <v>FRI</v>
      </c>
      <c r="G7529" s="1">
        <f t="shared" si="3181"/>
        <v>44239</v>
      </c>
      <c r="H7529" s="2">
        <f t="shared" ca="1" si="3182"/>
        <v>14</v>
      </c>
      <c r="I7529" t="str">
        <f t="shared" si="3183"/>
        <v>RUT</v>
      </c>
      <c r="J7529">
        <f t="shared" si="3184"/>
        <v>2155</v>
      </c>
      <c r="K7529">
        <f t="shared" si="3185"/>
        <v>2354</v>
      </c>
      <c r="L7529">
        <f t="shared" si="3186"/>
        <v>2254.5</v>
      </c>
      <c r="M7529">
        <f t="shared" si="3187"/>
        <v>99.5</v>
      </c>
      <c r="N7529">
        <f t="shared" si="3165"/>
        <v>199</v>
      </c>
      <c r="O7529">
        <f t="shared" si="3188"/>
        <v>2285</v>
      </c>
      <c r="P7529">
        <f t="shared" si="3189"/>
        <v>0.30653266331658291</v>
      </c>
      <c r="Q7529" t="str">
        <f t="shared" si="3166"/>
        <v>5.69% | 3.02%</v>
      </c>
      <c r="R7529" t="str">
        <f t="shared" si="3190"/>
        <v>BULLISH</v>
      </c>
      <c r="S7529">
        <f t="shared" si="3191"/>
        <v>1</v>
      </c>
    </row>
    <row r="7530" spans="1:19" hidden="1" x14ac:dyDescent="0.25">
      <c r="A7530" s="5" t="str">
        <f t="shared" si="3179"/>
        <v>44239COMPQ</v>
      </c>
      <c r="B7530" s="6" t="s">
        <v>8</v>
      </c>
      <c r="C7530" s="6">
        <v>13450</v>
      </c>
      <c r="D7530" s="6">
        <v>14232</v>
      </c>
      <c r="E7530" s="6">
        <v>14025</v>
      </c>
      <c r="F7530" t="str">
        <f t="shared" si="3180"/>
        <v>FRI</v>
      </c>
      <c r="G7530" s="1">
        <f t="shared" si="3181"/>
        <v>44239</v>
      </c>
      <c r="H7530" s="2">
        <f t="shared" ca="1" si="3182"/>
        <v>14</v>
      </c>
      <c r="I7530" t="str">
        <f t="shared" si="3183"/>
        <v>COMPQ</v>
      </c>
      <c r="J7530">
        <f t="shared" si="3184"/>
        <v>13450</v>
      </c>
      <c r="K7530">
        <f t="shared" si="3185"/>
        <v>14232</v>
      </c>
      <c r="L7530">
        <f t="shared" si="3186"/>
        <v>13841</v>
      </c>
      <c r="M7530">
        <f t="shared" si="3187"/>
        <v>391</v>
      </c>
      <c r="N7530">
        <f t="shared" si="3165"/>
        <v>782</v>
      </c>
      <c r="O7530">
        <f t="shared" si="3188"/>
        <v>14025</v>
      </c>
      <c r="P7530">
        <f t="shared" si="3189"/>
        <v>0.47058823529411764</v>
      </c>
      <c r="Q7530" t="str">
        <f t="shared" si="3166"/>
        <v>4.1% | 1.48%</v>
      </c>
      <c r="R7530" t="str">
        <f t="shared" si="3190"/>
        <v>BULLISH</v>
      </c>
      <c r="S7530">
        <f t="shared" si="3191"/>
        <v>1</v>
      </c>
    </row>
    <row r="7531" spans="1:19" hidden="1" x14ac:dyDescent="0.25">
      <c r="A7531" s="5" t="str">
        <f t="shared" si="3179"/>
        <v>44239XLK</v>
      </c>
      <c r="B7531" s="6" t="s">
        <v>10</v>
      </c>
      <c r="C7531" s="6">
        <v>132.5</v>
      </c>
      <c r="D7531" s="6">
        <v>139.18</v>
      </c>
      <c r="E7531" s="6">
        <v>137.88</v>
      </c>
      <c r="F7531" t="str">
        <f t="shared" si="3180"/>
        <v>FRI</v>
      </c>
      <c r="G7531" s="1">
        <f t="shared" si="3181"/>
        <v>44239</v>
      </c>
      <c r="H7531" s="2">
        <f t="shared" ca="1" si="3182"/>
        <v>14</v>
      </c>
      <c r="I7531" t="str">
        <f t="shared" si="3183"/>
        <v>XLK</v>
      </c>
      <c r="J7531">
        <f t="shared" si="3184"/>
        <v>132.5</v>
      </c>
      <c r="K7531">
        <f t="shared" si="3185"/>
        <v>139.18</v>
      </c>
      <c r="L7531">
        <f t="shared" si="3186"/>
        <v>135.84</v>
      </c>
      <c r="M7531">
        <f t="shared" si="3187"/>
        <v>3.3400000000000034</v>
      </c>
      <c r="N7531">
        <f t="shared" si="3165"/>
        <v>6.6800000000000068</v>
      </c>
      <c r="O7531">
        <f t="shared" si="3188"/>
        <v>137.88</v>
      </c>
      <c r="P7531">
        <f t="shared" si="3189"/>
        <v>0.6107784431137695</v>
      </c>
      <c r="Q7531" t="str">
        <f t="shared" si="3166"/>
        <v>3.9% | 0.94%</v>
      </c>
      <c r="R7531" t="str">
        <f t="shared" si="3190"/>
        <v>BULLISH</v>
      </c>
      <c r="S7531">
        <f t="shared" si="3191"/>
        <v>1</v>
      </c>
    </row>
    <row r="7532" spans="1:19" hidden="1" x14ac:dyDescent="0.25">
      <c r="A7532" s="5" t="str">
        <f t="shared" si="3179"/>
        <v>44239XLE</v>
      </c>
      <c r="B7532" s="6" t="s">
        <v>250</v>
      </c>
      <c r="C7532" s="6">
        <v>39.159999999999997</v>
      </c>
      <c r="D7532" s="6">
        <v>46.17</v>
      </c>
      <c r="E7532" s="6">
        <v>44.02</v>
      </c>
      <c r="F7532" t="str">
        <f t="shared" si="3180"/>
        <v>FRI</v>
      </c>
      <c r="G7532" s="1">
        <f t="shared" si="3181"/>
        <v>44239</v>
      </c>
      <c r="H7532" s="2">
        <f t="shared" ca="1" si="3182"/>
        <v>14</v>
      </c>
      <c r="I7532" t="str">
        <f t="shared" si="3183"/>
        <v>XLE</v>
      </c>
      <c r="J7532">
        <f t="shared" si="3184"/>
        <v>39.159999999999997</v>
      </c>
      <c r="K7532">
        <f t="shared" si="3185"/>
        <v>46.17</v>
      </c>
      <c r="L7532">
        <f t="shared" si="3186"/>
        <v>42.664999999999999</v>
      </c>
      <c r="M7532">
        <f t="shared" si="3187"/>
        <v>3.5050000000000026</v>
      </c>
      <c r="N7532">
        <f t="shared" si="3165"/>
        <v>7.0100000000000051</v>
      </c>
      <c r="O7532">
        <f t="shared" si="3188"/>
        <v>44.02</v>
      </c>
      <c r="P7532">
        <f t="shared" si="3189"/>
        <v>0.38659058487874548</v>
      </c>
      <c r="Q7532" t="str">
        <f t="shared" si="3166"/>
        <v>11.04% | 4.88%</v>
      </c>
      <c r="R7532" t="str">
        <f t="shared" si="3190"/>
        <v>BULLISH</v>
      </c>
      <c r="S7532">
        <f t="shared" si="3191"/>
        <v>1</v>
      </c>
    </row>
    <row r="7533" spans="1:19" hidden="1" x14ac:dyDescent="0.25">
      <c r="A7533" s="5" t="str">
        <f t="shared" si="3179"/>
        <v>44239XLU</v>
      </c>
      <c r="B7533" s="6" t="s">
        <v>82</v>
      </c>
      <c r="C7533" s="6">
        <v>62.01</v>
      </c>
      <c r="D7533" s="6">
        <v>63.84</v>
      </c>
      <c r="E7533" s="6">
        <v>63.08</v>
      </c>
      <c r="F7533" t="str">
        <f t="shared" si="3180"/>
        <v>FRI</v>
      </c>
      <c r="G7533" s="1">
        <f t="shared" si="3181"/>
        <v>44239</v>
      </c>
      <c r="H7533" s="2">
        <f t="shared" ca="1" si="3182"/>
        <v>14</v>
      </c>
      <c r="I7533" t="str">
        <f t="shared" si="3183"/>
        <v>XLU</v>
      </c>
      <c r="J7533">
        <f t="shared" si="3184"/>
        <v>62.01</v>
      </c>
      <c r="K7533">
        <f t="shared" si="3185"/>
        <v>63.84</v>
      </c>
      <c r="L7533">
        <f t="shared" si="3186"/>
        <v>62.924999999999997</v>
      </c>
      <c r="M7533">
        <f t="shared" si="3187"/>
        <v>0.9150000000000027</v>
      </c>
      <c r="N7533">
        <f t="shared" si="3165"/>
        <v>1.8300000000000054</v>
      </c>
      <c r="O7533">
        <f t="shared" si="3188"/>
        <v>63.08</v>
      </c>
      <c r="P7533">
        <f t="shared" si="3189"/>
        <v>0.16939890710382588</v>
      </c>
      <c r="Q7533" t="str">
        <f t="shared" si="3166"/>
        <v>1.7% | 1.2%</v>
      </c>
      <c r="R7533" t="str">
        <f t="shared" si="3190"/>
        <v>BEARISH</v>
      </c>
      <c r="S7533">
        <f t="shared" si="3191"/>
        <v>-1</v>
      </c>
    </row>
    <row r="7534" spans="1:19" hidden="1" x14ac:dyDescent="0.25">
      <c r="A7534" s="5" t="str">
        <f t="shared" si="3179"/>
        <v>44239GDX</v>
      </c>
      <c r="B7534" s="6" t="s">
        <v>254</v>
      </c>
      <c r="C7534" s="6">
        <v>33.659999999999997</v>
      </c>
      <c r="D7534" s="6">
        <v>35.9</v>
      </c>
      <c r="E7534" s="6">
        <v>34.81</v>
      </c>
      <c r="F7534" t="str">
        <f t="shared" si="3180"/>
        <v>FRI</v>
      </c>
      <c r="G7534" s="1">
        <f t="shared" si="3181"/>
        <v>44239</v>
      </c>
      <c r="H7534" s="2">
        <f t="shared" ca="1" si="3182"/>
        <v>14</v>
      </c>
      <c r="I7534" t="str">
        <f t="shared" si="3183"/>
        <v>GDX</v>
      </c>
      <c r="J7534">
        <f t="shared" si="3184"/>
        <v>33.659999999999997</v>
      </c>
      <c r="K7534">
        <f t="shared" si="3185"/>
        <v>35.9</v>
      </c>
      <c r="L7534">
        <f t="shared" si="3186"/>
        <v>34.78</v>
      </c>
      <c r="M7534">
        <f t="shared" si="3187"/>
        <v>1.120000000000001</v>
      </c>
      <c r="N7534">
        <f t="shared" si="3165"/>
        <v>2.240000000000002</v>
      </c>
      <c r="O7534">
        <f t="shared" si="3188"/>
        <v>34.81</v>
      </c>
      <c r="P7534">
        <f t="shared" si="3189"/>
        <v>2.6785714285715276E-2</v>
      </c>
      <c r="Q7534" t="str">
        <f t="shared" si="3166"/>
        <v>3.3% | 3.13%</v>
      </c>
      <c r="R7534" t="str">
        <f t="shared" si="3190"/>
        <v>BEARISH</v>
      </c>
      <c r="S7534">
        <f t="shared" si="3191"/>
        <v>-1</v>
      </c>
    </row>
    <row r="7535" spans="1:19" hidden="1" x14ac:dyDescent="0.25">
      <c r="A7535" s="5" t="str">
        <f t="shared" si="3179"/>
        <v>44239SSEC</v>
      </c>
      <c r="B7535" s="6" t="s">
        <v>104</v>
      </c>
      <c r="C7535" s="6">
        <v>3455</v>
      </c>
      <c r="D7535" s="6">
        <v>3686</v>
      </c>
      <c r="E7535" s="6">
        <v>3655</v>
      </c>
      <c r="F7535" t="str">
        <f t="shared" si="3180"/>
        <v>FRI</v>
      </c>
      <c r="G7535" s="1">
        <f t="shared" si="3181"/>
        <v>44239</v>
      </c>
      <c r="H7535" s="2">
        <f t="shared" ca="1" si="3182"/>
        <v>14</v>
      </c>
      <c r="I7535" t="str">
        <f t="shared" si="3183"/>
        <v>SSEC</v>
      </c>
      <c r="J7535">
        <f t="shared" si="3184"/>
        <v>3455</v>
      </c>
      <c r="K7535">
        <f t="shared" si="3185"/>
        <v>3686</v>
      </c>
      <c r="L7535">
        <f t="shared" si="3186"/>
        <v>3570.5</v>
      </c>
      <c r="M7535">
        <f t="shared" si="3187"/>
        <v>115.5</v>
      </c>
      <c r="N7535">
        <f t="shared" si="3165"/>
        <v>231</v>
      </c>
      <c r="O7535">
        <f t="shared" si="3188"/>
        <v>3655</v>
      </c>
      <c r="P7535">
        <f t="shared" si="3189"/>
        <v>0.73160173160173159</v>
      </c>
      <c r="Q7535" t="str">
        <f t="shared" si="3166"/>
        <v>5.47% | 0.85%</v>
      </c>
      <c r="R7535" t="str">
        <f t="shared" si="3190"/>
        <v>BULLISH</v>
      </c>
      <c r="S7535">
        <f t="shared" si="3191"/>
        <v>1</v>
      </c>
    </row>
    <row r="7536" spans="1:19" hidden="1" x14ac:dyDescent="0.25">
      <c r="A7536" s="5" t="str">
        <f t="shared" si="3179"/>
        <v>44239NIKK</v>
      </c>
      <c r="B7536" s="6" t="s">
        <v>91</v>
      </c>
      <c r="C7536" s="6">
        <v>28335</v>
      </c>
      <c r="D7536" s="6">
        <v>29973</v>
      </c>
      <c r="E7536" s="6">
        <v>29520</v>
      </c>
      <c r="F7536" t="str">
        <f t="shared" si="3180"/>
        <v>FRI</v>
      </c>
      <c r="G7536" s="1">
        <f t="shared" si="3181"/>
        <v>44239</v>
      </c>
      <c r="H7536" s="2">
        <f t="shared" ca="1" si="3182"/>
        <v>14</v>
      </c>
      <c r="I7536" t="str">
        <f t="shared" si="3183"/>
        <v>NIKK</v>
      </c>
      <c r="J7536">
        <f t="shared" si="3184"/>
        <v>28335</v>
      </c>
      <c r="K7536">
        <f t="shared" si="3185"/>
        <v>29973</v>
      </c>
      <c r="L7536">
        <f t="shared" si="3186"/>
        <v>29154</v>
      </c>
      <c r="M7536">
        <f t="shared" si="3187"/>
        <v>819</v>
      </c>
      <c r="N7536">
        <f t="shared" si="3165"/>
        <v>1638</v>
      </c>
      <c r="O7536">
        <f t="shared" si="3188"/>
        <v>29520</v>
      </c>
      <c r="P7536">
        <f t="shared" si="3189"/>
        <v>0.44688644688644691</v>
      </c>
      <c r="Q7536" t="str">
        <f t="shared" si="3166"/>
        <v>4.01% | 1.53%</v>
      </c>
      <c r="R7536" t="str">
        <f t="shared" si="3190"/>
        <v>BULLISH</v>
      </c>
      <c r="S7536">
        <f t="shared" si="3191"/>
        <v>1</v>
      </c>
    </row>
    <row r="7537" spans="1:19" hidden="1" x14ac:dyDescent="0.25">
      <c r="A7537" s="5" t="str">
        <f t="shared" si="3179"/>
        <v>44239DAX</v>
      </c>
      <c r="B7537" s="6" t="s">
        <v>98</v>
      </c>
      <c r="C7537" s="6">
        <v>13706</v>
      </c>
      <c r="D7537" s="6">
        <v>14234</v>
      </c>
      <c r="E7537" s="6">
        <v>14040</v>
      </c>
      <c r="F7537" t="str">
        <f t="shared" si="3180"/>
        <v>FRI</v>
      </c>
      <c r="G7537" s="1">
        <f t="shared" si="3181"/>
        <v>44239</v>
      </c>
      <c r="H7537" s="2">
        <f t="shared" ca="1" si="3182"/>
        <v>14</v>
      </c>
      <c r="I7537" t="str">
        <f t="shared" si="3183"/>
        <v>DAX</v>
      </c>
      <c r="J7537">
        <f t="shared" si="3184"/>
        <v>13706</v>
      </c>
      <c r="K7537">
        <f t="shared" si="3185"/>
        <v>14234</v>
      </c>
      <c r="L7537">
        <f t="shared" si="3186"/>
        <v>13970</v>
      </c>
      <c r="M7537">
        <f t="shared" si="3187"/>
        <v>264</v>
      </c>
      <c r="N7537">
        <f t="shared" si="3165"/>
        <v>528</v>
      </c>
      <c r="O7537">
        <f t="shared" si="3188"/>
        <v>14040</v>
      </c>
      <c r="P7537">
        <f t="shared" si="3189"/>
        <v>0.26515151515151514</v>
      </c>
      <c r="Q7537" t="str">
        <f t="shared" si="3166"/>
        <v>2.38% | 1.38%</v>
      </c>
      <c r="R7537" t="str">
        <f t="shared" si="3190"/>
        <v>BULLISH</v>
      </c>
      <c r="S7537">
        <f t="shared" si="3191"/>
        <v>1</v>
      </c>
    </row>
    <row r="7538" spans="1:19" hidden="1" x14ac:dyDescent="0.25">
      <c r="A7538" s="5" t="str">
        <f t="shared" si="3179"/>
        <v>44239VIX</v>
      </c>
      <c r="B7538" s="6" t="s">
        <v>96</v>
      </c>
      <c r="C7538" s="6">
        <v>16.91</v>
      </c>
      <c r="D7538" s="6">
        <v>24.66</v>
      </c>
      <c r="E7538" s="6">
        <v>21.25</v>
      </c>
      <c r="F7538" t="str">
        <f t="shared" si="3180"/>
        <v>FRI</v>
      </c>
      <c r="G7538" s="1">
        <f t="shared" si="3181"/>
        <v>44239</v>
      </c>
      <c r="H7538" s="2">
        <f t="shared" ca="1" si="3182"/>
        <v>14</v>
      </c>
      <c r="I7538" t="str">
        <f t="shared" si="3183"/>
        <v>VIX</v>
      </c>
      <c r="J7538">
        <f t="shared" si="3184"/>
        <v>16.91</v>
      </c>
      <c r="K7538">
        <f t="shared" si="3185"/>
        <v>24.66</v>
      </c>
      <c r="L7538">
        <f t="shared" si="3186"/>
        <v>20.785</v>
      </c>
      <c r="M7538">
        <f t="shared" si="3187"/>
        <v>3.8749999999999925</v>
      </c>
      <c r="N7538">
        <f t="shared" si="3165"/>
        <v>7.75</v>
      </c>
      <c r="O7538">
        <f t="shared" si="3188"/>
        <v>21.25</v>
      </c>
      <c r="P7538">
        <f t="shared" si="3189"/>
        <v>0.1200000000000002</v>
      </c>
      <c r="Q7538" t="str">
        <f t="shared" si="3166"/>
        <v>20.42% | 16.05%</v>
      </c>
      <c r="R7538" t="str">
        <f t="shared" si="3190"/>
        <v>BEARISH</v>
      </c>
      <c r="S7538">
        <f t="shared" si="3191"/>
        <v>-1</v>
      </c>
    </row>
    <row r="7539" spans="1:19" hidden="1" x14ac:dyDescent="0.25">
      <c r="A7539" s="5" t="str">
        <f t="shared" si="3179"/>
        <v>44239USD</v>
      </c>
      <c r="B7539" s="6" t="s">
        <v>94</v>
      </c>
      <c r="C7539" s="6">
        <v>89.93</v>
      </c>
      <c r="D7539" s="6">
        <v>91.36</v>
      </c>
      <c r="E7539" s="6">
        <v>90.41</v>
      </c>
      <c r="F7539" t="str">
        <f t="shared" si="3180"/>
        <v>FRI</v>
      </c>
      <c r="G7539" s="1">
        <f t="shared" si="3181"/>
        <v>44239</v>
      </c>
      <c r="H7539" s="2">
        <f t="shared" ca="1" si="3182"/>
        <v>14</v>
      </c>
      <c r="I7539" t="str">
        <f t="shared" si="3183"/>
        <v>USD</v>
      </c>
      <c r="J7539">
        <f t="shared" si="3184"/>
        <v>89.93</v>
      </c>
      <c r="K7539">
        <f t="shared" si="3185"/>
        <v>91.36</v>
      </c>
      <c r="L7539">
        <f t="shared" si="3186"/>
        <v>90.64500000000001</v>
      </c>
      <c r="M7539">
        <f t="shared" si="3187"/>
        <v>0.71499999999999631</v>
      </c>
      <c r="N7539">
        <f t="shared" si="3165"/>
        <v>1.4299999999999926</v>
      </c>
      <c r="O7539">
        <f t="shared" si="3188"/>
        <v>90.41</v>
      </c>
      <c r="P7539">
        <f t="shared" si="3189"/>
        <v>-0.32867132867134946</v>
      </c>
      <c r="Q7539" t="str">
        <f t="shared" si="3166"/>
        <v>0.53% | 1.05%</v>
      </c>
      <c r="R7539" t="str">
        <f t="shared" si="3190"/>
        <v>BEARISH</v>
      </c>
      <c r="S7539">
        <f t="shared" si="3191"/>
        <v>-1</v>
      </c>
    </row>
    <row r="7540" spans="1:19" hidden="1" x14ac:dyDescent="0.25">
      <c r="A7540" s="5" t="str">
        <f t="shared" si="3179"/>
        <v>44239EUR/USD</v>
      </c>
      <c r="B7540" s="6" t="s">
        <v>99</v>
      </c>
      <c r="C7540" s="6">
        <v>1.1970000000000001</v>
      </c>
      <c r="D7540" s="6">
        <v>1.218</v>
      </c>
      <c r="E7540" s="6">
        <v>1.2130000000000001</v>
      </c>
      <c r="F7540" t="str">
        <f t="shared" si="3180"/>
        <v>FRI</v>
      </c>
      <c r="G7540" s="1">
        <f t="shared" si="3181"/>
        <v>44239</v>
      </c>
      <c r="H7540" s="2">
        <f t="shared" ca="1" si="3182"/>
        <v>14</v>
      </c>
      <c r="I7540" t="str">
        <f t="shared" si="3183"/>
        <v>EUR/USD</v>
      </c>
      <c r="J7540">
        <f t="shared" si="3184"/>
        <v>1.1970000000000001</v>
      </c>
      <c r="K7540">
        <f t="shared" si="3185"/>
        <v>1.218</v>
      </c>
      <c r="L7540">
        <f t="shared" si="3186"/>
        <v>1.2075</v>
      </c>
      <c r="M7540">
        <f t="shared" si="3187"/>
        <v>1.0499999999999954E-2</v>
      </c>
      <c r="N7540">
        <f t="shared" si="3165"/>
        <v>2.0999999999999908E-2</v>
      </c>
      <c r="O7540">
        <f t="shared" si="3188"/>
        <v>1.2130000000000001</v>
      </c>
      <c r="P7540">
        <f t="shared" si="3189"/>
        <v>0.52380952380953183</v>
      </c>
      <c r="Q7540" t="str">
        <f t="shared" si="3166"/>
        <v>1.32% | 0.41%</v>
      </c>
      <c r="R7540" t="str">
        <f t="shared" si="3190"/>
        <v>BULLISH</v>
      </c>
      <c r="S7540">
        <f t="shared" si="3191"/>
        <v>1</v>
      </c>
    </row>
    <row r="7541" spans="1:19" hidden="1" x14ac:dyDescent="0.25">
      <c r="A7541" s="5" t="str">
        <f t="shared" si="3179"/>
        <v>44239USD/JPY</v>
      </c>
      <c r="B7541" s="6" t="s">
        <v>86</v>
      </c>
      <c r="C7541" s="6">
        <v>104.16</v>
      </c>
      <c r="D7541" s="6">
        <v>105.71</v>
      </c>
      <c r="E7541" s="6">
        <v>104.75</v>
      </c>
      <c r="F7541" t="str">
        <f t="shared" si="3180"/>
        <v>FRI</v>
      </c>
      <c r="G7541" s="1">
        <f t="shared" si="3181"/>
        <v>44239</v>
      </c>
      <c r="H7541" s="2">
        <f t="shared" ca="1" si="3182"/>
        <v>14</v>
      </c>
      <c r="I7541" t="str">
        <f t="shared" si="3183"/>
        <v>USD/JPY</v>
      </c>
      <c r="J7541">
        <f t="shared" si="3184"/>
        <v>104.16</v>
      </c>
      <c r="K7541">
        <f t="shared" si="3185"/>
        <v>105.71</v>
      </c>
      <c r="L7541">
        <f t="shared" si="3186"/>
        <v>104.935</v>
      </c>
      <c r="M7541">
        <f t="shared" si="3187"/>
        <v>0.77499999999999858</v>
      </c>
      <c r="N7541">
        <f t="shared" si="3165"/>
        <v>1.5499999999999972</v>
      </c>
      <c r="O7541">
        <f t="shared" si="3188"/>
        <v>104.75</v>
      </c>
      <c r="P7541">
        <f t="shared" si="3189"/>
        <v>-0.23870967741935822</v>
      </c>
      <c r="Q7541" t="str">
        <f t="shared" si="3166"/>
        <v>0.56% | 0.92%</v>
      </c>
      <c r="R7541" t="str">
        <f t="shared" si="3190"/>
        <v>NEUTRAL</v>
      </c>
      <c r="S7541">
        <f t="shared" si="3191"/>
        <v>0</v>
      </c>
    </row>
    <row r="7542" spans="1:19" hidden="1" x14ac:dyDescent="0.25">
      <c r="A7542" s="5" t="str">
        <f t="shared" si="3179"/>
        <v>44239GBP/USD</v>
      </c>
      <c r="B7542" s="6" t="s">
        <v>102</v>
      </c>
      <c r="C7542" s="6">
        <v>1.367</v>
      </c>
      <c r="D7542" s="6">
        <v>1.387</v>
      </c>
      <c r="E7542" s="6">
        <v>1.3819999999999999</v>
      </c>
      <c r="F7542" t="str">
        <f t="shared" si="3180"/>
        <v>FRI</v>
      </c>
      <c r="G7542" s="1">
        <f t="shared" si="3181"/>
        <v>44239</v>
      </c>
      <c r="H7542" s="2">
        <f t="shared" ca="1" si="3182"/>
        <v>14</v>
      </c>
      <c r="I7542" t="str">
        <f t="shared" si="3183"/>
        <v>GBP/USD</v>
      </c>
      <c r="J7542">
        <f t="shared" si="3184"/>
        <v>1.367</v>
      </c>
      <c r="K7542">
        <f t="shared" si="3185"/>
        <v>1.387</v>
      </c>
      <c r="L7542">
        <f t="shared" si="3186"/>
        <v>1.377</v>
      </c>
      <c r="M7542">
        <f t="shared" si="3187"/>
        <v>1.0000000000000009E-2</v>
      </c>
      <c r="N7542">
        <f t="shared" si="3165"/>
        <v>2.0000000000000018E-2</v>
      </c>
      <c r="O7542">
        <f t="shared" si="3188"/>
        <v>1.3819999999999999</v>
      </c>
      <c r="P7542">
        <f t="shared" si="3189"/>
        <v>0.4999999999999889</v>
      </c>
      <c r="Q7542" t="str">
        <f t="shared" si="3166"/>
        <v>1.09% | 0.36%</v>
      </c>
      <c r="R7542" t="str">
        <f t="shared" si="3190"/>
        <v>BULLISH</v>
      </c>
      <c r="S7542">
        <f t="shared" si="3191"/>
        <v>1</v>
      </c>
    </row>
    <row r="7543" spans="1:19" hidden="1" x14ac:dyDescent="0.25">
      <c r="A7543" s="5" t="str">
        <f t="shared" si="3179"/>
        <v>44239CAD/USD</v>
      </c>
      <c r="B7543" s="6" t="s">
        <v>244</v>
      </c>
      <c r="C7543" s="6">
        <v>0.77</v>
      </c>
      <c r="D7543" s="6">
        <v>0.79</v>
      </c>
      <c r="E7543" s="6">
        <v>0.78</v>
      </c>
      <c r="F7543" t="str">
        <f t="shared" si="3180"/>
        <v>FRI</v>
      </c>
      <c r="G7543" s="1">
        <f t="shared" si="3181"/>
        <v>44239</v>
      </c>
      <c r="H7543" s="2">
        <f t="shared" ca="1" si="3182"/>
        <v>14</v>
      </c>
      <c r="I7543" t="str">
        <f t="shared" si="3183"/>
        <v>CAD/USD</v>
      </c>
      <c r="J7543">
        <f t="shared" si="3184"/>
        <v>0.77</v>
      </c>
      <c r="K7543">
        <f t="shared" si="3185"/>
        <v>0.79</v>
      </c>
      <c r="L7543">
        <f t="shared" si="3186"/>
        <v>0.78</v>
      </c>
      <c r="M7543">
        <f t="shared" si="3187"/>
        <v>1.0000000000000009E-2</v>
      </c>
      <c r="N7543">
        <f t="shared" si="3165"/>
        <v>2.0000000000000018E-2</v>
      </c>
      <c r="O7543">
        <f t="shared" si="3188"/>
        <v>0.78</v>
      </c>
      <c r="P7543">
        <f t="shared" si="3189"/>
        <v>0</v>
      </c>
      <c r="Q7543" t="str">
        <f t="shared" si="3166"/>
        <v>1.28% | 1.28%</v>
      </c>
      <c r="R7543" t="str">
        <f t="shared" si="3190"/>
        <v>BULLISH</v>
      </c>
      <c r="S7543">
        <f t="shared" si="3191"/>
        <v>1</v>
      </c>
    </row>
    <row r="7544" spans="1:19" hidden="1" x14ac:dyDescent="0.25">
      <c r="A7544" s="5" t="str">
        <f t="shared" si="3179"/>
        <v>44239USD/CHF</v>
      </c>
      <c r="B7544" s="6" t="s">
        <v>76</v>
      </c>
      <c r="C7544" s="6">
        <v>0.88</v>
      </c>
      <c r="D7544" s="6">
        <v>0.9</v>
      </c>
      <c r="E7544" s="6">
        <v>0.89</v>
      </c>
      <c r="F7544" t="str">
        <f t="shared" si="3180"/>
        <v>FRI</v>
      </c>
      <c r="G7544" s="1">
        <f t="shared" si="3181"/>
        <v>44239</v>
      </c>
      <c r="H7544" s="2">
        <f t="shared" ca="1" si="3182"/>
        <v>14</v>
      </c>
      <c r="I7544" t="str">
        <f t="shared" si="3183"/>
        <v>USD/CHF</v>
      </c>
      <c r="J7544">
        <f t="shared" si="3184"/>
        <v>0.88</v>
      </c>
      <c r="K7544">
        <f t="shared" si="3185"/>
        <v>0.9</v>
      </c>
      <c r="L7544">
        <f t="shared" si="3186"/>
        <v>0.89</v>
      </c>
      <c r="M7544">
        <f t="shared" si="3187"/>
        <v>1.0000000000000009E-2</v>
      </c>
      <c r="N7544">
        <f t="shared" si="3165"/>
        <v>2.0000000000000018E-2</v>
      </c>
      <c r="O7544">
        <f t="shared" si="3188"/>
        <v>0.89</v>
      </c>
      <c r="P7544">
        <f t="shared" si="3189"/>
        <v>0</v>
      </c>
      <c r="Q7544" t="str">
        <f t="shared" si="3166"/>
        <v>1.12% | 1.12%</v>
      </c>
      <c r="R7544" t="str">
        <f t="shared" si="3190"/>
        <v>BEARISH</v>
      </c>
      <c r="S7544">
        <f t="shared" si="3191"/>
        <v>-1</v>
      </c>
    </row>
    <row r="7545" spans="1:19" hidden="1" x14ac:dyDescent="0.25">
      <c r="A7545" s="5" t="str">
        <f t="shared" si="3179"/>
        <v>44239WTIC</v>
      </c>
      <c r="B7545" s="6" t="s">
        <v>158</v>
      </c>
      <c r="C7545" s="6">
        <v>53.98</v>
      </c>
      <c r="D7545" s="6">
        <v>60.18</v>
      </c>
      <c r="E7545" s="6">
        <v>58.24</v>
      </c>
      <c r="F7545" t="str">
        <f t="shared" si="3180"/>
        <v>FRI</v>
      </c>
      <c r="G7545" s="1">
        <f t="shared" si="3181"/>
        <v>44239</v>
      </c>
      <c r="H7545" s="2">
        <f t="shared" ca="1" si="3182"/>
        <v>14</v>
      </c>
      <c r="I7545" t="str">
        <f t="shared" si="3183"/>
        <v>WTIC</v>
      </c>
      <c r="J7545">
        <f t="shared" si="3184"/>
        <v>53.98</v>
      </c>
      <c r="K7545">
        <f t="shared" si="3185"/>
        <v>60.18</v>
      </c>
      <c r="L7545">
        <f t="shared" si="3186"/>
        <v>57.08</v>
      </c>
      <c r="M7545">
        <f t="shared" si="3187"/>
        <v>3.1000000000000014</v>
      </c>
      <c r="N7545">
        <f t="shared" si="3165"/>
        <v>6.2000000000000028</v>
      </c>
      <c r="O7545">
        <f t="shared" si="3188"/>
        <v>58.24</v>
      </c>
      <c r="P7545">
        <f t="shared" si="3189"/>
        <v>0.37419354838709779</v>
      </c>
      <c r="Q7545" t="str">
        <f t="shared" si="3166"/>
        <v>7.31% | 3.33%</v>
      </c>
      <c r="R7545" t="str">
        <f t="shared" si="3190"/>
        <v>BULLISH</v>
      </c>
      <c r="S7545">
        <f t="shared" si="3191"/>
        <v>1</v>
      </c>
    </row>
    <row r="7546" spans="1:19" hidden="1" x14ac:dyDescent="0.25">
      <c r="A7546" s="5" t="str">
        <f t="shared" si="3179"/>
        <v>44239NATGAS</v>
      </c>
      <c r="B7546" s="6" t="s">
        <v>89</v>
      </c>
      <c r="C7546" s="6">
        <v>2.68</v>
      </c>
      <c r="D7546" s="6">
        <v>3.01</v>
      </c>
      <c r="E7546" s="6">
        <v>2.87</v>
      </c>
      <c r="F7546" t="str">
        <f t="shared" si="3180"/>
        <v>FRI</v>
      </c>
      <c r="G7546" s="1">
        <f t="shared" si="3181"/>
        <v>44239</v>
      </c>
      <c r="H7546" s="2">
        <f t="shared" ca="1" si="3182"/>
        <v>14</v>
      </c>
      <c r="I7546" t="str">
        <f t="shared" si="3183"/>
        <v>NATGAS</v>
      </c>
      <c r="J7546">
        <f t="shared" si="3184"/>
        <v>2.68</v>
      </c>
      <c r="K7546">
        <f t="shared" si="3185"/>
        <v>3.01</v>
      </c>
      <c r="L7546">
        <f t="shared" si="3186"/>
        <v>2.8449999999999998</v>
      </c>
      <c r="M7546">
        <f t="shared" si="3187"/>
        <v>0.16499999999999981</v>
      </c>
      <c r="N7546">
        <f t="shared" si="3165"/>
        <v>0.32999999999999963</v>
      </c>
      <c r="O7546">
        <f t="shared" si="3188"/>
        <v>2.87</v>
      </c>
      <c r="P7546">
        <f t="shared" si="3189"/>
        <v>0.15151515151515385</v>
      </c>
      <c r="Q7546" t="str">
        <f t="shared" si="3166"/>
        <v>6.62% | 4.88%</v>
      </c>
      <c r="R7546" t="str">
        <f t="shared" si="3190"/>
        <v>BULLISH</v>
      </c>
      <c r="S7546">
        <f t="shared" si="3191"/>
        <v>1</v>
      </c>
    </row>
    <row r="7547" spans="1:19" hidden="1" x14ac:dyDescent="0.25">
      <c r="A7547" s="5" t="str">
        <f t="shared" si="3179"/>
        <v>44239GOLD</v>
      </c>
      <c r="B7547" s="6" t="s">
        <v>85</v>
      </c>
      <c r="C7547" s="6">
        <v>1790</v>
      </c>
      <c r="D7547" s="6">
        <v>1856</v>
      </c>
      <c r="E7547" s="6">
        <v>1826</v>
      </c>
      <c r="F7547" t="str">
        <f t="shared" si="3180"/>
        <v>FRI</v>
      </c>
      <c r="G7547" s="1">
        <f t="shared" si="3181"/>
        <v>44239</v>
      </c>
      <c r="H7547" s="2">
        <f t="shared" ca="1" si="3182"/>
        <v>14</v>
      </c>
      <c r="I7547" t="str">
        <f t="shared" si="3183"/>
        <v>GOLD</v>
      </c>
      <c r="J7547">
        <f t="shared" si="3184"/>
        <v>1790</v>
      </c>
      <c r="K7547">
        <f t="shared" si="3185"/>
        <v>1856</v>
      </c>
      <c r="L7547">
        <f t="shared" si="3186"/>
        <v>1823</v>
      </c>
      <c r="M7547">
        <f t="shared" si="3187"/>
        <v>33</v>
      </c>
      <c r="N7547">
        <f t="shared" si="3165"/>
        <v>66</v>
      </c>
      <c r="O7547">
        <f t="shared" si="3188"/>
        <v>1826</v>
      </c>
      <c r="P7547">
        <f t="shared" si="3189"/>
        <v>9.0909090909090912E-2</v>
      </c>
      <c r="Q7547" t="str">
        <f t="shared" si="3166"/>
        <v>1.97% | 1.64%</v>
      </c>
      <c r="R7547" t="str">
        <f t="shared" si="3190"/>
        <v>BEARISH</v>
      </c>
      <c r="S7547">
        <f t="shared" si="3191"/>
        <v>-1</v>
      </c>
    </row>
    <row r="7548" spans="1:19" hidden="1" x14ac:dyDescent="0.25">
      <c r="A7548" s="5" t="str">
        <f t="shared" si="3179"/>
        <v>44239COPPER</v>
      </c>
      <c r="B7548" s="6" t="s">
        <v>100</v>
      </c>
      <c r="C7548" s="6">
        <v>3.6</v>
      </c>
      <c r="D7548" s="6">
        <v>3.81</v>
      </c>
      <c r="E7548" s="6">
        <v>3.77</v>
      </c>
      <c r="F7548" t="str">
        <f t="shared" si="3180"/>
        <v>FRI</v>
      </c>
      <c r="G7548" s="1">
        <f t="shared" si="3181"/>
        <v>44239</v>
      </c>
      <c r="H7548" s="2">
        <f t="shared" ca="1" si="3182"/>
        <v>14</v>
      </c>
      <c r="I7548" t="str">
        <f t="shared" si="3183"/>
        <v>COPPER</v>
      </c>
      <c r="J7548">
        <f t="shared" si="3184"/>
        <v>3.6</v>
      </c>
      <c r="K7548">
        <f t="shared" si="3185"/>
        <v>3.81</v>
      </c>
      <c r="L7548">
        <f t="shared" si="3186"/>
        <v>3.7050000000000001</v>
      </c>
      <c r="M7548">
        <f t="shared" si="3187"/>
        <v>0.10499999999999998</v>
      </c>
      <c r="N7548">
        <f t="shared" si="3165"/>
        <v>0.20999999999999996</v>
      </c>
      <c r="O7548">
        <f t="shared" si="3188"/>
        <v>3.77</v>
      </c>
      <c r="P7548">
        <f t="shared" si="3189"/>
        <v>0.61904761904761862</v>
      </c>
      <c r="Q7548" t="str">
        <f t="shared" si="3166"/>
        <v>4.51% | 1.06%</v>
      </c>
      <c r="R7548" t="str">
        <f t="shared" si="3190"/>
        <v>BULLISH</v>
      </c>
      <c r="S7548">
        <f t="shared" si="3191"/>
        <v>1</v>
      </c>
    </row>
    <row r="7549" spans="1:19" hidden="1" x14ac:dyDescent="0.25">
      <c r="A7549" s="5" t="str">
        <f t="shared" si="3179"/>
        <v>44239SILVER</v>
      </c>
      <c r="B7549" s="6" t="s">
        <v>195</v>
      </c>
      <c r="C7549" s="6">
        <v>25.47</v>
      </c>
      <c r="D7549" s="6">
        <v>28.99</v>
      </c>
      <c r="E7549" s="6">
        <v>27.05</v>
      </c>
      <c r="F7549" t="str">
        <f t="shared" si="3180"/>
        <v>FRI</v>
      </c>
      <c r="G7549" s="1">
        <f t="shared" si="3181"/>
        <v>44239</v>
      </c>
      <c r="H7549" s="2">
        <f t="shared" ca="1" si="3182"/>
        <v>14</v>
      </c>
      <c r="I7549" t="str">
        <f t="shared" si="3183"/>
        <v>SILVER</v>
      </c>
      <c r="J7549">
        <f t="shared" si="3184"/>
        <v>25.47</v>
      </c>
      <c r="K7549">
        <f t="shared" si="3185"/>
        <v>28.99</v>
      </c>
      <c r="L7549">
        <f t="shared" si="3186"/>
        <v>27.229999999999997</v>
      </c>
      <c r="M7549">
        <f t="shared" si="3187"/>
        <v>1.7599999999999998</v>
      </c>
      <c r="N7549">
        <f t="shared" si="3165"/>
        <v>3.5199999999999996</v>
      </c>
      <c r="O7549">
        <f t="shared" si="3188"/>
        <v>27.05</v>
      </c>
      <c r="P7549">
        <f t="shared" si="3189"/>
        <v>-0.1022727272727251</v>
      </c>
      <c r="Q7549" t="str">
        <f t="shared" si="3166"/>
        <v>5.84% | 7.17%</v>
      </c>
      <c r="R7549" t="str">
        <f t="shared" si="3190"/>
        <v>BULLISH</v>
      </c>
      <c r="S7549">
        <f t="shared" si="3191"/>
        <v>1</v>
      </c>
    </row>
    <row r="7550" spans="1:19" hidden="1" x14ac:dyDescent="0.25">
      <c r="A7550" s="5" t="str">
        <f t="shared" si="3179"/>
        <v>44239MSFT</v>
      </c>
      <c r="B7550" s="6" t="s">
        <v>27</v>
      </c>
      <c r="C7550" s="6">
        <v>238</v>
      </c>
      <c r="D7550" s="6">
        <v>247</v>
      </c>
      <c r="E7550" s="6">
        <v>244</v>
      </c>
      <c r="F7550" t="str">
        <f t="shared" si="3180"/>
        <v>FRI</v>
      </c>
      <c r="G7550" s="1">
        <f t="shared" si="3181"/>
        <v>44239</v>
      </c>
      <c r="H7550" s="2">
        <f t="shared" ca="1" si="3182"/>
        <v>14</v>
      </c>
      <c r="I7550" t="str">
        <f t="shared" si="3183"/>
        <v>MSFT</v>
      </c>
      <c r="J7550">
        <f t="shared" si="3184"/>
        <v>238</v>
      </c>
      <c r="K7550">
        <f t="shared" si="3185"/>
        <v>247</v>
      </c>
      <c r="L7550">
        <f t="shared" si="3186"/>
        <v>242.5</v>
      </c>
      <c r="M7550">
        <f t="shared" si="3187"/>
        <v>4.5</v>
      </c>
      <c r="N7550">
        <f t="shared" si="3165"/>
        <v>9</v>
      </c>
      <c r="O7550">
        <f t="shared" si="3188"/>
        <v>244</v>
      </c>
      <c r="P7550">
        <f t="shared" si="3189"/>
        <v>0.33333333333333331</v>
      </c>
      <c r="Q7550" t="str">
        <f t="shared" si="3166"/>
        <v>2.46% | 1.23%</v>
      </c>
      <c r="R7550" t="str">
        <f t="shared" si="3190"/>
        <v>BULLISH</v>
      </c>
      <c r="S7550">
        <f t="shared" si="3191"/>
        <v>1</v>
      </c>
    </row>
    <row r="7551" spans="1:19" hidden="1" x14ac:dyDescent="0.25">
      <c r="A7551" s="5" t="str">
        <f t="shared" si="3179"/>
        <v>44239AAPL</v>
      </c>
      <c r="B7551" s="6" t="s">
        <v>28</v>
      </c>
      <c r="C7551" s="6">
        <v>132</v>
      </c>
      <c r="D7551" s="6">
        <v>139</v>
      </c>
      <c r="E7551" s="6">
        <v>135</v>
      </c>
      <c r="F7551" t="str">
        <f t="shared" si="3180"/>
        <v>FRI</v>
      </c>
      <c r="G7551" s="1">
        <f t="shared" si="3181"/>
        <v>44239</v>
      </c>
      <c r="H7551" s="2">
        <f t="shared" ca="1" si="3182"/>
        <v>14</v>
      </c>
      <c r="I7551" t="str">
        <f t="shared" si="3183"/>
        <v>AAPL</v>
      </c>
      <c r="J7551">
        <f t="shared" si="3184"/>
        <v>132</v>
      </c>
      <c r="K7551">
        <f t="shared" si="3185"/>
        <v>139</v>
      </c>
      <c r="L7551">
        <f t="shared" si="3186"/>
        <v>135.5</v>
      </c>
      <c r="M7551">
        <f t="shared" si="3187"/>
        <v>3.5</v>
      </c>
      <c r="N7551">
        <f t="shared" si="3165"/>
        <v>7</v>
      </c>
      <c r="O7551">
        <f t="shared" si="3188"/>
        <v>135</v>
      </c>
      <c r="P7551">
        <f t="shared" si="3189"/>
        <v>-0.14285714285714285</v>
      </c>
      <c r="Q7551" t="str">
        <f t="shared" si="3166"/>
        <v>2.22% | 2.96%</v>
      </c>
      <c r="R7551" t="str">
        <f t="shared" si="3190"/>
        <v>BULLISH</v>
      </c>
      <c r="S7551">
        <f t="shared" si="3191"/>
        <v>1</v>
      </c>
    </row>
    <row r="7552" spans="1:19" hidden="1" x14ac:dyDescent="0.25">
      <c r="A7552" s="5" t="str">
        <f t="shared" si="3179"/>
        <v>44239AMZN</v>
      </c>
      <c r="B7552" s="6" t="s">
        <v>29</v>
      </c>
      <c r="C7552" s="6">
        <v>3235</v>
      </c>
      <c r="D7552" s="6">
        <v>3398</v>
      </c>
      <c r="E7552" s="6">
        <v>3262</v>
      </c>
      <c r="F7552" t="str">
        <f t="shared" si="3180"/>
        <v>FRI</v>
      </c>
      <c r="G7552" s="1">
        <f t="shared" si="3181"/>
        <v>44239</v>
      </c>
      <c r="H7552" s="2">
        <f t="shared" ca="1" si="3182"/>
        <v>14</v>
      </c>
      <c r="I7552" t="str">
        <f t="shared" si="3183"/>
        <v>AMZN</v>
      </c>
      <c r="J7552">
        <f t="shared" si="3184"/>
        <v>3235</v>
      </c>
      <c r="K7552">
        <f t="shared" si="3185"/>
        <v>3398</v>
      </c>
      <c r="L7552">
        <f t="shared" si="3186"/>
        <v>3316.5</v>
      </c>
      <c r="M7552">
        <f t="shared" si="3187"/>
        <v>81.5</v>
      </c>
      <c r="N7552">
        <f t="shared" si="3165"/>
        <v>163</v>
      </c>
      <c r="O7552">
        <f t="shared" si="3188"/>
        <v>3262</v>
      </c>
      <c r="P7552">
        <f t="shared" si="3189"/>
        <v>-0.66871165644171782</v>
      </c>
      <c r="Q7552" t="str">
        <f t="shared" si="3166"/>
        <v>0.83% | 4.17%</v>
      </c>
      <c r="R7552" t="str">
        <f t="shared" si="3190"/>
        <v>BULLISH</v>
      </c>
      <c r="S7552">
        <f t="shared" si="3191"/>
        <v>1</v>
      </c>
    </row>
    <row r="7553" spans="1:19" hidden="1" x14ac:dyDescent="0.25">
      <c r="A7553" s="5" t="str">
        <f t="shared" si="3179"/>
        <v>44239FB</v>
      </c>
      <c r="B7553" s="6" t="s">
        <v>30</v>
      </c>
      <c r="C7553" s="6">
        <v>259</v>
      </c>
      <c r="D7553" s="6">
        <v>275</v>
      </c>
      <c r="E7553" s="6">
        <v>270</v>
      </c>
      <c r="F7553" t="str">
        <f t="shared" si="3180"/>
        <v>FRI</v>
      </c>
      <c r="G7553" s="1">
        <f t="shared" si="3181"/>
        <v>44239</v>
      </c>
      <c r="H7553" s="2">
        <f t="shared" ca="1" si="3182"/>
        <v>14</v>
      </c>
      <c r="I7553" t="str">
        <f t="shared" si="3183"/>
        <v>FB</v>
      </c>
      <c r="J7553">
        <f t="shared" si="3184"/>
        <v>259</v>
      </c>
      <c r="K7553">
        <f t="shared" si="3185"/>
        <v>275</v>
      </c>
      <c r="L7553">
        <f t="shared" si="3186"/>
        <v>267</v>
      </c>
      <c r="M7553">
        <f t="shared" si="3187"/>
        <v>8</v>
      </c>
      <c r="N7553">
        <f t="shared" si="3165"/>
        <v>16</v>
      </c>
      <c r="O7553">
        <f t="shared" si="3188"/>
        <v>270</v>
      </c>
      <c r="P7553">
        <f t="shared" si="3189"/>
        <v>0.375</v>
      </c>
      <c r="Q7553" t="str">
        <f t="shared" si="3166"/>
        <v>4.07% | 1.85%</v>
      </c>
      <c r="R7553" t="str">
        <f t="shared" si="3190"/>
        <v>BULLISH</v>
      </c>
      <c r="S7553">
        <f t="shared" si="3191"/>
        <v>1</v>
      </c>
    </row>
    <row r="7554" spans="1:19" hidden="1" x14ac:dyDescent="0.25">
      <c r="A7554" s="5" t="str">
        <f t="shared" si="3179"/>
        <v>44239GOOGL</v>
      </c>
      <c r="B7554" s="6" t="s">
        <v>31</v>
      </c>
      <c r="C7554" s="6">
        <v>2019</v>
      </c>
      <c r="D7554" s="6">
        <v>2193</v>
      </c>
      <c r="E7554" s="6">
        <v>2088</v>
      </c>
      <c r="F7554" t="str">
        <f t="shared" si="3180"/>
        <v>FRI</v>
      </c>
      <c r="G7554" s="1">
        <f t="shared" si="3181"/>
        <v>44239</v>
      </c>
      <c r="H7554" s="2">
        <f t="shared" ca="1" si="3182"/>
        <v>14</v>
      </c>
      <c r="I7554" t="str">
        <f t="shared" si="3183"/>
        <v>GOOGL</v>
      </c>
      <c r="J7554">
        <f t="shared" si="3184"/>
        <v>2019</v>
      </c>
      <c r="K7554">
        <f t="shared" si="3185"/>
        <v>2193</v>
      </c>
      <c r="L7554">
        <f t="shared" si="3186"/>
        <v>2106</v>
      </c>
      <c r="M7554">
        <f t="shared" si="3187"/>
        <v>87</v>
      </c>
      <c r="N7554">
        <f t="shared" si="3165"/>
        <v>174</v>
      </c>
      <c r="O7554">
        <f t="shared" si="3188"/>
        <v>2088</v>
      </c>
      <c r="P7554">
        <f t="shared" si="3189"/>
        <v>-0.20689655172413793</v>
      </c>
      <c r="Q7554" t="str">
        <f t="shared" si="3166"/>
        <v>3.3% | 5.03%</v>
      </c>
      <c r="R7554" t="str">
        <f t="shared" si="3190"/>
        <v>BULLISH</v>
      </c>
      <c r="S7554">
        <f t="shared" si="3191"/>
        <v>1</v>
      </c>
    </row>
    <row r="7555" spans="1:19" hidden="1" x14ac:dyDescent="0.25">
      <c r="A7555" s="5" t="str">
        <f t="shared" si="3179"/>
        <v>44239NFLX</v>
      </c>
      <c r="B7555" s="6" t="s">
        <v>32</v>
      </c>
      <c r="C7555" s="6">
        <v>532</v>
      </c>
      <c r="D7555" s="6">
        <v>572</v>
      </c>
      <c r="E7555" s="6">
        <v>557</v>
      </c>
      <c r="F7555" t="str">
        <f t="shared" si="3180"/>
        <v>FRI</v>
      </c>
      <c r="G7555" s="1">
        <f t="shared" si="3181"/>
        <v>44239</v>
      </c>
      <c r="H7555" s="2">
        <f t="shared" ca="1" si="3182"/>
        <v>14</v>
      </c>
      <c r="I7555" t="str">
        <f t="shared" si="3183"/>
        <v>NFLX</v>
      </c>
      <c r="J7555">
        <f t="shared" si="3184"/>
        <v>532</v>
      </c>
      <c r="K7555">
        <f t="shared" si="3185"/>
        <v>572</v>
      </c>
      <c r="L7555">
        <f t="shared" si="3186"/>
        <v>552</v>
      </c>
      <c r="M7555">
        <f t="shared" si="3187"/>
        <v>20</v>
      </c>
      <c r="N7555">
        <f t="shared" ref="N7555:N7618" si="3192">ABS(K7555-J7555)</f>
        <v>40</v>
      </c>
      <c r="O7555">
        <f t="shared" si="3188"/>
        <v>557</v>
      </c>
      <c r="P7555">
        <f t="shared" si="3189"/>
        <v>0.25</v>
      </c>
      <c r="Q7555" t="str">
        <f t="shared" ref="Q7555:Q7618" si="3193">ROUND(ABS(100*(O7555-J7555)/O7555),2)&amp;"% | "&amp;ROUND(ABS(100*(K7555-O7555)/O7555),2)&amp;"%"</f>
        <v>4.49% | 2.69%</v>
      </c>
      <c r="R7555" t="str">
        <f t="shared" si="3190"/>
        <v>BULLISH</v>
      </c>
      <c r="S7555">
        <f t="shared" si="3191"/>
        <v>1</v>
      </c>
    </row>
    <row r="7556" spans="1:19" x14ac:dyDescent="0.25">
      <c r="A7556" s="5" t="str">
        <f t="shared" si="3179"/>
        <v>44239TSLA</v>
      </c>
      <c r="B7556" s="6" t="s">
        <v>33</v>
      </c>
      <c r="C7556" s="6">
        <v>798</v>
      </c>
      <c r="D7556" s="6">
        <v>890</v>
      </c>
      <c r="E7556" s="6">
        <v>811</v>
      </c>
      <c r="F7556" t="str">
        <f t="shared" si="3180"/>
        <v>FRI</v>
      </c>
      <c r="G7556" s="1">
        <f t="shared" si="3181"/>
        <v>44239</v>
      </c>
      <c r="H7556" s="2">
        <f t="shared" ca="1" si="3182"/>
        <v>14</v>
      </c>
      <c r="I7556" t="str">
        <f t="shared" si="3183"/>
        <v>TSLA</v>
      </c>
      <c r="J7556">
        <f t="shared" si="3184"/>
        <v>798</v>
      </c>
      <c r="K7556">
        <f t="shared" si="3185"/>
        <v>890</v>
      </c>
      <c r="L7556">
        <f t="shared" si="3186"/>
        <v>844</v>
      </c>
      <c r="M7556">
        <f t="shared" si="3187"/>
        <v>46</v>
      </c>
      <c r="N7556">
        <f t="shared" si="3192"/>
        <v>92</v>
      </c>
      <c r="O7556">
        <f t="shared" si="3188"/>
        <v>811</v>
      </c>
      <c r="P7556">
        <f t="shared" si="3189"/>
        <v>-0.71739130434782605</v>
      </c>
      <c r="Q7556" t="str">
        <f t="shared" si="3193"/>
        <v>1.6% | 9.74%</v>
      </c>
      <c r="R7556" t="str">
        <f t="shared" si="3190"/>
        <v>BULLISH</v>
      </c>
      <c r="S7556">
        <f t="shared" si="3191"/>
        <v>1</v>
      </c>
    </row>
    <row r="7557" spans="1:19" hidden="1" x14ac:dyDescent="0.25">
      <c r="A7557" s="5" t="str">
        <f t="shared" si="3179"/>
        <v>44239NYXBT</v>
      </c>
      <c r="B7557" s="6" t="s">
        <v>60</v>
      </c>
      <c r="C7557" s="6">
        <v>40196</v>
      </c>
      <c r="D7557" s="6">
        <v>50903</v>
      </c>
      <c r="E7557" s="6">
        <v>47982</v>
      </c>
      <c r="F7557" t="str">
        <f t="shared" si="3180"/>
        <v>FRI</v>
      </c>
      <c r="G7557" s="1">
        <f t="shared" si="3181"/>
        <v>44239</v>
      </c>
      <c r="H7557" s="2">
        <f t="shared" ca="1" si="3182"/>
        <v>14</v>
      </c>
      <c r="I7557" t="str">
        <f t="shared" si="3183"/>
        <v>NYXBT</v>
      </c>
      <c r="J7557">
        <f t="shared" si="3184"/>
        <v>40196</v>
      </c>
      <c r="K7557">
        <f t="shared" si="3185"/>
        <v>50903</v>
      </c>
      <c r="L7557">
        <f t="shared" si="3186"/>
        <v>45549.5</v>
      </c>
      <c r="M7557">
        <f t="shared" si="3187"/>
        <v>5353.5</v>
      </c>
      <c r="N7557">
        <f t="shared" si="3192"/>
        <v>10707</v>
      </c>
      <c r="O7557">
        <f t="shared" si="3188"/>
        <v>47982</v>
      </c>
      <c r="P7557">
        <f t="shared" si="3189"/>
        <v>0.4543756421032969</v>
      </c>
      <c r="Q7557" t="str">
        <f t="shared" si="3193"/>
        <v>16.23% | 6.09%</v>
      </c>
      <c r="R7557" t="str">
        <f t="shared" si="3190"/>
        <v>BULLISH</v>
      </c>
      <c r="S7557">
        <f t="shared" si="3191"/>
        <v>1</v>
      </c>
    </row>
    <row r="7558" spans="1:19" hidden="1" x14ac:dyDescent="0.25">
      <c r="A7558" s="5" t="str">
        <f t="shared" si="3179"/>
        <v>44243UST10Y</v>
      </c>
      <c r="B7558" s="6" t="s">
        <v>257</v>
      </c>
      <c r="C7558" s="6">
        <v>1.26</v>
      </c>
      <c r="D7558" s="6">
        <v>1.1200000000000001</v>
      </c>
      <c r="E7558" s="6">
        <v>1.2</v>
      </c>
      <c r="F7558" t="str">
        <f t="shared" si="3180"/>
        <v>TUE</v>
      </c>
      <c r="G7558" s="3">
        <f>DATE(2021,2,16)</f>
        <v>44243</v>
      </c>
      <c r="H7558" s="2">
        <f t="shared" ca="1" si="3182"/>
        <v>10</v>
      </c>
      <c r="I7558" t="str">
        <f t="shared" si="3183"/>
        <v>UST10Y</v>
      </c>
      <c r="J7558">
        <f t="shared" si="3184"/>
        <v>1.26</v>
      </c>
      <c r="K7558">
        <f t="shared" si="3185"/>
        <v>1.1200000000000001</v>
      </c>
      <c r="L7558">
        <f t="shared" si="3186"/>
        <v>1.19</v>
      </c>
      <c r="M7558">
        <f t="shared" si="3187"/>
        <v>6.9999999999999951E-2</v>
      </c>
      <c r="N7558">
        <f t="shared" si="3192"/>
        <v>0.1399999999999999</v>
      </c>
      <c r="O7558">
        <f t="shared" si="3188"/>
        <v>1.2</v>
      </c>
      <c r="P7558">
        <f t="shared" si="3189"/>
        <v>0.14285714285714307</v>
      </c>
      <c r="Q7558" t="str">
        <f t="shared" si="3193"/>
        <v>5% | 6.67%</v>
      </c>
      <c r="R7558" t="str">
        <f t="shared" si="3190"/>
        <v>BULLISH</v>
      </c>
      <c r="S7558">
        <f t="shared" si="3191"/>
        <v>1</v>
      </c>
    </row>
    <row r="7559" spans="1:19" hidden="1" x14ac:dyDescent="0.25">
      <c r="A7559" s="5" t="str">
        <f t="shared" si="3179"/>
        <v>44243UST2Y</v>
      </c>
      <c r="B7559" s="6" t="s">
        <v>5</v>
      </c>
      <c r="C7559" s="6">
        <v>0.12</v>
      </c>
      <c r="D7559" s="6">
        <v>0.09</v>
      </c>
      <c r="E7559" s="6">
        <v>0.11</v>
      </c>
      <c r="F7559" t="str">
        <f t="shared" ref="F7559:F7590" si="3194">UPPER(TEXT(G7559,"ddd"))</f>
        <v>TUE</v>
      </c>
      <c r="G7559" s="3">
        <f t="shared" ref="G7559:G7589" si="3195">DATE(2021,2,16)</f>
        <v>44243</v>
      </c>
      <c r="H7559" s="2">
        <f t="shared" ref="H7559:H7590" ca="1" si="3196">TODAY()-G7559</f>
        <v>10</v>
      </c>
      <c r="I7559" t="str">
        <f t="shared" ref="I7559:I7590" si="3197">TRIM(LEFT(B7559,FIND(" ",B7559,1)))</f>
        <v>UST2Y</v>
      </c>
      <c r="J7559">
        <f t="shared" ref="J7559:J7590" si="3198">C7559</f>
        <v>0.12</v>
      </c>
      <c r="K7559">
        <f t="shared" ref="K7559:K7590" si="3199">D7559</f>
        <v>0.09</v>
      </c>
      <c r="L7559">
        <f t="shared" ref="L7559:L7590" si="3200">AVERAGE(J7559:K7559)</f>
        <v>0.105</v>
      </c>
      <c r="M7559">
        <f t="shared" ref="M7559:M7590" si="3201">_xlfn.STDEV.P(J7559:K7559)</f>
        <v>1.5000000000000041E-2</v>
      </c>
      <c r="N7559">
        <f t="shared" si="3192"/>
        <v>0.03</v>
      </c>
      <c r="O7559">
        <f t="shared" ref="O7559:O7590" si="3202">E7559</f>
        <v>0.11</v>
      </c>
      <c r="P7559">
        <f t="shared" ref="P7559:P7590" si="3203">(O7559-L7559)/M7559</f>
        <v>0.3333333333333327</v>
      </c>
      <c r="Q7559" t="str">
        <f t="shared" si="3193"/>
        <v>9.09% | 18.18%</v>
      </c>
      <c r="R7559" t="str">
        <f t="shared" ref="R7559:R7590" si="3204">MID(B7559,FIND("(",B7559,1)+1,FIND(")",B7559,1)-FIND("(",B7559,1)-1)</f>
        <v>BEARISH</v>
      </c>
      <c r="S7559">
        <f t="shared" ref="S7559:S7590" si="3205">IF(R7559="BEARISH",-1,IF(R7559="NEUTRAL",0,IF(R7559="BULLISH",1,99)))</f>
        <v>-1</v>
      </c>
    </row>
    <row r="7560" spans="1:19" hidden="1" x14ac:dyDescent="0.25">
      <c r="A7560" s="5" t="str">
        <f t="shared" ref="A7560:A7623" si="3206">G7560&amp;I7560</f>
        <v>44243SPX</v>
      </c>
      <c r="B7560" s="6" t="s">
        <v>93</v>
      </c>
      <c r="C7560" s="6">
        <v>3830</v>
      </c>
      <c r="D7560" s="6">
        <v>3965</v>
      </c>
      <c r="E7560" s="6">
        <v>3934</v>
      </c>
      <c r="F7560" t="str">
        <f t="shared" si="3194"/>
        <v>TUE</v>
      </c>
      <c r="G7560" s="3">
        <f t="shared" si="3195"/>
        <v>44243</v>
      </c>
      <c r="H7560" s="2">
        <f t="shared" ca="1" si="3196"/>
        <v>10</v>
      </c>
      <c r="I7560" t="str">
        <f t="shared" si="3197"/>
        <v>SPX</v>
      </c>
      <c r="J7560">
        <f t="shared" si="3198"/>
        <v>3830</v>
      </c>
      <c r="K7560">
        <f t="shared" si="3199"/>
        <v>3965</v>
      </c>
      <c r="L7560">
        <f t="shared" si="3200"/>
        <v>3897.5</v>
      </c>
      <c r="M7560">
        <f t="shared" si="3201"/>
        <v>67.5</v>
      </c>
      <c r="N7560">
        <f t="shared" si="3192"/>
        <v>135</v>
      </c>
      <c r="O7560">
        <f t="shared" si="3202"/>
        <v>3934</v>
      </c>
      <c r="P7560">
        <f t="shared" si="3203"/>
        <v>0.54074074074074074</v>
      </c>
      <c r="Q7560" t="str">
        <f t="shared" si="3193"/>
        <v>2.64% | 0.79%</v>
      </c>
      <c r="R7560" t="str">
        <f t="shared" si="3204"/>
        <v>BULLISH</v>
      </c>
      <c r="S7560">
        <f t="shared" si="3205"/>
        <v>1</v>
      </c>
    </row>
    <row r="7561" spans="1:19" hidden="1" x14ac:dyDescent="0.25">
      <c r="A7561" s="5" t="str">
        <f t="shared" si="3206"/>
        <v>44243RUT</v>
      </c>
      <c r="B7561" s="6" t="s">
        <v>247</v>
      </c>
      <c r="C7561" s="6">
        <v>2240</v>
      </c>
      <c r="D7561" s="6">
        <v>2355</v>
      </c>
      <c r="E7561" s="6">
        <v>2289</v>
      </c>
      <c r="F7561" t="str">
        <f t="shared" si="3194"/>
        <v>TUE</v>
      </c>
      <c r="G7561" s="3">
        <f t="shared" si="3195"/>
        <v>44243</v>
      </c>
      <c r="H7561" s="2">
        <f t="shared" ca="1" si="3196"/>
        <v>10</v>
      </c>
      <c r="I7561" t="str">
        <f t="shared" si="3197"/>
        <v>RUT</v>
      </c>
      <c r="J7561">
        <f t="shared" si="3198"/>
        <v>2240</v>
      </c>
      <c r="K7561">
        <f t="shared" si="3199"/>
        <v>2355</v>
      </c>
      <c r="L7561">
        <f t="shared" si="3200"/>
        <v>2297.5</v>
      </c>
      <c r="M7561">
        <f t="shared" si="3201"/>
        <v>57.5</v>
      </c>
      <c r="N7561">
        <f t="shared" si="3192"/>
        <v>115</v>
      </c>
      <c r="O7561">
        <f t="shared" si="3202"/>
        <v>2289</v>
      </c>
      <c r="P7561">
        <f t="shared" si="3203"/>
        <v>-0.14782608695652175</v>
      </c>
      <c r="Q7561" t="str">
        <f t="shared" si="3193"/>
        <v>2.14% | 2.88%</v>
      </c>
      <c r="R7561" t="str">
        <f t="shared" si="3204"/>
        <v>BULLISH</v>
      </c>
      <c r="S7561">
        <f t="shared" si="3205"/>
        <v>1</v>
      </c>
    </row>
    <row r="7562" spans="1:19" hidden="1" x14ac:dyDescent="0.25">
      <c r="A7562" s="5" t="str">
        <f t="shared" si="3206"/>
        <v>44243COMPQ</v>
      </c>
      <c r="B7562" s="6" t="s">
        <v>8</v>
      </c>
      <c r="C7562" s="6">
        <v>13540</v>
      </c>
      <c r="D7562" s="6">
        <v>14232</v>
      </c>
      <c r="E7562" s="6">
        <v>14095</v>
      </c>
      <c r="F7562" t="str">
        <f t="shared" si="3194"/>
        <v>TUE</v>
      </c>
      <c r="G7562" s="3">
        <f t="shared" si="3195"/>
        <v>44243</v>
      </c>
      <c r="H7562" s="2">
        <f t="shared" ca="1" si="3196"/>
        <v>10</v>
      </c>
      <c r="I7562" t="str">
        <f t="shared" si="3197"/>
        <v>COMPQ</v>
      </c>
      <c r="J7562">
        <f t="shared" si="3198"/>
        <v>13540</v>
      </c>
      <c r="K7562">
        <f t="shared" si="3199"/>
        <v>14232</v>
      </c>
      <c r="L7562">
        <f t="shared" si="3200"/>
        <v>13886</v>
      </c>
      <c r="M7562">
        <f t="shared" si="3201"/>
        <v>346</v>
      </c>
      <c r="N7562">
        <f t="shared" si="3192"/>
        <v>692</v>
      </c>
      <c r="O7562">
        <f t="shared" si="3202"/>
        <v>14095</v>
      </c>
      <c r="P7562">
        <f t="shared" si="3203"/>
        <v>0.60404624277456642</v>
      </c>
      <c r="Q7562" t="str">
        <f t="shared" si="3193"/>
        <v>3.94% | 0.97%</v>
      </c>
      <c r="R7562" t="str">
        <f t="shared" si="3204"/>
        <v>BULLISH</v>
      </c>
      <c r="S7562">
        <f t="shared" si="3205"/>
        <v>1</v>
      </c>
    </row>
    <row r="7563" spans="1:19" hidden="1" x14ac:dyDescent="0.25">
      <c r="A7563" s="5" t="str">
        <f t="shared" si="3206"/>
        <v>44243XLK</v>
      </c>
      <c r="B7563" s="6" t="s">
        <v>10</v>
      </c>
      <c r="C7563" s="6">
        <v>133.13</v>
      </c>
      <c r="D7563" s="6">
        <v>139.61000000000001</v>
      </c>
      <c r="E7563" s="6">
        <v>138.59</v>
      </c>
      <c r="F7563" t="str">
        <f t="shared" si="3194"/>
        <v>TUE</v>
      </c>
      <c r="G7563" s="3">
        <f t="shared" si="3195"/>
        <v>44243</v>
      </c>
      <c r="H7563" s="2">
        <f t="shared" ca="1" si="3196"/>
        <v>10</v>
      </c>
      <c r="I7563" t="str">
        <f t="shared" si="3197"/>
        <v>XLK</v>
      </c>
      <c r="J7563">
        <f t="shared" si="3198"/>
        <v>133.13</v>
      </c>
      <c r="K7563">
        <f t="shared" si="3199"/>
        <v>139.61000000000001</v>
      </c>
      <c r="L7563">
        <f t="shared" si="3200"/>
        <v>136.37</v>
      </c>
      <c r="M7563">
        <f t="shared" si="3201"/>
        <v>3.2400000000000091</v>
      </c>
      <c r="N7563">
        <f t="shared" si="3192"/>
        <v>6.4800000000000182</v>
      </c>
      <c r="O7563">
        <f t="shared" si="3202"/>
        <v>138.59</v>
      </c>
      <c r="P7563">
        <f t="shared" si="3203"/>
        <v>0.6851851851851829</v>
      </c>
      <c r="Q7563" t="str">
        <f t="shared" si="3193"/>
        <v>3.94% | 0.74%</v>
      </c>
      <c r="R7563" t="str">
        <f t="shared" si="3204"/>
        <v>BULLISH</v>
      </c>
      <c r="S7563">
        <f t="shared" si="3205"/>
        <v>1</v>
      </c>
    </row>
    <row r="7564" spans="1:19" hidden="1" x14ac:dyDescent="0.25">
      <c r="A7564" s="5" t="str">
        <f t="shared" si="3206"/>
        <v>44243XLE</v>
      </c>
      <c r="B7564" s="6" t="s">
        <v>250</v>
      </c>
      <c r="C7564" s="6">
        <v>40.22</v>
      </c>
      <c r="D7564" s="6">
        <v>46.37</v>
      </c>
      <c r="E7564" s="6">
        <v>44.67</v>
      </c>
      <c r="F7564" t="str">
        <f t="shared" si="3194"/>
        <v>TUE</v>
      </c>
      <c r="G7564" s="3">
        <f t="shared" si="3195"/>
        <v>44243</v>
      </c>
      <c r="H7564" s="2">
        <f t="shared" ca="1" si="3196"/>
        <v>10</v>
      </c>
      <c r="I7564" t="str">
        <f t="shared" si="3197"/>
        <v>XLE</v>
      </c>
      <c r="J7564">
        <f t="shared" si="3198"/>
        <v>40.22</v>
      </c>
      <c r="K7564">
        <f t="shared" si="3199"/>
        <v>46.37</v>
      </c>
      <c r="L7564">
        <f t="shared" si="3200"/>
        <v>43.295000000000002</v>
      </c>
      <c r="M7564">
        <f t="shared" si="3201"/>
        <v>3.0749999999999993</v>
      </c>
      <c r="N7564">
        <f t="shared" si="3192"/>
        <v>6.1499999999999986</v>
      </c>
      <c r="O7564">
        <f t="shared" si="3202"/>
        <v>44.67</v>
      </c>
      <c r="P7564">
        <f t="shared" si="3203"/>
        <v>0.44715447154471555</v>
      </c>
      <c r="Q7564" t="str">
        <f t="shared" si="3193"/>
        <v>9.96% | 3.81%</v>
      </c>
      <c r="R7564" t="str">
        <f t="shared" si="3204"/>
        <v>BULLISH</v>
      </c>
      <c r="S7564">
        <f t="shared" si="3205"/>
        <v>1</v>
      </c>
    </row>
    <row r="7565" spans="1:19" hidden="1" x14ac:dyDescent="0.25">
      <c r="A7565" s="5" t="str">
        <f t="shared" si="3206"/>
        <v>44243XLU</v>
      </c>
      <c r="B7565" s="6" t="s">
        <v>82</v>
      </c>
      <c r="C7565" s="6">
        <v>62.02</v>
      </c>
      <c r="D7565" s="6">
        <v>63.75</v>
      </c>
      <c r="E7565" s="6">
        <v>62.62</v>
      </c>
      <c r="F7565" t="str">
        <f t="shared" si="3194"/>
        <v>TUE</v>
      </c>
      <c r="G7565" s="3">
        <f t="shared" si="3195"/>
        <v>44243</v>
      </c>
      <c r="H7565" s="2">
        <f t="shared" ca="1" si="3196"/>
        <v>10</v>
      </c>
      <c r="I7565" t="str">
        <f t="shared" si="3197"/>
        <v>XLU</v>
      </c>
      <c r="J7565">
        <f t="shared" si="3198"/>
        <v>62.02</v>
      </c>
      <c r="K7565">
        <f t="shared" si="3199"/>
        <v>63.75</v>
      </c>
      <c r="L7565">
        <f t="shared" si="3200"/>
        <v>62.885000000000005</v>
      </c>
      <c r="M7565">
        <f t="shared" si="3201"/>
        <v>0.86499999999999844</v>
      </c>
      <c r="N7565">
        <f t="shared" si="3192"/>
        <v>1.7299999999999969</v>
      </c>
      <c r="O7565">
        <f t="shared" si="3202"/>
        <v>62.62</v>
      </c>
      <c r="P7565">
        <f t="shared" si="3203"/>
        <v>-0.30635838150289962</v>
      </c>
      <c r="Q7565" t="str">
        <f t="shared" si="3193"/>
        <v>0.96% | 1.8%</v>
      </c>
      <c r="R7565" t="str">
        <f t="shared" si="3204"/>
        <v>BEARISH</v>
      </c>
      <c r="S7565">
        <f t="shared" si="3205"/>
        <v>-1</v>
      </c>
    </row>
    <row r="7566" spans="1:19" hidden="1" x14ac:dyDescent="0.25">
      <c r="A7566" s="5" t="str">
        <f t="shared" si="3206"/>
        <v>44243GDX</v>
      </c>
      <c r="B7566" s="6" t="s">
        <v>254</v>
      </c>
      <c r="C7566" s="6">
        <v>33.64</v>
      </c>
      <c r="D7566" s="6">
        <v>35.71</v>
      </c>
      <c r="E7566" s="6">
        <v>34.78</v>
      </c>
      <c r="F7566" t="str">
        <f t="shared" si="3194"/>
        <v>TUE</v>
      </c>
      <c r="G7566" s="3">
        <f t="shared" si="3195"/>
        <v>44243</v>
      </c>
      <c r="H7566" s="2">
        <f t="shared" ca="1" si="3196"/>
        <v>10</v>
      </c>
      <c r="I7566" t="str">
        <f t="shared" si="3197"/>
        <v>GDX</v>
      </c>
      <c r="J7566">
        <f t="shared" si="3198"/>
        <v>33.64</v>
      </c>
      <c r="K7566">
        <f t="shared" si="3199"/>
        <v>35.71</v>
      </c>
      <c r="L7566">
        <f t="shared" si="3200"/>
        <v>34.674999999999997</v>
      </c>
      <c r="M7566">
        <f t="shared" si="3201"/>
        <v>1.0350000000000001</v>
      </c>
      <c r="N7566">
        <f t="shared" si="3192"/>
        <v>2.0700000000000003</v>
      </c>
      <c r="O7566">
        <f t="shared" si="3202"/>
        <v>34.78</v>
      </c>
      <c r="P7566">
        <f t="shared" si="3203"/>
        <v>0.10144927536232268</v>
      </c>
      <c r="Q7566" t="str">
        <f t="shared" si="3193"/>
        <v>3.28% | 2.67%</v>
      </c>
      <c r="R7566" t="str">
        <f t="shared" si="3204"/>
        <v>BEARISH</v>
      </c>
      <c r="S7566">
        <f t="shared" si="3205"/>
        <v>-1</v>
      </c>
    </row>
    <row r="7567" spans="1:19" hidden="1" x14ac:dyDescent="0.25">
      <c r="A7567" s="5" t="str">
        <f t="shared" si="3206"/>
        <v>44243SSEC</v>
      </c>
      <c r="B7567" s="6" t="s">
        <v>104</v>
      </c>
      <c r="C7567" s="6">
        <v>3526</v>
      </c>
      <c r="D7567" s="6">
        <v>3852</v>
      </c>
      <c r="E7567" s="6">
        <v>3655</v>
      </c>
      <c r="F7567" t="str">
        <f t="shared" si="3194"/>
        <v>TUE</v>
      </c>
      <c r="G7567" s="3">
        <f t="shared" si="3195"/>
        <v>44243</v>
      </c>
      <c r="H7567" s="2">
        <f t="shared" ca="1" si="3196"/>
        <v>10</v>
      </c>
      <c r="I7567" t="str">
        <f t="shared" si="3197"/>
        <v>SSEC</v>
      </c>
      <c r="J7567">
        <f t="shared" si="3198"/>
        <v>3526</v>
      </c>
      <c r="K7567">
        <f t="shared" si="3199"/>
        <v>3852</v>
      </c>
      <c r="L7567">
        <f t="shared" si="3200"/>
        <v>3689</v>
      </c>
      <c r="M7567">
        <f t="shared" si="3201"/>
        <v>163</v>
      </c>
      <c r="N7567">
        <f t="shared" si="3192"/>
        <v>326</v>
      </c>
      <c r="O7567">
        <f t="shared" si="3202"/>
        <v>3655</v>
      </c>
      <c r="P7567">
        <f t="shared" si="3203"/>
        <v>-0.20858895705521471</v>
      </c>
      <c r="Q7567" t="str">
        <f t="shared" si="3193"/>
        <v>3.53% | 5.39%</v>
      </c>
      <c r="R7567" t="str">
        <f t="shared" si="3204"/>
        <v>BULLISH</v>
      </c>
      <c r="S7567">
        <f t="shared" si="3205"/>
        <v>1</v>
      </c>
    </row>
    <row r="7568" spans="1:19" hidden="1" x14ac:dyDescent="0.25">
      <c r="A7568" s="5" t="str">
        <f t="shared" si="3206"/>
        <v>44243NIKK</v>
      </c>
      <c r="B7568" s="6" t="s">
        <v>91</v>
      </c>
      <c r="C7568" s="6">
        <v>28546</v>
      </c>
      <c r="D7568" s="6">
        <v>30591</v>
      </c>
      <c r="E7568" s="6">
        <v>30467</v>
      </c>
      <c r="F7568" t="str">
        <f t="shared" si="3194"/>
        <v>TUE</v>
      </c>
      <c r="G7568" s="3">
        <f t="shared" si="3195"/>
        <v>44243</v>
      </c>
      <c r="H7568" s="2">
        <f t="shared" ca="1" si="3196"/>
        <v>10</v>
      </c>
      <c r="I7568" t="str">
        <f t="shared" si="3197"/>
        <v>NIKK</v>
      </c>
      <c r="J7568">
        <f t="shared" si="3198"/>
        <v>28546</v>
      </c>
      <c r="K7568">
        <f t="shared" si="3199"/>
        <v>30591</v>
      </c>
      <c r="L7568">
        <f t="shared" si="3200"/>
        <v>29568.5</v>
      </c>
      <c r="M7568">
        <f t="shared" si="3201"/>
        <v>1022.5</v>
      </c>
      <c r="N7568">
        <f t="shared" si="3192"/>
        <v>2045</v>
      </c>
      <c r="O7568">
        <f t="shared" si="3202"/>
        <v>30467</v>
      </c>
      <c r="P7568">
        <f t="shared" si="3203"/>
        <v>0.87872860635696826</v>
      </c>
      <c r="Q7568" t="str">
        <f t="shared" si="3193"/>
        <v>6.31% | 0.41%</v>
      </c>
      <c r="R7568" t="str">
        <f t="shared" si="3204"/>
        <v>BULLISH</v>
      </c>
      <c r="S7568">
        <f t="shared" si="3205"/>
        <v>1</v>
      </c>
    </row>
    <row r="7569" spans="1:19" hidden="1" x14ac:dyDescent="0.25">
      <c r="A7569" s="5" t="str">
        <f t="shared" si="3206"/>
        <v>44243DAX</v>
      </c>
      <c r="B7569" s="6" t="s">
        <v>98</v>
      </c>
      <c r="C7569" s="6">
        <v>13906</v>
      </c>
      <c r="D7569" s="6">
        <v>14160</v>
      </c>
      <c r="E7569" s="6">
        <v>14109</v>
      </c>
      <c r="F7569" t="str">
        <f t="shared" si="3194"/>
        <v>TUE</v>
      </c>
      <c r="G7569" s="3">
        <f t="shared" si="3195"/>
        <v>44243</v>
      </c>
      <c r="H7569" s="2">
        <f t="shared" ca="1" si="3196"/>
        <v>10</v>
      </c>
      <c r="I7569" t="str">
        <f t="shared" si="3197"/>
        <v>DAX</v>
      </c>
      <c r="J7569">
        <f t="shared" si="3198"/>
        <v>13906</v>
      </c>
      <c r="K7569">
        <f t="shared" si="3199"/>
        <v>14160</v>
      </c>
      <c r="L7569">
        <f t="shared" si="3200"/>
        <v>14033</v>
      </c>
      <c r="M7569">
        <f t="shared" si="3201"/>
        <v>127</v>
      </c>
      <c r="N7569">
        <f t="shared" si="3192"/>
        <v>254</v>
      </c>
      <c r="O7569">
        <f t="shared" si="3202"/>
        <v>14109</v>
      </c>
      <c r="P7569">
        <f t="shared" si="3203"/>
        <v>0.59842519685039375</v>
      </c>
      <c r="Q7569" t="str">
        <f t="shared" si="3193"/>
        <v>1.44% | 0.36%</v>
      </c>
      <c r="R7569" t="str">
        <f t="shared" si="3204"/>
        <v>BULLISH</v>
      </c>
      <c r="S7569">
        <f t="shared" si="3205"/>
        <v>1</v>
      </c>
    </row>
    <row r="7570" spans="1:19" hidden="1" x14ac:dyDescent="0.25">
      <c r="A7570" s="5" t="str">
        <f t="shared" si="3206"/>
        <v>44243VIX</v>
      </c>
      <c r="B7570" s="6" t="s">
        <v>96</v>
      </c>
      <c r="C7570" s="6">
        <v>17.920000000000002</v>
      </c>
      <c r="D7570" s="6">
        <v>24.65</v>
      </c>
      <c r="E7570" s="6">
        <v>19.97</v>
      </c>
      <c r="F7570" t="str">
        <f t="shared" si="3194"/>
        <v>TUE</v>
      </c>
      <c r="G7570" s="3">
        <f t="shared" si="3195"/>
        <v>44243</v>
      </c>
      <c r="H7570" s="2">
        <f t="shared" ca="1" si="3196"/>
        <v>10</v>
      </c>
      <c r="I7570" t="str">
        <f t="shared" si="3197"/>
        <v>VIX</v>
      </c>
      <c r="J7570">
        <f t="shared" si="3198"/>
        <v>17.920000000000002</v>
      </c>
      <c r="K7570">
        <f t="shared" si="3199"/>
        <v>24.65</v>
      </c>
      <c r="L7570">
        <f t="shared" si="3200"/>
        <v>21.285</v>
      </c>
      <c r="M7570">
        <f t="shared" si="3201"/>
        <v>3.3650000000000055</v>
      </c>
      <c r="N7570">
        <f t="shared" si="3192"/>
        <v>6.7299999999999969</v>
      </c>
      <c r="O7570">
        <f t="shared" si="3202"/>
        <v>19.97</v>
      </c>
      <c r="P7570">
        <f t="shared" si="3203"/>
        <v>-0.39078751857355098</v>
      </c>
      <c r="Q7570" t="str">
        <f t="shared" si="3193"/>
        <v>10.27% | 23.44%</v>
      </c>
      <c r="R7570" t="str">
        <f t="shared" si="3204"/>
        <v>BEARISH</v>
      </c>
      <c r="S7570">
        <f t="shared" si="3205"/>
        <v>-1</v>
      </c>
    </row>
    <row r="7571" spans="1:19" hidden="1" x14ac:dyDescent="0.25">
      <c r="A7571" s="5" t="str">
        <f t="shared" si="3206"/>
        <v>44243USD</v>
      </c>
      <c r="B7571" s="6" t="s">
        <v>94</v>
      </c>
      <c r="C7571" s="6">
        <v>89.83</v>
      </c>
      <c r="D7571" s="6">
        <v>91.3</v>
      </c>
      <c r="E7571" s="6">
        <v>90.47</v>
      </c>
      <c r="F7571" t="str">
        <f t="shared" si="3194"/>
        <v>TUE</v>
      </c>
      <c r="G7571" s="3">
        <f t="shared" si="3195"/>
        <v>44243</v>
      </c>
      <c r="H7571" s="2">
        <f t="shared" ca="1" si="3196"/>
        <v>10</v>
      </c>
      <c r="I7571" t="str">
        <f t="shared" si="3197"/>
        <v>USD</v>
      </c>
      <c r="J7571">
        <f t="shared" si="3198"/>
        <v>89.83</v>
      </c>
      <c r="K7571">
        <f t="shared" si="3199"/>
        <v>91.3</v>
      </c>
      <c r="L7571">
        <f t="shared" si="3200"/>
        <v>90.564999999999998</v>
      </c>
      <c r="M7571">
        <f t="shared" si="3201"/>
        <v>0.73499999999999943</v>
      </c>
      <c r="N7571">
        <f t="shared" si="3192"/>
        <v>1.4699999999999989</v>
      </c>
      <c r="O7571">
        <f t="shared" si="3202"/>
        <v>90.47</v>
      </c>
      <c r="P7571">
        <f t="shared" si="3203"/>
        <v>-0.12925170068027067</v>
      </c>
      <c r="Q7571" t="str">
        <f t="shared" si="3193"/>
        <v>0.71% | 0.92%</v>
      </c>
      <c r="R7571" t="str">
        <f t="shared" si="3204"/>
        <v>BEARISH</v>
      </c>
      <c r="S7571">
        <f t="shared" si="3205"/>
        <v>-1</v>
      </c>
    </row>
    <row r="7572" spans="1:19" hidden="1" x14ac:dyDescent="0.25">
      <c r="A7572" s="5" t="str">
        <f t="shared" si="3206"/>
        <v>44243EUR/USD</v>
      </c>
      <c r="B7572" s="6" t="s">
        <v>99</v>
      </c>
      <c r="C7572" s="6">
        <v>1.1970000000000001</v>
      </c>
      <c r="D7572" s="6">
        <v>1.2190000000000001</v>
      </c>
      <c r="E7572" s="6">
        <v>1.212</v>
      </c>
      <c r="F7572" t="str">
        <f t="shared" si="3194"/>
        <v>TUE</v>
      </c>
      <c r="G7572" s="3">
        <f t="shared" si="3195"/>
        <v>44243</v>
      </c>
      <c r="H7572" s="2">
        <f t="shared" ca="1" si="3196"/>
        <v>10</v>
      </c>
      <c r="I7572" t="str">
        <f t="shared" si="3197"/>
        <v>EUR/USD</v>
      </c>
      <c r="J7572">
        <f t="shared" si="3198"/>
        <v>1.1970000000000001</v>
      </c>
      <c r="K7572">
        <f t="shared" si="3199"/>
        <v>1.2190000000000001</v>
      </c>
      <c r="L7572">
        <f t="shared" si="3200"/>
        <v>1.2080000000000002</v>
      </c>
      <c r="M7572">
        <f t="shared" si="3201"/>
        <v>1.100000000000001E-2</v>
      </c>
      <c r="N7572">
        <f t="shared" si="3192"/>
        <v>2.200000000000002E-2</v>
      </c>
      <c r="O7572">
        <f t="shared" si="3202"/>
        <v>1.212</v>
      </c>
      <c r="P7572">
        <f t="shared" si="3203"/>
        <v>0.36363636363634344</v>
      </c>
      <c r="Q7572" t="str">
        <f t="shared" si="3193"/>
        <v>1.24% | 0.58%</v>
      </c>
      <c r="R7572" t="str">
        <f t="shared" si="3204"/>
        <v>BULLISH</v>
      </c>
      <c r="S7572">
        <f t="shared" si="3205"/>
        <v>1</v>
      </c>
    </row>
    <row r="7573" spans="1:19" hidden="1" x14ac:dyDescent="0.25">
      <c r="A7573" s="5" t="str">
        <f t="shared" si="3206"/>
        <v>44243USD/JPY</v>
      </c>
      <c r="B7573" s="6" t="s">
        <v>86</v>
      </c>
      <c r="C7573" s="6">
        <v>104.19</v>
      </c>
      <c r="D7573" s="6">
        <v>105.61</v>
      </c>
      <c r="E7573" s="6">
        <v>104.92</v>
      </c>
      <c r="F7573" t="str">
        <f t="shared" si="3194"/>
        <v>TUE</v>
      </c>
      <c r="G7573" s="3">
        <f t="shared" si="3195"/>
        <v>44243</v>
      </c>
      <c r="H7573" s="2">
        <f t="shared" ca="1" si="3196"/>
        <v>10</v>
      </c>
      <c r="I7573" t="str">
        <f t="shared" si="3197"/>
        <v>USD/JPY</v>
      </c>
      <c r="J7573">
        <f t="shared" si="3198"/>
        <v>104.19</v>
      </c>
      <c r="K7573">
        <f t="shared" si="3199"/>
        <v>105.61</v>
      </c>
      <c r="L7573">
        <f t="shared" si="3200"/>
        <v>104.9</v>
      </c>
      <c r="M7573">
        <f t="shared" si="3201"/>
        <v>0.71000000000000085</v>
      </c>
      <c r="N7573">
        <f t="shared" si="3192"/>
        <v>1.4200000000000017</v>
      </c>
      <c r="O7573">
        <f t="shared" si="3202"/>
        <v>104.92</v>
      </c>
      <c r="P7573">
        <f t="shared" si="3203"/>
        <v>2.8169014084501405E-2</v>
      </c>
      <c r="Q7573" t="str">
        <f t="shared" si="3193"/>
        <v>0.7% | 0.66%</v>
      </c>
      <c r="R7573" t="str">
        <f t="shared" si="3204"/>
        <v>NEUTRAL</v>
      </c>
      <c r="S7573">
        <f t="shared" si="3205"/>
        <v>0</v>
      </c>
    </row>
    <row r="7574" spans="1:19" hidden="1" x14ac:dyDescent="0.25">
      <c r="A7574" s="5" t="str">
        <f t="shared" si="3206"/>
        <v>44243GBP/USD</v>
      </c>
      <c r="B7574" s="6" t="s">
        <v>102</v>
      </c>
      <c r="C7574" s="6">
        <v>1.369</v>
      </c>
      <c r="D7574" s="6">
        <v>1.395</v>
      </c>
      <c r="E7574" s="6">
        <v>1.385</v>
      </c>
      <c r="F7574" t="str">
        <f t="shared" si="3194"/>
        <v>TUE</v>
      </c>
      <c r="G7574" s="3">
        <f t="shared" si="3195"/>
        <v>44243</v>
      </c>
      <c r="H7574" s="2">
        <f t="shared" ca="1" si="3196"/>
        <v>10</v>
      </c>
      <c r="I7574" t="str">
        <f t="shared" si="3197"/>
        <v>GBP/USD</v>
      </c>
      <c r="J7574">
        <f t="shared" si="3198"/>
        <v>1.369</v>
      </c>
      <c r="K7574">
        <f t="shared" si="3199"/>
        <v>1.395</v>
      </c>
      <c r="L7574">
        <f t="shared" si="3200"/>
        <v>1.3820000000000001</v>
      </c>
      <c r="M7574">
        <f t="shared" si="3201"/>
        <v>1.3000000000000012E-2</v>
      </c>
      <c r="N7574">
        <f t="shared" si="3192"/>
        <v>2.6000000000000023E-2</v>
      </c>
      <c r="O7574">
        <f t="shared" si="3202"/>
        <v>1.385</v>
      </c>
      <c r="P7574">
        <f t="shared" si="3203"/>
        <v>0.23076923076922223</v>
      </c>
      <c r="Q7574" t="str">
        <f t="shared" si="3193"/>
        <v>1.16% | 0.72%</v>
      </c>
      <c r="R7574" t="str">
        <f t="shared" si="3204"/>
        <v>BULLISH</v>
      </c>
      <c r="S7574">
        <f t="shared" si="3205"/>
        <v>1</v>
      </c>
    </row>
    <row r="7575" spans="1:19" hidden="1" x14ac:dyDescent="0.25">
      <c r="A7575" s="5" t="str">
        <f t="shared" si="3206"/>
        <v>44243CAD/USD</v>
      </c>
      <c r="B7575" s="6" t="s">
        <v>244</v>
      </c>
      <c r="C7575" s="6">
        <v>0.77</v>
      </c>
      <c r="D7575" s="6">
        <v>0.79</v>
      </c>
      <c r="E7575" s="6">
        <v>0.78</v>
      </c>
      <c r="F7575" t="str">
        <f t="shared" si="3194"/>
        <v>TUE</v>
      </c>
      <c r="G7575" s="3">
        <f t="shared" si="3195"/>
        <v>44243</v>
      </c>
      <c r="H7575" s="2">
        <f t="shared" ca="1" si="3196"/>
        <v>10</v>
      </c>
      <c r="I7575" t="str">
        <f t="shared" si="3197"/>
        <v>CAD/USD</v>
      </c>
      <c r="J7575">
        <f t="shared" si="3198"/>
        <v>0.77</v>
      </c>
      <c r="K7575">
        <f t="shared" si="3199"/>
        <v>0.79</v>
      </c>
      <c r="L7575">
        <f t="shared" si="3200"/>
        <v>0.78</v>
      </c>
      <c r="M7575">
        <f t="shared" si="3201"/>
        <v>1.0000000000000009E-2</v>
      </c>
      <c r="N7575">
        <f t="shared" si="3192"/>
        <v>2.0000000000000018E-2</v>
      </c>
      <c r="O7575">
        <f t="shared" si="3202"/>
        <v>0.78</v>
      </c>
      <c r="P7575">
        <f t="shared" si="3203"/>
        <v>0</v>
      </c>
      <c r="Q7575" t="str">
        <f t="shared" si="3193"/>
        <v>1.28% | 1.28%</v>
      </c>
      <c r="R7575" t="str">
        <f t="shared" si="3204"/>
        <v>BULLISH</v>
      </c>
      <c r="S7575">
        <f t="shared" si="3205"/>
        <v>1</v>
      </c>
    </row>
    <row r="7576" spans="1:19" hidden="1" x14ac:dyDescent="0.25">
      <c r="A7576" s="5" t="str">
        <f t="shared" si="3206"/>
        <v>44243USD/CHF</v>
      </c>
      <c r="B7576" s="6" t="s">
        <v>76</v>
      </c>
      <c r="C7576" s="6">
        <v>0.88</v>
      </c>
      <c r="D7576" s="6">
        <v>0.9</v>
      </c>
      <c r="E7576" s="6">
        <v>0.89</v>
      </c>
      <c r="F7576" t="str">
        <f t="shared" si="3194"/>
        <v>TUE</v>
      </c>
      <c r="G7576" s="3">
        <f t="shared" si="3195"/>
        <v>44243</v>
      </c>
      <c r="H7576" s="2">
        <f t="shared" ca="1" si="3196"/>
        <v>10</v>
      </c>
      <c r="I7576" t="str">
        <f t="shared" si="3197"/>
        <v>USD/CHF</v>
      </c>
      <c r="J7576">
        <f t="shared" si="3198"/>
        <v>0.88</v>
      </c>
      <c r="K7576">
        <f t="shared" si="3199"/>
        <v>0.9</v>
      </c>
      <c r="L7576">
        <f t="shared" si="3200"/>
        <v>0.89</v>
      </c>
      <c r="M7576">
        <f t="shared" si="3201"/>
        <v>1.0000000000000009E-2</v>
      </c>
      <c r="N7576">
        <f t="shared" si="3192"/>
        <v>2.0000000000000018E-2</v>
      </c>
      <c r="O7576">
        <f t="shared" si="3202"/>
        <v>0.89</v>
      </c>
      <c r="P7576">
        <f t="shared" si="3203"/>
        <v>0</v>
      </c>
      <c r="Q7576" t="str">
        <f t="shared" si="3193"/>
        <v>1.12% | 1.12%</v>
      </c>
      <c r="R7576" t="str">
        <f t="shared" si="3204"/>
        <v>BEARISH</v>
      </c>
      <c r="S7576">
        <f t="shared" si="3205"/>
        <v>-1</v>
      </c>
    </row>
    <row r="7577" spans="1:19" hidden="1" x14ac:dyDescent="0.25">
      <c r="A7577" s="5" t="str">
        <f t="shared" si="3206"/>
        <v>44243WTIC</v>
      </c>
      <c r="B7577" s="6" t="s">
        <v>158</v>
      </c>
      <c r="C7577" s="6">
        <v>54.52</v>
      </c>
      <c r="D7577" s="6">
        <v>61.3</v>
      </c>
      <c r="E7577" s="6">
        <v>59.47</v>
      </c>
      <c r="F7577" t="str">
        <f t="shared" si="3194"/>
        <v>TUE</v>
      </c>
      <c r="G7577" s="3">
        <f t="shared" si="3195"/>
        <v>44243</v>
      </c>
      <c r="H7577" s="2">
        <f t="shared" ca="1" si="3196"/>
        <v>10</v>
      </c>
      <c r="I7577" t="str">
        <f t="shared" si="3197"/>
        <v>WTIC</v>
      </c>
      <c r="J7577">
        <f t="shared" si="3198"/>
        <v>54.52</v>
      </c>
      <c r="K7577">
        <f t="shared" si="3199"/>
        <v>61.3</v>
      </c>
      <c r="L7577">
        <f t="shared" si="3200"/>
        <v>57.91</v>
      </c>
      <c r="M7577">
        <f t="shared" si="3201"/>
        <v>3.389999999999997</v>
      </c>
      <c r="N7577">
        <f t="shared" si="3192"/>
        <v>6.779999999999994</v>
      </c>
      <c r="O7577">
        <f t="shared" si="3202"/>
        <v>59.47</v>
      </c>
      <c r="P7577">
        <f t="shared" si="3203"/>
        <v>0.46017699115044353</v>
      </c>
      <c r="Q7577" t="str">
        <f t="shared" si="3193"/>
        <v>8.32% | 3.08%</v>
      </c>
      <c r="R7577" t="str">
        <f t="shared" si="3204"/>
        <v>BULLISH</v>
      </c>
      <c r="S7577">
        <f t="shared" si="3205"/>
        <v>1</v>
      </c>
    </row>
    <row r="7578" spans="1:19" hidden="1" x14ac:dyDescent="0.25">
      <c r="A7578" s="5" t="str">
        <f t="shared" si="3206"/>
        <v>44243NATGAS</v>
      </c>
      <c r="B7578" s="6" t="s">
        <v>89</v>
      </c>
      <c r="C7578" s="6">
        <v>2.8</v>
      </c>
      <c r="D7578" s="6">
        <v>3.11</v>
      </c>
      <c r="E7578" s="6">
        <v>2.91</v>
      </c>
      <c r="F7578" t="str">
        <f t="shared" si="3194"/>
        <v>TUE</v>
      </c>
      <c r="G7578" s="3">
        <f t="shared" si="3195"/>
        <v>44243</v>
      </c>
      <c r="H7578" s="2">
        <f t="shared" ca="1" si="3196"/>
        <v>10</v>
      </c>
      <c r="I7578" t="str">
        <f t="shared" si="3197"/>
        <v>NATGAS</v>
      </c>
      <c r="J7578">
        <f t="shared" si="3198"/>
        <v>2.8</v>
      </c>
      <c r="K7578">
        <f t="shared" si="3199"/>
        <v>3.11</v>
      </c>
      <c r="L7578">
        <f t="shared" si="3200"/>
        <v>2.9550000000000001</v>
      </c>
      <c r="M7578">
        <f t="shared" si="3201"/>
        <v>0.15500000000000003</v>
      </c>
      <c r="N7578">
        <f t="shared" si="3192"/>
        <v>0.31000000000000005</v>
      </c>
      <c r="O7578">
        <f t="shared" si="3202"/>
        <v>2.91</v>
      </c>
      <c r="P7578">
        <f t="shared" si="3203"/>
        <v>-0.29032258064516075</v>
      </c>
      <c r="Q7578" t="str">
        <f t="shared" si="3193"/>
        <v>3.78% | 6.87%</v>
      </c>
      <c r="R7578" t="str">
        <f t="shared" si="3204"/>
        <v>BULLISH</v>
      </c>
      <c r="S7578">
        <f t="shared" si="3205"/>
        <v>1</v>
      </c>
    </row>
    <row r="7579" spans="1:19" hidden="1" x14ac:dyDescent="0.25">
      <c r="A7579" s="5" t="str">
        <f t="shared" si="3206"/>
        <v>44243GOLD</v>
      </c>
      <c r="B7579" s="6" t="s">
        <v>85</v>
      </c>
      <c r="C7579" s="6">
        <v>1793</v>
      </c>
      <c r="D7579" s="6">
        <v>1857</v>
      </c>
      <c r="E7579" s="6">
        <v>1823</v>
      </c>
      <c r="F7579" t="str">
        <f t="shared" si="3194"/>
        <v>TUE</v>
      </c>
      <c r="G7579" s="3">
        <f t="shared" si="3195"/>
        <v>44243</v>
      </c>
      <c r="H7579" s="2">
        <f t="shared" ca="1" si="3196"/>
        <v>10</v>
      </c>
      <c r="I7579" t="str">
        <f t="shared" si="3197"/>
        <v>GOLD</v>
      </c>
      <c r="J7579">
        <f t="shared" si="3198"/>
        <v>1793</v>
      </c>
      <c r="K7579">
        <f t="shared" si="3199"/>
        <v>1857</v>
      </c>
      <c r="L7579">
        <f t="shared" si="3200"/>
        <v>1825</v>
      </c>
      <c r="M7579">
        <f t="shared" si="3201"/>
        <v>32</v>
      </c>
      <c r="N7579">
        <f t="shared" si="3192"/>
        <v>64</v>
      </c>
      <c r="O7579">
        <f t="shared" si="3202"/>
        <v>1823</v>
      </c>
      <c r="P7579">
        <f t="shared" si="3203"/>
        <v>-6.25E-2</v>
      </c>
      <c r="Q7579" t="str">
        <f t="shared" si="3193"/>
        <v>1.65% | 1.87%</v>
      </c>
      <c r="R7579" t="str">
        <f t="shared" si="3204"/>
        <v>BEARISH</v>
      </c>
      <c r="S7579">
        <f t="shared" si="3205"/>
        <v>-1</v>
      </c>
    </row>
    <row r="7580" spans="1:19" hidden="1" x14ac:dyDescent="0.25">
      <c r="A7580" s="5" t="str">
        <f t="shared" si="3206"/>
        <v>44243COPPER</v>
      </c>
      <c r="B7580" s="6" t="s">
        <v>100</v>
      </c>
      <c r="C7580" s="6">
        <v>3.63</v>
      </c>
      <c r="D7580" s="6">
        <v>3.88</v>
      </c>
      <c r="E7580" s="6">
        <v>3.79</v>
      </c>
      <c r="F7580" t="str">
        <f t="shared" si="3194"/>
        <v>TUE</v>
      </c>
      <c r="G7580" s="3">
        <f t="shared" si="3195"/>
        <v>44243</v>
      </c>
      <c r="H7580" s="2">
        <f t="shared" ca="1" si="3196"/>
        <v>10</v>
      </c>
      <c r="I7580" t="str">
        <f t="shared" si="3197"/>
        <v>COPPER</v>
      </c>
      <c r="J7580">
        <f t="shared" si="3198"/>
        <v>3.63</v>
      </c>
      <c r="K7580">
        <f t="shared" si="3199"/>
        <v>3.88</v>
      </c>
      <c r="L7580">
        <f t="shared" si="3200"/>
        <v>3.7549999999999999</v>
      </c>
      <c r="M7580">
        <f t="shared" si="3201"/>
        <v>0.125</v>
      </c>
      <c r="N7580">
        <f t="shared" si="3192"/>
        <v>0.25</v>
      </c>
      <c r="O7580">
        <f t="shared" si="3202"/>
        <v>3.79</v>
      </c>
      <c r="P7580">
        <f t="shared" si="3203"/>
        <v>0.28000000000000114</v>
      </c>
      <c r="Q7580" t="str">
        <f t="shared" si="3193"/>
        <v>4.22% | 2.37%</v>
      </c>
      <c r="R7580" t="str">
        <f t="shared" si="3204"/>
        <v>BULLISH</v>
      </c>
      <c r="S7580">
        <f t="shared" si="3205"/>
        <v>1</v>
      </c>
    </row>
    <row r="7581" spans="1:19" hidden="1" x14ac:dyDescent="0.25">
      <c r="A7581" s="5" t="str">
        <f t="shared" si="3206"/>
        <v>44243SILVER</v>
      </c>
      <c r="B7581" s="6" t="s">
        <v>195</v>
      </c>
      <c r="C7581" s="6">
        <v>26.18</v>
      </c>
      <c r="D7581" s="6">
        <v>28.53</v>
      </c>
      <c r="E7581" s="6">
        <v>27.33</v>
      </c>
      <c r="F7581" t="str">
        <f t="shared" si="3194"/>
        <v>TUE</v>
      </c>
      <c r="G7581" s="3">
        <f t="shared" si="3195"/>
        <v>44243</v>
      </c>
      <c r="H7581" s="2">
        <f t="shared" ca="1" si="3196"/>
        <v>10</v>
      </c>
      <c r="I7581" t="str">
        <f t="shared" si="3197"/>
        <v>SILVER</v>
      </c>
      <c r="J7581">
        <f t="shared" si="3198"/>
        <v>26.18</v>
      </c>
      <c r="K7581">
        <f t="shared" si="3199"/>
        <v>28.53</v>
      </c>
      <c r="L7581">
        <f t="shared" si="3200"/>
        <v>27.355</v>
      </c>
      <c r="M7581">
        <f t="shared" si="3201"/>
        <v>1.1750000000000007</v>
      </c>
      <c r="N7581">
        <f t="shared" si="3192"/>
        <v>2.3500000000000014</v>
      </c>
      <c r="O7581">
        <f t="shared" si="3202"/>
        <v>27.33</v>
      </c>
      <c r="P7581">
        <f t="shared" si="3203"/>
        <v>-2.1276595744682651E-2</v>
      </c>
      <c r="Q7581" t="str">
        <f t="shared" si="3193"/>
        <v>4.21% | 4.39%</v>
      </c>
      <c r="R7581" t="str">
        <f t="shared" si="3204"/>
        <v>BULLISH</v>
      </c>
      <c r="S7581">
        <f t="shared" si="3205"/>
        <v>1</v>
      </c>
    </row>
    <row r="7582" spans="1:19" hidden="1" x14ac:dyDescent="0.25">
      <c r="A7582" s="5" t="str">
        <f t="shared" si="3206"/>
        <v>44243MSFT</v>
      </c>
      <c r="B7582" s="6" t="s">
        <v>27</v>
      </c>
      <c r="C7582" s="6">
        <v>239</v>
      </c>
      <c r="D7582" s="6">
        <v>247</v>
      </c>
      <c r="E7582" s="6">
        <v>244</v>
      </c>
      <c r="F7582" t="str">
        <f t="shared" si="3194"/>
        <v>TUE</v>
      </c>
      <c r="G7582" s="3">
        <f t="shared" si="3195"/>
        <v>44243</v>
      </c>
      <c r="H7582" s="2">
        <f t="shared" ca="1" si="3196"/>
        <v>10</v>
      </c>
      <c r="I7582" t="str">
        <f t="shared" si="3197"/>
        <v>MSFT</v>
      </c>
      <c r="J7582">
        <f t="shared" si="3198"/>
        <v>239</v>
      </c>
      <c r="K7582">
        <f t="shared" si="3199"/>
        <v>247</v>
      </c>
      <c r="L7582">
        <f t="shared" si="3200"/>
        <v>243</v>
      </c>
      <c r="M7582">
        <f t="shared" si="3201"/>
        <v>4</v>
      </c>
      <c r="N7582">
        <f t="shared" si="3192"/>
        <v>8</v>
      </c>
      <c r="O7582">
        <f t="shared" si="3202"/>
        <v>244</v>
      </c>
      <c r="P7582">
        <f t="shared" si="3203"/>
        <v>0.25</v>
      </c>
      <c r="Q7582" t="str">
        <f t="shared" si="3193"/>
        <v>2.05% | 1.23%</v>
      </c>
      <c r="R7582" t="str">
        <f t="shared" si="3204"/>
        <v>BULLISH</v>
      </c>
      <c r="S7582">
        <f t="shared" si="3205"/>
        <v>1</v>
      </c>
    </row>
    <row r="7583" spans="1:19" hidden="1" x14ac:dyDescent="0.25">
      <c r="A7583" s="5" t="str">
        <f t="shared" si="3206"/>
        <v>44243AAPL</v>
      </c>
      <c r="B7583" s="6" t="s">
        <v>28</v>
      </c>
      <c r="C7583" s="6">
        <v>133</v>
      </c>
      <c r="D7583" s="6">
        <v>139</v>
      </c>
      <c r="E7583" s="6">
        <v>135</v>
      </c>
      <c r="F7583" t="str">
        <f t="shared" si="3194"/>
        <v>TUE</v>
      </c>
      <c r="G7583" s="3">
        <f t="shared" si="3195"/>
        <v>44243</v>
      </c>
      <c r="H7583" s="2">
        <f t="shared" ca="1" si="3196"/>
        <v>10</v>
      </c>
      <c r="I7583" t="str">
        <f t="shared" si="3197"/>
        <v>AAPL</v>
      </c>
      <c r="J7583">
        <f t="shared" si="3198"/>
        <v>133</v>
      </c>
      <c r="K7583">
        <f t="shared" si="3199"/>
        <v>139</v>
      </c>
      <c r="L7583">
        <f t="shared" si="3200"/>
        <v>136</v>
      </c>
      <c r="M7583">
        <f t="shared" si="3201"/>
        <v>3</v>
      </c>
      <c r="N7583">
        <f t="shared" si="3192"/>
        <v>6</v>
      </c>
      <c r="O7583">
        <f t="shared" si="3202"/>
        <v>135</v>
      </c>
      <c r="P7583">
        <f t="shared" si="3203"/>
        <v>-0.33333333333333331</v>
      </c>
      <c r="Q7583" t="str">
        <f t="shared" si="3193"/>
        <v>1.48% | 2.96%</v>
      </c>
      <c r="R7583" t="str">
        <f t="shared" si="3204"/>
        <v>BULLISH</v>
      </c>
      <c r="S7583">
        <f t="shared" si="3205"/>
        <v>1</v>
      </c>
    </row>
    <row r="7584" spans="1:19" hidden="1" x14ac:dyDescent="0.25">
      <c r="A7584" s="5" t="str">
        <f t="shared" si="3206"/>
        <v>44243AMZN</v>
      </c>
      <c r="B7584" s="6" t="s">
        <v>29</v>
      </c>
      <c r="C7584" s="6">
        <v>3239</v>
      </c>
      <c r="D7584" s="6">
        <v>3388</v>
      </c>
      <c r="E7584" s="6">
        <v>3277</v>
      </c>
      <c r="F7584" t="str">
        <f t="shared" si="3194"/>
        <v>TUE</v>
      </c>
      <c r="G7584" s="3">
        <f t="shared" si="3195"/>
        <v>44243</v>
      </c>
      <c r="H7584" s="2">
        <f t="shared" ca="1" si="3196"/>
        <v>10</v>
      </c>
      <c r="I7584" t="str">
        <f t="shared" si="3197"/>
        <v>AMZN</v>
      </c>
      <c r="J7584">
        <f t="shared" si="3198"/>
        <v>3239</v>
      </c>
      <c r="K7584">
        <f t="shared" si="3199"/>
        <v>3388</v>
      </c>
      <c r="L7584">
        <f t="shared" si="3200"/>
        <v>3313.5</v>
      </c>
      <c r="M7584">
        <f t="shared" si="3201"/>
        <v>74.5</v>
      </c>
      <c r="N7584">
        <f t="shared" si="3192"/>
        <v>149</v>
      </c>
      <c r="O7584">
        <f t="shared" si="3202"/>
        <v>3277</v>
      </c>
      <c r="P7584">
        <f t="shared" si="3203"/>
        <v>-0.48993288590604028</v>
      </c>
      <c r="Q7584" t="str">
        <f t="shared" si="3193"/>
        <v>1.16% | 3.39%</v>
      </c>
      <c r="R7584" t="str">
        <f t="shared" si="3204"/>
        <v>BULLISH</v>
      </c>
      <c r="S7584">
        <f t="shared" si="3205"/>
        <v>1</v>
      </c>
    </row>
    <row r="7585" spans="1:19" hidden="1" x14ac:dyDescent="0.25">
      <c r="A7585" s="5" t="str">
        <f t="shared" si="3206"/>
        <v>44243FB</v>
      </c>
      <c r="B7585" s="6" t="s">
        <v>30</v>
      </c>
      <c r="C7585" s="6">
        <v>262</v>
      </c>
      <c r="D7585" s="6">
        <v>275</v>
      </c>
      <c r="E7585" s="6">
        <v>270</v>
      </c>
      <c r="F7585" t="str">
        <f t="shared" si="3194"/>
        <v>TUE</v>
      </c>
      <c r="G7585" s="3">
        <f t="shared" si="3195"/>
        <v>44243</v>
      </c>
      <c r="H7585" s="2">
        <f t="shared" ca="1" si="3196"/>
        <v>10</v>
      </c>
      <c r="I7585" t="str">
        <f t="shared" si="3197"/>
        <v>FB</v>
      </c>
      <c r="J7585">
        <f t="shared" si="3198"/>
        <v>262</v>
      </c>
      <c r="K7585">
        <f t="shared" si="3199"/>
        <v>275</v>
      </c>
      <c r="L7585">
        <f t="shared" si="3200"/>
        <v>268.5</v>
      </c>
      <c r="M7585">
        <f t="shared" si="3201"/>
        <v>6.5</v>
      </c>
      <c r="N7585">
        <f t="shared" si="3192"/>
        <v>13</v>
      </c>
      <c r="O7585">
        <f t="shared" si="3202"/>
        <v>270</v>
      </c>
      <c r="P7585">
        <f t="shared" si="3203"/>
        <v>0.23076923076923078</v>
      </c>
      <c r="Q7585" t="str">
        <f t="shared" si="3193"/>
        <v>2.96% | 1.85%</v>
      </c>
      <c r="R7585" t="str">
        <f t="shared" si="3204"/>
        <v>BULLISH</v>
      </c>
      <c r="S7585">
        <f t="shared" si="3205"/>
        <v>1</v>
      </c>
    </row>
    <row r="7586" spans="1:19" hidden="1" x14ac:dyDescent="0.25">
      <c r="A7586" s="5" t="str">
        <f t="shared" si="3206"/>
        <v>44243GOOGL</v>
      </c>
      <c r="B7586" s="6" t="s">
        <v>31</v>
      </c>
      <c r="C7586" s="6">
        <v>2021</v>
      </c>
      <c r="D7586" s="6">
        <v>2185</v>
      </c>
      <c r="E7586" s="6">
        <v>2095</v>
      </c>
      <c r="F7586" t="str">
        <f t="shared" si="3194"/>
        <v>TUE</v>
      </c>
      <c r="G7586" s="3">
        <f t="shared" si="3195"/>
        <v>44243</v>
      </c>
      <c r="H7586" s="2">
        <f t="shared" ca="1" si="3196"/>
        <v>10</v>
      </c>
      <c r="I7586" t="str">
        <f t="shared" si="3197"/>
        <v>GOOGL</v>
      </c>
      <c r="J7586">
        <f t="shared" si="3198"/>
        <v>2021</v>
      </c>
      <c r="K7586">
        <f t="shared" si="3199"/>
        <v>2185</v>
      </c>
      <c r="L7586">
        <f t="shared" si="3200"/>
        <v>2103</v>
      </c>
      <c r="M7586">
        <f t="shared" si="3201"/>
        <v>82</v>
      </c>
      <c r="N7586">
        <f t="shared" si="3192"/>
        <v>164</v>
      </c>
      <c r="O7586">
        <f t="shared" si="3202"/>
        <v>2095</v>
      </c>
      <c r="P7586">
        <f t="shared" si="3203"/>
        <v>-9.7560975609756101E-2</v>
      </c>
      <c r="Q7586" t="str">
        <f t="shared" si="3193"/>
        <v>3.53% | 4.3%</v>
      </c>
      <c r="R7586" t="str">
        <f t="shared" si="3204"/>
        <v>BULLISH</v>
      </c>
      <c r="S7586">
        <f t="shared" si="3205"/>
        <v>1</v>
      </c>
    </row>
    <row r="7587" spans="1:19" hidden="1" x14ac:dyDescent="0.25">
      <c r="A7587" s="5" t="str">
        <f t="shared" si="3206"/>
        <v>44243NFLX</v>
      </c>
      <c r="B7587" s="6" t="s">
        <v>32</v>
      </c>
      <c r="C7587" s="6">
        <v>537</v>
      </c>
      <c r="D7587" s="6">
        <v>572</v>
      </c>
      <c r="E7587" s="6">
        <v>556</v>
      </c>
      <c r="F7587" t="str">
        <f t="shared" si="3194"/>
        <v>TUE</v>
      </c>
      <c r="G7587" s="3">
        <f t="shared" si="3195"/>
        <v>44243</v>
      </c>
      <c r="H7587" s="2">
        <f t="shared" ca="1" si="3196"/>
        <v>10</v>
      </c>
      <c r="I7587" t="str">
        <f t="shared" si="3197"/>
        <v>NFLX</v>
      </c>
      <c r="J7587">
        <f t="shared" si="3198"/>
        <v>537</v>
      </c>
      <c r="K7587">
        <f t="shared" si="3199"/>
        <v>572</v>
      </c>
      <c r="L7587">
        <f t="shared" si="3200"/>
        <v>554.5</v>
      </c>
      <c r="M7587">
        <f t="shared" si="3201"/>
        <v>17.5</v>
      </c>
      <c r="N7587">
        <f t="shared" si="3192"/>
        <v>35</v>
      </c>
      <c r="O7587">
        <f t="shared" si="3202"/>
        <v>556</v>
      </c>
      <c r="P7587">
        <f t="shared" si="3203"/>
        <v>8.5714285714285715E-2</v>
      </c>
      <c r="Q7587" t="str">
        <f t="shared" si="3193"/>
        <v>3.42% | 2.88%</v>
      </c>
      <c r="R7587" t="str">
        <f t="shared" si="3204"/>
        <v>BULLISH</v>
      </c>
      <c r="S7587">
        <f t="shared" si="3205"/>
        <v>1</v>
      </c>
    </row>
    <row r="7588" spans="1:19" x14ac:dyDescent="0.25">
      <c r="A7588" s="5" t="str">
        <f t="shared" si="3206"/>
        <v>44243TSLA</v>
      </c>
      <c r="B7588" s="6" t="s">
        <v>33</v>
      </c>
      <c r="C7588" s="6">
        <v>793</v>
      </c>
      <c r="D7588" s="6">
        <v>889</v>
      </c>
      <c r="E7588" s="6">
        <v>816</v>
      </c>
      <c r="F7588" t="str">
        <f t="shared" si="3194"/>
        <v>TUE</v>
      </c>
      <c r="G7588" s="3">
        <f t="shared" si="3195"/>
        <v>44243</v>
      </c>
      <c r="H7588" s="2">
        <f t="shared" ca="1" si="3196"/>
        <v>10</v>
      </c>
      <c r="I7588" t="str">
        <f t="shared" si="3197"/>
        <v>TSLA</v>
      </c>
      <c r="J7588">
        <f t="shared" si="3198"/>
        <v>793</v>
      </c>
      <c r="K7588">
        <f t="shared" si="3199"/>
        <v>889</v>
      </c>
      <c r="L7588">
        <f t="shared" si="3200"/>
        <v>841</v>
      </c>
      <c r="M7588">
        <f t="shared" si="3201"/>
        <v>48</v>
      </c>
      <c r="N7588">
        <f t="shared" si="3192"/>
        <v>96</v>
      </c>
      <c r="O7588">
        <f t="shared" si="3202"/>
        <v>816</v>
      </c>
      <c r="P7588">
        <f t="shared" si="3203"/>
        <v>-0.52083333333333337</v>
      </c>
      <c r="Q7588" t="str">
        <f t="shared" si="3193"/>
        <v>2.82% | 8.95%</v>
      </c>
      <c r="R7588" t="str">
        <f t="shared" si="3204"/>
        <v>BULLISH</v>
      </c>
      <c r="S7588">
        <f t="shared" si="3205"/>
        <v>1</v>
      </c>
    </row>
    <row r="7589" spans="1:19" hidden="1" x14ac:dyDescent="0.25">
      <c r="A7589" s="5" t="str">
        <f t="shared" si="3206"/>
        <v>44243NYXBT</v>
      </c>
      <c r="B7589" s="6" t="s">
        <v>60</v>
      </c>
      <c r="C7589" s="6">
        <v>41917</v>
      </c>
      <c r="D7589" s="6">
        <v>51688</v>
      </c>
      <c r="E7589" s="6">
        <v>47164</v>
      </c>
      <c r="F7589" t="str">
        <f t="shared" si="3194"/>
        <v>TUE</v>
      </c>
      <c r="G7589" s="3">
        <f t="shared" si="3195"/>
        <v>44243</v>
      </c>
      <c r="H7589" s="2">
        <f t="shared" ca="1" si="3196"/>
        <v>10</v>
      </c>
      <c r="I7589" t="str">
        <f t="shared" si="3197"/>
        <v>NYXBT</v>
      </c>
      <c r="J7589">
        <f t="shared" si="3198"/>
        <v>41917</v>
      </c>
      <c r="K7589">
        <f t="shared" si="3199"/>
        <v>51688</v>
      </c>
      <c r="L7589">
        <f t="shared" si="3200"/>
        <v>46802.5</v>
      </c>
      <c r="M7589">
        <f t="shared" si="3201"/>
        <v>4885.5</v>
      </c>
      <c r="N7589">
        <f t="shared" si="3192"/>
        <v>9771</v>
      </c>
      <c r="O7589">
        <f t="shared" si="3202"/>
        <v>47164</v>
      </c>
      <c r="P7589">
        <f t="shared" si="3203"/>
        <v>7.3994473441817629E-2</v>
      </c>
      <c r="Q7589" t="str">
        <f t="shared" si="3193"/>
        <v>11.13% | 9.59%</v>
      </c>
      <c r="R7589" t="str">
        <f t="shared" si="3204"/>
        <v>BULLISH</v>
      </c>
      <c r="S7589">
        <f t="shared" si="3205"/>
        <v>1</v>
      </c>
    </row>
    <row r="7590" spans="1:19" hidden="1" x14ac:dyDescent="0.25">
      <c r="A7590" s="5" t="str">
        <f t="shared" si="3206"/>
        <v>44244UST10Y</v>
      </c>
      <c r="B7590" s="6" t="s">
        <v>257</v>
      </c>
      <c r="C7590" s="6">
        <v>1.33</v>
      </c>
      <c r="D7590" s="6">
        <v>1.18</v>
      </c>
      <c r="E7590" s="6">
        <v>1.3</v>
      </c>
      <c r="F7590" t="str">
        <f t="shared" si="3194"/>
        <v>WED</v>
      </c>
      <c r="G7590" s="1">
        <f>DATE(2021,2,17)</f>
        <v>44244</v>
      </c>
      <c r="H7590" s="2">
        <f t="shared" ca="1" si="3196"/>
        <v>9</v>
      </c>
      <c r="I7590" t="str">
        <f t="shared" si="3197"/>
        <v>UST10Y</v>
      </c>
      <c r="J7590">
        <f t="shared" si="3198"/>
        <v>1.33</v>
      </c>
      <c r="K7590">
        <f t="shared" si="3199"/>
        <v>1.18</v>
      </c>
      <c r="L7590">
        <f t="shared" si="3200"/>
        <v>1.2549999999999999</v>
      </c>
      <c r="M7590">
        <f t="shared" si="3201"/>
        <v>7.5000000000000067E-2</v>
      </c>
      <c r="N7590">
        <f t="shared" si="3192"/>
        <v>0.15000000000000013</v>
      </c>
      <c r="O7590">
        <f t="shared" si="3202"/>
        <v>1.3</v>
      </c>
      <c r="P7590">
        <f t="shared" si="3203"/>
        <v>0.60000000000000153</v>
      </c>
      <c r="Q7590" t="str">
        <f t="shared" si="3193"/>
        <v>2.31% | 9.23%</v>
      </c>
      <c r="R7590" t="str">
        <f t="shared" si="3204"/>
        <v>BULLISH</v>
      </c>
      <c r="S7590">
        <f t="shared" si="3205"/>
        <v>1</v>
      </c>
    </row>
    <row r="7591" spans="1:19" hidden="1" x14ac:dyDescent="0.25">
      <c r="A7591" s="5" t="str">
        <f t="shared" si="3206"/>
        <v>44244UST2Y</v>
      </c>
      <c r="B7591" s="6" t="s">
        <v>5</v>
      </c>
      <c r="C7591" s="6">
        <v>0.14000000000000001</v>
      </c>
      <c r="D7591" s="6">
        <v>0.09</v>
      </c>
      <c r="E7591" s="6">
        <v>0.13</v>
      </c>
      <c r="F7591" t="str">
        <f t="shared" ref="F7591:F7654" si="3207">UPPER(TEXT(G7591,"ddd"))</f>
        <v>WED</v>
      </c>
      <c r="G7591" s="1">
        <f t="shared" ref="G7591:G7620" si="3208">DATE(2021,2,17)</f>
        <v>44244</v>
      </c>
      <c r="H7591" s="2">
        <f t="shared" ref="H7591:H7621" ca="1" si="3209">TODAY()-G7591</f>
        <v>9</v>
      </c>
      <c r="I7591" t="str">
        <f t="shared" ref="I7591:I7621" si="3210">TRIM(LEFT(B7591,FIND(" ",B7591,1)))</f>
        <v>UST2Y</v>
      </c>
      <c r="J7591">
        <f t="shared" ref="J7591:J7621" si="3211">C7591</f>
        <v>0.14000000000000001</v>
      </c>
      <c r="K7591">
        <f t="shared" ref="K7591:K7621" si="3212">D7591</f>
        <v>0.09</v>
      </c>
      <c r="L7591">
        <f t="shared" ref="L7591:L7621" si="3213">AVERAGE(J7591:K7591)</f>
        <v>0.115</v>
      </c>
      <c r="M7591">
        <f t="shared" ref="M7591:M7621" si="3214">_xlfn.STDEV.P(J7591:K7591)</f>
        <v>2.5000000000000012E-2</v>
      </c>
      <c r="N7591">
        <f t="shared" si="3192"/>
        <v>5.0000000000000017E-2</v>
      </c>
      <c r="O7591">
        <f t="shared" ref="O7591:O7621" si="3215">E7591</f>
        <v>0.13</v>
      </c>
      <c r="P7591">
        <f t="shared" ref="P7591:P7620" si="3216">(O7591-L7591)/M7591</f>
        <v>0.59999999999999964</v>
      </c>
      <c r="Q7591" t="str">
        <f t="shared" si="3193"/>
        <v>7.69% | 30.77%</v>
      </c>
      <c r="R7591" t="str">
        <f t="shared" ref="R7591:R7621" si="3217">MID(B7591,FIND("(",B7591,1)+1,FIND(")",B7591,1)-FIND("(",B7591,1)-1)</f>
        <v>BEARISH</v>
      </c>
      <c r="S7591">
        <f t="shared" ref="S7591:S7621" si="3218">IF(R7591="BEARISH",-1,IF(R7591="NEUTRAL",0,IF(R7591="BULLISH",1,99)))</f>
        <v>-1</v>
      </c>
    </row>
    <row r="7592" spans="1:19" hidden="1" x14ac:dyDescent="0.25">
      <c r="A7592" s="5" t="str">
        <f t="shared" si="3206"/>
        <v>44244SPX</v>
      </c>
      <c r="B7592" s="6" t="s">
        <v>93</v>
      </c>
      <c r="C7592" s="6">
        <v>3835</v>
      </c>
      <c r="D7592" s="6">
        <v>3964</v>
      </c>
      <c r="E7592" s="6">
        <v>3932</v>
      </c>
      <c r="F7592" t="str">
        <f t="shared" si="3207"/>
        <v>WED</v>
      </c>
      <c r="G7592" s="1">
        <f t="shared" si="3208"/>
        <v>44244</v>
      </c>
      <c r="H7592" s="2">
        <f t="shared" ca="1" si="3209"/>
        <v>9</v>
      </c>
      <c r="I7592" t="str">
        <f t="shared" si="3210"/>
        <v>SPX</v>
      </c>
      <c r="J7592">
        <f t="shared" si="3211"/>
        <v>3835</v>
      </c>
      <c r="K7592">
        <f t="shared" si="3212"/>
        <v>3964</v>
      </c>
      <c r="L7592">
        <f t="shared" si="3213"/>
        <v>3899.5</v>
      </c>
      <c r="M7592">
        <f t="shared" si="3214"/>
        <v>64.5</v>
      </c>
      <c r="N7592">
        <f t="shared" si="3192"/>
        <v>129</v>
      </c>
      <c r="O7592">
        <f t="shared" si="3215"/>
        <v>3932</v>
      </c>
      <c r="P7592">
        <f t="shared" si="3216"/>
        <v>0.50387596899224807</v>
      </c>
      <c r="Q7592" t="str">
        <f t="shared" si="3193"/>
        <v>2.47% | 0.81%</v>
      </c>
      <c r="R7592" t="str">
        <f t="shared" si="3217"/>
        <v>BULLISH</v>
      </c>
      <c r="S7592">
        <f t="shared" si="3218"/>
        <v>1</v>
      </c>
    </row>
    <row r="7593" spans="1:19" hidden="1" x14ac:dyDescent="0.25">
      <c r="A7593" s="5" t="str">
        <f t="shared" si="3206"/>
        <v>44244RUT</v>
      </c>
      <c r="B7593" s="6" t="s">
        <v>247</v>
      </c>
      <c r="C7593" s="6">
        <v>2181</v>
      </c>
      <c r="D7593" s="6">
        <v>2342</v>
      </c>
      <c r="E7593" s="6">
        <v>2272</v>
      </c>
      <c r="F7593" t="str">
        <f t="shared" si="3207"/>
        <v>WED</v>
      </c>
      <c r="G7593" s="1">
        <f t="shared" si="3208"/>
        <v>44244</v>
      </c>
      <c r="H7593" s="2">
        <f t="shared" ca="1" si="3209"/>
        <v>9</v>
      </c>
      <c r="I7593" t="str">
        <f t="shared" si="3210"/>
        <v>RUT</v>
      </c>
      <c r="J7593">
        <f t="shared" si="3211"/>
        <v>2181</v>
      </c>
      <c r="K7593">
        <f t="shared" si="3212"/>
        <v>2342</v>
      </c>
      <c r="L7593">
        <f t="shared" si="3213"/>
        <v>2261.5</v>
      </c>
      <c r="M7593">
        <f t="shared" si="3214"/>
        <v>80.5</v>
      </c>
      <c r="N7593">
        <f t="shared" si="3192"/>
        <v>161</v>
      </c>
      <c r="O7593">
        <f t="shared" si="3215"/>
        <v>2272</v>
      </c>
      <c r="P7593">
        <f t="shared" si="3216"/>
        <v>0.13043478260869565</v>
      </c>
      <c r="Q7593" t="str">
        <f t="shared" si="3193"/>
        <v>4.01% | 3.08%</v>
      </c>
      <c r="R7593" t="str">
        <f t="shared" si="3217"/>
        <v>BULLISH</v>
      </c>
      <c r="S7593">
        <f t="shared" si="3218"/>
        <v>1</v>
      </c>
    </row>
    <row r="7594" spans="1:19" hidden="1" x14ac:dyDescent="0.25">
      <c r="A7594" s="5" t="str">
        <f t="shared" si="3206"/>
        <v>44244COMPQ</v>
      </c>
      <c r="B7594" s="6" t="s">
        <v>8</v>
      </c>
      <c r="C7594" s="6">
        <v>13608</v>
      </c>
      <c r="D7594" s="6">
        <v>14228</v>
      </c>
      <c r="E7594" s="6">
        <v>14047</v>
      </c>
      <c r="F7594" t="str">
        <f t="shared" si="3207"/>
        <v>WED</v>
      </c>
      <c r="G7594" s="1">
        <f t="shared" si="3208"/>
        <v>44244</v>
      </c>
      <c r="H7594" s="2">
        <f t="shared" ca="1" si="3209"/>
        <v>9</v>
      </c>
      <c r="I7594" t="str">
        <f t="shared" si="3210"/>
        <v>COMPQ</v>
      </c>
      <c r="J7594">
        <f t="shared" si="3211"/>
        <v>13608</v>
      </c>
      <c r="K7594">
        <f t="shared" si="3212"/>
        <v>14228</v>
      </c>
      <c r="L7594">
        <f t="shared" si="3213"/>
        <v>13918</v>
      </c>
      <c r="M7594">
        <f t="shared" si="3214"/>
        <v>310</v>
      </c>
      <c r="N7594">
        <f t="shared" si="3192"/>
        <v>620</v>
      </c>
      <c r="O7594">
        <f t="shared" si="3215"/>
        <v>14047</v>
      </c>
      <c r="P7594">
        <f t="shared" si="3216"/>
        <v>0.41612903225806452</v>
      </c>
      <c r="Q7594" t="str">
        <f t="shared" si="3193"/>
        <v>3.13% | 1.29%</v>
      </c>
      <c r="R7594" t="str">
        <f t="shared" si="3217"/>
        <v>BULLISH</v>
      </c>
      <c r="S7594">
        <f t="shared" si="3218"/>
        <v>1</v>
      </c>
    </row>
    <row r="7595" spans="1:19" hidden="1" x14ac:dyDescent="0.25">
      <c r="A7595" s="5" t="str">
        <f t="shared" si="3206"/>
        <v>44244XLK</v>
      </c>
      <c r="B7595" s="6" t="s">
        <v>10</v>
      </c>
      <c r="C7595" s="6">
        <v>133.35</v>
      </c>
      <c r="D7595" s="6">
        <v>139.58000000000001</v>
      </c>
      <c r="E7595" s="6">
        <v>138.13999999999999</v>
      </c>
      <c r="F7595" t="str">
        <f t="shared" si="3207"/>
        <v>WED</v>
      </c>
      <c r="G7595" s="1">
        <f t="shared" si="3208"/>
        <v>44244</v>
      </c>
      <c r="H7595" s="2">
        <f t="shared" ca="1" si="3209"/>
        <v>9</v>
      </c>
      <c r="I7595" t="str">
        <f t="shared" si="3210"/>
        <v>XLK</v>
      </c>
      <c r="J7595">
        <f t="shared" si="3211"/>
        <v>133.35</v>
      </c>
      <c r="K7595">
        <f t="shared" si="3212"/>
        <v>139.58000000000001</v>
      </c>
      <c r="L7595">
        <f t="shared" si="3213"/>
        <v>136.465</v>
      </c>
      <c r="M7595">
        <f t="shared" si="3214"/>
        <v>3.1150000000000091</v>
      </c>
      <c r="N7595">
        <f t="shared" si="3192"/>
        <v>6.2300000000000182</v>
      </c>
      <c r="O7595">
        <f t="shared" si="3215"/>
        <v>138.13999999999999</v>
      </c>
      <c r="P7595">
        <f t="shared" si="3216"/>
        <v>0.53772070626002511</v>
      </c>
      <c r="Q7595" t="str">
        <f t="shared" si="3193"/>
        <v>3.47% | 1.04%</v>
      </c>
      <c r="R7595" t="str">
        <f t="shared" si="3217"/>
        <v>BULLISH</v>
      </c>
      <c r="S7595">
        <f t="shared" si="3218"/>
        <v>1</v>
      </c>
    </row>
    <row r="7596" spans="1:19" hidden="1" x14ac:dyDescent="0.25">
      <c r="A7596" s="5" t="str">
        <f t="shared" si="3206"/>
        <v>44244XLE</v>
      </c>
      <c r="B7596" s="6" t="s">
        <v>250</v>
      </c>
      <c r="C7596" s="6">
        <v>40.22</v>
      </c>
      <c r="D7596" s="6">
        <v>46.98</v>
      </c>
      <c r="E7596" s="6">
        <v>45.79</v>
      </c>
      <c r="F7596" t="str">
        <f t="shared" si="3207"/>
        <v>WED</v>
      </c>
      <c r="G7596" s="1">
        <f t="shared" si="3208"/>
        <v>44244</v>
      </c>
      <c r="H7596" s="2">
        <f t="shared" ca="1" si="3209"/>
        <v>9</v>
      </c>
      <c r="I7596" t="str">
        <f t="shared" si="3210"/>
        <v>XLE</v>
      </c>
      <c r="J7596">
        <f t="shared" si="3211"/>
        <v>40.22</v>
      </c>
      <c r="K7596">
        <f t="shared" si="3212"/>
        <v>46.98</v>
      </c>
      <c r="L7596">
        <f t="shared" si="3213"/>
        <v>43.599999999999994</v>
      </c>
      <c r="M7596">
        <f t="shared" si="3214"/>
        <v>3.3799999999999994</v>
      </c>
      <c r="N7596">
        <f t="shared" si="3192"/>
        <v>6.759999999999998</v>
      </c>
      <c r="O7596">
        <f t="shared" si="3215"/>
        <v>45.79</v>
      </c>
      <c r="P7596">
        <f t="shared" si="3216"/>
        <v>0.64792899408284177</v>
      </c>
      <c r="Q7596" t="str">
        <f t="shared" si="3193"/>
        <v>12.16% | 2.6%</v>
      </c>
      <c r="R7596" t="str">
        <f t="shared" si="3217"/>
        <v>BULLISH</v>
      </c>
      <c r="S7596">
        <f t="shared" si="3218"/>
        <v>1</v>
      </c>
    </row>
    <row r="7597" spans="1:19" hidden="1" x14ac:dyDescent="0.25">
      <c r="A7597" s="5" t="str">
        <f t="shared" si="3206"/>
        <v>44244XLU</v>
      </c>
      <c r="B7597" s="6" t="s">
        <v>82</v>
      </c>
      <c r="C7597" s="6">
        <v>61.15</v>
      </c>
      <c r="D7597" s="6">
        <v>63.65</v>
      </c>
      <c r="E7597" s="6">
        <v>61.92</v>
      </c>
      <c r="F7597" t="str">
        <f t="shared" si="3207"/>
        <v>WED</v>
      </c>
      <c r="G7597" s="1">
        <f t="shared" si="3208"/>
        <v>44244</v>
      </c>
      <c r="H7597" s="2">
        <f t="shared" ca="1" si="3209"/>
        <v>9</v>
      </c>
      <c r="I7597" t="str">
        <f t="shared" si="3210"/>
        <v>XLU</v>
      </c>
      <c r="J7597">
        <f t="shared" si="3211"/>
        <v>61.15</v>
      </c>
      <c r="K7597">
        <f t="shared" si="3212"/>
        <v>63.65</v>
      </c>
      <c r="L7597">
        <f t="shared" si="3213"/>
        <v>62.4</v>
      </c>
      <c r="M7597">
        <f t="shared" si="3214"/>
        <v>1.25</v>
      </c>
      <c r="N7597">
        <f t="shared" si="3192"/>
        <v>2.5</v>
      </c>
      <c r="O7597">
        <f t="shared" si="3215"/>
        <v>61.92</v>
      </c>
      <c r="P7597">
        <f t="shared" si="3216"/>
        <v>-0.38399999999999751</v>
      </c>
      <c r="Q7597" t="str">
        <f t="shared" si="3193"/>
        <v>1.24% | 2.79%</v>
      </c>
      <c r="R7597" t="str">
        <f t="shared" si="3217"/>
        <v>BEARISH</v>
      </c>
      <c r="S7597">
        <f t="shared" si="3218"/>
        <v>-1</v>
      </c>
    </row>
    <row r="7598" spans="1:19" hidden="1" x14ac:dyDescent="0.25">
      <c r="A7598" s="5" t="str">
        <f t="shared" si="3206"/>
        <v>44244GDX</v>
      </c>
      <c r="B7598" s="6" t="s">
        <v>254</v>
      </c>
      <c r="C7598" s="6">
        <v>33.17</v>
      </c>
      <c r="D7598" s="6">
        <v>35.24</v>
      </c>
      <c r="E7598" s="6">
        <v>34.090000000000003</v>
      </c>
      <c r="F7598" t="str">
        <f t="shared" si="3207"/>
        <v>WED</v>
      </c>
      <c r="G7598" s="1">
        <f t="shared" si="3208"/>
        <v>44244</v>
      </c>
      <c r="H7598" s="2">
        <f t="shared" ca="1" si="3209"/>
        <v>9</v>
      </c>
      <c r="I7598" t="str">
        <f t="shared" si="3210"/>
        <v>GDX</v>
      </c>
      <c r="J7598">
        <f t="shared" si="3211"/>
        <v>33.17</v>
      </c>
      <c r="K7598">
        <f t="shared" si="3212"/>
        <v>35.24</v>
      </c>
      <c r="L7598">
        <f t="shared" si="3213"/>
        <v>34.204999999999998</v>
      </c>
      <c r="M7598">
        <f t="shared" si="3214"/>
        <v>1.0350000000000001</v>
      </c>
      <c r="N7598">
        <f t="shared" si="3192"/>
        <v>2.0700000000000003</v>
      </c>
      <c r="O7598">
        <f t="shared" si="3215"/>
        <v>34.090000000000003</v>
      </c>
      <c r="P7598">
        <f t="shared" si="3216"/>
        <v>-0.11111111111110615</v>
      </c>
      <c r="Q7598" t="str">
        <f t="shared" si="3193"/>
        <v>2.7% | 3.37%</v>
      </c>
      <c r="R7598" t="str">
        <f t="shared" si="3217"/>
        <v>BEARISH</v>
      </c>
      <c r="S7598">
        <f t="shared" si="3218"/>
        <v>-1</v>
      </c>
    </row>
    <row r="7599" spans="1:19" hidden="1" x14ac:dyDescent="0.25">
      <c r="A7599" s="5" t="str">
        <f t="shared" si="3206"/>
        <v>44244SSEC</v>
      </c>
      <c r="B7599" s="6" t="s">
        <v>104</v>
      </c>
      <c r="C7599" s="6">
        <v>3526</v>
      </c>
      <c r="D7599" s="6">
        <v>3852</v>
      </c>
      <c r="E7599" s="6">
        <v>3655</v>
      </c>
      <c r="F7599" t="str">
        <f t="shared" si="3207"/>
        <v>WED</v>
      </c>
      <c r="G7599" s="1">
        <f t="shared" si="3208"/>
        <v>44244</v>
      </c>
      <c r="H7599" s="2">
        <f t="shared" ca="1" si="3209"/>
        <v>9</v>
      </c>
      <c r="I7599" t="str">
        <f t="shared" si="3210"/>
        <v>SSEC</v>
      </c>
      <c r="J7599">
        <f t="shared" si="3211"/>
        <v>3526</v>
      </c>
      <c r="K7599">
        <f t="shared" si="3212"/>
        <v>3852</v>
      </c>
      <c r="L7599">
        <f t="shared" si="3213"/>
        <v>3689</v>
      </c>
      <c r="M7599">
        <f t="shared" si="3214"/>
        <v>163</v>
      </c>
      <c r="N7599">
        <f t="shared" si="3192"/>
        <v>326</v>
      </c>
      <c r="O7599">
        <f t="shared" si="3215"/>
        <v>3655</v>
      </c>
      <c r="P7599">
        <f t="shared" si="3216"/>
        <v>-0.20858895705521471</v>
      </c>
      <c r="Q7599" t="str">
        <f t="shared" si="3193"/>
        <v>3.53% | 5.39%</v>
      </c>
      <c r="R7599" t="str">
        <f t="shared" si="3217"/>
        <v>BULLISH</v>
      </c>
      <c r="S7599">
        <f t="shared" si="3218"/>
        <v>1</v>
      </c>
    </row>
    <row r="7600" spans="1:19" hidden="1" x14ac:dyDescent="0.25">
      <c r="A7600" s="5" t="str">
        <f t="shared" si="3206"/>
        <v>44244NIKK</v>
      </c>
      <c r="B7600" s="6" t="s">
        <v>91</v>
      </c>
      <c r="C7600" s="6">
        <v>29356</v>
      </c>
      <c r="D7600" s="6">
        <v>30662</v>
      </c>
      <c r="E7600" s="6">
        <v>30292</v>
      </c>
      <c r="F7600" t="str">
        <f t="shared" si="3207"/>
        <v>WED</v>
      </c>
      <c r="G7600" s="1">
        <f t="shared" si="3208"/>
        <v>44244</v>
      </c>
      <c r="H7600" s="2">
        <f t="shared" ca="1" si="3209"/>
        <v>9</v>
      </c>
      <c r="I7600" t="str">
        <f t="shared" si="3210"/>
        <v>NIKK</v>
      </c>
      <c r="J7600">
        <f t="shared" si="3211"/>
        <v>29356</v>
      </c>
      <c r="K7600">
        <f t="shared" si="3212"/>
        <v>30662</v>
      </c>
      <c r="L7600">
        <f t="shared" si="3213"/>
        <v>30009</v>
      </c>
      <c r="M7600">
        <f t="shared" si="3214"/>
        <v>653</v>
      </c>
      <c r="N7600">
        <f t="shared" si="3192"/>
        <v>1306</v>
      </c>
      <c r="O7600">
        <f t="shared" si="3215"/>
        <v>30292</v>
      </c>
      <c r="P7600">
        <f t="shared" si="3216"/>
        <v>0.4333843797856049</v>
      </c>
      <c r="Q7600" t="str">
        <f t="shared" si="3193"/>
        <v>3.09% | 1.22%</v>
      </c>
      <c r="R7600" t="str">
        <f t="shared" si="3217"/>
        <v>BULLISH</v>
      </c>
      <c r="S7600">
        <f t="shared" si="3218"/>
        <v>1</v>
      </c>
    </row>
    <row r="7601" spans="1:19" hidden="1" x14ac:dyDescent="0.25">
      <c r="A7601" s="5" t="str">
        <f t="shared" si="3206"/>
        <v>44244DAX</v>
      </c>
      <c r="B7601" s="6" t="s">
        <v>98</v>
      </c>
      <c r="C7601" s="6">
        <v>13901</v>
      </c>
      <c r="D7601" s="6">
        <v>14144</v>
      </c>
      <c r="E7601" s="6">
        <v>14064</v>
      </c>
      <c r="F7601" t="str">
        <f t="shared" si="3207"/>
        <v>WED</v>
      </c>
      <c r="G7601" s="1">
        <f t="shared" si="3208"/>
        <v>44244</v>
      </c>
      <c r="H7601" s="2">
        <f t="shared" ca="1" si="3209"/>
        <v>9</v>
      </c>
      <c r="I7601" t="str">
        <f t="shared" si="3210"/>
        <v>DAX</v>
      </c>
      <c r="J7601">
        <f t="shared" si="3211"/>
        <v>13901</v>
      </c>
      <c r="K7601">
        <f t="shared" si="3212"/>
        <v>14144</v>
      </c>
      <c r="L7601">
        <f t="shared" si="3213"/>
        <v>14022.5</v>
      </c>
      <c r="M7601">
        <f t="shared" si="3214"/>
        <v>121.5</v>
      </c>
      <c r="N7601">
        <f t="shared" si="3192"/>
        <v>243</v>
      </c>
      <c r="O7601">
        <f t="shared" si="3215"/>
        <v>14064</v>
      </c>
      <c r="P7601">
        <f t="shared" si="3216"/>
        <v>0.34156378600823045</v>
      </c>
      <c r="Q7601" t="str">
        <f t="shared" si="3193"/>
        <v>1.16% | 0.57%</v>
      </c>
      <c r="R7601" t="str">
        <f t="shared" si="3217"/>
        <v>BULLISH</v>
      </c>
      <c r="S7601">
        <f t="shared" si="3218"/>
        <v>1</v>
      </c>
    </row>
    <row r="7602" spans="1:19" hidden="1" x14ac:dyDescent="0.25">
      <c r="A7602" s="5" t="str">
        <f t="shared" si="3206"/>
        <v>44244VIX</v>
      </c>
      <c r="B7602" s="6" t="s">
        <v>96</v>
      </c>
      <c r="C7602" s="6">
        <v>18.940000000000001</v>
      </c>
      <c r="D7602" s="6">
        <v>24.07</v>
      </c>
      <c r="E7602" s="6">
        <v>21.46</v>
      </c>
      <c r="F7602" t="str">
        <f t="shared" si="3207"/>
        <v>WED</v>
      </c>
      <c r="G7602" s="1">
        <f t="shared" si="3208"/>
        <v>44244</v>
      </c>
      <c r="H7602" s="2">
        <f t="shared" ca="1" si="3209"/>
        <v>9</v>
      </c>
      <c r="I7602" t="str">
        <f t="shared" si="3210"/>
        <v>VIX</v>
      </c>
      <c r="J7602">
        <f t="shared" si="3211"/>
        <v>18.940000000000001</v>
      </c>
      <c r="K7602">
        <f t="shared" si="3212"/>
        <v>24.07</v>
      </c>
      <c r="L7602">
        <f t="shared" si="3213"/>
        <v>21.505000000000003</v>
      </c>
      <c r="M7602">
        <f t="shared" si="3214"/>
        <v>2.5649999999999906</v>
      </c>
      <c r="N7602">
        <f t="shared" si="3192"/>
        <v>5.129999999999999</v>
      </c>
      <c r="O7602">
        <f t="shared" si="3215"/>
        <v>21.46</v>
      </c>
      <c r="P7602">
        <f t="shared" si="3216"/>
        <v>-1.7543859649123535E-2</v>
      </c>
      <c r="Q7602" t="str">
        <f t="shared" si="3193"/>
        <v>11.74% | 12.16%</v>
      </c>
      <c r="R7602" t="str">
        <f t="shared" si="3217"/>
        <v>BEARISH</v>
      </c>
      <c r="S7602">
        <f t="shared" si="3218"/>
        <v>-1</v>
      </c>
    </row>
    <row r="7603" spans="1:19" hidden="1" x14ac:dyDescent="0.25">
      <c r="A7603" s="5" t="str">
        <f t="shared" si="3206"/>
        <v>44244USD</v>
      </c>
      <c r="B7603" s="6" t="s">
        <v>94</v>
      </c>
      <c r="C7603" s="6">
        <v>89.78</v>
      </c>
      <c r="D7603" s="6">
        <v>91.32</v>
      </c>
      <c r="E7603" s="6">
        <v>90.5</v>
      </c>
      <c r="F7603" t="str">
        <f t="shared" si="3207"/>
        <v>WED</v>
      </c>
      <c r="G7603" s="1">
        <f t="shared" si="3208"/>
        <v>44244</v>
      </c>
      <c r="H7603" s="2">
        <f t="shared" ca="1" si="3209"/>
        <v>9</v>
      </c>
      <c r="I7603" t="str">
        <f t="shared" si="3210"/>
        <v>USD</v>
      </c>
      <c r="J7603">
        <f t="shared" si="3211"/>
        <v>89.78</v>
      </c>
      <c r="K7603">
        <f t="shared" si="3212"/>
        <v>91.32</v>
      </c>
      <c r="L7603">
        <f t="shared" si="3213"/>
        <v>90.55</v>
      </c>
      <c r="M7603">
        <f t="shared" si="3214"/>
        <v>0.76999999999999602</v>
      </c>
      <c r="N7603">
        <f t="shared" si="3192"/>
        <v>1.539999999999992</v>
      </c>
      <c r="O7603">
        <f t="shared" si="3215"/>
        <v>90.5</v>
      </c>
      <c r="P7603">
        <f t="shared" si="3216"/>
        <v>-6.4935064935061584E-2</v>
      </c>
      <c r="Q7603" t="str">
        <f t="shared" si="3193"/>
        <v>0.8% | 0.91%</v>
      </c>
      <c r="R7603" t="str">
        <f t="shared" si="3217"/>
        <v>BEARISH</v>
      </c>
      <c r="S7603">
        <f t="shared" si="3218"/>
        <v>-1</v>
      </c>
    </row>
    <row r="7604" spans="1:19" hidden="1" x14ac:dyDescent="0.25">
      <c r="A7604" s="5" t="str">
        <f t="shared" si="3206"/>
        <v>44244EUR/USD</v>
      </c>
      <c r="B7604" s="6" t="s">
        <v>99</v>
      </c>
      <c r="C7604" s="6">
        <v>1.1970000000000001</v>
      </c>
      <c r="D7604" s="6">
        <v>1.2190000000000001</v>
      </c>
      <c r="E7604" s="6">
        <v>1.2110000000000001</v>
      </c>
      <c r="F7604" t="str">
        <f t="shared" si="3207"/>
        <v>WED</v>
      </c>
      <c r="G7604" s="1">
        <f t="shared" si="3208"/>
        <v>44244</v>
      </c>
      <c r="H7604" s="2">
        <f t="shared" ca="1" si="3209"/>
        <v>9</v>
      </c>
      <c r="I7604" t="str">
        <f t="shared" si="3210"/>
        <v>EUR/USD</v>
      </c>
      <c r="J7604">
        <f t="shared" si="3211"/>
        <v>1.1970000000000001</v>
      </c>
      <c r="K7604">
        <f t="shared" si="3212"/>
        <v>1.2190000000000001</v>
      </c>
      <c r="L7604">
        <f t="shared" si="3213"/>
        <v>1.2080000000000002</v>
      </c>
      <c r="M7604">
        <f t="shared" si="3214"/>
        <v>1.100000000000001E-2</v>
      </c>
      <c r="N7604">
        <f t="shared" si="3192"/>
        <v>2.200000000000002E-2</v>
      </c>
      <c r="O7604">
        <f t="shared" si="3215"/>
        <v>1.2110000000000001</v>
      </c>
      <c r="P7604">
        <f t="shared" si="3216"/>
        <v>0.27272727272726266</v>
      </c>
      <c r="Q7604" t="str">
        <f t="shared" si="3193"/>
        <v>1.16% | 0.66%</v>
      </c>
      <c r="R7604" t="str">
        <f t="shared" si="3217"/>
        <v>BULLISH</v>
      </c>
      <c r="S7604">
        <f t="shared" si="3218"/>
        <v>1</v>
      </c>
    </row>
    <row r="7605" spans="1:19" hidden="1" x14ac:dyDescent="0.25">
      <c r="A7605" s="5" t="str">
        <f t="shared" si="3206"/>
        <v>44244USD/JPY</v>
      </c>
      <c r="B7605" s="6" t="s">
        <v>56</v>
      </c>
      <c r="C7605" s="6">
        <v>104.55</v>
      </c>
      <c r="D7605" s="6">
        <v>106.31</v>
      </c>
      <c r="E7605" s="6">
        <v>105.99</v>
      </c>
      <c r="F7605" t="str">
        <f t="shared" si="3207"/>
        <v>WED</v>
      </c>
      <c r="G7605" s="1">
        <f t="shared" si="3208"/>
        <v>44244</v>
      </c>
      <c r="H7605" s="2">
        <f t="shared" ca="1" si="3209"/>
        <v>9</v>
      </c>
      <c r="I7605" t="str">
        <f t="shared" si="3210"/>
        <v>USD/JPY</v>
      </c>
      <c r="J7605">
        <f t="shared" si="3211"/>
        <v>104.55</v>
      </c>
      <c r="K7605">
        <f t="shared" si="3212"/>
        <v>106.31</v>
      </c>
      <c r="L7605">
        <f t="shared" si="3213"/>
        <v>105.43</v>
      </c>
      <c r="M7605">
        <f t="shared" si="3214"/>
        <v>0.88000000000000256</v>
      </c>
      <c r="N7605">
        <f t="shared" si="3192"/>
        <v>1.7600000000000051</v>
      </c>
      <c r="O7605">
        <f t="shared" si="3215"/>
        <v>105.99</v>
      </c>
      <c r="P7605">
        <f t="shared" si="3216"/>
        <v>0.63636363636362092</v>
      </c>
      <c r="Q7605" t="str">
        <f t="shared" si="3193"/>
        <v>1.36% | 0.3%</v>
      </c>
      <c r="R7605" t="str">
        <f t="shared" si="3217"/>
        <v>BULLISH</v>
      </c>
      <c r="S7605">
        <f t="shared" si="3218"/>
        <v>1</v>
      </c>
    </row>
    <row r="7606" spans="1:19" hidden="1" x14ac:dyDescent="0.25">
      <c r="A7606" s="5" t="str">
        <f t="shared" si="3206"/>
        <v>44244GBP/USD</v>
      </c>
      <c r="B7606" s="6" t="s">
        <v>102</v>
      </c>
      <c r="C7606" s="6">
        <v>1.369</v>
      </c>
      <c r="D7606" s="6">
        <v>1.395</v>
      </c>
      <c r="E7606" s="6">
        <v>1.391</v>
      </c>
      <c r="F7606" t="str">
        <f t="shared" si="3207"/>
        <v>WED</v>
      </c>
      <c r="G7606" s="1">
        <f t="shared" si="3208"/>
        <v>44244</v>
      </c>
      <c r="H7606" s="2">
        <f t="shared" ca="1" si="3209"/>
        <v>9</v>
      </c>
      <c r="I7606" t="str">
        <f t="shared" si="3210"/>
        <v>GBP/USD</v>
      </c>
      <c r="J7606">
        <f t="shared" si="3211"/>
        <v>1.369</v>
      </c>
      <c r="K7606">
        <f t="shared" si="3212"/>
        <v>1.395</v>
      </c>
      <c r="L7606">
        <f t="shared" si="3213"/>
        <v>1.3820000000000001</v>
      </c>
      <c r="M7606">
        <f t="shared" si="3214"/>
        <v>1.3000000000000012E-2</v>
      </c>
      <c r="N7606">
        <f t="shared" si="3192"/>
        <v>2.6000000000000023E-2</v>
      </c>
      <c r="O7606">
        <f t="shared" si="3215"/>
        <v>1.391</v>
      </c>
      <c r="P7606">
        <f t="shared" si="3216"/>
        <v>0.69230769230768374</v>
      </c>
      <c r="Q7606" t="str">
        <f t="shared" si="3193"/>
        <v>1.58% | 0.29%</v>
      </c>
      <c r="R7606" t="str">
        <f t="shared" si="3217"/>
        <v>BULLISH</v>
      </c>
      <c r="S7606">
        <f t="shared" si="3218"/>
        <v>1</v>
      </c>
    </row>
    <row r="7607" spans="1:19" hidden="1" x14ac:dyDescent="0.25">
      <c r="A7607" s="5" t="str">
        <f t="shared" si="3206"/>
        <v>44244CAD/USD</v>
      </c>
      <c r="B7607" s="6" t="s">
        <v>244</v>
      </c>
      <c r="C7607" s="6">
        <v>0.77</v>
      </c>
      <c r="D7607" s="6">
        <v>0.79</v>
      </c>
      <c r="E7607" s="6">
        <v>0.78</v>
      </c>
      <c r="F7607" t="str">
        <f t="shared" si="3207"/>
        <v>WED</v>
      </c>
      <c r="G7607" s="1">
        <f t="shared" si="3208"/>
        <v>44244</v>
      </c>
      <c r="H7607" s="2">
        <f t="shared" ca="1" si="3209"/>
        <v>9</v>
      </c>
      <c r="I7607" t="str">
        <f t="shared" si="3210"/>
        <v>CAD/USD</v>
      </c>
      <c r="J7607">
        <f t="shared" si="3211"/>
        <v>0.77</v>
      </c>
      <c r="K7607">
        <f t="shared" si="3212"/>
        <v>0.79</v>
      </c>
      <c r="L7607">
        <f t="shared" si="3213"/>
        <v>0.78</v>
      </c>
      <c r="M7607">
        <f t="shared" si="3214"/>
        <v>1.0000000000000009E-2</v>
      </c>
      <c r="N7607">
        <f t="shared" si="3192"/>
        <v>2.0000000000000018E-2</v>
      </c>
      <c r="O7607">
        <f t="shared" si="3215"/>
        <v>0.78</v>
      </c>
      <c r="P7607">
        <f t="shared" si="3216"/>
        <v>0</v>
      </c>
      <c r="Q7607" t="str">
        <f t="shared" si="3193"/>
        <v>1.28% | 1.28%</v>
      </c>
      <c r="R7607" t="str">
        <f t="shared" si="3217"/>
        <v>BULLISH</v>
      </c>
      <c r="S7607">
        <f t="shared" si="3218"/>
        <v>1</v>
      </c>
    </row>
    <row r="7608" spans="1:19" hidden="1" x14ac:dyDescent="0.25">
      <c r="A7608" s="5" t="str">
        <f t="shared" si="3206"/>
        <v>44244USD/CHF</v>
      </c>
      <c r="B7608" s="6" t="s">
        <v>76</v>
      </c>
      <c r="C7608" s="6">
        <v>0.88</v>
      </c>
      <c r="D7608" s="6">
        <v>0.9</v>
      </c>
      <c r="E7608" s="6">
        <v>0.89</v>
      </c>
      <c r="F7608" t="str">
        <f t="shared" si="3207"/>
        <v>WED</v>
      </c>
      <c r="G7608" s="1">
        <f t="shared" si="3208"/>
        <v>44244</v>
      </c>
      <c r="H7608" s="2">
        <f t="shared" ca="1" si="3209"/>
        <v>9</v>
      </c>
      <c r="I7608" t="str">
        <f t="shared" si="3210"/>
        <v>USD/CHF</v>
      </c>
      <c r="J7608">
        <f t="shared" si="3211"/>
        <v>0.88</v>
      </c>
      <c r="K7608">
        <f t="shared" si="3212"/>
        <v>0.9</v>
      </c>
      <c r="L7608">
        <f t="shared" si="3213"/>
        <v>0.89</v>
      </c>
      <c r="M7608">
        <f t="shared" si="3214"/>
        <v>1.0000000000000009E-2</v>
      </c>
      <c r="N7608">
        <f t="shared" si="3192"/>
        <v>2.0000000000000018E-2</v>
      </c>
      <c r="O7608">
        <f t="shared" si="3215"/>
        <v>0.89</v>
      </c>
      <c r="P7608">
        <f t="shared" si="3216"/>
        <v>0</v>
      </c>
      <c r="Q7608" t="str">
        <f t="shared" si="3193"/>
        <v>1.12% | 1.12%</v>
      </c>
      <c r="R7608" t="str">
        <f t="shared" si="3217"/>
        <v>BEARISH</v>
      </c>
      <c r="S7608">
        <f t="shared" si="3218"/>
        <v>-1</v>
      </c>
    </row>
    <row r="7609" spans="1:19" hidden="1" x14ac:dyDescent="0.25">
      <c r="A7609" s="5" t="str">
        <f t="shared" si="3206"/>
        <v>44244WTIC</v>
      </c>
      <c r="B7609" s="6" t="s">
        <v>158</v>
      </c>
      <c r="C7609" s="6">
        <v>56.22</v>
      </c>
      <c r="D7609" s="6">
        <v>61.98</v>
      </c>
      <c r="E7609" s="6">
        <v>60.05</v>
      </c>
      <c r="F7609" t="str">
        <f>UPPER(TEXT(G7609,"ddd"))</f>
        <v>WED</v>
      </c>
      <c r="G7609" s="1">
        <f t="shared" si="3208"/>
        <v>44244</v>
      </c>
      <c r="H7609" s="2">
        <f t="shared" ca="1" si="3209"/>
        <v>9</v>
      </c>
      <c r="I7609" t="str">
        <f t="shared" si="3210"/>
        <v>WTIC</v>
      </c>
      <c r="J7609">
        <f t="shared" si="3211"/>
        <v>56.22</v>
      </c>
      <c r="K7609">
        <f t="shared" si="3212"/>
        <v>61.98</v>
      </c>
      <c r="L7609">
        <f t="shared" si="3213"/>
        <v>59.099999999999994</v>
      </c>
      <c r="M7609">
        <f t="shared" si="3214"/>
        <v>2.8799999999999994</v>
      </c>
      <c r="N7609">
        <f t="shared" si="3192"/>
        <v>5.759999999999998</v>
      </c>
      <c r="O7609">
        <f t="shared" si="3215"/>
        <v>60.05</v>
      </c>
      <c r="P7609">
        <f t="shared" si="3216"/>
        <v>0.32986111111111216</v>
      </c>
      <c r="Q7609" t="str">
        <f t="shared" si="3193"/>
        <v>6.38% | 3.21%</v>
      </c>
      <c r="R7609" t="str">
        <f t="shared" si="3217"/>
        <v>BULLISH</v>
      </c>
      <c r="S7609">
        <f t="shared" si="3218"/>
        <v>1</v>
      </c>
    </row>
    <row r="7610" spans="1:19" hidden="1" x14ac:dyDescent="0.25">
      <c r="A7610" s="5" t="str">
        <f t="shared" si="3206"/>
        <v>44244NATGAS</v>
      </c>
      <c r="B7610" s="6" t="s">
        <v>89</v>
      </c>
      <c r="C7610" s="6">
        <v>2.8</v>
      </c>
      <c r="D7610" s="6">
        <v>3.13</v>
      </c>
      <c r="E7610" s="6">
        <v>3.13</v>
      </c>
      <c r="F7610" t="str">
        <f t="shared" si="3207"/>
        <v>WED</v>
      </c>
      <c r="G7610" s="1">
        <f t="shared" si="3208"/>
        <v>44244</v>
      </c>
      <c r="H7610" s="2">
        <f t="shared" ca="1" si="3209"/>
        <v>9</v>
      </c>
      <c r="I7610" t="str">
        <f t="shared" si="3210"/>
        <v>NATGAS</v>
      </c>
      <c r="J7610">
        <f t="shared" si="3211"/>
        <v>2.8</v>
      </c>
      <c r="K7610">
        <f t="shared" si="3212"/>
        <v>3.13</v>
      </c>
      <c r="L7610">
        <f t="shared" si="3213"/>
        <v>2.9649999999999999</v>
      </c>
      <c r="M7610">
        <f t="shared" si="3214"/>
        <v>0.16500000000000004</v>
      </c>
      <c r="N7610">
        <f t="shared" si="3192"/>
        <v>0.33000000000000007</v>
      </c>
      <c r="O7610">
        <f t="shared" si="3215"/>
        <v>3.13</v>
      </c>
      <c r="P7610">
        <f t="shared" si="3216"/>
        <v>1</v>
      </c>
      <c r="Q7610" t="str">
        <f t="shared" si="3193"/>
        <v>10.54% | 0%</v>
      </c>
      <c r="R7610" t="str">
        <f t="shared" si="3217"/>
        <v>BULLISH</v>
      </c>
      <c r="S7610">
        <f t="shared" si="3218"/>
        <v>1</v>
      </c>
    </row>
    <row r="7611" spans="1:19" hidden="1" x14ac:dyDescent="0.25">
      <c r="A7611" s="5" t="str">
        <f t="shared" si="3206"/>
        <v>44244GOLD</v>
      </c>
      <c r="B7611" s="6" t="s">
        <v>85</v>
      </c>
      <c r="C7611" s="6">
        <v>1778</v>
      </c>
      <c r="D7611" s="6">
        <v>1842</v>
      </c>
      <c r="E7611" s="6">
        <v>1799</v>
      </c>
      <c r="F7611" t="str">
        <f t="shared" si="3207"/>
        <v>WED</v>
      </c>
      <c r="G7611" s="1">
        <f t="shared" si="3208"/>
        <v>44244</v>
      </c>
      <c r="H7611" s="2">
        <f t="shared" ca="1" si="3209"/>
        <v>9</v>
      </c>
      <c r="I7611" t="str">
        <f t="shared" si="3210"/>
        <v>GOLD</v>
      </c>
      <c r="J7611">
        <f t="shared" si="3211"/>
        <v>1778</v>
      </c>
      <c r="K7611">
        <f t="shared" si="3212"/>
        <v>1842</v>
      </c>
      <c r="L7611">
        <f t="shared" si="3213"/>
        <v>1810</v>
      </c>
      <c r="M7611">
        <f t="shared" si="3214"/>
        <v>32</v>
      </c>
      <c r="N7611">
        <f t="shared" si="3192"/>
        <v>64</v>
      </c>
      <c r="O7611">
        <f t="shared" si="3215"/>
        <v>1799</v>
      </c>
      <c r="P7611">
        <f t="shared" si="3216"/>
        <v>-0.34375</v>
      </c>
      <c r="Q7611" t="str">
        <f t="shared" si="3193"/>
        <v>1.17% | 2.39%</v>
      </c>
      <c r="R7611" t="str">
        <f t="shared" si="3217"/>
        <v>BEARISH</v>
      </c>
      <c r="S7611">
        <f t="shared" si="3218"/>
        <v>-1</v>
      </c>
    </row>
    <row r="7612" spans="1:19" hidden="1" x14ac:dyDescent="0.25">
      <c r="A7612" s="5" t="str">
        <f t="shared" si="3206"/>
        <v>44244COPPER</v>
      </c>
      <c r="B7612" s="6" t="s">
        <v>100</v>
      </c>
      <c r="C7612" s="6">
        <v>3.65</v>
      </c>
      <c r="D7612" s="6">
        <v>3.91</v>
      </c>
      <c r="E7612" s="6">
        <v>3.83</v>
      </c>
      <c r="F7612" t="str">
        <f t="shared" si="3207"/>
        <v>WED</v>
      </c>
      <c r="G7612" s="1">
        <f t="shared" si="3208"/>
        <v>44244</v>
      </c>
      <c r="H7612" s="2">
        <f t="shared" ca="1" si="3209"/>
        <v>9</v>
      </c>
      <c r="I7612" t="str">
        <f t="shared" si="3210"/>
        <v>COPPER</v>
      </c>
      <c r="J7612">
        <f t="shared" si="3211"/>
        <v>3.65</v>
      </c>
      <c r="K7612">
        <f t="shared" si="3212"/>
        <v>3.91</v>
      </c>
      <c r="L7612">
        <f t="shared" si="3213"/>
        <v>3.7800000000000002</v>
      </c>
      <c r="M7612">
        <f t="shared" si="3214"/>
        <v>0.13000000000000012</v>
      </c>
      <c r="N7612">
        <f t="shared" si="3192"/>
        <v>0.26000000000000023</v>
      </c>
      <c r="O7612">
        <f t="shared" si="3215"/>
        <v>3.83</v>
      </c>
      <c r="P7612">
        <f t="shared" si="3216"/>
        <v>0.38461538461538292</v>
      </c>
      <c r="Q7612" t="str">
        <f t="shared" si="3193"/>
        <v>4.7% | 2.09%</v>
      </c>
      <c r="R7612" t="str">
        <f t="shared" si="3217"/>
        <v>BULLISH</v>
      </c>
      <c r="S7612">
        <f t="shared" si="3218"/>
        <v>1</v>
      </c>
    </row>
    <row r="7613" spans="1:19" hidden="1" x14ac:dyDescent="0.25">
      <c r="A7613" s="5" t="str">
        <f t="shared" si="3206"/>
        <v>44244SILVER</v>
      </c>
      <c r="B7613" s="6" t="s">
        <v>195</v>
      </c>
      <c r="C7613" s="6">
        <v>26.19</v>
      </c>
      <c r="D7613" s="6">
        <v>28.14</v>
      </c>
      <c r="E7613" s="6">
        <v>27.33</v>
      </c>
      <c r="F7613" t="str">
        <f t="shared" si="3207"/>
        <v>WED</v>
      </c>
      <c r="G7613" s="1">
        <f t="shared" si="3208"/>
        <v>44244</v>
      </c>
      <c r="H7613" s="2">
        <f t="shared" ca="1" si="3209"/>
        <v>9</v>
      </c>
      <c r="I7613" t="str">
        <f t="shared" si="3210"/>
        <v>SILVER</v>
      </c>
      <c r="J7613">
        <f t="shared" si="3211"/>
        <v>26.19</v>
      </c>
      <c r="K7613">
        <f t="shared" si="3212"/>
        <v>28.14</v>
      </c>
      <c r="L7613">
        <f t="shared" si="3213"/>
        <v>27.164999999999999</v>
      </c>
      <c r="M7613">
        <f t="shared" si="3214"/>
        <v>0.97499999999999964</v>
      </c>
      <c r="N7613">
        <f t="shared" si="3192"/>
        <v>1.9499999999999993</v>
      </c>
      <c r="O7613">
        <f t="shared" si="3215"/>
        <v>27.33</v>
      </c>
      <c r="P7613">
        <f t="shared" si="3216"/>
        <v>0.16923076923076841</v>
      </c>
      <c r="Q7613" t="str">
        <f t="shared" si="3193"/>
        <v>4.17% | 2.96%</v>
      </c>
      <c r="R7613" t="str">
        <f t="shared" si="3217"/>
        <v>BULLISH</v>
      </c>
      <c r="S7613">
        <f t="shared" si="3218"/>
        <v>1</v>
      </c>
    </row>
    <row r="7614" spans="1:19" hidden="1" x14ac:dyDescent="0.25">
      <c r="A7614" s="5" t="str">
        <f t="shared" si="3206"/>
        <v>44244MSFT</v>
      </c>
      <c r="B7614" s="6" t="s">
        <v>27</v>
      </c>
      <c r="C7614" s="6">
        <v>240</v>
      </c>
      <c r="D7614" s="6">
        <v>246</v>
      </c>
      <c r="E7614" s="6">
        <v>243</v>
      </c>
      <c r="F7614" t="str">
        <f t="shared" si="3207"/>
        <v>WED</v>
      </c>
      <c r="G7614" s="1">
        <f t="shared" si="3208"/>
        <v>44244</v>
      </c>
      <c r="H7614" s="2">
        <f t="shared" ca="1" si="3209"/>
        <v>9</v>
      </c>
      <c r="I7614" t="str">
        <f t="shared" si="3210"/>
        <v>MSFT</v>
      </c>
      <c r="J7614">
        <f t="shared" si="3211"/>
        <v>240</v>
      </c>
      <c r="K7614">
        <f t="shared" si="3212"/>
        <v>246</v>
      </c>
      <c r="L7614">
        <f t="shared" si="3213"/>
        <v>243</v>
      </c>
      <c r="M7614">
        <f t="shared" si="3214"/>
        <v>3</v>
      </c>
      <c r="N7614">
        <f t="shared" si="3192"/>
        <v>6</v>
      </c>
      <c r="O7614">
        <f t="shared" si="3215"/>
        <v>243</v>
      </c>
      <c r="P7614">
        <f t="shared" si="3216"/>
        <v>0</v>
      </c>
      <c r="Q7614" t="str">
        <f t="shared" si="3193"/>
        <v>1.23% | 1.23%</v>
      </c>
      <c r="R7614" t="str">
        <f t="shared" si="3217"/>
        <v>BULLISH</v>
      </c>
      <c r="S7614">
        <f t="shared" si="3218"/>
        <v>1</v>
      </c>
    </row>
    <row r="7615" spans="1:19" hidden="1" x14ac:dyDescent="0.25">
      <c r="A7615" s="5" t="str">
        <f t="shared" si="3206"/>
        <v>44244AAPL</v>
      </c>
      <c r="B7615" s="6" t="s">
        <v>28</v>
      </c>
      <c r="C7615" s="6">
        <v>131</v>
      </c>
      <c r="D7615" s="6">
        <v>139</v>
      </c>
      <c r="E7615" s="6">
        <v>133</v>
      </c>
      <c r="F7615" t="str">
        <f t="shared" si="3207"/>
        <v>WED</v>
      </c>
      <c r="G7615" s="1">
        <f t="shared" si="3208"/>
        <v>44244</v>
      </c>
      <c r="H7615" s="2">
        <f t="shared" ca="1" si="3209"/>
        <v>9</v>
      </c>
      <c r="I7615" t="str">
        <f t="shared" si="3210"/>
        <v>AAPL</v>
      </c>
      <c r="J7615">
        <f t="shared" si="3211"/>
        <v>131</v>
      </c>
      <c r="K7615">
        <f t="shared" si="3212"/>
        <v>139</v>
      </c>
      <c r="L7615">
        <f t="shared" si="3213"/>
        <v>135</v>
      </c>
      <c r="M7615">
        <f t="shared" si="3214"/>
        <v>4</v>
      </c>
      <c r="N7615">
        <f t="shared" si="3192"/>
        <v>8</v>
      </c>
      <c r="O7615">
        <f t="shared" si="3215"/>
        <v>133</v>
      </c>
      <c r="P7615">
        <f t="shared" si="3216"/>
        <v>-0.5</v>
      </c>
      <c r="Q7615" t="str">
        <f t="shared" si="3193"/>
        <v>1.5% | 4.51%</v>
      </c>
      <c r="R7615" t="str">
        <f t="shared" si="3217"/>
        <v>BULLISH</v>
      </c>
      <c r="S7615">
        <f t="shared" si="3218"/>
        <v>1</v>
      </c>
    </row>
    <row r="7616" spans="1:19" hidden="1" x14ac:dyDescent="0.25">
      <c r="A7616" s="5" t="str">
        <f t="shared" si="3206"/>
        <v>44244AMZN</v>
      </c>
      <c r="B7616" s="6" t="s">
        <v>29</v>
      </c>
      <c r="C7616" s="6">
        <v>3239</v>
      </c>
      <c r="D7616" s="6">
        <v>3361</v>
      </c>
      <c r="E7616" s="6">
        <v>3268</v>
      </c>
      <c r="F7616" t="str">
        <f t="shared" si="3207"/>
        <v>WED</v>
      </c>
      <c r="G7616" s="1">
        <f t="shared" si="3208"/>
        <v>44244</v>
      </c>
      <c r="H7616" s="2">
        <f t="shared" ca="1" si="3209"/>
        <v>9</v>
      </c>
      <c r="I7616" t="str">
        <f t="shared" si="3210"/>
        <v>AMZN</v>
      </c>
      <c r="J7616">
        <f t="shared" si="3211"/>
        <v>3239</v>
      </c>
      <c r="K7616">
        <f t="shared" si="3212"/>
        <v>3361</v>
      </c>
      <c r="L7616">
        <f t="shared" si="3213"/>
        <v>3300</v>
      </c>
      <c r="M7616">
        <f t="shared" si="3214"/>
        <v>61</v>
      </c>
      <c r="N7616">
        <f t="shared" si="3192"/>
        <v>122</v>
      </c>
      <c r="O7616">
        <f t="shared" si="3215"/>
        <v>3268</v>
      </c>
      <c r="P7616">
        <f t="shared" si="3216"/>
        <v>-0.52459016393442626</v>
      </c>
      <c r="Q7616" t="str">
        <f t="shared" si="3193"/>
        <v>0.89% | 2.85%</v>
      </c>
      <c r="R7616" t="str">
        <f t="shared" si="3217"/>
        <v>BULLISH</v>
      </c>
      <c r="S7616">
        <f t="shared" si="3218"/>
        <v>1</v>
      </c>
    </row>
    <row r="7617" spans="1:19" hidden="1" x14ac:dyDescent="0.25">
      <c r="A7617" s="5" t="str">
        <f t="shared" si="3206"/>
        <v>44244FB</v>
      </c>
      <c r="B7617" s="6" t="s">
        <v>30</v>
      </c>
      <c r="C7617" s="6">
        <v>263</v>
      </c>
      <c r="D7617" s="6">
        <v>279</v>
      </c>
      <c r="E7617" s="6">
        <v>273</v>
      </c>
      <c r="F7617" t="str">
        <f t="shared" si="3207"/>
        <v>WED</v>
      </c>
      <c r="G7617" s="1">
        <f t="shared" si="3208"/>
        <v>44244</v>
      </c>
      <c r="H7617" s="2">
        <f t="shared" ca="1" si="3209"/>
        <v>9</v>
      </c>
      <c r="I7617" t="str">
        <f t="shared" si="3210"/>
        <v>FB</v>
      </c>
      <c r="J7617">
        <f t="shared" si="3211"/>
        <v>263</v>
      </c>
      <c r="K7617">
        <f t="shared" si="3212"/>
        <v>279</v>
      </c>
      <c r="L7617">
        <f t="shared" si="3213"/>
        <v>271</v>
      </c>
      <c r="M7617">
        <f t="shared" si="3214"/>
        <v>8</v>
      </c>
      <c r="N7617">
        <f t="shared" si="3192"/>
        <v>16</v>
      </c>
      <c r="O7617">
        <f t="shared" si="3215"/>
        <v>273</v>
      </c>
      <c r="P7617">
        <f t="shared" si="3216"/>
        <v>0.25</v>
      </c>
      <c r="Q7617" t="str">
        <f t="shared" si="3193"/>
        <v>3.66% | 2.2%</v>
      </c>
      <c r="R7617" t="str">
        <f t="shared" si="3217"/>
        <v>BULLISH</v>
      </c>
      <c r="S7617">
        <f t="shared" si="3218"/>
        <v>1</v>
      </c>
    </row>
    <row r="7618" spans="1:19" hidden="1" x14ac:dyDescent="0.25">
      <c r="A7618" s="5" t="str">
        <f t="shared" si="3206"/>
        <v>44244GOOGL</v>
      </c>
      <c r="B7618" s="6" t="s">
        <v>31</v>
      </c>
      <c r="C7618" s="6">
        <v>2039</v>
      </c>
      <c r="D7618" s="6">
        <v>2145</v>
      </c>
      <c r="E7618" s="6">
        <v>2110</v>
      </c>
      <c r="F7618" t="str">
        <f t="shared" si="3207"/>
        <v>WED</v>
      </c>
      <c r="G7618" s="1">
        <f t="shared" si="3208"/>
        <v>44244</v>
      </c>
      <c r="H7618" s="2">
        <f t="shared" ca="1" si="3209"/>
        <v>9</v>
      </c>
      <c r="I7618" t="str">
        <f t="shared" si="3210"/>
        <v>GOOGL</v>
      </c>
      <c r="J7618">
        <f t="shared" si="3211"/>
        <v>2039</v>
      </c>
      <c r="K7618">
        <f t="shared" si="3212"/>
        <v>2145</v>
      </c>
      <c r="L7618">
        <f t="shared" si="3213"/>
        <v>2092</v>
      </c>
      <c r="M7618">
        <f t="shared" si="3214"/>
        <v>53</v>
      </c>
      <c r="N7618">
        <f t="shared" si="3192"/>
        <v>106</v>
      </c>
      <c r="O7618">
        <f>E7618</f>
        <v>2110</v>
      </c>
      <c r="P7618">
        <f>(O7618-L7618)/M7618</f>
        <v>0.33962264150943394</v>
      </c>
      <c r="Q7618" t="str">
        <f t="shared" si="3193"/>
        <v>3.36% | 1.66%</v>
      </c>
      <c r="R7618" t="str">
        <f t="shared" si="3217"/>
        <v>BULLISH</v>
      </c>
      <c r="S7618">
        <f t="shared" si="3218"/>
        <v>1</v>
      </c>
    </row>
    <row r="7619" spans="1:19" hidden="1" x14ac:dyDescent="0.25">
      <c r="A7619" s="5" t="str">
        <f t="shared" si="3206"/>
        <v>44244NFLX</v>
      </c>
      <c r="B7619" s="6" t="s">
        <v>32</v>
      </c>
      <c r="C7619" s="6">
        <v>538</v>
      </c>
      <c r="D7619" s="6">
        <v>571</v>
      </c>
      <c r="E7619" s="6">
        <v>557</v>
      </c>
      <c r="F7619" t="str">
        <f t="shared" si="3207"/>
        <v>WED</v>
      </c>
      <c r="G7619" s="1">
        <f t="shared" si="3208"/>
        <v>44244</v>
      </c>
      <c r="H7619" s="2">
        <f t="shared" ca="1" si="3209"/>
        <v>9</v>
      </c>
      <c r="I7619" t="str">
        <f>TRIM(LEFT(B7619,FIND(" ",B7619,1)))</f>
        <v>NFLX</v>
      </c>
      <c r="J7619">
        <f>C7619</f>
        <v>538</v>
      </c>
      <c r="K7619">
        <f t="shared" si="3212"/>
        <v>571</v>
      </c>
      <c r="L7619">
        <f>AVERAGE(J7619:K7619)</f>
        <v>554.5</v>
      </c>
      <c r="M7619">
        <f>_xlfn.STDEV.P(J7619:K7619)</f>
        <v>16.5</v>
      </c>
      <c r="N7619">
        <f t="shared" ref="N7619:N7682" si="3219">ABS(K7619-J7619)</f>
        <v>33</v>
      </c>
      <c r="O7619">
        <f t="shared" si="3215"/>
        <v>557</v>
      </c>
      <c r="P7619">
        <f t="shared" si="3216"/>
        <v>0.15151515151515152</v>
      </c>
      <c r="Q7619" t="str">
        <f t="shared" ref="Q7619:Q7621" si="3220">ROUND(ABS(100*(O7619-J7619)/O7619),2)&amp;"% | "&amp;ROUND(ABS(100*(K7619-O7619)/O7619),2)&amp;"%"</f>
        <v>3.41% | 2.51%</v>
      </c>
      <c r="R7619" t="str">
        <f t="shared" si="3217"/>
        <v>BULLISH</v>
      </c>
      <c r="S7619">
        <f t="shared" si="3218"/>
        <v>1</v>
      </c>
    </row>
    <row r="7620" spans="1:19" x14ac:dyDescent="0.25">
      <c r="A7620" s="5" t="str">
        <f t="shared" si="3206"/>
        <v>44244TSLA</v>
      </c>
      <c r="B7620" s="6" t="s">
        <v>33</v>
      </c>
      <c r="C7620" s="6">
        <v>783</v>
      </c>
      <c r="D7620" s="6">
        <v>884</v>
      </c>
      <c r="E7620" s="6">
        <v>796</v>
      </c>
      <c r="F7620" t="str">
        <f t="shared" si="3207"/>
        <v>WED</v>
      </c>
      <c r="G7620" s="1">
        <f t="shared" si="3208"/>
        <v>44244</v>
      </c>
      <c r="H7620" s="2">
        <f t="shared" ca="1" si="3209"/>
        <v>9</v>
      </c>
      <c r="I7620" t="str">
        <f t="shared" si="3210"/>
        <v>TSLA</v>
      </c>
      <c r="J7620">
        <f t="shared" si="3211"/>
        <v>783</v>
      </c>
      <c r="K7620">
        <f t="shared" si="3212"/>
        <v>884</v>
      </c>
      <c r="L7620">
        <f t="shared" si="3213"/>
        <v>833.5</v>
      </c>
      <c r="M7620">
        <f t="shared" si="3214"/>
        <v>50.5</v>
      </c>
      <c r="N7620">
        <f t="shared" si="3219"/>
        <v>101</v>
      </c>
      <c r="O7620">
        <f t="shared" si="3215"/>
        <v>796</v>
      </c>
      <c r="P7620">
        <f t="shared" si="3216"/>
        <v>-0.74257425742574257</v>
      </c>
      <c r="Q7620" t="str">
        <f t="shared" si="3220"/>
        <v>1.63% | 11.06%</v>
      </c>
      <c r="R7620" t="str">
        <f t="shared" si="3217"/>
        <v>BULLISH</v>
      </c>
      <c r="S7620">
        <f t="shared" si="3218"/>
        <v>1</v>
      </c>
    </row>
    <row r="7621" spans="1:19" hidden="1" x14ac:dyDescent="0.25">
      <c r="A7621" s="5" t="str">
        <f t="shared" si="3206"/>
        <v>44244NYXBT</v>
      </c>
      <c r="B7621" s="6" t="s">
        <v>60</v>
      </c>
      <c r="C7621" s="6">
        <v>43526</v>
      </c>
      <c r="D7621" s="6">
        <v>52928</v>
      </c>
      <c r="E7621" s="6">
        <v>49172</v>
      </c>
      <c r="F7621" t="str">
        <f t="shared" si="3207"/>
        <v>WED</v>
      </c>
      <c r="G7621" s="1">
        <f>DATE(2021,2,17)</f>
        <v>44244</v>
      </c>
      <c r="H7621" s="2">
        <f t="shared" ca="1" si="3209"/>
        <v>9</v>
      </c>
      <c r="I7621" t="str">
        <f t="shared" si="3210"/>
        <v>NYXBT</v>
      </c>
      <c r="J7621">
        <f t="shared" si="3211"/>
        <v>43526</v>
      </c>
      <c r="K7621">
        <f t="shared" si="3212"/>
        <v>52928</v>
      </c>
      <c r="L7621">
        <f t="shared" si="3213"/>
        <v>48227</v>
      </c>
      <c r="M7621">
        <f t="shared" si="3214"/>
        <v>4701</v>
      </c>
      <c r="N7621">
        <f t="shared" si="3219"/>
        <v>9402</v>
      </c>
      <c r="O7621">
        <f t="shared" si="3215"/>
        <v>49172</v>
      </c>
      <c r="P7621">
        <f>(O7621-L7621)/M7621</f>
        <v>0.20102105934907466</v>
      </c>
      <c r="Q7621" t="str">
        <f t="shared" si="3220"/>
        <v>11.48% | 7.64%</v>
      </c>
      <c r="R7621" t="str">
        <f t="shared" si="3217"/>
        <v>BULLISH</v>
      </c>
      <c r="S7621">
        <f t="shared" si="3218"/>
        <v>1</v>
      </c>
    </row>
    <row r="7622" spans="1:19" hidden="1" x14ac:dyDescent="0.25">
      <c r="A7622" s="5" t="str">
        <f t="shared" si="3206"/>
        <v>44245UST10Y</v>
      </c>
      <c r="B7622" s="6" t="s">
        <v>257</v>
      </c>
      <c r="C7622" s="6">
        <v>1.32</v>
      </c>
      <c r="D7622" s="6">
        <v>1.19</v>
      </c>
      <c r="E7622" s="6">
        <v>1.29</v>
      </c>
      <c r="F7622" t="str">
        <f t="shared" si="3207"/>
        <v>THU</v>
      </c>
      <c r="G7622" s="14">
        <v>44245</v>
      </c>
      <c r="H7622" s="2">
        <f t="shared" ref="H7622:H7653" ca="1" si="3221">TODAY()-G7622</f>
        <v>8</v>
      </c>
      <c r="I7622" t="str">
        <f t="shared" ref="I7622:I7653" si="3222">TRIM(LEFT(B7622,FIND(" ",B7622,1)))</f>
        <v>UST10Y</v>
      </c>
      <c r="J7622">
        <f t="shared" ref="J7622:J7653" si="3223">C7622</f>
        <v>1.32</v>
      </c>
      <c r="K7622">
        <f t="shared" ref="K7622:K7653" si="3224">D7622</f>
        <v>1.19</v>
      </c>
      <c r="L7622">
        <f t="shared" ref="L7622:L7653" si="3225">AVERAGE(J7622:K7622)</f>
        <v>1.2549999999999999</v>
      </c>
      <c r="M7622">
        <f t="shared" ref="M7622:M7653" si="3226">_xlfn.STDEV.P(J7622:K7622)</f>
        <v>6.5000000000000058E-2</v>
      </c>
      <c r="N7622">
        <f t="shared" si="3219"/>
        <v>0.13000000000000012</v>
      </c>
      <c r="O7622">
        <f t="shared" ref="O7622:O7653" si="3227">E7622</f>
        <v>1.29</v>
      </c>
      <c r="P7622">
        <f t="shared" ref="P7622:P7653" si="3228">(O7622-L7622)/M7622</f>
        <v>0.53846153846154021</v>
      </c>
      <c r="Q7622" t="str">
        <f t="shared" ref="Q7622:Q7653" si="3229">ROUND(ABS(100*(O7622-J7622)/O7622),2)&amp;"% | "&amp;ROUND(ABS(100*(K7622-O7622)/O7622),2)&amp;"%"</f>
        <v>2.33% | 7.75%</v>
      </c>
      <c r="R7622" t="str">
        <f t="shared" ref="R7622:R7653" si="3230">MID(B7622,FIND("(",B7622,1)+1,FIND(")",B7622,1)-FIND("(",B7622,1)-1)</f>
        <v>BULLISH</v>
      </c>
      <c r="S7622">
        <f t="shared" ref="S7622:S7653" si="3231">IF(R7622="BEARISH",-1,IF(R7622="NEUTRAL",0,IF(R7622="BULLISH",1,99)))</f>
        <v>1</v>
      </c>
    </row>
    <row r="7623" spans="1:19" hidden="1" x14ac:dyDescent="0.25">
      <c r="A7623" s="5" t="str">
        <f t="shared" si="3206"/>
        <v>44245UST2Y</v>
      </c>
      <c r="B7623" s="6" t="s">
        <v>5</v>
      </c>
      <c r="C7623" s="6">
        <v>0.14000000000000001</v>
      </c>
      <c r="D7623" s="6">
        <v>0.09</v>
      </c>
      <c r="E7623" s="6">
        <v>0.11</v>
      </c>
      <c r="F7623" t="str">
        <f t="shared" si="3207"/>
        <v>THU</v>
      </c>
      <c r="G7623" s="14">
        <v>44245</v>
      </c>
      <c r="H7623" s="2">
        <f t="shared" ca="1" si="3221"/>
        <v>8</v>
      </c>
      <c r="I7623" t="str">
        <f t="shared" si="3222"/>
        <v>UST2Y</v>
      </c>
      <c r="J7623">
        <f t="shared" si="3223"/>
        <v>0.14000000000000001</v>
      </c>
      <c r="K7623">
        <f t="shared" si="3224"/>
        <v>0.09</v>
      </c>
      <c r="L7623">
        <f t="shared" si="3225"/>
        <v>0.115</v>
      </c>
      <c r="M7623">
        <f t="shared" si="3226"/>
        <v>2.5000000000000012E-2</v>
      </c>
      <c r="N7623">
        <f t="shared" si="3219"/>
        <v>5.0000000000000017E-2</v>
      </c>
      <c r="O7623">
        <f t="shared" si="3227"/>
        <v>0.11</v>
      </c>
      <c r="P7623">
        <f t="shared" si="3228"/>
        <v>-0.20000000000000009</v>
      </c>
      <c r="Q7623" t="str">
        <f t="shared" si="3229"/>
        <v>27.27% | 18.18%</v>
      </c>
      <c r="R7623" t="str">
        <f t="shared" si="3230"/>
        <v>BEARISH</v>
      </c>
      <c r="S7623">
        <f t="shared" si="3231"/>
        <v>-1</v>
      </c>
    </row>
    <row r="7624" spans="1:19" hidden="1" x14ac:dyDescent="0.25">
      <c r="A7624" s="5" t="str">
        <f t="shared" ref="A7624:A7687" si="3232">G7624&amp;I7624</f>
        <v>44245SPX</v>
      </c>
      <c r="B7624" s="6" t="s">
        <v>93</v>
      </c>
      <c r="C7624" s="6">
        <v>3870</v>
      </c>
      <c r="D7624" s="6">
        <v>3955</v>
      </c>
      <c r="E7624" s="6">
        <v>3931</v>
      </c>
      <c r="F7624" t="str">
        <f t="shared" si="3207"/>
        <v>THU</v>
      </c>
      <c r="G7624" s="14">
        <v>44245</v>
      </c>
      <c r="H7624" s="2">
        <f t="shared" ca="1" si="3221"/>
        <v>8</v>
      </c>
      <c r="I7624" t="str">
        <f t="shared" si="3222"/>
        <v>SPX</v>
      </c>
      <c r="J7624">
        <f t="shared" si="3223"/>
        <v>3870</v>
      </c>
      <c r="K7624">
        <f t="shared" si="3224"/>
        <v>3955</v>
      </c>
      <c r="L7624">
        <f t="shared" si="3225"/>
        <v>3912.5</v>
      </c>
      <c r="M7624">
        <f t="shared" si="3226"/>
        <v>42.5</v>
      </c>
      <c r="N7624">
        <f t="shared" si="3219"/>
        <v>85</v>
      </c>
      <c r="O7624">
        <f t="shared" si="3227"/>
        <v>3931</v>
      </c>
      <c r="P7624">
        <f t="shared" si="3228"/>
        <v>0.43529411764705883</v>
      </c>
      <c r="Q7624" t="str">
        <f t="shared" si="3229"/>
        <v>1.55% | 0.61%</v>
      </c>
      <c r="R7624" t="str">
        <f t="shared" si="3230"/>
        <v>BULLISH</v>
      </c>
      <c r="S7624">
        <f t="shared" si="3231"/>
        <v>1</v>
      </c>
    </row>
    <row r="7625" spans="1:19" hidden="1" x14ac:dyDescent="0.25">
      <c r="A7625" s="5" t="str">
        <f t="shared" si="3232"/>
        <v>44245RUT</v>
      </c>
      <c r="B7625" s="6" t="s">
        <v>247</v>
      </c>
      <c r="C7625" s="6">
        <v>2206</v>
      </c>
      <c r="D7625" s="6">
        <v>2326</v>
      </c>
      <c r="E7625" s="6">
        <v>2256</v>
      </c>
      <c r="F7625" t="str">
        <f t="shared" si="3207"/>
        <v>THU</v>
      </c>
      <c r="G7625" s="14">
        <v>44245</v>
      </c>
      <c r="H7625" s="2">
        <f t="shared" ca="1" si="3221"/>
        <v>8</v>
      </c>
      <c r="I7625" t="str">
        <f t="shared" si="3222"/>
        <v>RUT</v>
      </c>
      <c r="J7625">
        <f t="shared" si="3223"/>
        <v>2206</v>
      </c>
      <c r="K7625">
        <f t="shared" si="3224"/>
        <v>2326</v>
      </c>
      <c r="L7625">
        <f t="shared" si="3225"/>
        <v>2266</v>
      </c>
      <c r="M7625">
        <f t="shared" si="3226"/>
        <v>60</v>
      </c>
      <c r="N7625">
        <f t="shared" si="3219"/>
        <v>120</v>
      </c>
      <c r="O7625">
        <f t="shared" si="3227"/>
        <v>2256</v>
      </c>
      <c r="P7625">
        <f t="shared" si="3228"/>
        <v>-0.16666666666666666</v>
      </c>
      <c r="Q7625" t="str">
        <f t="shared" si="3229"/>
        <v>2.22% | 3.1%</v>
      </c>
      <c r="R7625" t="str">
        <f t="shared" si="3230"/>
        <v>BULLISH</v>
      </c>
      <c r="S7625">
        <f t="shared" si="3231"/>
        <v>1</v>
      </c>
    </row>
    <row r="7626" spans="1:19" hidden="1" x14ac:dyDescent="0.25">
      <c r="A7626" s="5" t="str">
        <f t="shared" si="3232"/>
        <v>44245COMPQ</v>
      </c>
      <c r="B7626" s="6" t="s">
        <v>8</v>
      </c>
      <c r="C7626" s="6">
        <v>13766</v>
      </c>
      <c r="D7626" s="6">
        <v>14195</v>
      </c>
      <c r="E7626" s="6">
        <v>13965</v>
      </c>
      <c r="F7626" t="str">
        <f t="shared" si="3207"/>
        <v>THU</v>
      </c>
      <c r="G7626" s="14">
        <v>44245</v>
      </c>
      <c r="H7626" s="2">
        <f t="shared" ca="1" si="3221"/>
        <v>8</v>
      </c>
      <c r="I7626" t="str">
        <f t="shared" si="3222"/>
        <v>COMPQ</v>
      </c>
      <c r="J7626">
        <f t="shared" si="3223"/>
        <v>13766</v>
      </c>
      <c r="K7626">
        <f t="shared" si="3224"/>
        <v>14195</v>
      </c>
      <c r="L7626">
        <f t="shared" si="3225"/>
        <v>13980.5</v>
      </c>
      <c r="M7626">
        <f t="shared" si="3226"/>
        <v>214.5</v>
      </c>
      <c r="N7626">
        <f t="shared" si="3219"/>
        <v>429</v>
      </c>
      <c r="O7626">
        <f t="shared" si="3227"/>
        <v>13965</v>
      </c>
      <c r="P7626">
        <f t="shared" si="3228"/>
        <v>-7.2261072261072257E-2</v>
      </c>
      <c r="Q7626" t="str">
        <f t="shared" si="3229"/>
        <v>1.42% | 1.65%</v>
      </c>
      <c r="R7626" t="str">
        <f t="shared" si="3230"/>
        <v>BULLISH</v>
      </c>
      <c r="S7626">
        <f t="shared" si="3231"/>
        <v>1</v>
      </c>
    </row>
    <row r="7627" spans="1:19" hidden="1" x14ac:dyDescent="0.25">
      <c r="A7627" s="5" t="str">
        <f t="shared" si="3232"/>
        <v>44245XLK</v>
      </c>
      <c r="B7627" s="6" t="s">
        <v>10</v>
      </c>
      <c r="C7627" s="6">
        <v>134.01</v>
      </c>
      <c r="D7627" s="6">
        <v>139.08000000000001</v>
      </c>
      <c r="E7627" s="6">
        <v>136.91999999999999</v>
      </c>
      <c r="F7627" t="str">
        <f t="shared" si="3207"/>
        <v>THU</v>
      </c>
      <c r="G7627" s="14">
        <v>44245</v>
      </c>
      <c r="H7627" s="2">
        <f t="shared" ca="1" si="3221"/>
        <v>8</v>
      </c>
      <c r="I7627" t="str">
        <f t="shared" si="3222"/>
        <v>XLK</v>
      </c>
      <c r="J7627">
        <f t="shared" si="3223"/>
        <v>134.01</v>
      </c>
      <c r="K7627">
        <f t="shared" si="3224"/>
        <v>139.08000000000001</v>
      </c>
      <c r="L7627">
        <f t="shared" si="3225"/>
        <v>136.54500000000002</v>
      </c>
      <c r="M7627">
        <f t="shared" si="3226"/>
        <v>2.5350000000000108</v>
      </c>
      <c r="N7627">
        <f t="shared" si="3219"/>
        <v>5.0700000000000216</v>
      </c>
      <c r="O7627">
        <f t="shared" si="3227"/>
        <v>136.91999999999999</v>
      </c>
      <c r="P7627">
        <f t="shared" si="3228"/>
        <v>0.14792899408282839</v>
      </c>
      <c r="Q7627" t="str">
        <f t="shared" si="3229"/>
        <v>2.13% | 1.58%</v>
      </c>
      <c r="R7627" t="str">
        <f t="shared" si="3230"/>
        <v>BULLISH</v>
      </c>
      <c r="S7627">
        <f t="shared" si="3231"/>
        <v>1</v>
      </c>
    </row>
    <row r="7628" spans="1:19" hidden="1" x14ac:dyDescent="0.25">
      <c r="A7628" s="5" t="str">
        <f t="shared" si="3232"/>
        <v>44245XLE</v>
      </c>
      <c r="B7628" s="6" t="s">
        <v>250</v>
      </c>
      <c r="C7628" s="6">
        <v>41.7</v>
      </c>
      <c r="D7628" s="6">
        <v>47.17</v>
      </c>
      <c r="E7628" s="6">
        <v>46.47</v>
      </c>
      <c r="F7628" t="str">
        <f t="shared" si="3207"/>
        <v>THU</v>
      </c>
      <c r="G7628" s="14">
        <v>44245</v>
      </c>
      <c r="H7628" s="2">
        <f t="shared" ca="1" si="3221"/>
        <v>8</v>
      </c>
      <c r="I7628" t="str">
        <f t="shared" si="3222"/>
        <v>XLE</v>
      </c>
      <c r="J7628">
        <f t="shared" si="3223"/>
        <v>41.7</v>
      </c>
      <c r="K7628">
        <f t="shared" si="3224"/>
        <v>47.17</v>
      </c>
      <c r="L7628">
        <f t="shared" si="3225"/>
        <v>44.435000000000002</v>
      </c>
      <c r="M7628">
        <f t="shared" si="3226"/>
        <v>2.7349999999999994</v>
      </c>
      <c r="N7628">
        <f t="shared" si="3219"/>
        <v>5.4699999999999989</v>
      </c>
      <c r="O7628">
        <f t="shared" si="3227"/>
        <v>46.47</v>
      </c>
      <c r="P7628">
        <f t="shared" si="3228"/>
        <v>0.74405850091407566</v>
      </c>
      <c r="Q7628" t="str">
        <f t="shared" si="3229"/>
        <v>10.26% | 1.51%</v>
      </c>
      <c r="R7628" t="str">
        <f t="shared" si="3230"/>
        <v>BULLISH</v>
      </c>
      <c r="S7628">
        <f t="shared" si="3231"/>
        <v>1</v>
      </c>
    </row>
    <row r="7629" spans="1:19" hidden="1" x14ac:dyDescent="0.25">
      <c r="A7629" s="5" t="str">
        <f t="shared" si="3232"/>
        <v>44245XLU</v>
      </c>
      <c r="B7629" s="6" t="s">
        <v>82</v>
      </c>
      <c r="C7629" s="6">
        <v>61.46</v>
      </c>
      <c r="D7629" s="6">
        <v>62.99</v>
      </c>
      <c r="E7629" s="6">
        <v>61.97</v>
      </c>
      <c r="F7629" t="str">
        <f t="shared" si="3207"/>
        <v>THU</v>
      </c>
      <c r="G7629" s="14">
        <v>44245</v>
      </c>
      <c r="H7629" s="2">
        <f t="shared" ca="1" si="3221"/>
        <v>8</v>
      </c>
      <c r="I7629" t="str">
        <f t="shared" si="3222"/>
        <v>XLU</v>
      </c>
      <c r="J7629">
        <f t="shared" si="3223"/>
        <v>61.46</v>
      </c>
      <c r="K7629">
        <f t="shared" si="3224"/>
        <v>62.99</v>
      </c>
      <c r="L7629">
        <f t="shared" si="3225"/>
        <v>62.225000000000001</v>
      </c>
      <c r="M7629">
        <f t="shared" si="3226"/>
        <v>0.76500000000000057</v>
      </c>
      <c r="N7629">
        <f t="shared" si="3219"/>
        <v>1.5300000000000011</v>
      </c>
      <c r="O7629">
        <f t="shared" si="3227"/>
        <v>61.97</v>
      </c>
      <c r="P7629">
        <f t="shared" si="3228"/>
        <v>-0.33333333333333642</v>
      </c>
      <c r="Q7629" t="str">
        <f t="shared" si="3229"/>
        <v>0.82% | 1.65%</v>
      </c>
      <c r="R7629" t="str">
        <f t="shared" si="3230"/>
        <v>BEARISH</v>
      </c>
      <c r="S7629">
        <f t="shared" si="3231"/>
        <v>-1</v>
      </c>
    </row>
    <row r="7630" spans="1:19" hidden="1" x14ac:dyDescent="0.25">
      <c r="A7630" s="5" t="str">
        <f t="shared" si="3232"/>
        <v>44245GDX</v>
      </c>
      <c r="B7630" s="6" t="s">
        <v>254</v>
      </c>
      <c r="C7630" s="6">
        <v>33.01</v>
      </c>
      <c r="D7630" s="6">
        <v>35.020000000000003</v>
      </c>
      <c r="E7630" s="6">
        <v>33.22</v>
      </c>
      <c r="F7630" t="str">
        <f t="shared" si="3207"/>
        <v>THU</v>
      </c>
      <c r="G7630" s="14">
        <v>44245</v>
      </c>
      <c r="H7630" s="2">
        <f t="shared" ca="1" si="3221"/>
        <v>8</v>
      </c>
      <c r="I7630" t="str">
        <f t="shared" si="3222"/>
        <v>GDX</v>
      </c>
      <c r="J7630">
        <f t="shared" si="3223"/>
        <v>33.01</v>
      </c>
      <c r="K7630">
        <f t="shared" si="3224"/>
        <v>35.020000000000003</v>
      </c>
      <c r="L7630">
        <f t="shared" si="3225"/>
        <v>34.015000000000001</v>
      </c>
      <c r="M7630">
        <f t="shared" si="3226"/>
        <v>1.0050000000000026</v>
      </c>
      <c r="N7630">
        <f t="shared" si="3219"/>
        <v>2.0100000000000051</v>
      </c>
      <c r="O7630">
        <f t="shared" si="3227"/>
        <v>33.22</v>
      </c>
      <c r="P7630">
        <f t="shared" si="3228"/>
        <v>-0.79104477611940271</v>
      </c>
      <c r="Q7630" t="str">
        <f t="shared" si="3229"/>
        <v>0.63% | 5.42%</v>
      </c>
      <c r="R7630" t="str">
        <f t="shared" si="3230"/>
        <v>BEARISH</v>
      </c>
      <c r="S7630">
        <f t="shared" si="3231"/>
        <v>-1</v>
      </c>
    </row>
    <row r="7631" spans="1:19" hidden="1" x14ac:dyDescent="0.25">
      <c r="A7631" s="5" t="str">
        <f t="shared" si="3232"/>
        <v>44245SSEC</v>
      </c>
      <c r="B7631" s="6" t="s">
        <v>104</v>
      </c>
      <c r="C7631" s="6">
        <v>3530</v>
      </c>
      <c r="D7631" s="6">
        <v>3693</v>
      </c>
      <c r="E7631" s="6">
        <v>3675</v>
      </c>
      <c r="F7631" t="str">
        <f t="shared" si="3207"/>
        <v>THU</v>
      </c>
      <c r="G7631" s="14">
        <v>44245</v>
      </c>
      <c r="H7631" s="2">
        <f t="shared" ca="1" si="3221"/>
        <v>8</v>
      </c>
      <c r="I7631" t="str">
        <f t="shared" si="3222"/>
        <v>SSEC</v>
      </c>
      <c r="J7631">
        <f t="shared" si="3223"/>
        <v>3530</v>
      </c>
      <c r="K7631">
        <f t="shared" si="3224"/>
        <v>3693</v>
      </c>
      <c r="L7631">
        <f t="shared" si="3225"/>
        <v>3611.5</v>
      </c>
      <c r="M7631">
        <f t="shared" si="3226"/>
        <v>81.5</v>
      </c>
      <c r="N7631">
        <f t="shared" si="3219"/>
        <v>163</v>
      </c>
      <c r="O7631">
        <f t="shared" si="3227"/>
        <v>3675</v>
      </c>
      <c r="P7631">
        <f t="shared" si="3228"/>
        <v>0.77914110429447858</v>
      </c>
      <c r="Q7631" t="str">
        <f t="shared" si="3229"/>
        <v>3.95% | 0.49%</v>
      </c>
      <c r="R7631" t="str">
        <f t="shared" si="3230"/>
        <v>BULLISH</v>
      </c>
      <c r="S7631">
        <f t="shared" si="3231"/>
        <v>1</v>
      </c>
    </row>
    <row r="7632" spans="1:19" hidden="1" x14ac:dyDescent="0.25">
      <c r="A7632" s="5" t="str">
        <f t="shared" si="3232"/>
        <v>44245NIKK</v>
      </c>
      <c r="B7632" s="6" t="s">
        <v>91</v>
      </c>
      <c r="C7632" s="6">
        <v>28790</v>
      </c>
      <c r="D7632" s="6">
        <v>30942</v>
      </c>
      <c r="E7632" s="6">
        <v>30236</v>
      </c>
      <c r="F7632" t="str">
        <f t="shared" si="3207"/>
        <v>THU</v>
      </c>
      <c r="G7632" s="14">
        <v>44245</v>
      </c>
      <c r="H7632" s="2">
        <f t="shared" ca="1" si="3221"/>
        <v>8</v>
      </c>
      <c r="I7632" t="str">
        <f t="shared" si="3222"/>
        <v>NIKK</v>
      </c>
      <c r="J7632">
        <f t="shared" si="3223"/>
        <v>28790</v>
      </c>
      <c r="K7632">
        <f t="shared" si="3224"/>
        <v>30942</v>
      </c>
      <c r="L7632">
        <f t="shared" si="3225"/>
        <v>29866</v>
      </c>
      <c r="M7632">
        <f t="shared" si="3226"/>
        <v>1076</v>
      </c>
      <c r="N7632">
        <f t="shared" si="3219"/>
        <v>2152</v>
      </c>
      <c r="O7632">
        <f t="shared" si="3227"/>
        <v>30236</v>
      </c>
      <c r="P7632">
        <f t="shared" si="3228"/>
        <v>0.34386617100371747</v>
      </c>
      <c r="Q7632" t="str">
        <f t="shared" si="3229"/>
        <v>4.78% | 2.33%</v>
      </c>
      <c r="R7632" t="str">
        <f t="shared" si="3230"/>
        <v>BULLISH</v>
      </c>
      <c r="S7632">
        <f t="shared" si="3231"/>
        <v>1</v>
      </c>
    </row>
    <row r="7633" spans="1:19" hidden="1" x14ac:dyDescent="0.25">
      <c r="A7633" s="5" t="str">
        <f t="shared" si="3232"/>
        <v>44245DAX</v>
      </c>
      <c r="B7633" s="6" t="s">
        <v>98</v>
      </c>
      <c r="C7633" s="6">
        <v>13867</v>
      </c>
      <c r="D7633" s="6">
        <v>14168</v>
      </c>
      <c r="E7633" s="6">
        <v>13909</v>
      </c>
      <c r="F7633" t="str">
        <f t="shared" si="3207"/>
        <v>THU</v>
      </c>
      <c r="G7633" s="14">
        <v>44245</v>
      </c>
      <c r="H7633" s="2">
        <f t="shared" ca="1" si="3221"/>
        <v>8</v>
      </c>
      <c r="I7633" t="str">
        <f t="shared" si="3222"/>
        <v>DAX</v>
      </c>
      <c r="J7633">
        <f t="shared" si="3223"/>
        <v>13867</v>
      </c>
      <c r="K7633">
        <f t="shared" si="3224"/>
        <v>14168</v>
      </c>
      <c r="L7633">
        <f t="shared" si="3225"/>
        <v>14017.5</v>
      </c>
      <c r="M7633">
        <f t="shared" si="3226"/>
        <v>150.5</v>
      </c>
      <c r="N7633">
        <f t="shared" si="3219"/>
        <v>301</v>
      </c>
      <c r="O7633">
        <f t="shared" si="3227"/>
        <v>13909</v>
      </c>
      <c r="P7633">
        <f t="shared" si="3228"/>
        <v>-0.72093023255813948</v>
      </c>
      <c r="Q7633" t="str">
        <f t="shared" si="3229"/>
        <v>0.3% | 1.86%</v>
      </c>
      <c r="R7633" t="str">
        <f t="shared" si="3230"/>
        <v>BULLISH</v>
      </c>
      <c r="S7633">
        <f t="shared" si="3231"/>
        <v>1</v>
      </c>
    </row>
    <row r="7634" spans="1:19" hidden="1" x14ac:dyDescent="0.25">
      <c r="A7634" s="5" t="str">
        <f t="shared" si="3232"/>
        <v>44245VIX</v>
      </c>
      <c r="B7634" s="6" t="s">
        <v>96</v>
      </c>
      <c r="C7634" s="6">
        <v>19.18</v>
      </c>
      <c r="D7634" s="6">
        <v>24.3</v>
      </c>
      <c r="E7634" s="6">
        <v>21.5</v>
      </c>
      <c r="F7634" t="str">
        <f t="shared" si="3207"/>
        <v>THU</v>
      </c>
      <c r="G7634" s="14">
        <v>44245</v>
      </c>
      <c r="H7634" s="2">
        <f t="shared" ca="1" si="3221"/>
        <v>8</v>
      </c>
      <c r="I7634" t="str">
        <f t="shared" si="3222"/>
        <v>VIX</v>
      </c>
      <c r="J7634">
        <f t="shared" si="3223"/>
        <v>19.18</v>
      </c>
      <c r="K7634">
        <f t="shared" si="3224"/>
        <v>24.3</v>
      </c>
      <c r="L7634">
        <f t="shared" si="3225"/>
        <v>21.740000000000002</v>
      </c>
      <c r="M7634">
        <f t="shared" si="3226"/>
        <v>2.559999999999981</v>
      </c>
      <c r="N7634">
        <f t="shared" si="3219"/>
        <v>5.120000000000001</v>
      </c>
      <c r="O7634">
        <f t="shared" si="3227"/>
        <v>21.5</v>
      </c>
      <c r="P7634">
        <f t="shared" si="3228"/>
        <v>-9.3750000000001471E-2</v>
      </c>
      <c r="Q7634" t="str">
        <f t="shared" si="3229"/>
        <v>10.79% | 13.02%</v>
      </c>
      <c r="R7634" t="str">
        <f t="shared" si="3230"/>
        <v>BEARISH</v>
      </c>
      <c r="S7634">
        <f t="shared" si="3231"/>
        <v>-1</v>
      </c>
    </row>
    <row r="7635" spans="1:19" hidden="1" x14ac:dyDescent="0.25">
      <c r="A7635" s="5" t="str">
        <f t="shared" si="3232"/>
        <v>44245USD</v>
      </c>
      <c r="B7635" s="6" t="s">
        <v>94</v>
      </c>
      <c r="C7635" s="6">
        <v>89.9</v>
      </c>
      <c r="D7635" s="6">
        <v>91.31</v>
      </c>
      <c r="E7635" s="6">
        <v>90.95</v>
      </c>
      <c r="F7635" t="str">
        <f t="shared" si="3207"/>
        <v>THU</v>
      </c>
      <c r="G7635" s="14">
        <v>44245</v>
      </c>
      <c r="H7635" s="2">
        <f t="shared" ca="1" si="3221"/>
        <v>8</v>
      </c>
      <c r="I7635" t="str">
        <f t="shared" si="3222"/>
        <v>USD</v>
      </c>
      <c r="J7635">
        <f t="shared" si="3223"/>
        <v>89.9</v>
      </c>
      <c r="K7635">
        <f t="shared" si="3224"/>
        <v>91.31</v>
      </c>
      <c r="L7635">
        <f t="shared" si="3225"/>
        <v>90.605000000000004</v>
      </c>
      <c r="M7635">
        <f t="shared" si="3226"/>
        <v>0.70499999999999829</v>
      </c>
      <c r="N7635">
        <f t="shared" si="3219"/>
        <v>1.4099999999999966</v>
      </c>
      <c r="O7635">
        <f t="shared" si="3227"/>
        <v>90.95</v>
      </c>
      <c r="P7635">
        <f t="shared" si="3228"/>
        <v>0.48936170212765917</v>
      </c>
      <c r="Q7635" t="str">
        <f t="shared" si="3229"/>
        <v>1.15% | 0.4%</v>
      </c>
      <c r="R7635" t="str">
        <f t="shared" si="3230"/>
        <v>BEARISH</v>
      </c>
      <c r="S7635">
        <f t="shared" si="3231"/>
        <v>-1</v>
      </c>
    </row>
    <row r="7636" spans="1:19" hidden="1" x14ac:dyDescent="0.25">
      <c r="A7636" s="5" t="str">
        <f t="shared" si="3232"/>
        <v>44245EUR/USD</v>
      </c>
      <c r="B7636" s="6" t="s">
        <v>99</v>
      </c>
      <c r="C7636" s="6">
        <v>1.1970000000000001</v>
      </c>
      <c r="D7636" s="6">
        <v>1.2190000000000001</v>
      </c>
      <c r="E7636" s="6">
        <v>1.204</v>
      </c>
      <c r="F7636" t="str">
        <f t="shared" si="3207"/>
        <v>THU</v>
      </c>
      <c r="G7636" s="14">
        <v>44245</v>
      </c>
      <c r="H7636" s="2">
        <f t="shared" ca="1" si="3221"/>
        <v>8</v>
      </c>
      <c r="I7636" t="str">
        <f t="shared" si="3222"/>
        <v>EUR/USD</v>
      </c>
      <c r="J7636">
        <f t="shared" si="3223"/>
        <v>1.1970000000000001</v>
      </c>
      <c r="K7636">
        <f t="shared" si="3224"/>
        <v>1.2190000000000001</v>
      </c>
      <c r="L7636">
        <f t="shared" si="3225"/>
        <v>1.2080000000000002</v>
      </c>
      <c r="M7636">
        <f t="shared" si="3226"/>
        <v>1.100000000000001E-2</v>
      </c>
      <c r="N7636">
        <f t="shared" si="3219"/>
        <v>2.200000000000002E-2</v>
      </c>
      <c r="O7636">
        <f t="shared" si="3227"/>
        <v>1.204</v>
      </c>
      <c r="P7636">
        <f t="shared" si="3228"/>
        <v>-0.3636363636363838</v>
      </c>
      <c r="Q7636" t="str">
        <f t="shared" si="3229"/>
        <v>0.58% | 1.25%</v>
      </c>
      <c r="R7636" t="str">
        <f t="shared" si="3230"/>
        <v>BULLISH</v>
      </c>
      <c r="S7636">
        <f t="shared" si="3231"/>
        <v>1</v>
      </c>
    </row>
    <row r="7637" spans="1:19" hidden="1" x14ac:dyDescent="0.25">
      <c r="A7637" s="5" t="str">
        <f t="shared" si="3232"/>
        <v>44245USD/JPY</v>
      </c>
      <c r="B7637" s="6" t="s">
        <v>56</v>
      </c>
      <c r="C7637" s="6">
        <v>104.22</v>
      </c>
      <c r="D7637" s="6">
        <v>106.3</v>
      </c>
      <c r="E7637" s="6">
        <v>105.88</v>
      </c>
      <c r="F7637" t="str">
        <f t="shared" si="3207"/>
        <v>THU</v>
      </c>
      <c r="G7637" s="14">
        <v>44245</v>
      </c>
      <c r="H7637" s="2">
        <f t="shared" ca="1" si="3221"/>
        <v>8</v>
      </c>
      <c r="I7637" t="str">
        <f t="shared" si="3222"/>
        <v>USD/JPY</v>
      </c>
      <c r="J7637">
        <f t="shared" si="3223"/>
        <v>104.22</v>
      </c>
      <c r="K7637">
        <f t="shared" si="3224"/>
        <v>106.3</v>
      </c>
      <c r="L7637">
        <f t="shared" si="3225"/>
        <v>105.25999999999999</v>
      </c>
      <c r="M7637">
        <f t="shared" si="3226"/>
        <v>1.0399999999999991</v>
      </c>
      <c r="N7637">
        <f t="shared" si="3219"/>
        <v>2.0799999999999983</v>
      </c>
      <c r="O7637">
        <f t="shared" si="3227"/>
        <v>105.88</v>
      </c>
      <c r="P7637">
        <f t="shared" si="3228"/>
        <v>0.59615384615385103</v>
      </c>
      <c r="Q7637" t="str">
        <f t="shared" si="3229"/>
        <v>1.57% | 0.4%</v>
      </c>
      <c r="R7637" t="str">
        <f t="shared" si="3230"/>
        <v>BULLISH</v>
      </c>
      <c r="S7637">
        <f t="shared" si="3231"/>
        <v>1</v>
      </c>
    </row>
    <row r="7638" spans="1:19" hidden="1" x14ac:dyDescent="0.25">
      <c r="A7638" s="5" t="str">
        <f t="shared" si="3232"/>
        <v>44245GBP/USD</v>
      </c>
      <c r="B7638" s="6" t="s">
        <v>102</v>
      </c>
      <c r="C7638" s="6">
        <v>1.371</v>
      </c>
      <c r="D7638" s="6">
        <v>1.395</v>
      </c>
      <c r="E7638" s="6">
        <v>1.387</v>
      </c>
      <c r="F7638" t="str">
        <f t="shared" si="3207"/>
        <v>THU</v>
      </c>
      <c r="G7638" s="14">
        <v>44245</v>
      </c>
      <c r="H7638" s="2">
        <f t="shared" ca="1" si="3221"/>
        <v>8</v>
      </c>
      <c r="I7638" t="str">
        <f t="shared" si="3222"/>
        <v>GBP/USD</v>
      </c>
      <c r="J7638">
        <f t="shared" si="3223"/>
        <v>1.371</v>
      </c>
      <c r="K7638">
        <f t="shared" si="3224"/>
        <v>1.395</v>
      </c>
      <c r="L7638">
        <f t="shared" si="3225"/>
        <v>1.383</v>
      </c>
      <c r="M7638">
        <f t="shared" si="3226"/>
        <v>1.2000000000000011E-2</v>
      </c>
      <c r="N7638">
        <f t="shared" si="3219"/>
        <v>2.4000000000000021E-2</v>
      </c>
      <c r="O7638">
        <f t="shared" si="3227"/>
        <v>1.387</v>
      </c>
      <c r="P7638">
        <f t="shared" si="3228"/>
        <v>0.33333333333333331</v>
      </c>
      <c r="Q7638" t="str">
        <f t="shared" si="3229"/>
        <v>1.15% | 0.58%</v>
      </c>
      <c r="R7638" t="str">
        <f t="shared" si="3230"/>
        <v>BULLISH</v>
      </c>
      <c r="S7638">
        <f t="shared" si="3231"/>
        <v>1</v>
      </c>
    </row>
    <row r="7639" spans="1:19" hidden="1" x14ac:dyDescent="0.25">
      <c r="A7639" s="5" t="str">
        <f t="shared" si="3232"/>
        <v>44245CAD/USD</v>
      </c>
      <c r="B7639" s="6" t="s">
        <v>244</v>
      </c>
      <c r="C7639" s="6">
        <v>0.77</v>
      </c>
      <c r="D7639" s="6">
        <v>0.79</v>
      </c>
      <c r="E7639" s="6">
        <v>0.78</v>
      </c>
      <c r="F7639" t="str">
        <f t="shared" si="3207"/>
        <v>THU</v>
      </c>
      <c r="G7639" s="14">
        <v>44245</v>
      </c>
      <c r="H7639" s="2">
        <f t="shared" ca="1" si="3221"/>
        <v>8</v>
      </c>
      <c r="I7639" t="str">
        <f t="shared" si="3222"/>
        <v>CAD/USD</v>
      </c>
      <c r="J7639">
        <f t="shared" si="3223"/>
        <v>0.77</v>
      </c>
      <c r="K7639">
        <f t="shared" si="3224"/>
        <v>0.79</v>
      </c>
      <c r="L7639">
        <f t="shared" si="3225"/>
        <v>0.78</v>
      </c>
      <c r="M7639">
        <f t="shared" si="3226"/>
        <v>1.0000000000000009E-2</v>
      </c>
      <c r="N7639">
        <f t="shared" si="3219"/>
        <v>2.0000000000000018E-2</v>
      </c>
      <c r="O7639">
        <f t="shared" si="3227"/>
        <v>0.78</v>
      </c>
      <c r="P7639">
        <f t="shared" si="3228"/>
        <v>0</v>
      </c>
      <c r="Q7639" t="str">
        <f t="shared" si="3229"/>
        <v>1.28% | 1.28%</v>
      </c>
      <c r="R7639" t="str">
        <f t="shared" si="3230"/>
        <v>BULLISH</v>
      </c>
      <c r="S7639">
        <f t="shared" si="3231"/>
        <v>1</v>
      </c>
    </row>
    <row r="7640" spans="1:19" hidden="1" x14ac:dyDescent="0.25">
      <c r="A7640" s="5" t="str">
        <f t="shared" si="3232"/>
        <v>44245USD/CHF</v>
      </c>
      <c r="B7640" s="6" t="s">
        <v>76</v>
      </c>
      <c r="C7640" s="6">
        <v>0.88</v>
      </c>
      <c r="D7640" s="6">
        <v>0.9</v>
      </c>
      <c r="E7640" s="6">
        <v>0.89</v>
      </c>
      <c r="F7640" t="str">
        <f t="shared" si="3207"/>
        <v>THU</v>
      </c>
      <c r="G7640" s="14">
        <v>44245</v>
      </c>
      <c r="H7640" s="2">
        <f t="shared" ca="1" si="3221"/>
        <v>8</v>
      </c>
      <c r="I7640" t="str">
        <f t="shared" si="3222"/>
        <v>USD/CHF</v>
      </c>
      <c r="J7640">
        <f t="shared" si="3223"/>
        <v>0.88</v>
      </c>
      <c r="K7640">
        <f t="shared" si="3224"/>
        <v>0.9</v>
      </c>
      <c r="L7640">
        <f t="shared" si="3225"/>
        <v>0.89</v>
      </c>
      <c r="M7640">
        <f t="shared" si="3226"/>
        <v>1.0000000000000009E-2</v>
      </c>
      <c r="N7640">
        <f t="shared" si="3219"/>
        <v>2.0000000000000018E-2</v>
      </c>
      <c r="O7640">
        <f t="shared" si="3227"/>
        <v>0.89</v>
      </c>
      <c r="P7640">
        <f t="shared" si="3228"/>
        <v>0</v>
      </c>
      <c r="Q7640" t="str">
        <f t="shared" si="3229"/>
        <v>1.12% | 1.12%</v>
      </c>
      <c r="R7640" t="str">
        <f t="shared" si="3230"/>
        <v>BEARISH</v>
      </c>
      <c r="S7640">
        <f t="shared" si="3231"/>
        <v>-1</v>
      </c>
    </row>
    <row r="7641" spans="1:19" hidden="1" x14ac:dyDescent="0.25">
      <c r="A7641" s="5" t="str">
        <f t="shared" si="3232"/>
        <v>44245WTIC</v>
      </c>
      <c r="B7641" s="6" t="s">
        <v>158</v>
      </c>
      <c r="C7641" s="6">
        <v>56.68</v>
      </c>
      <c r="D7641" s="6">
        <v>61.94</v>
      </c>
      <c r="E7641" s="6">
        <v>61.16</v>
      </c>
      <c r="F7641" t="str">
        <f t="shared" si="3207"/>
        <v>THU</v>
      </c>
      <c r="G7641" s="14">
        <v>44245</v>
      </c>
      <c r="H7641" s="2">
        <f t="shared" ca="1" si="3221"/>
        <v>8</v>
      </c>
      <c r="I7641" t="str">
        <f t="shared" si="3222"/>
        <v>WTIC</v>
      </c>
      <c r="J7641">
        <f t="shared" si="3223"/>
        <v>56.68</v>
      </c>
      <c r="K7641">
        <f t="shared" si="3224"/>
        <v>61.94</v>
      </c>
      <c r="L7641">
        <f t="shared" si="3225"/>
        <v>59.31</v>
      </c>
      <c r="M7641">
        <f t="shared" si="3226"/>
        <v>2.629999999999999</v>
      </c>
      <c r="N7641">
        <f t="shared" si="3219"/>
        <v>5.259999999999998</v>
      </c>
      <c r="O7641">
        <f t="shared" si="3227"/>
        <v>61.16</v>
      </c>
      <c r="P7641">
        <f t="shared" si="3228"/>
        <v>0.70342205323193729</v>
      </c>
      <c r="Q7641" t="str">
        <f t="shared" si="3229"/>
        <v>7.33% | 1.28%</v>
      </c>
      <c r="R7641" t="str">
        <f t="shared" si="3230"/>
        <v>BULLISH</v>
      </c>
      <c r="S7641">
        <f t="shared" si="3231"/>
        <v>1</v>
      </c>
    </row>
    <row r="7642" spans="1:19" hidden="1" x14ac:dyDescent="0.25">
      <c r="A7642" s="5" t="str">
        <f t="shared" si="3232"/>
        <v>44245NATGAS</v>
      </c>
      <c r="B7642" s="6" t="s">
        <v>89</v>
      </c>
      <c r="C7642" s="6">
        <v>2.82</v>
      </c>
      <c r="D7642" s="6">
        <v>3.31</v>
      </c>
      <c r="E7642" s="6">
        <v>3.22</v>
      </c>
      <c r="F7642" t="str">
        <f t="shared" si="3207"/>
        <v>THU</v>
      </c>
      <c r="G7642" s="14">
        <v>44245</v>
      </c>
      <c r="H7642" s="2">
        <f t="shared" ca="1" si="3221"/>
        <v>8</v>
      </c>
      <c r="I7642" t="str">
        <f t="shared" si="3222"/>
        <v>NATGAS</v>
      </c>
      <c r="J7642">
        <f t="shared" si="3223"/>
        <v>2.82</v>
      </c>
      <c r="K7642">
        <f t="shared" si="3224"/>
        <v>3.31</v>
      </c>
      <c r="L7642">
        <f t="shared" si="3225"/>
        <v>3.0649999999999999</v>
      </c>
      <c r="M7642">
        <f t="shared" si="3226"/>
        <v>0.24500000000000011</v>
      </c>
      <c r="N7642">
        <f t="shared" si="3219"/>
        <v>0.49000000000000021</v>
      </c>
      <c r="O7642">
        <f t="shared" si="3227"/>
        <v>3.22</v>
      </c>
      <c r="P7642">
        <f t="shared" si="3228"/>
        <v>0.6326530612244905</v>
      </c>
      <c r="Q7642" t="str">
        <f t="shared" si="3229"/>
        <v>12.42% | 2.8%</v>
      </c>
      <c r="R7642" t="str">
        <f t="shared" si="3230"/>
        <v>BULLISH</v>
      </c>
      <c r="S7642">
        <f t="shared" si="3231"/>
        <v>1</v>
      </c>
    </row>
    <row r="7643" spans="1:19" hidden="1" x14ac:dyDescent="0.25">
      <c r="A7643" s="5" t="str">
        <f t="shared" si="3232"/>
        <v>44245GOLD</v>
      </c>
      <c r="B7643" s="6" t="s">
        <v>85</v>
      </c>
      <c r="C7643" s="6">
        <v>1761</v>
      </c>
      <c r="D7643" s="6">
        <v>1837</v>
      </c>
      <c r="E7643" s="6">
        <v>1772</v>
      </c>
      <c r="F7643" t="str">
        <f t="shared" si="3207"/>
        <v>THU</v>
      </c>
      <c r="G7643" s="14">
        <v>44245</v>
      </c>
      <c r="H7643" s="2">
        <f t="shared" ca="1" si="3221"/>
        <v>8</v>
      </c>
      <c r="I7643" t="str">
        <f t="shared" si="3222"/>
        <v>GOLD</v>
      </c>
      <c r="J7643">
        <f t="shared" si="3223"/>
        <v>1761</v>
      </c>
      <c r="K7643">
        <f t="shared" si="3224"/>
        <v>1837</v>
      </c>
      <c r="L7643">
        <f t="shared" si="3225"/>
        <v>1799</v>
      </c>
      <c r="M7643">
        <f t="shared" si="3226"/>
        <v>38</v>
      </c>
      <c r="N7643">
        <f t="shared" si="3219"/>
        <v>76</v>
      </c>
      <c r="O7643">
        <f t="shared" si="3227"/>
        <v>1772</v>
      </c>
      <c r="P7643">
        <f t="shared" si="3228"/>
        <v>-0.71052631578947367</v>
      </c>
      <c r="Q7643" t="str">
        <f t="shared" si="3229"/>
        <v>0.62% | 3.67%</v>
      </c>
      <c r="R7643" t="str">
        <f t="shared" si="3230"/>
        <v>BEARISH</v>
      </c>
      <c r="S7643">
        <f t="shared" si="3231"/>
        <v>-1</v>
      </c>
    </row>
    <row r="7644" spans="1:19" hidden="1" x14ac:dyDescent="0.25">
      <c r="A7644" s="5" t="str">
        <f t="shared" si="3232"/>
        <v>44245COPPER</v>
      </c>
      <c r="B7644" s="6" t="s">
        <v>100</v>
      </c>
      <c r="C7644" s="6">
        <v>3.66</v>
      </c>
      <c r="D7644" s="6">
        <v>3.93</v>
      </c>
      <c r="E7644" s="6">
        <v>3.82</v>
      </c>
      <c r="F7644" t="str">
        <f t="shared" si="3207"/>
        <v>THU</v>
      </c>
      <c r="G7644" s="14">
        <v>44245</v>
      </c>
      <c r="H7644" s="2">
        <f t="shared" ca="1" si="3221"/>
        <v>8</v>
      </c>
      <c r="I7644" t="str">
        <f t="shared" si="3222"/>
        <v>COPPER</v>
      </c>
      <c r="J7644">
        <f t="shared" si="3223"/>
        <v>3.66</v>
      </c>
      <c r="K7644">
        <f t="shared" si="3224"/>
        <v>3.93</v>
      </c>
      <c r="L7644">
        <f t="shared" si="3225"/>
        <v>3.7949999999999999</v>
      </c>
      <c r="M7644">
        <f t="shared" si="3226"/>
        <v>0.13500000000000001</v>
      </c>
      <c r="N7644">
        <f t="shared" si="3219"/>
        <v>0.27</v>
      </c>
      <c r="O7644">
        <f t="shared" si="3227"/>
        <v>3.82</v>
      </c>
      <c r="P7644">
        <f t="shared" si="3228"/>
        <v>0.18518518518518451</v>
      </c>
      <c r="Q7644" t="str">
        <f t="shared" si="3229"/>
        <v>4.19% | 2.88%</v>
      </c>
      <c r="R7644" t="str">
        <f t="shared" si="3230"/>
        <v>BULLISH</v>
      </c>
      <c r="S7644">
        <f t="shared" si="3231"/>
        <v>1</v>
      </c>
    </row>
    <row r="7645" spans="1:19" hidden="1" x14ac:dyDescent="0.25">
      <c r="A7645" s="5" t="str">
        <f t="shared" si="3232"/>
        <v>44245SILVER</v>
      </c>
      <c r="B7645" s="6" t="s">
        <v>195</v>
      </c>
      <c r="C7645" s="6">
        <v>26.21</v>
      </c>
      <c r="D7645" s="6">
        <v>28.04</v>
      </c>
      <c r="E7645" s="6">
        <v>27.32</v>
      </c>
      <c r="F7645" t="str">
        <f t="shared" si="3207"/>
        <v>THU</v>
      </c>
      <c r="G7645" s="14">
        <v>44245</v>
      </c>
      <c r="H7645" s="2">
        <f t="shared" ca="1" si="3221"/>
        <v>8</v>
      </c>
      <c r="I7645" t="str">
        <f t="shared" si="3222"/>
        <v>SILVER</v>
      </c>
      <c r="J7645">
        <f t="shared" si="3223"/>
        <v>26.21</v>
      </c>
      <c r="K7645">
        <f t="shared" si="3224"/>
        <v>28.04</v>
      </c>
      <c r="L7645">
        <f t="shared" si="3225"/>
        <v>27.125</v>
      </c>
      <c r="M7645">
        <f t="shared" si="3226"/>
        <v>0.91499999999999915</v>
      </c>
      <c r="N7645">
        <f t="shared" si="3219"/>
        <v>1.8299999999999983</v>
      </c>
      <c r="O7645">
        <f t="shared" si="3227"/>
        <v>27.32</v>
      </c>
      <c r="P7645">
        <f t="shared" si="3228"/>
        <v>0.21311475409836117</v>
      </c>
      <c r="Q7645" t="str">
        <f t="shared" si="3229"/>
        <v>4.06% | 2.64%</v>
      </c>
      <c r="R7645" t="str">
        <f t="shared" si="3230"/>
        <v>BULLISH</v>
      </c>
      <c r="S7645">
        <f t="shared" si="3231"/>
        <v>1</v>
      </c>
    </row>
    <row r="7646" spans="1:19" hidden="1" x14ac:dyDescent="0.25">
      <c r="A7646" s="5" t="str">
        <f t="shared" si="3232"/>
        <v>44245MSFT</v>
      </c>
      <c r="B7646" s="6" t="s">
        <v>27</v>
      </c>
      <c r="C7646" s="6">
        <v>240</v>
      </c>
      <c r="D7646" s="6">
        <v>247</v>
      </c>
      <c r="E7646" s="6">
        <v>244</v>
      </c>
      <c r="F7646" t="str">
        <f t="shared" si="3207"/>
        <v>THU</v>
      </c>
      <c r="G7646" s="14">
        <v>44245</v>
      </c>
      <c r="H7646" s="2">
        <f t="shared" ca="1" si="3221"/>
        <v>8</v>
      </c>
      <c r="I7646" t="str">
        <f t="shared" si="3222"/>
        <v>MSFT</v>
      </c>
      <c r="J7646">
        <f t="shared" si="3223"/>
        <v>240</v>
      </c>
      <c r="K7646">
        <f t="shared" si="3224"/>
        <v>247</v>
      </c>
      <c r="L7646">
        <f t="shared" si="3225"/>
        <v>243.5</v>
      </c>
      <c r="M7646">
        <f t="shared" si="3226"/>
        <v>3.5</v>
      </c>
      <c r="N7646">
        <f t="shared" si="3219"/>
        <v>7</v>
      </c>
      <c r="O7646">
        <f t="shared" si="3227"/>
        <v>244</v>
      </c>
      <c r="P7646">
        <f t="shared" si="3228"/>
        <v>0.14285714285714285</v>
      </c>
      <c r="Q7646" t="str">
        <f t="shared" si="3229"/>
        <v>1.64% | 1.23%</v>
      </c>
      <c r="R7646" t="str">
        <f t="shared" si="3230"/>
        <v>BULLISH</v>
      </c>
      <c r="S7646">
        <f t="shared" si="3231"/>
        <v>1</v>
      </c>
    </row>
    <row r="7647" spans="1:19" hidden="1" x14ac:dyDescent="0.25">
      <c r="A7647" s="5" t="str">
        <f t="shared" si="3232"/>
        <v>44245AAPL</v>
      </c>
      <c r="B7647" s="6" t="s">
        <v>28</v>
      </c>
      <c r="C7647" s="6">
        <v>129</v>
      </c>
      <c r="D7647" s="6">
        <v>140</v>
      </c>
      <c r="E7647" s="6">
        <v>130</v>
      </c>
      <c r="F7647" t="str">
        <f t="shared" si="3207"/>
        <v>THU</v>
      </c>
      <c r="G7647" s="14">
        <v>44245</v>
      </c>
      <c r="H7647" s="2">
        <f t="shared" ca="1" si="3221"/>
        <v>8</v>
      </c>
      <c r="I7647" t="str">
        <f t="shared" si="3222"/>
        <v>AAPL</v>
      </c>
      <c r="J7647">
        <f t="shared" si="3223"/>
        <v>129</v>
      </c>
      <c r="K7647">
        <f t="shared" si="3224"/>
        <v>140</v>
      </c>
      <c r="L7647">
        <f t="shared" si="3225"/>
        <v>134.5</v>
      </c>
      <c r="M7647">
        <f t="shared" si="3226"/>
        <v>5.5</v>
      </c>
      <c r="N7647">
        <f t="shared" si="3219"/>
        <v>11</v>
      </c>
      <c r="O7647">
        <f t="shared" si="3227"/>
        <v>130</v>
      </c>
      <c r="P7647">
        <f t="shared" si="3228"/>
        <v>-0.81818181818181823</v>
      </c>
      <c r="Q7647" t="str">
        <f t="shared" si="3229"/>
        <v>0.77% | 7.69%</v>
      </c>
      <c r="R7647" t="str">
        <f t="shared" si="3230"/>
        <v>BULLISH</v>
      </c>
      <c r="S7647">
        <f t="shared" si="3231"/>
        <v>1</v>
      </c>
    </row>
    <row r="7648" spans="1:19" hidden="1" x14ac:dyDescent="0.25">
      <c r="A7648" s="5" t="str">
        <f t="shared" si="3232"/>
        <v>44245AMZN</v>
      </c>
      <c r="B7648" s="6" t="s">
        <v>29</v>
      </c>
      <c r="C7648" s="6">
        <v>3241</v>
      </c>
      <c r="D7648" s="6">
        <v>3362</v>
      </c>
      <c r="E7648" s="6">
        <v>3308</v>
      </c>
      <c r="F7648" t="str">
        <f t="shared" si="3207"/>
        <v>THU</v>
      </c>
      <c r="G7648" s="14">
        <v>44245</v>
      </c>
      <c r="H7648" s="2">
        <f t="shared" ca="1" si="3221"/>
        <v>8</v>
      </c>
      <c r="I7648" t="str">
        <f t="shared" si="3222"/>
        <v>AMZN</v>
      </c>
      <c r="J7648">
        <f t="shared" si="3223"/>
        <v>3241</v>
      </c>
      <c r="K7648">
        <f t="shared" si="3224"/>
        <v>3362</v>
      </c>
      <c r="L7648">
        <f t="shared" si="3225"/>
        <v>3301.5</v>
      </c>
      <c r="M7648">
        <f t="shared" si="3226"/>
        <v>60.5</v>
      </c>
      <c r="N7648">
        <f t="shared" si="3219"/>
        <v>121</v>
      </c>
      <c r="O7648">
        <f t="shared" si="3227"/>
        <v>3308</v>
      </c>
      <c r="P7648">
        <f t="shared" si="3228"/>
        <v>0.10743801652892562</v>
      </c>
      <c r="Q7648" t="str">
        <f t="shared" si="3229"/>
        <v>2.03% | 1.63%</v>
      </c>
      <c r="R7648" t="str">
        <f t="shared" si="3230"/>
        <v>BULLISH</v>
      </c>
      <c r="S7648">
        <f t="shared" si="3231"/>
        <v>1</v>
      </c>
    </row>
    <row r="7649" spans="1:19" hidden="1" x14ac:dyDescent="0.25">
      <c r="A7649" s="5" t="str">
        <f t="shared" si="3232"/>
        <v>44245FB</v>
      </c>
      <c r="B7649" s="6" t="s">
        <v>30</v>
      </c>
      <c r="C7649" s="6">
        <v>263</v>
      </c>
      <c r="D7649" s="6">
        <v>279</v>
      </c>
      <c r="E7649" s="6">
        <v>273</v>
      </c>
      <c r="F7649" t="str">
        <f t="shared" si="3207"/>
        <v>THU</v>
      </c>
      <c r="G7649" s="14">
        <v>44245</v>
      </c>
      <c r="H7649" s="2">
        <f t="shared" ca="1" si="3221"/>
        <v>8</v>
      </c>
      <c r="I7649" t="str">
        <f t="shared" si="3222"/>
        <v>FB</v>
      </c>
      <c r="J7649">
        <f t="shared" si="3223"/>
        <v>263</v>
      </c>
      <c r="K7649">
        <f t="shared" si="3224"/>
        <v>279</v>
      </c>
      <c r="L7649">
        <f t="shared" si="3225"/>
        <v>271</v>
      </c>
      <c r="M7649">
        <f t="shared" si="3226"/>
        <v>8</v>
      </c>
      <c r="N7649">
        <f t="shared" si="3219"/>
        <v>16</v>
      </c>
      <c r="O7649">
        <f t="shared" si="3227"/>
        <v>273</v>
      </c>
      <c r="P7649">
        <f t="shared" si="3228"/>
        <v>0.25</v>
      </c>
      <c r="Q7649" t="str">
        <f t="shared" si="3229"/>
        <v>3.66% | 2.2%</v>
      </c>
      <c r="R7649" t="str">
        <f t="shared" si="3230"/>
        <v>BULLISH</v>
      </c>
      <c r="S7649">
        <f t="shared" si="3231"/>
        <v>1</v>
      </c>
    </row>
    <row r="7650" spans="1:19" hidden="1" x14ac:dyDescent="0.25">
      <c r="A7650" s="5" t="str">
        <f t="shared" si="3232"/>
        <v>44245GOOGL</v>
      </c>
      <c r="B7650" s="6" t="s">
        <v>31</v>
      </c>
      <c r="C7650" s="6">
        <v>2050</v>
      </c>
      <c r="D7650" s="6">
        <v>2144</v>
      </c>
      <c r="E7650" s="6">
        <v>2118</v>
      </c>
      <c r="F7650" t="str">
        <f t="shared" si="3207"/>
        <v>THU</v>
      </c>
      <c r="G7650" s="14">
        <v>44245</v>
      </c>
      <c r="H7650" s="2">
        <f t="shared" ca="1" si="3221"/>
        <v>8</v>
      </c>
      <c r="I7650" t="str">
        <f t="shared" si="3222"/>
        <v>GOOGL</v>
      </c>
      <c r="J7650">
        <f t="shared" si="3223"/>
        <v>2050</v>
      </c>
      <c r="K7650">
        <f t="shared" si="3224"/>
        <v>2144</v>
      </c>
      <c r="L7650">
        <f t="shared" si="3225"/>
        <v>2097</v>
      </c>
      <c r="M7650">
        <f t="shared" si="3226"/>
        <v>47</v>
      </c>
      <c r="N7650">
        <f t="shared" si="3219"/>
        <v>94</v>
      </c>
      <c r="O7650">
        <f t="shared" si="3227"/>
        <v>2118</v>
      </c>
      <c r="P7650">
        <f t="shared" si="3228"/>
        <v>0.44680851063829785</v>
      </c>
      <c r="Q7650" t="str">
        <f t="shared" si="3229"/>
        <v>3.21% | 1.23%</v>
      </c>
      <c r="R7650" t="str">
        <f t="shared" si="3230"/>
        <v>BULLISH</v>
      </c>
      <c r="S7650">
        <f t="shared" si="3231"/>
        <v>1</v>
      </c>
    </row>
    <row r="7651" spans="1:19" hidden="1" x14ac:dyDescent="0.25">
      <c r="A7651" s="5" t="str">
        <f t="shared" si="3232"/>
        <v>44245NFLX</v>
      </c>
      <c r="B7651" s="6" t="s">
        <v>32</v>
      </c>
      <c r="C7651" s="6">
        <v>540</v>
      </c>
      <c r="D7651" s="6">
        <v>570</v>
      </c>
      <c r="E7651" s="6">
        <v>551</v>
      </c>
      <c r="F7651" t="str">
        <f t="shared" si="3207"/>
        <v>THU</v>
      </c>
      <c r="G7651" s="14">
        <v>44245</v>
      </c>
      <c r="H7651" s="2">
        <f t="shared" ca="1" si="3221"/>
        <v>8</v>
      </c>
      <c r="I7651" t="str">
        <f t="shared" si="3222"/>
        <v>NFLX</v>
      </c>
      <c r="J7651">
        <f t="shared" si="3223"/>
        <v>540</v>
      </c>
      <c r="K7651">
        <f t="shared" si="3224"/>
        <v>570</v>
      </c>
      <c r="L7651">
        <f t="shared" si="3225"/>
        <v>555</v>
      </c>
      <c r="M7651">
        <f t="shared" si="3226"/>
        <v>15</v>
      </c>
      <c r="N7651">
        <f t="shared" si="3219"/>
        <v>30</v>
      </c>
      <c r="O7651">
        <f t="shared" si="3227"/>
        <v>551</v>
      </c>
      <c r="P7651">
        <f t="shared" si="3228"/>
        <v>-0.26666666666666666</v>
      </c>
      <c r="Q7651" t="str">
        <f t="shared" si="3229"/>
        <v>2% | 3.45%</v>
      </c>
      <c r="R7651" t="str">
        <f t="shared" si="3230"/>
        <v>BULLISH</v>
      </c>
      <c r="S7651">
        <f t="shared" si="3231"/>
        <v>1</v>
      </c>
    </row>
    <row r="7652" spans="1:19" x14ac:dyDescent="0.25">
      <c r="A7652" s="5" t="str">
        <f t="shared" si="3232"/>
        <v>44245TSLA</v>
      </c>
      <c r="B7652" s="6" t="s">
        <v>33</v>
      </c>
      <c r="C7652" s="6">
        <v>768</v>
      </c>
      <c r="D7652" s="6">
        <v>880</v>
      </c>
      <c r="E7652" s="6">
        <v>798</v>
      </c>
      <c r="F7652" t="str">
        <f t="shared" si="3207"/>
        <v>THU</v>
      </c>
      <c r="G7652" s="14">
        <v>44245</v>
      </c>
      <c r="H7652" s="2">
        <f t="shared" ca="1" si="3221"/>
        <v>8</v>
      </c>
      <c r="I7652" t="str">
        <f t="shared" si="3222"/>
        <v>TSLA</v>
      </c>
      <c r="J7652">
        <f t="shared" si="3223"/>
        <v>768</v>
      </c>
      <c r="K7652">
        <f t="shared" si="3224"/>
        <v>880</v>
      </c>
      <c r="L7652">
        <f t="shared" si="3225"/>
        <v>824</v>
      </c>
      <c r="M7652">
        <f t="shared" si="3226"/>
        <v>56</v>
      </c>
      <c r="N7652">
        <f t="shared" si="3219"/>
        <v>112</v>
      </c>
      <c r="O7652">
        <f t="shared" si="3227"/>
        <v>798</v>
      </c>
      <c r="P7652">
        <f t="shared" si="3228"/>
        <v>-0.4642857142857143</v>
      </c>
      <c r="Q7652" t="str">
        <f t="shared" si="3229"/>
        <v>3.76% | 10.28%</v>
      </c>
      <c r="R7652" t="str">
        <f t="shared" si="3230"/>
        <v>BULLISH</v>
      </c>
      <c r="S7652">
        <f t="shared" si="3231"/>
        <v>1</v>
      </c>
    </row>
    <row r="7653" spans="1:19" hidden="1" x14ac:dyDescent="0.25">
      <c r="A7653" s="5" t="str">
        <f t="shared" si="3232"/>
        <v>44245NYXBT</v>
      </c>
      <c r="B7653" s="6" t="s">
        <v>60</v>
      </c>
      <c r="C7653" s="6">
        <v>45101</v>
      </c>
      <c r="D7653" s="6">
        <v>54433</v>
      </c>
      <c r="E7653" s="6">
        <v>51082</v>
      </c>
      <c r="F7653" t="str">
        <f t="shared" si="3207"/>
        <v>THU</v>
      </c>
      <c r="G7653" s="14">
        <v>44245</v>
      </c>
      <c r="H7653" s="2">
        <f t="shared" ca="1" si="3221"/>
        <v>8</v>
      </c>
      <c r="I7653" t="str">
        <f t="shared" si="3222"/>
        <v>NYXBT</v>
      </c>
      <c r="J7653">
        <f t="shared" si="3223"/>
        <v>45101</v>
      </c>
      <c r="K7653">
        <f t="shared" si="3224"/>
        <v>54433</v>
      </c>
      <c r="L7653">
        <f t="shared" si="3225"/>
        <v>49767</v>
      </c>
      <c r="M7653">
        <f t="shared" si="3226"/>
        <v>4666</v>
      </c>
      <c r="N7653">
        <f t="shared" si="3219"/>
        <v>9332</v>
      </c>
      <c r="O7653">
        <f t="shared" si="3227"/>
        <v>51082</v>
      </c>
      <c r="P7653">
        <f t="shared" si="3228"/>
        <v>0.28182597513930563</v>
      </c>
      <c r="Q7653" t="str">
        <f t="shared" si="3229"/>
        <v>11.71% | 6.56%</v>
      </c>
      <c r="R7653" t="str">
        <f t="shared" si="3230"/>
        <v>BULLISH</v>
      </c>
      <c r="S7653">
        <f t="shared" si="3231"/>
        <v>1</v>
      </c>
    </row>
    <row r="7654" spans="1:19" hidden="1" x14ac:dyDescent="0.25">
      <c r="A7654" s="5" t="str">
        <f t="shared" si="3232"/>
        <v>44246UST10Y</v>
      </c>
      <c r="B7654" s="6" t="s">
        <v>257</v>
      </c>
      <c r="C7654" s="6">
        <v>1.34</v>
      </c>
      <c r="D7654" s="6">
        <v>1.2</v>
      </c>
      <c r="E7654" s="6">
        <v>1.29</v>
      </c>
      <c r="F7654" t="str">
        <f t="shared" si="3207"/>
        <v>FRI</v>
      </c>
      <c r="G7654" s="14">
        <v>44246</v>
      </c>
      <c r="H7654" s="2">
        <f t="shared" ref="H7654:H7685" ca="1" si="3233">TODAY()-G7654</f>
        <v>7</v>
      </c>
      <c r="I7654" t="str">
        <f t="shared" ref="I7654:I7685" si="3234">TRIM(LEFT(B7654,FIND(" ",B7654,1)))</f>
        <v>UST10Y</v>
      </c>
      <c r="J7654">
        <f t="shared" ref="J7654:J7685" si="3235">C7654</f>
        <v>1.34</v>
      </c>
      <c r="K7654">
        <f t="shared" ref="K7654:K7685" si="3236">D7654</f>
        <v>1.2</v>
      </c>
      <c r="L7654">
        <f t="shared" ref="L7654:L7685" si="3237">AVERAGE(J7654:K7654)</f>
        <v>1.27</v>
      </c>
      <c r="M7654">
        <f t="shared" ref="M7654:M7685" si="3238">_xlfn.STDEV.P(J7654:K7654)</f>
        <v>7.0000000000000062E-2</v>
      </c>
      <c r="N7654">
        <f t="shared" si="3219"/>
        <v>0.14000000000000012</v>
      </c>
      <c r="O7654">
        <f t="shared" ref="O7654:O7685" si="3239">E7654</f>
        <v>1.29</v>
      </c>
      <c r="P7654">
        <f t="shared" ref="P7654:P7685" si="3240">(O7654-L7654)/M7654</f>
        <v>0.2857142857142857</v>
      </c>
      <c r="Q7654" t="str">
        <f t="shared" ref="Q7654:Q7685" si="3241">ROUND(ABS(100*(O7654-J7654)/O7654),2)&amp;"% | "&amp;ROUND(ABS(100*(K7654-O7654)/O7654),2)&amp;"%"</f>
        <v>3.88% | 6.98%</v>
      </c>
      <c r="R7654" t="str">
        <f t="shared" ref="R7654:R7685" si="3242">MID(B7654,FIND("(",B7654,1)+1,FIND(")",B7654,1)-FIND("(",B7654,1)-1)</f>
        <v>BULLISH</v>
      </c>
      <c r="S7654">
        <f t="shared" ref="S7654:S7685" si="3243">IF(R7654="BEARISH",-1,IF(R7654="NEUTRAL",0,IF(R7654="BULLISH",1,99)))</f>
        <v>1</v>
      </c>
    </row>
    <row r="7655" spans="1:19" hidden="1" x14ac:dyDescent="0.25">
      <c r="A7655" s="5" t="str">
        <f t="shared" si="3232"/>
        <v>44246UST2Y</v>
      </c>
      <c r="B7655" s="6" t="s">
        <v>5</v>
      </c>
      <c r="C7655" s="6">
        <v>0.14000000000000001</v>
      </c>
      <c r="D7655" s="6">
        <v>0.09</v>
      </c>
      <c r="E7655" s="6">
        <v>0.11</v>
      </c>
      <c r="F7655" t="str">
        <f t="shared" ref="F7655:F7718" si="3244">UPPER(TEXT(G7655,"ddd"))</f>
        <v>FRI</v>
      </c>
      <c r="G7655" s="14">
        <v>44246</v>
      </c>
      <c r="H7655" s="2">
        <f t="shared" ca="1" si="3233"/>
        <v>7</v>
      </c>
      <c r="I7655" t="str">
        <f t="shared" si="3234"/>
        <v>UST2Y</v>
      </c>
      <c r="J7655">
        <f t="shared" si="3235"/>
        <v>0.14000000000000001</v>
      </c>
      <c r="K7655">
        <f t="shared" si="3236"/>
        <v>0.09</v>
      </c>
      <c r="L7655">
        <f t="shared" si="3237"/>
        <v>0.115</v>
      </c>
      <c r="M7655">
        <f t="shared" si="3238"/>
        <v>2.5000000000000012E-2</v>
      </c>
      <c r="N7655">
        <f t="shared" si="3219"/>
        <v>5.0000000000000017E-2</v>
      </c>
      <c r="O7655">
        <f t="shared" si="3239"/>
        <v>0.11</v>
      </c>
      <c r="P7655">
        <f t="shared" si="3240"/>
        <v>-0.20000000000000009</v>
      </c>
      <c r="Q7655" t="str">
        <f t="shared" si="3241"/>
        <v>27.27% | 18.18%</v>
      </c>
      <c r="R7655" t="str">
        <f t="shared" si="3242"/>
        <v>BEARISH</v>
      </c>
      <c r="S7655">
        <f t="shared" si="3243"/>
        <v>-1</v>
      </c>
    </row>
    <row r="7656" spans="1:19" hidden="1" x14ac:dyDescent="0.25">
      <c r="A7656" s="5" t="str">
        <f t="shared" si="3232"/>
        <v>44246SPX</v>
      </c>
      <c r="B7656" s="6" t="s">
        <v>93</v>
      </c>
      <c r="C7656" s="6">
        <v>3878</v>
      </c>
      <c r="D7656" s="6">
        <v>3952</v>
      </c>
      <c r="E7656" s="6">
        <v>3913</v>
      </c>
      <c r="F7656" t="str">
        <f t="shared" si="3244"/>
        <v>FRI</v>
      </c>
      <c r="G7656" s="14">
        <v>44246</v>
      </c>
      <c r="H7656" s="2">
        <f t="shared" ca="1" si="3233"/>
        <v>7</v>
      </c>
      <c r="I7656" t="str">
        <f t="shared" si="3234"/>
        <v>SPX</v>
      </c>
      <c r="J7656">
        <f t="shared" si="3235"/>
        <v>3878</v>
      </c>
      <c r="K7656">
        <f t="shared" si="3236"/>
        <v>3952</v>
      </c>
      <c r="L7656">
        <f t="shared" si="3237"/>
        <v>3915</v>
      </c>
      <c r="M7656">
        <f t="shared" si="3238"/>
        <v>37</v>
      </c>
      <c r="N7656">
        <f t="shared" si="3219"/>
        <v>74</v>
      </c>
      <c r="O7656">
        <f t="shared" si="3239"/>
        <v>3913</v>
      </c>
      <c r="P7656">
        <f t="shared" si="3240"/>
        <v>-5.4054054054054057E-2</v>
      </c>
      <c r="Q7656" t="str">
        <f t="shared" si="3241"/>
        <v>0.89% | 1%</v>
      </c>
      <c r="R7656" t="str">
        <f t="shared" si="3242"/>
        <v>BULLISH</v>
      </c>
      <c r="S7656">
        <f t="shared" si="3243"/>
        <v>1</v>
      </c>
    </row>
    <row r="7657" spans="1:19" hidden="1" x14ac:dyDescent="0.25">
      <c r="A7657" s="5" t="str">
        <f t="shared" si="3232"/>
        <v>44246RUT</v>
      </c>
      <c r="B7657" s="6" t="s">
        <v>247</v>
      </c>
      <c r="C7657" s="6">
        <v>2201</v>
      </c>
      <c r="D7657" s="6">
        <v>2319</v>
      </c>
      <c r="E7657" s="6">
        <v>2218</v>
      </c>
      <c r="F7657" t="str">
        <f t="shared" si="3244"/>
        <v>FRI</v>
      </c>
      <c r="G7657" s="14">
        <v>44246</v>
      </c>
      <c r="H7657" s="2">
        <f t="shared" ca="1" si="3233"/>
        <v>7</v>
      </c>
      <c r="I7657" t="str">
        <f t="shared" si="3234"/>
        <v>RUT</v>
      </c>
      <c r="J7657">
        <f t="shared" si="3235"/>
        <v>2201</v>
      </c>
      <c r="K7657">
        <f t="shared" si="3236"/>
        <v>2319</v>
      </c>
      <c r="L7657">
        <f t="shared" si="3237"/>
        <v>2260</v>
      </c>
      <c r="M7657">
        <f t="shared" si="3238"/>
        <v>59</v>
      </c>
      <c r="N7657">
        <f t="shared" si="3219"/>
        <v>118</v>
      </c>
      <c r="O7657">
        <f t="shared" si="3239"/>
        <v>2218</v>
      </c>
      <c r="P7657">
        <f t="shared" si="3240"/>
        <v>-0.71186440677966101</v>
      </c>
      <c r="Q7657" t="str">
        <f t="shared" si="3241"/>
        <v>0.77% | 4.55%</v>
      </c>
      <c r="R7657" t="str">
        <f t="shared" si="3242"/>
        <v>BULLISH</v>
      </c>
      <c r="S7657">
        <f t="shared" si="3243"/>
        <v>1</v>
      </c>
    </row>
    <row r="7658" spans="1:19" hidden="1" x14ac:dyDescent="0.25">
      <c r="A7658" s="5" t="str">
        <f t="shared" si="3232"/>
        <v>44246COMPQ</v>
      </c>
      <c r="B7658" s="6" t="s">
        <v>8</v>
      </c>
      <c r="C7658" s="6">
        <v>13812</v>
      </c>
      <c r="D7658" s="6">
        <v>14138</v>
      </c>
      <c r="E7658" s="6">
        <v>13865</v>
      </c>
      <c r="F7658" t="str">
        <f t="shared" si="3244"/>
        <v>FRI</v>
      </c>
      <c r="G7658" s="14">
        <v>44246</v>
      </c>
      <c r="H7658" s="2">
        <f t="shared" ca="1" si="3233"/>
        <v>7</v>
      </c>
      <c r="I7658" t="str">
        <f t="shared" si="3234"/>
        <v>COMPQ</v>
      </c>
      <c r="J7658">
        <f t="shared" si="3235"/>
        <v>13812</v>
      </c>
      <c r="K7658">
        <f t="shared" si="3236"/>
        <v>14138</v>
      </c>
      <c r="L7658">
        <f t="shared" si="3237"/>
        <v>13975</v>
      </c>
      <c r="M7658">
        <f t="shared" si="3238"/>
        <v>163</v>
      </c>
      <c r="N7658">
        <f t="shared" si="3219"/>
        <v>326</v>
      </c>
      <c r="O7658">
        <f t="shared" si="3239"/>
        <v>13865</v>
      </c>
      <c r="P7658">
        <f t="shared" si="3240"/>
        <v>-0.67484662576687116</v>
      </c>
      <c r="Q7658" t="str">
        <f t="shared" si="3241"/>
        <v>0.38% | 1.97%</v>
      </c>
      <c r="R7658" t="str">
        <f t="shared" si="3242"/>
        <v>BULLISH</v>
      </c>
      <c r="S7658">
        <f t="shared" si="3243"/>
        <v>1</v>
      </c>
    </row>
    <row r="7659" spans="1:19" hidden="1" x14ac:dyDescent="0.25">
      <c r="A7659" s="5" t="str">
        <f t="shared" si="3232"/>
        <v>44246XLK</v>
      </c>
      <c r="B7659" s="6" t="s">
        <v>10</v>
      </c>
      <c r="C7659" s="6">
        <v>134.52000000000001</v>
      </c>
      <c r="D7659" s="6">
        <v>139.18</v>
      </c>
      <c r="E7659" s="6">
        <v>136.25</v>
      </c>
      <c r="F7659" t="str">
        <f t="shared" si="3244"/>
        <v>FRI</v>
      </c>
      <c r="G7659" s="14">
        <v>44246</v>
      </c>
      <c r="H7659" s="2">
        <f t="shared" ca="1" si="3233"/>
        <v>7</v>
      </c>
      <c r="I7659" t="str">
        <f t="shared" si="3234"/>
        <v>XLK</v>
      </c>
      <c r="J7659">
        <f t="shared" si="3235"/>
        <v>134.52000000000001</v>
      </c>
      <c r="K7659">
        <f t="shared" si="3236"/>
        <v>139.18</v>
      </c>
      <c r="L7659">
        <f t="shared" si="3237"/>
        <v>136.85000000000002</v>
      </c>
      <c r="M7659">
        <f t="shared" si="3238"/>
        <v>2.3299999999999983</v>
      </c>
      <c r="N7659">
        <f t="shared" si="3219"/>
        <v>4.6599999999999966</v>
      </c>
      <c r="O7659">
        <f t="shared" si="3239"/>
        <v>136.25</v>
      </c>
      <c r="P7659">
        <f t="shared" si="3240"/>
        <v>-0.25751072961374383</v>
      </c>
      <c r="Q7659" t="str">
        <f t="shared" si="3241"/>
        <v>1.27% | 2.15%</v>
      </c>
      <c r="R7659" t="str">
        <f t="shared" si="3242"/>
        <v>BULLISH</v>
      </c>
      <c r="S7659">
        <f t="shared" si="3243"/>
        <v>1</v>
      </c>
    </row>
    <row r="7660" spans="1:19" hidden="1" x14ac:dyDescent="0.25">
      <c r="A7660" s="5" t="str">
        <f t="shared" si="3232"/>
        <v>44246XLE</v>
      </c>
      <c r="B7660" s="6" t="s">
        <v>250</v>
      </c>
      <c r="C7660" s="6">
        <v>42.02</v>
      </c>
      <c r="D7660" s="6">
        <v>47.1</v>
      </c>
      <c r="E7660" s="6">
        <v>45.42</v>
      </c>
      <c r="F7660" t="str">
        <f t="shared" si="3244"/>
        <v>FRI</v>
      </c>
      <c r="G7660" s="14">
        <v>44246</v>
      </c>
      <c r="H7660" s="2">
        <f t="shared" ca="1" si="3233"/>
        <v>7</v>
      </c>
      <c r="I7660" t="str">
        <f t="shared" si="3234"/>
        <v>XLE</v>
      </c>
      <c r="J7660">
        <f t="shared" si="3235"/>
        <v>42.02</v>
      </c>
      <c r="K7660">
        <f t="shared" si="3236"/>
        <v>47.1</v>
      </c>
      <c r="L7660">
        <f t="shared" si="3237"/>
        <v>44.56</v>
      </c>
      <c r="M7660">
        <f t="shared" si="3238"/>
        <v>2.5399999999999991</v>
      </c>
      <c r="N7660">
        <f t="shared" si="3219"/>
        <v>5.0799999999999983</v>
      </c>
      <c r="O7660">
        <f t="shared" si="3239"/>
        <v>45.42</v>
      </c>
      <c r="P7660">
        <f t="shared" si="3240"/>
        <v>0.33858267716535423</v>
      </c>
      <c r="Q7660" t="str">
        <f t="shared" si="3241"/>
        <v>7.49% | 3.7%</v>
      </c>
      <c r="R7660" t="str">
        <f t="shared" si="3242"/>
        <v>BULLISH</v>
      </c>
      <c r="S7660">
        <f t="shared" si="3243"/>
        <v>1</v>
      </c>
    </row>
    <row r="7661" spans="1:19" hidden="1" x14ac:dyDescent="0.25">
      <c r="A7661" s="5" t="str">
        <f t="shared" si="3232"/>
        <v>44246XLU</v>
      </c>
      <c r="B7661" s="6" t="s">
        <v>82</v>
      </c>
      <c r="C7661" s="6">
        <v>61.49</v>
      </c>
      <c r="D7661" s="6">
        <v>62.99</v>
      </c>
      <c r="E7661" s="6">
        <v>62.34</v>
      </c>
      <c r="F7661" t="str">
        <f t="shared" si="3244"/>
        <v>FRI</v>
      </c>
      <c r="G7661" s="14">
        <v>44246</v>
      </c>
      <c r="H7661" s="2">
        <f t="shared" ca="1" si="3233"/>
        <v>7</v>
      </c>
      <c r="I7661" t="str">
        <f t="shared" si="3234"/>
        <v>XLU</v>
      </c>
      <c r="J7661">
        <f t="shared" si="3235"/>
        <v>61.49</v>
      </c>
      <c r="K7661">
        <f t="shared" si="3236"/>
        <v>62.99</v>
      </c>
      <c r="L7661">
        <f t="shared" si="3237"/>
        <v>62.24</v>
      </c>
      <c r="M7661">
        <f t="shared" si="3238"/>
        <v>0.75</v>
      </c>
      <c r="N7661">
        <f t="shared" si="3219"/>
        <v>1.5</v>
      </c>
      <c r="O7661">
        <f t="shared" si="3239"/>
        <v>62.34</v>
      </c>
      <c r="P7661">
        <f t="shared" si="3240"/>
        <v>0.13333333333333522</v>
      </c>
      <c r="Q7661" t="str">
        <f t="shared" si="3241"/>
        <v>1.36% | 1.04%</v>
      </c>
      <c r="R7661" t="str">
        <f t="shared" si="3242"/>
        <v>BEARISH</v>
      </c>
      <c r="S7661">
        <f t="shared" si="3243"/>
        <v>-1</v>
      </c>
    </row>
    <row r="7662" spans="1:19" hidden="1" x14ac:dyDescent="0.25">
      <c r="A7662" s="5" t="str">
        <f t="shared" si="3232"/>
        <v>44246GDX</v>
      </c>
      <c r="B7662" s="6" t="s">
        <v>254</v>
      </c>
      <c r="C7662" s="6">
        <v>32.409999999999997</v>
      </c>
      <c r="D7662" s="6">
        <v>34.83</v>
      </c>
      <c r="E7662" s="6">
        <v>32.79</v>
      </c>
      <c r="F7662" t="str">
        <f t="shared" si="3244"/>
        <v>FRI</v>
      </c>
      <c r="G7662" s="14">
        <v>44246</v>
      </c>
      <c r="H7662" s="2">
        <f t="shared" ca="1" si="3233"/>
        <v>7</v>
      </c>
      <c r="I7662" t="str">
        <f t="shared" si="3234"/>
        <v>GDX</v>
      </c>
      <c r="J7662">
        <f t="shared" si="3235"/>
        <v>32.409999999999997</v>
      </c>
      <c r="K7662">
        <f t="shared" si="3236"/>
        <v>34.83</v>
      </c>
      <c r="L7662">
        <f t="shared" si="3237"/>
        <v>33.619999999999997</v>
      </c>
      <c r="M7662">
        <f t="shared" si="3238"/>
        <v>1.2100000000000009</v>
      </c>
      <c r="N7662">
        <f t="shared" si="3219"/>
        <v>2.4200000000000017</v>
      </c>
      <c r="O7662">
        <f t="shared" si="3239"/>
        <v>32.79</v>
      </c>
      <c r="P7662">
        <f t="shared" si="3240"/>
        <v>-0.68595041322313866</v>
      </c>
      <c r="Q7662" t="str">
        <f t="shared" si="3241"/>
        <v>1.16% | 6.22%</v>
      </c>
      <c r="R7662" t="str">
        <f t="shared" si="3242"/>
        <v>BEARISH</v>
      </c>
      <c r="S7662">
        <f t="shared" si="3243"/>
        <v>-1</v>
      </c>
    </row>
    <row r="7663" spans="1:19" hidden="1" x14ac:dyDescent="0.25">
      <c r="A7663" s="5" t="str">
        <f t="shared" si="3232"/>
        <v>44246SSEC</v>
      </c>
      <c r="B7663" s="6" t="s">
        <v>104</v>
      </c>
      <c r="C7663" s="6">
        <v>3540</v>
      </c>
      <c r="D7663" s="6">
        <v>3719</v>
      </c>
      <c r="E7663" s="6">
        <v>3696</v>
      </c>
      <c r="F7663" t="str">
        <f t="shared" si="3244"/>
        <v>FRI</v>
      </c>
      <c r="G7663" s="14">
        <v>44246</v>
      </c>
      <c r="H7663" s="2">
        <f t="shared" ca="1" si="3233"/>
        <v>7</v>
      </c>
      <c r="I7663" t="str">
        <f t="shared" si="3234"/>
        <v>SSEC</v>
      </c>
      <c r="J7663">
        <f t="shared" si="3235"/>
        <v>3540</v>
      </c>
      <c r="K7663">
        <f t="shared" si="3236"/>
        <v>3719</v>
      </c>
      <c r="L7663">
        <f t="shared" si="3237"/>
        <v>3629.5</v>
      </c>
      <c r="M7663">
        <f t="shared" si="3238"/>
        <v>89.5</v>
      </c>
      <c r="N7663">
        <f t="shared" si="3219"/>
        <v>179</v>
      </c>
      <c r="O7663">
        <f t="shared" si="3239"/>
        <v>3696</v>
      </c>
      <c r="P7663">
        <f t="shared" si="3240"/>
        <v>0.74301675977653636</v>
      </c>
      <c r="Q7663" t="str">
        <f t="shared" si="3241"/>
        <v>4.22% | 0.62%</v>
      </c>
      <c r="R7663" t="str">
        <f t="shared" si="3242"/>
        <v>BULLISH</v>
      </c>
      <c r="S7663">
        <f t="shared" si="3243"/>
        <v>1</v>
      </c>
    </row>
    <row r="7664" spans="1:19" hidden="1" x14ac:dyDescent="0.25">
      <c r="A7664" s="5" t="str">
        <f t="shared" si="3232"/>
        <v>44246NIKK</v>
      </c>
      <c r="B7664" s="6" t="s">
        <v>91</v>
      </c>
      <c r="C7664" s="6">
        <v>28995</v>
      </c>
      <c r="D7664" s="6">
        <v>30790</v>
      </c>
      <c r="E7664" s="6">
        <v>30017</v>
      </c>
      <c r="F7664" t="str">
        <f t="shared" si="3244"/>
        <v>FRI</v>
      </c>
      <c r="G7664" s="14">
        <v>44246</v>
      </c>
      <c r="H7664" s="2">
        <f t="shared" ca="1" si="3233"/>
        <v>7</v>
      </c>
      <c r="I7664" t="str">
        <f t="shared" si="3234"/>
        <v>NIKK</v>
      </c>
      <c r="J7664">
        <f t="shared" si="3235"/>
        <v>28995</v>
      </c>
      <c r="K7664">
        <f t="shared" si="3236"/>
        <v>30790</v>
      </c>
      <c r="L7664">
        <f t="shared" si="3237"/>
        <v>29892.5</v>
      </c>
      <c r="M7664">
        <f t="shared" si="3238"/>
        <v>897.5</v>
      </c>
      <c r="N7664">
        <f t="shared" si="3219"/>
        <v>1795</v>
      </c>
      <c r="O7664">
        <f t="shared" si="3239"/>
        <v>30017</v>
      </c>
      <c r="P7664">
        <f t="shared" si="3240"/>
        <v>0.13871866295264623</v>
      </c>
      <c r="Q7664" t="str">
        <f t="shared" si="3241"/>
        <v>3.4% | 2.58%</v>
      </c>
      <c r="R7664" t="str">
        <f t="shared" si="3242"/>
        <v>BULLISH</v>
      </c>
      <c r="S7664">
        <f t="shared" si="3243"/>
        <v>1</v>
      </c>
    </row>
    <row r="7665" spans="1:19" hidden="1" x14ac:dyDescent="0.25">
      <c r="A7665" s="5" t="str">
        <f t="shared" si="3232"/>
        <v>44246DAX</v>
      </c>
      <c r="B7665" s="6" t="s">
        <v>98</v>
      </c>
      <c r="C7665" s="6">
        <v>13809</v>
      </c>
      <c r="D7665" s="6">
        <v>14165</v>
      </c>
      <c r="E7665" s="6">
        <v>13886</v>
      </c>
      <c r="F7665" t="str">
        <f t="shared" si="3244"/>
        <v>FRI</v>
      </c>
      <c r="G7665" s="14">
        <v>44246</v>
      </c>
      <c r="H7665" s="2">
        <f t="shared" ca="1" si="3233"/>
        <v>7</v>
      </c>
      <c r="I7665" t="str">
        <f t="shared" si="3234"/>
        <v>DAX</v>
      </c>
      <c r="J7665">
        <f t="shared" si="3235"/>
        <v>13809</v>
      </c>
      <c r="K7665">
        <f t="shared" si="3236"/>
        <v>14165</v>
      </c>
      <c r="L7665">
        <f t="shared" si="3237"/>
        <v>13987</v>
      </c>
      <c r="M7665">
        <f t="shared" si="3238"/>
        <v>178</v>
      </c>
      <c r="N7665">
        <f t="shared" si="3219"/>
        <v>356</v>
      </c>
      <c r="O7665">
        <f t="shared" si="3239"/>
        <v>13886</v>
      </c>
      <c r="P7665">
        <f t="shared" si="3240"/>
        <v>-0.56741573033707871</v>
      </c>
      <c r="Q7665" t="str">
        <f t="shared" si="3241"/>
        <v>0.55% | 2.01%</v>
      </c>
      <c r="R7665" t="str">
        <f t="shared" si="3242"/>
        <v>BULLISH</v>
      </c>
      <c r="S7665">
        <f t="shared" si="3243"/>
        <v>1</v>
      </c>
    </row>
    <row r="7666" spans="1:19" hidden="1" x14ac:dyDescent="0.25">
      <c r="A7666" s="5" t="str">
        <f t="shared" si="3232"/>
        <v>44246VIX</v>
      </c>
      <c r="B7666" s="6" t="s">
        <v>96</v>
      </c>
      <c r="C7666" s="6">
        <v>19.05</v>
      </c>
      <c r="D7666" s="6">
        <v>24.25</v>
      </c>
      <c r="E7666" s="6">
        <v>22.49</v>
      </c>
      <c r="F7666" t="str">
        <f t="shared" si="3244"/>
        <v>FRI</v>
      </c>
      <c r="G7666" s="14">
        <v>44246</v>
      </c>
      <c r="H7666" s="2">
        <f t="shared" ca="1" si="3233"/>
        <v>7</v>
      </c>
      <c r="I7666" t="str">
        <f t="shared" si="3234"/>
        <v>VIX</v>
      </c>
      <c r="J7666">
        <f t="shared" si="3235"/>
        <v>19.05</v>
      </c>
      <c r="K7666">
        <f t="shared" si="3236"/>
        <v>24.25</v>
      </c>
      <c r="L7666">
        <f t="shared" si="3237"/>
        <v>21.65</v>
      </c>
      <c r="M7666">
        <f t="shared" si="3238"/>
        <v>2.6000000000000201</v>
      </c>
      <c r="N7666">
        <f t="shared" si="3219"/>
        <v>5.1999999999999993</v>
      </c>
      <c r="O7666">
        <f t="shared" si="3239"/>
        <v>22.49</v>
      </c>
      <c r="P7666">
        <f t="shared" si="3240"/>
        <v>0.32307692307692054</v>
      </c>
      <c r="Q7666" t="str">
        <f t="shared" si="3241"/>
        <v>15.3% | 7.83%</v>
      </c>
      <c r="R7666" t="str">
        <f t="shared" si="3242"/>
        <v>BEARISH</v>
      </c>
      <c r="S7666">
        <f t="shared" si="3243"/>
        <v>-1</v>
      </c>
    </row>
    <row r="7667" spans="1:19" hidden="1" x14ac:dyDescent="0.25">
      <c r="A7667" s="5" t="str">
        <f t="shared" si="3232"/>
        <v>44246USD</v>
      </c>
      <c r="B7667" s="6" t="s">
        <v>94</v>
      </c>
      <c r="C7667" s="6">
        <v>89.94</v>
      </c>
      <c r="D7667" s="6">
        <v>91.29</v>
      </c>
      <c r="E7667" s="6">
        <v>90.6</v>
      </c>
      <c r="F7667" t="str">
        <f t="shared" si="3244"/>
        <v>FRI</v>
      </c>
      <c r="G7667" s="14">
        <v>44246</v>
      </c>
      <c r="H7667" s="2">
        <f t="shared" ca="1" si="3233"/>
        <v>7</v>
      </c>
      <c r="I7667" t="str">
        <f t="shared" si="3234"/>
        <v>USD</v>
      </c>
      <c r="J7667">
        <f t="shared" si="3235"/>
        <v>89.94</v>
      </c>
      <c r="K7667">
        <f t="shared" si="3236"/>
        <v>91.29</v>
      </c>
      <c r="L7667">
        <f t="shared" si="3237"/>
        <v>90.615000000000009</v>
      </c>
      <c r="M7667">
        <f t="shared" si="3238"/>
        <v>0.67500000000000426</v>
      </c>
      <c r="N7667">
        <f t="shared" si="3219"/>
        <v>1.3500000000000085</v>
      </c>
      <c r="O7667">
        <f t="shared" si="3239"/>
        <v>90.6</v>
      </c>
      <c r="P7667">
        <f t="shared" si="3240"/>
        <v>-2.2222222222243977E-2</v>
      </c>
      <c r="Q7667" t="str">
        <f t="shared" si="3241"/>
        <v>0.73% | 0.76%</v>
      </c>
      <c r="R7667" t="str">
        <f t="shared" si="3242"/>
        <v>BEARISH</v>
      </c>
      <c r="S7667">
        <f t="shared" si="3243"/>
        <v>-1</v>
      </c>
    </row>
    <row r="7668" spans="1:19" hidden="1" x14ac:dyDescent="0.25">
      <c r="A7668" s="5" t="str">
        <f t="shared" si="3232"/>
        <v>44246EUR/USD</v>
      </c>
      <c r="B7668" s="6" t="s">
        <v>99</v>
      </c>
      <c r="C7668" s="6">
        <v>1.1990000000000001</v>
      </c>
      <c r="D7668" s="6">
        <v>1.2190000000000001</v>
      </c>
      <c r="E7668" s="6">
        <v>1.2090000000000001</v>
      </c>
      <c r="F7668" t="str">
        <f t="shared" si="3244"/>
        <v>FRI</v>
      </c>
      <c r="G7668" s="14">
        <v>44246</v>
      </c>
      <c r="H7668" s="2">
        <f t="shared" ca="1" si="3233"/>
        <v>7</v>
      </c>
      <c r="I7668" t="str">
        <f t="shared" si="3234"/>
        <v>EUR/USD</v>
      </c>
      <c r="J7668">
        <f t="shared" si="3235"/>
        <v>1.1990000000000001</v>
      </c>
      <c r="K7668">
        <f t="shared" si="3236"/>
        <v>1.2190000000000001</v>
      </c>
      <c r="L7668">
        <f t="shared" si="3237"/>
        <v>1.2090000000000001</v>
      </c>
      <c r="M7668">
        <f t="shared" si="3238"/>
        <v>1.0000000000000009E-2</v>
      </c>
      <c r="N7668">
        <f t="shared" si="3219"/>
        <v>2.0000000000000018E-2</v>
      </c>
      <c r="O7668">
        <f t="shared" si="3239"/>
        <v>1.2090000000000001</v>
      </c>
      <c r="P7668">
        <f t="shared" si="3240"/>
        <v>0</v>
      </c>
      <c r="Q7668" t="str">
        <f t="shared" si="3241"/>
        <v>0.83% | 0.83%</v>
      </c>
      <c r="R7668" t="str">
        <f t="shared" si="3242"/>
        <v>BULLISH</v>
      </c>
      <c r="S7668">
        <f t="shared" si="3243"/>
        <v>1</v>
      </c>
    </row>
    <row r="7669" spans="1:19" hidden="1" x14ac:dyDescent="0.25">
      <c r="A7669" s="5" t="str">
        <f t="shared" si="3232"/>
        <v>44246USD/JPY</v>
      </c>
      <c r="B7669" s="6" t="s">
        <v>56</v>
      </c>
      <c r="C7669" s="6">
        <v>104.2</v>
      </c>
      <c r="D7669" s="6">
        <v>106.25</v>
      </c>
      <c r="E7669" s="6">
        <v>105.68</v>
      </c>
      <c r="F7669" t="str">
        <f t="shared" si="3244"/>
        <v>FRI</v>
      </c>
      <c r="G7669" s="14">
        <v>44246</v>
      </c>
      <c r="H7669" s="2">
        <f t="shared" ca="1" si="3233"/>
        <v>7</v>
      </c>
      <c r="I7669" t="str">
        <f t="shared" si="3234"/>
        <v>USD/JPY</v>
      </c>
      <c r="J7669">
        <f t="shared" si="3235"/>
        <v>104.2</v>
      </c>
      <c r="K7669">
        <f t="shared" si="3236"/>
        <v>106.25</v>
      </c>
      <c r="L7669">
        <f t="shared" si="3237"/>
        <v>105.22499999999999</v>
      </c>
      <c r="M7669">
        <f t="shared" si="3238"/>
        <v>1.0249999999999986</v>
      </c>
      <c r="N7669">
        <f t="shared" si="3219"/>
        <v>2.0499999999999972</v>
      </c>
      <c r="O7669">
        <f t="shared" si="3239"/>
        <v>105.68</v>
      </c>
      <c r="P7669">
        <f t="shared" si="3240"/>
        <v>0.44390243902440307</v>
      </c>
      <c r="Q7669" t="str">
        <f t="shared" si="3241"/>
        <v>1.4% | 0.54%</v>
      </c>
      <c r="R7669" t="str">
        <f t="shared" si="3242"/>
        <v>BULLISH</v>
      </c>
      <c r="S7669">
        <f t="shared" si="3243"/>
        <v>1</v>
      </c>
    </row>
    <row r="7670" spans="1:19" hidden="1" x14ac:dyDescent="0.25">
      <c r="A7670" s="5" t="str">
        <f t="shared" si="3232"/>
        <v>44246GBP/USD</v>
      </c>
      <c r="B7670" s="6" t="s">
        <v>102</v>
      </c>
      <c r="C7670" s="6">
        <v>1.373</v>
      </c>
      <c r="D7670" s="6">
        <v>1.405</v>
      </c>
      <c r="E7670" s="6">
        <v>1.3979999999999999</v>
      </c>
      <c r="F7670" t="str">
        <f t="shared" si="3244"/>
        <v>FRI</v>
      </c>
      <c r="G7670" s="14">
        <v>44246</v>
      </c>
      <c r="H7670" s="2">
        <f t="shared" ca="1" si="3233"/>
        <v>7</v>
      </c>
      <c r="I7670" t="str">
        <f t="shared" si="3234"/>
        <v>GBP/USD</v>
      </c>
      <c r="J7670">
        <f t="shared" si="3235"/>
        <v>1.373</v>
      </c>
      <c r="K7670">
        <f t="shared" si="3236"/>
        <v>1.405</v>
      </c>
      <c r="L7670">
        <f t="shared" si="3237"/>
        <v>1.389</v>
      </c>
      <c r="M7670">
        <f t="shared" si="3238"/>
        <v>1.6000000000000014E-2</v>
      </c>
      <c r="N7670">
        <f t="shared" si="3219"/>
        <v>3.2000000000000028E-2</v>
      </c>
      <c r="O7670">
        <f t="shared" si="3239"/>
        <v>1.3979999999999999</v>
      </c>
      <c r="P7670">
        <f t="shared" si="3240"/>
        <v>0.56249999999999312</v>
      </c>
      <c r="Q7670" t="str">
        <f t="shared" si="3241"/>
        <v>1.79% | 0.5%</v>
      </c>
      <c r="R7670" t="str">
        <f t="shared" si="3242"/>
        <v>BULLISH</v>
      </c>
      <c r="S7670">
        <f t="shared" si="3243"/>
        <v>1</v>
      </c>
    </row>
    <row r="7671" spans="1:19" hidden="1" x14ac:dyDescent="0.25">
      <c r="A7671" s="5" t="str">
        <f t="shared" si="3232"/>
        <v>44246CAD/USD</v>
      </c>
      <c r="B7671" s="6" t="s">
        <v>244</v>
      </c>
      <c r="C7671" s="6">
        <v>0.77</v>
      </c>
      <c r="D7671" s="6">
        <v>0.79</v>
      </c>
      <c r="E7671" s="6">
        <v>0.78</v>
      </c>
      <c r="F7671" t="str">
        <f t="shared" si="3244"/>
        <v>FRI</v>
      </c>
      <c r="G7671" s="14">
        <v>44246</v>
      </c>
      <c r="H7671" s="2">
        <f t="shared" ca="1" si="3233"/>
        <v>7</v>
      </c>
      <c r="I7671" t="str">
        <f t="shared" si="3234"/>
        <v>CAD/USD</v>
      </c>
      <c r="J7671">
        <f t="shared" si="3235"/>
        <v>0.77</v>
      </c>
      <c r="K7671">
        <f t="shared" si="3236"/>
        <v>0.79</v>
      </c>
      <c r="L7671">
        <f t="shared" si="3237"/>
        <v>0.78</v>
      </c>
      <c r="M7671">
        <f t="shared" si="3238"/>
        <v>1.0000000000000009E-2</v>
      </c>
      <c r="N7671">
        <f t="shared" si="3219"/>
        <v>2.0000000000000018E-2</v>
      </c>
      <c r="O7671">
        <f t="shared" si="3239"/>
        <v>0.78</v>
      </c>
      <c r="P7671">
        <f t="shared" si="3240"/>
        <v>0</v>
      </c>
      <c r="Q7671" t="str">
        <f t="shared" si="3241"/>
        <v>1.28% | 1.28%</v>
      </c>
      <c r="R7671" t="str">
        <f t="shared" si="3242"/>
        <v>BULLISH</v>
      </c>
      <c r="S7671">
        <f t="shared" si="3243"/>
        <v>1</v>
      </c>
    </row>
    <row r="7672" spans="1:19" hidden="1" x14ac:dyDescent="0.25">
      <c r="A7672" s="5" t="str">
        <f t="shared" si="3232"/>
        <v>44246USD/CHF</v>
      </c>
      <c r="B7672" s="6" t="s">
        <v>76</v>
      </c>
      <c r="C7672" s="6">
        <v>0.88</v>
      </c>
      <c r="D7672" s="6">
        <v>0.9</v>
      </c>
      <c r="E7672" s="6">
        <v>0.89</v>
      </c>
      <c r="F7672" t="str">
        <f t="shared" si="3244"/>
        <v>FRI</v>
      </c>
      <c r="G7672" s="14">
        <v>44246</v>
      </c>
      <c r="H7672" s="2">
        <f t="shared" ca="1" si="3233"/>
        <v>7</v>
      </c>
      <c r="I7672" t="str">
        <f t="shared" si="3234"/>
        <v>USD/CHF</v>
      </c>
      <c r="J7672">
        <f t="shared" si="3235"/>
        <v>0.88</v>
      </c>
      <c r="K7672">
        <f t="shared" si="3236"/>
        <v>0.9</v>
      </c>
      <c r="L7672">
        <f t="shared" si="3237"/>
        <v>0.89</v>
      </c>
      <c r="M7672">
        <f t="shared" si="3238"/>
        <v>1.0000000000000009E-2</v>
      </c>
      <c r="N7672">
        <f t="shared" si="3219"/>
        <v>2.0000000000000018E-2</v>
      </c>
      <c r="O7672">
        <f t="shared" si="3239"/>
        <v>0.89</v>
      </c>
      <c r="P7672">
        <f t="shared" si="3240"/>
        <v>0</v>
      </c>
      <c r="Q7672" t="str">
        <f t="shared" si="3241"/>
        <v>1.12% | 1.12%</v>
      </c>
      <c r="R7672" t="str">
        <f t="shared" si="3242"/>
        <v>BEARISH</v>
      </c>
      <c r="S7672">
        <f t="shared" si="3243"/>
        <v>-1</v>
      </c>
    </row>
    <row r="7673" spans="1:19" hidden="1" x14ac:dyDescent="0.25">
      <c r="A7673" s="5" t="str">
        <f t="shared" si="3232"/>
        <v>44246WTIC</v>
      </c>
      <c r="B7673" s="6" t="s">
        <v>158</v>
      </c>
      <c r="C7673" s="6">
        <v>56.54</v>
      </c>
      <c r="D7673" s="6">
        <v>61.72</v>
      </c>
      <c r="E7673" s="6">
        <v>60.53</v>
      </c>
      <c r="F7673" t="str">
        <f t="shared" si="3244"/>
        <v>FRI</v>
      </c>
      <c r="G7673" s="14">
        <v>44246</v>
      </c>
      <c r="H7673" s="2">
        <f t="shared" ca="1" si="3233"/>
        <v>7</v>
      </c>
      <c r="I7673" t="str">
        <f t="shared" si="3234"/>
        <v>WTIC</v>
      </c>
      <c r="J7673">
        <f t="shared" si="3235"/>
        <v>56.54</v>
      </c>
      <c r="K7673">
        <f t="shared" si="3236"/>
        <v>61.72</v>
      </c>
      <c r="L7673">
        <f t="shared" si="3237"/>
        <v>59.129999999999995</v>
      </c>
      <c r="M7673">
        <f t="shared" si="3238"/>
        <v>2.59</v>
      </c>
      <c r="N7673">
        <f t="shared" si="3219"/>
        <v>5.18</v>
      </c>
      <c r="O7673">
        <f t="shared" si="3239"/>
        <v>60.53</v>
      </c>
      <c r="P7673">
        <f t="shared" si="3240"/>
        <v>0.54054054054054279</v>
      </c>
      <c r="Q7673" t="str">
        <f t="shared" si="3241"/>
        <v>6.59% | 1.97%</v>
      </c>
      <c r="R7673" t="str">
        <f t="shared" si="3242"/>
        <v>BULLISH</v>
      </c>
      <c r="S7673">
        <f t="shared" si="3243"/>
        <v>1</v>
      </c>
    </row>
    <row r="7674" spans="1:19" hidden="1" x14ac:dyDescent="0.25">
      <c r="A7674" s="5" t="str">
        <f t="shared" si="3232"/>
        <v>44246NATGAS</v>
      </c>
      <c r="B7674" s="6" t="s">
        <v>89</v>
      </c>
      <c r="C7674" s="6">
        <v>2.71</v>
      </c>
      <c r="D7674" s="6">
        <v>3.28</v>
      </c>
      <c r="E7674" s="6">
        <v>2.97</v>
      </c>
      <c r="F7674" t="str">
        <f t="shared" si="3244"/>
        <v>FRI</v>
      </c>
      <c r="G7674" s="14">
        <v>44246</v>
      </c>
      <c r="H7674" s="2">
        <f t="shared" ca="1" si="3233"/>
        <v>7</v>
      </c>
      <c r="I7674" t="str">
        <f t="shared" si="3234"/>
        <v>NATGAS</v>
      </c>
      <c r="J7674">
        <f t="shared" si="3235"/>
        <v>2.71</v>
      </c>
      <c r="K7674">
        <f t="shared" si="3236"/>
        <v>3.28</v>
      </c>
      <c r="L7674">
        <f t="shared" si="3237"/>
        <v>2.9950000000000001</v>
      </c>
      <c r="M7674">
        <f t="shared" si="3238"/>
        <v>0.28499999999999992</v>
      </c>
      <c r="N7674">
        <f t="shared" si="3219"/>
        <v>0.56999999999999984</v>
      </c>
      <c r="O7674">
        <f t="shared" si="3239"/>
        <v>2.97</v>
      </c>
      <c r="P7674">
        <f t="shared" si="3240"/>
        <v>-8.7719298245613753E-2</v>
      </c>
      <c r="Q7674" t="str">
        <f t="shared" si="3241"/>
        <v>8.75% | 10.44%</v>
      </c>
      <c r="R7674" t="str">
        <f t="shared" si="3242"/>
        <v>BULLISH</v>
      </c>
      <c r="S7674">
        <f t="shared" si="3243"/>
        <v>1</v>
      </c>
    </row>
    <row r="7675" spans="1:19" hidden="1" x14ac:dyDescent="0.25">
      <c r="A7675" s="5" t="str">
        <f t="shared" si="3232"/>
        <v>44246GOLD</v>
      </c>
      <c r="B7675" s="6" t="s">
        <v>85</v>
      </c>
      <c r="C7675" s="6">
        <v>1754</v>
      </c>
      <c r="D7675" s="6">
        <v>1831</v>
      </c>
      <c r="E7675" s="6">
        <v>1775</v>
      </c>
      <c r="F7675" t="str">
        <f t="shared" si="3244"/>
        <v>FRI</v>
      </c>
      <c r="G7675" s="14">
        <v>44246</v>
      </c>
      <c r="H7675" s="2">
        <f t="shared" ca="1" si="3233"/>
        <v>7</v>
      </c>
      <c r="I7675" t="str">
        <f t="shared" si="3234"/>
        <v>GOLD</v>
      </c>
      <c r="J7675">
        <f t="shared" si="3235"/>
        <v>1754</v>
      </c>
      <c r="K7675">
        <f t="shared" si="3236"/>
        <v>1831</v>
      </c>
      <c r="L7675">
        <f t="shared" si="3237"/>
        <v>1792.5</v>
      </c>
      <c r="M7675">
        <f t="shared" si="3238"/>
        <v>38.5</v>
      </c>
      <c r="N7675">
        <f t="shared" si="3219"/>
        <v>77</v>
      </c>
      <c r="O7675">
        <f t="shared" si="3239"/>
        <v>1775</v>
      </c>
      <c r="P7675">
        <f t="shared" si="3240"/>
        <v>-0.45454545454545453</v>
      </c>
      <c r="Q7675" t="str">
        <f t="shared" si="3241"/>
        <v>1.18% | 3.15%</v>
      </c>
      <c r="R7675" t="str">
        <f t="shared" si="3242"/>
        <v>BEARISH</v>
      </c>
      <c r="S7675">
        <f t="shared" si="3243"/>
        <v>-1</v>
      </c>
    </row>
    <row r="7676" spans="1:19" hidden="1" x14ac:dyDescent="0.25">
      <c r="A7676" s="5" t="str">
        <f t="shared" si="3232"/>
        <v>44246COPPER</v>
      </c>
      <c r="B7676" s="6" t="s">
        <v>100</v>
      </c>
      <c r="C7676" s="6">
        <v>3.68</v>
      </c>
      <c r="D7676" s="6">
        <v>4.01</v>
      </c>
      <c r="E7676" s="6">
        <v>3.9</v>
      </c>
      <c r="F7676" t="str">
        <f t="shared" si="3244"/>
        <v>FRI</v>
      </c>
      <c r="G7676" s="14">
        <v>44246</v>
      </c>
      <c r="H7676" s="2">
        <f t="shared" ca="1" si="3233"/>
        <v>7</v>
      </c>
      <c r="I7676" t="str">
        <f t="shared" si="3234"/>
        <v>COPPER</v>
      </c>
      <c r="J7676">
        <f t="shared" si="3235"/>
        <v>3.68</v>
      </c>
      <c r="K7676">
        <f t="shared" si="3236"/>
        <v>4.01</v>
      </c>
      <c r="L7676">
        <f t="shared" si="3237"/>
        <v>3.8449999999999998</v>
      </c>
      <c r="M7676">
        <f t="shared" si="3238"/>
        <v>0.16499999999999981</v>
      </c>
      <c r="N7676">
        <f t="shared" si="3219"/>
        <v>0.32999999999999963</v>
      </c>
      <c r="O7676">
        <f t="shared" si="3239"/>
        <v>3.9</v>
      </c>
      <c r="P7676">
        <f t="shared" si="3240"/>
        <v>0.3333333333333347</v>
      </c>
      <c r="Q7676" t="str">
        <f t="shared" si="3241"/>
        <v>5.64% | 2.82%</v>
      </c>
      <c r="R7676" t="str">
        <f t="shared" si="3242"/>
        <v>BULLISH</v>
      </c>
      <c r="S7676">
        <f t="shared" si="3243"/>
        <v>1</v>
      </c>
    </row>
    <row r="7677" spans="1:19" hidden="1" x14ac:dyDescent="0.25">
      <c r="A7677" s="5" t="str">
        <f t="shared" si="3232"/>
        <v>44246SILVER</v>
      </c>
      <c r="B7677" s="6" t="s">
        <v>195</v>
      </c>
      <c r="C7677" s="6">
        <v>26.34</v>
      </c>
      <c r="D7677" s="6">
        <v>28</v>
      </c>
      <c r="E7677" s="6">
        <v>27.08</v>
      </c>
      <c r="F7677" t="str">
        <f t="shared" si="3244"/>
        <v>FRI</v>
      </c>
      <c r="G7677" s="14">
        <v>44246</v>
      </c>
      <c r="H7677" s="2">
        <f t="shared" ca="1" si="3233"/>
        <v>7</v>
      </c>
      <c r="I7677" t="str">
        <f t="shared" si="3234"/>
        <v>SILVER</v>
      </c>
      <c r="J7677">
        <f t="shared" si="3235"/>
        <v>26.34</v>
      </c>
      <c r="K7677">
        <f t="shared" si="3236"/>
        <v>28</v>
      </c>
      <c r="L7677">
        <f t="shared" si="3237"/>
        <v>27.17</v>
      </c>
      <c r="M7677">
        <f t="shared" si="3238"/>
        <v>0.83000000000000007</v>
      </c>
      <c r="N7677">
        <f t="shared" si="3219"/>
        <v>1.6600000000000001</v>
      </c>
      <c r="O7677">
        <f t="shared" si="3239"/>
        <v>27.08</v>
      </c>
      <c r="P7677">
        <f t="shared" si="3240"/>
        <v>-0.10843373493976313</v>
      </c>
      <c r="Q7677" t="str">
        <f t="shared" si="3241"/>
        <v>2.73% | 3.4%</v>
      </c>
      <c r="R7677" t="str">
        <f t="shared" si="3242"/>
        <v>BULLISH</v>
      </c>
      <c r="S7677">
        <f t="shared" si="3243"/>
        <v>1</v>
      </c>
    </row>
    <row r="7678" spans="1:19" hidden="1" x14ac:dyDescent="0.25">
      <c r="A7678" s="5" t="str">
        <f t="shared" si="3232"/>
        <v>44246MSFT</v>
      </c>
      <c r="B7678" s="6" t="s">
        <v>27</v>
      </c>
      <c r="C7678" s="6">
        <v>241</v>
      </c>
      <c r="D7678" s="6">
        <v>246</v>
      </c>
      <c r="E7678" s="6">
        <v>243</v>
      </c>
      <c r="F7678" t="str">
        <f t="shared" si="3244"/>
        <v>FRI</v>
      </c>
      <c r="G7678" s="14">
        <v>44246</v>
      </c>
      <c r="H7678" s="2">
        <f t="shared" ca="1" si="3233"/>
        <v>7</v>
      </c>
      <c r="I7678" t="str">
        <f t="shared" si="3234"/>
        <v>MSFT</v>
      </c>
      <c r="J7678">
        <f t="shared" si="3235"/>
        <v>241</v>
      </c>
      <c r="K7678">
        <f t="shared" si="3236"/>
        <v>246</v>
      </c>
      <c r="L7678">
        <f t="shared" si="3237"/>
        <v>243.5</v>
      </c>
      <c r="M7678">
        <f t="shared" si="3238"/>
        <v>2.5</v>
      </c>
      <c r="N7678">
        <f t="shared" si="3219"/>
        <v>5</v>
      </c>
      <c r="O7678">
        <f t="shared" si="3239"/>
        <v>243</v>
      </c>
      <c r="P7678">
        <f t="shared" si="3240"/>
        <v>-0.2</v>
      </c>
      <c r="Q7678" t="str">
        <f t="shared" si="3241"/>
        <v>0.82% | 1.23%</v>
      </c>
      <c r="R7678" t="str">
        <f t="shared" si="3242"/>
        <v>BULLISH</v>
      </c>
      <c r="S7678">
        <f t="shared" si="3243"/>
        <v>1</v>
      </c>
    </row>
    <row r="7679" spans="1:19" hidden="1" x14ac:dyDescent="0.25">
      <c r="A7679" s="5" t="str">
        <f t="shared" si="3232"/>
        <v>44246AAPL</v>
      </c>
      <c r="B7679" s="6" t="s">
        <v>28</v>
      </c>
      <c r="C7679" s="6">
        <v>129</v>
      </c>
      <c r="D7679" s="6">
        <v>140</v>
      </c>
      <c r="E7679" s="6">
        <v>129</v>
      </c>
      <c r="F7679" t="str">
        <f t="shared" si="3244"/>
        <v>FRI</v>
      </c>
      <c r="G7679" s="14">
        <v>44246</v>
      </c>
      <c r="H7679" s="2">
        <f t="shared" ca="1" si="3233"/>
        <v>7</v>
      </c>
      <c r="I7679" t="str">
        <f t="shared" si="3234"/>
        <v>AAPL</v>
      </c>
      <c r="J7679">
        <f t="shared" si="3235"/>
        <v>129</v>
      </c>
      <c r="K7679">
        <f t="shared" si="3236"/>
        <v>140</v>
      </c>
      <c r="L7679">
        <f t="shared" si="3237"/>
        <v>134.5</v>
      </c>
      <c r="M7679">
        <f t="shared" si="3238"/>
        <v>5.5</v>
      </c>
      <c r="N7679">
        <f t="shared" si="3219"/>
        <v>11</v>
      </c>
      <c r="O7679">
        <f t="shared" si="3239"/>
        <v>129</v>
      </c>
      <c r="P7679">
        <f t="shared" si="3240"/>
        <v>-1</v>
      </c>
      <c r="Q7679" t="str">
        <f t="shared" si="3241"/>
        <v>0% | 8.53%</v>
      </c>
      <c r="R7679" t="str">
        <f t="shared" si="3242"/>
        <v>BULLISH</v>
      </c>
      <c r="S7679">
        <f t="shared" si="3243"/>
        <v>1</v>
      </c>
    </row>
    <row r="7680" spans="1:19" hidden="1" x14ac:dyDescent="0.25">
      <c r="A7680" s="5" t="str">
        <f t="shared" si="3232"/>
        <v>44246AMZN</v>
      </c>
      <c r="B7680" s="6" t="s">
        <v>29</v>
      </c>
      <c r="C7680" s="6">
        <v>3245</v>
      </c>
      <c r="D7680" s="6">
        <v>3365</v>
      </c>
      <c r="E7680" s="6">
        <v>3328</v>
      </c>
      <c r="F7680" t="str">
        <f t="shared" si="3244"/>
        <v>FRI</v>
      </c>
      <c r="G7680" s="14">
        <v>44246</v>
      </c>
      <c r="H7680" s="2">
        <f t="shared" ca="1" si="3233"/>
        <v>7</v>
      </c>
      <c r="I7680" t="str">
        <f t="shared" si="3234"/>
        <v>AMZN</v>
      </c>
      <c r="J7680">
        <f t="shared" si="3235"/>
        <v>3245</v>
      </c>
      <c r="K7680">
        <f t="shared" si="3236"/>
        <v>3365</v>
      </c>
      <c r="L7680">
        <f t="shared" si="3237"/>
        <v>3305</v>
      </c>
      <c r="M7680">
        <f t="shared" si="3238"/>
        <v>60</v>
      </c>
      <c r="N7680">
        <f t="shared" si="3219"/>
        <v>120</v>
      </c>
      <c r="O7680">
        <f t="shared" si="3239"/>
        <v>3328</v>
      </c>
      <c r="P7680">
        <f t="shared" si="3240"/>
        <v>0.38333333333333336</v>
      </c>
      <c r="Q7680" t="str">
        <f t="shared" si="3241"/>
        <v>2.49% | 1.11%</v>
      </c>
      <c r="R7680" t="str">
        <f t="shared" si="3242"/>
        <v>BULLISH</v>
      </c>
      <c r="S7680">
        <f t="shared" si="3243"/>
        <v>1</v>
      </c>
    </row>
    <row r="7681" spans="1:19" hidden="1" x14ac:dyDescent="0.25">
      <c r="A7681" s="5" t="str">
        <f t="shared" si="3232"/>
        <v>44246FB</v>
      </c>
      <c r="B7681" s="6" t="s">
        <v>30</v>
      </c>
      <c r="C7681" s="6">
        <v>263</v>
      </c>
      <c r="D7681" s="6">
        <v>277</v>
      </c>
      <c r="E7681" s="6">
        <v>269</v>
      </c>
      <c r="F7681" t="str">
        <f t="shared" si="3244"/>
        <v>FRI</v>
      </c>
      <c r="G7681" s="14">
        <v>44246</v>
      </c>
      <c r="H7681" s="2">
        <f t="shared" ca="1" si="3233"/>
        <v>7</v>
      </c>
      <c r="I7681" t="str">
        <f t="shared" si="3234"/>
        <v>FB</v>
      </c>
      <c r="J7681">
        <f t="shared" si="3235"/>
        <v>263</v>
      </c>
      <c r="K7681">
        <f t="shared" si="3236"/>
        <v>277</v>
      </c>
      <c r="L7681">
        <f t="shared" si="3237"/>
        <v>270</v>
      </c>
      <c r="M7681">
        <f t="shared" si="3238"/>
        <v>7</v>
      </c>
      <c r="N7681">
        <f t="shared" si="3219"/>
        <v>14</v>
      </c>
      <c r="O7681">
        <f t="shared" si="3239"/>
        <v>269</v>
      </c>
      <c r="P7681">
        <f t="shared" si="3240"/>
        <v>-0.14285714285714285</v>
      </c>
      <c r="Q7681" t="str">
        <f t="shared" si="3241"/>
        <v>2.23% | 2.97%</v>
      </c>
      <c r="R7681" t="str">
        <f t="shared" si="3242"/>
        <v>BULLISH</v>
      </c>
      <c r="S7681">
        <f t="shared" si="3243"/>
        <v>1</v>
      </c>
    </row>
    <row r="7682" spans="1:19" hidden="1" x14ac:dyDescent="0.25">
      <c r="A7682" s="5" t="str">
        <f t="shared" si="3232"/>
        <v>44246GOOGL</v>
      </c>
      <c r="B7682" s="6" t="s">
        <v>31</v>
      </c>
      <c r="C7682" s="6">
        <v>2058</v>
      </c>
      <c r="D7682" s="6">
        <v>2141</v>
      </c>
      <c r="E7682" s="6">
        <v>2105</v>
      </c>
      <c r="F7682" t="str">
        <f t="shared" si="3244"/>
        <v>FRI</v>
      </c>
      <c r="G7682" s="14">
        <v>44246</v>
      </c>
      <c r="H7682" s="2">
        <f t="shared" ca="1" si="3233"/>
        <v>7</v>
      </c>
      <c r="I7682" t="str">
        <f t="shared" si="3234"/>
        <v>GOOGL</v>
      </c>
      <c r="J7682">
        <f t="shared" si="3235"/>
        <v>2058</v>
      </c>
      <c r="K7682">
        <f t="shared" si="3236"/>
        <v>2141</v>
      </c>
      <c r="L7682">
        <f t="shared" si="3237"/>
        <v>2099.5</v>
      </c>
      <c r="M7682">
        <f t="shared" si="3238"/>
        <v>41.5</v>
      </c>
      <c r="N7682">
        <f t="shared" si="3219"/>
        <v>83</v>
      </c>
      <c r="O7682">
        <f t="shared" si="3239"/>
        <v>2105</v>
      </c>
      <c r="P7682">
        <f t="shared" si="3240"/>
        <v>0.13253012048192772</v>
      </c>
      <c r="Q7682" t="str">
        <f t="shared" si="3241"/>
        <v>2.23% | 1.71%</v>
      </c>
      <c r="R7682" t="str">
        <f t="shared" si="3242"/>
        <v>BULLISH</v>
      </c>
      <c r="S7682">
        <f t="shared" si="3243"/>
        <v>1</v>
      </c>
    </row>
    <row r="7683" spans="1:19" hidden="1" x14ac:dyDescent="0.25">
      <c r="A7683" s="5" t="str">
        <f t="shared" si="3232"/>
        <v>44246NFLX</v>
      </c>
      <c r="B7683" s="6" t="s">
        <v>32</v>
      </c>
      <c r="C7683" s="6">
        <v>541</v>
      </c>
      <c r="D7683" s="6">
        <v>570</v>
      </c>
      <c r="E7683" s="6">
        <v>548</v>
      </c>
      <c r="F7683" t="str">
        <f t="shared" si="3244"/>
        <v>FRI</v>
      </c>
      <c r="G7683" s="14">
        <v>44246</v>
      </c>
      <c r="H7683" s="2">
        <f t="shared" ca="1" si="3233"/>
        <v>7</v>
      </c>
      <c r="I7683" t="str">
        <f t="shared" si="3234"/>
        <v>NFLX</v>
      </c>
      <c r="J7683">
        <f t="shared" si="3235"/>
        <v>541</v>
      </c>
      <c r="K7683">
        <f t="shared" si="3236"/>
        <v>570</v>
      </c>
      <c r="L7683">
        <f t="shared" si="3237"/>
        <v>555.5</v>
      </c>
      <c r="M7683">
        <f t="shared" si="3238"/>
        <v>14.5</v>
      </c>
      <c r="N7683">
        <f t="shared" ref="N7683:N7717" si="3245">ABS(K7683-J7683)</f>
        <v>29</v>
      </c>
      <c r="O7683">
        <f t="shared" si="3239"/>
        <v>548</v>
      </c>
      <c r="P7683">
        <f t="shared" si="3240"/>
        <v>-0.51724137931034486</v>
      </c>
      <c r="Q7683" t="str">
        <f t="shared" si="3241"/>
        <v>1.28% | 4.01%</v>
      </c>
      <c r="R7683" t="str">
        <f t="shared" si="3242"/>
        <v>BULLISH</v>
      </c>
      <c r="S7683">
        <f t="shared" si="3243"/>
        <v>1</v>
      </c>
    </row>
    <row r="7684" spans="1:19" x14ac:dyDescent="0.25">
      <c r="A7684" s="5" t="str">
        <f t="shared" si="3232"/>
        <v>44246TSLA</v>
      </c>
      <c r="B7684" s="6" t="s">
        <v>33</v>
      </c>
      <c r="C7684" s="6">
        <v>766</v>
      </c>
      <c r="D7684" s="6">
        <v>873</v>
      </c>
      <c r="E7684" s="6">
        <v>787</v>
      </c>
      <c r="F7684" t="str">
        <f t="shared" si="3244"/>
        <v>FRI</v>
      </c>
      <c r="G7684" s="14">
        <v>44246</v>
      </c>
      <c r="H7684" s="2">
        <f t="shared" ca="1" si="3233"/>
        <v>7</v>
      </c>
      <c r="I7684" t="str">
        <f t="shared" si="3234"/>
        <v>TSLA</v>
      </c>
      <c r="J7684">
        <f t="shared" si="3235"/>
        <v>766</v>
      </c>
      <c r="K7684">
        <f t="shared" si="3236"/>
        <v>873</v>
      </c>
      <c r="L7684">
        <f t="shared" si="3237"/>
        <v>819.5</v>
      </c>
      <c r="M7684">
        <f t="shared" si="3238"/>
        <v>53.5</v>
      </c>
      <c r="N7684">
        <f t="shared" si="3245"/>
        <v>107</v>
      </c>
      <c r="O7684">
        <f t="shared" si="3239"/>
        <v>787</v>
      </c>
      <c r="P7684">
        <f t="shared" si="3240"/>
        <v>-0.60747663551401865</v>
      </c>
      <c r="Q7684" t="str">
        <f t="shared" si="3241"/>
        <v>2.67% | 10.93%</v>
      </c>
      <c r="R7684" t="str">
        <f t="shared" si="3242"/>
        <v>BULLISH</v>
      </c>
      <c r="S7684">
        <f t="shared" si="3243"/>
        <v>1</v>
      </c>
    </row>
    <row r="7685" spans="1:19" hidden="1" x14ac:dyDescent="0.25">
      <c r="A7685" s="5" t="str">
        <f t="shared" si="3232"/>
        <v>44246NYXBT</v>
      </c>
      <c r="B7685" s="6" t="s">
        <v>60</v>
      </c>
      <c r="C7685" s="6">
        <v>46607</v>
      </c>
      <c r="D7685" s="6">
        <v>54589</v>
      </c>
      <c r="E7685" s="6">
        <v>51545</v>
      </c>
      <c r="F7685" t="str">
        <f t="shared" si="3244"/>
        <v>FRI</v>
      </c>
      <c r="G7685" s="14">
        <v>44246</v>
      </c>
      <c r="H7685" s="2">
        <f t="shared" ca="1" si="3233"/>
        <v>7</v>
      </c>
      <c r="I7685" t="str">
        <f t="shared" si="3234"/>
        <v>NYXBT</v>
      </c>
      <c r="J7685">
        <f t="shared" si="3235"/>
        <v>46607</v>
      </c>
      <c r="K7685">
        <f t="shared" si="3236"/>
        <v>54589</v>
      </c>
      <c r="L7685">
        <f t="shared" si="3237"/>
        <v>50598</v>
      </c>
      <c r="M7685">
        <f t="shared" si="3238"/>
        <v>3991</v>
      </c>
      <c r="N7685">
        <f t="shared" si="3245"/>
        <v>7982</v>
      </c>
      <c r="O7685">
        <f t="shared" si="3239"/>
        <v>51545</v>
      </c>
      <c r="P7685">
        <f t="shared" si="3240"/>
        <v>0.23728388874968678</v>
      </c>
      <c r="Q7685" t="str">
        <f t="shared" si="3241"/>
        <v>9.58% | 5.91%</v>
      </c>
      <c r="R7685" t="str">
        <f t="shared" si="3242"/>
        <v>BULLISH</v>
      </c>
      <c r="S7685">
        <f t="shared" si="3243"/>
        <v>1</v>
      </c>
    </row>
    <row r="7686" spans="1:19" hidden="1" x14ac:dyDescent="0.25">
      <c r="A7686" s="5" t="str">
        <f t="shared" si="3232"/>
        <v>44249UST10Y</v>
      </c>
      <c r="B7686" s="6" t="s">
        <v>257</v>
      </c>
      <c r="C7686" s="6">
        <v>1.38</v>
      </c>
      <c r="D7686" s="6">
        <v>1.22</v>
      </c>
      <c r="E7686" s="6">
        <v>1.34</v>
      </c>
      <c r="F7686" t="str">
        <f t="shared" si="3244"/>
        <v>MON</v>
      </c>
      <c r="G7686" s="14">
        <v>44249</v>
      </c>
      <c r="H7686" s="2">
        <f t="shared" ref="H7686:H7717" ca="1" si="3246">TODAY()-G7686</f>
        <v>4</v>
      </c>
      <c r="I7686" t="str">
        <f t="shared" ref="I7686:I7717" si="3247">TRIM(LEFT(B7686,FIND(" ",B7686,1)))</f>
        <v>UST10Y</v>
      </c>
      <c r="J7686">
        <f t="shared" ref="J7686:J7717" si="3248">C7686</f>
        <v>1.38</v>
      </c>
      <c r="K7686">
        <f t="shared" ref="K7686:K7717" si="3249">D7686</f>
        <v>1.22</v>
      </c>
      <c r="L7686">
        <f t="shared" ref="L7686:L7717" si="3250">AVERAGE(J7686:K7686)</f>
        <v>1.2999999999999998</v>
      </c>
      <c r="M7686">
        <f t="shared" ref="M7686:M7717" si="3251">_xlfn.STDEV.P(J7686:K7686)</f>
        <v>7.999999999999996E-2</v>
      </c>
      <c r="N7686">
        <f t="shared" si="3245"/>
        <v>0.15999999999999992</v>
      </c>
      <c r="O7686">
        <f t="shared" ref="O7686:O7717" si="3252">E7686</f>
        <v>1.34</v>
      </c>
      <c r="P7686">
        <f t="shared" ref="P7686:P7717" si="3253">(O7686-L7686)/M7686</f>
        <v>0.50000000000000344</v>
      </c>
      <c r="Q7686" t="str">
        <f t="shared" ref="Q7686:Q7717" si="3254">ROUND(ABS(100*(O7686-J7686)/O7686),2)&amp;"% | "&amp;ROUND(ABS(100*(K7686-O7686)/O7686),2)&amp;"%"</f>
        <v>2.99% | 8.96%</v>
      </c>
      <c r="R7686" t="str">
        <f t="shared" ref="R7686:R7717" si="3255">MID(B7686,FIND("(",B7686,1)+1,FIND(")",B7686,1)-FIND("(",B7686,1)-1)</f>
        <v>BULLISH</v>
      </c>
      <c r="S7686">
        <f t="shared" ref="S7686:S7717" si="3256">IF(R7686="BEARISH",-1,IF(R7686="NEUTRAL",0,IF(R7686="BULLISH",1,99)))</f>
        <v>1</v>
      </c>
    </row>
    <row r="7687" spans="1:19" hidden="1" x14ac:dyDescent="0.25">
      <c r="A7687" s="5" t="str">
        <f t="shared" si="3232"/>
        <v>44249UST2Y</v>
      </c>
      <c r="B7687" s="6" t="s">
        <v>5</v>
      </c>
      <c r="C7687" s="6">
        <v>0.13</v>
      </c>
      <c r="D7687" s="6">
        <v>0.09</v>
      </c>
      <c r="E7687" s="6">
        <v>0.11</v>
      </c>
      <c r="F7687" t="str">
        <f t="shared" si="3244"/>
        <v>MON</v>
      </c>
      <c r="G7687" s="14">
        <v>44249</v>
      </c>
      <c r="H7687" s="2">
        <f t="shared" ca="1" si="3246"/>
        <v>4</v>
      </c>
      <c r="I7687" t="str">
        <f t="shared" si="3247"/>
        <v>UST2Y</v>
      </c>
      <c r="J7687">
        <f t="shared" si="3248"/>
        <v>0.13</v>
      </c>
      <c r="K7687">
        <f t="shared" si="3249"/>
        <v>0.09</v>
      </c>
      <c r="L7687">
        <f t="shared" si="3250"/>
        <v>0.11</v>
      </c>
      <c r="M7687">
        <f t="shared" si="3251"/>
        <v>2.0000000000000025E-2</v>
      </c>
      <c r="N7687">
        <f t="shared" si="3245"/>
        <v>4.0000000000000008E-2</v>
      </c>
      <c r="O7687">
        <f t="shared" si="3252"/>
        <v>0.11</v>
      </c>
      <c r="P7687">
        <f t="shared" si="3253"/>
        <v>0</v>
      </c>
      <c r="Q7687" t="str">
        <f t="shared" si="3254"/>
        <v>18.18% | 18.18%</v>
      </c>
      <c r="R7687" t="str">
        <f t="shared" si="3255"/>
        <v>BEARISH</v>
      </c>
      <c r="S7687">
        <f t="shared" si="3256"/>
        <v>-1</v>
      </c>
    </row>
    <row r="7688" spans="1:19" hidden="1" x14ac:dyDescent="0.25">
      <c r="A7688" s="5" t="str">
        <f t="shared" ref="A7688:A7751" si="3257">G7688&amp;I7688</f>
        <v>44249SPX</v>
      </c>
      <c r="B7688" s="6" t="s">
        <v>93</v>
      </c>
      <c r="C7688" s="6">
        <v>3868</v>
      </c>
      <c r="D7688" s="6">
        <v>3949</v>
      </c>
      <c r="E7688" s="6">
        <v>3906</v>
      </c>
      <c r="F7688" t="str">
        <f t="shared" si="3244"/>
        <v>MON</v>
      </c>
      <c r="G7688" s="14">
        <v>44249</v>
      </c>
      <c r="H7688" s="2">
        <f t="shared" ca="1" si="3246"/>
        <v>4</v>
      </c>
      <c r="I7688" t="str">
        <f t="shared" si="3247"/>
        <v>SPX</v>
      </c>
      <c r="J7688">
        <f t="shared" si="3248"/>
        <v>3868</v>
      </c>
      <c r="K7688">
        <f t="shared" si="3249"/>
        <v>3949</v>
      </c>
      <c r="L7688">
        <f t="shared" si="3250"/>
        <v>3908.5</v>
      </c>
      <c r="M7688">
        <f t="shared" si="3251"/>
        <v>40.5</v>
      </c>
      <c r="N7688">
        <f t="shared" si="3245"/>
        <v>81</v>
      </c>
      <c r="O7688">
        <f t="shared" si="3252"/>
        <v>3906</v>
      </c>
      <c r="P7688">
        <f t="shared" si="3253"/>
        <v>-6.1728395061728392E-2</v>
      </c>
      <c r="Q7688" t="str">
        <f t="shared" si="3254"/>
        <v>0.97% | 1.1%</v>
      </c>
      <c r="R7688" t="str">
        <f t="shared" si="3255"/>
        <v>BULLISH</v>
      </c>
      <c r="S7688">
        <f t="shared" si="3256"/>
        <v>1</v>
      </c>
    </row>
    <row r="7689" spans="1:19" hidden="1" x14ac:dyDescent="0.25">
      <c r="A7689" s="5" t="str">
        <f t="shared" si="3257"/>
        <v>44249RUT</v>
      </c>
      <c r="B7689" s="6" t="s">
        <v>247</v>
      </c>
      <c r="C7689" s="6">
        <v>2225</v>
      </c>
      <c r="D7689" s="6">
        <v>2316</v>
      </c>
      <c r="E7689" s="6">
        <v>2266</v>
      </c>
      <c r="F7689" t="str">
        <f t="shared" si="3244"/>
        <v>MON</v>
      </c>
      <c r="G7689" s="14">
        <v>44249</v>
      </c>
      <c r="H7689" s="2">
        <f t="shared" ca="1" si="3246"/>
        <v>4</v>
      </c>
      <c r="I7689" t="str">
        <f t="shared" si="3247"/>
        <v>RUT</v>
      </c>
      <c r="J7689">
        <f t="shared" si="3248"/>
        <v>2225</v>
      </c>
      <c r="K7689">
        <f t="shared" si="3249"/>
        <v>2316</v>
      </c>
      <c r="L7689">
        <f t="shared" si="3250"/>
        <v>2270.5</v>
      </c>
      <c r="M7689">
        <f t="shared" si="3251"/>
        <v>45.5</v>
      </c>
      <c r="N7689">
        <f t="shared" si="3245"/>
        <v>91</v>
      </c>
      <c r="O7689">
        <f t="shared" si="3252"/>
        <v>2266</v>
      </c>
      <c r="P7689">
        <f t="shared" si="3253"/>
        <v>-9.8901098901098897E-2</v>
      </c>
      <c r="Q7689" t="str">
        <f t="shared" si="3254"/>
        <v>1.81% | 2.21%</v>
      </c>
      <c r="R7689" t="str">
        <f t="shared" si="3255"/>
        <v>BULLISH</v>
      </c>
      <c r="S7689">
        <f t="shared" si="3256"/>
        <v>1</v>
      </c>
    </row>
    <row r="7690" spans="1:19" hidden="1" x14ac:dyDescent="0.25">
      <c r="A7690" s="5" t="str">
        <f t="shared" si="3257"/>
        <v>44249COMPQ</v>
      </c>
      <c r="B7690" s="6" t="s">
        <v>8</v>
      </c>
      <c r="C7690" s="6">
        <v>13820</v>
      </c>
      <c r="D7690" s="6">
        <v>14144</v>
      </c>
      <c r="E7690" s="6">
        <v>13874</v>
      </c>
      <c r="F7690" t="str">
        <f t="shared" si="3244"/>
        <v>MON</v>
      </c>
      <c r="G7690" s="14">
        <v>44249</v>
      </c>
      <c r="H7690" s="2">
        <f t="shared" ca="1" si="3246"/>
        <v>4</v>
      </c>
      <c r="I7690" t="str">
        <f t="shared" si="3247"/>
        <v>COMPQ</v>
      </c>
      <c r="J7690">
        <f t="shared" si="3248"/>
        <v>13820</v>
      </c>
      <c r="K7690">
        <f t="shared" si="3249"/>
        <v>14144</v>
      </c>
      <c r="L7690">
        <f t="shared" si="3250"/>
        <v>13982</v>
      </c>
      <c r="M7690">
        <f t="shared" si="3251"/>
        <v>162</v>
      </c>
      <c r="N7690">
        <f t="shared" si="3245"/>
        <v>324</v>
      </c>
      <c r="O7690">
        <f t="shared" si="3252"/>
        <v>13874</v>
      </c>
      <c r="P7690">
        <f t="shared" si="3253"/>
        <v>-0.66666666666666663</v>
      </c>
      <c r="Q7690" t="str">
        <f t="shared" si="3254"/>
        <v>0.39% | 1.95%</v>
      </c>
      <c r="R7690" t="str">
        <f t="shared" si="3255"/>
        <v>BULLISH</v>
      </c>
      <c r="S7690">
        <f t="shared" si="3256"/>
        <v>1</v>
      </c>
    </row>
    <row r="7691" spans="1:19" hidden="1" x14ac:dyDescent="0.25">
      <c r="A7691" s="5" t="str">
        <f t="shared" si="3257"/>
        <v>44249XLK</v>
      </c>
      <c r="B7691" s="6" t="s">
        <v>10</v>
      </c>
      <c r="C7691" s="6">
        <v>134.69999999999999</v>
      </c>
      <c r="D7691" s="6">
        <v>139.08000000000001</v>
      </c>
      <c r="E7691" s="6">
        <v>136.05000000000001</v>
      </c>
      <c r="F7691" t="str">
        <f t="shared" si="3244"/>
        <v>MON</v>
      </c>
      <c r="G7691" s="14">
        <v>44249</v>
      </c>
      <c r="H7691" s="2">
        <f t="shared" ca="1" si="3246"/>
        <v>4</v>
      </c>
      <c r="I7691" t="str">
        <f t="shared" si="3247"/>
        <v>XLK</v>
      </c>
      <c r="J7691">
        <f t="shared" si="3248"/>
        <v>134.69999999999999</v>
      </c>
      <c r="K7691">
        <f t="shared" si="3249"/>
        <v>139.08000000000001</v>
      </c>
      <c r="L7691">
        <f t="shared" si="3250"/>
        <v>136.88999999999999</v>
      </c>
      <c r="M7691">
        <f t="shared" si="3251"/>
        <v>2.1900000000000119</v>
      </c>
      <c r="N7691">
        <f t="shared" si="3245"/>
        <v>4.3800000000000239</v>
      </c>
      <c r="O7691">
        <f t="shared" si="3252"/>
        <v>136.05000000000001</v>
      </c>
      <c r="P7691">
        <f t="shared" si="3253"/>
        <v>-0.38356164383560293</v>
      </c>
      <c r="Q7691" t="str">
        <f t="shared" si="3254"/>
        <v>0.99% | 2.23%</v>
      </c>
      <c r="R7691" t="str">
        <f t="shared" si="3255"/>
        <v>BULLISH</v>
      </c>
      <c r="S7691">
        <f t="shared" si="3256"/>
        <v>1</v>
      </c>
    </row>
    <row r="7692" spans="1:19" hidden="1" x14ac:dyDescent="0.25">
      <c r="A7692" s="5" t="str">
        <f t="shared" si="3257"/>
        <v>44249XLE</v>
      </c>
      <c r="B7692" s="6" t="s">
        <v>250</v>
      </c>
      <c r="C7692" s="6">
        <v>43.06</v>
      </c>
      <c r="D7692" s="6">
        <v>47.11</v>
      </c>
      <c r="E7692" s="6">
        <v>46.18</v>
      </c>
      <c r="F7692" t="str">
        <f t="shared" si="3244"/>
        <v>MON</v>
      </c>
      <c r="G7692" s="14">
        <v>44249</v>
      </c>
      <c r="H7692" s="2">
        <f t="shared" ca="1" si="3246"/>
        <v>4</v>
      </c>
      <c r="I7692" t="str">
        <f t="shared" si="3247"/>
        <v>XLE</v>
      </c>
      <c r="J7692">
        <f t="shared" si="3248"/>
        <v>43.06</v>
      </c>
      <c r="K7692">
        <f t="shared" si="3249"/>
        <v>47.11</v>
      </c>
      <c r="L7692">
        <f t="shared" si="3250"/>
        <v>45.085000000000001</v>
      </c>
      <c r="M7692">
        <f t="shared" si="3251"/>
        <v>2.0249999999999986</v>
      </c>
      <c r="N7692">
        <f t="shared" si="3245"/>
        <v>4.0499999999999972</v>
      </c>
      <c r="O7692">
        <f t="shared" si="3252"/>
        <v>46.18</v>
      </c>
      <c r="P7692">
        <f t="shared" si="3253"/>
        <v>0.54074074074074052</v>
      </c>
      <c r="Q7692" t="str">
        <f t="shared" si="3254"/>
        <v>6.76% | 2.01%</v>
      </c>
      <c r="R7692" t="str">
        <f t="shared" si="3255"/>
        <v>BULLISH</v>
      </c>
      <c r="S7692">
        <f t="shared" si="3256"/>
        <v>1</v>
      </c>
    </row>
    <row r="7693" spans="1:19" hidden="1" x14ac:dyDescent="0.25">
      <c r="A7693" s="5" t="str">
        <f t="shared" si="3257"/>
        <v>44249XLU</v>
      </c>
      <c r="B7693" s="6" t="s">
        <v>82</v>
      </c>
      <c r="C7693" s="6">
        <v>61.05</v>
      </c>
      <c r="D7693" s="6">
        <v>62.54</v>
      </c>
      <c r="E7693" s="6">
        <v>61.41</v>
      </c>
      <c r="F7693" t="str">
        <f t="shared" si="3244"/>
        <v>MON</v>
      </c>
      <c r="G7693" s="14">
        <v>44249</v>
      </c>
      <c r="H7693" s="2">
        <f t="shared" ca="1" si="3246"/>
        <v>4</v>
      </c>
      <c r="I7693" t="str">
        <f t="shared" si="3247"/>
        <v>XLU</v>
      </c>
      <c r="J7693">
        <f t="shared" si="3248"/>
        <v>61.05</v>
      </c>
      <c r="K7693">
        <f t="shared" si="3249"/>
        <v>62.54</v>
      </c>
      <c r="L7693">
        <f t="shared" si="3250"/>
        <v>61.795000000000002</v>
      </c>
      <c r="M7693">
        <f t="shared" si="3251"/>
        <v>0.74500000000000099</v>
      </c>
      <c r="N7693">
        <f t="shared" si="3245"/>
        <v>1.490000000000002</v>
      </c>
      <c r="O7693">
        <f t="shared" si="3252"/>
        <v>61.41</v>
      </c>
      <c r="P7693">
        <f t="shared" si="3253"/>
        <v>-0.51677852348993902</v>
      </c>
      <c r="Q7693" t="str">
        <f t="shared" si="3254"/>
        <v>0.59% | 1.84%</v>
      </c>
      <c r="R7693" t="str">
        <f t="shared" si="3255"/>
        <v>BEARISH</v>
      </c>
      <c r="S7693">
        <f t="shared" si="3256"/>
        <v>-1</v>
      </c>
    </row>
    <row r="7694" spans="1:19" hidden="1" x14ac:dyDescent="0.25">
      <c r="A7694" s="5" t="str">
        <f t="shared" si="3257"/>
        <v>44249GDX</v>
      </c>
      <c r="B7694" s="6" t="s">
        <v>254</v>
      </c>
      <c r="C7694" s="6">
        <v>32.14</v>
      </c>
      <c r="D7694" s="6">
        <v>34.71</v>
      </c>
      <c r="E7694" s="6">
        <v>32.74</v>
      </c>
      <c r="F7694" t="str">
        <f t="shared" si="3244"/>
        <v>MON</v>
      </c>
      <c r="G7694" s="14">
        <v>44249</v>
      </c>
      <c r="H7694" s="2">
        <f t="shared" ca="1" si="3246"/>
        <v>4</v>
      </c>
      <c r="I7694" t="str">
        <f t="shared" si="3247"/>
        <v>GDX</v>
      </c>
      <c r="J7694">
        <f t="shared" si="3248"/>
        <v>32.14</v>
      </c>
      <c r="K7694">
        <f t="shared" si="3249"/>
        <v>34.71</v>
      </c>
      <c r="L7694">
        <f t="shared" si="3250"/>
        <v>33.424999999999997</v>
      </c>
      <c r="M7694">
        <f t="shared" si="3251"/>
        <v>1.2850000000000001</v>
      </c>
      <c r="N7694">
        <f t="shared" si="3245"/>
        <v>2.5700000000000003</v>
      </c>
      <c r="O7694">
        <f t="shared" si="3252"/>
        <v>32.74</v>
      </c>
      <c r="P7694">
        <f t="shared" si="3253"/>
        <v>-0.53307392996108571</v>
      </c>
      <c r="Q7694" t="str">
        <f t="shared" si="3254"/>
        <v>1.83% | 6.02%</v>
      </c>
      <c r="R7694" t="str">
        <f t="shared" si="3255"/>
        <v>BEARISH</v>
      </c>
      <c r="S7694">
        <f t="shared" si="3256"/>
        <v>-1</v>
      </c>
    </row>
    <row r="7695" spans="1:19" hidden="1" x14ac:dyDescent="0.25">
      <c r="A7695" s="5" t="str">
        <f t="shared" si="3257"/>
        <v>44249SSEC</v>
      </c>
      <c r="B7695" s="6" t="s">
        <v>104</v>
      </c>
      <c r="C7695" s="6">
        <v>3552</v>
      </c>
      <c r="D7695" s="6">
        <v>3730</v>
      </c>
      <c r="E7695" s="6">
        <v>3642</v>
      </c>
      <c r="F7695" t="str">
        <f t="shared" si="3244"/>
        <v>MON</v>
      </c>
      <c r="G7695" s="14">
        <v>44249</v>
      </c>
      <c r="H7695" s="2">
        <f t="shared" ca="1" si="3246"/>
        <v>4</v>
      </c>
      <c r="I7695" t="str">
        <f t="shared" si="3247"/>
        <v>SSEC</v>
      </c>
      <c r="J7695">
        <f t="shared" si="3248"/>
        <v>3552</v>
      </c>
      <c r="K7695">
        <f t="shared" si="3249"/>
        <v>3730</v>
      </c>
      <c r="L7695">
        <f t="shared" si="3250"/>
        <v>3641</v>
      </c>
      <c r="M7695">
        <f t="shared" si="3251"/>
        <v>89</v>
      </c>
      <c r="N7695">
        <f t="shared" si="3245"/>
        <v>178</v>
      </c>
      <c r="O7695">
        <f t="shared" si="3252"/>
        <v>3642</v>
      </c>
      <c r="P7695">
        <f t="shared" si="3253"/>
        <v>1.1235955056179775E-2</v>
      </c>
      <c r="Q7695" t="str">
        <f t="shared" si="3254"/>
        <v>2.47% | 2.42%</v>
      </c>
      <c r="R7695" t="str">
        <f t="shared" si="3255"/>
        <v>BULLISH</v>
      </c>
      <c r="S7695">
        <f t="shared" si="3256"/>
        <v>1</v>
      </c>
    </row>
    <row r="7696" spans="1:19" hidden="1" x14ac:dyDescent="0.25">
      <c r="A7696" s="5" t="str">
        <f t="shared" si="3257"/>
        <v>44249NIKK</v>
      </c>
      <c r="B7696" s="6" t="s">
        <v>91</v>
      </c>
      <c r="C7696" s="6">
        <v>29143</v>
      </c>
      <c r="D7696" s="6">
        <v>30680</v>
      </c>
      <c r="E7696" s="6">
        <v>30156</v>
      </c>
      <c r="F7696" t="str">
        <f t="shared" si="3244"/>
        <v>MON</v>
      </c>
      <c r="G7696" s="14">
        <v>44249</v>
      </c>
      <c r="H7696" s="2">
        <f t="shared" ca="1" si="3246"/>
        <v>4</v>
      </c>
      <c r="I7696" t="str">
        <f t="shared" si="3247"/>
        <v>NIKK</v>
      </c>
      <c r="J7696">
        <f t="shared" si="3248"/>
        <v>29143</v>
      </c>
      <c r="K7696">
        <f t="shared" si="3249"/>
        <v>30680</v>
      </c>
      <c r="L7696">
        <f t="shared" si="3250"/>
        <v>29911.5</v>
      </c>
      <c r="M7696">
        <f t="shared" si="3251"/>
        <v>768.5</v>
      </c>
      <c r="N7696">
        <f t="shared" si="3245"/>
        <v>1537</v>
      </c>
      <c r="O7696">
        <f t="shared" si="3252"/>
        <v>30156</v>
      </c>
      <c r="P7696">
        <f t="shared" si="3253"/>
        <v>0.31815224463240077</v>
      </c>
      <c r="Q7696" t="str">
        <f t="shared" si="3254"/>
        <v>3.36% | 1.74%</v>
      </c>
      <c r="R7696" t="str">
        <f t="shared" si="3255"/>
        <v>BULLISH</v>
      </c>
      <c r="S7696">
        <f t="shared" si="3256"/>
        <v>1</v>
      </c>
    </row>
    <row r="7697" spans="1:19" hidden="1" x14ac:dyDescent="0.25">
      <c r="A7697" s="5" t="str">
        <f t="shared" si="3257"/>
        <v>44249DAX</v>
      </c>
      <c r="B7697" s="6" t="s">
        <v>98</v>
      </c>
      <c r="C7697" s="6">
        <v>13816</v>
      </c>
      <c r="D7697" s="6">
        <v>14152</v>
      </c>
      <c r="E7697" s="6">
        <v>13993</v>
      </c>
      <c r="F7697" t="str">
        <f t="shared" si="3244"/>
        <v>MON</v>
      </c>
      <c r="G7697" s="14">
        <v>44249</v>
      </c>
      <c r="H7697" s="2">
        <f t="shared" ca="1" si="3246"/>
        <v>4</v>
      </c>
      <c r="I7697" t="str">
        <f t="shared" si="3247"/>
        <v>DAX</v>
      </c>
      <c r="J7697">
        <f t="shared" si="3248"/>
        <v>13816</v>
      </c>
      <c r="K7697">
        <f t="shared" si="3249"/>
        <v>14152</v>
      </c>
      <c r="L7697">
        <f t="shared" si="3250"/>
        <v>13984</v>
      </c>
      <c r="M7697">
        <f t="shared" si="3251"/>
        <v>168</v>
      </c>
      <c r="N7697">
        <f t="shared" si="3245"/>
        <v>336</v>
      </c>
      <c r="O7697">
        <f t="shared" si="3252"/>
        <v>13993</v>
      </c>
      <c r="P7697">
        <f t="shared" si="3253"/>
        <v>5.3571428571428568E-2</v>
      </c>
      <c r="Q7697" t="str">
        <f t="shared" si="3254"/>
        <v>1.26% | 1.14%</v>
      </c>
      <c r="R7697" t="str">
        <f t="shared" si="3255"/>
        <v>BULLISH</v>
      </c>
      <c r="S7697">
        <f t="shared" si="3256"/>
        <v>1</v>
      </c>
    </row>
    <row r="7698" spans="1:19" hidden="1" x14ac:dyDescent="0.25">
      <c r="A7698" s="5" t="str">
        <f t="shared" si="3257"/>
        <v>44249VIX</v>
      </c>
      <c r="B7698" s="6" t="s">
        <v>96</v>
      </c>
      <c r="C7698" s="6">
        <v>19.170000000000002</v>
      </c>
      <c r="D7698" s="6">
        <v>23.3</v>
      </c>
      <c r="E7698" s="6">
        <v>22.05</v>
      </c>
      <c r="F7698" t="str">
        <f t="shared" si="3244"/>
        <v>MON</v>
      </c>
      <c r="G7698" s="14">
        <v>44249</v>
      </c>
      <c r="H7698" s="2">
        <f t="shared" ca="1" si="3246"/>
        <v>4</v>
      </c>
      <c r="I7698" t="str">
        <f t="shared" si="3247"/>
        <v>VIX</v>
      </c>
      <c r="J7698">
        <f t="shared" si="3248"/>
        <v>19.170000000000002</v>
      </c>
      <c r="K7698">
        <f t="shared" si="3249"/>
        <v>23.3</v>
      </c>
      <c r="L7698">
        <f t="shared" si="3250"/>
        <v>21.234999999999999</v>
      </c>
      <c r="M7698">
        <f t="shared" si="3251"/>
        <v>2.0649999999999995</v>
      </c>
      <c r="N7698">
        <f t="shared" si="3245"/>
        <v>4.129999999999999</v>
      </c>
      <c r="O7698">
        <f t="shared" si="3252"/>
        <v>22.05</v>
      </c>
      <c r="P7698">
        <f t="shared" si="3253"/>
        <v>0.39467312348668354</v>
      </c>
      <c r="Q7698" t="str">
        <f t="shared" si="3254"/>
        <v>13.06% | 5.67%</v>
      </c>
      <c r="R7698" t="str">
        <f t="shared" si="3255"/>
        <v>BEARISH</v>
      </c>
      <c r="S7698">
        <f t="shared" si="3256"/>
        <v>-1</v>
      </c>
    </row>
    <row r="7699" spans="1:19" hidden="1" x14ac:dyDescent="0.25">
      <c r="A7699" s="5" t="str">
        <f t="shared" si="3257"/>
        <v>44249USD</v>
      </c>
      <c r="B7699" s="6" t="s">
        <v>94</v>
      </c>
      <c r="C7699" s="6">
        <v>89.93</v>
      </c>
      <c r="D7699" s="6">
        <v>90.99</v>
      </c>
      <c r="E7699" s="6">
        <v>90.36</v>
      </c>
      <c r="F7699" t="str">
        <f t="shared" si="3244"/>
        <v>MON</v>
      </c>
      <c r="G7699" s="14">
        <v>44249</v>
      </c>
      <c r="H7699" s="2">
        <f t="shared" ca="1" si="3246"/>
        <v>4</v>
      </c>
      <c r="I7699" t="str">
        <f t="shared" si="3247"/>
        <v>USD</v>
      </c>
      <c r="J7699">
        <f t="shared" si="3248"/>
        <v>89.93</v>
      </c>
      <c r="K7699">
        <f t="shared" si="3249"/>
        <v>90.99</v>
      </c>
      <c r="L7699">
        <f t="shared" si="3250"/>
        <v>90.460000000000008</v>
      </c>
      <c r="M7699">
        <f t="shared" si="3251"/>
        <v>0.52999999999999403</v>
      </c>
      <c r="N7699">
        <f t="shared" si="3245"/>
        <v>1.0599999999999881</v>
      </c>
      <c r="O7699">
        <f t="shared" si="3252"/>
        <v>90.36</v>
      </c>
      <c r="P7699">
        <f t="shared" si="3253"/>
        <v>-0.18867924528303709</v>
      </c>
      <c r="Q7699" t="str">
        <f t="shared" si="3254"/>
        <v>0.48% | 0.7%</v>
      </c>
      <c r="R7699" t="str">
        <f t="shared" si="3255"/>
        <v>BEARISH</v>
      </c>
      <c r="S7699">
        <f t="shared" si="3256"/>
        <v>-1</v>
      </c>
    </row>
    <row r="7700" spans="1:19" hidden="1" x14ac:dyDescent="0.25">
      <c r="A7700" s="5" t="str">
        <f t="shared" si="3257"/>
        <v>44249EUR/USD</v>
      </c>
      <c r="B7700" s="6" t="s">
        <v>99</v>
      </c>
      <c r="C7700" s="6">
        <v>1.2010000000000001</v>
      </c>
      <c r="D7700" s="6">
        <v>1.2190000000000001</v>
      </c>
      <c r="E7700" s="6">
        <v>1.212</v>
      </c>
      <c r="F7700" t="str">
        <f t="shared" si="3244"/>
        <v>MON</v>
      </c>
      <c r="G7700" s="14">
        <v>44249</v>
      </c>
      <c r="H7700" s="2">
        <f t="shared" ca="1" si="3246"/>
        <v>4</v>
      </c>
      <c r="I7700" t="str">
        <f t="shared" si="3247"/>
        <v>EUR/USD</v>
      </c>
      <c r="J7700">
        <f t="shared" si="3248"/>
        <v>1.2010000000000001</v>
      </c>
      <c r="K7700">
        <f t="shared" si="3249"/>
        <v>1.2190000000000001</v>
      </c>
      <c r="L7700">
        <f t="shared" si="3250"/>
        <v>1.21</v>
      </c>
      <c r="M7700">
        <f t="shared" si="3251"/>
        <v>9.000000000000008E-3</v>
      </c>
      <c r="N7700">
        <f t="shared" si="3245"/>
        <v>1.8000000000000016E-2</v>
      </c>
      <c r="O7700">
        <f t="shared" si="3252"/>
        <v>1.212</v>
      </c>
      <c r="P7700">
        <f t="shared" si="3253"/>
        <v>0.22222222222222221</v>
      </c>
      <c r="Q7700" t="str">
        <f t="shared" si="3254"/>
        <v>0.91% | 0.58%</v>
      </c>
      <c r="R7700" t="str">
        <f t="shared" si="3255"/>
        <v>BULLISH</v>
      </c>
      <c r="S7700">
        <f t="shared" si="3256"/>
        <v>1</v>
      </c>
    </row>
    <row r="7701" spans="1:19" hidden="1" x14ac:dyDescent="0.25">
      <c r="A7701" s="5" t="str">
        <f t="shared" si="3257"/>
        <v>44249USD/JPY</v>
      </c>
      <c r="B7701" s="6" t="s">
        <v>56</v>
      </c>
      <c r="C7701" s="6">
        <v>104.21</v>
      </c>
      <c r="D7701" s="6">
        <v>106.26</v>
      </c>
      <c r="E7701" s="6">
        <v>105.46</v>
      </c>
      <c r="F7701" t="str">
        <f t="shared" si="3244"/>
        <v>MON</v>
      </c>
      <c r="G7701" s="14">
        <v>44249</v>
      </c>
      <c r="H7701" s="2">
        <f t="shared" ca="1" si="3246"/>
        <v>4</v>
      </c>
      <c r="I7701" t="str">
        <f t="shared" si="3247"/>
        <v>USD/JPY</v>
      </c>
      <c r="J7701">
        <f t="shared" si="3248"/>
        <v>104.21</v>
      </c>
      <c r="K7701">
        <f t="shared" si="3249"/>
        <v>106.26</v>
      </c>
      <c r="L7701">
        <f t="shared" si="3250"/>
        <v>105.235</v>
      </c>
      <c r="M7701">
        <f t="shared" si="3251"/>
        <v>1.0250000000000057</v>
      </c>
      <c r="N7701">
        <f t="shared" si="3245"/>
        <v>2.0500000000000114</v>
      </c>
      <c r="O7701">
        <f t="shared" si="3252"/>
        <v>105.46</v>
      </c>
      <c r="P7701">
        <f t="shared" si="3253"/>
        <v>0.21951219512194445</v>
      </c>
      <c r="Q7701" t="str">
        <f t="shared" si="3254"/>
        <v>1.19% | 0.76%</v>
      </c>
      <c r="R7701" t="str">
        <f t="shared" si="3255"/>
        <v>BULLISH</v>
      </c>
      <c r="S7701">
        <f t="shared" si="3256"/>
        <v>1</v>
      </c>
    </row>
    <row r="7702" spans="1:19" hidden="1" x14ac:dyDescent="0.25">
      <c r="A7702" s="5" t="str">
        <f t="shared" si="3257"/>
        <v>44249GBP/USD</v>
      </c>
      <c r="B7702" s="6" t="s">
        <v>102</v>
      </c>
      <c r="C7702" s="6">
        <v>1.375</v>
      </c>
      <c r="D7702" s="6">
        <v>1.4039999999999999</v>
      </c>
      <c r="E7702" s="6">
        <v>1.401</v>
      </c>
      <c r="F7702" t="str">
        <f t="shared" si="3244"/>
        <v>MON</v>
      </c>
      <c r="G7702" s="14">
        <v>44249</v>
      </c>
      <c r="H7702" s="2">
        <f t="shared" ca="1" si="3246"/>
        <v>4</v>
      </c>
      <c r="I7702" t="str">
        <f t="shared" si="3247"/>
        <v>GBP/USD</v>
      </c>
      <c r="J7702">
        <f t="shared" si="3248"/>
        <v>1.375</v>
      </c>
      <c r="K7702">
        <f t="shared" si="3249"/>
        <v>1.4039999999999999</v>
      </c>
      <c r="L7702">
        <f t="shared" si="3250"/>
        <v>1.3895</v>
      </c>
      <c r="M7702">
        <f t="shared" si="3251"/>
        <v>1.4499999999999957E-2</v>
      </c>
      <c r="N7702">
        <f t="shared" si="3245"/>
        <v>2.8999999999999915E-2</v>
      </c>
      <c r="O7702">
        <f t="shared" si="3252"/>
        <v>1.401</v>
      </c>
      <c r="P7702">
        <f t="shared" si="3253"/>
        <v>0.79310344827586898</v>
      </c>
      <c r="Q7702" t="str">
        <f t="shared" si="3254"/>
        <v>1.86% | 0.21%</v>
      </c>
      <c r="R7702" t="str">
        <f t="shared" si="3255"/>
        <v>BULLISH</v>
      </c>
      <c r="S7702">
        <f t="shared" si="3256"/>
        <v>1</v>
      </c>
    </row>
    <row r="7703" spans="1:19" hidden="1" x14ac:dyDescent="0.25">
      <c r="A7703" s="5" t="str">
        <f t="shared" si="3257"/>
        <v>44249CAD/USD</v>
      </c>
      <c r="B7703" s="6" t="s">
        <v>244</v>
      </c>
      <c r="C7703" s="6">
        <v>0.78</v>
      </c>
      <c r="D7703" s="6">
        <v>0.8</v>
      </c>
      <c r="E7703" s="6">
        <v>0.79</v>
      </c>
      <c r="F7703" t="str">
        <f t="shared" si="3244"/>
        <v>MON</v>
      </c>
      <c r="G7703" s="14">
        <v>44249</v>
      </c>
      <c r="H7703" s="2">
        <f t="shared" ca="1" si="3246"/>
        <v>4</v>
      </c>
      <c r="I7703" t="str">
        <f t="shared" si="3247"/>
        <v>CAD/USD</v>
      </c>
      <c r="J7703">
        <f t="shared" si="3248"/>
        <v>0.78</v>
      </c>
      <c r="K7703">
        <f t="shared" si="3249"/>
        <v>0.8</v>
      </c>
      <c r="L7703">
        <f t="shared" si="3250"/>
        <v>0.79</v>
      </c>
      <c r="M7703">
        <f t="shared" si="3251"/>
        <v>1.0000000000000009E-2</v>
      </c>
      <c r="N7703">
        <f t="shared" si="3245"/>
        <v>2.0000000000000018E-2</v>
      </c>
      <c r="O7703">
        <f t="shared" si="3252"/>
        <v>0.79</v>
      </c>
      <c r="P7703">
        <f t="shared" si="3253"/>
        <v>0</v>
      </c>
      <c r="Q7703" t="str">
        <f t="shared" si="3254"/>
        <v>1.27% | 1.27%</v>
      </c>
      <c r="R7703" t="str">
        <f t="shared" si="3255"/>
        <v>BULLISH</v>
      </c>
      <c r="S7703">
        <f t="shared" si="3256"/>
        <v>1</v>
      </c>
    </row>
    <row r="7704" spans="1:19" hidden="1" x14ac:dyDescent="0.25">
      <c r="A7704" s="5" t="str">
        <f t="shared" si="3257"/>
        <v>44249USD/CHF</v>
      </c>
      <c r="B7704" s="6" t="s">
        <v>76</v>
      </c>
      <c r="C7704" s="6">
        <v>0.88</v>
      </c>
      <c r="D7704" s="6">
        <v>0.9</v>
      </c>
      <c r="E7704" s="6">
        <v>0.89</v>
      </c>
      <c r="F7704" t="str">
        <f t="shared" si="3244"/>
        <v>MON</v>
      </c>
      <c r="G7704" s="14">
        <v>44249</v>
      </c>
      <c r="H7704" s="2">
        <f t="shared" ca="1" si="3246"/>
        <v>4</v>
      </c>
      <c r="I7704" t="str">
        <f t="shared" si="3247"/>
        <v>USD/CHF</v>
      </c>
      <c r="J7704">
        <f t="shared" si="3248"/>
        <v>0.88</v>
      </c>
      <c r="K7704">
        <f t="shared" si="3249"/>
        <v>0.9</v>
      </c>
      <c r="L7704">
        <f t="shared" si="3250"/>
        <v>0.89</v>
      </c>
      <c r="M7704">
        <f t="shared" si="3251"/>
        <v>1.0000000000000009E-2</v>
      </c>
      <c r="N7704">
        <f t="shared" si="3245"/>
        <v>2.0000000000000018E-2</v>
      </c>
      <c r="O7704">
        <f t="shared" si="3252"/>
        <v>0.89</v>
      </c>
      <c r="P7704">
        <f t="shared" si="3253"/>
        <v>0</v>
      </c>
      <c r="Q7704" t="str">
        <f t="shared" si="3254"/>
        <v>1.12% | 1.12%</v>
      </c>
      <c r="R7704" t="str">
        <f t="shared" si="3255"/>
        <v>BEARISH</v>
      </c>
      <c r="S7704">
        <f t="shared" si="3256"/>
        <v>-1</v>
      </c>
    </row>
    <row r="7705" spans="1:19" hidden="1" x14ac:dyDescent="0.25">
      <c r="A7705" s="5" t="str">
        <f t="shared" si="3257"/>
        <v>44249WTIC</v>
      </c>
      <c r="B7705" s="6" t="s">
        <v>158</v>
      </c>
      <c r="C7705" s="6">
        <v>57.12</v>
      </c>
      <c r="D7705" s="6">
        <v>61.58</v>
      </c>
      <c r="E7705" s="6">
        <v>59.26</v>
      </c>
      <c r="F7705" t="str">
        <f t="shared" si="3244"/>
        <v>MON</v>
      </c>
      <c r="G7705" s="14">
        <v>44249</v>
      </c>
      <c r="H7705" s="2">
        <f t="shared" ca="1" si="3246"/>
        <v>4</v>
      </c>
      <c r="I7705" t="str">
        <f t="shared" si="3247"/>
        <v>WTIC</v>
      </c>
      <c r="J7705">
        <f t="shared" si="3248"/>
        <v>57.12</v>
      </c>
      <c r="K7705">
        <f t="shared" si="3249"/>
        <v>61.58</v>
      </c>
      <c r="L7705">
        <f t="shared" si="3250"/>
        <v>59.349999999999994</v>
      </c>
      <c r="M7705">
        <f t="shared" si="3251"/>
        <v>2.2300000000000004</v>
      </c>
      <c r="N7705">
        <f t="shared" si="3245"/>
        <v>4.4600000000000009</v>
      </c>
      <c r="O7705">
        <f t="shared" si="3252"/>
        <v>59.26</v>
      </c>
      <c r="P7705">
        <f t="shared" si="3253"/>
        <v>-4.0358744394617167E-2</v>
      </c>
      <c r="Q7705" t="str">
        <f t="shared" si="3254"/>
        <v>3.61% | 3.91%</v>
      </c>
      <c r="R7705" t="str">
        <f t="shared" si="3255"/>
        <v>BULLISH</v>
      </c>
      <c r="S7705">
        <f t="shared" si="3256"/>
        <v>1</v>
      </c>
    </row>
    <row r="7706" spans="1:19" hidden="1" x14ac:dyDescent="0.25">
      <c r="A7706" s="5" t="str">
        <f t="shared" si="3257"/>
        <v>44249NATGAS</v>
      </c>
      <c r="B7706" s="6" t="s">
        <v>89</v>
      </c>
      <c r="C7706" s="6">
        <v>2.74</v>
      </c>
      <c r="D7706" s="6">
        <v>3.22</v>
      </c>
      <c r="E7706" s="6">
        <v>2.99</v>
      </c>
      <c r="F7706" t="str">
        <f t="shared" si="3244"/>
        <v>MON</v>
      </c>
      <c r="G7706" s="14">
        <v>44249</v>
      </c>
      <c r="H7706" s="2">
        <f t="shared" ca="1" si="3246"/>
        <v>4</v>
      </c>
      <c r="I7706" t="str">
        <f t="shared" si="3247"/>
        <v>NATGAS</v>
      </c>
      <c r="J7706">
        <f t="shared" si="3248"/>
        <v>2.74</v>
      </c>
      <c r="K7706">
        <f t="shared" si="3249"/>
        <v>3.22</v>
      </c>
      <c r="L7706">
        <f t="shared" si="3250"/>
        <v>2.9800000000000004</v>
      </c>
      <c r="M7706">
        <f t="shared" si="3251"/>
        <v>0.24</v>
      </c>
      <c r="N7706">
        <f t="shared" si="3245"/>
        <v>0.48</v>
      </c>
      <c r="O7706">
        <f t="shared" si="3252"/>
        <v>2.99</v>
      </c>
      <c r="P7706">
        <f t="shared" si="3253"/>
        <v>4.1666666666665783E-2</v>
      </c>
      <c r="Q7706" t="str">
        <f t="shared" si="3254"/>
        <v>8.36% | 7.69%</v>
      </c>
      <c r="R7706" t="str">
        <f t="shared" si="3255"/>
        <v>BULLISH</v>
      </c>
      <c r="S7706">
        <f t="shared" si="3256"/>
        <v>1</v>
      </c>
    </row>
    <row r="7707" spans="1:19" hidden="1" x14ac:dyDescent="0.25">
      <c r="A7707" s="5" t="str">
        <f t="shared" si="3257"/>
        <v>44249GOLD</v>
      </c>
      <c r="B7707" s="6" t="s">
        <v>85</v>
      </c>
      <c r="C7707" s="6">
        <v>1753</v>
      </c>
      <c r="D7707" s="6">
        <v>1829</v>
      </c>
      <c r="E7707" s="6">
        <v>1777</v>
      </c>
      <c r="F7707" t="str">
        <f t="shared" si="3244"/>
        <v>MON</v>
      </c>
      <c r="G7707" s="14">
        <v>44249</v>
      </c>
      <c r="H7707" s="2">
        <f t="shared" ca="1" si="3246"/>
        <v>4</v>
      </c>
      <c r="I7707" t="str">
        <f t="shared" si="3247"/>
        <v>GOLD</v>
      </c>
      <c r="J7707">
        <f t="shared" si="3248"/>
        <v>1753</v>
      </c>
      <c r="K7707">
        <f t="shared" si="3249"/>
        <v>1829</v>
      </c>
      <c r="L7707">
        <f t="shared" si="3250"/>
        <v>1791</v>
      </c>
      <c r="M7707">
        <f t="shared" si="3251"/>
        <v>38</v>
      </c>
      <c r="N7707">
        <f t="shared" si="3245"/>
        <v>76</v>
      </c>
      <c r="O7707">
        <f t="shared" si="3252"/>
        <v>1777</v>
      </c>
      <c r="P7707">
        <f t="shared" si="3253"/>
        <v>-0.36842105263157893</v>
      </c>
      <c r="Q7707" t="str">
        <f t="shared" si="3254"/>
        <v>1.35% | 2.93%</v>
      </c>
      <c r="R7707" t="str">
        <f t="shared" si="3255"/>
        <v>BEARISH</v>
      </c>
      <c r="S7707">
        <f t="shared" si="3256"/>
        <v>-1</v>
      </c>
    </row>
    <row r="7708" spans="1:19" hidden="1" x14ac:dyDescent="0.25">
      <c r="A7708" s="5" t="str">
        <f t="shared" si="3257"/>
        <v>44249COPPER</v>
      </c>
      <c r="B7708" s="6" t="s">
        <v>100</v>
      </c>
      <c r="C7708" s="6">
        <v>3.71</v>
      </c>
      <c r="D7708" s="6">
        <v>4.1399999999999997</v>
      </c>
      <c r="E7708" s="6">
        <v>4.07</v>
      </c>
      <c r="F7708" t="str">
        <f t="shared" si="3244"/>
        <v>MON</v>
      </c>
      <c r="G7708" s="14">
        <v>44249</v>
      </c>
      <c r="H7708" s="2">
        <f t="shared" ca="1" si="3246"/>
        <v>4</v>
      </c>
      <c r="I7708" t="str">
        <f t="shared" si="3247"/>
        <v>COPPER</v>
      </c>
      <c r="J7708">
        <f t="shared" si="3248"/>
        <v>3.71</v>
      </c>
      <c r="K7708">
        <f t="shared" si="3249"/>
        <v>4.1399999999999997</v>
      </c>
      <c r="L7708">
        <f t="shared" si="3250"/>
        <v>3.9249999999999998</v>
      </c>
      <c r="M7708">
        <f t="shared" si="3251"/>
        <v>0.21499999999999986</v>
      </c>
      <c r="N7708">
        <f t="shared" si="3245"/>
        <v>0.42999999999999972</v>
      </c>
      <c r="O7708">
        <f t="shared" si="3252"/>
        <v>4.07</v>
      </c>
      <c r="P7708">
        <f t="shared" si="3253"/>
        <v>0.67441860465116543</v>
      </c>
      <c r="Q7708" t="str">
        <f t="shared" si="3254"/>
        <v>8.85% | 1.72%</v>
      </c>
      <c r="R7708" t="str">
        <f t="shared" si="3255"/>
        <v>BULLISH</v>
      </c>
      <c r="S7708">
        <f t="shared" si="3256"/>
        <v>1</v>
      </c>
    </row>
    <row r="7709" spans="1:19" hidden="1" x14ac:dyDescent="0.25">
      <c r="A7709" s="5" t="str">
        <f t="shared" si="3257"/>
        <v>44249SILVER</v>
      </c>
      <c r="B7709" s="6" t="s">
        <v>195</v>
      </c>
      <c r="C7709" s="6">
        <v>26.65</v>
      </c>
      <c r="D7709" s="6">
        <v>28.1</v>
      </c>
      <c r="E7709" s="6">
        <v>27.25</v>
      </c>
      <c r="F7709" t="str">
        <f t="shared" si="3244"/>
        <v>MON</v>
      </c>
      <c r="G7709" s="14">
        <v>44249</v>
      </c>
      <c r="H7709" s="2">
        <f t="shared" ca="1" si="3246"/>
        <v>4</v>
      </c>
      <c r="I7709" t="str">
        <f t="shared" si="3247"/>
        <v>SILVER</v>
      </c>
      <c r="J7709">
        <f t="shared" si="3248"/>
        <v>26.65</v>
      </c>
      <c r="K7709">
        <f t="shared" si="3249"/>
        <v>28.1</v>
      </c>
      <c r="L7709">
        <f t="shared" si="3250"/>
        <v>27.375</v>
      </c>
      <c r="M7709">
        <f t="shared" si="3251"/>
        <v>0.72500000000000142</v>
      </c>
      <c r="N7709">
        <f t="shared" si="3245"/>
        <v>1.4500000000000028</v>
      </c>
      <c r="O7709">
        <f t="shared" si="3252"/>
        <v>27.25</v>
      </c>
      <c r="P7709">
        <f t="shared" si="3253"/>
        <v>-0.17241379310344793</v>
      </c>
      <c r="Q7709" t="str">
        <f t="shared" si="3254"/>
        <v>2.2% | 3.12%</v>
      </c>
      <c r="R7709" t="str">
        <f t="shared" si="3255"/>
        <v>BULLISH</v>
      </c>
      <c r="S7709">
        <f t="shared" si="3256"/>
        <v>1</v>
      </c>
    </row>
    <row r="7710" spans="1:19" hidden="1" x14ac:dyDescent="0.25">
      <c r="A7710" s="5" t="str">
        <f t="shared" si="3257"/>
        <v>44249MSFT</v>
      </c>
      <c r="B7710" s="6" t="s">
        <v>27</v>
      </c>
      <c r="C7710" s="6">
        <v>239</v>
      </c>
      <c r="D7710" s="6">
        <v>246</v>
      </c>
      <c r="E7710" s="6">
        <v>240</v>
      </c>
      <c r="F7710" t="str">
        <f t="shared" si="3244"/>
        <v>MON</v>
      </c>
      <c r="G7710" s="14">
        <v>44249</v>
      </c>
      <c r="H7710" s="2">
        <f t="shared" ca="1" si="3246"/>
        <v>4</v>
      </c>
      <c r="I7710" t="str">
        <f t="shared" si="3247"/>
        <v>MSFT</v>
      </c>
      <c r="J7710">
        <f t="shared" si="3248"/>
        <v>239</v>
      </c>
      <c r="K7710">
        <f t="shared" si="3249"/>
        <v>246</v>
      </c>
      <c r="L7710">
        <f t="shared" si="3250"/>
        <v>242.5</v>
      </c>
      <c r="M7710">
        <f t="shared" si="3251"/>
        <v>3.5</v>
      </c>
      <c r="N7710">
        <f t="shared" si="3245"/>
        <v>7</v>
      </c>
      <c r="O7710">
        <f t="shared" si="3252"/>
        <v>240</v>
      </c>
      <c r="P7710">
        <f t="shared" si="3253"/>
        <v>-0.7142857142857143</v>
      </c>
      <c r="Q7710" t="str">
        <f t="shared" si="3254"/>
        <v>0.42% | 2.5%</v>
      </c>
      <c r="R7710" t="str">
        <f t="shared" si="3255"/>
        <v>BULLISH</v>
      </c>
      <c r="S7710">
        <f t="shared" si="3256"/>
        <v>1</v>
      </c>
    </row>
    <row r="7711" spans="1:19" hidden="1" x14ac:dyDescent="0.25">
      <c r="A7711" s="5" t="str">
        <f t="shared" si="3257"/>
        <v>44249AAPL</v>
      </c>
      <c r="B7711" s="6" t="s">
        <v>28</v>
      </c>
      <c r="C7711" s="6">
        <v>128</v>
      </c>
      <c r="D7711" s="6">
        <v>139</v>
      </c>
      <c r="E7711" s="6">
        <v>129</v>
      </c>
      <c r="F7711" t="str">
        <f t="shared" si="3244"/>
        <v>MON</v>
      </c>
      <c r="G7711" s="14">
        <v>44249</v>
      </c>
      <c r="H7711" s="2">
        <f t="shared" ca="1" si="3246"/>
        <v>4</v>
      </c>
      <c r="I7711" t="str">
        <f t="shared" si="3247"/>
        <v>AAPL</v>
      </c>
      <c r="J7711">
        <f t="shared" si="3248"/>
        <v>128</v>
      </c>
      <c r="K7711">
        <f t="shared" si="3249"/>
        <v>139</v>
      </c>
      <c r="L7711">
        <f t="shared" si="3250"/>
        <v>133.5</v>
      </c>
      <c r="M7711">
        <f t="shared" si="3251"/>
        <v>5.5</v>
      </c>
      <c r="N7711">
        <f t="shared" si="3245"/>
        <v>11</v>
      </c>
      <c r="O7711">
        <f t="shared" si="3252"/>
        <v>129</v>
      </c>
      <c r="P7711">
        <f t="shared" si="3253"/>
        <v>-0.81818181818181823</v>
      </c>
      <c r="Q7711" t="str">
        <f t="shared" si="3254"/>
        <v>0.78% | 7.75%</v>
      </c>
      <c r="R7711" t="str">
        <f t="shared" si="3255"/>
        <v>BULLISH</v>
      </c>
      <c r="S7711">
        <f t="shared" si="3256"/>
        <v>1</v>
      </c>
    </row>
    <row r="7712" spans="1:19" hidden="1" x14ac:dyDescent="0.25">
      <c r="A7712" s="5" t="str">
        <f t="shared" si="3257"/>
        <v>44249AMZN</v>
      </c>
      <c r="B7712" s="6" t="s">
        <v>29</v>
      </c>
      <c r="C7712" s="6">
        <v>3230</v>
      </c>
      <c r="D7712" s="6">
        <v>3350</v>
      </c>
      <c r="E7712" s="6">
        <v>3249</v>
      </c>
      <c r="F7712" t="str">
        <f t="shared" si="3244"/>
        <v>MON</v>
      </c>
      <c r="G7712" s="14">
        <v>44249</v>
      </c>
      <c r="H7712" s="2">
        <f t="shared" ca="1" si="3246"/>
        <v>4</v>
      </c>
      <c r="I7712" t="str">
        <f t="shared" si="3247"/>
        <v>AMZN</v>
      </c>
      <c r="J7712">
        <f t="shared" si="3248"/>
        <v>3230</v>
      </c>
      <c r="K7712">
        <f t="shared" si="3249"/>
        <v>3350</v>
      </c>
      <c r="L7712">
        <f t="shared" si="3250"/>
        <v>3290</v>
      </c>
      <c r="M7712">
        <f t="shared" si="3251"/>
        <v>60</v>
      </c>
      <c r="N7712">
        <f t="shared" si="3245"/>
        <v>120</v>
      </c>
      <c r="O7712">
        <f t="shared" si="3252"/>
        <v>3249</v>
      </c>
      <c r="P7712">
        <f t="shared" si="3253"/>
        <v>-0.68333333333333335</v>
      </c>
      <c r="Q7712" t="str">
        <f t="shared" si="3254"/>
        <v>0.58% | 3.11%</v>
      </c>
      <c r="R7712" t="str">
        <f t="shared" si="3255"/>
        <v>BULLISH</v>
      </c>
      <c r="S7712">
        <f t="shared" si="3256"/>
        <v>1</v>
      </c>
    </row>
    <row r="7713" spans="1:19" hidden="1" x14ac:dyDescent="0.25">
      <c r="A7713" s="5" t="str">
        <f t="shared" si="3257"/>
        <v>44249FB</v>
      </c>
      <c r="B7713" s="6" t="s">
        <v>157</v>
      </c>
      <c r="C7713" s="6">
        <v>257</v>
      </c>
      <c r="D7713" s="6">
        <v>271</v>
      </c>
      <c r="E7713" s="6">
        <v>261</v>
      </c>
      <c r="F7713" t="str">
        <f t="shared" si="3244"/>
        <v>MON</v>
      </c>
      <c r="G7713" s="14">
        <v>44249</v>
      </c>
      <c r="H7713" s="2">
        <f t="shared" ca="1" si="3246"/>
        <v>4</v>
      </c>
      <c r="I7713" t="str">
        <f t="shared" si="3247"/>
        <v>FB</v>
      </c>
      <c r="J7713">
        <f t="shared" si="3248"/>
        <v>257</v>
      </c>
      <c r="K7713">
        <f t="shared" si="3249"/>
        <v>271</v>
      </c>
      <c r="L7713">
        <f t="shared" si="3250"/>
        <v>264</v>
      </c>
      <c r="M7713">
        <f t="shared" si="3251"/>
        <v>7</v>
      </c>
      <c r="N7713">
        <f t="shared" si="3245"/>
        <v>14</v>
      </c>
      <c r="O7713">
        <f t="shared" si="3252"/>
        <v>261</v>
      </c>
      <c r="P7713">
        <f t="shared" si="3253"/>
        <v>-0.42857142857142855</v>
      </c>
      <c r="Q7713" t="str">
        <f t="shared" si="3254"/>
        <v>1.53% | 3.83%</v>
      </c>
      <c r="R7713" t="str">
        <f t="shared" si="3255"/>
        <v>NEUTRAL</v>
      </c>
      <c r="S7713">
        <f t="shared" si="3256"/>
        <v>0</v>
      </c>
    </row>
    <row r="7714" spans="1:19" hidden="1" x14ac:dyDescent="0.25">
      <c r="A7714" s="5" t="str">
        <f t="shared" si="3257"/>
        <v>44249GOOGL</v>
      </c>
      <c r="B7714" s="6" t="s">
        <v>31</v>
      </c>
      <c r="C7714" s="6">
        <v>2048</v>
      </c>
      <c r="D7714" s="6">
        <v>2131</v>
      </c>
      <c r="E7714" s="6">
        <v>2088</v>
      </c>
      <c r="F7714" t="str">
        <f t="shared" si="3244"/>
        <v>MON</v>
      </c>
      <c r="G7714" s="14">
        <v>44249</v>
      </c>
      <c r="H7714" s="2">
        <f t="shared" ca="1" si="3246"/>
        <v>4</v>
      </c>
      <c r="I7714" t="str">
        <f t="shared" si="3247"/>
        <v>GOOGL</v>
      </c>
      <c r="J7714">
        <f t="shared" si="3248"/>
        <v>2048</v>
      </c>
      <c r="K7714">
        <f t="shared" si="3249"/>
        <v>2131</v>
      </c>
      <c r="L7714">
        <f t="shared" si="3250"/>
        <v>2089.5</v>
      </c>
      <c r="M7714">
        <f t="shared" si="3251"/>
        <v>41.5</v>
      </c>
      <c r="N7714">
        <f t="shared" si="3245"/>
        <v>83</v>
      </c>
      <c r="O7714">
        <f t="shared" si="3252"/>
        <v>2088</v>
      </c>
      <c r="P7714">
        <f t="shared" si="3253"/>
        <v>-3.614457831325301E-2</v>
      </c>
      <c r="Q7714" t="str">
        <f t="shared" si="3254"/>
        <v>1.92% | 2.06%</v>
      </c>
      <c r="R7714" t="str">
        <f t="shared" si="3255"/>
        <v>BULLISH</v>
      </c>
      <c r="S7714">
        <f t="shared" si="3256"/>
        <v>1</v>
      </c>
    </row>
    <row r="7715" spans="1:19" hidden="1" x14ac:dyDescent="0.25">
      <c r="A7715" s="5" t="str">
        <f t="shared" si="3257"/>
        <v>44249NFLX</v>
      </c>
      <c r="B7715" s="6" t="s">
        <v>32</v>
      </c>
      <c r="C7715" s="6">
        <v>538</v>
      </c>
      <c r="D7715" s="6">
        <v>569</v>
      </c>
      <c r="E7715" s="6">
        <v>540</v>
      </c>
      <c r="F7715" t="str">
        <f t="shared" si="3244"/>
        <v>MON</v>
      </c>
      <c r="G7715" s="14">
        <v>44249</v>
      </c>
      <c r="H7715" s="2">
        <f t="shared" ca="1" si="3246"/>
        <v>4</v>
      </c>
      <c r="I7715" t="str">
        <f t="shared" si="3247"/>
        <v>NFLX</v>
      </c>
      <c r="J7715">
        <f t="shared" si="3248"/>
        <v>538</v>
      </c>
      <c r="K7715">
        <f t="shared" si="3249"/>
        <v>569</v>
      </c>
      <c r="L7715">
        <f t="shared" si="3250"/>
        <v>553.5</v>
      </c>
      <c r="M7715">
        <f t="shared" si="3251"/>
        <v>15.5</v>
      </c>
      <c r="N7715">
        <f t="shared" si="3245"/>
        <v>31</v>
      </c>
      <c r="O7715">
        <f t="shared" si="3252"/>
        <v>540</v>
      </c>
      <c r="P7715">
        <f t="shared" si="3253"/>
        <v>-0.87096774193548387</v>
      </c>
      <c r="Q7715" t="str">
        <f t="shared" si="3254"/>
        <v>0.37% | 5.37%</v>
      </c>
      <c r="R7715" t="str">
        <f t="shared" si="3255"/>
        <v>BULLISH</v>
      </c>
      <c r="S7715">
        <f t="shared" si="3256"/>
        <v>1</v>
      </c>
    </row>
    <row r="7716" spans="1:19" x14ac:dyDescent="0.25">
      <c r="A7716" s="5" t="str">
        <f t="shared" si="3257"/>
        <v>44249TSLA</v>
      </c>
      <c r="B7716" s="6" t="s">
        <v>33</v>
      </c>
      <c r="C7716" s="6">
        <v>749</v>
      </c>
      <c r="D7716" s="6">
        <v>865</v>
      </c>
      <c r="E7716" s="6">
        <v>781</v>
      </c>
      <c r="F7716" t="str">
        <f t="shared" si="3244"/>
        <v>MON</v>
      </c>
      <c r="G7716" s="14">
        <v>44249</v>
      </c>
      <c r="H7716" s="2">
        <f t="shared" ca="1" si="3246"/>
        <v>4</v>
      </c>
      <c r="I7716" t="str">
        <f t="shared" si="3247"/>
        <v>TSLA</v>
      </c>
      <c r="J7716">
        <f t="shared" si="3248"/>
        <v>749</v>
      </c>
      <c r="K7716">
        <f t="shared" si="3249"/>
        <v>865</v>
      </c>
      <c r="L7716">
        <f t="shared" si="3250"/>
        <v>807</v>
      </c>
      <c r="M7716">
        <f t="shared" si="3251"/>
        <v>58</v>
      </c>
      <c r="N7716">
        <f t="shared" si="3245"/>
        <v>116</v>
      </c>
      <c r="O7716">
        <f t="shared" si="3252"/>
        <v>781</v>
      </c>
      <c r="P7716">
        <f t="shared" si="3253"/>
        <v>-0.44827586206896552</v>
      </c>
      <c r="Q7716" t="str">
        <f t="shared" si="3254"/>
        <v>4.1% | 10.76%</v>
      </c>
      <c r="R7716" t="str">
        <f t="shared" si="3255"/>
        <v>BULLISH</v>
      </c>
      <c r="S7716">
        <f t="shared" si="3256"/>
        <v>1</v>
      </c>
    </row>
    <row r="7717" spans="1:19" hidden="1" x14ac:dyDescent="0.25">
      <c r="A7717" s="5" t="str">
        <f t="shared" si="3257"/>
        <v>44249NYXBT</v>
      </c>
      <c r="B7717" s="6" t="s">
        <v>60</v>
      </c>
      <c r="C7717" s="6">
        <v>48306</v>
      </c>
      <c r="D7717" s="6">
        <v>55633</v>
      </c>
      <c r="E7717" s="6">
        <v>53665</v>
      </c>
      <c r="F7717" t="str">
        <f t="shared" si="3244"/>
        <v>MON</v>
      </c>
      <c r="G7717" s="14">
        <v>44249</v>
      </c>
      <c r="H7717" s="2">
        <f t="shared" ca="1" si="3246"/>
        <v>4</v>
      </c>
      <c r="I7717" t="str">
        <f t="shared" si="3247"/>
        <v>NYXBT</v>
      </c>
      <c r="J7717">
        <f t="shared" si="3248"/>
        <v>48306</v>
      </c>
      <c r="K7717">
        <f t="shared" si="3249"/>
        <v>55633</v>
      </c>
      <c r="L7717">
        <f t="shared" si="3250"/>
        <v>51969.5</v>
      </c>
      <c r="M7717">
        <f t="shared" si="3251"/>
        <v>3663.5</v>
      </c>
      <c r="N7717">
        <f t="shared" si="3245"/>
        <v>7327</v>
      </c>
      <c r="O7717">
        <f t="shared" si="3252"/>
        <v>53665</v>
      </c>
      <c r="P7717">
        <f t="shared" si="3253"/>
        <v>0.46280878940903508</v>
      </c>
      <c r="Q7717" t="str">
        <f t="shared" si="3254"/>
        <v>9.99% | 3.67%</v>
      </c>
      <c r="R7717" t="str">
        <f t="shared" si="3255"/>
        <v>BULLISH</v>
      </c>
      <c r="S7717">
        <f t="shared" si="3256"/>
        <v>1</v>
      </c>
    </row>
    <row r="7718" spans="1:19" hidden="1" x14ac:dyDescent="0.25">
      <c r="A7718" s="5" t="str">
        <f t="shared" si="3257"/>
        <v>44250UST10Y</v>
      </c>
      <c r="B7718" s="6" t="s">
        <v>257</v>
      </c>
      <c r="C7718" s="6">
        <v>1.41</v>
      </c>
      <c r="D7718" s="6">
        <v>1.18</v>
      </c>
      <c r="E7718" s="6">
        <v>1.37</v>
      </c>
      <c r="F7718" t="str">
        <f t="shared" si="3244"/>
        <v>TUE</v>
      </c>
      <c r="G7718" s="14">
        <v>44250</v>
      </c>
      <c r="H7718" s="2">
        <f t="shared" ref="H7718:H7749" ca="1" si="3258">TODAY()-G7718</f>
        <v>3</v>
      </c>
      <c r="I7718" t="str">
        <f t="shared" ref="I7718:I7749" si="3259">TRIM(LEFT(B7718,FIND(" ",B7718,1)))</f>
        <v>UST10Y</v>
      </c>
      <c r="J7718">
        <f t="shared" ref="J7718:J7749" si="3260">C7718</f>
        <v>1.41</v>
      </c>
      <c r="K7718">
        <f t="shared" ref="K7718:K7749" si="3261">D7718</f>
        <v>1.18</v>
      </c>
      <c r="L7718">
        <f t="shared" ref="L7718:L7749" si="3262">AVERAGE(J7718:K7718)</f>
        <v>1.2949999999999999</v>
      </c>
      <c r="M7718">
        <f t="shared" ref="M7718:M7749" si="3263">_xlfn.STDEV.P(J7718:K7718)</f>
        <v>0.11499999999999999</v>
      </c>
      <c r="N7718">
        <f t="shared" ref="N7718:N7749" si="3264">ABS(K7718-J7718)</f>
        <v>0.22999999999999998</v>
      </c>
      <c r="O7718">
        <f t="shared" ref="O7718:O7749" si="3265">E7718</f>
        <v>1.37</v>
      </c>
      <c r="P7718">
        <f t="shared" ref="P7718:P7749" si="3266">(O7718-L7718)/M7718</f>
        <v>0.65217391304347982</v>
      </c>
      <c r="Q7718" t="str">
        <f t="shared" ref="Q7718:Q7749" si="3267">ROUND(ABS(100*(O7718-J7718)/O7718),2)&amp;"% | "&amp;ROUND(ABS(100*(K7718-O7718)/O7718),2)&amp;"%"</f>
        <v>2.92% | 13.87%</v>
      </c>
      <c r="R7718" t="str">
        <f t="shared" ref="R7718:R7749" si="3268">MID(B7718,FIND("(",B7718,1)+1,FIND(")",B7718,1)-FIND("(",B7718,1)-1)</f>
        <v>BULLISH</v>
      </c>
      <c r="S7718">
        <f t="shared" ref="S7718:S7749" si="3269">IF(R7718="BEARISH",-1,IF(R7718="NEUTRAL",0,IF(R7718="BULLISH",1,99)))</f>
        <v>1</v>
      </c>
    </row>
    <row r="7719" spans="1:19" hidden="1" x14ac:dyDescent="0.25">
      <c r="A7719" s="5" t="str">
        <f t="shared" si="3257"/>
        <v>44250UST2Y</v>
      </c>
      <c r="B7719" s="6" t="s">
        <v>5</v>
      </c>
      <c r="C7719" s="6">
        <v>0.13</v>
      </c>
      <c r="D7719" s="6">
        <v>0.1</v>
      </c>
      <c r="E7719" s="6">
        <v>0.11</v>
      </c>
      <c r="F7719" t="str">
        <f t="shared" ref="F7719:F7783" si="3270">UPPER(TEXT(G7719,"ddd"))</f>
        <v>TUE</v>
      </c>
      <c r="G7719" s="14">
        <v>44250</v>
      </c>
      <c r="H7719" s="2">
        <f t="shared" ca="1" si="3258"/>
        <v>3</v>
      </c>
      <c r="I7719" t="str">
        <f t="shared" si="3259"/>
        <v>UST2Y</v>
      </c>
      <c r="J7719">
        <f t="shared" si="3260"/>
        <v>0.13</v>
      </c>
      <c r="K7719">
        <f t="shared" si="3261"/>
        <v>0.1</v>
      </c>
      <c r="L7719">
        <f t="shared" si="3262"/>
        <v>0.115</v>
      </c>
      <c r="M7719">
        <f t="shared" si="3263"/>
        <v>1.5000000000000041E-2</v>
      </c>
      <c r="N7719">
        <f t="shared" si="3264"/>
        <v>0.03</v>
      </c>
      <c r="O7719">
        <f t="shared" si="3265"/>
        <v>0.11</v>
      </c>
      <c r="P7719">
        <f t="shared" si="3266"/>
        <v>-0.3333333333333327</v>
      </c>
      <c r="Q7719" t="str">
        <f t="shared" si="3267"/>
        <v>18.18% | 9.09%</v>
      </c>
      <c r="R7719" t="str">
        <f t="shared" si="3268"/>
        <v>BEARISH</v>
      </c>
      <c r="S7719">
        <f t="shared" si="3269"/>
        <v>-1</v>
      </c>
    </row>
    <row r="7720" spans="1:19" hidden="1" x14ac:dyDescent="0.25">
      <c r="A7720" s="5" t="str">
        <f t="shared" si="3257"/>
        <v>44250SPX</v>
      </c>
      <c r="B7720" s="6" t="s">
        <v>93</v>
      </c>
      <c r="C7720" s="6">
        <v>3854</v>
      </c>
      <c r="D7720" s="6">
        <v>3950</v>
      </c>
      <c r="E7720" s="6">
        <v>3876</v>
      </c>
      <c r="F7720" t="str">
        <f t="shared" si="3270"/>
        <v>TUE</v>
      </c>
      <c r="G7720" s="14">
        <v>44250</v>
      </c>
      <c r="H7720" s="2">
        <f t="shared" ca="1" si="3258"/>
        <v>3</v>
      </c>
      <c r="I7720" t="str">
        <f t="shared" si="3259"/>
        <v>SPX</v>
      </c>
      <c r="J7720">
        <f t="shared" si="3260"/>
        <v>3854</v>
      </c>
      <c r="K7720">
        <f t="shared" si="3261"/>
        <v>3950</v>
      </c>
      <c r="L7720">
        <f t="shared" si="3262"/>
        <v>3902</v>
      </c>
      <c r="M7720">
        <f t="shared" si="3263"/>
        <v>48</v>
      </c>
      <c r="N7720">
        <f t="shared" si="3264"/>
        <v>96</v>
      </c>
      <c r="O7720">
        <f t="shared" si="3265"/>
        <v>3876</v>
      </c>
      <c r="P7720">
        <f t="shared" si="3266"/>
        <v>-0.54166666666666663</v>
      </c>
      <c r="Q7720" t="str">
        <f t="shared" si="3267"/>
        <v>0.57% | 1.91%</v>
      </c>
      <c r="R7720" t="str">
        <f t="shared" si="3268"/>
        <v>BULLISH</v>
      </c>
      <c r="S7720">
        <f t="shared" si="3269"/>
        <v>1</v>
      </c>
    </row>
    <row r="7721" spans="1:19" hidden="1" x14ac:dyDescent="0.25">
      <c r="A7721" s="5" t="str">
        <f t="shared" si="3257"/>
        <v>44250RUT</v>
      </c>
      <c r="B7721" s="6" t="s">
        <v>247</v>
      </c>
      <c r="C7721" s="6">
        <v>2220</v>
      </c>
      <c r="D7721" s="6">
        <v>2312</v>
      </c>
      <c r="E7721" s="6">
        <v>2251</v>
      </c>
      <c r="F7721" t="str">
        <f t="shared" si="3270"/>
        <v>TUE</v>
      </c>
      <c r="G7721" s="14">
        <v>44250</v>
      </c>
      <c r="H7721" s="2">
        <f t="shared" ca="1" si="3258"/>
        <v>3</v>
      </c>
      <c r="I7721" t="str">
        <f t="shared" si="3259"/>
        <v>RUT</v>
      </c>
      <c r="J7721">
        <f t="shared" si="3260"/>
        <v>2220</v>
      </c>
      <c r="K7721">
        <f t="shared" si="3261"/>
        <v>2312</v>
      </c>
      <c r="L7721">
        <f t="shared" si="3262"/>
        <v>2266</v>
      </c>
      <c r="M7721">
        <f t="shared" si="3263"/>
        <v>46</v>
      </c>
      <c r="N7721">
        <f t="shared" si="3264"/>
        <v>92</v>
      </c>
      <c r="O7721">
        <f t="shared" si="3265"/>
        <v>2251</v>
      </c>
      <c r="P7721">
        <f t="shared" si="3266"/>
        <v>-0.32608695652173914</v>
      </c>
      <c r="Q7721" t="str">
        <f t="shared" si="3267"/>
        <v>1.38% | 2.71%</v>
      </c>
      <c r="R7721" t="str">
        <f t="shared" si="3268"/>
        <v>BULLISH</v>
      </c>
      <c r="S7721">
        <f t="shared" si="3269"/>
        <v>1</v>
      </c>
    </row>
    <row r="7722" spans="1:19" hidden="1" x14ac:dyDescent="0.25">
      <c r="A7722" s="5" t="str">
        <f t="shared" si="3257"/>
        <v>44250COMPQ</v>
      </c>
      <c r="B7722" s="6" t="s">
        <v>8</v>
      </c>
      <c r="C7722" s="6">
        <v>13437</v>
      </c>
      <c r="D7722" s="6">
        <v>14251</v>
      </c>
      <c r="E7722" s="6">
        <v>13533</v>
      </c>
      <c r="F7722" t="str">
        <f t="shared" si="3270"/>
        <v>TUE</v>
      </c>
      <c r="G7722" s="14">
        <v>44250</v>
      </c>
      <c r="H7722" s="2">
        <f t="shared" ca="1" si="3258"/>
        <v>3</v>
      </c>
      <c r="I7722" t="str">
        <f t="shared" si="3259"/>
        <v>COMPQ</v>
      </c>
      <c r="J7722">
        <f t="shared" si="3260"/>
        <v>13437</v>
      </c>
      <c r="K7722">
        <f t="shared" si="3261"/>
        <v>14251</v>
      </c>
      <c r="L7722">
        <f t="shared" si="3262"/>
        <v>13844</v>
      </c>
      <c r="M7722">
        <f t="shared" si="3263"/>
        <v>407</v>
      </c>
      <c r="N7722">
        <f t="shared" si="3264"/>
        <v>814</v>
      </c>
      <c r="O7722">
        <f t="shared" si="3265"/>
        <v>13533</v>
      </c>
      <c r="P7722">
        <f t="shared" si="3266"/>
        <v>-0.76412776412776418</v>
      </c>
      <c r="Q7722" t="str">
        <f t="shared" si="3267"/>
        <v>0.71% | 5.31%</v>
      </c>
      <c r="R7722" t="str">
        <f t="shared" si="3268"/>
        <v>BULLISH</v>
      </c>
      <c r="S7722">
        <f t="shared" si="3269"/>
        <v>1</v>
      </c>
    </row>
    <row r="7723" spans="1:19" hidden="1" x14ac:dyDescent="0.25">
      <c r="A7723" s="5" t="str">
        <f t="shared" si="3257"/>
        <v>44250XLK</v>
      </c>
      <c r="B7723" s="6" t="s">
        <v>10</v>
      </c>
      <c r="C7723" s="6">
        <v>132.09</v>
      </c>
      <c r="D7723" s="6">
        <v>139.41</v>
      </c>
      <c r="E7723" s="6">
        <v>133.05000000000001</v>
      </c>
      <c r="F7723" t="str">
        <f t="shared" si="3270"/>
        <v>TUE</v>
      </c>
      <c r="G7723" s="14">
        <v>44250</v>
      </c>
      <c r="H7723" s="2">
        <f t="shared" ca="1" si="3258"/>
        <v>3</v>
      </c>
      <c r="I7723" t="str">
        <f t="shared" si="3259"/>
        <v>XLK</v>
      </c>
      <c r="J7723">
        <f t="shared" si="3260"/>
        <v>132.09</v>
      </c>
      <c r="K7723">
        <f t="shared" si="3261"/>
        <v>139.41</v>
      </c>
      <c r="L7723">
        <f t="shared" si="3262"/>
        <v>135.75</v>
      </c>
      <c r="M7723">
        <f t="shared" si="3263"/>
        <v>3.6599999999999966</v>
      </c>
      <c r="N7723">
        <f t="shared" si="3264"/>
        <v>7.3199999999999932</v>
      </c>
      <c r="O7723">
        <f t="shared" si="3265"/>
        <v>133.05000000000001</v>
      </c>
      <c r="P7723">
        <f t="shared" si="3266"/>
        <v>-0.73770491803278448</v>
      </c>
      <c r="Q7723" t="str">
        <f t="shared" si="3267"/>
        <v>0.72% | 4.78%</v>
      </c>
      <c r="R7723" t="str">
        <f t="shared" si="3268"/>
        <v>BULLISH</v>
      </c>
      <c r="S7723">
        <f t="shared" si="3269"/>
        <v>1</v>
      </c>
    </row>
    <row r="7724" spans="1:19" hidden="1" x14ac:dyDescent="0.25">
      <c r="A7724" s="5" t="str">
        <f t="shared" si="3257"/>
        <v>44250XLE</v>
      </c>
      <c r="B7724" s="6" t="s">
        <v>250</v>
      </c>
      <c r="C7724" s="6">
        <v>43.32</v>
      </c>
      <c r="D7724" s="6">
        <v>47.99</v>
      </c>
      <c r="E7724" s="6">
        <v>47.78</v>
      </c>
      <c r="F7724" t="str">
        <f t="shared" si="3270"/>
        <v>TUE</v>
      </c>
      <c r="G7724" s="14">
        <v>44250</v>
      </c>
      <c r="H7724" s="2">
        <f t="shared" ca="1" si="3258"/>
        <v>3</v>
      </c>
      <c r="I7724" t="str">
        <f t="shared" si="3259"/>
        <v>XLE</v>
      </c>
      <c r="J7724">
        <f t="shared" si="3260"/>
        <v>43.32</v>
      </c>
      <c r="K7724">
        <f t="shared" si="3261"/>
        <v>47.99</v>
      </c>
      <c r="L7724">
        <f t="shared" si="3262"/>
        <v>45.655000000000001</v>
      </c>
      <c r="M7724">
        <f t="shared" si="3263"/>
        <v>2.3350000000000009</v>
      </c>
      <c r="N7724">
        <f t="shared" si="3264"/>
        <v>4.6700000000000017</v>
      </c>
      <c r="O7724">
        <f t="shared" si="3265"/>
        <v>47.78</v>
      </c>
      <c r="P7724">
        <f t="shared" si="3266"/>
        <v>0.91006423982869344</v>
      </c>
      <c r="Q7724" t="str">
        <f t="shared" si="3267"/>
        <v>9.33% | 0.44%</v>
      </c>
      <c r="R7724" t="str">
        <f t="shared" si="3268"/>
        <v>BULLISH</v>
      </c>
      <c r="S7724">
        <f t="shared" si="3269"/>
        <v>1</v>
      </c>
    </row>
    <row r="7725" spans="1:19" hidden="1" x14ac:dyDescent="0.25">
      <c r="A7725" s="5" t="str">
        <f t="shared" si="3257"/>
        <v>44250XLU</v>
      </c>
      <c r="B7725" s="6" t="s">
        <v>82</v>
      </c>
      <c r="C7725" s="6">
        <v>59.48</v>
      </c>
      <c r="D7725" s="6">
        <v>62.14</v>
      </c>
      <c r="E7725" s="6">
        <v>60.21</v>
      </c>
      <c r="F7725" t="str">
        <f t="shared" si="3270"/>
        <v>TUE</v>
      </c>
      <c r="G7725" s="14">
        <v>44250</v>
      </c>
      <c r="H7725" s="2">
        <f t="shared" ca="1" si="3258"/>
        <v>3</v>
      </c>
      <c r="I7725" t="str">
        <f t="shared" si="3259"/>
        <v>XLU</v>
      </c>
      <c r="J7725">
        <f t="shared" si="3260"/>
        <v>59.48</v>
      </c>
      <c r="K7725">
        <f t="shared" si="3261"/>
        <v>62.14</v>
      </c>
      <c r="L7725">
        <f t="shared" si="3262"/>
        <v>60.81</v>
      </c>
      <c r="M7725">
        <f t="shared" si="3263"/>
        <v>1.3300000000000018</v>
      </c>
      <c r="N7725">
        <f t="shared" si="3264"/>
        <v>2.6600000000000037</v>
      </c>
      <c r="O7725">
        <f t="shared" si="3265"/>
        <v>60.21</v>
      </c>
      <c r="P7725">
        <f t="shared" si="3266"/>
        <v>-0.4511278195488726</v>
      </c>
      <c r="Q7725" t="str">
        <f t="shared" si="3267"/>
        <v>1.21% | 3.21%</v>
      </c>
      <c r="R7725" t="str">
        <f t="shared" si="3268"/>
        <v>BEARISH</v>
      </c>
      <c r="S7725">
        <f t="shared" si="3269"/>
        <v>-1</v>
      </c>
    </row>
    <row r="7726" spans="1:19" hidden="1" x14ac:dyDescent="0.25">
      <c r="A7726" s="5" t="str">
        <f t="shared" si="3257"/>
        <v>44250GDX</v>
      </c>
      <c r="B7726" s="6" t="s">
        <v>254</v>
      </c>
      <c r="C7726" s="6">
        <v>31.9</v>
      </c>
      <c r="D7726" s="6">
        <v>34.68</v>
      </c>
      <c r="E7726" s="6">
        <v>34.21</v>
      </c>
      <c r="F7726" t="str">
        <f t="shared" si="3270"/>
        <v>TUE</v>
      </c>
      <c r="G7726" s="14">
        <v>44250</v>
      </c>
      <c r="H7726" s="2">
        <f t="shared" ca="1" si="3258"/>
        <v>3</v>
      </c>
      <c r="I7726" t="str">
        <f t="shared" si="3259"/>
        <v>GDX</v>
      </c>
      <c r="J7726">
        <f t="shared" si="3260"/>
        <v>31.9</v>
      </c>
      <c r="K7726">
        <f t="shared" si="3261"/>
        <v>34.68</v>
      </c>
      <c r="L7726">
        <f t="shared" si="3262"/>
        <v>33.29</v>
      </c>
      <c r="M7726">
        <f t="shared" si="3263"/>
        <v>1.3900000000000006</v>
      </c>
      <c r="N7726">
        <f t="shared" si="3264"/>
        <v>2.7800000000000011</v>
      </c>
      <c r="O7726">
        <f t="shared" si="3265"/>
        <v>34.21</v>
      </c>
      <c r="P7726">
        <f t="shared" si="3266"/>
        <v>0.66187050359712329</v>
      </c>
      <c r="Q7726" t="str">
        <f t="shared" si="3267"/>
        <v>6.75% | 1.37%</v>
      </c>
      <c r="R7726" t="str">
        <f t="shared" si="3268"/>
        <v>BEARISH</v>
      </c>
      <c r="S7726">
        <f t="shared" si="3269"/>
        <v>-1</v>
      </c>
    </row>
    <row r="7727" spans="1:19" hidden="1" x14ac:dyDescent="0.25">
      <c r="A7727" s="5" t="str">
        <f t="shared" si="3257"/>
        <v>44250SSEC</v>
      </c>
      <c r="B7727" s="6" t="s">
        <v>104</v>
      </c>
      <c r="C7727" s="6">
        <v>3523</v>
      </c>
      <c r="D7727" s="6">
        <v>3742</v>
      </c>
      <c r="E7727" s="6">
        <v>3636</v>
      </c>
      <c r="F7727" t="str">
        <f t="shared" si="3270"/>
        <v>TUE</v>
      </c>
      <c r="G7727" s="14">
        <v>44250</v>
      </c>
      <c r="H7727" s="2">
        <f t="shared" ca="1" si="3258"/>
        <v>3</v>
      </c>
      <c r="I7727" t="str">
        <f t="shared" si="3259"/>
        <v>SSEC</v>
      </c>
      <c r="J7727">
        <f t="shared" si="3260"/>
        <v>3523</v>
      </c>
      <c r="K7727">
        <f t="shared" si="3261"/>
        <v>3742</v>
      </c>
      <c r="L7727">
        <f t="shared" si="3262"/>
        <v>3632.5</v>
      </c>
      <c r="M7727">
        <f t="shared" si="3263"/>
        <v>109.5</v>
      </c>
      <c r="N7727">
        <f t="shared" si="3264"/>
        <v>219</v>
      </c>
      <c r="O7727">
        <f t="shared" si="3265"/>
        <v>3636</v>
      </c>
      <c r="P7727">
        <f t="shared" si="3266"/>
        <v>3.1963470319634701E-2</v>
      </c>
      <c r="Q7727" t="str">
        <f t="shared" si="3267"/>
        <v>3.11% | 2.92%</v>
      </c>
      <c r="R7727" t="str">
        <f t="shared" si="3268"/>
        <v>BULLISH</v>
      </c>
      <c r="S7727">
        <f t="shared" si="3269"/>
        <v>1</v>
      </c>
    </row>
    <row r="7728" spans="1:19" hidden="1" x14ac:dyDescent="0.25">
      <c r="A7728" s="5" t="str">
        <f t="shared" si="3257"/>
        <v>44250NIKK</v>
      </c>
      <c r="B7728" s="6" t="s">
        <v>91</v>
      </c>
      <c r="C7728" s="6">
        <v>29143</v>
      </c>
      <c r="D7728" s="6">
        <v>30680</v>
      </c>
      <c r="E7728" s="6">
        <v>30156</v>
      </c>
      <c r="F7728" t="str">
        <f t="shared" si="3270"/>
        <v>TUE</v>
      </c>
      <c r="G7728" s="14">
        <v>44250</v>
      </c>
      <c r="H7728" s="2">
        <f t="shared" ca="1" si="3258"/>
        <v>3</v>
      </c>
      <c r="I7728" t="str">
        <f t="shared" si="3259"/>
        <v>NIKK</v>
      </c>
      <c r="J7728">
        <f t="shared" si="3260"/>
        <v>29143</v>
      </c>
      <c r="K7728">
        <f t="shared" si="3261"/>
        <v>30680</v>
      </c>
      <c r="L7728">
        <f t="shared" si="3262"/>
        <v>29911.5</v>
      </c>
      <c r="M7728">
        <f t="shared" si="3263"/>
        <v>768.5</v>
      </c>
      <c r="N7728">
        <f t="shared" si="3264"/>
        <v>1537</v>
      </c>
      <c r="O7728">
        <f t="shared" si="3265"/>
        <v>30156</v>
      </c>
      <c r="P7728">
        <f t="shared" si="3266"/>
        <v>0.31815224463240077</v>
      </c>
      <c r="Q7728" t="str">
        <f t="shared" si="3267"/>
        <v>3.36% | 1.74%</v>
      </c>
      <c r="R7728" t="str">
        <f t="shared" si="3268"/>
        <v>BULLISH</v>
      </c>
      <c r="S7728">
        <f t="shared" si="3269"/>
        <v>1</v>
      </c>
    </row>
    <row r="7729" spans="1:19" hidden="1" x14ac:dyDescent="0.25">
      <c r="A7729" s="5" t="str">
        <f t="shared" si="3257"/>
        <v>44250DAX</v>
      </c>
      <c r="B7729" s="6" t="s">
        <v>98</v>
      </c>
      <c r="C7729" s="6">
        <v>13707</v>
      </c>
      <c r="D7729" s="6">
        <v>14150</v>
      </c>
      <c r="E7729" s="6">
        <v>13950</v>
      </c>
      <c r="F7729" t="str">
        <f t="shared" si="3270"/>
        <v>TUE</v>
      </c>
      <c r="G7729" s="14">
        <v>44250</v>
      </c>
      <c r="H7729" s="2">
        <f t="shared" ca="1" si="3258"/>
        <v>3</v>
      </c>
      <c r="I7729" t="str">
        <f t="shared" si="3259"/>
        <v>DAX</v>
      </c>
      <c r="J7729">
        <f t="shared" si="3260"/>
        <v>13707</v>
      </c>
      <c r="K7729">
        <f t="shared" si="3261"/>
        <v>14150</v>
      </c>
      <c r="L7729">
        <f t="shared" si="3262"/>
        <v>13928.5</v>
      </c>
      <c r="M7729">
        <f t="shared" si="3263"/>
        <v>221.5</v>
      </c>
      <c r="N7729">
        <f t="shared" si="3264"/>
        <v>443</v>
      </c>
      <c r="O7729">
        <f t="shared" si="3265"/>
        <v>13950</v>
      </c>
      <c r="P7729">
        <f t="shared" si="3266"/>
        <v>9.7065462753950338E-2</v>
      </c>
      <c r="Q7729" t="str">
        <f t="shared" si="3267"/>
        <v>1.74% | 1.43%</v>
      </c>
      <c r="R7729" t="str">
        <f t="shared" si="3268"/>
        <v>BULLISH</v>
      </c>
      <c r="S7729">
        <f t="shared" si="3269"/>
        <v>1</v>
      </c>
    </row>
    <row r="7730" spans="1:19" hidden="1" x14ac:dyDescent="0.25">
      <c r="A7730" s="5" t="str">
        <f t="shared" si="3257"/>
        <v>44250VIX</v>
      </c>
      <c r="B7730" s="6" t="s">
        <v>96</v>
      </c>
      <c r="C7730" s="6">
        <v>19.77</v>
      </c>
      <c r="D7730" s="6">
        <v>24.29</v>
      </c>
      <c r="E7730" s="6">
        <v>23.45</v>
      </c>
      <c r="F7730" t="str">
        <f t="shared" si="3270"/>
        <v>TUE</v>
      </c>
      <c r="G7730" s="14">
        <v>44250</v>
      </c>
      <c r="H7730" s="2">
        <f t="shared" ca="1" si="3258"/>
        <v>3</v>
      </c>
      <c r="I7730" t="str">
        <f t="shared" si="3259"/>
        <v>VIX</v>
      </c>
      <c r="J7730">
        <f t="shared" si="3260"/>
        <v>19.77</v>
      </c>
      <c r="K7730">
        <f t="shared" si="3261"/>
        <v>24.29</v>
      </c>
      <c r="L7730">
        <f t="shared" si="3262"/>
        <v>22.03</v>
      </c>
      <c r="M7730">
        <f t="shared" si="3263"/>
        <v>2.2599999999999856</v>
      </c>
      <c r="N7730">
        <f t="shared" si="3264"/>
        <v>4.5199999999999996</v>
      </c>
      <c r="O7730">
        <f t="shared" si="3265"/>
        <v>23.45</v>
      </c>
      <c r="P7730">
        <f t="shared" si="3266"/>
        <v>0.62831858407079966</v>
      </c>
      <c r="Q7730" t="str">
        <f t="shared" si="3267"/>
        <v>15.69% | 3.58%</v>
      </c>
      <c r="R7730" t="str">
        <f t="shared" si="3268"/>
        <v>BEARISH</v>
      </c>
      <c r="S7730">
        <f t="shared" si="3269"/>
        <v>-1</v>
      </c>
    </row>
    <row r="7731" spans="1:19" hidden="1" x14ac:dyDescent="0.25">
      <c r="A7731" s="5" t="str">
        <f t="shared" si="3257"/>
        <v>44250USD</v>
      </c>
      <c r="B7731" s="6" t="s">
        <v>94</v>
      </c>
      <c r="C7731" s="6">
        <v>89.8</v>
      </c>
      <c r="D7731" s="6">
        <v>90.91</v>
      </c>
      <c r="E7731" s="6">
        <v>90</v>
      </c>
      <c r="F7731" t="str">
        <f t="shared" si="3270"/>
        <v>TUE</v>
      </c>
      <c r="G7731" s="14">
        <v>44250</v>
      </c>
      <c r="H7731" s="2">
        <f t="shared" ca="1" si="3258"/>
        <v>3</v>
      </c>
      <c r="I7731" t="str">
        <f t="shared" si="3259"/>
        <v>USD</v>
      </c>
      <c r="J7731">
        <f t="shared" si="3260"/>
        <v>89.8</v>
      </c>
      <c r="K7731">
        <f t="shared" si="3261"/>
        <v>90.91</v>
      </c>
      <c r="L7731">
        <f t="shared" si="3262"/>
        <v>90.35499999999999</v>
      </c>
      <c r="M7731">
        <f t="shared" si="3263"/>
        <v>0.55499999999999972</v>
      </c>
      <c r="N7731">
        <f t="shared" si="3264"/>
        <v>1.1099999999999994</v>
      </c>
      <c r="O7731">
        <f t="shared" si="3265"/>
        <v>90</v>
      </c>
      <c r="P7731">
        <f t="shared" si="3266"/>
        <v>-0.63963963963962156</v>
      </c>
      <c r="Q7731" t="str">
        <f t="shared" si="3267"/>
        <v>0.22% | 1.01%</v>
      </c>
      <c r="R7731" t="str">
        <f t="shared" si="3268"/>
        <v>BEARISH</v>
      </c>
      <c r="S7731">
        <f t="shared" si="3269"/>
        <v>-1</v>
      </c>
    </row>
    <row r="7732" spans="1:19" hidden="1" x14ac:dyDescent="0.25">
      <c r="A7732" s="5" t="str">
        <f t="shared" si="3257"/>
        <v>44250EUR/USD</v>
      </c>
      <c r="B7732" s="6" t="s">
        <v>99</v>
      </c>
      <c r="C7732" s="6">
        <v>1.2030000000000001</v>
      </c>
      <c r="D7732" s="6">
        <v>1.2190000000000001</v>
      </c>
      <c r="E7732" s="6">
        <v>1.216</v>
      </c>
      <c r="F7732" t="str">
        <f t="shared" si="3270"/>
        <v>TUE</v>
      </c>
      <c r="G7732" s="14">
        <v>44250</v>
      </c>
      <c r="H7732" s="2">
        <f t="shared" ca="1" si="3258"/>
        <v>3</v>
      </c>
      <c r="I7732" t="str">
        <f t="shared" si="3259"/>
        <v>EUR/USD</v>
      </c>
      <c r="J7732">
        <f t="shared" si="3260"/>
        <v>1.2030000000000001</v>
      </c>
      <c r="K7732">
        <f t="shared" si="3261"/>
        <v>1.2190000000000001</v>
      </c>
      <c r="L7732">
        <f t="shared" si="3262"/>
        <v>1.2110000000000001</v>
      </c>
      <c r="M7732">
        <f t="shared" si="3263"/>
        <v>8.0000000000000071E-3</v>
      </c>
      <c r="N7732">
        <f t="shared" si="3264"/>
        <v>1.6000000000000014E-2</v>
      </c>
      <c r="O7732">
        <f t="shared" si="3265"/>
        <v>1.216</v>
      </c>
      <c r="P7732">
        <f t="shared" si="3266"/>
        <v>0.62499999999998612</v>
      </c>
      <c r="Q7732" t="str">
        <f t="shared" si="3267"/>
        <v>1.07% | 0.25%</v>
      </c>
      <c r="R7732" t="str">
        <f t="shared" si="3268"/>
        <v>BULLISH</v>
      </c>
      <c r="S7732">
        <f t="shared" si="3269"/>
        <v>1</v>
      </c>
    </row>
    <row r="7733" spans="1:19" hidden="1" x14ac:dyDescent="0.25">
      <c r="A7733" s="5" t="str">
        <f t="shared" si="3257"/>
        <v>44250USD/JPY</v>
      </c>
      <c r="B7733" s="6" t="s">
        <v>56</v>
      </c>
      <c r="C7733" s="6">
        <v>104.23</v>
      </c>
      <c r="D7733" s="6">
        <v>106.2</v>
      </c>
      <c r="E7733" s="6">
        <v>105.07</v>
      </c>
      <c r="F7733" t="str">
        <f t="shared" si="3270"/>
        <v>TUE</v>
      </c>
      <c r="G7733" s="14">
        <v>44250</v>
      </c>
      <c r="H7733" s="2">
        <f t="shared" ca="1" si="3258"/>
        <v>3</v>
      </c>
      <c r="I7733" t="str">
        <f t="shared" si="3259"/>
        <v>USD/JPY</v>
      </c>
      <c r="J7733">
        <f t="shared" si="3260"/>
        <v>104.23</v>
      </c>
      <c r="K7733">
        <f t="shared" si="3261"/>
        <v>106.2</v>
      </c>
      <c r="L7733">
        <f t="shared" si="3262"/>
        <v>105.215</v>
      </c>
      <c r="M7733">
        <f t="shared" si="3263"/>
        <v>0.98499999999999943</v>
      </c>
      <c r="N7733">
        <f t="shared" si="3264"/>
        <v>1.9699999999999989</v>
      </c>
      <c r="O7733">
        <f t="shared" si="3265"/>
        <v>105.07</v>
      </c>
      <c r="P7733">
        <f t="shared" si="3266"/>
        <v>-0.14720812182742163</v>
      </c>
      <c r="Q7733" t="str">
        <f t="shared" si="3267"/>
        <v>0.8% | 1.08%</v>
      </c>
      <c r="R7733" t="str">
        <f t="shared" si="3268"/>
        <v>BULLISH</v>
      </c>
      <c r="S7733">
        <f t="shared" si="3269"/>
        <v>1</v>
      </c>
    </row>
    <row r="7734" spans="1:19" hidden="1" x14ac:dyDescent="0.25">
      <c r="A7734" s="5" t="str">
        <f t="shared" si="3257"/>
        <v>44250GBP/USD</v>
      </c>
      <c r="B7734" s="6" t="s">
        <v>102</v>
      </c>
      <c r="C7734" s="6">
        <v>1.3779999999999999</v>
      </c>
      <c r="D7734" s="6">
        <v>1.409</v>
      </c>
      <c r="E7734" s="6">
        <v>1.407</v>
      </c>
      <c r="F7734" t="str">
        <f t="shared" si="3270"/>
        <v>TUE</v>
      </c>
      <c r="G7734" s="14">
        <v>44250</v>
      </c>
      <c r="H7734" s="2">
        <f t="shared" ca="1" si="3258"/>
        <v>3</v>
      </c>
      <c r="I7734" t="str">
        <f t="shared" si="3259"/>
        <v>GBP/USD</v>
      </c>
      <c r="J7734">
        <f t="shared" si="3260"/>
        <v>1.3779999999999999</v>
      </c>
      <c r="K7734">
        <f t="shared" si="3261"/>
        <v>1.409</v>
      </c>
      <c r="L7734">
        <f t="shared" si="3262"/>
        <v>1.3935</v>
      </c>
      <c r="M7734">
        <f t="shared" si="3263"/>
        <v>1.5500000000000069E-2</v>
      </c>
      <c r="N7734">
        <f t="shared" si="3264"/>
        <v>3.1000000000000139E-2</v>
      </c>
      <c r="O7734">
        <f t="shared" si="3265"/>
        <v>1.407</v>
      </c>
      <c r="P7734">
        <f t="shared" si="3266"/>
        <v>0.87096774193548432</v>
      </c>
      <c r="Q7734" t="str">
        <f t="shared" si="3267"/>
        <v>2.06% | 0.14%</v>
      </c>
      <c r="R7734" t="str">
        <f t="shared" si="3268"/>
        <v>BULLISH</v>
      </c>
      <c r="S7734">
        <f t="shared" si="3269"/>
        <v>1</v>
      </c>
    </row>
    <row r="7735" spans="1:19" hidden="1" x14ac:dyDescent="0.25">
      <c r="A7735" s="5" t="str">
        <f t="shared" si="3257"/>
        <v>44250CAD/USD</v>
      </c>
      <c r="B7735" s="6" t="s">
        <v>244</v>
      </c>
      <c r="C7735" s="6">
        <v>0.78</v>
      </c>
      <c r="D7735" s="6">
        <v>0.8</v>
      </c>
      <c r="E7735" s="6">
        <v>0.79</v>
      </c>
      <c r="F7735" t="str">
        <f t="shared" si="3270"/>
        <v>TUE</v>
      </c>
      <c r="G7735" s="14">
        <v>44250</v>
      </c>
      <c r="H7735" s="2">
        <f t="shared" ca="1" si="3258"/>
        <v>3</v>
      </c>
      <c r="I7735" t="str">
        <f t="shared" si="3259"/>
        <v>CAD/USD</v>
      </c>
      <c r="J7735">
        <f t="shared" si="3260"/>
        <v>0.78</v>
      </c>
      <c r="K7735">
        <f t="shared" si="3261"/>
        <v>0.8</v>
      </c>
      <c r="L7735">
        <f t="shared" si="3262"/>
        <v>0.79</v>
      </c>
      <c r="M7735">
        <f t="shared" si="3263"/>
        <v>1.0000000000000009E-2</v>
      </c>
      <c r="N7735">
        <f t="shared" si="3264"/>
        <v>2.0000000000000018E-2</v>
      </c>
      <c r="O7735">
        <f t="shared" si="3265"/>
        <v>0.79</v>
      </c>
      <c r="P7735">
        <f t="shared" si="3266"/>
        <v>0</v>
      </c>
      <c r="Q7735" t="str">
        <f t="shared" si="3267"/>
        <v>1.27% | 1.27%</v>
      </c>
      <c r="R7735" t="str">
        <f t="shared" si="3268"/>
        <v>BULLISH</v>
      </c>
      <c r="S7735">
        <f t="shared" si="3269"/>
        <v>1</v>
      </c>
    </row>
    <row r="7736" spans="1:19" hidden="1" x14ac:dyDescent="0.25">
      <c r="A7736" s="5" t="str">
        <f t="shared" si="3257"/>
        <v>44250USD/CHF</v>
      </c>
      <c r="B7736" s="6" t="s">
        <v>76</v>
      </c>
      <c r="C7736" s="6">
        <v>0.88</v>
      </c>
      <c r="D7736" s="6">
        <v>0.9</v>
      </c>
      <c r="E7736" s="6">
        <v>0.89</v>
      </c>
      <c r="F7736" t="str">
        <f t="shared" si="3270"/>
        <v>TUE</v>
      </c>
      <c r="G7736" s="14">
        <v>44250</v>
      </c>
      <c r="H7736" s="2">
        <f t="shared" ca="1" si="3258"/>
        <v>3</v>
      </c>
      <c r="I7736" t="str">
        <f t="shared" si="3259"/>
        <v>USD/CHF</v>
      </c>
      <c r="J7736">
        <f t="shared" si="3260"/>
        <v>0.88</v>
      </c>
      <c r="K7736">
        <f t="shared" si="3261"/>
        <v>0.9</v>
      </c>
      <c r="L7736">
        <f t="shared" si="3262"/>
        <v>0.89</v>
      </c>
      <c r="M7736">
        <f t="shared" si="3263"/>
        <v>1.0000000000000009E-2</v>
      </c>
      <c r="N7736">
        <f t="shared" si="3264"/>
        <v>2.0000000000000018E-2</v>
      </c>
      <c r="O7736">
        <f t="shared" si="3265"/>
        <v>0.89</v>
      </c>
      <c r="P7736">
        <f t="shared" si="3266"/>
        <v>0</v>
      </c>
      <c r="Q7736" t="str">
        <f t="shared" si="3267"/>
        <v>1.12% | 1.12%</v>
      </c>
      <c r="R7736" t="str">
        <f t="shared" si="3268"/>
        <v>BEARISH</v>
      </c>
      <c r="S7736">
        <f t="shared" si="3269"/>
        <v>-1</v>
      </c>
    </row>
    <row r="7737" spans="1:19" hidden="1" x14ac:dyDescent="0.25">
      <c r="A7737" s="5" t="str">
        <f t="shared" si="3257"/>
        <v>44250WTIC</v>
      </c>
      <c r="B7737" s="6" t="s">
        <v>158</v>
      </c>
      <c r="C7737" s="6">
        <v>58.72</v>
      </c>
      <c r="D7737" s="6">
        <v>62.44</v>
      </c>
      <c r="E7737" s="6">
        <v>61.7</v>
      </c>
      <c r="F7737" t="str">
        <f t="shared" si="3270"/>
        <v>TUE</v>
      </c>
      <c r="G7737" s="14">
        <v>44250</v>
      </c>
      <c r="H7737" s="2">
        <f t="shared" ca="1" si="3258"/>
        <v>3</v>
      </c>
      <c r="I7737" t="str">
        <f t="shared" si="3259"/>
        <v>WTIC</v>
      </c>
      <c r="J7737">
        <f t="shared" si="3260"/>
        <v>58.72</v>
      </c>
      <c r="K7737">
        <f t="shared" si="3261"/>
        <v>62.44</v>
      </c>
      <c r="L7737">
        <f t="shared" si="3262"/>
        <v>60.58</v>
      </c>
      <c r="M7737">
        <f t="shared" si="3263"/>
        <v>1.8599999999999994</v>
      </c>
      <c r="N7737">
        <f t="shared" si="3264"/>
        <v>3.7199999999999989</v>
      </c>
      <c r="O7737">
        <f t="shared" si="3265"/>
        <v>61.7</v>
      </c>
      <c r="P7737">
        <f t="shared" si="3266"/>
        <v>0.60215053763441118</v>
      </c>
      <c r="Q7737" t="str">
        <f t="shared" si="3267"/>
        <v>4.83% | 1.2%</v>
      </c>
      <c r="R7737" t="str">
        <f t="shared" si="3268"/>
        <v>BULLISH</v>
      </c>
      <c r="S7737">
        <f t="shared" si="3269"/>
        <v>1</v>
      </c>
    </row>
    <row r="7738" spans="1:19" hidden="1" x14ac:dyDescent="0.25">
      <c r="A7738" s="5" t="str">
        <f t="shared" si="3257"/>
        <v>44250NATGAS</v>
      </c>
      <c r="B7738" s="6" t="s">
        <v>89</v>
      </c>
      <c r="C7738" s="6">
        <v>2.72</v>
      </c>
      <c r="D7738" s="6">
        <v>3.22</v>
      </c>
      <c r="E7738" s="6">
        <v>2.94</v>
      </c>
      <c r="F7738" t="str">
        <f t="shared" si="3270"/>
        <v>TUE</v>
      </c>
      <c r="G7738" s="14">
        <v>44250</v>
      </c>
      <c r="H7738" s="2">
        <f t="shared" ca="1" si="3258"/>
        <v>3</v>
      </c>
      <c r="I7738" t="str">
        <f t="shared" si="3259"/>
        <v>NATGAS</v>
      </c>
      <c r="J7738">
        <f t="shared" si="3260"/>
        <v>2.72</v>
      </c>
      <c r="K7738">
        <f t="shared" si="3261"/>
        <v>3.22</v>
      </c>
      <c r="L7738">
        <f t="shared" si="3262"/>
        <v>2.97</v>
      </c>
      <c r="M7738">
        <f t="shared" si="3263"/>
        <v>0.25</v>
      </c>
      <c r="N7738">
        <f t="shared" si="3264"/>
        <v>0.5</v>
      </c>
      <c r="O7738">
        <f t="shared" si="3265"/>
        <v>2.94</v>
      </c>
      <c r="P7738">
        <f t="shared" si="3266"/>
        <v>-0.12000000000000099</v>
      </c>
      <c r="Q7738" t="str">
        <f t="shared" si="3267"/>
        <v>7.48% | 9.52%</v>
      </c>
      <c r="R7738" t="str">
        <f t="shared" si="3268"/>
        <v>BULLISH</v>
      </c>
      <c r="S7738">
        <f t="shared" si="3269"/>
        <v>1</v>
      </c>
    </row>
    <row r="7739" spans="1:19" hidden="1" x14ac:dyDescent="0.25">
      <c r="A7739" s="5" t="str">
        <f t="shared" si="3257"/>
        <v>44250GOLD</v>
      </c>
      <c r="B7739" s="6" t="s">
        <v>85</v>
      </c>
      <c r="C7739" s="6">
        <v>1753</v>
      </c>
      <c r="D7739" s="6">
        <v>1827</v>
      </c>
      <c r="E7739" s="6">
        <v>1808</v>
      </c>
      <c r="F7739" t="str">
        <f t="shared" si="3270"/>
        <v>TUE</v>
      </c>
      <c r="G7739" s="14">
        <v>44250</v>
      </c>
      <c r="H7739" s="2">
        <f t="shared" ca="1" si="3258"/>
        <v>3</v>
      </c>
      <c r="I7739" t="str">
        <f t="shared" si="3259"/>
        <v>GOLD</v>
      </c>
      <c r="J7739">
        <f t="shared" si="3260"/>
        <v>1753</v>
      </c>
      <c r="K7739">
        <f t="shared" si="3261"/>
        <v>1827</v>
      </c>
      <c r="L7739">
        <f t="shared" si="3262"/>
        <v>1790</v>
      </c>
      <c r="M7739">
        <f t="shared" si="3263"/>
        <v>37</v>
      </c>
      <c r="N7739">
        <f t="shared" si="3264"/>
        <v>74</v>
      </c>
      <c r="O7739">
        <f t="shared" si="3265"/>
        <v>1808</v>
      </c>
      <c r="P7739">
        <f t="shared" si="3266"/>
        <v>0.48648648648648651</v>
      </c>
      <c r="Q7739" t="str">
        <f t="shared" si="3267"/>
        <v>3.04% | 1.05%</v>
      </c>
      <c r="R7739" t="str">
        <f t="shared" si="3268"/>
        <v>BEARISH</v>
      </c>
      <c r="S7739">
        <f t="shared" si="3269"/>
        <v>-1</v>
      </c>
    </row>
    <row r="7740" spans="1:19" hidden="1" x14ac:dyDescent="0.25">
      <c r="A7740" s="5" t="str">
        <f t="shared" si="3257"/>
        <v>44250COPPER</v>
      </c>
      <c r="B7740" s="6" t="s">
        <v>100</v>
      </c>
      <c r="C7740" s="6">
        <v>3.74</v>
      </c>
      <c r="D7740" s="6">
        <v>4.1500000000000004</v>
      </c>
      <c r="E7740" s="6">
        <v>4.1399999999999997</v>
      </c>
      <c r="F7740" t="str">
        <f t="shared" si="3270"/>
        <v>TUE</v>
      </c>
      <c r="G7740" s="14">
        <v>44250</v>
      </c>
      <c r="H7740" s="2">
        <f t="shared" ca="1" si="3258"/>
        <v>3</v>
      </c>
      <c r="I7740" t="str">
        <f t="shared" si="3259"/>
        <v>COPPER</v>
      </c>
      <c r="J7740">
        <f t="shared" si="3260"/>
        <v>3.74</v>
      </c>
      <c r="K7740">
        <f t="shared" si="3261"/>
        <v>4.1500000000000004</v>
      </c>
      <c r="L7740">
        <f t="shared" si="3262"/>
        <v>3.9450000000000003</v>
      </c>
      <c r="M7740">
        <f t="shared" si="3263"/>
        <v>0.20500000000000007</v>
      </c>
      <c r="N7740">
        <f t="shared" si="3264"/>
        <v>0.41000000000000014</v>
      </c>
      <c r="O7740">
        <f t="shared" si="3265"/>
        <v>4.1399999999999997</v>
      </c>
      <c r="P7740">
        <f t="shared" si="3266"/>
        <v>0.95121951219511869</v>
      </c>
      <c r="Q7740" t="str">
        <f t="shared" si="3267"/>
        <v>9.66% | 0.24%</v>
      </c>
      <c r="R7740" t="str">
        <f t="shared" si="3268"/>
        <v>BULLISH</v>
      </c>
      <c r="S7740">
        <f t="shared" si="3269"/>
        <v>1</v>
      </c>
    </row>
    <row r="7741" spans="1:19" hidden="1" x14ac:dyDescent="0.25">
      <c r="A7741" s="5" t="str">
        <f t="shared" si="3257"/>
        <v>44250SILVER</v>
      </c>
      <c r="B7741" s="6" t="s">
        <v>195</v>
      </c>
      <c r="C7741" s="6">
        <v>26.63</v>
      </c>
      <c r="D7741" s="6">
        <v>28.09</v>
      </c>
      <c r="E7741" s="6">
        <v>28.08</v>
      </c>
      <c r="F7741" t="str">
        <f t="shared" si="3270"/>
        <v>TUE</v>
      </c>
      <c r="G7741" s="14">
        <v>44250</v>
      </c>
      <c r="H7741" s="2">
        <f t="shared" ca="1" si="3258"/>
        <v>3</v>
      </c>
      <c r="I7741" t="str">
        <f t="shared" si="3259"/>
        <v>SILVER</v>
      </c>
      <c r="J7741">
        <f t="shared" si="3260"/>
        <v>26.63</v>
      </c>
      <c r="K7741">
        <f t="shared" si="3261"/>
        <v>28.09</v>
      </c>
      <c r="L7741">
        <f t="shared" si="3262"/>
        <v>27.36</v>
      </c>
      <c r="M7741">
        <f t="shared" si="3263"/>
        <v>0.73000000000000043</v>
      </c>
      <c r="N7741">
        <f t="shared" si="3264"/>
        <v>1.4600000000000009</v>
      </c>
      <c r="O7741">
        <f t="shared" si="3265"/>
        <v>28.08</v>
      </c>
      <c r="P7741">
        <f t="shared" si="3266"/>
        <v>0.98630136986301153</v>
      </c>
      <c r="Q7741" t="str">
        <f t="shared" si="3267"/>
        <v>5.16% | 0.04%</v>
      </c>
      <c r="R7741" t="str">
        <f t="shared" si="3268"/>
        <v>BULLISH</v>
      </c>
      <c r="S7741">
        <f t="shared" si="3269"/>
        <v>1</v>
      </c>
    </row>
    <row r="7742" spans="1:19" hidden="1" x14ac:dyDescent="0.25">
      <c r="A7742" s="5" t="str">
        <f t="shared" si="3257"/>
        <v>44250MSFT</v>
      </c>
      <c r="B7742" s="6" t="s">
        <v>27</v>
      </c>
      <c r="C7742" s="6">
        <v>232</v>
      </c>
      <c r="D7742" s="6">
        <v>247</v>
      </c>
      <c r="E7742" s="6">
        <v>234</v>
      </c>
      <c r="F7742" t="str">
        <f t="shared" si="3270"/>
        <v>TUE</v>
      </c>
      <c r="G7742" s="14">
        <v>44250</v>
      </c>
      <c r="H7742" s="2">
        <f t="shared" ca="1" si="3258"/>
        <v>3</v>
      </c>
      <c r="I7742" t="str">
        <f t="shared" si="3259"/>
        <v>MSFT</v>
      </c>
      <c r="J7742">
        <f t="shared" si="3260"/>
        <v>232</v>
      </c>
      <c r="K7742">
        <f t="shared" si="3261"/>
        <v>247</v>
      </c>
      <c r="L7742">
        <f t="shared" si="3262"/>
        <v>239.5</v>
      </c>
      <c r="M7742">
        <f t="shared" si="3263"/>
        <v>7.5</v>
      </c>
      <c r="N7742">
        <f t="shared" si="3264"/>
        <v>15</v>
      </c>
      <c r="O7742">
        <f t="shared" si="3265"/>
        <v>234</v>
      </c>
      <c r="P7742">
        <f t="shared" si="3266"/>
        <v>-0.73333333333333328</v>
      </c>
      <c r="Q7742" t="str">
        <f t="shared" si="3267"/>
        <v>0.85% | 5.56%</v>
      </c>
      <c r="R7742" t="str">
        <f t="shared" si="3268"/>
        <v>BULLISH</v>
      </c>
      <c r="S7742">
        <f t="shared" si="3269"/>
        <v>1</v>
      </c>
    </row>
    <row r="7743" spans="1:19" hidden="1" x14ac:dyDescent="0.25">
      <c r="A7743" s="5" t="str">
        <f t="shared" si="3257"/>
        <v>44250AAPL</v>
      </c>
      <c r="B7743" s="6" t="s">
        <v>28</v>
      </c>
      <c r="C7743" s="6">
        <v>125</v>
      </c>
      <c r="D7743" s="6">
        <v>133</v>
      </c>
      <c r="E7743" s="6">
        <v>126</v>
      </c>
      <c r="F7743" t="str">
        <f t="shared" si="3270"/>
        <v>TUE</v>
      </c>
      <c r="G7743" s="14">
        <v>44250</v>
      </c>
      <c r="H7743" s="2">
        <f t="shared" ca="1" si="3258"/>
        <v>3</v>
      </c>
      <c r="I7743" t="str">
        <f t="shared" si="3259"/>
        <v>AAPL</v>
      </c>
      <c r="J7743">
        <f t="shared" si="3260"/>
        <v>125</v>
      </c>
      <c r="K7743">
        <f t="shared" si="3261"/>
        <v>133</v>
      </c>
      <c r="L7743">
        <f t="shared" si="3262"/>
        <v>129</v>
      </c>
      <c r="M7743">
        <f t="shared" si="3263"/>
        <v>4</v>
      </c>
      <c r="N7743">
        <f t="shared" si="3264"/>
        <v>8</v>
      </c>
      <c r="O7743">
        <f t="shared" si="3265"/>
        <v>126</v>
      </c>
      <c r="P7743">
        <f t="shared" si="3266"/>
        <v>-0.75</v>
      </c>
      <c r="Q7743" t="str">
        <f t="shared" si="3267"/>
        <v>0.79% | 5.56%</v>
      </c>
      <c r="R7743" t="str">
        <f t="shared" si="3268"/>
        <v>BULLISH</v>
      </c>
      <c r="S7743">
        <f t="shared" si="3269"/>
        <v>1</v>
      </c>
    </row>
    <row r="7744" spans="1:19" hidden="1" x14ac:dyDescent="0.25">
      <c r="A7744" s="5" t="str">
        <f t="shared" si="3257"/>
        <v>44250AMZN</v>
      </c>
      <c r="B7744" s="6" t="s">
        <v>69</v>
      </c>
      <c r="C7744" s="6">
        <v>3120</v>
      </c>
      <c r="D7744" s="6">
        <v>3349</v>
      </c>
      <c r="E7744" s="6">
        <v>3180</v>
      </c>
      <c r="F7744" t="str">
        <f t="shared" si="3270"/>
        <v>TUE</v>
      </c>
      <c r="G7744" s="14">
        <v>44250</v>
      </c>
      <c r="H7744" s="2">
        <f t="shared" ca="1" si="3258"/>
        <v>3</v>
      </c>
      <c r="I7744" t="str">
        <f t="shared" si="3259"/>
        <v>AMZN</v>
      </c>
      <c r="J7744">
        <f t="shared" si="3260"/>
        <v>3120</v>
      </c>
      <c r="K7744">
        <f t="shared" si="3261"/>
        <v>3349</v>
      </c>
      <c r="L7744">
        <f t="shared" si="3262"/>
        <v>3234.5</v>
      </c>
      <c r="M7744">
        <f t="shared" si="3263"/>
        <v>114.5</v>
      </c>
      <c r="N7744">
        <f t="shared" si="3264"/>
        <v>229</v>
      </c>
      <c r="O7744">
        <f t="shared" si="3265"/>
        <v>3180</v>
      </c>
      <c r="P7744">
        <f t="shared" si="3266"/>
        <v>-0.4759825327510917</v>
      </c>
      <c r="Q7744" t="str">
        <f t="shared" si="3267"/>
        <v>1.89% | 5.31%</v>
      </c>
      <c r="R7744" t="str">
        <f t="shared" si="3268"/>
        <v>NEUTRAL</v>
      </c>
      <c r="S7744">
        <f t="shared" si="3269"/>
        <v>0</v>
      </c>
    </row>
    <row r="7745" spans="1:19" hidden="1" x14ac:dyDescent="0.25">
      <c r="A7745" s="5" t="str">
        <f t="shared" si="3257"/>
        <v>44250FB</v>
      </c>
      <c r="B7745" s="6" t="s">
        <v>58</v>
      </c>
      <c r="C7745" s="6">
        <v>253</v>
      </c>
      <c r="D7745" s="6">
        <v>268</v>
      </c>
      <c r="E7745" s="6">
        <v>260</v>
      </c>
      <c r="F7745" t="str">
        <f t="shared" si="3270"/>
        <v>TUE</v>
      </c>
      <c r="G7745" s="14">
        <v>44250</v>
      </c>
      <c r="H7745" s="2">
        <f t="shared" ca="1" si="3258"/>
        <v>3</v>
      </c>
      <c r="I7745" t="str">
        <f t="shared" si="3259"/>
        <v>FB</v>
      </c>
      <c r="J7745">
        <f t="shared" si="3260"/>
        <v>253</v>
      </c>
      <c r="K7745">
        <f t="shared" si="3261"/>
        <v>268</v>
      </c>
      <c r="L7745">
        <f t="shared" si="3262"/>
        <v>260.5</v>
      </c>
      <c r="M7745">
        <f t="shared" si="3263"/>
        <v>7.5</v>
      </c>
      <c r="N7745">
        <f t="shared" si="3264"/>
        <v>15</v>
      </c>
      <c r="O7745">
        <f t="shared" si="3265"/>
        <v>260</v>
      </c>
      <c r="P7745">
        <f t="shared" si="3266"/>
        <v>-6.6666666666666666E-2</v>
      </c>
      <c r="Q7745" t="str">
        <f t="shared" si="3267"/>
        <v>2.69% | 3.08%</v>
      </c>
      <c r="R7745" t="str">
        <f t="shared" si="3268"/>
        <v>BEARISH</v>
      </c>
      <c r="S7745">
        <f t="shared" si="3269"/>
        <v>-1</v>
      </c>
    </row>
    <row r="7746" spans="1:19" hidden="1" x14ac:dyDescent="0.25">
      <c r="A7746" s="5" t="str">
        <f t="shared" si="3257"/>
        <v>44250GOOGL</v>
      </c>
      <c r="B7746" s="6" t="s">
        <v>31</v>
      </c>
      <c r="C7746" s="6">
        <v>2030</v>
      </c>
      <c r="D7746" s="6">
        <v>2130</v>
      </c>
      <c r="E7746" s="6">
        <v>2054</v>
      </c>
      <c r="F7746" t="str">
        <f t="shared" si="3270"/>
        <v>TUE</v>
      </c>
      <c r="G7746" s="14">
        <v>44250</v>
      </c>
      <c r="H7746" s="2">
        <f t="shared" ca="1" si="3258"/>
        <v>3</v>
      </c>
      <c r="I7746" t="str">
        <f t="shared" si="3259"/>
        <v>GOOGL</v>
      </c>
      <c r="J7746">
        <f t="shared" si="3260"/>
        <v>2030</v>
      </c>
      <c r="K7746">
        <f t="shared" si="3261"/>
        <v>2130</v>
      </c>
      <c r="L7746">
        <f t="shared" si="3262"/>
        <v>2080</v>
      </c>
      <c r="M7746">
        <f t="shared" si="3263"/>
        <v>50</v>
      </c>
      <c r="N7746">
        <f t="shared" si="3264"/>
        <v>100</v>
      </c>
      <c r="O7746">
        <f t="shared" si="3265"/>
        <v>2054</v>
      </c>
      <c r="P7746">
        <f t="shared" si="3266"/>
        <v>-0.52</v>
      </c>
      <c r="Q7746" t="str">
        <f t="shared" si="3267"/>
        <v>1.17% | 3.7%</v>
      </c>
      <c r="R7746" t="str">
        <f t="shared" si="3268"/>
        <v>BULLISH</v>
      </c>
      <c r="S7746">
        <f t="shared" si="3269"/>
        <v>1</v>
      </c>
    </row>
    <row r="7747" spans="1:19" hidden="1" x14ac:dyDescent="0.25">
      <c r="A7747" s="5" t="str">
        <f t="shared" si="3257"/>
        <v>44250NFLX</v>
      </c>
      <c r="B7747" s="6" t="s">
        <v>32</v>
      </c>
      <c r="C7747" s="6">
        <v>523</v>
      </c>
      <c r="D7747" s="6">
        <v>569</v>
      </c>
      <c r="E7747" s="6">
        <v>533</v>
      </c>
      <c r="F7747" t="str">
        <f t="shared" si="3270"/>
        <v>TUE</v>
      </c>
      <c r="G7747" s="14">
        <v>44250</v>
      </c>
      <c r="H7747" s="2">
        <f t="shared" ca="1" si="3258"/>
        <v>3</v>
      </c>
      <c r="I7747" t="str">
        <f t="shared" si="3259"/>
        <v>NFLX</v>
      </c>
      <c r="J7747">
        <f t="shared" si="3260"/>
        <v>523</v>
      </c>
      <c r="K7747">
        <f t="shared" si="3261"/>
        <v>569</v>
      </c>
      <c r="L7747">
        <f t="shared" si="3262"/>
        <v>546</v>
      </c>
      <c r="M7747">
        <f t="shared" si="3263"/>
        <v>23</v>
      </c>
      <c r="N7747">
        <f t="shared" si="3264"/>
        <v>46</v>
      </c>
      <c r="O7747">
        <f t="shared" si="3265"/>
        <v>533</v>
      </c>
      <c r="P7747">
        <f t="shared" si="3266"/>
        <v>-0.56521739130434778</v>
      </c>
      <c r="Q7747" t="str">
        <f t="shared" si="3267"/>
        <v>1.88% | 6.75%</v>
      </c>
      <c r="R7747" t="str">
        <f t="shared" si="3268"/>
        <v>BULLISH</v>
      </c>
      <c r="S7747">
        <f t="shared" si="3269"/>
        <v>1</v>
      </c>
    </row>
    <row r="7748" spans="1:19" x14ac:dyDescent="0.25">
      <c r="A7748" s="5" t="str">
        <f t="shared" si="3257"/>
        <v>44250TSLA</v>
      </c>
      <c r="B7748" s="6" t="s">
        <v>83</v>
      </c>
      <c r="C7748" s="6">
        <v>656</v>
      </c>
      <c r="D7748" s="6">
        <v>828</v>
      </c>
      <c r="E7748" s="6">
        <v>714</v>
      </c>
      <c r="F7748" t="str">
        <f t="shared" si="3270"/>
        <v>TUE</v>
      </c>
      <c r="G7748" s="14">
        <v>44250</v>
      </c>
      <c r="H7748" s="2">
        <f t="shared" ca="1" si="3258"/>
        <v>3</v>
      </c>
      <c r="I7748" t="str">
        <f t="shared" si="3259"/>
        <v>TSLA</v>
      </c>
      <c r="J7748">
        <f t="shared" si="3260"/>
        <v>656</v>
      </c>
      <c r="K7748">
        <f t="shared" si="3261"/>
        <v>828</v>
      </c>
      <c r="L7748">
        <f t="shared" si="3262"/>
        <v>742</v>
      </c>
      <c r="M7748">
        <f t="shared" si="3263"/>
        <v>86</v>
      </c>
      <c r="N7748">
        <f t="shared" si="3264"/>
        <v>172</v>
      </c>
      <c r="O7748">
        <f t="shared" si="3265"/>
        <v>714</v>
      </c>
      <c r="P7748">
        <f t="shared" si="3266"/>
        <v>-0.32558139534883723</v>
      </c>
      <c r="Q7748" t="str">
        <f t="shared" si="3267"/>
        <v>8.12% | 15.97%</v>
      </c>
      <c r="R7748" t="str">
        <f t="shared" si="3268"/>
        <v>BEARISH</v>
      </c>
      <c r="S7748">
        <f t="shared" si="3269"/>
        <v>-1</v>
      </c>
    </row>
    <row r="7749" spans="1:19" hidden="1" x14ac:dyDescent="0.25">
      <c r="A7749" s="5" t="str">
        <f t="shared" si="3257"/>
        <v>44250NYXBT</v>
      </c>
      <c r="B7749" s="6" t="s">
        <v>60</v>
      </c>
      <c r="C7749" s="6">
        <v>43990</v>
      </c>
      <c r="D7749" s="6">
        <v>55419</v>
      </c>
      <c r="E7749" s="6">
        <v>53532</v>
      </c>
      <c r="F7749" t="str">
        <f t="shared" si="3270"/>
        <v>TUE</v>
      </c>
      <c r="G7749" s="14">
        <v>44250</v>
      </c>
      <c r="H7749" s="2">
        <f t="shared" ca="1" si="3258"/>
        <v>3</v>
      </c>
      <c r="I7749" t="str">
        <f t="shared" si="3259"/>
        <v>NYXBT</v>
      </c>
      <c r="J7749">
        <f t="shared" si="3260"/>
        <v>43990</v>
      </c>
      <c r="K7749">
        <f t="shared" si="3261"/>
        <v>55419</v>
      </c>
      <c r="L7749">
        <f t="shared" si="3262"/>
        <v>49704.5</v>
      </c>
      <c r="M7749">
        <f t="shared" si="3263"/>
        <v>5714.5</v>
      </c>
      <c r="N7749">
        <f t="shared" si="3264"/>
        <v>11429</v>
      </c>
      <c r="O7749">
        <f t="shared" si="3265"/>
        <v>53532</v>
      </c>
      <c r="P7749">
        <f t="shared" si="3266"/>
        <v>0.66978738297313856</v>
      </c>
      <c r="Q7749" t="str">
        <f t="shared" si="3267"/>
        <v>17.82% | 3.52%</v>
      </c>
      <c r="R7749" t="str">
        <f t="shared" si="3268"/>
        <v>BULLISH</v>
      </c>
      <c r="S7749">
        <f t="shared" si="3269"/>
        <v>1</v>
      </c>
    </row>
    <row r="7750" spans="1:19" hidden="1" x14ac:dyDescent="0.25">
      <c r="A7750" s="5" t="str">
        <f t="shared" si="3257"/>
        <v>44251UST10Y</v>
      </c>
      <c r="B7750" s="6" t="s">
        <v>257</v>
      </c>
      <c r="C7750" s="6">
        <v>1.44</v>
      </c>
      <c r="D7750" s="6">
        <v>1.19</v>
      </c>
      <c r="E7750" s="6">
        <v>1.37</v>
      </c>
      <c r="F7750" t="str">
        <f t="shared" si="3270"/>
        <v>WED</v>
      </c>
      <c r="G7750" s="14">
        <v>44251</v>
      </c>
      <c r="H7750" s="2">
        <f t="shared" ref="H7750:H7782" ca="1" si="3271">TODAY()-G7750</f>
        <v>2</v>
      </c>
      <c r="I7750" t="str">
        <f t="shared" ref="I7750:I7782" si="3272">TRIM(LEFT(B7750,FIND(" ",B7750,1)))</f>
        <v>UST10Y</v>
      </c>
      <c r="J7750">
        <f t="shared" ref="J7750:J7782" si="3273">C7750</f>
        <v>1.44</v>
      </c>
      <c r="K7750">
        <f t="shared" ref="K7750:K7782" si="3274">D7750</f>
        <v>1.19</v>
      </c>
      <c r="L7750">
        <f t="shared" ref="L7750:L7782" si="3275">AVERAGE(J7750:K7750)</f>
        <v>1.3149999999999999</v>
      </c>
      <c r="M7750">
        <f t="shared" ref="M7750:M7782" si="3276">_xlfn.STDEV.P(J7750:K7750)</f>
        <v>0.125</v>
      </c>
      <c r="N7750">
        <f t="shared" ref="N7750:N7782" si="3277">ABS(K7750-J7750)</f>
        <v>0.25</v>
      </c>
      <c r="O7750">
        <f t="shared" ref="O7750:O7782" si="3278">E7750</f>
        <v>1.37</v>
      </c>
      <c r="P7750">
        <f t="shared" ref="P7750:P7782" si="3279">(O7750-L7750)/M7750</f>
        <v>0.44000000000000128</v>
      </c>
      <c r="Q7750" t="str">
        <f t="shared" ref="Q7750:Q7782" si="3280">ROUND(ABS(100*(O7750-J7750)/O7750),2)&amp;"% | "&amp;ROUND(ABS(100*(K7750-O7750)/O7750),2)&amp;"%"</f>
        <v>5.11% | 13.14%</v>
      </c>
      <c r="R7750" t="str">
        <f t="shared" ref="R7750:R7782" si="3281">MID(B7750,FIND("(",B7750,1)+1,FIND(")",B7750,1)-FIND("(",B7750,1)-1)</f>
        <v>BULLISH</v>
      </c>
      <c r="S7750">
        <f t="shared" ref="S7750:S7782" si="3282">IF(R7750="BEARISH",-1,IF(R7750="NEUTRAL",0,IF(R7750="BULLISH",1,99)))</f>
        <v>1</v>
      </c>
    </row>
    <row r="7751" spans="1:19" hidden="1" x14ac:dyDescent="0.25">
      <c r="A7751" s="5" t="str">
        <f t="shared" si="3257"/>
        <v>44251UST2Y</v>
      </c>
      <c r="B7751" s="6" t="s">
        <v>5</v>
      </c>
      <c r="C7751" s="6">
        <v>0.13</v>
      </c>
      <c r="D7751" s="6">
        <v>0.1</v>
      </c>
      <c r="E7751" s="6">
        <v>0.11</v>
      </c>
      <c r="F7751" t="str">
        <f t="shared" si="3270"/>
        <v>WED</v>
      </c>
      <c r="G7751" s="14">
        <v>44251</v>
      </c>
      <c r="H7751" s="2">
        <f t="shared" ca="1" si="3271"/>
        <v>2</v>
      </c>
      <c r="I7751" t="str">
        <f t="shared" si="3272"/>
        <v>UST2Y</v>
      </c>
      <c r="J7751">
        <f t="shared" si="3273"/>
        <v>0.13</v>
      </c>
      <c r="K7751">
        <f t="shared" si="3274"/>
        <v>0.1</v>
      </c>
      <c r="L7751">
        <f t="shared" si="3275"/>
        <v>0.115</v>
      </c>
      <c r="M7751">
        <f t="shared" si="3276"/>
        <v>1.5000000000000041E-2</v>
      </c>
      <c r="N7751">
        <f t="shared" si="3277"/>
        <v>0.03</v>
      </c>
      <c r="O7751">
        <f t="shared" si="3278"/>
        <v>0.11</v>
      </c>
      <c r="P7751">
        <f t="shared" si="3279"/>
        <v>-0.3333333333333327</v>
      </c>
      <c r="Q7751" t="str">
        <f t="shared" si="3280"/>
        <v>18.18% | 9.09%</v>
      </c>
      <c r="R7751" t="str">
        <f t="shared" si="3281"/>
        <v>BEARISH</v>
      </c>
      <c r="S7751">
        <f t="shared" si="3282"/>
        <v>-1</v>
      </c>
    </row>
    <row r="7752" spans="1:19" hidden="1" x14ac:dyDescent="0.25">
      <c r="A7752" s="5" t="str">
        <f t="shared" ref="A7752:A7815" si="3283">G7752&amp;I7752</f>
        <v>44251SPX</v>
      </c>
      <c r="B7752" s="6" t="s">
        <v>93</v>
      </c>
      <c r="C7752" s="6">
        <v>3857</v>
      </c>
      <c r="D7752" s="6">
        <v>3952</v>
      </c>
      <c r="E7752" s="6">
        <v>3881</v>
      </c>
      <c r="F7752" t="str">
        <f t="shared" si="3270"/>
        <v>WED</v>
      </c>
      <c r="G7752" s="14">
        <v>44251</v>
      </c>
      <c r="H7752" s="2">
        <f t="shared" ca="1" si="3271"/>
        <v>2</v>
      </c>
      <c r="I7752" t="str">
        <f t="shared" si="3272"/>
        <v>SPX</v>
      </c>
      <c r="J7752">
        <f t="shared" si="3273"/>
        <v>3857</v>
      </c>
      <c r="K7752">
        <f t="shared" si="3274"/>
        <v>3952</v>
      </c>
      <c r="L7752">
        <f t="shared" si="3275"/>
        <v>3904.5</v>
      </c>
      <c r="M7752">
        <f t="shared" si="3276"/>
        <v>47.5</v>
      </c>
      <c r="N7752">
        <f t="shared" si="3277"/>
        <v>95</v>
      </c>
      <c r="O7752">
        <f t="shared" si="3278"/>
        <v>3881</v>
      </c>
      <c r="P7752">
        <f t="shared" si="3279"/>
        <v>-0.49473684210526314</v>
      </c>
      <c r="Q7752" t="str">
        <f t="shared" si="3280"/>
        <v>0.62% | 1.83%</v>
      </c>
      <c r="R7752" t="str">
        <f t="shared" si="3281"/>
        <v>BULLISH</v>
      </c>
      <c r="S7752">
        <f t="shared" si="3282"/>
        <v>1</v>
      </c>
    </row>
    <row r="7753" spans="1:19" hidden="1" x14ac:dyDescent="0.25">
      <c r="A7753" s="5" t="str">
        <f t="shared" si="3283"/>
        <v>44251RUT</v>
      </c>
      <c r="B7753" s="6" t="s">
        <v>247</v>
      </c>
      <c r="C7753" s="6">
        <v>2220</v>
      </c>
      <c r="D7753" s="6">
        <v>2300</v>
      </c>
      <c r="E7753" s="6">
        <v>2231</v>
      </c>
      <c r="F7753" t="str">
        <f t="shared" si="3270"/>
        <v>WED</v>
      </c>
      <c r="G7753" s="14">
        <v>44251</v>
      </c>
      <c r="H7753" s="2">
        <f t="shared" ca="1" si="3271"/>
        <v>2</v>
      </c>
      <c r="I7753" t="str">
        <f t="shared" si="3272"/>
        <v>RUT</v>
      </c>
      <c r="J7753">
        <f t="shared" si="3273"/>
        <v>2220</v>
      </c>
      <c r="K7753">
        <f t="shared" si="3274"/>
        <v>2300</v>
      </c>
      <c r="L7753">
        <f t="shared" si="3275"/>
        <v>2260</v>
      </c>
      <c r="M7753">
        <f t="shared" si="3276"/>
        <v>40</v>
      </c>
      <c r="N7753">
        <f t="shared" si="3277"/>
        <v>80</v>
      </c>
      <c r="O7753">
        <f t="shared" si="3278"/>
        <v>2231</v>
      </c>
      <c r="P7753">
        <f t="shared" si="3279"/>
        <v>-0.72499999999999998</v>
      </c>
      <c r="Q7753" t="str">
        <f t="shared" si="3280"/>
        <v>0.49% | 3.09%</v>
      </c>
      <c r="R7753" t="str">
        <f t="shared" si="3281"/>
        <v>BULLISH</v>
      </c>
      <c r="S7753">
        <f t="shared" si="3282"/>
        <v>1</v>
      </c>
    </row>
    <row r="7754" spans="1:19" hidden="1" x14ac:dyDescent="0.25">
      <c r="A7754" s="5" t="str">
        <f t="shared" si="3283"/>
        <v>44251COMPQ</v>
      </c>
      <c r="B7754" s="6" t="s">
        <v>8</v>
      </c>
      <c r="C7754" s="6">
        <v>13438</v>
      </c>
      <c r="D7754" s="6">
        <v>14296</v>
      </c>
      <c r="E7754" s="6">
        <v>13465</v>
      </c>
      <c r="F7754" t="str">
        <f t="shared" si="3270"/>
        <v>WED</v>
      </c>
      <c r="G7754" s="14">
        <v>44251</v>
      </c>
      <c r="H7754" s="2">
        <f t="shared" ca="1" si="3271"/>
        <v>2</v>
      </c>
      <c r="I7754" t="str">
        <f t="shared" si="3272"/>
        <v>COMPQ</v>
      </c>
      <c r="J7754">
        <f t="shared" si="3273"/>
        <v>13438</v>
      </c>
      <c r="K7754">
        <f t="shared" si="3274"/>
        <v>14296</v>
      </c>
      <c r="L7754">
        <f t="shared" si="3275"/>
        <v>13867</v>
      </c>
      <c r="M7754">
        <f t="shared" si="3276"/>
        <v>429</v>
      </c>
      <c r="N7754">
        <f t="shared" si="3277"/>
        <v>858</v>
      </c>
      <c r="O7754">
        <f t="shared" si="3278"/>
        <v>13465</v>
      </c>
      <c r="P7754">
        <f t="shared" si="3279"/>
        <v>-0.93706293706293708</v>
      </c>
      <c r="Q7754" t="str">
        <f t="shared" si="3280"/>
        <v>0.2% | 6.17%</v>
      </c>
      <c r="R7754" t="str">
        <f t="shared" si="3281"/>
        <v>BULLISH</v>
      </c>
      <c r="S7754">
        <f t="shared" si="3282"/>
        <v>1</v>
      </c>
    </row>
    <row r="7755" spans="1:19" hidden="1" x14ac:dyDescent="0.25">
      <c r="A7755" s="5" t="str">
        <f t="shared" si="3283"/>
        <v>44251XLK</v>
      </c>
      <c r="B7755" s="6" t="s">
        <v>10</v>
      </c>
      <c r="C7755" s="6">
        <v>132.16</v>
      </c>
      <c r="D7755" s="6">
        <v>140.07</v>
      </c>
      <c r="E7755" s="6">
        <v>132.68</v>
      </c>
      <c r="F7755" t="str">
        <f t="shared" si="3270"/>
        <v>WED</v>
      </c>
      <c r="G7755" s="14">
        <v>44251</v>
      </c>
      <c r="H7755" s="2">
        <f t="shared" ca="1" si="3271"/>
        <v>2</v>
      </c>
      <c r="I7755" t="str">
        <f t="shared" si="3272"/>
        <v>XLK</v>
      </c>
      <c r="J7755">
        <f t="shared" si="3273"/>
        <v>132.16</v>
      </c>
      <c r="K7755">
        <f t="shared" si="3274"/>
        <v>140.07</v>
      </c>
      <c r="L7755">
        <f t="shared" si="3275"/>
        <v>136.11500000000001</v>
      </c>
      <c r="M7755">
        <f t="shared" si="3276"/>
        <v>3.9549999999999983</v>
      </c>
      <c r="N7755">
        <f t="shared" si="3277"/>
        <v>7.9099999999999966</v>
      </c>
      <c r="O7755">
        <f t="shared" si="3278"/>
        <v>132.68</v>
      </c>
      <c r="P7755">
        <f t="shared" si="3279"/>
        <v>-0.8685208596713031</v>
      </c>
      <c r="Q7755" t="str">
        <f t="shared" si="3280"/>
        <v>0.39% | 5.57%</v>
      </c>
      <c r="R7755" t="str">
        <f t="shared" si="3281"/>
        <v>BULLISH</v>
      </c>
      <c r="S7755">
        <f t="shared" si="3282"/>
        <v>1</v>
      </c>
    </row>
    <row r="7756" spans="1:19" hidden="1" x14ac:dyDescent="0.25">
      <c r="A7756" s="5" t="str">
        <f t="shared" si="3283"/>
        <v>44251XLE</v>
      </c>
      <c r="B7756" s="6" t="s">
        <v>250</v>
      </c>
      <c r="C7756" s="6">
        <v>45.06</v>
      </c>
      <c r="D7756" s="6">
        <v>48.96</v>
      </c>
      <c r="E7756" s="6">
        <v>48.57</v>
      </c>
      <c r="F7756" t="str">
        <f t="shared" si="3270"/>
        <v>WED</v>
      </c>
      <c r="G7756" s="14">
        <v>44251</v>
      </c>
      <c r="H7756" s="2">
        <f t="shared" ca="1" si="3271"/>
        <v>2</v>
      </c>
      <c r="I7756" t="str">
        <f t="shared" si="3272"/>
        <v>XLE</v>
      </c>
      <c r="J7756">
        <f t="shared" si="3273"/>
        <v>45.06</v>
      </c>
      <c r="K7756">
        <f t="shared" si="3274"/>
        <v>48.96</v>
      </c>
      <c r="L7756">
        <f t="shared" si="3275"/>
        <v>47.010000000000005</v>
      </c>
      <c r="M7756">
        <f t="shared" si="3276"/>
        <v>1.9499999999999993</v>
      </c>
      <c r="N7756">
        <f t="shared" si="3277"/>
        <v>3.8999999999999986</v>
      </c>
      <c r="O7756">
        <f t="shared" si="3278"/>
        <v>48.57</v>
      </c>
      <c r="P7756">
        <f t="shared" si="3279"/>
        <v>0.79999999999999782</v>
      </c>
      <c r="Q7756" t="str">
        <f t="shared" si="3280"/>
        <v>7.23% | 0.8%</v>
      </c>
      <c r="R7756" t="str">
        <f t="shared" si="3281"/>
        <v>BULLISH</v>
      </c>
      <c r="S7756">
        <f t="shared" si="3282"/>
        <v>1</v>
      </c>
    </row>
    <row r="7757" spans="1:19" hidden="1" x14ac:dyDescent="0.25">
      <c r="A7757" s="5" t="str">
        <f t="shared" si="3283"/>
        <v>44251XLF</v>
      </c>
      <c r="B7757" s="6" t="s">
        <v>258</v>
      </c>
      <c r="C7757" s="6">
        <v>31.1</v>
      </c>
      <c r="D7757" s="6">
        <v>33.479999999999997</v>
      </c>
      <c r="E7757" s="6">
        <v>32.909999999999997</v>
      </c>
      <c r="F7757" t="str">
        <f t="shared" si="3270"/>
        <v>WED</v>
      </c>
      <c r="G7757" s="14">
        <v>44251</v>
      </c>
      <c r="H7757" s="2">
        <f t="shared" ca="1" si="3271"/>
        <v>2</v>
      </c>
      <c r="I7757" t="str">
        <f t="shared" si="3272"/>
        <v>XLF</v>
      </c>
      <c r="J7757">
        <f t="shared" si="3273"/>
        <v>31.1</v>
      </c>
      <c r="K7757">
        <f t="shared" si="3274"/>
        <v>33.479999999999997</v>
      </c>
      <c r="L7757">
        <f t="shared" si="3275"/>
        <v>32.29</v>
      </c>
      <c r="M7757">
        <f t="shared" si="3276"/>
        <v>1.1899999999999977</v>
      </c>
      <c r="N7757">
        <f t="shared" si="3277"/>
        <v>2.3799999999999955</v>
      </c>
      <c r="O7757">
        <f t="shared" si="3278"/>
        <v>32.909999999999997</v>
      </c>
      <c r="P7757">
        <f t="shared" si="3279"/>
        <v>0.52100840336134335</v>
      </c>
      <c r="Q7757" t="str">
        <f t="shared" si="3280"/>
        <v>5.5% | 1.73%</v>
      </c>
      <c r="R7757" t="str">
        <f t="shared" si="3281"/>
        <v>BULLISH</v>
      </c>
      <c r="S7757">
        <f t="shared" si="3282"/>
        <v>1</v>
      </c>
    </row>
    <row r="7758" spans="1:19" hidden="1" x14ac:dyDescent="0.25">
      <c r="A7758" s="5" t="str">
        <f t="shared" si="3283"/>
        <v>44251XLU</v>
      </c>
      <c r="B7758" s="6" t="s">
        <v>82</v>
      </c>
      <c r="C7758" s="6">
        <v>59.47</v>
      </c>
      <c r="D7758" s="6">
        <v>61.99</v>
      </c>
      <c r="E7758" s="6">
        <v>60.71</v>
      </c>
      <c r="F7758" t="str">
        <f t="shared" si="3270"/>
        <v>WED</v>
      </c>
      <c r="G7758" s="14">
        <v>44251</v>
      </c>
      <c r="H7758" s="2">
        <f t="shared" ca="1" si="3271"/>
        <v>2</v>
      </c>
      <c r="I7758" t="str">
        <f t="shared" si="3272"/>
        <v>XLU</v>
      </c>
      <c r="J7758">
        <f t="shared" si="3273"/>
        <v>59.47</v>
      </c>
      <c r="K7758">
        <f t="shared" si="3274"/>
        <v>61.99</v>
      </c>
      <c r="L7758">
        <f t="shared" si="3275"/>
        <v>60.730000000000004</v>
      </c>
      <c r="M7758">
        <f t="shared" si="3276"/>
        <v>1.2600000000000016</v>
      </c>
      <c r="N7758">
        <f t="shared" si="3277"/>
        <v>2.5200000000000031</v>
      </c>
      <c r="O7758">
        <f t="shared" si="3278"/>
        <v>60.71</v>
      </c>
      <c r="P7758">
        <f t="shared" si="3279"/>
        <v>-1.5873015873018335E-2</v>
      </c>
      <c r="Q7758" t="str">
        <f t="shared" si="3280"/>
        <v>2.04% | 2.11%</v>
      </c>
      <c r="R7758" t="str">
        <f t="shared" si="3281"/>
        <v>BEARISH</v>
      </c>
      <c r="S7758">
        <f t="shared" si="3282"/>
        <v>-1</v>
      </c>
    </row>
    <row r="7759" spans="1:19" hidden="1" x14ac:dyDescent="0.25">
      <c r="A7759" s="5" t="str">
        <f t="shared" si="3283"/>
        <v>44251GDX</v>
      </c>
      <c r="B7759" s="6" t="s">
        <v>254</v>
      </c>
      <c r="C7759" s="6">
        <v>31.98</v>
      </c>
      <c r="D7759" s="6">
        <v>34.67</v>
      </c>
      <c r="E7759" s="6">
        <v>33.44</v>
      </c>
      <c r="F7759" t="str">
        <f t="shared" si="3270"/>
        <v>WED</v>
      </c>
      <c r="G7759" s="14">
        <v>44251</v>
      </c>
      <c r="H7759" s="2">
        <f t="shared" ca="1" si="3271"/>
        <v>2</v>
      </c>
      <c r="I7759" t="str">
        <f t="shared" si="3272"/>
        <v>GDX</v>
      </c>
      <c r="J7759">
        <f t="shared" si="3273"/>
        <v>31.98</v>
      </c>
      <c r="K7759">
        <f t="shared" si="3274"/>
        <v>34.67</v>
      </c>
      <c r="L7759">
        <f t="shared" si="3275"/>
        <v>33.325000000000003</v>
      </c>
      <c r="M7759">
        <f t="shared" si="3276"/>
        <v>1.3450000000000006</v>
      </c>
      <c r="N7759">
        <f t="shared" si="3277"/>
        <v>2.6900000000000013</v>
      </c>
      <c r="O7759">
        <f t="shared" si="3278"/>
        <v>33.44</v>
      </c>
      <c r="P7759">
        <f t="shared" si="3279"/>
        <v>8.5501858736055633E-2</v>
      </c>
      <c r="Q7759" t="str">
        <f t="shared" si="3280"/>
        <v>4.37% | 3.68%</v>
      </c>
      <c r="R7759" t="str">
        <f t="shared" si="3281"/>
        <v>BEARISH</v>
      </c>
      <c r="S7759">
        <f t="shared" si="3282"/>
        <v>-1</v>
      </c>
    </row>
    <row r="7760" spans="1:19" hidden="1" x14ac:dyDescent="0.25">
      <c r="A7760" s="5" t="str">
        <f t="shared" si="3283"/>
        <v>44251SSEC</v>
      </c>
      <c r="B7760" s="6" t="s">
        <v>104</v>
      </c>
      <c r="C7760" s="6">
        <v>3467</v>
      </c>
      <c r="D7760" s="6">
        <v>3749</v>
      </c>
      <c r="E7760" s="6">
        <v>3564</v>
      </c>
      <c r="F7760" t="str">
        <f t="shared" si="3270"/>
        <v>WED</v>
      </c>
      <c r="G7760" s="14">
        <v>44251</v>
      </c>
      <c r="H7760" s="2">
        <f t="shared" ca="1" si="3271"/>
        <v>2</v>
      </c>
      <c r="I7760" t="str">
        <f t="shared" si="3272"/>
        <v>SSEC</v>
      </c>
      <c r="J7760">
        <f t="shared" si="3273"/>
        <v>3467</v>
      </c>
      <c r="K7760">
        <f t="shared" si="3274"/>
        <v>3749</v>
      </c>
      <c r="L7760">
        <f t="shared" si="3275"/>
        <v>3608</v>
      </c>
      <c r="M7760">
        <f t="shared" si="3276"/>
        <v>141</v>
      </c>
      <c r="N7760">
        <f t="shared" si="3277"/>
        <v>282</v>
      </c>
      <c r="O7760">
        <f t="shared" si="3278"/>
        <v>3564</v>
      </c>
      <c r="P7760">
        <f t="shared" si="3279"/>
        <v>-0.31205673758865249</v>
      </c>
      <c r="Q7760" t="str">
        <f t="shared" si="3280"/>
        <v>2.72% | 5.19%</v>
      </c>
      <c r="R7760" t="str">
        <f t="shared" si="3281"/>
        <v>BULLISH</v>
      </c>
      <c r="S7760">
        <f t="shared" si="3282"/>
        <v>1</v>
      </c>
    </row>
    <row r="7761" spans="1:19" hidden="1" x14ac:dyDescent="0.25">
      <c r="A7761" s="5" t="str">
        <f t="shared" si="3283"/>
        <v>44251NIKK</v>
      </c>
      <c r="B7761" s="6" t="s">
        <v>91</v>
      </c>
      <c r="C7761" s="6">
        <v>29218</v>
      </c>
      <c r="D7761" s="6">
        <v>30660</v>
      </c>
      <c r="E7761" s="6">
        <v>29671</v>
      </c>
      <c r="F7761" t="str">
        <f t="shared" si="3270"/>
        <v>WED</v>
      </c>
      <c r="G7761" s="14">
        <v>44251</v>
      </c>
      <c r="H7761" s="2">
        <f t="shared" ca="1" si="3271"/>
        <v>2</v>
      </c>
      <c r="I7761" t="str">
        <f t="shared" si="3272"/>
        <v>NIKK</v>
      </c>
      <c r="J7761">
        <f t="shared" si="3273"/>
        <v>29218</v>
      </c>
      <c r="K7761">
        <f t="shared" si="3274"/>
        <v>30660</v>
      </c>
      <c r="L7761">
        <f t="shared" si="3275"/>
        <v>29939</v>
      </c>
      <c r="M7761">
        <f t="shared" si="3276"/>
        <v>721</v>
      </c>
      <c r="N7761">
        <f t="shared" si="3277"/>
        <v>1442</v>
      </c>
      <c r="O7761">
        <f t="shared" si="3278"/>
        <v>29671</v>
      </c>
      <c r="P7761">
        <f t="shared" si="3279"/>
        <v>-0.37170596393897365</v>
      </c>
      <c r="Q7761" t="str">
        <f t="shared" si="3280"/>
        <v>1.53% | 3.33%</v>
      </c>
      <c r="R7761" t="str">
        <f t="shared" si="3281"/>
        <v>BULLISH</v>
      </c>
      <c r="S7761">
        <f t="shared" si="3282"/>
        <v>1</v>
      </c>
    </row>
    <row r="7762" spans="1:19" hidden="1" x14ac:dyDescent="0.25">
      <c r="A7762" s="5" t="str">
        <f t="shared" si="3283"/>
        <v>44251DAX</v>
      </c>
      <c r="B7762" s="6" t="s">
        <v>98</v>
      </c>
      <c r="C7762" s="6">
        <v>13801</v>
      </c>
      <c r="D7762" s="6">
        <v>14159</v>
      </c>
      <c r="E7762" s="6">
        <v>13864</v>
      </c>
      <c r="F7762" t="str">
        <f t="shared" si="3270"/>
        <v>WED</v>
      </c>
      <c r="G7762" s="14">
        <v>44251</v>
      </c>
      <c r="H7762" s="2">
        <f t="shared" ca="1" si="3271"/>
        <v>2</v>
      </c>
      <c r="I7762" t="str">
        <f t="shared" si="3272"/>
        <v>DAX</v>
      </c>
      <c r="J7762">
        <f t="shared" si="3273"/>
        <v>13801</v>
      </c>
      <c r="K7762">
        <f t="shared" si="3274"/>
        <v>14159</v>
      </c>
      <c r="L7762">
        <f t="shared" si="3275"/>
        <v>13980</v>
      </c>
      <c r="M7762">
        <f t="shared" si="3276"/>
        <v>179</v>
      </c>
      <c r="N7762">
        <f t="shared" si="3277"/>
        <v>358</v>
      </c>
      <c r="O7762">
        <f t="shared" si="3278"/>
        <v>13864</v>
      </c>
      <c r="P7762">
        <f t="shared" si="3279"/>
        <v>-0.64804469273743015</v>
      </c>
      <c r="Q7762" t="str">
        <f t="shared" si="3280"/>
        <v>0.45% | 2.13%</v>
      </c>
      <c r="R7762" t="str">
        <f t="shared" si="3281"/>
        <v>BULLISH</v>
      </c>
      <c r="S7762">
        <f t="shared" si="3282"/>
        <v>1</v>
      </c>
    </row>
    <row r="7763" spans="1:19" hidden="1" x14ac:dyDescent="0.25">
      <c r="A7763" s="5" t="str">
        <f t="shared" si="3283"/>
        <v>44251VIX</v>
      </c>
      <c r="B7763" s="6" t="s">
        <v>96</v>
      </c>
      <c r="C7763" s="6">
        <v>18.95</v>
      </c>
      <c r="D7763" s="6">
        <v>24.35</v>
      </c>
      <c r="E7763" s="6">
        <v>23.11</v>
      </c>
      <c r="F7763" t="str">
        <f t="shared" si="3270"/>
        <v>WED</v>
      </c>
      <c r="G7763" s="14">
        <v>44251</v>
      </c>
      <c r="H7763" s="2">
        <f t="shared" ca="1" si="3271"/>
        <v>2</v>
      </c>
      <c r="I7763" t="str">
        <f t="shared" si="3272"/>
        <v>VIX</v>
      </c>
      <c r="J7763">
        <f t="shared" si="3273"/>
        <v>18.95</v>
      </c>
      <c r="K7763">
        <f t="shared" si="3274"/>
        <v>24.35</v>
      </c>
      <c r="L7763">
        <f t="shared" si="3275"/>
        <v>21.65</v>
      </c>
      <c r="M7763">
        <f t="shared" si="3276"/>
        <v>2.7000000000000144</v>
      </c>
      <c r="N7763">
        <f t="shared" si="3277"/>
        <v>5.4000000000000021</v>
      </c>
      <c r="O7763">
        <f t="shared" si="3278"/>
        <v>23.11</v>
      </c>
      <c r="P7763">
        <f t="shared" si="3279"/>
        <v>0.54074074074073819</v>
      </c>
      <c r="Q7763" t="str">
        <f t="shared" si="3280"/>
        <v>18% | 5.37%</v>
      </c>
      <c r="R7763" t="str">
        <f t="shared" si="3281"/>
        <v>BEARISH</v>
      </c>
      <c r="S7763">
        <f t="shared" si="3282"/>
        <v>-1</v>
      </c>
    </row>
    <row r="7764" spans="1:19" hidden="1" x14ac:dyDescent="0.25">
      <c r="A7764" s="5" t="str">
        <f t="shared" si="3283"/>
        <v>44251USD</v>
      </c>
      <c r="B7764" s="6" t="s">
        <v>94</v>
      </c>
      <c r="C7764" s="6">
        <v>89.82</v>
      </c>
      <c r="D7764" s="6">
        <v>90.9</v>
      </c>
      <c r="E7764" s="6">
        <v>90.17</v>
      </c>
      <c r="F7764" t="str">
        <f t="shared" si="3270"/>
        <v>WED</v>
      </c>
      <c r="G7764" s="14">
        <v>44251</v>
      </c>
      <c r="H7764" s="2">
        <f t="shared" ca="1" si="3271"/>
        <v>2</v>
      </c>
      <c r="I7764" t="str">
        <f t="shared" si="3272"/>
        <v>USD</v>
      </c>
      <c r="J7764">
        <f t="shared" si="3273"/>
        <v>89.82</v>
      </c>
      <c r="K7764">
        <f t="shared" si="3274"/>
        <v>90.9</v>
      </c>
      <c r="L7764">
        <f t="shared" si="3275"/>
        <v>90.36</v>
      </c>
      <c r="M7764">
        <f t="shared" si="3276"/>
        <v>0.54000000000000625</v>
      </c>
      <c r="N7764">
        <f t="shared" si="3277"/>
        <v>1.0800000000000125</v>
      </c>
      <c r="O7764">
        <f t="shared" si="3278"/>
        <v>90.17</v>
      </c>
      <c r="P7764">
        <f t="shared" si="3279"/>
        <v>-0.35185185185184359</v>
      </c>
      <c r="Q7764" t="str">
        <f t="shared" si="3280"/>
        <v>0.39% | 0.81%</v>
      </c>
      <c r="R7764" t="str">
        <f t="shared" si="3281"/>
        <v>BEARISH</v>
      </c>
      <c r="S7764">
        <f t="shared" si="3282"/>
        <v>-1</v>
      </c>
    </row>
    <row r="7765" spans="1:19" hidden="1" x14ac:dyDescent="0.25">
      <c r="A7765" s="5" t="str">
        <f t="shared" si="3283"/>
        <v>44251EUR/USD</v>
      </c>
      <c r="B7765" s="6" t="s">
        <v>99</v>
      </c>
      <c r="C7765" s="6">
        <v>1.204</v>
      </c>
      <c r="D7765" s="6">
        <v>1.2190000000000001</v>
      </c>
      <c r="E7765" s="6">
        <v>1.2150000000000001</v>
      </c>
      <c r="F7765" t="str">
        <f t="shared" si="3270"/>
        <v>WED</v>
      </c>
      <c r="G7765" s="14">
        <v>44251</v>
      </c>
      <c r="H7765" s="2">
        <f t="shared" ca="1" si="3271"/>
        <v>2</v>
      </c>
      <c r="I7765" t="str">
        <f t="shared" si="3272"/>
        <v>EUR/USD</v>
      </c>
      <c r="J7765">
        <f t="shared" si="3273"/>
        <v>1.204</v>
      </c>
      <c r="K7765">
        <f t="shared" si="3274"/>
        <v>1.2190000000000001</v>
      </c>
      <c r="L7765">
        <f t="shared" si="3275"/>
        <v>1.2115</v>
      </c>
      <c r="M7765">
        <f t="shared" si="3276"/>
        <v>7.5000000000000622E-3</v>
      </c>
      <c r="N7765">
        <f t="shared" si="3277"/>
        <v>1.5000000000000124E-2</v>
      </c>
      <c r="O7765">
        <f t="shared" si="3278"/>
        <v>1.2150000000000001</v>
      </c>
      <c r="P7765">
        <f t="shared" si="3279"/>
        <v>0.46666666666667062</v>
      </c>
      <c r="Q7765" t="str">
        <f t="shared" si="3280"/>
        <v>0.91% | 0.33%</v>
      </c>
      <c r="R7765" t="str">
        <f t="shared" si="3281"/>
        <v>BULLISH</v>
      </c>
      <c r="S7765">
        <f t="shared" si="3282"/>
        <v>1</v>
      </c>
    </row>
    <row r="7766" spans="1:19" hidden="1" x14ac:dyDescent="0.25">
      <c r="A7766" s="5" t="str">
        <f t="shared" si="3283"/>
        <v>44251USD/JPY</v>
      </c>
      <c r="B7766" s="6" t="s">
        <v>56</v>
      </c>
      <c r="C7766" s="6">
        <v>104.44</v>
      </c>
      <c r="D7766" s="6">
        <v>106.33</v>
      </c>
      <c r="E7766" s="6">
        <v>105.25</v>
      </c>
      <c r="F7766" t="str">
        <f t="shared" si="3270"/>
        <v>WED</v>
      </c>
      <c r="G7766" s="14">
        <v>44251</v>
      </c>
      <c r="H7766" s="2">
        <f t="shared" ca="1" si="3271"/>
        <v>2</v>
      </c>
      <c r="I7766" t="str">
        <f t="shared" si="3272"/>
        <v>USD/JPY</v>
      </c>
      <c r="J7766">
        <f t="shared" si="3273"/>
        <v>104.44</v>
      </c>
      <c r="K7766">
        <f t="shared" si="3274"/>
        <v>106.33</v>
      </c>
      <c r="L7766">
        <f t="shared" si="3275"/>
        <v>105.38499999999999</v>
      </c>
      <c r="M7766">
        <f t="shared" si="3276"/>
        <v>0.94500000000000028</v>
      </c>
      <c r="N7766">
        <f t="shared" si="3277"/>
        <v>1.8900000000000006</v>
      </c>
      <c r="O7766">
        <f t="shared" si="3278"/>
        <v>105.25</v>
      </c>
      <c r="P7766">
        <f t="shared" si="3279"/>
        <v>-0.14285714285713319</v>
      </c>
      <c r="Q7766" t="str">
        <f t="shared" si="3280"/>
        <v>0.77% | 1.03%</v>
      </c>
      <c r="R7766" t="str">
        <f t="shared" si="3281"/>
        <v>BULLISH</v>
      </c>
      <c r="S7766">
        <f t="shared" si="3282"/>
        <v>1</v>
      </c>
    </row>
    <row r="7767" spans="1:19" hidden="1" x14ac:dyDescent="0.25">
      <c r="A7767" s="5" t="str">
        <f t="shared" si="3283"/>
        <v>44251GBP/USD</v>
      </c>
      <c r="B7767" s="6" t="s">
        <v>102</v>
      </c>
      <c r="C7767" s="6">
        <v>1.381</v>
      </c>
      <c r="D7767" s="6">
        <v>1.4159999999999999</v>
      </c>
      <c r="E7767" s="6">
        <v>1.411</v>
      </c>
      <c r="F7767" t="str">
        <f t="shared" si="3270"/>
        <v>WED</v>
      </c>
      <c r="G7767" s="14">
        <v>44251</v>
      </c>
      <c r="H7767" s="2">
        <f t="shared" ca="1" si="3271"/>
        <v>2</v>
      </c>
      <c r="I7767" t="str">
        <f t="shared" si="3272"/>
        <v>GBP/USD</v>
      </c>
      <c r="J7767">
        <f t="shared" si="3273"/>
        <v>1.381</v>
      </c>
      <c r="K7767">
        <f t="shared" si="3274"/>
        <v>1.4159999999999999</v>
      </c>
      <c r="L7767">
        <f t="shared" si="3275"/>
        <v>1.3984999999999999</v>
      </c>
      <c r="M7767">
        <f t="shared" si="3276"/>
        <v>1.749999999999996E-2</v>
      </c>
      <c r="N7767">
        <f t="shared" si="3277"/>
        <v>3.499999999999992E-2</v>
      </c>
      <c r="O7767">
        <f t="shared" si="3278"/>
        <v>1.411</v>
      </c>
      <c r="P7767">
        <f t="shared" si="3279"/>
        <v>0.71428571428572607</v>
      </c>
      <c r="Q7767" t="str">
        <f t="shared" si="3280"/>
        <v>2.13% | 0.35%</v>
      </c>
      <c r="R7767" t="str">
        <f t="shared" si="3281"/>
        <v>BULLISH</v>
      </c>
      <c r="S7767">
        <f t="shared" si="3282"/>
        <v>1</v>
      </c>
    </row>
    <row r="7768" spans="1:19" hidden="1" x14ac:dyDescent="0.25">
      <c r="A7768" s="5" t="str">
        <f t="shared" si="3283"/>
        <v>44251CAD/USD</v>
      </c>
      <c r="B7768" s="6" t="s">
        <v>244</v>
      </c>
      <c r="C7768" s="6">
        <v>0.79</v>
      </c>
      <c r="D7768" s="6">
        <v>0.8</v>
      </c>
      <c r="E7768" s="6">
        <v>0.79</v>
      </c>
      <c r="F7768" t="str">
        <f t="shared" si="3270"/>
        <v>WED</v>
      </c>
      <c r="G7768" s="14">
        <v>44251</v>
      </c>
      <c r="H7768" s="2">
        <f t="shared" ca="1" si="3271"/>
        <v>2</v>
      </c>
      <c r="I7768" t="str">
        <f t="shared" si="3272"/>
        <v>CAD/USD</v>
      </c>
      <c r="J7768">
        <f t="shared" si="3273"/>
        <v>0.79</v>
      </c>
      <c r="K7768">
        <f t="shared" si="3274"/>
        <v>0.8</v>
      </c>
      <c r="L7768">
        <f t="shared" si="3275"/>
        <v>0.79500000000000004</v>
      </c>
      <c r="M7768">
        <f t="shared" si="3276"/>
        <v>5.0000000000000044E-3</v>
      </c>
      <c r="N7768">
        <f t="shared" si="3277"/>
        <v>1.0000000000000009E-2</v>
      </c>
      <c r="O7768">
        <f t="shared" si="3278"/>
        <v>0.79</v>
      </c>
      <c r="P7768">
        <f t="shared" si="3279"/>
        <v>-1</v>
      </c>
      <c r="Q7768" t="str">
        <f t="shared" si="3280"/>
        <v>0% | 1.27%</v>
      </c>
      <c r="R7768" t="str">
        <f t="shared" si="3281"/>
        <v>BULLISH</v>
      </c>
      <c r="S7768">
        <f t="shared" si="3282"/>
        <v>1</v>
      </c>
    </row>
    <row r="7769" spans="1:19" hidden="1" x14ac:dyDescent="0.25">
      <c r="A7769" s="5" t="str">
        <f t="shared" si="3283"/>
        <v>44251USD/CHF</v>
      </c>
      <c r="B7769" s="6" t="s">
        <v>76</v>
      </c>
      <c r="C7769" s="6">
        <v>0.88</v>
      </c>
      <c r="D7769" s="6">
        <v>0.91</v>
      </c>
      <c r="E7769" s="6">
        <v>0.9</v>
      </c>
      <c r="F7769" t="str">
        <f t="shared" si="3270"/>
        <v>WED</v>
      </c>
      <c r="G7769" s="14">
        <v>44251</v>
      </c>
      <c r="H7769" s="2">
        <f t="shared" ca="1" si="3271"/>
        <v>2</v>
      </c>
      <c r="I7769" t="str">
        <f t="shared" si="3272"/>
        <v>USD/CHF</v>
      </c>
      <c r="J7769">
        <f t="shared" si="3273"/>
        <v>0.88</v>
      </c>
      <c r="K7769">
        <f t="shared" si="3274"/>
        <v>0.91</v>
      </c>
      <c r="L7769">
        <f t="shared" si="3275"/>
        <v>0.89500000000000002</v>
      </c>
      <c r="M7769">
        <f t="shared" si="3276"/>
        <v>1.5000000000000013E-2</v>
      </c>
      <c r="N7769">
        <f t="shared" si="3277"/>
        <v>3.0000000000000027E-2</v>
      </c>
      <c r="O7769">
        <f t="shared" si="3278"/>
        <v>0.9</v>
      </c>
      <c r="P7769">
        <f t="shared" si="3279"/>
        <v>0.33333333333333331</v>
      </c>
      <c r="Q7769" t="str">
        <f t="shared" si="3280"/>
        <v>2.22% | 1.11%</v>
      </c>
      <c r="R7769" t="str">
        <f t="shared" si="3281"/>
        <v>BEARISH</v>
      </c>
      <c r="S7769">
        <f t="shared" si="3282"/>
        <v>-1</v>
      </c>
    </row>
    <row r="7770" spans="1:19" hidden="1" x14ac:dyDescent="0.25">
      <c r="A7770" s="5" t="str">
        <f t="shared" si="3283"/>
        <v>44251WTIC</v>
      </c>
      <c r="B7770" s="6" t="s">
        <v>158</v>
      </c>
      <c r="C7770" s="6">
        <v>57.89</v>
      </c>
      <c r="D7770" s="6">
        <v>62.68</v>
      </c>
      <c r="E7770" s="6">
        <v>61.67</v>
      </c>
      <c r="F7770" t="str">
        <f t="shared" si="3270"/>
        <v>WED</v>
      </c>
      <c r="G7770" s="14">
        <v>44251</v>
      </c>
      <c r="H7770" s="2">
        <f t="shared" ca="1" si="3271"/>
        <v>2</v>
      </c>
      <c r="I7770" t="str">
        <f t="shared" si="3272"/>
        <v>WTIC</v>
      </c>
      <c r="J7770">
        <f t="shared" si="3273"/>
        <v>57.89</v>
      </c>
      <c r="K7770">
        <f t="shared" si="3274"/>
        <v>62.68</v>
      </c>
      <c r="L7770">
        <f t="shared" si="3275"/>
        <v>60.284999999999997</v>
      </c>
      <c r="M7770">
        <f t="shared" si="3276"/>
        <v>2.3949999999999996</v>
      </c>
      <c r="N7770">
        <f t="shared" si="3277"/>
        <v>4.7899999999999991</v>
      </c>
      <c r="O7770">
        <f t="shared" si="3278"/>
        <v>61.67</v>
      </c>
      <c r="P7770">
        <f t="shared" si="3279"/>
        <v>0.57828810020877053</v>
      </c>
      <c r="Q7770" t="str">
        <f t="shared" si="3280"/>
        <v>6.13% | 1.64%</v>
      </c>
      <c r="R7770" t="str">
        <f t="shared" si="3281"/>
        <v>BULLISH</v>
      </c>
      <c r="S7770">
        <f t="shared" si="3282"/>
        <v>1</v>
      </c>
    </row>
    <row r="7771" spans="1:19" hidden="1" x14ac:dyDescent="0.25">
      <c r="A7771" s="5" t="str">
        <f t="shared" si="3283"/>
        <v>44251NATGAS</v>
      </c>
      <c r="B7771" s="6" t="s">
        <v>89</v>
      </c>
      <c r="C7771" s="6">
        <v>2.73</v>
      </c>
      <c r="D7771" s="6">
        <v>3.2</v>
      </c>
      <c r="E7771" s="6">
        <v>2.86</v>
      </c>
      <c r="F7771" t="str">
        <f t="shared" si="3270"/>
        <v>WED</v>
      </c>
      <c r="G7771" s="14">
        <v>44251</v>
      </c>
      <c r="H7771" s="2">
        <f t="shared" ca="1" si="3271"/>
        <v>2</v>
      </c>
      <c r="I7771" t="str">
        <f t="shared" si="3272"/>
        <v>NATGAS</v>
      </c>
      <c r="J7771">
        <f t="shared" si="3273"/>
        <v>2.73</v>
      </c>
      <c r="K7771">
        <f t="shared" si="3274"/>
        <v>3.2</v>
      </c>
      <c r="L7771">
        <f t="shared" si="3275"/>
        <v>2.9649999999999999</v>
      </c>
      <c r="M7771">
        <f t="shared" si="3276"/>
        <v>0.2350000000000001</v>
      </c>
      <c r="N7771">
        <f t="shared" si="3277"/>
        <v>0.4700000000000002</v>
      </c>
      <c r="O7771">
        <f t="shared" si="3278"/>
        <v>2.86</v>
      </c>
      <c r="P7771">
        <f t="shared" si="3279"/>
        <v>-0.44680851063829763</v>
      </c>
      <c r="Q7771" t="str">
        <f t="shared" si="3280"/>
        <v>4.55% | 11.89%</v>
      </c>
      <c r="R7771" t="str">
        <f t="shared" si="3281"/>
        <v>BULLISH</v>
      </c>
      <c r="S7771">
        <f t="shared" si="3282"/>
        <v>1</v>
      </c>
    </row>
    <row r="7772" spans="1:19" hidden="1" x14ac:dyDescent="0.25">
      <c r="A7772" s="5" t="str">
        <f t="shared" si="3283"/>
        <v>44251GOLD</v>
      </c>
      <c r="B7772" s="6" t="s">
        <v>85</v>
      </c>
      <c r="C7772" s="6">
        <v>1754</v>
      </c>
      <c r="D7772" s="6">
        <v>1826</v>
      </c>
      <c r="E7772" s="6">
        <v>1805</v>
      </c>
      <c r="F7772" t="str">
        <f t="shared" si="3270"/>
        <v>WED</v>
      </c>
      <c r="G7772" s="14">
        <v>44251</v>
      </c>
      <c r="H7772" s="2">
        <f t="shared" ca="1" si="3271"/>
        <v>2</v>
      </c>
      <c r="I7772" t="str">
        <f t="shared" si="3272"/>
        <v>GOLD</v>
      </c>
      <c r="J7772">
        <f t="shared" si="3273"/>
        <v>1754</v>
      </c>
      <c r="K7772">
        <f t="shared" si="3274"/>
        <v>1826</v>
      </c>
      <c r="L7772">
        <f t="shared" si="3275"/>
        <v>1790</v>
      </c>
      <c r="M7772">
        <f t="shared" si="3276"/>
        <v>36</v>
      </c>
      <c r="N7772">
        <f t="shared" si="3277"/>
        <v>72</v>
      </c>
      <c r="O7772">
        <f t="shared" si="3278"/>
        <v>1805</v>
      </c>
      <c r="P7772">
        <f t="shared" si="3279"/>
        <v>0.41666666666666669</v>
      </c>
      <c r="Q7772" t="str">
        <f t="shared" si="3280"/>
        <v>2.83% | 1.16%</v>
      </c>
      <c r="R7772" t="str">
        <f t="shared" si="3281"/>
        <v>BEARISH</v>
      </c>
      <c r="S7772">
        <f t="shared" si="3282"/>
        <v>-1</v>
      </c>
    </row>
    <row r="7773" spans="1:19" hidden="1" x14ac:dyDescent="0.25">
      <c r="A7773" s="5" t="str">
        <f t="shared" si="3283"/>
        <v>44251COPPER</v>
      </c>
      <c r="B7773" s="6" t="s">
        <v>100</v>
      </c>
      <c r="C7773" s="6">
        <v>3.9</v>
      </c>
      <c r="D7773" s="6">
        <v>4.24</v>
      </c>
      <c r="E7773" s="6">
        <v>4.18</v>
      </c>
      <c r="F7773" t="str">
        <f t="shared" si="3270"/>
        <v>WED</v>
      </c>
      <c r="G7773" s="14">
        <v>44251</v>
      </c>
      <c r="H7773" s="2">
        <f t="shared" ca="1" si="3271"/>
        <v>2</v>
      </c>
      <c r="I7773" t="str">
        <f t="shared" si="3272"/>
        <v>COPPER</v>
      </c>
      <c r="J7773">
        <f t="shared" si="3273"/>
        <v>3.9</v>
      </c>
      <c r="K7773">
        <f t="shared" si="3274"/>
        <v>4.24</v>
      </c>
      <c r="L7773">
        <f t="shared" si="3275"/>
        <v>4.07</v>
      </c>
      <c r="M7773">
        <f t="shared" si="3276"/>
        <v>0.17000000000000015</v>
      </c>
      <c r="N7773">
        <f t="shared" si="3277"/>
        <v>0.3400000000000003</v>
      </c>
      <c r="O7773">
        <f t="shared" si="3278"/>
        <v>4.18</v>
      </c>
      <c r="P7773">
        <f t="shared" si="3279"/>
        <v>0.6470588235294078</v>
      </c>
      <c r="Q7773" t="str">
        <f t="shared" si="3280"/>
        <v>6.7% | 1.44%</v>
      </c>
      <c r="R7773" t="str">
        <f t="shared" si="3281"/>
        <v>BULLISH</v>
      </c>
      <c r="S7773">
        <f t="shared" si="3282"/>
        <v>1</v>
      </c>
    </row>
    <row r="7774" spans="1:19" hidden="1" x14ac:dyDescent="0.25">
      <c r="A7774" s="5" t="str">
        <f t="shared" si="3283"/>
        <v>44251SILVER</v>
      </c>
      <c r="B7774" s="6" t="s">
        <v>195</v>
      </c>
      <c r="C7774" s="6">
        <v>26.65</v>
      </c>
      <c r="D7774" s="6">
        <v>28.09</v>
      </c>
      <c r="E7774" s="6">
        <v>27.69</v>
      </c>
      <c r="F7774" t="str">
        <f t="shared" si="3270"/>
        <v>WED</v>
      </c>
      <c r="G7774" s="14">
        <v>44251</v>
      </c>
      <c r="H7774" s="2">
        <f t="shared" ca="1" si="3271"/>
        <v>2</v>
      </c>
      <c r="I7774" t="str">
        <f t="shared" si="3272"/>
        <v>SILVER</v>
      </c>
      <c r="J7774">
        <f t="shared" si="3273"/>
        <v>26.65</v>
      </c>
      <c r="K7774">
        <f t="shared" si="3274"/>
        <v>28.09</v>
      </c>
      <c r="L7774">
        <f t="shared" si="3275"/>
        <v>27.369999999999997</v>
      </c>
      <c r="M7774">
        <f t="shared" si="3276"/>
        <v>0.72000000000000064</v>
      </c>
      <c r="N7774">
        <f t="shared" si="3277"/>
        <v>1.4400000000000013</v>
      </c>
      <c r="O7774">
        <f t="shared" si="3278"/>
        <v>27.69</v>
      </c>
      <c r="P7774">
        <f t="shared" si="3279"/>
        <v>0.44444444444444936</v>
      </c>
      <c r="Q7774" t="str">
        <f t="shared" si="3280"/>
        <v>3.76% | 1.44%</v>
      </c>
      <c r="R7774" t="str">
        <f t="shared" si="3281"/>
        <v>BULLISH</v>
      </c>
      <c r="S7774">
        <f t="shared" si="3282"/>
        <v>1</v>
      </c>
    </row>
    <row r="7775" spans="1:19" hidden="1" x14ac:dyDescent="0.25">
      <c r="A7775" s="5" t="str">
        <f t="shared" si="3283"/>
        <v>44251MSFT</v>
      </c>
      <c r="B7775" s="6" t="s">
        <v>27</v>
      </c>
      <c r="C7775" s="6">
        <v>232</v>
      </c>
      <c r="D7775" s="6">
        <v>248</v>
      </c>
      <c r="E7775" s="6">
        <v>233</v>
      </c>
      <c r="F7775" t="str">
        <f t="shared" si="3270"/>
        <v>WED</v>
      </c>
      <c r="G7775" s="14">
        <v>44251</v>
      </c>
      <c r="H7775" s="2">
        <f t="shared" ca="1" si="3271"/>
        <v>2</v>
      </c>
      <c r="I7775" t="str">
        <f t="shared" si="3272"/>
        <v>MSFT</v>
      </c>
      <c r="J7775">
        <f t="shared" si="3273"/>
        <v>232</v>
      </c>
      <c r="K7775">
        <f t="shared" si="3274"/>
        <v>248</v>
      </c>
      <c r="L7775">
        <f t="shared" si="3275"/>
        <v>240</v>
      </c>
      <c r="M7775">
        <f t="shared" si="3276"/>
        <v>8</v>
      </c>
      <c r="N7775">
        <f t="shared" si="3277"/>
        <v>16</v>
      </c>
      <c r="O7775">
        <f t="shared" si="3278"/>
        <v>233</v>
      </c>
      <c r="P7775">
        <f t="shared" si="3279"/>
        <v>-0.875</v>
      </c>
      <c r="Q7775" t="str">
        <f t="shared" si="3280"/>
        <v>0.43% | 6.44%</v>
      </c>
      <c r="R7775" t="str">
        <f t="shared" si="3281"/>
        <v>BULLISH</v>
      </c>
      <c r="S7775">
        <f t="shared" si="3282"/>
        <v>1</v>
      </c>
    </row>
    <row r="7776" spans="1:19" hidden="1" x14ac:dyDescent="0.25">
      <c r="A7776" s="5" t="str">
        <f t="shared" si="3283"/>
        <v>44251AAPL</v>
      </c>
      <c r="B7776" s="6" t="s">
        <v>63</v>
      </c>
      <c r="C7776" s="6">
        <v>123</v>
      </c>
      <c r="D7776" s="6">
        <v>132</v>
      </c>
      <c r="E7776" s="6">
        <v>125</v>
      </c>
      <c r="F7776" t="str">
        <f t="shared" si="3270"/>
        <v>WED</v>
      </c>
      <c r="G7776" s="14">
        <v>44251</v>
      </c>
      <c r="H7776" s="2">
        <f t="shared" ca="1" si="3271"/>
        <v>2</v>
      </c>
      <c r="I7776" t="str">
        <f t="shared" si="3272"/>
        <v>AAPL</v>
      </c>
      <c r="J7776">
        <f t="shared" si="3273"/>
        <v>123</v>
      </c>
      <c r="K7776">
        <f t="shared" si="3274"/>
        <v>132</v>
      </c>
      <c r="L7776">
        <f t="shared" si="3275"/>
        <v>127.5</v>
      </c>
      <c r="M7776">
        <f t="shared" si="3276"/>
        <v>4.5</v>
      </c>
      <c r="N7776">
        <f t="shared" si="3277"/>
        <v>9</v>
      </c>
      <c r="O7776">
        <f t="shared" si="3278"/>
        <v>125</v>
      </c>
      <c r="P7776">
        <f t="shared" si="3279"/>
        <v>-0.55555555555555558</v>
      </c>
      <c r="Q7776" t="str">
        <f t="shared" si="3280"/>
        <v>1.6% | 5.6%</v>
      </c>
      <c r="R7776" t="str">
        <f t="shared" si="3281"/>
        <v>NEUTRAL</v>
      </c>
      <c r="S7776">
        <f t="shared" si="3282"/>
        <v>0</v>
      </c>
    </row>
    <row r="7777" spans="1:19" hidden="1" x14ac:dyDescent="0.25">
      <c r="A7777" s="5" t="str">
        <f t="shared" si="3283"/>
        <v>44251AMZN</v>
      </c>
      <c r="B7777" s="6" t="s">
        <v>69</v>
      </c>
      <c r="C7777" s="6">
        <v>3131</v>
      </c>
      <c r="D7777" s="6">
        <v>3347</v>
      </c>
      <c r="E7777" s="6">
        <v>3194</v>
      </c>
      <c r="F7777" t="str">
        <f t="shared" si="3270"/>
        <v>WED</v>
      </c>
      <c r="G7777" s="14">
        <v>44251</v>
      </c>
      <c r="H7777" s="2">
        <f t="shared" ca="1" si="3271"/>
        <v>2</v>
      </c>
      <c r="I7777" t="str">
        <f t="shared" si="3272"/>
        <v>AMZN</v>
      </c>
      <c r="J7777">
        <f t="shared" si="3273"/>
        <v>3131</v>
      </c>
      <c r="K7777">
        <f t="shared" si="3274"/>
        <v>3347</v>
      </c>
      <c r="L7777">
        <f t="shared" si="3275"/>
        <v>3239</v>
      </c>
      <c r="M7777">
        <f t="shared" si="3276"/>
        <v>108</v>
      </c>
      <c r="N7777">
        <f t="shared" si="3277"/>
        <v>216</v>
      </c>
      <c r="O7777">
        <f t="shared" si="3278"/>
        <v>3194</v>
      </c>
      <c r="P7777">
        <f t="shared" si="3279"/>
        <v>-0.41666666666666669</v>
      </c>
      <c r="Q7777" t="str">
        <f t="shared" si="3280"/>
        <v>1.97% | 4.79%</v>
      </c>
      <c r="R7777" t="str">
        <f t="shared" si="3281"/>
        <v>NEUTRAL</v>
      </c>
      <c r="S7777">
        <f t="shared" si="3282"/>
        <v>0</v>
      </c>
    </row>
    <row r="7778" spans="1:19" hidden="1" x14ac:dyDescent="0.25">
      <c r="A7778" s="5" t="str">
        <f t="shared" si="3283"/>
        <v>44251FB</v>
      </c>
      <c r="B7778" s="6" t="s">
        <v>157</v>
      </c>
      <c r="C7778" s="6">
        <v>254</v>
      </c>
      <c r="D7778" s="6">
        <v>276</v>
      </c>
      <c r="E7778" s="6">
        <v>265</v>
      </c>
      <c r="F7778" t="str">
        <f t="shared" si="3270"/>
        <v>WED</v>
      </c>
      <c r="G7778" s="14">
        <v>44251</v>
      </c>
      <c r="H7778" s="2">
        <f t="shared" ca="1" si="3271"/>
        <v>2</v>
      </c>
      <c r="I7778" t="str">
        <f t="shared" si="3272"/>
        <v>FB</v>
      </c>
      <c r="J7778">
        <f t="shared" si="3273"/>
        <v>254</v>
      </c>
      <c r="K7778">
        <f t="shared" si="3274"/>
        <v>276</v>
      </c>
      <c r="L7778">
        <f t="shared" si="3275"/>
        <v>265</v>
      </c>
      <c r="M7778">
        <f t="shared" si="3276"/>
        <v>11</v>
      </c>
      <c r="N7778">
        <f t="shared" si="3277"/>
        <v>22</v>
      </c>
      <c r="O7778">
        <f t="shared" si="3278"/>
        <v>265</v>
      </c>
      <c r="P7778">
        <f t="shared" si="3279"/>
        <v>0</v>
      </c>
      <c r="Q7778" t="str">
        <f t="shared" si="3280"/>
        <v>4.15% | 4.15%</v>
      </c>
      <c r="R7778" t="str">
        <f t="shared" si="3281"/>
        <v>NEUTRAL</v>
      </c>
      <c r="S7778">
        <f t="shared" si="3282"/>
        <v>0</v>
      </c>
    </row>
    <row r="7779" spans="1:19" hidden="1" x14ac:dyDescent="0.25">
      <c r="A7779" s="5" t="str">
        <f t="shared" si="3283"/>
        <v>44251GOOGL</v>
      </c>
      <c r="B7779" s="6" t="s">
        <v>31</v>
      </c>
      <c r="C7779" s="6">
        <v>2039</v>
      </c>
      <c r="D7779" s="6">
        <v>2131</v>
      </c>
      <c r="E7779" s="6">
        <v>2060</v>
      </c>
      <c r="F7779" t="str">
        <f t="shared" si="3270"/>
        <v>WED</v>
      </c>
      <c r="G7779" s="14">
        <v>44251</v>
      </c>
      <c r="H7779" s="2">
        <f t="shared" ca="1" si="3271"/>
        <v>2</v>
      </c>
      <c r="I7779" t="str">
        <f t="shared" si="3272"/>
        <v>GOOGL</v>
      </c>
      <c r="J7779">
        <f t="shared" si="3273"/>
        <v>2039</v>
      </c>
      <c r="K7779">
        <f t="shared" si="3274"/>
        <v>2131</v>
      </c>
      <c r="L7779">
        <f t="shared" si="3275"/>
        <v>2085</v>
      </c>
      <c r="M7779">
        <f t="shared" si="3276"/>
        <v>46</v>
      </c>
      <c r="N7779">
        <f t="shared" si="3277"/>
        <v>92</v>
      </c>
      <c r="O7779">
        <f t="shared" si="3278"/>
        <v>2060</v>
      </c>
      <c r="P7779">
        <f t="shared" si="3279"/>
        <v>-0.54347826086956519</v>
      </c>
      <c r="Q7779" t="str">
        <f t="shared" si="3280"/>
        <v>1.02% | 3.45%</v>
      </c>
      <c r="R7779" t="str">
        <f t="shared" si="3281"/>
        <v>BULLISH</v>
      </c>
      <c r="S7779">
        <f t="shared" si="3282"/>
        <v>1</v>
      </c>
    </row>
    <row r="7780" spans="1:19" hidden="1" x14ac:dyDescent="0.25">
      <c r="A7780" s="5" t="str">
        <f t="shared" si="3283"/>
        <v>44251NFLX</v>
      </c>
      <c r="B7780" s="6" t="s">
        <v>32</v>
      </c>
      <c r="C7780" s="6">
        <v>529</v>
      </c>
      <c r="D7780" s="6">
        <v>571</v>
      </c>
      <c r="E7780" s="6">
        <v>546</v>
      </c>
      <c r="F7780" t="str">
        <f t="shared" si="3270"/>
        <v>WED</v>
      </c>
      <c r="G7780" s="14">
        <v>44251</v>
      </c>
      <c r="H7780" s="2">
        <f t="shared" ca="1" si="3271"/>
        <v>2</v>
      </c>
      <c r="I7780" t="str">
        <f t="shared" si="3272"/>
        <v>NFLX</v>
      </c>
      <c r="J7780">
        <f t="shared" si="3273"/>
        <v>529</v>
      </c>
      <c r="K7780">
        <f t="shared" si="3274"/>
        <v>571</v>
      </c>
      <c r="L7780">
        <f t="shared" si="3275"/>
        <v>550</v>
      </c>
      <c r="M7780">
        <f t="shared" si="3276"/>
        <v>21</v>
      </c>
      <c r="N7780">
        <f t="shared" si="3277"/>
        <v>42</v>
      </c>
      <c r="O7780">
        <f t="shared" si="3278"/>
        <v>546</v>
      </c>
      <c r="P7780">
        <f t="shared" si="3279"/>
        <v>-0.19047619047619047</v>
      </c>
      <c r="Q7780" t="str">
        <f t="shared" si="3280"/>
        <v>3.11% | 4.58%</v>
      </c>
      <c r="R7780" t="str">
        <f t="shared" si="3281"/>
        <v>BULLISH</v>
      </c>
      <c r="S7780">
        <f t="shared" si="3282"/>
        <v>1</v>
      </c>
    </row>
    <row r="7781" spans="1:19" x14ac:dyDescent="0.25">
      <c r="A7781" s="5" t="str">
        <f t="shared" si="3283"/>
        <v>44251TSLA</v>
      </c>
      <c r="B7781" s="6" t="s">
        <v>83</v>
      </c>
      <c r="C7781" s="6">
        <v>687</v>
      </c>
      <c r="D7781" s="6">
        <v>802</v>
      </c>
      <c r="E7781" s="6">
        <v>698</v>
      </c>
      <c r="F7781" t="str">
        <f t="shared" si="3270"/>
        <v>WED</v>
      </c>
      <c r="G7781" s="14">
        <v>44251</v>
      </c>
      <c r="H7781" s="2">
        <f t="shared" ca="1" si="3271"/>
        <v>2</v>
      </c>
      <c r="I7781" t="str">
        <f t="shared" si="3272"/>
        <v>TSLA</v>
      </c>
      <c r="J7781">
        <f t="shared" si="3273"/>
        <v>687</v>
      </c>
      <c r="K7781">
        <f t="shared" si="3274"/>
        <v>802</v>
      </c>
      <c r="L7781">
        <f t="shared" si="3275"/>
        <v>744.5</v>
      </c>
      <c r="M7781">
        <f t="shared" si="3276"/>
        <v>57.5</v>
      </c>
      <c r="N7781">
        <f t="shared" si="3277"/>
        <v>115</v>
      </c>
      <c r="O7781">
        <f t="shared" si="3278"/>
        <v>698</v>
      </c>
      <c r="P7781">
        <f t="shared" si="3279"/>
        <v>-0.80869565217391304</v>
      </c>
      <c r="Q7781" t="str">
        <f t="shared" si="3280"/>
        <v>1.58% | 14.9%</v>
      </c>
      <c r="R7781" t="str">
        <f t="shared" si="3281"/>
        <v>BEARISH</v>
      </c>
      <c r="S7781">
        <f t="shared" si="3282"/>
        <v>-1</v>
      </c>
    </row>
    <row r="7782" spans="1:19" hidden="1" x14ac:dyDescent="0.25">
      <c r="A7782" s="5" t="str">
        <f t="shared" si="3283"/>
        <v>44251NYXBT</v>
      </c>
      <c r="B7782" s="6" t="s">
        <v>60</v>
      </c>
      <c r="C7782" s="6">
        <v>47406</v>
      </c>
      <c r="D7782" s="6">
        <v>55497</v>
      </c>
      <c r="E7782" s="6">
        <v>48755</v>
      </c>
      <c r="F7782" t="str">
        <f t="shared" si="3270"/>
        <v>WED</v>
      </c>
      <c r="G7782" s="14">
        <v>44251</v>
      </c>
      <c r="H7782" s="2">
        <f t="shared" ca="1" si="3271"/>
        <v>2</v>
      </c>
      <c r="I7782" t="str">
        <f t="shared" si="3272"/>
        <v>NYXBT</v>
      </c>
      <c r="J7782">
        <f t="shared" si="3273"/>
        <v>47406</v>
      </c>
      <c r="K7782">
        <f t="shared" si="3274"/>
        <v>55497</v>
      </c>
      <c r="L7782">
        <f t="shared" si="3275"/>
        <v>51451.5</v>
      </c>
      <c r="M7782">
        <f t="shared" si="3276"/>
        <v>4045.5</v>
      </c>
      <c r="N7782">
        <f t="shared" si="3277"/>
        <v>8091</v>
      </c>
      <c r="O7782">
        <f t="shared" si="3278"/>
        <v>48755</v>
      </c>
      <c r="P7782">
        <f t="shared" si="3279"/>
        <v>-0.66654307254974665</v>
      </c>
      <c r="Q7782" t="str">
        <f t="shared" si="3280"/>
        <v>2.77% | 13.83%</v>
      </c>
      <c r="R7782" t="str">
        <f t="shared" si="3281"/>
        <v>BULLISH</v>
      </c>
      <c r="S7782">
        <f t="shared" si="3282"/>
        <v>1</v>
      </c>
    </row>
    <row r="7783" spans="1:19" hidden="1" x14ac:dyDescent="0.25">
      <c r="A7783" s="5" t="str">
        <f t="shared" si="3283"/>
        <v>44252UST10Y</v>
      </c>
      <c r="B7783" s="6" t="s">
        <v>257</v>
      </c>
      <c r="C7783" s="6">
        <v>1.47</v>
      </c>
      <c r="D7783" s="6">
        <v>1.25</v>
      </c>
      <c r="E7783" s="6">
        <v>1.38</v>
      </c>
      <c r="F7783" t="str">
        <f t="shared" si="3270"/>
        <v>THU</v>
      </c>
      <c r="G7783" s="14">
        <v>44252</v>
      </c>
      <c r="H7783" s="2">
        <f t="shared" ref="H7783:H7815" ca="1" si="3284">TODAY()-G7783</f>
        <v>1</v>
      </c>
      <c r="I7783" t="str">
        <f t="shared" ref="I7783:I7815" si="3285">TRIM(LEFT(B7783,FIND(" ",B7783,1)))</f>
        <v>UST10Y</v>
      </c>
      <c r="J7783">
        <f t="shared" ref="J7783:J7815" si="3286">C7783</f>
        <v>1.47</v>
      </c>
      <c r="K7783">
        <f t="shared" ref="K7783:K7815" si="3287">D7783</f>
        <v>1.25</v>
      </c>
      <c r="L7783">
        <f t="shared" ref="L7783:L7815" si="3288">AVERAGE(J7783:K7783)</f>
        <v>1.3599999999999999</v>
      </c>
      <c r="M7783">
        <f t="shared" ref="M7783:M7815" si="3289">_xlfn.STDEV.P(J7783:K7783)</f>
        <v>0.10999999999999999</v>
      </c>
      <c r="N7783">
        <f t="shared" ref="N7783:N7815" si="3290">ABS(K7783-J7783)</f>
        <v>0.21999999999999997</v>
      </c>
      <c r="O7783">
        <f t="shared" ref="O7783:O7815" si="3291">E7783</f>
        <v>1.38</v>
      </c>
      <c r="P7783">
        <f t="shared" ref="P7783:P7815" si="3292">(O7783-L7783)/M7783</f>
        <v>0.18181818181818199</v>
      </c>
      <c r="Q7783" t="str">
        <f t="shared" ref="Q7783:Q7815" si="3293">ROUND(ABS(100*(O7783-J7783)/O7783),2)&amp;"% | "&amp;ROUND(ABS(100*(K7783-O7783)/O7783),2)&amp;"%"</f>
        <v>6.52% | 9.42%</v>
      </c>
      <c r="R7783" t="str">
        <f t="shared" ref="R7783:R7815" si="3294">MID(B7783,FIND("(",B7783,1)+1,FIND(")",B7783,1)-FIND("(",B7783,1)-1)</f>
        <v>BULLISH</v>
      </c>
      <c r="S7783">
        <f t="shared" ref="S7783:S7815" si="3295">IF(R7783="BEARISH",-1,IF(R7783="NEUTRAL",0,IF(R7783="BULLISH",1,99)))</f>
        <v>1</v>
      </c>
    </row>
    <row r="7784" spans="1:19" hidden="1" x14ac:dyDescent="0.25">
      <c r="A7784" s="5" t="str">
        <f t="shared" si="3283"/>
        <v>44252UST2Y</v>
      </c>
      <c r="B7784" s="6" t="s">
        <v>253</v>
      </c>
      <c r="C7784" s="6">
        <v>0.15</v>
      </c>
      <c r="D7784" s="6">
        <v>0.11</v>
      </c>
      <c r="E7784" s="6">
        <v>0.12</v>
      </c>
      <c r="F7784" t="str">
        <f t="shared" ref="F7784:F7815" si="3296">UPPER(TEXT(G7784,"ddd"))</f>
        <v>THU</v>
      </c>
      <c r="G7784" s="14">
        <v>44252</v>
      </c>
      <c r="H7784" s="2">
        <f t="shared" ca="1" si="3284"/>
        <v>1</v>
      </c>
      <c r="I7784" t="str">
        <f t="shared" si="3285"/>
        <v>UST2Y</v>
      </c>
      <c r="J7784">
        <f t="shared" si="3286"/>
        <v>0.15</v>
      </c>
      <c r="K7784">
        <f t="shared" si="3287"/>
        <v>0.11</v>
      </c>
      <c r="L7784">
        <f t="shared" si="3288"/>
        <v>0.13</v>
      </c>
      <c r="M7784">
        <f t="shared" si="3289"/>
        <v>1.9999999999999938E-2</v>
      </c>
      <c r="N7784">
        <f t="shared" si="3290"/>
        <v>3.9999999999999994E-2</v>
      </c>
      <c r="O7784">
        <f t="shared" si="3291"/>
        <v>0.12</v>
      </c>
      <c r="P7784">
        <f t="shared" si="3292"/>
        <v>-0.500000000000002</v>
      </c>
      <c r="Q7784" t="str">
        <f t="shared" si="3293"/>
        <v>25% | 8.33%</v>
      </c>
      <c r="R7784" t="str">
        <f t="shared" si="3294"/>
        <v>NEUTRAL</v>
      </c>
      <c r="S7784">
        <f t="shared" si="3295"/>
        <v>0</v>
      </c>
    </row>
    <row r="7785" spans="1:19" hidden="1" x14ac:dyDescent="0.25">
      <c r="A7785" s="5" t="str">
        <f t="shared" si="3283"/>
        <v>44252SPX</v>
      </c>
      <c r="B7785" s="6" t="s">
        <v>93</v>
      </c>
      <c r="C7785" s="6">
        <v>3870</v>
      </c>
      <c r="D7785" s="6">
        <v>3960</v>
      </c>
      <c r="E7785" s="6">
        <v>3925</v>
      </c>
      <c r="F7785" t="str">
        <f t="shared" si="3296"/>
        <v>THU</v>
      </c>
      <c r="G7785" s="14">
        <v>44252</v>
      </c>
      <c r="H7785" s="2">
        <f t="shared" ca="1" si="3284"/>
        <v>1</v>
      </c>
      <c r="I7785" t="str">
        <f t="shared" si="3285"/>
        <v>SPX</v>
      </c>
      <c r="J7785">
        <f t="shared" si="3286"/>
        <v>3870</v>
      </c>
      <c r="K7785">
        <f t="shared" si="3287"/>
        <v>3960</v>
      </c>
      <c r="L7785">
        <f t="shared" si="3288"/>
        <v>3915</v>
      </c>
      <c r="M7785">
        <f t="shared" si="3289"/>
        <v>45</v>
      </c>
      <c r="N7785">
        <f t="shared" si="3290"/>
        <v>90</v>
      </c>
      <c r="O7785">
        <f t="shared" si="3291"/>
        <v>3925</v>
      </c>
      <c r="P7785">
        <f t="shared" si="3292"/>
        <v>0.22222222222222221</v>
      </c>
      <c r="Q7785" t="str">
        <f t="shared" si="3293"/>
        <v>1.4% | 0.89%</v>
      </c>
      <c r="R7785" t="str">
        <f t="shared" si="3294"/>
        <v>BULLISH</v>
      </c>
      <c r="S7785">
        <f t="shared" si="3295"/>
        <v>1</v>
      </c>
    </row>
    <row r="7786" spans="1:19" hidden="1" x14ac:dyDescent="0.25">
      <c r="A7786" s="5" t="str">
        <f t="shared" si="3283"/>
        <v>44252RUT</v>
      </c>
      <c r="B7786" s="6" t="s">
        <v>247</v>
      </c>
      <c r="C7786" s="6">
        <v>2213</v>
      </c>
      <c r="D7786" s="6">
        <v>2307</v>
      </c>
      <c r="E7786" s="6">
        <v>2284</v>
      </c>
      <c r="F7786" t="str">
        <f t="shared" si="3296"/>
        <v>THU</v>
      </c>
      <c r="G7786" s="14">
        <v>44252</v>
      </c>
      <c r="H7786" s="2">
        <f t="shared" ca="1" si="3284"/>
        <v>1</v>
      </c>
      <c r="I7786" t="str">
        <f t="shared" si="3285"/>
        <v>RUT</v>
      </c>
      <c r="J7786">
        <f t="shared" si="3286"/>
        <v>2213</v>
      </c>
      <c r="K7786">
        <f t="shared" si="3287"/>
        <v>2307</v>
      </c>
      <c r="L7786">
        <f t="shared" si="3288"/>
        <v>2260</v>
      </c>
      <c r="M7786">
        <f t="shared" si="3289"/>
        <v>47</v>
      </c>
      <c r="N7786">
        <f t="shared" si="3290"/>
        <v>94</v>
      </c>
      <c r="O7786">
        <f t="shared" si="3291"/>
        <v>2284</v>
      </c>
      <c r="P7786">
        <f t="shared" si="3292"/>
        <v>0.51063829787234039</v>
      </c>
      <c r="Q7786" t="str">
        <f t="shared" si="3293"/>
        <v>3.11% | 1.01%</v>
      </c>
      <c r="R7786" t="str">
        <f t="shared" si="3294"/>
        <v>BULLISH</v>
      </c>
      <c r="S7786">
        <f t="shared" si="3295"/>
        <v>1</v>
      </c>
    </row>
    <row r="7787" spans="1:19" hidden="1" x14ac:dyDescent="0.25">
      <c r="A7787" s="5" t="str">
        <f t="shared" si="3283"/>
        <v>44252COMPQ</v>
      </c>
      <c r="B7787" s="6" t="s">
        <v>8</v>
      </c>
      <c r="C7787" s="6">
        <v>13361</v>
      </c>
      <c r="D7787" s="6">
        <v>14288</v>
      </c>
      <c r="E7787" s="6">
        <v>13597</v>
      </c>
      <c r="F7787" t="str">
        <f t="shared" si="3296"/>
        <v>THU</v>
      </c>
      <c r="G7787" s="14">
        <v>44252</v>
      </c>
      <c r="H7787" s="2">
        <f t="shared" ca="1" si="3284"/>
        <v>1</v>
      </c>
      <c r="I7787" t="str">
        <f t="shared" si="3285"/>
        <v>COMPQ</v>
      </c>
      <c r="J7787">
        <f t="shared" si="3286"/>
        <v>13361</v>
      </c>
      <c r="K7787">
        <f t="shared" si="3287"/>
        <v>14288</v>
      </c>
      <c r="L7787">
        <f t="shared" si="3288"/>
        <v>13824.5</v>
      </c>
      <c r="M7787">
        <f t="shared" si="3289"/>
        <v>463.5</v>
      </c>
      <c r="N7787">
        <f t="shared" si="3290"/>
        <v>927</v>
      </c>
      <c r="O7787">
        <f t="shared" si="3291"/>
        <v>13597</v>
      </c>
      <c r="P7787">
        <f t="shared" si="3292"/>
        <v>-0.49083063646170444</v>
      </c>
      <c r="Q7787" t="str">
        <f t="shared" si="3293"/>
        <v>1.74% | 5.08%</v>
      </c>
      <c r="R7787" t="str">
        <f t="shared" si="3294"/>
        <v>BULLISH</v>
      </c>
      <c r="S7787">
        <f t="shared" si="3295"/>
        <v>1</v>
      </c>
    </row>
    <row r="7788" spans="1:19" hidden="1" x14ac:dyDescent="0.25">
      <c r="A7788" s="5" t="str">
        <f t="shared" si="3283"/>
        <v>44252XLK</v>
      </c>
      <c r="B7788" s="6" t="s">
        <v>10</v>
      </c>
      <c r="C7788" s="6">
        <v>132.01</v>
      </c>
      <c r="D7788" s="6">
        <v>140.19</v>
      </c>
      <c r="E7788" s="6">
        <v>134.71</v>
      </c>
      <c r="F7788" t="str">
        <f t="shared" si="3296"/>
        <v>THU</v>
      </c>
      <c r="G7788" s="14">
        <v>44252</v>
      </c>
      <c r="H7788" s="2">
        <f t="shared" ca="1" si="3284"/>
        <v>1</v>
      </c>
      <c r="I7788" t="str">
        <f t="shared" si="3285"/>
        <v>XLK</v>
      </c>
      <c r="J7788">
        <f t="shared" si="3286"/>
        <v>132.01</v>
      </c>
      <c r="K7788">
        <f t="shared" si="3287"/>
        <v>140.19</v>
      </c>
      <c r="L7788">
        <f t="shared" si="3288"/>
        <v>136.1</v>
      </c>
      <c r="M7788">
        <f t="shared" si="3289"/>
        <v>4.0900000000000034</v>
      </c>
      <c r="N7788">
        <f t="shared" si="3290"/>
        <v>8.1800000000000068</v>
      </c>
      <c r="O7788">
        <f t="shared" si="3291"/>
        <v>134.71</v>
      </c>
      <c r="P7788">
        <f t="shared" si="3292"/>
        <v>-0.33985330073349274</v>
      </c>
      <c r="Q7788" t="str">
        <f t="shared" si="3293"/>
        <v>2% | 4.07%</v>
      </c>
      <c r="R7788" t="str">
        <f t="shared" si="3294"/>
        <v>BULLISH</v>
      </c>
      <c r="S7788">
        <f t="shared" si="3295"/>
        <v>1</v>
      </c>
    </row>
    <row r="7789" spans="1:19" hidden="1" x14ac:dyDescent="0.25">
      <c r="A7789" s="5" t="str">
        <f t="shared" si="3283"/>
        <v>44252XLE</v>
      </c>
      <c r="B7789" s="6" t="s">
        <v>250</v>
      </c>
      <c r="C7789" s="6">
        <v>46.18</v>
      </c>
      <c r="D7789" s="6">
        <v>51.32</v>
      </c>
      <c r="E7789" s="6">
        <v>50.29</v>
      </c>
      <c r="F7789" t="str">
        <f t="shared" si="3296"/>
        <v>THU</v>
      </c>
      <c r="G7789" s="14">
        <v>44252</v>
      </c>
      <c r="H7789" s="2">
        <f t="shared" ca="1" si="3284"/>
        <v>1</v>
      </c>
      <c r="I7789" t="str">
        <f t="shared" si="3285"/>
        <v>XLE</v>
      </c>
      <c r="J7789">
        <f t="shared" si="3286"/>
        <v>46.18</v>
      </c>
      <c r="K7789">
        <f t="shared" si="3287"/>
        <v>51.32</v>
      </c>
      <c r="L7789">
        <f t="shared" si="3288"/>
        <v>48.75</v>
      </c>
      <c r="M7789">
        <f t="shared" si="3289"/>
        <v>2.5700000000000003</v>
      </c>
      <c r="N7789">
        <f t="shared" si="3290"/>
        <v>5.1400000000000006</v>
      </c>
      <c r="O7789">
        <f t="shared" si="3291"/>
        <v>50.29</v>
      </c>
      <c r="P7789">
        <f t="shared" si="3292"/>
        <v>0.59922178988326813</v>
      </c>
      <c r="Q7789" t="str">
        <f t="shared" si="3293"/>
        <v>8.17% | 2.05%</v>
      </c>
      <c r="R7789" t="str">
        <f t="shared" si="3294"/>
        <v>BULLISH</v>
      </c>
      <c r="S7789">
        <f t="shared" si="3295"/>
        <v>1</v>
      </c>
    </row>
    <row r="7790" spans="1:19" hidden="1" x14ac:dyDescent="0.25">
      <c r="A7790" s="5" t="str">
        <f t="shared" si="3283"/>
        <v>44252XLF</v>
      </c>
      <c r="B7790" s="6" t="s">
        <v>258</v>
      </c>
      <c r="C7790" s="6">
        <v>31.9</v>
      </c>
      <c r="D7790" s="6">
        <v>33.93</v>
      </c>
      <c r="E7790" s="6">
        <v>33.549999999999997</v>
      </c>
      <c r="F7790" t="str">
        <f t="shared" si="3296"/>
        <v>THU</v>
      </c>
      <c r="G7790" s="14">
        <v>44252</v>
      </c>
      <c r="H7790" s="2">
        <f t="shared" ca="1" si="3284"/>
        <v>1</v>
      </c>
      <c r="I7790" t="str">
        <f t="shared" si="3285"/>
        <v>XLF</v>
      </c>
      <c r="J7790">
        <f t="shared" si="3286"/>
        <v>31.9</v>
      </c>
      <c r="K7790">
        <f t="shared" si="3287"/>
        <v>33.93</v>
      </c>
      <c r="L7790">
        <f t="shared" si="3288"/>
        <v>32.914999999999999</v>
      </c>
      <c r="M7790">
        <f t="shared" si="3289"/>
        <v>1.0150000000000006</v>
      </c>
      <c r="N7790">
        <f t="shared" si="3290"/>
        <v>2.0300000000000011</v>
      </c>
      <c r="O7790">
        <f t="shared" si="3291"/>
        <v>33.549999999999997</v>
      </c>
      <c r="P7790">
        <f t="shared" si="3292"/>
        <v>0.62561576354679571</v>
      </c>
      <c r="Q7790" t="str">
        <f t="shared" si="3293"/>
        <v>4.92% | 1.13%</v>
      </c>
      <c r="R7790" t="str">
        <f t="shared" si="3294"/>
        <v>BULLISH</v>
      </c>
      <c r="S7790">
        <f t="shared" si="3295"/>
        <v>1</v>
      </c>
    </row>
    <row r="7791" spans="1:19" hidden="1" x14ac:dyDescent="0.25">
      <c r="A7791" s="5" t="str">
        <f t="shared" si="3283"/>
        <v>44252XLU</v>
      </c>
      <c r="B7791" s="6" t="s">
        <v>82</v>
      </c>
      <c r="C7791" s="6">
        <v>59.35</v>
      </c>
      <c r="D7791" s="6">
        <v>61.68</v>
      </c>
      <c r="E7791" s="6">
        <v>60</v>
      </c>
      <c r="F7791" t="str">
        <f t="shared" si="3296"/>
        <v>THU</v>
      </c>
      <c r="G7791" s="14">
        <v>44252</v>
      </c>
      <c r="H7791" s="2">
        <f t="shared" ca="1" si="3284"/>
        <v>1</v>
      </c>
      <c r="I7791" t="str">
        <f t="shared" si="3285"/>
        <v>XLU</v>
      </c>
      <c r="J7791">
        <f t="shared" si="3286"/>
        <v>59.35</v>
      </c>
      <c r="K7791">
        <f t="shared" si="3287"/>
        <v>61.68</v>
      </c>
      <c r="L7791">
        <f t="shared" si="3288"/>
        <v>60.515000000000001</v>
      </c>
      <c r="M7791">
        <f t="shared" si="3289"/>
        <v>1.1649999999999991</v>
      </c>
      <c r="N7791">
        <f t="shared" si="3290"/>
        <v>2.3299999999999983</v>
      </c>
      <c r="O7791">
        <f t="shared" si="3291"/>
        <v>60</v>
      </c>
      <c r="P7791">
        <f t="shared" si="3292"/>
        <v>-0.4420600858369107</v>
      </c>
      <c r="Q7791" t="str">
        <f t="shared" si="3293"/>
        <v>1.08% | 2.8%</v>
      </c>
      <c r="R7791" t="str">
        <f t="shared" si="3294"/>
        <v>BEARISH</v>
      </c>
      <c r="S7791">
        <f t="shared" si="3295"/>
        <v>-1</v>
      </c>
    </row>
    <row r="7792" spans="1:19" hidden="1" x14ac:dyDescent="0.25">
      <c r="A7792" s="5" t="str">
        <f t="shared" si="3283"/>
        <v>44252GDX</v>
      </c>
      <c r="B7792" s="6" t="s">
        <v>254</v>
      </c>
      <c r="C7792" s="6">
        <v>31.98</v>
      </c>
      <c r="D7792" s="6">
        <v>34.97</v>
      </c>
      <c r="E7792" s="6">
        <v>33.700000000000003</v>
      </c>
      <c r="F7792" t="str">
        <f t="shared" si="3296"/>
        <v>THU</v>
      </c>
      <c r="G7792" s="14">
        <v>44252</v>
      </c>
      <c r="H7792" s="2">
        <f t="shared" ca="1" si="3284"/>
        <v>1</v>
      </c>
      <c r="I7792" t="str">
        <f t="shared" si="3285"/>
        <v>GDX</v>
      </c>
      <c r="J7792">
        <f t="shared" si="3286"/>
        <v>31.98</v>
      </c>
      <c r="K7792">
        <f t="shared" si="3287"/>
        <v>34.97</v>
      </c>
      <c r="L7792">
        <f t="shared" si="3288"/>
        <v>33.475000000000001</v>
      </c>
      <c r="M7792">
        <f t="shared" si="3289"/>
        <v>1.4949999999999992</v>
      </c>
      <c r="N7792">
        <f t="shared" si="3290"/>
        <v>2.9899999999999984</v>
      </c>
      <c r="O7792">
        <f t="shared" si="3291"/>
        <v>33.700000000000003</v>
      </c>
      <c r="P7792">
        <f t="shared" si="3292"/>
        <v>0.15050167224080371</v>
      </c>
      <c r="Q7792" t="str">
        <f t="shared" si="3293"/>
        <v>5.1% | 3.77%</v>
      </c>
      <c r="R7792" t="str">
        <f t="shared" si="3294"/>
        <v>BEARISH</v>
      </c>
      <c r="S7792">
        <f t="shared" si="3295"/>
        <v>-1</v>
      </c>
    </row>
    <row r="7793" spans="1:19" hidden="1" x14ac:dyDescent="0.25">
      <c r="A7793" s="5" t="str">
        <f t="shared" si="3283"/>
        <v>44252SSEC</v>
      </c>
      <c r="B7793" s="6" t="s">
        <v>104</v>
      </c>
      <c r="C7793" s="6">
        <v>3485</v>
      </c>
      <c r="D7793" s="6">
        <v>3740</v>
      </c>
      <c r="E7793" s="6">
        <v>3585</v>
      </c>
      <c r="F7793" t="str">
        <f t="shared" si="3296"/>
        <v>THU</v>
      </c>
      <c r="G7793" s="14">
        <v>44252</v>
      </c>
      <c r="H7793" s="2">
        <f t="shared" ca="1" si="3284"/>
        <v>1</v>
      </c>
      <c r="I7793" t="str">
        <f t="shared" si="3285"/>
        <v>SSEC</v>
      </c>
      <c r="J7793">
        <f t="shared" si="3286"/>
        <v>3485</v>
      </c>
      <c r="K7793">
        <f t="shared" si="3287"/>
        <v>3740</v>
      </c>
      <c r="L7793">
        <f t="shared" si="3288"/>
        <v>3612.5</v>
      </c>
      <c r="M7793">
        <f t="shared" si="3289"/>
        <v>127.5</v>
      </c>
      <c r="N7793">
        <f t="shared" si="3290"/>
        <v>255</v>
      </c>
      <c r="O7793">
        <f t="shared" si="3291"/>
        <v>3585</v>
      </c>
      <c r="P7793">
        <f t="shared" si="3292"/>
        <v>-0.21568627450980393</v>
      </c>
      <c r="Q7793" t="str">
        <f t="shared" si="3293"/>
        <v>2.79% | 4.32%</v>
      </c>
      <c r="R7793" t="str">
        <f t="shared" si="3294"/>
        <v>BULLISH</v>
      </c>
      <c r="S7793">
        <f t="shared" si="3295"/>
        <v>1</v>
      </c>
    </row>
    <row r="7794" spans="1:19" hidden="1" x14ac:dyDescent="0.25">
      <c r="A7794" s="5" t="str">
        <f t="shared" si="3283"/>
        <v>44252NIKK</v>
      </c>
      <c r="B7794" s="6" t="s">
        <v>91</v>
      </c>
      <c r="C7794" s="6">
        <v>29371</v>
      </c>
      <c r="D7794" s="6">
        <v>30670</v>
      </c>
      <c r="E7794" s="6">
        <v>30168</v>
      </c>
      <c r="F7794" t="str">
        <f t="shared" si="3296"/>
        <v>THU</v>
      </c>
      <c r="G7794" s="14">
        <v>44252</v>
      </c>
      <c r="H7794" s="2">
        <f t="shared" ca="1" si="3284"/>
        <v>1</v>
      </c>
      <c r="I7794" t="str">
        <f t="shared" si="3285"/>
        <v>NIKK</v>
      </c>
      <c r="J7794">
        <f t="shared" si="3286"/>
        <v>29371</v>
      </c>
      <c r="K7794">
        <f t="shared" si="3287"/>
        <v>30670</v>
      </c>
      <c r="L7794">
        <f t="shared" si="3288"/>
        <v>30020.5</v>
      </c>
      <c r="M7794">
        <f t="shared" si="3289"/>
        <v>649.5</v>
      </c>
      <c r="N7794">
        <f t="shared" si="3290"/>
        <v>1299</v>
      </c>
      <c r="O7794">
        <f t="shared" si="3291"/>
        <v>30168</v>
      </c>
      <c r="P7794">
        <f t="shared" si="3292"/>
        <v>0.22709776751347191</v>
      </c>
      <c r="Q7794" t="str">
        <f t="shared" si="3293"/>
        <v>2.64% | 1.66%</v>
      </c>
      <c r="R7794" t="str">
        <f t="shared" si="3294"/>
        <v>BULLISH</v>
      </c>
      <c r="S7794">
        <f t="shared" si="3295"/>
        <v>1</v>
      </c>
    </row>
    <row r="7795" spans="1:19" hidden="1" x14ac:dyDescent="0.25">
      <c r="A7795" s="5" t="str">
        <f t="shared" si="3283"/>
        <v>44252DAX</v>
      </c>
      <c r="B7795" s="6" t="s">
        <v>98</v>
      </c>
      <c r="C7795" s="6">
        <v>13809</v>
      </c>
      <c r="D7795" s="6">
        <v>14157</v>
      </c>
      <c r="E7795" s="6">
        <v>13976</v>
      </c>
      <c r="F7795" t="str">
        <f t="shared" si="3296"/>
        <v>THU</v>
      </c>
      <c r="G7795" s="14">
        <v>44252</v>
      </c>
      <c r="H7795" s="2">
        <f t="shared" ca="1" si="3284"/>
        <v>1</v>
      </c>
      <c r="I7795" t="str">
        <f t="shared" si="3285"/>
        <v>DAX</v>
      </c>
      <c r="J7795">
        <f t="shared" si="3286"/>
        <v>13809</v>
      </c>
      <c r="K7795">
        <f t="shared" si="3287"/>
        <v>14157</v>
      </c>
      <c r="L7795">
        <f t="shared" si="3288"/>
        <v>13983</v>
      </c>
      <c r="M7795">
        <f t="shared" si="3289"/>
        <v>174</v>
      </c>
      <c r="N7795">
        <f t="shared" si="3290"/>
        <v>348</v>
      </c>
      <c r="O7795">
        <f t="shared" si="3291"/>
        <v>13976</v>
      </c>
      <c r="P7795">
        <f t="shared" si="3292"/>
        <v>-4.0229885057471264E-2</v>
      </c>
      <c r="Q7795" t="str">
        <f t="shared" si="3293"/>
        <v>1.19% | 1.3%</v>
      </c>
      <c r="R7795" t="str">
        <f t="shared" si="3294"/>
        <v>BULLISH</v>
      </c>
      <c r="S7795">
        <f t="shared" si="3295"/>
        <v>1</v>
      </c>
    </row>
    <row r="7796" spans="1:19" hidden="1" x14ac:dyDescent="0.25">
      <c r="A7796" s="5" t="str">
        <f t="shared" si="3283"/>
        <v>44252VIX</v>
      </c>
      <c r="B7796" s="6" t="s">
        <v>96</v>
      </c>
      <c r="C7796" s="6">
        <v>18.84</v>
      </c>
      <c r="D7796" s="6">
        <v>24.08</v>
      </c>
      <c r="E7796" s="6">
        <v>21.34</v>
      </c>
      <c r="F7796" t="str">
        <f t="shared" si="3296"/>
        <v>THU</v>
      </c>
      <c r="G7796" s="14">
        <v>44252</v>
      </c>
      <c r="H7796" s="2">
        <f t="shared" ca="1" si="3284"/>
        <v>1</v>
      </c>
      <c r="I7796" t="str">
        <f t="shared" si="3285"/>
        <v>VIX</v>
      </c>
      <c r="J7796">
        <f t="shared" si="3286"/>
        <v>18.84</v>
      </c>
      <c r="K7796">
        <f t="shared" si="3287"/>
        <v>24.08</v>
      </c>
      <c r="L7796">
        <f t="shared" si="3288"/>
        <v>21.46</v>
      </c>
      <c r="M7796">
        <f t="shared" si="3289"/>
        <v>2.6199999999999872</v>
      </c>
      <c r="N7796">
        <f t="shared" si="3290"/>
        <v>5.2399999999999984</v>
      </c>
      <c r="O7796">
        <f t="shared" si="3291"/>
        <v>21.34</v>
      </c>
      <c r="P7796">
        <f t="shared" si="3292"/>
        <v>-4.5801526717557856E-2</v>
      </c>
      <c r="Q7796" t="str">
        <f t="shared" si="3293"/>
        <v>11.72% | 12.84%</v>
      </c>
      <c r="R7796" t="str">
        <f t="shared" si="3294"/>
        <v>BEARISH</v>
      </c>
      <c r="S7796">
        <f t="shared" si="3295"/>
        <v>-1</v>
      </c>
    </row>
    <row r="7797" spans="1:19" hidden="1" x14ac:dyDescent="0.25">
      <c r="A7797" s="5" t="str">
        <f t="shared" si="3283"/>
        <v>44252USD</v>
      </c>
      <c r="B7797" s="6" t="s">
        <v>94</v>
      </c>
      <c r="C7797" s="6">
        <v>89.68</v>
      </c>
      <c r="D7797" s="6">
        <v>90.83</v>
      </c>
      <c r="E7797" s="6">
        <v>90.17</v>
      </c>
      <c r="F7797" t="str">
        <f t="shared" si="3296"/>
        <v>THU</v>
      </c>
      <c r="G7797" s="14">
        <v>44252</v>
      </c>
      <c r="H7797" s="2">
        <f t="shared" ca="1" si="3284"/>
        <v>1</v>
      </c>
      <c r="I7797" t="str">
        <f t="shared" si="3285"/>
        <v>USD</v>
      </c>
      <c r="J7797">
        <f t="shared" si="3286"/>
        <v>89.68</v>
      </c>
      <c r="K7797">
        <f t="shared" si="3287"/>
        <v>90.83</v>
      </c>
      <c r="L7797">
        <f t="shared" si="3288"/>
        <v>90.254999999999995</v>
      </c>
      <c r="M7797">
        <f t="shared" si="3289"/>
        <v>0.57499999999999574</v>
      </c>
      <c r="N7797">
        <f t="shared" si="3290"/>
        <v>1.1499999999999915</v>
      </c>
      <c r="O7797">
        <f t="shared" si="3291"/>
        <v>90.17</v>
      </c>
      <c r="P7797">
        <f t="shared" si="3292"/>
        <v>-0.14782608695651195</v>
      </c>
      <c r="Q7797" t="str">
        <f t="shared" si="3293"/>
        <v>0.54% | 0.73%</v>
      </c>
      <c r="R7797" t="str">
        <f t="shared" si="3294"/>
        <v>BEARISH</v>
      </c>
      <c r="S7797">
        <f t="shared" si="3295"/>
        <v>-1</v>
      </c>
    </row>
    <row r="7798" spans="1:19" hidden="1" x14ac:dyDescent="0.25">
      <c r="A7798" s="5" t="str">
        <f t="shared" si="3283"/>
        <v>44252EUR/USD</v>
      </c>
      <c r="B7798" s="6" t="s">
        <v>99</v>
      </c>
      <c r="C7798" s="6">
        <v>1.206</v>
      </c>
      <c r="D7798" s="6">
        <v>1.224</v>
      </c>
      <c r="E7798" s="6">
        <v>1.216</v>
      </c>
      <c r="F7798" t="str">
        <f t="shared" si="3296"/>
        <v>THU</v>
      </c>
      <c r="G7798" s="14">
        <v>44252</v>
      </c>
      <c r="H7798" s="2">
        <f t="shared" ca="1" si="3284"/>
        <v>1</v>
      </c>
      <c r="I7798" t="str">
        <f t="shared" si="3285"/>
        <v>EUR/USD</v>
      </c>
      <c r="J7798">
        <f t="shared" si="3286"/>
        <v>1.206</v>
      </c>
      <c r="K7798">
        <f t="shared" si="3287"/>
        <v>1.224</v>
      </c>
      <c r="L7798">
        <f t="shared" si="3288"/>
        <v>1.2149999999999999</v>
      </c>
      <c r="M7798">
        <f t="shared" si="3289"/>
        <v>9.000000000000008E-3</v>
      </c>
      <c r="N7798">
        <f t="shared" si="3290"/>
        <v>1.8000000000000016E-2</v>
      </c>
      <c r="O7798">
        <f t="shared" si="3291"/>
        <v>1.216</v>
      </c>
      <c r="P7798">
        <f t="shared" si="3292"/>
        <v>0.11111111111112344</v>
      </c>
      <c r="Q7798" t="str">
        <f t="shared" si="3293"/>
        <v>0.82% | 0.66%</v>
      </c>
      <c r="R7798" t="str">
        <f t="shared" si="3294"/>
        <v>BULLISH</v>
      </c>
      <c r="S7798">
        <f t="shared" si="3295"/>
        <v>1</v>
      </c>
    </row>
    <row r="7799" spans="1:19" hidden="1" x14ac:dyDescent="0.25">
      <c r="A7799" s="5" t="str">
        <f t="shared" si="3283"/>
        <v>44252USD/JPY</v>
      </c>
      <c r="B7799" s="6" t="s">
        <v>56</v>
      </c>
      <c r="C7799" s="6">
        <v>104.64</v>
      </c>
      <c r="D7799" s="6">
        <v>106.49</v>
      </c>
      <c r="E7799" s="6">
        <v>105.88</v>
      </c>
      <c r="F7799" t="str">
        <f t="shared" si="3296"/>
        <v>THU</v>
      </c>
      <c r="G7799" s="14">
        <v>44252</v>
      </c>
      <c r="H7799" s="2">
        <f t="shared" ca="1" si="3284"/>
        <v>1</v>
      </c>
      <c r="I7799" t="str">
        <f t="shared" si="3285"/>
        <v>USD/JPY</v>
      </c>
      <c r="J7799">
        <f t="shared" si="3286"/>
        <v>104.64</v>
      </c>
      <c r="K7799">
        <f t="shared" si="3287"/>
        <v>106.49</v>
      </c>
      <c r="L7799">
        <f t="shared" si="3288"/>
        <v>105.565</v>
      </c>
      <c r="M7799">
        <f t="shared" si="3289"/>
        <v>0.92499999999999716</v>
      </c>
      <c r="N7799">
        <f t="shared" si="3290"/>
        <v>1.8499999999999943</v>
      </c>
      <c r="O7799">
        <f t="shared" si="3291"/>
        <v>105.88</v>
      </c>
      <c r="P7799">
        <f t="shared" si="3292"/>
        <v>0.34054054054053912</v>
      </c>
      <c r="Q7799" t="str">
        <f t="shared" si="3293"/>
        <v>1.17% | 0.58%</v>
      </c>
      <c r="R7799" t="str">
        <f t="shared" si="3294"/>
        <v>BULLISH</v>
      </c>
      <c r="S7799">
        <f t="shared" si="3295"/>
        <v>1</v>
      </c>
    </row>
    <row r="7800" spans="1:19" hidden="1" x14ac:dyDescent="0.25">
      <c r="A7800" s="5" t="str">
        <f t="shared" si="3283"/>
        <v>44252GBP/USD</v>
      </c>
      <c r="B7800" s="6" t="s">
        <v>102</v>
      </c>
      <c r="C7800" s="6">
        <v>1.383</v>
      </c>
      <c r="D7800" s="6">
        <v>1.421</v>
      </c>
      <c r="E7800" s="6">
        <v>1.4139999999999999</v>
      </c>
      <c r="F7800" t="str">
        <f t="shared" si="3296"/>
        <v>THU</v>
      </c>
      <c r="G7800" s="14">
        <v>44252</v>
      </c>
      <c r="H7800" s="2">
        <f t="shared" ca="1" si="3284"/>
        <v>1</v>
      </c>
      <c r="I7800" t="str">
        <f t="shared" si="3285"/>
        <v>GBP/USD</v>
      </c>
      <c r="J7800">
        <f t="shared" si="3286"/>
        <v>1.383</v>
      </c>
      <c r="K7800">
        <f t="shared" si="3287"/>
        <v>1.421</v>
      </c>
      <c r="L7800">
        <f t="shared" si="3288"/>
        <v>1.4020000000000001</v>
      </c>
      <c r="M7800">
        <f t="shared" si="3289"/>
        <v>1.9000000000000017E-2</v>
      </c>
      <c r="N7800">
        <f t="shared" si="3290"/>
        <v>3.8000000000000034E-2</v>
      </c>
      <c r="O7800">
        <f t="shared" si="3291"/>
        <v>1.4139999999999999</v>
      </c>
      <c r="P7800">
        <f t="shared" si="3292"/>
        <v>0.63157894736840936</v>
      </c>
      <c r="Q7800" t="str">
        <f t="shared" si="3293"/>
        <v>2.19% | 0.5%</v>
      </c>
      <c r="R7800" t="str">
        <f t="shared" si="3294"/>
        <v>BULLISH</v>
      </c>
      <c r="S7800">
        <f t="shared" si="3295"/>
        <v>1</v>
      </c>
    </row>
    <row r="7801" spans="1:19" hidden="1" x14ac:dyDescent="0.25">
      <c r="A7801" s="5" t="str">
        <f t="shared" si="3283"/>
        <v>44252CAD/USD</v>
      </c>
      <c r="B7801" s="6" t="s">
        <v>244</v>
      </c>
      <c r="C7801" s="6">
        <v>0.79</v>
      </c>
      <c r="D7801" s="6">
        <v>0.8</v>
      </c>
      <c r="E7801" s="6">
        <v>0.79</v>
      </c>
      <c r="F7801" t="str">
        <f t="shared" si="3296"/>
        <v>THU</v>
      </c>
      <c r="G7801" s="14">
        <v>44252</v>
      </c>
      <c r="H7801" s="2">
        <f t="shared" ca="1" si="3284"/>
        <v>1</v>
      </c>
      <c r="I7801" t="str">
        <f t="shared" si="3285"/>
        <v>CAD/USD</v>
      </c>
      <c r="J7801">
        <f t="shared" si="3286"/>
        <v>0.79</v>
      </c>
      <c r="K7801">
        <f t="shared" si="3287"/>
        <v>0.8</v>
      </c>
      <c r="L7801">
        <f t="shared" si="3288"/>
        <v>0.79500000000000004</v>
      </c>
      <c r="M7801">
        <f t="shared" si="3289"/>
        <v>5.0000000000000044E-3</v>
      </c>
      <c r="N7801">
        <f t="shared" si="3290"/>
        <v>1.0000000000000009E-2</v>
      </c>
      <c r="O7801">
        <f t="shared" si="3291"/>
        <v>0.79</v>
      </c>
      <c r="P7801">
        <f t="shared" si="3292"/>
        <v>-1</v>
      </c>
      <c r="Q7801" t="str">
        <f t="shared" si="3293"/>
        <v>0% | 1.27%</v>
      </c>
      <c r="R7801" t="str">
        <f t="shared" si="3294"/>
        <v>BULLISH</v>
      </c>
      <c r="S7801">
        <f t="shared" si="3295"/>
        <v>1</v>
      </c>
    </row>
    <row r="7802" spans="1:19" hidden="1" x14ac:dyDescent="0.25">
      <c r="A7802" s="5" t="str">
        <f t="shared" si="3283"/>
        <v>44252USD/CHF</v>
      </c>
      <c r="B7802" s="6" t="s">
        <v>76</v>
      </c>
      <c r="C7802" s="6">
        <v>0.88</v>
      </c>
      <c r="D7802" s="6">
        <v>0.91</v>
      </c>
      <c r="E7802" s="6">
        <v>0.9</v>
      </c>
      <c r="F7802" t="str">
        <f t="shared" si="3296"/>
        <v>THU</v>
      </c>
      <c r="G7802" s="14">
        <v>44252</v>
      </c>
      <c r="H7802" s="2">
        <f t="shared" ca="1" si="3284"/>
        <v>1</v>
      </c>
      <c r="I7802" t="str">
        <f t="shared" si="3285"/>
        <v>USD/CHF</v>
      </c>
      <c r="J7802">
        <f t="shared" si="3286"/>
        <v>0.88</v>
      </c>
      <c r="K7802">
        <f t="shared" si="3287"/>
        <v>0.91</v>
      </c>
      <c r="L7802">
        <f t="shared" si="3288"/>
        <v>0.89500000000000002</v>
      </c>
      <c r="M7802">
        <f t="shared" si="3289"/>
        <v>1.5000000000000013E-2</v>
      </c>
      <c r="N7802">
        <f t="shared" si="3290"/>
        <v>3.0000000000000027E-2</v>
      </c>
      <c r="O7802">
        <f t="shared" si="3291"/>
        <v>0.9</v>
      </c>
      <c r="P7802">
        <f t="shared" si="3292"/>
        <v>0.33333333333333331</v>
      </c>
      <c r="Q7802" t="str">
        <f t="shared" si="3293"/>
        <v>2.22% | 1.11%</v>
      </c>
      <c r="R7802" t="str">
        <f t="shared" si="3294"/>
        <v>BEARISH</v>
      </c>
      <c r="S7802">
        <f t="shared" si="3295"/>
        <v>-1</v>
      </c>
    </row>
    <row r="7803" spans="1:19" hidden="1" x14ac:dyDescent="0.25">
      <c r="A7803" s="5" t="str">
        <f t="shared" si="3283"/>
        <v>44252WTIC</v>
      </c>
      <c r="B7803" s="6" t="s">
        <v>158</v>
      </c>
      <c r="C7803" s="6">
        <v>57.92</v>
      </c>
      <c r="D7803" s="6">
        <v>63.65</v>
      </c>
      <c r="E7803" s="6">
        <v>63.22</v>
      </c>
      <c r="F7803" t="str">
        <f t="shared" si="3296"/>
        <v>THU</v>
      </c>
      <c r="G7803" s="14">
        <v>44252</v>
      </c>
      <c r="H7803" s="2">
        <f t="shared" ca="1" si="3284"/>
        <v>1</v>
      </c>
      <c r="I7803" t="str">
        <f t="shared" si="3285"/>
        <v>WTIC</v>
      </c>
      <c r="J7803">
        <f t="shared" si="3286"/>
        <v>57.92</v>
      </c>
      <c r="K7803">
        <f t="shared" si="3287"/>
        <v>63.65</v>
      </c>
      <c r="L7803">
        <f t="shared" si="3288"/>
        <v>60.784999999999997</v>
      </c>
      <c r="M7803">
        <f t="shared" si="3289"/>
        <v>2.8649999999999984</v>
      </c>
      <c r="N7803">
        <f t="shared" si="3290"/>
        <v>5.7299999999999969</v>
      </c>
      <c r="O7803">
        <f t="shared" si="3291"/>
        <v>63.22</v>
      </c>
      <c r="P7803">
        <f t="shared" si="3292"/>
        <v>0.8499127399650972</v>
      </c>
      <c r="Q7803" t="str">
        <f t="shared" si="3293"/>
        <v>8.38% | 0.68%</v>
      </c>
      <c r="R7803" t="str">
        <f t="shared" si="3294"/>
        <v>BULLISH</v>
      </c>
      <c r="S7803">
        <f t="shared" si="3295"/>
        <v>1</v>
      </c>
    </row>
    <row r="7804" spans="1:19" hidden="1" x14ac:dyDescent="0.25">
      <c r="A7804" s="5" t="str">
        <f t="shared" si="3283"/>
        <v>44252NATGAS</v>
      </c>
      <c r="B7804" s="6" t="s">
        <v>89</v>
      </c>
      <c r="C7804" s="6">
        <v>2.7</v>
      </c>
      <c r="D7804" s="6">
        <v>3.24</v>
      </c>
      <c r="E7804" s="6">
        <v>2.8</v>
      </c>
      <c r="F7804" t="str">
        <f t="shared" si="3296"/>
        <v>THU</v>
      </c>
      <c r="G7804" s="14">
        <v>44252</v>
      </c>
      <c r="H7804" s="2">
        <f t="shared" ca="1" si="3284"/>
        <v>1</v>
      </c>
      <c r="I7804" t="str">
        <f t="shared" si="3285"/>
        <v>NATGAS</v>
      </c>
      <c r="J7804">
        <f t="shared" si="3286"/>
        <v>2.7</v>
      </c>
      <c r="K7804">
        <f t="shared" si="3287"/>
        <v>3.24</v>
      </c>
      <c r="L7804">
        <f t="shared" si="3288"/>
        <v>2.97</v>
      </c>
      <c r="M7804">
        <f t="shared" si="3289"/>
        <v>0.27</v>
      </c>
      <c r="N7804">
        <f t="shared" si="3290"/>
        <v>0.54</v>
      </c>
      <c r="O7804">
        <f t="shared" si="3291"/>
        <v>2.8</v>
      </c>
      <c r="P7804">
        <f t="shared" si="3292"/>
        <v>-0.62962962962963098</v>
      </c>
      <c r="Q7804" t="str">
        <f t="shared" si="3293"/>
        <v>3.57% | 15.71%</v>
      </c>
      <c r="R7804" t="str">
        <f t="shared" si="3294"/>
        <v>BULLISH</v>
      </c>
      <c r="S7804">
        <f t="shared" si="3295"/>
        <v>1</v>
      </c>
    </row>
    <row r="7805" spans="1:19" hidden="1" x14ac:dyDescent="0.25">
      <c r="A7805" s="5" t="str">
        <f t="shared" si="3283"/>
        <v>44252GOLD</v>
      </c>
      <c r="B7805" s="6" t="s">
        <v>85</v>
      </c>
      <c r="C7805" s="6">
        <v>1755</v>
      </c>
      <c r="D7805" s="6">
        <v>1822</v>
      </c>
      <c r="E7805" s="6">
        <v>1797</v>
      </c>
      <c r="F7805" t="str">
        <f t="shared" si="3296"/>
        <v>THU</v>
      </c>
      <c r="G7805" s="14">
        <v>44252</v>
      </c>
      <c r="H7805" s="2">
        <f t="shared" ca="1" si="3284"/>
        <v>1</v>
      </c>
      <c r="I7805" t="str">
        <f t="shared" si="3285"/>
        <v>GOLD</v>
      </c>
      <c r="J7805">
        <f t="shared" si="3286"/>
        <v>1755</v>
      </c>
      <c r="K7805">
        <f t="shared" si="3287"/>
        <v>1822</v>
      </c>
      <c r="L7805">
        <f t="shared" si="3288"/>
        <v>1788.5</v>
      </c>
      <c r="M7805">
        <f t="shared" si="3289"/>
        <v>33.5</v>
      </c>
      <c r="N7805">
        <f t="shared" si="3290"/>
        <v>67</v>
      </c>
      <c r="O7805">
        <f t="shared" si="3291"/>
        <v>1797</v>
      </c>
      <c r="P7805">
        <f t="shared" si="3292"/>
        <v>0.2537313432835821</v>
      </c>
      <c r="Q7805" t="str">
        <f t="shared" si="3293"/>
        <v>2.34% | 1.39%</v>
      </c>
      <c r="R7805" t="str">
        <f t="shared" si="3294"/>
        <v>BEARISH</v>
      </c>
      <c r="S7805">
        <f t="shared" si="3295"/>
        <v>-1</v>
      </c>
    </row>
    <row r="7806" spans="1:19" hidden="1" x14ac:dyDescent="0.25">
      <c r="A7806" s="5" t="str">
        <f t="shared" si="3283"/>
        <v>44252COPPER</v>
      </c>
      <c r="B7806" s="6" t="s">
        <v>100</v>
      </c>
      <c r="C7806" s="6">
        <v>3.97</v>
      </c>
      <c r="D7806" s="6">
        <v>4.38</v>
      </c>
      <c r="E7806" s="6">
        <v>4.3</v>
      </c>
      <c r="F7806" t="str">
        <f t="shared" si="3296"/>
        <v>THU</v>
      </c>
      <c r="G7806" s="14">
        <v>44252</v>
      </c>
      <c r="H7806" s="2">
        <f t="shared" ca="1" si="3284"/>
        <v>1</v>
      </c>
      <c r="I7806" t="str">
        <f t="shared" si="3285"/>
        <v>COPPER</v>
      </c>
      <c r="J7806">
        <f t="shared" si="3286"/>
        <v>3.97</v>
      </c>
      <c r="K7806">
        <f t="shared" si="3287"/>
        <v>4.38</v>
      </c>
      <c r="L7806">
        <f t="shared" si="3288"/>
        <v>4.1749999999999998</v>
      </c>
      <c r="M7806">
        <f t="shared" si="3289"/>
        <v>0.20499999999999985</v>
      </c>
      <c r="N7806">
        <f t="shared" si="3290"/>
        <v>0.4099999999999997</v>
      </c>
      <c r="O7806">
        <f t="shared" si="3291"/>
        <v>4.3</v>
      </c>
      <c r="P7806">
        <f t="shared" si="3292"/>
        <v>0.60975609756097604</v>
      </c>
      <c r="Q7806" t="str">
        <f t="shared" si="3293"/>
        <v>7.67% | 1.86%</v>
      </c>
      <c r="R7806" t="str">
        <f t="shared" si="3294"/>
        <v>BULLISH</v>
      </c>
      <c r="S7806">
        <f t="shared" si="3295"/>
        <v>1</v>
      </c>
    </row>
    <row r="7807" spans="1:19" hidden="1" x14ac:dyDescent="0.25">
      <c r="A7807" s="5" t="str">
        <f t="shared" si="3283"/>
        <v>44252SILVER</v>
      </c>
      <c r="B7807" s="6" t="s">
        <v>195</v>
      </c>
      <c r="C7807" s="6">
        <v>26.8</v>
      </c>
      <c r="D7807" s="6">
        <v>28.31</v>
      </c>
      <c r="E7807" s="6">
        <v>27.86</v>
      </c>
      <c r="F7807" t="str">
        <f t="shared" si="3296"/>
        <v>THU</v>
      </c>
      <c r="G7807" s="14">
        <v>44252</v>
      </c>
      <c r="H7807" s="2">
        <f t="shared" ca="1" si="3284"/>
        <v>1</v>
      </c>
      <c r="I7807" t="str">
        <f t="shared" si="3285"/>
        <v>SILVER</v>
      </c>
      <c r="J7807">
        <f t="shared" si="3286"/>
        <v>26.8</v>
      </c>
      <c r="K7807">
        <f t="shared" si="3287"/>
        <v>28.31</v>
      </c>
      <c r="L7807">
        <f t="shared" si="3288"/>
        <v>27.555</v>
      </c>
      <c r="M7807">
        <f t="shared" si="3289"/>
        <v>0.75499999999999901</v>
      </c>
      <c r="N7807">
        <f t="shared" si="3290"/>
        <v>1.509999999999998</v>
      </c>
      <c r="O7807">
        <f t="shared" si="3291"/>
        <v>27.86</v>
      </c>
      <c r="P7807">
        <f t="shared" si="3292"/>
        <v>0.40397350993377501</v>
      </c>
      <c r="Q7807" t="str">
        <f t="shared" si="3293"/>
        <v>3.8% | 1.62%</v>
      </c>
      <c r="R7807" t="str">
        <f t="shared" si="3294"/>
        <v>BULLISH</v>
      </c>
      <c r="S7807">
        <f t="shared" si="3295"/>
        <v>1</v>
      </c>
    </row>
    <row r="7808" spans="1:19" hidden="1" x14ac:dyDescent="0.25">
      <c r="A7808" s="5" t="str">
        <f t="shared" si="3283"/>
        <v>44252MSFT</v>
      </c>
      <c r="B7808" s="6" t="s">
        <v>27</v>
      </c>
      <c r="C7808" s="6">
        <v>231</v>
      </c>
      <c r="D7808" s="6">
        <v>250</v>
      </c>
      <c r="E7808" s="6">
        <v>234</v>
      </c>
      <c r="F7808" t="str">
        <f t="shared" si="3296"/>
        <v>THU</v>
      </c>
      <c r="G7808" s="14">
        <v>44252</v>
      </c>
      <c r="H7808" s="2">
        <f t="shared" ca="1" si="3284"/>
        <v>1</v>
      </c>
      <c r="I7808" t="str">
        <f t="shared" si="3285"/>
        <v>MSFT</v>
      </c>
      <c r="J7808">
        <f t="shared" si="3286"/>
        <v>231</v>
      </c>
      <c r="K7808">
        <f t="shared" si="3287"/>
        <v>250</v>
      </c>
      <c r="L7808">
        <f t="shared" si="3288"/>
        <v>240.5</v>
      </c>
      <c r="M7808">
        <f t="shared" si="3289"/>
        <v>9.5</v>
      </c>
      <c r="N7808">
        <f t="shared" si="3290"/>
        <v>19</v>
      </c>
      <c r="O7808">
        <f t="shared" si="3291"/>
        <v>234</v>
      </c>
      <c r="P7808">
        <f t="shared" si="3292"/>
        <v>-0.68421052631578949</v>
      </c>
      <c r="Q7808" t="str">
        <f t="shared" si="3293"/>
        <v>1.28% | 6.84%</v>
      </c>
      <c r="R7808" t="str">
        <f t="shared" si="3294"/>
        <v>BULLISH</v>
      </c>
      <c r="S7808">
        <f t="shared" si="3295"/>
        <v>1</v>
      </c>
    </row>
    <row r="7809" spans="1:19" hidden="1" x14ac:dyDescent="0.25">
      <c r="A7809" s="5" t="str">
        <f t="shared" si="3283"/>
        <v>44252AAPL</v>
      </c>
      <c r="B7809" s="6" t="s">
        <v>68</v>
      </c>
      <c r="C7809" s="6">
        <v>121</v>
      </c>
      <c r="D7809" s="6">
        <v>132</v>
      </c>
      <c r="E7809" s="6">
        <v>125</v>
      </c>
      <c r="F7809" t="str">
        <f t="shared" si="3296"/>
        <v>THU</v>
      </c>
      <c r="G7809" s="14">
        <v>44252</v>
      </c>
      <c r="H7809" s="2">
        <f t="shared" ca="1" si="3284"/>
        <v>1</v>
      </c>
      <c r="I7809" t="str">
        <f t="shared" si="3285"/>
        <v>AAPL</v>
      </c>
      <c r="J7809">
        <f t="shared" si="3286"/>
        <v>121</v>
      </c>
      <c r="K7809">
        <f t="shared" si="3287"/>
        <v>132</v>
      </c>
      <c r="L7809">
        <f t="shared" si="3288"/>
        <v>126.5</v>
      </c>
      <c r="M7809">
        <f t="shared" si="3289"/>
        <v>5.5</v>
      </c>
      <c r="N7809">
        <f t="shared" si="3290"/>
        <v>11</v>
      </c>
      <c r="O7809">
        <f t="shared" si="3291"/>
        <v>125</v>
      </c>
      <c r="P7809">
        <f t="shared" si="3292"/>
        <v>-0.27272727272727271</v>
      </c>
      <c r="Q7809" t="str">
        <f t="shared" si="3293"/>
        <v>3.2% | 5.6%</v>
      </c>
      <c r="R7809" t="str">
        <f t="shared" si="3294"/>
        <v>BEARISH</v>
      </c>
      <c r="S7809">
        <f t="shared" si="3295"/>
        <v>-1</v>
      </c>
    </row>
    <row r="7810" spans="1:19" hidden="1" x14ac:dyDescent="0.25">
      <c r="A7810" s="5" t="str">
        <f t="shared" si="3283"/>
        <v>44252AMZN</v>
      </c>
      <c r="B7810" s="6" t="s">
        <v>73</v>
      </c>
      <c r="C7810" s="6">
        <v>3108</v>
      </c>
      <c r="D7810" s="6">
        <v>3262</v>
      </c>
      <c r="E7810" s="6">
        <v>3159</v>
      </c>
      <c r="F7810" t="str">
        <f t="shared" si="3296"/>
        <v>THU</v>
      </c>
      <c r="G7810" s="14">
        <v>44252</v>
      </c>
      <c r="H7810" s="2">
        <f t="shared" ca="1" si="3284"/>
        <v>1</v>
      </c>
      <c r="I7810" t="str">
        <f t="shared" si="3285"/>
        <v>AMZN</v>
      </c>
      <c r="J7810">
        <f t="shared" si="3286"/>
        <v>3108</v>
      </c>
      <c r="K7810">
        <f t="shared" si="3287"/>
        <v>3262</v>
      </c>
      <c r="L7810">
        <f t="shared" si="3288"/>
        <v>3185</v>
      </c>
      <c r="M7810">
        <f t="shared" si="3289"/>
        <v>77</v>
      </c>
      <c r="N7810">
        <f t="shared" si="3290"/>
        <v>154</v>
      </c>
      <c r="O7810">
        <f t="shared" si="3291"/>
        <v>3159</v>
      </c>
      <c r="P7810">
        <f t="shared" si="3292"/>
        <v>-0.33766233766233766</v>
      </c>
      <c r="Q7810" t="str">
        <f t="shared" si="3293"/>
        <v>1.61% | 3.26%</v>
      </c>
      <c r="R7810" t="str">
        <f t="shared" si="3294"/>
        <v>BEARISH</v>
      </c>
      <c r="S7810">
        <f t="shared" si="3295"/>
        <v>-1</v>
      </c>
    </row>
    <row r="7811" spans="1:19" hidden="1" x14ac:dyDescent="0.25">
      <c r="A7811" s="5" t="str">
        <f t="shared" si="3283"/>
        <v>44252FB</v>
      </c>
      <c r="B7811" s="6" t="s">
        <v>157</v>
      </c>
      <c r="C7811" s="6">
        <v>255</v>
      </c>
      <c r="D7811" s="6">
        <v>276</v>
      </c>
      <c r="E7811" s="6">
        <v>264</v>
      </c>
      <c r="F7811" t="str">
        <f t="shared" si="3296"/>
        <v>THU</v>
      </c>
      <c r="G7811" s="14">
        <v>44252</v>
      </c>
      <c r="H7811" s="2">
        <f t="shared" ca="1" si="3284"/>
        <v>1</v>
      </c>
      <c r="I7811" t="str">
        <f t="shared" si="3285"/>
        <v>FB</v>
      </c>
      <c r="J7811">
        <f t="shared" si="3286"/>
        <v>255</v>
      </c>
      <c r="K7811">
        <f t="shared" si="3287"/>
        <v>276</v>
      </c>
      <c r="L7811">
        <f t="shared" si="3288"/>
        <v>265.5</v>
      </c>
      <c r="M7811">
        <f t="shared" si="3289"/>
        <v>10.5</v>
      </c>
      <c r="N7811">
        <f t="shared" si="3290"/>
        <v>21</v>
      </c>
      <c r="O7811">
        <f t="shared" si="3291"/>
        <v>264</v>
      </c>
      <c r="P7811">
        <f t="shared" si="3292"/>
        <v>-0.14285714285714285</v>
      </c>
      <c r="Q7811" t="str">
        <f t="shared" si="3293"/>
        <v>3.41% | 4.55%</v>
      </c>
      <c r="R7811" t="str">
        <f t="shared" si="3294"/>
        <v>NEUTRAL</v>
      </c>
      <c r="S7811">
        <f t="shared" si="3295"/>
        <v>0</v>
      </c>
    </row>
    <row r="7812" spans="1:19" hidden="1" x14ac:dyDescent="0.25">
      <c r="A7812" s="5" t="str">
        <f t="shared" si="3283"/>
        <v>44252GOOGL</v>
      </c>
      <c r="B7812" s="6" t="s">
        <v>31</v>
      </c>
      <c r="C7812" s="6">
        <v>2041</v>
      </c>
      <c r="D7812" s="6">
        <v>2134</v>
      </c>
      <c r="E7812" s="6">
        <v>2083</v>
      </c>
      <c r="F7812" t="str">
        <f t="shared" si="3296"/>
        <v>THU</v>
      </c>
      <c r="G7812" s="14">
        <v>44252</v>
      </c>
      <c r="H7812" s="2">
        <f t="shared" ca="1" si="3284"/>
        <v>1</v>
      </c>
      <c r="I7812" t="str">
        <f t="shared" si="3285"/>
        <v>GOOGL</v>
      </c>
      <c r="J7812">
        <f t="shared" si="3286"/>
        <v>2041</v>
      </c>
      <c r="K7812">
        <f t="shared" si="3287"/>
        <v>2134</v>
      </c>
      <c r="L7812">
        <f t="shared" si="3288"/>
        <v>2087.5</v>
      </c>
      <c r="M7812">
        <f t="shared" si="3289"/>
        <v>46.5</v>
      </c>
      <c r="N7812">
        <f t="shared" si="3290"/>
        <v>93</v>
      </c>
      <c r="O7812">
        <f t="shared" si="3291"/>
        <v>2083</v>
      </c>
      <c r="P7812">
        <f t="shared" si="3292"/>
        <v>-9.6774193548387094E-2</v>
      </c>
      <c r="Q7812" t="str">
        <f t="shared" si="3293"/>
        <v>2.02% | 2.45%</v>
      </c>
      <c r="R7812" t="str">
        <f t="shared" si="3294"/>
        <v>BULLISH</v>
      </c>
      <c r="S7812">
        <f t="shared" si="3295"/>
        <v>1</v>
      </c>
    </row>
    <row r="7813" spans="1:19" hidden="1" x14ac:dyDescent="0.25">
      <c r="A7813" s="5" t="str">
        <f t="shared" si="3283"/>
        <v>44252NFLX</v>
      </c>
      <c r="B7813" s="6" t="s">
        <v>32</v>
      </c>
      <c r="C7813" s="6">
        <v>531</v>
      </c>
      <c r="D7813" s="6">
        <v>568</v>
      </c>
      <c r="E7813" s="6">
        <v>553</v>
      </c>
      <c r="F7813" t="str">
        <f t="shared" si="3296"/>
        <v>THU</v>
      </c>
      <c r="G7813" s="14">
        <v>44252</v>
      </c>
      <c r="H7813" s="2">
        <f t="shared" ca="1" si="3284"/>
        <v>1</v>
      </c>
      <c r="I7813" t="str">
        <f t="shared" si="3285"/>
        <v>NFLX</v>
      </c>
      <c r="J7813">
        <f t="shared" si="3286"/>
        <v>531</v>
      </c>
      <c r="K7813">
        <f t="shared" si="3287"/>
        <v>568</v>
      </c>
      <c r="L7813">
        <f t="shared" si="3288"/>
        <v>549.5</v>
      </c>
      <c r="M7813">
        <f t="shared" si="3289"/>
        <v>18.5</v>
      </c>
      <c r="N7813">
        <f t="shared" si="3290"/>
        <v>37</v>
      </c>
      <c r="O7813">
        <f t="shared" si="3291"/>
        <v>553</v>
      </c>
      <c r="P7813">
        <f t="shared" si="3292"/>
        <v>0.1891891891891892</v>
      </c>
      <c r="Q7813" t="str">
        <f t="shared" si="3293"/>
        <v>3.98% | 2.71%</v>
      </c>
      <c r="R7813" t="str">
        <f t="shared" si="3294"/>
        <v>BULLISH</v>
      </c>
      <c r="S7813">
        <f t="shared" si="3295"/>
        <v>1</v>
      </c>
    </row>
    <row r="7814" spans="1:19" x14ac:dyDescent="0.25">
      <c r="A7814" s="5" t="str">
        <f t="shared" si="3283"/>
        <v>44252TSLA</v>
      </c>
      <c r="B7814" s="6" t="s">
        <v>83</v>
      </c>
      <c r="C7814" s="6">
        <v>686</v>
      </c>
      <c r="D7814" s="6">
        <v>798</v>
      </c>
      <c r="E7814" s="6">
        <v>742</v>
      </c>
      <c r="F7814" t="str">
        <f t="shared" si="3296"/>
        <v>THU</v>
      </c>
      <c r="G7814" s="14">
        <v>44252</v>
      </c>
      <c r="H7814" s="2">
        <f t="shared" ca="1" si="3284"/>
        <v>1</v>
      </c>
      <c r="I7814" t="str">
        <f t="shared" si="3285"/>
        <v>TSLA</v>
      </c>
      <c r="J7814">
        <f t="shared" si="3286"/>
        <v>686</v>
      </c>
      <c r="K7814">
        <f t="shared" si="3287"/>
        <v>798</v>
      </c>
      <c r="L7814">
        <f t="shared" si="3288"/>
        <v>742</v>
      </c>
      <c r="M7814">
        <f t="shared" si="3289"/>
        <v>56</v>
      </c>
      <c r="N7814">
        <f t="shared" si="3290"/>
        <v>112</v>
      </c>
      <c r="O7814">
        <f t="shared" si="3291"/>
        <v>742</v>
      </c>
      <c r="P7814">
        <f t="shared" si="3292"/>
        <v>0</v>
      </c>
      <c r="Q7814" t="str">
        <f t="shared" si="3293"/>
        <v>7.55% | 7.55%</v>
      </c>
      <c r="R7814" t="str">
        <f t="shared" si="3294"/>
        <v>BEARISH</v>
      </c>
      <c r="S7814">
        <f t="shared" si="3295"/>
        <v>-1</v>
      </c>
    </row>
    <row r="7815" spans="1:19" hidden="1" x14ac:dyDescent="0.25">
      <c r="A7815" s="5" t="str">
        <f t="shared" si="3283"/>
        <v>44252NYXBT</v>
      </c>
      <c r="B7815" s="6" t="s">
        <v>60</v>
      </c>
      <c r="C7815" s="6">
        <v>44868</v>
      </c>
      <c r="D7815" s="6">
        <v>54959</v>
      </c>
      <c r="E7815" s="6">
        <v>49474</v>
      </c>
      <c r="F7815" t="str">
        <f t="shared" si="3296"/>
        <v>THU</v>
      </c>
      <c r="G7815" s="14">
        <v>44252</v>
      </c>
      <c r="H7815" s="2">
        <f t="shared" ca="1" si="3284"/>
        <v>1</v>
      </c>
      <c r="I7815" t="str">
        <f t="shared" si="3285"/>
        <v>NYXBT</v>
      </c>
      <c r="J7815">
        <f t="shared" si="3286"/>
        <v>44868</v>
      </c>
      <c r="K7815">
        <f t="shared" si="3287"/>
        <v>54959</v>
      </c>
      <c r="L7815">
        <f t="shared" si="3288"/>
        <v>49913.5</v>
      </c>
      <c r="M7815">
        <f t="shared" si="3289"/>
        <v>5045.5</v>
      </c>
      <c r="N7815">
        <f t="shared" si="3290"/>
        <v>10091</v>
      </c>
      <c r="O7815">
        <f t="shared" si="3291"/>
        <v>49474</v>
      </c>
      <c r="P7815">
        <f t="shared" si="3292"/>
        <v>-8.7107323357447225E-2</v>
      </c>
      <c r="Q7815" t="str">
        <f t="shared" si="3293"/>
        <v>9.31% | 11.09%</v>
      </c>
      <c r="R7815" t="str">
        <f t="shared" si="3294"/>
        <v>BULLISH</v>
      </c>
      <c r="S7815">
        <f t="shared" si="3295"/>
        <v>1</v>
      </c>
    </row>
  </sheetData>
  <phoneticPr fontId="5" type="noConversion"/>
  <conditionalFormatting sqref="R1657:R1780 R1:T1 R7816:R1048576">
    <cfRule type="containsText" dxfId="7472" priority="1158" operator="containsText" text="NEUTRAL">
      <formula>NOT(ISERROR(SEARCH("NEUTRAL",R1)))</formula>
    </cfRule>
    <cfRule type="containsText" dxfId="7471" priority="1159" operator="containsText" text="BULLISH">
      <formula>NOT(ISERROR(SEARCH("BULLISH",R1)))</formula>
    </cfRule>
    <cfRule type="containsText" dxfId="7470" priority="1160" operator="containsText" text="BEARISH">
      <formula>NOT(ISERROR(SEARCH("BEARISH",R1)))</formula>
    </cfRule>
  </conditionalFormatting>
  <conditionalFormatting sqref="R2:R117">
    <cfRule type="containsText" dxfId="7469" priority="1154" operator="containsText" text="NEUTRAL">
      <formula>NOT(ISERROR(SEARCH("NEUTRAL",R2)))</formula>
    </cfRule>
    <cfRule type="containsText" dxfId="7468" priority="1155" operator="containsText" text="BULLISH">
      <formula>NOT(ISERROR(SEARCH("BULLISH",R2)))</formula>
    </cfRule>
    <cfRule type="containsText" dxfId="7467" priority="1156" operator="containsText" text="BEARISH">
      <formula>NOT(ISERROR(SEARCH("BEARISH",R2)))</formula>
    </cfRule>
  </conditionalFormatting>
  <conditionalFormatting sqref="P2:P117">
    <cfRule type="dataBar" priority="1153">
      <dataBar>
        <cfvo type="min"/>
        <cfvo type="max"/>
        <color rgb="FF638EC6"/>
      </dataBar>
      <extLst>
        <ext xmlns:x14="http://schemas.microsoft.com/office/spreadsheetml/2009/9/main" uri="{B025F937-C7B1-47D3-B67F-A62EFF666E3E}">
          <x14:id>{E1481377-2299-824C-B485-D1D257CE42A9}</x14:id>
        </ext>
      </extLst>
    </cfRule>
  </conditionalFormatting>
  <conditionalFormatting sqref="R118:R146">
    <cfRule type="containsText" dxfId="7466" priority="1150" operator="containsText" text="NEUTRAL">
      <formula>NOT(ISERROR(SEARCH("NEUTRAL",R118)))</formula>
    </cfRule>
    <cfRule type="containsText" dxfId="7465" priority="1151" operator="containsText" text="BULLISH">
      <formula>NOT(ISERROR(SEARCH("BULLISH",R118)))</formula>
    </cfRule>
    <cfRule type="containsText" dxfId="7464" priority="1152" operator="containsText" text="BEARISH">
      <formula>NOT(ISERROR(SEARCH("BEARISH",R118)))</formula>
    </cfRule>
  </conditionalFormatting>
  <conditionalFormatting sqref="P118:P146">
    <cfRule type="dataBar" priority="1149">
      <dataBar>
        <cfvo type="min"/>
        <cfvo type="max"/>
        <color rgb="FF638EC6"/>
      </dataBar>
      <extLst>
        <ext xmlns:x14="http://schemas.microsoft.com/office/spreadsheetml/2009/9/main" uri="{B025F937-C7B1-47D3-B67F-A62EFF666E3E}">
          <x14:id>{D01D8175-6BDF-9D40-9D20-80CAC85A549E}</x14:id>
        </ext>
      </extLst>
    </cfRule>
  </conditionalFormatting>
  <conditionalFormatting sqref="R147:R175">
    <cfRule type="containsText" dxfId="7463" priority="1146" operator="containsText" text="NEUTRAL">
      <formula>NOT(ISERROR(SEARCH("NEUTRAL",R147)))</formula>
    </cfRule>
    <cfRule type="containsText" dxfId="7462" priority="1147" operator="containsText" text="BULLISH">
      <formula>NOT(ISERROR(SEARCH("BULLISH",R147)))</formula>
    </cfRule>
    <cfRule type="containsText" dxfId="7461" priority="1148" operator="containsText" text="BEARISH">
      <formula>NOT(ISERROR(SEARCH("BEARISH",R147)))</formula>
    </cfRule>
  </conditionalFormatting>
  <conditionalFormatting sqref="P147:P175">
    <cfRule type="dataBar" priority="1145">
      <dataBar>
        <cfvo type="min"/>
        <cfvo type="max"/>
        <color rgb="FF638EC6"/>
      </dataBar>
      <extLst>
        <ext xmlns:x14="http://schemas.microsoft.com/office/spreadsheetml/2009/9/main" uri="{B025F937-C7B1-47D3-B67F-A62EFF666E3E}">
          <x14:id>{A961D4D5-EFD2-F944-AE49-5304178EC20A}</x14:id>
        </ext>
      </extLst>
    </cfRule>
  </conditionalFormatting>
  <conditionalFormatting sqref="R176:R204">
    <cfRule type="containsText" dxfId="7460" priority="1142" operator="containsText" text="NEUTRAL">
      <formula>NOT(ISERROR(SEARCH("NEUTRAL",R176)))</formula>
    </cfRule>
    <cfRule type="containsText" dxfId="7459" priority="1143" operator="containsText" text="BULLISH">
      <formula>NOT(ISERROR(SEARCH("BULLISH",R176)))</formula>
    </cfRule>
    <cfRule type="containsText" dxfId="7458" priority="1144" operator="containsText" text="BEARISH">
      <formula>NOT(ISERROR(SEARCH("BEARISH",R176)))</formula>
    </cfRule>
  </conditionalFormatting>
  <conditionalFormatting sqref="P176:P204">
    <cfRule type="dataBar" priority="1141">
      <dataBar>
        <cfvo type="min"/>
        <cfvo type="max"/>
        <color rgb="FF638EC6"/>
      </dataBar>
      <extLst>
        <ext xmlns:x14="http://schemas.microsoft.com/office/spreadsheetml/2009/9/main" uri="{B025F937-C7B1-47D3-B67F-A62EFF666E3E}">
          <x14:id>{10D412B0-7367-4444-A0F2-EB072D05A5B6}</x14:id>
        </ext>
      </extLst>
    </cfRule>
  </conditionalFormatting>
  <conditionalFormatting sqref="R205:R233">
    <cfRule type="containsText" dxfId="7457" priority="1138" operator="containsText" text="NEUTRAL">
      <formula>NOT(ISERROR(SEARCH("NEUTRAL",R205)))</formula>
    </cfRule>
    <cfRule type="containsText" dxfId="7456" priority="1139" operator="containsText" text="BULLISH">
      <formula>NOT(ISERROR(SEARCH("BULLISH",R205)))</formula>
    </cfRule>
    <cfRule type="containsText" dxfId="7455" priority="1140" operator="containsText" text="BEARISH">
      <formula>NOT(ISERROR(SEARCH("BEARISH",R205)))</formula>
    </cfRule>
  </conditionalFormatting>
  <conditionalFormatting sqref="P205:P233">
    <cfRule type="dataBar" priority="1137">
      <dataBar>
        <cfvo type="min"/>
        <cfvo type="max"/>
        <color rgb="FF638EC6"/>
      </dataBar>
      <extLst>
        <ext xmlns:x14="http://schemas.microsoft.com/office/spreadsheetml/2009/9/main" uri="{B025F937-C7B1-47D3-B67F-A62EFF666E3E}">
          <x14:id>{59EC5288-CF55-EA4F-AA1A-0EEBCFE4DA09}</x14:id>
        </ext>
      </extLst>
    </cfRule>
  </conditionalFormatting>
  <conditionalFormatting sqref="R234:R262">
    <cfRule type="containsText" dxfId="7454" priority="1134" operator="containsText" text="NEUTRAL">
      <formula>NOT(ISERROR(SEARCH("NEUTRAL",R234)))</formula>
    </cfRule>
    <cfRule type="containsText" dxfId="7453" priority="1135" operator="containsText" text="BULLISH">
      <formula>NOT(ISERROR(SEARCH("BULLISH",R234)))</formula>
    </cfRule>
    <cfRule type="containsText" dxfId="7452" priority="1136" operator="containsText" text="BEARISH">
      <formula>NOT(ISERROR(SEARCH("BEARISH",R234)))</formula>
    </cfRule>
  </conditionalFormatting>
  <conditionalFormatting sqref="P234:P262">
    <cfRule type="dataBar" priority="1133">
      <dataBar>
        <cfvo type="min"/>
        <cfvo type="max"/>
        <color rgb="FF638EC6"/>
      </dataBar>
      <extLst>
        <ext xmlns:x14="http://schemas.microsoft.com/office/spreadsheetml/2009/9/main" uri="{B025F937-C7B1-47D3-B67F-A62EFF666E3E}">
          <x14:id>{B63A2FCC-F881-6941-93A9-383FF15C1F31}</x14:id>
        </ext>
      </extLst>
    </cfRule>
  </conditionalFormatting>
  <conditionalFormatting sqref="R1781:R1811">
    <cfRule type="containsText" dxfId="7451" priority="1130" operator="containsText" text="NEUTRAL">
      <formula>NOT(ISERROR(SEARCH("NEUTRAL",R1781)))</formula>
    </cfRule>
    <cfRule type="containsText" dxfId="7450" priority="1131" operator="containsText" text="BULLISH">
      <formula>NOT(ISERROR(SEARCH("BULLISH",R1781)))</formula>
    </cfRule>
    <cfRule type="containsText" dxfId="7449" priority="1132" operator="containsText" text="BEARISH">
      <formula>NOT(ISERROR(SEARCH("BEARISH",R1781)))</formula>
    </cfRule>
  </conditionalFormatting>
  <conditionalFormatting sqref="P1781:P1811">
    <cfRule type="dataBar" priority="1129">
      <dataBar>
        <cfvo type="min"/>
        <cfvo type="max"/>
        <color rgb="FF638EC6"/>
      </dataBar>
      <extLst>
        <ext xmlns:x14="http://schemas.microsoft.com/office/spreadsheetml/2009/9/main" uri="{B025F937-C7B1-47D3-B67F-A62EFF666E3E}">
          <x14:id>{536D861E-472A-E749-BFA4-783F7AE62A25}</x14:id>
        </ext>
      </extLst>
    </cfRule>
  </conditionalFormatting>
  <conditionalFormatting sqref="R263:R291">
    <cfRule type="containsText" dxfId="7448" priority="1126" operator="containsText" text="NEUTRAL">
      <formula>NOT(ISERROR(SEARCH("NEUTRAL",R263)))</formula>
    </cfRule>
    <cfRule type="containsText" dxfId="7447" priority="1127" operator="containsText" text="BULLISH">
      <formula>NOT(ISERROR(SEARCH("BULLISH",R263)))</formula>
    </cfRule>
    <cfRule type="containsText" dxfId="7446" priority="1128" operator="containsText" text="BEARISH">
      <formula>NOT(ISERROR(SEARCH("BEARISH",R263)))</formula>
    </cfRule>
  </conditionalFormatting>
  <conditionalFormatting sqref="P263:P291">
    <cfRule type="dataBar" priority="1125">
      <dataBar>
        <cfvo type="min"/>
        <cfvo type="max"/>
        <color rgb="FF638EC6"/>
      </dataBar>
      <extLst>
        <ext xmlns:x14="http://schemas.microsoft.com/office/spreadsheetml/2009/9/main" uri="{B025F937-C7B1-47D3-B67F-A62EFF666E3E}">
          <x14:id>{C4B4679A-2D3B-B749-912C-ADA710CA61B7}</x14:id>
        </ext>
      </extLst>
    </cfRule>
  </conditionalFormatting>
  <conditionalFormatting sqref="R292:R320">
    <cfRule type="containsText" dxfId="7445" priority="1122" operator="containsText" text="NEUTRAL">
      <formula>NOT(ISERROR(SEARCH("NEUTRAL",R292)))</formula>
    </cfRule>
    <cfRule type="containsText" dxfId="7444" priority="1123" operator="containsText" text="BULLISH">
      <formula>NOT(ISERROR(SEARCH("BULLISH",R292)))</formula>
    </cfRule>
    <cfRule type="containsText" dxfId="7443" priority="1124" operator="containsText" text="BEARISH">
      <formula>NOT(ISERROR(SEARCH("BEARISH",R292)))</formula>
    </cfRule>
  </conditionalFormatting>
  <conditionalFormatting sqref="P292:P320">
    <cfRule type="dataBar" priority="1121">
      <dataBar>
        <cfvo type="min"/>
        <cfvo type="max"/>
        <color rgb="FF638EC6"/>
      </dataBar>
      <extLst>
        <ext xmlns:x14="http://schemas.microsoft.com/office/spreadsheetml/2009/9/main" uri="{B025F937-C7B1-47D3-B67F-A62EFF666E3E}">
          <x14:id>{928D6525-426A-0043-B794-12596DA60040}</x14:id>
        </ext>
      </extLst>
    </cfRule>
  </conditionalFormatting>
  <conditionalFormatting sqref="R321:R349">
    <cfRule type="containsText" dxfId="7442" priority="1118" operator="containsText" text="NEUTRAL">
      <formula>NOT(ISERROR(SEARCH("NEUTRAL",R321)))</formula>
    </cfRule>
    <cfRule type="containsText" dxfId="7441" priority="1119" operator="containsText" text="BULLISH">
      <formula>NOT(ISERROR(SEARCH("BULLISH",R321)))</formula>
    </cfRule>
    <cfRule type="containsText" dxfId="7440" priority="1120" operator="containsText" text="BEARISH">
      <formula>NOT(ISERROR(SEARCH("BEARISH",R321)))</formula>
    </cfRule>
  </conditionalFormatting>
  <conditionalFormatting sqref="P321:P349">
    <cfRule type="dataBar" priority="1117">
      <dataBar>
        <cfvo type="min"/>
        <cfvo type="max"/>
        <color rgb="FF638EC6"/>
      </dataBar>
      <extLst>
        <ext xmlns:x14="http://schemas.microsoft.com/office/spreadsheetml/2009/9/main" uri="{B025F937-C7B1-47D3-B67F-A62EFF666E3E}">
          <x14:id>{928E51FA-2B4C-BA49-82A6-834252080A00}</x14:id>
        </ext>
      </extLst>
    </cfRule>
  </conditionalFormatting>
  <conditionalFormatting sqref="R350:R377">
    <cfRule type="containsText" dxfId="7439" priority="1114" operator="containsText" text="NEUTRAL">
      <formula>NOT(ISERROR(SEARCH("NEUTRAL",R350)))</formula>
    </cfRule>
    <cfRule type="containsText" dxfId="7438" priority="1115" operator="containsText" text="BULLISH">
      <formula>NOT(ISERROR(SEARCH("BULLISH",R350)))</formula>
    </cfRule>
    <cfRule type="containsText" dxfId="7437" priority="1116" operator="containsText" text="BEARISH">
      <formula>NOT(ISERROR(SEARCH("BEARISH",R350)))</formula>
    </cfRule>
  </conditionalFormatting>
  <conditionalFormatting sqref="P350:P377">
    <cfRule type="dataBar" priority="1113">
      <dataBar>
        <cfvo type="min"/>
        <cfvo type="max"/>
        <color rgb="FF638EC6"/>
      </dataBar>
      <extLst>
        <ext xmlns:x14="http://schemas.microsoft.com/office/spreadsheetml/2009/9/main" uri="{B025F937-C7B1-47D3-B67F-A62EFF666E3E}">
          <x14:id>{0A4308AB-24AC-294C-80AA-9BD4F529FB92}</x14:id>
        </ext>
      </extLst>
    </cfRule>
  </conditionalFormatting>
  <conditionalFormatting sqref="R378:R406">
    <cfRule type="containsText" dxfId="7436" priority="1110" operator="containsText" text="NEUTRAL">
      <formula>NOT(ISERROR(SEARCH("NEUTRAL",R378)))</formula>
    </cfRule>
    <cfRule type="containsText" dxfId="7435" priority="1111" operator="containsText" text="BULLISH">
      <formula>NOT(ISERROR(SEARCH("BULLISH",R378)))</formula>
    </cfRule>
    <cfRule type="containsText" dxfId="7434" priority="1112" operator="containsText" text="BEARISH">
      <formula>NOT(ISERROR(SEARCH("BEARISH",R378)))</formula>
    </cfRule>
  </conditionalFormatting>
  <conditionalFormatting sqref="P378:P406">
    <cfRule type="dataBar" priority="1109">
      <dataBar>
        <cfvo type="min"/>
        <cfvo type="max"/>
        <color rgb="FF638EC6"/>
      </dataBar>
      <extLst>
        <ext xmlns:x14="http://schemas.microsoft.com/office/spreadsheetml/2009/9/main" uri="{B025F937-C7B1-47D3-B67F-A62EFF666E3E}">
          <x14:id>{BEFE5676-D774-AA45-BEEC-B2F9C4078F80}</x14:id>
        </ext>
      </extLst>
    </cfRule>
  </conditionalFormatting>
  <conditionalFormatting sqref="R407:R435">
    <cfRule type="containsText" dxfId="7433" priority="1106" operator="containsText" text="NEUTRAL">
      <formula>NOT(ISERROR(SEARCH("NEUTRAL",R407)))</formula>
    </cfRule>
    <cfRule type="containsText" dxfId="7432" priority="1107" operator="containsText" text="BULLISH">
      <formula>NOT(ISERROR(SEARCH("BULLISH",R407)))</formula>
    </cfRule>
    <cfRule type="containsText" dxfId="7431" priority="1108" operator="containsText" text="BEARISH">
      <formula>NOT(ISERROR(SEARCH("BEARISH",R407)))</formula>
    </cfRule>
  </conditionalFormatting>
  <conditionalFormatting sqref="P407:P435">
    <cfRule type="dataBar" priority="1105">
      <dataBar>
        <cfvo type="min"/>
        <cfvo type="max"/>
        <color rgb="FF638EC6"/>
      </dataBar>
      <extLst>
        <ext xmlns:x14="http://schemas.microsoft.com/office/spreadsheetml/2009/9/main" uri="{B025F937-C7B1-47D3-B67F-A62EFF666E3E}">
          <x14:id>{9A56A4DC-DA75-624F-82CE-2CCC04465D6B}</x14:id>
        </ext>
      </extLst>
    </cfRule>
  </conditionalFormatting>
  <conditionalFormatting sqref="R436:R464">
    <cfRule type="containsText" dxfId="7430" priority="1102" operator="containsText" text="NEUTRAL">
      <formula>NOT(ISERROR(SEARCH("NEUTRAL",R436)))</formula>
    </cfRule>
    <cfRule type="containsText" dxfId="7429" priority="1103" operator="containsText" text="BULLISH">
      <formula>NOT(ISERROR(SEARCH("BULLISH",R436)))</formula>
    </cfRule>
    <cfRule type="containsText" dxfId="7428" priority="1104" operator="containsText" text="BEARISH">
      <formula>NOT(ISERROR(SEARCH("BEARISH",R436)))</formula>
    </cfRule>
  </conditionalFormatting>
  <conditionalFormatting sqref="P436:P464">
    <cfRule type="dataBar" priority="1101">
      <dataBar>
        <cfvo type="min"/>
        <cfvo type="max"/>
        <color rgb="FF638EC6"/>
      </dataBar>
      <extLst>
        <ext xmlns:x14="http://schemas.microsoft.com/office/spreadsheetml/2009/9/main" uri="{B025F937-C7B1-47D3-B67F-A62EFF666E3E}">
          <x14:id>{A4248ED8-FBEA-9544-84E4-4EB971B2A3CD}</x14:id>
        </ext>
      </extLst>
    </cfRule>
  </conditionalFormatting>
  <conditionalFormatting sqref="R465:R493">
    <cfRule type="containsText" dxfId="7427" priority="1098" operator="containsText" text="NEUTRAL">
      <formula>NOT(ISERROR(SEARCH("NEUTRAL",R465)))</formula>
    </cfRule>
    <cfRule type="containsText" dxfId="7426" priority="1099" operator="containsText" text="BULLISH">
      <formula>NOT(ISERROR(SEARCH("BULLISH",R465)))</formula>
    </cfRule>
    <cfRule type="containsText" dxfId="7425" priority="1100" operator="containsText" text="BEARISH">
      <formula>NOT(ISERROR(SEARCH("BEARISH",R465)))</formula>
    </cfRule>
  </conditionalFormatting>
  <conditionalFormatting sqref="P465:P493">
    <cfRule type="dataBar" priority="1097">
      <dataBar>
        <cfvo type="min"/>
        <cfvo type="max"/>
        <color rgb="FF638EC6"/>
      </dataBar>
      <extLst>
        <ext xmlns:x14="http://schemas.microsoft.com/office/spreadsheetml/2009/9/main" uri="{B025F937-C7B1-47D3-B67F-A62EFF666E3E}">
          <x14:id>{539EDAB9-524B-0E42-BF33-02435D45D7BF}</x14:id>
        </ext>
      </extLst>
    </cfRule>
  </conditionalFormatting>
  <conditionalFormatting sqref="R494:R522">
    <cfRule type="containsText" dxfId="7424" priority="1094" operator="containsText" text="NEUTRAL">
      <formula>NOT(ISERROR(SEARCH("NEUTRAL",R494)))</formula>
    </cfRule>
    <cfRule type="containsText" dxfId="7423" priority="1095" operator="containsText" text="BULLISH">
      <formula>NOT(ISERROR(SEARCH("BULLISH",R494)))</formula>
    </cfRule>
    <cfRule type="containsText" dxfId="7422" priority="1096" operator="containsText" text="BEARISH">
      <formula>NOT(ISERROR(SEARCH("BEARISH",R494)))</formula>
    </cfRule>
  </conditionalFormatting>
  <conditionalFormatting sqref="P494:P522">
    <cfRule type="dataBar" priority="1093">
      <dataBar>
        <cfvo type="min"/>
        <cfvo type="max"/>
        <color rgb="FF638EC6"/>
      </dataBar>
      <extLst>
        <ext xmlns:x14="http://schemas.microsoft.com/office/spreadsheetml/2009/9/main" uri="{B025F937-C7B1-47D3-B67F-A62EFF666E3E}">
          <x14:id>{BF79355B-9C10-1C4A-8519-86A8412F7B1F}</x14:id>
        </ext>
      </extLst>
    </cfRule>
  </conditionalFormatting>
  <conditionalFormatting sqref="R523:R551">
    <cfRule type="containsText" dxfId="7421" priority="1090" operator="containsText" text="NEUTRAL">
      <formula>NOT(ISERROR(SEARCH("NEUTRAL",R523)))</formula>
    </cfRule>
    <cfRule type="containsText" dxfId="7420" priority="1091" operator="containsText" text="BULLISH">
      <formula>NOT(ISERROR(SEARCH("BULLISH",R523)))</formula>
    </cfRule>
    <cfRule type="containsText" dxfId="7419" priority="1092" operator="containsText" text="BEARISH">
      <formula>NOT(ISERROR(SEARCH("BEARISH",R523)))</formula>
    </cfRule>
  </conditionalFormatting>
  <conditionalFormatting sqref="P523:P551">
    <cfRule type="dataBar" priority="1089">
      <dataBar>
        <cfvo type="min"/>
        <cfvo type="max"/>
        <color rgb="FF638EC6"/>
      </dataBar>
      <extLst>
        <ext xmlns:x14="http://schemas.microsoft.com/office/spreadsheetml/2009/9/main" uri="{B025F937-C7B1-47D3-B67F-A62EFF666E3E}">
          <x14:id>{33123E25-CE0C-2948-92F4-1B30298F4F9D}</x14:id>
        </ext>
      </extLst>
    </cfRule>
  </conditionalFormatting>
  <conditionalFormatting sqref="R552:R580">
    <cfRule type="containsText" dxfId="7418" priority="1086" operator="containsText" text="NEUTRAL">
      <formula>NOT(ISERROR(SEARCH("NEUTRAL",R552)))</formula>
    </cfRule>
    <cfRule type="containsText" dxfId="7417" priority="1087" operator="containsText" text="BULLISH">
      <formula>NOT(ISERROR(SEARCH("BULLISH",R552)))</formula>
    </cfRule>
    <cfRule type="containsText" dxfId="7416" priority="1088" operator="containsText" text="BEARISH">
      <formula>NOT(ISERROR(SEARCH("BEARISH",R552)))</formula>
    </cfRule>
  </conditionalFormatting>
  <conditionalFormatting sqref="P552:P580">
    <cfRule type="dataBar" priority="1085">
      <dataBar>
        <cfvo type="min"/>
        <cfvo type="max"/>
        <color rgb="FF638EC6"/>
      </dataBar>
      <extLst>
        <ext xmlns:x14="http://schemas.microsoft.com/office/spreadsheetml/2009/9/main" uri="{B025F937-C7B1-47D3-B67F-A62EFF666E3E}">
          <x14:id>{1EE12B84-1CDA-9641-ADFA-BDB4E5E319EB}</x14:id>
        </ext>
      </extLst>
    </cfRule>
  </conditionalFormatting>
  <conditionalFormatting sqref="R581:R609">
    <cfRule type="containsText" dxfId="7415" priority="1082" operator="containsText" text="NEUTRAL">
      <formula>NOT(ISERROR(SEARCH("NEUTRAL",R581)))</formula>
    </cfRule>
    <cfRule type="containsText" dxfId="7414" priority="1083" operator="containsText" text="BULLISH">
      <formula>NOT(ISERROR(SEARCH("BULLISH",R581)))</formula>
    </cfRule>
    <cfRule type="containsText" dxfId="7413" priority="1084" operator="containsText" text="BEARISH">
      <formula>NOT(ISERROR(SEARCH("BEARISH",R581)))</formula>
    </cfRule>
  </conditionalFormatting>
  <conditionalFormatting sqref="P581:P609">
    <cfRule type="dataBar" priority="1081">
      <dataBar>
        <cfvo type="min"/>
        <cfvo type="max"/>
        <color rgb="FF638EC6"/>
      </dataBar>
      <extLst>
        <ext xmlns:x14="http://schemas.microsoft.com/office/spreadsheetml/2009/9/main" uri="{B025F937-C7B1-47D3-B67F-A62EFF666E3E}">
          <x14:id>{58F26FE0-CAEE-E44B-86BB-E023BEC5B3E8}</x14:id>
        </ext>
      </extLst>
    </cfRule>
  </conditionalFormatting>
  <conditionalFormatting sqref="R610:R638">
    <cfRule type="containsText" dxfId="7412" priority="1078" operator="containsText" text="NEUTRAL">
      <formula>NOT(ISERROR(SEARCH("NEUTRAL",R610)))</formula>
    </cfRule>
    <cfRule type="containsText" dxfId="7411" priority="1079" operator="containsText" text="BULLISH">
      <formula>NOT(ISERROR(SEARCH("BULLISH",R610)))</formula>
    </cfRule>
    <cfRule type="containsText" dxfId="7410" priority="1080" operator="containsText" text="BEARISH">
      <formula>NOT(ISERROR(SEARCH("BEARISH",R610)))</formula>
    </cfRule>
  </conditionalFormatting>
  <conditionalFormatting sqref="P610:P638">
    <cfRule type="dataBar" priority="1077">
      <dataBar>
        <cfvo type="min"/>
        <cfvo type="max"/>
        <color rgb="FF638EC6"/>
      </dataBar>
      <extLst>
        <ext xmlns:x14="http://schemas.microsoft.com/office/spreadsheetml/2009/9/main" uri="{B025F937-C7B1-47D3-B67F-A62EFF666E3E}">
          <x14:id>{68188143-11B0-754B-8580-7059DF638FE5}</x14:id>
        </ext>
      </extLst>
    </cfRule>
  </conditionalFormatting>
  <conditionalFormatting sqref="R639:R667">
    <cfRule type="containsText" dxfId="7409" priority="1074" operator="containsText" text="NEUTRAL">
      <formula>NOT(ISERROR(SEARCH("NEUTRAL",R639)))</formula>
    </cfRule>
    <cfRule type="containsText" dxfId="7408" priority="1075" operator="containsText" text="BULLISH">
      <formula>NOT(ISERROR(SEARCH("BULLISH",R639)))</formula>
    </cfRule>
    <cfRule type="containsText" dxfId="7407" priority="1076" operator="containsText" text="BEARISH">
      <formula>NOT(ISERROR(SEARCH("BEARISH",R639)))</formula>
    </cfRule>
  </conditionalFormatting>
  <conditionalFormatting sqref="P639:P667">
    <cfRule type="dataBar" priority="1073">
      <dataBar>
        <cfvo type="min"/>
        <cfvo type="max"/>
        <color rgb="FF638EC6"/>
      </dataBar>
      <extLst>
        <ext xmlns:x14="http://schemas.microsoft.com/office/spreadsheetml/2009/9/main" uri="{B025F937-C7B1-47D3-B67F-A62EFF666E3E}">
          <x14:id>{5FC3BFB4-28C3-2749-AEF0-190FB5E720CA}</x14:id>
        </ext>
      </extLst>
    </cfRule>
  </conditionalFormatting>
  <conditionalFormatting sqref="R668:R696">
    <cfRule type="containsText" dxfId="7406" priority="1070" operator="containsText" text="NEUTRAL">
      <formula>NOT(ISERROR(SEARCH("NEUTRAL",R668)))</formula>
    </cfRule>
    <cfRule type="containsText" dxfId="7405" priority="1071" operator="containsText" text="BULLISH">
      <formula>NOT(ISERROR(SEARCH("BULLISH",R668)))</formula>
    </cfRule>
    <cfRule type="containsText" dxfId="7404" priority="1072" operator="containsText" text="BEARISH">
      <formula>NOT(ISERROR(SEARCH("BEARISH",R668)))</formula>
    </cfRule>
  </conditionalFormatting>
  <conditionalFormatting sqref="P668:P696">
    <cfRule type="dataBar" priority="1069">
      <dataBar>
        <cfvo type="min"/>
        <cfvo type="max"/>
        <color rgb="FF638EC6"/>
      </dataBar>
      <extLst>
        <ext xmlns:x14="http://schemas.microsoft.com/office/spreadsheetml/2009/9/main" uri="{B025F937-C7B1-47D3-B67F-A62EFF666E3E}">
          <x14:id>{A1489BFC-4616-C34C-98AB-20C3724E794A}</x14:id>
        </ext>
      </extLst>
    </cfRule>
  </conditionalFormatting>
  <conditionalFormatting sqref="R697:R725">
    <cfRule type="containsText" dxfId="7403" priority="1066" operator="containsText" text="NEUTRAL">
      <formula>NOT(ISERROR(SEARCH("NEUTRAL",R697)))</formula>
    </cfRule>
    <cfRule type="containsText" dxfId="7402" priority="1067" operator="containsText" text="BULLISH">
      <formula>NOT(ISERROR(SEARCH("BULLISH",R697)))</formula>
    </cfRule>
    <cfRule type="containsText" dxfId="7401" priority="1068" operator="containsText" text="BEARISH">
      <formula>NOT(ISERROR(SEARCH("BEARISH",R697)))</formula>
    </cfRule>
  </conditionalFormatting>
  <conditionalFormatting sqref="P697:P725">
    <cfRule type="dataBar" priority="1065">
      <dataBar>
        <cfvo type="min"/>
        <cfvo type="max"/>
        <color rgb="FF638EC6"/>
      </dataBar>
      <extLst>
        <ext xmlns:x14="http://schemas.microsoft.com/office/spreadsheetml/2009/9/main" uri="{B025F937-C7B1-47D3-B67F-A62EFF666E3E}">
          <x14:id>{53AE4BE3-1637-F647-AF4C-4CC45C667A0E}</x14:id>
        </ext>
      </extLst>
    </cfRule>
  </conditionalFormatting>
  <conditionalFormatting sqref="R726:R754">
    <cfRule type="containsText" dxfId="7400" priority="1062" operator="containsText" text="NEUTRAL">
      <formula>NOT(ISERROR(SEARCH("NEUTRAL",R726)))</formula>
    </cfRule>
    <cfRule type="containsText" dxfId="7399" priority="1063" operator="containsText" text="BULLISH">
      <formula>NOT(ISERROR(SEARCH("BULLISH",R726)))</formula>
    </cfRule>
    <cfRule type="containsText" dxfId="7398" priority="1064" operator="containsText" text="BEARISH">
      <formula>NOT(ISERROR(SEARCH("BEARISH",R726)))</formula>
    </cfRule>
  </conditionalFormatting>
  <conditionalFormatting sqref="P726:P754">
    <cfRule type="dataBar" priority="1061">
      <dataBar>
        <cfvo type="min"/>
        <cfvo type="max"/>
        <color rgb="FF638EC6"/>
      </dataBar>
      <extLst>
        <ext xmlns:x14="http://schemas.microsoft.com/office/spreadsheetml/2009/9/main" uri="{B025F937-C7B1-47D3-B67F-A62EFF666E3E}">
          <x14:id>{88F7A1DA-41A6-EB4D-84E0-9DDB1EB997DA}</x14:id>
        </ext>
      </extLst>
    </cfRule>
  </conditionalFormatting>
  <conditionalFormatting sqref="R755:R783">
    <cfRule type="containsText" dxfId="7397" priority="1058" operator="containsText" text="NEUTRAL">
      <formula>NOT(ISERROR(SEARCH("NEUTRAL",R755)))</formula>
    </cfRule>
    <cfRule type="containsText" dxfId="7396" priority="1059" operator="containsText" text="BULLISH">
      <formula>NOT(ISERROR(SEARCH("BULLISH",R755)))</formula>
    </cfRule>
    <cfRule type="containsText" dxfId="7395" priority="1060" operator="containsText" text="BEARISH">
      <formula>NOT(ISERROR(SEARCH("BEARISH",R755)))</formula>
    </cfRule>
  </conditionalFormatting>
  <conditionalFormatting sqref="P755:P783">
    <cfRule type="dataBar" priority="1057">
      <dataBar>
        <cfvo type="min"/>
        <cfvo type="max"/>
        <color rgb="FF638EC6"/>
      </dataBar>
      <extLst>
        <ext xmlns:x14="http://schemas.microsoft.com/office/spreadsheetml/2009/9/main" uri="{B025F937-C7B1-47D3-B67F-A62EFF666E3E}">
          <x14:id>{E99609D4-E7BC-F54D-9CC7-D1F069B427E6}</x14:id>
        </ext>
      </extLst>
    </cfRule>
  </conditionalFormatting>
  <conditionalFormatting sqref="R784:R812">
    <cfRule type="containsText" dxfId="7394" priority="1054" operator="containsText" text="NEUTRAL">
      <formula>NOT(ISERROR(SEARCH("NEUTRAL",R784)))</formula>
    </cfRule>
    <cfRule type="containsText" dxfId="7393" priority="1055" operator="containsText" text="BULLISH">
      <formula>NOT(ISERROR(SEARCH("BULLISH",R784)))</formula>
    </cfRule>
    <cfRule type="containsText" dxfId="7392" priority="1056" operator="containsText" text="BEARISH">
      <formula>NOT(ISERROR(SEARCH("BEARISH",R784)))</formula>
    </cfRule>
  </conditionalFormatting>
  <conditionalFormatting sqref="P784:P812">
    <cfRule type="dataBar" priority="1053">
      <dataBar>
        <cfvo type="min"/>
        <cfvo type="max"/>
        <color rgb="FF638EC6"/>
      </dataBar>
      <extLst>
        <ext xmlns:x14="http://schemas.microsoft.com/office/spreadsheetml/2009/9/main" uri="{B025F937-C7B1-47D3-B67F-A62EFF666E3E}">
          <x14:id>{BD31A78B-AAAF-3541-A9FB-C2A07BD4597E}</x14:id>
        </ext>
      </extLst>
    </cfRule>
  </conditionalFormatting>
  <conditionalFormatting sqref="R813:R841">
    <cfRule type="containsText" dxfId="7391" priority="1050" operator="containsText" text="NEUTRAL">
      <formula>NOT(ISERROR(SEARCH("NEUTRAL",R813)))</formula>
    </cfRule>
    <cfRule type="containsText" dxfId="7390" priority="1051" operator="containsText" text="BULLISH">
      <formula>NOT(ISERROR(SEARCH("BULLISH",R813)))</formula>
    </cfRule>
    <cfRule type="containsText" dxfId="7389" priority="1052" operator="containsText" text="BEARISH">
      <formula>NOT(ISERROR(SEARCH("BEARISH",R813)))</formula>
    </cfRule>
  </conditionalFormatting>
  <conditionalFormatting sqref="P813:P841">
    <cfRule type="dataBar" priority="1049">
      <dataBar>
        <cfvo type="min"/>
        <cfvo type="max"/>
        <color rgb="FF638EC6"/>
      </dataBar>
      <extLst>
        <ext xmlns:x14="http://schemas.microsoft.com/office/spreadsheetml/2009/9/main" uri="{B025F937-C7B1-47D3-B67F-A62EFF666E3E}">
          <x14:id>{1704F7BF-1B4B-1D47-A6FA-C7AC06E2E882}</x14:id>
        </ext>
      </extLst>
    </cfRule>
  </conditionalFormatting>
  <conditionalFormatting sqref="R842:R870">
    <cfRule type="containsText" dxfId="7388" priority="1046" operator="containsText" text="NEUTRAL">
      <formula>NOT(ISERROR(SEARCH("NEUTRAL",R842)))</formula>
    </cfRule>
    <cfRule type="containsText" dxfId="7387" priority="1047" operator="containsText" text="BULLISH">
      <formula>NOT(ISERROR(SEARCH("BULLISH",R842)))</formula>
    </cfRule>
    <cfRule type="containsText" dxfId="7386" priority="1048" operator="containsText" text="BEARISH">
      <formula>NOT(ISERROR(SEARCH("BEARISH",R842)))</formula>
    </cfRule>
  </conditionalFormatting>
  <conditionalFormatting sqref="P842:P870">
    <cfRule type="dataBar" priority="1045">
      <dataBar>
        <cfvo type="min"/>
        <cfvo type="max"/>
        <color rgb="FF638EC6"/>
      </dataBar>
      <extLst>
        <ext xmlns:x14="http://schemas.microsoft.com/office/spreadsheetml/2009/9/main" uri="{B025F937-C7B1-47D3-B67F-A62EFF666E3E}">
          <x14:id>{8DA0915B-1AB2-F04A-B483-C795AB2E6250}</x14:id>
        </ext>
      </extLst>
    </cfRule>
  </conditionalFormatting>
  <conditionalFormatting sqref="R871:R899">
    <cfRule type="containsText" dxfId="7385" priority="1042" operator="containsText" text="NEUTRAL">
      <formula>NOT(ISERROR(SEARCH("NEUTRAL",R871)))</formula>
    </cfRule>
    <cfRule type="containsText" dxfId="7384" priority="1043" operator="containsText" text="BULLISH">
      <formula>NOT(ISERROR(SEARCH("BULLISH",R871)))</formula>
    </cfRule>
    <cfRule type="containsText" dxfId="7383" priority="1044" operator="containsText" text="BEARISH">
      <formula>NOT(ISERROR(SEARCH("BEARISH",R871)))</formula>
    </cfRule>
  </conditionalFormatting>
  <conditionalFormatting sqref="P871:P899">
    <cfRule type="dataBar" priority="1041">
      <dataBar>
        <cfvo type="min"/>
        <cfvo type="max"/>
        <color rgb="FF638EC6"/>
      </dataBar>
      <extLst>
        <ext xmlns:x14="http://schemas.microsoft.com/office/spreadsheetml/2009/9/main" uri="{B025F937-C7B1-47D3-B67F-A62EFF666E3E}">
          <x14:id>{BEBA5703-A2C5-C64F-A648-7AB750730356}</x14:id>
        </ext>
      </extLst>
    </cfRule>
  </conditionalFormatting>
  <conditionalFormatting sqref="R900:R928">
    <cfRule type="containsText" dxfId="7382" priority="1038" operator="containsText" text="NEUTRAL">
      <formula>NOT(ISERROR(SEARCH("NEUTRAL",R900)))</formula>
    </cfRule>
    <cfRule type="containsText" dxfId="7381" priority="1039" operator="containsText" text="BULLISH">
      <formula>NOT(ISERROR(SEARCH("BULLISH",R900)))</formula>
    </cfRule>
    <cfRule type="containsText" dxfId="7380" priority="1040" operator="containsText" text="BEARISH">
      <formula>NOT(ISERROR(SEARCH("BEARISH",R900)))</formula>
    </cfRule>
  </conditionalFormatting>
  <conditionalFormatting sqref="P900:P928">
    <cfRule type="dataBar" priority="1037">
      <dataBar>
        <cfvo type="min"/>
        <cfvo type="max"/>
        <color rgb="FF638EC6"/>
      </dataBar>
      <extLst>
        <ext xmlns:x14="http://schemas.microsoft.com/office/spreadsheetml/2009/9/main" uri="{B025F937-C7B1-47D3-B67F-A62EFF666E3E}">
          <x14:id>{BF8C6F96-E76D-E646-9B0B-F89C4AA537AB}</x14:id>
        </ext>
      </extLst>
    </cfRule>
  </conditionalFormatting>
  <conditionalFormatting sqref="R929:R957">
    <cfRule type="containsText" dxfId="7379" priority="1034" operator="containsText" text="NEUTRAL">
      <formula>NOT(ISERROR(SEARCH("NEUTRAL",R929)))</formula>
    </cfRule>
    <cfRule type="containsText" dxfId="7378" priority="1035" operator="containsText" text="BULLISH">
      <formula>NOT(ISERROR(SEARCH("BULLISH",R929)))</formula>
    </cfRule>
    <cfRule type="containsText" dxfId="7377" priority="1036" operator="containsText" text="BEARISH">
      <formula>NOT(ISERROR(SEARCH("BEARISH",R929)))</formula>
    </cfRule>
  </conditionalFormatting>
  <conditionalFormatting sqref="P929:P957">
    <cfRule type="dataBar" priority="1033">
      <dataBar>
        <cfvo type="min"/>
        <cfvo type="max"/>
        <color rgb="FF638EC6"/>
      </dataBar>
      <extLst>
        <ext xmlns:x14="http://schemas.microsoft.com/office/spreadsheetml/2009/9/main" uri="{B025F937-C7B1-47D3-B67F-A62EFF666E3E}">
          <x14:id>{6EA94EE9-59A6-F248-9515-0D7D62C65532}</x14:id>
        </ext>
      </extLst>
    </cfRule>
  </conditionalFormatting>
  <conditionalFormatting sqref="R958:R986">
    <cfRule type="containsText" dxfId="7376" priority="1030" operator="containsText" text="NEUTRAL">
      <formula>NOT(ISERROR(SEARCH("NEUTRAL",R958)))</formula>
    </cfRule>
    <cfRule type="containsText" dxfId="7375" priority="1031" operator="containsText" text="BULLISH">
      <formula>NOT(ISERROR(SEARCH("BULLISH",R958)))</formula>
    </cfRule>
    <cfRule type="containsText" dxfId="7374" priority="1032" operator="containsText" text="BEARISH">
      <formula>NOT(ISERROR(SEARCH("BEARISH",R958)))</formula>
    </cfRule>
  </conditionalFormatting>
  <conditionalFormatting sqref="P958:P986">
    <cfRule type="dataBar" priority="1029">
      <dataBar>
        <cfvo type="min"/>
        <cfvo type="max"/>
        <color rgb="FF638EC6"/>
      </dataBar>
      <extLst>
        <ext xmlns:x14="http://schemas.microsoft.com/office/spreadsheetml/2009/9/main" uri="{B025F937-C7B1-47D3-B67F-A62EFF666E3E}">
          <x14:id>{A0ECCB3F-25D6-1146-81AD-41C01F9203C1}</x14:id>
        </ext>
      </extLst>
    </cfRule>
  </conditionalFormatting>
  <conditionalFormatting sqref="R987:R1015">
    <cfRule type="containsText" dxfId="7373" priority="1026" operator="containsText" text="NEUTRAL">
      <formula>NOT(ISERROR(SEARCH("NEUTRAL",R987)))</formula>
    </cfRule>
    <cfRule type="containsText" dxfId="7372" priority="1027" operator="containsText" text="BULLISH">
      <formula>NOT(ISERROR(SEARCH("BULLISH",R987)))</formula>
    </cfRule>
    <cfRule type="containsText" dxfId="7371" priority="1028" operator="containsText" text="BEARISH">
      <formula>NOT(ISERROR(SEARCH("BEARISH",R987)))</formula>
    </cfRule>
  </conditionalFormatting>
  <conditionalFormatting sqref="P987:P1015">
    <cfRule type="dataBar" priority="1025">
      <dataBar>
        <cfvo type="min"/>
        <cfvo type="max"/>
        <color rgb="FF638EC6"/>
      </dataBar>
      <extLst>
        <ext xmlns:x14="http://schemas.microsoft.com/office/spreadsheetml/2009/9/main" uri="{B025F937-C7B1-47D3-B67F-A62EFF666E3E}">
          <x14:id>{6458AF3B-3D4A-EB48-81DC-43A06DD595C6}</x14:id>
        </ext>
      </extLst>
    </cfRule>
  </conditionalFormatting>
  <conditionalFormatting sqref="R1016:R1044">
    <cfRule type="containsText" dxfId="7370" priority="1022" operator="containsText" text="NEUTRAL">
      <formula>NOT(ISERROR(SEARCH("NEUTRAL",R1016)))</formula>
    </cfRule>
    <cfRule type="containsText" dxfId="7369" priority="1023" operator="containsText" text="BULLISH">
      <formula>NOT(ISERROR(SEARCH("BULLISH",R1016)))</formula>
    </cfRule>
    <cfRule type="containsText" dxfId="7368" priority="1024" operator="containsText" text="BEARISH">
      <formula>NOT(ISERROR(SEARCH("BEARISH",R1016)))</formula>
    </cfRule>
  </conditionalFormatting>
  <conditionalFormatting sqref="P1016:P1044">
    <cfRule type="dataBar" priority="1021">
      <dataBar>
        <cfvo type="min"/>
        <cfvo type="max"/>
        <color rgb="FF638EC6"/>
      </dataBar>
      <extLst>
        <ext xmlns:x14="http://schemas.microsoft.com/office/spreadsheetml/2009/9/main" uri="{B025F937-C7B1-47D3-B67F-A62EFF666E3E}">
          <x14:id>{FC23C40E-9815-E74C-91B6-C3B28A0218D6}</x14:id>
        </ext>
      </extLst>
    </cfRule>
  </conditionalFormatting>
  <conditionalFormatting sqref="R1045:R1073">
    <cfRule type="containsText" dxfId="7367" priority="1018" operator="containsText" text="NEUTRAL">
      <formula>NOT(ISERROR(SEARCH("NEUTRAL",R1045)))</formula>
    </cfRule>
    <cfRule type="containsText" dxfId="7366" priority="1019" operator="containsText" text="BULLISH">
      <formula>NOT(ISERROR(SEARCH("BULLISH",R1045)))</formula>
    </cfRule>
    <cfRule type="containsText" dxfId="7365" priority="1020" operator="containsText" text="BEARISH">
      <formula>NOT(ISERROR(SEARCH("BEARISH",R1045)))</formula>
    </cfRule>
  </conditionalFormatting>
  <conditionalFormatting sqref="P1045:P1073">
    <cfRule type="dataBar" priority="1017">
      <dataBar>
        <cfvo type="min"/>
        <cfvo type="max"/>
        <color rgb="FF638EC6"/>
      </dataBar>
      <extLst>
        <ext xmlns:x14="http://schemas.microsoft.com/office/spreadsheetml/2009/9/main" uri="{B025F937-C7B1-47D3-B67F-A62EFF666E3E}">
          <x14:id>{E17ED419-5FA2-0147-8B75-BD23C75E6252}</x14:id>
        </ext>
      </extLst>
    </cfRule>
  </conditionalFormatting>
  <conditionalFormatting sqref="R1074:R1102">
    <cfRule type="containsText" dxfId="7364" priority="1014" operator="containsText" text="NEUTRAL">
      <formula>NOT(ISERROR(SEARCH("NEUTRAL",R1074)))</formula>
    </cfRule>
    <cfRule type="containsText" dxfId="7363" priority="1015" operator="containsText" text="BULLISH">
      <formula>NOT(ISERROR(SEARCH("BULLISH",R1074)))</formula>
    </cfRule>
    <cfRule type="containsText" dxfId="7362" priority="1016" operator="containsText" text="BEARISH">
      <formula>NOT(ISERROR(SEARCH("BEARISH",R1074)))</formula>
    </cfRule>
  </conditionalFormatting>
  <conditionalFormatting sqref="P1074:P1102">
    <cfRule type="dataBar" priority="1013">
      <dataBar>
        <cfvo type="min"/>
        <cfvo type="max"/>
        <color rgb="FF638EC6"/>
      </dataBar>
      <extLst>
        <ext xmlns:x14="http://schemas.microsoft.com/office/spreadsheetml/2009/9/main" uri="{B025F937-C7B1-47D3-B67F-A62EFF666E3E}">
          <x14:id>{E98765E5-E1BE-F743-A531-5F92557DA035}</x14:id>
        </ext>
      </extLst>
    </cfRule>
  </conditionalFormatting>
  <conditionalFormatting sqref="R1103:R1131">
    <cfRule type="containsText" dxfId="7361" priority="1010" operator="containsText" text="NEUTRAL">
      <formula>NOT(ISERROR(SEARCH("NEUTRAL",R1103)))</formula>
    </cfRule>
    <cfRule type="containsText" dxfId="7360" priority="1011" operator="containsText" text="BULLISH">
      <formula>NOT(ISERROR(SEARCH("BULLISH",R1103)))</formula>
    </cfRule>
    <cfRule type="containsText" dxfId="7359" priority="1012" operator="containsText" text="BEARISH">
      <formula>NOT(ISERROR(SEARCH("BEARISH",R1103)))</formula>
    </cfRule>
  </conditionalFormatting>
  <conditionalFormatting sqref="P1103:P1131">
    <cfRule type="dataBar" priority="1009">
      <dataBar>
        <cfvo type="min"/>
        <cfvo type="max"/>
        <color rgb="FF638EC6"/>
      </dataBar>
      <extLst>
        <ext xmlns:x14="http://schemas.microsoft.com/office/spreadsheetml/2009/9/main" uri="{B025F937-C7B1-47D3-B67F-A62EFF666E3E}">
          <x14:id>{707BE452-0175-734C-977F-E9298FCD656E}</x14:id>
        </ext>
      </extLst>
    </cfRule>
  </conditionalFormatting>
  <conditionalFormatting sqref="R1132:R1161">
    <cfRule type="containsText" dxfId="7358" priority="1006" operator="containsText" text="NEUTRAL">
      <formula>NOT(ISERROR(SEARCH("NEUTRAL",R1132)))</formula>
    </cfRule>
    <cfRule type="containsText" dxfId="7357" priority="1007" operator="containsText" text="BULLISH">
      <formula>NOT(ISERROR(SEARCH("BULLISH",R1132)))</formula>
    </cfRule>
    <cfRule type="containsText" dxfId="7356" priority="1008" operator="containsText" text="BEARISH">
      <formula>NOT(ISERROR(SEARCH("BEARISH",R1132)))</formula>
    </cfRule>
  </conditionalFormatting>
  <conditionalFormatting sqref="P1132:P1161">
    <cfRule type="dataBar" priority="1005">
      <dataBar>
        <cfvo type="min"/>
        <cfvo type="max"/>
        <color rgb="FF638EC6"/>
      </dataBar>
      <extLst>
        <ext xmlns:x14="http://schemas.microsoft.com/office/spreadsheetml/2009/9/main" uri="{B025F937-C7B1-47D3-B67F-A62EFF666E3E}">
          <x14:id>{8A276D5E-C95B-5746-8C46-2F4FD142AB45}</x14:id>
        </ext>
      </extLst>
    </cfRule>
  </conditionalFormatting>
  <conditionalFormatting sqref="R1162:R1191">
    <cfRule type="containsText" dxfId="7355" priority="1002" operator="containsText" text="NEUTRAL">
      <formula>NOT(ISERROR(SEARCH("NEUTRAL",R1162)))</formula>
    </cfRule>
    <cfRule type="containsText" dxfId="7354" priority="1003" operator="containsText" text="BULLISH">
      <formula>NOT(ISERROR(SEARCH("BULLISH",R1162)))</formula>
    </cfRule>
    <cfRule type="containsText" dxfId="7353" priority="1004" operator="containsText" text="BEARISH">
      <formula>NOT(ISERROR(SEARCH("BEARISH",R1162)))</formula>
    </cfRule>
  </conditionalFormatting>
  <conditionalFormatting sqref="P1162:P1191">
    <cfRule type="dataBar" priority="1001">
      <dataBar>
        <cfvo type="min"/>
        <cfvo type="max"/>
        <color rgb="FF638EC6"/>
      </dataBar>
      <extLst>
        <ext xmlns:x14="http://schemas.microsoft.com/office/spreadsheetml/2009/9/main" uri="{B025F937-C7B1-47D3-B67F-A62EFF666E3E}">
          <x14:id>{54105231-D4D7-094B-B2E4-02078236574A}</x14:id>
        </ext>
      </extLst>
    </cfRule>
  </conditionalFormatting>
  <conditionalFormatting sqref="R1192:R1222">
    <cfRule type="containsText" dxfId="7352" priority="998" operator="containsText" text="NEUTRAL">
      <formula>NOT(ISERROR(SEARCH("NEUTRAL",R1192)))</formula>
    </cfRule>
    <cfRule type="containsText" dxfId="7351" priority="999" operator="containsText" text="BULLISH">
      <formula>NOT(ISERROR(SEARCH("BULLISH",R1192)))</formula>
    </cfRule>
    <cfRule type="containsText" dxfId="7350" priority="1000" operator="containsText" text="BEARISH">
      <formula>NOT(ISERROR(SEARCH("BEARISH",R1192)))</formula>
    </cfRule>
  </conditionalFormatting>
  <conditionalFormatting sqref="P1192:P1222">
    <cfRule type="dataBar" priority="997">
      <dataBar>
        <cfvo type="min"/>
        <cfvo type="max"/>
        <color rgb="FF638EC6"/>
      </dataBar>
      <extLst>
        <ext xmlns:x14="http://schemas.microsoft.com/office/spreadsheetml/2009/9/main" uri="{B025F937-C7B1-47D3-B67F-A62EFF666E3E}">
          <x14:id>{BB134363-9C97-2D40-B3FC-F97B67883EC3}</x14:id>
        </ext>
      </extLst>
    </cfRule>
  </conditionalFormatting>
  <conditionalFormatting sqref="R1223:R1253">
    <cfRule type="containsText" dxfId="7349" priority="994" operator="containsText" text="NEUTRAL">
      <formula>NOT(ISERROR(SEARCH("NEUTRAL",R1223)))</formula>
    </cfRule>
    <cfRule type="containsText" dxfId="7348" priority="995" operator="containsText" text="BULLISH">
      <formula>NOT(ISERROR(SEARCH("BULLISH",R1223)))</formula>
    </cfRule>
    <cfRule type="containsText" dxfId="7347" priority="996" operator="containsText" text="BEARISH">
      <formula>NOT(ISERROR(SEARCH("BEARISH",R1223)))</formula>
    </cfRule>
  </conditionalFormatting>
  <conditionalFormatting sqref="P1223:P1253">
    <cfRule type="dataBar" priority="993">
      <dataBar>
        <cfvo type="min"/>
        <cfvo type="max"/>
        <color rgb="FF638EC6"/>
      </dataBar>
      <extLst>
        <ext xmlns:x14="http://schemas.microsoft.com/office/spreadsheetml/2009/9/main" uri="{B025F937-C7B1-47D3-B67F-A62EFF666E3E}">
          <x14:id>{D1DC37D4-332E-B747-9C88-9B819138B1FD}</x14:id>
        </ext>
      </extLst>
    </cfRule>
  </conditionalFormatting>
  <conditionalFormatting sqref="R1812:R1842">
    <cfRule type="containsText" dxfId="7346" priority="990" operator="containsText" text="NEUTRAL">
      <formula>NOT(ISERROR(SEARCH("NEUTRAL",R1812)))</formula>
    </cfRule>
    <cfRule type="containsText" dxfId="7345" priority="991" operator="containsText" text="BULLISH">
      <formula>NOT(ISERROR(SEARCH("BULLISH",R1812)))</formula>
    </cfRule>
    <cfRule type="containsText" dxfId="7344" priority="992" operator="containsText" text="BEARISH">
      <formula>NOT(ISERROR(SEARCH("BEARISH",R1812)))</formula>
    </cfRule>
  </conditionalFormatting>
  <conditionalFormatting sqref="P1812:P1842">
    <cfRule type="dataBar" priority="989">
      <dataBar>
        <cfvo type="min"/>
        <cfvo type="max"/>
        <color rgb="FF638EC6"/>
      </dataBar>
      <extLst>
        <ext xmlns:x14="http://schemas.microsoft.com/office/spreadsheetml/2009/9/main" uri="{B025F937-C7B1-47D3-B67F-A62EFF666E3E}">
          <x14:id>{9DF5B2C2-4935-304F-ACDE-76C90E79B398}</x14:id>
        </ext>
      </extLst>
    </cfRule>
  </conditionalFormatting>
  <conditionalFormatting sqref="R1254:R1284">
    <cfRule type="containsText" dxfId="7343" priority="986" operator="containsText" text="NEUTRAL">
      <formula>NOT(ISERROR(SEARCH("NEUTRAL",R1254)))</formula>
    </cfRule>
    <cfRule type="containsText" dxfId="7342" priority="987" operator="containsText" text="BULLISH">
      <formula>NOT(ISERROR(SEARCH("BULLISH",R1254)))</formula>
    </cfRule>
    <cfRule type="containsText" dxfId="7341" priority="988" operator="containsText" text="BEARISH">
      <formula>NOT(ISERROR(SEARCH("BEARISH",R1254)))</formula>
    </cfRule>
  </conditionalFormatting>
  <conditionalFormatting sqref="P1254:P1284">
    <cfRule type="dataBar" priority="985">
      <dataBar>
        <cfvo type="min"/>
        <cfvo type="max"/>
        <color rgb="FF638EC6"/>
      </dataBar>
      <extLst>
        <ext xmlns:x14="http://schemas.microsoft.com/office/spreadsheetml/2009/9/main" uri="{B025F937-C7B1-47D3-B67F-A62EFF666E3E}">
          <x14:id>{5417A7B5-3DEB-0D4B-80FF-B6C7F591100B}</x14:id>
        </ext>
      </extLst>
    </cfRule>
  </conditionalFormatting>
  <conditionalFormatting sqref="R1285:R1315">
    <cfRule type="containsText" dxfId="7340" priority="982" operator="containsText" text="NEUTRAL">
      <formula>NOT(ISERROR(SEARCH("NEUTRAL",R1285)))</formula>
    </cfRule>
    <cfRule type="containsText" dxfId="7339" priority="983" operator="containsText" text="BULLISH">
      <formula>NOT(ISERROR(SEARCH("BULLISH",R1285)))</formula>
    </cfRule>
    <cfRule type="containsText" dxfId="7338" priority="984" operator="containsText" text="BEARISH">
      <formula>NOT(ISERROR(SEARCH("BEARISH",R1285)))</formula>
    </cfRule>
  </conditionalFormatting>
  <conditionalFormatting sqref="P1285:P1315">
    <cfRule type="dataBar" priority="981">
      <dataBar>
        <cfvo type="min"/>
        <cfvo type="max"/>
        <color rgb="FF638EC6"/>
      </dataBar>
      <extLst>
        <ext xmlns:x14="http://schemas.microsoft.com/office/spreadsheetml/2009/9/main" uri="{B025F937-C7B1-47D3-B67F-A62EFF666E3E}">
          <x14:id>{EAD96A71-0B42-004F-952C-88BAB4737EF1}</x14:id>
        </ext>
      </extLst>
    </cfRule>
  </conditionalFormatting>
  <conditionalFormatting sqref="R1316:R1346">
    <cfRule type="containsText" dxfId="7337" priority="978" operator="containsText" text="NEUTRAL">
      <formula>NOT(ISERROR(SEARCH("NEUTRAL",R1316)))</formula>
    </cfRule>
    <cfRule type="containsText" dxfId="7336" priority="979" operator="containsText" text="BULLISH">
      <formula>NOT(ISERROR(SEARCH("BULLISH",R1316)))</formula>
    </cfRule>
    <cfRule type="containsText" dxfId="7335" priority="980" operator="containsText" text="BEARISH">
      <formula>NOT(ISERROR(SEARCH("BEARISH",R1316)))</formula>
    </cfRule>
  </conditionalFormatting>
  <conditionalFormatting sqref="P1316:P1346">
    <cfRule type="dataBar" priority="977">
      <dataBar>
        <cfvo type="min"/>
        <cfvo type="max"/>
        <color rgb="FF638EC6"/>
      </dataBar>
      <extLst>
        <ext xmlns:x14="http://schemas.microsoft.com/office/spreadsheetml/2009/9/main" uri="{B025F937-C7B1-47D3-B67F-A62EFF666E3E}">
          <x14:id>{BF894108-3AC5-E54C-8526-C936F7B680C2}</x14:id>
        </ext>
      </extLst>
    </cfRule>
  </conditionalFormatting>
  <conditionalFormatting sqref="R1347:R1377">
    <cfRule type="containsText" dxfId="7334" priority="974" operator="containsText" text="NEUTRAL">
      <formula>NOT(ISERROR(SEARCH("NEUTRAL",R1347)))</formula>
    </cfRule>
    <cfRule type="containsText" dxfId="7333" priority="975" operator="containsText" text="BULLISH">
      <formula>NOT(ISERROR(SEARCH("BULLISH",R1347)))</formula>
    </cfRule>
    <cfRule type="containsText" dxfId="7332" priority="976" operator="containsText" text="BEARISH">
      <formula>NOT(ISERROR(SEARCH("BEARISH",R1347)))</formula>
    </cfRule>
  </conditionalFormatting>
  <conditionalFormatting sqref="P1347:P1377">
    <cfRule type="dataBar" priority="973">
      <dataBar>
        <cfvo type="min"/>
        <cfvo type="max"/>
        <color rgb="FF638EC6"/>
      </dataBar>
      <extLst>
        <ext xmlns:x14="http://schemas.microsoft.com/office/spreadsheetml/2009/9/main" uri="{B025F937-C7B1-47D3-B67F-A62EFF666E3E}">
          <x14:id>{EDD4DFA9-3862-0E4F-AE26-AC27CDDFCEF5}</x14:id>
        </ext>
      </extLst>
    </cfRule>
  </conditionalFormatting>
  <conditionalFormatting sqref="R1378:R1408">
    <cfRule type="containsText" dxfId="7331" priority="970" operator="containsText" text="NEUTRAL">
      <formula>NOT(ISERROR(SEARCH("NEUTRAL",R1378)))</formula>
    </cfRule>
    <cfRule type="containsText" dxfId="7330" priority="971" operator="containsText" text="BULLISH">
      <formula>NOT(ISERROR(SEARCH("BULLISH",R1378)))</formula>
    </cfRule>
    <cfRule type="containsText" dxfId="7329" priority="972" operator="containsText" text="BEARISH">
      <formula>NOT(ISERROR(SEARCH("BEARISH",R1378)))</formula>
    </cfRule>
  </conditionalFormatting>
  <conditionalFormatting sqref="P1378:P1408">
    <cfRule type="dataBar" priority="969">
      <dataBar>
        <cfvo type="min"/>
        <cfvo type="max"/>
        <color rgb="FF638EC6"/>
      </dataBar>
      <extLst>
        <ext xmlns:x14="http://schemas.microsoft.com/office/spreadsheetml/2009/9/main" uri="{B025F937-C7B1-47D3-B67F-A62EFF666E3E}">
          <x14:id>{B9680934-9C9A-7A40-83EB-C89FC24748A9}</x14:id>
        </ext>
      </extLst>
    </cfRule>
  </conditionalFormatting>
  <conditionalFormatting sqref="R1409:R1439">
    <cfRule type="containsText" dxfId="7328" priority="966" operator="containsText" text="NEUTRAL">
      <formula>NOT(ISERROR(SEARCH("NEUTRAL",R1409)))</formula>
    </cfRule>
    <cfRule type="containsText" dxfId="7327" priority="967" operator="containsText" text="BULLISH">
      <formula>NOT(ISERROR(SEARCH("BULLISH",R1409)))</formula>
    </cfRule>
    <cfRule type="containsText" dxfId="7326" priority="968" operator="containsText" text="BEARISH">
      <formula>NOT(ISERROR(SEARCH("BEARISH",R1409)))</formula>
    </cfRule>
  </conditionalFormatting>
  <conditionalFormatting sqref="P1409:P1439">
    <cfRule type="dataBar" priority="965">
      <dataBar>
        <cfvo type="min"/>
        <cfvo type="max"/>
        <color rgb="FF638EC6"/>
      </dataBar>
      <extLst>
        <ext xmlns:x14="http://schemas.microsoft.com/office/spreadsheetml/2009/9/main" uri="{B025F937-C7B1-47D3-B67F-A62EFF666E3E}">
          <x14:id>{DD6067B0-82AF-A04A-87F9-D5F8679CFE44}</x14:id>
        </ext>
      </extLst>
    </cfRule>
  </conditionalFormatting>
  <conditionalFormatting sqref="R1440:R1470">
    <cfRule type="containsText" dxfId="7325" priority="962" operator="containsText" text="NEUTRAL">
      <formula>NOT(ISERROR(SEARCH("NEUTRAL",R1440)))</formula>
    </cfRule>
    <cfRule type="containsText" dxfId="7324" priority="963" operator="containsText" text="BULLISH">
      <formula>NOT(ISERROR(SEARCH("BULLISH",R1440)))</formula>
    </cfRule>
    <cfRule type="containsText" dxfId="7323" priority="964" operator="containsText" text="BEARISH">
      <formula>NOT(ISERROR(SEARCH("BEARISH",R1440)))</formula>
    </cfRule>
  </conditionalFormatting>
  <conditionalFormatting sqref="P1440:P1470">
    <cfRule type="dataBar" priority="961">
      <dataBar>
        <cfvo type="min"/>
        <cfvo type="max"/>
        <color rgb="FF638EC6"/>
      </dataBar>
      <extLst>
        <ext xmlns:x14="http://schemas.microsoft.com/office/spreadsheetml/2009/9/main" uri="{B025F937-C7B1-47D3-B67F-A62EFF666E3E}">
          <x14:id>{C383EA15-9769-F046-9E4C-54FB832F5209}</x14:id>
        </ext>
      </extLst>
    </cfRule>
  </conditionalFormatting>
  <conditionalFormatting sqref="R1471:R1501">
    <cfRule type="containsText" dxfId="7322" priority="958" operator="containsText" text="NEUTRAL">
      <formula>NOT(ISERROR(SEARCH("NEUTRAL",R1471)))</formula>
    </cfRule>
    <cfRule type="containsText" dxfId="7321" priority="959" operator="containsText" text="BULLISH">
      <formula>NOT(ISERROR(SEARCH("BULLISH",R1471)))</formula>
    </cfRule>
    <cfRule type="containsText" dxfId="7320" priority="960" operator="containsText" text="BEARISH">
      <formula>NOT(ISERROR(SEARCH("BEARISH",R1471)))</formula>
    </cfRule>
  </conditionalFormatting>
  <conditionalFormatting sqref="P1471:P1501">
    <cfRule type="dataBar" priority="957">
      <dataBar>
        <cfvo type="min"/>
        <cfvo type="max"/>
        <color rgb="FF638EC6"/>
      </dataBar>
      <extLst>
        <ext xmlns:x14="http://schemas.microsoft.com/office/spreadsheetml/2009/9/main" uri="{B025F937-C7B1-47D3-B67F-A62EFF666E3E}">
          <x14:id>{2CE87435-225B-C840-9097-E35BE94131C2}</x14:id>
        </ext>
      </extLst>
    </cfRule>
  </conditionalFormatting>
  <conditionalFormatting sqref="R1502:R1532">
    <cfRule type="containsText" dxfId="7319" priority="954" operator="containsText" text="NEUTRAL">
      <formula>NOT(ISERROR(SEARCH("NEUTRAL",R1502)))</formula>
    </cfRule>
    <cfRule type="containsText" dxfId="7318" priority="955" operator="containsText" text="BULLISH">
      <formula>NOT(ISERROR(SEARCH("BULLISH",R1502)))</formula>
    </cfRule>
    <cfRule type="containsText" dxfId="7317" priority="956" operator="containsText" text="BEARISH">
      <formula>NOT(ISERROR(SEARCH("BEARISH",R1502)))</formula>
    </cfRule>
  </conditionalFormatting>
  <conditionalFormatting sqref="P1502:P1532">
    <cfRule type="dataBar" priority="953">
      <dataBar>
        <cfvo type="min"/>
        <cfvo type="max"/>
        <color rgb="FF638EC6"/>
      </dataBar>
      <extLst>
        <ext xmlns:x14="http://schemas.microsoft.com/office/spreadsheetml/2009/9/main" uri="{B025F937-C7B1-47D3-B67F-A62EFF666E3E}">
          <x14:id>{EC1DEBA6-532F-F448-934F-0A3032839893}</x14:id>
        </ext>
      </extLst>
    </cfRule>
  </conditionalFormatting>
  <conditionalFormatting sqref="R1533:R1563">
    <cfRule type="containsText" dxfId="7316" priority="950" operator="containsText" text="NEUTRAL">
      <formula>NOT(ISERROR(SEARCH("NEUTRAL",R1533)))</formula>
    </cfRule>
    <cfRule type="containsText" dxfId="7315" priority="951" operator="containsText" text="BULLISH">
      <formula>NOT(ISERROR(SEARCH("BULLISH",R1533)))</formula>
    </cfRule>
    <cfRule type="containsText" dxfId="7314" priority="952" operator="containsText" text="BEARISH">
      <formula>NOT(ISERROR(SEARCH("BEARISH",R1533)))</formula>
    </cfRule>
  </conditionalFormatting>
  <conditionalFormatting sqref="P1533:P1563">
    <cfRule type="dataBar" priority="949">
      <dataBar>
        <cfvo type="min"/>
        <cfvo type="max"/>
        <color rgb="FF638EC6"/>
      </dataBar>
      <extLst>
        <ext xmlns:x14="http://schemas.microsoft.com/office/spreadsheetml/2009/9/main" uri="{B025F937-C7B1-47D3-B67F-A62EFF666E3E}">
          <x14:id>{D21A582F-9960-D140-8B50-7F8567CAD24C}</x14:id>
        </ext>
      </extLst>
    </cfRule>
  </conditionalFormatting>
  <conditionalFormatting sqref="R1564:R1594">
    <cfRule type="containsText" dxfId="7313" priority="946" operator="containsText" text="NEUTRAL">
      <formula>NOT(ISERROR(SEARCH("NEUTRAL",R1564)))</formula>
    </cfRule>
    <cfRule type="containsText" dxfId="7312" priority="947" operator="containsText" text="BULLISH">
      <formula>NOT(ISERROR(SEARCH("BULLISH",R1564)))</formula>
    </cfRule>
    <cfRule type="containsText" dxfId="7311" priority="948" operator="containsText" text="BEARISH">
      <formula>NOT(ISERROR(SEARCH("BEARISH",R1564)))</formula>
    </cfRule>
  </conditionalFormatting>
  <conditionalFormatting sqref="P1564:P1594">
    <cfRule type="dataBar" priority="945">
      <dataBar>
        <cfvo type="min"/>
        <cfvo type="max"/>
        <color rgb="FF638EC6"/>
      </dataBar>
      <extLst>
        <ext xmlns:x14="http://schemas.microsoft.com/office/spreadsheetml/2009/9/main" uri="{B025F937-C7B1-47D3-B67F-A62EFF666E3E}">
          <x14:id>{56A2B915-9F5D-674E-8EEA-B1DFB1B801C4}</x14:id>
        </ext>
      </extLst>
    </cfRule>
  </conditionalFormatting>
  <conditionalFormatting sqref="R1595:R1625">
    <cfRule type="containsText" dxfId="7310" priority="942" operator="containsText" text="NEUTRAL">
      <formula>NOT(ISERROR(SEARCH("NEUTRAL",R1595)))</formula>
    </cfRule>
    <cfRule type="containsText" dxfId="7309" priority="943" operator="containsText" text="BULLISH">
      <formula>NOT(ISERROR(SEARCH("BULLISH",R1595)))</formula>
    </cfRule>
    <cfRule type="containsText" dxfId="7308" priority="944" operator="containsText" text="BEARISH">
      <formula>NOT(ISERROR(SEARCH("BEARISH",R1595)))</formula>
    </cfRule>
  </conditionalFormatting>
  <conditionalFormatting sqref="P1595:P1625">
    <cfRule type="dataBar" priority="941">
      <dataBar>
        <cfvo type="min"/>
        <cfvo type="max"/>
        <color rgb="FF638EC6"/>
      </dataBar>
      <extLst>
        <ext xmlns:x14="http://schemas.microsoft.com/office/spreadsheetml/2009/9/main" uri="{B025F937-C7B1-47D3-B67F-A62EFF666E3E}">
          <x14:id>{0A48235F-7493-204F-AA8F-B270D3AF531D}</x14:id>
        </ext>
      </extLst>
    </cfRule>
  </conditionalFormatting>
  <conditionalFormatting sqref="R1626:R1656">
    <cfRule type="containsText" dxfId="7307" priority="938" operator="containsText" text="NEUTRAL">
      <formula>NOT(ISERROR(SEARCH("NEUTRAL",R1626)))</formula>
    </cfRule>
    <cfRule type="containsText" dxfId="7306" priority="939" operator="containsText" text="BULLISH">
      <formula>NOT(ISERROR(SEARCH("BULLISH",R1626)))</formula>
    </cfRule>
    <cfRule type="containsText" dxfId="7305" priority="940" operator="containsText" text="BEARISH">
      <formula>NOT(ISERROR(SEARCH("BEARISH",R1626)))</formula>
    </cfRule>
  </conditionalFormatting>
  <conditionalFormatting sqref="P1626:P1656">
    <cfRule type="dataBar" priority="937">
      <dataBar>
        <cfvo type="min"/>
        <cfvo type="max"/>
        <color rgb="FF638EC6"/>
      </dataBar>
      <extLst>
        <ext xmlns:x14="http://schemas.microsoft.com/office/spreadsheetml/2009/9/main" uri="{B025F937-C7B1-47D3-B67F-A62EFF666E3E}">
          <x14:id>{19BEAA39-F448-D34B-82F5-A3301286229C}</x14:id>
        </ext>
      </extLst>
    </cfRule>
  </conditionalFormatting>
  <conditionalFormatting sqref="R1843:R1873">
    <cfRule type="containsText" dxfId="7304" priority="934" operator="containsText" text="NEUTRAL">
      <formula>NOT(ISERROR(SEARCH("NEUTRAL",R1843)))</formula>
    </cfRule>
    <cfRule type="containsText" dxfId="7303" priority="935" operator="containsText" text="BULLISH">
      <formula>NOT(ISERROR(SEARCH("BULLISH",R1843)))</formula>
    </cfRule>
    <cfRule type="containsText" dxfId="7302" priority="936" operator="containsText" text="BEARISH">
      <formula>NOT(ISERROR(SEARCH("BEARISH",R1843)))</formula>
    </cfRule>
  </conditionalFormatting>
  <conditionalFormatting sqref="P1843:P1873">
    <cfRule type="dataBar" priority="933">
      <dataBar>
        <cfvo type="min"/>
        <cfvo type="max"/>
        <color rgb="FF638EC6"/>
      </dataBar>
      <extLst>
        <ext xmlns:x14="http://schemas.microsoft.com/office/spreadsheetml/2009/9/main" uri="{B025F937-C7B1-47D3-B67F-A62EFF666E3E}">
          <x14:id>{F9546B7C-77F7-4140-A585-7C404163746E}</x14:id>
        </ext>
      </extLst>
    </cfRule>
  </conditionalFormatting>
  <conditionalFormatting sqref="R1874:R1904">
    <cfRule type="containsText" dxfId="7301" priority="930" operator="containsText" text="NEUTRAL">
      <formula>NOT(ISERROR(SEARCH("NEUTRAL",R1874)))</formula>
    </cfRule>
    <cfRule type="containsText" dxfId="7300" priority="931" operator="containsText" text="BULLISH">
      <formula>NOT(ISERROR(SEARCH("BULLISH",R1874)))</formula>
    </cfRule>
    <cfRule type="containsText" dxfId="7299" priority="932" operator="containsText" text="BEARISH">
      <formula>NOT(ISERROR(SEARCH("BEARISH",R1874)))</formula>
    </cfRule>
  </conditionalFormatting>
  <conditionalFormatting sqref="P1874:P1904">
    <cfRule type="dataBar" priority="929">
      <dataBar>
        <cfvo type="min"/>
        <cfvo type="max"/>
        <color rgb="FF638EC6"/>
      </dataBar>
      <extLst>
        <ext xmlns:x14="http://schemas.microsoft.com/office/spreadsheetml/2009/9/main" uri="{B025F937-C7B1-47D3-B67F-A62EFF666E3E}">
          <x14:id>{51BC046F-1B37-7D43-93C6-E7A5EC537676}</x14:id>
        </ext>
      </extLst>
    </cfRule>
  </conditionalFormatting>
  <conditionalFormatting sqref="R1905:R1935">
    <cfRule type="containsText" dxfId="7298" priority="926" operator="containsText" text="NEUTRAL">
      <formula>NOT(ISERROR(SEARCH("NEUTRAL",R1905)))</formula>
    </cfRule>
    <cfRule type="containsText" dxfId="7297" priority="927" operator="containsText" text="BULLISH">
      <formula>NOT(ISERROR(SEARCH("BULLISH",R1905)))</formula>
    </cfRule>
    <cfRule type="containsText" dxfId="7296" priority="928" operator="containsText" text="BEARISH">
      <formula>NOT(ISERROR(SEARCH("BEARISH",R1905)))</formula>
    </cfRule>
  </conditionalFormatting>
  <conditionalFormatting sqref="P1905:P1935">
    <cfRule type="dataBar" priority="925">
      <dataBar>
        <cfvo type="min"/>
        <cfvo type="max"/>
        <color rgb="FF638EC6"/>
      </dataBar>
      <extLst>
        <ext xmlns:x14="http://schemas.microsoft.com/office/spreadsheetml/2009/9/main" uri="{B025F937-C7B1-47D3-B67F-A62EFF666E3E}">
          <x14:id>{738528FD-642F-B040-AA62-F8B84EA7318D}</x14:id>
        </ext>
      </extLst>
    </cfRule>
  </conditionalFormatting>
  <conditionalFormatting sqref="R1936:R1966">
    <cfRule type="containsText" dxfId="7295" priority="922" operator="containsText" text="NEUTRAL">
      <formula>NOT(ISERROR(SEARCH("NEUTRAL",R1936)))</formula>
    </cfRule>
    <cfRule type="containsText" dxfId="7294" priority="923" operator="containsText" text="BULLISH">
      <formula>NOT(ISERROR(SEARCH("BULLISH",R1936)))</formula>
    </cfRule>
    <cfRule type="containsText" dxfId="7293" priority="924" operator="containsText" text="BEARISH">
      <formula>NOT(ISERROR(SEARCH("BEARISH",R1936)))</formula>
    </cfRule>
  </conditionalFormatting>
  <conditionalFormatting sqref="P1936:P1966">
    <cfRule type="dataBar" priority="921">
      <dataBar>
        <cfvo type="min"/>
        <cfvo type="max"/>
        <color rgb="FF638EC6"/>
      </dataBar>
      <extLst>
        <ext xmlns:x14="http://schemas.microsoft.com/office/spreadsheetml/2009/9/main" uri="{B025F937-C7B1-47D3-B67F-A62EFF666E3E}">
          <x14:id>{509BE2FD-C152-2842-BB6E-C2E359B25FF6}</x14:id>
        </ext>
      </extLst>
    </cfRule>
  </conditionalFormatting>
  <conditionalFormatting sqref="R1967:R1997">
    <cfRule type="containsText" dxfId="7292" priority="918" operator="containsText" text="NEUTRAL">
      <formula>NOT(ISERROR(SEARCH("NEUTRAL",R1967)))</formula>
    </cfRule>
    <cfRule type="containsText" dxfId="7291" priority="919" operator="containsText" text="BULLISH">
      <formula>NOT(ISERROR(SEARCH("BULLISH",R1967)))</formula>
    </cfRule>
    <cfRule type="containsText" dxfId="7290" priority="920" operator="containsText" text="BEARISH">
      <formula>NOT(ISERROR(SEARCH("BEARISH",R1967)))</formula>
    </cfRule>
  </conditionalFormatting>
  <conditionalFormatting sqref="P1967:P1997">
    <cfRule type="dataBar" priority="917">
      <dataBar>
        <cfvo type="min"/>
        <cfvo type="max"/>
        <color rgb="FF638EC6"/>
      </dataBar>
      <extLst>
        <ext xmlns:x14="http://schemas.microsoft.com/office/spreadsheetml/2009/9/main" uri="{B025F937-C7B1-47D3-B67F-A62EFF666E3E}">
          <x14:id>{CBBB4577-A9DF-2E41-885F-45E5B24EF1B1}</x14:id>
        </ext>
      </extLst>
    </cfRule>
  </conditionalFormatting>
  <conditionalFormatting sqref="R1998:R2028">
    <cfRule type="containsText" dxfId="7289" priority="914" operator="containsText" text="NEUTRAL">
      <formula>NOT(ISERROR(SEARCH("NEUTRAL",R1998)))</formula>
    </cfRule>
    <cfRule type="containsText" dxfId="7288" priority="915" operator="containsText" text="BULLISH">
      <formula>NOT(ISERROR(SEARCH("BULLISH",R1998)))</formula>
    </cfRule>
    <cfRule type="containsText" dxfId="7287" priority="916" operator="containsText" text="BEARISH">
      <formula>NOT(ISERROR(SEARCH("BEARISH",R1998)))</formula>
    </cfRule>
  </conditionalFormatting>
  <conditionalFormatting sqref="P1998:P2028">
    <cfRule type="dataBar" priority="913">
      <dataBar>
        <cfvo type="min"/>
        <cfvo type="max"/>
        <color rgb="FF638EC6"/>
      </dataBar>
      <extLst>
        <ext xmlns:x14="http://schemas.microsoft.com/office/spreadsheetml/2009/9/main" uri="{B025F937-C7B1-47D3-B67F-A62EFF666E3E}">
          <x14:id>{84D1A010-25CA-824B-9861-7045DEA1FB21}</x14:id>
        </ext>
      </extLst>
    </cfRule>
  </conditionalFormatting>
  <conditionalFormatting sqref="R2029:R2059">
    <cfRule type="containsText" dxfId="7286" priority="910" operator="containsText" text="NEUTRAL">
      <formula>NOT(ISERROR(SEARCH("NEUTRAL",R2029)))</formula>
    </cfRule>
    <cfRule type="containsText" dxfId="7285" priority="911" operator="containsText" text="BULLISH">
      <formula>NOT(ISERROR(SEARCH("BULLISH",R2029)))</formula>
    </cfRule>
    <cfRule type="containsText" dxfId="7284" priority="912" operator="containsText" text="BEARISH">
      <formula>NOT(ISERROR(SEARCH("BEARISH",R2029)))</formula>
    </cfRule>
  </conditionalFormatting>
  <conditionalFormatting sqref="P2029:P2059">
    <cfRule type="dataBar" priority="909">
      <dataBar>
        <cfvo type="min"/>
        <cfvo type="max"/>
        <color rgb="FF638EC6"/>
      </dataBar>
      <extLst>
        <ext xmlns:x14="http://schemas.microsoft.com/office/spreadsheetml/2009/9/main" uri="{B025F937-C7B1-47D3-B67F-A62EFF666E3E}">
          <x14:id>{3B584909-70E6-644C-897F-C97E6054817B}</x14:id>
        </ext>
      </extLst>
    </cfRule>
  </conditionalFormatting>
  <conditionalFormatting sqref="R2060:R2090">
    <cfRule type="containsText" dxfId="7283" priority="906" operator="containsText" text="NEUTRAL">
      <formula>NOT(ISERROR(SEARCH("NEUTRAL",R2060)))</formula>
    </cfRule>
    <cfRule type="containsText" dxfId="7282" priority="907" operator="containsText" text="BULLISH">
      <formula>NOT(ISERROR(SEARCH("BULLISH",R2060)))</formula>
    </cfRule>
    <cfRule type="containsText" dxfId="7281" priority="908" operator="containsText" text="BEARISH">
      <formula>NOT(ISERROR(SEARCH("BEARISH",R2060)))</formula>
    </cfRule>
  </conditionalFormatting>
  <conditionalFormatting sqref="P2060:P2090">
    <cfRule type="dataBar" priority="905">
      <dataBar>
        <cfvo type="min"/>
        <cfvo type="max"/>
        <color rgb="FF638EC6"/>
      </dataBar>
      <extLst>
        <ext xmlns:x14="http://schemas.microsoft.com/office/spreadsheetml/2009/9/main" uri="{B025F937-C7B1-47D3-B67F-A62EFF666E3E}">
          <x14:id>{C4AF8F41-CEDA-084C-B5ED-85923E074C88}</x14:id>
        </ext>
      </extLst>
    </cfRule>
  </conditionalFormatting>
  <conditionalFormatting sqref="R2091:R2121">
    <cfRule type="containsText" dxfId="7280" priority="902" operator="containsText" text="NEUTRAL">
      <formula>NOT(ISERROR(SEARCH("NEUTRAL",R2091)))</formula>
    </cfRule>
    <cfRule type="containsText" dxfId="7279" priority="903" operator="containsText" text="BULLISH">
      <formula>NOT(ISERROR(SEARCH("BULLISH",R2091)))</formula>
    </cfRule>
    <cfRule type="containsText" dxfId="7278" priority="904" operator="containsText" text="BEARISH">
      <formula>NOT(ISERROR(SEARCH("BEARISH",R2091)))</formula>
    </cfRule>
  </conditionalFormatting>
  <conditionalFormatting sqref="P2091:P2121">
    <cfRule type="dataBar" priority="901">
      <dataBar>
        <cfvo type="min"/>
        <cfvo type="max"/>
        <color rgb="FF638EC6"/>
      </dataBar>
      <extLst>
        <ext xmlns:x14="http://schemas.microsoft.com/office/spreadsheetml/2009/9/main" uri="{B025F937-C7B1-47D3-B67F-A62EFF666E3E}">
          <x14:id>{738408B1-5D51-9B45-A014-098D8A439830}</x14:id>
        </ext>
      </extLst>
    </cfRule>
  </conditionalFormatting>
  <conditionalFormatting sqref="R2122:R2152">
    <cfRule type="containsText" dxfId="7277" priority="898" operator="containsText" text="NEUTRAL">
      <formula>NOT(ISERROR(SEARCH("NEUTRAL",R2122)))</formula>
    </cfRule>
    <cfRule type="containsText" dxfId="7276" priority="899" operator="containsText" text="BULLISH">
      <formula>NOT(ISERROR(SEARCH("BULLISH",R2122)))</formula>
    </cfRule>
    <cfRule type="containsText" dxfId="7275" priority="900" operator="containsText" text="BEARISH">
      <formula>NOT(ISERROR(SEARCH("BEARISH",R2122)))</formula>
    </cfRule>
  </conditionalFormatting>
  <conditionalFormatting sqref="P2122:P2152">
    <cfRule type="dataBar" priority="897">
      <dataBar>
        <cfvo type="min"/>
        <cfvo type="max"/>
        <color rgb="FF638EC6"/>
      </dataBar>
      <extLst>
        <ext xmlns:x14="http://schemas.microsoft.com/office/spreadsheetml/2009/9/main" uri="{B025F937-C7B1-47D3-B67F-A62EFF666E3E}">
          <x14:id>{6DA2AA5B-E48A-6144-B032-A88A67788247}</x14:id>
        </ext>
      </extLst>
    </cfRule>
  </conditionalFormatting>
  <conditionalFormatting sqref="R2153:R2183">
    <cfRule type="containsText" dxfId="7274" priority="894" operator="containsText" text="NEUTRAL">
      <formula>NOT(ISERROR(SEARCH("NEUTRAL",R2153)))</formula>
    </cfRule>
    <cfRule type="containsText" dxfId="7273" priority="895" operator="containsText" text="BULLISH">
      <formula>NOT(ISERROR(SEARCH("BULLISH",R2153)))</formula>
    </cfRule>
    <cfRule type="containsText" dxfId="7272" priority="896" operator="containsText" text="BEARISH">
      <formula>NOT(ISERROR(SEARCH("BEARISH",R2153)))</formula>
    </cfRule>
  </conditionalFormatting>
  <conditionalFormatting sqref="P2153:P2183">
    <cfRule type="dataBar" priority="893">
      <dataBar>
        <cfvo type="min"/>
        <cfvo type="max"/>
        <color rgb="FF638EC6"/>
      </dataBar>
      <extLst>
        <ext xmlns:x14="http://schemas.microsoft.com/office/spreadsheetml/2009/9/main" uri="{B025F937-C7B1-47D3-B67F-A62EFF666E3E}">
          <x14:id>{A9EF93CB-DB8C-8648-9F7F-2D62A6E520B5}</x14:id>
        </ext>
      </extLst>
    </cfRule>
  </conditionalFormatting>
  <conditionalFormatting sqref="R2184:R2214">
    <cfRule type="containsText" dxfId="7271" priority="890" operator="containsText" text="NEUTRAL">
      <formula>NOT(ISERROR(SEARCH("NEUTRAL",R2184)))</formula>
    </cfRule>
    <cfRule type="containsText" dxfId="7270" priority="891" operator="containsText" text="BULLISH">
      <formula>NOT(ISERROR(SEARCH("BULLISH",R2184)))</formula>
    </cfRule>
    <cfRule type="containsText" dxfId="7269" priority="892" operator="containsText" text="BEARISH">
      <formula>NOT(ISERROR(SEARCH("BEARISH",R2184)))</formula>
    </cfRule>
  </conditionalFormatting>
  <conditionalFormatting sqref="P2184:P2214">
    <cfRule type="dataBar" priority="889">
      <dataBar>
        <cfvo type="min"/>
        <cfvo type="max"/>
        <color rgb="FF638EC6"/>
      </dataBar>
      <extLst>
        <ext xmlns:x14="http://schemas.microsoft.com/office/spreadsheetml/2009/9/main" uri="{B025F937-C7B1-47D3-B67F-A62EFF666E3E}">
          <x14:id>{7DE4455B-91EF-4543-9117-96B59AEC987C}</x14:id>
        </ext>
      </extLst>
    </cfRule>
  </conditionalFormatting>
  <conditionalFormatting sqref="R2215:R2245">
    <cfRule type="containsText" dxfId="7268" priority="886" operator="containsText" text="NEUTRAL">
      <formula>NOT(ISERROR(SEARCH("NEUTRAL",R2215)))</formula>
    </cfRule>
    <cfRule type="containsText" dxfId="7267" priority="887" operator="containsText" text="BULLISH">
      <formula>NOT(ISERROR(SEARCH("BULLISH",R2215)))</formula>
    </cfRule>
    <cfRule type="containsText" dxfId="7266" priority="888" operator="containsText" text="BEARISH">
      <formula>NOT(ISERROR(SEARCH("BEARISH",R2215)))</formula>
    </cfRule>
  </conditionalFormatting>
  <conditionalFormatting sqref="P2215:P2245">
    <cfRule type="dataBar" priority="885">
      <dataBar>
        <cfvo type="min"/>
        <cfvo type="max"/>
        <color rgb="FF638EC6"/>
      </dataBar>
      <extLst>
        <ext xmlns:x14="http://schemas.microsoft.com/office/spreadsheetml/2009/9/main" uri="{B025F937-C7B1-47D3-B67F-A62EFF666E3E}">
          <x14:id>{71817A30-EA5C-C24B-90BB-34009CDB385E}</x14:id>
        </ext>
      </extLst>
    </cfRule>
  </conditionalFormatting>
  <conditionalFormatting sqref="R2246:R2276">
    <cfRule type="containsText" dxfId="7265" priority="882" operator="containsText" text="NEUTRAL">
      <formula>NOT(ISERROR(SEARCH("NEUTRAL",R2246)))</formula>
    </cfRule>
    <cfRule type="containsText" dxfId="7264" priority="883" operator="containsText" text="BULLISH">
      <formula>NOT(ISERROR(SEARCH("BULLISH",R2246)))</formula>
    </cfRule>
    <cfRule type="containsText" dxfId="7263" priority="884" operator="containsText" text="BEARISH">
      <formula>NOT(ISERROR(SEARCH("BEARISH",R2246)))</formula>
    </cfRule>
  </conditionalFormatting>
  <conditionalFormatting sqref="P2246:P2276">
    <cfRule type="dataBar" priority="881">
      <dataBar>
        <cfvo type="min"/>
        <cfvo type="max"/>
        <color rgb="FF638EC6"/>
      </dataBar>
      <extLst>
        <ext xmlns:x14="http://schemas.microsoft.com/office/spreadsheetml/2009/9/main" uri="{B025F937-C7B1-47D3-B67F-A62EFF666E3E}">
          <x14:id>{D3A6DE7A-AFCF-E042-8BA4-AC31692B6A68}</x14:id>
        </ext>
      </extLst>
    </cfRule>
  </conditionalFormatting>
  <conditionalFormatting sqref="R2277:R2307">
    <cfRule type="containsText" dxfId="7262" priority="878" operator="containsText" text="NEUTRAL">
      <formula>NOT(ISERROR(SEARCH("NEUTRAL",R2277)))</formula>
    </cfRule>
    <cfRule type="containsText" dxfId="7261" priority="879" operator="containsText" text="BULLISH">
      <formula>NOT(ISERROR(SEARCH("BULLISH",R2277)))</formula>
    </cfRule>
    <cfRule type="containsText" dxfId="7260" priority="880" operator="containsText" text="BEARISH">
      <formula>NOT(ISERROR(SEARCH("BEARISH",R2277)))</formula>
    </cfRule>
  </conditionalFormatting>
  <conditionalFormatting sqref="P2277:P2307">
    <cfRule type="dataBar" priority="877">
      <dataBar>
        <cfvo type="min"/>
        <cfvo type="max"/>
        <color rgb="FF638EC6"/>
      </dataBar>
      <extLst>
        <ext xmlns:x14="http://schemas.microsoft.com/office/spreadsheetml/2009/9/main" uri="{B025F937-C7B1-47D3-B67F-A62EFF666E3E}">
          <x14:id>{02B2A189-F4CA-1B4E-BC8D-484564E16CDC}</x14:id>
        </ext>
      </extLst>
    </cfRule>
  </conditionalFormatting>
  <conditionalFormatting sqref="R2308:R2338">
    <cfRule type="containsText" dxfId="7259" priority="874" operator="containsText" text="NEUTRAL">
      <formula>NOT(ISERROR(SEARCH("NEUTRAL",R2308)))</formula>
    </cfRule>
    <cfRule type="containsText" dxfId="7258" priority="875" operator="containsText" text="BULLISH">
      <formula>NOT(ISERROR(SEARCH("BULLISH",R2308)))</formula>
    </cfRule>
    <cfRule type="containsText" dxfId="7257" priority="876" operator="containsText" text="BEARISH">
      <formula>NOT(ISERROR(SEARCH("BEARISH",R2308)))</formula>
    </cfRule>
  </conditionalFormatting>
  <conditionalFormatting sqref="P2308:P2338">
    <cfRule type="dataBar" priority="873">
      <dataBar>
        <cfvo type="min"/>
        <cfvo type="max"/>
        <color rgb="FF638EC6"/>
      </dataBar>
      <extLst>
        <ext xmlns:x14="http://schemas.microsoft.com/office/spreadsheetml/2009/9/main" uri="{B025F937-C7B1-47D3-B67F-A62EFF666E3E}">
          <x14:id>{DC33DE72-2396-9F4F-BB6C-C5E18463D4D8}</x14:id>
        </ext>
      </extLst>
    </cfRule>
  </conditionalFormatting>
  <conditionalFormatting sqref="R2339:R2368">
    <cfRule type="containsText" dxfId="7256" priority="870" operator="containsText" text="NEUTRAL">
      <formula>NOT(ISERROR(SEARCH("NEUTRAL",R2339)))</formula>
    </cfRule>
    <cfRule type="containsText" dxfId="7255" priority="871" operator="containsText" text="BULLISH">
      <formula>NOT(ISERROR(SEARCH("BULLISH",R2339)))</formula>
    </cfRule>
    <cfRule type="containsText" dxfId="7254" priority="872" operator="containsText" text="BEARISH">
      <formula>NOT(ISERROR(SEARCH("BEARISH",R2339)))</formula>
    </cfRule>
  </conditionalFormatting>
  <conditionalFormatting sqref="P2339:P2368">
    <cfRule type="dataBar" priority="869">
      <dataBar>
        <cfvo type="min"/>
        <cfvo type="max"/>
        <color rgb="FF638EC6"/>
      </dataBar>
      <extLst>
        <ext xmlns:x14="http://schemas.microsoft.com/office/spreadsheetml/2009/9/main" uri="{B025F937-C7B1-47D3-B67F-A62EFF666E3E}">
          <x14:id>{8F450F06-3B69-604E-ACAB-206052E5D5C8}</x14:id>
        </ext>
      </extLst>
    </cfRule>
  </conditionalFormatting>
  <conditionalFormatting sqref="R2369:R2398">
    <cfRule type="containsText" dxfId="7253" priority="866" operator="containsText" text="NEUTRAL">
      <formula>NOT(ISERROR(SEARCH("NEUTRAL",R2369)))</formula>
    </cfRule>
    <cfRule type="containsText" dxfId="7252" priority="867" operator="containsText" text="BULLISH">
      <formula>NOT(ISERROR(SEARCH("BULLISH",R2369)))</formula>
    </cfRule>
    <cfRule type="containsText" dxfId="7251" priority="868" operator="containsText" text="BEARISH">
      <formula>NOT(ISERROR(SEARCH("BEARISH",R2369)))</formula>
    </cfRule>
  </conditionalFormatting>
  <conditionalFormatting sqref="P2369:P2398">
    <cfRule type="dataBar" priority="865">
      <dataBar>
        <cfvo type="min"/>
        <cfvo type="max"/>
        <color rgb="FF638EC6"/>
      </dataBar>
      <extLst>
        <ext xmlns:x14="http://schemas.microsoft.com/office/spreadsheetml/2009/9/main" uri="{B025F937-C7B1-47D3-B67F-A62EFF666E3E}">
          <x14:id>{42D6E964-8619-494D-A21E-9E8A6B65997A}</x14:id>
        </ext>
      </extLst>
    </cfRule>
  </conditionalFormatting>
  <conditionalFormatting sqref="R2399:R2428">
    <cfRule type="containsText" dxfId="7250" priority="862" operator="containsText" text="NEUTRAL">
      <formula>NOT(ISERROR(SEARCH("NEUTRAL",R2399)))</formula>
    </cfRule>
    <cfRule type="containsText" dxfId="7249" priority="863" operator="containsText" text="BULLISH">
      <formula>NOT(ISERROR(SEARCH("BULLISH",R2399)))</formula>
    </cfRule>
    <cfRule type="containsText" dxfId="7248" priority="864" operator="containsText" text="BEARISH">
      <formula>NOT(ISERROR(SEARCH("BEARISH",R2399)))</formula>
    </cfRule>
  </conditionalFormatting>
  <conditionalFormatting sqref="P2399:P2428">
    <cfRule type="dataBar" priority="861">
      <dataBar>
        <cfvo type="min"/>
        <cfvo type="max"/>
        <color rgb="FF638EC6"/>
      </dataBar>
      <extLst>
        <ext xmlns:x14="http://schemas.microsoft.com/office/spreadsheetml/2009/9/main" uri="{B025F937-C7B1-47D3-B67F-A62EFF666E3E}">
          <x14:id>{0BB1C67D-F6D0-7B42-9C0E-9C07AAC08C0D}</x14:id>
        </ext>
      </extLst>
    </cfRule>
  </conditionalFormatting>
  <conditionalFormatting sqref="R2429:R2458">
    <cfRule type="containsText" dxfId="7247" priority="858" operator="containsText" text="NEUTRAL">
      <formula>NOT(ISERROR(SEARCH("NEUTRAL",R2429)))</formula>
    </cfRule>
    <cfRule type="containsText" dxfId="7246" priority="859" operator="containsText" text="BULLISH">
      <formula>NOT(ISERROR(SEARCH("BULLISH",R2429)))</formula>
    </cfRule>
    <cfRule type="containsText" dxfId="7245" priority="860" operator="containsText" text="BEARISH">
      <formula>NOT(ISERROR(SEARCH("BEARISH",R2429)))</formula>
    </cfRule>
  </conditionalFormatting>
  <conditionalFormatting sqref="P2429:P2458">
    <cfRule type="dataBar" priority="857">
      <dataBar>
        <cfvo type="min"/>
        <cfvo type="max"/>
        <color rgb="FF638EC6"/>
      </dataBar>
      <extLst>
        <ext xmlns:x14="http://schemas.microsoft.com/office/spreadsheetml/2009/9/main" uri="{B025F937-C7B1-47D3-B67F-A62EFF666E3E}">
          <x14:id>{3CEEE984-A143-B247-96F9-97FEB1564B7A}</x14:id>
        </ext>
      </extLst>
    </cfRule>
  </conditionalFormatting>
  <conditionalFormatting sqref="R2459:R2488">
    <cfRule type="containsText" dxfId="7244" priority="854" operator="containsText" text="NEUTRAL">
      <formula>NOT(ISERROR(SEARCH("NEUTRAL",R2459)))</formula>
    </cfRule>
    <cfRule type="containsText" dxfId="7243" priority="855" operator="containsText" text="BULLISH">
      <formula>NOT(ISERROR(SEARCH("BULLISH",R2459)))</formula>
    </cfRule>
    <cfRule type="containsText" dxfId="7242" priority="856" operator="containsText" text="BEARISH">
      <formula>NOT(ISERROR(SEARCH("BEARISH",R2459)))</formula>
    </cfRule>
  </conditionalFormatting>
  <conditionalFormatting sqref="P2459:P2488">
    <cfRule type="dataBar" priority="853">
      <dataBar>
        <cfvo type="min"/>
        <cfvo type="max"/>
        <color rgb="FF638EC6"/>
      </dataBar>
      <extLst>
        <ext xmlns:x14="http://schemas.microsoft.com/office/spreadsheetml/2009/9/main" uri="{B025F937-C7B1-47D3-B67F-A62EFF666E3E}">
          <x14:id>{7B3D167D-3096-924D-955E-3CA94DE6FA05}</x14:id>
        </ext>
      </extLst>
    </cfRule>
  </conditionalFormatting>
  <conditionalFormatting sqref="R2489:R2518">
    <cfRule type="containsText" dxfId="7241" priority="850" operator="containsText" text="NEUTRAL">
      <formula>NOT(ISERROR(SEARCH("NEUTRAL",R2489)))</formula>
    </cfRule>
    <cfRule type="containsText" dxfId="7240" priority="851" operator="containsText" text="BULLISH">
      <formula>NOT(ISERROR(SEARCH("BULLISH",R2489)))</formula>
    </cfRule>
    <cfRule type="containsText" dxfId="7239" priority="852" operator="containsText" text="BEARISH">
      <formula>NOT(ISERROR(SEARCH("BEARISH",R2489)))</formula>
    </cfRule>
  </conditionalFormatting>
  <conditionalFormatting sqref="P2489:P2518">
    <cfRule type="dataBar" priority="849">
      <dataBar>
        <cfvo type="min"/>
        <cfvo type="max"/>
        <color rgb="FF638EC6"/>
      </dataBar>
      <extLst>
        <ext xmlns:x14="http://schemas.microsoft.com/office/spreadsheetml/2009/9/main" uri="{B025F937-C7B1-47D3-B67F-A62EFF666E3E}">
          <x14:id>{6B8E5ECD-1EBF-8343-8BB8-B58E1DF5EF13}</x14:id>
        </ext>
      </extLst>
    </cfRule>
  </conditionalFormatting>
  <conditionalFormatting sqref="R2519:R2548">
    <cfRule type="containsText" dxfId="7238" priority="846" operator="containsText" text="NEUTRAL">
      <formula>NOT(ISERROR(SEARCH("NEUTRAL",R2519)))</formula>
    </cfRule>
    <cfRule type="containsText" dxfId="7237" priority="847" operator="containsText" text="BULLISH">
      <formula>NOT(ISERROR(SEARCH("BULLISH",R2519)))</formula>
    </cfRule>
    <cfRule type="containsText" dxfId="7236" priority="848" operator="containsText" text="BEARISH">
      <formula>NOT(ISERROR(SEARCH("BEARISH",R2519)))</formula>
    </cfRule>
  </conditionalFormatting>
  <conditionalFormatting sqref="P2519:P2548">
    <cfRule type="dataBar" priority="845">
      <dataBar>
        <cfvo type="min"/>
        <cfvo type="max"/>
        <color rgb="FF638EC6"/>
      </dataBar>
      <extLst>
        <ext xmlns:x14="http://schemas.microsoft.com/office/spreadsheetml/2009/9/main" uri="{B025F937-C7B1-47D3-B67F-A62EFF666E3E}">
          <x14:id>{4C255B74-9B50-9F4A-BE7B-BDAB4F3F8519}</x14:id>
        </ext>
      </extLst>
    </cfRule>
  </conditionalFormatting>
  <conditionalFormatting sqref="R2549:R2578">
    <cfRule type="containsText" dxfId="7235" priority="842" operator="containsText" text="NEUTRAL">
      <formula>NOT(ISERROR(SEARCH("NEUTRAL",R2549)))</formula>
    </cfRule>
    <cfRule type="containsText" dxfId="7234" priority="843" operator="containsText" text="BULLISH">
      <formula>NOT(ISERROR(SEARCH("BULLISH",R2549)))</formula>
    </cfRule>
    <cfRule type="containsText" dxfId="7233" priority="844" operator="containsText" text="BEARISH">
      <formula>NOT(ISERROR(SEARCH("BEARISH",R2549)))</formula>
    </cfRule>
  </conditionalFormatting>
  <conditionalFormatting sqref="P2549:P2578">
    <cfRule type="dataBar" priority="841">
      <dataBar>
        <cfvo type="min"/>
        <cfvo type="max"/>
        <color rgb="FF638EC6"/>
      </dataBar>
      <extLst>
        <ext xmlns:x14="http://schemas.microsoft.com/office/spreadsheetml/2009/9/main" uri="{B025F937-C7B1-47D3-B67F-A62EFF666E3E}">
          <x14:id>{820FC70D-0685-594E-A5D4-E8C5C8D0931F}</x14:id>
        </ext>
      </extLst>
    </cfRule>
  </conditionalFormatting>
  <conditionalFormatting sqref="R2579:R2608">
    <cfRule type="containsText" dxfId="7232" priority="838" operator="containsText" text="NEUTRAL">
      <formula>NOT(ISERROR(SEARCH("NEUTRAL",R2579)))</formula>
    </cfRule>
    <cfRule type="containsText" dxfId="7231" priority="839" operator="containsText" text="BULLISH">
      <formula>NOT(ISERROR(SEARCH("BULLISH",R2579)))</formula>
    </cfRule>
    <cfRule type="containsText" dxfId="7230" priority="840" operator="containsText" text="BEARISH">
      <formula>NOT(ISERROR(SEARCH("BEARISH",R2579)))</formula>
    </cfRule>
  </conditionalFormatting>
  <conditionalFormatting sqref="P2579:P2608">
    <cfRule type="dataBar" priority="837">
      <dataBar>
        <cfvo type="min"/>
        <cfvo type="max"/>
        <color rgb="FF638EC6"/>
      </dataBar>
      <extLst>
        <ext xmlns:x14="http://schemas.microsoft.com/office/spreadsheetml/2009/9/main" uri="{B025F937-C7B1-47D3-B67F-A62EFF666E3E}">
          <x14:id>{E6DE491D-F044-AB4E-804F-ED461F09FF86}</x14:id>
        </ext>
      </extLst>
    </cfRule>
  </conditionalFormatting>
  <conditionalFormatting sqref="R2609:R2638">
    <cfRule type="containsText" dxfId="7229" priority="834" operator="containsText" text="NEUTRAL">
      <formula>NOT(ISERROR(SEARCH("NEUTRAL",R2609)))</formula>
    </cfRule>
    <cfRule type="containsText" dxfId="7228" priority="835" operator="containsText" text="BULLISH">
      <formula>NOT(ISERROR(SEARCH("BULLISH",R2609)))</formula>
    </cfRule>
    <cfRule type="containsText" dxfId="7227" priority="836" operator="containsText" text="BEARISH">
      <formula>NOT(ISERROR(SEARCH("BEARISH",R2609)))</formula>
    </cfRule>
  </conditionalFormatting>
  <conditionalFormatting sqref="P2609:P2638">
    <cfRule type="dataBar" priority="833">
      <dataBar>
        <cfvo type="min"/>
        <cfvo type="max"/>
        <color rgb="FF638EC6"/>
      </dataBar>
      <extLst>
        <ext xmlns:x14="http://schemas.microsoft.com/office/spreadsheetml/2009/9/main" uri="{B025F937-C7B1-47D3-B67F-A62EFF666E3E}">
          <x14:id>{B5A2EB76-1D61-F045-BCE0-1708F4568D6F}</x14:id>
        </ext>
      </extLst>
    </cfRule>
  </conditionalFormatting>
  <conditionalFormatting sqref="R2639:R2668">
    <cfRule type="containsText" dxfId="7226" priority="830" operator="containsText" text="NEUTRAL">
      <formula>NOT(ISERROR(SEARCH("NEUTRAL",R2639)))</formula>
    </cfRule>
    <cfRule type="containsText" dxfId="7225" priority="831" operator="containsText" text="BULLISH">
      <formula>NOT(ISERROR(SEARCH("BULLISH",R2639)))</formula>
    </cfRule>
    <cfRule type="containsText" dxfId="7224" priority="832" operator="containsText" text="BEARISH">
      <formula>NOT(ISERROR(SEARCH("BEARISH",R2639)))</formula>
    </cfRule>
  </conditionalFormatting>
  <conditionalFormatting sqref="P2639:P2668">
    <cfRule type="dataBar" priority="829">
      <dataBar>
        <cfvo type="min"/>
        <cfvo type="max"/>
        <color rgb="FF638EC6"/>
      </dataBar>
      <extLst>
        <ext xmlns:x14="http://schemas.microsoft.com/office/spreadsheetml/2009/9/main" uri="{B025F937-C7B1-47D3-B67F-A62EFF666E3E}">
          <x14:id>{8924EBB9-2AE3-D940-A4D2-A87F49BBCE35}</x14:id>
        </ext>
      </extLst>
    </cfRule>
  </conditionalFormatting>
  <conditionalFormatting sqref="R2669:R2698">
    <cfRule type="containsText" dxfId="7223" priority="826" operator="containsText" text="NEUTRAL">
      <formula>NOT(ISERROR(SEARCH("NEUTRAL",R2669)))</formula>
    </cfRule>
    <cfRule type="containsText" dxfId="7222" priority="827" operator="containsText" text="BULLISH">
      <formula>NOT(ISERROR(SEARCH("BULLISH",R2669)))</formula>
    </cfRule>
    <cfRule type="containsText" dxfId="7221" priority="828" operator="containsText" text="BEARISH">
      <formula>NOT(ISERROR(SEARCH("BEARISH",R2669)))</formula>
    </cfRule>
  </conditionalFormatting>
  <conditionalFormatting sqref="P2669:P2698">
    <cfRule type="dataBar" priority="825">
      <dataBar>
        <cfvo type="min"/>
        <cfvo type="max"/>
        <color rgb="FF638EC6"/>
      </dataBar>
      <extLst>
        <ext xmlns:x14="http://schemas.microsoft.com/office/spreadsheetml/2009/9/main" uri="{B025F937-C7B1-47D3-B67F-A62EFF666E3E}">
          <x14:id>{A7729490-FF06-B040-A48F-AAA45FDAD5A8}</x14:id>
        </ext>
      </extLst>
    </cfRule>
  </conditionalFormatting>
  <conditionalFormatting sqref="R2699:R2728">
    <cfRule type="containsText" dxfId="7220" priority="822" operator="containsText" text="NEUTRAL">
      <formula>NOT(ISERROR(SEARCH("NEUTRAL",R2699)))</formula>
    </cfRule>
    <cfRule type="containsText" dxfId="7219" priority="823" operator="containsText" text="BULLISH">
      <formula>NOT(ISERROR(SEARCH("BULLISH",R2699)))</formula>
    </cfRule>
    <cfRule type="containsText" dxfId="7218" priority="824" operator="containsText" text="BEARISH">
      <formula>NOT(ISERROR(SEARCH("BEARISH",R2699)))</formula>
    </cfRule>
  </conditionalFormatting>
  <conditionalFormatting sqref="P2699:P2728">
    <cfRule type="dataBar" priority="821">
      <dataBar>
        <cfvo type="min"/>
        <cfvo type="max"/>
        <color rgb="FF638EC6"/>
      </dataBar>
      <extLst>
        <ext xmlns:x14="http://schemas.microsoft.com/office/spreadsheetml/2009/9/main" uri="{B025F937-C7B1-47D3-B67F-A62EFF666E3E}">
          <x14:id>{B9A8F5F9-AC0A-8441-82A4-3D935C3B6E30}</x14:id>
        </ext>
      </extLst>
    </cfRule>
  </conditionalFormatting>
  <conditionalFormatting sqref="R2729:R2758">
    <cfRule type="containsText" dxfId="7217" priority="818" operator="containsText" text="NEUTRAL">
      <formula>NOT(ISERROR(SEARCH("NEUTRAL",R2729)))</formula>
    </cfRule>
    <cfRule type="containsText" dxfId="7216" priority="819" operator="containsText" text="BULLISH">
      <formula>NOT(ISERROR(SEARCH("BULLISH",R2729)))</formula>
    </cfRule>
    <cfRule type="containsText" dxfId="7215" priority="820" operator="containsText" text="BEARISH">
      <formula>NOT(ISERROR(SEARCH("BEARISH",R2729)))</formula>
    </cfRule>
  </conditionalFormatting>
  <conditionalFormatting sqref="P2729:P2758">
    <cfRule type="dataBar" priority="817">
      <dataBar>
        <cfvo type="min"/>
        <cfvo type="max"/>
        <color rgb="FF638EC6"/>
      </dataBar>
      <extLst>
        <ext xmlns:x14="http://schemas.microsoft.com/office/spreadsheetml/2009/9/main" uri="{B025F937-C7B1-47D3-B67F-A62EFF666E3E}">
          <x14:id>{82D23A4E-485F-A748-9C0E-0012DC4901F6}</x14:id>
        </ext>
      </extLst>
    </cfRule>
  </conditionalFormatting>
  <conditionalFormatting sqref="R2759:R2788">
    <cfRule type="containsText" dxfId="7214" priority="814" operator="containsText" text="NEUTRAL">
      <formula>NOT(ISERROR(SEARCH("NEUTRAL",R2759)))</formula>
    </cfRule>
    <cfRule type="containsText" dxfId="7213" priority="815" operator="containsText" text="BULLISH">
      <formula>NOT(ISERROR(SEARCH("BULLISH",R2759)))</formula>
    </cfRule>
    <cfRule type="containsText" dxfId="7212" priority="816" operator="containsText" text="BEARISH">
      <formula>NOT(ISERROR(SEARCH("BEARISH",R2759)))</formula>
    </cfRule>
  </conditionalFormatting>
  <conditionalFormatting sqref="P2759:P2788">
    <cfRule type="dataBar" priority="813">
      <dataBar>
        <cfvo type="min"/>
        <cfvo type="max"/>
        <color rgb="FF638EC6"/>
      </dataBar>
      <extLst>
        <ext xmlns:x14="http://schemas.microsoft.com/office/spreadsheetml/2009/9/main" uri="{B025F937-C7B1-47D3-B67F-A62EFF666E3E}">
          <x14:id>{8FF232FB-05CA-AD4C-8027-53F004E25511}</x14:id>
        </ext>
      </extLst>
    </cfRule>
  </conditionalFormatting>
  <conditionalFormatting sqref="R2789:R2818">
    <cfRule type="containsText" dxfId="7211" priority="810" operator="containsText" text="NEUTRAL">
      <formula>NOT(ISERROR(SEARCH("NEUTRAL",R2789)))</formula>
    </cfRule>
    <cfRule type="containsText" dxfId="7210" priority="811" operator="containsText" text="BULLISH">
      <formula>NOT(ISERROR(SEARCH("BULLISH",R2789)))</formula>
    </cfRule>
    <cfRule type="containsText" dxfId="7209" priority="812" operator="containsText" text="BEARISH">
      <formula>NOT(ISERROR(SEARCH("BEARISH",R2789)))</formula>
    </cfRule>
  </conditionalFormatting>
  <conditionalFormatting sqref="P2789:P2818">
    <cfRule type="dataBar" priority="809">
      <dataBar>
        <cfvo type="min"/>
        <cfvo type="max"/>
        <color rgb="FF638EC6"/>
      </dataBar>
      <extLst>
        <ext xmlns:x14="http://schemas.microsoft.com/office/spreadsheetml/2009/9/main" uri="{B025F937-C7B1-47D3-B67F-A62EFF666E3E}">
          <x14:id>{554D04DB-D95B-6245-8D0E-D5D967A80EA4}</x14:id>
        </ext>
      </extLst>
    </cfRule>
  </conditionalFormatting>
  <conditionalFormatting sqref="R2819:R2848">
    <cfRule type="containsText" dxfId="7208" priority="806" operator="containsText" text="NEUTRAL">
      <formula>NOT(ISERROR(SEARCH("NEUTRAL",R2819)))</formula>
    </cfRule>
    <cfRule type="containsText" dxfId="7207" priority="807" operator="containsText" text="BULLISH">
      <formula>NOT(ISERROR(SEARCH("BULLISH",R2819)))</formula>
    </cfRule>
    <cfRule type="containsText" dxfId="7206" priority="808" operator="containsText" text="BEARISH">
      <formula>NOT(ISERROR(SEARCH("BEARISH",R2819)))</formula>
    </cfRule>
  </conditionalFormatting>
  <conditionalFormatting sqref="P2819:P2848">
    <cfRule type="dataBar" priority="805">
      <dataBar>
        <cfvo type="min"/>
        <cfvo type="max"/>
        <color rgb="FF638EC6"/>
      </dataBar>
      <extLst>
        <ext xmlns:x14="http://schemas.microsoft.com/office/spreadsheetml/2009/9/main" uri="{B025F937-C7B1-47D3-B67F-A62EFF666E3E}">
          <x14:id>{92B22783-2201-9843-BFFB-B4CE3354FEE1}</x14:id>
        </ext>
      </extLst>
    </cfRule>
  </conditionalFormatting>
  <conditionalFormatting sqref="R2849:R2878">
    <cfRule type="containsText" dxfId="7205" priority="802" operator="containsText" text="NEUTRAL">
      <formula>NOT(ISERROR(SEARCH("NEUTRAL",R2849)))</formula>
    </cfRule>
    <cfRule type="containsText" dxfId="7204" priority="803" operator="containsText" text="BULLISH">
      <formula>NOT(ISERROR(SEARCH("BULLISH",R2849)))</formula>
    </cfRule>
    <cfRule type="containsText" dxfId="7203" priority="804" operator="containsText" text="BEARISH">
      <formula>NOT(ISERROR(SEARCH("BEARISH",R2849)))</formula>
    </cfRule>
  </conditionalFormatting>
  <conditionalFormatting sqref="P2849:P2878">
    <cfRule type="dataBar" priority="801">
      <dataBar>
        <cfvo type="min"/>
        <cfvo type="max"/>
        <color rgb="FF638EC6"/>
      </dataBar>
      <extLst>
        <ext xmlns:x14="http://schemas.microsoft.com/office/spreadsheetml/2009/9/main" uri="{B025F937-C7B1-47D3-B67F-A62EFF666E3E}">
          <x14:id>{6FB86137-7427-284E-A1C1-3646F6A686FE}</x14:id>
        </ext>
      </extLst>
    </cfRule>
  </conditionalFormatting>
  <conditionalFormatting sqref="R2879:R2908">
    <cfRule type="containsText" dxfId="7202" priority="798" operator="containsText" text="NEUTRAL">
      <formula>NOT(ISERROR(SEARCH("NEUTRAL",R2879)))</formula>
    </cfRule>
    <cfRule type="containsText" dxfId="7201" priority="799" operator="containsText" text="BULLISH">
      <formula>NOT(ISERROR(SEARCH("BULLISH",R2879)))</formula>
    </cfRule>
    <cfRule type="containsText" dxfId="7200" priority="800" operator="containsText" text="BEARISH">
      <formula>NOT(ISERROR(SEARCH("BEARISH",R2879)))</formula>
    </cfRule>
  </conditionalFormatting>
  <conditionalFormatting sqref="P2879:P2908">
    <cfRule type="dataBar" priority="797">
      <dataBar>
        <cfvo type="min"/>
        <cfvo type="max"/>
        <color rgb="FF638EC6"/>
      </dataBar>
      <extLst>
        <ext xmlns:x14="http://schemas.microsoft.com/office/spreadsheetml/2009/9/main" uri="{B025F937-C7B1-47D3-B67F-A62EFF666E3E}">
          <x14:id>{8767BFF8-A7F0-4E44-AF82-104C6C7A81F5}</x14:id>
        </ext>
      </extLst>
    </cfRule>
  </conditionalFormatting>
  <conditionalFormatting sqref="R2909:R2938">
    <cfRule type="containsText" dxfId="7199" priority="794" operator="containsText" text="NEUTRAL">
      <formula>NOT(ISERROR(SEARCH("NEUTRAL",R2909)))</formula>
    </cfRule>
    <cfRule type="containsText" dxfId="7198" priority="795" operator="containsText" text="BULLISH">
      <formula>NOT(ISERROR(SEARCH("BULLISH",R2909)))</formula>
    </cfRule>
    <cfRule type="containsText" dxfId="7197" priority="796" operator="containsText" text="BEARISH">
      <formula>NOT(ISERROR(SEARCH("BEARISH",R2909)))</formula>
    </cfRule>
  </conditionalFormatting>
  <conditionalFormatting sqref="P2909:P2938">
    <cfRule type="dataBar" priority="793">
      <dataBar>
        <cfvo type="min"/>
        <cfvo type="max"/>
        <color rgb="FF638EC6"/>
      </dataBar>
      <extLst>
        <ext xmlns:x14="http://schemas.microsoft.com/office/spreadsheetml/2009/9/main" uri="{B025F937-C7B1-47D3-B67F-A62EFF666E3E}">
          <x14:id>{65EA11FB-33D7-4F45-8F32-8D3777358BBC}</x14:id>
        </ext>
      </extLst>
    </cfRule>
  </conditionalFormatting>
  <conditionalFormatting sqref="R2939:R2967">
    <cfRule type="containsText" dxfId="7196" priority="790" operator="containsText" text="NEUTRAL">
      <formula>NOT(ISERROR(SEARCH("NEUTRAL",R2939)))</formula>
    </cfRule>
    <cfRule type="containsText" dxfId="7195" priority="791" operator="containsText" text="BULLISH">
      <formula>NOT(ISERROR(SEARCH("BULLISH",R2939)))</formula>
    </cfRule>
    <cfRule type="containsText" dxfId="7194" priority="792" operator="containsText" text="BEARISH">
      <formula>NOT(ISERROR(SEARCH("BEARISH",R2939)))</formula>
    </cfRule>
  </conditionalFormatting>
  <conditionalFormatting sqref="P2939:P2967">
    <cfRule type="dataBar" priority="789">
      <dataBar>
        <cfvo type="min"/>
        <cfvo type="max"/>
        <color rgb="FF638EC6"/>
      </dataBar>
      <extLst>
        <ext xmlns:x14="http://schemas.microsoft.com/office/spreadsheetml/2009/9/main" uri="{B025F937-C7B1-47D3-B67F-A62EFF666E3E}">
          <x14:id>{4D60561C-2E6F-B047-A99F-016E81FA50D0}</x14:id>
        </ext>
      </extLst>
    </cfRule>
  </conditionalFormatting>
  <conditionalFormatting sqref="R2968:R2997">
    <cfRule type="containsText" dxfId="7193" priority="786" operator="containsText" text="NEUTRAL">
      <formula>NOT(ISERROR(SEARCH("NEUTRAL",R2968)))</formula>
    </cfRule>
    <cfRule type="containsText" dxfId="7192" priority="787" operator="containsText" text="BULLISH">
      <formula>NOT(ISERROR(SEARCH("BULLISH",R2968)))</formula>
    </cfRule>
    <cfRule type="containsText" dxfId="7191" priority="788" operator="containsText" text="BEARISH">
      <formula>NOT(ISERROR(SEARCH("BEARISH",R2968)))</formula>
    </cfRule>
  </conditionalFormatting>
  <conditionalFormatting sqref="P2968:P2997">
    <cfRule type="dataBar" priority="785">
      <dataBar>
        <cfvo type="min"/>
        <cfvo type="max"/>
        <color rgb="FF638EC6"/>
      </dataBar>
      <extLst>
        <ext xmlns:x14="http://schemas.microsoft.com/office/spreadsheetml/2009/9/main" uri="{B025F937-C7B1-47D3-B67F-A62EFF666E3E}">
          <x14:id>{7ABAC838-52C4-0B4D-B41F-6F2513EBE9CF}</x14:id>
        </ext>
      </extLst>
    </cfRule>
  </conditionalFormatting>
  <conditionalFormatting sqref="R2998:R3027">
    <cfRule type="containsText" dxfId="7190" priority="782" operator="containsText" text="NEUTRAL">
      <formula>NOT(ISERROR(SEARCH("NEUTRAL",R2998)))</formula>
    </cfRule>
    <cfRule type="containsText" dxfId="7189" priority="783" operator="containsText" text="BULLISH">
      <formula>NOT(ISERROR(SEARCH("BULLISH",R2998)))</formula>
    </cfRule>
    <cfRule type="containsText" dxfId="7188" priority="784" operator="containsText" text="BEARISH">
      <formula>NOT(ISERROR(SEARCH("BEARISH",R2998)))</formula>
    </cfRule>
  </conditionalFormatting>
  <conditionalFormatting sqref="P2998:P3027">
    <cfRule type="dataBar" priority="781">
      <dataBar>
        <cfvo type="min"/>
        <cfvo type="max"/>
        <color rgb="FF638EC6"/>
      </dataBar>
      <extLst>
        <ext xmlns:x14="http://schemas.microsoft.com/office/spreadsheetml/2009/9/main" uri="{B025F937-C7B1-47D3-B67F-A62EFF666E3E}">
          <x14:id>{7BA3BE38-04FD-7F48-8214-DD79754859DE}</x14:id>
        </ext>
      </extLst>
    </cfRule>
  </conditionalFormatting>
  <conditionalFormatting sqref="R3028:R3057">
    <cfRule type="containsText" dxfId="7187" priority="778" operator="containsText" text="NEUTRAL">
      <formula>NOT(ISERROR(SEARCH("NEUTRAL",R3028)))</formula>
    </cfRule>
    <cfRule type="containsText" dxfId="7186" priority="779" operator="containsText" text="BULLISH">
      <formula>NOT(ISERROR(SEARCH("BULLISH",R3028)))</formula>
    </cfRule>
    <cfRule type="containsText" dxfId="7185" priority="780" operator="containsText" text="BEARISH">
      <formula>NOT(ISERROR(SEARCH("BEARISH",R3028)))</formula>
    </cfRule>
  </conditionalFormatting>
  <conditionalFormatting sqref="P3028:P3057">
    <cfRule type="dataBar" priority="777">
      <dataBar>
        <cfvo type="min"/>
        <cfvo type="max"/>
        <color rgb="FF638EC6"/>
      </dataBar>
      <extLst>
        <ext xmlns:x14="http://schemas.microsoft.com/office/spreadsheetml/2009/9/main" uri="{B025F937-C7B1-47D3-B67F-A62EFF666E3E}">
          <x14:id>{CE312F53-7B6D-074A-89A1-11E250AB6180}</x14:id>
        </ext>
      </extLst>
    </cfRule>
  </conditionalFormatting>
  <conditionalFormatting sqref="R3058:R3087">
    <cfRule type="containsText" dxfId="7184" priority="774" operator="containsText" text="NEUTRAL">
      <formula>NOT(ISERROR(SEARCH("NEUTRAL",R3058)))</formula>
    </cfRule>
    <cfRule type="containsText" dxfId="7183" priority="775" operator="containsText" text="BULLISH">
      <formula>NOT(ISERROR(SEARCH("BULLISH",R3058)))</formula>
    </cfRule>
    <cfRule type="containsText" dxfId="7182" priority="776" operator="containsText" text="BEARISH">
      <formula>NOT(ISERROR(SEARCH("BEARISH",R3058)))</formula>
    </cfRule>
  </conditionalFormatting>
  <conditionalFormatting sqref="P3058:P3087">
    <cfRule type="dataBar" priority="773">
      <dataBar>
        <cfvo type="min"/>
        <cfvo type="max"/>
        <color rgb="FF638EC6"/>
      </dataBar>
      <extLst>
        <ext xmlns:x14="http://schemas.microsoft.com/office/spreadsheetml/2009/9/main" uri="{B025F937-C7B1-47D3-B67F-A62EFF666E3E}">
          <x14:id>{246013D4-70AE-274B-80CA-2D9564778E4E}</x14:id>
        </ext>
      </extLst>
    </cfRule>
  </conditionalFormatting>
  <conditionalFormatting sqref="R3088:R3117">
    <cfRule type="containsText" dxfId="7181" priority="770" operator="containsText" text="NEUTRAL">
      <formula>NOT(ISERROR(SEARCH("NEUTRAL",R3088)))</formula>
    </cfRule>
    <cfRule type="containsText" dxfId="7180" priority="771" operator="containsText" text="BULLISH">
      <formula>NOT(ISERROR(SEARCH("BULLISH",R3088)))</formula>
    </cfRule>
    <cfRule type="containsText" dxfId="7179" priority="772" operator="containsText" text="BEARISH">
      <formula>NOT(ISERROR(SEARCH("BEARISH",R3088)))</formula>
    </cfRule>
  </conditionalFormatting>
  <conditionalFormatting sqref="P3088:P3117">
    <cfRule type="dataBar" priority="769">
      <dataBar>
        <cfvo type="min"/>
        <cfvo type="max"/>
        <color rgb="FF638EC6"/>
      </dataBar>
      <extLst>
        <ext xmlns:x14="http://schemas.microsoft.com/office/spreadsheetml/2009/9/main" uri="{B025F937-C7B1-47D3-B67F-A62EFF666E3E}">
          <x14:id>{A7A69270-408F-7E47-8BC1-62D55E5D1AB1}</x14:id>
        </ext>
      </extLst>
    </cfRule>
  </conditionalFormatting>
  <conditionalFormatting sqref="R3118:R3147">
    <cfRule type="containsText" dxfId="7178" priority="766" operator="containsText" text="NEUTRAL">
      <formula>NOT(ISERROR(SEARCH("NEUTRAL",R3118)))</formula>
    </cfRule>
    <cfRule type="containsText" dxfId="7177" priority="767" operator="containsText" text="BULLISH">
      <formula>NOT(ISERROR(SEARCH("BULLISH",R3118)))</formula>
    </cfRule>
    <cfRule type="containsText" dxfId="7176" priority="768" operator="containsText" text="BEARISH">
      <formula>NOT(ISERROR(SEARCH("BEARISH",R3118)))</formula>
    </cfRule>
  </conditionalFormatting>
  <conditionalFormatting sqref="P3118:P3147">
    <cfRule type="dataBar" priority="765">
      <dataBar>
        <cfvo type="min"/>
        <cfvo type="max"/>
        <color rgb="FF638EC6"/>
      </dataBar>
      <extLst>
        <ext xmlns:x14="http://schemas.microsoft.com/office/spreadsheetml/2009/9/main" uri="{B025F937-C7B1-47D3-B67F-A62EFF666E3E}">
          <x14:id>{06A902E0-8C11-CD4C-A994-58F1BBF78FC9}</x14:id>
        </ext>
      </extLst>
    </cfRule>
  </conditionalFormatting>
  <conditionalFormatting sqref="R3148:R3177">
    <cfRule type="containsText" dxfId="7175" priority="762" operator="containsText" text="NEUTRAL">
      <formula>NOT(ISERROR(SEARCH("NEUTRAL",R3148)))</formula>
    </cfRule>
    <cfRule type="containsText" dxfId="7174" priority="763" operator="containsText" text="BULLISH">
      <formula>NOT(ISERROR(SEARCH("BULLISH",R3148)))</formula>
    </cfRule>
    <cfRule type="containsText" dxfId="7173" priority="764" operator="containsText" text="BEARISH">
      <formula>NOT(ISERROR(SEARCH("BEARISH",R3148)))</formula>
    </cfRule>
  </conditionalFormatting>
  <conditionalFormatting sqref="P3148:P3177">
    <cfRule type="dataBar" priority="761">
      <dataBar>
        <cfvo type="min"/>
        <cfvo type="max"/>
        <color rgb="FF638EC6"/>
      </dataBar>
      <extLst>
        <ext xmlns:x14="http://schemas.microsoft.com/office/spreadsheetml/2009/9/main" uri="{B025F937-C7B1-47D3-B67F-A62EFF666E3E}">
          <x14:id>{D2D48E6A-862D-7F42-B328-32B99F48FCEA}</x14:id>
        </ext>
      </extLst>
    </cfRule>
  </conditionalFormatting>
  <conditionalFormatting sqref="R3178:R3207">
    <cfRule type="containsText" dxfId="7172" priority="758" operator="containsText" text="NEUTRAL">
      <formula>NOT(ISERROR(SEARCH("NEUTRAL",R3178)))</formula>
    </cfRule>
    <cfRule type="containsText" dxfId="7171" priority="759" operator="containsText" text="BULLISH">
      <formula>NOT(ISERROR(SEARCH("BULLISH",R3178)))</formula>
    </cfRule>
    <cfRule type="containsText" dxfId="7170" priority="760" operator="containsText" text="BEARISH">
      <formula>NOT(ISERROR(SEARCH("BEARISH",R3178)))</formula>
    </cfRule>
  </conditionalFormatting>
  <conditionalFormatting sqref="P3178:P3207">
    <cfRule type="dataBar" priority="757">
      <dataBar>
        <cfvo type="min"/>
        <cfvo type="max"/>
        <color rgb="FF638EC6"/>
      </dataBar>
      <extLst>
        <ext xmlns:x14="http://schemas.microsoft.com/office/spreadsheetml/2009/9/main" uri="{B025F937-C7B1-47D3-B67F-A62EFF666E3E}">
          <x14:id>{C4B94F98-8936-1440-B7BD-582285C16702}</x14:id>
        </ext>
      </extLst>
    </cfRule>
  </conditionalFormatting>
  <conditionalFormatting sqref="R3208:R3237">
    <cfRule type="containsText" dxfId="7169" priority="754" operator="containsText" text="NEUTRAL">
      <formula>NOT(ISERROR(SEARCH("NEUTRAL",R3208)))</formula>
    </cfRule>
    <cfRule type="containsText" dxfId="7168" priority="755" operator="containsText" text="BULLISH">
      <formula>NOT(ISERROR(SEARCH("BULLISH",R3208)))</formula>
    </cfRule>
    <cfRule type="containsText" dxfId="7167" priority="756" operator="containsText" text="BEARISH">
      <formula>NOT(ISERROR(SEARCH("BEARISH",R3208)))</formula>
    </cfRule>
  </conditionalFormatting>
  <conditionalFormatting sqref="P3208:P3237">
    <cfRule type="dataBar" priority="753">
      <dataBar>
        <cfvo type="min"/>
        <cfvo type="max"/>
        <color rgb="FF638EC6"/>
      </dataBar>
      <extLst>
        <ext xmlns:x14="http://schemas.microsoft.com/office/spreadsheetml/2009/9/main" uri="{B025F937-C7B1-47D3-B67F-A62EFF666E3E}">
          <x14:id>{4DA5AD44-F1D0-C345-AB64-18A64A2B1358}</x14:id>
        </ext>
      </extLst>
    </cfRule>
  </conditionalFormatting>
  <conditionalFormatting sqref="R3238:R3267">
    <cfRule type="containsText" dxfId="7166" priority="750" operator="containsText" text="NEUTRAL">
      <formula>NOT(ISERROR(SEARCH("NEUTRAL",R3238)))</formula>
    </cfRule>
    <cfRule type="containsText" dxfId="7165" priority="751" operator="containsText" text="BULLISH">
      <formula>NOT(ISERROR(SEARCH("BULLISH",R3238)))</formula>
    </cfRule>
    <cfRule type="containsText" dxfId="7164" priority="752" operator="containsText" text="BEARISH">
      <formula>NOT(ISERROR(SEARCH("BEARISH",R3238)))</formula>
    </cfRule>
  </conditionalFormatting>
  <conditionalFormatting sqref="P3238:P3267">
    <cfRule type="dataBar" priority="749">
      <dataBar>
        <cfvo type="min"/>
        <cfvo type="max"/>
        <color rgb="FF638EC6"/>
      </dataBar>
      <extLst>
        <ext xmlns:x14="http://schemas.microsoft.com/office/spreadsheetml/2009/9/main" uri="{B025F937-C7B1-47D3-B67F-A62EFF666E3E}">
          <x14:id>{E11E6A2C-1E41-304E-BE35-730F63057B9D}</x14:id>
        </ext>
      </extLst>
    </cfRule>
  </conditionalFormatting>
  <conditionalFormatting sqref="R3268:R3297">
    <cfRule type="containsText" dxfId="7163" priority="746" operator="containsText" text="NEUTRAL">
      <formula>NOT(ISERROR(SEARCH("NEUTRAL",R3268)))</formula>
    </cfRule>
    <cfRule type="containsText" dxfId="7162" priority="747" operator="containsText" text="BULLISH">
      <formula>NOT(ISERROR(SEARCH("BULLISH",R3268)))</formula>
    </cfRule>
    <cfRule type="containsText" dxfId="7161" priority="748" operator="containsText" text="BEARISH">
      <formula>NOT(ISERROR(SEARCH("BEARISH",R3268)))</formula>
    </cfRule>
  </conditionalFormatting>
  <conditionalFormatting sqref="P3268:P3297">
    <cfRule type="dataBar" priority="745">
      <dataBar>
        <cfvo type="min"/>
        <cfvo type="max"/>
        <color rgb="FF638EC6"/>
      </dataBar>
      <extLst>
        <ext xmlns:x14="http://schemas.microsoft.com/office/spreadsheetml/2009/9/main" uri="{B025F937-C7B1-47D3-B67F-A62EFF666E3E}">
          <x14:id>{CF388C76-D03F-3F4D-AA0D-F67449CC341E}</x14:id>
        </ext>
      </extLst>
    </cfRule>
  </conditionalFormatting>
  <conditionalFormatting sqref="R3298:R3327">
    <cfRule type="containsText" dxfId="7160" priority="742" operator="containsText" text="NEUTRAL">
      <formula>NOT(ISERROR(SEARCH("NEUTRAL",R3298)))</formula>
    </cfRule>
    <cfRule type="containsText" dxfId="7159" priority="743" operator="containsText" text="BULLISH">
      <formula>NOT(ISERROR(SEARCH("BULLISH",R3298)))</formula>
    </cfRule>
    <cfRule type="containsText" dxfId="7158" priority="744" operator="containsText" text="BEARISH">
      <formula>NOT(ISERROR(SEARCH("BEARISH",R3298)))</formula>
    </cfRule>
  </conditionalFormatting>
  <conditionalFormatting sqref="P3298:P3327">
    <cfRule type="dataBar" priority="741">
      <dataBar>
        <cfvo type="min"/>
        <cfvo type="max"/>
        <color rgb="FF638EC6"/>
      </dataBar>
      <extLst>
        <ext xmlns:x14="http://schemas.microsoft.com/office/spreadsheetml/2009/9/main" uri="{B025F937-C7B1-47D3-B67F-A62EFF666E3E}">
          <x14:id>{A4C88301-08A8-F840-958E-83CE8E1C8BFC}</x14:id>
        </ext>
      </extLst>
    </cfRule>
  </conditionalFormatting>
  <conditionalFormatting sqref="R3328:R3358">
    <cfRule type="containsText" dxfId="7157" priority="738" operator="containsText" text="NEUTRAL">
      <formula>NOT(ISERROR(SEARCH("NEUTRAL",R3328)))</formula>
    </cfRule>
    <cfRule type="containsText" dxfId="7156" priority="739" operator="containsText" text="BULLISH">
      <formula>NOT(ISERROR(SEARCH("BULLISH",R3328)))</formula>
    </cfRule>
    <cfRule type="containsText" dxfId="7155" priority="740" operator="containsText" text="BEARISH">
      <formula>NOT(ISERROR(SEARCH("BEARISH",R3328)))</formula>
    </cfRule>
  </conditionalFormatting>
  <conditionalFormatting sqref="P3328:P3358">
    <cfRule type="dataBar" priority="737">
      <dataBar>
        <cfvo type="min"/>
        <cfvo type="max"/>
        <color rgb="FF638EC6"/>
      </dataBar>
      <extLst>
        <ext xmlns:x14="http://schemas.microsoft.com/office/spreadsheetml/2009/9/main" uri="{B025F937-C7B1-47D3-B67F-A62EFF666E3E}">
          <x14:id>{832BC759-B32C-3345-9998-484233207C4F}</x14:id>
        </ext>
      </extLst>
    </cfRule>
  </conditionalFormatting>
  <conditionalFormatting sqref="R3359:R3389">
    <cfRule type="containsText" dxfId="7154" priority="734" operator="containsText" text="NEUTRAL">
      <formula>NOT(ISERROR(SEARCH("NEUTRAL",R3359)))</formula>
    </cfRule>
    <cfRule type="containsText" dxfId="7153" priority="735" operator="containsText" text="BULLISH">
      <formula>NOT(ISERROR(SEARCH("BULLISH",R3359)))</formula>
    </cfRule>
    <cfRule type="containsText" dxfId="7152" priority="736" operator="containsText" text="BEARISH">
      <formula>NOT(ISERROR(SEARCH("BEARISH",R3359)))</formula>
    </cfRule>
  </conditionalFormatting>
  <conditionalFormatting sqref="P3359:P3389">
    <cfRule type="dataBar" priority="733">
      <dataBar>
        <cfvo type="min"/>
        <cfvo type="max"/>
        <color rgb="FF638EC6"/>
      </dataBar>
      <extLst>
        <ext xmlns:x14="http://schemas.microsoft.com/office/spreadsheetml/2009/9/main" uri="{B025F937-C7B1-47D3-B67F-A62EFF666E3E}">
          <x14:id>{4C307DEF-9526-AA4B-AE85-1A6692A0CFF9}</x14:id>
        </ext>
      </extLst>
    </cfRule>
  </conditionalFormatting>
  <conditionalFormatting sqref="R3390:R3420">
    <cfRule type="containsText" dxfId="7151" priority="730" operator="containsText" text="NEUTRAL">
      <formula>NOT(ISERROR(SEARCH("NEUTRAL",R3390)))</formula>
    </cfRule>
    <cfRule type="containsText" dxfId="7150" priority="731" operator="containsText" text="BULLISH">
      <formula>NOT(ISERROR(SEARCH("BULLISH",R3390)))</formula>
    </cfRule>
    <cfRule type="containsText" dxfId="7149" priority="732" operator="containsText" text="BEARISH">
      <formula>NOT(ISERROR(SEARCH("BEARISH",R3390)))</formula>
    </cfRule>
  </conditionalFormatting>
  <conditionalFormatting sqref="P3390:P3420">
    <cfRule type="dataBar" priority="729">
      <dataBar>
        <cfvo type="min"/>
        <cfvo type="max"/>
        <color rgb="FF638EC6"/>
      </dataBar>
      <extLst>
        <ext xmlns:x14="http://schemas.microsoft.com/office/spreadsheetml/2009/9/main" uri="{B025F937-C7B1-47D3-B67F-A62EFF666E3E}">
          <x14:id>{89C0ACCB-F102-F047-B6D7-4F643893045B}</x14:id>
        </ext>
      </extLst>
    </cfRule>
  </conditionalFormatting>
  <conditionalFormatting sqref="R3421:R3451">
    <cfRule type="containsText" dxfId="7148" priority="726" operator="containsText" text="NEUTRAL">
      <formula>NOT(ISERROR(SEARCH("NEUTRAL",R3421)))</formula>
    </cfRule>
    <cfRule type="containsText" dxfId="7147" priority="727" operator="containsText" text="BULLISH">
      <formula>NOT(ISERROR(SEARCH("BULLISH",R3421)))</formula>
    </cfRule>
    <cfRule type="containsText" dxfId="7146" priority="728" operator="containsText" text="BEARISH">
      <formula>NOT(ISERROR(SEARCH("BEARISH",R3421)))</formula>
    </cfRule>
  </conditionalFormatting>
  <conditionalFormatting sqref="P3421:P3451">
    <cfRule type="dataBar" priority="725">
      <dataBar>
        <cfvo type="min"/>
        <cfvo type="max"/>
        <color rgb="FF638EC6"/>
      </dataBar>
      <extLst>
        <ext xmlns:x14="http://schemas.microsoft.com/office/spreadsheetml/2009/9/main" uri="{B025F937-C7B1-47D3-B67F-A62EFF666E3E}">
          <x14:id>{5B4D86A7-53CC-7946-BCA1-988D742E563D}</x14:id>
        </ext>
      </extLst>
    </cfRule>
  </conditionalFormatting>
  <conditionalFormatting sqref="R3452:R3482">
    <cfRule type="containsText" dxfId="7145" priority="722" operator="containsText" text="NEUTRAL">
      <formula>NOT(ISERROR(SEARCH("NEUTRAL",R3452)))</formula>
    </cfRule>
    <cfRule type="containsText" dxfId="7144" priority="723" operator="containsText" text="BULLISH">
      <formula>NOT(ISERROR(SEARCH("BULLISH",R3452)))</formula>
    </cfRule>
    <cfRule type="containsText" dxfId="7143" priority="724" operator="containsText" text="BEARISH">
      <formula>NOT(ISERROR(SEARCH("BEARISH",R3452)))</formula>
    </cfRule>
  </conditionalFormatting>
  <conditionalFormatting sqref="P3452:P3482">
    <cfRule type="dataBar" priority="721">
      <dataBar>
        <cfvo type="min"/>
        <cfvo type="max"/>
        <color rgb="FF638EC6"/>
      </dataBar>
      <extLst>
        <ext xmlns:x14="http://schemas.microsoft.com/office/spreadsheetml/2009/9/main" uri="{B025F937-C7B1-47D3-B67F-A62EFF666E3E}">
          <x14:id>{ED1F72A6-0C00-F94C-94DC-782D566EE6B1}</x14:id>
        </ext>
      </extLst>
    </cfRule>
  </conditionalFormatting>
  <conditionalFormatting sqref="R3483:R3513">
    <cfRule type="containsText" dxfId="7142" priority="718" operator="containsText" text="NEUTRAL">
      <formula>NOT(ISERROR(SEARCH("NEUTRAL",R3483)))</formula>
    </cfRule>
    <cfRule type="containsText" dxfId="7141" priority="719" operator="containsText" text="BULLISH">
      <formula>NOT(ISERROR(SEARCH("BULLISH",R3483)))</formula>
    </cfRule>
    <cfRule type="containsText" dxfId="7140" priority="720" operator="containsText" text="BEARISH">
      <formula>NOT(ISERROR(SEARCH("BEARISH",R3483)))</formula>
    </cfRule>
  </conditionalFormatting>
  <conditionalFormatting sqref="P3483:P3513">
    <cfRule type="dataBar" priority="717">
      <dataBar>
        <cfvo type="min"/>
        <cfvo type="max"/>
        <color rgb="FF638EC6"/>
      </dataBar>
      <extLst>
        <ext xmlns:x14="http://schemas.microsoft.com/office/spreadsheetml/2009/9/main" uri="{B025F937-C7B1-47D3-B67F-A62EFF666E3E}">
          <x14:id>{1B41D91A-B024-3047-9CF2-901DF4D1132F}</x14:id>
        </ext>
      </extLst>
    </cfRule>
  </conditionalFormatting>
  <conditionalFormatting sqref="R3514:R3544">
    <cfRule type="containsText" dxfId="7139" priority="714" operator="containsText" text="NEUTRAL">
      <formula>NOT(ISERROR(SEARCH("NEUTRAL",R3514)))</formula>
    </cfRule>
    <cfRule type="containsText" dxfId="7138" priority="715" operator="containsText" text="BULLISH">
      <formula>NOT(ISERROR(SEARCH("BULLISH",R3514)))</formula>
    </cfRule>
    <cfRule type="containsText" dxfId="7137" priority="716" operator="containsText" text="BEARISH">
      <formula>NOT(ISERROR(SEARCH("BEARISH",R3514)))</formula>
    </cfRule>
  </conditionalFormatting>
  <conditionalFormatting sqref="P3514:P3544">
    <cfRule type="dataBar" priority="713">
      <dataBar>
        <cfvo type="min"/>
        <cfvo type="max"/>
        <color rgb="FF638EC6"/>
      </dataBar>
      <extLst>
        <ext xmlns:x14="http://schemas.microsoft.com/office/spreadsheetml/2009/9/main" uri="{B025F937-C7B1-47D3-B67F-A62EFF666E3E}">
          <x14:id>{36671C92-A69A-5D4D-B4D5-D50FAC751466}</x14:id>
        </ext>
      </extLst>
    </cfRule>
  </conditionalFormatting>
  <conditionalFormatting sqref="R3545:R3575">
    <cfRule type="containsText" dxfId="7136" priority="710" operator="containsText" text="NEUTRAL">
      <formula>NOT(ISERROR(SEARCH("NEUTRAL",R3545)))</formula>
    </cfRule>
    <cfRule type="containsText" dxfId="7135" priority="711" operator="containsText" text="BULLISH">
      <formula>NOT(ISERROR(SEARCH("BULLISH",R3545)))</formula>
    </cfRule>
    <cfRule type="containsText" dxfId="7134" priority="712" operator="containsText" text="BEARISH">
      <formula>NOT(ISERROR(SEARCH("BEARISH",R3545)))</formula>
    </cfRule>
  </conditionalFormatting>
  <conditionalFormatting sqref="P3545:P3575">
    <cfRule type="dataBar" priority="709">
      <dataBar>
        <cfvo type="min"/>
        <cfvo type="max"/>
        <color rgb="FF638EC6"/>
      </dataBar>
      <extLst>
        <ext xmlns:x14="http://schemas.microsoft.com/office/spreadsheetml/2009/9/main" uri="{B025F937-C7B1-47D3-B67F-A62EFF666E3E}">
          <x14:id>{7A1E82A6-5B6B-CE44-B9DB-5AF452B20396}</x14:id>
        </ext>
      </extLst>
    </cfRule>
  </conditionalFormatting>
  <conditionalFormatting sqref="R3576:R3606">
    <cfRule type="containsText" dxfId="7133" priority="706" operator="containsText" text="NEUTRAL">
      <formula>NOT(ISERROR(SEARCH("NEUTRAL",R3576)))</formula>
    </cfRule>
    <cfRule type="containsText" dxfId="7132" priority="707" operator="containsText" text="BULLISH">
      <formula>NOT(ISERROR(SEARCH("BULLISH",R3576)))</formula>
    </cfRule>
    <cfRule type="containsText" dxfId="7131" priority="708" operator="containsText" text="BEARISH">
      <formula>NOT(ISERROR(SEARCH("BEARISH",R3576)))</formula>
    </cfRule>
  </conditionalFormatting>
  <conditionalFormatting sqref="P3576:P3606">
    <cfRule type="dataBar" priority="705">
      <dataBar>
        <cfvo type="min"/>
        <cfvo type="max"/>
        <color rgb="FF638EC6"/>
      </dataBar>
      <extLst>
        <ext xmlns:x14="http://schemas.microsoft.com/office/spreadsheetml/2009/9/main" uri="{B025F937-C7B1-47D3-B67F-A62EFF666E3E}">
          <x14:id>{DF281FC6-0946-1D46-A047-1351D6BF599E}</x14:id>
        </ext>
      </extLst>
    </cfRule>
  </conditionalFormatting>
  <conditionalFormatting sqref="R3607:R3637">
    <cfRule type="containsText" dxfId="7130" priority="702" operator="containsText" text="NEUTRAL">
      <formula>NOT(ISERROR(SEARCH("NEUTRAL",R3607)))</formula>
    </cfRule>
    <cfRule type="containsText" dxfId="7129" priority="703" operator="containsText" text="BULLISH">
      <formula>NOT(ISERROR(SEARCH("BULLISH",R3607)))</formula>
    </cfRule>
    <cfRule type="containsText" dxfId="7128" priority="704" operator="containsText" text="BEARISH">
      <formula>NOT(ISERROR(SEARCH("BEARISH",R3607)))</formula>
    </cfRule>
  </conditionalFormatting>
  <conditionalFormatting sqref="P3607:P3637">
    <cfRule type="dataBar" priority="701">
      <dataBar>
        <cfvo type="min"/>
        <cfvo type="max"/>
        <color rgb="FF638EC6"/>
      </dataBar>
      <extLst>
        <ext xmlns:x14="http://schemas.microsoft.com/office/spreadsheetml/2009/9/main" uri="{B025F937-C7B1-47D3-B67F-A62EFF666E3E}">
          <x14:id>{FACE2BD8-9AD8-A644-A847-6251C6F30AB3}</x14:id>
        </ext>
      </extLst>
    </cfRule>
  </conditionalFormatting>
  <conditionalFormatting sqref="R3638:R3668">
    <cfRule type="containsText" dxfId="7127" priority="698" operator="containsText" text="NEUTRAL">
      <formula>NOT(ISERROR(SEARCH("NEUTRAL",R3638)))</formula>
    </cfRule>
    <cfRule type="containsText" dxfId="7126" priority="699" operator="containsText" text="BULLISH">
      <formula>NOT(ISERROR(SEARCH("BULLISH",R3638)))</formula>
    </cfRule>
    <cfRule type="containsText" dxfId="7125" priority="700" operator="containsText" text="BEARISH">
      <formula>NOT(ISERROR(SEARCH("BEARISH",R3638)))</formula>
    </cfRule>
  </conditionalFormatting>
  <conditionalFormatting sqref="P3638:P3668">
    <cfRule type="dataBar" priority="697">
      <dataBar>
        <cfvo type="min"/>
        <cfvo type="max"/>
        <color rgb="FF638EC6"/>
      </dataBar>
      <extLst>
        <ext xmlns:x14="http://schemas.microsoft.com/office/spreadsheetml/2009/9/main" uri="{B025F937-C7B1-47D3-B67F-A62EFF666E3E}">
          <x14:id>{813E21BB-6357-6943-A900-01281B593ED4}</x14:id>
        </ext>
      </extLst>
    </cfRule>
  </conditionalFormatting>
  <conditionalFormatting sqref="R3669:R3699">
    <cfRule type="containsText" dxfId="7124" priority="694" operator="containsText" text="NEUTRAL">
      <formula>NOT(ISERROR(SEARCH("NEUTRAL",R3669)))</formula>
    </cfRule>
    <cfRule type="containsText" dxfId="7123" priority="695" operator="containsText" text="BULLISH">
      <formula>NOT(ISERROR(SEARCH("BULLISH",R3669)))</formula>
    </cfRule>
    <cfRule type="containsText" dxfId="7122" priority="696" operator="containsText" text="BEARISH">
      <formula>NOT(ISERROR(SEARCH("BEARISH",R3669)))</formula>
    </cfRule>
  </conditionalFormatting>
  <conditionalFormatting sqref="P3669:P3699">
    <cfRule type="dataBar" priority="693">
      <dataBar>
        <cfvo type="min"/>
        <cfvo type="max"/>
        <color rgb="FF638EC6"/>
      </dataBar>
      <extLst>
        <ext xmlns:x14="http://schemas.microsoft.com/office/spreadsheetml/2009/9/main" uri="{B025F937-C7B1-47D3-B67F-A62EFF666E3E}">
          <x14:id>{5C1A850B-EB4A-0D4B-BF71-55E6E645F5C7}</x14:id>
        </ext>
      </extLst>
    </cfRule>
  </conditionalFormatting>
  <conditionalFormatting sqref="R3700:R3730">
    <cfRule type="containsText" dxfId="7121" priority="690" operator="containsText" text="NEUTRAL">
      <formula>NOT(ISERROR(SEARCH("NEUTRAL",R3700)))</formula>
    </cfRule>
    <cfRule type="containsText" dxfId="7120" priority="691" operator="containsText" text="BULLISH">
      <formula>NOT(ISERROR(SEARCH("BULLISH",R3700)))</formula>
    </cfRule>
    <cfRule type="containsText" dxfId="7119" priority="692" operator="containsText" text="BEARISH">
      <formula>NOT(ISERROR(SEARCH("BEARISH",R3700)))</formula>
    </cfRule>
  </conditionalFormatting>
  <conditionalFormatting sqref="P3700:P3730">
    <cfRule type="dataBar" priority="689">
      <dataBar>
        <cfvo type="min"/>
        <cfvo type="max"/>
        <color rgb="FF638EC6"/>
      </dataBar>
      <extLst>
        <ext xmlns:x14="http://schemas.microsoft.com/office/spreadsheetml/2009/9/main" uri="{B025F937-C7B1-47D3-B67F-A62EFF666E3E}">
          <x14:id>{821E5631-694F-744C-848C-8E0C9FB1D3FF}</x14:id>
        </ext>
      </extLst>
    </cfRule>
  </conditionalFormatting>
  <conditionalFormatting sqref="R3731:R3761">
    <cfRule type="containsText" dxfId="7118" priority="686" operator="containsText" text="NEUTRAL">
      <formula>NOT(ISERROR(SEARCH("NEUTRAL",R3731)))</formula>
    </cfRule>
    <cfRule type="containsText" dxfId="7117" priority="687" operator="containsText" text="BULLISH">
      <formula>NOT(ISERROR(SEARCH("BULLISH",R3731)))</formula>
    </cfRule>
    <cfRule type="containsText" dxfId="7116" priority="688" operator="containsText" text="BEARISH">
      <formula>NOT(ISERROR(SEARCH("BEARISH",R3731)))</formula>
    </cfRule>
  </conditionalFormatting>
  <conditionalFormatting sqref="P3731:P3761">
    <cfRule type="dataBar" priority="685">
      <dataBar>
        <cfvo type="min"/>
        <cfvo type="max"/>
        <color rgb="FF638EC6"/>
      </dataBar>
      <extLst>
        <ext xmlns:x14="http://schemas.microsoft.com/office/spreadsheetml/2009/9/main" uri="{B025F937-C7B1-47D3-B67F-A62EFF666E3E}">
          <x14:id>{29A309F7-C14C-434E-9D3A-6B38B1BBE238}</x14:id>
        </ext>
      </extLst>
    </cfRule>
  </conditionalFormatting>
  <conditionalFormatting sqref="R3762:R3792">
    <cfRule type="containsText" dxfId="7115" priority="682" operator="containsText" text="NEUTRAL">
      <formula>NOT(ISERROR(SEARCH("NEUTRAL",R3762)))</formula>
    </cfRule>
    <cfRule type="containsText" dxfId="7114" priority="683" operator="containsText" text="BULLISH">
      <formula>NOT(ISERROR(SEARCH("BULLISH",R3762)))</formula>
    </cfRule>
    <cfRule type="containsText" dxfId="7113" priority="684" operator="containsText" text="BEARISH">
      <formula>NOT(ISERROR(SEARCH("BEARISH",R3762)))</formula>
    </cfRule>
  </conditionalFormatting>
  <conditionalFormatting sqref="P3762:P3792">
    <cfRule type="dataBar" priority="681">
      <dataBar>
        <cfvo type="min"/>
        <cfvo type="max"/>
        <color rgb="FF638EC6"/>
      </dataBar>
      <extLst>
        <ext xmlns:x14="http://schemas.microsoft.com/office/spreadsheetml/2009/9/main" uri="{B025F937-C7B1-47D3-B67F-A62EFF666E3E}">
          <x14:id>{21EA47F1-0228-5344-ADC5-6D40A7F4EDE2}</x14:id>
        </ext>
      </extLst>
    </cfRule>
  </conditionalFormatting>
  <conditionalFormatting sqref="R3793:R3823">
    <cfRule type="containsText" dxfId="7112" priority="678" operator="containsText" text="NEUTRAL">
      <formula>NOT(ISERROR(SEARCH("NEUTRAL",R3793)))</formula>
    </cfRule>
    <cfRule type="containsText" dxfId="7111" priority="679" operator="containsText" text="BULLISH">
      <formula>NOT(ISERROR(SEARCH("BULLISH",R3793)))</formula>
    </cfRule>
    <cfRule type="containsText" dxfId="7110" priority="680" operator="containsText" text="BEARISH">
      <formula>NOT(ISERROR(SEARCH("BEARISH",R3793)))</formula>
    </cfRule>
  </conditionalFormatting>
  <conditionalFormatting sqref="P3793:P3823">
    <cfRule type="dataBar" priority="677">
      <dataBar>
        <cfvo type="min"/>
        <cfvo type="max"/>
        <color rgb="FF638EC6"/>
      </dataBar>
      <extLst>
        <ext xmlns:x14="http://schemas.microsoft.com/office/spreadsheetml/2009/9/main" uri="{B025F937-C7B1-47D3-B67F-A62EFF666E3E}">
          <x14:id>{59BD5106-FEB2-9041-A43E-197AD1C74470}</x14:id>
        </ext>
      </extLst>
    </cfRule>
  </conditionalFormatting>
  <conditionalFormatting sqref="R3824:R3854">
    <cfRule type="containsText" dxfId="7109" priority="674" operator="containsText" text="NEUTRAL">
      <formula>NOT(ISERROR(SEARCH("NEUTRAL",R3824)))</formula>
    </cfRule>
    <cfRule type="containsText" dxfId="7108" priority="675" operator="containsText" text="BULLISH">
      <formula>NOT(ISERROR(SEARCH("BULLISH",R3824)))</formula>
    </cfRule>
    <cfRule type="containsText" dxfId="7107" priority="676" operator="containsText" text="BEARISH">
      <formula>NOT(ISERROR(SEARCH("BEARISH",R3824)))</formula>
    </cfRule>
  </conditionalFormatting>
  <conditionalFormatting sqref="P3824:P3854">
    <cfRule type="dataBar" priority="673">
      <dataBar>
        <cfvo type="min"/>
        <cfvo type="max"/>
        <color rgb="FF638EC6"/>
      </dataBar>
      <extLst>
        <ext xmlns:x14="http://schemas.microsoft.com/office/spreadsheetml/2009/9/main" uri="{B025F937-C7B1-47D3-B67F-A62EFF666E3E}">
          <x14:id>{55446943-8453-F246-91E2-5AF08C1A8DF6}</x14:id>
        </ext>
      </extLst>
    </cfRule>
  </conditionalFormatting>
  <conditionalFormatting sqref="R3855:R3885">
    <cfRule type="containsText" dxfId="7106" priority="670" operator="containsText" text="NEUTRAL">
      <formula>NOT(ISERROR(SEARCH("NEUTRAL",R3855)))</formula>
    </cfRule>
    <cfRule type="containsText" dxfId="7105" priority="671" operator="containsText" text="BULLISH">
      <formula>NOT(ISERROR(SEARCH("BULLISH",R3855)))</formula>
    </cfRule>
    <cfRule type="containsText" dxfId="7104" priority="672" operator="containsText" text="BEARISH">
      <formula>NOT(ISERROR(SEARCH("BEARISH",R3855)))</formula>
    </cfRule>
  </conditionalFormatting>
  <conditionalFormatting sqref="P3855:P3885">
    <cfRule type="dataBar" priority="669">
      <dataBar>
        <cfvo type="min"/>
        <cfvo type="max"/>
        <color rgb="FF638EC6"/>
      </dataBar>
      <extLst>
        <ext xmlns:x14="http://schemas.microsoft.com/office/spreadsheetml/2009/9/main" uri="{B025F937-C7B1-47D3-B67F-A62EFF666E3E}">
          <x14:id>{81BD1A05-3F57-454B-ACF0-5823266DFABB}</x14:id>
        </ext>
      </extLst>
    </cfRule>
  </conditionalFormatting>
  <conditionalFormatting sqref="R3886:R3916">
    <cfRule type="containsText" dxfId="7103" priority="666" operator="containsText" text="NEUTRAL">
      <formula>NOT(ISERROR(SEARCH("NEUTRAL",R3886)))</formula>
    </cfRule>
    <cfRule type="containsText" dxfId="7102" priority="667" operator="containsText" text="BULLISH">
      <formula>NOT(ISERROR(SEARCH("BULLISH",R3886)))</formula>
    </cfRule>
    <cfRule type="containsText" dxfId="7101" priority="668" operator="containsText" text="BEARISH">
      <formula>NOT(ISERROR(SEARCH("BEARISH",R3886)))</formula>
    </cfRule>
  </conditionalFormatting>
  <conditionalFormatting sqref="P3886:P3916">
    <cfRule type="dataBar" priority="665">
      <dataBar>
        <cfvo type="min"/>
        <cfvo type="max"/>
        <color rgb="FF638EC6"/>
      </dataBar>
      <extLst>
        <ext xmlns:x14="http://schemas.microsoft.com/office/spreadsheetml/2009/9/main" uri="{B025F937-C7B1-47D3-B67F-A62EFF666E3E}">
          <x14:id>{7DA4B4D1-2E4A-494D-A5A9-66DA9217F2D2}</x14:id>
        </ext>
      </extLst>
    </cfRule>
  </conditionalFormatting>
  <conditionalFormatting sqref="R3917:R3947">
    <cfRule type="containsText" dxfId="7100" priority="662" operator="containsText" text="NEUTRAL">
      <formula>NOT(ISERROR(SEARCH("NEUTRAL",R3917)))</formula>
    </cfRule>
    <cfRule type="containsText" dxfId="7099" priority="663" operator="containsText" text="BULLISH">
      <formula>NOT(ISERROR(SEARCH("BULLISH",R3917)))</formula>
    </cfRule>
    <cfRule type="containsText" dxfId="7098" priority="664" operator="containsText" text="BEARISH">
      <formula>NOT(ISERROR(SEARCH("BEARISH",R3917)))</formula>
    </cfRule>
  </conditionalFormatting>
  <conditionalFormatting sqref="P3917:P3947">
    <cfRule type="dataBar" priority="661">
      <dataBar>
        <cfvo type="min"/>
        <cfvo type="max"/>
        <color rgb="FF638EC6"/>
      </dataBar>
      <extLst>
        <ext xmlns:x14="http://schemas.microsoft.com/office/spreadsheetml/2009/9/main" uri="{B025F937-C7B1-47D3-B67F-A62EFF666E3E}">
          <x14:id>{C9D3A8F8-91A0-CB4A-B4D9-E3274C9AE6A2}</x14:id>
        </ext>
      </extLst>
    </cfRule>
  </conditionalFormatting>
  <conditionalFormatting sqref="R3948:R3978">
    <cfRule type="containsText" dxfId="7097" priority="658" operator="containsText" text="NEUTRAL">
      <formula>NOT(ISERROR(SEARCH("NEUTRAL",R3948)))</formula>
    </cfRule>
    <cfRule type="containsText" dxfId="7096" priority="659" operator="containsText" text="BULLISH">
      <formula>NOT(ISERROR(SEARCH("BULLISH",R3948)))</formula>
    </cfRule>
    <cfRule type="containsText" dxfId="7095" priority="660" operator="containsText" text="BEARISH">
      <formula>NOT(ISERROR(SEARCH("BEARISH",R3948)))</formula>
    </cfRule>
  </conditionalFormatting>
  <conditionalFormatting sqref="P3948:P3978">
    <cfRule type="dataBar" priority="657">
      <dataBar>
        <cfvo type="min"/>
        <cfvo type="max"/>
        <color rgb="FF638EC6"/>
      </dataBar>
      <extLst>
        <ext xmlns:x14="http://schemas.microsoft.com/office/spreadsheetml/2009/9/main" uri="{B025F937-C7B1-47D3-B67F-A62EFF666E3E}">
          <x14:id>{E60D69D1-745C-3B4C-8890-1A512BC6EA40}</x14:id>
        </ext>
      </extLst>
    </cfRule>
  </conditionalFormatting>
  <conditionalFormatting sqref="R3979:R4009">
    <cfRule type="containsText" dxfId="7094" priority="654" operator="containsText" text="NEUTRAL">
      <formula>NOT(ISERROR(SEARCH("NEUTRAL",R3979)))</formula>
    </cfRule>
    <cfRule type="containsText" dxfId="7093" priority="655" operator="containsText" text="BULLISH">
      <formula>NOT(ISERROR(SEARCH("BULLISH",R3979)))</formula>
    </cfRule>
    <cfRule type="containsText" dxfId="7092" priority="656" operator="containsText" text="BEARISH">
      <formula>NOT(ISERROR(SEARCH("BEARISH",R3979)))</formula>
    </cfRule>
  </conditionalFormatting>
  <conditionalFormatting sqref="P3979:P4009">
    <cfRule type="dataBar" priority="653">
      <dataBar>
        <cfvo type="min"/>
        <cfvo type="max"/>
        <color rgb="FF638EC6"/>
      </dataBar>
      <extLst>
        <ext xmlns:x14="http://schemas.microsoft.com/office/spreadsheetml/2009/9/main" uri="{B025F937-C7B1-47D3-B67F-A62EFF666E3E}">
          <x14:id>{B9FA046D-AE6E-5D40-A356-007EC4FB0073}</x14:id>
        </ext>
      </extLst>
    </cfRule>
  </conditionalFormatting>
  <conditionalFormatting sqref="R4010:R4040">
    <cfRule type="containsText" dxfId="7091" priority="650" operator="containsText" text="NEUTRAL">
      <formula>NOT(ISERROR(SEARCH("NEUTRAL",R4010)))</formula>
    </cfRule>
    <cfRule type="containsText" dxfId="7090" priority="651" operator="containsText" text="BULLISH">
      <formula>NOT(ISERROR(SEARCH("BULLISH",R4010)))</formula>
    </cfRule>
    <cfRule type="containsText" dxfId="7089" priority="652" operator="containsText" text="BEARISH">
      <formula>NOT(ISERROR(SEARCH("BEARISH",R4010)))</formula>
    </cfRule>
  </conditionalFormatting>
  <conditionalFormatting sqref="P4010:P4040">
    <cfRule type="dataBar" priority="649">
      <dataBar>
        <cfvo type="min"/>
        <cfvo type="max"/>
        <color rgb="FF638EC6"/>
      </dataBar>
      <extLst>
        <ext xmlns:x14="http://schemas.microsoft.com/office/spreadsheetml/2009/9/main" uri="{B025F937-C7B1-47D3-B67F-A62EFF666E3E}">
          <x14:id>{97568A20-0EA2-6F42-AFED-6B408ADC2BE4}</x14:id>
        </ext>
      </extLst>
    </cfRule>
  </conditionalFormatting>
  <conditionalFormatting sqref="R4041:R4071">
    <cfRule type="containsText" dxfId="7088" priority="646" operator="containsText" text="NEUTRAL">
      <formula>NOT(ISERROR(SEARCH("NEUTRAL",R4041)))</formula>
    </cfRule>
    <cfRule type="containsText" dxfId="7087" priority="647" operator="containsText" text="BULLISH">
      <formula>NOT(ISERROR(SEARCH("BULLISH",R4041)))</formula>
    </cfRule>
    <cfRule type="containsText" dxfId="7086" priority="648" operator="containsText" text="BEARISH">
      <formula>NOT(ISERROR(SEARCH("BEARISH",R4041)))</formula>
    </cfRule>
  </conditionalFormatting>
  <conditionalFormatting sqref="P4041:P4071">
    <cfRule type="dataBar" priority="645">
      <dataBar>
        <cfvo type="min"/>
        <cfvo type="max"/>
        <color rgb="FF638EC6"/>
      </dataBar>
      <extLst>
        <ext xmlns:x14="http://schemas.microsoft.com/office/spreadsheetml/2009/9/main" uri="{B025F937-C7B1-47D3-B67F-A62EFF666E3E}">
          <x14:id>{1B10DCA2-CA83-0A43-95F9-52618DA392A3}</x14:id>
        </ext>
      </extLst>
    </cfRule>
  </conditionalFormatting>
  <conditionalFormatting sqref="R4072:R4102">
    <cfRule type="containsText" dxfId="7085" priority="642" operator="containsText" text="NEUTRAL">
      <formula>NOT(ISERROR(SEARCH("NEUTRAL",R4072)))</formula>
    </cfRule>
    <cfRule type="containsText" dxfId="7084" priority="643" operator="containsText" text="BULLISH">
      <formula>NOT(ISERROR(SEARCH("BULLISH",R4072)))</formula>
    </cfRule>
    <cfRule type="containsText" dxfId="7083" priority="644" operator="containsText" text="BEARISH">
      <formula>NOT(ISERROR(SEARCH("BEARISH",R4072)))</formula>
    </cfRule>
  </conditionalFormatting>
  <conditionalFormatting sqref="P4072:P4102">
    <cfRule type="dataBar" priority="641">
      <dataBar>
        <cfvo type="min"/>
        <cfvo type="max"/>
        <color rgb="FF638EC6"/>
      </dataBar>
      <extLst>
        <ext xmlns:x14="http://schemas.microsoft.com/office/spreadsheetml/2009/9/main" uri="{B025F937-C7B1-47D3-B67F-A62EFF666E3E}">
          <x14:id>{4E7F11D9-64A8-BD43-AFE4-EF36D9769A0E}</x14:id>
        </ext>
      </extLst>
    </cfRule>
  </conditionalFormatting>
  <conditionalFormatting sqref="R4103:R4133">
    <cfRule type="containsText" dxfId="7082" priority="638" operator="containsText" text="NEUTRAL">
      <formula>NOT(ISERROR(SEARCH("NEUTRAL",R4103)))</formula>
    </cfRule>
    <cfRule type="containsText" dxfId="7081" priority="639" operator="containsText" text="BULLISH">
      <formula>NOT(ISERROR(SEARCH("BULLISH",R4103)))</formula>
    </cfRule>
    <cfRule type="containsText" dxfId="7080" priority="640" operator="containsText" text="BEARISH">
      <formula>NOT(ISERROR(SEARCH("BEARISH",R4103)))</formula>
    </cfRule>
  </conditionalFormatting>
  <conditionalFormatting sqref="P4103:P4133">
    <cfRule type="dataBar" priority="637">
      <dataBar>
        <cfvo type="min"/>
        <cfvo type="max"/>
        <color rgb="FF638EC6"/>
      </dataBar>
      <extLst>
        <ext xmlns:x14="http://schemas.microsoft.com/office/spreadsheetml/2009/9/main" uri="{B025F937-C7B1-47D3-B67F-A62EFF666E3E}">
          <x14:id>{1CACEB36-60C6-4046-84C0-0110CA59C06C}</x14:id>
        </ext>
      </extLst>
    </cfRule>
  </conditionalFormatting>
  <conditionalFormatting sqref="R4134:R4164">
    <cfRule type="containsText" dxfId="7079" priority="634" operator="containsText" text="NEUTRAL">
      <formula>NOT(ISERROR(SEARCH("NEUTRAL",R4134)))</formula>
    </cfRule>
    <cfRule type="containsText" dxfId="7078" priority="635" operator="containsText" text="BULLISH">
      <formula>NOT(ISERROR(SEARCH("BULLISH",R4134)))</formula>
    </cfRule>
    <cfRule type="containsText" dxfId="7077" priority="636" operator="containsText" text="BEARISH">
      <formula>NOT(ISERROR(SEARCH("BEARISH",R4134)))</formula>
    </cfRule>
  </conditionalFormatting>
  <conditionalFormatting sqref="P4134:P4164">
    <cfRule type="dataBar" priority="633">
      <dataBar>
        <cfvo type="min"/>
        <cfvo type="max"/>
        <color rgb="FF638EC6"/>
      </dataBar>
      <extLst>
        <ext xmlns:x14="http://schemas.microsoft.com/office/spreadsheetml/2009/9/main" uri="{B025F937-C7B1-47D3-B67F-A62EFF666E3E}">
          <x14:id>{9ADDB978-B365-8B4C-89C7-8027D1434DDA}</x14:id>
        </ext>
      </extLst>
    </cfRule>
  </conditionalFormatting>
  <conditionalFormatting sqref="R4165:R4195">
    <cfRule type="containsText" dxfId="7076" priority="630" operator="containsText" text="NEUTRAL">
      <formula>NOT(ISERROR(SEARCH("NEUTRAL",R4165)))</formula>
    </cfRule>
    <cfRule type="containsText" dxfId="7075" priority="631" operator="containsText" text="BULLISH">
      <formula>NOT(ISERROR(SEARCH("BULLISH",R4165)))</formula>
    </cfRule>
    <cfRule type="containsText" dxfId="7074" priority="632" operator="containsText" text="BEARISH">
      <formula>NOT(ISERROR(SEARCH("BEARISH",R4165)))</formula>
    </cfRule>
  </conditionalFormatting>
  <conditionalFormatting sqref="P4165:P4195">
    <cfRule type="dataBar" priority="629">
      <dataBar>
        <cfvo type="min"/>
        <cfvo type="max"/>
        <color rgb="FF638EC6"/>
      </dataBar>
      <extLst>
        <ext xmlns:x14="http://schemas.microsoft.com/office/spreadsheetml/2009/9/main" uri="{B025F937-C7B1-47D3-B67F-A62EFF666E3E}">
          <x14:id>{2E1D1462-38D1-FC43-B6F3-3BFCCB8B0E42}</x14:id>
        </ext>
      </extLst>
    </cfRule>
  </conditionalFormatting>
  <conditionalFormatting sqref="R4196:R4226">
    <cfRule type="containsText" dxfId="7073" priority="626" operator="containsText" text="NEUTRAL">
      <formula>NOT(ISERROR(SEARCH("NEUTRAL",R4196)))</formula>
    </cfRule>
    <cfRule type="containsText" dxfId="7072" priority="627" operator="containsText" text="BULLISH">
      <formula>NOT(ISERROR(SEARCH("BULLISH",R4196)))</formula>
    </cfRule>
    <cfRule type="containsText" dxfId="7071" priority="628" operator="containsText" text="BEARISH">
      <formula>NOT(ISERROR(SEARCH("BEARISH",R4196)))</formula>
    </cfRule>
  </conditionalFormatting>
  <conditionalFormatting sqref="P4196:P4226">
    <cfRule type="dataBar" priority="625">
      <dataBar>
        <cfvo type="min"/>
        <cfvo type="max"/>
        <color rgb="FF638EC6"/>
      </dataBar>
      <extLst>
        <ext xmlns:x14="http://schemas.microsoft.com/office/spreadsheetml/2009/9/main" uri="{B025F937-C7B1-47D3-B67F-A62EFF666E3E}">
          <x14:id>{5A23B674-87CD-014B-86C2-4279C08F5E65}</x14:id>
        </ext>
      </extLst>
    </cfRule>
  </conditionalFormatting>
  <conditionalFormatting sqref="R4227:R4257">
    <cfRule type="containsText" dxfId="7070" priority="622" operator="containsText" text="NEUTRAL">
      <formula>NOT(ISERROR(SEARCH("NEUTRAL",R4227)))</formula>
    </cfRule>
    <cfRule type="containsText" dxfId="7069" priority="623" operator="containsText" text="BULLISH">
      <formula>NOT(ISERROR(SEARCH("BULLISH",R4227)))</formula>
    </cfRule>
    <cfRule type="containsText" dxfId="7068" priority="624" operator="containsText" text="BEARISH">
      <formula>NOT(ISERROR(SEARCH("BEARISH",R4227)))</formula>
    </cfRule>
  </conditionalFormatting>
  <conditionalFormatting sqref="P4227:P4257">
    <cfRule type="dataBar" priority="621">
      <dataBar>
        <cfvo type="min"/>
        <cfvo type="max"/>
        <color rgb="FF638EC6"/>
      </dataBar>
      <extLst>
        <ext xmlns:x14="http://schemas.microsoft.com/office/spreadsheetml/2009/9/main" uri="{B025F937-C7B1-47D3-B67F-A62EFF666E3E}">
          <x14:id>{D9D1FAAF-F69C-C745-90CF-1AC92E9D12CB}</x14:id>
        </ext>
      </extLst>
    </cfRule>
  </conditionalFormatting>
  <conditionalFormatting sqref="R4258:R4288">
    <cfRule type="containsText" dxfId="7067" priority="618" operator="containsText" text="NEUTRAL">
      <formula>NOT(ISERROR(SEARCH("NEUTRAL",R4258)))</formula>
    </cfRule>
    <cfRule type="containsText" dxfId="7066" priority="619" operator="containsText" text="BULLISH">
      <formula>NOT(ISERROR(SEARCH("BULLISH",R4258)))</formula>
    </cfRule>
    <cfRule type="containsText" dxfId="7065" priority="620" operator="containsText" text="BEARISH">
      <formula>NOT(ISERROR(SEARCH("BEARISH",R4258)))</formula>
    </cfRule>
  </conditionalFormatting>
  <conditionalFormatting sqref="P4258:P4288">
    <cfRule type="dataBar" priority="617">
      <dataBar>
        <cfvo type="min"/>
        <cfvo type="max"/>
        <color rgb="FF638EC6"/>
      </dataBar>
      <extLst>
        <ext xmlns:x14="http://schemas.microsoft.com/office/spreadsheetml/2009/9/main" uri="{B025F937-C7B1-47D3-B67F-A62EFF666E3E}">
          <x14:id>{4F35C008-5D1C-CE41-9E12-8C8B1F7CA597}</x14:id>
        </ext>
      </extLst>
    </cfRule>
  </conditionalFormatting>
  <conditionalFormatting sqref="R4289:R4319">
    <cfRule type="containsText" dxfId="7064" priority="614" operator="containsText" text="NEUTRAL">
      <formula>NOT(ISERROR(SEARCH("NEUTRAL",R4289)))</formula>
    </cfRule>
    <cfRule type="containsText" dxfId="7063" priority="615" operator="containsText" text="BULLISH">
      <formula>NOT(ISERROR(SEARCH("BULLISH",R4289)))</formula>
    </cfRule>
    <cfRule type="containsText" dxfId="7062" priority="616" operator="containsText" text="BEARISH">
      <formula>NOT(ISERROR(SEARCH("BEARISH",R4289)))</formula>
    </cfRule>
  </conditionalFormatting>
  <conditionalFormatting sqref="P4289:P4319">
    <cfRule type="dataBar" priority="613">
      <dataBar>
        <cfvo type="min"/>
        <cfvo type="max"/>
        <color rgb="FF638EC6"/>
      </dataBar>
      <extLst>
        <ext xmlns:x14="http://schemas.microsoft.com/office/spreadsheetml/2009/9/main" uri="{B025F937-C7B1-47D3-B67F-A62EFF666E3E}">
          <x14:id>{D8D415D2-E056-9D4A-AAF2-1E49A4B81497}</x14:id>
        </ext>
      </extLst>
    </cfRule>
  </conditionalFormatting>
  <conditionalFormatting sqref="R4320:R4350">
    <cfRule type="containsText" dxfId="7061" priority="610" operator="containsText" text="NEUTRAL">
      <formula>NOT(ISERROR(SEARCH("NEUTRAL",R4320)))</formula>
    </cfRule>
    <cfRule type="containsText" dxfId="7060" priority="611" operator="containsText" text="BULLISH">
      <formula>NOT(ISERROR(SEARCH("BULLISH",R4320)))</formula>
    </cfRule>
    <cfRule type="containsText" dxfId="7059" priority="612" operator="containsText" text="BEARISH">
      <formula>NOT(ISERROR(SEARCH("BEARISH",R4320)))</formula>
    </cfRule>
  </conditionalFormatting>
  <conditionalFormatting sqref="P4320:P4350">
    <cfRule type="dataBar" priority="609">
      <dataBar>
        <cfvo type="min"/>
        <cfvo type="max"/>
        <color rgb="FF638EC6"/>
      </dataBar>
      <extLst>
        <ext xmlns:x14="http://schemas.microsoft.com/office/spreadsheetml/2009/9/main" uri="{B025F937-C7B1-47D3-B67F-A62EFF666E3E}">
          <x14:id>{13F9DCF7-EEBE-3741-8230-8AFC89C01E4B}</x14:id>
        </ext>
      </extLst>
    </cfRule>
  </conditionalFormatting>
  <conditionalFormatting sqref="R4351:R4381">
    <cfRule type="containsText" dxfId="7058" priority="606" operator="containsText" text="NEUTRAL">
      <formula>NOT(ISERROR(SEARCH("NEUTRAL",R4351)))</formula>
    </cfRule>
    <cfRule type="containsText" dxfId="7057" priority="607" operator="containsText" text="BULLISH">
      <formula>NOT(ISERROR(SEARCH("BULLISH",R4351)))</formula>
    </cfRule>
    <cfRule type="containsText" dxfId="7056" priority="608" operator="containsText" text="BEARISH">
      <formula>NOT(ISERROR(SEARCH("BEARISH",R4351)))</formula>
    </cfRule>
  </conditionalFormatting>
  <conditionalFormatting sqref="P4351:P4381">
    <cfRule type="dataBar" priority="605">
      <dataBar>
        <cfvo type="min"/>
        <cfvo type="max"/>
        <color rgb="FF638EC6"/>
      </dataBar>
      <extLst>
        <ext xmlns:x14="http://schemas.microsoft.com/office/spreadsheetml/2009/9/main" uri="{B025F937-C7B1-47D3-B67F-A62EFF666E3E}">
          <x14:id>{36A9640E-FD83-F345-A3CE-647AAE58DC77}</x14:id>
        </ext>
      </extLst>
    </cfRule>
  </conditionalFormatting>
  <conditionalFormatting sqref="R4382:R4412">
    <cfRule type="containsText" dxfId="7055" priority="602" operator="containsText" text="NEUTRAL">
      <formula>NOT(ISERROR(SEARCH("NEUTRAL",R4382)))</formula>
    </cfRule>
    <cfRule type="containsText" dxfId="7054" priority="603" operator="containsText" text="BULLISH">
      <formula>NOT(ISERROR(SEARCH("BULLISH",R4382)))</formula>
    </cfRule>
    <cfRule type="containsText" dxfId="7053" priority="604" operator="containsText" text="BEARISH">
      <formula>NOT(ISERROR(SEARCH("BEARISH",R4382)))</formula>
    </cfRule>
  </conditionalFormatting>
  <conditionalFormatting sqref="P4382:P4412">
    <cfRule type="dataBar" priority="601">
      <dataBar>
        <cfvo type="min"/>
        <cfvo type="max"/>
        <color rgb="FF638EC6"/>
      </dataBar>
      <extLst>
        <ext xmlns:x14="http://schemas.microsoft.com/office/spreadsheetml/2009/9/main" uri="{B025F937-C7B1-47D3-B67F-A62EFF666E3E}">
          <x14:id>{91B6D7A7-4688-2E48-9035-6B043AC1E06E}</x14:id>
        </ext>
      </extLst>
    </cfRule>
  </conditionalFormatting>
  <conditionalFormatting sqref="R4413:R4443">
    <cfRule type="containsText" dxfId="7052" priority="598" operator="containsText" text="NEUTRAL">
      <formula>NOT(ISERROR(SEARCH("NEUTRAL",R4413)))</formula>
    </cfRule>
    <cfRule type="containsText" dxfId="7051" priority="599" operator="containsText" text="BULLISH">
      <formula>NOT(ISERROR(SEARCH("BULLISH",R4413)))</formula>
    </cfRule>
    <cfRule type="containsText" dxfId="7050" priority="600" operator="containsText" text="BEARISH">
      <formula>NOT(ISERROR(SEARCH("BEARISH",R4413)))</formula>
    </cfRule>
  </conditionalFormatting>
  <conditionalFormatting sqref="P4413:P4443">
    <cfRule type="dataBar" priority="597">
      <dataBar>
        <cfvo type="min"/>
        <cfvo type="max"/>
        <color rgb="FF638EC6"/>
      </dataBar>
      <extLst>
        <ext xmlns:x14="http://schemas.microsoft.com/office/spreadsheetml/2009/9/main" uri="{B025F937-C7B1-47D3-B67F-A62EFF666E3E}">
          <x14:id>{1328F0ED-D602-5A4A-86C8-8293FC98B038}</x14:id>
        </ext>
      </extLst>
    </cfRule>
  </conditionalFormatting>
  <conditionalFormatting sqref="R4444:R4474">
    <cfRule type="containsText" dxfId="7049" priority="594" operator="containsText" text="NEUTRAL">
      <formula>NOT(ISERROR(SEARCH("NEUTRAL",R4444)))</formula>
    </cfRule>
    <cfRule type="containsText" dxfId="7048" priority="595" operator="containsText" text="BULLISH">
      <formula>NOT(ISERROR(SEARCH("BULLISH",R4444)))</formula>
    </cfRule>
    <cfRule type="containsText" dxfId="7047" priority="596" operator="containsText" text="BEARISH">
      <formula>NOT(ISERROR(SEARCH("BEARISH",R4444)))</formula>
    </cfRule>
  </conditionalFormatting>
  <conditionalFormatting sqref="P4444:P4474">
    <cfRule type="dataBar" priority="593">
      <dataBar>
        <cfvo type="min"/>
        <cfvo type="max"/>
        <color rgb="FF638EC6"/>
      </dataBar>
      <extLst>
        <ext xmlns:x14="http://schemas.microsoft.com/office/spreadsheetml/2009/9/main" uri="{B025F937-C7B1-47D3-B67F-A62EFF666E3E}">
          <x14:id>{EABE4DC8-A91E-DC4C-B431-22B1BD5DE304}</x14:id>
        </ext>
      </extLst>
    </cfRule>
  </conditionalFormatting>
  <conditionalFormatting sqref="R4475:R4505">
    <cfRule type="containsText" dxfId="7046" priority="590" operator="containsText" text="NEUTRAL">
      <formula>NOT(ISERROR(SEARCH("NEUTRAL",R4475)))</formula>
    </cfRule>
    <cfRule type="containsText" dxfId="7045" priority="591" operator="containsText" text="BULLISH">
      <formula>NOT(ISERROR(SEARCH("BULLISH",R4475)))</formula>
    </cfRule>
    <cfRule type="containsText" dxfId="7044" priority="592" operator="containsText" text="BEARISH">
      <formula>NOT(ISERROR(SEARCH("BEARISH",R4475)))</formula>
    </cfRule>
  </conditionalFormatting>
  <conditionalFormatting sqref="P4475:P4505">
    <cfRule type="dataBar" priority="589">
      <dataBar>
        <cfvo type="min"/>
        <cfvo type="max"/>
        <color rgb="FF638EC6"/>
      </dataBar>
      <extLst>
        <ext xmlns:x14="http://schemas.microsoft.com/office/spreadsheetml/2009/9/main" uri="{B025F937-C7B1-47D3-B67F-A62EFF666E3E}">
          <x14:id>{D35929D5-BCE1-BA4D-8539-456B0650C7AB}</x14:id>
        </ext>
      </extLst>
    </cfRule>
  </conditionalFormatting>
  <conditionalFormatting sqref="R4506:R4536">
    <cfRule type="containsText" dxfId="7043" priority="586" operator="containsText" text="NEUTRAL">
      <formula>NOT(ISERROR(SEARCH("NEUTRAL",R4506)))</formula>
    </cfRule>
    <cfRule type="containsText" dxfId="7042" priority="587" operator="containsText" text="BULLISH">
      <formula>NOT(ISERROR(SEARCH("BULLISH",R4506)))</formula>
    </cfRule>
    <cfRule type="containsText" dxfId="7041" priority="588" operator="containsText" text="BEARISH">
      <formula>NOT(ISERROR(SEARCH("BEARISH",R4506)))</formula>
    </cfRule>
  </conditionalFormatting>
  <conditionalFormatting sqref="P4506:P4536">
    <cfRule type="dataBar" priority="585">
      <dataBar>
        <cfvo type="min"/>
        <cfvo type="max"/>
        <color rgb="FF638EC6"/>
      </dataBar>
      <extLst>
        <ext xmlns:x14="http://schemas.microsoft.com/office/spreadsheetml/2009/9/main" uri="{B025F937-C7B1-47D3-B67F-A62EFF666E3E}">
          <x14:id>{74A2A6B2-6876-6C46-8654-AC63BC06ACF7}</x14:id>
        </ext>
      </extLst>
    </cfRule>
  </conditionalFormatting>
  <conditionalFormatting sqref="R4537:R4567">
    <cfRule type="containsText" dxfId="7040" priority="582" operator="containsText" text="NEUTRAL">
      <formula>NOT(ISERROR(SEARCH("NEUTRAL",R4537)))</formula>
    </cfRule>
    <cfRule type="containsText" dxfId="7039" priority="583" operator="containsText" text="BULLISH">
      <formula>NOT(ISERROR(SEARCH("BULLISH",R4537)))</formula>
    </cfRule>
    <cfRule type="containsText" dxfId="7038" priority="584" operator="containsText" text="BEARISH">
      <formula>NOT(ISERROR(SEARCH("BEARISH",R4537)))</formula>
    </cfRule>
  </conditionalFormatting>
  <conditionalFormatting sqref="P4537:P4567">
    <cfRule type="dataBar" priority="581">
      <dataBar>
        <cfvo type="min"/>
        <cfvo type="max"/>
        <color rgb="FF638EC6"/>
      </dataBar>
      <extLst>
        <ext xmlns:x14="http://schemas.microsoft.com/office/spreadsheetml/2009/9/main" uri="{B025F937-C7B1-47D3-B67F-A62EFF666E3E}">
          <x14:id>{93B5BEB9-11F9-054E-A18D-2378DCF4DFF3}</x14:id>
        </ext>
      </extLst>
    </cfRule>
  </conditionalFormatting>
  <conditionalFormatting sqref="R4568:R4598">
    <cfRule type="containsText" dxfId="7037" priority="578" operator="containsText" text="NEUTRAL">
      <formula>NOT(ISERROR(SEARCH("NEUTRAL",R4568)))</formula>
    </cfRule>
    <cfRule type="containsText" dxfId="7036" priority="579" operator="containsText" text="BULLISH">
      <formula>NOT(ISERROR(SEARCH("BULLISH",R4568)))</formula>
    </cfRule>
    <cfRule type="containsText" dxfId="7035" priority="580" operator="containsText" text="BEARISH">
      <formula>NOT(ISERROR(SEARCH("BEARISH",R4568)))</formula>
    </cfRule>
  </conditionalFormatting>
  <conditionalFormatting sqref="P4568:P4598">
    <cfRule type="dataBar" priority="577">
      <dataBar>
        <cfvo type="min"/>
        <cfvo type="max"/>
        <color rgb="FF638EC6"/>
      </dataBar>
      <extLst>
        <ext xmlns:x14="http://schemas.microsoft.com/office/spreadsheetml/2009/9/main" uri="{B025F937-C7B1-47D3-B67F-A62EFF666E3E}">
          <x14:id>{45D11124-1EDE-0140-B829-B4E4D4CE85FF}</x14:id>
        </ext>
      </extLst>
    </cfRule>
  </conditionalFormatting>
  <conditionalFormatting sqref="R4599:R4629">
    <cfRule type="containsText" dxfId="7034" priority="574" operator="containsText" text="NEUTRAL">
      <formula>NOT(ISERROR(SEARCH("NEUTRAL",R4599)))</formula>
    </cfRule>
    <cfRule type="containsText" dxfId="7033" priority="575" operator="containsText" text="BULLISH">
      <formula>NOT(ISERROR(SEARCH("BULLISH",R4599)))</formula>
    </cfRule>
    <cfRule type="containsText" dxfId="7032" priority="576" operator="containsText" text="BEARISH">
      <formula>NOT(ISERROR(SEARCH("BEARISH",R4599)))</formula>
    </cfRule>
  </conditionalFormatting>
  <conditionalFormatting sqref="P4599:P4629">
    <cfRule type="dataBar" priority="573">
      <dataBar>
        <cfvo type="min"/>
        <cfvo type="max"/>
        <color rgb="FF638EC6"/>
      </dataBar>
      <extLst>
        <ext xmlns:x14="http://schemas.microsoft.com/office/spreadsheetml/2009/9/main" uri="{B025F937-C7B1-47D3-B67F-A62EFF666E3E}">
          <x14:id>{77251D0F-EF12-6D40-9985-4A233714C790}</x14:id>
        </ext>
      </extLst>
    </cfRule>
  </conditionalFormatting>
  <conditionalFormatting sqref="R4630:R4660">
    <cfRule type="containsText" dxfId="7031" priority="570" operator="containsText" text="NEUTRAL">
      <formula>NOT(ISERROR(SEARCH("NEUTRAL",R4630)))</formula>
    </cfRule>
    <cfRule type="containsText" dxfId="7030" priority="571" operator="containsText" text="BULLISH">
      <formula>NOT(ISERROR(SEARCH("BULLISH",R4630)))</formula>
    </cfRule>
    <cfRule type="containsText" dxfId="7029" priority="572" operator="containsText" text="BEARISH">
      <formula>NOT(ISERROR(SEARCH("BEARISH",R4630)))</formula>
    </cfRule>
  </conditionalFormatting>
  <conditionalFormatting sqref="P4630:P4660">
    <cfRule type="dataBar" priority="569">
      <dataBar>
        <cfvo type="min"/>
        <cfvo type="max"/>
        <color rgb="FF638EC6"/>
      </dataBar>
      <extLst>
        <ext xmlns:x14="http://schemas.microsoft.com/office/spreadsheetml/2009/9/main" uri="{B025F937-C7B1-47D3-B67F-A62EFF666E3E}">
          <x14:id>{03FEA63C-963C-DB4B-ABF9-7D818853C052}</x14:id>
        </ext>
      </extLst>
    </cfRule>
  </conditionalFormatting>
  <conditionalFormatting sqref="R4661:R4691">
    <cfRule type="containsText" dxfId="7028" priority="566" operator="containsText" text="NEUTRAL">
      <formula>NOT(ISERROR(SEARCH("NEUTRAL",R4661)))</formula>
    </cfRule>
    <cfRule type="containsText" dxfId="7027" priority="567" operator="containsText" text="BULLISH">
      <formula>NOT(ISERROR(SEARCH("BULLISH",R4661)))</formula>
    </cfRule>
    <cfRule type="containsText" dxfId="7026" priority="568" operator="containsText" text="BEARISH">
      <formula>NOT(ISERROR(SEARCH("BEARISH",R4661)))</formula>
    </cfRule>
  </conditionalFormatting>
  <conditionalFormatting sqref="P4661:P4691">
    <cfRule type="dataBar" priority="565">
      <dataBar>
        <cfvo type="min"/>
        <cfvo type="max"/>
        <color rgb="FF638EC6"/>
      </dataBar>
      <extLst>
        <ext xmlns:x14="http://schemas.microsoft.com/office/spreadsheetml/2009/9/main" uri="{B025F937-C7B1-47D3-B67F-A62EFF666E3E}">
          <x14:id>{E6F2D508-EB5E-3242-B35A-27E639BDCE04}</x14:id>
        </ext>
      </extLst>
    </cfRule>
  </conditionalFormatting>
  <conditionalFormatting sqref="R4692:R4722">
    <cfRule type="containsText" dxfId="7025" priority="562" operator="containsText" text="NEUTRAL">
      <formula>NOT(ISERROR(SEARCH("NEUTRAL",R4692)))</formula>
    </cfRule>
    <cfRule type="containsText" dxfId="7024" priority="563" operator="containsText" text="BULLISH">
      <formula>NOT(ISERROR(SEARCH("BULLISH",R4692)))</formula>
    </cfRule>
    <cfRule type="containsText" dxfId="7023" priority="564" operator="containsText" text="BEARISH">
      <formula>NOT(ISERROR(SEARCH("BEARISH",R4692)))</formula>
    </cfRule>
  </conditionalFormatting>
  <conditionalFormatting sqref="P4692:P4722">
    <cfRule type="dataBar" priority="561">
      <dataBar>
        <cfvo type="min"/>
        <cfvo type="max"/>
        <color rgb="FF638EC6"/>
      </dataBar>
      <extLst>
        <ext xmlns:x14="http://schemas.microsoft.com/office/spreadsheetml/2009/9/main" uri="{B025F937-C7B1-47D3-B67F-A62EFF666E3E}">
          <x14:id>{FA2C4DBC-9024-C24A-B22A-F618B144C57B}</x14:id>
        </ext>
      </extLst>
    </cfRule>
  </conditionalFormatting>
  <conditionalFormatting sqref="R4723:R4753">
    <cfRule type="containsText" dxfId="7022" priority="558" operator="containsText" text="NEUTRAL">
      <formula>NOT(ISERROR(SEARCH("NEUTRAL",R4723)))</formula>
    </cfRule>
    <cfRule type="containsText" dxfId="7021" priority="559" operator="containsText" text="BULLISH">
      <formula>NOT(ISERROR(SEARCH("BULLISH",R4723)))</formula>
    </cfRule>
    <cfRule type="containsText" dxfId="7020" priority="560" operator="containsText" text="BEARISH">
      <formula>NOT(ISERROR(SEARCH("BEARISH",R4723)))</formula>
    </cfRule>
  </conditionalFormatting>
  <conditionalFormatting sqref="P4723:P4753">
    <cfRule type="dataBar" priority="557">
      <dataBar>
        <cfvo type="min"/>
        <cfvo type="max"/>
        <color rgb="FF638EC6"/>
      </dataBar>
      <extLst>
        <ext xmlns:x14="http://schemas.microsoft.com/office/spreadsheetml/2009/9/main" uri="{B025F937-C7B1-47D3-B67F-A62EFF666E3E}">
          <x14:id>{53CE1B7F-C0CC-8A46-A088-16CFC6247EA6}</x14:id>
        </ext>
      </extLst>
    </cfRule>
  </conditionalFormatting>
  <conditionalFormatting sqref="R4754:R4784">
    <cfRule type="containsText" dxfId="7019" priority="554" operator="containsText" text="NEUTRAL">
      <formula>NOT(ISERROR(SEARCH("NEUTRAL",R4754)))</formula>
    </cfRule>
    <cfRule type="containsText" dxfId="7018" priority="555" operator="containsText" text="BULLISH">
      <formula>NOT(ISERROR(SEARCH("BULLISH",R4754)))</formula>
    </cfRule>
    <cfRule type="containsText" dxfId="7017" priority="556" operator="containsText" text="BEARISH">
      <formula>NOT(ISERROR(SEARCH("BEARISH",R4754)))</formula>
    </cfRule>
  </conditionalFormatting>
  <conditionalFormatting sqref="P4754:P4784">
    <cfRule type="dataBar" priority="553">
      <dataBar>
        <cfvo type="min"/>
        <cfvo type="max"/>
        <color rgb="FF638EC6"/>
      </dataBar>
      <extLst>
        <ext xmlns:x14="http://schemas.microsoft.com/office/spreadsheetml/2009/9/main" uri="{B025F937-C7B1-47D3-B67F-A62EFF666E3E}">
          <x14:id>{944CF738-548B-7842-8CD5-15C5D55732C5}</x14:id>
        </ext>
      </extLst>
    </cfRule>
  </conditionalFormatting>
  <conditionalFormatting sqref="R4785:R4815">
    <cfRule type="containsText" dxfId="7016" priority="550" operator="containsText" text="NEUTRAL">
      <formula>NOT(ISERROR(SEARCH("NEUTRAL",R4785)))</formula>
    </cfRule>
    <cfRule type="containsText" dxfId="7015" priority="551" operator="containsText" text="BULLISH">
      <formula>NOT(ISERROR(SEARCH("BULLISH",R4785)))</formula>
    </cfRule>
    <cfRule type="containsText" dxfId="7014" priority="552" operator="containsText" text="BEARISH">
      <formula>NOT(ISERROR(SEARCH("BEARISH",R4785)))</formula>
    </cfRule>
  </conditionalFormatting>
  <conditionalFormatting sqref="P4785:P4815">
    <cfRule type="dataBar" priority="549">
      <dataBar>
        <cfvo type="min"/>
        <cfvo type="max"/>
        <color rgb="FF638EC6"/>
      </dataBar>
      <extLst>
        <ext xmlns:x14="http://schemas.microsoft.com/office/spreadsheetml/2009/9/main" uri="{B025F937-C7B1-47D3-B67F-A62EFF666E3E}">
          <x14:id>{7DECF556-E528-1046-A2B8-C30FAD0F3650}</x14:id>
        </ext>
      </extLst>
    </cfRule>
  </conditionalFormatting>
  <conditionalFormatting sqref="R4816:R4846">
    <cfRule type="containsText" dxfId="7013" priority="546" operator="containsText" text="NEUTRAL">
      <formula>NOT(ISERROR(SEARCH("NEUTRAL",R4816)))</formula>
    </cfRule>
    <cfRule type="containsText" dxfId="7012" priority="547" operator="containsText" text="BULLISH">
      <formula>NOT(ISERROR(SEARCH("BULLISH",R4816)))</formula>
    </cfRule>
    <cfRule type="containsText" dxfId="7011" priority="548" operator="containsText" text="BEARISH">
      <formula>NOT(ISERROR(SEARCH("BEARISH",R4816)))</formula>
    </cfRule>
  </conditionalFormatting>
  <conditionalFormatting sqref="P4816:P4846">
    <cfRule type="dataBar" priority="545">
      <dataBar>
        <cfvo type="min"/>
        <cfvo type="max"/>
        <color rgb="FF638EC6"/>
      </dataBar>
      <extLst>
        <ext xmlns:x14="http://schemas.microsoft.com/office/spreadsheetml/2009/9/main" uri="{B025F937-C7B1-47D3-B67F-A62EFF666E3E}">
          <x14:id>{483AD03E-F14E-024D-9515-6CFA410C87D5}</x14:id>
        </ext>
      </extLst>
    </cfRule>
  </conditionalFormatting>
  <conditionalFormatting sqref="R4847:R4877">
    <cfRule type="containsText" dxfId="7010" priority="542" operator="containsText" text="NEUTRAL">
      <formula>NOT(ISERROR(SEARCH("NEUTRAL",R4847)))</formula>
    </cfRule>
    <cfRule type="containsText" dxfId="7009" priority="543" operator="containsText" text="BULLISH">
      <formula>NOT(ISERROR(SEARCH("BULLISH",R4847)))</formula>
    </cfRule>
    <cfRule type="containsText" dxfId="7008" priority="544" operator="containsText" text="BEARISH">
      <formula>NOT(ISERROR(SEARCH("BEARISH",R4847)))</formula>
    </cfRule>
  </conditionalFormatting>
  <conditionalFormatting sqref="P4847:P4877">
    <cfRule type="dataBar" priority="541">
      <dataBar>
        <cfvo type="min"/>
        <cfvo type="max"/>
        <color rgb="FF638EC6"/>
      </dataBar>
      <extLst>
        <ext xmlns:x14="http://schemas.microsoft.com/office/spreadsheetml/2009/9/main" uri="{B025F937-C7B1-47D3-B67F-A62EFF666E3E}">
          <x14:id>{DFBF5E14-BD78-DC48-B5C4-0544A0FB8D36}</x14:id>
        </ext>
      </extLst>
    </cfRule>
  </conditionalFormatting>
  <conditionalFormatting sqref="R4878:R4908">
    <cfRule type="containsText" dxfId="7007" priority="538" operator="containsText" text="NEUTRAL">
      <formula>NOT(ISERROR(SEARCH("NEUTRAL",R4878)))</formula>
    </cfRule>
    <cfRule type="containsText" dxfId="7006" priority="539" operator="containsText" text="BULLISH">
      <formula>NOT(ISERROR(SEARCH("BULLISH",R4878)))</formula>
    </cfRule>
    <cfRule type="containsText" dxfId="7005" priority="540" operator="containsText" text="BEARISH">
      <formula>NOT(ISERROR(SEARCH("BEARISH",R4878)))</formula>
    </cfRule>
  </conditionalFormatting>
  <conditionalFormatting sqref="P4878:P4908">
    <cfRule type="dataBar" priority="537">
      <dataBar>
        <cfvo type="min"/>
        <cfvo type="max"/>
        <color rgb="FF638EC6"/>
      </dataBar>
      <extLst>
        <ext xmlns:x14="http://schemas.microsoft.com/office/spreadsheetml/2009/9/main" uri="{B025F937-C7B1-47D3-B67F-A62EFF666E3E}">
          <x14:id>{6B68B5F2-D199-8D4E-AB0C-C57780C97B44}</x14:id>
        </ext>
      </extLst>
    </cfRule>
  </conditionalFormatting>
  <conditionalFormatting sqref="R4909:R4939">
    <cfRule type="containsText" dxfId="7004" priority="534" operator="containsText" text="NEUTRAL">
      <formula>NOT(ISERROR(SEARCH("NEUTRAL",R4909)))</formula>
    </cfRule>
    <cfRule type="containsText" dxfId="7003" priority="535" operator="containsText" text="BULLISH">
      <formula>NOT(ISERROR(SEARCH("BULLISH",R4909)))</formula>
    </cfRule>
    <cfRule type="containsText" dxfId="7002" priority="536" operator="containsText" text="BEARISH">
      <formula>NOT(ISERROR(SEARCH("BEARISH",R4909)))</formula>
    </cfRule>
  </conditionalFormatting>
  <conditionalFormatting sqref="P4909:P4939">
    <cfRule type="dataBar" priority="533">
      <dataBar>
        <cfvo type="min"/>
        <cfvo type="max"/>
        <color rgb="FF638EC6"/>
      </dataBar>
      <extLst>
        <ext xmlns:x14="http://schemas.microsoft.com/office/spreadsheetml/2009/9/main" uri="{B025F937-C7B1-47D3-B67F-A62EFF666E3E}">
          <x14:id>{B7A2291B-9E2A-B545-AF02-6700369F5961}</x14:id>
        </ext>
      </extLst>
    </cfRule>
  </conditionalFormatting>
  <conditionalFormatting sqref="R4940:R4970">
    <cfRule type="containsText" dxfId="7001" priority="530" operator="containsText" text="NEUTRAL">
      <formula>NOT(ISERROR(SEARCH("NEUTRAL",R4940)))</formula>
    </cfRule>
    <cfRule type="containsText" dxfId="7000" priority="531" operator="containsText" text="BULLISH">
      <formula>NOT(ISERROR(SEARCH("BULLISH",R4940)))</formula>
    </cfRule>
    <cfRule type="containsText" dxfId="6999" priority="532" operator="containsText" text="BEARISH">
      <formula>NOT(ISERROR(SEARCH("BEARISH",R4940)))</formula>
    </cfRule>
  </conditionalFormatting>
  <conditionalFormatting sqref="P4940:P4970">
    <cfRule type="dataBar" priority="529">
      <dataBar>
        <cfvo type="min"/>
        <cfvo type="max"/>
        <color rgb="FF638EC6"/>
      </dataBar>
      <extLst>
        <ext xmlns:x14="http://schemas.microsoft.com/office/spreadsheetml/2009/9/main" uri="{B025F937-C7B1-47D3-B67F-A62EFF666E3E}">
          <x14:id>{EFE4B61A-8DF3-E349-A9CD-186552E11B19}</x14:id>
        </ext>
      </extLst>
    </cfRule>
  </conditionalFormatting>
  <conditionalFormatting sqref="R4971:R5001">
    <cfRule type="containsText" dxfId="6998" priority="526" operator="containsText" text="NEUTRAL">
      <formula>NOT(ISERROR(SEARCH("NEUTRAL",R4971)))</formula>
    </cfRule>
    <cfRule type="containsText" dxfId="6997" priority="527" operator="containsText" text="BULLISH">
      <formula>NOT(ISERROR(SEARCH("BULLISH",R4971)))</formula>
    </cfRule>
    <cfRule type="containsText" dxfId="6996" priority="528" operator="containsText" text="BEARISH">
      <formula>NOT(ISERROR(SEARCH("BEARISH",R4971)))</formula>
    </cfRule>
  </conditionalFormatting>
  <conditionalFormatting sqref="P4971:P5001">
    <cfRule type="dataBar" priority="525">
      <dataBar>
        <cfvo type="min"/>
        <cfvo type="max"/>
        <color rgb="FF638EC6"/>
      </dataBar>
      <extLst>
        <ext xmlns:x14="http://schemas.microsoft.com/office/spreadsheetml/2009/9/main" uri="{B025F937-C7B1-47D3-B67F-A62EFF666E3E}">
          <x14:id>{C67F908A-FB3F-B445-899E-1738E44A925D}</x14:id>
        </ext>
      </extLst>
    </cfRule>
  </conditionalFormatting>
  <conditionalFormatting sqref="R5002:R5032">
    <cfRule type="containsText" dxfId="6995" priority="522" operator="containsText" text="NEUTRAL">
      <formula>NOT(ISERROR(SEARCH("NEUTRAL",R5002)))</formula>
    </cfRule>
    <cfRule type="containsText" dxfId="6994" priority="523" operator="containsText" text="BULLISH">
      <formula>NOT(ISERROR(SEARCH("BULLISH",R5002)))</formula>
    </cfRule>
    <cfRule type="containsText" dxfId="6993" priority="524" operator="containsText" text="BEARISH">
      <formula>NOT(ISERROR(SEARCH("BEARISH",R5002)))</formula>
    </cfRule>
  </conditionalFormatting>
  <conditionalFormatting sqref="P5002:P5032">
    <cfRule type="dataBar" priority="521">
      <dataBar>
        <cfvo type="min"/>
        <cfvo type="max"/>
        <color rgb="FF638EC6"/>
      </dataBar>
      <extLst>
        <ext xmlns:x14="http://schemas.microsoft.com/office/spreadsheetml/2009/9/main" uri="{B025F937-C7B1-47D3-B67F-A62EFF666E3E}">
          <x14:id>{2EF2CB31-205A-0D4B-9F1E-E9506EA7ACB2}</x14:id>
        </ext>
      </extLst>
    </cfRule>
  </conditionalFormatting>
  <conditionalFormatting sqref="R5033:R5063">
    <cfRule type="containsText" dxfId="6992" priority="518" operator="containsText" text="NEUTRAL">
      <formula>NOT(ISERROR(SEARCH("NEUTRAL",R5033)))</formula>
    </cfRule>
    <cfRule type="containsText" dxfId="6991" priority="519" operator="containsText" text="BULLISH">
      <formula>NOT(ISERROR(SEARCH("BULLISH",R5033)))</formula>
    </cfRule>
    <cfRule type="containsText" dxfId="6990" priority="520" operator="containsText" text="BEARISH">
      <formula>NOT(ISERROR(SEARCH("BEARISH",R5033)))</formula>
    </cfRule>
  </conditionalFormatting>
  <conditionalFormatting sqref="P5033:P5063">
    <cfRule type="dataBar" priority="517">
      <dataBar>
        <cfvo type="min"/>
        <cfvo type="max"/>
        <color rgb="FF638EC6"/>
      </dataBar>
      <extLst>
        <ext xmlns:x14="http://schemas.microsoft.com/office/spreadsheetml/2009/9/main" uri="{B025F937-C7B1-47D3-B67F-A62EFF666E3E}">
          <x14:id>{B25BE19D-2DAA-8547-B34C-3D1A072A3E65}</x14:id>
        </ext>
      </extLst>
    </cfRule>
  </conditionalFormatting>
  <conditionalFormatting sqref="R5064:R5094">
    <cfRule type="containsText" dxfId="6989" priority="514" operator="containsText" text="NEUTRAL">
      <formula>NOT(ISERROR(SEARCH("NEUTRAL",R5064)))</formula>
    </cfRule>
    <cfRule type="containsText" dxfId="6988" priority="515" operator="containsText" text="BULLISH">
      <formula>NOT(ISERROR(SEARCH("BULLISH",R5064)))</formula>
    </cfRule>
    <cfRule type="containsText" dxfId="6987" priority="516" operator="containsText" text="BEARISH">
      <formula>NOT(ISERROR(SEARCH("BEARISH",R5064)))</formula>
    </cfRule>
  </conditionalFormatting>
  <conditionalFormatting sqref="P5064:P5094">
    <cfRule type="dataBar" priority="513">
      <dataBar>
        <cfvo type="min"/>
        <cfvo type="max"/>
        <color rgb="FF638EC6"/>
      </dataBar>
      <extLst>
        <ext xmlns:x14="http://schemas.microsoft.com/office/spreadsheetml/2009/9/main" uri="{B025F937-C7B1-47D3-B67F-A62EFF666E3E}">
          <x14:id>{06A5AD9B-3E42-E242-A47F-8FEA33D404FE}</x14:id>
        </ext>
      </extLst>
    </cfRule>
  </conditionalFormatting>
  <conditionalFormatting sqref="R5095:R5125">
    <cfRule type="containsText" dxfId="6986" priority="510" operator="containsText" text="NEUTRAL">
      <formula>NOT(ISERROR(SEARCH("NEUTRAL",R5095)))</formula>
    </cfRule>
    <cfRule type="containsText" dxfId="6985" priority="511" operator="containsText" text="BULLISH">
      <formula>NOT(ISERROR(SEARCH("BULLISH",R5095)))</formula>
    </cfRule>
    <cfRule type="containsText" dxfId="6984" priority="512" operator="containsText" text="BEARISH">
      <formula>NOT(ISERROR(SEARCH("BEARISH",R5095)))</formula>
    </cfRule>
  </conditionalFormatting>
  <conditionalFormatting sqref="P5095:P5125">
    <cfRule type="dataBar" priority="509">
      <dataBar>
        <cfvo type="min"/>
        <cfvo type="max"/>
        <color rgb="FF638EC6"/>
      </dataBar>
      <extLst>
        <ext xmlns:x14="http://schemas.microsoft.com/office/spreadsheetml/2009/9/main" uri="{B025F937-C7B1-47D3-B67F-A62EFF666E3E}">
          <x14:id>{B29C6FA2-8F83-6F4E-A66E-EE444B6C2780}</x14:id>
        </ext>
      </extLst>
    </cfRule>
  </conditionalFormatting>
  <conditionalFormatting sqref="R5126:R5156">
    <cfRule type="containsText" dxfId="6983" priority="506" operator="containsText" text="NEUTRAL">
      <formula>NOT(ISERROR(SEARCH("NEUTRAL",R5126)))</formula>
    </cfRule>
    <cfRule type="containsText" dxfId="6982" priority="507" operator="containsText" text="BULLISH">
      <formula>NOT(ISERROR(SEARCH("BULLISH",R5126)))</formula>
    </cfRule>
    <cfRule type="containsText" dxfId="6981" priority="508" operator="containsText" text="BEARISH">
      <formula>NOT(ISERROR(SEARCH("BEARISH",R5126)))</formula>
    </cfRule>
  </conditionalFormatting>
  <conditionalFormatting sqref="P5126:P5156">
    <cfRule type="dataBar" priority="505">
      <dataBar>
        <cfvo type="min"/>
        <cfvo type="max"/>
        <color rgb="FF638EC6"/>
      </dataBar>
      <extLst>
        <ext xmlns:x14="http://schemas.microsoft.com/office/spreadsheetml/2009/9/main" uri="{B025F937-C7B1-47D3-B67F-A62EFF666E3E}">
          <x14:id>{E9A6519D-6267-904F-AC57-307CBE2273BF}</x14:id>
        </ext>
      </extLst>
    </cfRule>
  </conditionalFormatting>
  <conditionalFormatting sqref="R5157:R5187">
    <cfRule type="containsText" dxfId="6980" priority="502" operator="containsText" text="NEUTRAL">
      <formula>NOT(ISERROR(SEARCH("NEUTRAL",R5157)))</formula>
    </cfRule>
    <cfRule type="containsText" dxfId="6979" priority="503" operator="containsText" text="BULLISH">
      <formula>NOT(ISERROR(SEARCH("BULLISH",R5157)))</formula>
    </cfRule>
    <cfRule type="containsText" dxfId="6978" priority="504" operator="containsText" text="BEARISH">
      <formula>NOT(ISERROR(SEARCH("BEARISH",R5157)))</formula>
    </cfRule>
  </conditionalFormatting>
  <conditionalFormatting sqref="P5157:P5187">
    <cfRule type="dataBar" priority="501">
      <dataBar>
        <cfvo type="min"/>
        <cfvo type="max"/>
        <color rgb="FF638EC6"/>
      </dataBar>
      <extLst>
        <ext xmlns:x14="http://schemas.microsoft.com/office/spreadsheetml/2009/9/main" uri="{B025F937-C7B1-47D3-B67F-A62EFF666E3E}">
          <x14:id>{EB00BF6E-F7F1-EB42-B0B5-BA03D3C57300}</x14:id>
        </ext>
      </extLst>
    </cfRule>
  </conditionalFormatting>
  <conditionalFormatting sqref="R5188:R5218">
    <cfRule type="containsText" dxfId="6977" priority="498" operator="containsText" text="NEUTRAL">
      <formula>NOT(ISERROR(SEARCH("NEUTRAL",R5188)))</formula>
    </cfRule>
    <cfRule type="containsText" dxfId="6976" priority="499" operator="containsText" text="BULLISH">
      <formula>NOT(ISERROR(SEARCH("BULLISH",R5188)))</formula>
    </cfRule>
    <cfRule type="containsText" dxfId="6975" priority="500" operator="containsText" text="BEARISH">
      <formula>NOT(ISERROR(SEARCH("BEARISH",R5188)))</formula>
    </cfRule>
  </conditionalFormatting>
  <conditionalFormatting sqref="P5188:P5218">
    <cfRule type="dataBar" priority="497">
      <dataBar>
        <cfvo type="min"/>
        <cfvo type="max"/>
        <color rgb="FF638EC6"/>
      </dataBar>
      <extLst>
        <ext xmlns:x14="http://schemas.microsoft.com/office/spreadsheetml/2009/9/main" uri="{B025F937-C7B1-47D3-B67F-A62EFF666E3E}">
          <x14:id>{C457D4B7-8873-D446-A767-CFCC4C11F12A}</x14:id>
        </ext>
      </extLst>
    </cfRule>
  </conditionalFormatting>
  <conditionalFormatting sqref="R5219:R5249">
    <cfRule type="containsText" dxfId="6974" priority="494" operator="containsText" text="NEUTRAL">
      <formula>NOT(ISERROR(SEARCH("NEUTRAL",R5219)))</formula>
    </cfRule>
    <cfRule type="containsText" dxfId="6973" priority="495" operator="containsText" text="BULLISH">
      <formula>NOT(ISERROR(SEARCH("BULLISH",R5219)))</formula>
    </cfRule>
    <cfRule type="containsText" dxfId="6972" priority="496" operator="containsText" text="BEARISH">
      <formula>NOT(ISERROR(SEARCH("BEARISH",R5219)))</formula>
    </cfRule>
  </conditionalFormatting>
  <conditionalFormatting sqref="P5219:P5249">
    <cfRule type="dataBar" priority="493">
      <dataBar>
        <cfvo type="min"/>
        <cfvo type="max"/>
        <color rgb="FF638EC6"/>
      </dataBar>
      <extLst>
        <ext xmlns:x14="http://schemas.microsoft.com/office/spreadsheetml/2009/9/main" uri="{B025F937-C7B1-47D3-B67F-A62EFF666E3E}">
          <x14:id>{EFCEC423-F6BE-7347-981C-C5821397FAB4}</x14:id>
        </ext>
      </extLst>
    </cfRule>
  </conditionalFormatting>
  <conditionalFormatting sqref="R5250:R5280">
    <cfRule type="containsText" dxfId="6971" priority="490" operator="containsText" text="NEUTRAL">
      <formula>NOT(ISERROR(SEARCH("NEUTRAL",R5250)))</formula>
    </cfRule>
    <cfRule type="containsText" dxfId="6970" priority="491" operator="containsText" text="BULLISH">
      <formula>NOT(ISERROR(SEARCH("BULLISH",R5250)))</formula>
    </cfRule>
    <cfRule type="containsText" dxfId="6969" priority="492" operator="containsText" text="BEARISH">
      <formula>NOT(ISERROR(SEARCH("BEARISH",R5250)))</formula>
    </cfRule>
  </conditionalFormatting>
  <conditionalFormatting sqref="P5250:P5280">
    <cfRule type="dataBar" priority="489">
      <dataBar>
        <cfvo type="min"/>
        <cfvo type="max"/>
        <color rgb="FF638EC6"/>
      </dataBar>
      <extLst>
        <ext xmlns:x14="http://schemas.microsoft.com/office/spreadsheetml/2009/9/main" uri="{B025F937-C7B1-47D3-B67F-A62EFF666E3E}">
          <x14:id>{03B39C72-BD97-4948-9BB1-F78B235688E3}</x14:id>
        </ext>
      </extLst>
    </cfRule>
  </conditionalFormatting>
  <conditionalFormatting sqref="R5281:R5311">
    <cfRule type="containsText" dxfId="6968" priority="486" operator="containsText" text="NEUTRAL">
      <formula>NOT(ISERROR(SEARCH("NEUTRAL",R5281)))</formula>
    </cfRule>
    <cfRule type="containsText" dxfId="6967" priority="487" operator="containsText" text="BULLISH">
      <formula>NOT(ISERROR(SEARCH("BULLISH",R5281)))</formula>
    </cfRule>
    <cfRule type="containsText" dxfId="6966" priority="488" operator="containsText" text="BEARISH">
      <formula>NOT(ISERROR(SEARCH("BEARISH",R5281)))</formula>
    </cfRule>
  </conditionalFormatting>
  <conditionalFormatting sqref="P5281:P5311">
    <cfRule type="dataBar" priority="485">
      <dataBar>
        <cfvo type="min"/>
        <cfvo type="max"/>
        <color rgb="FF638EC6"/>
      </dataBar>
      <extLst>
        <ext xmlns:x14="http://schemas.microsoft.com/office/spreadsheetml/2009/9/main" uri="{B025F937-C7B1-47D3-B67F-A62EFF666E3E}">
          <x14:id>{76654073-CD27-7B4C-9DDA-C41BF15F3DD1}</x14:id>
        </ext>
      </extLst>
    </cfRule>
  </conditionalFormatting>
  <conditionalFormatting sqref="R5312:R5342">
    <cfRule type="containsText" dxfId="6965" priority="482" operator="containsText" text="NEUTRAL">
      <formula>NOT(ISERROR(SEARCH("NEUTRAL",R5312)))</formula>
    </cfRule>
    <cfRule type="containsText" dxfId="6964" priority="483" operator="containsText" text="BULLISH">
      <formula>NOT(ISERROR(SEARCH("BULLISH",R5312)))</formula>
    </cfRule>
    <cfRule type="containsText" dxfId="6963" priority="484" operator="containsText" text="BEARISH">
      <formula>NOT(ISERROR(SEARCH("BEARISH",R5312)))</formula>
    </cfRule>
  </conditionalFormatting>
  <conditionalFormatting sqref="P5312:P5342">
    <cfRule type="dataBar" priority="481">
      <dataBar>
        <cfvo type="min"/>
        <cfvo type="max"/>
        <color rgb="FF638EC6"/>
      </dataBar>
      <extLst>
        <ext xmlns:x14="http://schemas.microsoft.com/office/spreadsheetml/2009/9/main" uri="{B025F937-C7B1-47D3-B67F-A62EFF666E3E}">
          <x14:id>{A648B82E-BB90-F942-B0D7-C2A51F8948BF}</x14:id>
        </ext>
      </extLst>
    </cfRule>
  </conditionalFormatting>
  <conditionalFormatting sqref="R5343:R5373">
    <cfRule type="containsText" dxfId="6962" priority="478" operator="containsText" text="NEUTRAL">
      <formula>NOT(ISERROR(SEARCH("NEUTRAL",R5343)))</formula>
    </cfRule>
    <cfRule type="containsText" dxfId="6961" priority="479" operator="containsText" text="BULLISH">
      <formula>NOT(ISERROR(SEARCH("BULLISH",R5343)))</formula>
    </cfRule>
    <cfRule type="containsText" dxfId="6960" priority="480" operator="containsText" text="BEARISH">
      <formula>NOT(ISERROR(SEARCH("BEARISH",R5343)))</formula>
    </cfRule>
  </conditionalFormatting>
  <conditionalFormatting sqref="P5343:P5373">
    <cfRule type="dataBar" priority="477">
      <dataBar>
        <cfvo type="min"/>
        <cfvo type="max"/>
        <color rgb="FF638EC6"/>
      </dataBar>
      <extLst>
        <ext xmlns:x14="http://schemas.microsoft.com/office/spreadsheetml/2009/9/main" uri="{B025F937-C7B1-47D3-B67F-A62EFF666E3E}">
          <x14:id>{6DACE036-99BC-074B-86C6-87800BE2E2C7}</x14:id>
        </ext>
      </extLst>
    </cfRule>
  </conditionalFormatting>
  <conditionalFormatting sqref="R5374:R5404">
    <cfRule type="containsText" dxfId="6959" priority="474" operator="containsText" text="NEUTRAL">
      <formula>NOT(ISERROR(SEARCH("NEUTRAL",R5374)))</formula>
    </cfRule>
    <cfRule type="containsText" dxfId="6958" priority="475" operator="containsText" text="BULLISH">
      <formula>NOT(ISERROR(SEARCH("BULLISH",R5374)))</formula>
    </cfRule>
    <cfRule type="containsText" dxfId="6957" priority="476" operator="containsText" text="BEARISH">
      <formula>NOT(ISERROR(SEARCH("BEARISH",R5374)))</formula>
    </cfRule>
  </conditionalFormatting>
  <conditionalFormatting sqref="P5374:P5404">
    <cfRule type="dataBar" priority="473">
      <dataBar>
        <cfvo type="min"/>
        <cfvo type="max"/>
        <color rgb="FF638EC6"/>
      </dataBar>
      <extLst>
        <ext xmlns:x14="http://schemas.microsoft.com/office/spreadsheetml/2009/9/main" uri="{B025F937-C7B1-47D3-B67F-A62EFF666E3E}">
          <x14:id>{B0FFA8C3-EEBA-3944-8C5D-7F8C0C935885}</x14:id>
        </ext>
      </extLst>
    </cfRule>
  </conditionalFormatting>
  <conditionalFormatting sqref="R5405:R5435">
    <cfRule type="containsText" dxfId="6956" priority="470" operator="containsText" text="NEUTRAL">
      <formula>NOT(ISERROR(SEARCH("NEUTRAL",R5405)))</formula>
    </cfRule>
    <cfRule type="containsText" dxfId="6955" priority="471" operator="containsText" text="BULLISH">
      <formula>NOT(ISERROR(SEARCH("BULLISH",R5405)))</formula>
    </cfRule>
    <cfRule type="containsText" dxfId="6954" priority="472" operator="containsText" text="BEARISH">
      <formula>NOT(ISERROR(SEARCH("BEARISH",R5405)))</formula>
    </cfRule>
  </conditionalFormatting>
  <conditionalFormatting sqref="P5405:P5435">
    <cfRule type="dataBar" priority="469">
      <dataBar>
        <cfvo type="min"/>
        <cfvo type="max"/>
        <color rgb="FF638EC6"/>
      </dataBar>
      <extLst>
        <ext xmlns:x14="http://schemas.microsoft.com/office/spreadsheetml/2009/9/main" uri="{B025F937-C7B1-47D3-B67F-A62EFF666E3E}">
          <x14:id>{0564A6B2-46D9-0B4A-96FD-B4C65113F1B4}</x14:id>
        </ext>
      </extLst>
    </cfRule>
  </conditionalFormatting>
  <conditionalFormatting sqref="R5436:R5467">
    <cfRule type="containsText" dxfId="6953" priority="466" operator="containsText" text="NEUTRAL">
      <formula>NOT(ISERROR(SEARCH("NEUTRAL",R5436)))</formula>
    </cfRule>
    <cfRule type="containsText" dxfId="6952" priority="467" operator="containsText" text="BULLISH">
      <formula>NOT(ISERROR(SEARCH("BULLISH",R5436)))</formula>
    </cfRule>
    <cfRule type="containsText" dxfId="6951" priority="468" operator="containsText" text="BEARISH">
      <formula>NOT(ISERROR(SEARCH("BEARISH",R5436)))</formula>
    </cfRule>
  </conditionalFormatting>
  <conditionalFormatting sqref="P5436:P5467">
    <cfRule type="dataBar" priority="465">
      <dataBar>
        <cfvo type="min"/>
        <cfvo type="max"/>
        <color rgb="FF638EC6"/>
      </dataBar>
      <extLst>
        <ext xmlns:x14="http://schemas.microsoft.com/office/spreadsheetml/2009/9/main" uri="{B025F937-C7B1-47D3-B67F-A62EFF666E3E}">
          <x14:id>{11DC1D83-0212-244B-8E8D-81E7B6F36750}</x14:id>
        </ext>
      </extLst>
    </cfRule>
  </conditionalFormatting>
  <conditionalFormatting sqref="R5468:R5499">
    <cfRule type="containsText" dxfId="6950" priority="462" operator="containsText" text="NEUTRAL">
      <formula>NOT(ISERROR(SEARCH("NEUTRAL",R5468)))</formula>
    </cfRule>
    <cfRule type="containsText" dxfId="6949" priority="463" operator="containsText" text="BULLISH">
      <formula>NOT(ISERROR(SEARCH("BULLISH",R5468)))</formula>
    </cfRule>
    <cfRule type="containsText" dxfId="6948" priority="464" operator="containsText" text="BEARISH">
      <formula>NOT(ISERROR(SEARCH("BEARISH",R5468)))</formula>
    </cfRule>
  </conditionalFormatting>
  <conditionalFormatting sqref="P5468:P5499">
    <cfRule type="dataBar" priority="461">
      <dataBar>
        <cfvo type="min"/>
        <cfvo type="max"/>
        <color rgb="FF638EC6"/>
      </dataBar>
      <extLst>
        <ext xmlns:x14="http://schemas.microsoft.com/office/spreadsheetml/2009/9/main" uri="{B025F937-C7B1-47D3-B67F-A62EFF666E3E}">
          <x14:id>{6006FF54-4628-2F45-8E9E-E47195DC7EE7}</x14:id>
        </ext>
      </extLst>
    </cfRule>
  </conditionalFormatting>
  <conditionalFormatting sqref="R5500:R5531">
    <cfRule type="containsText" dxfId="6947" priority="458" operator="containsText" text="NEUTRAL">
      <formula>NOT(ISERROR(SEARCH("NEUTRAL",R5500)))</formula>
    </cfRule>
    <cfRule type="containsText" dxfId="6946" priority="459" operator="containsText" text="BULLISH">
      <formula>NOT(ISERROR(SEARCH("BULLISH",R5500)))</formula>
    </cfRule>
    <cfRule type="containsText" dxfId="6945" priority="460" operator="containsText" text="BEARISH">
      <formula>NOT(ISERROR(SEARCH("BEARISH",R5500)))</formula>
    </cfRule>
  </conditionalFormatting>
  <conditionalFormatting sqref="P5500:P5531">
    <cfRule type="dataBar" priority="457">
      <dataBar>
        <cfvo type="min"/>
        <cfvo type="max"/>
        <color rgb="FF638EC6"/>
      </dataBar>
      <extLst>
        <ext xmlns:x14="http://schemas.microsoft.com/office/spreadsheetml/2009/9/main" uri="{B025F937-C7B1-47D3-B67F-A62EFF666E3E}">
          <x14:id>{9A14CE31-73EF-8C49-A673-0432C8D0B670}</x14:id>
        </ext>
      </extLst>
    </cfRule>
  </conditionalFormatting>
  <conditionalFormatting sqref="R5532:R5563">
    <cfRule type="containsText" dxfId="6944" priority="454" operator="containsText" text="NEUTRAL">
      <formula>NOT(ISERROR(SEARCH("NEUTRAL",R5532)))</formula>
    </cfRule>
    <cfRule type="containsText" dxfId="6943" priority="455" operator="containsText" text="BULLISH">
      <formula>NOT(ISERROR(SEARCH("BULLISH",R5532)))</formula>
    </cfRule>
    <cfRule type="containsText" dxfId="6942" priority="456" operator="containsText" text="BEARISH">
      <formula>NOT(ISERROR(SEARCH("BEARISH",R5532)))</formula>
    </cfRule>
  </conditionalFormatting>
  <conditionalFormatting sqref="P5532:P5563">
    <cfRule type="dataBar" priority="453">
      <dataBar>
        <cfvo type="min"/>
        <cfvo type="max"/>
        <color rgb="FF638EC6"/>
      </dataBar>
      <extLst>
        <ext xmlns:x14="http://schemas.microsoft.com/office/spreadsheetml/2009/9/main" uri="{B025F937-C7B1-47D3-B67F-A62EFF666E3E}">
          <x14:id>{7DA23381-92A3-454D-888D-2A53CD7A0725}</x14:id>
        </ext>
      </extLst>
    </cfRule>
  </conditionalFormatting>
  <conditionalFormatting sqref="R5564:R5595">
    <cfRule type="containsText" dxfId="6941" priority="450" operator="containsText" text="NEUTRAL">
      <formula>NOT(ISERROR(SEARCH("NEUTRAL",R5564)))</formula>
    </cfRule>
    <cfRule type="containsText" dxfId="6940" priority="451" operator="containsText" text="BULLISH">
      <formula>NOT(ISERROR(SEARCH("BULLISH",R5564)))</formula>
    </cfRule>
    <cfRule type="containsText" dxfId="6939" priority="452" operator="containsText" text="BEARISH">
      <formula>NOT(ISERROR(SEARCH("BEARISH",R5564)))</formula>
    </cfRule>
  </conditionalFormatting>
  <conditionalFormatting sqref="P5564:P5595">
    <cfRule type="dataBar" priority="449">
      <dataBar>
        <cfvo type="min"/>
        <cfvo type="max"/>
        <color rgb="FF638EC6"/>
      </dataBar>
      <extLst>
        <ext xmlns:x14="http://schemas.microsoft.com/office/spreadsheetml/2009/9/main" uri="{B025F937-C7B1-47D3-B67F-A62EFF666E3E}">
          <x14:id>{BE6A5AE8-70A9-2B48-8DC3-5496D6A81EB3}</x14:id>
        </ext>
      </extLst>
    </cfRule>
  </conditionalFormatting>
  <conditionalFormatting sqref="R5596:R5627">
    <cfRule type="containsText" dxfId="6938" priority="446" operator="containsText" text="NEUTRAL">
      <formula>NOT(ISERROR(SEARCH("NEUTRAL",R5596)))</formula>
    </cfRule>
    <cfRule type="containsText" dxfId="6937" priority="447" operator="containsText" text="BULLISH">
      <formula>NOT(ISERROR(SEARCH("BULLISH",R5596)))</formula>
    </cfRule>
    <cfRule type="containsText" dxfId="6936" priority="448" operator="containsText" text="BEARISH">
      <formula>NOT(ISERROR(SEARCH("BEARISH",R5596)))</formula>
    </cfRule>
  </conditionalFormatting>
  <conditionalFormatting sqref="P5596:P5627">
    <cfRule type="dataBar" priority="445">
      <dataBar>
        <cfvo type="min"/>
        <cfvo type="max"/>
        <color rgb="FF638EC6"/>
      </dataBar>
      <extLst>
        <ext xmlns:x14="http://schemas.microsoft.com/office/spreadsheetml/2009/9/main" uri="{B025F937-C7B1-47D3-B67F-A62EFF666E3E}">
          <x14:id>{EC58B128-2C8A-7C44-A5A4-E3EC3E20885B}</x14:id>
        </ext>
      </extLst>
    </cfRule>
  </conditionalFormatting>
  <conditionalFormatting sqref="R5628:R5659">
    <cfRule type="containsText" dxfId="6935" priority="442" operator="containsText" text="NEUTRAL">
      <formula>NOT(ISERROR(SEARCH("NEUTRAL",R5628)))</formula>
    </cfRule>
    <cfRule type="containsText" dxfId="6934" priority="443" operator="containsText" text="BULLISH">
      <formula>NOT(ISERROR(SEARCH("BULLISH",R5628)))</formula>
    </cfRule>
    <cfRule type="containsText" dxfId="6933" priority="444" operator="containsText" text="BEARISH">
      <formula>NOT(ISERROR(SEARCH("BEARISH",R5628)))</formula>
    </cfRule>
  </conditionalFormatting>
  <conditionalFormatting sqref="P5628:P5659">
    <cfRule type="dataBar" priority="441">
      <dataBar>
        <cfvo type="min"/>
        <cfvo type="max"/>
        <color rgb="FF638EC6"/>
      </dataBar>
      <extLst>
        <ext xmlns:x14="http://schemas.microsoft.com/office/spreadsheetml/2009/9/main" uri="{B025F937-C7B1-47D3-B67F-A62EFF666E3E}">
          <x14:id>{C1A350D5-29F5-3545-B627-1544C634D73B}</x14:id>
        </ext>
      </extLst>
    </cfRule>
  </conditionalFormatting>
  <conditionalFormatting sqref="R5660:R5690">
    <cfRule type="containsText" dxfId="6932" priority="438" operator="containsText" text="NEUTRAL">
      <formula>NOT(ISERROR(SEARCH("NEUTRAL",R5660)))</formula>
    </cfRule>
    <cfRule type="containsText" dxfId="6931" priority="439" operator="containsText" text="BULLISH">
      <formula>NOT(ISERROR(SEARCH("BULLISH",R5660)))</formula>
    </cfRule>
    <cfRule type="containsText" dxfId="6930" priority="440" operator="containsText" text="BEARISH">
      <formula>NOT(ISERROR(SEARCH("BEARISH",R5660)))</formula>
    </cfRule>
  </conditionalFormatting>
  <conditionalFormatting sqref="P5660:P5690">
    <cfRule type="dataBar" priority="437">
      <dataBar>
        <cfvo type="min"/>
        <cfvo type="max"/>
        <color rgb="FF638EC6"/>
      </dataBar>
      <extLst>
        <ext xmlns:x14="http://schemas.microsoft.com/office/spreadsheetml/2009/9/main" uri="{B025F937-C7B1-47D3-B67F-A62EFF666E3E}">
          <x14:id>{7A943D76-9001-E046-8F53-8D5563814A9E}</x14:id>
        </ext>
      </extLst>
    </cfRule>
  </conditionalFormatting>
  <conditionalFormatting sqref="R5691:R5720">
    <cfRule type="containsText" dxfId="6929" priority="434" operator="containsText" text="NEUTRAL">
      <formula>NOT(ISERROR(SEARCH("NEUTRAL",R5691)))</formula>
    </cfRule>
    <cfRule type="containsText" dxfId="6928" priority="435" operator="containsText" text="BULLISH">
      <formula>NOT(ISERROR(SEARCH("BULLISH",R5691)))</formula>
    </cfRule>
    <cfRule type="containsText" dxfId="6927" priority="436" operator="containsText" text="BEARISH">
      <formula>NOT(ISERROR(SEARCH("BEARISH",R5691)))</formula>
    </cfRule>
  </conditionalFormatting>
  <conditionalFormatting sqref="P5691:P5720">
    <cfRule type="dataBar" priority="433">
      <dataBar>
        <cfvo type="min"/>
        <cfvo type="max"/>
        <color rgb="FF638EC6"/>
      </dataBar>
      <extLst>
        <ext xmlns:x14="http://schemas.microsoft.com/office/spreadsheetml/2009/9/main" uri="{B025F937-C7B1-47D3-B67F-A62EFF666E3E}">
          <x14:id>{8A948CA9-00C1-6F47-BADD-219F88EB42E7}</x14:id>
        </ext>
      </extLst>
    </cfRule>
  </conditionalFormatting>
  <conditionalFormatting sqref="R5721:R5751">
    <cfRule type="containsText" dxfId="6926" priority="430" operator="containsText" text="NEUTRAL">
      <formula>NOT(ISERROR(SEARCH("NEUTRAL",R5721)))</formula>
    </cfRule>
    <cfRule type="containsText" dxfId="6925" priority="431" operator="containsText" text="BULLISH">
      <formula>NOT(ISERROR(SEARCH("BULLISH",R5721)))</formula>
    </cfRule>
    <cfRule type="containsText" dxfId="6924" priority="432" operator="containsText" text="BEARISH">
      <formula>NOT(ISERROR(SEARCH("BEARISH",R5721)))</formula>
    </cfRule>
  </conditionalFormatting>
  <conditionalFormatting sqref="P5721:P5751">
    <cfRule type="dataBar" priority="429">
      <dataBar>
        <cfvo type="min"/>
        <cfvo type="max"/>
        <color rgb="FF638EC6"/>
      </dataBar>
      <extLst>
        <ext xmlns:x14="http://schemas.microsoft.com/office/spreadsheetml/2009/9/main" uri="{B025F937-C7B1-47D3-B67F-A62EFF666E3E}">
          <x14:id>{01F02036-65EC-1C48-83CA-C8434EC8BD1D}</x14:id>
        </ext>
      </extLst>
    </cfRule>
  </conditionalFormatting>
  <conditionalFormatting sqref="R5752:R5782">
    <cfRule type="containsText" dxfId="6923" priority="426" operator="containsText" text="NEUTRAL">
      <formula>NOT(ISERROR(SEARCH("NEUTRAL",R5752)))</formula>
    </cfRule>
    <cfRule type="containsText" dxfId="6922" priority="427" operator="containsText" text="BULLISH">
      <formula>NOT(ISERROR(SEARCH("BULLISH",R5752)))</formula>
    </cfRule>
    <cfRule type="containsText" dxfId="6921" priority="428" operator="containsText" text="BEARISH">
      <formula>NOT(ISERROR(SEARCH("BEARISH",R5752)))</formula>
    </cfRule>
  </conditionalFormatting>
  <conditionalFormatting sqref="P5752:P5782">
    <cfRule type="dataBar" priority="425">
      <dataBar>
        <cfvo type="min"/>
        <cfvo type="max"/>
        <color rgb="FF638EC6"/>
      </dataBar>
      <extLst>
        <ext xmlns:x14="http://schemas.microsoft.com/office/spreadsheetml/2009/9/main" uri="{B025F937-C7B1-47D3-B67F-A62EFF666E3E}">
          <x14:id>{9EC048FB-C37B-874F-AFA4-B8ECBB4804BE}</x14:id>
        </ext>
      </extLst>
    </cfRule>
  </conditionalFormatting>
  <conditionalFormatting sqref="R5783:R5813">
    <cfRule type="containsText" dxfId="6920" priority="422" operator="containsText" text="NEUTRAL">
      <formula>NOT(ISERROR(SEARCH("NEUTRAL",R5783)))</formula>
    </cfRule>
    <cfRule type="containsText" dxfId="6919" priority="423" operator="containsText" text="BULLISH">
      <formula>NOT(ISERROR(SEARCH("BULLISH",R5783)))</formula>
    </cfRule>
    <cfRule type="containsText" dxfId="6918" priority="424" operator="containsText" text="BEARISH">
      <formula>NOT(ISERROR(SEARCH("BEARISH",R5783)))</formula>
    </cfRule>
  </conditionalFormatting>
  <conditionalFormatting sqref="P5783:P5813">
    <cfRule type="dataBar" priority="421">
      <dataBar>
        <cfvo type="min"/>
        <cfvo type="max"/>
        <color rgb="FF638EC6"/>
      </dataBar>
      <extLst>
        <ext xmlns:x14="http://schemas.microsoft.com/office/spreadsheetml/2009/9/main" uri="{B025F937-C7B1-47D3-B67F-A62EFF666E3E}">
          <x14:id>{E0E6B227-B8F5-3A4D-836A-45E8B0E172F0}</x14:id>
        </ext>
      </extLst>
    </cfRule>
  </conditionalFormatting>
  <conditionalFormatting sqref="R5814:R5844">
    <cfRule type="containsText" dxfId="6917" priority="418" operator="containsText" text="NEUTRAL">
      <formula>NOT(ISERROR(SEARCH("NEUTRAL",R5814)))</formula>
    </cfRule>
    <cfRule type="containsText" dxfId="6916" priority="419" operator="containsText" text="BULLISH">
      <formula>NOT(ISERROR(SEARCH("BULLISH",R5814)))</formula>
    </cfRule>
    <cfRule type="containsText" dxfId="6915" priority="420" operator="containsText" text="BEARISH">
      <formula>NOT(ISERROR(SEARCH("BEARISH",R5814)))</formula>
    </cfRule>
  </conditionalFormatting>
  <conditionalFormatting sqref="P5814:P5844">
    <cfRule type="dataBar" priority="417">
      <dataBar>
        <cfvo type="min"/>
        <cfvo type="max"/>
        <color rgb="FF638EC6"/>
      </dataBar>
      <extLst>
        <ext xmlns:x14="http://schemas.microsoft.com/office/spreadsheetml/2009/9/main" uri="{B025F937-C7B1-47D3-B67F-A62EFF666E3E}">
          <x14:id>{E4DFC7D0-54E9-804E-963F-CA451D117502}</x14:id>
        </ext>
      </extLst>
    </cfRule>
  </conditionalFormatting>
  <conditionalFormatting sqref="R5845:R5874">
    <cfRule type="containsText" dxfId="6914" priority="414" operator="containsText" text="NEUTRAL">
      <formula>NOT(ISERROR(SEARCH("NEUTRAL",R5845)))</formula>
    </cfRule>
    <cfRule type="containsText" dxfId="6913" priority="415" operator="containsText" text="BULLISH">
      <formula>NOT(ISERROR(SEARCH("BULLISH",R5845)))</formula>
    </cfRule>
    <cfRule type="containsText" dxfId="6912" priority="416" operator="containsText" text="BEARISH">
      <formula>NOT(ISERROR(SEARCH("BEARISH",R5845)))</formula>
    </cfRule>
  </conditionalFormatting>
  <conditionalFormatting sqref="P5845:P5874">
    <cfRule type="dataBar" priority="413">
      <dataBar>
        <cfvo type="min"/>
        <cfvo type="max"/>
        <color rgb="FF638EC6"/>
      </dataBar>
      <extLst>
        <ext xmlns:x14="http://schemas.microsoft.com/office/spreadsheetml/2009/9/main" uri="{B025F937-C7B1-47D3-B67F-A62EFF666E3E}">
          <x14:id>{81E87ADC-5402-514B-970A-546CEBD31335}</x14:id>
        </ext>
      </extLst>
    </cfRule>
  </conditionalFormatting>
  <conditionalFormatting sqref="R5875:R5904">
    <cfRule type="containsText" dxfId="6911" priority="410" operator="containsText" text="NEUTRAL">
      <formula>NOT(ISERROR(SEARCH("NEUTRAL",R5875)))</formula>
    </cfRule>
    <cfRule type="containsText" dxfId="6910" priority="411" operator="containsText" text="BULLISH">
      <formula>NOT(ISERROR(SEARCH("BULLISH",R5875)))</formula>
    </cfRule>
    <cfRule type="containsText" dxfId="6909" priority="412" operator="containsText" text="BEARISH">
      <formula>NOT(ISERROR(SEARCH("BEARISH",R5875)))</formula>
    </cfRule>
  </conditionalFormatting>
  <conditionalFormatting sqref="P5875:P5904">
    <cfRule type="dataBar" priority="409">
      <dataBar>
        <cfvo type="min"/>
        <cfvo type="max"/>
        <color rgb="FF638EC6"/>
      </dataBar>
      <extLst>
        <ext xmlns:x14="http://schemas.microsoft.com/office/spreadsheetml/2009/9/main" uri="{B025F937-C7B1-47D3-B67F-A62EFF666E3E}">
          <x14:id>{5C079E85-BC11-2C4B-99BA-66E80B6B421A}</x14:id>
        </ext>
      </extLst>
    </cfRule>
  </conditionalFormatting>
  <conditionalFormatting sqref="R5905:R5935">
    <cfRule type="containsText" dxfId="6908" priority="406" operator="containsText" text="NEUTRAL">
      <formula>NOT(ISERROR(SEARCH("NEUTRAL",R5905)))</formula>
    </cfRule>
    <cfRule type="containsText" dxfId="6907" priority="407" operator="containsText" text="BULLISH">
      <formula>NOT(ISERROR(SEARCH("BULLISH",R5905)))</formula>
    </cfRule>
    <cfRule type="containsText" dxfId="6906" priority="408" operator="containsText" text="BEARISH">
      <formula>NOT(ISERROR(SEARCH("BEARISH",R5905)))</formula>
    </cfRule>
  </conditionalFormatting>
  <conditionalFormatting sqref="P5905:P5935">
    <cfRule type="dataBar" priority="405">
      <dataBar>
        <cfvo type="min"/>
        <cfvo type="max"/>
        <color rgb="FF638EC6"/>
      </dataBar>
      <extLst>
        <ext xmlns:x14="http://schemas.microsoft.com/office/spreadsheetml/2009/9/main" uri="{B025F937-C7B1-47D3-B67F-A62EFF666E3E}">
          <x14:id>{401FC7C3-B3F4-0B4D-8C38-3C440572518B}</x14:id>
        </ext>
      </extLst>
    </cfRule>
  </conditionalFormatting>
  <conditionalFormatting sqref="R5936:R5966">
    <cfRule type="containsText" dxfId="6905" priority="402" operator="containsText" text="NEUTRAL">
      <formula>NOT(ISERROR(SEARCH("NEUTRAL",R5936)))</formula>
    </cfRule>
    <cfRule type="containsText" dxfId="6904" priority="403" operator="containsText" text="BULLISH">
      <formula>NOT(ISERROR(SEARCH("BULLISH",R5936)))</formula>
    </cfRule>
    <cfRule type="containsText" dxfId="6903" priority="404" operator="containsText" text="BEARISH">
      <formula>NOT(ISERROR(SEARCH("BEARISH",R5936)))</formula>
    </cfRule>
  </conditionalFormatting>
  <conditionalFormatting sqref="P5936:P5966">
    <cfRule type="dataBar" priority="401">
      <dataBar>
        <cfvo type="min"/>
        <cfvo type="max"/>
        <color rgb="FF638EC6"/>
      </dataBar>
      <extLst>
        <ext xmlns:x14="http://schemas.microsoft.com/office/spreadsheetml/2009/9/main" uri="{B025F937-C7B1-47D3-B67F-A62EFF666E3E}">
          <x14:id>{D2FA69CF-5B5B-0B4D-9EE3-04D1C0E89FB8}</x14:id>
        </ext>
      </extLst>
    </cfRule>
  </conditionalFormatting>
  <conditionalFormatting sqref="R5967:R5997">
    <cfRule type="containsText" dxfId="6902" priority="398" operator="containsText" text="NEUTRAL">
      <formula>NOT(ISERROR(SEARCH("NEUTRAL",R5967)))</formula>
    </cfRule>
    <cfRule type="containsText" dxfId="6901" priority="399" operator="containsText" text="BULLISH">
      <formula>NOT(ISERROR(SEARCH("BULLISH",R5967)))</formula>
    </cfRule>
    <cfRule type="containsText" dxfId="6900" priority="400" operator="containsText" text="BEARISH">
      <formula>NOT(ISERROR(SEARCH("BEARISH",R5967)))</formula>
    </cfRule>
  </conditionalFormatting>
  <conditionalFormatting sqref="P5967:P5997">
    <cfRule type="dataBar" priority="397">
      <dataBar>
        <cfvo type="min"/>
        <cfvo type="max"/>
        <color rgb="FF638EC6"/>
      </dataBar>
      <extLst>
        <ext xmlns:x14="http://schemas.microsoft.com/office/spreadsheetml/2009/9/main" uri="{B025F937-C7B1-47D3-B67F-A62EFF666E3E}">
          <x14:id>{075FDDDE-281C-0440-8640-0E2AC389913C}</x14:id>
        </ext>
      </extLst>
    </cfRule>
  </conditionalFormatting>
  <conditionalFormatting sqref="R5998:R6028">
    <cfRule type="containsText" dxfId="6899" priority="394" operator="containsText" text="NEUTRAL">
      <formula>NOT(ISERROR(SEARCH("NEUTRAL",R5998)))</formula>
    </cfRule>
    <cfRule type="containsText" dxfId="6898" priority="395" operator="containsText" text="BULLISH">
      <formula>NOT(ISERROR(SEARCH("BULLISH",R5998)))</formula>
    </cfRule>
    <cfRule type="containsText" dxfId="6897" priority="396" operator="containsText" text="BEARISH">
      <formula>NOT(ISERROR(SEARCH("BEARISH",R5998)))</formula>
    </cfRule>
  </conditionalFormatting>
  <conditionalFormatting sqref="P5998:P6028">
    <cfRule type="dataBar" priority="393">
      <dataBar>
        <cfvo type="min"/>
        <cfvo type="max"/>
        <color rgb="FF638EC6"/>
      </dataBar>
      <extLst>
        <ext xmlns:x14="http://schemas.microsoft.com/office/spreadsheetml/2009/9/main" uri="{B025F937-C7B1-47D3-B67F-A62EFF666E3E}">
          <x14:id>{6E8F9D80-5E59-4843-9D2F-913D33EFD05C}</x14:id>
        </ext>
      </extLst>
    </cfRule>
  </conditionalFormatting>
  <conditionalFormatting sqref="R6029:R6059">
    <cfRule type="containsText" dxfId="6896" priority="390" operator="containsText" text="NEUTRAL">
      <formula>NOT(ISERROR(SEARCH("NEUTRAL",R6029)))</formula>
    </cfRule>
    <cfRule type="containsText" dxfId="6895" priority="391" operator="containsText" text="BULLISH">
      <formula>NOT(ISERROR(SEARCH("BULLISH",R6029)))</formula>
    </cfRule>
    <cfRule type="containsText" dxfId="6894" priority="392" operator="containsText" text="BEARISH">
      <formula>NOT(ISERROR(SEARCH("BEARISH",R6029)))</formula>
    </cfRule>
  </conditionalFormatting>
  <conditionalFormatting sqref="P6029:P6059">
    <cfRule type="dataBar" priority="389">
      <dataBar>
        <cfvo type="min"/>
        <cfvo type="max"/>
        <color rgb="FF638EC6"/>
      </dataBar>
      <extLst>
        <ext xmlns:x14="http://schemas.microsoft.com/office/spreadsheetml/2009/9/main" uri="{B025F937-C7B1-47D3-B67F-A62EFF666E3E}">
          <x14:id>{2EE5B0C1-4CC2-8E4E-BDFE-2C969060752F}</x14:id>
        </ext>
      </extLst>
    </cfRule>
  </conditionalFormatting>
  <conditionalFormatting sqref="R6060:R6090">
    <cfRule type="containsText" dxfId="6893" priority="386" operator="containsText" text="NEUTRAL">
      <formula>NOT(ISERROR(SEARCH("NEUTRAL",R6060)))</formula>
    </cfRule>
    <cfRule type="containsText" dxfId="6892" priority="387" operator="containsText" text="BULLISH">
      <formula>NOT(ISERROR(SEARCH("BULLISH",R6060)))</formula>
    </cfRule>
    <cfRule type="containsText" dxfId="6891" priority="388" operator="containsText" text="BEARISH">
      <formula>NOT(ISERROR(SEARCH("BEARISH",R6060)))</formula>
    </cfRule>
  </conditionalFormatting>
  <conditionalFormatting sqref="P6060:P6090">
    <cfRule type="dataBar" priority="385">
      <dataBar>
        <cfvo type="min"/>
        <cfvo type="max"/>
        <color rgb="FF638EC6"/>
      </dataBar>
      <extLst>
        <ext xmlns:x14="http://schemas.microsoft.com/office/spreadsheetml/2009/9/main" uri="{B025F937-C7B1-47D3-B67F-A62EFF666E3E}">
          <x14:id>{1DD01CFE-EA7F-7C47-AD0B-DC4E4541765F}</x14:id>
        </ext>
      </extLst>
    </cfRule>
  </conditionalFormatting>
  <conditionalFormatting sqref="R6091:R6121">
    <cfRule type="containsText" dxfId="6890" priority="382" operator="containsText" text="NEUTRAL">
      <formula>NOT(ISERROR(SEARCH("NEUTRAL",R6091)))</formula>
    </cfRule>
    <cfRule type="containsText" dxfId="6889" priority="383" operator="containsText" text="BULLISH">
      <formula>NOT(ISERROR(SEARCH("BULLISH",R6091)))</formula>
    </cfRule>
    <cfRule type="containsText" dxfId="6888" priority="384" operator="containsText" text="BEARISH">
      <formula>NOT(ISERROR(SEARCH("BEARISH",R6091)))</formula>
    </cfRule>
  </conditionalFormatting>
  <conditionalFormatting sqref="P6091:P6121">
    <cfRule type="dataBar" priority="381">
      <dataBar>
        <cfvo type="min"/>
        <cfvo type="max"/>
        <color rgb="FF638EC6"/>
      </dataBar>
      <extLst>
        <ext xmlns:x14="http://schemas.microsoft.com/office/spreadsheetml/2009/9/main" uri="{B025F937-C7B1-47D3-B67F-A62EFF666E3E}">
          <x14:id>{207926B7-30C9-E24E-8DC7-881989CCC778}</x14:id>
        </ext>
      </extLst>
    </cfRule>
  </conditionalFormatting>
  <conditionalFormatting sqref="R6122:R6152">
    <cfRule type="containsText" dxfId="6887" priority="378" operator="containsText" text="NEUTRAL">
      <formula>NOT(ISERROR(SEARCH("NEUTRAL",R6122)))</formula>
    </cfRule>
    <cfRule type="containsText" dxfId="6886" priority="379" operator="containsText" text="BULLISH">
      <formula>NOT(ISERROR(SEARCH("BULLISH",R6122)))</formula>
    </cfRule>
    <cfRule type="containsText" dxfId="6885" priority="380" operator="containsText" text="BEARISH">
      <formula>NOT(ISERROR(SEARCH("BEARISH",R6122)))</formula>
    </cfRule>
  </conditionalFormatting>
  <conditionalFormatting sqref="P6122:P6152">
    <cfRule type="dataBar" priority="377">
      <dataBar>
        <cfvo type="min"/>
        <cfvo type="max"/>
        <color rgb="FF638EC6"/>
      </dataBar>
      <extLst>
        <ext xmlns:x14="http://schemas.microsoft.com/office/spreadsheetml/2009/9/main" uri="{B025F937-C7B1-47D3-B67F-A62EFF666E3E}">
          <x14:id>{B642B35A-3C9B-F547-935D-E3577A491BB7}</x14:id>
        </ext>
      </extLst>
    </cfRule>
  </conditionalFormatting>
  <conditionalFormatting sqref="R6153:R6183">
    <cfRule type="containsText" dxfId="6884" priority="374" operator="containsText" text="NEUTRAL">
      <formula>NOT(ISERROR(SEARCH("NEUTRAL",R6153)))</formula>
    </cfRule>
    <cfRule type="containsText" dxfId="6883" priority="375" operator="containsText" text="BULLISH">
      <formula>NOT(ISERROR(SEARCH("BULLISH",R6153)))</formula>
    </cfRule>
    <cfRule type="containsText" dxfId="6882" priority="376" operator="containsText" text="BEARISH">
      <formula>NOT(ISERROR(SEARCH("BEARISH",R6153)))</formula>
    </cfRule>
  </conditionalFormatting>
  <conditionalFormatting sqref="P6153:P6183">
    <cfRule type="dataBar" priority="373">
      <dataBar>
        <cfvo type="min"/>
        <cfvo type="max"/>
        <color rgb="FF638EC6"/>
      </dataBar>
      <extLst>
        <ext xmlns:x14="http://schemas.microsoft.com/office/spreadsheetml/2009/9/main" uri="{B025F937-C7B1-47D3-B67F-A62EFF666E3E}">
          <x14:id>{E8D70255-56AA-5B4C-BD62-A67578386306}</x14:id>
        </ext>
      </extLst>
    </cfRule>
  </conditionalFormatting>
  <conditionalFormatting sqref="R6184:R6214">
    <cfRule type="containsText" dxfId="6881" priority="370" operator="containsText" text="NEUTRAL">
      <formula>NOT(ISERROR(SEARCH("NEUTRAL",R6184)))</formula>
    </cfRule>
    <cfRule type="containsText" dxfId="6880" priority="371" operator="containsText" text="BULLISH">
      <formula>NOT(ISERROR(SEARCH("BULLISH",R6184)))</formula>
    </cfRule>
    <cfRule type="containsText" dxfId="6879" priority="372" operator="containsText" text="BEARISH">
      <formula>NOT(ISERROR(SEARCH("BEARISH",R6184)))</formula>
    </cfRule>
  </conditionalFormatting>
  <conditionalFormatting sqref="P6184:P6214">
    <cfRule type="dataBar" priority="369">
      <dataBar>
        <cfvo type="min"/>
        <cfvo type="max"/>
        <color rgb="FF638EC6"/>
      </dataBar>
      <extLst>
        <ext xmlns:x14="http://schemas.microsoft.com/office/spreadsheetml/2009/9/main" uri="{B025F937-C7B1-47D3-B67F-A62EFF666E3E}">
          <x14:id>{F3F65725-B118-A04A-B7A0-01B17FD107A5}</x14:id>
        </ext>
      </extLst>
    </cfRule>
  </conditionalFormatting>
  <conditionalFormatting sqref="R6215:R6245">
    <cfRule type="containsText" dxfId="6878" priority="366" operator="containsText" text="NEUTRAL">
      <formula>NOT(ISERROR(SEARCH("NEUTRAL",R6215)))</formula>
    </cfRule>
    <cfRule type="containsText" dxfId="6877" priority="367" operator="containsText" text="BULLISH">
      <formula>NOT(ISERROR(SEARCH("BULLISH",R6215)))</formula>
    </cfRule>
    <cfRule type="containsText" dxfId="6876" priority="368" operator="containsText" text="BEARISH">
      <formula>NOT(ISERROR(SEARCH("BEARISH",R6215)))</formula>
    </cfRule>
  </conditionalFormatting>
  <conditionalFormatting sqref="P6215:P6245">
    <cfRule type="dataBar" priority="365">
      <dataBar>
        <cfvo type="min"/>
        <cfvo type="max"/>
        <color rgb="FF638EC6"/>
      </dataBar>
      <extLst>
        <ext xmlns:x14="http://schemas.microsoft.com/office/spreadsheetml/2009/9/main" uri="{B025F937-C7B1-47D3-B67F-A62EFF666E3E}">
          <x14:id>{1A1192EE-2C70-7D46-BCA8-85700EB4F08C}</x14:id>
        </ext>
      </extLst>
    </cfRule>
  </conditionalFormatting>
  <conditionalFormatting sqref="R6246:R6276">
    <cfRule type="containsText" dxfId="6875" priority="362" operator="containsText" text="NEUTRAL">
      <formula>NOT(ISERROR(SEARCH("NEUTRAL",R6246)))</formula>
    </cfRule>
    <cfRule type="containsText" dxfId="6874" priority="363" operator="containsText" text="BULLISH">
      <formula>NOT(ISERROR(SEARCH("BULLISH",R6246)))</formula>
    </cfRule>
    <cfRule type="containsText" dxfId="6873" priority="364" operator="containsText" text="BEARISH">
      <formula>NOT(ISERROR(SEARCH("BEARISH",R6246)))</formula>
    </cfRule>
  </conditionalFormatting>
  <conditionalFormatting sqref="P6246:P6276">
    <cfRule type="dataBar" priority="361">
      <dataBar>
        <cfvo type="min"/>
        <cfvo type="max"/>
        <color rgb="FF638EC6"/>
      </dataBar>
      <extLst>
        <ext xmlns:x14="http://schemas.microsoft.com/office/spreadsheetml/2009/9/main" uri="{B025F937-C7B1-47D3-B67F-A62EFF666E3E}">
          <x14:id>{DA0A4409-E6C7-E745-BD01-67C28E09D07B}</x14:id>
        </ext>
      </extLst>
    </cfRule>
  </conditionalFormatting>
  <conditionalFormatting sqref="R6277:R6308">
    <cfRule type="containsText" dxfId="6872" priority="358" operator="containsText" text="NEUTRAL">
      <formula>NOT(ISERROR(SEARCH("NEUTRAL",R6277)))</formula>
    </cfRule>
    <cfRule type="containsText" dxfId="6871" priority="359" operator="containsText" text="BULLISH">
      <formula>NOT(ISERROR(SEARCH("BULLISH",R6277)))</formula>
    </cfRule>
    <cfRule type="containsText" dxfId="6870" priority="360" operator="containsText" text="BEARISH">
      <formula>NOT(ISERROR(SEARCH("BEARISH",R6277)))</formula>
    </cfRule>
  </conditionalFormatting>
  <conditionalFormatting sqref="P6277:P6308">
    <cfRule type="dataBar" priority="357">
      <dataBar>
        <cfvo type="min"/>
        <cfvo type="max"/>
        <color rgb="FF638EC6"/>
      </dataBar>
      <extLst>
        <ext xmlns:x14="http://schemas.microsoft.com/office/spreadsheetml/2009/9/main" uri="{B025F937-C7B1-47D3-B67F-A62EFF666E3E}">
          <x14:id>{A32F5862-9665-EA45-9C09-83AB31AFDCDB}</x14:id>
        </ext>
      </extLst>
    </cfRule>
  </conditionalFormatting>
  <conditionalFormatting sqref="R6309:R6340">
    <cfRule type="containsText" dxfId="6869" priority="354" operator="containsText" text="NEUTRAL">
      <formula>NOT(ISERROR(SEARCH("NEUTRAL",R6309)))</formula>
    </cfRule>
    <cfRule type="containsText" dxfId="6868" priority="355" operator="containsText" text="BULLISH">
      <formula>NOT(ISERROR(SEARCH("BULLISH",R6309)))</formula>
    </cfRule>
    <cfRule type="containsText" dxfId="6867" priority="356" operator="containsText" text="BEARISH">
      <formula>NOT(ISERROR(SEARCH("BEARISH",R6309)))</formula>
    </cfRule>
  </conditionalFormatting>
  <conditionalFormatting sqref="P6309:P6340">
    <cfRule type="dataBar" priority="353">
      <dataBar>
        <cfvo type="min"/>
        <cfvo type="max"/>
        <color rgb="FF638EC6"/>
      </dataBar>
      <extLst>
        <ext xmlns:x14="http://schemas.microsoft.com/office/spreadsheetml/2009/9/main" uri="{B025F937-C7B1-47D3-B67F-A62EFF666E3E}">
          <x14:id>{81CE0E5D-3589-9F4D-B73B-93051616866B}</x14:id>
        </ext>
      </extLst>
    </cfRule>
  </conditionalFormatting>
  <conditionalFormatting sqref="R6341:R6372">
    <cfRule type="containsText" dxfId="6866" priority="350" operator="containsText" text="NEUTRAL">
      <formula>NOT(ISERROR(SEARCH("NEUTRAL",R6341)))</formula>
    </cfRule>
    <cfRule type="containsText" dxfId="6865" priority="351" operator="containsText" text="BULLISH">
      <formula>NOT(ISERROR(SEARCH("BULLISH",R6341)))</formula>
    </cfRule>
    <cfRule type="containsText" dxfId="6864" priority="352" operator="containsText" text="BEARISH">
      <formula>NOT(ISERROR(SEARCH("BEARISH",R6341)))</formula>
    </cfRule>
  </conditionalFormatting>
  <conditionalFormatting sqref="P6341:P6372">
    <cfRule type="dataBar" priority="349">
      <dataBar>
        <cfvo type="min"/>
        <cfvo type="max"/>
        <color rgb="FF638EC6"/>
      </dataBar>
      <extLst>
        <ext xmlns:x14="http://schemas.microsoft.com/office/spreadsheetml/2009/9/main" uri="{B025F937-C7B1-47D3-B67F-A62EFF666E3E}">
          <x14:id>{15EAAA8F-3016-484D-AE6D-EA0B4C89F8D7}</x14:id>
        </ext>
      </extLst>
    </cfRule>
  </conditionalFormatting>
  <conditionalFormatting sqref="R6373:R6404">
    <cfRule type="containsText" dxfId="6863" priority="346" operator="containsText" text="NEUTRAL">
      <formula>NOT(ISERROR(SEARCH("NEUTRAL",R6373)))</formula>
    </cfRule>
    <cfRule type="containsText" dxfId="6862" priority="347" operator="containsText" text="BULLISH">
      <formula>NOT(ISERROR(SEARCH("BULLISH",R6373)))</formula>
    </cfRule>
    <cfRule type="containsText" dxfId="6861" priority="348" operator="containsText" text="BEARISH">
      <formula>NOT(ISERROR(SEARCH("BEARISH",R6373)))</formula>
    </cfRule>
  </conditionalFormatting>
  <conditionalFormatting sqref="P6373:P6404">
    <cfRule type="dataBar" priority="345">
      <dataBar>
        <cfvo type="min"/>
        <cfvo type="max"/>
        <color rgb="FF638EC6"/>
      </dataBar>
      <extLst>
        <ext xmlns:x14="http://schemas.microsoft.com/office/spreadsheetml/2009/9/main" uri="{B025F937-C7B1-47D3-B67F-A62EFF666E3E}">
          <x14:id>{B68615B6-D75A-574A-AE03-A1A2DC4F22E5}</x14:id>
        </ext>
      </extLst>
    </cfRule>
  </conditionalFormatting>
  <conditionalFormatting sqref="R6405:R6436">
    <cfRule type="containsText" dxfId="6860" priority="342" operator="containsText" text="NEUTRAL">
      <formula>NOT(ISERROR(SEARCH("NEUTRAL",R6405)))</formula>
    </cfRule>
    <cfRule type="containsText" dxfId="6859" priority="343" operator="containsText" text="BULLISH">
      <formula>NOT(ISERROR(SEARCH("BULLISH",R6405)))</formula>
    </cfRule>
    <cfRule type="containsText" dxfId="6858" priority="344" operator="containsText" text="BEARISH">
      <formula>NOT(ISERROR(SEARCH("BEARISH",R6405)))</formula>
    </cfRule>
  </conditionalFormatting>
  <conditionalFormatting sqref="P6405:P6436">
    <cfRule type="dataBar" priority="341">
      <dataBar>
        <cfvo type="min"/>
        <cfvo type="max"/>
        <color rgb="FF638EC6"/>
      </dataBar>
      <extLst>
        <ext xmlns:x14="http://schemas.microsoft.com/office/spreadsheetml/2009/9/main" uri="{B025F937-C7B1-47D3-B67F-A62EFF666E3E}">
          <x14:id>{D52BAA8C-A69F-C543-8608-317F18CF0E90}</x14:id>
        </ext>
      </extLst>
    </cfRule>
  </conditionalFormatting>
  <conditionalFormatting sqref="R6437:R6468">
    <cfRule type="containsText" dxfId="6857" priority="338" operator="containsText" text="NEUTRAL">
      <formula>NOT(ISERROR(SEARCH("NEUTRAL",R6437)))</formula>
    </cfRule>
    <cfRule type="containsText" dxfId="6856" priority="339" operator="containsText" text="BULLISH">
      <formula>NOT(ISERROR(SEARCH("BULLISH",R6437)))</formula>
    </cfRule>
    <cfRule type="containsText" dxfId="6855" priority="340" operator="containsText" text="BEARISH">
      <formula>NOT(ISERROR(SEARCH("BEARISH",R6437)))</formula>
    </cfRule>
  </conditionalFormatting>
  <conditionalFormatting sqref="P6437:P6468">
    <cfRule type="dataBar" priority="337">
      <dataBar>
        <cfvo type="min"/>
        <cfvo type="max"/>
        <color rgb="FF638EC6"/>
      </dataBar>
      <extLst>
        <ext xmlns:x14="http://schemas.microsoft.com/office/spreadsheetml/2009/9/main" uri="{B025F937-C7B1-47D3-B67F-A62EFF666E3E}">
          <x14:id>{66B85CF8-FB11-0E4C-9864-AD330EA2457B}</x14:id>
        </ext>
      </extLst>
    </cfRule>
  </conditionalFormatting>
  <conditionalFormatting sqref="R6469:R6500">
    <cfRule type="containsText" dxfId="6854" priority="334" operator="containsText" text="NEUTRAL">
      <formula>NOT(ISERROR(SEARCH("NEUTRAL",R6469)))</formula>
    </cfRule>
    <cfRule type="containsText" dxfId="6853" priority="335" operator="containsText" text="BULLISH">
      <formula>NOT(ISERROR(SEARCH("BULLISH",R6469)))</formula>
    </cfRule>
    <cfRule type="containsText" dxfId="6852" priority="336" operator="containsText" text="BEARISH">
      <formula>NOT(ISERROR(SEARCH("BEARISH",R6469)))</formula>
    </cfRule>
  </conditionalFormatting>
  <conditionalFormatting sqref="P6469:P6500">
    <cfRule type="dataBar" priority="333">
      <dataBar>
        <cfvo type="min"/>
        <cfvo type="max"/>
        <color rgb="FF638EC6"/>
      </dataBar>
      <extLst>
        <ext xmlns:x14="http://schemas.microsoft.com/office/spreadsheetml/2009/9/main" uri="{B025F937-C7B1-47D3-B67F-A62EFF666E3E}">
          <x14:id>{DE7AF6E1-C3CB-9C4F-BDA8-96DA5C7D8AEC}</x14:id>
        </ext>
      </extLst>
    </cfRule>
  </conditionalFormatting>
  <conditionalFormatting sqref="R6501:R6532">
    <cfRule type="containsText" dxfId="6851" priority="330" operator="containsText" text="NEUTRAL">
      <formula>NOT(ISERROR(SEARCH("NEUTRAL",R6501)))</formula>
    </cfRule>
    <cfRule type="containsText" dxfId="6850" priority="331" operator="containsText" text="BULLISH">
      <formula>NOT(ISERROR(SEARCH("BULLISH",R6501)))</formula>
    </cfRule>
    <cfRule type="containsText" dxfId="6849" priority="332" operator="containsText" text="BEARISH">
      <formula>NOT(ISERROR(SEARCH("BEARISH",R6501)))</formula>
    </cfRule>
  </conditionalFormatting>
  <conditionalFormatting sqref="P6501:P6532">
    <cfRule type="dataBar" priority="329">
      <dataBar>
        <cfvo type="min"/>
        <cfvo type="max"/>
        <color rgb="FF638EC6"/>
      </dataBar>
      <extLst>
        <ext xmlns:x14="http://schemas.microsoft.com/office/spreadsheetml/2009/9/main" uri="{B025F937-C7B1-47D3-B67F-A62EFF666E3E}">
          <x14:id>{B82B8859-A019-EC42-822A-A77418289FBE}</x14:id>
        </ext>
      </extLst>
    </cfRule>
  </conditionalFormatting>
  <conditionalFormatting sqref="R6533:R6564">
    <cfRule type="containsText" dxfId="6848" priority="326" operator="containsText" text="NEUTRAL">
      <formula>NOT(ISERROR(SEARCH("NEUTRAL",R6533)))</formula>
    </cfRule>
    <cfRule type="containsText" dxfId="6847" priority="327" operator="containsText" text="BULLISH">
      <formula>NOT(ISERROR(SEARCH("BULLISH",R6533)))</formula>
    </cfRule>
    <cfRule type="containsText" dxfId="6846" priority="328" operator="containsText" text="BEARISH">
      <formula>NOT(ISERROR(SEARCH("BEARISH",R6533)))</formula>
    </cfRule>
  </conditionalFormatting>
  <conditionalFormatting sqref="P6533:P6564">
    <cfRule type="dataBar" priority="325">
      <dataBar>
        <cfvo type="min"/>
        <cfvo type="max"/>
        <color rgb="FF638EC6"/>
      </dataBar>
      <extLst>
        <ext xmlns:x14="http://schemas.microsoft.com/office/spreadsheetml/2009/9/main" uri="{B025F937-C7B1-47D3-B67F-A62EFF666E3E}">
          <x14:id>{FE72361F-B34C-8642-BC55-BDDAE21833F1}</x14:id>
        </ext>
      </extLst>
    </cfRule>
  </conditionalFormatting>
  <conditionalFormatting sqref="R6565:R6596">
    <cfRule type="containsText" dxfId="6845" priority="322" operator="containsText" text="NEUTRAL">
      <formula>NOT(ISERROR(SEARCH("NEUTRAL",R6565)))</formula>
    </cfRule>
    <cfRule type="containsText" dxfId="6844" priority="323" operator="containsText" text="BULLISH">
      <formula>NOT(ISERROR(SEARCH("BULLISH",R6565)))</formula>
    </cfRule>
    <cfRule type="containsText" dxfId="6843" priority="324" operator="containsText" text="BEARISH">
      <formula>NOT(ISERROR(SEARCH("BEARISH",R6565)))</formula>
    </cfRule>
  </conditionalFormatting>
  <conditionalFormatting sqref="P6565:P6596">
    <cfRule type="dataBar" priority="321">
      <dataBar>
        <cfvo type="min"/>
        <cfvo type="max"/>
        <color rgb="FF638EC6"/>
      </dataBar>
      <extLst>
        <ext xmlns:x14="http://schemas.microsoft.com/office/spreadsheetml/2009/9/main" uri="{B025F937-C7B1-47D3-B67F-A62EFF666E3E}">
          <x14:id>{2AA04516-609E-9243-B284-A2E6DC21F5B9}</x14:id>
        </ext>
      </extLst>
    </cfRule>
  </conditionalFormatting>
  <conditionalFormatting sqref="R6597:R6628">
    <cfRule type="containsText" dxfId="6842" priority="318" operator="containsText" text="NEUTRAL">
      <formula>NOT(ISERROR(SEARCH("NEUTRAL",R6597)))</formula>
    </cfRule>
    <cfRule type="containsText" dxfId="6841" priority="319" operator="containsText" text="BULLISH">
      <formula>NOT(ISERROR(SEARCH("BULLISH",R6597)))</formula>
    </cfRule>
    <cfRule type="containsText" dxfId="6840" priority="320" operator="containsText" text="BEARISH">
      <formula>NOT(ISERROR(SEARCH("BEARISH",R6597)))</formula>
    </cfRule>
  </conditionalFormatting>
  <conditionalFormatting sqref="P6597:P6628">
    <cfRule type="dataBar" priority="317">
      <dataBar>
        <cfvo type="min"/>
        <cfvo type="max"/>
        <color rgb="FF638EC6"/>
      </dataBar>
      <extLst>
        <ext xmlns:x14="http://schemas.microsoft.com/office/spreadsheetml/2009/9/main" uri="{B025F937-C7B1-47D3-B67F-A62EFF666E3E}">
          <x14:id>{DA0847FD-F684-F840-8482-9C6FEA87931E}</x14:id>
        </ext>
      </extLst>
    </cfRule>
  </conditionalFormatting>
  <conditionalFormatting sqref="R6629:R6660">
    <cfRule type="containsText" dxfId="6839" priority="314" operator="containsText" text="NEUTRAL">
      <formula>NOT(ISERROR(SEARCH("NEUTRAL",R6629)))</formula>
    </cfRule>
    <cfRule type="containsText" dxfId="6838" priority="315" operator="containsText" text="BULLISH">
      <formula>NOT(ISERROR(SEARCH("BULLISH",R6629)))</formula>
    </cfRule>
    <cfRule type="containsText" dxfId="6837" priority="316" operator="containsText" text="BEARISH">
      <formula>NOT(ISERROR(SEARCH("BEARISH",R6629)))</formula>
    </cfRule>
  </conditionalFormatting>
  <conditionalFormatting sqref="P6629:P6660">
    <cfRule type="dataBar" priority="313">
      <dataBar>
        <cfvo type="min"/>
        <cfvo type="max"/>
        <color rgb="FF638EC6"/>
      </dataBar>
      <extLst>
        <ext xmlns:x14="http://schemas.microsoft.com/office/spreadsheetml/2009/9/main" uri="{B025F937-C7B1-47D3-B67F-A62EFF666E3E}">
          <x14:id>{93E4A012-B01C-2B4E-9D8B-C750E81D35CF}</x14:id>
        </ext>
      </extLst>
    </cfRule>
  </conditionalFormatting>
  <conditionalFormatting sqref="R6661:R6692">
    <cfRule type="containsText" dxfId="6836" priority="310" operator="containsText" text="NEUTRAL">
      <formula>NOT(ISERROR(SEARCH("NEUTRAL",R6661)))</formula>
    </cfRule>
    <cfRule type="containsText" dxfId="6835" priority="311" operator="containsText" text="BULLISH">
      <formula>NOT(ISERROR(SEARCH("BULLISH",R6661)))</formula>
    </cfRule>
    <cfRule type="containsText" dxfId="6834" priority="312" operator="containsText" text="BEARISH">
      <formula>NOT(ISERROR(SEARCH("BEARISH",R6661)))</formula>
    </cfRule>
  </conditionalFormatting>
  <conditionalFormatting sqref="P6661:P6692">
    <cfRule type="dataBar" priority="309">
      <dataBar>
        <cfvo type="min"/>
        <cfvo type="max"/>
        <color rgb="FF638EC6"/>
      </dataBar>
      <extLst>
        <ext xmlns:x14="http://schemas.microsoft.com/office/spreadsheetml/2009/9/main" uri="{B025F937-C7B1-47D3-B67F-A62EFF666E3E}">
          <x14:id>{DFF97AB6-2285-C040-AFAA-F4482B8CE918}</x14:id>
        </ext>
      </extLst>
    </cfRule>
  </conditionalFormatting>
  <conditionalFormatting sqref="R6693:R6724">
    <cfRule type="containsText" dxfId="6833" priority="306" operator="containsText" text="NEUTRAL">
      <formula>NOT(ISERROR(SEARCH("NEUTRAL",R6693)))</formula>
    </cfRule>
    <cfRule type="containsText" dxfId="6832" priority="307" operator="containsText" text="BULLISH">
      <formula>NOT(ISERROR(SEARCH("BULLISH",R6693)))</formula>
    </cfRule>
    <cfRule type="containsText" dxfId="6831" priority="308" operator="containsText" text="BEARISH">
      <formula>NOT(ISERROR(SEARCH("BEARISH",R6693)))</formula>
    </cfRule>
  </conditionalFormatting>
  <conditionalFormatting sqref="P6693:P6724">
    <cfRule type="dataBar" priority="305">
      <dataBar>
        <cfvo type="min"/>
        <cfvo type="max"/>
        <color rgb="FF638EC6"/>
      </dataBar>
      <extLst>
        <ext xmlns:x14="http://schemas.microsoft.com/office/spreadsheetml/2009/9/main" uri="{B025F937-C7B1-47D3-B67F-A62EFF666E3E}">
          <x14:id>{C1C933AC-97BB-B44E-919B-DC7FBCA667C8}</x14:id>
        </ext>
      </extLst>
    </cfRule>
  </conditionalFormatting>
  <conditionalFormatting sqref="R6725:R6756">
    <cfRule type="containsText" dxfId="6830" priority="302" operator="containsText" text="NEUTRAL">
      <formula>NOT(ISERROR(SEARCH("NEUTRAL",R6725)))</formula>
    </cfRule>
    <cfRule type="containsText" dxfId="6829" priority="303" operator="containsText" text="BULLISH">
      <formula>NOT(ISERROR(SEARCH("BULLISH",R6725)))</formula>
    </cfRule>
    <cfRule type="containsText" dxfId="6828" priority="304" operator="containsText" text="BEARISH">
      <formula>NOT(ISERROR(SEARCH("BEARISH",R6725)))</formula>
    </cfRule>
  </conditionalFormatting>
  <conditionalFormatting sqref="P6725:P6756">
    <cfRule type="dataBar" priority="301">
      <dataBar>
        <cfvo type="min"/>
        <cfvo type="max"/>
        <color rgb="FF638EC6"/>
      </dataBar>
      <extLst>
        <ext xmlns:x14="http://schemas.microsoft.com/office/spreadsheetml/2009/9/main" uri="{B025F937-C7B1-47D3-B67F-A62EFF666E3E}">
          <x14:id>{E4C5D514-40DD-B048-87B4-BD92A175DDFA}</x14:id>
        </ext>
      </extLst>
    </cfRule>
  </conditionalFormatting>
  <conditionalFormatting sqref="R6757:R6788">
    <cfRule type="containsText" dxfId="6827" priority="298" operator="containsText" text="NEUTRAL">
      <formula>NOT(ISERROR(SEARCH("NEUTRAL",R6757)))</formula>
    </cfRule>
    <cfRule type="containsText" dxfId="6826" priority="299" operator="containsText" text="BULLISH">
      <formula>NOT(ISERROR(SEARCH("BULLISH",R6757)))</formula>
    </cfRule>
    <cfRule type="containsText" dxfId="6825" priority="300" operator="containsText" text="BEARISH">
      <formula>NOT(ISERROR(SEARCH("BEARISH",R6757)))</formula>
    </cfRule>
  </conditionalFormatting>
  <conditionalFormatting sqref="P6757:P6788">
    <cfRule type="dataBar" priority="297">
      <dataBar>
        <cfvo type="min"/>
        <cfvo type="max"/>
        <color rgb="FF638EC6"/>
      </dataBar>
      <extLst>
        <ext xmlns:x14="http://schemas.microsoft.com/office/spreadsheetml/2009/9/main" uri="{B025F937-C7B1-47D3-B67F-A62EFF666E3E}">
          <x14:id>{6BEF114F-79D2-414C-A35B-512A4B346914}</x14:id>
        </ext>
      </extLst>
    </cfRule>
  </conditionalFormatting>
  <conditionalFormatting sqref="R6789:R6820">
    <cfRule type="containsText" dxfId="6824" priority="294" operator="containsText" text="NEUTRAL">
      <formula>NOT(ISERROR(SEARCH("NEUTRAL",R6789)))</formula>
    </cfRule>
    <cfRule type="containsText" dxfId="6823" priority="295" operator="containsText" text="BULLISH">
      <formula>NOT(ISERROR(SEARCH("BULLISH",R6789)))</formula>
    </cfRule>
    <cfRule type="containsText" dxfId="6822" priority="296" operator="containsText" text="BEARISH">
      <formula>NOT(ISERROR(SEARCH("BEARISH",R6789)))</formula>
    </cfRule>
  </conditionalFormatting>
  <conditionalFormatting sqref="P6789:P6820">
    <cfRule type="dataBar" priority="293">
      <dataBar>
        <cfvo type="min"/>
        <cfvo type="max"/>
        <color rgb="FF638EC6"/>
      </dataBar>
      <extLst>
        <ext xmlns:x14="http://schemas.microsoft.com/office/spreadsheetml/2009/9/main" uri="{B025F937-C7B1-47D3-B67F-A62EFF666E3E}">
          <x14:id>{F82DB1AA-3657-2A4C-80C4-14CAEA91B1EF}</x14:id>
        </ext>
      </extLst>
    </cfRule>
  </conditionalFormatting>
  <conditionalFormatting sqref="R6821:R6852">
    <cfRule type="containsText" dxfId="6821" priority="290" operator="containsText" text="NEUTRAL">
      <formula>NOT(ISERROR(SEARCH("NEUTRAL",R6821)))</formula>
    </cfRule>
    <cfRule type="containsText" dxfId="6820" priority="291" operator="containsText" text="BULLISH">
      <formula>NOT(ISERROR(SEARCH("BULLISH",R6821)))</formula>
    </cfRule>
    <cfRule type="containsText" dxfId="6819" priority="292" operator="containsText" text="BEARISH">
      <formula>NOT(ISERROR(SEARCH("BEARISH",R6821)))</formula>
    </cfRule>
  </conditionalFormatting>
  <conditionalFormatting sqref="P6821:P6852">
    <cfRule type="dataBar" priority="289">
      <dataBar>
        <cfvo type="min"/>
        <cfvo type="max"/>
        <color rgb="FF638EC6"/>
      </dataBar>
      <extLst>
        <ext xmlns:x14="http://schemas.microsoft.com/office/spreadsheetml/2009/9/main" uri="{B025F937-C7B1-47D3-B67F-A62EFF666E3E}">
          <x14:id>{A58B2E10-FB0F-E84A-AAF4-D361A232A58A}</x14:id>
        </ext>
      </extLst>
    </cfRule>
  </conditionalFormatting>
  <conditionalFormatting sqref="R6853:R6884">
    <cfRule type="containsText" dxfId="6818" priority="286" operator="containsText" text="NEUTRAL">
      <formula>NOT(ISERROR(SEARCH("NEUTRAL",R6853)))</formula>
    </cfRule>
    <cfRule type="containsText" dxfId="6817" priority="287" operator="containsText" text="BULLISH">
      <formula>NOT(ISERROR(SEARCH("BULLISH",R6853)))</formula>
    </cfRule>
    <cfRule type="containsText" dxfId="6816" priority="288" operator="containsText" text="BEARISH">
      <formula>NOT(ISERROR(SEARCH("BEARISH",R6853)))</formula>
    </cfRule>
  </conditionalFormatting>
  <conditionalFormatting sqref="P6853:P6884">
    <cfRule type="dataBar" priority="285">
      <dataBar>
        <cfvo type="min"/>
        <cfvo type="max"/>
        <color rgb="FF638EC6"/>
      </dataBar>
      <extLst>
        <ext xmlns:x14="http://schemas.microsoft.com/office/spreadsheetml/2009/9/main" uri="{B025F937-C7B1-47D3-B67F-A62EFF666E3E}">
          <x14:id>{ABCC79D7-9153-2842-9F29-E9A13EC6B308}</x14:id>
        </ext>
      </extLst>
    </cfRule>
  </conditionalFormatting>
  <conditionalFormatting sqref="R6885:R6916">
    <cfRule type="containsText" dxfId="6815" priority="282" operator="containsText" text="NEUTRAL">
      <formula>NOT(ISERROR(SEARCH("NEUTRAL",R6885)))</formula>
    </cfRule>
    <cfRule type="containsText" dxfId="6814" priority="283" operator="containsText" text="BULLISH">
      <formula>NOT(ISERROR(SEARCH("BULLISH",R6885)))</formula>
    </cfRule>
    <cfRule type="containsText" dxfId="6813" priority="284" operator="containsText" text="BEARISH">
      <formula>NOT(ISERROR(SEARCH("BEARISH",R6885)))</formula>
    </cfRule>
  </conditionalFormatting>
  <conditionalFormatting sqref="P6885:P6916">
    <cfRule type="dataBar" priority="281">
      <dataBar>
        <cfvo type="min"/>
        <cfvo type="max"/>
        <color rgb="FF638EC6"/>
      </dataBar>
      <extLst>
        <ext xmlns:x14="http://schemas.microsoft.com/office/spreadsheetml/2009/9/main" uri="{B025F937-C7B1-47D3-B67F-A62EFF666E3E}">
          <x14:id>{DC376688-7DA5-C041-BC59-72B601256CF1}</x14:id>
        </ext>
      </extLst>
    </cfRule>
  </conditionalFormatting>
  <conditionalFormatting sqref="R6917:R6948">
    <cfRule type="containsText" dxfId="6812" priority="278" operator="containsText" text="NEUTRAL">
      <formula>NOT(ISERROR(SEARCH("NEUTRAL",R6917)))</formula>
    </cfRule>
    <cfRule type="containsText" dxfId="6811" priority="279" operator="containsText" text="BULLISH">
      <formula>NOT(ISERROR(SEARCH("BULLISH",R6917)))</formula>
    </cfRule>
    <cfRule type="containsText" dxfId="6810" priority="280" operator="containsText" text="BEARISH">
      <formula>NOT(ISERROR(SEARCH("BEARISH",R6917)))</formula>
    </cfRule>
  </conditionalFormatting>
  <conditionalFormatting sqref="P6917:P6948">
    <cfRule type="dataBar" priority="277">
      <dataBar>
        <cfvo type="min"/>
        <cfvo type="max"/>
        <color rgb="FF638EC6"/>
      </dataBar>
      <extLst>
        <ext xmlns:x14="http://schemas.microsoft.com/office/spreadsheetml/2009/9/main" uri="{B025F937-C7B1-47D3-B67F-A62EFF666E3E}">
          <x14:id>{CC3FA4FB-F771-E34F-8CFD-2FA4A44C84A0}</x14:id>
        </ext>
      </extLst>
    </cfRule>
  </conditionalFormatting>
  <conditionalFormatting sqref="R6949:R6980">
    <cfRule type="containsText" dxfId="6809" priority="274" operator="containsText" text="NEUTRAL">
      <formula>NOT(ISERROR(SEARCH("NEUTRAL",R6949)))</formula>
    </cfRule>
    <cfRule type="containsText" dxfId="6808" priority="275" operator="containsText" text="BULLISH">
      <formula>NOT(ISERROR(SEARCH("BULLISH",R6949)))</formula>
    </cfRule>
    <cfRule type="containsText" dxfId="6807" priority="276" operator="containsText" text="BEARISH">
      <formula>NOT(ISERROR(SEARCH("BEARISH",R6949)))</formula>
    </cfRule>
  </conditionalFormatting>
  <conditionalFormatting sqref="P6949:P6980">
    <cfRule type="dataBar" priority="273">
      <dataBar>
        <cfvo type="min"/>
        <cfvo type="max"/>
        <color rgb="FF638EC6"/>
      </dataBar>
      <extLst>
        <ext xmlns:x14="http://schemas.microsoft.com/office/spreadsheetml/2009/9/main" uri="{B025F937-C7B1-47D3-B67F-A62EFF666E3E}">
          <x14:id>{93EE2D9F-67C0-2C45-8CB3-4578587C99E8}</x14:id>
        </ext>
      </extLst>
    </cfRule>
  </conditionalFormatting>
  <conditionalFormatting sqref="R6981:R7012">
    <cfRule type="containsText" dxfId="6806" priority="270" operator="containsText" text="NEUTRAL">
      <formula>NOT(ISERROR(SEARCH("NEUTRAL",R6981)))</formula>
    </cfRule>
    <cfRule type="containsText" dxfId="6805" priority="271" operator="containsText" text="BULLISH">
      <formula>NOT(ISERROR(SEARCH("BULLISH",R6981)))</formula>
    </cfRule>
    <cfRule type="containsText" dxfId="6804" priority="272" operator="containsText" text="BEARISH">
      <formula>NOT(ISERROR(SEARCH("BEARISH",R6981)))</formula>
    </cfRule>
  </conditionalFormatting>
  <conditionalFormatting sqref="P6981:P7012">
    <cfRule type="dataBar" priority="269">
      <dataBar>
        <cfvo type="min"/>
        <cfvo type="max"/>
        <color rgb="FF638EC6"/>
      </dataBar>
      <extLst>
        <ext xmlns:x14="http://schemas.microsoft.com/office/spreadsheetml/2009/9/main" uri="{B025F937-C7B1-47D3-B67F-A62EFF666E3E}">
          <x14:id>{4B93EC57-62A8-B14F-9F52-2C1CEC8C9270}</x14:id>
        </ext>
      </extLst>
    </cfRule>
  </conditionalFormatting>
  <conditionalFormatting sqref="R7013:R7044">
    <cfRule type="containsText" dxfId="6803" priority="266" operator="containsText" text="NEUTRAL">
      <formula>NOT(ISERROR(SEARCH("NEUTRAL",R7013)))</formula>
    </cfRule>
    <cfRule type="containsText" dxfId="6802" priority="267" operator="containsText" text="BULLISH">
      <formula>NOT(ISERROR(SEARCH("BULLISH",R7013)))</formula>
    </cfRule>
    <cfRule type="containsText" dxfId="6801" priority="268" operator="containsText" text="BEARISH">
      <formula>NOT(ISERROR(SEARCH("BEARISH",R7013)))</formula>
    </cfRule>
  </conditionalFormatting>
  <conditionalFormatting sqref="P7013:P7044">
    <cfRule type="dataBar" priority="265">
      <dataBar>
        <cfvo type="min"/>
        <cfvo type="max"/>
        <color rgb="FF638EC6"/>
      </dataBar>
      <extLst>
        <ext xmlns:x14="http://schemas.microsoft.com/office/spreadsheetml/2009/9/main" uri="{B025F937-C7B1-47D3-B67F-A62EFF666E3E}">
          <x14:id>{86EC76ED-ED3A-D340-8AB1-7E40C7346F0D}</x14:id>
        </ext>
      </extLst>
    </cfRule>
  </conditionalFormatting>
  <conditionalFormatting sqref="R7045:R7076">
    <cfRule type="containsText" dxfId="6800" priority="262" operator="containsText" text="NEUTRAL">
      <formula>NOT(ISERROR(SEARCH("NEUTRAL",R7045)))</formula>
    </cfRule>
    <cfRule type="containsText" dxfId="6799" priority="263" operator="containsText" text="BULLISH">
      <formula>NOT(ISERROR(SEARCH("BULLISH",R7045)))</formula>
    </cfRule>
    <cfRule type="containsText" dxfId="6798" priority="264" operator="containsText" text="BEARISH">
      <formula>NOT(ISERROR(SEARCH("BEARISH",R7045)))</formula>
    </cfRule>
  </conditionalFormatting>
  <conditionalFormatting sqref="P7045:P7076">
    <cfRule type="dataBar" priority="261">
      <dataBar>
        <cfvo type="min"/>
        <cfvo type="max"/>
        <color rgb="FF638EC6"/>
      </dataBar>
      <extLst>
        <ext xmlns:x14="http://schemas.microsoft.com/office/spreadsheetml/2009/9/main" uri="{B025F937-C7B1-47D3-B67F-A62EFF666E3E}">
          <x14:id>{6102746F-B780-AA48-A00F-E55E599A99B3}</x14:id>
        </ext>
      </extLst>
    </cfRule>
  </conditionalFormatting>
  <conditionalFormatting sqref="R7077:R7108">
    <cfRule type="containsText" dxfId="6797" priority="258" operator="containsText" text="NEUTRAL">
      <formula>NOT(ISERROR(SEARCH("NEUTRAL",R7077)))</formula>
    </cfRule>
    <cfRule type="containsText" dxfId="6796" priority="259" operator="containsText" text="BULLISH">
      <formula>NOT(ISERROR(SEARCH("BULLISH",R7077)))</formula>
    </cfRule>
    <cfRule type="containsText" dxfId="6795" priority="260" operator="containsText" text="BEARISH">
      <formula>NOT(ISERROR(SEARCH("BEARISH",R7077)))</formula>
    </cfRule>
  </conditionalFormatting>
  <conditionalFormatting sqref="P7077:P7108">
    <cfRule type="dataBar" priority="257">
      <dataBar>
        <cfvo type="min"/>
        <cfvo type="max"/>
        <color rgb="FF638EC6"/>
      </dataBar>
      <extLst>
        <ext xmlns:x14="http://schemas.microsoft.com/office/spreadsheetml/2009/9/main" uri="{B025F937-C7B1-47D3-B67F-A62EFF666E3E}">
          <x14:id>{DBAECFC0-E2BA-994E-B937-E5DB63AA3F8E}</x14:id>
        </ext>
      </extLst>
    </cfRule>
  </conditionalFormatting>
  <conditionalFormatting sqref="R7109:R7140">
    <cfRule type="containsText" dxfId="6794" priority="254" operator="containsText" text="NEUTRAL">
      <formula>NOT(ISERROR(SEARCH("NEUTRAL",R7109)))</formula>
    </cfRule>
    <cfRule type="containsText" dxfId="6793" priority="255" operator="containsText" text="BULLISH">
      <formula>NOT(ISERROR(SEARCH("BULLISH",R7109)))</formula>
    </cfRule>
    <cfRule type="containsText" dxfId="6792" priority="256" operator="containsText" text="BEARISH">
      <formula>NOT(ISERROR(SEARCH("BEARISH",R7109)))</formula>
    </cfRule>
  </conditionalFormatting>
  <conditionalFormatting sqref="P7109:P7140">
    <cfRule type="dataBar" priority="253">
      <dataBar>
        <cfvo type="min"/>
        <cfvo type="max"/>
        <color rgb="FF638EC6"/>
      </dataBar>
      <extLst>
        <ext xmlns:x14="http://schemas.microsoft.com/office/spreadsheetml/2009/9/main" uri="{B025F937-C7B1-47D3-B67F-A62EFF666E3E}">
          <x14:id>{B1516AD9-CA65-2D49-B754-508BCC5DAA96}</x14:id>
        </ext>
      </extLst>
    </cfRule>
  </conditionalFormatting>
  <conditionalFormatting sqref="R7141:R7172">
    <cfRule type="containsText" dxfId="6791" priority="250" operator="containsText" text="NEUTRAL">
      <formula>NOT(ISERROR(SEARCH("NEUTRAL",R7141)))</formula>
    </cfRule>
    <cfRule type="containsText" dxfId="6790" priority="251" operator="containsText" text="BULLISH">
      <formula>NOT(ISERROR(SEARCH("BULLISH",R7141)))</formula>
    </cfRule>
    <cfRule type="containsText" dxfId="6789" priority="252" operator="containsText" text="BEARISH">
      <formula>NOT(ISERROR(SEARCH("BEARISH",R7141)))</formula>
    </cfRule>
  </conditionalFormatting>
  <conditionalFormatting sqref="P7141:P7172">
    <cfRule type="dataBar" priority="249">
      <dataBar>
        <cfvo type="min"/>
        <cfvo type="max"/>
        <color rgb="FF638EC6"/>
      </dataBar>
      <extLst>
        <ext xmlns:x14="http://schemas.microsoft.com/office/spreadsheetml/2009/9/main" uri="{B025F937-C7B1-47D3-B67F-A62EFF666E3E}">
          <x14:id>{D5195B4C-77C5-3D4E-8D33-636D6E6EE783}</x14:id>
        </ext>
      </extLst>
    </cfRule>
  </conditionalFormatting>
  <conditionalFormatting sqref="R7173:R7204">
    <cfRule type="containsText" dxfId="6788" priority="246" operator="containsText" text="NEUTRAL">
      <formula>NOT(ISERROR(SEARCH("NEUTRAL",R7173)))</formula>
    </cfRule>
    <cfRule type="containsText" dxfId="6787" priority="247" operator="containsText" text="BULLISH">
      <formula>NOT(ISERROR(SEARCH("BULLISH",R7173)))</formula>
    </cfRule>
    <cfRule type="containsText" dxfId="6786" priority="248" operator="containsText" text="BEARISH">
      <formula>NOT(ISERROR(SEARCH("BEARISH",R7173)))</formula>
    </cfRule>
  </conditionalFormatting>
  <conditionalFormatting sqref="P7173:P7204">
    <cfRule type="dataBar" priority="245">
      <dataBar>
        <cfvo type="min"/>
        <cfvo type="max"/>
        <color rgb="FF638EC6"/>
      </dataBar>
      <extLst>
        <ext xmlns:x14="http://schemas.microsoft.com/office/spreadsheetml/2009/9/main" uri="{B025F937-C7B1-47D3-B67F-A62EFF666E3E}">
          <x14:id>{0A948A6D-0A15-9848-9B15-DDA938F6E0DE}</x14:id>
        </ext>
      </extLst>
    </cfRule>
  </conditionalFormatting>
  <conditionalFormatting sqref="R7205:R7236">
    <cfRule type="containsText" dxfId="6785" priority="242" operator="containsText" text="NEUTRAL">
      <formula>NOT(ISERROR(SEARCH("NEUTRAL",R7205)))</formula>
    </cfRule>
    <cfRule type="containsText" dxfId="6784" priority="243" operator="containsText" text="BULLISH">
      <formula>NOT(ISERROR(SEARCH("BULLISH",R7205)))</formula>
    </cfRule>
    <cfRule type="containsText" dxfId="6783" priority="244" operator="containsText" text="BEARISH">
      <formula>NOT(ISERROR(SEARCH("BEARISH",R7205)))</formula>
    </cfRule>
  </conditionalFormatting>
  <conditionalFormatting sqref="P7205:P7236">
    <cfRule type="dataBar" priority="241">
      <dataBar>
        <cfvo type="min"/>
        <cfvo type="max"/>
        <color rgb="FF638EC6"/>
      </dataBar>
      <extLst>
        <ext xmlns:x14="http://schemas.microsoft.com/office/spreadsheetml/2009/9/main" uri="{B025F937-C7B1-47D3-B67F-A62EFF666E3E}">
          <x14:id>{6DE39C72-FB4E-6F4D-AC96-279838D6E401}</x14:id>
        </ext>
      </extLst>
    </cfRule>
  </conditionalFormatting>
  <conditionalFormatting sqref="R7237:R7268">
    <cfRule type="containsText" dxfId="6782" priority="238" operator="containsText" text="NEUTRAL">
      <formula>NOT(ISERROR(SEARCH("NEUTRAL",R7237)))</formula>
    </cfRule>
    <cfRule type="containsText" dxfId="6781" priority="239" operator="containsText" text="BULLISH">
      <formula>NOT(ISERROR(SEARCH("BULLISH",R7237)))</formula>
    </cfRule>
    <cfRule type="containsText" dxfId="6780" priority="240" operator="containsText" text="BEARISH">
      <formula>NOT(ISERROR(SEARCH("BEARISH",R7237)))</formula>
    </cfRule>
  </conditionalFormatting>
  <conditionalFormatting sqref="P7237:P7268">
    <cfRule type="dataBar" priority="237">
      <dataBar>
        <cfvo type="min"/>
        <cfvo type="max"/>
        <color rgb="FF638EC6"/>
      </dataBar>
      <extLst>
        <ext xmlns:x14="http://schemas.microsoft.com/office/spreadsheetml/2009/9/main" uri="{B025F937-C7B1-47D3-B67F-A62EFF666E3E}">
          <x14:id>{05A002CF-CEC8-4C48-91ED-54ED3661A48C}</x14:id>
        </ext>
      </extLst>
    </cfRule>
  </conditionalFormatting>
  <conditionalFormatting sqref="R7269:R7300">
    <cfRule type="containsText" dxfId="6779" priority="234" operator="containsText" text="NEUTRAL">
      <formula>NOT(ISERROR(SEARCH("NEUTRAL",R7269)))</formula>
    </cfRule>
    <cfRule type="containsText" dxfId="6778" priority="235" operator="containsText" text="BULLISH">
      <formula>NOT(ISERROR(SEARCH("BULLISH",R7269)))</formula>
    </cfRule>
    <cfRule type="containsText" dxfId="6777" priority="236" operator="containsText" text="BEARISH">
      <formula>NOT(ISERROR(SEARCH("BEARISH",R7269)))</formula>
    </cfRule>
  </conditionalFormatting>
  <conditionalFormatting sqref="P7269:P7300">
    <cfRule type="dataBar" priority="233">
      <dataBar>
        <cfvo type="min"/>
        <cfvo type="max"/>
        <color rgb="FF638EC6"/>
      </dataBar>
      <extLst>
        <ext xmlns:x14="http://schemas.microsoft.com/office/spreadsheetml/2009/9/main" uri="{B025F937-C7B1-47D3-B67F-A62EFF666E3E}">
          <x14:id>{1BBFFD2E-67BA-4946-B7C9-CF99285233F9}</x14:id>
        </ext>
      </extLst>
    </cfRule>
  </conditionalFormatting>
  <conditionalFormatting sqref="R7301:R7332">
    <cfRule type="containsText" dxfId="6776" priority="230" operator="containsText" text="NEUTRAL">
      <formula>NOT(ISERROR(SEARCH("NEUTRAL",R7301)))</formula>
    </cfRule>
    <cfRule type="containsText" dxfId="6775" priority="231" operator="containsText" text="BULLISH">
      <formula>NOT(ISERROR(SEARCH("BULLISH",R7301)))</formula>
    </cfRule>
    <cfRule type="containsText" dxfId="6774" priority="232" operator="containsText" text="BEARISH">
      <formula>NOT(ISERROR(SEARCH("BEARISH",R7301)))</formula>
    </cfRule>
  </conditionalFormatting>
  <conditionalFormatting sqref="P7301:P7332">
    <cfRule type="dataBar" priority="229">
      <dataBar>
        <cfvo type="min"/>
        <cfvo type="max"/>
        <color rgb="FF638EC6"/>
      </dataBar>
      <extLst>
        <ext xmlns:x14="http://schemas.microsoft.com/office/spreadsheetml/2009/9/main" uri="{B025F937-C7B1-47D3-B67F-A62EFF666E3E}">
          <x14:id>{33D8F99B-316C-EF41-9515-49B63E4C1A20}</x14:id>
        </ext>
      </extLst>
    </cfRule>
  </conditionalFormatting>
  <conditionalFormatting sqref="R7333:R7364">
    <cfRule type="containsText" dxfId="6773" priority="226" operator="containsText" text="NEUTRAL">
      <formula>NOT(ISERROR(SEARCH("NEUTRAL",R7333)))</formula>
    </cfRule>
    <cfRule type="containsText" dxfId="6772" priority="227" operator="containsText" text="BULLISH">
      <formula>NOT(ISERROR(SEARCH("BULLISH",R7333)))</formula>
    </cfRule>
    <cfRule type="containsText" dxfId="6771" priority="228" operator="containsText" text="BEARISH">
      <formula>NOT(ISERROR(SEARCH("BEARISH",R7333)))</formula>
    </cfRule>
  </conditionalFormatting>
  <conditionalFormatting sqref="P7333:P7364">
    <cfRule type="dataBar" priority="225">
      <dataBar>
        <cfvo type="min"/>
        <cfvo type="max"/>
        <color rgb="FF638EC6"/>
      </dataBar>
      <extLst>
        <ext xmlns:x14="http://schemas.microsoft.com/office/spreadsheetml/2009/9/main" uri="{B025F937-C7B1-47D3-B67F-A62EFF666E3E}">
          <x14:id>{EF83E385-650F-4145-987D-C52967F14371}</x14:id>
        </ext>
      </extLst>
    </cfRule>
  </conditionalFormatting>
  <conditionalFormatting sqref="R7365:R7397">
    <cfRule type="containsText" dxfId="6770" priority="222" operator="containsText" text="NEUTRAL">
      <formula>NOT(ISERROR(SEARCH("NEUTRAL",R7365)))</formula>
    </cfRule>
    <cfRule type="containsText" dxfId="6769" priority="223" operator="containsText" text="BULLISH">
      <formula>NOT(ISERROR(SEARCH("BULLISH",R7365)))</formula>
    </cfRule>
    <cfRule type="containsText" dxfId="6768" priority="224" operator="containsText" text="BEARISH">
      <formula>NOT(ISERROR(SEARCH("BEARISH",R7365)))</formula>
    </cfRule>
  </conditionalFormatting>
  <conditionalFormatting sqref="P7365:P7397">
    <cfRule type="dataBar" priority="221">
      <dataBar>
        <cfvo type="min"/>
        <cfvo type="max"/>
        <color rgb="FF638EC6"/>
      </dataBar>
      <extLst>
        <ext xmlns:x14="http://schemas.microsoft.com/office/spreadsheetml/2009/9/main" uri="{B025F937-C7B1-47D3-B67F-A62EFF666E3E}">
          <x14:id>{21520345-1D36-5646-9EBC-C7E0F5D206FB}</x14:id>
        </ext>
      </extLst>
    </cfRule>
  </conditionalFormatting>
  <conditionalFormatting sqref="R7398:R7429">
    <cfRule type="containsText" dxfId="6767" priority="218" operator="containsText" text="NEUTRAL">
      <formula>NOT(ISERROR(SEARCH("NEUTRAL",R7398)))</formula>
    </cfRule>
    <cfRule type="containsText" dxfId="6766" priority="219" operator="containsText" text="BULLISH">
      <formula>NOT(ISERROR(SEARCH("BULLISH",R7398)))</formula>
    </cfRule>
    <cfRule type="containsText" dxfId="6765" priority="220" operator="containsText" text="BEARISH">
      <formula>NOT(ISERROR(SEARCH("BEARISH",R7398)))</formula>
    </cfRule>
  </conditionalFormatting>
  <conditionalFormatting sqref="P7398:P7429">
    <cfRule type="dataBar" priority="217">
      <dataBar>
        <cfvo type="min"/>
        <cfvo type="max"/>
        <color rgb="FF638EC6"/>
      </dataBar>
      <extLst>
        <ext xmlns:x14="http://schemas.microsoft.com/office/spreadsheetml/2009/9/main" uri="{B025F937-C7B1-47D3-B67F-A62EFF666E3E}">
          <x14:id>{A646308E-6B6C-9D46-A380-33B846B0B79F}</x14:id>
        </ext>
      </extLst>
    </cfRule>
  </conditionalFormatting>
  <conditionalFormatting sqref="R7430:R7461">
    <cfRule type="containsText" dxfId="6764" priority="214" operator="containsText" text="NEUTRAL">
      <formula>NOT(ISERROR(SEARCH("NEUTRAL",R7430)))</formula>
    </cfRule>
    <cfRule type="containsText" dxfId="6763" priority="215" operator="containsText" text="BULLISH">
      <formula>NOT(ISERROR(SEARCH("BULLISH",R7430)))</formula>
    </cfRule>
    <cfRule type="containsText" dxfId="6762" priority="216" operator="containsText" text="BEARISH">
      <formula>NOT(ISERROR(SEARCH("BEARISH",R7430)))</formula>
    </cfRule>
  </conditionalFormatting>
  <conditionalFormatting sqref="P7430:P7461">
    <cfRule type="dataBar" priority="213">
      <dataBar>
        <cfvo type="min"/>
        <cfvo type="max"/>
        <color rgb="FF638EC6"/>
      </dataBar>
      <extLst>
        <ext xmlns:x14="http://schemas.microsoft.com/office/spreadsheetml/2009/9/main" uri="{B025F937-C7B1-47D3-B67F-A62EFF666E3E}">
          <x14:id>{578DA903-CC91-ED45-B348-302F77EC66FD}</x14:id>
        </ext>
      </extLst>
    </cfRule>
  </conditionalFormatting>
  <conditionalFormatting sqref="R7462:R7493">
    <cfRule type="containsText" dxfId="6761" priority="210" operator="containsText" text="NEUTRAL">
      <formula>NOT(ISERROR(SEARCH("NEUTRAL",R7462)))</formula>
    </cfRule>
    <cfRule type="containsText" dxfId="6760" priority="211" operator="containsText" text="BULLISH">
      <formula>NOT(ISERROR(SEARCH("BULLISH",R7462)))</formula>
    </cfRule>
    <cfRule type="containsText" dxfId="6759" priority="212" operator="containsText" text="BEARISH">
      <formula>NOT(ISERROR(SEARCH("BEARISH",R7462)))</formula>
    </cfRule>
  </conditionalFormatting>
  <conditionalFormatting sqref="P7462:P7493">
    <cfRule type="dataBar" priority="209">
      <dataBar>
        <cfvo type="min"/>
        <cfvo type="max"/>
        <color rgb="FF638EC6"/>
      </dataBar>
      <extLst>
        <ext xmlns:x14="http://schemas.microsoft.com/office/spreadsheetml/2009/9/main" uri="{B025F937-C7B1-47D3-B67F-A62EFF666E3E}">
          <x14:id>{E620CA6E-E1DD-7D43-9051-ADD7A81ECA83}</x14:id>
        </ext>
      </extLst>
    </cfRule>
  </conditionalFormatting>
  <conditionalFormatting sqref="R7494:R7525">
    <cfRule type="containsText" dxfId="6758" priority="206" operator="containsText" text="NEUTRAL">
      <formula>NOT(ISERROR(SEARCH("NEUTRAL",R7494)))</formula>
    </cfRule>
    <cfRule type="containsText" dxfId="6757" priority="207" operator="containsText" text="BULLISH">
      <formula>NOT(ISERROR(SEARCH("BULLISH",R7494)))</formula>
    </cfRule>
    <cfRule type="containsText" dxfId="6756" priority="208" operator="containsText" text="BEARISH">
      <formula>NOT(ISERROR(SEARCH("BEARISH",R7494)))</formula>
    </cfRule>
  </conditionalFormatting>
  <conditionalFormatting sqref="P7494:P7525">
    <cfRule type="dataBar" priority="205">
      <dataBar>
        <cfvo type="min"/>
        <cfvo type="max"/>
        <color rgb="FF638EC6"/>
      </dataBar>
      <extLst>
        <ext xmlns:x14="http://schemas.microsoft.com/office/spreadsheetml/2009/9/main" uri="{B025F937-C7B1-47D3-B67F-A62EFF666E3E}">
          <x14:id>{B0737E5F-00D0-C24D-86DE-1CC0EDDD51D3}</x14:id>
        </ext>
      </extLst>
    </cfRule>
  </conditionalFormatting>
  <conditionalFormatting sqref="R7526:R7557">
    <cfRule type="containsText" dxfId="6755" priority="202" operator="containsText" text="NEUTRAL">
      <formula>NOT(ISERROR(SEARCH("NEUTRAL",R7526)))</formula>
    </cfRule>
    <cfRule type="containsText" dxfId="6754" priority="203" operator="containsText" text="BULLISH">
      <formula>NOT(ISERROR(SEARCH("BULLISH",R7526)))</formula>
    </cfRule>
    <cfRule type="containsText" dxfId="6753" priority="204" operator="containsText" text="BEARISH">
      <formula>NOT(ISERROR(SEARCH("BEARISH",R7526)))</formula>
    </cfRule>
  </conditionalFormatting>
  <conditionalFormatting sqref="P7526:P7557">
    <cfRule type="dataBar" priority="201">
      <dataBar>
        <cfvo type="min"/>
        <cfvo type="max"/>
        <color rgb="FF638EC6"/>
      </dataBar>
      <extLst>
        <ext xmlns:x14="http://schemas.microsoft.com/office/spreadsheetml/2009/9/main" uri="{B025F937-C7B1-47D3-B67F-A62EFF666E3E}">
          <x14:id>{FB5FA224-02B3-8741-8907-98E0A13A8597}</x14:id>
        </ext>
      </extLst>
    </cfRule>
  </conditionalFormatting>
  <conditionalFormatting sqref="R7558:R7589">
    <cfRule type="containsText" dxfId="6752" priority="198" operator="containsText" text="NEUTRAL">
      <formula>NOT(ISERROR(SEARCH("NEUTRAL",R7558)))</formula>
    </cfRule>
    <cfRule type="containsText" dxfId="6751" priority="199" operator="containsText" text="BULLISH">
      <formula>NOT(ISERROR(SEARCH("BULLISH",R7558)))</formula>
    </cfRule>
    <cfRule type="containsText" dxfId="6750" priority="200" operator="containsText" text="BEARISH">
      <formula>NOT(ISERROR(SEARCH("BEARISH",R7558)))</formula>
    </cfRule>
  </conditionalFormatting>
  <conditionalFormatting sqref="P7558:P7589">
    <cfRule type="dataBar" priority="197">
      <dataBar>
        <cfvo type="min"/>
        <cfvo type="max"/>
        <color rgb="FF638EC6"/>
      </dataBar>
      <extLst>
        <ext xmlns:x14="http://schemas.microsoft.com/office/spreadsheetml/2009/9/main" uri="{B025F937-C7B1-47D3-B67F-A62EFF666E3E}">
          <x14:id>{E067AA8F-05FC-AD44-B0EA-73AC0EC91FEF}</x14:id>
        </ext>
      </extLst>
    </cfRule>
  </conditionalFormatting>
  <conditionalFormatting sqref="R7590:R7621">
    <cfRule type="containsText" dxfId="6749" priority="194" operator="containsText" text="NEUTRAL">
      <formula>NOT(ISERROR(SEARCH("NEUTRAL",R7590)))</formula>
    </cfRule>
    <cfRule type="containsText" dxfId="6748" priority="195" operator="containsText" text="BULLISH">
      <formula>NOT(ISERROR(SEARCH("BULLISH",R7590)))</formula>
    </cfRule>
    <cfRule type="containsText" dxfId="6747" priority="196" operator="containsText" text="BEARISH">
      <formula>NOT(ISERROR(SEARCH("BEARISH",R7590)))</formula>
    </cfRule>
  </conditionalFormatting>
  <conditionalFormatting sqref="P7590:P7621">
    <cfRule type="dataBar" priority="3503">
      <dataBar>
        <cfvo type="min"/>
        <cfvo type="max"/>
        <color rgb="FF638EC6"/>
      </dataBar>
      <extLst>
        <ext xmlns:x14="http://schemas.microsoft.com/office/spreadsheetml/2009/9/main" uri="{B025F937-C7B1-47D3-B67F-A62EFF666E3E}">
          <x14:id>{5A97EB5F-77F0-4942-B2C5-7AD0676B8881}</x14:id>
        </ext>
      </extLst>
    </cfRule>
  </conditionalFormatting>
  <conditionalFormatting sqref="P7816:P1048576 P1657:P1780 P1">
    <cfRule type="dataBar" priority="3552">
      <dataBar>
        <cfvo type="min"/>
        <cfvo type="max"/>
        <color rgb="FF638EC6"/>
      </dataBar>
      <extLst>
        <ext xmlns:x14="http://schemas.microsoft.com/office/spreadsheetml/2009/9/main" uri="{B025F937-C7B1-47D3-B67F-A62EFF666E3E}">
          <x14:id>{C5B4F5E1-9121-C542-8BA4-9C6A314F1FAA}</x14:id>
        </ext>
      </extLst>
    </cfRule>
  </conditionalFormatting>
  <conditionalFormatting sqref="R7622:R7653">
    <cfRule type="containsText" dxfId="6746" priority="21" operator="containsText" text="NEUTRAL">
      <formula>NOT(ISERROR(SEARCH("NEUTRAL",R7622)))</formula>
    </cfRule>
    <cfRule type="containsText" dxfId="6745" priority="22" operator="containsText" text="BULLISH">
      <formula>NOT(ISERROR(SEARCH("BULLISH",R7622)))</formula>
    </cfRule>
    <cfRule type="containsText" dxfId="6744" priority="23" operator="containsText" text="BEARISH">
      <formula>NOT(ISERROR(SEARCH("BEARISH",R7622)))</formula>
    </cfRule>
  </conditionalFormatting>
  <conditionalFormatting sqref="P7622:P7653">
    <cfRule type="dataBar" priority="24">
      <dataBar>
        <cfvo type="min"/>
        <cfvo type="max"/>
        <color rgb="FF638EC6"/>
      </dataBar>
      <extLst>
        <ext xmlns:x14="http://schemas.microsoft.com/office/spreadsheetml/2009/9/main" uri="{B025F937-C7B1-47D3-B67F-A62EFF666E3E}">
          <x14:id>{D417D9CB-E5E3-8140-A33A-1AEB148DB553}</x14:id>
        </ext>
      </extLst>
    </cfRule>
  </conditionalFormatting>
  <conditionalFormatting sqref="R7654:R7685">
    <cfRule type="containsText" dxfId="6743" priority="17" operator="containsText" text="NEUTRAL">
      <formula>NOT(ISERROR(SEARCH("NEUTRAL",R7654)))</formula>
    </cfRule>
    <cfRule type="containsText" dxfId="6742" priority="18" operator="containsText" text="BULLISH">
      <formula>NOT(ISERROR(SEARCH("BULLISH",R7654)))</formula>
    </cfRule>
    <cfRule type="containsText" dxfId="6741" priority="19" operator="containsText" text="BEARISH">
      <formula>NOT(ISERROR(SEARCH("BEARISH",R7654)))</formula>
    </cfRule>
  </conditionalFormatting>
  <conditionalFormatting sqref="P7654:P7685">
    <cfRule type="dataBar" priority="20">
      <dataBar>
        <cfvo type="min"/>
        <cfvo type="max"/>
        <color rgb="FF638EC6"/>
      </dataBar>
      <extLst>
        <ext xmlns:x14="http://schemas.microsoft.com/office/spreadsheetml/2009/9/main" uri="{B025F937-C7B1-47D3-B67F-A62EFF666E3E}">
          <x14:id>{04CF3807-A17B-164D-8D7E-12E9AFD930F6}</x14:id>
        </ext>
      </extLst>
    </cfRule>
  </conditionalFormatting>
  <conditionalFormatting sqref="R7686:R7717">
    <cfRule type="containsText" dxfId="6740" priority="13" operator="containsText" text="NEUTRAL">
      <formula>NOT(ISERROR(SEARCH("NEUTRAL",R7686)))</formula>
    </cfRule>
    <cfRule type="containsText" dxfId="6739" priority="14" operator="containsText" text="BULLISH">
      <formula>NOT(ISERROR(SEARCH("BULLISH",R7686)))</formula>
    </cfRule>
    <cfRule type="containsText" dxfId="6738" priority="15" operator="containsText" text="BEARISH">
      <formula>NOT(ISERROR(SEARCH("BEARISH",R7686)))</formula>
    </cfRule>
  </conditionalFormatting>
  <conditionalFormatting sqref="P7686:P7717">
    <cfRule type="dataBar" priority="16">
      <dataBar>
        <cfvo type="min"/>
        <cfvo type="max"/>
        <color rgb="FF638EC6"/>
      </dataBar>
      <extLst>
        <ext xmlns:x14="http://schemas.microsoft.com/office/spreadsheetml/2009/9/main" uri="{B025F937-C7B1-47D3-B67F-A62EFF666E3E}">
          <x14:id>{AA350AD4-47C2-4A64-BB10-10938CC1C42F}</x14:id>
        </ext>
      </extLst>
    </cfRule>
  </conditionalFormatting>
  <conditionalFormatting sqref="R7718:R7749">
    <cfRule type="containsText" dxfId="6737" priority="9" operator="containsText" text="NEUTRAL">
      <formula>NOT(ISERROR(SEARCH("NEUTRAL",R7718)))</formula>
    </cfRule>
    <cfRule type="containsText" dxfId="6736" priority="10" operator="containsText" text="BULLISH">
      <formula>NOT(ISERROR(SEARCH("BULLISH",R7718)))</formula>
    </cfRule>
    <cfRule type="containsText" dxfId="6735" priority="11" operator="containsText" text="BEARISH">
      <formula>NOT(ISERROR(SEARCH("BEARISH",R7718)))</formula>
    </cfRule>
  </conditionalFormatting>
  <conditionalFormatting sqref="P7718:P7749">
    <cfRule type="dataBar" priority="12">
      <dataBar>
        <cfvo type="min"/>
        <cfvo type="max"/>
        <color rgb="FF638EC6"/>
      </dataBar>
      <extLst>
        <ext xmlns:x14="http://schemas.microsoft.com/office/spreadsheetml/2009/9/main" uri="{B025F937-C7B1-47D3-B67F-A62EFF666E3E}">
          <x14:id>{BD38A626-128B-49AA-A88F-BB9BE8BACF3F}</x14:id>
        </ext>
      </extLst>
    </cfRule>
  </conditionalFormatting>
  <conditionalFormatting sqref="R7750:R7782">
    <cfRule type="containsText" dxfId="6734" priority="5" operator="containsText" text="NEUTRAL">
      <formula>NOT(ISERROR(SEARCH("NEUTRAL",R7750)))</formula>
    </cfRule>
    <cfRule type="containsText" dxfId="6733" priority="6" operator="containsText" text="BULLISH">
      <formula>NOT(ISERROR(SEARCH("BULLISH",R7750)))</formula>
    </cfRule>
    <cfRule type="containsText" dxfId="6732" priority="7" operator="containsText" text="BEARISH">
      <formula>NOT(ISERROR(SEARCH("BEARISH",R7750)))</formula>
    </cfRule>
  </conditionalFormatting>
  <conditionalFormatting sqref="P7750:P7782">
    <cfRule type="dataBar" priority="8">
      <dataBar>
        <cfvo type="min"/>
        <cfvo type="max"/>
        <color rgb="FF638EC6"/>
      </dataBar>
      <extLst>
        <ext xmlns:x14="http://schemas.microsoft.com/office/spreadsheetml/2009/9/main" uri="{B025F937-C7B1-47D3-B67F-A62EFF666E3E}">
          <x14:id>{5DCA5F4A-4EEA-4CD5-8A73-FB8E0E7089A5}</x14:id>
        </ext>
      </extLst>
    </cfRule>
  </conditionalFormatting>
  <conditionalFormatting sqref="R7783:R7815">
    <cfRule type="containsText" dxfId="5978" priority="1" operator="containsText" text="NEUTRAL">
      <formula>NOT(ISERROR(SEARCH("NEUTRAL",R7783)))</formula>
    </cfRule>
    <cfRule type="containsText" dxfId="5977" priority="2" operator="containsText" text="BULLISH">
      <formula>NOT(ISERROR(SEARCH("BULLISH",R7783)))</formula>
    </cfRule>
    <cfRule type="containsText" dxfId="5976" priority="3" operator="containsText" text="BEARISH">
      <formula>NOT(ISERROR(SEARCH("BEARISH",R7783)))</formula>
    </cfRule>
  </conditionalFormatting>
  <conditionalFormatting sqref="P7783:P7815">
    <cfRule type="dataBar" priority="4">
      <dataBar>
        <cfvo type="min"/>
        <cfvo type="max"/>
        <color rgb="FF638EC6"/>
      </dataBar>
      <extLst>
        <ext xmlns:x14="http://schemas.microsoft.com/office/spreadsheetml/2009/9/main" uri="{B025F937-C7B1-47D3-B67F-A62EFF666E3E}">
          <x14:id>{73E09119-161A-4902-8239-DC3F7AF0074C}</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E1481377-2299-824C-B485-D1D257CE42A9}">
            <x14:dataBar minLength="0" maxLength="100" border="1" negativeBarBorderColorSameAsPositive="0">
              <x14:cfvo type="autoMin"/>
              <x14:cfvo type="autoMax"/>
              <x14:borderColor rgb="FF638EC6"/>
              <x14:negativeFillColor rgb="FFFF0000"/>
              <x14:negativeBorderColor rgb="FFFF0000"/>
              <x14:axisColor rgb="FF000000"/>
            </x14:dataBar>
          </x14:cfRule>
          <xm:sqref>P2:P117</xm:sqref>
        </x14:conditionalFormatting>
        <x14:conditionalFormatting xmlns:xm="http://schemas.microsoft.com/office/excel/2006/main">
          <x14:cfRule type="dataBar" id="{D01D8175-6BDF-9D40-9D20-80CAC85A549E}">
            <x14:dataBar minLength="0" maxLength="100" border="1" negativeBarBorderColorSameAsPositive="0">
              <x14:cfvo type="autoMin"/>
              <x14:cfvo type="autoMax"/>
              <x14:borderColor rgb="FF638EC6"/>
              <x14:negativeFillColor rgb="FFFF0000"/>
              <x14:negativeBorderColor rgb="FFFF0000"/>
              <x14:axisColor rgb="FF000000"/>
            </x14:dataBar>
          </x14:cfRule>
          <xm:sqref>P118:P146</xm:sqref>
        </x14:conditionalFormatting>
        <x14:conditionalFormatting xmlns:xm="http://schemas.microsoft.com/office/excel/2006/main">
          <x14:cfRule type="dataBar" id="{A961D4D5-EFD2-F944-AE49-5304178EC20A}">
            <x14:dataBar minLength="0" maxLength="100" border="1" negativeBarBorderColorSameAsPositive="0">
              <x14:cfvo type="autoMin"/>
              <x14:cfvo type="autoMax"/>
              <x14:borderColor rgb="FF638EC6"/>
              <x14:negativeFillColor rgb="FFFF0000"/>
              <x14:negativeBorderColor rgb="FFFF0000"/>
              <x14:axisColor rgb="FF000000"/>
            </x14:dataBar>
          </x14:cfRule>
          <xm:sqref>P147:P175</xm:sqref>
        </x14:conditionalFormatting>
        <x14:conditionalFormatting xmlns:xm="http://schemas.microsoft.com/office/excel/2006/main">
          <x14:cfRule type="dataBar" id="{10D412B0-7367-4444-A0F2-EB072D05A5B6}">
            <x14:dataBar minLength="0" maxLength="100" border="1" negativeBarBorderColorSameAsPositive="0">
              <x14:cfvo type="autoMin"/>
              <x14:cfvo type="autoMax"/>
              <x14:borderColor rgb="FF638EC6"/>
              <x14:negativeFillColor rgb="FFFF0000"/>
              <x14:negativeBorderColor rgb="FFFF0000"/>
              <x14:axisColor rgb="FF000000"/>
            </x14:dataBar>
          </x14:cfRule>
          <xm:sqref>P176:P204</xm:sqref>
        </x14:conditionalFormatting>
        <x14:conditionalFormatting xmlns:xm="http://schemas.microsoft.com/office/excel/2006/main">
          <x14:cfRule type="dataBar" id="{59EC5288-CF55-EA4F-AA1A-0EEBCFE4DA09}">
            <x14:dataBar minLength="0" maxLength="100" border="1" negativeBarBorderColorSameAsPositive="0">
              <x14:cfvo type="autoMin"/>
              <x14:cfvo type="autoMax"/>
              <x14:borderColor rgb="FF638EC6"/>
              <x14:negativeFillColor rgb="FFFF0000"/>
              <x14:negativeBorderColor rgb="FFFF0000"/>
              <x14:axisColor rgb="FF000000"/>
            </x14:dataBar>
          </x14:cfRule>
          <xm:sqref>P205:P233</xm:sqref>
        </x14:conditionalFormatting>
        <x14:conditionalFormatting xmlns:xm="http://schemas.microsoft.com/office/excel/2006/main">
          <x14:cfRule type="dataBar" id="{B63A2FCC-F881-6941-93A9-383FF15C1F31}">
            <x14:dataBar minLength="0" maxLength="100" border="1" negativeBarBorderColorSameAsPositive="0">
              <x14:cfvo type="autoMin"/>
              <x14:cfvo type="autoMax"/>
              <x14:borderColor rgb="FF638EC6"/>
              <x14:negativeFillColor rgb="FFFF0000"/>
              <x14:negativeBorderColor rgb="FFFF0000"/>
              <x14:axisColor rgb="FF000000"/>
            </x14:dataBar>
          </x14:cfRule>
          <xm:sqref>P234:P262</xm:sqref>
        </x14:conditionalFormatting>
        <x14:conditionalFormatting xmlns:xm="http://schemas.microsoft.com/office/excel/2006/main">
          <x14:cfRule type="dataBar" id="{536D861E-472A-E749-BFA4-783F7AE62A25}">
            <x14:dataBar minLength="0" maxLength="100" border="1" negativeBarBorderColorSameAsPositive="0">
              <x14:cfvo type="autoMin"/>
              <x14:cfvo type="autoMax"/>
              <x14:borderColor rgb="FF638EC6"/>
              <x14:negativeFillColor rgb="FFFF0000"/>
              <x14:negativeBorderColor rgb="FFFF0000"/>
              <x14:axisColor rgb="FF000000"/>
            </x14:dataBar>
          </x14:cfRule>
          <xm:sqref>P1781:P1811</xm:sqref>
        </x14:conditionalFormatting>
        <x14:conditionalFormatting xmlns:xm="http://schemas.microsoft.com/office/excel/2006/main">
          <x14:cfRule type="dataBar" id="{C4B4679A-2D3B-B749-912C-ADA710CA61B7}">
            <x14:dataBar minLength="0" maxLength="100" border="1" negativeBarBorderColorSameAsPositive="0">
              <x14:cfvo type="autoMin"/>
              <x14:cfvo type="autoMax"/>
              <x14:borderColor rgb="FF638EC6"/>
              <x14:negativeFillColor rgb="FFFF0000"/>
              <x14:negativeBorderColor rgb="FFFF0000"/>
              <x14:axisColor rgb="FF000000"/>
            </x14:dataBar>
          </x14:cfRule>
          <xm:sqref>P263:P291</xm:sqref>
        </x14:conditionalFormatting>
        <x14:conditionalFormatting xmlns:xm="http://schemas.microsoft.com/office/excel/2006/main">
          <x14:cfRule type="dataBar" id="{928D6525-426A-0043-B794-12596DA60040}">
            <x14:dataBar minLength="0" maxLength="100" border="1" negativeBarBorderColorSameAsPositive="0">
              <x14:cfvo type="autoMin"/>
              <x14:cfvo type="autoMax"/>
              <x14:borderColor rgb="FF638EC6"/>
              <x14:negativeFillColor rgb="FFFF0000"/>
              <x14:negativeBorderColor rgb="FFFF0000"/>
              <x14:axisColor rgb="FF000000"/>
            </x14:dataBar>
          </x14:cfRule>
          <xm:sqref>P292:P320</xm:sqref>
        </x14:conditionalFormatting>
        <x14:conditionalFormatting xmlns:xm="http://schemas.microsoft.com/office/excel/2006/main">
          <x14:cfRule type="dataBar" id="{928E51FA-2B4C-BA49-82A6-834252080A00}">
            <x14:dataBar minLength="0" maxLength="100" border="1" negativeBarBorderColorSameAsPositive="0">
              <x14:cfvo type="autoMin"/>
              <x14:cfvo type="autoMax"/>
              <x14:borderColor rgb="FF638EC6"/>
              <x14:negativeFillColor rgb="FFFF0000"/>
              <x14:negativeBorderColor rgb="FFFF0000"/>
              <x14:axisColor rgb="FF000000"/>
            </x14:dataBar>
          </x14:cfRule>
          <xm:sqref>P321:P349</xm:sqref>
        </x14:conditionalFormatting>
        <x14:conditionalFormatting xmlns:xm="http://schemas.microsoft.com/office/excel/2006/main">
          <x14:cfRule type="dataBar" id="{0A4308AB-24AC-294C-80AA-9BD4F529FB92}">
            <x14:dataBar minLength="0" maxLength="100" border="1" negativeBarBorderColorSameAsPositive="0">
              <x14:cfvo type="autoMin"/>
              <x14:cfvo type="autoMax"/>
              <x14:borderColor rgb="FF638EC6"/>
              <x14:negativeFillColor rgb="FFFF0000"/>
              <x14:negativeBorderColor rgb="FFFF0000"/>
              <x14:axisColor rgb="FF000000"/>
            </x14:dataBar>
          </x14:cfRule>
          <xm:sqref>P350:P377</xm:sqref>
        </x14:conditionalFormatting>
        <x14:conditionalFormatting xmlns:xm="http://schemas.microsoft.com/office/excel/2006/main">
          <x14:cfRule type="dataBar" id="{BEFE5676-D774-AA45-BEEC-B2F9C4078F80}">
            <x14:dataBar minLength="0" maxLength="100" border="1" negativeBarBorderColorSameAsPositive="0">
              <x14:cfvo type="autoMin"/>
              <x14:cfvo type="autoMax"/>
              <x14:borderColor rgb="FF638EC6"/>
              <x14:negativeFillColor rgb="FFFF0000"/>
              <x14:negativeBorderColor rgb="FFFF0000"/>
              <x14:axisColor rgb="FF000000"/>
            </x14:dataBar>
          </x14:cfRule>
          <xm:sqref>P378:P406</xm:sqref>
        </x14:conditionalFormatting>
        <x14:conditionalFormatting xmlns:xm="http://schemas.microsoft.com/office/excel/2006/main">
          <x14:cfRule type="dataBar" id="{9A56A4DC-DA75-624F-82CE-2CCC04465D6B}">
            <x14:dataBar minLength="0" maxLength="100" border="1" negativeBarBorderColorSameAsPositive="0">
              <x14:cfvo type="autoMin"/>
              <x14:cfvo type="autoMax"/>
              <x14:borderColor rgb="FF638EC6"/>
              <x14:negativeFillColor rgb="FFFF0000"/>
              <x14:negativeBorderColor rgb="FFFF0000"/>
              <x14:axisColor rgb="FF000000"/>
            </x14:dataBar>
          </x14:cfRule>
          <xm:sqref>P407:P435</xm:sqref>
        </x14:conditionalFormatting>
        <x14:conditionalFormatting xmlns:xm="http://schemas.microsoft.com/office/excel/2006/main">
          <x14:cfRule type="dataBar" id="{A4248ED8-FBEA-9544-84E4-4EB971B2A3CD}">
            <x14:dataBar minLength="0" maxLength="100" border="1" negativeBarBorderColorSameAsPositive="0">
              <x14:cfvo type="autoMin"/>
              <x14:cfvo type="autoMax"/>
              <x14:borderColor rgb="FF638EC6"/>
              <x14:negativeFillColor rgb="FFFF0000"/>
              <x14:negativeBorderColor rgb="FFFF0000"/>
              <x14:axisColor rgb="FF000000"/>
            </x14:dataBar>
          </x14:cfRule>
          <xm:sqref>P436:P464</xm:sqref>
        </x14:conditionalFormatting>
        <x14:conditionalFormatting xmlns:xm="http://schemas.microsoft.com/office/excel/2006/main">
          <x14:cfRule type="dataBar" id="{539EDAB9-524B-0E42-BF33-02435D45D7BF}">
            <x14:dataBar minLength="0" maxLength="100" border="1" negativeBarBorderColorSameAsPositive="0">
              <x14:cfvo type="autoMin"/>
              <x14:cfvo type="autoMax"/>
              <x14:borderColor rgb="FF638EC6"/>
              <x14:negativeFillColor rgb="FFFF0000"/>
              <x14:negativeBorderColor rgb="FFFF0000"/>
              <x14:axisColor rgb="FF000000"/>
            </x14:dataBar>
          </x14:cfRule>
          <xm:sqref>P465:P493</xm:sqref>
        </x14:conditionalFormatting>
        <x14:conditionalFormatting xmlns:xm="http://schemas.microsoft.com/office/excel/2006/main">
          <x14:cfRule type="dataBar" id="{BF79355B-9C10-1C4A-8519-86A8412F7B1F}">
            <x14:dataBar minLength="0" maxLength="100" border="1" negativeBarBorderColorSameAsPositive="0">
              <x14:cfvo type="autoMin"/>
              <x14:cfvo type="autoMax"/>
              <x14:borderColor rgb="FF638EC6"/>
              <x14:negativeFillColor rgb="FFFF0000"/>
              <x14:negativeBorderColor rgb="FFFF0000"/>
              <x14:axisColor rgb="FF000000"/>
            </x14:dataBar>
          </x14:cfRule>
          <xm:sqref>P494:P522</xm:sqref>
        </x14:conditionalFormatting>
        <x14:conditionalFormatting xmlns:xm="http://schemas.microsoft.com/office/excel/2006/main">
          <x14:cfRule type="dataBar" id="{33123E25-CE0C-2948-92F4-1B30298F4F9D}">
            <x14:dataBar minLength="0" maxLength="100" border="1" negativeBarBorderColorSameAsPositive="0">
              <x14:cfvo type="autoMin"/>
              <x14:cfvo type="autoMax"/>
              <x14:borderColor rgb="FF638EC6"/>
              <x14:negativeFillColor rgb="FFFF0000"/>
              <x14:negativeBorderColor rgb="FFFF0000"/>
              <x14:axisColor rgb="FF000000"/>
            </x14:dataBar>
          </x14:cfRule>
          <xm:sqref>P523:P551</xm:sqref>
        </x14:conditionalFormatting>
        <x14:conditionalFormatting xmlns:xm="http://schemas.microsoft.com/office/excel/2006/main">
          <x14:cfRule type="dataBar" id="{1EE12B84-1CDA-9641-ADFA-BDB4E5E319EB}">
            <x14:dataBar minLength="0" maxLength="100" border="1" negativeBarBorderColorSameAsPositive="0">
              <x14:cfvo type="autoMin"/>
              <x14:cfvo type="autoMax"/>
              <x14:borderColor rgb="FF638EC6"/>
              <x14:negativeFillColor rgb="FFFF0000"/>
              <x14:negativeBorderColor rgb="FFFF0000"/>
              <x14:axisColor rgb="FF000000"/>
            </x14:dataBar>
          </x14:cfRule>
          <xm:sqref>P552:P580</xm:sqref>
        </x14:conditionalFormatting>
        <x14:conditionalFormatting xmlns:xm="http://schemas.microsoft.com/office/excel/2006/main">
          <x14:cfRule type="dataBar" id="{58F26FE0-CAEE-E44B-86BB-E023BEC5B3E8}">
            <x14:dataBar minLength="0" maxLength="100" border="1" negativeBarBorderColorSameAsPositive="0">
              <x14:cfvo type="autoMin"/>
              <x14:cfvo type="autoMax"/>
              <x14:borderColor rgb="FF638EC6"/>
              <x14:negativeFillColor rgb="FFFF0000"/>
              <x14:negativeBorderColor rgb="FFFF0000"/>
              <x14:axisColor rgb="FF000000"/>
            </x14:dataBar>
          </x14:cfRule>
          <xm:sqref>P581:P609</xm:sqref>
        </x14:conditionalFormatting>
        <x14:conditionalFormatting xmlns:xm="http://schemas.microsoft.com/office/excel/2006/main">
          <x14:cfRule type="dataBar" id="{68188143-11B0-754B-8580-7059DF638FE5}">
            <x14:dataBar minLength="0" maxLength="100" border="1" negativeBarBorderColorSameAsPositive="0">
              <x14:cfvo type="autoMin"/>
              <x14:cfvo type="autoMax"/>
              <x14:borderColor rgb="FF638EC6"/>
              <x14:negativeFillColor rgb="FFFF0000"/>
              <x14:negativeBorderColor rgb="FFFF0000"/>
              <x14:axisColor rgb="FF000000"/>
            </x14:dataBar>
          </x14:cfRule>
          <xm:sqref>P610:P638</xm:sqref>
        </x14:conditionalFormatting>
        <x14:conditionalFormatting xmlns:xm="http://schemas.microsoft.com/office/excel/2006/main">
          <x14:cfRule type="dataBar" id="{5FC3BFB4-28C3-2749-AEF0-190FB5E720CA}">
            <x14:dataBar minLength="0" maxLength="100" border="1" negativeBarBorderColorSameAsPositive="0">
              <x14:cfvo type="autoMin"/>
              <x14:cfvo type="autoMax"/>
              <x14:borderColor rgb="FF638EC6"/>
              <x14:negativeFillColor rgb="FFFF0000"/>
              <x14:negativeBorderColor rgb="FFFF0000"/>
              <x14:axisColor rgb="FF000000"/>
            </x14:dataBar>
          </x14:cfRule>
          <xm:sqref>P639:P667</xm:sqref>
        </x14:conditionalFormatting>
        <x14:conditionalFormatting xmlns:xm="http://schemas.microsoft.com/office/excel/2006/main">
          <x14:cfRule type="dataBar" id="{A1489BFC-4616-C34C-98AB-20C3724E794A}">
            <x14:dataBar minLength="0" maxLength="100" border="1" negativeBarBorderColorSameAsPositive="0">
              <x14:cfvo type="autoMin"/>
              <x14:cfvo type="autoMax"/>
              <x14:borderColor rgb="FF638EC6"/>
              <x14:negativeFillColor rgb="FFFF0000"/>
              <x14:negativeBorderColor rgb="FFFF0000"/>
              <x14:axisColor rgb="FF000000"/>
            </x14:dataBar>
          </x14:cfRule>
          <xm:sqref>P668:P696</xm:sqref>
        </x14:conditionalFormatting>
        <x14:conditionalFormatting xmlns:xm="http://schemas.microsoft.com/office/excel/2006/main">
          <x14:cfRule type="dataBar" id="{53AE4BE3-1637-F647-AF4C-4CC45C667A0E}">
            <x14:dataBar minLength="0" maxLength="100" border="1" negativeBarBorderColorSameAsPositive="0">
              <x14:cfvo type="autoMin"/>
              <x14:cfvo type="autoMax"/>
              <x14:borderColor rgb="FF638EC6"/>
              <x14:negativeFillColor rgb="FFFF0000"/>
              <x14:negativeBorderColor rgb="FFFF0000"/>
              <x14:axisColor rgb="FF000000"/>
            </x14:dataBar>
          </x14:cfRule>
          <xm:sqref>P697:P725</xm:sqref>
        </x14:conditionalFormatting>
        <x14:conditionalFormatting xmlns:xm="http://schemas.microsoft.com/office/excel/2006/main">
          <x14:cfRule type="dataBar" id="{88F7A1DA-41A6-EB4D-84E0-9DDB1EB997DA}">
            <x14:dataBar minLength="0" maxLength="100" border="1" negativeBarBorderColorSameAsPositive="0">
              <x14:cfvo type="autoMin"/>
              <x14:cfvo type="autoMax"/>
              <x14:borderColor rgb="FF638EC6"/>
              <x14:negativeFillColor rgb="FFFF0000"/>
              <x14:negativeBorderColor rgb="FFFF0000"/>
              <x14:axisColor rgb="FF000000"/>
            </x14:dataBar>
          </x14:cfRule>
          <xm:sqref>P726:P754</xm:sqref>
        </x14:conditionalFormatting>
        <x14:conditionalFormatting xmlns:xm="http://schemas.microsoft.com/office/excel/2006/main">
          <x14:cfRule type="dataBar" id="{E99609D4-E7BC-F54D-9CC7-D1F069B427E6}">
            <x14:dataBar minLength="0" maxLength="100" border="1" negativeBarBorderColorSameAsPositive="0">
              <x14:cfvo type="autoMin"/>
              <x14:cfvo type="autoMax"/>
              <x14:borderColor rgb="FF638EC6"/>
              <x14:negativeFillColor rgb="FFFF0000"/>
              <x14:negativeBorderColor rgb="FFFF0000"/>
              <x14:axisColor rgb="FF000000"/>
            </x14:dataBar>
          </x14:cfRule>
          <xm:sqref>P755:P783</xm:sqref>
        </x14:conditionalFormatting>
        <x14:conditionalFormatting xmlns:xm="http://schemas.microsoft.com/office/excel/2006/main">
          <x14:cfRule type="dataBar" id="{BD31A78B-AAAF-3541-A9FB-C2A07BD4597E}">
            <x14:dataBar minLength="0" maxLength="100" border="1" negativeBarBorderColorSameAsPositive="0">
              <x14:cfvo type="autoMin"/>
              <x14:cfvo type="autoMax"/>
              <x14:borderColor rgb="FF638EC6"/>
              <x14:negativeFillColor rgb="FFFF0000"/>
              <x14:negativeBorderColor rgb="FFFF0000"/>
              <x14:axisColor rgb="FF000000"/>
            </x14:dataBar>
          </x14:cfRule>
          <xm:sqref>P784:P812</xm:sqref>
        </x14:conditionalFormatting>
        <x14:conditionalFormatting xmlns:xm="http://schemas.microsoft.com/office/excel/2006/main">
          <x14:cfRule type="dataBar" id="{1704F7BF-1B4B-1D47-A6FA-C7AC06E2E882}">
            <x14:dataBar minLength="0" maxLength="100" border="1" negativeBarBorderColorSameAsPositive="0">
              <x14:cfvo type="autoMin"/>
              <x14:cfvo type="autoMax"/>
              <x14:borderColor rgb="FF638EC6"/>
              <x14:negativeFillColor rgb="FFFF0000"/>
              <x14:negativeBorderColor rgb="FFFF0000"/>
              <x14:axisColor rgb="FF000000"/>
            </x14:dataBar>
          </x14:cfRule>
          <xm:sqref>P813:P841</xm:sqref>
        </x14:conditionalFormatting>
        <x14:conditionalFormatting xmlns:xm="http://schemas.microsoft.com/office/excel/2006/main">
          <x14:cfRule type="dataBar" id="{8DA0915B-1AB2-F04A-B483-C795AB2E6250}">
            <x14:dataBar minLength="0" maxLength="100" border="1" negativeBarBorderColorSameAsPositive="0">
              <x14:cfvo type="autoMin"/>
              <x14:cfvo type="autoMax"/>
              <x14:borderColor rgb="FF638EC6"/>
              <x14:negativeFillColor rgb="FFFF0000"/>
              <x14:negativeBorderColor rgb="FFFF0000"/>
              <x14:axisColor rgb="FF000000"/>
            </x14:dataBar>
          </x14:cfRule>
          <xm:sqref>P842:P870</xm:sqref>
        </x14:conditionalFormatting>
        <x14:conditionalFormatting xmlns:xm="http://schemas.microsoft.com/office/excel/2006/main">
          <x14:cfRule type="dataBar" id="{BEBA5703-A2C5-C64F-A648-7AB750730356}">
            <x14:dataBar minLength="0" maxLength="100" border="1" negativeBarBorderColorSameAsPositive="0">
              <x14:cfvo type="autoMin"/>
              <x14:cfvo type="autoMax"/>
              <x14:borderColor rgb="FF638EC6"/>
              <x14:negativeFillColor rgb="FFFF0000"/>
              <x14:negativeBorderColor rgb="FFFF0000"/>
              <x14:axisColor rgb="FF000000"/>
            </x14:dataBar>
          </x14:cfRule>
          <xm:sqref>P871:P899</xm:sqref>
        </x14:conditionalFormatting>
        <x14:conditionalFormatting xmlns:xm="http://schemas.microsoft.com/office/excel/2006/main">
          <x14:cfRule type="dataBar" id="{BF8C6F96-E76D-E646-9B0B-F89C4AA537AB}">
            <x14:dataBar minLength="0" maxLength="100" border="1" negativeBarBorderColorSameAsPositive="0">
              <x14:cfvo type="autoMin"/>
              <x14:cfvo type="autoMax"/>
              <x14:borderColor rgb="FF638EC6"/>
              <x14:negativeFillColor rgb="FFFF0000"/>
              <x14:negativeBorderColor rgb="FFFF0000"/>
              <x14:axisColor rgb="FF000000"/>
            </x14:dataBar>
          </x14:cfRule>
          <xm:sqref>P900:P928</xm:sqref>
        </x14:conditionalFormatting>
        <x14:conditionalFormatting xmlns:xm="http://schemas.microsoft.com/office/excel/2006/main">
          <x14:cfRule type="dataBar" id="{6EA94EE9-59A6-F248-9515-0D7D62C65532}">
            <x14:dataBar minLength="0" maxLength="100" border="1" negativeBarBorderColorSameAsPositive="0">
              <x14:cfvo type="autoMin"/>
              <x14:cfvo type="autoMax"/>
              <x14:borderColor rgb="FF638EC6"/>
              <x14:negativeFillColor rgb="FFFF0000"/>
              <x14:negativeBorderColor rgb="FFFF0000"/>
              <x14:axisColor rgb="FF000000"/>
            </x14:dataBar>
          </x14:cfRule>
          <xm:sqref>P929:P957</xm:sqref>
        </x14:conditionalFormatting>
        <x14:conditionalFormatting xmlns:xm="http://schemas.microsoft.com/office/excel/2006/main">
          <x14:cfRule type="dataBar" id="{A0ECCB3F-25D6-1146-81AD-41C01F9203C1}">
            <x14:dataBar minLength="0" maxLength="100" border="1" negativeBarBorderColorSameAsPositive="0">
              <x14:cfvo type="autoMin"/>
              <x14:cfvo type="autoMax"/>
              <x14:borderColor rgb="FF638EC6"/>
              <x14:negativeFillColor rgb="FFFF0000"/>
              <x14:negativeBorderColor rgb="FFFF0000"/>
              <x14:axisColor rgb="FF000000"/>
            </x14:dataBar>
          </x14:cfRule>
          <xm:sqref>P958:P986</xm:sqref>
        </x14:conditionalFormatting>
        <x14:conditionalFormatting xmlns:xm="http://schemas.microsoft.com/office/excel/2006/main">
          <x14:cfRule type="dataBar" id="{6458AF3B-3D4A-EB48-81DC-43A06DD595C6}">
            <x14:dataBar minLength="0" maxLength="100" border="1" negativeBarBorderColorSameAsPositive="0">
              <x14:cfvo type="autoMin"/>
              <x14:cfvo type="autoMax"/>
              <x14:borderColor rgb="FF638EC6"/>
              <x14:negativeFillColor rgb="FFFF0000"/>
              <x14:negativeBorderColor rgb="FFFF0000"/>
              <x14:axisColor rgb="FF000000"/>
            </x14:dataBar>
          </x14:cfRule>
          <xm:sqref>P987:P1015</xm:sqref>
        </x14:conditionalFormatting>
        <x14:conditionalFormatting xmlns:xm="http://schemas.microsoft.com/office/excel/2006/main">
          <x14:cfRule type="dataBar" id="{FC23C40E-9815-E74C-91B6-C3B28A0218D6}">
            <x14:dataBar minLength="0" maxLength="100" border="1" negativeBarBorderColorSameAsPositive="0">
              <x14:cfvo type="autoMin"/>
              <x14:cfvo type="autoMax"/>
              <x14:borderColor rgb="FF638EC6"/>
              <x14:negativeFillColor rgb="FFFF0000"/>
              <x14:negativeBorderColor rgb="FFFF0000"/>
              <x14:axisColor rgb="FF000000"/>
            </x14:dataBar>
          </x14:cfRule>
          <xm:sqref>P1016:P1044</xm:sqref>
        </x14:conditionalFormatting>
        <x14:conditionalFormatting xmlns:xm="http://schemas.microsoft.com/office/excel/2006/main">
          <x14:cfRule type="dataBar" id="{E17ED419-5FA2-0147-8B75-BD23C75E6252}">
            <x14:dataBar minLength="0" maxLength="100" border="1" negativeBarBorderColorSameAsPositive="0">
              <x14:cfvo type="autoMin"/>
              <x14:cfvo type="autoMax"/>
              <x14:borderColor rgb="FF638EC6"/>
              <x14:negativeFillColor rgb="FFFF0000"/>
              <x14:negativeBorderColor rgb="FFFF0000"/>
              <x14:axisColor rgb="FF000000"/>
            </x14:dataBar>
          </x14:cfRule>
          <xm:sqref>P1045:P1073</xm:sqref>
        </x14:conditionalFormatting>
        <x14:conditionalFormatting xmlns:xm="http://schemas.microsoft.com/office/excel/2006/main">
          <x14:cfRule type="dataBar" id="{E98765E5-E1BE-F743-A531-5F92557DA035}">
            <x14:dataBar minLength="0" maxLength="100" border="1" negativeBarBorderColorSameAsPositive="0">
              <x14:cfvo type="autoMin"/>
              <x14:cfvo type="autoMax"/>
              <x14:borderColor rgb="FF638EC6"/>
              <x14:negativeFillColor rgb="FFFF0000"/>
              <x14:negativeBorderColor rgb="FFFF0000"/>
              <x14:axisColor rgb="FF000000"/>
            </x14:dataBar>
          </x14:cfRule>
          <xm:sqref>P1074:P1102</xm:sqref>
        </x14:conditionalFormatting>
        <x14:conditionalFormatting xmlns:xm="http://schemas.microsoft.com/office/excel/2006/main">
          <x14:cfRule type="dataBar" id="{707BE452-0175-734C-977F-E9298FCD656E}">
            <x14:dataBar minLength="0" maxLength="100" border="1" negativeBarBorderColorSameAsPositive="0">
              <x14:cfvo type="autoMin"/>
              <x14:cfvo type="autoMax"/>
              <x14:borderColor rgb="FF638EC6"/>
              <x14:negativeFillColor rgb="FFFF0000"/>
              <x14:negativeBorderColor rgb="FFFF0000"/>
              <x14:axisColor rgb="FF000000"/>
            </x14:dataBar>
          </x14:cfRule>
          <xm:sqref>P1103:P1131</xm:sqref>
        </x14:conditionalFormatting>
        <x14:conditionalFormatting xmlns:xm="http://schemas.microsoft.com/office/excel/2006/main">
          <x14:cfRule type="dataBar" id="{8A276D5E-C95B-5746-8C46-2F4FD142AB45}">
            <x14:dataBar minLength="0" maxLength="100" border="1" negativeBarBorderColorSameAsPositive="0">
              <x14:cfvo type="autoMin"/>
              <x14:cfvo type="autoMax"/>
              <x14:borderColor rgb="FF638EC6"/>
              <x14:negativeFillColor rgb="FFFF0000"/>
              <x14:negativeBorderColor rgb="FFFF0000"/>
              <x14:axisColor rgb="FF000000"/>
            </x14:dataBar>
          </x14:cfRule>
          <xm:sqref>P1132:P1161</xm:sqref>
        </x14:conditionalFormatting>
        <x14:conditionalFormatting xmlns:xm="http://schemas.microsoft.com/office/excel/2006/main">
          <x14:cfRule type="dataBar" id="{54105231-D4D7-094B-B2E4-02078236574A}">
            <x14:dataBar minLength="0" maxLength="100" border="1" negativeBarBorderColorSameAsPositive="0">
              <x14:cfvo type="autoMin"/>
              <x14:cfvo type="autoMax"/>
              <x14:borderColor rgb="FF638EC6"/>
              <x14:negativeFillColor rgb="FFFF0000"/>
              <x14:negativeBorderColor rgb="FFFF0000"/>
              <x14:axisColor rgb="FF000000"/>
            </x14:dataBar>
          </x14:cfRule>
          <xm:sqref>P1162:P1191</xm:sqref>
        </x14:conditionalFormatting>
        <x14:conditionalFormatting xmlns:xm="http://schemas.microsoft.com/office/excel/2006/main">
          <x14:cfRule type="dataBar" id="{BB134363-9C97-2D40-B3FC-F97B67883EC3}">
            <x14:dataBar minLength="0" maxLength="100" border="1" negativeBarBorderColorSameAsPositive="0">
              <x14:cfvo type="autoMin"/>
              <x14:cfvo type="autoMax"/>
              <x14:borderColor rgb="FF638EC6"/>
              <x14:negativeFillColor rgb="FFFF0000"/>
              <x14:negativeBorderColor rgb="FFFF0000"/>
              <x14:axisColor rgb="FF000000"/>
            </x14:dataBar>
          </x14:cfRule>
          <xm:sqref>P1192:P1222</xm:sqref>
        </x14:conditionalFormatting>
        <x14:conditionalFormatting xmlns:xm="http://schemas.microsoft.com/office/excel/2006/main">
          <x14:cfRule type="dataBar" id="{D1DC37D4-332E-B747-9C88-9B819138B1FD}">
            <x14:dataBar minLength="0" maxLength="100" border="1" negativeBarBorderColorSameAsPositive="0">
              <x14:cfvo type="autoMin"/>
              <x14:cfvo type="autoMax"/>
              <x14:borderColor rgb="FF638EC6"/>
              <x14:negativeFillColor rgb="FFFF0000"/>
              <x14:negativeBorderColor rgb="FFFF0000"/>
              <x14:axisColor rgb="FF000000"/>
            </x14:dataBar>
          </x14:cfRule>
          <xm:sqref>P1223:P1253</xm:sqref>
        </x14:conditionalFormatting>
        <x14:conditionalFormatting xmlns:xm="http://schemas.microsoft.com/office/excel/2006/main">
          <x14:cfRule type="dataBar" id="{9DF5B2C2-4935-304F-ACDE-76C90E79B398}">
            <x14:dataBar minLength="0" maxLength="100" border="1" negativeBarBorderColorSameAsPositive="0">
              <x14:cfvo type="autoMin"/>
              <x14:cfvo type="autoMax"/>
              <x14:borderColor rgb="FF638EC6"/>
              <x14:negativeFillColor rgb="FFFF0000"/>
              <x14:negativeBorderColor rgb="FFFF0000"/>
              <x14:axisColor rgb="FF000000"/>
            </x14:dataBar>
          </x14:cfRule>
          <xm:sqref>P1812:P1842</xm:sqref>
        </x14:conditionalFormatting>
        <x14:conditionalFormatting xmlns:xm="http://schemas.microsoft.com/office/excel/2006/main">
          <x14:cfRule type="dataBar" id="{5417A7B5-3DEB-0D4B-80FF-B6C7F591100B}">
            <x14:dataBar minLength="0" maxLength="100" border="1" negativeBarBorderColorSameAsPositive="0">
              <x14:cfvo type="autoMin"/>
              <x14:cfvo type="autoMax"/>
              <x14:borderColor rgb="FF638EC6"/>
              <x14:negativeFillColor rgb="FFFF0000"/>
              <x14:negativeBorderColor rgb="FFFF0000"/>
              <x14:axisColor rgb="FF000000"/>
            </x14:dataBar>
          </x14:cfRule>
          <xm:sqref>P1254:P1284</xm:sqref>
        </x14:conditionalFormatting>
        <x14:conditionalFormatting xmlns:xm="http://schemas.microsoft.com/office/excel/2006/main">
          <x14:cfRule type="dataBar" id="{EAD96A71-0B42-004F-952C-88BAB4737EF1}">
            <x14:dataBar minLength="0" maxLength="100" border="1" negativeBarBorderColorSameAsPositive="0">
              <x14:cfvo type="autoMin"/>
              <x14:cfvo type="autoMax"/>
              <x14:borderColor rgb="FF638EC6"/>
              <x14:negativeFillColor rgb="FFFF0000"/>
              <x14:negativeBorderColor rgb="FFFF0000"/>
              <x14:axisColor rgb="FF000000"/>
            </x14:dataBar>
          </x14:cfRule>
          <xm:sqref>P1285:P1315</xm:sqref>
        </x14:conditionalFormatting>
        <x14:conditionalFormatting xmlns:xm="http://schemas.microsoft.com/office/excel/2006/main">
          <x14:cfRule type="dataBar" id="{BF894108-3AC5-E54C-8526-C936F7B680C2}">
            <x14:dataBar minLength="0" maxLength="100" border="1" negativeBarBorderColorSameAsPositive="0">
              <x14:cfvo type="autoMin"/>
              <x14:cfvo type="autoMax"/>
              <x14:borderColor rgb="FF638EC6"/>
              <x14:negativeFillColor rgb="FFFF0000"/>
              <x14:negativeBorderColor rgb="FFFF0000"/>
              <x14:axisColor rgb="FF000000"/>
            </x14:dataBar>
          </x14:cfRule>
          <xm:sqref>P1316:P1346</xm:sqref>
        </x14:conditionalFormatting>
        <x14:conditionalFormatting xmlns:xm="http://schemas.microsoft.com/office/excel/2006/main">
          <x14:cfRule type="dataBar" id="{EDD4DFA9-3862-0E4F-AE26-AC27CDDFCEF5}">
            <x14:dataBar minLength="0" maxLength="100" border="1" negativeBarBorderColorSameAsPositive="0">
              <x14:cfvo type="autoMin"/>
              <x14:cfvo type="autoMax"/>
              <x14:borderColor rgb="FF638EC6"/>
              <x14:negativeFillColor rgb="FFFF0000"/>
              <x14:negativeBorderColor rgb="FFFF0000"/>
              <x14:axisColor rgb="FF000000"/>
            </x14:dataBar>
          </x14:cfRule>
          <xm:sqref>P1347:P1377</xm:sqref>
        </x14:conditionalFormatting>
        <x14:conditionalFormatting xmlns:xm="http://schemas.microsoft.com/office/excel/2006/main">
          <x14:cfRule type="dataBar" id="{B9680934-9C9A-7A40-83EB-C89FC24748A9}">
            <x14:dataBar minLength="0" maxLength="100" border="1" negativeBarBorderColorSameAsPositive="0">
              <x14:cfvo type="autoMin"/>
              <x14:cfvo type="autoMax"/>
              <x14:borderColor rgb="FF638EC6"/>
              <x14:negativeFillColor rgb="FFFF0000"/>
              <x14:negativeBorderColor rgb="FFFF0000"/>
              <x14:axisColor rgb="FF000000"/>
            </x14:dataBar>
          </x14:cfRule>
          <xm:sqref>P1378:P1408</xm:sqref>
        </x14:conditionalFormatting>
        <x14:conditionalFormatting xmlns:xm="http://schemas.microsoft.com/office/excel/2006/main">
          <x14:cfRule type="dataBar" id="{DD6067B0-82AF-A04A-87F9-D5F8679CFE44}">
            <x14:dataBar minLength="0" maxLength="100" border="1" negativeBarBorderColorSameAsPositive="0">
              <x14:cfvo type="autoMin"/>
              <x14:cfvo type="autoMax"/>
              <x14:borderColor rgb="FF638EC6"/>
              <x14:negativeFillColor rgb="FFFF0000"/>
              <x14:negativeBorderColor rgb="FFFF0000"/>
              <x14:axisColor rgb="FF000000"/>
            </x14:dataBar>
          </x14:cfRule>
          <xm:sqref>P1409:P1439</xm:sqref>
        </x14:conditionalFormatting>
        <x14:conditionalFormatting xmlns:xm="http://schemas.microsoft.com/office/excel/2006/main">
          <x14:cfRule type="dataBar" id="{C383EA15-9769-F046-9E4C-54FB832F5209}">
            <x14:dataBar minLength="0" maxLength="100" border="1" negativeBarBorderColorSameAsPositive="0">
              <x14:cfvo type="autoMin"/>
              <x14:cfvo type="autoMax"/>
              <x14:borderColor rgb="FF638EC6"/>
              <x14:negativeFillColor rgb="FFFF0000"/>
              <x14:negativeBorderColor rgb="FFFF0000"/>
              <x14:axisColor rgb="FF000000"/>
            </x14:dataBar>
          </x14:cfRule>
          <xm:sqref>P1440:P1470</xm:sqref>
        </x14:conditionalFormatting>
        <x14:conditionalFormatting xmlns:xm="http://schemas.microsoft.com/office/excel/2006/main">
          <x14:cfRule type="dataBar" id="{2CE87435-225B-C840-9097-E35BE94131C2}">
            <x14:dataBar minLength="0" maxLength="100" border="1" negativeBarBorderColorSameAsPositive="0">
              <x14:cfvo type="autoMin"/>
              <x14:cfvo type="autoMax"/>
              <x14:borderColor rgb="FF638EC6"/>
              <x14:negativeFillColor rgb="FFFF0000"/>
              <x14:negativeBorderColor rgb="FFFF0000"/>
              <x14:axisColor rgb="FF000000"/>
            </x14:dataBar>
          </x14:cfRule>
          <xm:sqref>P1471:P1501</xm:sqref>
        </x14:conditionalFormatting>
        <x14:conditionalFormatting xmlns:xm="http://schemas.microsoft.com/office/excel/2006/main">
          <x14:cfRule type="dataBar" id="{EC1DEBA6-532F-F448-934F-0A3032839893}">
            <x14:dataBar minLength="0" maxLength="100" border="1" negativeBarBorderColorSameAsPositive="0">
              <x14:cfvo type="autoMin"/>
              <x14:cfvo type="autoMax"/>
              <x14:borderColor rgb="FF638EC6"/>
              <x14:negativeFillColor rgb="FFFF0000"/>
              <x14:negativeBorderColor rgb="FFFF0000"/>
              <x14:axisColor rgb="FF000000"/>
            </x14:dataBar>
          </x14:cfRule>
          <xm:sqref>P1502:P1532</xm:sqref>
        </x14:conditionalFormatting>
        <x14:conditionalFormatting xmlns:xm="http://schemas.microsoft.com/office/excel/2006/main">
          <x14:cfRule type="dataBar" id="{D21A582F-9960-D140-8B50-7F8567CAD24C}">
            <x14:dataBar minLength="0" maxLength="100" border="1" negativeBarBorderColorSameAsPositive="0">
              <x14:cfvo type="autoMin"/>
              <x14:cfvo type="autoMax"/>
              <x14:borderColor rgb="FF638EC6"/>
              <x14:negativeFillColor rgb="FFFF0000"/>
              <x14:negativeBorderColor rgb="FFFF0000"/>
              <x14:axisColor rgb="FF000000"/>
            </x14:dataBar>
          </x14:cfRule>
          <xm:sqref>P1533:P1563</xm:sqref>
        </x14:conditionalFormatting>
        <x14:conditionalFormatting xmlns:xm="http://schemas.microsoft.com/office/excel/2006/main">
          <x14:cfRule type="dataBar" id="{56A2B915-9F5D-674E-8EEA-B1DFB1B801C4}">
            <x14:dataBar minLength="0" maxLength="100" border="1" negativeBarBorderColorSameAsPositive="0">
              <x14:cfvo type="autoMin"/>
              <x14:cfvo type="autoMax"/>
              <x14:borderColor rgb="FF638EC6"/>
              <x14:negativeFillColor rgb="FFFF0000"/>
              <x14:negativeBorderColor rgb="FFFF0000"/>
              <x14:axisColor rgb="FF000000"/>
            </x14:dataBar>
          </x14:cfRule>
          <xm:sqref>P1564:P1594</xm:sqref>
        </x14:conditionalFormatting>
        <x14:conditionalFormatting xmlns:xm="http://schemas.microsoft.com/office/excel/2006/main">
          <x14:cfRule type="dataBar" id="{0A48235F-7493-204F-AA8F-B270D3AF531D}">
            <x14:dataBar minLength="0" maxLength="100" border="1" negativeBarBorderColorSameAsPositive="0">
              <x14:cfvo type="autoMin"/>
              <x14:cfvo type="autoMax"/>
              <x14:borderColor rgb="FF638EC6"/>
              <x14:negativeFillColor rgb="FFFF0000"/>
              <x14:negativeBorderColor rgb="FFFF0000"/>
              <x14:axisColor rgb="FF000000"/>
            </x14:dataBar>
          </x14:cfRule>
          <xm:sqref>P1595:P1625</xm:sqref>
        </x14:conditionalFormatting>
        <x14:conditionalFormatting xmlns:xm="http://schemas.microsoft.com/office/excel/2006/main">
          <x14:cfRule type="dataBar" id="{19BEAA39-F448-D34B-82F5-A3301286229C}">
            <x14:dataBar minLength="0" maxLength="100" border="1" negativeBarBorderColorSameAsPositive="0">
              <x14:cfvo type="autoMin"/>
              <x14:cfvo type="autoMax"/>
              <x14:borderColor rgb="FF638EC6"/>
              <x14:negativeFillColor rgb="FFFF0000"/>
              <x14:negativeBorderColor rgb="FFFF0000"/>
              <x14:axisColor rgb="FF000000"/>
            </x14:dataBar>
          </x14:cfRule>
          <xm:sqref>P1626:P1656</xm:sqref>
        </x14:conditionalFormatting>
        <x14:conditionalFormatting xmlns:xm="http://schemas.microsoft.com/office/excel/2006/main">
          <x14:cfRule type="dataBar" id="{F9546B7C-77F7-4140-A585-7C404163746E}">
            <x14:dataBar minLength="0" maxLength="100" border="1" negativeBarBorderColorSameAsPositive="0">
              <x14:cfvo type="autoMin"/>
              <x14:cfvo type="autoMax"/>
              <x14:borderColor rgb="FF638EC6"/>
              <x14:negativeFillColor rgb="FFFF0000"/>
              <x14:negativeBorderColor rgb="FFFF0000"/>
              <x14:axisColor rgb="FF000000"/>
            </x14:dataBar>
          </x14:cfRule>
          <xm:sqref>P1843:P1873</xm:sqref>
        </x14:conditionalFormatting>
        <x14:conditionalFormatting xmlns:xm="http://schemas.microsoft.com/office/excel/2006/main">
          <x14:cfRule type="dataBar" id="{51BC046F-1B37-7D43-93C6-E7A5EC537676}">
            <x14:dataBar minLength="0" maxLength="100" border="1" negativeBarBorderColorSameAsPositive="0">
              <x14:cfvo type="autoMin"/>
              <x14:cfvo type="autoMax"/>
              <x14:borderColor rgb="FF638EC6"/>
              <x14:negativeFillColor rgb="FFFF0000"/>
              <x14:negativeBorderColor rgb="FFFF0000"/>
              <x14:axisColor rgb="FF000000"/>
            </x14:dataBar>
          </x14:cfRule>
          <xm:sqref>P1874:P1904</xm:sqref>
        </x14:conditionalFormatting>
        <x14:conditionalFormatting xmlns:xm="http://schemas.microsoft.com/office/excel/2006/main">
          <x14:cfRule type="dataBar" id="{738528FD-642F-B040-AA62-F8B84EA7318D}">
            <x14:dataBar minLength="0" maxLength="100" border="1" negativeBarBorderColorSameAsPositive="0">
              <x14:cfvo type="autoMin"/>
              <x14:cfvo type="autoMax"/>
              <x14:borderColor rgb="FF638EC6"/>
              <x14:negativeFillColor rgb="FFFF0000"/>
              <x14:negativeBorderColor rgb="FFFF0000"/>
              <x14:axisColor rgb="FF000000"/>
            </x14:dataBar>
          </x14:cfRule>
          <xm:sqref>P1905:P1935</xm:sqref>
        </x14:conditionalFormatting>
        <x14:conditionalFormatting xmlns:xm="http://schemas.microsoft.com/office/excel/2006/main">
          <x14:cfRule type="dataBar" id="{509BE2FD-C152-2842-BB6E-C2E359B25FF6}">
            <x14:dataBar minLength="0" maxLength="100" border="1" negativeBarBorderColorSameAsPositive="0">
              <x14:cfvo type="autoMin"/>
              <x14:cfvo type="autoMax"/>
              <x14:borderColor rgb="FF638EC6"/>
              <x14:negativeFillColor rgb="FFFF0000"/>
              <x14:negativeBorderColor rgb="FFFF0000"/>
              <x14:axisColor rgb="FF000000"/>
            </x14:dataBar>
          </x14:cfRule>
          <xm:sqref>P1936:P1966</xm:sqref>
        </x14:conditionalFormatting>
        <x14:conditionalFormatting xmlns:xm="http://schemas.microsoft.com/office/excel/2006/main">
          <x14:cfRule type="dataBar" id="{CBBB4577-A9DF-2E41-885F-45E5B24EF1B1}">
            <x14:dataBar minLength="0" maxLength="100" border="1" negativeBarBorderColorSameAsPositive="0">
              <x14:cfvo type="autoMin"/>
              <x14:cfvo type="autoMax"/>
              <x14:borderColor rgb="FF638EC6"/>
              <x14:negativeFillColor rgb="FFFF0000"/>
              <x14:negativeBorderColor rgb="FFFF0000"/>
              <x14:axisColor rgb="FF000000"/>
            </x14:dataBar>
          </x14:cfRule>
          <xm:sqref>P1967:P1997</xm:sqref>
        </x14:conditionalFormatting>
        <x14:conditionalFormatting xmlns:xm="http://schemas.microsoft.com/office/excel/2006/main">
          <x14:cfRule type="dataBar" id="{84D1A010-25CA-824B-9861-7045DEA1FB21}">
            <x14:dataBar minLength="0" maxLength="100" border="1" negativeBarBorderColorSameAsPositive="0">
              <x14:cfvo type="autoMin"/>
              <x14:cfvo type="autoMax"/>
              <x14:borderColor rgb="FF638EC6"/>
              <x14:negativeFillColor rgb="FFFF0000"/>
              <x14:negativeBorderColor rgb="FFFF0000"/>
              <x14:axisColor rgb="FF000000"/>
            </x14:dataBar>
          </x14:cfRule>
          <xm:sqref>P1998:P2028</xm:sqref>
        </x14:conditionalFormatting>
        <x14:conditionalFormatting xmlns:xm="http://schemas.microsoft.com/office/excel/2006/main">
          <x14:cfRule type="dataBar" id="{3B584909-70E6-644C-897F-C97E6054817B}">
            <x14:dataBar minLength="0" maxLength="100" border="1" negativeBarBorderColorSameAsPositive="0">
              <x14:cfvo type="autoMin"/>
              <x14:cfvo type="autoMax"/>
              <x14:borderColor rgb="FF638EC6"/>
              <x14:negativeFillColor rgb="FFFF0000"/>
              <x14:negativeBorderColor rgb="FFFF0000"/>
              <x14:axisColor rgb="FF000000"/>
            </x14:dataBar>
          </x14:cfRule>
          <xm:sqref>P2029:P2059</xm:sqref>
        </x14:conditionalFormatting>
        <x14:conditionalFormatting xmlns:xm="http://schemas.microsoft.com/office/excel/2006/main">
          <x14:cfRule type="dataBar" id="{C4AF8F41-CEDA-084C-B5ED-85923E074C88}">
            <x14:dataBar minLength="0" maxLength="100" border="1" negativeBarBorderColorSameAsPositive="0">
              <x14:cfvo type="autoMin"/>
              <x14:cfvo type="autoMax"/>
              <x14:borderColor rgb="FF638EC6"/>
              <x14:negativeFillColor rgb="FFFF0000"/>
              <x14:negativeBorderColor rgb="FFFF0000"/>
              <x14:axisColor rgb="FF000000"/>
            </x14:dataBar>
          </x14:cfRule>
          <xm:sqref>P2060:P2090</xm:sqref>
        </x14:conditionalFormatting>
        <x14:conditionalFormatting xmlns:xm="http://schemas.microsoft.com/office/excel/2006/main">
          <x14:cfRule type="dataBar" id="{738408B1-5D51-9B45-A014-098D8A439830}">
            <x14:dataBar minLength="0" maxLength="100" border="1" negativeBarBorderColorSameAsPositive="0">
              <x14:cfvo type="autoMin"/>
              <x14:cfvo type="autoMax"/>
              <x14:borderColor rgb="FF638EC6"/>
              <x14:negativeFillColor rgb="FFFF0000"/>
              <x14:negativeBorderColor rgb="FFFF0000"/>
              <x14:axisColor rgb="FF000000"/>
            </x14:dataBar>
          </x14:cfRule>
          <xm:sqref>P2091:P2121</xm:sqref>
        </x14:conditionalFormatting>
        <x14:conditionalFormatting xmlns:xm="http://schemas.microsoft.com/office/excel/2006/main">
          <x14:cfRule type="dataBar" id="{6DA2AA5B-E48A-6144-B032-A88A67788247}">
            <x14:dataBar minLength="0" maxLength="100" border="1" negativeBarBorderColorSameAsPositive="0">
              <x14:cfvo type="autoMin"/>
              <x14:cfvo type="autoMax"/>
              <x14:borderColor rgb="FF638EC6"/>
              <x14:negativeFillColor rgb="FFFF0000"/>
              <x14:negativeBorderColor rgb="FFFF0000"/>
              <x14:axisColor rgb="FF000000"/>
            </x14:dataBar>
          </x14:cfRule>
          <xm:sqref>P2122:P2152</xm:sqref>
        </x14:conditionalFormatting>
        <x14:conditionalFormatting xmlns:xm="http://schemas.microsoft.com/office/excel/2006/main">
          <x14:cfRule type="dataBar" id="{A9EF93CB-DB8C-8648-9F7F-2D62A6E520B5}">
            <x14:dataBar minLength="0" maxLength="100" border="1" negativeBarBorderColorSameAsPositive="0">
              <x14:cfvo type="autoMin"/>
              <x14:cfvo type="autoMax"/>
              <x14:borderColor rgb="FF638EC6"/>
              <x14:negativeFillColor rgb="FFFF0000"/>
              <x14:negativeBorderColor rgb="FFFF0000"/>
              <x14:axisColor rgb="FF000000"/>
            </x14:dataBar>
          </x14:cfRule>
          <xm:sqref>P2153:P2183</xm:sqref>
        </x14:conditionalFormatting>
        <x14:conditionalFormatting xmlns:xm="http://schemas.microsoft.com/office/excel/2006/main">
          <x14:cfRule type="dataBar" id="{7DE4455B-91EF-4543-9117-96B59AEC987C}">
            <x14:dataBar minLength="0" maxLength="100" border="1" negativeBarBorderColorSameAsPositive="0">
              <x14:cfvo type="autoMin"/>
              <x14:cfvo type="autoMax"/>
              <x14:borderColor rgb="FF638EC6"/>
              <x14:negativeFillColor rgb="FFFF0000"/>
              <x14:negativeBorderColor rgb="FFFF0000"/>
              <x14:axisColor rgb="FF000000"/>
            </x14:dataBar>
          </x14:cfRule>
          <xm:sqref>P2184:P2214</xm:sqref>
        </x14:conditionalFormatting>
        <x14:conditionalFormatting xmlns:xm="http://schemas.microsoft.com/office/excel/2006/main">
          <x14:cfRule type="dataBar" id="{71817A30-EA5C-C24B-90BB-34009CDB385E}">
            <x14:dataBar minLength="0" maxLength="100" border="1" negativeBarBorderColorSameAsPositive="0">
              <x14:cfvo type="autoMin"/>
              <x14:cfvo type="autoMax"/>
              <x14:borderColor rgb="FF638EC6"/>
              <x14:negativeFillColor rgb="FFFF0000"/>
              <x14:negativeBorderColor rgb="FFFF0000"/>
              <x14:axisColor rgb="FF000000"/>
            </x14:dataBar>
          </x14:cfRule>
          <xm:sqref>P2215:P2245</xm:sqref>
        </x14:conditionalFormatting>
        <x14:conditionalFormatting xmlns:xm="http://schemas.microsoft.com/office/excel/2006/main">
          <x14:cfRule type="dataBar" id="{D3A6DE7A-AFCF-E042-8BA4-AC31692B6A68}">
            <x14:dataBar minLength="0" maxLength="100" border="1" negativeBarBorderColorSameAsPositive="0">
              <x14:cfvo type="autoMin"/>
              <x14:cfvo type="autoMax"/>
              <x14:borderColor rgb="FF638EC6"/>
              <x14:negativeFillColor rgb="FFFF0000"/>
              <x14:negativeBorderColor rgb="FFFF0000"/>
              <x14:axisColor rgb="FF000000"/>
            </x14:dataBar>
          </x14:cfRule>
          <xm:sqref>P2246:P2276</xm:sqref>
        </x14:conditionalFormatting>
        <x14:conditionalFormatting xmlns:xm="http://schemas.microsoft.com/office/excel/2006/main">
          <x14:cfRule type="dataBar" id="{02B2A189-F4CA-1B4E-BC8D-484564E16CDC}">
            <x14:dataBar minLength="0" maxLength="100" border="1" negativeBarBorderColorSameAsPositive="0">
              <x14:cfvo type="autoMin"/>
              <x14:cfvo type="autoMax"/>
              <x14:borderColor rgb="FF638EC6"/>
              <x14:negativeFillColor rgb="FFFF0000"/>
              <x14:negativeBorderColor rgb="FFFF0000"/>
              <x14:axisColor rgb="FF000000"/>
            </x14:dataBar>
          </x14:cfRule>
          <xm:sqref>P2277:P2307</xm:sqref>
        </x14:conditionalFormatting>
        <x14:conditionalFormatting xmlns:xm="http://schemas.microsoft.com/office/excel/2006/main">
          <x14:cfRule type="dataBar" id="{DC33DE72-2396-9F4F-BB6C-C5E18463D4D8}">
            <x14:dataBar minLength="0" maxLength="100" border="1" negativeBarBorderColorSameAsPositive="0">
              <x14:cfvo type="autoMin"/>
              <x14:cfvo type="autoMax"/>
              <x14:borderColor rgb="FF638EC6"/>
              <x14:negativeFillColor rgb="FFFF0000"/>
              <x14:negativeBorderColor rgb="FFFF0000"/>
              <x14:axisColor rgb="FF000000"/>
            </x14:dataBar>
          </x14:cfRule>
          <xm:sqref>P2308:P2338</xm:sqref>
        </x14:conditionalFormatting>
        <x14:conditionalFormatting xmlns:xm="http://schemas.microsoft.com/office/excel/2006/main">
          <x14:cfRule type="dataBar" id="{8F450F06-3B69-604E-ACAB-206052E5D5C8}">
            <x14:dataBar minLength="0" maxLength="100" border="1" negativeBarBorderColorSameAsPositive="0">
              <x14:cfvo type="autoMin"/>
              <x14:cfvo type="autoMax"/>
              <x14:borderColor rgb="FF638EC6"/>
              <x14:negativeFillColor rgb="FFFF0000"/>
              <x14:negativeBorderColor rgb="FFFF0000"/>
              <x14:axisColor rgb="FF000000"/>
            </x14:dataBar>
          </x14:cfRule>
          <xm:sqref>P2339:P2368</xm:sqref>
        </x14:conditionalFormatting>
        <x14:conditionalFormatting xmlns:xm="http://schemas.microsoft.com/office/excel/2006/main">
          <x14:cfRule type="dataBar" id="{42D6E964-8619-494D-A21E-9E8A6B65997A}">
            <x14:dataBar minLength="0" maxLength="100" border="1" negativeBarBorderColorSameAsPositive="0">
              <x14:cfvo type="autoMin"/>
              <x14:cfvo type="autoMax"/>
              <x14:borderColor rgb="FF638EC6"/>
              <x14:negativeFillColor rgb="FFFF0000"/>
              <x14:negativeBorderColor rgb="FFFF0000"/>
              <x14:axisColor rgb="FF000000"/>
            </x14:dataBar>
          </x14:cfRule>
          <xm:sqref>P2369:P2398</xm:sqref>
        </x14:conditionalFormatting>
        <x14:conditionalFormatting xmlns:xm="http://schemas.microsoft.com/office/excel/2006/main">
          <x14:cfRule type="dataBar" id="{0BB1C67D-F6D0-7B42-9C0E-9C07AAC08C0D}">
            <x14:dataBar minLength="0" maxLength="100" border="1" negativeBarBorderColorSameAsPositive="0">
              <x14:cfvo type="autoMin"/>
              <x14:cfvo type="autoMax"/>
              <x14:borderColor rgb="FF638EC6"/>
              <x14:negativeFillColor rgb="FFFF0000"/>
              <x14:negativeBorderColor rgb="FFFF0000"/>
              <x14:axisColor rgb="FF000000"/>
            </x14:dataBar>
          </x14:cfRule>
          <xm:sqref>P2399:P2428</xm:sqref>
        </x14:conditionalFormatting>
        <x14:conditionalFormatting xmlns:xm="http://schemas.microsoft.com/office/excel/2006/main">
          <x14:cfRule type="dataBar" id="{3CEEE984-A143-B247-96F9-97FEB1564B7A}">
            <x14:dataBar minLength="0" maxLength="100" border="1" negativeBarBorderColorSameAsPositive="0">
              <x14:cfvo type="autoMin"/>
              <x14:cfvo type="autoMax"/>
              <x14:borderColor rgb="FF638EC6"/>
              <x14:negativeFillColor rgb="FFFF0000"/>
              <x14:negativeBorderColor rgb="FFFF0000"/>
              <x14:axisColor rgb="FF000000"/>
            </x14:dataBar>
          </x14:cfRule>
          <xm:sqref>P2429:P2458</xm:sqref>
        </x14:conditionalFormatting>
        <x14:conditionalFormatting xmlns:xm="http://schemas.microsoft.com/office/excel/2006/main">
          <x14:cfRule type="dataBar" id="{7B3D167D-3096-924D-955E-3CA94DE6FA05}">
            <x14:dataBar minLength="0" maxLength="100" border="1" negativeBarBorderColorSameAsPositive="0">
              <x14:cfvo type="autoMin"/>
              <x14:cfvo type="autoMax"/>
              <x14:borderColor rgb="FF638EC6"/>
              <x14:negativeFillColor rgb="FFFF0000"/>
              <x14:negativeBorderColor rgb="FFFF0000"/>
              <x14:axisColor rgb="FF000000"/>
            </x14:dataBar>
          </x14:cfRule>
          <xm:sqref>P2459:P2488</xm:sqref>
        </x14:conditionalFormatting>
        <x14:conditionalFormatting xmlns:xm="http://schemas.microsoft.com/office/excel/2006/main">
          <x14:cfRule type="dataBar" id="{6B8E5ECD-1EBF-8343-8BB8-B58E1DF5EF13}">
            <x14:dataBar minLength="0" maxLength="100" border="1" negativeBarBorderColorSameAsPositive="0">
              <x14:cfvo type="autoMin"/>
              <x14:cfvo type="autoMax"/>
              <x14:borderColor rgb="FF638EC6"/>
              <x14:negativeFillColor rgb="FFFF0000"/>
              <x14:negativeBorderColor rgb="FFFF0000"/>
              <x14:axisColor rgb="FF000000"/>
            </x14:dataBar>
          </x14:cfRule>
          <xm:sqref>P2489:P2518</xm:sqref>
        </x14:conditionalFormatting>
        <x14:conditionalFormatting xmlns:xm="http://schemas.microsoft.com/office/excel/2006/main">
          <x14:cfRule type="dataBar" id="{4C255B74-9B50-9F4A-BE7B-BDAB4F3F8519}">
            <x14:dataBar minLength="0" maxLength="100" border="1" negativeBarBorderColorSameAsPositive="0">
              <x14:cfvo type="autoMin"/>
              <x14:cfvo type="autoMax"/>
              <x14:borderColor rgb="FF638EC6"/>
              <x14:negativeFillColor rgb="FFFF0000"/>
              <x14:negativeBorderColor rgb="FFFF0000"/>
              <x14:axisColor rgb="FF000000"/>
            </x14:dataBar>
          </x14:cfRule>
          <xm:sqref>P2519:P2548</xm:sqref>
        </x14:conditionalFormatting>
        <x14:conditionalFormatting xmlns:xm="http://schemas.microsoft.com/office/excel/2006/main">
          <x14:cfRule type="dataBar" id="{820FC70D-0685-594E-A5D4-E8C5C8D0931F}">
            <x14:dataBar minLength="0" maxLength="100" border="1" negativeBarBorderColorSameAsPositive="0">
              <x14:cfvo type="autoMin"/>
              <x14:cfvo type="autoMax"/>
              <x14:borderColor rgb="FF638EC6"/>
              <x14:negativeFillColor rgb="FFFF0000"/>
              <x14:negativeBorderColor rgb="FFFF0000"/>
              <x14:axisColor rgb="FF000000"/>
            </x14:dataBar>
          </x14:cfRule>
          <xm:sqref>P2549:P2578</xm:sqref>
        </x14:conditionalFormatting>
        <x14:conditionalFormatting xmlns:xm="http://schemas.microsoft.com/office/excel/2006/main">
          <x14:cfRule type="dataBar" id="{E6DE491D-F044-AB4E-804F-ED461F09FF86}">
            <x14:dataBar minLength="0" maxLength="100" border="1" negativeBarBorderColorSameAsPositive="0">
              <x14:cfvo type="autoMin"/>
              <x14:cfvo type="autoMax"/>
              <x14:borderColor rgb="FF638EC6"/>
              <x14:negativeFillColor rgb="FFFF0000"/>
              <x14:negativeBorderColor rgb="FFFF0000"/>
              <x14:axisColor rgb="FF000000"/>
            </x14:dataBar>
          </x14:cfRule>
          <xm:sqref>P2579:P2608</xm:sqref>
        </x14:conditionalFormatting>
        <x14:conditionalFormatting xmlns:xm="http://schemas.microsoft.com/office/excel/2006/main">
          <x14:cfRule type="dataBar" id="{B5A2EB76-1D61-F045-BCE0-1708F4568D6F}">
            <x14:dataBar minLength="0" maxLength="100" border="1" negativeBarBorderColorSameAsPositive="0">
              <x14:cfvo type="autoMin"/>
              <x14:cfvo type="autoMax"/>
              <x14:borderColor rgb="FF638EC6"/>
              <x14:negativeFillColor rgb="FFFF0000"/>
              <x14:negativeBorderColor rgb="FFFF0000"/>
              <x14:axisColor rgb="FF000000"/>
            </x14:dataBar>
          </x14:cfRule>
          <xm:sqref>P2609:P2638</xm:sqref>
        </x14:conditionalFormatting>
        <x14:conditionalFormatting xmlns:xm="http://schemas.microsoft.com/office/excel/2006/main">
          <x14:cfRule type="dataBar" id="{8924EBB9-2AE3-D940-A4D2-A87F49BBCE35}">
            <x14:dataBar minLength="0" maxLength="100" border="1" negativeBarBorderColorSameAsPositive="0">
              <x14:cfvo type="autoMin"/>
              <x14:cfvo type="autoMax"/>
              <x14:borderColor rgb="FF638EC6"/>
              <x14:negativeFillColor rgb="FFFF0000"/>
              <x14:negativeBorderColor rgb="FFFF0000"/>
              <x14:axisColor rgb="FF000000"/>
            </x14:dataBar>
          </x14:cfRule>
          <xm:sqref>P2639:P2668</xm:sqref>
        </x14:conditionalFormatting>
        <x14:conditionalFormatting xmlns:xm="http://schemas.microsoft.com/office/excel/2006/main">
          <x14:cfRule type="dataBar" id="{A7729490-FF06-B040-A48F-AAA45FDAD5A8}">
            <x14:dataBar minLength="0" maxLength="100" border="1" negativeBarBorderColorSameAsPositive="0">
              <x14:cfvo type="autoMin"/>
              <x14:cfvo type="autoMax"/>
              <x14:borderColor rgb="FF638EC6"/>
              <x14:negativeFillColor rgb="FFFF0000"/>
              <x14:negativeBorderColor rgb="FFFF0000"/>
              <x14:axisColor rgb="FF000000"/>
            </x14:dataBar>
          </x14:cfRule>
          <xm:sqref>P2669:P2698</xm:sqref>
        </x14:conditionalFormatting>
        <x14:conditionalFormatting xmlns:xm="http://schemas.microsoft.com/office/excel/2006/main">
          <x14:cfRule type="dataBar" id="{B9A8F5F9-AC0A-8441-82A4-3D935C3B6E30}">
            <x14:dataBar minLength="0" maxLength="100" border="1" negativeBarBorderColorSameAsPositive="0">
              <x14:cfvo type="autoMin"/>
              <x14:cfvo type="autoMax"/>
              <x14:borderColor rgb="FF638EC6"/>
              <x14:negativeFillColor rgb="FFFF0000"/>
              <x14:negativeBorderColor rgb="FFFF0000"/>
              <x14:axisColor rgb="FF000000"/>
            </x14:dataBar>
          </x14:cfRule>
          <xm:sqref>P2699:P2728</xm:sqref>
        </x14:conditionalFormatting>
        <x14:conditionalFormatting xmlns:xm="http://schemas.microsoft.com/office/excel/2006/main">
          <x14:cfRule type="dataBar" id="{82D23A4E-485F-A748-9C0E-0012DC4901F6}">
            <x14:dataBar minLength="0" maxLength="100" border="1" negativeBarBorderColorSameAsPositive="0">
              <x14:cfvo type="autoMin"/>
              <x14:cfvo type="autoMax"/>
              <x14:borderColor rgb="FF638EC6"/>
              <x14:negativeFillColor rgb="FFFF0000"/>
              <x14:negativeBorderColor rgb="FFFF0000"/>
              <x14:axisColor rgb="FF000000"/>
            </x14:dataBar>
          </x14:cfRule>
          <xm:sqref>P2729:P2758</xm:sqref>
        </x14:conditionalFormatting>
        <x14:conditionalFormatting xmlns:xm="http://schemas.microsoft.com/office/excel/2006/main">
          <x14:cfRule type="dataBar" id="{8FF232FB-05CA-AD4C-8027-53F004E25511}">
            <x14:dataBar minLength="0" maxLength="100" border="1" negativeBarBorderColorSameAsPositive="0">
              <x14:cfvo type="autoMin"/>
              <x14:cfvo type="autoMax"/>
              <x14:borderColor rgb="FF638EC6"/>
              <x14:negativeFillColor rgb="FFFF0000"/>
              <x14:negativeBorderColor rgb="FFFF0000"/>
              <x14:axisColor rgb="FF000000"/>
            </x14:dataBar>
          </x14:cfRule>
          <xm:sqref>P2759:P2788</xm:sqref>
        </x14:conditionalFormatting>
        <x14:conditionalFormatting xmlns:xm="http://schemas.microsoft.com/office/excel/2006/main">
          <x14:cfRule type="dataBar" id="{554D04DB-D95B-6245-8D0E-D5D967A80EA4}">
            <x14:dataBar minLength="0" maxLength="100" border="1" negativeBarBorderColorSameAsPositive="0">
              <x14:cfvo type="autoMin"/>
              <x14:cfvo type="autoMax"/>
              <x14:borderColor rgb="FF638EC6"/>
              <x14:negativeFillColor rgb="FFFF0000"/>
              <x14:negativeBorderColor rgb="FFFF0000"/>
              <x14:axisColor rgb="FF000000"/>
            </x14:dataBar>
          </x14:cfRule>
          <xm:sqref>P2789:P2818</xm:sqref>
        </x14:conditionalFormatting>
        <x14:conditionalFormatting xmlns:xm="http://schemas.microsoft.com/office/excel/2006/main">
          <x14:cfRule type="dataBar" id="{92B22783-2201-9843-BFFB-B4CE3354FEE1}">
            <x14:dataBar minLength="0" maxLength="100" border="1" negativeBarBorderColorSameAsPositive="0">
              <x14:cfvo type="autoMin"/>
              <x14:cfvo type="autoMax"/>
              <x14:borderColor rgb="FF638EC6"/>
              <x14:negativeFillColor rgb="FFFF0000"/>
              <x14:negativeBorderColor rgb="FFFF0000"/>
              <x14:axisColor rgb="FF000000"/>
            </x14:dataBar>
          </x14:cfRule>
          <xm:sqref>P2819:P2848</xm:sqref>
        </x14:conditionalFormatting>
        <x14:conditionalFormatting xmlns:xm="http://schemas.microsoft.com/office/excel/2006/main">
          <x14:cfRule type="dataBar" id="{6FB86137-7427-284E-A1C1-3646F6A686FE}">
            <x14:dataBar minLength="0" maxLength="100" border="1" negativeBarBorderColorSameAsPositive="0">
              <x14:cfvo type="autoMin"/>
              <x14:cfvo type="autoMax"/>
              <x14:borderColor rgb="FF638EC6"/>
              <x14:negativeFillColor rgb="FFFF0000"/>
              <x14:negativeBorderColor rgb="FFFF0000"/>
              <x14:axisColor rgb="FF000000"/>
            </x14:dataBar>
          </x14:cfRule>
          <xm:sqref>P2849:P2878</xm:sqref>
        </x14:conditionalFormatting>
        <x14:conditionalFormatting xmlns:xm="http://schemas.microsoft.com/office/excel/2006/main">
          <x14:cfRule type="dataBar" id="{8767BFF8-A7F0-4E44-AF82-104C6C7A81F5}">
            <x14:dataBar minLength="0" maxLength="100" border="1" negativeBarBorderColorSameAsPositive="0">
              <x14:cfvo type="autoMin"/>
              <x14:cfvo type="autoMax"/>
              <x14:borderColor rgb="FF638EC6"/>
              <x14:negativeFillColor rgb="FFFF0000"/>
              <x14:negativeBorderColor rgb="FFFF0000"/>
              <x14:axisColor rgb="FF000000"/>
            </x14:dataBar>
          </x14:cfRule>
          <xm:sqref>P2879:P2908</xm:sqref>
        </x14:conditionalFormatting>
        <x14:conditionalFormatting xmlns:xm="http://schemas.microsoft.com/office/excel/2006/main">
          <x14:cfRule type="dataBar" id="{65EA11FB-33D7-4F45-8F32-8D3777358BBC}">
            <x14:dataBar minLength="0" maxLength="100" border="1" negativeBarBorderColorSameAsPositive="0">
              <x14:cfvo type="autoMin"/>
              <x14:cfvo type="autoMax"/>
              <x14:borderColor rgb="FF638EC6"/>
              <x14:negativeFillColor rgb="FFFF0000"/>
              <x14:negativeBorderColor rgb="FFFF0000"/>
              <x14:axisColor rgb="FF000000"/>
            </x14:dataBar>
          </x14:cfRule>
          <xm:sqref>P2909:P2938</xm:sqref>
        </x14:conditionalFormatting>
        <x14:conditionalFormatting xmlns:xm="http://schemas.microsoft.com/office/excel/2006/main">
          <x14:cfRule type="dataBar" id="{4D60561C-2E6F-B047-A99F-016E81FA50D0}">
            <x14:dataBar minLength="0" maxLength="100" border="1" negativeBarBorderColorSameAsPositive="0">
              <x14:cfvo type="autoMin"/>
              <x14:cfvo type="autoMax"/>
              <x14:borderColor rgb="FF638EC6"/>
              <x14:negativeFillColor rgb="FFFF0000"/>
              <x14:negativeBorderColor rgb="FFFF0000"/>
              <x14:axisColor rgb="FF000000"/>
            </x14:dataBar>
          </x14:cfRule>
          <xm:sqref>P2939:P2967</xm:sqref>
        </x14:conditionalFormatting>
        <x14:conditionalFormatting xmlns:xm="http://schemas.microsoft.com/office/excel/2006/main">
          <x14:cfRule type="dataBar" id="{7ABAC838-52C4-0B4D-B41F-6F2513EBE9CF}">
            <x14:dataBar minLength="0" maxLength="100" border="1" negativeBarBorderColorSameAsPositive="0">
              <x14:cfvo type="autoMin"/>
              <x14:cfvo type="autoMax"/>
              <x14:borderColor rgb="FF638EC6"/>
              <x14:negativeFillColor rgb="FFFF0000"/>
              <x14:negativeBorderColor rgb="FFFF0000"/>
              <x14:axisColor rgb="FF000000"/>
            </x14:dataBar>
          </x14:cfRule>
          <xm:sqref>P2968:P2997</xm:sqref>
        </x14:conditionalFormatting>
        <x14:conditionalFormatting xmlns:xm="http://schemas.microsoft.com/office/excel/2006/main">
          <x14:cfRule type="dataBar" id="{7BA3BE38-04FD-7F48-8214-DD79754859DE}">
            <x14:dataBar minLength="0" maxLength="100" border="1" negativeBarBorderColorSameAsPositive="0">
              <x14:cfvo type="autoMin"/>
              <x14:cfvo type="autoMax"/>
              <x14:borderColor rgb="FF638EC6"/>
              <x14:negativeFillColor rgb="FFFF0000"/>
              <x14:negativeBorderColor rgb="FFFF0000"/>
              <x14:axisColor rgb="FF000000"/>
            </x14:dataBar>
          </x14:cfRule>
          <xm:sqref>P2998:P3027</xm:sqref>
        </x14:conditionalFormatting>
        <x14:conditionalFormatting xmlns:xm="http://schemas.microsoft.com/office/excel/2006/main">
          <x14:cfRule type="dataBar" id="{CE312F53-7B6D-074A-89A1-11E250AB6180}">
            <x14:dataBar minLength="0" maxLength="100" border="1" negativeBarBorderColorSameAsPositive="0">
              <x14:cfvo type="autoMin"/>
              <x14:cfvo type="autoMax"/>
              <x14:borderColor rgb="FF638EC6"/>
              <x14:negativeFillColor rgb="FFFF0000"/>
              <x14:negativeBorderColor rgb="FFFF0000"/>
              <x14:axisColor rgb="FF000000"/>
            </x14:dataBar>
          </x14:cfRule>
          <xm:sqref>P3028:P3057</xm:sqref>
        </x14:conditionalFormatting>
        <x14:conditionalFormatting xmlns:xm="http://schemas.microsoft.com/office/excel/2006/main">
          <x14:cfRule type="dataBar" id="{246013D4-70AE-274B-80CA-2D9564778E4E}">
            <x14:dataBar minLength="0" maxLength="100" border="1" negativeBarBorderColorSameAsPositive="0">
              <x14:cfvo type="autoMin"/>
              <x14:cfvo type="autoMax"/>
              <x14:borderColor rgb="FF638EC6"/>
              <x14:negativeFillColor rgb="FFFF0000"/>
              <x14:negativeBorderColor rgb="FFFF0000"/>
              <x14:axisColor rgb="FF000000"/>
            </x14:dataBar>
          </x14:cfRule>
          <xm:sqref>P3058:P3087</xm:sqref>
        </x14:conditionalFormatting>
        <x14:conditionalFormatting xmlns:xm="http://schemas.microsoft.com/office/excel/2006/main">
          <x14:cfRule type="dataBar" id="{A7A69270-408F-7E47-8BC1-62D55E5D1AB1}">
            <x14:dataBar minLength="0" maxLength="100" border="1" negativeBarBorderColorSameAsPositive="0">
              <x14:cfvo type="autoMin"/>
              <x14:cfvo type="autoMax"/>
              <x14:borderColor rgb="FF638EC6"/>
              <x14:negativeFillColor rgb="FFFF0000"/>
              <x14:negativeBorderColor rgb="FFFF0000"/>
              <x14:axisColor rgb="FF000000"/>
            </x14:dataBar>
          </x14:cfRule>
          <xm:sqref>P3088:P3117</xm:sqref>
        </x14:conditionalFormatting>
        <x14:conditionalFormatting xmlns:xm="http://schemas.microsoft.com/office/excel/2006/main">
          <x14:cfRule type="dataBar" id="{06A902E0-8C11-CD4C-A994-58F1BBF78FC9}">
            <x14:dataBar minLength="0" maxLength="100" border="1" negativeBarBorderColorSameAsPositive="0">
              <x14:cfvo type="autoMin"/>
              <x14:cfvo type="autoMax"/>
              <x14:borderColor rgb="FF638EC6"/>
              <x14:negativeFillColor rgb="FFFF0000"/>
              <x14:negativeBorderColor rgb="FFFF0000"/>
              <x14:axisColor rgb="FF000000"/>
            </x14:dataBar>
          </x14:cfRule>
          <xm:sqref>P3118:P3147</xm:sqref>
        </x14:conditionalFormatting>
        <x14:conditionalFormatting xmlns:xm="http://schemas.microsoft.com/office/excel/2006/main">
          <x14:cfRule type="dataBar" id="{D2D48E6A-862D-7F42-B328-32B99F48FCEA}">
            <x14:dataBar minLength="0" maxLength="100" border="1" negativeBarBorderColorSameAsPositive="0">
              <x14:cfvo type="autoMin"/>
              <x14:cfvo type="autoMax"/>
              <x14:borderColor rgb="FF638EC6"/>
              <x14:negativeFillColor rgb="FFFF0000"/>
              <x14:negativeBorderColor rgb="FFFF0000"/>
              <x14:axisColor rgb="FF000000"/>
            </x14:dataBar>
          </x14:cfRule>
          <xm:sqref>P3148:P3177</xm:sqref>
        </x14:conditionalFormatting>
        <x14:conditionalFormatting xmlns:xm="http://schemas.microsoft.com/office/excel/2006/main">
          <x14:cfRule type="dataBar" id="{C4B94F98-8936-1440-B7BD-582285C16702}">
            <x14:dataBar minLength="0" maxLength="100" border="1" negativeBarBorderColorSameAsPositive="0">
              <x14:cfvo type="autoMin"/>
              <x14:cfvo type="autoMax"/>
              <x14:borderColor rgb="FF638EC6"/>
              <x14:negativeFillColor rgb="FFFF0000"/>
              <x14:negativeBorderColor rgb="FFFF0000"/>
              <x14:axisColor rgb="FF000000"/>
            </x14:dataBar>
          </x14:cfRule>
          <xm:sqref>P3178:P3207</xm:sqref>
        </x14:conditionalFormatting>
        <x14:conditionalFormatting xmlns:xm="http://schemas.microsoft.com/office/excel/2006/main">
          <x14:cfRule type="dataBar" id="{4DA5AD44-F1D0-C345-AB64-18A64A2B1358}">
            <x14:dataBar minLength="0" maxLength="100" border="1" negativeBarBorderColorSameAsPositive="0">
              <x14:cfvo type="autoMin"/>
              <x14:cfvo type="autoMax"/>
              <x14:borderColor rgb="FF638EC6"/>
              <x14:negativeFillColor rgb="FFFF0000"/>
              <x14:negativeBorderColor rgb="FFFF0000"/>
              <x14:axisColor rgb="FF000000"/>
            </x14:dataBar>
          </x14:cfRule>
          <xm:sqref>P3208:P3237</xm:sqref>
        </x14:conditionalFormatting>
        <x14:conditionalFormatting xmlns:xm="http://schemas.microsoft.com/office/excel/2006/main">
          <x14:cfRule type="dataBar" id="{E11E6A2C-1E41-304E-BE35-730F63057B9D}">
            <x14:dataBar minLength="0" maxLength="100" border="1" negativeBarBorderColorSameAsPositive="0">
              <x14:cfvo type="autoMin"/>
              <x14:cfvo type="autoMax"/>
              <x14:borderColor rgb="FF638EC6"/>
              <x14:negativeFillColor rgb="FFFF0000"/>
              <x14:negativeBorderColor rgb="FFFF0000"/>
              <x14:axisColor rgb="FF000000"/>
            </x14:dataBar>
          </x14:cfRule>
          <xm:sqref>P3238:P3267</xm:sqref>
        </x14:conditionalFormatting>
        <x14:conditionalFormatting xmlns:xm="http://schemas.microsoft.com/office/excel/2006/main">
          <x14:cfRule type="dataBar" id="{CF388C76-D03F-3F4D-AA0D-F67449CC341E}">
            <x14:dataBar minLength="0" maxLength="100" border="1" negativeBarBorderColorSameAsPositive="0">
              <x14:cfvo type="autoMin"/>
              <x14:cfvo type="autoMax"/>
              <x14:borderColor rgb="FF638EC6"/>
              <x14:negativeFillColor rgb="FFFF0000"/>
              <x14:negativeBorderColor rgb="FFFF0000"/>
              <x14:axisColor rgb="FF000000"/>
            </x14:dataBar>
          </x14:cfRule>
          <xm:sqref>P3268:P3297</xm:sqref>
        </x14:conditionalFormatting>
        <x14:conditionalFormatting xmlns:xm="http://schemas.microsoft.com/office/excel/2006/main">
          <x14:cfRule type="dataBar" id="{A4C88301-08A8-F840-958E-83CE8E1C8BFC}">
            <x14:dataBar minLength="0" maxLength="100" border="1" negativeBarBorderColorSameAsPositive="0">
              <x14:cfvo type="autoMin"/>
              <x14:cfvo type="autoMax"/>
              <x14:borderColor rgb="FF638EC6"/>
              <x14:negativeFillColor rgb="FFFF0000"/>
              <x14:negativeBorderColor rgb="FFFF0000"/>
              <x14:axisColor rgb="FF000000"/>
            </x14:dataBar>
          </x14:cfRule>
          <xm:sqref>P3298:P3327</xm:sqref>
        </x14:conditionalFormatting>
        <x14:conditionalFormatting xmlns:xm="http://schemas.microsoft.com/office/excel/2006/main">
          <x14:cfRule type="dataBar" id="{832BC759-B32C-3345-9998-484233207C4F}">
            <x14:dataBar minLength="0" maxLength="100" border="1" negativeBarBorderColorSameAsPositive="0">
              <x14:cfvo type="autoMin"/>
              <x14:cfvo type="autoMax"/>
              <x14:borderColor rgb="FF638EC6"/>
              <x14:negativeFillColor rgb="FFFF0000"/>
              <x14:negativeBorderColor rgb="FFFF0000"/>
              <x14:axisColor rgb="FF000000"/>
            </x14:dataBar>
          </x14:cfRule>
          <xm:sqref>P3328:P3358</xm:sqref>
        </x14:conditionalFormatting>
        <x14:conditionalFormatting xmlns:xm="http://schemas.microsoft.com/office/excel/2006/main">
          <x14:cfRule type="dataBar" id="{4C307DEF-9526-AA4B-AE85-1A6692A0CFF9}">
            <x14:dataBar minLength="0" maxLength="100" border="1" negativeBarBorderColorSameAsPositive="0">
              <x14:cfvo type="autoMin"/>
              <x14:cfvo type="autoMax"/>
              <x14:borderColor rgb="FF638EC6"/>
              <x14:negativeFillColor rgb="FFFF0000"/>
              <x14:negativeBorderColor rgb="FFFF0000"/>
              <x14:axisColor rgb="FF000000"/>
            </x14:dataBar>
          </x14:cfRule>
          <xm:sqref>P3359:P3389</xm:sqref>
        </x14:conditionalFormatting>
        <x14:conditionalFormatting xmlns:xm="http://schemas.microsoft.com/office/excel/2006/main">
          <x14:cfRule type="dataBar" id="{89C0ACCB-F102-F047-B6D7-4F643893045B}">
            <x14:dataBar minLength="0" maxLength="100" border="1" negativeBarBorderColorSameAsPositive="0">
              <x14:cfvo type="autoMin"/>
              <x14:cfvo type="autoMax"/>
              <x14:borderColor rgb="FF638EC6"/>
              <x14:negativeFillColor rgb="FFFF0000"/>
              <x14:negativeBorderColor rgb="FFFF0000"/>
              <x14:axisColor rgb="FF000000"/>
            </x14:dataBar>
          </x14:cfRule>
          <xm:sqref>P3390:P3420</xm:sqref>
        </x14:conditionalFormatting>
        <x14:conditionalFormatting xmlns:xm="http://schemas.microsoft.com/office/excel/2006/main">
          <x14:cfRule type="dataBar" id="{5B4D86A7-53CC-7946-BCA1-988D742E563D}">
            <x14:dataBar minLength="0" maxLength="100" border="1" negativeBarBorderColorSameAsPositive="0">
              <x14:cfvo type="autoMin"/>
              <x14:cfvo type="autoMax"/>
              <x14:borderColor rgb="FF638EC6"/>
              <x14:negativeFillColor rgb="FFFF0000"/>
              <x14:negativeBorderColor rgb="FFFF0000"/>
              <x14:axisColor rgb="FF000000"/>
            </x14:dataBar>
          </x14:cfRule>
          <xm:sqref>P3421:P3451</xm:sqref>
        </x14:conditionalFormatting>
        <x14:conditionalFormatting xmlns:xm="http://schemas.microsoft.com/office/excel/2006/main">
          <x14:cfRule type="dataBar" id="{ED1F72A6-0C00-F94C-94DC-782D566EE6B1}">
            <x14:dataBar minLength="0" maxLength="100" border="1" negativeBarBorderColorSameAsPositive="0">
              <x14:cfvo type="autoMin"/>
              <x14:cfvo type="autoMax"/>
              <x14:borderColor rgb="FF638EC6"/>
              <x14:negativeFillColor rgb="FFFF0000"/>
              <x14:negativeBorderColor rgb="FFFF0000"/>
              <x14:axisColor rgb="FF000000"/>
            </x14:dataBar>
          </x14:cfRule>
          <xm:sqref>P3452:P3482</xm:sqref>
        </x14:conditionalFormatting>
        <x14:conditionalFormatting xmlns:xm="http://schemas.microsoft.com/office/excel/2006/main">
          <x14:cfRule type="dataBar" id="{1B41D91A-B024-3047-9CF2-901DF4D1132F}">
            <x14:dataBar minLength="0" maxLength="100" border="1" negativeBarBorderColorSameAsPositive="0">
              <x14:cfvo type="autoMin"/>
              <x14:cfvo type="autoMax"/>
              <x14:borderColor rgb="FF638EC6"/>
              <x14:negativeFillColor rgb="FFFF0000"/>
              <x14:negativeBorderColor rgb="FFFF0000"/>
              <x14:axisColor rgb="FF000000"/>
            </x14:dataBar>
          </x14:cfRule>
          <xm:sqref>P3483:P3513</xm:sqref>
        </x14:conditionalFormatting>
        <x14:conditionalFormatting xmlns:xm="http://schemas.microsoft.com/office/excel/2006/main">
          <x14:cfRule type="dataBar" id="{36671C92-A69A-5D4D-B4D5-D50FAC751466}">
            <x14:dataBar minLength="0" maxLength="100" border="1" negativeBarBorderColorSameAsPositive="0">
              <x14:cfvo type="autoMin"/>
              <x14:cfvo type="autoMax"/>
              <x14:borderColor rgb="FF638EC6"/>
              <x14:negativeFillColor rgb="FFFF0000"/>
              <x14:negativeBorderColor rgb="FFFF0000"/>
              <x14:axisColor rgb="FF000000"/>
            </x14:dataBar>
          </x14:cfRule>
          <xm:sqref>P3514:P3544</xm:sqref>
        </x14:conditionalFormatting>
        <x14:conditionalFormatting xmlns:xm="http://schemas.microsoft.com/office/excel/2006/main">
          <x14:cfRule type="dataBar" id="{7A1E82A6-5B6B-CE44-B9DB-5AF452B20396}">
            <x14:dataBar minLength="0" maxLength="100" border="1" negativeBarBorderColorSameAsPositive="0">
              <x14:cfvo type="autoMin"/>
              <x14:cfvo type="autoMax"/>
              <x14:borderColor rgb="FF638EC6"/>
              <x14:negativeFillColor rgb="FFFF0000"/>
              <x14:negativeBorderColor rgb="FFFF0000"/>
              <x14:axisColor rgb="FF000000"/>
            </x14:dataBar>
          </x14:cfRule>
          <xm:sqref>P3545:P3575</xm:sqref>
        </x14:conditionalFormatting>
        <x14:conditionalFormatting xmlns:xm="http://schemas.microsoft.com/office/excel/2006/main">
          <x14:cfRule type="dataBar" id="{DF281FC6-0946-1D46-A047-1351D6BF599E}">
            <x14:dataBar minLength="0" maxLength="100" border="1" negativeBarBorderColorSameAsPositive="0">
              <x14:cfvo type="autoMin"/>
              <x14:cfvo type="autoMax"/>
              <x14:borderColor rgb="FF638EC6"/>
              <x14:negativeFillColor rgb="FFFF0000"/>
              <x14:negativeBorderColor rgb="FFFF0000"/>
              <x14:axisColor rgb="FF000000"/>
            </x14:dataBar>
          </x14:cfRule>
          <xm:sqref>P3576:P3606</xm:sqref>
        </x14:conditionalFormatting>
        <x14:conditionalFormatting xmlns:xm="http://schemas.microsoft.com/office/excel/2006/main">
          <x14:cfRule type="dataBar" id="{FACE2BD8-9AD8-A644-A847-6251C6F30AB3}">
            <x14:dataBar minLength="0" maxLength="100" border="1" negativeBarBorderColorSameAsPositive="0">
              <x14:cfvo type="autoMin"/>
              <x14:cfvo type="autoMax"/>
              <x14:borderColor rgb="FF638EC6"/>
              <x14:negativeFillColor rgb="FFFF0000"/>
              <x14:negativeBorderColor rgb="FFFF0000"/>
              <x14:axisColor rgb="FF000000"/>
            </x14:dataBar>
          </x14:cfRule>
          <xm:sqref>P3607:P3637</xm:sqref>
        </x14:conditionalFormatting>
        <x14:conditionalFormatting xmlns:xm="http://schemas.microsoft.com/office/excel/2006/main">
          <x14:cfRule type="dataBar" id="{813E21BB-6357-6943-A900-01281B593ED4}">
            <x14:dataBar minLength="0" maxLength="100" border="1" negativeBarBorderColorSameAsPositive="0">
              <x14:cfvo type="autoMin"/>
              <x14:cfvo type="autoMax"/>
              <x14:borderColor rgb="FF638EC6"/>
              <x14:negativeFillColor rgb="FFFF0000"/>
              <x14:negativeBorderColor rgb="FFFF0000"/>
              <x14:axisColor rgb="FF000000"/>
            </x14:dataBar>
          </x14:cfRule>
          <xm:sqref>P3638:P3668</xm:sqref>
        </x14:conditionalFormatting>
        <x14:conditionalFormatting xmlns:xm="http://schemas.microsoft.com/office/excel/2006/main">
          <x14:cfRule type="dataBar" id="{5C1A850B-EB4A-0D4B-BF71-55E6E645F5C7}">
            <x14:dataBar minLength="0" maxLength="100" border="1" negativeBarBorderColorSameAsPositive="0">
              <x14:cfvo type="autoMin"/>
              <x14:cfvo type="autoMax"/>
              <x14:borderColor rgb="FF638EC6"/>
              <x14:negativeFillColor rgb="FFFF0000"/>
              <x14:negativeBorderColor rgb="FFFF0000"/>
              <x14:axisColor rgb="FF000000"/>
            </x14:dataBar>
          </x14:cfRule>
          <xm:sqref>P3669:P3699</xm:sqref>
        </x14:conditionalFormatting>
        <x14:conditionalFormatting xmlns:xm="http://schemas.microsoft.com/office/excel/2006/main">
          <x14:cfRule type="dataBar" id="{821E5631-694F-744C-848C-8E0C9FB1D3FF}">
            <x14:dataBar minLength="0" maxLength="100" border="1" negativeBarBorderColorSameAsPositive="0">
              <x14:cfvo type="autoMin"/>
              <x14:cfvo type="autoMax"/>
              <x14:borderColor rgb="FF638EC6"/>
              <x14:negativeFillColor rgb="FFFF0000"/>
              <x14:negativeBorderColor rgb="FFFF0000"/>
              <x14:axisColor rgb="FF000000"/>
            </x14:dataBar>
          </x14:cfRule>
          <xm:sqref>P3700:P3730</xm:sqref>
        </x14:conditionalFormatting>
        <x14:conditionalFormatting xmlns:xm="http://schemas.microsoft.com/office/excel/2006/main">
          <x14:cfRule type="dataBar" id="{29A309F7-C14C-434E-9D3A-6B38B1BBE238}">
            <x14:dataBar minLength="0" maxLength="100" border="1" negativeBarBorderColorSameAsPositive="0">
              <x14:cfvo type="autoMin"/>
              <x14:cfvo type="autoMax"/>
              <x14:borderColor rgb="FF638EC6"/>
              <x14:negativeFillColor rgb="FFFF0000"/>
              <x14:negativeBorderColor rgb="FFFF0000"/>
              <x14:axisColor rgb="FF000000"/>
            </x14:dataBar>
          </x14:cfRule>
          <xm:sqref>P3731:P3761</xm:sqref>
        </x14:conditionalFormatting>
        <x14:conditionalFormatting xmlns:xm="http://schemas.microsoft.com/office/excel/2006/main">
          <x14:cfRule type="dataBar" id="{21EA47F1-0228-5344-ADC5-6D40A7F4EDE2}">
            <x14:dataBar minLength="0" maxLength="100" border="1" negativeBarBorderColorSameAsPositive="0">
              <x14:cfvo type="autoMin"/>
              <x14:cfvo type="autoMax"/>
              <x14:borderColor rgb="FF638EC6"/>
              <x14:negativeFillColor rgb="FFFF0000"/>
              <x14:negativeBorderColor rgb="FFFF0000"/>
              <x14:axisColor rgb="FF000000"/>
            </x14:dataBar>
          </x14:cfRule>
          <xm:sqref>P3762:P3792</xm:sqref>
        </x14:conditionalFormatting>
        <x14:conditionalFormatting xmlns:xm="http://schemas.microsoft.com/office/excel/2006/main">
          <x14:cfRule type="dataBar" id="{59BD5106-FEB2-9041-A43E-197AD1C74470}">
            <x14:dataBar minLength="0" maxLength="100" border="1" negativeBarBorderColorSameAsPositive="0">
              <x14:cfvo type="autoMin"/>
              <x14:cfvo type="autoMax"/>
              <x14:borderColor rgb="FF638EC6"/>
              <x14:negativeFillColor rgb="FFFF0000"/>
              <x14:negativeBorderColor rgb="FFFF0000"/>
              <x14:axisColor rgb="FF000000"/>
            </x14:dataBar>
          </x14:cfRule>
          <xm:sqref>P3793:P3823</xm:sqref>
        </x14:conditionalFormatting>
        <x14:conditionalFormatting xmlns:xm="http://schemas.microsoft.com/office/excel/2006/main">
          <x14:cfRule type="dataBar" id="{55446943-8453-F246-91E2-5AF08C1A8DF6}">
            <x14:dataBar minLength="0" maxLength="100" border="1" negativeBarBorderColorSameAsPositive="0">
              <x14:cfvo type="autoMin"/>
              <x14:cfvo type="autoMax"/>
              <x14:borderColor rgb="FF638EC6"/>
              <x14:negativeFillColor rgb="FFFF0000"/>
              <x14:negativeBorderColor rgb="FFFF0000"/>
              <x14:axisColor rgb="FF000000"/>
            </x14:dataBar>
          </x14:cfRule>
          <xm:sqref>P3824:P3854</xm:sqref>
        </x14:conditionalFormatting>
        <x14:conditionalFormatting xmlns:xm="http://schemas.microsoft.com/office/excel/2006/main">
          <x14:cfRule type="dataBar" id="{81BD1A05-3F57-454B-ACF0-5823266DFABB}">
            <x14:dataBar minLength="0" maxLength="100" border="1" negativeBarBorderColorSameAsPositive="0">
              <x14:cfvo type="autoMin"/>
              <x14:cfvo type="autoMax"/>
              <x14:borderColor rgb="FF638EC6"/>
              <x14:negativeFillColor rgb="FFFF0000"/>
              <x14:negativeBorderColor rgb="FFFF0000"/>
              <x14:axisColor rgb="FF000000"/>
            </x14:dataBar>
          </x14:cfRule>
          <xm:sqref>P3855:P3885</xm:sqref>
        </x14:conditionalFormatting>
        <x14:conditionalFormatting xmlns:xm="http://schemas.microsoft.com/office/excel/2006/main">
          <x14:cfRule type="dataBar" id="{7DA4B4D1-2E4A-494D-A5A9-66DA9217F2D2}">
            <x14:dataBar minLength="0" maxLength="100" border="1" negativeBarBorderColorSameAsPositive="0">
              <x14:cfvo type="autoMin"/>
              <x14:cfvo type="autoMax"/>
              <x14:borderColor rgb="FF638EC6"/>
              <x14:negativeFillColor rgb="FFFF0000"/>
              <x14:negativeBorderColor rgb="FFFF0000"/>
              <x14:axisColor rgb="FF000000"/>
            </x14:dataBar>
          </x14:cfRule>
          <xm:sqref>P3886:P3916</xm:sqref>
        </x14:conditionalFormatting>
        <x14:conditionalFormatting xmlns:xm="http://schemas.microsoft.com/office/excel/2006/main">
          <x14:cfRule type="dataBar" id="{C9D3A8F8-91A0-CB4A-B4D9-E3274C9AE6A2}">
            <x14:dataBar minLength="0" maxLength="100" border="1" negativeBarBorderColorSameAsPositive="0">
              <x14:cfvo type="autoMin"/>
              <x14:cfvo type="autoMax"/>
              <x14:borderColor rgb="FF638EC6"/>
              <x14:negativeFillColor rgb="FFFF0000"/>
              <x14:negativeBorderColor rgb="FFFF0000"/>
              <x14:axisColor rgb="FF000000"/>
            </x14:dataBar>
          </x14:cfRule>
          <xm:sqref>P3917:P3947</xm:sqref>
        </x14:conditionalFormatting>
        <x14:conditionalFormatting xmlns:xm="http://schemas.microsoft.com/office/excel/2006/main">
          <x14:cfRule type="dataBar" id="{E60D69D1-745C-3B4C-8890-1A512BC6EA40}">
            <x14:dataBar minLength="0" maxLength="100" border="1" negativeBarBorderColorSameAsPositive="0">
              <x14:cfvo type="autoMin"/>
              <x14:cfvo type="autoMax"/>
              <x14:borderColor rgb="FF638EC6"/>
              <x14:negativeFillColor rgb="FFFF0000"/>
              <x14:negativeBorderColor rgb="FFFF0000"/>
              <x14:axisColor rgb="FF000000"/>
            </x14:dataBar>
          </x14:cfRule>
          <xm:sqref>P3948:P3978</xm:sqref>
        </x14:conditionalFormatting>
        <x14:conditionalFormatting xmlns:xm="http://schemas.microsoft.com/office/excel/2006/main">
          <x14:cfRule type="dataBar" id="{B9FA046D-AE6E-5D40-A356-007EC4FB0073}">
            <x14:dataBar minLength="0" maxLength="100" border="1" negativeBarBorderColorSameAsPositive="0">
              <x14:cfvo type="autoMin"/>
              <x14:cfvo type="autoMax"/>
              <x14:borderColor rgb="FF638EC6"/>
              <x14:negativeFillColor rgb="FFFF0000"/>
              <x14:negativeBorderColor rgb="FFFF0000"/>
              <x14:axisColor rgb="FF000000"/>
            </x14:dataBar>
          </x14:cfRule>
          <xm:sqref>P3979:P4009</xm:sqref>
        </x14:conditionalFormatting>
        <x14:conditionalFormatting xmlns:xm="http://schemas.microsoft.com/office/excel/2006/main">
          <x14:cfRule type="dataBar" id="{97568A20-0EA2-6F42-AFED-6B408ADC2BE4}">
            <x14:dataBar minLength="0" maxLength="100" border="1" negativeBarBorderColorSameAsPositive="0">
              <x14:cfvo type="autoMin"/>
              <x14:cfvo type="autoMax"/>
              <x14:borderColor rgb="FF638EC6"/>
              <x14:negativeFillColor rgb="FFFF0000"/>
              <x14:negativeBorderColor rgb="FFFF0000"/>
              <x14:axisColor rgb="FF000000"/>
            </x14:dataBar>
          </x14:cfRule>
          <xm:sqref>P4010:P4040</xm:sqref>
        </x14:conditionalFormatting>
        <x14:conditionalFormatting xmlns:xm="http://schemas.microsoft.com/office/excel/2006/main">
          <x14:cfRule type="dataBar" id="{1B10DCA2-CA83-0A43-95F9-52618DA392A3}">
            <x14:dataBar minLength="0" maxLength="100" border="1" negativeBarBorderColorSameAsPositive="0">
              <x14:cfvo type="autoMin"/>
              <x14:cfvo type="autoMax"/>
              <x14:borderColor rgb="FF638EC6"/>
              <x14:negativeFillColor rgb="FFFF0000"/>
              <x14:negativeBorderColor rgb="FFFF0000"/>
              <x14:axisColor rgb="FF000000"/>
            </x14:dataBar>
          </x14:cfRule>
          <xm:sqref>P4041:P4071</xm:sqref>
        </x14:conditionalFormatting>
        <x14:conditionalFormatting xmlns:xm="http://schemas.microsoft.com/office/excel/2006/main">
          <x14:cfRule type="dataBar" id="{4E7F11D9-64A8-BD43-AFE4-EF36D9769A0E}">
            <x14:dataBar minLength="0" maxLength="100" border="1" negativeBarBorderColorSameAsPositive="0">
              <x14:cfvo type="autoMin"/>
              <x14:cfvo type="autoMax"/>
              <x14:borderColor rgb="FF638EC6"/>
              <x14:negativeFillColor rgb="FFFF0000"/>
              <x14:negativeBorderColor rgb="FFFF0000"/>
              <x14:axisColor rgb="FF000000"/>
            </x14:dataBar>
          </x14:cfRule>
          <xm:sqref>P4072:P4102</xm:sqref>
        </x14:conditionalFormatting>
        <x14:conditionalFormatting xmlns:xm="http://schemas.microsoft.com/office/excel/2006/main">
          <x14:cfRule type="dataBar" id="{1CACEB36-60C6-4046-84C0-0110CA59C06C}">
            <x14:dataBar minLength="0" maxLength="100" border="1" negativeBarBorderColorSameAsPositive="0">
              <x14:cfvo type="autoMin"/>
              <x14:cfvo type="autoMax"/>
              <x14:borderColor rgb="FF638EC6"/>
              <x14:negativeFillColor rgb="FFFF0000"/>
              <x14:negativeBorderColor rgb="FFFF0000"/>
              <x14:axisColor rgb="FF000000"/>
            </x14:dataBar>
          </x14:cfRule>
          <xm:sqref>P4103:P4133</xm:sqref>
        </x14:conditionalFormatting>
        <x14:conditionalFormatting xmlns:xm="http://schemas.microsoft.com/office/excel/2006/main">
          <x14:cfRule type="dataBar" id="{9ADDB978-B365-8B4C-89C7-8027D1434DDA}">
            <x14:dataBar minLength="0" maxLength="100" border="1" negativeBarBorderColorSameAsPositive="0">
              <x14:cfvo type="autoMin"/>
              <x14:cfvo type="autoMax"/>
              <x14:borderColor rgb="FF638EC6"/>
              <x14:negativeFillColor rgb="FFFF0000"/>
              <x14:negativeBorderColor rgb="FFFF0000"/>
              <x14:axisColor rgb="FF000000"/>
            </x14:dataBar>
          </x14:cfRule>
          <xm:sqref>P4134:P4164</xm:sqref>
        </x14:conditionalFormatting>
        <x14:conditionalFormatting xmlns:xm="http://schemas.microsoft.com/office/excel/2006/main">
          <x14:cfRule type="dataBar" id="{2E1D1462-38D1-FC43-B6F3-3BFCCB8B0E42}">
            <x14:dataBar minLength="0" maxLength="100" border="1" negativeBarBorderColorSameAsPositive="0">
              <x14:cfvo type="autoMin"/>
              <x14:cfvo type="autoMax"/>
              <x14:borderColor rgb="FF638EC6"/>
              <x14:negativeFillColor rgb="FFFF0000"/>
              <x14:negativeBorderColor rgb="FFFF0000"/>
              <x14:axisColor rgb="FF000000"/>
            </x14:dataBar>
          </x14:cfRule>
          <xm:sqref>P4165:P4195</xm:sqref>
        </x14:conditionalFormatting>
        <x14:conditionalFormatting xmlns:xm="http://schemas.microsoft.com/office/excel/2006/main">
          <x14:cfRule type="dataBar" id="{5A23B674-87CD-014B-86C2-4279C08F5E65}">
            <x14:dataBar minLength="0" maxLength="100" border="1" negativeBarBorderColorSameAsPositive="0">
              <x14:cfvo type="autoMin"/>
              <x14:cfvo type="autoMax"/>
              <x14:borderColor rgb="FF638EC6"/>
              <x14:negativeFillColor rgb="FFFF0000"/>
              <x14:negativeBorderColor rgb="FFFF0000"/>
              <x14:axisColor rgb="FF000000"/>
            </x14:dataBar>
          </x14:cfRule>
          <xm:sqref>P4196:P4226</xm:sqref>
        </x14:conditionalFormatting>
        <x14:conditionalFormatting xmlns:xm="http://schemas.microsoft.com/office/excel/2006/main">
          <x14:cfRule type="dataBar" id="{D9D1FAAF-F69C-C745-90CF-1AC92E9D12CB}">
            <x14:dataBar minLength="0" maxLength="100" border="1" negativeBarBorderColorSameAsPositive="0">
              <x14:cfvo type="autoMin"/>
              <x14:cfvo type="autoMax"/>
              <x14:borderColor rgb="FF638EC6"/>
              <x14:negativeFillColor rgb="FFFF0000"/>
              <x14:negativeBorderColor rgb="FFFF0000"/>
              <x14:axisColor rgb="FF000000"/>
            </x14:dataBar>
          </x14:cfRule>
          <xm:sqref>P4227:P4257</xm:sqref>
        </x14:conditionalFormatting>
        <x14:conditionalFormatting xmlns:xm="http://schemas.microsoft.com/office/excel/2006/main">
          <x14:cfRule type="dataBar" id="{4F35C008-5D1C-CE41-9E12-8C8B1F7CA597}">
            <x14:dataBar minLength="0" maxLength="100" border="1" negativeBarBorderColorSameAsPositive="0">
              <x14:cfvo type="autoMin"/>
              <x14:cfvo type="autoMax"/>
              <x14:borderColor rgb="FF638EC6"/>
              <x14:negativeFillColor rgb="FFFF0000"/>
              <x14:negativeBorderColor rgb="FFFF0000"/>
              <x14:axisColor rgb="FF000000"/>
            </x14:dataBar>
          </x14:cfRule>
          <xm:sqref>P4258:P4288</xm:sqref>
        </x14:conditionalFormatting>
        <x14:conditionalFormatting xmlns:xm="http://schemas.microsoft.com/office/excel/2006/main">
          <x14:cfRule type="dataBar" id="{D8D415D2-E056-9D4A-AAF2-1E49A4B81497}">
            <x14:dataBar minLength="0" maxLength="100" border="1" negativeBarBorderColorSameAsPositive="0">
              <x14:cfvo type="autoMin"/>
              <x14:cfvo type="autoMax"/>
              <x14:borderColor rgb="FF638EC6"/>
              <x14:negativeFillColor rgb="FFFF0000"/>
              <x14:negativeBorderColor rgb="FFFF0000"/>
              <x14:axisColor rgb="FF000000"/>
            </x14:dataBar>
          </x14:cfRule>
          <xm:sqref>P4289:P4319</xm:sqref>
        </x14:conditionalFormatting>
        <x14:conditionalFormatting xmlns:xm="http://schemas.microsoft.com/office/excel/2006/main">
          <x14:cfRule type="dataBar" id="{13F9DCF7-EEBE-3741-8230-8AFC89C01E4B}">
            <x14:dataBar minLength="0" maxLength="100" border="1" negativeBarBorderColorSameAsPositive="0">
              <x14:cfvo type="autoMin"/>
              <x14:cfvo type="autoMax"/>
              <x14:borderColor rgb="FF638EC6"/>
              <x14:negativeFillColor rgb="FFFF0000"/>
              <x14:negativeBorderColor rgb="FFFF0000"/>
              <x14:axisColor rgb="FF000000"/>
            </x14:dataBar>
          </x14:cfRule>
          <xm:sqref>P4320:P4350</xm:sqref>
        </x14:conditionalFormatting>
        <x14:conditionalFormatting xmlns:xm="http://schemas.microsoft.com/office/excel/2006/main">
          <x14:cfRule type="dataBar" id="{36A9640E-FD83-F345-A3CE-647AAE58DC77}">
            <x14:dataBar minLength="0" maxLength="100" border="1" negativeBarBorderColorSameAsPositive="0">
              <x14:cfvo type="autoMin"/>
              <x14:cfvo type="autoMax"/>
              <x14:borderColor rgb="FF638EC6"/>
              <x14:negativeFillColor rgb="FFFF0000"/>
              <x14:negativeBorderColor rgb="FFFF0000"/>
              <x14:axisColor rgb="FF000000"/>
            </x14:dataBar>
          </x14:cfRule>
          <xm:sqref>P4351:P4381</xm:sqref>
        </x14:conditionalFormatting>
        <x14:conditionalFormatting xmlns:xm="http://schemas.microsoft.com/office/excel/2006/main">
          <x14:cfRule type="dataBar" id="{91B6D7A7-4688-2E48-9035-6B043AC1E06E}">
            <x14:dataBar minLength="0" maxLength="100" border="1" negativeBarBorderColorSameAsPositive="0">
              <x14:cfvo type="autoMin"/>
              <x14:cfvo type="autoMax"/>
              <x14:borderColor rgb="FF638EC6"/>
              <x14:negativeFillColor rgb="FFFF0000"/>
              <x14:negativeBorderColor rgb="FFFF0000"/>
              <x14:axisColor rgb="FF000000"/>
            </x14:dataBar>
          </x14:cfRule>
          <xm:sqref>P4382:P4412</xm:sqref>
        </x14:conditionalFormatting>
        <x14:conditionalFormatting xmlns:xm="http://schemas.microsoft.com/office/excel/2006/main">
          <x14:cfRule type="dataBar" id="{1328F0ED-D602-5A4A-86C8-8293FC98B038}">
            <x14:dataBar minLength="0" maxLength="100" border="1" negativeBarBorderColorSameAsPositive="0">
              <x14:cfvo type="autoMin"/>
              <x14:cfvo type="autoMax"/>
              <x14:borderColor rgb="FF638EC6"/>
              <x14:negativeFillColor rgb="FFFF0000"/>
              <x14:negativeBorderColor rgb="FFFF0000"/>
              <x14:axisColor rgb="FF000000"/>
            </x14:dataBar>
          </x14:cfRule>
          <xm:sqref>P4413:P4443</xm:sqref>
        </x14:conditionalFormatting>
        <x14:conditionalFormatting xmlns:xm="http://schemas.microsoft.com/office/excel/2006/main">
          <x14:cfRule type="dataBar" id="{EABE4DC8-A91E-DC4C-B431-22B1BD5DE304}">
            <x14:dataBar minLength="0" maxLength="100" border="1" negativeBarBorderColorSameAsPositive="0">
              <x14:cfvo type="autoMin"/>
              <x14:cfvo type="autoMax"/>
              <x14:borderColor rgb="FF638EC6"/>
              <x14:negativeFillColor rgb="FFFF0000"/>
              <x14:negativeBorderColor rgb="FFFF0000"/>
              <x14:axisColor rgb="FF000000"/>
            </x14:dataBar>
          </x14:cfRule>
          <xm:sqref>P4444:P4474</xm:sqref>
        </x14:conditionalFormatting>
        <x14:conditionalFormatting xmlns:xm="http://schemas.microsoft.com/office/excel/2006/main">
          <x14:cfRule type="dataBar" id="{D35929D5-BCE1-BA4D-8539-456B0650C7AB}">
            <x14:dataBar minLength="0" maxLength="100" border="1" negativeBarBorderColorSameAsPositive="0">
              <x14:cfvo type="autoMin"/>
              <x14:cfvo type="autoMax"/>
              <x14:borderColor rgb="FF638EC6"/>
              <x14:negativeFillColor rgb="FFFF0000"/>
              <x14:negativeBorderColor rgb="FFFF0000"/>
              <x14:axisColor rgb="FF000000"/>
            </x14:dataBar>
          </x14:cfRule>
          <xm:sqref>P4475:P4505</xm:sqref>
        </x14:conditionalFormatting>
        <x14:conditionalFormatting xmlns:xm="http://schemas.microsoft.com/office/excel/2006/main">
          <x14:cfRule type="dataBar" id="{74A2A6B2-6876-6C46-8654-AC63BC06ACF7}">
            <x14:dataBar minLength="0" maxLength="100" border="1" negativeBarBorderColorSameAsPositive="0">
              <x14:cfvo type="autoMin"/>
              <x14:cfvo type="autoMax"/>
              <x14:borderColor rgb="FF638EC6"/>
              <x14:negativeFillColor rgb="FFFF0000"/>
              <x14:negativeBorderColor rgb="FFFF0000"/>
              <x14:axisColor rgb="FF000000"/>
            </x14:dataBar>
          </x14:cfRule>
          <xm:sqref>P4506:P4536</xm:sqref>
        </x14:conditionalFormatting>
        <x14:conditionalFormatting xmlns:xm="http://schemas.microsoft.com/office/excel/2006/main">
          <x14:cfRule type="dataBar" id="{93B5BEB9-11F9-054E-A18D-2378DCF4DFF3}">
            <x14:dataBar minLength="0" maxLength="100" border="1" negativeBarBorderColorSameAsPositive="0">
              <x14:cfvo type="autoMin"/>
              <x14:cfvo type="autoMax"/>
              <x14:borderColor rgb="FF638EC6"/>
              <x14:negativeFillColor rgb="FFFF0000"/>
              <x14:negativeBorderColor rgb="FFFF0000"/>
              <x14:axisColor rgb="FF000000"/>
            </x14:dataBar>
          </x14:cfRule>
          <xm:sqref>P4537:P4567</xm:sqref>
        </x14:conditionalFormatting>
        <x14:conditionalFormatting xmlns:xm="http://schemas.microsoft.com/office/excel/2006/main">
          <x14:cfRule type="dataBar" id="{45D11124-1EDE-0140-B829-B4E4D4CE85FF}">
            <x14:dataBar minLength="0" maxLength="100" border="1" negativeBarBorderColorSameAsPositive="0">
              <x14:cfvo type="autoMin"/>
              <x14:cfvo type="autoMax"/>
              <x14:borderColor rgb="FF638EC6"/>
              <x14:negativeFillColor rgb="FFFF0000"/>
              <x14:negativeBorderColor rgb="FFFF0000"/>
              <x14:axisColor rgb="FF000000"/>
            </x14:dataBar>
          </x14:cfRule>
          <xm:sqref>P4568:P4598</xm:sqref>
        </x14:conditionalFormatting>
        <x14:conditionalFormatting xmlns:xm="http://schemas.microsoft.com/office/excel/2006/main">
          <x14:cfRule type="dataBar" id="{77251D0F-EF12-6D40-9985-4A233714C790}">
            <x14:dataBar minLength="0" maxLength="100" border="1" negativeBarBorderColorSameAsPositive="0">
              <x14:cfvo type="autoMin"/>
              <x14:cfvo type="autoMax"/>
              <x14:borderColor rgb="FF638EC6"/>
              <x14:negativeFillColor rgb="FFFF0000"/>
              <x14:negativeBorderColor rgb="FFFF0000"/>
              <x14:axisColor rgb="FF000000"/>
            </x14:dataBar>
          </x14:cfRule>
          <xm:sqref>P4599:P4629</xm:sqref>
        </x14:conditionalFormatting>
        <x14:conditionalFormatting xmlns:xm="http://schemas.microsoft.com/office/excel/2006/main">
          <x14:cfRule type="dataBar" id="{03FEA63C-963C-DB4B-ABF9-7D818853C052}">
            <x14:dataBar minLength="0" maxLength="100" border="1" negativeBarBorderColorSameAsPositive="0">
              <x14:cfvo type="autoMin"/>
              <x14:cfvo type="autoMax"/>
              <x14:borderColor rgb="FF638EC6"/>
              <x14:negativeFillColor rgb="FFFF0000"/>
              <x14:negativeBorderColor rgb="FFFF0000"/>
              <x14:axisColor rgb="FF000000"/>
            </x14:dataBar>
          </x14:cfRule>
          <xm:sqref>P4630:P4660</xm:sqref>
        </x14:conditionalFormatting>
        <x14:conditionalFormatting xmlns:xm="http://schemas.microsoft.com/office/excel/2006/main">
          <x14:cfRule type="dataBar" id="{E6F2D508-EB5E-3242-B35A-27E639BDCE04}">
            <x14:dataBar minLength="0" maxLength="100" border="1" negativeBarBorderColorSameAsPositive="0">
              <x14:cfvo type="autoMin"/>
              <x14:cfvo type="autoMax"/>
              <x14:borderColor rgb="FF638EC6"/>
              <x14:negativeFillColor rgb="FFFF0000"/>
              <x14:negativeBorderColor rgb="FFFF0000"/>
              <x14:axisColor rgb="FF000000"/>
            </x14:dataBar>
          </x14:cfRule>
          <xm:sqref>P4661:P4691</xm:sqref>
        </x14:conditionalFormatting>
        <x14:conditionalFormatting xmlns:xm="http://schemas.microsoft.com/office/excel/2006/main">
          <x14:cfRule type="dataBar" id="{FA2C4DBC-9024-C24A-B22A-F618B144C57B}">
            <x14:dataBar minLength="0" maxLength="100" border="1" negativeBarBorderColorSameAsPositive="0">
              <x14:cfvo type="autoMin"/>
              <x14:cfvo type="autoMax"/>
              <x14:borderColor rgb="FF638EC6"/>
              <x14:negativeFillColor rgb="FFFF0000"/>
              <x14:negativeBorderColor rgb="FFFF0000"/>
              <x14:axisColor rgb="FF000000"/>
            </x14:dataBar>
          </x14:cfRule>
          <xm:sqref>P4692:P4722</xm:sqref>
        </x14:conditionalFormatting>
        <x14:conditionalFormatting xmlns:xm="http://schemas.microsoft.com/office/excel/2006/main">
          <x14:cfRule type="dataBar" id="{53CE1B7F-C0CC-8A46-A088-16CFC6247EA6}">
            <x14:dataBar minLength="0" maxLength="100" border="1" negativeBarBorderColorSameAsPositive="0">
              <x14:cfvo type="autoMin"/>
              <x14:cfvo type="autoMax"/>
              <x14:borderColor rgb="FF638EC6"/>
              <x14:negativeFillColor rgb="FFFF0000"/>
              <x14:negativeBorderColor rgb="FFFF0000"/>
              <x14:axisColor rgb="FF000000"/>
            </x14:dataBar>
          </x14:cfRule>
          <xm:sqref>P4723:P4753</xm:sqref>
        </x14:conditionalFormatting>
        <x14:conditionalFormatting xmlns:xm="http://schemas.microsoft.com/office/excel/2006/main">
          <x14:cfRule type="dataBar" id="{944CF738-548B-7842-8CD5-15C5D55732C5}">
            <x14:dataBar minLength="0" maxLength="100" border="1" negativeBarBorderColorSameAsPositive="0">
              <x14:cfvo type="autoMin"/>
              <x14:cfvo type="autoMax"/>
              <x14:borderColor rgb="FF638EC6"/>
              <x14:negativeFillColor rgb="FFFF0000"/>
              <x14:negativeBorderColor rgb="FFFF0000"/>
              <x14:axisColor rgb="FF000000"/>
            </x14:dataBar>
          </x14:cfRule>
          <xm:sqref>P4754:P4784</xm:sqref>
        </x14:conditionalFormatting>
        <x14:conditionalFormatting xmlns:xm="http://schemas.microsoft.com/office/excel/2006/main">
          <x14:cfRule type="dataBar" id="{7DECF556-E528-1046-A2B8-C30FAD0F3650}">
            <x14:dataBar minLength="0" maxLength="100" border="1" negativeBarBorderColorSameAsPositive="0">
              <x14:cfvo type="autoMin"/>
              <x14:cfvo type="autoMax"/>
              <x14:borderColor rgb="FF638EC6"/>
              <x14:negativeFillColor rgb="FFFF0000"/>
              <x14:negativeBorderColor rgb="FFFF0000"/>
              <x14:axisColor rgb="FF000000"/>
            </x14:dataBar>
          </x14:cfRule>
          <xm:sqref>P4785:P4815</xm:sqref>
        </x14:conditionalFormatting>
        <x14:conditionalFormatting xmlns:xm="http://schemas.microsoft.com/office/excel/2006/main">
          <x14:cfRule type="dataBar" id="{483AD03E-F14E-024D-9515-6CFA410C87D5}">
            <x14:dataBar minLength="0" maxLength="100" border="1" negativeBarBorderColorSameAsPositive="0">
              <x14:cfvo type="autoMin"/>
              <x14:cfvo type="autoMax"/>
              <x14:borderColor rgb="FF638EC6"/>
              <x14:negativeFillColor rgb="FFFF0000"/>
              <x14:negativeBorderColor rgb="FFFF0000"/>
              <x14:axisColor rgb="FF000000"/>
            </x14:dataBar>
          </x14:cfRule>
          <xm:sqref>P4816:P4846</xm:sqref>
        </x14:conditionalFormatting>
        <x14:conditionalFormatting xmlns:xm="http://schemas.microsoft.com/office/excel/2006/main">
          <x14:cfRule type="dataBar" id="{DFBF5E14-BD78-DC48-B5C4-0544A0FB8D36}">
            <x14:dataBar minLength="0" maxLength="100" border="1" negativeBarBorderColorSameAsPositive="0">
              <x14:cfvo type="autoMin"/>
              <x14:cfvo type="autoMax"/>
              <x14:borderColor rgb="FF638EC6"/>
              <x14:negativeFillColor rgb="FFFF0000"/>
              <x14:negativeBorderColor rgb="FFFF0000"/>
              <x14:axisColor rgb="FF000000"/>
            </x14:dataBar>
          </x14:cfRule>
          <xm:sqref>P4847:P4877</xm:sqref>
        </x14:conditionalFormatting>
        <x14:conditionalFormatting xmlns:xm="http://schemas.microsoft.com/office/excel/2006/main">
          <x14:cfRule type="dataBar" id="{6B68B5F2-D199-8D4E-AB0C-C57780C97B44}">
            <x14:dataBar minLength="0" maxLength="100" border="1" negativeBarBorderColorSameAsPositive="0">
              <x14:cfvo type="autoMin"/>
              <x14:cfvo type="autoMax"/>
              <x14:borderColor rgb="FF638EC6"/>
              <x14:negativeFillColor rgb="FFFF0000"/>
              <x14:negativeBorderColor rgb="FFFF0000"/>
              <x14:axisColor rgb="FF000000"/>
            </x14:dataBar>
          </x14:cfRule>
          <xm:sqref>P4878:P4908</xm:sqref>
        </x14:conditionalFormatting>
        <x14:conditionalFormatting xmlns:xm="http://schemas.microsoft.com/office/excel/2006/main">
          <x14:cfRule type="dataBar" id="{B7A2291B-9E2A-B545-AF02-6700369F5961}">
            <x14:dataBar minLength="0" maxLength="100" border="1" negativeBarBorderColorSameAsPositive="0">
              <x14:cfvo type="autoMin"/>
              <x14:cfvo type="autoMax"/>
              <x14:borderColor rgb="FF638EC6"/>
              <x14:negativeFillColor rgb="FFFF0000"/>
              <x14:negativeBorderColor rgb="FFFF0000"/>
              <x14:axisColor rgb="FF000000"/>
            </x14:dataBar>
          </x14:cfRule>
          <xm:sqref>P4909:P4939</xm:sqref>
        </x14:conditionalFormatting>
        <x14:conditionalFormatting xmlns:xm="http://schemas.microsoft.com/office/excel/2006/main">
          <x14:cfRule type="dataBar" id="{EFE4B61A-8DF3-E349-A9CD-186552E11B19}">
            <x14:dataBar minLength="0" maxLength="100" border="1" negativeBarBorderColorSameAsPositive="0">
              <x14:cfvo type="autoMin"/>
              <x14:cfvo type="autoMax"/>
              <x14:borderColor rgb="FF638EC6"/>
              <x14:negativeFillColor rgb="FFFF0000"/>
              <x14:negativeBorderColor rgb="FFFF0000"/>
              <x14:axisColor rgb="FF000000"/>
            </x14:dataBar>
          </x14:cfRule>
          <xm:sqref>P4940:P4970</xm:sqref>
        </x14:conditionalFormatting>
        <x14:conditionalFormatting xmlns:xm="http://schemas.microsoft.com/office/excel/2006/main">
          <x14:cfRule type="dataBar" id="{C67F908A-FB3F-B445-899E-1738E44A925D}">
            <x14:dataBar minLength="0" maxLength="100" border="1" negativeBarBorderColorSameAsPositive="0">
              <x14:cfvo type="autoMin"/>
              <x14:cfvo type="autoMax"/>
              <x14:borderColor rgb="FF638EC6"/>
              <x14:negativeFillColor rgb="FFFF0000"/>
              <x14:negativeBorderColor rgb="FFFF0000"/>
              <x14:axisColor rgb="FF000000"/>
            </x14:dataBar>
          </x14:cfRule>
          <xm:sqref>P4971:P5001</xm:sqref>
        </x14:conditionalFormatting>
        <x14:conditionalFormatting xmlns:xm="http://schemas.microsoft.com/office/excel/2006/main">
          <x14:cfRule type="dataBar" id="{2EF2CB31-205A-0D4B-9F1E-E9506EA7ACB2}">
            <x14:dataBar minLength="0" maxLength="100" border="1" negativeBarBorderColorSameAsPositive="0">
              <x14:cfvo type="autoMin"/>
              <x14:cfvo type="autoMax"/>
              <x14:borderColor rgb="FF638EC6"/>
              <x14:negativeFillColor rgb="FFFF0000"/>
              <x14:negativeBorderColor rgb="FFFF0000"/>
              <x14:axisColor rgb="FF000000"/>
            </x14:dataBar>
          </x14:cfRule>
          <xm:sqref>P5002:P5032</xm:sqref>
        </x14:conditionalFormatting>
        <x14:conditionalFormatting xmlns:xm="http://schemas.microsoft.com/office/excel/2006/main">
          <x14:cfRule type="dataBar" id="{B25BE19D-2DAA-8547-B34C-3D1A072A3E65}">
            <x14:dataBar minLength="0" maxLength="100" border="1" negativeBarBorderColorSameAsPositive="0">
              <x14:cfvo type="autoMin"/>
              <x14:cfvo type="autoMax"/>
              <x14:borderColor rgb="FF638EC6"/>
              <x14:negativeFillColor rgb="FFFF0000"/>
              <x14:negativeBorderColor rgb="FFFF0000"/>
              <x14:axisColor rgb="FF000000"/>
            </x14:dataBar>
          </x14:cfRule>
          <xm:sqref>P5033:P5063</xm:sqref>
        </x14:conditionalFormatting>
        <x14:conditionalFormatting xmlns:xm="http://schemas.microsoft.com/office/excel/2006/main">
          <x14:cfRule type="dataBar" id="{06A5AD9B-3E42-E242-A47F-8FEA33D404FE}">
            <x14:dataBar minLength="0" maxLength="100" border="1" negativeBarBorderColorSameAsPositive="0">
              <x14:cfvo type="autoMin"/>
              <x14:cfvo type="autoMax"/>
              <x14:borderColor rgb="FF638EC6"/>
              <x14:negativeFillColor rgb="FFFF0000"/>
              <x14:negativeBorderColor rgb="FFFF0000"/>
              <x14:axisColor rgb="FF000000"/>
            </x14:dataBar>
          </x14:cfRule>
          <xm:sqref>P5064:P5094</xm:sqref>
        </x14:conditionalFormatting>
        <x14:conditionalFormatting xmlns:xm="http://schemas.microsoft.com/office/excel/2006/main">
          <x14:cfRule type="dataBar" id="{B29C6FA2-8F83-6F4E-A66E-EE444B6C2780}">
            <x14:dataBar minLength="0" maxLength="100" border="1" negativeBarBorderColorSameAsPositive="0">
              <x14:cfvo type="autoMin"/>
              <x14:cfvo type="autoMax"/>
              <x14:borderColor rgb="FF638EC6"/>
              <x14:negativeFillColor rgb="FFFF0000"/>
              <x14:negativeBorderColor rgb="FFFF0000"/>
              <x14:axisColor rgb="FF000000"/>
            </x14:dataBar>
          </x14:cfRule>
          <xm:sqref>P5095:P5125</xm:sqref>
        </x14:conditionalFormatting>
        <x14:conditionalFormatting xmlns:xm="http://schemas.microsoft.com/office/excel/2006/main">
          <x14:cfRule type="dataBar" id="{E9A6519D-6267-904F-AC57-307CBE2273BF}">
            <x14:dataBar minLength="0" maxLength="100" border="1" negativeBarBorderColorSameAsPositive="0">
              <x14:cfvo type="autoMin"/>
              <x14:cfvo type="autoMax"/>
              <x14:borderColor rgb="FF638EC6"/>
              <x14:negativeFillColor rgb="FFFF0000"/>
              <x14:negativeBorderColor rgb="FFFF0000"/>
              <x14:axisColor rgb="FF000000"/>
            </x14:dataBar>
          </x14:cfRule>
          <xm:sqref>P5126:P5156</xm:sqref>
        </x14:conditionalFormatting>
        <x14:conditionalFormatting xmlns:xm="http://schemas.microsoft.com/office/excel/2006/main">
          <x14:cfRule type="dataBar" id="{EB00BF6E-F7F1-EB42-B0B5-BA03D3C57300}">
            <x14:dataBar minLength="0" maxLength="100" border="1" negativeBarBorderColorSameAsPositive="0">
              <x14:cfvo type="autoMin"/>
              <x14:cfvo type="autoMax"/>
              <x14:borderColor rgb="FF638EC6"/>
              <x14:negativeFillColor rgb="FFFF0000"/>
              <x14:negativeBorderColor rgb="FFFF0000"/>
              <x14:axisColor rgb="FF000000"/>
            </x14:dataBar>
          </x14:cfRule>
          <xm:sqref>P5157:P5187</xm:sqref>
        </x14:conditionalFormatting>
        <x14:conditionalFormatting xmlns:xm="http://schemas.microsoft.com/office/excel/2006/main">
          <x14:cfRule type="dataBar" id="{C457D4B7-8873-D446-A767-CFCC4C11F12A}">
            <x14:dataBar minLength="0" maxLength="100" border="1" negativeBarBorderColorSameAsPositive="0">
              <x14:cfvo type="autoMin"/>
              <x14:cfvo type="autoMax"/>
              <x14:borderColor rgb="FF638EC6"/>
              <x14:negativeFillColor rgb="FFFF0000"/>
              <x14:negativeBorderColor rgb="FFFF0000"/>
              <x14:axisColor rgb="FF000000"/>
            </x14:dataBar>
          </x14:cfRule>
          <xm:sqref>P5188:P5218</xm:sqref>
        </x14:conditionalFormatting>
        <x14:conditionalFormatting xmlns:xm="http://schemas.microsoft.com/office/excel/2006/main">
          <x14:cfRule type="dataBar" id="{EFCEC423-F6BE-7347-981C-C5821397FAB4}">
            <x14:dataBar minLength="0" maxLength="100" border="1" negativeBarBorderColorSameAsPositive="0">
              <x14:cfvo type="autoMin"/>
              <x14:cfvo type="autoMax"/>
              <x14:borderColor rgb="FF638EC6"/>
              <x14:negativeFillColor rgb="FFFF0000"/>
              <x14:negativeBorderColor rgb="FFFF0000"/>
              <x14:axisColor rgb="FF000000"/>
            </x14:dataBar>
          </x14:cfRule>
          <xm:sqref>P5219:P5249</xm:sqref>
        </x14:conditionalFormatting>
        <x14:conditionalFormatting xmlns:xm="http://schemas.microsoft.com/office/excel/2006/main">
          <x14:cfRule type="dataBar" id="{03B39C72-BD97-4948-9BB1-F78B235688E3}">
            <x14:dataBar minLength="0" maxLength="100" border="1" negativeBarBorderColorSameAsPositive="0">
              <x14:cfvo type="autoMin"/>
              <x14:cfvo type="autoMax"/>
              <x14:borderColor rgb="FF638EC6"/>
              <x14:negativeFillColor rgb="FFFF0000"/>
              <x14:negativeBorderColor rgb="FFFF0000"/>
              <x14:axisColor rgb="FF000000"/>
            </x14:dataBar>
          </x14:cfRule>
          <xm:sqref>P5250:P5280</xm:sqref>
        </x14:conditionalFormatting>
        <x14:conditionalFormatting xmlns:xm="http://schemas.microsoft.com/office/excel/2006/main">
          <x14:cfRule type="dataBar" id="{76654073-CD27-7B4C-9DDA-C41BF15F3DD1}">
            <x14:dataBar minLength="0" maxLength="100" border="1" negativeBarBorderColorSameAsPositive="0">
              <x14:cfvo type="autoMin"/>
              <x14:cfvo type="autoMax"/>
              <x14:borderColor rgb="FF638EC6"/>
              <x14:negativeFillColor rgb="FFFF0000"/>
              <x14:negativeBorderColor rgb="FFFF0000"/>
              <x14:axisColor rgb="FF000000"/>
            </x14:dataBar>
          </x14:cfRule>
          <xm:sqref>P5281:P5311</xm:sqref>
        </x14:conditionalFormatting>
        <x14:conditionalFormatting xmlns:xm="http://schemas.microsoft.com/office/excel/2006/main">
          <x14:cfRule type="dataBar" id="{A648B82E-BB90-F942-B0D7-C2A51F8948BF}">
            <x14:dataBar minLength="0" maxLength="100" border="1" negativeBarBorderColorSameAsPositive="0">
              <x14:cfvo type="autoMin"/>
              <x14:cfvo type="autoMax"/>
              <x14:borderColor rgb="FF638EC6"/>
              <x14:negativeFillColor rgb="FFFF0000"/>
              <x14:negativeBorderColor rgb="FFFF0000"/>
              <x14:axisColor rgb="FF000000"/>
            </x14:dataBar>
          </x14:cfRule>
          <xm:sqref>P5312:P5342</xm:sqref>
        </x14:conditionalFormatting>
        <x14:conditionalFormatting xmlns:xm="http://schemas.microsoft.com/office/excel/2006/main">
          <x14:cfRule type="dataBar" id="{6DACE036-99BC-074B-86C6-87800BE2E2C7}">
            <x14:dataBar minLength="0" maxLength="100" border="1" negativeBarBorderColorSameAsPositive="0">
              <x14:cfvo type="autoMin"/>
              <x14:cfvo type="autoMax"/>
              <x14:borderColor rgb="FF638EC6"/>
              <x14:negativeFillColor rgb="FFFF0000"/>
              <x14:negativeBorderColor rgb="FFFF0000"/>
              <x14:axisColor rgb="FF000000"/>
            </x14:dataBar>
          </x14:cfRule>
          <xm:sqref>P5343:P5373</xm:sqref>
        </x14:conditionalFormatting>
        <x14:conditionalFormatting xmlns:xm="http://schemas.microsoft.com/office/excel/2006/main">
          <x14:cfRule type="dataBar" id="{B0FFA8C3-EEBA-3944-8C5D-7F8C0C935885}">
            <x14:dataBar minLength="0" maxLength="100" border="1" negativeBarBorderColorSameAsPositive="0">
              <x14:cfvo type="autoMin"/>
              <x14:cfvo type="autoMax"/>
              <x14:borderColor rgb="FF638EC6"/>
              <x14:negativeFillColor rgb="FFFF0000"/>
              <x14:negativeBorderColor rgb="FFFF0000"/>
              <x14:axisColor rgb="FF000000"/>
            </x14:dataBar>
          </x14:cfRule>
          <xm:sqref>P5374:P5404</xm:sqref>
        </x14:conditionalFormatting>
        <x14:conditionalFormatting xmlns:xm="http://schemas.microsoft.com/office/excel/2006/main">
          <x14:cfRule type="dataBar" id="{0564A6B2-46D9-0B4A-96FD-B4C65113F1B4}">
            <x14:dataBar minLength="0" maxLength="100" border="1" negativeBarBorderColorSameAsPositive="0">
              <x14:cfvo type="autoMin"/>
              <x14:cfvo type="autoMax"/>
              <x14:borderColor rgb="FF638EC6"/>
              <x14:negativeFillColor rgb="FFFF0000"/>
              <x14:negativeBorderColor rgb="FFFF0000"/>
              <x14:axisColor rgb="FF000000"/>
            </x14:dataBar>
          </x14:cfRule>
          <xm:sqref>P5405:P5435</xm:sqref>
        </x14:conditionalFormatting>
        <x14:conditionalFormatting xmlns:xm="http://schemas.microsoft.com/office/excel/2006/main">
          <x14:cfRule type="dataBar" id="{11DC1D83-0212-244B-8E8D-81E7B6F36750}">
            <x14:dataBar minLength="0" maxLength="100" border="1" negativeBarBorderColorSameAsPositive="0">
              <x14:cfvo type="autoMin"/>
              <x14:cfvo type="autoMax"/>
              <x14:borderColor rgb="FF638EC6"/>
              <x14:negativeFillColor rgb="FFFF0000"/>
              <x14:negativeBorderColor rgb="FFFF0000"/>
              <x14:axisColor rgb="FF000000"/>
            </x14:dataBar>
          </x14:cfRule>
          <xm:sqref>P5436:P5467</xm:sqref>
        </x14:conditionalFormatting>
        <x14:conditionalFormatting xmlns:xm="http://schemas.microsoft.com/office/excel/2006/main">
          <x14:cfRule type="dataBar" id="{6006FF54-4628-2F45-8E9E-E47195DC7EE7}">
            <x14:dataBar minLength="0" maxLength="100" border="1" negativeBarBorderColorSameAsPositive="0">
              <x14:cfvo type="autoMin"/>
              <x14:cfvo type="autoMax"/>
              <x14:borderColor rgb="FF638EC6"/>
              <x14:negativeFillColor rgb="FFFF0000"/>
              <x14:negativeBorderColor rgb="FFFF0000"/>
              <x14:axisColor rgb="FF000000"/>
            </x14:dataBar>
          </x14:cfRule>
          <xm:sqref>P5468:P5499</xm:sqref>
        </x14:conditionalFormatting>
        <x14:conditionalFormatting xmlns:xm="http://schemas.microsoft.com/office/excel/2006/main">
          <x14:cfRule type="dataBar" id="{9A14CE31-73EF-8C49-A673-0432C8D0B670}">
            <x14:dataBar minLength="0" maxLength="100" border="1" negativeBarBorderColorSameAsPositive="0">
              <x14:cfvo type="autoMin"/>
              <x14:cfvo type="autoMax"/>
              <x14:borderColor rgb="FF638EC6"/>
              <x14:negativeFillColor rgb="FFFF0000"/>
              <x14:negativeBorderColor rgb="FFFF0000"/>
              <x14:axisColor rgb="FF000000"/>
            </x14:dataBar>
          </x14:cfRule>
          <xm:sqref>P5500:P5531</xm:sqref>
        </x14:conditionalFormatting>
        <x14:conditionalFormatting xmlns:xm="http://schemas.microsoft.com/office/excel/2006/main">
          <x14:cfRule type="dataBar" id="{7DA23381-92A3-454D-888D-2A53CD7A0725}">
            <x14:dataBar minLength="0" maxLength="100" border="1" negativeBarBorderColorSameAsPositive="0">
              <x14:cfvo type="autoMin"/>
              <x14:cfvo type="autoMax"/>
              <x14:borderColor rgb="FF638EC6"/>
              <x14:negativeFillColor rgb="FFFF0000"/>
              <x14:negativeBorderColor rgb="FFFF0000"/>
              <x14:axisColor rgb="FF000000"/>
            </x14:dataBar>
          </x14:cfRule>
          <xm:sqref>P5532:P5563</xm:sqref>
        </x14:conditionalFormatting>
        <x14:conditionalFormatting xmlns:xm="http://schemas.microsoft.com/office/excel/2006/main">
          <x14:cfRule type="dataBar" id="{BE6A5AE8-70A9-2B48-8DC3-5496D6A81EB3}">
            <x14:dataBar minLength="0" maxLength="100" border="1" negativeBarBorderColorSameAsPositive="0">
              <x14:cfvo type="autoMin"/>
              <x14:cfvo type="autoMax"/>
              <x14:borderColor rgb="FF638EC6"/>
              <x14:negativeFillColor rgb="FFFF0000"/>
              <x14:negativeBorderColor rgb="FFFF0000"/>
              <x14:axisColor rgb="FF000000"/>
            </x14:dataBar>
          </x14:cfRule>
          <xm:sqref>P5564:P5595</xm:sqref>
        </x14:conditionalFormatting>
        <x14:conditionalFormatting xmlns:xm="http://schemas.microsoft.com/office/excel/2006/main">
          <x14:cfRule type="dataBar" id="{EC58B128-2C8A-7C44-A5A4-E3EC3E20885B}">
            <x14:dataBar minLength="0" maxLength="100" border="1" negativeBarBorderColorSameAsPositive="0">
              <x14:cfvo type="autoMin"/>
              <x14:cfvo type="autoMax"/>
              <x14:borderColor rgb="FF638EC6"/>
              <x14:negativeFillColor rgb="FFFF0000"/>
              <x14:negativeBorderColor rgb="FFFF0000"/>
              <x14:axisColor rgb="FF000000"/>
            </x14:dataBar>
          </x14:cfRule>
          <xm:sqref>P5596:P5627</xm:sqref>
        </x14:conditionalFormatting>
        <x14:conditionalFormatting xmlns:xm="http://schemas.microsoft.com/office/excel/2006/main">
          <x14:cfRule type="dataBar" id="{C1A350D5-29F5-3545-B627-1544C634D73B}">
            <x14:dataBar minLength="0" maxLength="100" border="1" negativeBarBorderColorSameAsPositive="0">
              <x14:cfvo type="autoMin"/>
              <x14:cfvo type="autoMax"/>
              <x14:borderColor rgb="FF638EC6"/>
              <x14:negativeFillColor rgb="FFFF0000"/>
              <x14:negativeBorderColor rgb="FFFF0000"/>
              <x14:axisColor rgb="FF000000"/>
            </x14:dataBar>
          </x14:cfRule>
          <xm:sqref>P5628:P5659</xm:sqref>
        </x14:conditionalFormatting>
        <x14:conditionalFormatting xmlns:xm="http://schemas.microsoft.com/office/excel/2006/main">
          <x14:cfRule type="dataBar" id="{7A943D76-9001-E046-8F53-8D5563814A9E}">
            <x14:dataBar minLength="0" maxLength="100" border="1" negativeBarBorderColorSameAsPositive="0">
              <x14:cfvo type="autoMin"/>
              <x14:cfvo type="autoMax"/>
              <x14:borderColor rgb="FF638EC6"/>
              <x14:negativeFillColor rgb="FFFF0000"/>
              <x14:negativeBorderColor rgb="FFFF0000"/>
              <x14:axisColor rgb="FF000000"/>
            </x14:dataBar>
          </x14:cfRule>
          <xm:sqref>P5660:P5690</xm:sqref>
        </x14:conditionalFormatting>
        <x14:conditionalFormatting xmlns:xm="http://schemas.microsoft.com/office/excel/2006/main">
          <x14:cfRule type="dataBar" id="{8A948CA9-00C1-6F47-BADD-219F88EB42E7}">
            <x14:dataBar minLength="0" maxLength="100" border="1" negativeBarBorderColorSameAsPositive="0">
              <x14:cfvo type="autoMin"/>
              <x14:cfvo type="autoMax"/>
              <x14:borderColor rgb="FF638EC6"/>
              <x14:negativeFillColor rgb="FFFF0000"/>
              <x14:negativeBorderColor rgb="FFFF0000"/>
              <x14:axisColor rgb="FF000000"/>
            </x14:dataBar>
          </x14:cfRule>
          <xm:sqref>P5691:P5720</xm:sqref>
        </x14:conditionalFormatting>
        <x14:conditionalFormatting xmlns:xm="http://schemas.microsoft.com/office/excel/2006/main">
          <x14:cfRule type="dataBar" id="{01F02036-65EC-1C48-83CA-C8434EC8BD1D}">
            <x14:dataBar minLength="0" maxLength="100" border="1" negativeBarBorderColorSameAsPositive="0">
              <x14:cfvo type="autoMin"/>
              <x14:cfvo type="autoMax"/>
              <x14:borderColor rgb="FF638EC6"/>
              <x14:negativeFillColor rgb="FFFF0000"/>
              <x14:negativeBorderColor rgb="FFFF0000"/>
              <x14:axisColor rgb="FF000000"/>
            </x14:dataBar>
          </x14:cfRule>
          <xm:sqref>P5721:P5751</xm:sqref>
        </x14:conditionalFormatting>
        <x14:conditionalFormatting xmlns:xm="http://schemas.microsoft.com/office/excel/2006/main">
          <x14:cfRule type="dataBar" id="{9EC048FB-C37B-874F-AFA4-B8ECBB4804BE}">
            <x14:dataBar minLength="0" maxLength="100" border="1" negativeBarBorderColorSameAsPositive="0">
              <x14:cfvo type="autoMin"/>
              <x14:cfvo type="autoMax"/>
              <x14:borderColor rgb="FF638EC6"/>
              <x14:negativeFillColor rgb="FFFF0000"/>
              <x14:negativeBorderColor rgb="FFFF0000"/>
              <x14:axisColor rgb="FF000000"/>
            </x14:dataBar>
          </x14:cfRule>
          <xm:sqref>P5752:P5782</xm:sqref>
        </x14:conditionalFormatting>
        <x14:conditionalFormatting xmlns:xm="http://schemas.microsoft.com/office/excel/2006/main">
          <x14:cfRule type="dataBar" id="{E0E6B227-B8F5-3A4D-836A-45E8B0E172F0}">
            <x14:dataBar minLength="0" maxLength="100" border="1" negativeBarBorderColorSameAsPositive="0">
              <x14:cfvo type="autoMin"/>
              <x14:cfvo type="autoMax"/>
              <x14:borderColor rgb="FF638EC6"/>
              <x14:negativeFillColor rgb="FFFF0000"/>
              <x14:negativeBorderColor rgb="FFFF0000"/>
              <x14:axisColor rgb="FF000000"/>
            </x14:dataBar>
          </x14:cfRule>
          <xm:sqref>P5783:P5813</xm:sqref>
        </x14:conditionalFormatting>
        <x14:conditionalFormatting xmlns:xm="http://schemas.microsoft.com/office/excel/2006/main">
          <x14:cfRule type="dataBar" id="{E4DFC7D0-54E9-804E-963F-CA451D117502}">
            <x14:dataBar minLength="0" maxLength="100" border="1" negativeBarBorderColorSameAsPositive="0">
              <x14:cfvo type="autoMin"/>
              <x14:cfvo type="autoMax"/>
              <x14:borderColor rgb="FF638EC6"/>
              <x14:negativeFillColor rgb="FFFF0000"/>
              <x14:negativeBorderColor rgb="FFFF0000"/>
              <x14:axisColor rgb="FF000000"/>
            </x14:dataBar>
          </x14:cfRule>
          <xm:sqref>P5814:P5844</xm:sqref>
        </x14:conditionalFormatting>
        <x14:conditionalFormatting xmlns:xm="http://schemas.microsoft.com/office/excel/2006/main">
          <x14:cfRule type="dataBar" id="{81E87ADC-5402-514B-970A-546CEBD31335}">
            <x14:dataBar minLength="0" maxLength="100" border="1" negativeBarBorderColorSameAsPositive="0">
              <x14:cfvo type="autoMin"/>
              <x14:cfvo type="autoMax"/>
              <x14:borderColor rgb="FF638EC6"/>
              <x14:negativeFillColor rgb="FFFF0000"/>
              <x14:negativeBorderColor rgb="FFFF0000"/>
              <x14:axisColor rgb="FF000000"/>
            </x14:dataBar>
          </x14:cfRule>
          <xm:sqref>P5845:P5874</xm:sqref>
        </x14:conditionalFormatting>
        <x14:conditionalFormatting xmlns:xm="http://schemas.microsoft.com/office/excel/2006/main">
          <x14:cfRule type="dataBar" id="{5C079E85-BC11-2C4B-99BA-66E80B6B421A}">
            <x14:dataBar minLength="0" maxLength="100" border="1" negativeBarBorderColorSameAsPositive="0">
              <x14:cfvo type="autoMin"/>
              <x14:cfvo type="autoMax"/>
              <x14:borderColor rgb="FF638EC6"/>
              <x14:negativeFillColor rgb="FFFF0000"/>
              <x14:negativeBorderColor rgb="FFFF0000"/>
              <x14:axisColor rgb="FF000000"/>
            </x14:dataBar>
          </x14:cfRule>
          <xm:sqref>P5875:P5904</xm:sqref>
        </x14:conditionalFormatting>
        <x14:conditionalFormatting xmlns:xm="http://schemas.microsoft.com/office/excel/2006/main">
          <x14:cfRule type="dataBar" id="{401FC7C3-B3F4-0B4D-8C38-3C440572518B}">
            <x14:dataBar minLength="0" maxLength="100" border="1" negativeBarBorderColorSameAsPositive="0">
              <x14:cfvo type="autoMin"/>
              <x14:cfvo type="autoMax"/>
              <x14:borderColor rgb="FF638EC6"/>
              <x14:negativeFillColor rgb="FFFF0000"/>
              <x14:negativeBorderColor rgb="FFFF0000"/>
              <x14:axisColor rgb="FF000000"/>
            </x14:dataBar>
          </x14:cfRule>
          <xm:sqref>P5905:P5935</xm:sqref>
        </x14:conditionalFormatting>
        <x14:conditionalFormatting xmlns:xm="http://schemas.microsoft.com/office/excel/2006/main">
          <x14:cfRule type="dataBar" id="{D2FA69CF-5B5B-0B4D-9EE3-04D1C0E89FB8}">
            <x14:dataBar minLength="0" maxLength="100" border="1" negativeBarBorderColorSameAsPositive="0">
              <x14:cfvo type="autoMin"/>
              <x14:cfvo type="autoMax"/>
              <x14:borderColor rgb="FF638EC6"/>
              <x14:negativeFillColor rgb="FFFF0000"/>
              <x14:negativeBorderColor rgb="FFFF0000"/>
              <x14:axisColor rgb="FF000000"/>
            </x14:dataBar>
          </x14:cfRule>
          <xm:sqref>P5936:P5966</xm:sqref>
        </x14:conditionalFormatting>
        <x14:conditionalFormatting xmlns:xm="http://schemas.microsoft.com/office/excel/2006/main">
          <x14:cfRule type="dataBar" id="{075FDDDE-281C-0440-8640-0E2AC389913C}">
            <x14:dataBar minLength="0" maxLength="100" border="1" negativeBarBorderColorSameAsPositive="0">
              <x14:cfvo type="autoMin"/>
              <x14:cfvo type="autoMax"/>
              <x14:borderColor rgb="FF638EC6"/>
              <x14:negativeFillColor rgb="FFFF0000"/>
              <x14:negativeBorderColor rgb="FFFF0000"/>
              <x14:axisColor rgb="FF000000"/>
            </x14:dataBar>
          </x14:cfRule>
          <xm:sqref>P5967:P5997</xm:sqref>
        </x14:conditionalFormatting>
        <x14:conditionalFormatting xmlns:xm="http://schemas.microsoft.com/office/excel/2006/main">
          <x14:cfRule type="dataBar" id="{6E8F9D80-5E59-4843-9D2F-913D33EFD05C}">
            <x14:dataBar minLength="0" maxLength="100" border="1" negativeBarBorderColorSameAsPositive="0">
              <x14:cfvo type="autoMin"/>
              <x14:cfvo type="autoMax"/>
              <x14:borderColor rgb="FF638EC6"/>
              <x14:negativeFillColor rgb="FFFF0000"/>
              <x14:negativeBorderColor rgb="FFFF0000"/>
              <x14:axisColor rgb="FF000000"/>
            </x14:dataBar>
          </x14:cfRule>
          <xm:sqref>P5998:P6028</xm:sqref>
        </x14:conditionalFormatting>
        <x14:conditionalFormatting xmlns:xm="http://schemas.microsoft.com/office/excel/2006/main">
          <x14:cfRule type="dataBar" id="{2EE5B0C1-4CC2-8E4E-BDFE-2C969060752F}">
            <x14:dataBar minLength="0" maxLength="100" border="1" negativeBarBorderColorSameAsPositive="0">
              <x14:cfvo type="autoMin"/>
              <x14:cfvo type="autoMax"/>
              <x14:borderColor rgb="FF638EC6"/>
              <x14:negativeFillColor rgb="FFFF0000"/>
              <x14:negativeBorderColor rgb="FFFF0000"/>
              <x14:axisColor rgb="FF000000"/>
            </x14:dataBar>
          </x14:cfRule>
          <xm:sqref>P6029:P6059</xm:sqref>
        </x14:conditionalFormatting>
        <x14:conditionalFormatting xmlns:xm="http://schemas.microsoft.com/office/excel/2006/main">
          <x14:cfRule type="dataBar" id="{1DD01CFE-EA7F-7C47-AD0B-DC4E4541765F}">
            <x14:dataBar minLength="0" maxLength="100" border="1" negativeBarBorderColorSameAsPositive="0">
              <x14:cfvo type="autoMin"/>
              <x14:cfvo type="autoMax"/>
              <x14:borderColor rgb="FF638EC6"/>
              <x14:negativeFillColor rgb="FFFF0000"/>
              <x14:negativeBorderColor rgb="FFFF0000"/>
              <x14:axisColor rgb="FF000000"/>
            </x14:dataBar>
          </x14:cfRule>
          <xm:sqref>P6060:P6090</xm:sqref>
        </x14:conditionalFormatting>
        <x14:conditionalFormatting xmlns:xm="http://schemas.microsoft.com/office/excel/2006/main">
          <x14:cfRule type="dataBar" id="{207926B7-30C9-E24E-8DC7-881989CCC778}">
            <x14:dataBar minLength="0" maxLength="100" border="1" negativeBarBorderColorSameAsPositive="0">
              <x14:cfvo type="autoMin"/>
              <x14:cfvo type="autoMax"/>
              <x14:borderColor rgb="FF638EC6"/>
              <x14:negativeFillColor rgb="FFFF0000"/>
              <x14:negativeBorderColor rgb="FFFF0000"/>
              <x14:axisColor rgb="FF000000"/>
            </x14:dataBar>
          </x14:cfRule>
          <xm:sqref>P6091:P6121</xm:sqref>
        </x14:conditionalFormatting>
        <x14:conditionalFormatting xmlns:xm="http://schemas.microsoft.com/office/excel/2006/main">
          <x14:cfRule type="dataBar" id="{B642B35A-3C9B-F547-935D-E3577A491BB7}">
            <x14:dataBar minLength="0" maxLength="100" border="1" negativeBarBorderColorSameAsPositive="0">
              <x14:cfvo type="autoMin"/>
              <x14:cfvo type="autoMax"/>
              <x14:borderColor rgb="FF638EC6"/>
              <x14:negativeFillColor rgb="FFFF0000"/>
              <x14:negativeBorderColor rgb="FFFF0000"/>
              <x14:axisColor rgb="FF000000"/>
            </x14:dataBar>
          </x14:cfRule>
          <xm:sqref>P6122:P6152</xm:sqref>
        </x14:conditionalFormatting>
        <x14:conditionalFormatting xmlns:xm="http://schemas.microsoft.com/office/excel/2006/main">
          <x14:cfRule type="dataBar" id="{E8D70255-56AA-5B4C-BD62-A67578386306}">
            <x14:dataBar minLength="0" maxLength="100" border="1" negativeBarBorderColorSameAsPositive="0">
              <x14:cfvo type="autoMin"/>
              <x14:cfvo type="autoMax"/>
              <x14:borderColor rgb="FF638EC6"/>
              <x14:negativeFillColor rgb="FFFF0000"/>
              <x14:negativeBorderColor rgb="FFFF0000"/>
              <x14:axisColor rgb="FF000000"/>
            </x14:dataBar>
          </x14:cfRule>
          <xm:sqref>P6153:P6183</xm:sqref>
        </x14:conditionalFormatting>
        <x14:conditionalFormatting xmlns:xm="http://schemas.microsoft.com/office/excel/2006/main">
          <x14:cfRule type="dataBar" id="{F3F65725-B118-A04A-B7A0-01B17FD107A5}">
            <x14:dataBar minLength="0" maxLength="100" border="1" negativeBarBorderColorSameAsPositive="0">
              <x14:cfvo type="autoMin"/>
              <x14:cfvo type="autoMax"/>
              <x14:borderColor rgb="FF638EC6"/>
              <x14:negativeFillColor rgb="FFFF0000"/>
              <x14:negativeBorderColor rgb="FFFF0000"/>
              <x14:axisColor rgb="FF000000"/>
            </x14:dataBar>
          </x14:cfRule>
          <xm:sqref>P6184:P6214</xm:sqref>
        </x14:conditionalFormatting>
        <x14:conditionalFormatting xmlns:xm="http://schemas.microsoft.com/office/excel/2006/main">
          <x14:cfRule type="dataBar" id="{1A1192EE-2C70-7D46-BCA8-85700EB4F08C}">
            <x14:dataBar minLength="0" maxLength="100" border="1" negativeBarBorderColorSameAsPositive="0">
              <x14:cfvo type="autoMin"/>
              <x14:cfvo type="autoMax"/>
              <x14:borderColor rgb="FF638EC6"/>
              <x14:negativeFillColor rgb="FFFF0000"/>
              <x14:negativeBorderColor rgb="FFFF0000"/>
              <x14:axisColor rgb="FF000000"/>
            </x14:dataBar>
          </x14:cfRule>
          <xm:sqref>P6215:P6245</xm:sqref>
        </x14:conditionalFormatting>
        <x14:conditionalFormatting xmlns:xm="http://schemas.microsoft.com/office/excel/2006/main">
          <x14:cfRule type="dataBar" id="{DA0A4409-E6C7-E745-BD01-67C28E09D07B}">
            <x14:dataBar minLength="0" maxLength="100" border="1" negativeBarBorderColorSameAsPositive="0">
              <x14:cfvo type="autoMin"/>
              <x14:cfvo type="autoMax"/>
              <x14:borderColor rgb="FF638EC6"/>
              <x14:negativeFillColor rgb="FFFF0000"/>
              <x14:negativeBorderColor rgb="FFFF0000"/>
              <x14:axisColor rgb="FF000000"/>
            </x14:dataBar>
          </x14:cfRule>
          <xm:sqref>P6246:P6276</xm:sqref>
        </x14:conditionalFormatting>
        <x14:conditionalFormatting xmlns:xm="http://schemas.microsoft.com/office/excel/2006/main">
          <x14:cfRule type="dataBar" id="{A32F5862-9665-EA45-9C09-83AB31AFDCDB}">
            <x14:dataBar minLength="0" maxLength="100" border="1" negativeBarBorderColorSameAsPositive="0">
              <x14:cfvo type="autoMin"/>
              <x14:cfvo type="autoMax"/>
              <x14:borderColor rgb="FF638EC6"/>
              <x14:negativeFillColor rgb="FFFF0000"/>
              <x14:negativeBorderColor rgb="FFFF0000"/>
              <x14:axisColor rgb="FF000000"/>
            </x14:dataBar>
          </x14:cfRule>
          <xm:sqref>P6277:P6308</xm:sqref>
        </x14:conditionalFormatting>
        <x14:conditionalFormatting xmlns:xm="http://schemas.microsoft.com/office/excel/2006/main">
          <x14:cfRule type="dataBar" id="{81CE0E5D-3589-9F4D-B73B-93051616866B}">
            <x14:dataBar minLength="0" maxLength="100" border="1" negativeBarBorderColorSameAsPositive="0">
              <x14:cfvo type="autoMin"/>
              <x14:cfvo type="autoMax"/>
              <x14:borderColor rgb="FF638EC6"/>
              <x14:negativeFillColor rgb="FFFF0000"/>
              <x14:negativeBorderColor rgb="FFFF0000"/>
              <x14:axisColor rgb="FF000000"/>
            </x14:dataBar>
          </x14:cfRule>
          <xm:sqref>P6309:P6340</xm:sqref>
        </x14:conditionalFormatting>
        <x14:conditionalFormatting xmlns:xm="http://schemas.microsoft.com/office/excel/2006/main">
          <x14:cfRule type="dataBar" id="{15EAAA8F-3016-484D-AE6D-EA0B4C89F8D7}">
            <x14:dataBar minLength="0" maxLength="100" border="1" negativeBarBorderColorSameAsPositive="0">
              <x14:cfvo type="autoMin"/>
              <x14:cfvo type="autoMax"/>
              <x14:borderColor rgb="FF638EC6"/>
              <x14:negativeFillColor rgb="FFFF0000"/>
              <x14:negativeBorderColor rgb="FFFF0000"/>
              <x14:axisColor rgb="FF000000"/>
            </x14:dataBar>
          </x14:cfRule>
          <xm:sqref>P6341:P6372</xm:sqref>
        </x14:conditionalFormatting>
        <x14:conditionalFormatting xmlns:xm="http://schemas.microsoft.com/office/excel/2006/main">
          <x14:cfRule type="dataBar" id="{B68615B6-D75A-574A-AE03-A1A2DC4F22E5}">
            <x14:dataBar minLength="0" maxLength="100" border="1" negativeBarBorderColorSameAsPositive="0">
              <x14:cfvo type="autoMin"/>
              <x14:cfvo type="autoMax"/>
              <x14:borderColor rgb="FF638EC6"/>
              <x14:negativeFillColor rgb="FFFF0000"/>
              <x14:negativeBorderColor rgb="FFFF0000"/>
              <x14:axisColor rgb="FF000000"/>
            </x14:dataBar>
          </x14:cfRule>
          <xm:sqref>P6373:P6404</xm:sqref>
        </x14:conditionalFormatting>
        <x14:conditionalFormatting xmlns:xm="http://schemas.microsoft.com/office/excel/2006/main">
          <x14:cfRule type="dataBar" id="{D52BAA8C-A69F-C543-8608-317F18CF0E90}">
            <x14:dataBar minLength="0" maxLength="100" border="1" negativeBarBorderColorSameAsPositive="0">
              <x14:cfvo type="autoMin"/>
              <x14:cfvo type="autoMax"/>
              <x14:borderColor rgb="FF638EC6"/>
              <x14:negativeFillColor rgb="FFFF0000"/>
              <x14:negativeBorderColor rgb="FFFF0000"/>
              <x14:axisColor rgb="FF000000"/>
            </x14:dataBar>
          </x14:cfRule>
          <xm:sqref>P6405:P6436</xm:sqref>
        </x14:conditionalFormatting>
        <x14:conditionalFormatting xmlns:xm="http://schemas.microsoft.com/office/excel/2006/main">
          <x14:cfRule type="dataBar" id="{66B85CF8-FB11-0E4C-9864-AD330EA2457B}">
            <x14:dataBar minLength="0" maxLength="100" border="1" negativeBarBorderColorSameAsPositive="0">
              <x14:cfvo type="autoMin"/>
              <x14:cfvo type="autoMax"/>
              <x14:borderColor rgb="FF638EC6"/>
              <x14:negativeFillColor rgb="FFFF0000"/>
              <x14:negativeBorderColor rgb="FFFF0000"/>
              <x14:axisColor rgb="FF000000"/>
            </x14:dataBar>
          </x14:cfRule>
          <xm:sqref>P6437:P6468</xm:sqref>
        </x14:conditionalFormatting>
        <x14:conditionalFormatting xmlns:xm="http://schemas.microsoft.com/office/excel/2006/main">
          <x14:cfRule type="dataBar" id="{DE7AF6E1-C3CB-9C4F-BDA8-96DA5C7D8AEC}">
            <x14:dataBar minLength="0" maxLength="100" border="1" negativeBarBorderColorSameAsPositive="0">
              <x14:cfvo type="autoMin"/>
              <x14:cfvo type="autoMax"/>
              <x14:borderColor rgb="FF638EC6"/>
              <x14:negativeFillColor rgb="FFFF0000"/>
              <x14:negativeBorderColor rgb="FFFF0000"/>
              <x14:axisColor rgb="FF000000"/>
            </x14:dataBar>
          </x14:cfRule>
          <xm:sqref>P6469:P6500</xm:sqref>
        </x14:conditionalFormatting>
        <x14:conditionalFormatting xmlns:xm="http://schemas.microsoft.com/office/excel/2006/main">
          <x14:cfRule type="dataBar" id="{B82B8859-A019-EC42-822A-A77418289FBE}">
            <x14:dataBar minLength="0" maxLength="100" border="1" negativeBarBorderColorSameAsPositive="0">
              <x14:cfvo type="autoMin"/>
              <x14:cfvo type="autoMax"/>
              <x14:borderColor rgb="FF638EC6"/>
              <x14:negativeFillColor rgb="FFFF0000"/>
              <x14:negativeBorderColor rgb="FFFF0000"/>
              <x14:axisColor rgb="FF000000"/>
            </x14:dataBar>
          </x14:cfRule>
          <xm:sqref>P6501:P6532</xm:sqref>
        </x14:conditionalFormatting>
        <x14:conditionalFormatting xmlns:xm="http://schemas.microsoft.com/office/excel/2006/main">
          <x14:cfRule type="dataBar" id="{FE72361F-B34C-8642-BC55-BDDAE21833F1}">
            <x14:dataBar minLength="0" maxLength="100" border="1" negativeBarBorderColorSameAsPositive="0">
              <x14:cfvo type="autoMin"/>
              <x14:cfvo type="autoMax"/>
              <x14:borderColor rgb="FF638EC6"/>
              <x14:negativeFillColor rgb="FFFF0000"/>
              <x14:negativeBorderColor rgb="FFFF0000"/>
              <x14:axisColor rgb="FF000000"/>
            </x14:dataBar>
          </x14:cfRule>
          <xm:sqref>P6533:P6564</xm:sqref>
        </x14:conditionalFormatting>
        <x14:conditionalFormatting xmlns:xm="http://schemas.microsoft.com/office/excel/2006/main">
          <x14:cfRule type="dataBar" id="{2AA04516-609E-9243-B284-A2E6DC21F5B9}">
            <x14:dataBar minLength="0" maxLength="100" border="1" negativeBarBorderColorSameAsPositive="0">
              <x14:cfvo type="autoMin"/>
              <x14:cfvo type="autoMax"/>
              <x14:borderColor rgb="FF638EC6"/>
              <x14:negativeFillColor rgb="FFFF0000"/>
              <x14:negativeBorderColor rgb="FFFF0000"/>
              <x14:axisColor rgb="FF000000"/>
            </x14:dataBar>
          </x14:cfRule>
          <xm:sqref>P6565:P6596</xm:sqref>
        </x14:conditionalFormatting>
        <x14:conditionalFormatting xmlns:xm="http://schemas.microsoft.com/office/excel/2006/main">
          <x14:cfRule type="dataBar" id="{DA0847FD-F684-F840-8482-9C6FEA87931E}">
            <x14:dataBar minLength="0" maxLength="100" border="1" negativeBarBorderColorSameAsPositive="0">
              <x14:cfvo type="autoMin"/>
              <x14:cfvo type="autoMax"/>
              <x14:borderColor rgb="FF638EC6"/>
              <x14:negativeFillColor rgb="FFFF0000"/>
              <x14:negativeBorderColor rgb="FFFF0000"/>
              <x14:axisColor rgb="FF000000"/>
            </x14:dataBar>
          </x14:cfRule>
          <xm:sqref>P6597:P6628</xm:sqref>
        </x14:conditionalFormatting>
        <x14:conditionalFormatting xmlns:xm="http://schemas.microsoft.com/office/excel/2006/main">
          <x14:cfRule type="dataBar" id="{93E4A012-B01C-2B4E-9D8B-C750E81D35CF}">
            <x14:dataBar minLength="0" maxLength="100" border="1" negativeBarBorderColorSameAsPositive="0">
              <x14:cfvo type="autoMin"/>
              <x14:cfvo type="autoMax"/>
              <x14:borderColor rgb="FF638EC6"/>
              <x14:negativeFillColor rgb="FFFF0000"/>
              <x14:negativeBorderColor rgb="FFFF0000"/>
              <x14:axisColor rgb="FF000000"/>
            </x14:dataBar>
          </x14:cfRule>
          <xm:sqref>P6629:P6660</xm:sqref>
        </x14:conditionalFormatting>
        <x14:conditionalFormatting xmlns:xm="http://schemas.microsoft.com/office/excel/2006/main">
          <x14:cfRule type="dataBar" id="{DFF97AB6-2285-C040-AFAA-F4482B8CE918}">
            <x14:dataBar minLength="0" maxLength="100" border="1" negativeBarBorderColorSameAsPositive="0">
              <x14:cfvo type="autoMin"/>
              <x14:cfvo type="autoMax"/>
              <x14:borderColor rgb="FF638EC6"/>
              <x14:negativeFillColor rgb="FFFF0000"/>
              <x14:negativeBorderColor rgb="FFFF0000"/>
              <x14:axisColor rgb="FF000000"/>
            </x14:dataBar>
          </x14:cfRule>
          <xm:sqref>P6661:P6692</xm:sqref>
        </x14:conditionalFormatting>
        <x14:conditionalFormatting xmlns:xm="http://schemas.microsoft.com/office/excel/2006/main">
          <x14:cfRule type="dataBar" id="{C1C933AC-97BB-B44E-919B-DC7FBCA667C8}">
            <x14:dataBar minLength="0" maxLength="100" border="1" negativeBarBorderColorSameAsPositive="0">
              <x14:cfvo type="autoMin"/>
              <x14:cfvo type="autoMax"/>
              <x14:borderColor rgb="FF638EC6"/>
              <x14:negativeFillColor rgb="FFFF0000"/>
              <x14:negativeBorderColor rgb="FFFF0000"/>
              <x14:axisColor rgb="FF000000"/>
            </x14:dataBar>
          </x14:cfRule>
          <xm:sqref>P6693:P6724</xm:sqref>
        </x14:conditionalFormatting>
        <x14:conditionalFormatting xmlns:xm="http://schemas.microsoft.com/office/excel/2006/main">
          <x14:cfRule type="dataBar" id="{E4C5D514-40DD-B048-87B4-BD92A175DDFA}">
            <x14:dataBar minLength="0" maxLength="100" border="1" negativeBarBorderColorSameAsPositive="0">
              <x14:cfvo type="autoMin"/>
              <x14:cfvo type="autoMax"/>
              <x14:borderColor rgb="FF638EC6"/>
              <x14:negativeFillColor rgb="FFFF0000"/>
              <x14:negativeBorderColor rgb="FFFF0000"/>
              <x14:axisColor rgb="FF000000"/>
            </x14:dataBar>
          </x14:cfRule>
          <xm:sqref>P6725:P6756</xm:sqref>
        </x14:conditionalFormatting>
        <x14:conditionalFormatting xmlns:xm="http://schemas.microsoft.com/office/excel/2006/main">
          <x14:cfRule type="dataBar" id="{6BEF114F-79D2-414C-A35B-512A4B346914}">
            <x14:dataBar minLength="0" maxLength="100" border="1" negativeBarBorderColorSameAsPositive="0">
              <x14:cfvo type="autoMin"/>
              <x14:cfvo type="autoMax"/>
              <x14:borderColor rgb="FF638EC6"/>
              <x14:negativeFillColor rgb="FFFF0000"/>
              <x14:negativeBorderColor rgb="FFFF0000"/>
              <x14:axisColor rgb="FF000000"/>
            </x14:dataBar>
          </x14:cfRule>
          <xm:sqref>P6757:P6788</xm:sqref>
        </x14:conditionalFormatting>
        <x14:conditionalFormatting xmlns:xm="http://schemas.microsoft.com/office/excel/2006/main">
          <x14:cfRule type="dataBar" id="{F82DB1AA-3657-2A4C-80C4-14CAEA91B1EF}">
            <x14:dataBar minLength="0" maxLength="100" border="1" negativeBarBorderColorSameAsPositive="0">
              <x14:cfvo type="autoMin"/>
              <x14:cfvo type="autoMax"/>
              <x14:borderColor rgb="FF638EC6"/>
              <x14:negativeFillColor rgb="FFFF0000"/>
              <x14:negativeBorderColor rgb="FFFF0000"/>
              <x14:axisColor rgb="FF000000"/>
            </x14:dataBar>
          </x14:cfRule>
          <xm:sqref>P6789:P6820</xm:sqref>
        </x14:conditionalFormatting>
        <x14:conditionalFormatting xmlns:xm="http://schemas.microsoft.com/office/excel/2006/main">
          <x14:cfRule type="dataBar" id="{A58B2E10-FB0F-E84A-AAF4-D361A232A58A}">
            <x14:dataBar minLength="0" maxLength="100" border="1" negativeBarBorderColorSameAsPositive="0">
              <x14:cfvo type="autoMin"/>
              <x14:cfvo type="autoMax"/>
              <x14:borderColor rgb="FF638EC6"/>
              <x14:negativeFillColor rgb="FFFF0000"/>
              <x14:negativeBorderColor rgb="FFFF0000"/>
              <x14:axisColor rgb="FF000000"/>
            </x14:dataBar>
          </x14:cfRule>
          <xm:sqref>P6821:P6852</xm:sqref>
        </x14:conditionalFormatting>
        <x14:conditionalFormatting xmlns:xm="http://schemas.microsoft.com/office/excel/2006/main">
          <x14:cfRule type="dataBar" id="{ABCC79D7-9153-2842-9F29-E9A13EC6B308}">
            <x14:dataBar minLength="0" maxLength="100" border="1" negativeBarBorderColorSameAsPositive="0">
              <x14:cfvo type="autoMin"/>
              <x14:cfvo type="autoMax"/>
              <x14:borderColor rgb="FF638EC6"/>
              <x14:negativeFillColor rgb="FFFF0000"/>
              <x14:negativeBorderColor rgb="FFFF0000"/>
              <x14:axisColor rgb="FF000000"/>
            </x14:dataBar>
          </x14:cfRule>
          <xm:sqref>P6853:P6884</xm:sqref>
        </x14:conditionalFormatting>
        <x14:conditionalFormatting xmlns:xm="http://schemas.microsoft.com/office/excel/2006/main">
          <x14:cfRule type="dataBar" id="{DC376688-7DA5-C041-BC59-72B601256CF1}">
            <x14:dataBar minLength="0" maxLength="100" border="1" negativeBarBorderColorSameAsPositive="0">
              <x14:cfvo type="autoMin"/>
              <x14:cfvo type="autoMax"/>
              <x14:borderColor rgb="FF638EC6"/>
              <x14:negativeFillColor rgb="FFFF0000"/>
              <x14:negativeBorderColor rgb="FFFF0000"/>
              <x14:axisColor rgb="FF000000"/>
            </x14:dataBar>
          </x14:cfRule>
          <xm:sqref>P6885:P6916</xm:sqref>
        </x14:conditionalFormatting>
        <x14:conditionalFormatting xmlns:xm="http://schemas.microsoft.com/office/excel/2006/main">
          <x14:cfRule type="dataBar" id="{CC3FA4FB-F771-E34F-8CFD-2FA4A44C84A0}">
            <x14:dataBar minLength="0" maxLength="100" border="1" negativeBarBorderColorSameAsPositive="0">
              <x14:cfvo type="autoMin"/>
              <x14:cfvo type="autoMax"/>
              <x14:borderColor rgb="FF638EC6"/>
              <x14:negativeFillColor rgb="FFFF0000"/>
              <x14:negativeBorderColor rgb="FFFF0000"/>
              <x14:axisColor rgb="FF000000"/>
            </x14:dataBar>
          </x14:cfRule>
          <xm:sqref>P6917:P6948</xm:sqref>
        </x14:conditionalFormatting>
        <x14:conditionalFormatting xmlns:xm="http://schemas.microsoft.com/office/excel/2006/main">
          <x14:cfRule type="dataBar" id="{93EE2D9F-67C0-2C45-8CB3-4578587C99E8}">
            <x14:dataBar minLength="0" maxLength="100" border="1" negativeBarBorderColorSameAsPositive="0">
              <x14:cfvo type="autoMin"/>
              <x14:cfvo type="autoMax"/>
              <x14:borderColor rgb="FF638EC6"/>
              <x14:negativeFillColor rgb="FFFF0000"/>
              <x14:negativeBorderColor rgb="FFFF0000"/>
              <x14:axisColor rgb="FF000000"/>
            </x14:dataBar>
          </x14:cfRule>
          <xm:sqref>P6949:P6980</xm:sqref>
        </x14:conditionalFormatting>
        <x14:conditionalFormatting xmlns:xm="http://schemas.microsoft.com/office/excel/2006/main">
          <x14:cfRule type="dataBar" id="{4B93EC57-62A8-B14F-9F52-2C1CEC8C9270}">
            <x14:dataBar minLength="0" maxLength="100" border="1" negativeBarBorderColorSameAsPositive="0">
              <x14:cfvo type="autoMin"/>
              <x14:cfvo type="autoMax"/>
              <x14:borderColor rgb="FF638EC6"/>
              <x14:negativeFillColor rgb="FFFF0000"/>
              <x14:negativeBorderColor rgb="FFFF0000"/>
              <x14:axisColor rgb="FF000000"/>
            </x14:dataBar>
          </x14:cfRule>
          <xm:sqref>P6981:P7012</xm:sqref>
        </x14:conditionalFormatting>
        <x14:conditionalFormatting xmlns:xm="http://schemas.microsoft.com/office/excel/2006/main">
          <x14:cfRule type="dataBar" id="{86EC76ED-ED3A-D340-8AB1-7E40C7346F0D}">
            <x14:dataBar minLength="0" maxLength="100" border="1" negativeBarBorderColorSameAsPositive="0">
              <x14:cfvo type="autoMin"/>
              <x14:cfvo type="autoMax"/>
              <x14:borderColor rgb="FF638EC6"/>
              <x14:negativeFillColor rgb="FFFF0000"/>
              <x14:negativeBorderColor rgb="FFFF0000"/>
              <x14:axisColor rgb="FF000000"/>
            </x14:dataBar>
          </x14:cfRule>
          <xm:sqref>P7013:P7044</xm:sqref>
        </x14:conditionalFormatting>
        <x14:conditionalFormatting xmlns:xm="http://schemas.microsoft.com/office/excel/2006/main">
          <x14:cfRule type="dataBar" id="{6102746F-B780-AA48-A00F-E55E599A99B3}">
            <x14:dataBar minLength="0" maxLength="100" border="1" negativeBarBorderColorSameAsPositive="0">
              <x14:cfvo type="autoMin"/>
              <x14:cfvo type="autoMax"/>
              <x14:borderColor rgb="FF638EC6"/>
              <x14:negativeFillColor rgb="FFFF0000"/>
              <x14:negativeBorderColor rgb="FFFF0000"/>
              <x14:axisColor rgb="FF000000"/>
            </x14:dataBar>
          </x14:cfRule>
          <xm:sqref>P7045:P7076</xm:sqref>
        </x14:conditionalFormatting>
        <x14:conditionalFormatting xmlns:xm="http://schemas.microsoft.com/office/excel/2006/main">
          <x14:cfRule type="dataBar" id="{DBAECFC0-E2BA-994E-B937-E5DB63AA3F8E}">
            <x14:dataBar minLength="0" maxLength="100" border="1" negativeBarBorderColorSameAsPositive="0">
              <x14:cfvo type="autoMin"/>
              <x14:cfvo type="autoMax"/>
              <x14:borderColor rgb="FF638EC6"/>
              <x14:negativeFillColor rgb="FFFF0000"/>
              <x14:negativeBorderColor rgb="FFFF0000"/>
              <x14:axisColor rgb="FF000000"/>
            </x14:dataBar>
          </x14:cfRule>
          <xm:sqref>P7077:P7108</xm:sqref>
        </x14:conditionalFormatting>
        <x14:conditionalFormatting xmlns:xm="http://schemas.microsoft.com/office/excel/2006/main">
          <x14:cfRule type="dataBar" id="{B1516AD9-CA65-2D49-B754-508BCC5DAA96}">
            <x14:dataBar minLength="0" maxLength="100" border="1" negativeBarBorderColorSameAsPositive="0">
              <x14:cfvo type="autoMin"/>
              <x14:cfvo type="autoMax"/>
              <x14:borderColor rgb="FF638EC6"/>
              <x14:negativeFillColor rgb="FFFF0000"/>
              <x14:negativeBorderColor rgb="FFFF0000"/>
              <x14:axisColor rgb="FF000000"/>
            </x14:dataBar>
          </x14:cfRule>
          <xm:sqref>P7109:P7140</xm:sqref>
        </x14:conditionalFormatting>
        <x14:conditionalFormatting xmlns:xm="http://schemas.microsoft.com/office/excel/2006/main">
          <x14:cfRule type="dataBar" id="{D5195B4C-77C5-3D4E-8D33-636D6E6EE783}">
            <x14:dataBar minLength="0" maxLength="100" border="1" negativeBarBorderColorSameAsPositive="0">
              <x14:cfvo type="autoMin"/>
              <x14:cfvo type="autoMax"/>
              <x14:borderColor rgb="FF638EC6"/>
              <x14:negativeFillColor rgb="FFFF0000"/>
              <x14:negativeBorderColor rgb="FFFF0000"/>
              <x14:axisColor rgb="FF000000"/>
            </x14:dataBar>
          </x14:cfRule>
          <xm:sqref>P7141:P7172</xm:sqref>
        </x14:conditionalFormatting>
        <x14:conditionalFormatting xmlns:xm="http://schemas.microsoft.com/office/excel/2006/main">
          <x14:cfRule type="dataBar" id="{0A948A6D-0A15-9848-9B15-DDA938F6E0DE}">
            <x14:dataBar minLength="0" maxLength="100" border="1" negativeBarBorderColorSameAsPositive="0">
              <x14:cfvo type="autoMin"/>
              <x14:cfvo type="autoMax"/>
              <x14:borderColor rgb="FF638EC6"/>
              <x14:negativeFillColor rgb="FFFF0000"/>
              <x14:negativeBorderColor rgb="FFFF0000"/>
              <x14:axisColor rgb="FF000000"/>
            </x14:dataBar>
          </x14:cfRule>
          <xm:sqref>P7173:P7204</xm:sqref>
        </x14:conditionalFormatting>
        <x14:conditionalFormatting xmlns:xm="http://schemas.microsoft.com/office/excel/2006/main">
          <x14:cfRule type="dataBar" id="{6DE39C72-FB4E-6F4D-AC96-279838D6E401}">
            <x14:dataBar minLength="0" maxLength="100" border="1" negativeBarBorderColorSameAsPositive="0">
              <x14:cfvo type="autoMin"/>
              <x14:cfvo type="autoMax"/>
              <x14:borderColor rgb="FF638EC6"/>
              <x14:negativeFillColor rgb="FFFF0000"/>
              <x14:negativeBorderColor rgb="FFFF0000"/>
              <x14:axisColor rgb="FF000000"/>
            </x14:dataBar>
          </x14:cfRule>
          <xm:sqref>P7205:P7236</xm:sqref>
        </x14:conditionalFormatting>
        <x14:conditionalFormatting xmlns:xm="http://schemas.microsoft.com/office/excel/2006/main">
          <x14:cfRule type="dataBar" id="{05A002CF-CEC8-4C48-91ED-54ED3661A48C}">
            <x14:dataBar minLength="0" maxLength="100" border="1" negativeBarBorderColorSameAsPositive="0">
              <x14:cfvo type="autoMin"/>
              <x14:cfvo type="autoMax"/>
              <x14:borderColor rgb="FF638EC6"/>
              <x14:negativeFillColor rgb="FFFF0000"/>
              <x14:negativeBorderColor rgb="FFFF0000"/>
              <x14:axisColor rgb="FF000000"/>
            </x14:dataBar>
          </x14:cfRule>
          <xm:sqref>P7237:P7268</xm:sqref>
        </x14:conditionalFormatting>
        <x14:conditionalFormatting xmlns:xm="http://schemas.microsoft.com/office/excel/2006/main">
          <x14:cfRule type="dataBar" id="{1BBFFD2E-67BA-4946-B7C9-CF99285233F9}">
            <x14:dataBar minLength="0" maxLength="100" border="1" negativeBarBorderColorSameAsPositive="0">
              <x14:cfvo type="autoMin"/>
              <x14:cfvo type="autoMax"/>
              <x14:borderColor rgb="FF638EC6"/>
              <x14:negativeFillColor rgb="FFFF0000"/>
              <x14:negativeBorderColor rgb="FFFF0000"/>
              <x14:axisColor rgb="FF000000"/>
            </x14:dataBar>
          </x14:cfRule>
          <xm:sqref>P7269:P7300</xm:sqref>
        </x14:conditionalFormatting>
        <x14:conditionalFormatting xmlns:xm="http://schemas.microsoft.com/office/excel/2006/main">
          <x14:cfRule type="dataBar" id="{33D8F99B-316C-EF41-9515-49B63E4C1A20}">
            <x14:dataBar minLength="0" maxLength="100" border="1" negativeBarBorderColorSameAsPositive="0">
              <x14:cfvo type="autoMin"/>
              <x14:cfvo type="autoMax"/>
              <x14:borderColor rgb="FF638EC6"/>
              <x14:negativeFillColor rgb="FFFF0000"/>
              <x14:negativeBorderColor rgb="FFFF0000"/>
              <x14:axisColor rgb="FF000000"/>
            </x14:dataBar>
          </x14:cfRule>
          <xm:sqref>P7301:P7332</xm:sqref>
        </x14:conditionalFormatting>
        <x14:conditionalFormatting xmlns:xm="http://schemas.microsoft.com/office/excel/2006/main">
          <x14:cfRule type="dataBar" id="{EF83E385-650F-4145-987D-C52967F14371}">
            <x14:dataBar minLength="0" maxLength="100" border="1" negativeBarBorderColorSameAsPositive="0">
              <x14:cfvo type="autoMin"/>
              <x14:cfvo type="autoMax"/>
              <x14:borderColor rgb="FF638EC6"/>
              <x14:negativeFillColor rgb="FFFF0000"/>
              <x14:negativeBorderColor rgb="FFFF0000"/>
              <x14:axisColor rgb="FF000000"/>
            </x14:dataBar>
          </x14:cfRule>
          <xm:sqref>P7333:P7364</xm:sqref>
        </x14:conditionalFormatting>
        <x14:conditionalFormatting xmlns:xm="http://schemas.microsoft.com/office/excel/2006/main">
          <x14:cfRule type="dataBar" id="{21520345-1D36-5646-9EBC-C7E0F5D206FB}">
            <x14:dataBar minLength="0" maxLength="100" border="1" negativeBarBorderColorSameAsPositive="0">
              <x14:cfvo type="autoMin"/>
              <x14:cfvo type="autoMax"/>
              <x14:borderColor rgb="FF638EC6"/>
              <x14:negativeFillColor rgb="FFFF0000"/>
              <x14:negativeBorderColor rgb="FFFF0000"/>
              <x14:axisColor rgb="FF000000"/>
            </x14:dataBar>
          </x14:cfRule>
          <xm:sqref>P7365:P7397</xm:sqref>
        </x14:conditionalFormatting>
        <x14:conditionalFormatting xmlns:xm="http://schemas.microsoft.com/office/excel/2006/main">
          <x14:cfRule type="dataBar" id="{A646308E-6B6C-9D46-A380-33B846B0B79F}">
            <x14:dataBar minLength="0" maxLength="100" border="1" negativeBarBorderColorSameAsPositive="0">
              <x14:cfvo type="autoMin"/>
              <x14:cfvo type="autoMax"/>
              <x14:borderColor rgb="FF638EC6"/>
              <x14:negativeFillColor rgb="FFFF0000"/>
              <x14:negativeBorderColor rgb="FFFF0000"/>
              <x14:axisColor rgb="FF000000"/>
            </x14:dataBar>
          </x14:cfRule>
          <xm:sqref>P7398:P7429</xm:sqref>
        </x14:conditionalFormatting>
        <x14:conditionalFormatting xmlns:xm="http://schemas.microsoft.com/office/excel/2006/main">
          <x14:cfRule type="dataBar" id="{578DA903-CC91-ED45-B348-302F77EC66FD}">
            <x14:dataBar minLength="0" maxLength="100" border="1" negativeBarBorderColorSameAsPositive="0">
              <x14:cfvo type="autoMin"/>
              <x14:cfvo type="autoMax"/>
              <x14:borderColor rgb="FF638EC6"/>
              <x14:negativeFillColor rgb="FFFF0000"/>
              <x14:negativeBorderColor rgb="FFFF0000"/>
              <x14:axisColor rgb="FF000000"/>
            </x14:dataBar>
          </x14:cfRule>
          <xm:sqref>P7430:P7461</xm:sqref>
        </x14:conditionalFormatting>
        <x14:conditionalFormatting xmlns:xm="http://schemas.microsoft.com/office/excel/2006/main">
          <x14:cfRule type="dataBar" id="{E620CA6E-E1DD-7D43-9051-ADD7A81ECA83}">
            <x14:dataBar minLength="0" maxLength="100" border="1" negativeBarBorderColorSameAsPositive="0">
              <x14:cfvo type="autoMin"/>
              <x14:cfvo type="autoMax"/>
              <x14:borderColor rgb="FF638EC6"/>
              <x14:negativeFillColor rgb="FFFF0000"/>
              <x14:negativeBorderColor rgb="FFFF0000"/>
              <x14:axisColor rgb="FF000000"/>
            </x14:dataBar>
          </x14:cfRule>
          <xm:sqref>P7462:P7493</xm:sqref>
        </x14:conditionalFormatting>
        <x14:conditionalFormatting xmlns:xm="http://schemas.microsoft.com/office/excel/2006/main">
          <x14:cfRule type="dataBar" id="{B0737E5F-00D0-C24D-86DE-1CC0EDDD51D3}">
            <x14:dataBar minLength="0" maxLength="100" border="1" negativeBarBorderColorSameAsPositive="0">
              <x14:cfvo type="autoMin"/>
              <x14:cfvo type="autoMax"/>
              <x14:borderColor rgb="FF638EC6"/>
              <x14:negativeFillColor rgb="FFFF0000"/>
              <x14:negativeBorderColor rgb="FFFF0000"/>
              <x14:axisColor rgb="FF000000"/>
            </x14:dataBar>
          </x14:cfRule>
          <xm:sqref>P7494:P7525</xm:sqref>
        </x14:conditionalFormatting>
        <x14:conditionalFormatting xmlns:xm="http://schemas.microsoft.com/office/excel/2006/main">
          <x14:cfRule type="dataBar" id="{FB5FA224-02B3-8741-8907-98E0A13A8597}">
            <x14:dataBar minLength="0" maxLength="100" border="1" negativeBarBorderColorSameAsPositive="0">
              <x14:cfvo type="autoMin"/>
              <x14:cfvo type="autoMax"/>
              <x14:borderColor rgb="FF638EC6"/>
              <x14:negativeFillColor rgb="FFFF0000"/>
              <x14:negativeBorderColor rgb="FFFF0000"/>
              <x14:axisColor rgb="FF000000"/>
            </x14:dataBar>
          </x14:cfRule>
          <xm:sqref>P7526:P7557</xm:sqref>
        </x14:conditionalFormatting>
        <x14:conditionalFormatting xmlns:xm="http://schemas.microsoft.com/office/excel/2006/main">
          <x14:cfRule type="dataBar" id="{E067AA8F-05FC-AD44-B0EA-73AC0EC91FEF}">
            <x14:dataBar minLength="0" maxLength="100" border="1" negativeBarBorderColorSameAsPositive="0">
              <x14:cfvo type="autoMin"/>
              <x14:cfvo type="autoMax"/>
              <x14:borderColor rgb="FF638EC6"/>
              <x14:negativeFillColor rgb="FFFF0000"/>
              <x14:negativeBorderColor rgb="FFFF0000"/>
              <x14:axisColor rgb="FF000000"/>
            </x14:dataBar>
          </x14:cfRule>
          <xm:sqref>P7558:P7589</xm:sqref>
        </x14:conditionalFormatting>
        <x14:conditionalFormatting xmlns:xm="http://schemas.microsoft.com/office/excel/2006/main">
          <x14:cfRule type="dataBar" id="{5A97EB5F-77F0-4942-B2C5-7AD0676B8881}">
            <x14:dataBar minLength="0" maxLength="100" border="1" negativeBarBorderColorSameAsPositive="0">
              <x14:cfvo type="autoMin"/>
              <x14:cfvo type="autoMax"/>
              <x14:borderColor rgb="FF638EC6"/>
              <x14:negativeFillColor rgb="FFFF0000"/>
              <x14:negativeBorderColor rgb="FFFF0000"/>
              <x14:axisColor rgb="FF000000"/>
            </x14:dataBar>
          </x14:cfRule>
          <xm:sqref>P7590:P7621</xm:sqref>
        </x14:conditionalFormatting>
        <x14:conditionalFormatting xmlns:xm="http://schemas.microsoft.com/office/excel/2006/main">
          <x14:cfRule type="dataBar" id="{C5B4F5E1-9121-C542-8BA4-9C6A314F1FAA}">
            <x14:dataBar minLength="0" maxLength="100" border="1" negativeBarBorderColorSameAsPositive="0">
              <x14:cfvo type="autoMin"/>
              <x14:cfvo type="autoMax"/>
              <x14:borderColor rgb="FF638EC6"/>
              <x14:negativeFillColor rgb="FFFF0000"/>
              <x14:negativeBorderColor rgb="FFFF0000"/>
              <x14:axisColor rgb="FF000000"/>
            </x14:dataBar>
          </x14:cfRule>
          <xm:sqref>P7816:P1048576 P1657:P1780 P1</xm:sqref>
        </x14:conditionalFormatting>
        <x14:conditionalFormatting xmlns:xm="http://schemas.microsoft.com/office/excel/2006/main">
          <x14:cfRule type="dataBar" id="{D417D9CB-E5E3-8140-A33A-1AEB148DB553}">
            <x14:dataBar minLength="0" maxLength="100" border="1" negativeBarBorderColorSameAsPositive="0">
              <x14:cfvo type="autoMin"/>
              <x14:cfvo type="autoMax"/>
              <x14:borderColor rgb="FF638EC6"/>
              <x14:negativeFillColor rgb="FFFF0000"/>
              <x14:negativeBorderColor rgb="FFFF0000"/>
              <x14:axisColor rgb="FF000000"/>
            </x14:dataBar>
          </x14:cfRule>
          <xm:sqref>P7622:P7653</xm:sqref>
        </x14:conditionalFormatting>
        <x14:conditionalFormatting xmlns:xm="http://schemas.microsoft.com/office/excel/2006/main">
          <x14:cfRule type="dataBar" id="{04CF3807-A17B-164D-8D7E-12E9AFD930F6}">
            <x14:dataBar minLength="0" maxLength="100" border="1" negativeBarBorderColorSameAsPositive="0">
              <x14:cfvo type="autoMin"/>
              <x14:cfvo type="autoMax"/>
              <x14:borderColor rgb="FF638EC6"/>
              <x14:negativeFillColor rgb="FFFF0000"/>
              <x14:negativeBorderColor rgb="FFFF0000"/>
              <x14:axisColor rgb="FF000000"/>
            </x14:dataBar>
          </x14:cfRule>
          <xm:sqref>P7654:P7685</xm:sqref>
        </x14:conditionalFormatting>
        <x14:conditionalFormatting xmlns:xm="http://schemas.microsoft.com/office/excel/2006/main">
          <x14:cfRule type="dataBar" id="{AA350AD4-47C2-4A64-BB10-10938CC1C42F}">
            <x14:dataBar minLength="0" maxLength="100" border="1" negativeBarBorderColorSameAsPositive="0">
              <x14:cfvo type="autoMin"/>
              <x14:cfvo type="autoMax"/>
              <x14:borderColor rgb="FF638EC6"/>
              <x14:negativeFillColor rgb="FFFF0000"/>
              <x14:negativeBorderColor rgb="FFFF0000"/>
              <x14:axisColor rgb="FF000000"/>
            </x14:dataBar>
          </x14:cfRule>
          <xm:sqref>P7686:P7717</xm:sqref>
        </x14:conditionalFormatting>
        <x14:conditionalFormatting xmlns:xm="http://schemas.microsoft.com/office/excel/2006/main">
          <x14:cfRule type="dataBar" id="{BD38A626-128B-49AA-A88F-BB9BE8BACF3F}">
            <x14:dataBar minLength="0" maxLength="100" border="1" negativeBarBorderColorSameAsPositive="0">
              <x14:cfvo type="autoMin"/>
              <x14:cfvo type="autoMax"/>
              <x14:borderColor rgb="FF638EC6"/>
              <x14:negativeFillColor rgb="FFFF0000"/>
              <x14:negativeBorderColor rgb="FFFF0000"/>
              <x14:axisColor rgb="FF000000"/>
            </x14:dataBar>
          </x14:cfRule>
          <xm:sqref>P7718:P7749</xm:sqref>
        </x14:conditionalFormatting>
        <x14:conditionalFormatting xmlns:xm="http://schemas.microsoft.com/office/excel/2006/main">
          <x14:cfRule type="dataBar" id="{5DCA5F4A-4EEA-4CD5-8A73-FB8E0E7089A5}">
            <x14:dataBar minLength="0" maxLength="100" border="1" negativeBarBorderColorSameAsPositive="0">
              <x14:cfvo type="autoMin"/>
              <x14:cfvo type="autoMax"/>
              <x14:borderColor rgb="FF638EC6"/>
              <x14:negativeFillColor rgb="FFFF0000"/>
              <x14:negativeBorderColor rgb="FFFF0000"/>
              <x14:axisColor rgb="FF000000"/>
            </x14:dataBar>
          </x14:cfRule>
          <xm:sqref>P7750:P7782</xm:sqref>
        </x14:conditionalFormatting>
        <x14:conditionalFormatting xmlns:xm="http://schemas.microsoft.com/office/excel/2006/main">
          <x14:cfRule type="dataBar" id="{73E09119-161A-4902-8239-DC3F7AF0074C}">
            <x14:dataBar minLength="0" maxLength="100" border="1" negativeBarBorderColorSameAsPositive="0">
              <x14:cfvo type="autoMin"/>
              <x14:cfvo type="autoMax"/>
              <x14:borderColor rgb="FF638EC6"/>
              <x14:negativeFillColor rgb="FFFF0000"/>
              <x14:negativeBorderColor rgb="FFFF0000"/>
              <x14:axisColor rgb="FF000000"/>
            </x14:dataBar>
          </x14:cfRule>
          <xm:sqref>P7783:P7815</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71BE6-5803-7847-B074-14242CAA9E44}">
  <sheetPr codeName="Sheet3"/>
  <dimension ref="A1:Z37"/>
  <sheetViews>
    <sheetView tabSelected="1" zoomScale="80" zoomScaleNormal="80" workbookViewId="0">
      <selection activeCell="M7" sqref="M7"/>
    </sheetView>
  </sheetViews>
  <sheetFormatPr defaultColWidth="11" defaultRowHeight="15.75" x14ac:dyDescent="0.25"/>
  <cols>
    <col min="4" max="4" width="11.25" bestFit="1" customWidth="1"/>
    <col min="5" max="5" width="11.5" bestFit="1" customWidth="1"/>
    <col min="6" max="9" width="10.875" customWidth="1"/>
    <col min="10" max="10" width="14.375" customWidth="1"/>
    <col min="12" max="15" width="3.25" style="17" customWidth="1"/>
    <col min="16" max="16" width="14" bestFit="1" customWidth="1"/>
    <col min="17" max="17" width="14.625" customWidth="1"/>
    <col min="19" max="19" width="12" bestFit="1" customWidth="1"/>
    <col min="21" max="21" width="8.625" bestFit="1" customWidth="1"/>
    <col min="23" max="23" width="10.5" bestFit="1" customWidth="1"/>
    <col min="24" max="24" width="13" bestFit="1" customWidth="1"/>
    <col min="25" max="25" width="13.125" bestFit="1" customWidth="1"/>
    <col min="26" max="26" width="12.5" bestFit="1" customWidth="1"/>
  </cols>
  <sheetData>
    <row r="1" spans="1:26" x14ac:dyDescent="0.25">
      <c r="B1" t="s">
        <v>106</v>
      </c>
      <c r="C1" t="s">
        <v>39</v>
      </c>
      <c r="D1" t="s">
        <v>40</v>
      </c>
      <c r="E1" t="s">
        <v>41</v>
      </c>
      <c r="F1" t="s">
        <v>42</v>
      </c>
      <c r="G1" t="s">
        <v>323</v>
      </c>
      <c r="H1" t="s">
        <v>43</v>
      </c>
      <c r="I1" t="s">
        <v>44</v>
      </c>
      <c r="J1" t="s">
        <v>45</v>
      </c>
      <c r="K1" t="s">
        <v>46</v>
      </c>
      <c r="M1" s="17" t="str">
        <f>B1</f>
        <v>Ticker</v>
      </c>
      <c r="P1" s="11" t="s">
        <v>326</v>
      </c>
      <c r="Q1" s="10">
        <v>44252</v>
      </c>
    </row>
    <row r="2" spans="1:26" x14ac:dyDescent="0.25">
      <c r="A2" t="s">
        <v>105</v>
      </c>
      <c r="B2" s="6" t="s">
        <v>126</v>
      </c>
      <c r="C2" s="7">
        <f>VLOOKUP(MAX(RR!$G:$G)&amp;$B$2,RR!$A:$R,MATCH(Product!C1,RR!$A$1:$R$1,0),0)</f>
        <v>686</v>
      </c>
      <c r="D2" s="7">
        <f>VLOOKUP(MAX(RR!$G:$G)&amp;$B$2,RR!$A:$R,MATCH(Product!D1,RR!$A$1:$R$1,0),0)</f>
        <v>798</v>
      </c>
      <c r="E2" s="7">
        <f>VLOOKUP(MAX(RR!$G:$G)&amp;$B$2,RR!$A:$R,MATCH(Product!E1,RR!$A$1:$R$1,0),0)</f>
        <v>742</v>
      </c>
      <c r="F2">
        <f>(DSTDEV(RR!$I:$K,Product!C1,Product!$B$1:$B$2)+DSTDEV(RR!$I:$K,Product!D1,Product!$B$1:$B$2))*0.5</f>
        <v>399.70354019880847</v>
      </c>
      <c r="G2" s="7">
        <f t="array" ref="G2">VLOOKUP(MAX(RR!$G:$G)&amp;$B$2,RR!$A:$R,MATCH(Product!G1,RR!$A$1:$R$1,0),0)</f>
        <v>112</v>
      </c>
      <c r="H2" s="7">
        <f>VLOOKUP(MAX(RR!$G:$G)&amp;$B$2,RR!$A:$R,MATCH(Product!H1,RR!$A$1:$R$1,0),0)</f>
        <v>742</v>
      </c>
      <c r="I2" s="7">
        <f>ROUND(VLOOKUP(MAX(RR!$G:$G)&amp;$B$2,RR!$A:$R,MATCH(Product!I1,RR!$A$1:$R$1,0),0),4)</f>
        <v>0</v>
      </c>
      <c r="J2" t="str">
        <f>VLOOKUP(MAX(RR!$G:$G)&amp;$B$2,RR!$A:$R,MATCH(Product!J1,RR!$A$1:$R$1,0),0)</f>
        <v>7.55% | 7.55%</v>
      </c>
      <c r="K2" s="7" t="str">
        <f>VLOOKUP(MAX(RR!$G:$G)&amp;$B$2,RR!$A:$R,MATCH(Product!K1,RR!$A$1:$R$1,0),0)</f>
        <v>BEARISH</v>
      </c>
      <c r="M2" s="17" t="str">
        <f>"="&amp;B2</f>
        <v>=TSLA</v>
      </c>
    </row>
    <row r="4" spans="1:26" x14ac:dyDescent="0.25">
      <c r="P4" s="13" t="s">
        <v>38</v>
      </c>
      <c r="Q4" s="13" t="s">
        <v>39</v>
      </c>
      <c r="R4" s="13" t="s">
        <v>40</v>
      </c>
      <c r="S4" s="13" t="s">
        <v>41</v>
      </c>
      <c r="T4" s="13" t="s">
        <v>42</v>
      </c>
      <c r="U4" s="13" t="s">
        <v>322</v>
      </c>
      <c r="V4" s="13" t="s">
        <v>43</v>
      </c>
      <c r="W4" s="13" t="s">
        <v>44</v>
      </c>
      <c r="X4" s="13" t="s">
        <v>45</v>
      </c>
      <c r="Y4" s="13" t="s">
        <v>46</v>
      </c>
      <c r="Z4" s="13" t="s">
        <v>256</v>
      </c>
    </row>
    <row r="5" spans="1:26" x14ac:dyDescent="0.25">
      <c r="E5" s="16" t="s">
        <v>35</v>
      </c>
      <c r="F5" s="16" t="s">
        <v>335</v>
      </c>
      <c r="G5" s="16" t="s">
        <v>336</v>
      </c>
      <c r="P5" t="s">
        <v>130</v>
      </c>
      <c r="Q5">
        <v>1.47</v>
      </c>
      <c r="R5">
        <v>1.25</v>
      </c>
      <c r="S5">
        <v>1.3599999999999999</v>
      </c>
      <c r="T5">
        <v>0.10999999999999999</v>
      </c>
      <c r="U5">
        <v>0.21999999999999997</v>
      </c>
      <c r="V5">
        <v>1.38</v>
      </c>
      <c r="W5">
        <v>0.18181818181818199</v>
      </c>
      <c r="X5" t="s">
        <v>358</v>
      </c>
      <c r="Y5" t="s">
        <v>325</v>
      </c>
      <c r="Z5">
        <v>1</v>
      </c>
    </row>
    <row r="6" spans="1:26" x14ac:dyDescent="0.25">
      <c r="D6" s="13" t="s">
        <v>341</v>
      </c>
      <c r="E6" s="6">
        <v>1</v>
      </c>
      <c r="F6" s="6">
        <v>10</v>
      </c>
      <c r="G6" s="6">
        <v>2020</v>
      </c>
      <c r="L6" s="17">
        <f ca="1">MIN(DATE(G6,F6,E6),L7)</f>
        <v>44105</v>
      </c>
      <c r="M6" s="18" t="s">
        <v>343</v>
      </c>
      <c r="N6" s="17" t="s">
        <v>337</v>
      </c>
      <c r="O6" s="17" t="str" cm="1">
        <f t="array" aca="1" ref="O6" ca="1">"Staging!$G$"&amp;MATCH(MIN(ABS(Staging!G2:G999999-Product!$L$6)),ABS(Staging!G2:G999999-Product!$L$6),0)+1&amp;":$G$"&amp;MATCH(MIN(ABS(Staging!G2:G999999-Product!$L$7)),ABS(Staging!G2:G999999-Product!$L$7),0)+1</f>
        <v>Staging!$G$155:$G$255</v>
      </c>
      <c r="P6" t="s">
        <v>131</v>
      </c>
      <c r="Q6">
        <v>0.15</v>
      </c>
      <c r="R6">
        <v>0.11</v>
      </c>
      <c r="S6">
        <v>0.13</v>
      </c>
      <c r="T6">
        <v>1.9999999999999938E-2</v>
      </c>
      <c r="U6">
        <v>3.9999999999999994E-2</v>
      </c>
      <c r="V6">
        <v>0.12</v>
      </c>
      <c r="W6">
        <v>-0.500000000000002</v>
      </c>
      <c r="X6" t="s">
        <v>359</v>
      </c>
      <c r="Y6" t="s">
        <v>334</v>
      </c>
      <c r="Z6">
        <v>0</v>
      </c>
    </row>
    <row r="7" spans="1:26" x14ac:dyDescent="0.25">
      <c r="D7" s="13" t="s">
        <v>342</v>
      </c>
      <c r="E7" s="6">
        <f ca="1">DAY(TODAY())</f>
        <v>26</v>
      </c>
      <c r="F7" s="6">
        <f ca="1">MONTH(TODAY())</f>
        <v>2</v>
      </c>
      <c r="G7" s="6">
        <v>2021</v>
      </c>
      <c r="L7" s="17">
        <f ca="1">MIN(DATE(G7,F7,E7),MAX(RR!G:G))</f>
        <v>44252</v>
      </c>
      <c r="M7" s="18" t="s">
        <v>344</v>
      </c>
      <c r="N7" s="17" t="s">
        <v>39</v>
      </c>
      <c r="O7" s="17" t="str" cm="1">
        <f t="array" aca="1" ref="O7" ca="1">"Staging!$J$"&amp;MATCH(MIN(ABS(Staging!G2:G999999-Product!$L$6)),ABS(Staging!G2:G999999-Product!$L$6),0)+1&amp;":$J$"&amp;MATCH(MIN(ABS(Staging!G2:G999999-Product!$L$7)),ABS(Staging!G2:G999999-Product!$L$7),0)+1</f>
        <v>Staging!$J$155:$J$255</v>
      </c>
      <c r="P7" t="s">
        <v>124</v>
      </c>
      <c r="Q7">
        <v>3870</v>
      </c>
      <c r="R7">
        <v>3960</v>
      </c>
      <c r="S7">
        <v>3915</v>
      </c>
      <c r="T7">
        <v>45</v>
      </c>
      <c r="U7">
        <v>90</v>
      </c>
      <c r="V7">
        <v>3925</v>
      </c>
      <c r="W7">
        <v>0.22222222222222221</v>
      </c>
      <c r="X7" t="s">
        <v>360</v>
      </c>
      <c r="Y7" t="s">
        <v>325</v>
      </c>
      <c r="Z7">
        <v>1</v>
      </c>
    </row>
    <row r="8" spans="1:26" x14ac:dyDescent="0.25">
      <c r="M8" s="18" t="s">
        <v>345</v>
      </c>
      <c r="N8" s="17" t="s">
        <v>40</v>
      </c>
      <c r="O8" s="17" t="str" cm="1">
        <f t="array" aca="1" ref="O8" ca="1">"Staging!$K$"&amp;MATCH(MIN(ABS(Staging!G2:G999999-Product!$L$6)),ABS(Staging!G2:G999999-Product!$L$6),0)+1&amp;":$K$"&amp;MATCH(MIN(ABS(Staging!G2:G999999-Product!$L$7)),ABS(Staging!G2:G999999-Product!$L$7),0)+1</f>
        <v>Staging!$K$155:$K$255</v>
      </c>
      <c r="P8" t="s">
        <v>123</v>
      </c>
      <c r="Q8">
        <v>2213</v>
      </c>
      <c r="R8">
        <v>2307</v>
      </c>
      <c r="S8">
        <v>2260</v>
      </c>
      <c r="T8">
        <v>47</v>
      </c>
      <c r="U8">
        <v>94</v>
      </c>
      <c r="V8">
        <v>2284</v>
      </c>
      <c r="W8">
        <v>0.51063829787234039</v>
      </c>
      <c r="X8" t="s">
        <v>361</v>
      </c>
      <c r="Y8" t="s">
        <v>325</v>
      </c>
      <c r="Z8">
        <v>1</v>
      </c>
    </row>
    <row r="9" spans="1:26" x14ac:dyDescent="0.25">
      <c r="M9" s="18" t="s">
        <v>346</v>
      </c>
      <c r="N9" s="17" t="s">
        <v>43</v>
      </c>
      <c r="O9" s="17" t="str" cm="1">
        <f t="array" aca="1" ref="O9" ca="1">"Staging!$O$"&amp;MATCH(MIN(ABS(Staging!G2:G999999-Product!$L$6)),ABS(Staging!G2:G999999-Product!$L$6),0)+1&amp;":$O$"&amp;MATCH(MIN(ABS(Staging!G2:G999999-Product!$L$7)),ABS(Staging!G2:G999999-Product!$L$7),0)+1</f>
        <v>Staging!$O$155:$O$255</v>
      </c>
      <c r="P9" t="s">
        <v>110</v>
      </c>
      <c r="Q9">
        <v>13361</v>
      </c>
      <c r="R9">
        <v>14288</v>
      </c>
      <c r="S9">
        <v>13824.5</v>
      </c>
      <c r="T9">
        <v>463.5</v>
      </c>
      <c r="U9">
        <v>927</v>
      </c>
      <c r="V9">
        <v>13597</v>
      </c>
      <c r="W9">
        <v>-0.49083063646170444</v>
      </c>
      <c r="X9" t="s">
        <v>362</v>
      </c>
      <c r="Y9" t="s">
        <v>325</v>
      </c>
      <c r="Z9">
        <v>1</v>
      </c>
    </row>
    <row r="10" spans="1:26" x14ac:dyDescent="0.25">
      <c r="M10" s="18" t="s">
        <v>347</v>
      </c>
      <c r="N10" s="17" t="s">
        <v>338</v>
      </c>
      <c r="O10" s="17" t="str" cm="1">
        <f t="array" aca="1" ref="O10" ca="1">"Staging!$M$"&amp;MATCH(MIN(ABS(Staging!G2:G999999-Product!$L$6)),ABS(Staging!G2:G999999-Product!$L$6),0)+1&amp;":$M$"&amp;MATCH(MIN(ABS(Staging!G2:G999999-Product!$L$7)),ABS(Staging!G2:G999999-Product!$L$7),0)+1</f>
        <v>Staging!$M$155:$M$255</v>
      </c>
      <c r="P10" t="s">
        <v>136</v>
      </c>
      <c r="Q10">
        <v>132.01</v>
      </c>
      <c r="R10">
        <v>140.19</v>
      </c>
      <c r="S10">
        <v>136.1</v>
      </c>
      <c r="T10">
        <v>4.0900000000000034</v>
      </c>
      <c r="U10">
        <v>8.1800000000000068</v>
      </c>
      <c r="V10">
        <v>134.71</v>
      </c>
      <c r="W10">
        <v>-0.33985330073349274</v>
      </c>
      <c r="X10" t="s">
        <v>363</v>
      </c>
      <c r="Y10" t="s">
        <v>325</v>
      </c>
      <c r="Z10">
        <v>1</v>
      </c>
    </row>
    <row r="11" spans="1:26" x14ac:dyDescent="0.25">
      <c r="M11" s="18" t="s">
        <v>348</v>
      </c>
      <c r="N11" s="17" t="s">
        <v>339</v>
      </c>
      <c r="O11" s="17" t="str" cm="1">
        <f t="array" aca="1" ref="O11" ca="1">"Staging!$N$"&amp;MATCH(MIN(ABS(Staging!G2:G999999-Product!$L$6)),ABS(Staging!G2:G999999-Product!$L$6),0)+1&amp;":$N$"&amp;MATCH(MIN(ABS(Staging!G2:G999999-Product!$L$7)),ABS(Staging!G2:G999999-Product!$L$7),0)+1</f>
        <v>Staging!$N$155:$N$255</v>
      </c>
      <c r="P11" t="s">
        <v>251</v>
      </c>
      <c r="Q11">
        <v>46.18</v>
      </c>
      <c r="R11">
        <v>51.32</v>
      </c>
      <c r="S11">
        <v>48.75</v>
      </c>
      <c r="T11">
        <v>2.5700000000000003</v>
      </c>
      <c r="U11">
        <v>5.1400000000000006</v>
      </c>
      <c r="V11">
        <v>50.29</v>
      </c>
      <c r="W11">
        <v>0.59922178988326813</v>
      </c>
      <c r="X11" t="s">
        <v>364</v>
      </c>
      <c r="Y11" t="s">
        <v>325</v>
      </c>
      <c r="Z11">
        <v>1</v>
      </c>
    </row>
    <row r="12" spans="1:26" x14ac:dyDescent="0.25">
      <c r="N12" s="17" t="s">
        <v>46</v>
      </c>
      <c r="O12" s="17" t="str" cm="1">
        <f t="array" aca="1" ref="O12" ca="1">"Staging!$S$"&amp;MATCH(MIN(ABS(Staging!G2:G999999-Product!$L$6)),ABS(Staging!G2:G999999-Product!$L$6),0)+1&amp;":$S$"&amp;MATCH(MIN(ABS(Staging!G2:G999999-Product!$L$7)),ABS(Staging!G2:G999999-Product!$L$7),0)+1</f>
        <v>Staging!$S$155:$S$255</v>
      </c>
      <c r="P12" t="s">
        <v>134</v>
      </c>
      <c r="Q12">
        <v>31.9</v>
      </c>
      <c r="R12">
        <v>33.93</v>
      </c>
      <c r="S12">
        <v>32.914999999999999</v>
      </c>
      <c r="T12">
        <v>1.0150000000000006</v>
      </c>
      <c r="U12">
        <v>2.0300000000000011</v>
      </c>
      <c r="V12">
        <v>33.549999999999997</v>
      </c>
      <c r="W12">
        <v>0.62561576354679571</v>
      </c>
      <c r="X12" t="s">
        <v>365</v>
      </c>
      <c r="Y12" t="s">
        <v>325</v>
      </c>
      <c r="Z12">
        <v>1</v>
      </c>
    </row>
    <row r="13" spans="1:26" x14ac:dyDescent="0.25">
      <c r="P13" t="s">
        <v>139</v>
      </c>
      <c r="Q13">
        <v>59.35</v>
      </c>
      <c r="R13">
        <v>61.68</v>
      </c>
      <c r="S13">
        <v>60.515000000000001</v>
      </c>
      <c r="T13">
        <v>1.1649999999999991</v>
      </c>
      <c r="U13">
        <v>2.3299999999999983</v>
      </c>
      <c r="V13">
        <v>60</v>
      </c>
      <c r="W13">
        <v>-0.4420600858369107</v>
      </c>
      <c r="X13" t="s">
        <v>366</v>
      </c>
      <c r="Y13" t="s">
        <v>155</v>
      </c>
      <c r="Z13">
        <v>-1</v>
      </c>
    </row>
    <row r="14" spans="1:26" x14ac:dyDescent="0.25">
      <c r="P14" t="s">
        <v>255</v>
      </c>
      <c r="Q14">
        <v>31.98</v>
      </c>
      <c r="R14">
        <v>34.97</v>
      </c>
      <c r="S14">
        <v>33.475000000000001</v>
      </c>
      <c r="T14">
        <v>1.4949999999999992</v>
      </c>
      <c r="U14">
        <v>2.9899999999999984</v>
      </c>
      <c r="V14">
        <v>33.700000000000003</v>
      </c>
      <c r="W14">
        <v>0.15050167224080371</v>
      </c>
      <c r="X14" t="s">
        <v>367</v>
      </c>
      <c r="Y14" t="s">
        <v>155</v>
      </c>
      <c r="Z14">
        <v>-1</v>
      </c>
    </row>
    <row r="15" spans="1:26" x14ac:dyDescent="0.25">
      <c r="P15" t="s">
        <v>125</v>
      </c>
      <c r="Q15">
        <v>3485</v>
      </c>
      <c r="R15">
        <v>3740</v>
      </c>
      <c r="S15">
        <v>3612.5</v>
      </c>
      <c r="T15">
        <v>127.5</v>
      </c>
      <c r="U15">
        <v>255</v>
      </c>
      <c r="V15">
        <v>3585</v>
      </c>
      <c r="W15">
        <v>-0.21568627450980393</v>
      </c>
      <c r="X15" t="s">
        <v>368</v>
      </c>
      <c r="Y15" t="s">
        <v>325</v>
      </c>
      <c r="Z15">
        <v>1</v>
      </c>
    </row>
    <row r="16" spans="1:26" x14ac:dyDescent="0.25">
      <c r="P16" t="s">
        <v>121</v>
      </c>
      <c r="Q16">
        <v>29371</v>
      </c>
      <c r="R16">
        <v>30670</v>
      </c>
      <c r="S16">
        <v>30020.5</v>
      </c>
      <c r="T16">
        <v>649.5</v>
      </c>
      <c r="U16">
        <v>1299</v>
      </c>
      <c r="V16">
        <v>30168</v>
      </c>
      <c r="W16">
        <v>0.22709776751347191</v>
      </c>
      <c r="X16" t="s">
        <v>369</v>
      </c>
      <c r="Y16" t="s">
        <v>325</v>
      </c>
      <c r="Z16">
        <v>1</v>
      </c>
    </row>
    <row r="17" spans="16:26" x14ac:dyDescent="0.25">
      <c r="P17" t="s">
        <v>112</v>
      </c>
      <c r="Q17">
        <v>13809</v>
      </c>
      <c r="R17">
        <v>14157</v>
      </c>
      <c r="S17">
        <v>13983</v>
      </c>
      <c r="T17">
        <v>174</v>
      </c>
      <c r="U17">
        <v>348</v>
      </c>
      <c r="V17">
        <v>13976</v>
      </c>
      <c r="W17">
        <v>-4.0229885057471264E-2</v>
      </c>
      <c r="X17" t="s">
        <v>370</v>
      </c>
      <c r="Y17" t="s">
        <v>325</v>
      </c>
      <c r="Z17">
        <v>1</v>
      </c>
    </row>
    <row r="18" spans="16:26" x14ac:dyDescent="0.25">
      <c r="P18" t="s">
        <v>132</v>
      </c>
      <c r="Q18">
        <v>18.84</v>
      </c>
      <c r="R18">
        <v>24.08</v>
      </c>
      <c r="S18">
        <v>21.46</v>
      </c>
      <c r="T18">
        <v>2.6199999999999872</v>
      </c>
      <c r="U18">
        <v>5.2399999999999984</v>
      </c>
      <c r="V18">
        <v>21.34</v>
      </c>
      <c r="W18">
        <v>-4.5801526717557856E-2</v>
      </c>
      <c r="X18" t="s">
        <v>371</v>
      </c>
      <c r="Y18" t="s">
        <v>155</v>
      </c>
      <c r="Z18">
        <v>-1</v>
      </c>
    </row>
    <row r="19" spans="16:26" x14ac:dyDescent="0.25">
      <c r="P19" t="s">
        <v>127</v>
      </c>
      <c r="Q19">
        <v>89.68</v>
      </c>
      <c r="R19">
        <v>90.83</v>
      </c>
      <c r="S19">
        <v>90.254999999999995</v>
      </c>
      <c r="T19">
        <v>0.57499999999999574</v>
      </c>
      <c r="U19">
        <v>1.1499999999999915</v>
      </c>
      <c r="V19">
        <v>90.17</v>
      </c>
      <c r="W19">
        <v>-0.14782608695651195</v>
      </c>
      <c r="X19" t="s">
        <v>372</v>
      </c>
      <c r="Y19" t="s">
        <v>155</v>
      </c>
      <c r="Z19">
        <v>-1</v>
      </c>
    </row>
    <row r="20" spans="16:26" x14ac:dyDescent="0.25">
      <c r="P20" t="s">
        <v>113</v>
      </c>
      <c r="Q20">
        <v>1.206</v>
      </c>
      <c r="R20">
        <v>1.224</v>
      </c>
      <c r="S20">
        <v>1.2149999999999999</v>
      </c>
      <c r="T20">
        <v>9.000000000000008E-3</v>
      </c>
      <c r="U20">
        <v>1.8000000000000016E-2</v>
      </c>
      <c r="V20">
        <v>1.216</v>
      </c>
      <c r="W20">
        <v>0.11111111111112344</v>
      </c>
      <c r="X20" t="s">
        <v>373</v>
      </c>
      <c r="Y20" t="s">
        <v>325</v>
      </c>
      <c r="Z20">
        <v>1</v>
      </c>
    </row>
    <row r="21" spans="16:26" x14ac:dyDescent="0.25">
      <c r="P21" t="s">
        <v>129</v>
      </c>
      <c r="Q21">
        <v>104.64</v>
      </c>
      <c r="R21">
        <v>106.49</v>
      </c>
      <c r="S21">
        <v>105.565</v>
      </c>
      <c r="T21">
        <v>0.92499999999999716</v>
      </c>
      <c r="U21">
        <v>1.8499999999999943</v>
      </c>
      <c r="V21">
        <v>105.88</v>
      </c>
      <c r="W21">
        <v>0.34054054054053912</v>
      </c>
      <c r="X21" t="s">
        <v>374</v>
      </c>
      <c r="Y21" t="s">
        <v>325</v>
      </c>
      <c r="Z21">
        <v>1</v>
      </c>
    </row>
    <row r="22" spans="16:26" x14ac:dyDescent="0.25">
      <c r="P22" t="s">
        <v>115</v>
      </c>
      <c r="Q22">
        <v>1.383</v>
      </c>
      <c r="R22">
        <v>1.421</v>
      </c>
      <c r="S22">
        <v>1.4020000000000001</v>
      </c>
      <c r="T22">
        <v>1.9000000000000017E-2</v>
      </c>
      <c r="U22">
        <v>3.8000000000000034E-2</v>
      </c>
      <c r="V22">
        <v>1.4139999999999999</v>
      </c>
      <c r="W22">
        <v>0.63157894736840936</v>
      </c>
      <c r="X22" t="s">
        <v>375</v>
      </c>
      <c r="Y22" t="s">
        <v>325</v>
      </c>
      <c r="Z22">
        <v>1</v>
      </c>
    </row>
    <row r="23" spans="16:26" x14ac:dyDescent="0.25">
      <c r="P23" t="s">
        <v>245</v>
      </c>
      <c r="Q23">
        <v>0.79</v>
      </c>
      <c r="R23">
        <v>0.8</v>
      </c>
      <c r="S23">
        <v>0.79500000000000004</v>
      </c>
      <c r="T23">
        <v>5.0000000000000044E-3</v>
      </c>
      <c r="U23">
        <v>1.0000000000000009E-2</v>
      </c>
      <c r="V23">
        <v>0.79</v>
      </c>
      <c r="W23">
        <v>-1</v>
      </c>
      <c r="X23" t="s">
        <v>352</v>
      </c>
      <c r="Y23" t="s">
        <v>325</v>
      </c>
      <c r="Z23">
        <v>1</v>
      </c>
    </row>
    <row r="24" spans="16:26" x14ac:dyDescent="0.25">
      <c r="P24" t="s">
        <v>128</v>
      </c>
      <c r="Q24">
        <v>0.88</v>
      </c>
      <c r="R24">
        <v>0.91</v>
      </c>
      <c r="S24">
        <v>0.89500000000000002</v>
      </c>
      <c r="T24">
        <v>1.5000000000000013E-2</v>
      </c>
      <c r="U24">
        <v>3.0000000000000027E-2</v>
      </c>
      <c r="V24">
        <v>0.9</v>
      </c>
      <c r="W24">
        <v>0.33333333333333331</v>
      </c>
      <c r="X24" t="s">
        <v>353</v>
      </c>
      <c r="Y24" t="s">
        <v>155</v>
      </c>
      <c r="Z24">
        <v>-1</v>
      </c>
    </row>
    <row r="25" spans="16:26" x14ac:dyDescent="0.25">
      <c r="P25" t="s">
        <v>107</v>
      </c>
      <c r="Q25">
        <v>57.92</v>
      </c>
      <c r="R25">
        <v>63.65</v>
      </c>
      <c r="S25">
        <v>60.784999999999997</v>
      </c>
      <c r="T25">
        <v>2.8649999999999984</v>
      </c>
      <c r="U25">
        <v>5.7299999999999969</v>
      </c>
      <c r="V25">
        <v>63.22</v>
      </c>
      <c r="W25">
        <v>0.8499127399650972</v>
      </c>
      <c r="X25" t="s">
        <v>376</v>
      </c>
      <c r="Y25" t="s">
        <v>325</v>
      </c>
      <c r="Z25">
        <v>1</v>
      </c>
    </row>
    <row r="26" spans="16:26" x14ac:dyDescent="0.25">
      <c r="P26" t="s">
        <v>119</v>
      </c>
      <c r="Q26">
        <v>2.7</v>
      </c>
      <c r="R26">
        <v>3.24</v>
      </c>
      <c r="S26">
        <v>2.97</v>
      </c>
      <c r="T26">
        <v>0.27</v>
      </c>
      <c r="U26">
        <v>0.54</v>
      </c>
      <c r="V26">
        <v>2.8</v>
      </c>
      <c r="W26">
        <v>-0.62962962962963098</v>
      </c>
      <c r="X26" t="s">
        <v>377</v>
      </c>
      <c r="Y26" t="s">
        <v>325</v>
      </c>
      <c r="Z26">
        <v>1</v>
      </c>
    </row>
    <row r="27" spans="16:26" x14ac:dyDescent="0.25">
      <c r="P27" t="s">
        <v>116</v>
      </c>
      <c r="Q27">
        <v>1755</v>
      </c>
      <c r="R27">
        <v>1822</v>
      </c>
      <c r="S27">
        <v>1788.5</v>
      </c>
      <c r="T27">
        <v>33.5</v>
      </c>
      <c r="U27">
        <v>67</v>
      </c>
      <c r="V27">
        <v>1797</v>
      </c>
      <c r="W27">
        <v>0.2537313432835821</v>
      </c>
      <c r="X27" t="s">
        <v>378</v>
      </c>
      <c r="Y27" t="s">
        <v>155</v>
      </c>
      <c r="Z27">
        <v>-1</v>
      </c>
    </row>
    <row r="28" spans="16:26" x14ac:dyDescent="0.25">
      <c r="P28" t="s">
        <v>111</v>
      </c>
      <c r="Q28">
        <v>3.97</v>
      </c>
      <c r="R28">
        <v>4.38</v>
      </c>
      <c r="S28">
        <v>4.1749999999999998</v>
      </c>
      <c r="T28">
        <v>0.20499999999999985</v>
      </c>
      <c r="U28">
        <v>0.4099999999999997</v>
      </c>
      <c r="V28">
        <v>4.3</v>
      </c>
      <c r="W28">
        <v>0.60975609756097604</v>
      </c>
      <c r="X28" t="s">
        <v>379</v>
      </c>
      <c r="Y28" t="s">
        <v>325</v>
      </c>
      <c r="Z28">
        <v>1</v>
      </c>
    </row>
    <row r="29" spans="16:26" x14ac:dyDescent="0.25">
      <c r="P29" t="s">
        <v>196</v>
      </c>
      <c r="Q29">
        <v>26.8</v>
      </c>
      <c r="R29">
        <v>28.31</v>
      </c>
      <c r="S29">
        <v>27.555</v>
      </c>
      <c r="T29">
        <v>0.75499999999999901</v>
      </c>
      <c r="U29">
        <v>1.509999999999998</v>
      </c>
      <c r="V29">
        <v>27.86</v>
      </c>
      <c r="W29">
        <v>0.40397350993377501</v>
      </c>
      <c r="X29" t="s">
        <v>380</v>
      </c>
      <c r="Y29" t="s">
        <v>325</v>
      </c>
      <c r="Z29">
        <v>1</v>
      </c>
    </row>
    <row r="30" spans="16:26" x14ac:dyDescent="0.25">
      <c r="P30" t="s">
        <v>118</v>
      </c>
      <c r="Q30">
        <v>231</v>
      </c>
      <c r="R30">
        <v>250</v>
      </c>
      <c r="S30">
        <v>240.5</v>
      </c>
      <c r="T30">
        <v>9.5</v>
      </c>
      <c r="U30">
        <v>19</v>
      </c>
      <c r="V30">
        <v>234</v>
      </c>
      <c r="W30">
        <v>-0.68421052631578949</v>
      </c>
      <c r="X30" t="s">
        <v>381</v>
      </c>
      <c r="Y30" t="s">
        <v>325</v>
      </c>
      <c r="Z30">
        <v>1</v>
      </c>
    </row>
    <row r="31" spans="16:26" x14ac:dyDescent="0.25">
      <c r="P31" t="s">
        <v>108</v>
      </c>
      <c r="Q31">
        <v>121</v>
      </c>
      <c r="R31">
        <v>132</v>
      </c>
      <c r="S31">
        <v>126.5</v>
      </c>
      <c r="T31">
        <v>5.5</v>
      </c>
      <c r="U31">
        <v>11</v>
      </c>
      <c r="V31">
        <v>125</v>
      </c>
      <c r="W31">
        <v>-0.27272727272727271</v>
      </c>
      <c r="X31" t="s">
        <v>382</v>
      </c>
      <c r="Y31" t="s">
        <v>155</v>
      </c>
      <c r="Z31">
        <v>-1</v>
      </c>
    </row>
    <row r="32" spans="16:26" x14ac:dyDescent="0.25">
      <c r="P32" t="s">
        <v>109</v>
      </c>
      <c r="Q32">
        <v>3108</v>
      </c>
      <c r="R32">
        <v>3262</v>
      </c>
      <c r="S32">
        <v>3185</v>
      </c>
      <c r="T32">
        <v>77</v>
      </c>
      <c r="U32">
        <v>154</v>
      </c>
      <c r="V32">
        <v>3159</v>
      </c>
      <c r="W32">
        <v>-0.33766233766233766</v>
      </c>
      <c r="X32" t="s">
        <v>383</v>
      </c>
      <c r="Y32" t="s">
        <v>155</v>
      </c>
      <c r="Z32">
        <v>-1</v>
      </c>
    </row>
    <row r="33" spans="5:26" x14ac:dyDescent="0.25">
      <c r="P33" t="s">
        <v>114</v>
      </c>
      <c r="Q33">
        <v>255</v>
      </c>
      <c r="R33">
        <v>276</v>
      </c>
      <c r="S33">
        <v>265.5</v>
      </c>
      <c r="T33">
        <v>10.5</v>
      </c>
      <c r="U33">
        <v>21</v>
      </c>
      <c r="V33">
        <v>264</v>
      </c>
      <c r="W33">
        <v>-0.14285714285714285</v>
      </c>
      <c r="X33" t="s">
        <v>384</v>
      </c>
      <c r="Y33" t="s">
        <v>334</v>
      </c>
      <c r="Z33">
        <v>0</v>
      </c>
    </row>
    <row r="34" spans="5:26" x14ac:dyDescent="0.25">
      <c r="E34" s="11"/>
      <c r="P34" t="s">
        <v>117</v>
      </c>
      <c r="Q34">
        <v>2041</v>
      </c>
      <c r="R34">
        <v>2134</v>
      </c>
      <c r="S34">
        <v>2087.5</v>
      </c>
      <c r="T34">
        <v>46.5</v>
      </c>
      <c r="U34">
        <v>93</v>
      </c>
      <c r="V34">
        <v>2083</v>
      </c>
      <c r="W34">
        <v>-9.6774193548387094E-2</v>
      </c>
      <c r="X34" t="s">
        <v>385</v>
      </c>
      <c r="Y34" t="s">
        <v>325</v>
      </c>
      <c r="Z34">
        <v>1</v>
      </c>
    </row>
    <row r="35" spans="5:26" x14ac:dyDescent="0.25">
      <c r="E35" s="12"/>
      <c r="P35" t="s">
        <v>120</v>
      </c>
      <c r="Q35">
        <v>531</v>
      </c>
      <c r="R35">
        <v>568</v>
      </c>
      <c r="S35">
        <v>549.5</v>
      </c>
      <c r="T35">
        <v>18.5</v>
      </c>
      <c r="U35">
        <v>37</v>
      </c>
      <c r="V35">
        <v>553</v>
      </c>
      <c r="W35">
        <v>0.1891891891891892</v>
      </c>
      <c r="X35" t="s">
        <v>386</v>
      </c>
      <c r="Y35" t="s">
        <v>325</v>
      </c>
      <c r="Z35">
        <v>1</v>
      </c>
    </row>
    <row r="36" spans="5:26" x14ac:dyDescent="0.25">
      <c r="P36" t="s">
        <v>126</v>
      </c>
      <c r="Q36">
        <v>686</v>
      </c>
      <c r="R36">
        <v>798</v>
      </c>
      <c r="S36">
        <v>742</v>
      </c>
      <c r="T36">
        <v>56</v>
      </c>
      <c r="U36">
        <v>112</v>
      </c>
      <c r="V36">
        <v>742</v>
      </c>
      <c r="W36">
        <v>0</v>
      </c>
      <c r="X36" t="s">
        <v>387</v>
      </c>
      <c r="Y36" t="s">
        <v>155</v>
      </c>
      <c r="Z36">
        <v>-1</v>
      </c>
    </row>
    <row r="37" spans="5:26" x14ac:dyDescent="0.25">
      <c r="P37" t="s">
        <v>122</v>
      </c>
      <c r="Q37">
        <v>44868</v>
      </c>
      <c r="R37">
        <v>54959</v>
      </c>
      <c r="S37">
        <v>49913.5</v>
      </c>
      <c r="T37">
        <v>5045.5</v>
      </c>
      <c r="U37">
        <v>10091</v>
      </c>
      <c r="V37">
        <v>49474</v>
      </c>
      <c r="W37">
        <v>-8.7107323357447225E-2</v>
      </c>
      <c r="X37" t="s">
        <v>388</v>
      </c>
      <c r="Y37" t="s">
        <v>325</v>
      </c>
      <c r="Z37">
        <v>1</v>
      </c>
    </row>
  </sheetData>
  <phoneticPr fontId="5" type="noConversion"/>
  <conditionalFormatting sqref="K1">
    <cfRule type="containsText" dxfId="6731" priority="6954" operator="containsText" text="NEUTRAL">
      <formula>NOT(ISERROR(SEARCH("NEUTRAL",K1)))</formula>
    </cfRule>
    <cfRule type="containsText" dxfId="6730" priority="6955" operator="containsText" text="BULLISH">
      <formula>NOT(ISERROR(SEARCH("BULLISH",K1)))</formula>
    </cfRule>
    <cfRule type="containsText" dxfId="6729" priority="6956" operator="containsText" text="BEARISH">
      <formula>NOT(ISERROR(SEARCH("BEARISH",K1)))</formula>
    </cfRule>
  </conditionalFormatting>
  <conditionalFormatting sqref="I1">
    <cfRule type="dataBar" priority="6953">
      <dataBar>
        <cfvo type="min"/>
        <cfvo type="max"/>
        <color rgb="FF638EC6"/>
      </dataBar>
      <extLst>
        <ext xmlns:x14="http://schemas.microsoft.com/office/spreadsheetml/2009/9/main" uri="{B025F937-C7B1-47D3-B67F-A62EFF666E3E}">
          <x14:id>{5160E317-E211-8A4F-9488-63F03F79A8F5}</x14:id>
        </ext>
      </extLst>
    </cfRule>
  </conditionalFormatting>
  <conditionalFormatting sqref="K2">
    <cfRule type="containsText" dxfId="6728" priority="6950" operator="containsText" text="NEUTRAL">
      <formula>NOT(ISERROR(SEARCH("NEUTRAL",K2)))</formula>
    </cfRule>
    <cfRule type="containsText" dxfId="6727" priority="6951" operator="containsText" text="BULLISH">
      <formula>NOT(ISERROR(SEARCH("BULLISH",K2)))</formula>
    </cfRule>
    <cfRule type="containsText" dxfId="6726" priority="6952" operator="containsText" text="BEARISH">
      <formula>NOT(ISERROR(SEARCH("BEARISH",K2)))</formula>
    </cfRule>
  </conditionalFormatting>
  <conditionalFormatting sqref="J2">
    <cfRule type="dataBar" priority="4945">
      <dataBar>
        <cfvo type="min"/>
        <cfvo type="max"/>
        <color rgb="FF638EC6"/>
      </dataBar>
      <extLst>
        <ext xmlns:x14="http://schemas.microsoft.com/office/spreadsheetml/2009/9/main" uri="{B025F937-C7B1-47D3-B67F-A62EFF666E3E}">
          <x14:id>{DC5FDE87-148D-7E4C-90BA-24FA8EBF33A3}</x14:id>
        </ext>
      </extLst>
    </cfRule>
  </conditionalFormatting>
  <conditionalFormatting sqref="Y4:Z4">
    <cfRule type="containsText" dxfId="6725" priority="4334" operator="containsText" text="NEUTRAL">
      <formula>NOT(ISERROR(SEARCH("NEUTRAL",Y4)))</formula>
    </cfRule>
    <cfRule type="containsText" dxfId="6724" priority="4335" operator="containsText" text="BULLISH">
      <formula>NOT(ISERROR(SEARCH("BULLISH",Y4)))</formula>
    </cfRule>
    <cfRule type="containsText" dxfId="6723" priority="4336" operator="containsText" text="BEARISH">
      <formula>NOT(ISERROR(SEARCH("BEARISH",Y4)))</formula>
    </cfRule>
  </conditionalFormatting>
  <conditionalFormatting sqref="W4">
    <cfRule type="dataBar" priority="4333">
      <dataBar>
        <cfvo type="min"/>
        <cfvo type="max"/>
        <color rgb="FF638EC6"/>
      </dataBar>
      <extLst>
        <ext xmlns:x14="http://schemas.microsoft.com/office/spreadsheetml/2009/9/main" uri="{B025F937-C7B1-47D3-B67F-A62EFF666E3E}">
          <x14:id>{A8033DF1-C4C7-4655-894E-B86416D0B65D}</x14:id>
        </ext>
      </extLst>
    </cfRule>
  </conditionalFormatting>
  <conditionalFormatting sqref="Y5:Y38">
    <cfRule type="containsText" dxfId="746" priority="1" operator="containsText" text="NEUTRAL">
      <formula>NOT(ISERROR(SEARCH("NEUTRAL",Y5)))</formula>
    </cfRule>
    <cfRule type="containsText" dxfId="745" priority="2" operator="containsText" text="BULLISH">
      <formula>NOT(ISERROR(SEARCH("BULLISH",Y5)))</formula>
    </cfRule>
    <cfRule type="containsText" dxfId="744" priority="3" operator="containsText" text="BEARISH">
      <formula>NOT(ISERROR(SEARCH("BEARISH",Y5)))</formula>
    </cfRule>
  </conditionalFormatting>
  <conditionalFormatting sqref="W5:W38">
    <cfRule type="dataBar" priority="4">
      <dataBar>
        <cfvo type="min"/>
        <cfvo type="max"/>
        <color rgb="FF638EC6"/>
      </dataBar>
      <extLst>
        <ext xmlns:x14="http://schemas.microsoft.com/office/spreadsheetml/2009/9/main" uri="{B025F937-C7B1-47D3-B67F-A62EFF666E3E}">
          <x14:id>{9587B0A6-EB6A-451A-A0F3-5833F8E546B7}</x14:id>
        </ext>
      </extLs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vancedFilter" altText="Refresh Graph">
                <anchor moveWithCells="1" sizeWithCells="1">
                  <from>
                    <xdr:col>0</xdr:col>
                    <xdr:colOff>180975</xdr:colOff>
                    <xdr:row>5</xdr:row>
                    <xdr:rowOff>28575</xdr:rowOff>
                  </from>
                  <to>
                    <xdr:col>2</xdr:col>
                    <xdr:colOff>47625</xdr:colOff>
                    <xdr:row>8</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160E317-E211-8A4F-9488-63F03F79A8F5}">
            <x14:dataBar minLength="0" maxLength="100" border="1" negativeBarBorderColorSameAsPositive="0">
              <x14:cfvo type="autoMin"/>
              <x14:cfvo type="autoMax"/>
              <x14:borderColor rgb="FF638EC6"/>
              <x14:negativeFillColor rgb="FFFF0000"/>
              <x14:negativeBorderColor rgb="FFFF0000"/>
              <x14:axisColor rgb="FF000000"/>
            </x14:dataBar>
          </x14:cfRule>
          <xm:sqref>I1</xm:sqref>
        </x14:conditionalFormatting>
        <x14:conditionalFormatting xmlns:xm="http://schemas.microsoft.com/office/excel/2006/main">
          <x14:cfRule type="dataBar" id="{DC5FDE87-148D-7E4C-90BA-24FA8EBF33A3}">
            <x14:dataBar minLength="0" maxLength="100" border="1" negativeBarBorderColorSameAsPositive="0">
              <x14:cfvo type="autoMin"/>
              <x14:cfvo type="autoMax"/>
              <x14:borderColor rgb="FF638EC6"/>
              <x14:negativeFillColor rgb="FFFF0000"/>
              <x14:negativeBorderColor rgb="FFFF0000"/>
              <x14:axisColor rgb="FF000000"/>
            </x14:dataBar>
          </x14:cfRule>
          <xm:sqref>J2</xm:sqref>
        </x14:conditionalFormatting>
        <x14:conditionalFormatting xmlns:xm="http://schemas.microsoft.com/office/excel/2006/main">
          <x14:cfRule type="dataBar" id="{A8033DF1-C4C7-4655-894E-B86416D0B65D}">
            <x14:dataBar minLength="0" maxLength="100" border="1" negativeBarBorderColorSameAsPositive="0">
              <x14:cfvo type="autoMin"/>
              <x14:cfvo type="autoMax"/>
              <x14:borderColor rgb="FF638EC6"/>
              <x14:negativeFillColor rgb="FFFF0000"/>
              <x14:negativeBorderColor rgb="FFFF0000"/>
              <x14:axisColor rgb="FF000000"/>
            </x14:dataBar>
          </x14:cfRule>
          <xm:sqref>W4</xm:sqref>
        </x14:conditionalFormatting>
        <x14:conditionalFormatting xmlns:xm="http://schemas.microsoft.com/office/excel/2006/main">
          <x14:cfRule type="dataBar" id="{9587B0A6-EB6A-451A-A0F3-5833F8E546B7}">
            <x14:dataBar minLength="0" maxLength="100" border="1" negativeBarBorderColorSameAsPositive="0">
              <x14:cfvo type="autoMin"/>
              <x14:cfvo type="autoMax"/>
              <x14:borderColor rgb="FF638EC6"/>
              <x14:negativeFillColor rgb="FFFF0000"/>
              <x14:negativeBorderColor rgb="FFFF0000"/>
              <x14:axisColor rgb="FF000000"/>
            </x14:dataBar>
          </x14:cfRule>
          <xm:sqref>W5:W38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8A96482A-BF0F-7E49-AC03-C1410468B6B1}">
          <x14:formula1>
            <xm:f>INDIRECT("REF!$A$1:$A$"&amp;LOOKUP(2,1/(REF!A:A&lt;&gt;""),ROW(REF!A:A)))</xm:f>
          </x14:formula1>
          <xm:sqref>B2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B7E7C4-344F-6640-8305-0A9C605E7397}">
  <sheetPr codeName="Sheet6"/>
  <dimension ref="A1:S7905"/>
  <sheetViews>
    <sheetView zoomScale="80" zoomScaleNormal="80" workbookViewId="0">
      <selection sqref="A1:S7814"/>
    </sheetView>
  </sheetViews>
  <sheetFormatPr defaultColWidth="11" defaultRowHeight="15.75" x14ac:dyDescent="0.25"/>
  <cols>
    <col min="7" max="7" width="12.375" bestFit="1" customWidth="1"/>
  </cols>
  <sheetData>
    <row r="1" spans="1:19" x14ac:dyDescent="0.25">
      <c r="A1" s="5" t="s">
        <v>141</v>
      </c>
      <c r="B1" s="6" t="s">
        <v>0</v>
      </c>
      <c r="C1" s="6" t="s">
        <v>1</v>
      </c>
      <c r="D1" s="6" t="s">
        <v>2</v>
      </c>
      <c r="E1" s="6" t="s">
        <v>3</v>
      </c>
      <c r="F1" t="s">
        <v>35</v>
      </c>
      <c r="G1" t="s">
        <v>36</v>
      </c>
      <c r="H1" t="s">
        <v>37</v>
      </c>
      <c r="I1" t="s">
        <v>324</v>
      </c>
      <c r="J1" t="s">
        <v>39</v>
      </c>
      <c r="K1" t="s">
        <v>40</v>
      </c>
      <c r="L1" t="s">
        <v>41</v>
      </c>
      <c r="M1" t="s">
        <v>42</v>
      </c>
      <c r="N1" t="s">
        <v>321</v>
      </c>
      <c r="O1" t="s">
        <v>43</v>
      </c>
      <c r="P1" t="s">
        <v>44</v>
      </c>
      <c r="Q1" t="s">
        <v>45</v>
      </c>
      <c r="R1" t="s">
        <v>46</v>
      </c>
      <c r="S1" t="s">
        <v>256</v>
      </c>
    </row>
    <row r="2" spans="1:19" x14ac:dyDescent="0.25">
      <c r="A2" s="5" t="s">
        <v>390</v>
      </c>
      <c r="B2" s="6" t="s">
        <v>33</v>
      </c>
      <c r="C2" s="6">
        <v>724</v>
      </c>
      <c r="D2" s="6">
        <v>946</v>
      </c>
      <c r="E2" s="6">
        <v>833</v>
      </c>
      <c r="F2" t="s">
        <v>329</v>
      </c>
      <c r="G2" s="3">
        <v>43886</v>
      </c>
      <c r="H2" s="2">
        <v>367</v>
      </c>
      <c r="I2" t="s">
        <v>126</v>
      </c>
      <c r="J2">
        <v>724</v>
      </c>
      <c r="K2">
        <v>946</v>
      </c>
      <c r="L2">
        <v>835</v>
      </c>
      <c r="M2">
        <v>111</v>
      </c>
      <c r="N2">
        <v>222</v>
      </c>
      <c r="O2">
        <v>833</v>
      </c>
      <c r="P2">
        <v>-1.8018018018018018E-2</v>
      </c>
      <c r="Q2" t="s">
        <v>391</v>
      </c>
      <c r="R2" t="s">
        <v>325</v>
      </c>
      <c r="S2">
        <v>1</v>
      </c>
    </row>
    <row r="3" spans="1:19" x14ac:dyDescent="0.25">
      <c r="A3" s="5" t="s">
        <v>392</v>
      </c>
      <c r="B3" s="6" t="s">
        <v>33</v>
      </c>
      <c r="C3" s="6">
        <v>730</v>
      </c>
      <c r="D3" s="6">
        <v>943</v>
      </c>
      <c r="E3" s="6">
        <v>799</v>
      </c>
      <c r="F3" t="s">
        <v>330</v>
      </c>
      <c r="G3" s="1">
        <v>43887</v>
      </c>
      <c r="H3" s="2">
        <v>366</v>
      </c>
      <c r="I3" t="s">
        <v>126</v>
      </c>
      <c r="J3">
        <v>730</v>
      </c>
      <c r="K3">
        <v>943</v>
      </c>
      <c r="L3">
        <v>836.5</v>
      </c>
      <c r="M3">
        <v>106.5</v>
      </c>
      <c r="N3">
        <v>213</v>
      </c>
      <c r="O3">
        <v>799</v>
      </c>
      <c r="P3">
        <v>-0.352112676056338</v>
      </c>
      <c r="Q3" t="s">
        <v>393</v>
      </c>
      <c r="R3" t="s">
        <v>325</v>
      </c>
      <c r="S3">
        <v>1</v>
      </c>
    </row>
    <row r="4" spans="1:19" x14ac:dyDescent="0.25">
      <c r="A4" s="5" t="s">
        <v>394</v>
      </c>
      <c r="B4" s="6" t="s">
        <v>33</v>
      </c>
      <c r="C4" s="6">
        <v>731</v>
      </c>
      <c r="D4" s="6">
        <v>940</v>
      </c>
      <c r="E4" s="6">
        <v>778</v>
      </c>
      <c r="F4" t="s">
        <v>331</v>
      </c>
      <c r="G4" s="3">
        <v>43888</v>
      </c>
      <c r="H4" s="2">
        <v>365</v>
      </c>
      <c r="I4" t="s">
        <v>126</v>
      </c>
      <c r="J4">
        <v>731</v>
      </c>
      <c r="K4">
        <v>940</v>
      </c>
      <c r="L4">
        <v>835.5</v>
      </c>
      <c r="M4">
        <v>104.5</v>
      </c>
      <c r="N4">
        <v>209</v>
      </c>
      <c r="O4">
        <v>778</v>
      </c>
      <c r="P4">
        <v>-0.55023923444976075</v>
      </c>
      <c r="Q4" t="s">
        <v>395</v>
      </c>
      <c r="R4" t="s">
        <v>325</v>
      </c>
      <c r="S4">
        <v>1</v>
      </c>
    </row>
    <row r="5" spans="1:19" x14ac:dyDescent="0.25">
      <c r="A5" s="5" t="s">
        <v>396</v>
      </c>
      <c r="B5" s="6" t="s">
        <v>71</v>
      </c>
      <c r="C5" s="6">
        <v>612</v>
      </c>
      <c r="D5" s="6">
        <v>830</v>
      </c>
      <c r="E5" s="6">
        <v>679</v>
      </c>
      <c r="F5" t="s">
        <v>332</v>
      </c>
      <c r="G5" s="1">
        <v>43889</v>
      </c>
      <c r="H5" s="2">
        <v>364</v>
      </c>
      <c r="I5" t="s">
        <v>126</v>
      </c>
      <c r="J5">
        <v>612</v>
      </c>
      <c r="K5">
        <v>830</v>
      </c>
      <c r="L5">
        <v>721</v>
      </c>
      <c r="M5">
        <v>109</v>
      </c>
      <c r="N5">
        <v>218</v>
      </c>
      <c r="O5">
        <v>679</v>
      </c>
      <c r="P5">
        <v>-0.38532110091743121</v>
      </c>
      <c r="Q5" t="s">
        <v>397</v>
      </c>
      <c r="R5" t="s">
        <v>334</v>
      </c>
      <c r="S5">
        <v>0</v>
      </c>
    </row>
    <row r="6" spans="1:19" x14ac:dyDescent="0.25">
      <c r="A6" s="5" t="s">
        <v>398</v>
      </c>
      <c r="B6" s="6" t="s">
        <v>71</v>
      </c>
      <c r="C6" s="6">
        <v>565</v>
      </c>
      <c r="D6" s="6">
        <v>816</v>
      </c>
      <c r="E6" s="6">
        <v>667</v>
      </c>
      <c r="F6" t="s">
        <v>333</v>
      </c>
      <c r="G6" s="3">
        <v>43892</v>
      </c>
      <c r="H6" s="2">
        <v>361</v>
      </c>
      <c r="I6" t="s">
        <v>126</v>
      </c>
      <c r="J6">
        <v>565</v>
      </c>
      <c r="K6">
        <v>816</v>
      </c>
      <c r="L6">
        <v>690.5</v>
      </c>
      <c r="M6">
        <v>125.5</v>
      </c>
      <c r="N6">
        <v>251</v>
      </c>
      <c r="O6">
        <v>667</v>
      </c>
      <c r="P6">
        <v>-0.18725099601593626</v>
      </c>
      <c r="Q6" t="s">
        <v>399</v>
      </c>
      <c r="R6" t="s">
        <v>334</v>
      </c>
      <c r="S6">
        <v>0</v>
      </c>
    </row>
    <row r="7" spans="1:19" x14ac:dyDescent="0.25">
      <c r="A7" s="5" t="s">
        <v>400</v>
      </c>
      <c r="B7" s="6" t="s">
        <v>71</v>
      </c>
      <c r="C7" s="6">
        <v>615</v>
      </c>
      <c r="D7" s="6">
        <v>816</v>
      </c>
      <c r="E7" s="6">
        <v>743</v>
      </c>
      <c r="F7" t="s">
        <v>329</v>
      </c>
      <c r="G7" s="1">
        <v>43893</v>
      </c>
      <c r="H7" s="2">
        <v>360</v>
      </c>
      <c r="I7" t="s">
        <v>126</v>
      </c>
      <c r="J7">
        <v>615</v>
      </c>
      <c r="K7">
        <v>816</v>
      </c>
      <c r="L7">
        <v>715.5</v>
      </c>
      <c r="M7">
        <v>100.5</v>
      </c>
      <c r="N7">
        <v>201</v>
      </c>
      <c r="O7">
        <v>743</v>
      </c>
      <c r="P7">
        <v>0.27363184079601988</v>
      </c>
      <c r="Q7" t="s">
        <v>401</v>
      </c>
      <c r="R7" t="s">
        <v>334</v>
      </c>
      <c r="S7">
        <v>0</v>
      </c>
    </row>
    <row r="8" spans="1:19" x14ac:dyDescent="0.25">
      <c r="A8" s="5" t="s">
        <v>402</v>
      </c>
      <c r="B8" s="6" t="s">
        <v>71</v>
      </c>
      <c r="C8" s="6">
        <v>621</v>
      </c>
      <c r="D8" s="6">
        <v>815</v>
      </c>
      <c r="E8" s="6">
        <v>745</v>
      </c>
      <c r="F8" t="s">
        <v>330</v>
      </c>
      <c r="G8" s="3">
        <v>43894</v>
      </c>
      <c r="H8" s="2">
        <v>359</v>
      </c>
      <c r="I8" t="s">
        <v>126</v>
      </c>
      <c r="J8">
        <v>621</v>
      </c>
      <c r="K8">
        <v>815</v>
      </c>
      <c r="L8">
        <v>718</v>
      </c>
      <c r="M8">
        <v>97</v>
      </c>
      <c r="N8">
        <v>194</v>
      </c>
      <c r="O8">
        <v>745</v>
      </c>
      <c r="P8">
        <v>0.27835051546391754</v>
      </c>
      <c r="Q8" t="s">
        <v>403</v>
      </c>
      <c r="R8" t="s">
        <v>334</v>
      </c>
      <c r="S8">
        <v>0</v>
      </c>
    </row>
    <row r="9" spans="1:19" x14ac:dyDescent="0.25">
      <c r="A9" s="5" t="s">
        <v>404</v>
      </c>
      <c r="B9" s="6" t="s">
        <v>71</v>
      </c>
      <c r="C9" s="6">
        <v>623</v>
      </c>
      <c r="D9" s="6">
        <v>801</v>
      </c>
      <c r="E9" s="6">
        <v>749</v>
      </c>
      <c r="F9" t="s">
        <v>331</v>
      </c>
      <c r="G9" s="1">
        <v>43895</v>
      </c>
      <c r="H9" s="2">
        <v>358</v>
      </c>
      <c r="I9" t="s">
        <v>126</v>
      </c>
      <c r="J9">
        <v>623</v>
      </c>
      <c r="K9">
        <v>801</v>
      </c>
      <c r="L9">
        <v>712</v>
      </c>
      <c r="M9">
        <v>89</v>
      </c>
      <c r="N9">
        <v>178</v>
      </c>
      <c r="O9">
        <v>749</v>
      </c>
      <c r="P9">
        <v>0.4157303370786517</v>
      </c>
      <c r="Q9" t="s">
        <v>405</v>
      </c>
      <c r="R9" t="s">
        <v>334</v>
      </c>
      <c r="S9">
        <v>0</v>
      </c>
    </row>
    <row r="10" spans="1:19" x14ac:dyDescent="0.25">
      <c r="A10" s="5" t="s">
        <v>406</v>
      </c>
      <c r="B10" s="6" t="s">
        <v>71</v>
      </c>
      <c r="C10" s="6">
        <v>626</v>
      </c>
      <c r="D10" s="6">
        <v>801</v>
      </c>
      <c r="E10" s="6">
        <v>724</v>
      </c>
      <c r="F10" t="s">
        <v>332</v>
      </c>
      <c r="G10" s="3">
        <v>43896</v>
      </c>
      <c r="H10" s="2">
        <v>357</v>
      </c>
      <c r="I10" t="s">
        <v>126</v>
      </c>
      <c r="J10">
        <v>626</v>
      </c>
      <c r="K10">
        <v>801</v>
      </c>
      <c r="L10">
        <v>713.5</v>
      </c>
      <c r="M10">
        <v>87.5</v>
      </c>
      <c r="N10">
        <v>175</v>
      </c>
      <c r="O10">
        <v>724</v>
      </c>
      <c r="P10">
        <v>0.12</v>
      </c>
      <c r="Q10" t="s">
        <v>407</v>
      </c>
      <c r="R10" t="s">
        <v>334</v>
      </c>
      <c r="S10">
        <v>0</v>
      </c>
    </row>
    <row r="11" spans="1:19" x14ac:dyDescent="0.25">
      <c r="A11" s="5" t="s">
        <v>408</v>
      </c>
      <c r="B11" s="6" t="s">
        <v>71</v>
      </c>
      <c r="C11" s="6">
        <v>576</v>
      </c>
      <c r="D11" s="6">
        <v>801</v>
      </c>
      <c r="E11" s="6">
        <v>703</v>
      </c>
      <c r="F11" t="s">
        <v>333</v>
      </c>
      <c r="G11" s="1">
        <v>43899</v>
      </c>
      <c r="H11" s="2">
        <v>354</v>
      </c>
      <c r="I11" t="s">
        <v>126</v>
      </c>
      <c r="J11">
        <v>576</v>
      </c>
      <c r="K11">
        <v>801</v>
      </c>
      <c r="L11">
        <v>688.5</v>
      </c>
      <c r="M11">
        <v>112.5</v>
      </c>
      <c r="N11">
        <v>225</v>
      </c>
      <c r="O11">
        <v>703</v>
      </c>
      <c r="P11">
        <v>0.12888888888888889</v>
      </c>
      <c r="Q11" t="s">
        <v>409</v>
      </c>
      <c r="R11" t="s">
        <v>334</v>
      </c>
      <c r="S11">
        <v>0</v>
      </c>
    </row>
    <row r="12" spans="1:19" x14ac:dyDescent="0.25">
      <c r="A12" s="5" t="s">
        <v>410</v>
      </c>
      <c r="B12" s="6" t="s">
        <v>71</v>
      </c>
      <c r="C12" s="6">
        <v>572</v>
      </c>
      <c r="D12" s="6">
        <v>719</v>
      </c>
      <c r="E12" s="6">
        <v>608</v>
      </c>
      <c r="F12" t="s">
        <v>329</v>
      </c>
      <c r="G12" s="3">
        <v>43900</v>
      </c>
      <c r="H12" s="2">
        <v>353</v>
      </c>
      <c r="I12" t="s">
        <v>126</v>
      </c>
      <c r="J12">
        <v>572</v>
      </c>
      <c r="K12">
        <v>719</v>
      </c>
      <c r="L12">
        <v>645.5</v>
      </c>
      <c r="M12">
        <v>73.5</v>
      </c>
      <c r="N12">
        <v>147</v>
      </c>
      <c r="O12">
        <v>608</v>
      </c>
      <c r="P12">
        <v>-0.51020408163265307</v>
      </c>
      <c r="Q12" t="s">
        <v>411</v>
      </c>
      <c r="R12" t="s">
        <v>334</v>
      </c>
      <c r="S12">
        <v>0</v>
      </c>
    </row>
    <row r="13" spans="1:19" x14ac:dyDescent="0.25">
      <c r="A13" s="5" t="s">
        <v>412</v>
      </c>
      <c r="B13" s="6" t="s">
        <v>71</v>
      </c>
      <c r="C13" s="6">
        <v>573</v>
      </c>
      <c r="D13" s="6">
        <v>714</v>
      </c>
      <c r="E13" s="6">
        <v>645</v>
      </c>
      <c r="F13" t="s">
        <v>330</v>
      </c>
      <c r="G13" s="1">
        <v>43901</v>
      </c>
      <c r="H13" s="2">
        <v>352</v>
      </c>
      <c r="I13" t="s">
        <v>126</v>
      </c>
      <c r="J13">
        <v>573</v>
      </c>
      <c r="K13">
        <v>714</v>
      </c>
      <c r="L13">
        <v>643.5</v>
      </c>
      <c r="M13">
        <v>70.5</v>
      </c>
      <c r="N13">
        <v>141</v>
      </c>
      <c r="O13">
        <v>645</v>
      </c>
      <c r="P13">
        <v>2.1276595744680851E-2</v>
      </c>
      <c r="Q13" t="s">
        <v>413</v>
      </c>
      <c r="R13" t="s">
        <v>334</v>
      </c>
      <c r="S13">
        <v>0</v>
      </c>
    </row>
    <row r="14" spans="1:19" x14ac:dyDescent="0.25">
      <c r="A14" s="5" t="s">
        <v>414</v>
      </c>
      <c r="B14" s="6" t="s">
        <v>83</v>
      </c>
      <c r="C14" s="6">
        <v>560</v>
      </c>
      <c r="D14" s="6">
        <v>707</v>
      </c>
      <c r="E14" s="6">
        <v>634</v>
      </c>
      <c r="F14" t="s">
        <v>331</v>
      </c>
      <c r="G14" s="3">
        <v>43902</v>
      </c>
      <c r="H14" s="2">
        <v>351</v>
      </c>
      <c r="I14" t="s">
        <v>126</v>
      </c>
      <c r="J14">
        <v>560</v>
      </c>
      <c r="K14">
        <v>707</v>
      </c>
      <c r="L14">
        <v>633.5</v>
      </c>
      <c r="M14">
        <v>73.5</v>
      </c>
      <c r="N14">
        <v>147</v>
      </c>
      <c r="O14">
        <v>634</v>
      </c>
      <c r="P14">
        <v>6.8027210884353739E-3</v>
      </c>
      <c r="Q14" t="s">
        <v>415</v>
      </c>
      <c r="R14" t="s">
        <v>155</v>
      </c>
      <c r="S14">
        <v>-1</v>
      </c>
    </row>
    <row r="15" spans="1:19" x14ac:dyDescent="0.25">
      <c r="A15" s="5" t="s">
        <v>416</v>
      </c>
      <c r="B15" s="6" t="s">
        <v>83</v>
      </c>
      <c r="C15" s="6">
        <v>528</v>
      </c>
      <c r="D15" s="6">
        <v>688</v>
      </c>
      <c r="E15" s="6">
        <v>560</v>
      </c>
      <c r="F15" t="s">
        <v>332</v>
      </c>
      <c r="G15" s="1">
        <v>43903</v>
      </c>
      <c r="H15" s="2">
        <v>350</v>
      </c>
      <c r="I15" t="s">
        <v>126</v>
      </c>
      <c r="J15">
        <v>528</v>
      </c>
      <c r="K15">
        <v>688</v>
      </c>
      <c r="L15">
        <v>608</v>
      </c>
      <c r="M15">
        <v>80</v>
      </c>
      <c r="N15">
        <v>160</v>
      </c>
      <c r="O15">
        <v>560</v>
      </c>
      <c r="P15">
        <v>-0.6</v>
      </c>
      <c r="Q15" t="s">
        <v>417</v>
      </c>
      <c r="R15" t="s">
        <v>155</v>
      </c>
      <c r="S15">
        <v>-1</v>
      </c>
    </row>
    <row r="16" spans="1:19" x14ac:dyDescent="0.25">
      <c r="A16" s="5" t="s">
        <v>418</v>
      </c>
      <c r="B16" s="6" t="s">
        <v>83</v>
      </c>
      <c r="C16" s="6">
        <v>451</v>
      </c>
      <c r="D16" s="6">
        <v>656</v>
      </c>
      <c r="E16" s="6">
        <v>546</v>
      </c>
      <c r="F16" t="s">
        <v>333</v>
      </c>
      <c r="G16" s="3">
        <v>43906</v>
      </c>
      <c r="H16" s="2">
        <v>347</v>
      </c>
      <c r="I16" t="s">
        <v>126</v>
      </c>
      <c r="J16">
        <v>451</v>
      </c>
      <c r="K16">
        <v>656</v>
      </c>
      <c r="L16">
        <v>553.5</v>
      </c>
      <c r="M16">
        <v>102.5</v>
      </c>
      <c r="N16">
        <v>205</v>
      </c>
      <c r="O16">
        <v>546</v>
      </c>
      <c r="P16">
        <v>-7.3170731707317069E-2</v>
      </c>
      <c r="Q16" t="s">
        <v>419</v>
      </c>
      <c r="R16" t="s">
        <v>155</v>
      </c>
      <c r="S16">
        <v>-1</v>
      </c>
    </row>
    <row r="17" spans="1:19" x14ac:dyDescent="0.25">
      <c r="A17" s="5" t="s">
        <v>420</v>
      </c>
      <c r="B17" s="6" t="s">
        <v>83</v>
      </c>
      <c r="C17" s="6">
        <v>410</v>
      </c>
      <c r="D17" s="6">
        <v>585</v>
      </c>
      <c r="E17" s="6">
        <v>445</v>
      </c>
      <c r="F17" t="s">
        <v>329</v>
      </c>
      <c r="G17" s="1">
        <v>43907</v>
      </c>
      <c r="H17" s="2">
        <v>346</v>
      </c>
      <c r="I17" t="s">
        <v>126</v>
      </c>
      <c r="J17">
        <v>410</v>
      </c>
      <c r="K17">
        <v>585</v>
      </c>
      <c r="L17">
        <v>497.5</v>
      </c>
      <c r="M17">
        <v>87.5</v>
      </c>
      <c r="N17">
        <v>175</v>
      </c>
      <c r="O17">
        <v>445</v>
      </c>
      <c r="P17">
        <v>-0.6</v>
      </c>
      <c r="Q17" t="s">
        <v>421</v>
      </c>
      <c r="R17" t="s">
        <v>155</v>
      </c>
      <c r="S17">
        <v>-1</v>
      </c>
    </row>
    <row r="18" spans="1:19" x14ac:dyDescent="0.25">
      <c r="A18" s="5" t="s">
        <v>422</v>
      </c>
      <c r="B18" s="6" t="s">
        <v>83</v>
      </c>
      <c r="C18" s="6">
        <v>363</v>
      </c>
      <c r="D18" s="6">
        <v>570</v>
      </c>
      <c r="E18" s="6">
        <v>430</v>
      </c>
      <c r="F18" t="s">
        <v>330</v>
      </c>
      <c r="G18" s="3">
        <v>43908</v>
      </c>
      <c r="H18" s="2">
        <v>345</v>
      </c>
      <c r="I18" t="s">
        <v>126</v>
      </c>
      <c r="J18">
        <v>363</v>
      </c>
      <c r="K18">
        <v>570</v>
      </c>
      <c r="L18">
        <v>466.5</v>
      </c>
      <c r="M18">
        <v>103.5</v>
      </c>
      <c r="N18">
        <v>207</v>
      </c>
      <c r="O18">
        <v>430</v>
      </c>
      <c r="P18">
        <v>-0.35265700483091789</v>
      </c>
      <c r="Q18" t="s">
        <v>423</v>
      </c>
      <c r="R18" t="s">
        <v>155</v>
      </c>
      <c r="S18">
        <v>-1</v>
      </c>
    </row>
    <row r="19" spans="1:19" x14ac:dyDescent="0.25">
      <c r="A19" s="5" t="s">
        <v>424</v>
      </c>
      <c r="B19" s="6" t="s">
        <v>83</v>
      </c>
      <c r="C19" s="6">
        <v>323</v>
      </c>
      <c r="D19" s="6">
        <v>540</v>
      </c>
      <c r="E19" s="6">
        <v>361</v>
      </c>
      <c r="F19" t="s">
        <v>331</v>
      </c>
      <c r="G19" s="1">
        <v>43909</v>
      </c>
      <c r="H19" s="2">
        <v>344</v>
      </c>
      <c r="I19" t="s">
        <v>126</v>
      </c>
      <c r="J19">
        <v>323</v>
      </c>
      <c r="K19">
        <v>540</v>
      </c>
      <c r="L19">
        <v>431.5</v>
      </c>
      <c r="M19">
        <v>108.5</v>
      </c>
      <c r="N19">
        <v>217</v>
      </c>
      <c r="O19">
        <v>361</v>
      </c>
      <c r="P19">
        <v>-0.64976958525345618</v>
      </c>
      <c r="Q19" t="s">
        <v>425</v>
      </c>
      <c r="R19" t="s">
        <v>155</v>
      </c>
      <c r="S19">
        <v>-1</v>
      </c>
    </row>
    <row r="20" spans="1:19" x14ac:dyDescent="0.25">
      <c r="A20" s="5" t="s">
        <v>426</v>
      </c>
      <c r="B20" s="6" t="s">
        <v>83</v>
      </c>
      <c r="C20" s="6">
        <v>301</v>
      </c>
      <c r="D20" s="6">
        <v>507</v>
      </c>
      <c r="E20" s="6">
        <v>427</v>
      </c>
      <c r="F20" t="s">
        <v>332</v>
      </c>
      <c r="G20" s="3">
        <v>43910</v>
      </c>
      <c r="H20" s="2">
        <v>343</v>
      </c>
      <c r="I20" t="s">
        <v>126</v>
      </c>
      <c r="J20">
        <v>301</v>
      </c>
      <c r="K20">
        <v>507</v>
      </c>
      <c r="L20">
        <v>404</v>
      </c>
      <c r="M20">
        <v>103</v>
      </c>
      <c r="N20">
        <v>206</v>
      </c>
      <c r="O20">
        <v>427</v>
      </c>
      <c r="P20">
        <v>0.22330097087378642</v>
      </c>
      <c r="Q20" t="s">
        <v>427</v>
      </c>
      <c r="R20" t="s">
        <v>155</v>
      </c>
      <c r="S20">
        <v>-1</v>
      </c>
    </row>
    <row r="21" spans="1:19" x14ac:dyDescent="0.25">
      <c r="A21" s="5" t="s">
        <v>428</v>
      </c>
      <c r="B21" s="6" t="s">
        <v>83</v>
      </c>
      <c r="C21" s="6">
        <v>301</v>
      </c>
      <c r="D21" s="6">
        <v>498</v>
      </c>
      <c r="E21" s="6">
        <v>427</v>
      </c>
      <c r="F21" t="s">
        <v>333</v>
      </c>
      <c r="G21" s="1">
        <v>43913</v>
      </c>
      <c r="H21" s="2">
        <v>340</v>
      </c>
      <c r="I21" t="s">
        <v>126</v>
      </c>
      <c r="J21">
        <v>301</v>
      </c>
      <c r="K21">
        <v>498</v>
      </c>
      <c r="L21">
        <v>399.5</v>
      </c>
      <c r="M21">
        <v>98.5</v>
      </c>
      <c r="N21">
        <v>197</v>
      </c>
      <c r="O21">
        <v>427</v>
      </c>
      <c r="P21">
        <v>0.27918781725888325</v>
      </c>
      <c r="Q21" t="s">
        <v>429</v>
      </c>
      <c r="R21" t="s">
        <v>155</v>
      </c>
      <c r="S21">
        <v>-1</v>
      </c>
    </row>
    <row r="22" spans="1:19" x14ac:dyDescent="0.25">
      <c r="A22" s="5" t="s">
        <v>430</v>
      </c>
      <c r="B22" s="6" t="s">
        <v>83</v>
      </c>
      <c r="C22" s="6">
        <v>301</v>
      </c>
      <c r="D22" s="6">
        <v>494</v>
      </c>
      <c r="E22" s="6">
        <v>434</v>
      </c>
      <c r="F22" t="s">
        <v>329</v>
      </c>
      <c r="G22" s="3">
        <v>43914</v>
      </c>
      <c r="H22" s="2">
        <v>339</v>
      </c>
      <c r="I22" t="s">
        <v>126</v>
      </c>
      <c r="J22">
        <v>301</v>
      </c>
      <c r="K22">
        <v>494</v>
      </c>
      <c r="L22">
        <v>397.5</v>
      </c>
      <c r="M22">
        <v>96.5</v>
      </c>
      <c r="N22">
        <v>193</v>
      </c>
      <c r="O22">
        <v>434</v>
      </c>
      <c r="P22">
        <v>0.37823834196891193</v>
      </c>
      <c r="Q22" t="s">
        <v>431</v>
      </c>
      <c r="R22" t="s">
        <v>155</v>
      </c>
      <c r="S22">
        <v>-1</v>
      </c>
    </row>
    <row r="23" spans="1:19" x14ac:dyDescent="0.25">
      <c r="A23" s="5" t="s">
        <v>432</v>
      </c>
      <c r="B23" s="6" t="s">
        <v>83</v>
      </c>
      <c r="C23" s="6">
        <v>375</v>
      </c>
      <c r="D23" s="6">
        <v>528</v>
      </c>
      <c r="E23" s="6">
        <v>505</v>
      </c>
      <c r="F23" t="s">
        <v>330</v>
      </c>
      <c r="G23" s="1">
        <v>43915</v>
      </c>
      <c r="H23" s="2">
        <v>338</v>
      </c>
      <c r="I23" t="s">
        <v>126</v>
      </c>
      <c r="J23">
        <v>375</v>
      </c>
      <c r="K23">
        <v>528</v>
      </c>
      <c r="L23">
        <v>451.5</v>
      </c>
      <c r="M23">
        <v>76.5</v>
      </c>
      <c r="N23">
        <v>153</v>
      </c>
      <c r="O23">
        <v>505</v>
      </c>
      <c r="P23">
        <v>0.69934640522875813</v>
      </c>
      <c r="Q23" t="s">
        <v>433</v>
      </c>
      <c r="R23" t="s">
        <v>155</v>
      </c>
      <c r="S23">
        <v>-1</v>
      </c>
    </row>
    <row r="24" spans="1:19" x14ac:dyDescent="0.25">
      <c r="A24" s="5" t="s">
        <v>434</v>
      </c>
      <c r="B24" s="6" t="s">
        <v>83</v>
      </c>
      <c r="C24" s="6">
        <v>405</v>
      </c>
      <c r="D24" s="6">
        <v>581</v>
      </c>
      <c r="E24" s="6">
        <v>539</v>
      </c>
      <c r="F24" t="s">
        <v>331</v>
      </c>
      <c r="G24" s="3">
        <v>43916</v>
      </c>
      <c r="H24" s="2">
        <v>337</v>
      </c>
      <c r="I24" t="s">
        <v>126</v>
      </c>
      <c r="J24">
        <v>405</v>
      </c>
      <c r="K24">
        <v>581</v>
      </c>
      <c r="L24">
        <v>493</v>
      </c>
      <c r="M24">
        <v>88</v>
      </c>
      <c r="N24">
        <v>176</v>
      </c>
      <c r="O24">
        <v>539</v>
      </c>
      <c r="P24">
        <v>0.52272727272727271</v>
      </c>
      <c r="Q24" t="s">
        <v>435</v>
      </c>
      <c r="R24" t="s">
        <v>155</v>
      </c>
      <c r="S24">
        <v>-1</v>
      </c>
    </row>
    <row r="25" spans="1:19" x14ac:dyDescent="0.25">
      <c r="A25" s="5" t="s">
        <v>436</v>
      </c>
      <c r="B25" s="6" t="s">
        <v>83</v>
      </c>
      <c r="C25" s="6">
        <v>367</v>
      </c>
      <c r="D25" s="6">
        <v>579</v>
      </c>
      <c r="E25" s="6">
        <v>528</v>
      </c>
      <c r="F25" t="s">
        <v>332</v>
      </c>
      <c r="G25" s="1">
        <v>43917</v>
      </c>
      <c r="H25" s="2">
        <v>336</v>
      </c>
      <c r="I25" t="s">
        <v>126</v>
      </c>
      <c r="J25">
        <v>367</v>
      </c>
      <c r="K25">
        <v>579</v>
      </c>
      <c r="L25">
        <v>473</v>
      </c>
      <c r="M25">
        <v>106</v>
      </c>
      <c r="N25">
        <v>212</v>
      </c>
      <c r="O25">
        <v>528</v>
      </c>
      <c r="P25">
        <v>0.51886792452830188</v>
      </c>
      <c r="Q25" t="s">
        <v>437</v>
      </c>
      <c r="R25" t="s">
        <v>155</v>
      </c>
      <c r="S25">
        <v>-1</v>
      </c>
    </row>
    <row r="26" spans="1:19" x14ac:dyDescent="0.25">
      <c r="A26" s="5" t="s">
        <v>438</v>
      </c>
      <c r="B26" s="6" t="s">
        <v>83</v>
      </c>
      <c r="C26" s="6">
        <v>350</v>
      </c>
      <c r="D26" s="6">
        <v>573</v>
      </c>
      <c r="E26" s="6">
        <v>514</v>
      </c>
      <c r="F26" t="s">
        <v>333</v>
      </c>
      <c r="G26" s="3">
        <v>43920</v>
      </c>
      <c r="H26" s="2">
        <v>333</v>
      </c>
      <c r="I26" t="s">
        <v>126</v>
      </c>
      <c r="J26">
        <v>350</v>
      </c>
      <c r="K26">
        <v>573</v>
      </c>
      <c r="L26">
        <v>461.5</v>
      </c>
      <c r="M26">
        <v>111.5</v>
      </c>
      <c r="N26">
        <v>223</v>
      </c>
      <c r="O26">
        <v>514</v>
      </c>
      <c r="P26">
        <v>0.47085201793721976</v>
      </c>
      <c r="Q26" t="s">
        <v>439</v>
      </c>
      <c r="R26" t="s">
        <v>155</v>
      </c>
      <c r="S26">
        <v>-1</v>
      </c>
    </row>
    <row r="27" spans="1:19" x14ac:dyDescent="0.25">
      <c r="A27" s="5" t="s">
        <v>440</v>
      </c>
      <c r="B27" s="6" t="s">
        <v>83</v>
      </c>
      <c r="C27" s="6">
        <v>347</v>
      </c>
      <c r="D27" s="6">
        <v>568</v>
      </c>
      <c r="E27" s="6">
        <v>502</v>
      </c>
      <c r="F27" t="s">
        <v>329</v>
      </c>
      <c r="G27" s="1">
        <v>43921</v>
      </c>
      <c r="H27" s="2">
        <v>332</v>
      </c>
      <c r="I27" t="s">
        <v>126</v>
      </c>
      <c r="J27">
        <v>347</v>
      </c>
      <c r="K27">
        <v>568</v>
      </c>
      <c r="L27">
        <v>457.5</v>
      </c>
      <c r="M27">
        <v>110.5</v>
      </c>
      <c r="N27">
        <v>221</v>
      </c>
      <c r="O27">
        <v>502</v>
      </c>
      <c r="P27">
        <v>0.40271493212669685</v>
      </c>
      <c r="Q27" t="s">
        <v>441</v>
      </c>
      <c r="R27" t="s">
        <v>155</v>
      </c>
      <c r="S27">
        <v>-1</v>
      </c>
    </row>
    <row r="28" spans="1:19" x14ac:dyDescent="0.25">
      <c r="A28" s="5" t="s">
        <v>442</v>
      </c>
      <c r="B28" s="6" t="s">
        <v>83</v>
      </c>
      <c r="C28" s="6">
        <v>399</v>
      </c>
      <c r="D28" s="6">
        <v>565</v>
      </c>
      <c r="E28" s="6">
        <v>524</v>
      </c>
      <c r="F28" t="s">
        <v>330</v>
      </c>
      <c r="G28" s="3">
        <v>43922</v>
      </c>
      <c r="H28" s="2">
        <v>331</v>
      </c>
      <c r="I28" t="s">
        <v>126</v>
      </c>
      <c r="J28">
        <v>399</v>
      </c>
      <c r="K28">
        <v>565</v>
      </c>
      <c r="L28">
        <v>482</v>
      </c>
      <c r="M28">
        <v>83</v>
      </c>
      <c r="N28">
        <v>166</v>
      </c>
      <c r="O28">
        <v>524</v>
      </c>
      <c r="P28">
        <v>0.50602409638554213</v>
      </c>
      <c r="Q28" t="s">
        <v>443</v>
      </c>
      <c r="R28" t="s">
        <v>155</v>
      </c>
      <c r="S28">
        <v>-1</v>
      </c>
    </row>
    <row r="29" spans="1:19" x14ac:dyDescent="0.25">
      <c r="A29" s="5" t="s">
        <v>444</v>
      </c>
      <c r="B29" s="6" t="s">
        <v>83</v>
      </c>
      <c r="C29" s="6">
        <v>408</v>
      </c>
      <c r="D29" s="6">
        <v>566</v>
      </c>
      <c r="E29" s="6">
        <v>481</v>
      </c>
      <c r="F29" t="s">
        <v>331</v>
      </c>
      <c r="G29" s="1">
        <v>43923</v>
      </c>
      <c r="H29" s="2">
        <v>330</v>
      </c>
      <c r="I29" t="s">
        <v>126</v>
      </c>
      <c r="J29">
        <v>408</v>
      </c>
      <c r="K29">
        <v>566</v>
      </c>
      <c r="L29">
        <v>487</v>
      </c>
      <c r="M29">
        <v>79</v>
      </c>
      <c r="N29">
        <v>158</v>
      </c>
      <c r="O29">
        <v>481</v>
      </c>
      <c r="P29">
        <v>-7.5949367088607597E-2</v>
      </c>
      <c r="Q29" t="s">
        <v>445</v>
      </c>
      <c r="R29" t="s">
        <v>155</v>
      </c>
      <c r="S29">
        <v>-1</v>
      </c>
    </row>
    <row r="30" spans="1:19" x14ac:dyDescent="0.25">
      <c r="A30" s="5" t="s">
        <v>446</v>
      </c>
      <c r="B30" s="6" t="s">
        <v>83</v>
      </c>
      <c r="C30" s="6">
        <v>425</v>
      </c>
      <c r="D30" s="6">
        <v>565</v>
      </c>
      <c r="E30" s="6">
        <v>454</v>
      </c>
      <c r="F30" t="s">
        <v>332</v>
      </c>
      <c r="G30" s="3">
        <v>43924</v>
      </c>
      <c r="H30" s="2">
        <v>329</v>
      </c>
      <c r="I30" t="s">
        <v>126</v>
      </c>
      <c r="J30">
        <v>425</v>
      </c>
      <c r="K30">
        <v>565</v>
      </c>
      <c r="L30">
        <v>495</v>
      </c>
      <c r="M30">
        <v>70</v>
      </c>
      <c r="N30">
        <v>140</v>
      </c>
      <c r="O30">
        <v>454</v>
      </c>
      <c r="P30">
        <v>-0.58571428571428574</v>
      </c>
      <c r="Q30" t="s">
        <v>447</v>
      </c>
      <c r="R30" t="s">
        <v>155</v>
      </c>
      <c r="S30">
        <v>-1</v>
      </c>
    </row>
    <row r="31" spans="1:19" x14ac:dyDescent="0.25">
      <c r="A31" s="5" t="s">
        <v>448</v>
      </c>
      <c r="B31" s="6" t="s">
        <v>83</v>
      </c>
      <c r="C31" s="6">
        <v>440</v>
      </c>
      <c r="D31" s="6">
        <v>559</v>
      </c>
      <c r="E31" s="6">
        <v>480</v>
      </c>
      <c r="F31" t="s">
        <v>333</v>
      </c>
      <c r="G31" s="1">
        <v>43927</v>
      </c>
      <c r="H31" s="2">
        <v>326</v>
      </c>
      <c r="I31" t="s">
        <v>126</v>
      </c>
      <c r="J31">
        <v>440</v>
      </c>
      <c r="K31">
        <v>559</v>
      </c>
      <c r="L31">
        <v>499.5</v>
      </c>
      <c r="M31">
        <v>59.5</v>
      </c>
      <c r="N31">
        <v>119</v>
      </c>
      <c r="O31">
        <v>480</v>
      </c>
      <c r="P31">
        <v>-0.32773109243697479</v>
      </c>
      <c r="Q31" t="s">
        <v>449</v>
      </c>
      <c r="R31" t="s">
        <v>155</v>
      </c>
      <c r="S31">
        <v>-1</v>
      </c>
    </row>
    <row r="32" spans="1:19" x14ac:dyDescent="0.25">
      <c r="A32" s="5" t="s">
        <v>450</v>
      </c>
      <c r="B32" s="6" t="s">
        <v>83</v>
      </c>
      <c r="C32" s="6">
        <v>445</v>
      </c>
      <c r="D32" s="6">
        <v>566</v>
      </c>
      <c r="E32" s="6">
        <v>516</v>
      </c>
      <c r="F32" t="s">
        <v>329</v>
      </c>
      <c r="G32" s="3">
        <v>43928</v>
      </c>
      <c r="H32" s="2">
        <v>325</v>
      </c>
      <c r="I32" t="s">
        <v>126</v>
      </c>
      <c r="J32">
        <v>445</v>
      </c>
      <c r="K32">
        <v>566</v>
      </c>
      <c r="L32">
        <v>505.5</v>
      </c>
      <c r="M32">
        <v>60.5</v>
      </c>
      <c r="N32">
        <v>121</v>
      </c>
      <c r="O32">
        <v>516</v>
      </c>
      <c r="P32">
        <v>0.17355371900826447</v>
      </c>
      <c r="Q32" t="s">
        <v>451</v>
      </c>
      <c r="R32" t="s">
        <v>155</v>
      </c>
      <c r="S32">
        <v>-1</v>
      </c>
    </row>
    <row r="33" spans="1:19" x14ac:dyDescent="0.25">
      <c r="A33" s="5" t="s">
        <v>452</v>
      </c>
      <c r="B33" s="6" t="s">
        <v>83</v>
      </c>
      <c r="C33" s="6">
        <v>441</v>
      </c>
      <c r="D33" s="6">
        <v>562</v>
      </c>
      <c r="E33" s="6">
        <v>545</v>
      </c>
      <c r="F33" t="s">
        <v>330</v>
      </c>
      <c r="G33" s="1">
        <v>43929</v>
      </c>
      <c r="H33" s="2">
        <v>324</v>
      </c>
      <c r="I33" t="s">
        <v>126</v>
      </c>
      <c r="J33">
        <v>441</v>
      </c>
      <c r="K33">
        <v>562</v>
      </c>
      <c r="L33">
        <v>501.5</v>
      </c>
      <c r="M33">
        <v>60.5</v>
      </c>
      <c r="N33">
        <v>121</v>
      </c>
      <c r="O33">
        <v>545</v>
      </c>
      <c r="P33">
        <v>0.71900826446280997</v>
      </c>
      <c r="Q33" t="s">
        <v>453</v>
      </c>
      <c r="R33" t="s">
        <v>155</v>
      </c>
      <c r="S33">
        <v>-1</v>
      </c>
    </row>
    <row r="34" spans="1:19" x14ac:dyDescent="0.25">
      <c r="A34" s="5" t="s">
        <v>454</v>
      </c>
      <c r="B34" s="6" t="s">
        <v>83</v>
      </c>
      <c r="C34" s="6">
        <v>445</v>
      </c>
      <c r="D34" s="6">
        <v>570</v>
      </c>
      <c r="E34" s="6">
        <v>548</v>
      </c>
      <c r="F34" t="s">
        <v>331</v>
      </c>
      <c r="G34" s="3">
        <v>43930</v>
      </c>
      <c r="H34" s="2">
        <v>323</v>
      </c>
      <c r="I34" t="s">
        <v>126</v>
      </c>
      <c r="J34">
        <v>445</v>
      </c>
      <c r="K34">
        <v>570</v>
      </c>
      <c r="L34">
        <v>507.5</v>
      </c>
      <c r="M34">
        <v>62.5</v>
      </c>
      <c r="N34">
        <v>125</v>
      </c>
      <c r="O34">
        <v>548</v>
      </c>
      <c r="P34">
        <v>0.64800000000000002</v>
      </c>
      <c r="Q34" t="s">
        <v>455</v>
      </c>
      <c r="R34" t="s">
        <v>155</v>
      </c>
      <c r="S34">
        <v>-1</v>
      </c>
    </row>
    <row r="35" spans="1:19" x14ac:dyDescent="0.25">
      <c r="A35" s="5" t="s">
        <v>456</v>
      </c>
      <c r="B35" s="6" t="s">
        <v>83</v>
      </c>
      <c r="C35" s="6">
        <v>441</v>
      </c>
      <c r="D35" s="6">
        <v>589</v>
      </c>
      <c r="E35" s="6">
        <v>573</v>
      </c>
      <c r="F35" t="s">
        <v>333</v>
      </c>
      <c r="G35" s="1">
        <v>43934</v>
      </c>
      <c r="H35" s="2">
        <v>319</v>
      </c>
      <c r="I35" t="s">
        <v>126</v>
      </c>
      <c r="J35">
        <v>441</v>
      </c>
      <c r="K35">
        <v>589</v>
      </c>
      <c r="L35">
        <v>515</v>
      </c>
      <c r="M35">
        <v>74</v>
      </c>
      <c r="N35">
        <v>148</v>
      </c>
      <c r="O35">
        <v>573</v>
      </c>
      <c r="P35">
        <v>0.78378378378378377</v>
      </c>
      <c r="Q35" t="s">
        <v>457</v>
      </c>
      <c r="R35" t="s">
        <v>155</v>
      </c>
      <c r="S35">
        <v>-1</v>
      </c>
    </row>
    <row r="36" spans="1:19" x14ac:dyDescent="0.25">
      <c r="A36" s="5" t="s">
        <v>458</v>
      </c>
      <c r="B36" s="6" t="s">
        <v>33</v>
      </c>
      <c r="C36" s="6">
        <v>430</v>
      </c>
      <c r="D36" s="6">
        <v>678</v>
      </c>
      <c r="E36" s="6">
        <v>650</v>
      </c>
      <c r="F36" t="s">
        <v>329</v>
      </c>
      <c r="G36" s="3">
        <v>43935</v>
      </c>
      <c r="H36" s="2">
        <v>318</v>
      </c>
      <c r="I36" t="s">
        <v>126</v>
      </c>
      <c r="J36">
        <v>430</v>
      </c>
      <c r="K36">
        <v>678</v>
      </c>
      <c r="L36">
        <v>554</v>
      </c>
      <c r="M36">
        <v>124</v>
      </c>
      <c r="N36">
        <v>248</v>
      </c>
      <c r="O36">
        <v>650</v>
      </c>
      <c r="P36">
        <v>0.77419354838709675</v>
      </c>
      <c r="Q36" t="s">
        <v>459</v>
      </c>
      <c r="R36" t="s">
        <v>325</v>
      </c>
      <c r="S36">
        <v>1</v>
      </c>
    </row>
    <row r="37" spans="1:19" x14ac:dyDescent="0.25">
      <c r="A37" s="5" t="s">
        <v>460</v>
      </c>
      <c r="B37" s="6" t="s">
        <v>33</v>
      </c>
      <c r="C37" s="6">
        <v>552</v>
      </c>
      <c r="D37" s="6">
        <v>756</v>
      </c>
      <c r="E37" s="6">
        <v>709</v>
      </c>
      <c r="F37" t="s">
        <v>330</v>
      </c>
      <c r="G37" s="1">
        <v>43936</v>
      </c>
      <c r="H37" s="2">
        <v>317</v>
      </c>
      <c r="I37" t="s">
        <v>126</v>
      </c>
      <c r="J37">
        <v>552</v>
      </c>
      <c r="K37">
        <v>756</v>
      </c>
      <c r="L37">
        <v>654</v>
      </c>
      <c r="M37">
        <v>102</v>
      </c>
      <c r="N37">
        <v>204</v>
      </c>
      <c r="O37">
        <v>709</v>
      </c>
      <c r="P37">
        <v>0.53921568627450978</v>
      </c>
      <c r="Q37" t="s">
        <v>461</v>
      </c>
      <c r="R37" t="s">
        <v>325</v>
      </c>
      <c r="S37">
        <v>1</v>
      </c>
    </row>
    <row r="38" spans="1:19" x14ac:dyDescent="0.25">
      <c r="A38" s="5" t="s">
        <v>462</v>
      </c>
      <c r="B38" s="6" t="s">
        <v>33</v>
      </c>
      <c r="C38" s="6">
        <v>577</v>
      </c>
      <c r="D38" s="6">
        <v>764</v>
      </c>
      <c r="E38" s="6">
        <v>729</v>
      </c>
      <c r="F38" t="s">
        <v>331</v>
      </c>
      <c r="G38" s="3">
        <v>43937</v>
      </c>
      <c r="H38" s="2">
        <v>316</v>
      </c>
      <c r="I38" t="s">
        <v>126</v>
      </c>
      <c r="J38">
        <v>577</v>
      </c>
      <c r="K38">
        <v>764</v>
      </c>
      <c r="L38">
        <v>670.5</v>
      </c>
      <c r="M38">
        <v>93.5</v>
      </c>
      <c r="N38">
        <v>187</v>
      </c>
      <c r="O38">
        <v>729</v>
      </c>
      <c r="P38">
        <v>0.62566844919786091</v>
      </c>
      <c r="Q38" t="s">
        <v>463</v>
      </c>
      <c r="R38" t="s">
        <v>325</v>
      </c>
      <c r="S38">
        <v>1</v>
      </c>
    </row>
    <row r="39" spans="1:19" x14ac:dyDescent="0.25">
      <c r="A39" s="5" t="s">
        <v>464</v>
      </c>
      <c r="B39" s="6" t="s">
        <v>33</v>
      </c>
      <c r="C39" s="6">
        <v>561</v>
      </c>
      <c r="D39" s="6">
        <v>799</v>
      </c>
      <c r="E39" s="6">
        <v>745</v>
      </c>
      <c r="F39" t="s">
        <v>332</v>
      </c>
      <c r="G39" s="1">
        <v>43938</v>
      </c>
      <c r="H39" s="2">
        <v>315</v>
      </c>
      <c r="I39" t="s">
        <v>126</v>
      </c>
      <c r="J39">
        <v>561</v>
      </c>
      <c r="K39">
        <v>799</v>
      </c>
      <c r="L39">
        <v>680</v>
      </c>
      <c r="M39">
        <v>119</v>
      </c>
      <c r="N39">
        <v>238</v>
      </c>
      <c r="O39">
        <v>745</v>
      </c>
      <c r="P39">
        <v>0.54621848739495793</v>
      </c>
      <c r="Q39" t="s">
        <v>465</v>
      </c>
      <c r="R39" t="s">
        <v>325</v>
      </c>
      <c r="S39">
        <v>1</v>
      </c>
    </row>
    <row r="40" spans="1:19" x14ac:dyDescent="0.25">
      <c r="A40" s="5" t="s">
        <v>466</v>
      </c>
      <c r="B40" s="6" t="s">
        <v>33</v>
      </c>
      <c r="C40" s="6">
        <v>464</v>
      </c>
      <c r="D40" s="6">
        <v>825</v>
      </c>
      <c r="E40" s="6">
        <v>753</v>
      </c>
      <c r="F40" t="s">
        <v>333</v>
      </c>
      <c r="G40" s="3">
        <v>43941</v>
      </c>
      <c r="H40" s="2">
        <v>312</v>
      </c>
      <c r="I40" t="s">
        <v>126</v>
      </c>
      <c r="J40">
        <v>464</v>
      </c>
      <c r="K40">
        <v>825</v>
      </c>
      <c r="L40">
        <v>644.5</v>
      </c>
      <c r="M40">
        <v>180.5</v>
      </c>
      <c r="N40">
        <v>361</v>
      </c>
      <c r="O40">
        <v>753</v>
      </c>
      <c r="P40">
        <v>0.60110803324099726</v>
      </c>
      <c r="Q40" t="s">
        <v>467</v>
      </c>
      <c r="R40" t="s">
        <v>325</v>
      </c>
      <c r="S40">
        <v>1</v>
      </c>
    </row>
    <row r="41" spans="1:19" x14ac:dyDescent="0.25">
      <c r="A41" s="5" t="s">
        <v>468</v>
      </c>
      <c r="B41" s="6" t="s">
        <v>33</v>
      </c>
      <c r="C41" s="6">
        <v>488</v>
      </c>
      <c r="D41" s="6">
        <v>836</v>
      </c>
      <c r="E41" s="6">
        <v>746</v>
      </c>
      <c r="F41" t="s">
        <v>329</v>
      </c>
      <c r="G41" s="1">
        <v>43942</v>
      </c>
      <c r="H41" s="2">
        <v>311</v>
      </c>
      <c r="I41" t="s">
        <v>126</v>
      </c>
      <c r="J41">
        <v>488</v>
      </c>
      <c r="K41">
        <v>836</v>
      </c>
      <c r="L41">
        <v>662</v>
      </c>
      <c r="M41">
        <v>174</v>
      </c>
      <c r="N41">
        <v>348</v>
      </c>
      <c r="O41">
        <v>746</v>
      </c>
      <c r="P41">
        <v>0.48275862068965519</v>
      </c>
      <c r="Q41" t="s">
        <v>469</v>
      </c>
      <c r="R41" t="s">
        <v>325</v>
      </c>
      <c r="S41">
        <v>1</v>
      </c>
    </row>
    <row r="42" spans="1:19" x14ac:dyDescent="0.25">
      <c r="A42" s="5" t="s">
        <v>470</v>
      </c>
      <c r="B42" s="6" t="s">
        <v>33</v>
      </c>
      <c r="C42" s="6">
        <v>540</v>
      </c>
      <c r="D42" s="6">
        <v>832</v>
      </c>
      <c r="E42" s="6">
        <v>686</v>
      </c>
      <c r="F42" t="s">
        <v>330</v>
      </c>
      <c r="G42" s="3">
        <v>43943</v>
      </c>
      <c r="H42" s="2">
        <v>310</v>
      </c>
      <c r="I42" t="s">
        <v>126</v>
      </c>
      <c r="J42">
        <v>540</v>
      </c>
      <c r="K42">
        <v>832</v>
      </c>
      <c r="L42">
        <v>686</v>
      </c>
      <c r="M42">
        <v>146</v>
      </c>
      <c r="N42">
        <v>292</v>
      </c>
      <c r="O42">
        <v>686</v>
      </c>
      <c r="P42">
        <v>0</v>
      </c>
      <c r="Q42" t="s">
        <v>471</v>
      </c>
      <c r="R42" t="s">
        <v>325</v>
      </c>
      <c r="S42">
        <v>1</v>
      </c>
    </row>
    <row r="43" spans="1:19" x14ac:dyDescent="0.25">
      <c r="A43" s="5" t="s">
        <v>472</v>
      </c>
      <c r="B43" s="6" t="s">
        <v>33</v>
      </c>
      <c r="C43" s="6">
        <v>577</v>
      </c>
      <c r="D43" s="6">
        <v>819</v>
      </c>
      <c r="E43" s="6">
        <v>732</v>
      </c>
      <c r="F43" t="s">
        <v>331</v>
      </c>
      <c r="G43" s="1">
        <v>43944</v>
      </c>
      <c r="H43" s="2">
        <v>309</v>
      </c>
      <c r="I43" t="s">
        <v>126</v>
      </c>
      <c r="J43">
        <v>577</v>
      </c>
      <c r="K43">
        <v>819</v>
      </c>
      <c r="L43">
        <v>698</v>
      </c>
      <c r="M43">
        <v>121</v>
      </c>
      <c r="N43">
        <v>242</v>
      </c>
      <c r="O43">
        <v>732</v>
      </c>
      <c r="P43">
        <v>0.28099173553719009</v>
      </c>
      <c r="Q43" t="s">
        <v>473</v>
      </c>
      <c r="R43" t="s">
        <v>325</v>
      </c>
      <c r="S43">
        <v>1</v>
      </c>
    </row>
    <row r="44" spans="1:19" x14ac:dyDescent="0.25">
      <c r="A44" s="5" t="s">
        <v>474</v>
      </c>
      <c r="B44" s="6" t="s">
        <v>33</v>
      </c>
      <c r="C44" s="6">
        <v>580</v>
      </c>
      <c r="D44" s="6">
        <v>790</v>
      </c>
      <c r="E44" s="6">
        <v>705</v>
      </c>
      <c r="F44" t="s">
        <v>332</v>
      </c>
      <c r="G44" s="3">
        <v>43945</v>
      </c>
      <c r="H44" s="2">
        <v>308</v>
      </c>
      <c r="I44" t="s">
        <v>126</v>
      </c>
      <c r="J44">
        <v>580</v>
      </c>
      <c r="K44">
        <v>790</v>
      </c>
      <c r="L44">
        <v>685</v>
      </c>
      <c r="M44">
        <v>105</v>
      </c>
      <c r="N44">
        <v>210</v>
      </c>
      <c r="O44">
        <v>705</v>
      </c>
      <c r="P44">
        <v>0.19047619047619047</v>
      </c>
      <c r="Q44" t="s">
        <v>475</v>
      </c>
      <c r="R44" t="s">
        <v>325</v>
      </c>
      <c r="S44">
        <v>1</v>
      </c>
    </row>
    <row r="45" spans="1:19" x14ac:dyDescent="0.25">
      <c r="A45" s="5" t="s">
        <v>476</v>
      </c>
      <c r="B45" s="6" t="s">
        <v>33</v>
      </c>
      <c r="C45" s="6">
        <v>637</v>
      </c>
      <c r="D45" s="6">
        <v>770</v>
      </c>
      <c r="E45" s="6">
        <v>725</v>
      </c>
      <c r="F45" t="s">
        <v>333</v>
      </c>
      <c r="G45" s="1">
        <v>43948</v>
      </c>
      <c r="H45" s="2">
        <v>305</v>
      </c>
      <c r="I45" t="s">
        <v>126</v>
      </c>
      <c r="J45">
        <v>637</v>
      </c>
      <c r="K45">
        <v>770</v>
      </c>
      <c r="L45">
        <v>703.5</v>
      </c>
      <c r="M45">
        <v>66.5</v>
      </c>
      <c r="N45">
        <v>133</v>
      </c>
      <c r="O45">
        <v>725</v>
      </c>
      <c r="P45">
        <v>0.32330827067669171</v>
      </c>
      <c r="Q45" t="s">
        <v>477</v>
      </c>
      <c r="R45" t="s">
        <v>325</v>
      </c>
      <c r="S45">
        <v>1</v>
      </c>
    </row>
    <row r="46" spans="1:19" x14ac:dyDescent="0.25">
      <c r="A46" s="5" t="s">
        <v>478</v>
      </c>
      <c r="B46" s="6" t="s">
        <v>33</v>
      </c>
      <c r="C46" s="6">
        <v>648</v>
      </c>
      <c r="D46" s="6">
        <v>823</v>
      </c>
      <c r="E46" s="6">
        <v>798</v>
      </c>
      <c r="F46" t="s">
        <v>329</v>
      </c>
      <c r="G46" s="3">
        <v>43949</v>
      </c>
      <c r="H46" s="2">
        <v>304</v>
      </c>
      <c r="I46" t="s">
        <v>126</v>
      </c>
      <c r="J46">
        <v>648</v>
      </c>
      <c r="K46">
        <v>823</v>
      </c>
      <c r="L46">
        <v>735.5</v>
      </c>
      <c r="M46">
        <v>87.5</v>
      </c>
      <c r="N46">
        <v>175</v>
      </c>
      <c r="O46">
        <v>798</v>
      </c>
      <c r="P46">
        <v>0.7142857142857143</v>
      </c>
      <c r="Q46" t="s">
        <v>479</v>
      </c>
      <c r="R46" t="s">
        <v>325</v>
      </c>
      <c r="S46">
        <v>1</v>
      </c>
    </row>
    <row r="47" spans="1:19" x14ac:dyDescent="0.25">
      <c r="A47" s="5" t="s">
        <v>480</v>
      </c>
      <c r="B47" s="6" t="s">
        <v>33</v>
      </c>
      <c r="C47" s="6">
        <v>657</v>
      </c>
      <c r="D47" s="6">
        <v>805</v>
      </c>
      <c r="E47" s="6">
        <v>769</v>
      </c>
      <c r="F47" t="s">
        <v>330</v>
      </c>
      <c r="G47" s="1">
        <v>43950</v>
      </c>
      <c r="H47" s="2">
        <v>303</v>
      </c>
      <c r="I47" t="s">
        <v>126</v>
      </c>
      <c r="J47">
        <v>657</v>
      </c>
      <c r="K47">
        <v>805</v>
      </c>
      <c r="L47">
        <v>731</v>
      </c>
      <c r="M47">
        <v>74</v>
      </c>
      <c r="N47">
        <v>148</v>
      </c>
      <c r="O47">
        <v>769</v>
      </c>
      <c r="P47">
        <v>0.51351351351351349</v>
      </c>
      <c r="Q47" t="s">
        <v>481</v>
      </c>
      <c r="R47" t="s">
        <v>325</v>
      </c>
      <c r="S47">
        <v>1</v>
      </c>
    </row>
    <row r="48" spans="1:19" x14ac:dyDescent="0.25">
      <c r="A48" s="5" t="s">
        <v>482</v>
      </c>
      <c r="B48" s="6" t="s">
        <v>33</v>
      </c>
      <c r="C48" s="6">
        <v>674</v>
      </c>
      <c r="D48" s="6">
        <v>876</v>
      </c>
      <c r="E48" s="6">
        <v>800</v>
      </c>
      <c r="F48" t="s">
        <v>331</v>
      </c>
      <c r="G48" s="3">
        <v>43951</v>
      </c>
      <c r="H48" s="2">
        <v>302</v>
      </c>
      <c r="I48" t="s">
        <v>126</v>
      </c>
      <c r="J48">
        <v>674</v>
      </c>
      <c r="K48">
        <v>876</v>
      </c>
      <c r="L48">
        <v>775</v>
      </c>
      <c r="M48">
        <v>101</v>
      </c>
      <c r="N48">
        <v>202</v>
      </c>
      <c r="O48">
        <v>800</v>
      </c>
      <c r="P48">
        <v>0.24752475247524752</v>
      </c>
      <c r="Q48" t="s">
        <v>483</v>
      </c>
      <c r="R48" t="s">
        <v>325</v>
      </c>
      <c r="S48">
        <v>1</v>
      </c>
    </row>
    <row r="49" spans="1:19" x14ac:dyDescent="0.25">
      <c r="A49" s="5" t="s">
        <v>484</v>
      </c>
      <c r="B49" s="6" t="s">
        <v>33</v>
      </c>
      <c r="C49" s="6">
        <v>670</v>
      </c>
      <c r="D49" s="6">
        <v>829</v>
      </c>
      <c r="E49" s="6">
        <v>781</v>
      </c>
      <c r="F49" t="s">
        <v>332</v>
      </c>
      <c r="G49" s="1">
        <v>43952</v>
      </c>
      <c r="H49" s="2">
        <v>301</v>
      </c>
      <c r="I49" t="s">
        <v>126</v>
      </c>
      <c r="J49">
        <v>670</v>
      </c>
      <c r="K49">
        <v>829</v>
      </c>
      <c r="L49">
        <v>749.5</v>
      </c>
      <c r="M49">
        <v>79.5</v>
      </c>
      <c r="N49">
        <v>159</v>
      </c>
      <c r="O49">
        <v>781</v>
      </c>
      <c r="P49">
        <v>0.39622641509433965</v>
      </c>
      <c r="Q49" t="s">
        <v>485</v>
      </c>
      <c r="R49" t="s">
        <v>325</v>
      </c>
      <c r="S49">
        <v>1</v>
      </c>
    </row>
    <row r="50" spans="1:19" x14ac:dyDescent="0.25">
      <c r="A50" s="5" t="s">
        <v>486</v>
      </c>
      <c r="B50" s="6" t="s">
        <v>33</v>
      </c>
      <c r="C50" s="6">
        <v>606</v>
      </c>
      <c r="D50" s="6">
        <v>828</v>
      </c>
      <c r="E50" s="6">
        <v>701</v>
      </c>
      <c r="F50" t="s">
        <v>333</v>
      </c>
      <c r="G50" s="3">
        <v>43955</v>
      </c>
      <c r="H50" s="2">
        <v>298</v>
      </c>
      <c r="I50" t="s">
        <v>126</v>
      </c>
      <c r="J50">
        <v>606</v>
      </c>
      <c r="K50">
        <v>828</v>
      </c>
      <c r="L50">
        <v>717</v>
      </c>
      <c r="M50">
        <v>111</v>
      </c>
      <c r="N50">
        <v>222</v>
      </c>
      <c r="O50">
        <v>701</v>
      </c>
      <c r="P50">
        <v>-0.14414414414414414</v>
      </c>
      <c r="Q50" t="s">
        <v>487</v>
      </c>
      <c r="R50" t="s">
        <v>325</v>
      </c>
      <c r="S50">
        <v>1</v>
      </c>
    </row>
    <row r="51" spans="1:19" x14ac:dyDescent="0.25">
      <c r="A51" s="5" t="s">
        <v>488</v>
      </c>
      <c r="B51" s="6" t="s">
        <v>33</v>
      </c>
      <c r="C51" s="6">
        <v>680</v>
      </c>
      <c r="D51" s="6">
        <v>827</v>
      </c>
      <c r="E51" s="6">
        <v>761</v>
      </c>
      <c r="F51" t="s">
        <v>329</v>
      </c>
      <c r="G51" s="1">
        <v>43956</v>
      </c>
      <c r="H51" s="2">
        <v>297</v>
      </c>
      <c r="I51" t="s">
        <v>126</v>
      </c>
      <c r="J51">
        <v>680</v>
      </c>
      <c r="K51">
        <v>827</v>
      </c>
      <c r="L51">
        <v>753.5</v>
      </c>
      <c r="M51">
        <v>73.5</v>
      </c>
      <c r="N51">
        <v>147</v>
      </c>
      <c r="O51">
        <v>761</v>
      </c>
      <c r="P51">
        <v>0.10204081632653061</v>
      </c>
      <c r="Q51" t="s">
        <v>489</v>
      </c>
      <c r="R51" t="s">
        <v>325</v>
      </c>
      <c r="S51">
        <v>1</v>
      </c>
    </row>
    <row r="52" spans="1:19" x14ac:dyDescent="0.25">
      <c r="A52" s="5" t="s">
        <v>490</v>
      </c>
      <c r="B52" s="6" t="s">
        <v>33</v>
      </c>
      <c r="C52" s="6">
        <v>683</v>
      </c>
      <c r="D52" s="6">
        <v>829</v>
      </c>
      <c r="E52" s="6">
        <v>768</v>
      </c>
      <c r="F52" t="s">
        <v>330</v>
      </c>
      <c r="G52" s="3">
        <v>43957</v>
      </c>
      <c r="H52" s="2">
        <v>296</v>
      </c>
      <c r="I52" t="s">
        <v>126</v>
      </c>
      <c r="J52">
        <v>683</v>
      </c>
      <c r="K52">
        <v>829</v>
      </c>
      <c r="L52">
        <v>756</v>
      </c>
      <c r="M52">
        <v>73</v>
      </c>
      <c r="N52">
        <v>146</v>
      </c>
      <c r="O52">
        <v>768</v>
      </c>
      <c r="P52">
        <v>0.16438356164383561</v>
      </c>
      <c r="Q52" t="s">
        <v>491</v>
      </c>
      <c r="R52" t="s">
        <v>325</v>
      </c>
      <c r="S52">
        <v>1</v>
      </c>
    </row>
    <row r="53" spans="1:19" x14ac:dyDescent="0.25">
      <c r="A53" s="5" t="s">
        <v>492</v>
      </c>
      <c r="B53" s="6" t="s">
        <v>33</v>
      </c>
      <c r="C53" s="6">
        <v>700</v>
      </c>
      <c r="D53" s="6">
        <v>829</v>
      </c>
      <c r="E53" s="6">
        <v>782</v>
      </c>
      <c r="F53" t="s">
        <v>331</v>
      </c>
      <c r="G53" s="1">
        <v>43958</v>
      </c>
      <c r="H53" s="2">
        <v>295</v>
      </c>
      <c r="I53" t="s">
        <v>126</v>
      </c>
      <c r="J53">
        <v>700</v>
      </c>
      <c r="K53">
        <v>829</v>
      </c>
      <c r="L53">
        <v>764.5</v>
      </c>
      <c r="M53">
        <v>64.5</v>
      </c>
      <c r="N53">
        <v>129</v>
      </c>
      <c r="O53">
        <v>782</v>
      </c>
      <c r="P53">
        <v>0.27131782945736432</v>
      </c>
      <c r="Q53" t="s">
        <v>493</v>
      </c>
      <c r="R53" t="s">
        <v>325</v>
      </c>
      <c r="S53">
        <v>1</v>
      </c>
    </row>
    <row r="54" spans="1:19" x14ac:dyDescent="0.25">
      <c r="A54" s="5" t="s">
        <v>494</v>
      </c>
      <c r="B54" s="6" t="s">
        <v>33</v>
      </c>
      <c r="C54" s="6">
        <v>703</v>
      </c>
      <c r="D54" s="6">
        <v>829</v>
      </c>
      <c r="E54" s="6">
        <v>780</v>
      </c>
      <c r="F54" t="s">
        <v>332</v>
      </c>
      <c r="G54" s="3">
        <v>43959</v>
      </c>
      <c r="H54" s="2">
        <v>294</v>
      </c>
      <c r="I54" t="s">
        <v>126</v>
      </c>
      <c r="J54">
        <v>703</v>
      </c>
      <c r="K54">
        <v>829</v>
      </c>
      <c r="L54">
        <v>766</v>
      </c>
      <c r="M54">
        <v>63</v>
      </c>
      <c r="N54">
        <v>126</v>
      </c>
      <c r="O54">
        <v>780</v>
      </c>
      <c r="P54">
        <v>0.22222222222222221</v>
      </c>
      <c r="Q54" t="s">
        <v>495</v>
      </c>
      <c r="R54" t="s">
        <v>325</v>
      </c>
      <c r="S54">
        <v>1</v>
      </c>
    </row>
    <row r="55" spans="1:19" x14ac:dyDescent="0.25">
      <c r="A55" s="5" t="s">
        <v>496</v>
      </c>
      <c r="B55" s="6" t="s">
        <v>33</v>
      </c>
      <c r="C55" s="6">
        <v>710</v>
      </c>
      <c r="D55" s="6">
        <v>838</v>
      </c>
      <c r="E55" s="6">
        <v>819</v>
      </c>
      <c r="F55" t="s">
        <v>333</v>
      </c>
      <c r="G55" s="1">
        <v>43962</v>
      </c>
      <c r="H55" s="2">
        <v>291</v>
      </c>
      <c r="I55" t="s">
        <v>126</v>
      </c>
      <c r="J55">
        <v>710</v>
      </c>
      <c r="K55">
        <v>838</v>
      </c>
      <c r="L55">
        <v>774</v>
      </c>
      <c r="M55">
        <v>64</v>
      </c>
      <c r="N55">
        <v>128</v>
      </c>
      <c r="O55">
        <v>819</v>
      </c>
      <c r="P55">
        <v>0.703125</v>
      </c>
      <c r="Q55" t="s">
        <v>497</v>
      </c>
      <c r="R55" t="s">
        <v>325</v>
      </c>
      <c r="S55">
        <v>1</v>
      </c>
    </row>
    <row r="56" spans="1:19" x14ac:dyDescent="0.25">
      <c r="A56" s="5" t="s">
        <v>498</v>
      </c>
      <c r="B56" s="6" t="s">
        <v>33</v>
      </c>
      <c r="C56" s="6">
        <v>711</v>
      </c>
      <c r="D56" s="6">
        <v>845</v>
      </c>
      <c r="E56" s="6">
        <v>811</v>
      </c>
      <c r="F56" t="s">
        <v>329</v>
      </c>
      <c r="G56" s="3">
        <v>43963</v>
      </c>
      <c r="H56" s="2">
        <v>290</v>
      </c>
      <c r="I56" t="s">
        <v>126</v>
      </c>
      <c r="J56">
        <v>711</v>
      </c>
      <c r="K56">
        <v>845</v>
      </c>
      <c r="L56">
        <v>778</v>
      </c>
      <c r="M56">
        <v>67</v>
      </c>
      <c r="N56">
        <v>134</v>
      </c>
      <c r="O56">
        <v>811</v>
      </c>
      <c r="P56">
        <v>0.4925373134328358</v>
      </c>
      <c r="Q56" t="s">
        <v>499</v>
      </c>
      <c r="R56" t="s">
        <v>325</v>
      </c>
      <c r="S56">
        <v>1</v>
      </c>
    </row>
    <row r="57" spans="1:19" x14ac:dyDescent="0.25">
      <c r="A57" s="5" t="s">
        <v>500</v>
      </c>
      <c r="B57" s="6" t="s">
        <v>33</v>
      </c>
      <c r="C57" s="6">
        <v>710</v>
      </c>
      <c r="D57" s="6">
        <v>848</v>
      </c>
      <c r="E57" s="6">
        <v>809</v>
      </c>
      <c r="F57" t="s">
        <v>330</v>
      </c>
      <c r="G57" s="1">
        <v>43964</v>
      </c>
      <c r="H57" s="2">
        <v>289</v>
      </c>
      <c r="I57" t="s">
        <v>126</v>
      </c>
      <c r="J57">
        <v>710</v>
      </c>
      <c r="K57">
        <v>848</v>
      </c>
      <c r="L57">
        <v>779</v>
      </c>
      <c r="M57">
        <v>69</v>
      </c>
      <c r="N57">
        <v>138</v>
      </c>
      <c r="O57">
        <v>809</v>
      </c>
      <c r="P57">
        <v>0.43478260869565216</v>
      </c>
      <c r="Q57" t="s">
        <v>501</v>
      </c>
      <c r="R57" t="s">
        <v>325</v>
      </c>
      <c r="S57">
        <v>1</v>
      </c>
    </row>
    <row r="58" spans="1:19" x14ac:dyDescent="0.25">
      <c r="A58" s="5" t="s">
        <v>502</v>
      </c>
      <c r="B58" s="6" t="s">
        <v>33</v>
      </c>
      <c r="C58" s="6">
        <v>711</v>
      </c>
      <c r="D58" s="6">
        <v>848</v>
      </c>
      <c r="E58" s="6">
        <v>790</v>
      </c>
      <c r="F58" t="s">
        <v>331</v>
      </c>
      <c r="G58" s="3">
        <v>43965</v>
      </c>
      <c r="H58" s="2">
        <v>288</v>
      </c>
      <c r="I58" t="s">
        <v>126</v>
      </c>
      <c r="J58">
        <v>711</v>
      </c>
      <c r="K58">
        <v>848</v>
      </c>
      <c r="L58">
        <v>779.5</v>
      </c>
      <c r="M58">
        <v>68.5</v>
      </c>
      <c r="N58">
        <v>137</v>
      </c>
      <c r="O58">
        <v>790</v>
      </c>
      <c r="P58">
        <v>0.15328467153284672</v>
      </c>
      <c r="Q58" t="s">
        <v>503</v>
      </c>
      <c r="R58" t="s">
        <v>325</v>
      </c>
      <c r="S58">
        <v>1</v>
      </c>
    </row>
    <row r="59" spans="1:19" x14ac:dyDescent="0.25">
      <c r="A59" s="5" t="s">
        <v>504</v>
      </c>
      <c r="B59" s="6" t="s">
        <v>33</v>
      </c>
      <c r="C59" s="6">
        <v>734</v>
      </c>
      <c r="D59" s="6">
        <v>833</v>
      </c>
      <c r="E59" s="6">
        <v>803</v>
      </c>
      <c r="F59" t="s">
        <v>332</v>
      </c>
      <c r="G59" s="1">
        <v>43966</v>
      </c>
      <c r="H59" s="2">
        <v>287</v>
      </c>
      <c r="I59" t="s">
        <v>126</v>
      </c>
      <c r="J59">
        <v>734</v>
      </c>
      <c r="K59">
        <v>833</v>
      </c>
      <c r="L59">
        <v>783.5</v>
      </c>
      <c r="M59">
        <v>49.5</v>
      </c>
      <c r="N59">
        <v>99</v>
      </c>
      <c r="O59">
        <v>803</v>
      </c>
      <c r="P59">
        <v>0.39393939393939392</v>
      </c>
      <c r="Q59" t="s">
        <v>505</v>
      </c>
      <c r="R59" t="s">
        <v>325</v>
      </c>
      <c r="S59">
        <v>1</v>
      </c>
    </row>
    <row r="60" spans="1:19" x14ac:dyDescent="0.25">
      <c r="A60" s="5" t="s">
        <v>506</v>
      </c>
      <c r="B60" s="6" t="s">
        <v>33</v>
      </c>
      <c r="C60" s="6">
        <v>740</v>
      </c>
      <c r="D60" s="6">
        <v>830</v>
      </c>
      <c r="E60" s="6">
        <v>799</v>
      </c>
      <c r="F60" t="s">
        <v>333</v>
      </c>
      <c r="G60" s="3">
        <v>43969</v>
      </c>
      <c r="H60" s="2">
        <v>284</v>
      </c>
      <c r="I60" t="s">
        <v>126</v>
      </c>
      <c r="J60">
        <v>740</v>
      </c>
      <c r="K60">
        <v>830</v>
      </c>
      <c r="L60">
        <v>785</v>
      </c>
      <c r="M60">
        <v>45</v>
      </c>
      <c r="N60">
        <v>90</v>
      </c>
      <c r="O60">
        <v>799</v>
      </c>
      <c r="P60">
        <v>0.31111111111111112</v>
      </c>
      <c r="Q60" t="s">
        <v>507</v>
      </c>
      <c r="R60" t="s">
        <v>325</v>
      </c>
      <c r="S60">
        <v>1</v>
      </c>
    </row>
    <row r="61" spans="1:19" x14ac:dyDescent="0.25">
      <c r="A61" s="5" t="s">
        <v>508</v>
      </c>
      <c r="B61" s="6" t="s">
        <v>33</v>
      </c>
      <c r="C61" s="6">
        <v>764</v>
      </c>
      <c r="D61" s="6">
        <v>829</v>
      </c>
      <c r="E61" s="6">
        <v>813</v>
      </c>
      <c r="F61" t="s">
        <v>329</v>
      </c>
      <c r="G61" s="1">
        <v>43970</v>
      </c>
      <c r="H61" s="2">
        <v>283</v>
      </c>
      <c r="I61" t="s">
        <v>126</v>
      </c>
      <c r="J61">
        <v>764</v>
      </c>
      <c r="K61">
        <v>829</v>
      </c>
      <c r="L61">
        <v>796.5</v>
      </c>
      <c r="M61">
        <v>32.5</v>
      </c>
      <c r="N61">
        <v>65</v>
      </c>
      <c r="O61">
        <v>813</v>
      </c>
      <c r="P61">
        <v>0.50769230769230766</v>
      </c>
      <c r="Q61" t="s">
        <v>509</v>
      </c>
      <c r="R61" t="s">
        <v>325</v>
      </c>
      <c r="S61">
        <v>1</v>
      </c>
    </row>
    <row r="62" spans="1:19" x14ac:dyDescent="0.25">
      <c r="A62" s="5" t="s">
        <v>510</v>
      </c>
      <c r="B62" s="6" t="s">
        <v>33</v>
      </c>
      <c r="C62" s="6">
        <v>771</v>
      </c>
      <c r="D62" s="6">
        <v>828</v>
      </c>
      <c r="E62" s="6">
        <v>808</v>
      </c>
      <c r="F62" t="s">
        <v>330</v>
      </c>
      <c r="G62" s="3">
        <v>43971</v>
      </c>
      <c r="H62" s="2">
        <v>282</v>
      </c>
      <c r="I62" t="s">
        <v>126</v>
      </c>
      <c r="J62">
        <v>771</v>
      </c>
      <c r="K62">
        <v>828</v>
      </c>
      <c r="L62">
        <v>799.5</v>
      </c>
      <c r="M62">
        <v>28.5</v>
      </c>
      <c r="N62">
        <v>57</v>
      </c>
      <c r="O62">
        <v>808</v>
      </c>
      <c r="P62">
        <v>0.2982456140350877</v>
      </c>
      <c r="Q62" t="s">
        <v>511</v>
      </c>
      <c r="R62" t="s">
        <v>325</v>
      </c>
      <c r="S62">
        <v>1</v>
      </c>
    </row>
    <row r="63" spans="1:19" x14ac:dyDescent="0.25">
      <c r="A63" s="5" t="s">
        <v>512</v>
      </c>
      <c r="B63" s="6" t="s">
        <v>33</v>
      </c>
      <c r="C63" s="6">
        <v>781</v>
      </c>
      <c r="D63" s="6">
        <v>826</v>
      </c>
      <c r="E63" s="6">
        <v>815</v>
      </c>
      <c r="F63" t="s">
        <v>331</v>
      </c>
      <c r="G63" s="1">
        <v>43972</v>
      </c>
      <c r="H63" s="2">
        <v>281</v>
      </c>
      <c r="I63" t="s">
        <v>126</v>
      </c>
      <c r="J63">
        <v>781</v>
      </c>
      <c r="K63">
        <v>826</v>
      </c>
      <c r="L63">
        <v>803.5</v>
      </c>
      <c r="M63">
        <v>22.5</v>
      </c>
      <c r="N63">
        <v>45</v>
      </c>
      <c r="O63">
        <v>815</v>
      </c>
      <c r="P63">
        <v>0.51111111111111107</v>
      </c>
      <c r="Q63" t="s">
        <v>513</v>
      </c>
      <c r="R63" t="s">
        <v>325</v>
      </c>
      <c r="S63">
        <v>1</v>
      </c>
    </row>
    <row r="64" spans="1:19" x14ac:dyDescent="0.25">
      <c r="A64" s="5" t="s">
        <v>514</v>
      </c>
      <c r="B64" s="6" t="s">
        <v>33</v>
      </c>
      <c r="C64" s="6">
        <v>784</v>
      </c>
      <c r="D64" s="6">
        <v>830</v>
      </c>
      <c r="E64" s="6">
        <v>827</v>
      </c>
      <c r="F64" t="s">
        <v>332</v>
      </c>
      <c r="G64" s="3">
        <v>43973</v>
      </c>
      <c r="H64" s="2">
        <v>280</v>
      </c>
      <c r="I64" t="s">
        <v>126</v>
      </c>
      <c r="J64">
        <v>784</v>
      </c>
      <c r="K64">
        <v>830</v>
      </c>
      <c r="L64">
        <v>807</v>
      </c>
      <c r="M64">
        <v>23</v>
      </c>
      <c r="N64">
        <v>46</v>
      </c>
      <c r="O64">
        <v>827</v>
      </c>
      <c r="P64">
        <v>0.86956521739130432</v>
      </c>
      <c r="Q64" t="s">
        <v>515</v>
      </c>
      <c r="R64" t="s">
        <v>325</v>
      </c>
      <c r="S64">
        <v>1</v>
      </c>
    </row>
    <row r="65" spans="1:19" x14ac:dyDescent="0.25">
      <c r="A65" s="5" t="s">
        <v>516</v>
      </c>
      <c r="B65" s="6" t="s">
        <v>33</v>
      </c>
      <c r="C65" s="6">
        <v>787</v>
      </c>
      <c r="D65" s="6">
        <v>833</v>
      </c>
      <c r="E65" s="6">
        <v>816</v>
      </c>
      <c r="F65" t="s">
        <v>329</v>
      </c>
      <c r="G65" s="1">
        <v>43977</v>
      </c>
      <c r="H65" s="2">
        <v>276</v>
      </c>
      <c r="I65" t="s">
        <v>126</v>
      </c>
      <c r="J65">
        <v>787</v>
      </c>
      <c r="K65">
        <v>833</v>
      </c>
      <c r="L65">
        <v>810</v>
      </c>
      <c r="M65">
        <v>23</v>
      </c>
      <c r="N65">
        <v>46</v>
      </c>
      <c r="O65">
        <v>816</v>
      </c>
      <c r="P65">
        <v>0.2608695652173913</v>
      </c>
      <c r="Q65" t="s">
        <v>517</v>
      </c>
      <c r="R65" t="s">
        <v>325</v>
      </c>
      <c r="S65">
        <v>1</v>
      </c>
    </row>
    <row r="66" spans="1:19" x14ac:dyDescent="0.25">
      <c r="A66" s="5" t="s">
        <v>518</v>
      </c>
      <c r="B66" s="6" t="s">
        <v>33</v>
      </c>
      <c r="C66" s="6">
        <v>785</v>
      </c>
      <c r="D66" s="6">
        <v>832</v>
      </c>
      <c r="E66" s="6">
        <v>818</v>
      </c>
      <c r="F66" t="s">
        <v>330</v>
      </c>
      <c r="G66" s="3">
        <v>43978</v>
      </c>
      <c r="H66" s="2">
        <v>275</v>
      </c>
      <c r="I66" t="s">
        <v>126</v>
      </c>
      <c r="J66">
        <v>785</v>
      </c>
      <c r="K66">
        <v>832</v>
      </c>
      <c r="L66">
        <v>808.5</v>
      </c>
      <c r="M66">
        <v>23.5</v>
      </c>
      <c r="N66">
        <v>47</v>
      </c>
      <c r="O66">
        <v>818</v>
      </c>
      <c r="P66">
        <v>0.40425531914893614</v>
      </c>
      <c r="Q66" t="s">
        <v>519</v>
      </c>
      <c r="R66" t="s">
        <v>325</v>
      </c>
      <c r="S66">
        <v>1</v>
      </c>
    </row>
    <row r="67" spans="1:19" x14ac:dyDescent="0.25">
      <c r="A67" s="5" t="s">
        <v>520</v>
      </c>
      <c r="B67" s="6" t="s">
        <v>33</v>
      </c>
      <c r="C67" s="6">
        <v>787</v>
      </c>
      <c r="D67" s="6">
        <v>832</v>
      </c>
      <c r="E67" s="6">
        <v>820</v>
      </c>
      <c r="F67" t="s">
        <v>331</v>
      </c>
      <c r="G67" s="1">
        <v>43979</v>
      </c>
      <c r="H67" s="2">
        <v>274</v>
      </c>
      <c r="I67" t="s">
        <v>126</v>
      </c>
      <c r="J67">
        <v>787</v>
      </c>
      <c r="K67">
        <v>832</v>
      </c>
      <c r="L67">
        <v>809.5</v>
      </c>
      <c r="M67">
        <v>22.5</v>
      </c>
      <c r="N67">
        <v>45</v>
      </c>
      <c r="O67">
        <v>820</v>
      </c>
      <c r="P67">
        <v>0.46666666666666667</v>
      </c>
      <c r="Q67" t="s">
        <v>521</v>
      </c>
      <c r="R67" t="s">
        <v>325</v>
      </c>
      <c r="S67">
        <v>1</v>
      </c>
    </row>
    <row r="68" spans="1:19" x14ac:dyDescent="0.25">
      <c r="A68" s="5" t="s">
        <v>522</v>
      </c>
      <c r="B68" s="6" t="s">
        <v>33</v>
      </c>
      <c r="C68" s="6">
        <v>773</v>
      </c>
      <c r="D68" s="6">
        <v>831</v>
      </c>
      <c r="E68" s="6">
        <v>805</v>
      </c>
      <c r="F68" t="s">
        <v>332</v>
      </c>
      <c r="G68" s="3">
        <v>43980</v>
      </c>
      <c r="H68" s="2">
        <v>273</v>
      </c>
      <c r="I68" t="s">
        <v>126</v>
      </c>
      <c r="J68">
        <v>773</v>
      </c>
      <c r="K68">
        <v>831</v>
      </c>
      <c r="L68">
        <v>802</v>
      </c>
      <c r="M68">
        <v>29</v>
      </c>
      <c r="N68">
        <v>58</v>
      </c>
      <c r="O68">
        <v>805</v>
      </c>
      <c r="P68">
        <v>0.10344827586206896</v>
      </c>
      <c r="Q68" t="s">
        <v>523</v>
      </c>
      <c r="R68" t="s">
        <v>325</v>
      </c>
      <c r="S68">
        <v>1</v>
      </c>
    </row>
    <row r="69" spans="1:19" x14ac:dyDescent="0.25">
      <c r="A69" s="5" t="s">
        <v>524</v>
      </c>
      <c r="B69" s="6" t="s">
        <v>33</v>
      </c>
      <c r="C69" s="6">
        <v>790</v>
      </c>
      <c r="D69" s="6">
        <v>842</v>
      </c>
      <c r="E69" s="6">
        <v>835</v>
      </c>
      <c r="F69" t="s">
        <v>333</v>
      </c>
      <c r="G69" s="1">
        <v>43983</v>
      </c>
      <c r="H69" s="2">
        <v>270</v>
      </c>
      <c r="I69" t="s">
        <v>126</v>
      </c>
      <c r="J69">
        <v>790</v>
      </c>
      <c r="K69">
        <v>842</v>
      </c>
      <c r="L69">
        <v>816</v>
      </c>
      <c r="M69">
        <v>26</v>
      </c>
      <c r="N69">
        <v>52</v>
      </c>
      <c r="O69">
        <v>878</v>
      </c>
      <c r="P69">
        <v>2.3846153846153846</v>
      </c>
      <c r="Q69" t="s">
        <v>525</v>
      </c>
      <c r="R69" t="s">
        <v>325</v>
      </c>
      <c r="S69">
        <v>1</v>
      </c>
    </row>
    <row r="70" spans="1:19" x14ac:dyDescent="0.25">
      <c r="A70" s="5" t="s">
        <v>526</v>
      </c>
      <c r="B70" s="6" t="s">
        <v>33</v>
      </c>
      <c r="C70" s="6">
        <v>775</v>
      </c>
      <c r="D70" s="6">
        <v>911</v>
      </c>
      <c r="E70" s="6">
        <v>898</v>
      </c>
      <c r="F70" t="s">
        <v>329</v>
      </c>
      <c r="G70" s="3">
        <v>43984</v>
      </c>
      <c r="H70" s="2">
        <v>269</v>
      </c>
      <c r="I70" t="s">
        <v>126</v>
      </c>
      <c r="J70">
        <v>775</v>
      </c>
      <c r="K70">
        <v>911</v>
      </c>
      <c r="L70">
        <v>843</v>
      </c>
      <c r="M70">
        <v>68</v>
      </c>
      <c r="N70">
        <v>136</v>
      </c>
      <c r="O70">
        <v>898</v>
      </c>
      <c r="P70">
        <v>0.80882352941176472</v>
      </c>
      <c r="Q70" t="s">
        <v>527</v>
      </c>
      <c r="R70" t="s">
        <v>325</v>
      </c>
      <c r="S70">
        <v>1</v>
      </c>
    </row>
    <row r="71" spans="1:19" x14ac:dyDescent="0.25">
      <c r="A71" s="5" t="s">
        <v>528</v>
      </c>
      <c r="B71" s="6" t="s">
        <v>33</v>
      </c>
      <c r="C71" s="6">
        <v>775</v>
      </c>
      <c r="D71" s="6">
        <v>901</v>
      </c>
      <c r="E71" s="6">
        <v>881</v>
      </c>
      <c r="F71" t="s">
        <v>330</v>
      </c>
      <c r="G71" s="1">
        <v>43985</v>
      </c>
      <c r="H71" s="2">
        <v>268</v>
      </c>
      <c r="I71" t="s">
        <v>126</v>
      </c>
      <c r="J71">
        <v>775</v>
      </c>
      <c r="K71">
        <v>901</v>
      </c>
      <c r="L71">
        <v>838</v>
      </c>
      <c r="M71">
        <v>63</v>
      </c>
      <c r="N71">
        <v>126</v>
      </c>
      <c r="O71">
        <v>881</v>
      </c>
      <c r="P71">
        <v>0.68253968253968256</v>
      </c>
      <c r="Q71" t="s">
        <v>529</v>
      </c>
      <c r="R71" t="s">
        <v>325</v>
      </c>
      <c r="S71">
        <v>1</v>
      </c>
    </row>
    <row r="72" spans="1:19" x14ac:dyDescent="0.25">
      <c r="A72" s="5" t="s">
        <v>530</v>
      </c>
      <c r="B72" s="6" t="s">
        <v>33</v>
      </c>
      <c r="C72" s="6">
        <v>776</v>
      </c>
      <c r="D72" s="6">
        <v>909</v>
      </c>
      <c r="E72" s="6">
        <v>882</v>
      </c>
      <c r="F72" t="s">
        <v>331</v>
      </c>
      <c r="G72" s="3">
        <v>43986</v>
      </c>
      <c r="H72" s="2">
        <v>267</v>
      </c>
      <c r="I72" t="s">
        <v>126</v>
      </c>
      <c r="J72">
        <v>776</v>
      </c>
      <c r="K72">
        <v>909</v>
      </c>
      <c r="L72">
        <v>842.5</v>
      </c>
      <c r="M72">
        <v>66.5</v>
      </c>
      <c r="N72">
        <v>133</v>
      </c>
      <c r="O72">
        <v>882</v>
      </c>
      <c r="P72">
        <v>0.59398496240601506</v>
      </c>
      <c r="Q72" t="s">
        <v>531</v>
      </c>
      <c r="R72" t="s">
        <v>325</v>
      </c>
      <c r="S72">
        <v>1</v>
      </c>
    </row>
    <row r="73" spans="1:19" x14ac:dyDescent="0.25">
      <c r="A73" s="5" t="s">
        <v>532</v>
      </c>
      <c r="B73" s="6" t="s">
        <v>33</v>
      </c>
      <c r="C73" s="6">
        <v>779</v>
      </c>
      <c r="D73" s="6">
        <v>915</v>
      </c>
      <c r="E73" s="6">
        <v>864</v>
      </c>
      <c r="F73" t="s">
        <v>332</v>
      </c>
      <c r="G73" s="1">
        <v>43987</v>
      </c>
      <c r="H73" s="2">
        <v>266</v>
      </c>
      <c r="I73" t="s">
        <v>126</v>
      </c>
      <c r="J73">
        <v>779</v>
      </c>
      <c r="K73">
        <v>915</v>
      </c>
      <c r="L73">
        <v>847</v>
      </c>
      <c r="M73">
        <v>68</v>
      </c>
      <c r="N73">
        <v>136</v>
      </c>
      <c r="O73">
        <v>864</v>
      </c>
      <c r="P73">
        <v>0.25</v>
      </c>
      <c r="Q73" t="s">
        <v>533</v>
      </c>
      <c r="R73" t="s">
        <v>325</v>
      </c>
      <c r="S73">
        <v>1</v>
      </c>
    </row>
    <row r="74" spans="1:19" x14ac:dyDescent="0.25">
      <c r="A74" s="5" t="s">
        <v>534</v>
      </c>
      <c r="B74" s="6" t="s">
        <v>33</v>
      </c>
      <c r="C74" s="6">
        <v>781</v>
      </c>
      <c r="D74" s="6">
        <v>922</v>
      </c>
      <c r="E74" s="6">
        <v>885</v>
      </c>
      <c r="F74" t="s">
        <v>333</v>
      </c>
      <c r="G74" s="3">
        <v>43990</v>
      </c>
      <c r="H74" s="2">
        <v>263</v>
      </c>
      <c r="I74" t="s">
        <v>126</v>
      </c>
      <c r="J74">
        <v>781</v>
      </c>
      <c r="K74">
        <v>922</v>
      </c>
      <c r="L74">
        <v>851.5</v>
      </c>
      <c r="M74">
        <v>70.5</v>
      </c>
      <c r="N74">
        <v>141</v>
      </c>
      <c r="O74">
        <v>885</v>
      </c>
      <c r="P74">
        <v>0.47517730496453903</v>
      </c>
      <c r="Q74" t="s">
        <v>535</v>
      </c>
      <c r="R74" t="s">
        <v>325</v>
      </c>
      <c r="S74">
        <v>1</v>
      </c>
    </row>
    <row r="75" spans="1:19" x14ac:dyDescent="0.25">
      <c r="A75" s="5" t="s">
        <v>536</v>
      </c>
      <c r="B75" s="6" t="s">
        <v>33</v>
      </c>
      <c r="C75" s="6">
        <v>787</v>
      </c>
      <c r="D75" s="6">
        <v>955</v>
      </c>
      <c r="E75" s="6">
        <v>949</v>
      </c>
      <c r="F75" t="s">
        <v>329</v>
      </c>
      <c r="G75" s="1">
        <v>43991</v>
      </c>
      <c r="H75" s="2">
        <v>262</v>
      </c>
      <c r="I75" t="s">
        <v>126</v>
      </c>
      <c r="J75">
        <v>787</v>
      </c>
      <c r="K75">
        <v>955</v>
      </c>
      <c r="L75">
        <v>871</v>
      </c>
      <c r="M75">
        <v>84</v>
      </c>
      <c r="N75">
        <v>168</v>
      </c>
      <c r="O75">
        <v>949</v>
      </c>
      <c r="P75">
        <v>0.9285714285714286</v>
      </c>
      <c r="Q75" t="s">
        <v>537</v>
      </c>
      <c r="R75" t="s">
        <v>325</v>
      </c>
      <c r="S75">
        <v>1</v>
      </c>
    </row>
    <row r="76" spans="1:19" x14ac:dyDescent="0.25">
      <c r="A76" s="5" t="s">
        <v>538</v>
      </c>
      <c r="B76" s="6" t="s">
        <v>33</v>
      </c>
      <c r="C76" s="6">
        <v>818</v>
      </c>
      <c r="D76" s="6">
        <v>970</v>
      </c>
      <c r="E76" s="6">
        <v>940</v>
      </c>
      <c r="F76" t="s">
        <v>330</v>
      </c>
      <c r="G76" s="3">
        <v>43992</v>
      </c>
      <c r="H76" s="2">
        <v>261</v>
      </c>
      <c r="I76" t="s">
        <v>126</v>
      </c>
      <c r="J76">
        <v>818</v>
      </c>
      <c r="K76">
        <v>970</v>
      </c>
      <c r="L76">
        <v>894</v>
      </c>
      <c r="M76">
        <v>76</v>
      </c>
      <c r="N76">
        <v>152</v>
      </c>
      <c r="O76">
        <v>940</v>
      </c>
      <c r="P76">
        <v>0.60526315789473684</v>
      </c>
      <c r="Q76" t="s">
        <v>539</v>
      </c>
      <c r="R76" t="s">
        <v>325</v>
      </c>
      <c r="S76">
        <v>1</v>
      </c>
    </row>
    <row r="77" spans="1:19" x14ac:dyDescent="0.25">
      <c r="A77" s="5" t="s">
        <v>540</v>
      </c>
      <c r="B77" s="6" t="s">
        <v>33</v>
      </c>
      <c r="C77" s="6">
        <v>842</v>
      </c>
      <c r="D77" s="6">
        <v>1033</v>
      </c>
      <c r="E77" s="6">
        <v>1025</v>
      </c>
      <c r="F77" t="s">
        <v>331</v>
      </c>
      <c r="G77" s="1">
        <v>43993</v>
      </c>
      <c r="H77" s="2">
        <v>260</v>
      </c>
      <c r="I77" t="s">
        <v>126</v>
      </c>
      <c r="J77">
        <v>842</v>
      </c>
      <c r="K77">
        <v>1033</v>
      </c>
      <c r="L77">
        <v>937.5</v>
      </c>
      <c r="M77">
        <v>95.5</v>
      </c>
      <c r="N77">
        <v>191</v>
      </c>
      <c r="O77">
        <v>1025</v>
      </c>
      <c r="P77">
        <v>0.91623036649214662</v>
      </c>
      <c r="Q77" t="s">
        <v>541</v>
      </c>
      <c r="R77" t="s">
        <v>325</v>
      </c>
      <c r="S77">
        <v>1</v>
      </c>
    </row>
    <row r="78" spans="1:19" x14ac:dyDescent="0.25">
      <c r="A78" s="5" t="s">
        <v>542</v>
      </c>
      <c r="B78" s="6" t="s">
        <v>33</v>
      </c>
      <c r="C78" s="6">
        <v>820</v>
      </c>
      <c r="D78" s="6">
        <v>1025</v>
      </c>
      <c r="E78" s="6">
        <v>972</v>
      </c>
      <c r="F78" t="s">
        <v>332</v>
      </c>
      <c r="G78" s="3">
        <v>43994</v>
      </c>
      <c r="H78" s="2">
        <v>259</v>
      </c>
      <c r="I78" t="s">
        <v>126</v>
      </c>
      <c r="J78">
        <v>820</v>
      </c>
      <c r="K78">
        <v>1025</v>
      </c>
      <c r="L78">
        <v>922.5</v>
      </c>
      <c r="M78">
        <v>102.5</v>
      </c>
      <c r="N78">
        <v>205</v>
      </c>
      <c r="O78">
        <v>972</v>
      </c>
      <c r="P78">
        <v>0.48292682926829267</v>
      </c>
      <c r="Q78" t="s">
        <v>543</v>
      </c>
      <c r="R78" t="s">
        <v>325</v>
      </c>
      <c r="S78">
        <v>1</v>
      </c>
    </row>
    <row r="79" spans="1:19" x14ac:dyDescent="0.25">
      <c r="A79" s="5" t="s">
        <v>544</v>
      </c>
      <c r="B79" s="6" t="s">
        <v>33</v>
      </c>
      <c r="C79" s="6">
        <v>823</v>
      </c>
      <c r="D79" s="6">
        <v>1025</v>
      </c>
      <c r="E79" s="6">
        <v>935</v>
      </c>
      <c r="F79" t="s">
        <v>333</v>
      </c>
      <c r="G79" s="1">
        <v>43997</v>
      </c>
      <c r="H79" s="2">
        <v>256</v>
      </c>
      <c r="I79" t="s">
        <v>126</v>
      </c>
      <c r="J79">
        <v>823</v>
      </c>
      <c r="K79">
        <v>1025</v>
      </c>
      <c r="L79">
        <v>924</v>
      </c>
      <c r="M79">
        <v>101</v>
      </c>
      <c r="N79">
        <v>202</v>
      </c>
      <c r="O79">
        <v>935</v>
      </c>
      <c r="P79">
        <v>0.10891089108910891</v>
      </c>
      <c r="Q79" t="s">
        <v>545</v>
      </c>
      <c r="R79" t="s">
        <v>325</v>
      </c>
      <c r="S79">
        <v>1</v>
      </c>
    </row>
    <row r="80" spans="1:19" x14ac:dyDescent="0.25">
      <c r="A80" s="5" t="s">
        <v>546</v>
      </c>
      <c r="B80" s="6" t="s">
        <v>33</v>
      </c>
      <c r="C80" s="6">
        <v>827</v>
      </c>
      <c r="D80" s="6">
        <v>1045</v>
      </c>
      <c r="E80" s="6">
        <v>990</v>
      </c>
      <c r="F80" t="s">
        <v>329</v>
      </c>
      <c r="G80" s="3">
        <v>43998</v>
      </c>
      <c r="H80" s="2">
        <v>255</v>
      </c>
      <c r="I80" t="s">
        <v>126</v>
      </c>
      <c r="J80">
        <v>827</v>
      </c>
      <c r="K80">
        <v>1045</v>
      </c>
      <c r="L80">
        <v>936</v>
      </c>
      <c r="M80">
        <v>109</v>
      </c>
      <c r="N80">
        <v>218</v>
      </c>
      <c r="O80">
        <v>990</v>
      </c>
      <c r="P80">
        <v>0.49541284403669728</v>
      </c>
      <c r="Q80" t="s">
        <v>547</v>
      </c>
      <c r="R80" t="s">
        <v>325</v>
      </c>
      <c r="S80">
        <v>1</v>
      </c>
    </row>
    <row r="81" spans="1:19" x14ac:dyDescent="0.25">
      <c r="A81" s="5" t="s">
        <v>548</v>
      </c>
      <c r="B81" s="6" t="s">
        <v>33</v>
      </c>
      <c r="C81" s="6">
        <v>850</v>
      </c>
      <c r="D81" s="6">
        <v>1046</v>
      </c>
      <c r="E81" s="6">
        <v>982</v>
      </c>
      <c r="F81" t="s">
        <v>330</v>
      </c>
      <c r="G81" s="1">
        <v>43999</v>
      </c>
      <c r="H81" s="2">
        <v>254</v>
      </c>
      <c r="I81" t="s">
        <v>126</v>
      </c>
      <c r="J81">
        <v>850</v>
      </c>
      <c r="K81">
        <v>1046</v>
      </c>
      <c r="L81">
        <v>948</v>
      </c>
      <c r="M81">
        <v>98</v>
      </c>
      <c r="N81">
        <v>196</v>
      </c>
      <c r="O81">
        <v>982</v>
      </c>
      <c r="P81">
        <v>0.34693877551020408</v>
      </c>
      <c r="Q81" t="s">
        <v>549</v>
      </c>
      <c r="R81" t="s">
        <v>325</v>
      </c>
      <c r="S81">
        <v>1</v>
      </c>
    </row>
    <row r="82" spans="1:19" x14ac:dyDescent="0.25">
      <c r="A82" s="5" t="s">
        <v>550</v>
      </c>
      <c r="B82" s="6" t="s">
        <v>33</v>
      </c>
      <c r="C82" s="6">
        <v>885</v>
      </c>
      <c r="D82" s="6">
        <v>1041</v>
      </c>
      <c r="E82" s="6">
        <v>991</v>
      </c>
      <c r="F82" t="s">
        <v>331</v>
      </c>
      <c r="G82" s="3">
        <v>44000</v>
      </c>
      <c r="H82" s="2">
        <v>253</v>
      </c>
      <c r="I82" t="s">
        <v>126</v>
      </c>
      <c r="J82">
        <v>885</v>
      </c>
      <c r="K82">
        <v>1041</v>
      </c>
      <c r="L82">
        <v>963</v>
      </c>
      <c r="M82">
        <v>78</v>
      </c>
      <c r="N82">
        <v>156</v>
      </c>
      <c r="O82">
        <v>991</v>
      </c>
      <c r="P82">
        <v>0.35897435897435898</v>
      </c>
      <c r="Q82" t="s">
        <v>551</v>
      </c>
      <c r="R82" t="s">
        <v>325</v>
      </c>
      <c r="S82">
        <v>1</v>
      </c>
    </row>
    <row r="83" spans="1:19" x14ac:dyDescent="0.25">
      <c r="A83" s="5" t="s">
        <v>552</v>
      </c>
      <c r="B83" s="6" t="s">
        <v>33</v>
      </c>
      <c r="C83" s="6">
        <v>912</v>
      </c>
      <c r="D83" s="6">
        <v>1039</v>
      </c>
      <c r="E83" s="6">
        <v>1003</v>
      </c>
      <c r="F83" t="s">
        <v>332</v>
      </c>
      <c r="G83" s="1">
        <v>44001</v>
      </c>
      <c r="H83" s="2">
        <v>252</v>
      </c>
      <c r="I83" t="s">
        <v>126</v>
      </c>
      <c r="J83">
        <v>912</v>
      </c>
      <c r="K83">
        <v>1039</v>
      </c>
      <c r="L83">
        <v>975.5</v>
      </c>
      <c r="M83">
        <v>63.5</v>
      </c>
      <c r="N83">
        <v>127</v>
      </c>
      <c r="O83">
        <v>1003</v>
      </c>
      <c r="P83">
        <v>0.43307086614173229</v>
      </c>
      <c r="Q83" t="s">
        <v>553</v>
      </c>
      <c r="R83" t="s">
        <v>325</v>
      </c>
      <c r="S83">
        <v>1</v>
      </c>
    </row>
    <row r="84" spans="1:19" x14ac:dyDescent="0.25">
      <c r="A84" s="5" t="s">
        <v>554</v>
      </c>
      <c r="B84" s="6" t="s">
        <v>33</v>
      </c>
      <c r="C84" s="6">
        <v>925</v>
      </c>
      <c r="D84" s="6">
        <v>1039</v>
      </c>
      <c r="E84" s="6">
        <v>1000</v>
      </c>
      <c r="F84" t="s">
        <v>333</v>
      </c>
      <c r="G84" s="3">
        <v>44004</v>
      </c>
      <c r="H84" s="2">
        <v>249</v>
      </c>
      <c r="I84" t="s">
        <v>126</v>
      </c>
      <c r="J84">
        <v>925</v>
      </c>
      <c r="K84">
        <v>1039</v>
      </c>
      <c r="L84">
        <v>982</v>
      </c>
      <c r="M84">
        <v>57</v>
      </c>
      <c r="N84">
        <v>114</v>
      </c>
      <c r="O84">
        <v>1000</v>
      </c>
      <c r="P84">
        <v>0.31578947368421051</v>
      </c>
      <c r="Q84" t="s">
        <v>555</v>
      </c>
      <c r="R84" t="s">
        <v>325</v>
      </c>
      <c r="S84">
        <v>1</v>
      </c>
    </row>
    <row r="85" spans="1:19" x14ac:dyDescent="0.25">
      <c r="A85" s="5" t="s">
        <v>556</v>
      </c>
      <c r="B85" s="6" t="s">
        <v>33</v>
      </c>
      <c r="C85" s="6">
        <v>939</v>
      </c>
      <c r="D85" s="6">
        <v>1038</v>
      </c>
      <c r="E85" s="6">
        <v>994</v>
      </c>
      <c r="F85" t="s">
        <v>329</v>
      </c>
      <c r="G85" s="1">
        <v>44005</v>
      </c>
      <c r="H85" s="2">
        <v>248</v>
      </c>
      <c r="I85" t="s">
        <v>126</v>
      </c>
      <c r="J85">
        <v>939</v>
      </c>
      <c r="K85">
        <v>1038</v>
      </c>
      <c r="L85">
        <v>988.5</v>
      </c>
      <c r="M85">
        <v>49.5</v>
      </c>
      <c r="N85">
        <v>99</v>
      </c>
      <c r="O85">
        <v>994</v>
      </c>
      <c r="P85">
        <v>0.1111111111111111</v>
      </c>
      <c r="Q85" t="s">
        <v>557</v>
      </c>
      <c r="R85" t="s">
        <v>325</v>
      </c>
      <c r="S85">
        <v>1</v>
      </c>
    </row>
    <row r="86" spans="1:19" x14ac:dyDescent="0.25">
      <c r="A86" s="5" t="s">
        <v>558</v>
      </c>
      <c r="B86" s="6" t="s">
        <v>33</v>
      </c>
      <c r="C86" s="6">
        <v>941</v>
      </c>
      <c r="D86" s="6">
        <v>1027</v>
      </c>
      <c r="E86" s="6">
        <v>1001</v>
      </c>
      <c r="F86" t="s">
        <v>330</v>
      </c>
      <c r="G86" s="3">
        <v>44006</v>
      </c>
      <c r="H86" s="2">
        <v>247</v>
      </c>
      <c r="I86" t="s">
        <v>126</v>
      </c>
      <c r="J86">
        <v>941</v>
      </c>
      <c r="K86">
        <v>1027</v>
      </c>
      <c r="L86">
        <v>984</v>
      </c>
      <c r="M86">
        <v>43</v>
      </c>
      <c r="N86">
        <v>86</v>
      </c>
      <c r="O86">
        <v>1001</v>
      </c>
      <c r="P86">
        <v>0.39534883720930231</v>
      </c>
      <c r="Q86" t="s">
        <v>559</v>
      </c>
      <c r="R86" t="s">
        <v>325</v>
      </c>
      <c r="S86">
        <v>1</v>
      </c>
    </row>
    <row r="87" spans="1:19" x14ac:dyDescent="0.25">
      <c r="A87" s="5" t="s">
        <v>560</v>
      </c>
      <c r="B87" s="6" t="s">
        <v>33</v>
      </c>
      <c r="C87" s="6">
        <v>917</v>
      </c>
      <c r="D87" s="6">
        <v>1027</v>
      </c>
      <c r="E87" s="6">
        <v>960</v>
      </c>
      <c r="F87" t="s">
        <v>331</v>
      </c>
      <c r="G87" s="1">
        <v>44007</v>
      </c>
      <c r="H87" s="2">
        <v>246</v>
      </c>
      <c r="I87" t="s">
        <v>126</v>
      </c>
      <c r="J87">
        <v>917</v>
      </c>
      <c r="K87">
        <v>1027</v>
      </c>
      <c r="L87">
        <v>972</v>
      </c>
      <c r="M87">
        <v>55</v>
      </c>
      <c r="N87">
        <v>110</v>
      </c>
      <c r="O87">
        <v>960</v>
      </c>
      <c r="P87">
        <v>-0.21818181818181817</v>
      </c>
      <c r="Q87" t="s">
        <v>561</v>
      </c>
      <c r="R87" t="s">
        <v>325</v>
      </c>
      <c r="S87">
        <v>1</v>
      </c>
    </row>
    <row r="88" spans="1:19" x14ac:dyDescent="0.25">
      <c r="A88" s="5" t="s">
        <v>562</v>
      </c>
      <c r="B88" s="6" t="s">
        <v>33</v>
      </c>
      <c r="C88" s="6">
        <v>922</v>
      </c>
      <c r="D88" s="6">
        <v>1019</v>
      </c>
      <c r="E88" s="6">
        <v>985</v>
      </c>
      <c r="F88" t="s">
        <v>332</v>
      </c>
      <c r="G88" s="3">
        <v>44008</v>
      </c>
      <c r="H88" s="2">
        <v>245</v>
      </c>
      <c r="I88" t="s">
        <v>126</v>
      </c>
      <c r="J88">
        <v>922</v>
      </c>
      <c r="K88">
        <v>1019</v>
      </c>
      <c r="L88">
        <v>970.5</v>
      </c>
      <c r="M88">
        <v>48.5</v>
      </c>
      <c r="N88">
        <v>97</v>
      </c>
      <c r="O88">
        <v>985</v>
      </c>
      <c r="P88">
        <v>0.29896907216494845</v>
      </c>
      <c r="Q88" t="s">
        <v>563</v>
      </c>
      <c r="R88" t="s">
        <v>325</v>
      </c>
      <c r="S88">
        <v>1</v>
      </c>
    </row>
    <row r="89" spans="1:19" x14ac:dyDescent="0.25">
      <c r="A89" s="5" t="s">
        <v>564</v>
      </c>
      <c r="B89" s="6" t="s">
        <v>33</v>
      </c>
      <c r="C89" s="6">
        <v>924</v>
      </c>
      <c r="D89" s="6">
        <v>1017</v>
      </c>
      <c r="E89" s="6">
        <v>959</v>
      </c>
      <c r="F89" t="s">
        <v>333</v>
      </c>
      <c r="G89" s="1">
        <v>44011</v>
      </c>
      <c r="H89" s="2">
        <v>242</v>
      </c>
      <c r="I89" t="s">
        <v>126</v>
      </c>
      <c r="J89">
        <v>924</v>
      </c>
      <c r="K89">
        <v>1017</v>
      </c>
      <c r="L89">
        <v>970.5</v>
      </c>
      <c r="M89">
        <v>46.5</v>
      </c>
      <c r="N89">
        <v>93</v>
      </c>
      <c r="O89">
        <v>959</v>
      </c>
      <c r="P89">
        <v>-0.24731182795698925</v>
      </c>
      <c r="Q89" t="s">
        <v>565</v>
      </c>
      <c r="R89" t="s">
        <v>325</v>
      </c>
      <c r="S89">
        <v>1</v>
      </c>
    </row>
    <row r="90" spans="1:19" x14ac:dyDescent="0.25">
      <c r="A90" s="5" t="s">
        <v>566</v>
      </c>
      <c r="B90" s="6" t="s">
        <v>33</v>
      </c>
      <c r="C90" s="6">
        <v>929</v>
      </c>
      <c r="D90" s="6">
        <v>1026</v>
      </c>
      <c r="E90" s="6">
        <v>1009</v>
      </c>
      <c r="F90" t="s">
        <v>329</v>
      </c>
      <c r="G90" s="3">
        <v>44012</v>
      </c>
      <c r="H90" s="2">
        <v>241</v>
      </c>
      <c r="I90" t="s">
        <v>126</v>
      </c>
      <c r="J90">
        <v>929</v>
      </c>
      <c r="K90">
        <v>1026</v>
      </c>
      <c r="L90">
        <v>977.5</v>
      </c>
      <c r="M90">
        <v>48.5</v>
      </c>
      <c r="N90">
        <v>97</v>
      </c>
      <c r="O90">
        <v>1009</v>
      </c>
      <c r="P90">
        <v>0.64948453608247425</v>
      </c>
      <c r="Q90" t="s">
        <v>567</v>
      </c>
      <c r="R90" t="s">
        <v>325</v>
      </c>
      <c r="S90">
        <v>1</v>
      </c>
    </row>
    <row r="91" spans="1:19" x14ac:dyDescent="0.25">
      <c r="A91" s="5" t="s">
        <v>568</v>
      </c>
      <c r="B91" s="6" t="s">
        <v>33</v>
      </c>
      <c r="C91" s="6">
        <v>942</v>
      </c>
      <c r="D91" s="6">
        <v>1099</v>
      </c>
      <c r="E91" s="6">
        <v>1079</v>
      </c>
      <c r="F91" t="s">
        <v>330</v>
      </c>
      <c r="G91" s="1">
        <v>44013</v>
      </c>
      <c r="H91" s="2">
        <v>240</v>
      </c>
      <c r="I91" t="s">
        <v>126</v>
      </c>
      <c r="J91">
        <v>942</v>
      </c>
      <c r="K91">
        <v>1099</v>
      </c>
      <c r="L91">
        <v>1020.5</v>
      </c>
      <c r="M91">
        <v>78.5</v>
      </c>
      <c r="N91">
        <v>157</v>
      </c>
      <c r="O91">
        <v>1079</v>
      </c>
      <c r="P91">
        <v>0.74522292993630568</v>
      </c>
      <c r="Q91" t="s">
        <v>569</v>
      </c>
      <c r="R91" t="s">
        <v>325</v>
      </c>
      <c r="S91">
        <v>1</v>
      </c>
    </row>
    <row r="92" spans="1:19" x14ac:dyDescent="0.25">
      <c r="A92" s="5" t="s">
        <v>570</v>
      </c>
      <c r="B92" s="6" t="s">
        <v>33</v>
      </c>
      <c r="C92" s="6">
        <v>954</v>
      </c>
      <c r="D92" s="6">
        <v>1130</v>
      </c>
      <c r="E92" s="6">
        <v>1119</v>
      </c>
      <c r="F92" t="s">
        <v>331</v>
      </c>
      <c r="G92" s="3">
        <v>44014</v>
      </c>
      <c r="H92" s="2">
        <v>239</v>
      </c>
      <c r="I92" t="s">
        <v>126</v>
      </c>
      <c r="J92">
        <v>954</v>
      </c>
      <c r="K92">
        <v>1130</v>
      </c>
      <c r="L92">
        <v>1042</v>
      </c>
      <c r="M92">
        <v>88</v>
      </c>
      <c r="N92">
        <v>176</v>
      </c>
      <c r="O92">
        <v>1119</v>
      </c>
      <c r="P92">
        <v>0.875</v>
      </c>
      <c r="Q92" t="s">
        <v>571</v>
      </c>
      <c r="R92" t="s">
        <v>325</v>
      </c>
      <c r="S92">
        <v>1</v>
      </c>
    </row>
    <row r="93" spans="1:19" x14ac:dyDescent="0.25">
      <c r="A93" s="5" t="s">
        <v>572</v>
      </c>
      <c r="B93" s="6" t="s">
        <v>33</v>
      </c>
      <c r="C93" s="6">
        <v>1035</v>
      </c>
      <c r="D93" s="6">
        <v>1243</v>
      </c>
      <c r="E93" s="6">
        <v>1208</v>
      </c>
      <c r="F93" t="s">
        <v>333</v>
      </c>
      <c r="G93" s="1">
        <v>44018</v>
      </c>
      <c r="H93" s="2">
        <v>235</v>
      </c>
      <c r="I93" t="s">
        <v>126</v>
      </c>
      <c r="J93">
        <v>1035</v>
      </c>
      <c r="K93">
        <v>1243</v>
      </c>
      <c r="L93">
        <v>1139</v>
      </c>
      <c r="M93">
        <v>104</v>
      </c>
      <c r="N93">
        <v>208</v>
      </c>
      <c r="O93">
        <v>1208</v>
      </c>
      <c r="P93">
        <v>0.66346153846153844</v>
      </c>
      <c r="Q93" t="s">
        <v>573</v>
      </c>
      <c r="R93" t="s">
        <v>325</v>
      </c>
      <c r="S93">
        <v>1</v>
      </c>
    </row>
    <row r="94" spans="1:19" x14ac:dyDescent="0.25">
      <c r="A94" s="5" t="s">
        <v>574</v>
      </c>
      <c r="B94" s="6" t="s">
        <v>33</v>
      </c>
      <c r="C94" s="6">
        <v>1078</v>
      </c>
      <c r="D94" s="6">
        <v>1442</v>
      </c>
      <c r="E94" s="6">
        <v>1371</v>
      </c>
      <c r="F94" t="s">
        <v>329</v>
      </c>
      <c r="G94" s="3">
        <v>44019</v>
      </c>
      <c r="H94" s="2">
        <v>234</v>
      </c>
      <c r="I94" t="s">
        <v>126</v>
      </c>
      <c r="J94">
        <v>1078</v>
      </c>
      <c r="K94">
        <v>1442</v>
      </c>
      <c r="L94">
        <v>1260</v>
      </c>
      <c r="M94">
        <v>182</v>
      </c>
      <c r="N94">
        <v>364</v>
      </c>
      <c r="O94">
        <v>1371</v>
      </c>
      <c r="P94">
        <v>0.60989010989010994</v>
      </c>
      <c r="Q94" t="s">
        <v>575</v>
      </c>
      <c r="R94" t="s">
        <v>325</v>
      </c>
      <c r="S94">
        <v>1</v>
      </c>
    </row>
    <row r="95" spans="1:19" x14ac:dyDescent="0.25">
      <c r="A95" s="5" t="s">
        <v>576</v>
      </c>
      <c r="B95" s="6" t="s">
        <v>33</v>
      </c>
      <c r="C95" s="6">
        <v>1121</v>
      </c>
      <c r="D95" s="6">
        <v>1438</v>
      </c>
      <c r="E95" s="6">
        <v>1389</v>
      </c>
      <c r="F95" t="s">
        <v>330</v>
      </c>
      <c r="G95" s="1">
        <v>44020</v>
      </c>
      <c r="H95" s="2">
        <v>233</v>
      </c>
      <c r="I95" t="s">
        <v>126</v>
      </c>
      <c r="J95">
        <v>1121</v>
      </c>
      <c r="K95">
        <v>1438</v>
      </c>
      <c r="L95">
        <v>1279.5</v>
      </c>
      <c r="M95">
        <v>158.5</v>
      </c>
      <c r="N95">
        <v>317</v>
      </c>
      <c r="O95">
        <v>1389</v>
      </c>
      <c r="P95">
        <v>0.69085173501577291</v>
      </c>
      <c r="Q95" t="s">
        <v>577</v>
      </c>
      <c r="R95" t="s">
        <v>325</v>
      </c>
      <c r="S95">
        <v>1</v>
      </c>
    </row>
    <row r="96" spans="1:19" x14ac:dyDescent="0.25">
      <c r="A96" s="5" t="s">
        <v>578</v>
      </c>
      <c r="B96" s="6" t="s">
        <v>33</v>
      </c>
      <c r="C96" s="6">
        <v>1166</v>
      </c>
      <c r="D96" s="6">
        <v>1495</v>
      </c>
      <c r="E96" s="6">
        <v>1365</v>
      </c>
      <c r="F96" t="s">
        <v>331</v>
      </c>
      <c r="G96" s="3">
        <v>44021</v>
      </c>
      <c r="H96" s="2">
        <v>232</v>
      </c>
      <c r="I96" t="s">
        <v>126</v>
      </c>
      <c r="J96">
        <v>1166</v>
      </c>
      <c r="K96">
        <v>1495</v>
      </c>
      <c r="L96">
        <v>1330.5</v>
      </c>
      <c r="M96">
        <v>164.5</v>
      </c>
      <c r="N96">
        <v>329</v>
      </c>
      <c r="O96">
        <v>1365</v>
      </c>
      <c r="P96">
        <v>0.20972644376899696</v>
      </c>
      <c r="Q96" t="s">
        <v>579</v>
      </c>
      <c r="R96" t="s">
        <v>325</v>
      </c>
      <c r="S96">
        <v>1</v>
      </c>
    </row>
    <row r="97" spans="1:19" x14ac:dyDescent="0.25">
      <c r="A97" s="5" t="s">
        <v>580</v>
      </c>
      <c r="B97" s="6" t="s">
        <v>33</v>
      </c>
      <c r="C97" s="6">
        <v>1201</v>
      </c>
      <c r="D97" s="6">
        <v>1545</v>
      </c>
      <c r="E97" s="6">
        <v>1394</v>
      </c>
      <c r="F97" t="s">
        <v>332</v>
      </c>
      <c r="G97" s="1">
        <v>44022</v>
      </c>
      <c r="H97" s="2">
        <v>231</v>
      </c>
      <c r="I97" t="s">
        <v>126</v>
      </c>
      <c r="J97">
        <v>1201</v>
      </c>
      <c r="K97">
        <v>1545</v>
      </c>
      <c r="L97">
        <v>1373</v>
      </c>
      <c r="M97">
        <v>172</v>
      </c>
      <c r="N97">
        <v>344</v>
      </c>
      <c r="O97">
        <v>1394</v>
      </c>
      <c r="P97">
        <v>0.12209302325581395</v>
      </c>
      <c r="Q97" t="s">
        <v>581</v>
      </c>
      <c r="R97" t="s">
        <v>325</v>
      </c>
      <c r="S97">
        <v>1</v>
      </c>
    </row>
    <row r="98" spans="1:19" x14ac:dyDescent="0.25">
      <c r="A98" s="5" t="s">
        <v>582</v>
      </c>
      <c r="B98" s="6" t="s">
        <v>33</v>
      </c>
      <c r="C98" s="6">
        <v>1276</v>
      </c>
      <c r="D98" s="6">
        <v>1613</v>
      </c>
      <c r="E98" s="6">
        <v>1544</v>
      </c>
      <c r="F98" t="s">
        <v>333</v>
      </c>
      <c r="G98" s="3">
        <v>44025</v>
      </c>
      <c r="H98" s="2">
        <v>228</v>
      </c>
      <c r="I98" t="s">
        <v>126</v>
      </c>
      <c r="J98">
        <v>1276</v>
      </c>
      <c r="K98">
        <v>1613</v>
      </c>
      <c r="L98">
        <v>1444.5</v>
      </c>
      <c r="M98">
        <v>168.5</v>
      </c>
      <c r="N98">
        <v>337</v>
      </c>
      <c r="O98">
        <v>1544</v>
      </c>
      <c r="P98">
        <v>0.59050445103857563</v>
      </c>
      <c r="Q98" t="s">
        <v>583</v>
      </c>
      <c r="R98" t="s">
        <v>325</v>
      </c>
      <c r="S98">
        <v>1</v>
      </c>
    </row>
    <row r="99" spans="1:19" x14ac:dyDescent="0.25">
      <c r="A99" s="5" t="s">
        <v>584</v>
      </c>
      <c r="B99" s="6" t="s">
        <v>33</v>
      </c>
      <c r="C99" s="6">
        <v>1320</v>
      </c>
      <c r="D99" s="6">
        <v>1642</v>
      </c>
      <c r="E99" s="6">
        <v>1497</v>
      </c>
      <c r="F99" t="s">
        <v>329</v>
      </c>
      <c r="G99" s="1">
        <v>44026</v>
      </c>
      <c r="H99" s="2">
        <v>227</v>
      </c>
      <c r="I99" t="s">
        <v>126</v>
      </c>
      <c r="J99">
        <v>1320</v>
      </c>
      <c r="K99">
        <v>1642</v>
      </c>
      <c r="L99">
        <v>1481</v>
      </c>
      <c r="M99">
        <v>161</v>
      </c>
      <c r="N99">
        <v>322</v>
      </c>
      <c r="O99">
        <v>1497</v>
      </c>
      <c r="P99">
        <v>9.9378881987577633E-2</v>
      </c>
      <c r="Q99" t="s">
        <v>585</v>
      </c>
      <c r="R99" t="s">
        <v>325</v>
      </c>
      <c r="S99">
        <v>1</v>
      </c>
    </row>
    <row r="100" spans="1:19" x14ac:dyDescent="0.25">
      <c r="A100" s="5" t="s">
        <v>586</v>
      </c>
      <c r="B100" s="6" t="s">
        <v>33</v>
      </c>
      <c r="C100" s="6">
        <v>1368</v>
      </c>
      <c r="D100" s="6">
        <v>1645</v>
      </c>
      <c r="E100" s="6">
        <v>1516</v>
      </c>
      <c r="F100" t="s">
        <v>330</v>
      </c>
      <c r="G100" s="3">
        <v>44027</v>
      </c>
      <c r="H100" s="2">
        <v>226</v>
      </c>
      <c r="I100" t="s">
        <v>126</v>
      </c>
      <c r="J100">
        <v>1368</v>
      </c>
      <c r="K100">
        <v>1645</v>
      </c>
      <c r="L100">
        <v>1506.5</v>
      </c>
      <c r="M100">
        <v>138.5</v>
      </c>
      <c r="N100">
        <v>277</v>
      </c>
      <c r="O100">
        <v>1516</v>
      </c>
      <c r="P100">
        <v>6.8592057761732855E-2</v>
      </c>
      <c r="Q100" t="s">
        <v>587</v>
      </c>
      <c r="R100" t="s">
        <v>325</v>
      </c>
      <c r="S100">
        <v>1</v>
      </c>
    </row>
    <row r="101" spans="1:19" x14ac:dyDescent="0.25">
      <c r="A101" s="5" t="s">
        <v>588</v>
      </c>
      <c r="B101" s="6" t="s">
        <v>33</v>
      </c>
      <c r="C101" s="6">
        <v>1416</v>
      </c>
      <c r="D101" s="6">
        <v>1635</v>
      </c>
      <c r="E101" s="6">
        <v>1546</v>
      </c>
      <c r="F101" t="s">
        <v>331</v>
      </c>
      <c r="G101" s="1">
        <v>44028</v>
      </c>
      <c r="H101" s="2">
        <v>225</v>
      </c>
      <c r="I101" t="s">
        <v>126</v>
      </c>
      <c r="J101">
        <v>1416</v>
      </c>
      <c r="K101">
        <v>1635</v>
      </c>
      <c r="L101">
        <v>1525.5</v>
      </c>
      <c r="M101">
        <v>109.5</v>
      </c>
      <c r="N101">
        <v>219</v>
      </c>
      <c r="O101">
        <v>1546</v>
      </c>
      <c r="P101">
        <v>0.18721461187214611</v>
      </c>
      <c r="Q101" t="s">
        <v>589</v>
      </c>
      <c r="R101" t="s">
        <v>325</v>
      </c>
      <c r="S101">
        <v>1</v>
      </c>
    </row>
    <row r="102" spans="1:19" x14ac:dyDescent="0.25">
      <c r="A102" s="5" t="s">
        <v>590</v>
      </c>
      <c r="B102" s="6" t="s">
        <v>33</v>
      </c>
      <c r="C102" s="6">
        <v>1324</v>
      </c>
      <c r="D102" s="6">
        <v>1603</v>
      </c>
      <c r="E102" s="6">
        <v>1500</v>
      </c>
      <c r="F102" t="s">
        <v>332</v>
      </c>
      <c r="G102" s="3">
        <v>44029</v>
      </c>
      <c r="H102" s="2">
        <v>224</v>
      </c>
      <c r="I102" t="s">
        <v>126</v>
      </c>
      <c r="J102">
        <v>1324</v>
      </c>
      <c r="K102">
        <v>1603</v>
      </c>
      <c r="L102">
        <v>1463.5</v>
      </c>
      <c r="M102">
        <v>139.5</v>
      </c>
      <c r="N102">
        <v>279</v>
      </c>
      <c r="O102">
        <v>1500</v>
      </c>
      <c r="P102">
        <v>0.26164874551971329</v>
      </c>
      <c r="Q102" t="s">
        <v>591</v>
      </c>
      <c r="R102" t="s">
        <v>325</v>
      </c>
      <c r="S102">
        <v>1</v>
      </c>
    </row>
    <row r="103" spans="1:19" x14ac:dyDescent="0.25">
      <c r="A103" s="5" t="s">
        <v>592</v>
      </c>
      <c r="B103" s="6" t="s">
        <v>33</v>
      </c>
      <c r="C103" s="6">
        <v>1340</v>
      </c>
      <c r="D103" s="6">
        <v>1605</v>
      </c>
      <c r="E103" s="6">
        <v>1500</v>
      </c>
      <c r="F103" t="s">
        <v>333</v>
      </c>
      <c r="G103" s="1">
        <v>44032</v>
      </c>
      <c r="H103" s="2">
        <v>221</v>
      </c>
      <c r="I103" t="s">
        <v>126</v>
      </c>
      <c r="J103">
        <v>1340</v>
      </c>
      <c r="K103">
        <v>1605</v>
      </c>
      <c r="L103">
        <v>1472.5</v>
      </c>
      <c r="M103">
        <v>132.5</v>
      </c>
      <c r="N103">
        <v>265</v>
      </c>
      <c r="O103">
        <v>1500</v>
      </c>
      <c r="P103">
        <v>0.20754716981132076</v>
      </c>
      <c r="Q103" t="s">
        <v>593</v>
      </c>
      <c r="R103" t="s">
        <v>325</v>
      </c>
      <c r="S103">
        <v>1</v>
      </c>
    </row>
    <row r="104" spans="1:19" x14ac:dyDescent="0.25">
      <c r="A104" s="5" t="s">
        <v>594</v>
      </c>
      <c r="B104" s="6" t="s">
        <v>33</v>
      </c>
      <c r="C104" s="6">
        <v>1356</v>
      </c>
      <c r="D104" s="6">
        <v>1685</v>
      </c>
      <c r="E104" s="6">
        <v>1643</v>
      </c>
      <c r="F104" t="s">
        <v>329</v>
      </c>
      <c r="G104" s="3">
        <v>44033</v>
      </c>
      <c r="H104" s="2">
        <v>220</v>
      </c>
      <c r="I104" t="s">
        <v>126</v>
      </c>
      <c r="J104">
        <v>1356</v>
      </c>
      <c r="K104">
        <v>1685</v>
      </c>
      <c r="L104">
        <v>1520.5</v>
      </c>
      <c r="M104">
        <v>164.5</v>
      </c>
      <c r="N104">
        <v>329</v>
      </c>
      <c r="O104">
        <v>1643</v>
      </c>
      <c r="P104">
        <v>0.74468085106382975</v>
      </c>
      <c r="Q104" t="s">
        <v>595</v>
      </c>
      <c r="R104" t="s">
        <v>325</v>
      </c>
      <c r="S104">
        <v>1</v>
      </c>
    </row>
    <row r="105" spans="1:19" x14ac:dyDescent="0.25">
      <c r="A105" s="5" t="s">
        <v>596</v>
      </c>
      <c r="B105" s="6" t="s">
        <v>33</v>
      </c>
      <c r="C105" s="6">
        <v>1395</v>
      </c>
      <c r="D105" s="6">
        <v>1651</v>
      </c>
      <c r="E105" s="6">
        <v>1568</v>
      </c>
      <c r="F105" t="s">
        <v>330</v>
      </c>
      <c r="G105" s="1">
        <v>44034</v>
      </c>
      <c r="H105" s="2">
        <v>219</v>
      </c>
      <c r="I105" t="s">
        <v>126</v>
      </c>
      <c r="J105">
        <v>1395</v>
      </c>
      <c r="K105">
        <v>1651</v>
      </c>
      <c r="L105">
        <v>1523</v>
      </c>
      <c r="M105">
        <v>128</v>
      </c>
      <c r="N105">
        <v>256</v>
      </c>
      <c r="O105">
        <v>1568</v>
      </c>
      <c r="P105">
        <v>0.3515625</v>
      </c>
      <c r="Q105" t="s">
        <v>597</v>
      </c>
      <c r="R105" t="s">
        <v>325</v>
      </c>
      <c r="S105">
        <v>1</v>
      </c>
    </row>
    <row r="106" spans="1:19" x14ac:dyDescent="0.25">
      <c r="A106" s="5" t="s">
        <v>598</v>
      </c>
      <c r="B106" s="6" t="s">
        <v>33</v>
      </c>
      <c r="C106" s="6">
        <v>1450</v>
      </c>
      <c r="D106" s="6">
        <v>1688</v>
      </c>
      <c r="E106" s="6">
        <v>1592</v>
      </c>
      <c r="F106" t="s">
        <v>331</v>
      </c>
      <c r="G106" s="3">
        <v>44035</v>
      </c>
      <c r="H106" s="2">
        <v>218</v>
      </c>
      <c r="I106" t="s">
        <v>126</v>
      </c>
      <c r="J106">
        <v>1450</v>
      </c>
      <c r="K106">
        <v>1688</v>
      </c>
      <c r="L106">
        <v>1569</v>
      </c>
      <c r="M106">
        <v>119</v>
      </c>
      <c r="N106">
        <v>238</v>
      </c>
      <c r="O106">
        <v>1592</v>
      </c>
      <c r="P106">
        <v>0.19327731092436976</v>
      </c>
      <c r="Q106" t="s">
        <v>599</v>
      </c>
      <c r="R106" t="s">
        <v>325</v>
      </c>
      <c r="S106">
        <v>1</v>
      </c>
    </row>
    <row r="107" spans="1:19" x14ac:dyDescent="0.25">
      <c r="A107" s="5" t="s">
        <v>600</v>
      </c>
      <c r="B107" s="6" t="s">
        <v>33</v>
      </c>
      <c r="C107" s="6">
        <v>1445</v>
      </c>
      <c r="D107" s="6">
        <v>1638</v>
      </c>
      <c r="E107" s="6">
        <v>1513</v>
      </c>
      <c r="F107" t="s">
        <v>332</v>
      </c>
      <c r="G107" s="1">
        <v>44036</v>
      </c>
      <c r="H107" s="2">
        <v>217</v>
      </c>
      <c r="I107" t="s">
        <v>126</v>
      </c>
      <c r="J107">
        <v>1445</v>
      </c>
      <c r="K107">
        <v>1638</v>
      </c>
      <c r="L107">
        <v>1541.5</v>
      </c>
      <c r="M107">
        <v>96.5</v>
      </c>
      <c r="N107">
        <v>193</v>
      </c>
      <c r="O107">
        <v>1513</v>
      </c>
      <c r="P107">
        <v>-0.29533678756476683</v>
      </c>
      <c r="Q107" t="s">
        <v>601</v>
      </c>
      <c r="R107" t="s">
        <v>325</v>
      </c>
      <c r="S107">
        <v>1</v>
      </c>
    </row>
    <row r="108" spans="1:19" x14ac:dyDescent="0.25">
      <c r="A108" s="5" t="s">
        <v>602</v>
      </c>
      <c r="B108" s="6" t="s">
        <v>189</v>
      </c>
      <c r="C108" s="6">
        <v>1401</v>
      </c>
      <c r="D108" s="6">
        <v>1655</v>
      </c>
      <c r="E108" s="6">
        <v>1417</v>
      </c>
      <c r="F108" t="s">
        <v>333</v>
      </c>
      <c r="G108" s="3">
        <v>44039</v>
      </c>
      <c r="H108" s="2">
        <v>214</v>
      </c>
      <c r="I108" t="s">
        <v>126</v>
      </c>
      <c r="J108">
        <v>1401</v>
      </c>
      <c r="K108">
        <v>1655</v>
      </c>
      <c r="L108">
        <v>1528</v>
      </c>
      <c r="M108">
        <v>127</v>
      </c>
      <c r="N108">
        <v>254</v>
      </c>
      <c r="O108">
        <v>1417</v>
      </c>
      <c r="P108">
        <v>-0.87401574803149606</v>
      </c>
      <c r="Q108" t="s">
        <v>603</v>
      </c>
      <c r="R108" t="s">
        <v>325</v>
      </c>
      <c r="S108">
        <v>1</v>
      </c>
    </row>
    <row r="109" spans="1:19" x14ac:dyDescent="0.25">
      <c r="A109" s="5" t="s">
        <v>604</v>
      </c>
      <c r="B109" s="6" t="s">
        <v>189</v>
      </c>
      <c r="C109" s="6">
        <v>1412</v>
      </c>
      <c r="D109" s="6">
        <v>1658</v>
      </c>
      <c r="E109" s="6">
        <v>1539</v>
      </c>
      <c r="F109" t="s">
        <v>329</v>
      </c>
      <c r="G109" s="1">
        <v>44040</v>
      </c>
      <c r="H109" s="2">
        <v>213</v>
      </c>
      <c r="I109" t="s">
        <v>126</v>
      </c>
      <c r="J109">
        <v>1412</v>
      </c>
      <c r="K109">
        <v>1658</v>
      </c>
      <c r="L109">
        <v>1535</v>
      </c>
      <c r="M109">
        <v>123</v>
      </c>
      <c r="N109">
        <v>246</v>
      </c>
      <c r="O109">
        <v>1539</v>
      </c>
      <c r="P109">
        <v>3.2520325203252036E-2</v>
      </c>
      <c r="Q109" t="s">
        <v>605</v>
      </c>
      <c r="R109" t="s">
        <v>325</v>
      </c>
      <c r="S109">
        <v>1</v>
      </c>
    </row>
    <row r="110" spans="1:19" x14ac:dyDescent="0.25">
      <c r="A110" s="5" t="s">
        <v>606</v>
      </c>
      <c r="B110" s="6" t="s">
        <v>189</v>
      </c>
      <c r="C110" s="6">
        <v>1402</v>
      </c>
      <c r="D110" s="6">
        <v>1655</v>
      </c>
      <c r="E110" s="6">
        <v>1476</v>
      </c>
      <c r="F110" t="s">
        <v>330</v>
      </c>
      <c r="G110" s="3">
        <v>44041</v>
      </c>
      <c r="H110" s="2">
        <v>212</v>
      </c>
      <c r="I110" t="s">
        <v>126</v>
      </c>
      <c r="J110">
        <v>1402</v>
      </c>
      <c r="K110">
        <v>1655</v>
      </c>
      <c r="L110">
        <v>1528.5</v>
      </c>
      <c r="M110">
        <v>126.5</v>
      </c>
      <c r="N110">
        <v>253</v>
      </c>
      <c r="O110">
        <v>1476</v>
      </c>
      <c r="P110">
        <v>-0.41501976284584979</v>
      </c>
      <c r="Q110" t="s">
        <v>607</v>
      </c>
      <c r="R110" t="s">
        <v>325</v>
      </c>
      <c r="S110">
        <v>1</v>
      </c>
    </row>
    <row r="111" spans="1:19" x14ac:dyDescent="0.25">
      <c r="A111" s="5" t="s">
        <v>608</v>
      </c>
      <c r="B111" s="6" t="s">
        <v>33</v>
      </c>
      <c r="C111" s="6">
        <v>1400</v>
      </c>
      <c r="D111" s="6">
        <v>1656</v>
      </c>
      <c r="E111" s="6">
        <v>1499</v>
      </c>
      <c r="F111" t="s">
        <v>331</v>
      </c>
      <c r="G111" s="1">
        <v>44042</v>
      </c>
      <c r="H111" s="2">
        <v>211</v>
      </c>
      <c r="I111" t="s">
        <v>126</v>
      </c>
      <c r="J111">
        <v>1400</v>
      </c>
      <c r="K111">
        <v>1656</v>
      </c>
      <c r="L111">
        <v>1528</v>
      </c>
      <c r="M111">
        <v>128</v>
      </c>
      <c r="N111">
        <v>256</v>
      </c>
      <c r="O111">
        <v>1499</v>
      </c>
      <c r="P111">
        <v>-0.2265625</v>
      </c>
      <c r="Q111" t="s">
        <v>609</v>
      </c>
      <c r="R111" t="s">
        <v>325</v>
      </c>
      <c r="S111">
        <v>1</v>
      </c>
    </row>
    <row r="112" spans="1:19" x14ac:dyDescent="0.25">
      <c r="A112" s="5" t="s">
        <v>610</v>
      </c>
      <c r="B112" s="6" t="s">
        <v>33</v>
      </c>
      <c r="C112" s="6">
        <v>1399</v>
      </c>
      <c r="D112" s="6">
        <v>1656</v>
      </c>
      <c r="E112" s="6">
        <v>1487</v>
      </c>
      <c r="F112" t="s">
        <v>332</v>
      </c>
      <c r="G112" s="3">
        <v>44043</v>
      </c>
      <c r="H112" s="2">
        <v>210</v>
      </c>
      <c r="I112" t="s">
        <v>126</v>
      </c>
      <c r="J112">
        <v>1399</v>
      </c>
      <c r="K112">
        <v>1656</v>
      </c>
      <c r="L112">
        <v>1527.5</v>
      </c>
      <c r="M112">
        <v>128.5</v>
      </c>
      <c r="N112">
        <v>257</v>
      </c>
      <c r="O112">
        <v>1487</v>
      </c>
      <c r="P112">
        <v>-0.31517509727626458</v>
      </c>
      <c r="Q112" t="s">
        <v>611</v>
      </c>
      <c r="R112" t="s">
        <v>325</v>
      </c>
      <c r="S112">
        <v>1</v>
      </c>
    </row>
    <row r="113" spans="1:19" x14ac:dyDescent="0.25">
      <c r="A113" s="5" t="s">
        <v>612</v>
      </c>
      <c r="B113" s="6" t="s">
        <v>33</v>
      </c>
      <c r="C113" s="6">
        <v>1375</v>
      </c>
      <c r="D113" s="6">
        <v>1614</v>
      </c>
      <c r="E113" s="6">
        <v>1430</v>
      </c>
      <c r="F113" t="s">
        <v>333</v>
      </c>
      <c r="G113" s="1">
        <v>44046</v>
      </c>
      <c r="H113" s="2">
        <v>207</v>
      </c>
      <c r="I113" t="s">
        <v>126</v>
      </c>
      <c r="J113">
        <v>1375</v>
      </c>
      <c r="K113">
        <v>1614</v>
      </c>
      <c r="L113">
        <v>1494.5</v>
      </c>
      <c r="M113">
        <v>119.5</v>
      </c>
      <c r="N113">
        <v>239</v>
      </c>
      <c r="O113">
        <v>1430</v>
      </c>
      <c r="P113">
        <v>-0.53974895397489542</v>
      </c>
      <c r="Q113" t="s">
        <v>613</v>
      </c>
      <c r="R113" t="s">
        <v>325</v>
      </c>
      <c r="S113">
        <v>1</v>
      </c>
    </row>
    <row r="114" spans="1:19" x14ac:dyDescent="0.25">
      <c r="A114" s="5" t="s">
        <v>614</v>
      </c>
      <c r="B114" s="6" t="s">
        <v>33</v>
      </c>
      <c r="C114" s="6">
        <v>1385</v>
      </c>
      <c r="D114" s="6">
        <v>1604</v>
      </c>
      <c r="E114" s="6">
        <v>1485</v>
      </c>
      <c r="F114" t="s">
        <v>329</v>
      </c>
      <c r="G114" s="3">
        <v>44047</v>
      </c>
      <c r="H114" s="2">
        <v>206</v>
      </c>
      <c r="I114" t="s">
        <v>126</v>
      </c>
      <c r="J114">
        <v>1385</v>
      </c>
      <c r="K114">
        <v>1604</v>
      </c>
      <c r="L114">
        <v>1494.5</v>
      </c>
      <c r="M114">
        <v>109.5</v>
      </c>
      <c r="N114">
        <v>219</v>
      </c>
      <c r="O114">
        <v>1485</v>
      </c>
      <c r="P114">
        <v>-8.6757990867579904E-2</v>
      </c>
      <c r="Q114" t="s">
        <v>615</v>
      </c>
      <c r="R114" t="s">
        <v>325</v>
      </c>
      <c r="S114">
        <v>1</v>
      </c>
    </row>
    <row r="115" spans="1:19" x14ac:dyDescent="0.25">
      <c r="A115" s="5" t="s">
        <v>616</v>
      </c>
      <c r="B115" s="6" t="s">
        <v>33</v>
      </c>
      <c r="C115" s="6">
        <v>1391</v>
      </c>
      <c r="D115" s="6">
        <v>1555</v>
      </c>
      <c r="E115" s="6">
        <v>1487</v>
      </c>
      <c r="F115" t="s">
        <v>330</v>
      </c>
      <c r="G115" s="1">
        <v>44048</v>
      </c>
      <c r="H115" s="2">
        <v>205</v>
      </c>
      <c r="I115" t="s">
        <v>126</v>
      </c>
      <c r="J115">
        <v>1391</v>
      </c>
      <c r="K115">
        <v>1555</v>
      </c>
      <c r="L115">
        <v>1473</v>
      </c>
      <c r="M115">
        <v>82</v>
      </c>
      <c r="N115">
        <v>164</v>
      </c>
      <c r="O115">
        <v>1487</v>
      </c>
      <c r="P115">
        <v>0.17073170731707318</v>
      </c>
      <c r="Q115" t="s">
        <v>617</v>
      </c>
      <c r="R115" t="s">
        <v>325</v>
      </c>
      <c r="S115">
        <v>1</v>
      </c>
    </row>
    <row r="116" spans="1:19" x14ac:dyDescent="0.25">
      <c r="A116" s="5" t="s">
        <v>618</v>
      </c>
      <c r="B116" s="6" t="s">
        <v>33</v>
      </c>
      <c r="C116" s="6">
        <v>1397</v>
      </c>
      <c r="D116" s="6">
        <v>1550</v>
      </c>
      <c r="E116" s="6">
        <v>1485</v>
      </c>
      <c r="F116" t="s">
        <v>331</v>
      </c>
      <c r="G116" s="3">
        <v>44049</v>
      </c>
      <c r="H116" s="2">
        <v>204</v>
      </c>
      <c r="I116" t="s">
        <v>126</v>
      </c>
      <c r="J116">
        <v>1397</v>
      </c>
      <c r="K116">
        <v>1550</v>
      </c>
      <c r="L116">
        <v>1473.5</v>
      </c>
      <c r="M116">
        <v>76.5</v>
      </c>
      <c r="N116">
        <v>153</v>
      </c>
      <c r="O116">
        <v>1485</v>
      </c>
      <c r="P116">
        <v>0.15032679738562091</v>
      </c>
      <c r="Q116" t="s">
        <v>619</v>
      </c>
      <c r="R116" t="s">
        <v>325</v>
      </c>
      <c r="S116">
        <v>1</v>
      </c>
    </row>
    <row r="117" spans="1:19" x14ac:dyDescent="0.25">
      <c r="A117" s="5" t="s">
        <v>620</v>
      </c>
      <c r="B117" s="6" t="s">
        <v>33</v>
      </c>
      <c r="C117" s="6">
        <v>1405</v>
      </c>
      <c r="D117" s="6">
        <v>1545</v>
      </c>
      <c r="E117" s="6">
        <v>1489</v>
      </c>
      <c r="F117" t="s">
        <v>332</v>
      </c>
      <c r="G117" s="1">
        <v>44050</v>
      </c>
      <c r="H117" s="2">
        <v>203</v>
      </c>
      <c r="I117" t="s">
        <v>126</v>
      </c>
      <c r="J117">
        <v>1405</v>
      </c>
      <c r="K117">
        <v>1545</v>
      </c>
      <c r="L117">
        <v>1475</v>
      </c>
      <c r="M117">
        <v>70</v>
      </c>
      <c r="N117">
        <v>140</v>
      </c>
      <c r="O117">
        <v>1489</v>
      </c>
      <c r="P117">
        <v>0.2</v>
      </c>
      <c r="Q117" t="s">
        <v>621</v>
      </c>
      <c r="R117" t="s">
        <v>325</v>
      </c>
      <c r="S117">
        <v>1</v>
      </c>
    </row>
    <row r="118" spans="1:19" x14ac:dyDescent="0.25">
      <c r="A118" s="5" t="s">
        <v>622</v>
      </c>
      <c r="B118" s="6" t="s">
        <v>189</v>
      </c>
      <c r="C118" s="6">
        <v>1406</v>
      </c>
      <c r="D118" s="6">
        <v>1520</v>
      </c>
      <c r="E118" s="6">
        <v>1452</v>
      </c>
      <c r="F118" t="s">
        <v>333</v>
      </c>
      <c r="G118" s="3">
        <v>44053</v>
      </c>
      <c r="H118" s="2">
        <v>200</v>
      </c>
      <c r="I118" t="s">
        <v>126</v>
      </c>
      <c r="J118">
        <v>1406</v>
      </c>
      <c r="K118">
        <v>1520</v>
      </c>
      <c r="L118">
        <v>1463</v>
      </c>
      <c r="M118">
        <v>57</v>
      </c>
      <c r="N118">
        <v>114</v>
      </c>
      <c r="O118">
        <v>1452</v>
      </c>
      <c r="P118">
        <v>-0.19298245614035087</v>
      </c>
      <c r="Q118" t="s">
        <v>623</v>
      </c>
      <c r="R118" t="s">
        <v>325</v>
      </c>
      <c r="S118">
        <v>1</v>
      </c>
    </row>
    <row r="119" spans="1:19" x14ac:dyDescent="0.25">
      <c r="A119" s="5" t="s">
        <v>624</v>
      </c>
      <c r="B119" s="6" t="s">
        <v>33</v>
      </c>
      <c r="C119" s="6">
        <v>1402</v>
      </c>
      <c r="D119" s="6">
        <v>1522</v>
      </c>
      <c r="E119" s="6">
        <v>1418</v>
      </c>
      <c r="F119" t="s">
        <v>329</v>
      </c>
      <c r="G119" s="1">
        <v>44054</v>
      </c>
      <c r="H119" s="2">
        <v>199</v>
      </c>
      <c r="I119" t="s">
        <v>126</v>
      </c>
      <c r="J119">
        <v>1402</v>
      </c>
      <c r="K119">
        <v>1522</v>
      </c>
      <c r="L119">
        <v>1462</v>
      </c>
      <c r="M119">
        <v>60</v>
      </c>
      <c r="N119">
        <v>120</v>
      </c>
      <c r="O119">
        <v>1418</v>
      </c>
      <c r="P119">
        <v>-0.73333333333333328</v>
      </c>
      <c r="Q119" t="s">
        <v>625</v>
      </c>
      <c r="R119" t="s">
        <v>325</v>
      </c>
      <c r="S119">
        <v>1</v>
      </c>
    </row>
    <row r="120" spans="1:19" x14ac:dyDescent="0.25">
      <c r="A120" s="5" t="s">
        <v>626</v>
      </c>
      <c r="B120" s="6" t="s">
        <v>71</v>
      </c>
      <c r="C120" s="6">
        <v>1350</v>
      </c>
      <c r="D120" s="6">
        <v>1480</v>
      </c>
      <c r="E120" s="6">
        <v>1374</v>
      </c>
      <c r="F120" t="s">
        <v>330</v>
      </c>
      <c r="G120" s="3">
        <v>44055</v>
      </c>
      <c r="H120" s="2">
        <v>198</v>
      </c>
      <c r="I120" t="s">
        <v>126</v>
      </c>
      <c r="J120">
        <v>1350</v>
      </c>
      <c r="K120">
        <v>1480</v>
      </c>
      <c r="L120">
        <v>1415</v>
      </c>
      <c r="M120">
        <v>65</v>
      </c>
      <c r="N120">
        <v>130</v>
      </c>
      <c r="O120">
        <v>1374</v>
      </c>
      <c r="P120">
        <v>-0.63076923076923075</v>
      </c>
      <c r="Q120" t="s">
        <v>627</v>
      </c>
      <c r="R120" t="s">
        <v>334</v>
      </c>
      <c r="S120">
        <v>0</v>
      </c>
    </row>
    <row r="121" spans="1:19" x14ac:dyDescent="0.25">
      <c r="A121" s="5" t="s">
        <v>628</v>
      </c>
      <c r="B121" s="6" t="s">
        <v>33</v>
      </c>
      <c r="C121" s="6">
        <v>1365</v>
      </c>
      <c r="D121" s="6">
        <v>1582</v>
      </c>
      <c r="E121" s="6">
        <v>1554</v>
      </c>
      <c r="F121" t="s">
        <v>331</v>
      </c>
      <c r="G121" s="1">
        <v>44056</v>
      </c>
      <c r="H121" s="2">
        <v>197</v>
      </c>
      <c r="I121" t="s">
        <v>126</v>
      </c>
      <c r="J121">
        <v>1365</v>
      </c>
      <c r="K121">
        <v>1582</v>
      </c>
      <c r="L121">
        <v>1473.5</v>
      </c>
      <c r="M121">
        <v>108.5</v>
      </c>
      <c r="N121">
        <v>217</v>
      </c>
      <c r="O121">
        <v>1554</v>
      </c>
      <c r="P121">
        <v>0.74193548387096775</v>
      </c>
      <c r="Q121" t="s">
        <v>629</v>
      </c>
      <c r="R121" t="s">
        <v>325</v>
      </c>
      <c r="S121">
        <v>1</v>
      </c>
    </row>
    <row r="122" spans="1:19" x14ac:dyDescent="0.25">
      <c r="A122" s="5" t="s">
        <v>630</v>
      </c>
      <c r="B122" s="6" t="s">
        <v>33</v>
      </c>
      <c r="C122" s="6">
        <v>1360</v>
      </c>
      <c r="D122" s="6">
        <v>1639</v>
      </c>
      <c r="E122" s="6">
        <v>1621</v>
      </c>
      <c r="F122" t="s">
        <v>332</v>
      </c>
      <c r="G122" s="3">
        <v>44057</v>
      </c>
      <c r="H122" s="2">
        <v>196</v>
      </c>
      <c r="I122" t="s">
        <v>126</v>
      </c>
      <c r="J122">
        <v>1360</v>
      </c>
      <c r="K122">
        <v>1639</v>
      </c>
      <c r="L122">
        <v>1499.5</v>
      </c>
      <c r="M122">
        <v>139.5</v>
      </c>
      <c r="N122">
        <v>279</v>
      </c>
      <c r="O122">
        <v>1621</v>
      </c>
      <c r="P122">
        <v>0.87096774193548387</v>
      </c>
      <c r="Q122" t="s">
        <v>631</v>
      </c>
      <c r="R122" t="s">
        <v>325</v>
      </c>
      <c r="S122">
        <v>1</v>
      </c>
    </row>
    <row r="123" spans="1:19" x14ac:dyDescent="0.25">
      <c r="A123" s="5" t="s">
        <v>632</v>
      </c>
      <c r="B123" s="6" t="s">
        <v>189</v>
      </c>
      <c r="C123" s="6">
        <v>1448</v>
      </c>
      <c r="D123" s="6">
        <v>1681</v>
      </c>
      <c r="E123" s="6">
        <v>1650</v>
      </c>
      <c r="F123" t="s">
        <v>333</v>
      </c>
      <c r="G123" s="1">
        <v>44060</v>
      </c>
      <c r="H123" s="2">
        <v>193</v>
      </c>
      <c r="I123" t="s">
        <v>126</v>
      </c>
      <c r="J123">
        <v>1448</v>
      </c>
      <c r="K123">
        <v>1681</v>
      </c>
      <c r="L123">
        <v>1564.5</v>
      </c>
      <c r="M123">
        <v>116.5</v>
      </c>
      <c r="N123">
        <v>233</v>
      </c>
      <c r="O123">
        <v>1650</v>
      </c>
      <c r="P123">
        <v>0.73390557939914158</v>
      </c>
      <c r="Q123" t="s">
        <v>633</v>
      </c>
      <c r="R123" t="s">
        <v>325</v>
      </c>
      <c r="S123">
        <v>1</v>
      </c>
    </row>
    <row r="124" spans="1:19" x14ac:dyDescent="0.25">
      <c r="A124" s="5" t="s">
        <v>634</v>
      </c>
      <c r="B124" s="6" t="s">
        <v>189</v>
      </c>
      <c r="C124" s="6">
        <v>1476</v>
      </c>
      <c r="D124" s="6">
        <v>1893</v>
      </c>
      <c r="E124" s="6">
        <v>1835</v>
      </c>
      <c r="F124" t="s">
        <v>329</v>
      </c>
      <c r="G124" s="3">
        <v>44061</v>
      </c>
      <c r="H124" s="2">
        <v>192</v>
      </c>
      <c r="I124" t="s">
        <v>126</v>
      </c>
      <c r="J124">
        <v>1476</v>
      </c>
      <c r="K124">
        <v>1893</v>
      </c>
      <c r="L124">
        <v>1684.5</v>
      </c>
      <c r="M124">
        <v>208.5</v>
      </c>
      <c r="N124">
        <v>417</v>
      </c>
      <c r="O124">
        <v>1835</v>
      </c>
      <c r="P124">
        <v>0.72182254196642681</v>
      </c>
      <c r="Q124" t="s">
        <v>635</v>
      </c>
      <c r="R124" t="s">
        <v>325</v>
      </c>
      <c r="S124">
        <v>1</v>
      </c>
    </row>
    <row r="125" spans="1:19" x14ac:dyDescent="0.25">
      <c r="A125" s="5" t="s">
        <v>636</v>
      </c>
      <c r="B125" s="6" t="s">
        <v>189</v>
      </c>
      <c r="C125" s="6">
        <v>1577</v>
      </c>
      <c r="D125" s="6">
        <v>1927</v>
      </c>
      <c r="E125" s="6">
        <v>1887</v>
      </c>
      <c r="F125" t="s">
        <v>330</v>
      </c>
      <c r="G125" s="1">
        <v>44062</v>
      </c>
      <c r="H125" s="2">
        <v>191</v>
      </c>
      <c r="I125" t="s">
        <v>126</v>
      </c>
      <c r="J125">
        <v>1577</v>
      </c>
      <c r="K125">
        <v>1927</v>
      </c>
      <c r="L125">
        <v>1752</v>
      </c>
      <c r="M125">
        <v>175</v>
      </c>
      <c r="N125">
        <v>350</v>
      </c>
      <c r="O125">
        <v>1887</v>
      </c>
      <c r="P125">
        <v>0.77142857142857146</v>
      </c>
      <c r="Q125" t="s">
        <v>637</v>
      </c>
      <c r="R125" t="s">
        <v>325</v>
      </c>
      <c r="S125">
        <v>1</v>
      </c>
    </row>
    <row r="126" spans="1:19" x14ac:dyDescent="0.25">
      <c r="A126" s="5" t="s">
        <v>638</v>
      </c>
      <c r="B126" s="6" t="s">
        <v>189</v>
      </c>
      <c r="C126" s="6">
        <v>1603</v>
      </c>
      <c r="D126" s="6">
        <v>1997</v>
      </c>
      <c r="E126" s="6">
        <v>1878</v>
      </c>
      <c r="F126" t="s">
        <v>331</v>
      </c>
      <c r="G126" s="3">
        <v>44063</v>
      </c>
      <c r="H126" s="2">
        <v>190</v>
      </c>
      <c r="I126" t="s">
        <v>126</v>
      </c>
      <c r="J126">
        <v>1603</v>
      </c>
      <c r="K126">
        <v>1997</v>
      </c>
      <c r="L126">
        <v>1800</v>
      </c>
      <c r="M126">
        <v>197</v>
      </c>
      <c r="N126">
        <v>394</v>
      </c>
      <c r="O126">
        <v>1878</v>
      </c>
      <c r="P126">
        <v>0.39593908629441626</v>
      </c>
      <c r="Q126" t="s">
        <v>639</v>
      </c>
      <c r="R126" t="s">
        <v>325</v>
      </c>
      <c r="S126">
        <v>1</v>
      </c>
    </row>
    <row r="127" spans="1:19" x14ac:dyDescent="0.25">
      <c r="A127" s="5" t="s">
        <v>640</v>
      </c>
      <c r="B127" s="6" t="s">
        <v>189</v>
      </c>
      <c r="C127" s="6">
        <v>1690</v>
      </c>
      <c r="D127" s="6">
        <v>2118</v>
      </c>
      <c r="E127" s="6">
        <v>2001</v>
      </c>
      <c r="F127" t="s">
        <v>332</v>
      </c>
      <c r="G127" s="1">
        <v>44064</v>
      </c>
      <c r="H127" s="2">
        <v>189</v>
      </c>
      <c r="I127" t="s">
        <v>126</v>
      </c>
      <c r="J127">
        <v>1690</v>
      </c>
      <c r="K127">
        <v>2118</v>
      </c>
      <c r="L127">
        <v>1904</v>
      </c>
      <c r="M127">
        <v>214</v>
      </c>
      <c r="N127">
        <v>428</v>
      </c>
      <c r="O127">
        <v>2001</v>
      </c>
      <c r="P127">
        <v>0.45327102803738317</v>
      </c>
      <c r="Q127" t="s">
        <v>641</v>
      </c>
      <c r="R127" t="s">
        <v>325</v>
      </c>
      <c r="S127">
        <v>1</v>
      </c>
    </row>
    <row r="128" spans="1:19" x14ac:dyDescent="0.25">
      <c r="A128" s="5" t="s">
        <v>642</v>
      </c>
      <c r="B128" s="6" t="s">
        <v>189</v>
      </c>
      <c r="C128" s="6">
        <v>1760</v>
      </c>
      <c r="D128" s="6">
        <v>2193</v>
      </c>
      <c r="E128" s="6">
        <v>2049</v>
      </c>
      <c r="F128" t="s">
        <v>333</v>
      </c>
      <c r="G128" s="3">
        <v>44067</v>
      </c>
      <c r="H128" s="2">
        <v>186</v>
      </c>
      <c r="I128" t="s">
        <v>126</v>
      </c>
      <c r="J128">
        <v>1760</v>
      </c>
      <c r="K128">
        <v>2193</v>
      </c>
      <c r="L128">
        <v>1976.5</v>
      </c>
      <c r="M128">
        <v>216.5</v>
      </c>
      <c r="N128">
        <v>433</v>
      </c>
      <c r="O128">
        <v>2049</v>
      </c>
      <c r="P128">
        <v>0.3348729792147806</v>
      </c>
      <c r="Q128" t="s">
        <v>643</v>
      </c>
      <c r="R128" t="s">
        <v>325</v>
      </c>
      <c r="S128">
        <v>1</v>
      </c>
    </row>
    <row r="129" spans="1:19" x14ac:dyDescent="0.25">
      <c r="A129" s="5" t="s">
        <v>644</v>
      </c>
      <c r="B129" s="6" t="s">
        <v>189</v>
      </c>
      <c r="C129" s="6">
        <v>1822</v>
      </c>
      <c r="D129" s="6">
        <v>2180</v>
      </c>
      <c r="E129" s="6">
        <v>2014</v>
      </c>
      <c r="F129" t="s">
        <v>329</v>
      </c>
      <c r="G129" s="1">
        <v>44068</v>
      </c>
      <c r="H129" s="2">
        <v>185</v>
      </c>
      <c r="I129" t="s">
        <v>126</v>
      </c>
      <c r="J129">
        <v>1822</v>
      </c>
      <c r="K129">
        <v>2180</v>
      </c>
      <c r="L129">
        <v>2001</v>
      </c>
      <c r="M129">
        <v>179</v>
      </c>
      <c r="N129">
        <v>358</v>
      </c>
      <c r="O129">
        <v>2014</v>
      </c>
      <c r="P129">
        <v>7.2625698324022353E-2</v>
      </c>
      <c r="Q129" t="s">
        <v>645</v>
      </c>
      <c r="R129" t="s">
        <v>325</v>
      </c>
      <c r="S129">
        <v>1</v>
      </c>
    </row>
    <row r="130" spans="1:19" x14ac:dyDescent="0.25">
      <c r="A130" s="5" t="s">
        <v>646</v>
      </c>
      <c r="B130" s="6" t="s">
        <v>189</v>
      </c>
      <c r="C130" s="6">
        <v>1875</v>
      </c>
      <c r="D130" s="6">
        <v>2187</v>
      </c>
      <c r="E130" s="6">
        <v>2023</v>
      </c>
      <c r="F130" t="s">
        <v>330</v>
      </c>
      <c r="G130" s="3">
        <v>44069</v>
      </c>
      <c r="H130" s="2">
        <v>184</v>
      </c>
      <c r="I130" t="s">
        <v>126</v>
      </c>
      <c r="J130">
        <v>1875</v>
      </c>
      <c r="K130">
        <v>2187</v>
      </c>
      <c r="L130">
        <v>2031</v>
      </c>
      <c r="M130">
        <v>156</v>
      </c>
      <c r="N130">
        <v>312</v>
      </c>
      <c r="O130">
        <v>2023</v>
      </c>
      <c r="P130">
        <v>-5.128205128205128E-2</v>
      </c>
      <c r="Q130" t="s">
        <v>647</v>
      </c>
      <c r="R130" t="s">
        <v>325</v>
      </c>
      <c r="S130">
        <v>1</v>
      </c>
    </row>
    <row r="131" spans="1:19" x14ac:dyDescent="0.25">
      <c r="A131" s="5" t="s">
        <v>648</v>
      </c>
      <c r="B131" s="6" t="s">
        <v>189</v>
      </c>
      <c r="C131" s="6">
        <v>1913</v>
      </c>
      <c r="D131" s="6">
        <v>2232</v>
      </c>
      <c r="E131" s="6">
        <v>2153</v>
      </c>
      <c r="F131" t="s">
        <v>331</v>
      </c>
      <c r="G131" s="1">
        <v>44070</v>
      </c>
      <c r="H131" s="2">
        <v>183</v>
      </c>
      <c r="I131" t="s">
        <v>126</v>
      </c>
      <c r="J131">
        <v>1913</v>
      </c>
      <c r="K131">
        <v>2232</v>
      </c>
      <c r="L131">
        <v>2072.5</v>
      </c>
      <c r="M131">
        <v>159.5</v>
      </c>
      <c r="N131">
        <v>319</v>
      </c>
      <c r="O131">
        <v>2153</v>
      </c>
      <c r="P131">
        <v>0.50470219435736674</v>
      </c>
      <c r="Q131" t="s">
        <v>649</v>
      </c>
      <c r="R131" t="s">
        <v>325</v>
      </c>
      <c r="S131">
        <v>1</v>
      </c>
    </row>
    <row r="132" spans="1:19" x14ac:dyDescent="0.25">
      <c r="A132" s="5" t="s">
        <v>650</v>
      </c>
      <c r="B132" s="6" t="s">
        <v>189</v>
      </c>
      <c r="C132" s="6">
        <v>2001</v>
      </c>
      <c r="D132" s="6">
        <v>2266</v>
      </c>
      <c r="E132" s="6">
        <v>2238</v>
      </c>
      <c r="F132" t="s">
        <v>332</v>
      </c>
      <c r="G132" s="3">
        <v>44071</v>
      </c>
      <c r="H132" s="2">
        <v>182</v>
      </c>
      <c r="I132" t="s">
        <v>126</v>
      </c>
      <c r="J132">
        <v>2001</v>
      </c>
      <c r="K132">
        <v>2266</v>
      </c>
      <c r="L132">
        <v>2133.5</v>
      </c>
      <c r="M132">
        <v>132.5</v>
      </c>
      <c r="N132">
        <v>265</v>
      </c>
      <c r="O132">
        <v>2238</v>
      </c>
      <c r="P132">
        <v>0.78867924528301891</v>
      </c>
      <c r="Q132" t="s">
        <v>651</v>
      </c>
      <c r="R132" t="s">
        <v>325</v>
      </c>
      <c r="S132">
        <v>1</v>
      </c>
    </row>
    <row r="133" spans="1:19" x14ac:dyDescent="0.25">
      <c r="A133" s="5" t="s">
        <v>652</v>
      </c>
      <c r="B133" s="6" t="s">
        <v>189</v>
      </c>
      <c r="C133" s="6">
        <v>2041</v>
      </c>
      <c r="D133" s="6">
        <v>2297</v>
      </c>
      <c r="E133" s="6">
        <v>2213</v>
      </c>
      <c r="F133" t="s">
        <v>333</v>
      </c>
      <c r="G133" s="1">
        <v>44074</v>
      </c>
      <c r="H133" s="2">
        <v>179</v>
      </c>
      <c r="I133" t="s">
        <v>126</v>
      </c>
      <c r="J133">
        <v>2041</v>
      </c>
      <c r="K133">
        <v>2297</v>
      </c>
      <c r="L133">
        <v>2169</v>
      </c>
      <c r="M133">
        <v>128</v>
      </c>
      <c r="N133">
        <v>256</v>
      </c>
      <c r="O133">
        <v>2213</v>
      </c>
      <c r="P133">
        <v>0.34375</v>
      </c>
      <c r="Q133" t="s">
        <v>653</v>
      </c>
      <c r="R133" t="s">
        <v>325</v>
      </c>
      <c r="S133">
        <v>1</v>
      </c>
    </row>
    <row r="134" spans="1:19" x14ac:dyDescent="0.25">
      <c r="A134" s="5" t="s">
        <v>654</v>
      </c>
      <c r="B134" s="6" t="s">
        <v>189</v>
      </c>
      <c r="C134" s="6">
        <v>425</v>
      </c>
      <c r="D134" s="6">
        <v>513</v>
      </c>
      <c r="E134" s="6">
        <v>498</v>
      </c>
      <c r="F134" t="s">
        <v>329</v>
      </c>
      <c r="G134" s="3">
        <v>44075</v>
      </c>
      <c r="H134" s="2">
        <v>178</v>
      </c>
      <c r="I134" t="s">
        <v>126</v>
      </c>
      <c r="J134">
        <v>425</v>
      </c>
      <c r="K134">
        <v>513</v>
      </c>
      <c r="L134">
        <v>469</v>
      </c>
      <c r="M134">
        <v>44</v>
      </c>
      <c r="N134">
        <v>88</v>
      </c>
      <c r="O134">
        <v>498</v>
      </c>
      <c r="P134">
        <v>0.65909090909090906</v>
      </c>
      <c r="Q134" t="s">
        <v>655</v>
      </c>
      <c r="R134" t="s">
        <v>325</v>
      </c>
      <c r="S134">
        <v>1</v>
      </c>
    </row>
    <row r="135" spans="1:19" x14ac:dyDescent="0.25">
      <c r="A135" s="5" t="s">
        <v>656</v>
      </c>
      <c r="B135" s="6" t="s">
        <v>189</v>
      </c>
      <c r="C135" s="6">
        <v>433</v>
      </c>
      <c r="D135" s="6">
        <v>503</v>
      </c>
      <c r="E135" s="6">
        <v>475</v>
      </c>
      <c r="F135" t="s">
        <v>330</v>
      </c>
      <c r="G135" s="1">
        <v>44076</v>
      </c>
      <c r="H135" s="2">
        <v>177</v>
      </c>
      <c r="I135" t="s">
        <v>126</v>
      </c>
      <c r="J135">
        <v>433</v>
      </c>
      <c r="K135">
        <v>503</v>
      </c>
      <c r="L135">
        <v>468</v>
      </c>
      <c r="M135">
        <v>35</v>
      </c>
      <c r="N135">
        <v>70</v>
      </c>
      <c r="O135">
        <v>475</v>
      </c>
      <c r="P135">
        <v>0.2</v>
      </c>
      <c r="Q135" t="s">
        <v>657</v>
      </c>
      <c r="R135" t="s">
        <v>325</v>
      </c>
      <c r="S135">
        <v>1</v>
      </c>
    </row>
    <row r="136" spans="1:19" x14ac:dyDescent="0.25">
      <c r="A136" s="5" t="s">
        <v>658</v>
      </c>
      <c r="B136" s="6" t="s">
        <v>189</v>
      </c>
      <c r="C136" s="6">
        <v>421</v>
      </c>
      <c r="D136" s="6">
        <v>501</v>
      </c>
      <c r="E136" s="6">
        <v>447</v>
      </c>
      <c r="F136" t="s">
        <v>331</v>
      </c>
      <c r="G136" s="3">
        <v>44077</v>
      </c>
      <c r="H136" s="2">
        <v>176</v>
      </c>
      <c r="I136" t="s">
        <v>126</v>
      </c>
      <c r="J136">
        <v>421</v>
      </c>
      <c r="K136">
        <v>501</v>
      </c>
      <c r="L136">
        <v>461</v>
      </c>
      <c r="M136">
        <v>40</v>
      </c>
      <c r="N136">
        <v>80</v>
      </c>
      <c r="O136">
        <v>447</v>
      </c>
      <c r="P136">
        <v>-0.35</v>
      </c>
      <c r="Q136" t="s">
        <v>659</v>
      </c>
      <c r="R136" t="s">
        <v>325</v>
      </c>
      <c r="S136">
        <v>1</v>
      </c>
    </row>
    <row r="137" spans="1:19" x14ac:dyDescent="0.25">
      <c r="A137" s="5" t="s">
        <v>660</v>
      </c>
      <c r="B137" s="6" t="s">
        <v>189</v>
      </c>
      <c r="C137" s="6">
        <v>376</v>
      </c>
      <c r="D137" s="6">
        <v>501</v>
      </c>
      <c r="E137" s="6">
        <v>407</v>
      </c>
      <c r="F137" t="s">
        <v>332</v>
      </c>
      <c r="G137" s="1">
        <v>44078</v>
      </c>
      <c r="H137" s="2">
        <v>175</v>
      </c>
      <c r="I137" t="s">
        <v>126</v>
      </c>
      <c r="J137">
        <v>376</v>
      </c>
      <c r="K137">
        <v>501</v>
      </c>
      <c r="L137">
        <v>438.5</v>
      </c>
      <c r="M137">
        <v>62.5</v>
      </c>
      <c r="N137">
        <v>125</v>
      </c>
      <c r="O137">
        <v>407</v>
      </c>
      <c r="P137">
        <v>-0.504</v>
      </c>
      <c r="Q137" t="s">
        <v>661</v>
      </c>
      <c r="R137" t="s">
        <v>325</v>
      </c>
      <c r="S137">
        <v>1</v>
      </c>
    </row>
    <row r="138" spans="1:19" x14ac:dyDescent="0.25">
      <c r="A138" s="5" t="s">
        <v>662</v>
      </c>
      <c r="B138" s="6" t="s">
        <v>189</v>
      </c>
      <c r="C138" s="6">
        <v>365</v>
      </c>
      <c r="D138" s="6">
        <v>495</v>
      </c>
      <c r="E138" s="6">
        <v>418</v>
      </c>
      <c r="F138" t="s">
        <v>329</v>
      </c>
      <c r="G138" s="3">
        <v>44082</v>
      </c>
      <c r="H138" s="2">
        <v>171</v>
      </c>
      <c r="I138" t="s">
        <v>126</v>
      </c>
      <c r="J138">
        <v>365</v>
      </c>
      <c r="K138">
        <v>495</v>
      </c>
      <c r="L138">
        <v>430</v>
      </c>
      <c r="M138">
        <v>65</v>
      </c>
      <c r="N138">
        <v>130</v>
      </c>
      <c r="O138">
        <v>418</v>
      </c>
      <c r="P138">
        <v>-0.18461538461538463</v>
      </c>
      <c r="Q138" t="s">
        <v>663</v>
      </c>
      <c r="R138" t="s">
        <v>325</v>
      </c>
      <c r="S138">
        <v>1</v>
      </c>
    </row>
    <row r="139" spans="1:19" x14ac:dyDescent="0.25">
      <c r="A139" s="5" t="s">
        <v>664</v>
      </c>
      <c r="B139" s="6" t="s">
        <v>209</v>
      </c>
      <c r="C139" s="6">
        <v>305</v>
      </c>
      <c r="D139" s="6">
        <v>430</v>
      </c>
      <c r="E139" s="6">
        <v>330</v>
      </c>
      <c r="F139" t="s">
        <v>330</v>
      </c>
      <c r="G139" s="1">
        <v>44083</v>
      </c>
      <c r="H139" s="2">
        <v>170</v>
      </c>
      <c r="I139" t="s">
        <v>126</v>
      </c>
      <c r="J139">
        <v>305</v>
      </c>
      <c r="K139">
        <v>430</v>
      </c>
      <c r="L139">
        <v>367.5</v>
      </c>
      <c r="M139">
        <v>62.5</v>
      </c>
      <c r="N139">
        <v>125</v>
      </c>
      <c r="O139">
        <v>330</v>
      </c>
      <c r="P139">
        <v>-0.6</v>
      </c>
      <c r="Q139" t="s">
        <v>665</v>
      </c>
      <c r="R139" t="s">
        <v>334</v>
      </c>
      <c r="S139">
        <v>0</v>
      </c>
    </row>
    <row r="140" spans="1:19" x14ac:dyDescent="0.25">
      <c r="A140" s="5" t="s">
        <v>666</v>
      </c>
      <c r="B140" s="6" t="s">
        <v>209</v>
      </c>
      <c r="C140" s="6">
        <v>299</v>
      </c>
      <c r="D140" s="6">
        <v>424</v>
      </c>
      <c r="E140" s="6">
        <v>366</v>
      </c>
      <c r="F140" t="s">
        <v>331</v>
      </c>
      <c r="G140" s="3">
        <v>44084</v>
      </c>
      <c r="H140" s="2">
        <v>169</v>
      </c>
      <c r="I140" t="s">
        <v>126</v>
      </c>
      <c r="J140">
        <v>299</v>
      </c>
      <c r="K140">
        <v>424</v>
      </c>
      <c r="L140">
        <v>361.5</v>
      </c>
      <c r="M140">
        <v>62.5</v>
      </c>
      <c r="N140">
        <v>125</v>
      </c>
      <c r="O140">
        <v>366</v>
      </c>
      <c r="P140">
        <v>7.1999999999999995E-2</v>
      </c>
      <c r="Q140" t="s">
        <v>667</v>
      </c>
      <c r="R140" t="s">
        <v>334</v>
      </c>
      <c r="S140">
        <v>0</v>
      </c>
    </row>
    <row r="141" spans="1:19" x14ac:dyDescent="0.25">
      <c r="A141" s="5" t="s">
        <v>668</v>
      </c>
      <c r="B141" s="6" t="s">
        <v>209</v>
      </c>
      <c r="C141" s="6">
        <v>297</v>
      </c>
      <c r="D141" s="6">
        <v>418</v>
      </c>
      <c r="E141" s="6">
        <v>371</v>
      </c>
      <c r="F141" t="s">
        <v>332</v>
      </c>
      <c r="G141" s="1">
        <v>44085</v>
      </c>
      <c r="H141" s="2">
        <v>168</v>
      </c>
      <c r="I141" t="s">
        <v>126</v>
      </c>
      <c r="J141">
        <v>297</v>
      </c>
      <c r="K141">
        <v>418</v>
      </c>
      <c r="L141">
        <v>357.5</v>
      </c>
      <c r="M141">
        <v>60.5</v>
      </c>
      <c r="N141">
        <v>121</v>
      </c>
      <c r="O141">
        <v>371</v>
      </c>
      <c r="P141">
        <v>0.2231404958677686</v>
      </c>
      <c r="Q141" t="s">
        <v>669</v>
      </c>
      <c r="R141" t="s">
        <v>334</v>
      </c>
      <c r="S141">
        <v>0</v>
      </c>
    </row>
    <row r="142" spans="1:19" x14ac:dyDescent="0.25">
      <c r="A142" s="5" t="s">
        <v>670</v>
      </c>
      <c r="B142" s="6" t="s">
        <v>209</v>
      </c>
      <c r="C142" s="6">
        <v>299</v>
      </c>
      <c r="D142" s="6">
        <v>419</v>
      </c>
      <c r="E142" s="6">
        <v>372</v>
      </c>
      <c r="F142" t="s">
        <v>333</v>
      </c>
      <c r="G142" s="3">
        <v>44088</v>
      </c>
      <c r="H142" s="2">
        <v>165</v>
      </c>
      <c r="I142" t="s">
        <v>126</v>
      </c>
      <c r="J142">
        <v>299</v>
      </c>
      <c r="K142">
        <v>419</v>
      </c>
      <c r="L142">
        <v>359</v>
      </c>
      <c r="M142">
        <v>60</v>
      </c>
      <c r="N142">
        <v>120</v>
      </c>
      <c r="O142">
        <v>372</v>
      </c>
      <c r="P142">
        <v>0.21666666666666667</v>
      </c>
      <c r="Q142" t="s">
        <v>671</v>
      </c>
      <c r="R142" t="s">
        <v>334</v>
      </c>
      <c r="S142">
        <v>0</v>
      </c>
    </row>
    <row r="143" spans="1:19" x14ac:dyDescent="0.25">
      <c r="A143" s="5" t="s">
        <v>672</v>
      </c>
      <c r="B143" s="6" t="s">
        <v>189</v>
      </c>
      <c r="C143" s="6">
        <v>311</v>
      </c>
      <c r="D143" s="6">
        <v>486</v>
      </c>
      <c r="E143" s="6">
        <v>419</v>
      </c>
      <c r="F143" t="s">
        <v>329</v>
      </c>
      <c r="G143" s="1">
        <v>44089</v>
      </c>
      <c r="H143" s="2">
        <v>164</v>
      </c>
      <c r="I143" t="s">
        <v>126</v>
      </c>
      <c r="J143">
        <v>311</v>
      </c>
      <c r="K143">
        <v>486</v>
      </c>
      <c r="L143">
        <v>398.5</v>
      </c>
      <c r="M143">
        <v>87.5</v>
      </c>
      <c r="N143">
        <v>175</v>
      </c>
      <c r="O143">
        <v>419</v>
      </c>
      <c r="P143">
        <v>0.23428571428571429</v>
      </c>
      <c r="Q143" t="s">
        <v>673</v>
      </c>
      <c r="R143" t="s">
        <v>325</v>
      </c>
      <c r="S143">
        <v>1</v>
      </c>
    </row>
    <row r="144" spans="1:19" x14ac:dyDescent="0.25">
      <c r="A144" s="5" t="s">
        <v>674</v>
      </c>
      <c r="B144" s="6" t="s">
        <v>189</v>
      </c>
      <c r="C144" s="6">
        <v>319</v>
      </c>
      <c r="D144" s="6">
        <v>476</v>
      </c>
      <c r="E144" s="6">
        <v>449</v>
      </c>
      <c r="F144" t="s">
        <v>330</v>
      </c>
      <c r="G144" s="3">
        <v>44090</v>
      </c>
      <c r="H144" s="2">
        <v>163</v>
      </c>
      <c r="I144" t="s">
        <v>126</v>
      </c>
      <c r="J144">
        <v>319</v>
      </c>
      <c r="K144">
        <v>476</v>
      </c>
      <c r="L144">
        <v>397.5</v>
      </c>
      <c r="M144">
        <v>78.5</v>
      </c>
      <c r="N144">
        <v>157</v>
      </c>
      <c r="O144">
        <v>449</v>
      </c>
      <c r="P144">
        <v>0.6560509554140127</v>
      </c>
      <c r="Q144" t="s">
        <v>675</v>
      </c>
      <c r="R144" t="s">
        <v>325</v>
      </c>
      <c r="S144">
        <v>1</v>
      </c>
    </row>
    <row r="145" spans="1:19" x14ac:dyDescent="0.25">
      <c r="A145" s="5" t="s">
        <v>676</v>
      </c>
      <c r="B145" s="6" t="s">
        <v>189</v>
      </c>
      <c r="C145" s="6">
        <v>320</v>
      </c>
      <c r="D145" s="6">
        <v>472</v>
      </c>
      <c r="E145" s="6">
        <v>441</v>
      </c>
      <c r="F145" t="s">
        <v>331</v>
      </c>
      <c r="G145" s="1">
        <v>44091</v>
      </c>
      <c r="H145" s="2">
        <v>162</v>
      </c>
      <c r="I145" t="s">
        <v>126</v>
      </c>
      <c r="J145">
        <v>320</v>
      </c>
      <c r="K145">
        <v>472</v>
      </c>
      <c r="L145">
        <v>396</v>
      </c>
      <c r="M145">
        <v>76</v>
      </c>
      <c r="N145">
        <v>152</v>
      </c>
      <c r="O145">
        <v>441</v>
      </c>
      <c r="P145">
        <v>0.59210526315789469</v>
      </c>
      <c r="Q145" t="s">
        <v>677</v>
      </c>
      <c r="R145" t="s">
        <v>325</v>
      </c>
      <c r="S145">
        <v>1</v>
      </c>
    </row>
    <row r="146" spans="1:19" x14ac:dyDescent="0.25">
      <c r="A146" s="5" t="s">
        <v>678</v>
      </c>
      <c r="B146" s="6" t="s">
        <v>189</v>
      </c>
      <c r="C146" s="6">
        <v>322</v>
      </c>
      <c r="D146" s="6">
        <v>476</v>
      </c>
      <c r="E146" s="6">
        <v>423</v>
      </c>
      <c r="F146" t="s">
        <v>332</v>
      </c>
      <c r="G146" s="3">
        <v>44092</v>
      </c>
      <c r="H146" s="2">
        <v>161</v>
      </c>
      <c r="I146" t="s">
        <v>126</v>
      </c>
      <c r="J146">
        <v>322</v>
      </c>
      <c r="K146">
        <v>476</v>
      </c>
      <c r="L146">
        <v>399</v>
      </c>
      <c r="M146">
        <v>77</v>
      </c>
      <c r="N146">
        <v>154</v>
      </c>
      <c r="O146">
        <v>423</v>
      </c>
      <c r="P146">
        <v>0.31168831168831168</v>
      </c>
      <c r="Q146" t="s">
        <v>679</v>
      </c>
      <c r="R146" t="s">
        <v>325</v>
      </c>
      <c r="S146">
        <v>1</v>
      </c>
    </row>
    <row r="147" spans="1:19" x14ac:dyDescent="0.25">
      <c r="A147" s="5" t="s">
        <v>680</v>
      </c>
      <c r="B147" s="6" t="s">
        <v>189</v>
      </c>
      <c r="C147" s="6">
        <v>320</v>
      </c>
      <c r="D147" s="6">
        <v>483</v>
      </c>
      <c r="E147" s="6">
        <v>442</v>
      </c>
      <c r="F147" t="s">
        <v>333</v>
      </c>
      <c r="G147" s="1">
        <v>44095</v>
      </c>
      <c r="H147" s="2">
        <v>158</v>
      </c>
      <c r="I147" t="s">
        <v>126</v>
      </c>
      <c r="J147">
        <v>320</v>
      </c>
      <c r="K147">
        <v>483</v>
      </c>
      <c r="L147">
        <v>401.5</v>
      </c>
      <c r="M147">
        <v>81.5</v>
      </c>
      <c r="N147">
        <v>163</v>
      </c>
      <c r="O147">
        <v>442</v>
      </c>
      <c r="P147">
        <v>0.49693251533742333</v>
      </c>
      <c r="Q147" t="s">
        <v>681</v>
      </c>
      <c r="R147" t="s">
        <v>325</v>
      </c>
      <c r="S147">
        <v>1</v>
      </c>
    </row>
    <row r="148" spans="1:19" x14ac:dyDescent="0.25">
      <c r="A148" s="5" t="s">
        <v>682</v>
      </c>
      <c r="B148" s="6" t="s">
        <v>189</v>
      </c>
      <c r="C148" s="6">
        <v>348</v>
      </c>
      <c r="D148" s="6">
        <v>484</v>
      </c>
      <c r="E148" s="6">
        <v>449</v>
      </c>
      <c r="F148" t="s">
        <v>329</v>
      </c>
      <c r="G148" s="3">
        <v>44096</v>
      </c>
      <c r="H148" s="2">
        <v>157</v>
      </c>
      <c r="I148" t="s">
        <v>126</v>
      </c>
      <c r="J148">
        <v>348</v>
      </c>
      <c r="K148">
        <v>484</v>
      </c>
      <c r="L148">
        <v>416</v>
      </c>
      <c r="M148">
        <v>68</v>
      </c>
      <c r="N148">
        <v>136</v>
      </c>
      <c r="O148">
        <v>449</v>
      </c>
      <c r="P148">
        <v>0.48529411764705882</v>
      </c>
      <c r="Q148" t="s">
        <v>683</v>
      </c>
      <c r="R148" t="s">
        <v>325</v>
      </c>
      <c r="S148">
        <v>1</v>
      </c>
    </row>
    <row r="149" spans="1:19" x14ac:dyDescent="0.25">
      <c r="A149" s="5" t="s">
        <v>684</v>
      </c>
      <c r="B149" s="6" t="s">
        <v>189</v>
      </c>
      <c r="C149" s="6">
        <v>360</v>
      </c>
      <c r="D149" s="6">
        <v>481</v>
      </c>
      <c r="E149" s="6">
        <v>424</v>
      </c>
      <c r="F149" t="s">
        <v>330</v>
      </c>
      <c r="G149" s="1">
        <v>44097</v>
      </c>
      <c r="H149" s="2">
        <v>156</v>
      </c>
      <c r="I149" t="s">
        <v>126</v>
      </c>
      <c r="J149">
        <v>360</v>
      </c>
      <c r="K149">
        <v>481</v>
      </c>
      <c r="L149">
        <v>420.5</v>
      </c>
      <c r="M149">
        <v>60.5</v>
      </c>
      <c r="N149">
        <v>121</v>
      </c>
      <c r="O149">
        <v>424</v>
      </c>
      <c r="P149">
        <v>5.7851239669421489E-2</v>
      </c>
      <c r="Q149" t="s">
        <v>685</v>
      </c>
      <c r="R149" t="s">
        <v>325</v>
      </c>
      <c r="S149">
        <v>1</v>
      </c>
    </row>
    <row r="150" spans="1:19" x14ac:dyDescent="0.25">
      <c r="A150" s="5" t="s">
        <v>686</v>
      </c>
      <c r="B150" s="6" t="s">
        <v>209</v>
      </c>
      <c r="C150" s="6">
        <v>358</v>
      </c>
      <c r="D150" s="6">
        <v>477</v>
      </c>
      <c r="E150" s="6">
        <v>380</v>
      </c>
      <c r="F150" t="s">
        <v>331</v>
      </c>
      <c r="G150" s="3">
        <v>44098</v>
      </c>
      <c r="H150" s="2">
        <v>155</v>
      </c>
      <c r="I150" t="s">
        <v>126</v>
      </c>
      <c r="J150">
        <v>358</v>
      </c>
      <c r="K150">
        <v>477</v>
      </c>
      <c r="L150">
        <v>417.5</v>
      </c>
      <c r="M150">
        <v>59.5</v>
      </c>
      <c r="N150">
        <v>119</v>
      </c>
      <c r="O150">
        <v>380</v>
      </c>
      <c r="P150">
        <v>-0.63025210084033612</v>
      </c>
      <c r="Q150" t="s">
        <v>687</v>
      </c>
      <c r="R150" t="s">
        <v>334</v>
      </c>
      <c r="S150">
        <v>0</v>
      </c>
    </row>
    <row r="151" spans="1:19" x14ac:dyDescent="0.25">
      <c r="A151" s="5" t="s">
        <v>688</v>
      </c>
      <c r="B151" s="6" t="s">
        <v>209</v>
      </c>
      <c r="C151" s="6">
        <v>366</v>
      </c>
      <c r="D151" s="6">
        <v>473</v>
      </c>
      <c r="E151" s="6">
        <v>387</v>
      </c>
      <c r="F151" t="s">
        <v>332</v>
      </c>
      <c r="G151" s="1">
        <v>44099</v>
      </c>
      <c r="H151" s="2">
        <v>154</v>
      </c>
      <c r="I151" t="s">
        <v>126</v>
      </c>
      <c r="J151">
        <v>366</v>
      </c>
      <c r="K151">
        <v>473</v>
      </c>
      <c r="L151">
        <v>419.5</v>
      </c>
      <c r="M151">
        <v>53.5</v>
      </c>
      <c r="N151">
        <v>107</v>
      </c>
      <c r="O151">
        <v>387</v>
      </c>
      <c r="P151">
        <v>-0.60747663551401865</v>
      </c>
      <c r="Q151" t="s">
        <v>689</v>
      </c>
      <c r="R151" t="s">
        <v>334</v>
      </c>
      <c r="S151">
        <v>0</v>
      </c>
    </row>
    <row r="152" spans="1:19" x14ac:dyDescent="0.25">
      <c r="A152" s="5" t="s">
        <v>690</v>
      </c>
      <c r="B152" s="6" t="s">
        <v>209</v>
      </c>
      <c r="C152" s="6">
        <v>369</v>
      </c>
      <c r="D152" s="6">
        <v>473</v>
      </c>
      <c r="E152" s="6">
        <v>407</v>
      </c>
      <c r="F152" t="s">
        <v>333</v>
      </c>
      <c r="G152" s="3">
        <v>44102</v>
      </c>
      <c r="H152" s="2">
        <v>151</v>
      </c>
      <c r="I152" t="s">
        <v>126</v>
      </c>
      <c r="J152">
        <v>369</v>
      </c>
      <c r="K152">
        <v>473</v>
      </c>
      <c r="L152">
        <v>421</v>
      </c>
      <c r="M152">
        <v>52</v>
      </c>
      <c r="N152">
        <v>104</v>
      </c>
      <c r="O152">
        <v>407</v>
      </c>
      <c r="P152">
        <v>-0.26923076923076922</v>
      </c>
      <c r="Q152" t="s">
        <v>691</v>
      </c>
      <c r="R152" t="s">
        <v>334</v>
      </c>
      <c r="S152">
        <v>0</v>
      </c>
    </row>
    <row r="153" spans="1:19" x14ac:dyDescent="0.25">
      <c r="A153" s="5" t="s">
        <v>692</v>
      </c>
      <c r="B153" s="6" t="s">
        <v>209</v>
      </c>
      <c r="C153" s="6">
        <v>372</v>
      </c>
      <c r="D153" s="6">
        <v>466</v>
      </c>
      <c r="E153" s="6">
        <v>421</v>
      </c>
      <c r="F153" t="s">
        <v>329</v>
      </c>
      <c r="G153" s="1">
        <v>44103</v>
      </c>
      <c r="H153" s="2">
        <v>150</v>
      </c>
      <c r="I153" t="s">
        <v>126</v>
      </c>
      <c r="J153">
        <v>372</v>
      </c>
      <c r="K153">
        <v>466</v>
      </c>
      <c r="L153">
        <v>419</v>
      </c>
      <c r="M153">
        <v>47</v>
      </c>
      <c r="N153">
        <v>94</v>
      </c>
      <c r="O153">
        <v>421</v>
      </c>
      <c r="P153">
        <v>4.2553191489361701E-2</v>
      </c>
      <c r="Q153" t="s">
        <v>693</v>
      </c>
      <c r="R153" t="s">
        <v>334</v>
      </c>
      <c r="S153">
        <v>0</v>
      </c>
    </row>
    <row r="154" spans="1:19" x14ac:dyDescent="0.25">
      <c r="A154" s="5" t="s">
        <v>694</v>
      </c>
      <c r="B154" s="6" t="s">
        <v>209</v>
      </c>
      <c r="C154" s="6">
        <v>371</v>
      </c>
      <c r="D154" s="6">
        <v>460</v>
      </c>
      <c r="E154" s="6">
        <v>419</v>
      </c>
      <c r="F154" t="s">
        <v>330</v>
      </c>
      <c r="G154" s="3">
        <v>44104</v>
      </c>
      <c r="H154" s="2">
        <v>149</v>
      </c>
      <c r="I154" t="s">
        <v>126</v>
      </c>
      <c r="J154">
        <v>371</v>
      </c>
      <c r="K154">
        <v>460</v>
      </c>
      <c r="L154">
        <v>415.5</v>
      </c>
      <c r="M154">
        <v>44.5</v>
      </c>
      <c r="N154">
        <v>89</v>
      </c>
      <c r="O154">
        <v>419</v>
      </c>
      <c r="P154">
        <v>7.8651685393258425E-2</v>
      </c>
      <c r="Q154" t="s">
        <v>695</v>
      </c>
      <c r="R154" t="s">
        <v>334</v>
      </c>
      <c r="S154">
        <v>0</v>
      </c>
    </row>
    <row r="155" spans="1:19" x14ac:dyDescent="0.25">
      <c r="A155" s="5" t="s">
        <v>696</v>
      </c>
      <c r="B155" s="6" t="s">
        <v>209</v>
      </c>
      <c r="C155" s="6">
        <v>373</v>
      </c>
      <c r="D155" s="6">
        <v>462</v>
      </c>
      <c r="E155" s="6">
        <v>429</v>
      </c>
      <c r="F155" t="s">
        <v>331</v>
      </c>
      <c r="G155" s="1">
        <v>44105</v>
      </c>
      <c r="H155" s="2">
        <v>148</v>
      </c>
      <c r="I155" t="s">
        <v>126</v>
      </c>
      <c r="J155">
        <v>373</v>
      </c>
      <c r="K155">
        <v>462</v>
      </c>
      <c r="L155">
        <v>417.5</v>
      </c>
      <c r="M155">
        <v>44.5</v>
      </c>
      <c r="N155">
        <v>89</v>
      </c>
      <c r="O155">
        <v>429</v>
      </c>
      <c r="P155">
        <v>0.25842696629213485</v>
      </c>
      <c r="Q155" t="s">
        <v>697</v>
      </c>
      <c r="R155" t="s">
        <v>334</v>
      </c>
      <c r="S155">
        <v>0</v>
      </c>
    </row>
    <row r="156" spans="1:19" x14ac:dyDescent="0.25">
      <c r="A156" s="5" t="s">
        <v>698</v>
      </c>
      <c r="B156" s="6" t="s">
        <v>209</v>
      </c>
      <c r="C156" s="6">
        <v>370</v>
      </c>
      <c r="D156" s="6">
        <v>462</v>
      </c>
      <c r="E156" s="6">
        <v>448</v>
      </c>
      <c r="F156" t="s">
        <v>332</v>
      </c>
      <c r="G156" s="3">
        <v>44106</v>
      </c>
      <c r="H156" s="2">
        <v>147</v>
      </c>
      <c r="I156" t="s">
        <v>126</v>
      </c>
      <c r="J156">
        <v>370</v>
      </c>
      <c r="K156">
        <v>462</v>
      </c>
      <c r="L156">
        <v>416</v>
      </c>
      <c r="M156">
        <v>46</v>
      </c>
      <c r="N156">
        <v>92</v>
      </c>
      <c r="O156">
        <v>448</v>
      </c>
      <c r="P156">
        <v>0.69565217391304346</v>
      </c>
      <c r="Q156" t="s">
        <v>699</v>
      </c>
      <c r="R156" t="s">
        <v>334</v>
      </c>
      <c r="S156">
        <v>0</v>
      </c>
    </row>
    <row r="157" spans="1:19" x14ac:dyDescent="0.25">
      <c r="A157" s="5" t="s">
        <v>700</v>
      </c>
      <c r="B157" s="6" t="s">
        <v>71</v>
      </c>
      <c r="C157" s="6">
        <v>371</v>
      </c>
      <c r="D157" s="6">
        <v>455</v>
      </c>
      <c r="E157" s="6">
        <v>415</v>
      </c>
      <c r="F157" t="s">
        <v>333</v>
      </c>
      <c r="G157" s="1">
        <v>44109</v>
      </c>
      <c r="H157" s="2">
        <v>144</v>
      </c>
      <c r="I157" t="s">
        <v>126</v>
      </c>
      <c r="J157">
        <v>371</v>
      </c>
      <c r="K157">
        <v>455</v>
      </c>
      <c r="L157">
        <v>413</v>
      </c>
      <c r="M157">
        <v>42</v>
      </c>
      <c r="N157">
        <v>84</v>
      </c>
      <c r="O157">
        <v>415</v>
      </c>
      <c r="P157">
        <v>4.7619047619047616E-2</v>
      </c>
      <c r="Q157" t="s">
        <v>701</v>
      </c>
      <c r="R157" t="s">
        <v>334</v>
      </c>
      <c r="S157">
        <v>0</v>
      </c>
    </row>
    <row r="158" spans="1:19" x14ac:dyDescent="0.25">
      <c r="A158" s="5" t="s">
        <v>702</v>
      </c>
      <c r="B158" s="6" t="s">
        <v>71</v>
      </c>
      <c r="C158" s="6">
        <v>374</v>
      </c>
      <c r="D158" s="6">
        <v>455</v>
      </c>
      <c r="E158" s="6">
        <v>425</v>
      </c>
      <c r="F158" t="s">
        <v>329</v>
      </c>
      <c r="G158" s="3">
        <v>44110</v>
      </c>
      <c r="H158" s="2">
        <v>143</v>
      </c>
      <c r="I158" t="s">
        <v>126</v>
      </c>
      <c r="J158">
        <v>374</v>
      </c>
      <c r="K158">
        <v>455</v>
      </c>
      <c r="L158">
        <v>414.5</v>
      </c>
      <c r="M158">
        <v>40.5</v>
      </c>
      <c r="N158">
        <v>81</v>
      </c>
      <c r="O158">
        <v>425</v>
      </c>
      <c r="P158">
        <v>0.25925925925925924</v>
      </c>
      <c r="Q158" t="s">
        <v>703</v>
      </c>
      <c r="R158" t="s">
        <v>334</v>
      </c>
      <c r="S158">
        <v>0</v>
      </c>
    </row>
    <row r="159" spans="1:19" x14ac:dyDescent="0.25">
      <c r="A159" s="5" t="s">
        <v>704</v>
      </c>
      <c r="B159" s="6" t="s">
        <v>71</v>
      </c>
      <c r="C159" s="6">
        <v>377</v>
      </c>
      <c r="D159" s="6">
        <v>450</v>
      </c>
      <c r="E159" s="6">
        <v>413</v>
      </c>
      <c r="F159" t="s">
        <v>330</v>
      </c>
      <c r="G159" s="1">
        <v>44111</v>
      </c>
      <c r="H159" s="2">
        <v>142</v>
      </c>
      <c r="I159" t="s">
        <v>126</v>
      </c>
      <c r="J159">
        <v>377</v>
      </c>
      <c r="K159">
        <v>450</v>
      </c>
      <c r="L159">
        <v>413.5</v>
      </c>
      <c r="M159">
        <v>36.5</v>
      </c>
      <c r="N159">
        <v>73</v>
      </c>
      <c r="O159">
        <v>413</v>
      </c>
      <c r="P159">
        <v>-1.3698630136986301E-2</v>
      </c>
      <c r="Q159" t="s">
        <v>705</v>
      </c>
      <c r="R159" t="s">
        <v>334</v>
      </c>
      <c r="S159">
        <v>0</v>
      </c>
    </row>
    <row r="160" spans="1:19" x14ac:dyDescent="0.25">
      <c r="A160" s="5" t="s">
        <v>706</v>
      </c>
      <c r="B160" s="6" t="s">
        <v>71</v>
      </c>
      <c r="C160" s="6">
        <v>397</v>
      </c>
      <c r="D160" s="6">
        <v>448</v>
      </c>
      <c r="E160" s="6">
        <v>425</v>
      </c>
      <c r="F160" t="s">
        <v>331</v>
      </c>
      <c r="G160" s="3">
        <v>44112</v>
      </c>
      <c r="H160" s="2">
        <v>141</v>
      </c>
      <c r="I160" t="s">
        <v>126</v>
      </c>
      <c r="J160">
        <v>397</v>
      </c>
      <c r="K160">
        <v>448</v>
      </c>
      <c r="L160">
        <v>422.5</v>
      </c>
      <c r="M160">
        <v>25.5</v>
      </c>
      <c r="N160">
        <v>51</v>
      </c>
      <c r="O160">
        <v>425</v>
      </c>
      <c r="P160">
        <v>9.8039215686274508E-2</v>
      </c>
      <c r="Q160" t="s">
        <v>707</v>
      </c>
      <c r="R160" t="s">
        <v>334</v>
      </c>
      <c r="S160">
        <v>0</v>
      </c>
    </row>
    <row r="161" spans="1:19" x14ac:dyDescent="0.25">
      <c r="A161" s="5" t="s">
        <v>708</v>
      </c>
      <c r="B161" s="6" t="s">
        <v>71</v>
      </c>
      <c r="C161" s="6">
        <v>401</v>
      </c>
      <c r="D161" s="6">
        <v>445</v>
      </c>
      <c r="E161" s="6">
        <v>425</v>
      </c>
      <c r="F161" t="s">
        <v>332</v>
      </c>
      <c r="G161" s="1">
        <v>44113</v>
      </c>
      <c r="H161" s="2">
        <v>140</v>
      </c>
      <c r="I161" t="s">
        <v>126</v>
      </c>
      <c r="J161">
        <v>401</v>
      </c>
      <c r="K161">
        <v>445</v>
      </c>
      <c r="L161">
        <v>423</v>
      </c>
      <c r="M161">
        <v>22</v>
      </c>
      <c r="N161">
        <v>44</v>
      </c>
      <c r="O161">
        <v>425</v>
      </c>
      <c r="P161">
        <v>9.0909090909090912E-2</v>
      </c>
      <c r="Q161" t="s">
        <v>709</v>
      </c>
      <c r="R161" t="s">
        <v>334</v>
      </c>
      <c r="S161">
        <v>0</v>
      </c>
    </row>
    <row r="162" spans="1:19" x14ac:dyDescent="0.25">
      <c r="A162" s="5" t="s">
        <v>710</v>
      </c>
      <c r="B162" s="6" t="s">
        <v>71</v>
      </c>
      <c r="C162" s="6">
        <v>404</v>
      </c>
      <c r="D162" s="6">
        <v>448</v>
      </c>
      <c r="E162" s="6">
        <v>434</v>
      </c>
      <c r="F162" t="s">
        <v>333</v>
      </c>
      <c r="G162" s="3">
        <v>44116</v>
      </c>
      <c r="H162" s="2">
        <v>137</v>
      </c>
      <c r="I162" t="s">
        <v>126</v>
      </c>
      <c r="J162">
        <v>404</v>
      </c>
      <c r="K162">
        <v>448</v>
      </c>
      <c r="L162">
        <v>426</v>
      </c>
      <c r="M162">
        <v>22</v>
      </c>
      <c r="N162">
        <v>44</v>
      </c>
      <c r="O162">
        <v>434</v>
      </c>
      <c r="P162">
        <v>0.36363636363636365</v>
      </c>
      <c r="Q162" t="s">
        <v>711</v>
      </c>
      <c r="R162" t="s">
        <v>334</v>
      </c>
      <c r="S162">
        <v>0</v>
      </c>
    </row>
    <row r="163" spans="1:19" x14ac:dyDescent="0.25">
      <c r="A163" s="5" t="s">
        <v>712</v>
      </c>
      <c r="B163" s="6" t="s">
        <v>71</v>
      </c>
      <c r="C163" s="6">
        <v>407</v>
      </c>
      <c r="D163" s="6">
        <v>453</v>
      </c>
      <c r="E163" s="6">
        <v>442</v>
      </c>
      <c r="F163" t="s">
        <v>329</v>
      </c>
      <c r="G163" s="1">
        <v>44117</v>
      </c>
      <c r="H163" s="2">
        <v>136</v>
      </c>
      <c r="I163" t="s">
        <v>126</v>
      </c>
      <c r="J163">
        <v>407</v>
      </c>
      <c r="K163">
        <v>453</v>
      </c>
      <c r="L163">
        <v>430</v>
      </c>
      <c r="M163">
        <v>23</v>
      </c>
      <c r="N163">
        <v>46</v>
      </c>
      <c r="O163">
        <v>442</v>
      </c>
      <c r="P163">
        <v>0.52173913043478259</v>
      </c>
      <c r="Q163" t="s">
        <v>713</v>
      </c>
      <c r="R163" t="s">
        <v>334</v>
      </c>
      <c r="S163">
        <v>0</v>
      </c>
    </row>
    <row r="164" spans="1:19" x14ac:dyDescent="0.25">
      <c r="A164" s="5" t="s">
        <v>714</v>
      </c>
      <c r="B164" s="6" t="s">
        <v>71</v>
      </c>
      <c r="C164" s="6">
        <v>407</v>
      </c>
      <c r="D164" s="6">
        <v>455</v>
      </c>
      <c r="E164" s="6">
        <v>446</v>
      </c>
      <c r="F164" t="s">
        <v>330</v>
      </c>
      <c r="G164" s="3">
        <v>44118</v>
      </c>
      <c r="H164" s="2">
        <v>135</v>
      </c>
      <c r="I164" t="s">
        <v>126</v>
      </c>
      <c r="J164">
        <v>407</v>
      </c>
      <c r="K164">
        <v>455</v>
      </c>
      <c r="L164">
        <v>431</v>
      </c>
      <c r="M164">
        <v>24</v>
      </c>
      <c r="N164">
        <v>48</v>
      </c>
      <c r="O164">
        <v>446</v>
      </c>
      <c r="P164">
        <v>0.625</v>
      </c>
      <c r="Q164" t="s">
        <v>715</v>
      </c>
      <c r="R164" t="s">
        <v>334</v>
      </c>
      <c r="S164">
        <v>0</v>
      </c>
    </row>
    <row r="165" spans="1:19" x14ac:dyDescent="0.25">
      <c r="A165" s="5" t="s">
        <v>716</v>
      </c>
      <c r="B165" s="6" t="s">
        <v>209</v>
      </c>
      <c r="C165" s="6">
        <v>401</v>
      </c>
      <c r="D165" s="6">
        <v>471</v>
      </c>
      <c r="E165" s="6">
        <v>461</v>
      </c>
      <c r="F165" t="s">
        <v>331</v>
      </c>
      <c r="G165" s="1">
        <v>44119</v>
      </c>
      <c r="H165" s="2">
        <v>134</v>
      </c>
      <c r="I165" t="s">
        <v>126</v>
      </c>
      <c r="J165">
        <v>401</v>
      </c>
      <c r="K165">
        <v>471</v>
      </c>
      <c r="L165">
        <v>436</v>
      </c>
      <c r="M165">
        <v>35</v>
      </c>
      <c r="N165">
        <v>70</v>
      </c>
      <c r="O165">
        <v>461</v>
      </c>
      <c r="P165">
        <v>0.7142857142857143</v>
      </c>
      <c r="Q165" t="s">
        <v>717</v>
      </c>
      <c r="R165" t="s">
        <v>334</v>
      </c>
      <c r="S165">
        <v>0</v>
      </c>
    </row>
    <row r="166" spans="1:19" x14ac:dyDescent="0.25">
      <c r="A166" s="5" t="s">
        <v>718</v>
      </c>
      <c r="B166" s="6" t="s">
        <v>71</v>
      </c>
      <c r="C166" s="6">
        <v>406</v>
      </c>
      <c r="D166" s="6">
        <v>466</v>
      </c>
      <c r="E166" s="6">
        <v>448</v>
      </c>
      <c r="F166" t="s">
        <v>332</v>
      </c>
      <c r="G166" s="3">
        <v>44120</v>
      </c>
      <c r="H166" s="2">
        <v>133</v>
      </c>
      <c r="I166" t="s">
        <v>126</v>
      </c>
      <c r="J166">
        <v>406</v>
      </c>
      <c r="K166">
        <v>466</v>
      </c>
      <c r="L166">
        <v>436</v>
      </c>
      <c r="M166">
        <v>30</v>
      </c>
      <c r="N166">
        <v>60</v>
      </c>
      <c r="O166">
        <v>448</v>
      </c>
      <c r="P166">
        <v>0.4</v>
      </c>
      <c r="Q166" t="s">
        <v>719</v>
      </c>
      <c r="R166" t="s">
        <v>334</v>
      </c>
      <c r="S166">
        <v>0</v>
      </c>
    </row>
    <row r="167" spans="1:19" x14ac:dyDescent="0.25">
      <c r="A167" s="5" t="s">
        <v>720</v>
      </c>
      <c r="B167" s="6" t="s">
        <v>209</v>
      </c>
      <c r="C167" s="6">
        <v>408</v>
      </c>
      <c r="D167" s="6">
        <v>465</v>
      </c>
      <c r="E167" s="6">
        <v>439</v>
      </c>
      <c r="F167" t="s">
        <v>333</v>
      </c>
      <c r="G167" s="1">
        <v>44123</v>
      </c>
      <c r="H167" s="2">
        <v>130</v>
      </c>
      <c r="I167" t="s">
        <v>126</v>
      </c>
      <c r="J167">
        <v>408</v>
      </c>
      <c r="K167">
        <v>465</v>
      </c>
      <c r="L167">
        <v>436.5</v>
      </c>
      <c r="M167">
        <v>28.5</v>
      </c>
      <c r="N167">
        <v>57</v>
      </c>
      <c r="O167">
        <v>439</v>
      </c>
      <c r="P167">
        <v>8.771929824561403E-2</v>
      </c>
      <c r="Q167" t="s">
        <v>721</v>
      </c>
      <c r="R167" t="s">
        <v>334</v>
      </c>
      <c r="S167">
        <v>0</v>
      </c>
    </row>
    <row r="168" spans="1:19" x14ac:dyDescent="0.25">
      <c r="A168" s="5" t="s">
        <v>722</v>
      </c>
      <c r="B168" s="6" t="s">
        <v>71</v>
      </c>
      <c r="C168" s="6">
        <v>411</v>
      </c>
      <c r="D168" s="6">
        <v>463</v>
      </c>
      <c r="E168" s="6">
        <v>430</v>
      </c>
      <c r="F168" t="s">
        <v>329</v>
      </c>
      <c r="G168" s="3">
        <v>44124</v>
      </c>
      <c r="H168" s="2">
        <v>129</v>
      </c>
      <c r="I168" t="s">
        <v>126</v>
      </c>
      <c r="J168">
        <v>411</v>
      </c>
      <c r="K168">
        <v>463</v>
      </c>
      <c r="L168">
        <v>437</v>
      </c>
      <c r="M168">
        <v>26</v>
      </c>
      <c r="N168">
        <v>52</v>
      </c>
      <c r="O168">
        <v>430</v>
      </c>
      <c r="P168">
        <v>-0.26923076923076922</v>
      </c>
      <c r="Q168" t="s">
        <v>723</v>
      </c>
      <c r="R168" t="s">
        <v>334</v>
      </c>
      <c r="S168">
        <v>0</v>
      </c>
    </row>
    <row r="169" spans="1:19" x14ac:dyDescent="0.25">
      <c r="A169" s="5" t="s">
        <v>724</v>
      </c>
      <c r="B169" s="6" t="s">
        <v>71</v>
      </c>
      <c r="C169" s="6">
        <v>411</v>
      </c>
      <c r="D169" s="6">
        <v>463</v>
      </c>
      <c r="E169" s="6">
        <v>421</v>
      </c>
      <c r="F169" t="s">
        <v>330</v>
      </c>
      <c r="G169" s="1">
        <v>44125</v>
      </c>
      <c r="H169" s="2">
        <v>128</v>
      </c>
      <c r="I169" t="s">
        <v>126</v>
      </c>
      <c r="J169">
        <v>411</v>
      </c>
      <c r="K169">
        <v>463</v>
      </c>
      <c r="L169">
        <v>437</v>
      </c>
      <c r="M169">
        <v>26</v>
      </c>
      <c r="N169">
        <v>52</v>
      </c>
      <c r="O169">
        <v>421</v>
      </c>
      <c r="P169">
        <v>-0.61538461538461542</v>
      </c>
      <c r="Q169" t="s">
        <v>725</v>
      </c>
      <c r="R169" t="s">
        <v>334</v>
      </c>
      <c r="S169">
        <v>0</v>
      </c>
    </row>
    <row r="170" spans="1:19" x14ac:dyDescent="0.25">
      <c r="A170" s="5" t="s">
        <v>726</v>
      </c>
      <c r="B170" s="6" t="s">
        <v>209</v>
      </c>
      <c r="C170" s="6">
        <v>412</v>
      </c>
      <c r="D170" s="6">
        <v>466</v>
      </c>
      <c r="E170" s="6">
        <v>422</v>
      </c>
      <c r="F170" t="s">
        <v>331</v>
      </c>
      <c r="G170" s="3">
        <v>44126</v>
      </c>
      <c r="H170" s="2">
        <v>127</v>
      </c>
      <c r="I170" t="s">
        <v>126</v>
      </c>
      <c r="J170">
        <v>412</v>
      </c>
      <c r="K170">
        <v>466</v>
      </c>
      <c r="L170">
        <v>439</v>
      </c>
      <c r="M170">
        <v>27</v>
      </c>
      <c r="N170">
        <v>54</v>
      </c>
      <c r="O170">
        <v>422</v>
      </c>
      <c r="P170">
        <v>-0.62962962962962965</v>
      </c>
      <c r="Q170" t="s">
        <v>727</v>
      </c>
      <c r="R170" t="s">
        <v>334</v>
      </c>
      <c r="S170">
        <v>0</v>
      </c>
    </row>
    <row r="171" spans="1:19" x14ac:dyDescent="0.25">
      <c r="A171" s="5" t="s">
        <v>728</v>
      </c>
      <c r="B171" s="6" t="s">
        <v>209</v>
      </c>
      <c r="C171" s="6">
        <v>411</v>
      </c>
      <c r="D171" s="6">
        <v>465</v>
      </c>
      <c r="E171" s="6">
        <v>425</v>
      </c>
      <c r="F171" t="s">
        <v>332</v>
      </c>
      <c r="G171" s="1">
        <v>44127</v>
      </c>
      <c r="H171" s="2">
        <v>126</v>
      </c>
      <c r="I171" t="s">
        <v>126</v>
      </c>
      <c r="J171">
        <v>411</v>
      </c>
      <c r="K171">
        <v>465</v>
      </c>
      <c r="L171">
        <v>438</v>
      </c>
      <c r="M171">
        <v>27</v>
      </c>
      <c r="N171">
        <v>54</v>
      </c>
      <c r="O171">
        <v>425</v>
      </c>
      <c r="P171">
        <v>-0.48148148148148145</v>
      </c>
      <c r="Q171" t="s">
        <v>729</v>
      </c>
      <c r="R171" t="s">
        <v>334</v>
      </c>
      <c r="S171">
        <v>0</v>
      </c>
    </row>
    <row r="172" spans="1:19" x14ac:dyDescent="0.25">
      <c r="A172" s="5" t="s">
        <v>730</v>
      </c>
      <c r="B172" s="6" t="s">
        <v>71</v>
      </c>
      <c r="C172" s="6">
        <v>402</v>
      </c>
      <c r="D172" s="6">
        <v>463</v>
      </c>
      <c r="E172" s="6">
        <v>420</v>
      </c>
      <c r="F172" t="s">
        <v>333</v>
      </c>
      <c r="G172" s="3">
        <v>44130</v>
      </c>
      <c r="H172" s="2">
        <v>123</v>
      </c>
      <c r="I172" t="s">
        <v>126</v>
      </c>
      <c r="J172">
        <v>402</v>
      </c>
      <c r="K172">
        <v>463</v>
      </c>
      <c r="L172">
        <v>432.5</v>
      </c>
      <c r="M172">
        <v>30.5</v>
      </c>
      <c r="N172">
        <v>61</v>
      </c>
      <c r="O172">
        <v>420</v>
      </c>
      <c r="P172">
        <v>-0.4098360655737705</v>
      </c>
      <c r="Q172" t="s">
        <v>731</v>
      </c>
      <c r="R172" t="s">
        <v>334</v>
      </c>
      <c r="S172">
        <v>0</v>
      </c>
    </row>
    <row r="173" spans="1:19" x14ac:dyDescent="0.25">
      <c r="A173" s="5" t="s">
        <v>732</v>
      </c>
      <c r="B173" s="6" t="s">
        <v>71</v>
      </c>
      <c r="C173" s="6">
        <v>401</v>
      </c>
      <c r="D173" s="6">
        <v>460</v>
      </c>
      <c r="E173" s="6">
        <v>420</v>
      </c>
      <c r="F173" t="s">
        <v>329</v>
      </c>
      <c r="G173" s="1">
        <v>44131</v>
      </c>
      <c r="H173" s="2">
        <v>122</v>
      </c>
      <c r="I173" t="s">
        <v>126</v>
      </c>
      <c r="J173">
        <v>401</v>
      </c>
      <c r="K173">
        <v>460</v>
      </c>
      <c r="L173">
        <v>430.5</v>
      </c>
      <c r="M173">
        <v>29.5</v>
      </c>
      <c r="N173">
        <v>59</v>
      </c>
      <c r="O173">
        <v>420</v>
      </c>
      <c r="P173">
        <v>-0.3559322033898305</v>
      </c>
      <c r="Q173" t="s">
        <v>733</v>
      </c>
      <c r="R173" t="s">
        <v>334</v>
      </c>
      <c r="S173">
        <v>0</v>
      </c>
    </row>
    <row r="174" spans="1:19" x14ac:dyDescent="0.25">
      <c r="A174" s="5" t="s">
        <v>734</v>
      </c>
      <c r="B174" s="6" t="s">
        <v>71</v>
      </c>
      <c r="C174" s="6">
        <v>403</v>
      </c>
      <c r="D174" s="6">
        <v>450</v>
      </c>
      <c r="E174" s="6">
        <v>424</v>
      </c>
      <c r="F174" t="s">
        <v>330</v>
      </c>
      <c r="G174" s="3">
        <v>44132</v>
      </c>
      <c r="H174" s="2">
        <v>121</v>
      </c>
      <c r="I174" t="s">
        <v>126</v>
      </c>
      <c r="J174">
        <v>403</v>
      </c>
      <c r="K174">
        <v>450</v>
      </c>
      <c r="L174">
        <v>426.5</v>
      </c>
      <c r="M174">
        <v>23.5</v>
      </c>
      <c r="N174">
        <v>47</v>
      </c>
      <c r="O174">
        <v>424</v>
      </c>
      <c r="P174">
        <v>-0.10638297872340426</v>
      </c>
      <c r="Q174" t="s">
        <v>735</v>
      </c>
      <c r="R174" t="s">
        <v>334</v>
      </c>
      <c r="S174">
        <v>0</v>
      </c>
    </row>
    <row r="175" spans="1:19" x14ac:dyDescent="0.25">
      <c r="A175" s="5" t="s">
        <v>736</v>
      </c>
      <c r="B175" s="6" t="s">
        <v>71</v>
      </c>
      <c r="C175" s="6">
        <v>401</v>
      </c>
      <c r="D175" s="6">
        <v>442</v>
      </c>
      <c r="E175" s="6">
        <v>406</v>
      </c>
      <c r="F175" t="s">
        <v>331</v>
      </c>
      <c r="G175" s="1">
        <v>44133</v>
      </c>
      <c r="H175" s="2">
        <v>120</v>
      </c>
      <c r="I175" t="s">
        <v>126</v>
      </c>
      <c r="J175">
        <v>401</v>
      </c>
      <c r="K175">
        <v>442</v>
      </c>
      <c r="L175">
        <v>421.5</v>
      </c>
      <c r="M175">
        <v>20.5</v>
      </c>
      <c r="N175">
        <v>41</v>
      </c>
      <c r="O175">
        <v>406</v>
      </c>
      <c r="P175">
        <v>-0.75609756097560976</v>
      </c>
      <c r="Q175" t="s">
        <v>737</v>
      </c>
      <c r="R175" t="s">
        <v>334</v>
      </c>
      <c r="S175">
        <v>0</v>
      </c>
    </row>
    <row r="176" spans="1:19" x14ac:dyDescent="0.25">
      <c r="A176" s="5" t="s">
        <v>738</v>
      </c>
      <c r="B176" s="6" t="s">
        <v>71</v>
      </c>
      <c r="C176" s="6">
        <v>401</v>
      </c>
      <c r="D176" s="6">
        <v>436</v>
      </c>
      <c r="E176" s="6">
        <v>410</v>
      </c>
      <c r="F176" t="s">
        <v>332</v>
      </c>
      <c r="G176" s="3">
        <v>44134</v>
      </c>
      <c r="H176" s="2">
        <v>119</v>
      </c>
      <c r="I176" t="s">
        <v>126</v>
      </c>
      <c r="J176">
        <v>401</v>
      </c>
      <c r="K176">
        <v>436</v>
      </c>
      <c r="L176">
        <v>418.5</v>
      </c>
      <c r="M176">
        <v>17.5</v>
      </c>
      <c r="N176">
        <v>35</v>
      </c>
      <c r="O176">
        <v>410</v>
      </c>
      <c r="P176">
        <v>-0.48571428571428571</v>
      </c>
      <c r="Q176" t="s">
        <v>739</v>
      </c>
      <c r="R176" t="s">
        <v>334</v>
      </c>
      <c r="S176">
        <v>0</v>
      </c>
    </row>
    <row r="177" spans="1:19" x14ac:dyDescent="0.25">
      <c r="A177" s="5" t="s">
        <v>740</v>
      </c>
      <c r="B177" s="6" t="s">
        <v>71</v>
      </c>
      <c r="C177" s="6">
        <v>380</v>
      </c>
      <c r="D177" s="6">
        <v>437</v>
      </c>
      <c r="E177" s="6">
        <v>388</v>
      </c>
      <c r="F177" t="s">
        <v>333</v>
      </c>
      <c r="G177" s="1">
        <v>44137</v>
      </c>
      <c r="H177" s="2">
        <v>116</v>
      </c>
      <c r="I177" t="s">
        <v>126</v>
      </c>
      <c r="J177">
        <v>380</v>
      </c>
      <c r="K177">
        <v>437</v>
      </c>
      <c r="L177">
        <v>408.5</v>
      </c>
      <c r="M177">
        <v>28.5</v>
      </c>
      <c r="N177">
        <v>57</v>
      </c>
      <c r="O177">
        <v>388</v>
      </c>
      <c r="P177">
        <v>-0.7192982456140351</v>
      </c>
      <c r="Q177" t="s">
        <v>741</v>
      </c>
      <c r="R177" t="s">
        <v>334</v>
      </c>
      <c r="S177">
        <v>0</v>
      </c>
    </row>
    <row r="178" spans="1:19" x14ac:dyDescent="0.25">
      <c r="A178" s="5" t="s">
        <v>742</v>
      </c>
      <c r="B178" s="6" t="s">
        <v>71</v>
      </c>
      <c r="C178" s="6">
        <v>380</v>
      </c>
      <c r="D178" s="6">
        <v>437</v>
      </c>
      <c r="E178" s="6">
        <v>400</v>
      </c>
      <c r="F178" t="s">
        <v>329</v>
      </c>
      <c r="G178" s="3">
        <v>44138</v>
      </c>
      <c r="H178" s="2">
        <v>115</v>
      </c>
      <c r="I178" t="s">
        <v>126</v>
      </c>
      <c r="J178">
        <v>380</v>
      </c>
      <c r="K178">
        <v>437</v>
      </c>
      <c r="L178">
        <v>408.5</v>
      </c>
      <c r="M178">
        <v>28.5</v>
      </c>
      <c r="N178">
        <v>57</v>
      </c>
      <c r="O178">
        <v>400</v>
      </c>
      <c r="P178">
        <v>-0.2982456140350877</v>
      </c>
      <c r="Q178" t="s">
        <v>743</v>
      </c>
      <c r="R178" t="s">
        <v>334</v>
      </c>
      <c r="S178">
        <v>0</v>
      </c>
    </row>
    <row r="179" spans="1:19" x14ac:dyDescent="0.25">
      <c r="A179" s="5" t="s">
        <v>744</v>
      </c>
      <c r="B179" s="6" t="s">
        <v>71</v>
      </c>
      <c r="C179" s="6">
        <v>374</v>
      </c>
      <c r="D179" s="6">
        <v>441</v>
      </c>
      <c r="E179" s="6">
        <v>423</v>
      </c>
      <c r="F179" t="s">
        <v>330</v>
      </c>
      <c r="G179" s="1">
        <v>44139</v>
      </c>
      <c r="H179" s="2">
        <v>114</v>
      </c>
      <c r="I179" t="s">
        <v>126</v>
      </c>
      <c r="J179">
        <v>374</v>
      </c>
      <c r="K179">
        <v>441</v>
      </c>
      <c r="L179">
        <v>407.5</v>
      </c>
      <c r="M179">
        <v>33.5</v>
      </c>
      <c r="N179">
        <v>67</v>
      </c>
      <c r="O179">
        <v>423</v>
      </c>
      <c r="P179">
        <v>0.46268656716417911</v>
      </c>
      <c r="Q179" t="s">
        <v>745</v>
      </c>
      <c r="R179" t="s">
        <v>334</v>
      </c>
      <c r="S179">
        <v>0</v>
      </c>
    </row>
    <row r="180" spans="1:19" x14ac:dyDescent="0.25">
      <c r="A180" s="5" t="s">
        <v>746</v>
      </c>
      <c r="B180" s="6" t="s">
        <v>71</v>
      </c>
      <c r="C180" s="6">
        <v>388</v>
      </c>
      <c r="D180" s="6">
        <v>441</v>
      </c>
      <c r="E180" s="6">
        <v>420</v>
      </c>
      <c r="F180" t="s">
        <v>331</v>
      </c>
      <c r="G180" s="3">
        <v>44140</v>
      </c>
      <c r="H180" s="2">
        <v>113</v>
      </c>
      <c r="I180" t="s">
        <v>126</v>
      </c>
      <c r="J180">
        <v>388</v>
      </c>
      <c r="K180">
        <v>441</v>
      </c>
      <c r="L180">
        <v>414.5</v>
      </c>
      <c r="M180">
        <v>26.5</v>
      </c>
      <c r="N180">
        <v>53</v>
      </c>
      <c r="O180">
        <v>420</v>
      </c>
      <c r="P180">
        <v>0.20754716981132076</v>
      </c>
      <c r="Q180" t="s">
        <v>747</v>
      </c>
      <c r="R180" t="s">
        <v>334</v>
      </c>
      <c r="S180">
        <v>0</v>
      </c>
    </row>
    <row r="181" spans="1:19" x14ac:dyDescent="0.25">
      <c r="A181" s="5" t="s">
        <v>748</v>
      </c>
      <c r="B181" s="6" t="s">
        <v>71</v>
      </c>
      <c r="C181" s="6">
        <v>385</v>
      </c>
      <c r="D181" s="6">
        <v>445</v>
      </c>
      <c r="E181" s="6">
        <v>438</v>
      </c>
      <c r="F181" t="s">
        <v>332</v>
      </c>
      <c r="G181" s="1">
        <v>44141</v>
      </c>
      <c r="H181" s="2">
        <v>112</v>
      </c>
      <c r="I181" t="s">
        <v>126</v>
      </c>
      <c r="J181">
        <v>385</v>
      </c>
      <c r="K181">
        <v>445</v>
      </c>
      <c r="L181">
        <v>415</v>
      </c>
      <c r="M181">
        <v>30</v>
      </c>
      <c r="N181">
        <v>60</v>
      </c>
      <c r="O181">
        <v>438</v>
      </c>
      <c r="P181">
        <v>0.76666666666666672</v>
      </c>
      <c r="Q181" t="s">
        <v>749</v>
      </c>
      <c r="R181" t="s">
        <v>334</v>
      </c>
      <c r="S181">
        <v>0</v>
      </c>
    </row>
    <row r="182" spans="1:19" x14ac:dyDescent="0.25">
      <c r="A182" s="5" t="s">
        <v>750</v>
      </c>
      <c r="B182" s="6" t="s">
        <v>71</v>
      </c>
      <c r="C182" s="6">
        <v>387</v>
      </c>
      <c r="D182" s="6">
        <v>447</v>
      </c>
      <c r="E182" s="6">
        <v>429</v>
      </c>
      <c r="F182" t="s">
        <v>333</v>
      </c>
      <c r="G182" s="3">
        <v>44144</v>
      </c>
      <c r="H182" s="2">
        <v>109</v>
      </c>
      <c r="I182" t="s">
        <v>126</v>
      </c>
      <c r="J182">
        <v>387</v>
      </c>
      <c r="K182">
        <v>447</v>
      </c>
      <c r="L182">
        <v>417</v>
      </c>
      <c r="M182">
        <v>30</v>
      </c>
      <c r="N182">
        <v>60</v>
      </c>
      <c r="O182">
        <v>429</v>
      </c>
      <c r="P182">
        <v>0.4</v>
      </c>
      <c r="Q182" t="s">
        <v>751</v>
      </c>
      <c r="R182" t="s">
        <v>334</v>
      </c>
      <c r="S182">
        <v>0</v>
      </c>
    </row>
    <row r="183" spans="1:19" x14ac:dyDescent="0.25">
      <c r="A183" s="5" t="s">
        <v>752</v>
      </c>
      <c r="B183" s="6" t="s">
        <v>71</v>
      </c>
      <c r="C183" s="6">
        <v>385</v>
      </c>
      <c r="D183" s="6">
        <v>445</v>
      </c>
      <c r="E183" s="6">
        <v>421</v>
      </c>
      <c r="F183" t="s">
        <v>329</v>
      </c>
      <c r="G183" s="1">
        <v>44145</v>
      </c>
      <c r="H183" s="2">
        <v>108</v>
      </c>
      <c r="I183" t="s">
        <v>126</v>
      </c>
      <c r="J183">
        <v>385</v>
      </c>
      <c r="K183">
        <v>445</v>
      </c>
      <c r="L183">
        <v>415</v>
      </c>
      <c r="M183">
        <v>30</v>
      </c>
      <c r="N183">
        <v>60</v>
      </c>
      <c r="O183">
        <v>421</v>
      </c>
      <c r="P183">
        <v>0.2</v>
      </c>
      <c r="Q183" t="s">
        <v>753</v>
      </c>
      <c r="R183" t="s">
        <v>334</v>
      </c>
      <c r="S183">
        <v>0</v>
      </c>
    </row>
    <row r="184" spans="1:19" x14ac:dyDescent="0.25">
      <c r="A184" s="5" t="s">
        <v>754</v>
      </c>
      <c r="B184" s="6" t="s">
        <v>71</v>
      </c>
      <c r="C184" s="6">
        <v>379</v>
      </c>
      <c r="D184" s="6">
        <v>444</v>
      </c>
      <c r="E184" s="6">
        <v>410</v>
      </c>
      <c r="F184" t="s">
        <v>330</v>
      </c>
      <c r="G184" s="3">
        <v>44146</v>
      </c>
      <c r="H184" s="2">
        <v>107</v>
      </c>
      <c r="I184" t="s">
        <v>126</v>
      </c>
      <c r="J184">
        <v>379</v>
      </c>
      <c r="K184">
        <v>444</v>
      </c>
      <c r="L184">
        <v>411.5</v>
      </c>
      <c r="M184">
        <v>32.5</v>
      </c>
      <c r="N184">
        <v>65</v>
      </c>
      <c r="O184">
        <v>410</v>
      </c>
      <c r="P184">
        <v>-4.6153846153846156E-2</v>
      </c>
      <c r="Q184" t="s">
        <v>755</v>
      </c>
      <c r="R184" t="s">
        <v>334</v>
      </c>
      <c r="S184">
        <v>0</v>
      </c>
    </row>
    <row r="185" spans="1:19" x14ac:dyDescent="0.25">
      <c r="A185" s="5" t="s">
        <v>756</v>
      </c>
      <c r="B185" s="6" t="s">
        <v>71</v>
      </c>
      <c r="C185" s="6">
        <v>386</v>
      </c>
      <c r="D185" s="6">
        <v>446</v>
      </c>
      <c r="E185" s="6">
        <v>417</v>
      </c>
      <c r="F185" t="s">
        <v>331</v>
      </c>
      <c r="G185" s="1">
        <v>44147</v>
      </c>
      <c r="H185" s="2">
        <v>106</v>
      </c>
      <c r="I185" t="s">
        <v>126</v>
      </c>
      <c r="J185">
        <v>386</v>
      </c>
      <c r="K185">
        <v>446</v>
      </c>
      <c r="L185">
        <v>416</v>
      </c>
      <c r="M185">
        <v>30</v>
      </c>
      <c r="N185">
        <v>60</v>
      </c>
      <c r="O185">
        <v>417</v>
      </c>
      <c r="P185">
        <v>3.3333333333333333E-2</v>
      </c>
      <c r="Q185" t="s">
        <v>757</v>
      </c>
      <c r="R185" t="s">
        <v>334</v>
      </c>
      <c r="S185">
        <v>0</v>
      </c>
    </row>
    <row r="186" spans="1:19" x14ac:dyDescent="0.25">
      <c r="A186" s="5" t="s">
        <v>758</v>
      </c>
      <c r="B186" s="6" t="s">
        <v>71</v>
      </c>
      <c r="C186" s="6">
        <v>391</v>
      </c>
      <c r="D186" s="6">
        <v>441</v>
      </c>
      <c r="E186" s="6">
        <v>411</v>
      </c>
      <c r="F186" t="s">
        <v>332</v>
      </c>
      <c r="G186" s="3">
        <v>44148</v>
      </c>
      <c r="H186" s="2">
        <v>105</v>
      </c>
      <c r="I186" t="s">
        <v>126</v>
      </c>
      <c r="J186">
        <v>391</v>
      </c>
      <c r="K186">
        <v>441</v>
      </c>
      <c r="L186">
        <v>416</v>
      </c>
      <c r="M186">
        <v>25</v>
      </c>
      <c r="N186">
        <v>50</v>
      </c>
      <c r="O186">
        <v>411</v>
      </c>
      <c r="P186">
        <v>-0.2</v>
      </c>
      <c r="Q186" t="s">
        <v>759</v>
      </c>
      <c r="R186" t="s">
        <v>334</v>
      </c>
      <c r="S186">
        <v>0</v>
      </c>
    </row>
    <row r="187" spans="1:19" x14ac:dyDescent="0.25">
      <c r="A187" s="5" t="s">
        <v>760</v>
      </c>
      <c r="B187" s="6" t="s">
        <v>71</v>
      </c>
      <c r="C187" s="6">
        <v>399</v>
      </c>
      <c r="D187" s="6">
        <v>440</v>
      </c>
      <c r="E187" s="6">
        <v>408</v>
      </c>
      <c r="F187" t="s">
        <v>333</v>
      </c>
      <c r="G187" s="1">
        <v>44151</v>
      </c>
      <c r="H187" s="2">
        <v>102</v>
      </c>
      <c r="I187" t="s">
        <v>126</v>
      </c>
      <c r="J187">
        <v>399</v>
      </c>
      <c r="K187">
        <v>440</v>
      </c>
      <c r="L187">
        <v>419.5</v>
      </c>
      <c r="M187">
        <v>20.5</v>
      </c>
      <c r="N187">
        <v>41</v>
      </c>
      <c r="O187">
        <v>408</v>
      </c>
      <c r="P187">
        <v>-0.56097560975609762</v>
      </c>
      <c r="Q187" t="s">
        <v>761</v>
      </c>
      <c r="R187" t="s">
        <v>334</v>
      </c>
      <c r="S187">
        <v>0</v>
      </c>
    </row>
    <row r="188" spans="1:19" x14ac:dyDescent="0.25">
      <c r="A188" s="5" t="s">
        <v>762</v>
      </c>
      <c r="B188" s="6" t="s">
        <v>71</v>
      </c>
      <c r="C188" s="6">
        <v>399</v>
      </c>
      <c r="D188" s="6">
        <v>465</v>
      </c>
      <c r="E188" s="6">
        <v>408</v>
      </c>
      <c r="F188" t="s">
        <v>329</v>
      </c>
      <c r="G188" s="3">
        <v>44152</v>
      </c>
      <c r="H188" s="2">
        <v>101</v>
      </c>
      <c r="I188" t="s">
        <v>126</v>
      </c>
      <c r="J188">
        <v>399</v>
      </c>
      <c r="K188">
        <v>465</v>
      </c>
      <c r="L188">
        <v>432</v>
      </c>
      <c r="M188">
        <v>33</v>
      </c>
      <c r="N188">
        <v>66</v>
      </c>
      <c r="O188">
        <v>408</v>
      </c>
      <c r="P188">
        <v>-0.72727272727272729</v>
      </c>
      <c r="Q188" t="s">
        <v>763</v>
      </c>
      <c r="R188" t="s">
        <v>334</v>
      </c>
      <c r="S188">
        <v>0</v>
      </c>
    </row>
    <row r="189" spans="1:19" x14ac:dyDescent="0.25">
      <c r="A189" s="5" t="s">
        <v>764</v>
      </c>
      <c r="B189" s="6" t="s">
        <v>71</v>
      </c>
      <c r="C189" s="6">
        <v>395</v>
      </c>
      <c r="D189" s="6">
        <v>451</v>
      </c>
      <c r="E189" s="6">
        <v>441</v>
      </c>
      <c r="F189" t="s">
        <v>330</v>
      </c>
      <c r="G189" s="1">
        <v>44153</v>
      </c>
      <c r="H189" s="2">
        <v>100</v>
      </c>
      <c r="I189" t="s">
        <v>126</v>
      </c>
      <c r="J189">
        <v>395</v>
      </c>
      <c r="K189">
        <v>451</v>
      </c>
      <c r="L189">
        <v>423</v>
      </c>
      <c r="M189">
        <v>28</v>
      </c>
      <c r="N189">
        <v>56</v>
      </c>
      <c r="O189">
        <v>441</v>
      </c>
      <c r="P189">
        <v>0.6428571428571429</v>
      </c>
      <c r="Q189" t="s">
        <v>765</v>
      </c>
      <c r="R189" t="s">
        <v>334</v>
      </c>
      <c r="S189">
        <v>0</v>
      </c>
    </row>
    <row r="190" spans="1:19" x14ac:dyDescent="0.25">
      <c r="A190" s="5" t="s">
        <v>766</v>
      </c>
      <c r="B190" s="6" t="s">
        <v>33</v>
      </c>
      <c r="C190" s="6">
        <v>388</v>
      </c>
      <c r="D190" s="6">
        <v>509</v>
      </c>
      <c r="E190" s="6">
        <v>486</v>
      </c>
      <c r="F190" t="s">
        <v>331</v>
      </c>
      <c r="G190" s="3">
        <v>44154</v>
      </c>
      <c r="H190" s="2">
        <v>99</v>
      </c>
      <c r="I190" t="s">
        <v>126</v>
      </c>
      <c r="J190">
        <v>388</v>
      </c>
      <c r="K190">
        <v>509</v>
      </c>
      <c r="L190">
        <v>448.5</v>
      </c>
      <c r="M190">
        <v>60.5</v>
      </c>
      <c r="N190">
        <v>121</v>
      </c>
      <c r="O190">
        <v>486</v>
      </c>
      <c r="P190">
        <v>0.6198347107438017</v>
      </c>
      <c r="Q190" t="s">
        <v>767</v>
      </c>
      <c r="R190" t="s">
        <v>325</v>
      </c>
      <c r="S190">
        <v>1</v>
      </c>
    </row>
    <row r="191" spans="1:19" x14ac:dyDescent="0.25">
      <c r="A191" s="5" t="s">
        <v>768</v>
      </c>
      <c r="B191" s="6" t="s">
        <v>33</v>
      </c>
      <c r="C191" s="6">
        <v>430</v>
      </c>
      <c r="D191" s="6">
        <v>505</v>
      </c>
      <c r="E191" s="6">
        <v>499</v>
      </c>
      <c r="F191" t="s">
        <v>332</v>
      </c>
      <c r="G191" s="1">
        <v>44155</v>
      </c>
      <c r="H191" s="2">
        <v>98</v>
      </c>
      <c r="I191" t="s">
        <v>126</v>
      </c>
      <c r="J191">
        <v>430</v>
      </c>
      <c r="K191">
        <v>505</v>
      </c>
      <c r="L191">
        <v>467.5</v>
      </c>
      <c r="M191">
        <v>37.5</v>
      </c>
      <c r="N191">
        <v>75</v>
      </c>
      <c r="O191">
        <v>499</v>
      </c>
      <c r="P191">
        <v>0.84</v>
      </c>
      <c r="Q191" t="s">
        <v>769</v>
      </c>
      <c r="R191" t="s">
        <v>325</v>
      </c>
      <c r="S191">
        <v>1</v>
      </c>
    </row>
    <row r="192" spans="1:19" x14ac:dyDescent="0.25">
      <c r="A192" s="5" t="s">
        <v>770</v>
      </c>
      <c r="B192" s="6" t="s">
        <v>33</v>
      </c>
      <c r="C192" s="6">
        <v>433</v>
      </c>
      <c r="D192" s="6">
        <v>516</v>
      </c>
      <c r="E192" s="6">
        <v>489</v>
      </c>
      <c r="F192" t="s">
        <v>333</v>
      </c>
      <c r="G192" s="3">
        <v>44158</v>
      </c>
      <c r="H192" s="2">
        <v>95</v>
      </c>
      <c r="I192" t="s">
        <v>126</v>
      </c>
      <c r="J192">
        <v>433</v>
      </c>
      <c r="K192">
        <v>516</v>
      </c>
      <c r="L192">
        <v>474.5</v>
      </c>
      <c r="M192">
        <v>41.5</v>
      </c>
      <c r="N192">
        <v>83</v>
      </c>
      <c r="O192">
        <v>489</v>
      </c>
      <c r="P192">
        <v>0.3493975903614458</v>
      </c>
      <c r="Q192" t="s">
        <v>771</v>
      </c>
      <c r="R192" t="s">
        <v>325</v>
      </c>
      <c r="S192">
        <v>1</v>
      </c>
    </row>
    <row r="193" spans="1:19" x14ac:dyDescent="0.25">
      <c r="A193" s="5" t="s">
        <v>772</v>
      </c>
      <c r="B193" s="6" t="s">
        <v>33</v>
      </c>
      <c r="C193" s="6">
        <v>454</v>
      </c>
      <c r="D193" s="6">
        <v>544</v>
      </c>
      <c r="E193" s="6">
        <v>521</v>
      </c>
      <c r="F193" t="s">
        <v>329</v>
      </c>
      <c r="G193" s="1">
        <v>44159</v>
      </c>
      <c r="H193" s="2">
        <v>94</v>
      </c>
      <c r="I193" t="s">
        <v>126</v>
      </c>
      <c r="J193">
        <v>454</v>
      </c>
      <c r="K193">
        <v>544</v>
      </c>
      <c r="L193">
        <v>499</v>
      </c>
      <c r="M193">
        <v>45</v>
      </c>
      <c r="N193">
        <v>90</v>
      </c>
      <c r="O193">
        <v>521</v>
      </c>
      <c r="P193">
        <v>0.48888888888888887</v>
      </c>
      <c r="Q193" t="s">
        <v>773</v>
      </c>
      <c r="R193" t="s">
        <v>325</v>
      </c>
      <c r="S193">
        <v>1</v>
      </c>
    </row>
    <row r="194" spans="1:19" x14ac:dyDescent="0.25">
      <c r="A194" s="5" t="s">
        <v>774</v>
      </c>
      <c r="B194" s="6" t="s">
        <v>33</v>
      </c>
      <c r="C194" s="6">
        <v>470</v>
      </c>
      <c r="D194" s="6">
        <v>580</v>
      </c>
      <c r="E194" s="6">
        <v>555</v>
      </c>
      <c r="F194" t="s">
        <v>330</v>
      </c>
      <c r="G194" s="3">
        <v>44160</v>
      </c>
      <c r="H194" s="2">
        <v>93</v>
      </c>
      <c r="I194" t="s">
        <v>126</v>
      </c>
      <c r="J194">
        <v>470</v>
      </c>
      <c r="K194">
        <v>580</v>
      </c>
      <c r="L194">
        <v>525</v>
      </c>
      <c r="M194">
        <v>55</v>
      </c>
      <c r="N194">
        <v>110</v>
      </c>
      <c r="O194">
        <v>555</v>
      </c>
      <c r="P194">
        <v>0.54545454545454541</v>
      </c>
      <c r="Q194" t="s">
        <v>775</v>
      </c>
      <c r="R194" t="s">
        <v>325</v>
      </c>
      <c r="S194">
        <v>1</v>
      </c>
    </row>
    <row r="195" spans="1:19" x14ac:dyDescent="0.25">
      <c r="A195" s="5" t="s">
        <v>776</v>
      </c>
      <c r="B195" s="6" t="s">
        <v>33</v>
      </c>
      <c r="C195" s="6">
        <v>489</v>
      </c>
      <c r="D195" s="6">
        <v>601</v>
      </c>
      <c r="E195" s="6">
        <v>574</v>
      </c>
      <c r="F195" t="s">
        <v>332</v>
      </c>
      <c r="G195" s="1">
        <v>44162</v>
      </c>
      <c r="H195" s="2">
        <v>91</v>
      </c>
      <c r="I195" t="s">
        <v>126</v>
      </c>
      <c r="J195">
        <v>489</v>
      </c>
      <c r="K195">
        <v>601</v>
      </c>
      <c r="L195">
        <v>545</v>
      </c>
      <c r="M195">
        <v>56</v>
      </c>
      <c r="N195">
        <v>112</v>
      </c>
      <c r="O195">
        <v>574</v>
      </c>
      <c r="P195">
        <v>0.5178571428571429</v>
      </c>
      <c r="Q195" t="s">
        <v>777</v>
      </c>
      <c r="R195" t="s">
        <v>325</v>
      </c>
      <c r="S195">
        <v>1</v>
      </c>
    </row>
    <row r="196" spans="1:19" x14ac:dyDescent="0.25">
      <c r="A196" s="5" t="s">
        <v>778</v>
      </c>
      <c r="B196" s="6" t="s">
        <v>33</v>
      </c>
      <c r="C196" s="6">
        <v>507</v>
      </c>
      <c r="D196" s="6">
        <v>619</v>
      </c>
      <c r="E196" s="6">
        <v>585</v>
      </c>
      <c r="F196" t="s">
        <v>333</v>
      </c>
      <c r="G196" s="3">
        <v>44165</v>
      </c>
      <c r="H196" s="2">
        <v>88</v>
      </c>
      <c r="I196" t="s">
        <v>126</v>
      </c>
      <c r="J196">
        <v>507</v>
      </c>
      <c r="K196">
        <v>619</v>
      </c>
      <c r="L196">
        <v>563</v>
      </c>
      <c r="M196">
        <v>56</v>
      </c>
      <c r="N196">
        <v>112</v>
      </c>
      <c r="O196">
        <v>585</v>
      </c>
      <c r="P196">
        <v>0.39285714285714285</v>
      </c>
      <c r="Q196" t="s">
        <v>779</v>
      </c>
      <c r="R196" t="s">
        <v>325</v>
      </c>
      <c r="S196">
        <v>1</v>
      </c>
    </row>
    <row r="197" spans="1:19" x14ac:dyDescent="0.25">
      <c r="A197" s="5" t="s">
        <v>780</v>
      </c>
      <c r="B197" s="6" t="s">
        <v>33</v>
      </c>
      <c r="C197" s="6">
        <v>514</v>
      </c>
      <c r="D197" s="6">
        <v>618</v>
      </c>
      <c r="E197" s="6">
        <v>567</v>
      </c>
      <c r="F197" t="s">
        <v>329</v>
      </c>
      <c r="G197" s="1">
        <v>44166</v>
      </c>
      <c r="H197" s="2">
        <v>87</v>
      </c>
      <c r="I197" t="s">
        <v>126</v>
      </c>
      <c r="J197">
        <v>514</v>
      </c>
      <c r="K197">
        <v>618</v>
      </c>
      <c r="L197">
        <v>566</v>
      </c>
      <c r="M197">
        <v>52</v>
      </c>
      <c r="N197">
        <v>104</v>
      </c>
      <c r="O197">
        <v>567</v>
      </c>
      <c r="P197">
        <v>1.9230769230769232E-2</v>
      </c>
      <c r="Q197" t="s">
        <v>781</v>
      </c>
      <c r="R197" t="s">
        <v>325</v>
      </c>
      <c r="S197">
        <v>1</v>
      </c>
    </row>
    <row r="198" spans="1:19" x14ac:dyDescent="0.25">
      <c r="A198" s="5" t="s">
        <v>782</v>
      </c>
      <c r="B198" s="6" t="s">
        <v>33</v>
      </c>
      <c r="C198" s="6">
        <v>514</v>
      </c>
      <c r="D198" s="6">
        <v>619</v>
      </c>
      <c r="E198" s="6">
        <v>584</v>
      </c>
      <c r="F198" t="s">
        <v>330</v>
      </c>
      <c r="G198" s="3">
        <v>44167</v>
      </c>
      <c r="H198" s="2">
        <v>86</v>
      </c>
      <c r="I198" t="s">
        <v>126</v>
      </c>
      <c r="J198">
        <v>514</v>
      </c>
      <c r="K198">
        <v>619</v>
      </c>
      <c r="L198">
        <v>566.5</v>
      </c>
      <c r="M198">
        <v>52.5</v>
      </c>
      <c r="N198">
        <v>105</v>
      </c>
      <c r="O198">
        <v>584</v>
      </c>
      <c r="P198">
        <v>0.33333333333333331</v>
      </c>
      <c r="Q198" t="s">
        <v>783</v>
      </c>
      <c r="R198" t="s">
        <v>325</v>
      </c>
      <c r="S198">
        <v>1</v>
      </c>
    </row>
    <row r="199" spans="1:19" x14ac:dyDescent="0.25">
      <c r="A199" s="5" t="s">
        <v>784</v>
      </c>
      <c r="B199" s="6" t="s">
        <v>33</v>
      </c>
      <c r="C199" s="6">
        <v>497</v>
      </c>
      <c r="D199" s="6">
        <v>619</v>
      </c>
      <c r="E199" s="6">
        <v>568</v>
      </c>
      <c r="F199" t="s">
        <v>331</v>
      </c>
      <c r="G199" s="1">
        <v>44168</v>
      </c>
      <c r="H199" s="2">
        <v>85</v>
      </c>
      <c r="I199" t="s">
        <v>126</v>
      </c>
      <c r="J199">
        <v>497</v>
      </c>
      <c r="K199">
        <v>619</v>
      </c>
      <c r="L199">
        <v>558</v>
      </c>
      <c r="M199">
        <v>61</v>
      </c>
      <c r="N199">
        <v>122</v>
      </c>
      <c r="O199">
        <v>568</v>
      </c>
      <c r="P199">
        <v>0.16393442622950818</v>
      </c>
      <c r="Q199" t="s">
        <v>785</v>
      </c>
      <c r="R199" t="s">
        <v>325</v>
      </c>
      <c r="S199">
        <v>1</v>
      </c>
    </row>
    <row r="200" spans="1:19" x14ac:dyDescent="0.25">
      <c r="A200" s="5" t="s">
        <v>786</v>
      </c>
      <c r="B200" s="6" t="s">
        <v>33</v>
      </c>
      <c r="C200" s="6">
        <v>506</v>
      </c>
      <c r="D200" s="6">
        <v>629</v>
      </c>
      <c r="E200" s="6">
        <v>593</v>
      </c>
      <c r="F200" t="s">
        <v>332</v>
      </c>
      <c r="G200" s="3">
        <v>44169</v>
      </c>
      <c r="H200" s="2">
        <v>84</v>
      </c>
      <c r="I200" t="s">
        <v>126</v>
      </c>
      <c r="J200">
        <v>506</v>
      </c>
      <c r="K200">
        <v>629</v>
      </c>
      <c r="L200">
        <v>567.5</v>
      </c>
      <c r="M200">
        <v>61.5</v>
      </c>
      <c r="N200">
        <v>123</v>
      </c>
      <c r="O200">
        <v>593</v>
      </c>
      <c r="P200">
        <v>0.41463414634146339</v>
      </c>
      <c r="Q200" t="s">
        <v>787</v>
      </c>
      <c r="R200" t="s">
        <v>325</v>
      </c>
      <c r="S200">
        <v>1</v>
      </c>
    </row>
    <row r="201" spans="1:19" x14ac:dyDescent="0.25">
      <c r="A201" s="5" t="s">
        <v>788</v>
      </c>
      <c r="B201" s="6" t="s">
        <v>33</v>
      </c>
      <c r="C201" s="6">
        <v>527</v>
      </c>
      <c r="D201" s="6">
        <v>618</v>
      </c>
      <c r="E201" s="6">
        <v>599</v>
      </c>
      <c r="F201" t="s">
        <v>333</v>
      </c>
      <c r="G201" s="1">
        <v>44172</v>
      </c>
      <c r="H201" s="2">
        <v>81</v>
      </c>
      <c r="I201" t="s">
        <v>126</v>
      </c>
      <c r="J201">
        <v>527</v>
      </c>
      <c r="K201">
        <v>618</v>
      </c>
      <c r="L201">
        <v>572.5</v>
      </c>
      <c r="M201">
        <v>45.5</v>
      </c>
      <c r="N201">
        <v>91</v>
      </c>
      <c r="O201">
        <v>599</v>
      </c>
      <c r="P201">
        <v>0.58241758241758246</v>
      </c>
      <c r="Q201" t="s">
        <v>789</v>
      </c>
      <c r="R201" t="s">
        <v>325</v>
      </c>
      <c r="S201">
        <v>1</v>
      </c>
    </row>
    <row r="202" spans="1:19" x14ac:dyDescent="0.25">
      <c r="A202" s="5" t="s">
        <v>790</v>
      </c>
      <c r="B202" s="6" t="s">
        <v>33</v>
      </c>
      <c r="C202" s="6">
        <v>540</v>
      </c>
      <c r="D202" s="6">
        <v>655</v>
      </c>
      <c r="E202" s="6">
        <v>641</v>
      </c>
      <c r="F202" t="s">
        <v>329</v>
      </c>
      <c r="G202" s="3">
        <v>44173</v>
      </c>
      <c r="H202" s="2">
        <v>80</v>
      </c>
      <c r="I202" t="s">
        <v>126</v>
      </c>
      <c r="J202">
        <v>540</v>
      </c>
      <c r="K202">
        <v>655</v>
      </c>
      <c r="L202">
        <v>597.5</v>
      </c>
      <c r="M202">
        <v>57.5</v>
      </c>
      <c r="N202">
        <v>115</v>
      </c>
      <c r="O202">
        <v>641</v>
      </c>
      <c r="P202">
        <v>0.75652173913043474</v>
      </c>
      <c r="Q202" t="s">
        <v>791</v>
      </c>
      <c r="R202" t="s">
        <v>325</v>
      </c>
      <c r="S202">
        <v>1</v>
      </c>
    </row>
    <row r="203" spans="1:19" x14ac:dyDescent="0.25">
      <c r="A203" s="5" t="s">
        <v>792</v>
      </c>
      <c r="B203" s="6" t="s">
        <v>33</v>
      </c>
      <c r="C203" s="6">
        <v>551</v>
      </c>
      <c r="D203" s="6">
        <v>656</v>
      </c>
      <c r="E203" s="6">
        <v>649</v>
      </c>
      <c r="F203" t="s">
        <v>330</v>
      </c>
      <c r="G203" s="1">
        <v>44174</v>
      </c>
      <c r="H203" s="2">
        <v>79</v>
      </c>
      <c r="I203" t="s">
        <v>126</v>
      </c>
      <c r="J203">
        <v>551</v>
      </c>
      <c r="K203">
        <v>656</v>
      </c>
      <c r="L203">
        <v>603.5</v>
      </c>
      <c r="M203">
        <v>52.5</v>
      </c>
      <c r="N203">
        <v>105</v>
      </c>
      <c r="O203">
        <v>649</v>
      </c>
      <c r="P203">
        <v>0.8666666666666667</v>
      </c>
      <c r="Q203" t="s">
        <v>793</v>
      </c>
      <c r="R203" t="s">
        <v>325</v>
      </c>
      <c r="S203">
        <v>1</v>
      </c>
    </row>
    <row r="204" spans="1:19" x14ac:dyDescent="0.25">
      <c r="A204" s="5" t="s">
        <v>794</v>
      </c>
      <c r="B204" s="6" t="s">
        <v>33</v>
      </c>
      <c r="C204" s="6">
        <v>545</v>
      </c>
      <c r="D204" s="6">
        <v>655</v>
      </c>
      <c r="E204" s="6">
        <v>604</v>
      </c>
      <c r="F204" t="s">
        <v>331</v>
      </c>
      <c r="G204" s="3">
        <v>44175</v>
      </c>
      <c r="H204" s="2">
        <v>78</v>
      </c>
      <c r="I204" t="s">
        <v>126</v>
      </c>
      <c r="J204">
        <v>545</v>
      </c>
      <c r="K204">
        <v>655</v>
      </c>
      <c r="L204">
        <v>600</v>
      </c>
      <c r="M204">
        <v>55</v>
      </c>
      <c r="N204">
        <v>110</v>
      </c>
      <c r="O204">
        <v>604</v>
      </c>
      <c r="P204">
        <v>7.2727272727272724E-2</v>
      </c>
      <c r="Q204" t="s">
        <v>795</v>
      </c>
      <c r="R204" t="s">
        <v>325</v>
      </c>
      <c r="S204">
        <v>1</v>
      </c>
    </row>
    <row r="205" spans="1:19" x14ac:dyDescent="0.25">
      <c r="A205" s="5" t="s">
        <v>796</v>
      </c>
      <c r="B205" s="6" t="s">
        <v>33</v>
      </c>
      <c r="C205" s="6">
        <v>545</v>
      </c>
      <c r="D205" s="6">
        <v>662</v>
      </c>
      <c r="E205" s="6">
        <v>627</v>
      </c>
      <c r="F205" t="s">
        <v>332</v>
      </c>
      <c r="G205" s="1">
        <v>44176</v>
      </c>
      <c r="H205" s="2">
        <v>77</v>
      </c>
      <c r="I205" t="s">
        <v>126</v>
      </c>
      <c r="J205">
        <v>545</v>
      </c>
      <c r="K205">
        <v>662</v>
      </c>
      <c r="L205">
        <v>603.5</v>
      </c>
      <c r="M205">
        <v>58.5</v>
      </c>
      <c r="N205">
        <v>117</v>
      </c>
      <c r="O205">
        <v>627</v>
      </c>
      <c r="P205">
        <v>0.40170940170940173</v>
      </c>
      <c r="Q205" t="s">
        <v>797</v>
      </c>
      <c r="R205" t="s">
        <v>325</v>
      </c>
      <c r="S205">
        <v>1</v>
      </c>
    </row>
    <row r="206" spans="1:19" x14ac:dyDescent="0.25">
      <c r="A206" s="5" t="s">
        <v>798</v>
      </c>
      <c r="B206" s="6" t="s">
        <v>33</v>
      </c>
      <c r="C206" s="6">
        <v>558</v>
      </c>
      <c r="D206" s="6">
        <v>660</v>
      </c>
      <c r="E206" s="6">
        <v>609</v>
      </c>
      <c r="F206" t="s">
        <v>333</v>
      </c>
      <c r="G206" s="3">
        <v>44179</v>
      </c>
      <c r="H206" s="2">
        <v>74</v>
      </c>
      <c r="I206" t="s">
        <v>126</v>
      </c>
      <c r="J206">
        <v>558</v>
      </c>
      <c r="K206">
        <v>660</v>
      </c>
      <c r="L206">
        <v>609</v>
      </c>
      <c r="M206">
        <v>51</v>
      </c>
      <c r="N206">
        <v>102</v>
      </c>
      <c r="O206">
        <v>609</v>
      </c>
      <c r="P206">
        <v>0</v>
      </c>
      <c r="Q206" t="s">
        <v>799</v>
      </c>
      <c r="R206" t="s">
        <v>325</v>
      </c>
      <c r="S206">
        <v>1</v>
      </c>
    </row>
    <row r="207" spans="1:19" x14ac:dyDescent="0.25">
      <c r="A207" s="5" t="s">
        <v>800</v>
      </c>
      <c r="B207" s="6" t="s">
        <v>33</v>
      </c>
      <c r="C207" s="6">
        <v>566</v>
      </c>
      <c r="D207" s="6">
        <v>669</v>
      </c>
      <c r="E207" s="6">
        <v>639</v>
      </c>
      <c r="F207" t="s">
        <v>329</v>
      </c>
      <c r="G207" s="1">
        <v>44180</v>
      </c>
      <c r="H207" s="2">
        <v>73</v>
      </c>
      <c r="I207" t="s">
        <v>126</v>
      </c>
      <c r="J207">
        <v>566</v>
      </c>
      <c r="K207">
        <v>669</v>
      </c>
      <c r="L207">
        <v>617.5</v>
      </c>
      <c r="M207">
        <v>51.5</v>
      </c>
      <c r="N207">
        <v>103</v>
      </c>
      <c r="O207">
        <v>639</v>
      </c>
      <c r="P207">
        <v>0.41747572815533979</v>
      </c>
      <c r="Q207" t="s">
        <v>801</v>
      </c>
      <c r="R207" t="s">
        <v>325</v>
      </c>
      <c r="S207">
        <v>1</v>
      </c>
    </row>
    <row r="208" spans="1:19" x14ac:dyDescent="0.25">
      <c r="A208" s="5" t="s">
        <v>802</v>
      </c>
      <c r="B208" s="6" t="s">
        <v>33</v>
      </c>
      <c r="C208" s="6">
        <v>581</v>
      </c>
      <c r="D208" s="6">
        <v>665</v>
      </c>
      <c r="E208" s="6">
        <v>633</v>
      </c>
      <c r="F208" t="s">
        <v>330</v>
      </c>
      <c r="G208" s="3">
        <v>44181</v>
      </c>
      <c r="H208" s="2">
        <v>72</v>
      </c>
      <c r="I208" t="s">
        <v>126</v>
      </c>
      <c r="J208">
        <v>581</v>
      </c>
      <c r="K208">
        <v>665</v>
      </c>
      <c r="L208">
        <v>623</v>
      </c>
      <c r="M208">
        <v>42</v>
      </c>
      <c r="N208">
        <v>84</v>
      </c>
      <c r="O208">
        <v>633</v>
      </c>
      <c r="P208">
        <v>0.23809523809523808</v>
      </c>
      <c r="Q208" t="s">
        <v>803</v>
      </c>
      <c r="R208" t="s">
        <v>325</v>
      </c>
      <c r="S208">
        <v>1</v>
      </c>
    </row>
    <row r="209" spans="1:19" x14ac:dyDescent="0.25">
      <c r="A209" s="5" t="s">
        <v>804</v>
      </c>
      <c r="B209" s="6" t="s">
        <v>33</v>
      </c>
      <c r="C209" s="6">
        <v>590</v>
      </c>
      <c r="D209" s="6">
        <v>660</v>
      </c>
      <c r="E209" s="6">
        <v>622</v>
      </c>
      <c r="F209" t="s">
        <v>331</v>
      </c>
      <c r="G209" s="1">
        <v>44182</v>
      </c>
      <c r="H209" s="2">
        <v>71</v>
      </c>
      <c r="I209" t="s">
        <v>126</v>
      </c>
      <c r="J209">
        <v>590</v>
      </c>
      <c r="K209">
        <v>660</v>
      </c>
      <c r="L209">
        <v>625</v>
      </c>
      <c r="M209">
        <v>35</v>
      </c>
      <c r="N209">
        <v>70</v>
      </c>
      <c r="O209">
        <v>622</v>
      </c>
      <c r="P209">
        <v>-8.5714285714285715E-2</v>
      </c>
      <c r="Q209" t="s">
        <v>805</v>
      </c>
      <c r="R209" t="s">
        <v>325</v>
      </c>
      <c r="S209">
        <v>1</v>
      </c>
    </row>
    <row r="210" spans="1:19" x14ac:dyDescent="0.25">
      <c r="A210" s="5" t="s">
        <v>806</v>
      </c>
      <c r="B210" s="6" t="s">
        <v>33</v>
      </c>
      <c r="C210" s="6">
        <v>598</v>
      </c>
      <c r="D210" s="6">
        <v>666</v>
      </c>
      <c r="E210" s="6">
        <v>655</v>
      </c>
      <c r="F210" t="s">
        <v>332</v>
      </c>
      <c r="G210" s="3">
        <v>44183</v>
      </c>
      <c r="H210" s="2">
        <v>70</v>
      </c>
      <c r="I210" t="s">
        <v>126</v>
      </c>
      <c r="J210">
        <v>598</v>
      </c>
      <c r="K210">
        <v>666</v>
      </c>
      <c r="L210">
        <v>632</v>
      </c>
      <c r="M210">
        <v>34</v>
      </c>
      <c r="N210">
        <v>68</v>
      </c>
      <c r="O210">
        <v>655</v>
      </c>
      <c r="P210">
        <v>0.67647058823529416</v>
      </c>
      <c r="Q210" t="s">
        <v>807</v>
      </c>
      <c r="R210" t="s">
        <v>325</v>
      </c>
      <c r="S210">
        <v>1</v>
      </c>
    </row>
    <row r="211" spans="1:19" x14ac:dyDescent="0.25">
      <c r="A211" s="5" t="s">
        <v>808</v>
      </c>
      <c r="B211" s="6" t="s">
        <v>33</v>
      </c>
      <c r="C211" s="6">
        <v>586</v>
      </c>
      <c r="D211" s="6">
        <v>699</v>
      </c>
      <c r="E211" s="6">
        <v>695</v>
      </c>
      <c r="F211" t="s">
        <v>333</v>
      </c>
      <c r="G211" s="1">
        <v>44186</v>
      </c>
      <c r="H211" s="2">
        <v>67</v>
      </c>
      <c r="I211" t="s">
        <v>126</v>
      </c>
      <c r="J211">
        <v>586</v>
      </c>
      <c r="K211">
        <v>699</v>
      </c>
      <c r="L211">
        <v>642.5</v>
      </c>
      <c r="M211">
        <v>56.5</v>
      </c>
      <c r="N211">
        <v>113</v>
      </c>
      <c r="O211">
        <v>695</v>
      </c>
      <c r="P211">
        <v>0.92920353982300885</v>
      </c>
      <c r="Q211" t="s">
        <v>809</v>
      </c>
      <c r="R211" t="s">
        <v>325</v>
      </c>
      <c r="S211">
        <v>1</v>
      </c>
    </row>
    <row r="212" spans="1:19" x14ac:dyDescent="0.25">
      <c r="A212" s="5" t="s">
        <v>810</v>
      </c>
      <c r="B212" s="6" t="s">
        <v>33</v>
      </c>
      <c r="C212" s="6">
        <v>584</v>
      </c>
      <c r="D212" s="6">
        <v>690</v>
      </c>
      <c r="E212" s="6">
        <v>649</v>
      </c>
      <c r="F212" t="s">
        <v>329</v>
      </c>
      <c r="G212" s="3">
        <v>44187</v>
      </c>
      <c r="H212" s="2">
        <v>66</v>
      </c>
      <c r="I212" t="s">
        <v>126</v>
      </c>
      <c r="J212">
        <v>584</v>
      </c>
      <c r="K212">
        <v>690</v>
      </c>
      <c r="L212">
        <v>637</v>
      </c>
      <c r="M212">
        <v>53</v>
      </c>
      <c r="N212">
        <v>106</v>
      </c>
      <c r="O212">
        <v>649</v>
      </c>
      <c r="P212">
        <v>0.22641509433962265</v>
      </c>
      <c r="Q212" t="s">
        <v>811</v>
      </c>
      <c r="R212" t="s">
        <v>325</v>
      </c>
      <c r="S212">
        <v>1</v>
      </c>
    </row>
    <row r="213" spans="1:19" x14ac:dyDescent="0.25">
      <c r="A213" s="5" t="s">
        <v>812</v>
      </c>
      <c r="B213" s="6" t="s">
        <v>33</v>
      </c>
      <c r="C213" s="6">
        <v>593</v>
      </c>
      <c r="D213" s="6">
        <v>690</v>
      </c>
      <c r="E213" s="6">
        <v>640</v>
      </c>
      <c r="F213" t="s">
        <v>330</v>
      </c>
      <c r="G213" s="1">
        <v>44188</v>
      </c>
      <c r="H213" s="2">
        <v>65</v>
      </c>
      <c r="I213" t="s">
        <v>126</v>
      </c>
      <c r="J213">
        <v>593</v>
      </c>
      <c r="K213">
        <v>690</v>
      </c>
      <c r="L213">
        <v>641.5</v>
      </c>
      <c r="M213">
        <v>48.5</v>
      </c>
      <c r="N213">
        <v>97</v>
      </c>
      <c r="O213">
        <v>640</v>
      </c>
      <c r="P213">
        <v>-3.0927835051546393E-2</v>
      </c>
      <c r="Q213" t="s">
        <v>813</v>
      </c>
      <c r="R213" t="s">
        <v>325</v>
      </c>
      <c r="S213">
        <v>1</v>
      </c>
    </row>
    <row r="214" spans="1:19" x14ac:dyDescent="0.25">
      <c r="A214" s="5" t="s">
        <v>814</v>
      </c>
      <c r="B214" s="6" t="s">
        <v>33</v>
      </c>
      <c r="C214" s="6">
        <v>597</v>
      </c>
      <c r="D214" s="6">
        <v>691</v>
      </c>
      <c r="E214" s="6">
        <v>645</v>
      </c>
      <c r="F214" t="s">
        <v>331</v>
      </c>
      <c r="G214" s="3">
        <v>44189</v>
      </c>
      <c r="H214" s="2">
        <v>64</v>
      </c>
      <c r="I214" t="s">
        <v>126</v>
      </c>
      <c r="J214">
        <v>597</v>
      </c>
      <c r="K214">
        <v>691</v>
      </c>
      <c r="L214">
        <v>644</v>
      </c>
      <c r="M214">
        <v>47</v>
      </c>
      <c r="N214">
        <v>94</v>
      </c>
      <c r="O214">
        <v>645</v>
      </c>
      <c r="P214">
        <v>2.1276595744680851E-2</v>
      </c>
      <c r="Q214" t="s">
        <v>815</v>
      </c>
      <c r="R214" t="s">
        <v>325</v>
      </c>
      <c r="S214">
        <v>1</v>
      </c>
    </row>
    <row r="215" spans="1:19" x14ac:dyDescent="0.25">
      <c r="A215" s="5" t="s">
        <v>816</v>
      </c>
      <c r="B215" s="6" t="s">
        <v>33</v>
      </c>
      <c r="C215" s="6">
        <v>608</v>
      </c>
      <c r="D215" s="6">
        <v>692</v>
      </c>
      <c r="E215" s="6">
        <v>661</v>
      </c>
      <c r="F215" t="s">
        <v>333</v>
      </c>
      <c r="G215" s="1">
        <v>44193</v>
      </c>
      <c r="H215" s="2">
        <v>60</v>
      </c>
      <c r="I215" t="s">
        <v>126</v>
      </c>
      <c r="J215">
        <v>608</v>
      </c>
      <c r="K215">
        <v>692</v>
      </c>
      <c r="L215">
        <v>650</v>
      </c>
      <c r="M215">
        <v>42</v>
      </c>
      <c r="N215">
        <v>84</v>
      </c>
      <c r="O215">
        <v>661</v>
      </c>
      <c r="P215">
        <v>0.26190476190476192</v>
      </c>
      <c r="Q215" t="s">
        <v>817</v>
      </c>
      <c r="R215" t="s">
        <v>325</v>
      </c>
      <c r="S215">
        <v>1</v>
      </c>
    </row>
    <row r="216" spans="1:19" x14ac:dyDescent="0.25">
      <c r="A216" s="5" t="s">
        <v>818</v>
      </c>
      <c r="B216" s="6" t="s">
        <v>33</v>
      </c>
      <c r="C216" s="6">
        <v>610</v>
      </c>
      <c r="D216" s="6">
        <v>694</v>
      </c>
      <c r="E216" s="6">
        <v>663</v>
      </c>
      <c r="F216" t="s">
        <v>329</v>
      </c>
      <c r="G216" s="3">
        <v>44194</v>
      </c>
      <c r="H216" s="2">
        <v>59</v>
      </c>
      <c r="I216" t="s">
        <v>126</v>
      </c>
      <c r="J216">
        <v>610</v>
      </c>
      <c r="K216">
        <v>694</v>
      </c>
      <c r="L216">
        <v>652</v>
      </c>
      <c r="M216">
        <v>42</v>
      </c>
      <c r="N216">
        <v>84</v>
      </c>
      <c r="O216">
        <v>663</v>
      </c>
      <c r="P216">
        <v>0.26190476190476192</v>
      </c>
      <c r="Q216" t="s">
        <v>819</v>
      </c>
      <c r="R216" t="s">
        <v>325</v>
      </c>
      <c r="S216">
        <v>1</v>
      </c>
    </row>
    <row r="217" spans="1:19" x14ac:dyDescent="0.25">
      <c r="A217" s="5" t="s">
        <v>820</v>
      </c>
      <c r="B217" s="6" t="s">
        <v>33</v>
      </c>
      <c r="C217" s="6">
        <v>616</v>
      </c>
      <c r="D217" s="6">
        <v>696</v>
      </c>
      <c r="E217" s="6">
        <v>665</v>
      </c>
      <c r="F217" t="s">
        <v>330</v>
      </c>
      <c r="G217" s="1">
        <v>44195</v>
      </c>
      <c r="H217" s="2">
        <v>58</v>
      </c>
      <c r="I217" t="s">
        <v>126</v>
      </c>
      <c r="J217">
        <v>616</v>
      </c>
      <c r="K217">
        <v>696</v>
      </c>
      <c r="L217">
        <v>656</v>
      </c>
      <c r="M217">
        <v>40</v>
      </c>
      <c r="N217">
        <v>80</v>
      </c>
      <c r="O217">
        <v>665</v>
      </c>
      <c r="P217">
        <v>0.22500000000000001</v>
      </c>
      <c r="Q217" t="s">
        <v>821</v>
      </c>
      <c r="R217" t="s">
        <v>325</v>
      </c>
      <c r="S217">
        <v>1</v>
      </c>
    </row>
    <row r="218" spans="1:19" x14ac:dyDescent="0.25">
      <c r="A218" s="5" t="s">
        <v>822</v>
      </c>
      <c r="B218" s="6" t="s">
        <v>33</v>
      </c>
      <c r="C218" s="6">
        <v>625</v>
      </c>
      <c r="D218" s="6">
        <v>704</v>
      </c>
      <c r="E218" s="6">
        <v>694</v>
      </c>
      <c r="F218" t="s">
        <v>331</v>
      </c>
      <c r="G218" s="3">
        <v>44196</v>
      </c>
      <c r="H218" s="2">
        <v>57</v>
      </c>
      <c r="I218" t="s">
        <v>126</v>
      </c>
      <c r="J218">
        <v>625</v>
      </c>
      <c r="K218">
        <v>704</v>
      </c>
      <c r="L218">
        <v>664.5</v>
      </c>
      <c r="M218">
        <v>39.5</v>
      </c>
      <c r="N218">
        <v>79</v>
      </c>
      <c r="O218">
        <v>694</v>
      </c>
      <c r="P218">
        <v>0.74683544303797467</v>
      </c>
      <c r="Q218" t="s">
        <v>823</v>
      </c>
      <c r="R218" t="s">
        <v>325</v>
      </c>
      <c r="S218">
        <v>1</v>
      </c>
    </row>
    <row r="219" spans="1:19" x14ac:dyDescent="0.25">
      <c r="A219" s="5" t="s">
        <v>824</v>
      </c>
      <c r="B219" s="6" t="s">
        <v>33</v>
      </c>
      <c r="C219" s="6">
        <v>649</v>
      </c>
      <c r="D219" s="6">
        <v>723</v>
      </c>
      <c r="E219" s="6">
        <v>705</v>
      </c>
      <c r="F219" t="s">
        <v>333</v>
      </c>
      <c r="G219" s="1">
        <v>44200</v>
      </c>
      <c r="H219" s="2">
        <v>53</v>
      </c>
      <c r="I219" t="s">
        <v>126</v>
      </c>
      <c r="J219">
        <v>649</v>
      </c>
      <c r="K219">
        <v>723</v>
      </c>
      <c r="L219">
        <v>686</v>
      </c>
      <c r="M219">
        <v>37</v>
      </c>
      <c r="N219">
        <v>74</v>
      </c>
      <c r="O219">
        <v>705</v>
      </c>
      <c r="P219">
        <v>0.51351351351351349</v>
      </c>
      <c r="Q219" t="s">
        <v>825</v>
      </c>
      <c r="R219" t="s">
        <v>325</v>
      </c>
      <c r="S219">
        <v>1</v>
      </c>
    </row>
    <row r="220" spans="1:19" x14ac:dyDescent="0.25">
      <c r="A220" s="5" t="s">
        <v>826</v>
      </c>
      <c r="B220" s="6" t="s">
        <v>33</v>
      </c>
      <c r="C220" s="6">
        <v>663</v>
      </c>
      <c r="D220" s="6">
        <v>734</v>
      </c>
      <c r="E220" s="6">
        <v>729</v>
      </c>
      <c r="F220" t="s">
        <v>329</v>
      </c>
      <c r="G220" s="3">
        <v>44201</v>
      </c>
      <c r="H220" s="2">
        <v>52</v>
      </c>
      <c r="I220" t="s">
        <v>126</v>
      </c>
      <c r="J220">
        <v>663</v>
      </c>
      <c r="K220">
        <v>734</v>
      </c>
      <c r="L220">
        <v>698.5</v>
      </c>
      <c r="M220">
        <v>35.5</v>
      </c>
      <c r="N220">
        <v>71</v>
      </c>
      <c r="O220">
        <v>729</v>
      </c>
      <c r="P220">
        <v>0.85915492957746475</v>
      </c>
      <c r="Q220" t="s">
        <v>827</v>
      </c>
      <c r="R220" t="s">
        <v>325</v>
      </c>
      <c r="S220">
        <v>1</v>
      </c>
    </row>
    <row r="221" spans="1:19" x14ac:dyDescent="0.25">
      <c r="A221" s="5" t="s">
        <v>828</v>
      </c>
      <c r="B221" s="6" t="s">
        <v>33</v>
      </c>
      <c r="C221" s="6">
        <v>672</v>
      </c>
      <c r="D221" s="6">
        <v>751</v>
      </c>
      <c r="E221" s="6">
        <v>735</v>
      </c>
      <c r="F221" t="s">
        <v>330</v>
      </c>
      <c r="G221" s="1">
        <v>44202</v>
      </c>
      <c r="H221" s="2">
        <v>51</v>
      </c>
      <c r="I221" t="s">
        <v>126</v>
      </c>
      <c r="J221">
        <v>672</v>
      </c>
      <c r="K221">
        <v>751</v>
      </c>
      <c r="L221">
        <v>711.5</v>
      </c>
      <c r="M221">
        <v>39.5</v>
      </c>
      <c r="N221">
        <v>79</v>
      </c>
      <c r="O221">
        <v>735</v>
      </c>
      <c r="P221">
        <v>0.59493670886075944</v>
      </c>
      <c r="Q221" t="s">
        <v>829</v>
      </c>
      <c r="R221" t="s">
        <v>325</v>
      </c>
      <c r="S221">
        <v>1</v>
      </c>
    </row>
    <row r="222" spans="1:19" x14ac:dyDescent="0.25">
      <c r="A222" s="5" t="s">
        <v>830</v>
      </c>
      <c r="B222" s="6" t="s">
        <v>33</v>
      </c>
      <c r="C222" s="6">
        <v>675</v>
      </c>
      <c r="D222" s="6">
        <v>770</v>
      </c>
      <c r="E222" s="6">
        <v>755</v>
      </c>
      <c r="F222" t="s">
        <v>331</v>
      </c>
      <c r="G222" s="3">
        <v>44203</v>
      </c>
      <c r="H222" s="2">
        <v>50</v>
      </c>
      <c r="I222" t="s">
        <v>126</v>
      </c>
      <c r="J222">
        <v>675</v>
      </c>
      <c r="K222">
        <v>770</v>
      </c>
      <c r="L222">
        <v>722.5</v>
      </c>
      <c r="M222">
        <v>47.5</v>
      </c>
      <c r="N222">
        <v>95</v>
      </c>
      <c r="O222">
        <v>755</v>
      </c>
      <c r="P222">
        <v>0.68421052631578949</v>
      </c>
      <c r="Q222" t="s">
        <v>831</v>
      </c>
      <c r="R222" t="s">
        <v>325</v>
      </c>
      <c r="S222">
        <v>1</v>
      </c>
    </row>
    <row r="223" spans="1:19" x14ac:dyDescent="0.25">
      <c r="A223" s="5" t="s">
        <v>832</v>
      </c>
      <c r="B223" s="6" t="s">
        <v>33</v>
      </c>
      <c r="C223" s="6">
        <v>715</v>
      </c>
      <c r="D223" s="6">
        <v>839</v>
      </c>
      <c r="E223" s="6">
        <v>816</v>
      </c>
      <c r="F223" t="s">
        <v>332</v>
      </c>
      <c r="G223" s="1">
        <v>44204</v>
      </c>
      <c r="H223" s="2">
        <v>49</v>
      </c>
      <c r="I223" t="s">
        <v>126</v>
      </c>
      <c r="J223">
        <v>715</v>
      </c>
      <c r="K223">
        <v>839</v>
      </c>
      <c r="L223">
        <v>777</v>
      </c>
      <c r="M223">
        <v>62</v>
      </c>
      <c r="N223">
        <v>124</v>
      </c>
      <c r="O223">
        <v>816</v>
      </c>
      <c r="P223">
        <v>0.62903225806451613</v>
      </c>
      <c r="Q223" t="s">
        <v>833</v>
      </c>
      <c r="R223" t="s">
        <v>325</v>
      </c>
      <c r="S223">
        <v>1</v>
      </c>
    </row>
    <row r="224" spans="1:19" x14ac:dyDescent="0.25">
      <c r="A224" s="5" t="s">
        <v>834</v>
      </c>
      <c r="B224" s="6" t="s">
        <v>33</v>
      </c>
      <c r="C224" s="6">
        <v>728</v>
      </c>
      <c r="D224" s="6">
        <v>892</v>
      </c>
      <c r="E224" s="6">
        <v>880</v>
      </c>
      <c r="F224" t="s">
        <v>333</v>
      </c>
      <c r="G224" s="3">
        <v>44207</v>
      </c>
      <c r="H224" s="2">
        <v>46</v>
      </c>
      <c r="I224" t="s">
        <v>126</v>
      </c>
      <c r="J224">
        <v>728</v>
      </c>
      <c r="K224">
        <v>892</v>
      </c>
      <c r="L224">
        <v>810</v>
      </c>
      <c r="M224">
        <v>82</v>
      </c>
      <c r="N224">
        <v>164</v>
      </c>
      <c r="O224">
        <v>880</v>
      </c>
      <c r="P224">
        <v>0.85365853658536583</v>
      </c>
      <c r="Q224" t="s">
        <v>835</v>
      </c>
      <c r="R224" t="s">
        <v>325</v>
      </c>
      <c r="S224">
        <v>1</v>
      </c>
    </row>
    <row r="225" spans="1:19" x14ac:dyDescent="0.25">
      <c r="A225" s="5" t="s">
        <v>836</v>
      </c>
      <c r="B225" s="6" t="s">
        <v>33</v>
      </c>
      <c r="C225" s="6">
        <v>744</v>
      </c>
      <c r="D225" s="6">
        <v>885</v>
      </c>
      <c r="E225" s="6">
        <v>811</v>
      </c>
      <c r="F225" t="s">
        <v>329</v>
      </c>
      <c r="G225" s="1">
        <v>44208</v>
      </c>
      <c r="H225" s="2">
        <v>45</v>
      </c>
      <c r="I225" t="s">
        <v>126</v>
      </c>
      <c r="J225">
        <v>744</v>
      </c>
      <c r="K225">
        <v>885</v>
      </c>
      <c r="L225">
        <v>814.5</v>
      </c>
      <c r="M225">
        <v>70.5</v>
      </c>
      <c r="N225">
        <v>141</v>
      </c>
      <c r="O225">
        <v>811</v>
      </c>
      <c r="P225">
        <v>-4.9645390070921988E-2</v>
      </c>
      <c r="Q225" t="s">
        <v>837</v>
      </c>
      <c r="R225" t="s">
        <v>325</v>
      </c>
      <c r="S225">
        <v>1</v>
      </c>
    </row>
    <row r="226" spans="1:19" x14ac:dyDescent="0.25">
      <c r="A226" s="5" t="s">
        <v>838</v>
      </c>
      <c r="B226" s="6" t="s">
        <v>33</v>
      </c>
      <c r="C226" s="6">
        <v>776</v>
      </c>
      <c r="D226" s="6">
        <v>901</v>
      </c>
      <c r="E226" s="6">
        <v>849</v>
      </c>
      <c r="F226" t="s">
        <v>330</v>
      </c>
      <c r="G226" s="3">
        <v>44209</v>
      </c>
      <c r="H226" s="2">
        <v>44</v>
      </c>
      <c r="I226" t="s">
        <v>126</v>
      </c>
      <c r="J226">
        <v>776</v>
      </c>
      <c r="K226">
        <v>901</v>
      </c>
      <c r="L226">
        <v>838.5</v>
      </c>
      <c r="M226">
        <v>62.5</v>
      </c>
      <c r="N226">
        <v>125</v>
      </c>
      <c r="O226">
        <v>849</v>
      </c>
      <c r="P226">
        <v>0.16800000000000001</v>
      </c>
      <c r="Q226" t="s">
        <v>839</v>
      </c>
      <c r="R226" t="s">
        <v>325</v>
      </c>
      <c r="S226">
        <v>1</v>
      </c>
    </row>
    <row r="227" spans="1:19" x14ac:dyDescent="0.25">
      <c r="A227" s="5" t="s">
        <v>840</v>
      </c>
      <c r="B227" s="6" t="s">
        <v>33</v>
      </c>
      <c r="C227" s="6">
        <v>783</v>
      </c>
      <c r="D227" s="6">
        <v>913</v>
      </c>
      <c r="E227" s="6">
        <v>854</v>
      </c>
      <c r="F227" t="s">
        <v>331</v>
      </c>
      <c r="G227" s="1">
        <v>44210</v>
      </c>
      <c r="H227" s="2">
        <v>43</v>
      </c>
      <c r="I227" t="s">
        <v>126</v>
      </c>
      <c r="J227">
        <v>783</v>
      </c>
      <c r="K227">
        <v>913</v>
      </c>
      <c r="L227">
        <v>848</v>
      </c>
      <c r="M227">
        <v>65</v>
      </c>
      <c r="N227">
        <v>130</v>
      </c>
      <c r="O227">
        <v>854</v>
      </c>
      <c r="P227">
        <v>9.2307692307692313E-2</v>
      </c>
      <c r="Q227" t="s">
        <v>841</v>
      </c>
      <c r="R227" t="s">
        <v>325</v>
      </c>
      <c r="S227">
        <v>1</v>
      </c>
    </row>
    <row r="228" spans="1:19" x14ac:dyDescent="0.25">
      <c r="A228" s="5" t="s">
        <v>842</v>
      </c>
      <c r="B228" s="6" t="s">
        <v>33</v>
      </c>
      <c r="C228" s="6">
        <v>788</v>
      </c>
      <c r="D228" s="6">
        <v>915</v>
      </c>
      <c r="E228" s="6">
        <v>845</v>
      </c>
      <c r="F228" t="s">
        <v>332</v>
      </c>
      <c r="G228" s="3">
        <v>44211</v>
      </c>
      <c r="H228" s="2">
        <v>42</v>
      </c>
      <c r="I228" t="s">
        <v>126</v>
      </c>
      <c r="J228">
        <v>788</v>
      </c>
      <c r="K228">
        <v>915</v>
      </c>
      <c r="L228">
        <v>851.5</v>
      </c>
      <c r="M228">
        <v>63.5</v>
      </c>
      <c r="N228">
        <v>127</v>
      </c>
      <c r="O228">
        <v>845</v>
      </c>
      <c r="P228">
        <v>-0.10236220472440945</v>
      </c>
      <c r="Q228" t="s">
        <v>843</v>
      </c>
      <c r="R228" t="s">
        <v>325</v>
      </c>
      <c r="S228">
        <v>1</v>
      </c>
    </row>
    <row r="229" spans="1:19" x14ac:dyDescent="0.25">
      <c r="A229" s="5" t="s">
        <v>844</v>
      </c>
      <c r="B229" s="6" t="s">
        <v>33</v>
      </c>
      <c r="C229" s="6">
        <v>741</v>
      </c>
      <c r="D229" s="6">
        <v>910</v>
      </c>
      <c r="E229" s="6">
        <v>826</v>
      </c>
      <c r="F229" t="s">
        <v>329</v>
      </c>
      <c r="G229" s="1">
        <v>44215</v>
      </c>
      <c r="H229" s="2">
        <v>38</v>
      </c>
      <c r="I229" t="s">
        <v>126</v>
      </c>
      <c r="J229">
        <v>741</v>
      </c>
      <c r="K229">
        <v>910</v>
      </c>
      <c r="L229">
        <v>825.5</v>
      </c>
      <c r="M229">
        <v>84.5</v>
      </c>
      <c r="N229">
        <v>169</v>
      </c>
      <c r="O229">
        <v>826</v>
      </c>
      <c r="P229">
        <v>5.9171597633136093E-3</v>
      </c>
      <c r="Q229" t="s">
        <v>845</v>
      </c>
      <c r="R229" t="s">
        <v>325</v>
      </c>
      <c r="S229">
        <v>1</v>
      </c>
    </row>
    <row r="230" spans="1:19" x14ac:dyDescent="0.25">
      <c r="A230" s="5" t="s">
        <v>846</v>
      </c>
      <c r="B230" s="6" t="s">
        <v>33</v>
      </c>
      <c r="C230" s="6">
        <v>765</v>
      </c>
      <c r="D230" s="6">
        <v>901</v>
      </c>
      <c r="E230" s="6">
        <v>844</v>
      </c>
      <c r="F230" t="s">
        <v>330</v>
      </c>
      <c r="G230" s="3">
        <v>44216</v>
      </c>
      <c r="H230" s="2">
        <v>37</v>
      </c>
      <c r="I230" t="s">
        <v>126</v>
      </c>
      <c r="J230">
        <v>765</v>
      </c>
      <c r="K230">
        <v>901</v>
      </c>
      <c r="L230">
        <v>833</v>
      </c>
      <c r="M230">
        <v>68</v>
      </c>
      <c r="N230">
        <v>136</v>
      </c>
      <c r="O230">
        <v>844</v>
      </c>
      <c r="P230">
        <v>0.16176470588235295</v>
      </c>
      <c r="Q230" t="s">
        <v>847</v>
      </c>
      <c r="R230" t="s">
        <v>325</v>
      </c>
      <c r="S230">
        <v>1</v>
      </c>
    </row>
    <row r="231" spans="1:19" x14ac:dyDescent="0.25">
      <c r="A231" s="5" t="s">
        <v>848</v>
      </c>
      <c r="B231" s="6" t="s">
        <v>33</v>
      </c>
      <c r="C231" s="6">
        <v>795</v>
      </c>
      <c r="D231" s="6">
        <v>892</v>
      </c>
      <c r="E231" s="6">
        <v>850</v>
      </c>
      <c r="F231" t="s">
        <v>331</v>
      </c>
      <c r="G231" s="1">
        <v>44217</v>
      </c>
      <c r="H231" s="2">
        <v>36</v>
      </c>
      <c r="I231" t="s">
        <v>126</v>
      </c>
      <c r="J231">
        <v>795</v>
      </c>
      <c r="K231">
        <v>892</v>
      </c>
      <c r="L231">
        <v>843.5</v>
      </c>
      <c r="M231">
        <v>48.5</v>
      </c>
      <c r="N231">
        <v>97</v>
      </c>
      <c r="O231">
        <v>850</v>
      </c>
      <c r="P231">
        <v>0.13402061855670103</v>
      </c>
      <c r="Q231" t="s">
        <v>849</v>
      </c>
      <c r="R231" t="s">
        <v>325</v>
      </c>
      <c r="S231">
        <v>1</v>
      </c>
    </row>
    <row r="232" spans="1:19" x14ac:dyDescent="0.25">
      <c r="A232" s="5" t="s">
        <v>850</v>
      </c>
      <c r="B232" s="6" t="s">
        <v>33</v>
      </c>
      <c r="C232" s="6">
        <v>798</v>
      </c>
      <c r="D232" s="6">
        <v>890</v>
      </c>
      <c r="E232" s="6">
        <v>844</v>
      </c>
      <c r="F232" t="s">
        <v>332</v>
      </c>
      <c r="G232" s="3">
        <v>44218</v>
      </c>
      <c r="H232" s="2">
        <v>35</v>
      </c>
      <c r="I232" t="s">
        <v>126</v>
      </c>
      <c r="J232">
        <v>798</v>
      </c>
      <c r="K232">
        <v>890</v>
      </c>
      <c r="L232">
        <v>844</v>
      </c>
      <c r="M232">
        <v>46</v>
      </c>
      <c r="N232">
        <v>92</v>
      </c>
      <c r="O232">
        <v>844</v>
      </c>
      <c r="P232">
        <v>0</v>
      </c>
      <c r="Q232" t="s">
        <v>389</v>
      </c>
      <c r="R232" t="s">
        <v>325</v>
      </c>
      <c r="S232">
        <v>1</v>
      </c>
    </row>
    <row r="233" spans="1:19" x14ac:dyDescent="0.25">
      <c r="A233" s="5" t="s">
        <v>851</v>
      </c>
      <c r="B233" s="6" t="s">
        <v>33</v>
      </c>
      <c r="C233" s="6">
        <v>805</v>
      </c>
      <c r="D233" s="6">
        <v>887</v>
      </c>
      <c r="E233" s="6">
        <v>846</v>
      </c>
      <c r="F233" t="s">
        <v>333</v>
      </c>
      <c r="G233" s="1">
        <v>44221</v>
      </c>
      <c r="H233" s="2">
        <v>32</v>
      </c>
      <c r="I233" t="s">
        <v>126</v>
      </c>
      <c r="J233">
        <v>805</v>
      </c>
      <c r="K233">
        <v>887</v>
      </c>
      <c r="L233">
        <v>846</v>
      </c>
      <c r="M233">
        <v>41</v>
      </c>
      <c r="N233">
        <v>82</v>
      </c>
      <c r="O233">
        <v>846</v>
      </c>
      <c r="P233">
        <v>0</v>
      </c>
      <c r="Q233" t="s">
        <v>852</v>
      </c>
      <c r="R233" t="s">
        <v>325</v>
      </c>
      <c r="S233">
        <v>1</v>
      </c>
    </row>
    <row r="234" spans="1:19" x14ac:dyDescent="0.25">
      <c r="A234" s="5" t="s">
        <v>853</v>
      </c>
      <c r="B234" s="6" t="s">
        <v>33</v>
      </c>
      <c r="C234" s="6">
        <v>821</v>
      </c>
      <c r="D234" s="6">
        <v>886</v>
      </c>
      <c r="E234" s="6">
        <v>880</v>
      </c>
      <c r="F234" t="s">
        <v>329</v>
      </c>
      <c r="G234" s="3">
        <v>44222</v>
      </c>
      <c r="H234" s="2">
        <v>31</v>
      </c>
      <c r="I234" t="s">
        <v>126</v>
      </c>
      <c r="J234">
        <v>821</v>
      </c>
      <c r="K234">
        <v>886</v>
      </c>
      <c r="L234">
        <v>853.5</v>
      </c>
      <c r="M234">
        <v>32.5</v>
      </c>
      <c r="N234">
        <v>65</v>
      </c>
      <c r="O234">
        <v>880</v>
      </c>
      <c r="P234">
        <v>0.81538461538461537</v>
      </c>
      <c r="Q234" t="s">
        <v>854</v>
      </c>
      <c r="R234" t="s">
        <v>325</v>
      </c>
      <c r="S234">
        <v>1</v>
      </c>
    </row>
    <row r="235" spans="1:19" x14ac:dyDescent="0.25">
      <c r="A235" s="5" t="s">
        <v>855</v>
      </c>
      <c r="B235" s="6" t="s">
        <v>33</v>
      </c>
      <c r="C235" s="6">
        <v>816</v>
      </c>
      <c r="D235" s="6">
        <v>897</v>
      </c>
      <c r="E235" s="6">
        <v>883</v>
      </c>
      <c r="F235" t="s">
        <v>330</v>
      </c>
      <c r="G235" s="1">
        <v>44223</v>
      </c>
      <c r="H235" s="2">
        <v>30</v>
      </c>
      <c r="I235" t="s">
        <v>126</v>
      </c>
      <c r="J235">
        <v>816</v>
      </c>
      <c r="K235">
        <v>897</v>
      </c>
      <c r="L235">
        <v>856.5</v>
      </c>
      <c r="M235">
        <v>40.5</v>
      </c>
      <c r="N235">
        <v>81</v>
      </c>
      <c r="O235">
        <v>883</v>
      </c>
      <c r="P235">
        <v>0.65432098765432101</v>
      </c>
      <c r="Q235" t="s">
        <v>856</v>
      </c>
      <c r="R235" t="s">
        <v>325</v>
      </c>
      <c r="S235">
        <v>1</v>
      </c>
    </row>
    <row r="236" spans="1:19" x14ac:dyDescent="0.25">
      <c r="A236" s="5" t="s">
        <v>857</v>
      </c>
      <c r="B236" s="6" t="s">
        <v>33</v>
      </c>
      <c r="C236" s="6">
        <v>808</v>
      </c>
      <c r="D236" s="6">
        <v>890</v>
      </c>
      <c r="E236" s="6">
        <v>864</v>
      </c>
      <c r="F236" t="s">
        <v>331</v>
      </c>
      <c r="G236" s="3">
        <v>44224</v>
      </c>
      <c r="H236" s="2">
        <v>29</v>
      </c>
      <c r="I236" t="s">
        <v>126</v>
      </c>
      <c r="J236">
        <v>808</v>
      </c>
      <c r="K236">
        <v>890</v>
      </c>
      <c r="L236">
        <v>849</v>
      </c>
      <c r="M236">
        <v>41</v>
      </c>
      <c r="N236">
        <v>82</v>
      </c>
      <c r="O236">
        <v>864</v>
      </c>
      <c r="P236">
        <v>0.36585365853658536</v>
      </c>
      <c r="Q236" t="s">
        <v>858</v>
      </c>
      <c r="R236" t="s">
        <v>325</v>
      </c>
      <c r="S236">
        <v>1</v>
      </c>
    </row>
    <row r="237" spans="1:19" x14ac:dyDescent="0.25">
      <c r="A237" s="5" t="s">
        <v>859</v>
      </c>
      <c r="B237" s="6" t="s">
        <v>33</v>
      </c>
      <c r="C237" s="6">
        <v>810</v>
      </c>
      <c r="D237" s="6">
        <v>891</v>
      </c>
      <c r="E237" s="6">
        <v>835</v>
      </c>
      <c r="F237" t="s">
        <v>332</v>
      </c>
      <c r="G237" s="1">
        <v>44225</v>
      </c>
      <c r="H237" s="2">
        <v>28</v>
      </c>
      <c r="I237" t="s">
        <v>126</v>
      </c>
      <c r="J237">
        <v>810</v>
      </c>
      <c r="K237">
        <v>891</v>
      </c>
      <c r="L237">
        <v>850.5</v>
      </c>
      <c r="M237">
        <v>40.5</v>
      </c>
      <c r="N237">
        <v>81</v>
      </c>
      <c r="O237">
        <v>835</v>
      </c>
      <c r="P237">
        <v>-0.38271604938271603</v>
      </c>
      <c r="Q237" t="s">
        <v>860</v>
      </c>
      <c r="R237" t="s">
        <v>325</v>
      </c>
      <c r="S237">
        <v>1</v>
      </c>
    </row>
    <row r="238" spans="1:19" x14ac:dyDescent="0.25">
      <c r="A238" s="5" t="s">
        <v>861</v>
      </c>
      <c r="B238" s="6" t="s">
        <v>33</v>
      </c>
      <c r="C238" s="6">
        <v>776</v>
      </c>
      <c r="D238" s="6">
        <v>901</v>
      </c>
      <c r="E238" s="6">
        <v>793</v>
      </c>
      <c r="F238" t="s">
        <v>333</v>
      </c>
      <c r="G238" s="3">
        <v>44228</v>
      </c>
      <c r="H238" s="2">
        <v>25</v>
      </c>
      <c r="I238" t="s">
        <v>126</v>
      </c>
      <c r="J238">
        <v>776</v>
      </c>
      <c r="K238">
        <v>901</v>
      </c>
      <c r="L238">
        <v>838.5</v>
      </c>
      <c r="M238">
        <v>62.5</v>
      </c>
      <c r="N238">
        <v>125</v>
      </c>
      <c r="O238">
        <v>793</v>
      </c>
      <c r="P238">
        <v>-0.72799999999999998</v>
      </c>
      <c r="Q238" t="s">
        <v>862</v>
      </c>
      <c r="R238" t="s">
        <v>325</v>
      </c>
      <c r="S238">
        <v>1</v>
      </c>
    </row>
    <row r="239" spans="1:19" x14ac:dyDescent="0.25">
      <c r="A239" s="5" t="s">
        <v>863</v>
      </c>
      <c r="B239" s="6" t="s">
        <v>33</v>
      </c>
      <c r="C239" s="6">
        <v>788</v>
      </c>
      <c r="D239" s="6">
        <v>901</v>
      </c>
      <c r="E239" s="6">
        <v>839</v>
      </c>
      <c r="F239" t="s">
        <v>329</v>
      </c>
      <c r="G239" s="1">
        <v>44229</v>
      </c>
      <c r="H239" s="2">
        <v>24</v>
      </c>
      <c r="I239" t="s">
        <v>126</v>
      </c>
      <c r="J239">
        <v>788</v>
      </c>
      <c r="K239">
        <v>901</v>
      </c>
      <c r="L239">
        <v>844.5</v>
      </c>
      <c r="M239">
        <v>56.5</v>
      </c>
      <c r="N239">
        <v>113</v>
      </c>
      <c r="O239">
        <v>839</v>
      </c>
      <c r="P239">
        <v>-9.7345132743362831E-2</v>
      </c>
      <c r="Q239" t="s">
        <v>864</v>
      </c>
      <c r="R239" t="s">
        <v>325</v>
      </c>
      <c r="S239">
        <v>1</v>
      </c>
    </row>
    <row r="240" spans="1:19" x14ac:dyDescent="0.25">
      <c r="A240" s="5" t="s">
        <v>865</v>
      </c>
      <c r="B240" s="6" t="s">
        <v>33</v>
      </c>
      <c r="C240" s="6">
        <v>794</v>
      </c>
      <c r="D240" s="6">
        <v>915</v>
      </c>
      <c r="E240" s="6">
        <v>872</v>
      </c>
      <c r="F240" t="s">
        <v>330</v>
      </c>
      <c r="G240" s="3">
        <v>44230</v>
      </c>
      <c r="H240" s="2">
        <v>23</v>
      </c>
      <c r="I240" t="s">
        <v>126</v>
      </c>
      <c r="J240">
        <v>794</v>
      </c>
      <c r="K240">
        <v>915</v>
      </c>
      <c r="L240">
        <v>854.5</v>
      </c>
      <c r="M240">
        <v>60.5</v>
      </c>
      <c r="N240">
        <v>121</v>
      </c>
      <c r="O240">
        <v>872</v>
      </c>
      <c r="P240">
        <v>0.28925619834710742</v>
      </c>
      <c r="Q240" t="s">
        <v>866</v>
      </c>
      <c r="R240" t="s">
        <v>325</v>
      </c>
      <c r="S240">
        <v>1</v>
      </c>
    </row>
    <row r="241" spans="1:19" x14ac:dyDescent="0.25">
      <c r="A241" s="5" t="s">
        <v>867</v>
      </c>
      <c r="B241" s="6" t="s">
        <v>33</v>
      </c>
      <c r="C241" s="6">
        <v>795</v>
      </c>
      <c r="D241" s="6">
        <v>910</v>
      </c>
      <c r="E241" s="6">
        <v>854</v>
      </c>
      <c r="F241" t="s">
        <v>331</v>
      </c>
      <c r="G241" s="1">
        <v>44231</v>
      </c>
      <c r="H241" s="2">
        <v>22</v>
      </c>
      <c r="I241" t="s">
        <v>126</v>
      </c>
      <c r="J241">
        <v>795</v>
      </c>
      <c r="K241">
        <v>910</v>
      </c>
      <c r="L241">
        <v>852.5</v>
      </c>
      <c r="M241">
        <v>57.5</v>
      </c>
      <c r="N241">
        <v>115</v>
      </c>
      <c r="O241">
        <v>854</v>
      </c>
      <c r="P241">
        <v>2.6086956521739129E-2</v>
      </c>
      <c r="Q241" t="s">
        <v>868</v>
      </c>
      <c r="R241" t="s">
        <v>325</v>
      </c>
      <c r="S241">
        <v>1</v>
      </c>
    </row>
    <row r="242" spans="1:19" x14ac:dyDescent="0.25">
      <c r="A242" s="5" t="s">
        <v>869</v>
      </c>
      <c r="B242" s="6" t="s">
        <v>33</v>
      </c>
      <c r="C242" s="6">
        <v>797</v>
      </c>
      <c r="D242" s="6">
        <v>909</v>
      </c>
      <c r="E242" s="6">
        <v>849</v>
      </c>
      <c r="F242" t="s">
        <v>332</v>
      </c>
      <c r="G242" s="3">
        <v>44232</v>
      </c>
      <c r="H242" s="2">
        <v>21</v>
      </c>
      <c r="I242" t="s">
        <v>126</v>
      </c>
      <c r="J242">
        <v>797</v>
      </c>
      <c r="K242">
        <v>909</v>
      </c>
      <c r="L242">
        <v>853</v>
      </c>
      <c r="M242">
        <v>56</v>
      </c>
      <c r="N242">
        <v>112</v>
      </c>
      <c r="O242">
        <v>849</v>
      </c>
      <c r="P242">
        <v>-7.1428571428571425E-2</v>
      </c>
      <c r="Q242" t="s">
        <v>870</v>
      </c>
      <c r="R242" t="s">
        <v>325</v>
      </c>
      <c r="S242">
        <v>1</v>
      </c>
    </row>
    <row r="243" spans="1:19" x14ac:dyDescent="0.25">
      <c r="A243" s="5" t="s">
        <v>871</v>
      </c>
      <c r="B243" s="6" t="s">
        <v>33</v>
      </c>
      <c r="C243" s="6">
        <v>799</v>
      </c>
      <c r="D243" s="6">
        <v>899</v>
      </c>
      <c r="E243" s="6">
        <v>852</v>
      </c>
      <c r="F243" t="s">
        <v>333</v>
      </c>
      <c r="G243" s="1">
        <v>44235</v>
      </c>
      <c r="H243" s="2">
        <v>18</v>
      </c>
      <c r="I243" t="s">
        <v>126</v>
      </c>
      <c r="J243">
        <v>799</v>
      </c>
      <c r="K243">
        <v>899</v>
      </c>
      <c r="L243">
        <v>849</v>
      </c>
      <c r="M243">
        <v>50</v>
      </c>
      <c r="N243">
        <v>100</v>
      </c>
      <c r="O243">
        <v>852</v>
      </c>
      <c r="P243">
        <v>0.06</v>
      </c>
      <c r="Q243" t="s">
        <v>872</v>
      </c>
      <c r="R243" t="s">
        <v>325</v>
      </c>
      <c r="S243">
        <v>1</v>
      </c>
    </row>
    <row r="244" spans="1:19" x14ac:dyDescent="0.25">
      <c r="A244" s="5" t="s">
        <v>873</v>
      </c>
      <c r="B244" s="6" t="s">
        <v>33</v>
      </c>
      <c r="C244" s="6">
        <v>799</v>
      </c>
      <c r="D244" s="6">
        <v>895</v>
      </c>
      <c r="E244" s="6">
        <v>863</v>
      </c>
      <c r="F244" t="s">
        <v>329</v>
      </c>
      <c r="G244" s="3">
        <v>44236</v>
      </c>
      <c r="H244" s="2">
        <v>17</v>
      </c>
      <c r="I244" t="s">
        <v>126</v>
      </c>
      <c r="J244">
        <v>799</v>
      </c>
      <c r="K244">
        <v>895</v>
      </c>
      <c r="L244">
        <v>847</v>
      </c>
      <c r="M244">
        <v>48</v>
      </c>
      <c r="N244">
        <v>96</v>
      </c>
      <c r="O244">
        <v>863</v>
      </c>
      <c r="P244">
        <v>0.33333333333333331</v>
      </c>
      <c r="Q244" t="s">
        <v>874</v>
      </c>
      <c r="R244" t="s">
        <v>325</v>
      </c>
      <c r="S244">
        <v>1</v>
      </c>
    </row>
    <row r="245" spans="1:19" x14ac:dyDescent="0.25">
      <c r="A245" s="5" t="s">
        <v>875</v>
      </c>
      <c r="B245" s="6" t="s">
        <v>33</v>
      </c>
      <c r="C245" s="6">
        <v>799</v>
      </c>
      <c r="D245" s="6">
        <v>891</v>
      </c>
      <c r="E245" s="6">
        <v>849</v>
      </c>
      <c r="F245" t="s">
        <v>330</v>
      </c>
      <c r="G245" s="1">
        <v>44237</v>
      </c>
      <c r="H245" s="2">
        <v>16</v>
      </c>
      <c r="I245" t="s">
        <v>126</v>
      </c>
      <c r="J245">
        <v>799</v>
      </c>
      <c r="K245">
        <v>891</v>
      </c>
      <c r="L245">
        <v>845</v>
      </c>
      <c r="M245">
        <v>46</v>
      </c>
      <c r="N245">
        <v>92</v>
      </c>
      <c r="O245">
        <v>849</v>
      </c>
      <c r="P245">
        <v>8.6956521739130432E-2</v>
      </c>
      <c r="Q245" t="s">
        <v>876</v>
      </c>
      <c r="R245" t="s">
        <v>325</v>
      </c>
      <c r="S245">
        <v>1</v>
      </c>
    </row>
    <row r="246" spans="1:19" x14ac:dyDescent="0.25">
      <c r="A246" s="5" t="s">
        <v>877</v>
      </c>
      <c r="B246" s="6" t="s">
        <v>33</v>
      </c>
      <c r="C246" s="6">
        <v>790</v>
      </c>
      <c r="D246" s="6">
        <v>893</v>
      </c>
      <c r="E246" s="6">
        <v>804</v>
      </c>
      <c r="F246" t="s">
        <v>331</v>
      </c>
      <c r="G246" s="3">
        <v>44238</v>
      </c>
      <c r="H246" s="2">
        <v>15</v>
      </c>
      <c r="I246" t="s">
        <v>126</v>
      </c>
      <c r="J246">
        <v>790</v>
      </c>
      <c r="K246">
        <v>893</v>
      </c>
      <c r="L246">
        <v>841.5</v>
      </c>
      <c r="M246">
        <v>51.5</v>
      </c>
      <c r="N246">
        <v>103</v>
      </c>
      <c r="O246">
        <v>804</v>
      </c>
      <c r="P246">
        <v>-0.72815533980582525</v>
      </c>
      <c r="Q246" t="s">
        <v>878</v>
      </c>
      <c r="R246" t="s">
        <v>325</v>
      </c>
      <c r="S246">
        <v>1</v>
      </c>
    </row>
    <row r="247" spans="1:19" x14ac:dyDescent="0.25">
      <c r="A247" s="5" t="s">
        <v>879</v>
      </c>
      <c r="B247" s="6" t="s">
        <v>33</v>
      </c>
      <c r="C247" s="6">
        <v>798</v>
      </c>
      <c r="D247" s="6">
        <v>890</v>
      </c>
      <c r="E247" s="6">
        <v>811</v>
      </c>
      <c r="F247" t="s">
        <v>332</v>
      </c>
      <c r="G247" s="1">
        <v>44239</v>
      </c>
      <c r="H247" s="2">
        <v>14</v>
      </c>
      <c r="I247" t="s">
        <v>126</v>
      </c>
      <c r="J247">
        <v>798</v>
      </c>
      <c r="K247">
        <v>890</v>
      </c>
      <c r="L247">
        <v>844</v>
      </c>
      <c r="M247">
        <v>46</v>
      </c>
      <c r="N247">
        <v>92</v>
      </c>
      <c r="O247">
        <v>811</v>
      </c>
      <c r="P247">
        <v>-0.71739130434782605</v>
      </c>
      <c r="Q247" t="s">
        <v>880</v>
      </c>
      <c r="R247" t="s">
        <v>325</v>
      </c>
      <c r="S247">
        <v>1</v>
      </c>
    </row>
    <row r="248" spans="1:19" x14ac:dyDescent="0.25">
      <c r="A248" s="5" t="s">
        <v>881</v>
      </c>
      <c r="B248" s="6" t="s">
        <v>33</v>
      </c>
      <c r="C248" s="6">
        <v>793</v>
      </c>
      <c r="D248" s="6">
        <v>889</v>
      </c>
      <c r="E248" s="6">
        <v>816</v>
      </c>
      <c r="F248" t="s">
        <v>329</v>
      </c>
      <c r="G248" s="3">
        <v>44243</v>
      </c>
      <c r="H248" s="2">
        <v>10</v>
      </c>
      <c r="I248" t="s">
        <v>126</v>
      </c>
      <c r="J248">
        <v>793</v>
      </c>
      <c r="K248">
        <v>889</v>
      </c>
      <c r="L248">
        <v>841</v>
      </c>
      <c r="M248">
        <v>48</v>
      </c>
      <c r="N248">
        <v>96</v>
      </c>
      <c r="O248">
        <v>816</v>
      </c>
      <c r="P248">
        <v>-0.52083333333333337</v>
      </c>
      <c r="Q248" t="s">
        <v>882</v>
      </c>
      <c r="R248" t="s">
        <v>325</v>
      </c>
      <c r="S248">
        <v>1</v>
      </c>
    </row>
    <row r="249" spans="1:19" x14ac:dyDescent="0.25">
      <c r="A249" s="5" t="s">
        <v>883</v>
      </c>
      <c r="B249" s="6" t="s">
        <v>33</v>
      </c>
      <c r="C249" s="6">
        <v>783</v>
      </c>
      <c r="D249" s="6">
        <v>884</v>
      </c>
      <c r="E249" s="6">
        <v>796</v>
      </c>
      <c r="F249" t="s">
        <v>330</v>
      </c>
      <c r="G249" s="1">
        <v>44244</v>
      </c>
      <c r="H249" s="2">
        <v>9</v>
      </c>
      <c r="I249" t="s">
        <v>126</v>
      </c>
      <c r="J249">
        <v>783</v>
      </c>
      <c r="K249">
        <v>884</v>
      </c>
      <c r="L249">
        <v>833.5</v>
      </c>
      <c r="M249">
        <v>50.5</v>
      </c>
      <c r="N249">
        <v>101</v>
      </c>
      <c r="O249">
        <v>796</v>
      </c>
      <c r="P249">
        <v>-0.74257425742574257</v>
      </c>
      <c r="Q249" t="s">
        <v>884</v>
      </c>
      <c r="R249" t="s">
        <v>325</v>
      </c>
      <c r="S249">
        <v>1</v>
      </c>
    </row>
    <row r="250" spans="1:19" x14ac:dyDescent="0.25">
      <c r="A250" s="5" t="s">
        <v>885</v>
      </c>
      <c r="B250" s="6" t="s">
        <v>33</v>
      </c>
      <c r="C250" s="6">
        <v>768</v>
      </c>
      <c r="D250" s="6">
        <v>880</v>
      </c>
      <c r="E250" s="6">
        <v>798</v>
      </c>
      <c r="F250" t="s">
        <v>331</v>
      </c>
      <c r="G250" s="14">
        <v>44245</v>
      </c>
      <c r="H250" s="2">
        <v>8</v>
      </c>
      <c r="I250" t="s">
        <v>126</v>
      </c>
      <c r="J250">
        <v>768</v>
      </c>
      <c r="K250">
        <v>880</v>
      </c>
      <c r="L250">
        <v>824</v>
      </c>
      <c r="M250">
        <v>56</v>
      </c>
      <c r="N250">
        <v>112</v>
      </c>
      <c r="O250">
        <v>798</v>
      </c>
      <c r="P250">
        <v>-0.4642857142857143</v>
      </c>
      <c r="Q250" t="s">
        <v>886</v>
      </c>
      <c r="R250" t="s">
        <v>325</v>
      </c>
      <c r="S250">
        <v>1</v>
      </c>
    </row>
    <row r="251" spans="1:19" x14ac:dyDescent="0.25">
      <c r="A251" s="5" t="s">
        <v>887</v>
      </c>
      <c r="B251" s="6" t="s">
        <v>33</v>
      </c>
      <c r="C251" s="6">
        <v>766</v>
      </c>
      <c r="D251" s="6">
        <v>873</v>
      </c>
      <c r="E251" s="6">
        <v>787</v>
      </c>
      <c r="F251" t="s">
        <v>332</v>
      </c>
      <c r="G251" s="14">
        <v>44246</v>
      </c>
      <c r="H251" s="2">
        <v>7</v>
      </c>
      <c r="I251" t="s">
        <v>126</v>
      </c>
      <c r="J251">
        <v>766</v>
      </c>
      <c r="K251">
        <v>873</v>
      </c>
      <c r="L251">
        <v>819.5</v>
      </c>
      <c r="M251">
        <v>53.5</v>
      </c>
      <c r="N251">
        <v>107</v>
      </c>
      <c r="O251">
        <v>787</v>
      </c>
      <c r="P251">
        <v>-0.60747663551401865</v>
      </c>
      <c r="Q251" t="s">
        <v>888</v>
      </c>
      <c r="R251" t="s">
        <v>325</v>
      </c>
      <c r="S251">
        <v>1</v>
      </c>
    </row>
    <row r="252" spans="1:19" x14ac:dyDescent="0.25">
      <c r="A252" s="5" t="s">
        <v>889</v>
      </c>
      <c r="B252" s="6" t="s">
        <v>33</v>
      </c>
      <c r="C252" s="6">
        <v>749</v>
      </c>
      <c r="D252" s="6">
        <v>865</v>
      </c>
      <c r="E252" s="6">
        <v>781</v>
      </c>
      <c r="F252" t="s">
        <v>333</v>
      </c>
      <c r="G252" s="14">
        <v>44249</v>
      </c>
      <c r="H252" s="2">
        <v>4</v>
      </c>
      <c r="I252" t="s">
        <v>126</v>
      </c>
      <c r="J252">
        <v>749</v>
      </c>
      <c r="K252">
        <v>865</v>
      </c>
      <c r="L252">
        <v>807</v>
      </c>
      <c r="M252">
        <v>58</v>
      </c>
      <c r="N252">
        <v>116</v>
      </c>
      <c r="O252">
        <v>781</v>
      </c>
      <c r="P252">
        <v>-0.44827586206896552</v>
      </c>
      <c r="Q252" t="s">
        <v>890</v>
      </c>
      <c r="R252" t="s">
        <v>325</v>
      </c>
      <c r="S252">
        <v>1</v>
      </c>
    </row>
    <row r="253" spans="1:19" x14ac:dyDescent="0.25">
      <c r="A253" s="5" t="s">
        <v>891</v>
      </c>
      <c r="B253" s="6" t="s">
        <v>83</v>
      </c>
      <c r="C253" s="6">
        <v>656</v>
      </c>
      <c r="D253" s="6">
        <v>828</v>
      </c>
      <c r="E253" s="6">
        <v>714</v>
      </c>
      <c r="F253" t="s">
        <v>329</v>
      </c>
      <c r="G253" s="14">
        <v>44250</v>
      </c>
      <c r="H253" s="2">
        <v>3</v>
      </c>
      <c r="I253" t="s">
        <v>126</v>
      </c>
      <c r="J253">
        <v>656</v>
      </c>
      <c r="K253">
        <v>828</v>
      </c>
      <c r="L253">
        <v>742</v>
      </c>
      <c r="M253">
        <v>86</v>
      </c>
      <c r="N253">
        <v>172</v>
      </c>
      <c r="O253">
        <v>714</v>
      </c>
      <c r="P253">
        <v>-0.32558139534883723</v>
      </c>
      <c r="Q253" t="s">
        <v>892</v>
      </c>
      <c r="R253" t="s">
        <v>155</v>
      </c>
      <c r="S253">
        <v>-1</v>
      </c>
    </row>
    <row r="254" spans="1:19" x14ac:dyDescent="0.25">
      <c r="A254" s="5" t="s">
        <v>893</v>
      </c>
      <c r="B254" s="6" t="s">
        <v>83</v>
      </c>
      <c r="C254" s="6">
        <v>687</v>
      </c>
      <c r="D254" s="6">
        <v>802</v>
      </c>
      <c r="E254" s="6">
        <v>698</v>
      </c>
      <c r="F254" t="s">
        <v>330</v>
      </c>
      <c r="G254" s="14">
        <v>44251</v>
      </c>
      <c r="H254" s="2">
        <v>2</v>
      </c>
      <c r="I254" t="s">
        <v>126</v>
      </c>
      <c r="J254">
        <v>687</v>
      </c>
      <c r="K254">
        <v>802</v>
      </c>
      <c r="L254">
        <v>744.5</v>
      </c>
      <c r="M254">
        <v>57.5</v>
      </c>
      <c r="N254">
        <v>115</v>
      </c>
      <c r="O254">
        <v>698</v>
      </c>
      <c r="P254">
        <v>-0.80869565217391304</v>
      </c>
      <c r="Q254" t="s">
        <v>354</v>
      </c>
      <c r="R254" t="s">
        <v>155</v>
      </c>
      <c r="S254">
        <v>-1</v>
      </c>
    </row>
    <row r="255" spans="1:19" x14ac:dyDescent="0.25">
      <c r="A255" s="5" t="s">
        <v>894</v>
      </c>
      <c r="B255" s="6" t="s">
        <v>83</v>
      </c>
      <c r="C255" s="6">
        <v>686</v>
      </c>
      <c r="D255" s="6">
        <v>798</v>
      </c>
      <c r="E255" s="6">
        <v>742</v>
      </c>
      <c r="F255" t="s">
        <v>331</v>
      </c>
      <c r="G255" s="14">
        <v>44252</v>
      </c>
      <c r="H255" s="2">
        <v>1</v>
      </c>
      <c r="I255" t="s">
        <v>126</v>
      </c>
      <c r="J255">
        <v>686</v>
      </c>
      <c r="K255">
        <v>798</v>
      </c>
      <c r="L255">
        <v>742</v>
      </c>
      <c r="M255">
        <v>56</v>
      </c>
      <c r="N255">
        <v>112</v>
      </c>
      <c r="O255">
        <v>742</v>
      </c>
      <c r="P255">
        <v>0</v>
      </c>
      <c r="Q255" t="s">
        <v>387</v>
      </c>
      <c r="R255" t="s">
        <v>155</v>
      </c>
      <c r="S255">
        <v>-1</v>
      </c>
    </row>
    <row r="256" spans="1:19" x14ac:dyDescent="0.25">
      <c r="A256" s="5"/>
      <c r="B256" s="6"/>
      <c r="C256" s="6"/>
      <c r="D256" s="6"/>
      <c r="E256" s="6"/>
    </row>
    <row r="257" spans="1:8" x14ac:dyDescent="0.25">
      <c r="A257" s="5"/>
      <c r="B257" s="6"/>
      <c r="C257" s="6"/>
      <c r="D257" s="6"/>
      <c r="E257" s="6"/>
      <c r="G257" s="3"/>
      <c r="H257" s="2"/>
    </row>
    <row r="258" spans="1:8" x14ac:dyDescent="0.25">
      <c r="A258" s="5"/>
      <c r="B258" s="6"/>
      <c r="C258" s="6"/>
      <c r="D258" s="6"/>
      <c r="E258" s="6"/>
      <c r="G258" s="1"/>
      <c r="H258" s="2"/>
    </row>
    <row r="259" spans="1:8" x14ac:dyDescent="0.25">
      <c r="A259" s="5"/>
      <c r="B259" s="6"/>
      <c r="C259" s="6"/>
      <c r="D259" s="6"/>
      <c r="E259" s="6"/>
      <c r="G259" s="3"/>
      <c r="H259" s="2"/>
    </row>
    <row r="260" spans="1:8" x14ac:dyDescent="0.25">
      <c r="A260" s="5"/>
      <c r="B260" s="6"/>
      <c r="C260" s="6"/>
      <c r="D260" s="6"/>
      <c r="E260" s="6"/>
      <c r="G260" s="1"/>
      <c r="H260" s="2"/>
    </row>
    <row r="261" spans="1:8" x14ac:dyDescent="0.25">
      <c r="A261" s="5"/>
      <c r="B261" s="6"/>
      <c r="C261" s="6"/>
      <c r="D261" s="6"/>
      <c r="E261" s="6"/>
      <c r="G261" s="3"/>
      <c r="H261" s="2"/>
    </row>
    <row r="262" spans="1:8" x14ac:dyDescent="0.25">
      <c r="A262" s="5"/>
      <c r="B262" s="6"/>
      <c r="C262" s="6"/>
      <c r="D262" s="6"/>
      <c r="E262" s="6"/>
      <c r="G262" s="1"/>
      <c r="H262" s="2"/>
    </row>
    <row r="263" spans="1:8" x14ac:dyDescent="0.25">
      <c r="A263" s="5"/>
      <c r="B263" s="6"/>
      <c r="C263" s="6"/>
      <c r="D263" s="6"/>
      <c r="E263" s="6"/>
      <c r="G263" s="3"/>
      <c r="H263" s="2"/>
    </row>
    <row r="264" spans="1:8" x14ac:dyDescent="0.25">
      <c r="A264" s="5"/>
      <c r="B264" s="6"/>
      <c r="C264" s="6"/>
      <c r="D264" s="6"/>
      <c r="E264" s="6"/>
      <c r="G264" s="1"/>
      <c r="H264" s="2"/>
    </row>
    <row r="265" spans="1:8" x14ac:dyDescent="0.25">
      <c r="A265" s="5"/>
      <c r="B265" s="6"/>
      <c r="C265" s="6"/>
      <c r="D265" s="6"/>
      <c r="E265" s="6"/>
      <c r="G265" s="3"/>
      <c r="H265" s="2"/>
    </row>
    <row r="266" spans="1:8" x14ac:dyDescent="0.25">
      <c r="A266" s="5"/>
      <c r="B266" s="6"/>
      <c r="C266" s="6"/>
      <c r="D266" s="6"/>
      <c r="E266" s="6"/>
      <c r="G266" s="1"/>
      <c r="H266" s="2"/>
    </row>
    <row r="267" spans="1:8" x14ac:dyDescent="0.25">
      <c r="A267" s="5"/>
      <c r="B267" s="6"/>
      <c r="C267" s="6"/>
      <c r="D267" s="6"/>
      <c r="E267" s="6"/>
      <c r="G267" s="3"/>
      <c r="H267" s="2"/>
    </row>
    <row r="268" spans="1:8" x14ac:dyDescent="0.25">
      <c r="A268" s="5"/>
      <c r="B268" s="6"/>
      <c r="C268" s="6"/>
      <c r="D268" s="6"/>
      <c r="E268" s="6"/>
      <c r="G268" s="1"/>
      <c r="H268" s="2"/>
    </row>
    <row r="269" spans="1:8" x14ac:dyDescent="0.25">
      <c r="A269" s="5"/>
      <c r="B269" s="6"/>
      <c r="C269" s="6"/>
      <c r="D269" s="6"/>
      <c r="E269" s="6"/>
      <c r="G269" s="3"/>
      <c r="H269" s="2"/>
    </row>
    <row r="270" spans="1:8" x14ac:dyDescent="0.25">
      <c r="A270" s="5"/>
      <c r="B270" s="6"/>
      <c r="C270" s="6"/>
      <c r="D270" s="6"/>
      <c r="E270" s="6"/>
      <c r="G270" s="1"/>
      <c r="H270" s="2"/>
    </row>
    <row r="271" spans="1:8" x14ac:dyDescent="0.25">
      <c r="A271" s="5"/>
      <c r="B271" s="6"/>
      <c r="C271" s="6"/>
      <c r="D271" s="6"/>
      <c r="E271" s="6"/>
      <c r="G271" s="3"/>
      <c r="H271" s="2"/>
    </row>
    <row r="272" spans="1:8" x14ac:dyDescent="0.25">
      <c r="A272" s="5"/>
      <c r="B272" s="6"/>
      <c r="C272" s="6"/>
      <c r="D272" s="6"/>
      <c r="E272" s="6"/>
      <c r="G272" s="1"/>
      <c r="H272" s="2"/>
    </row>
    <row r="273" spans="1:8" x14ac:dyDescent="0.25">
      <c r="A273" s="5"/>
      <c r="B273" s="6"/>
      <c r="C273" s="6"/>
      <c r="D273" s="6"/>
      <c r="E273" s="6"/>
      <c r="G273" s="3"/>
      <c r="H273" s="2"/>
    </row>
    <row r="274" spans="1:8" x14ac:dyDescent="0.25">
      <c r="A274" s="5"/>
      <c r="B274" s="6"/>
      <c r="C274" s="6"/>
      <c r="D274" s="6"/>
      <c r="E274" s="6"/>
      <c r="G274" s="1"/>
      <c r="H274" s="2"/>
    </row>
    <row r="275" spans="1:8" x14ac:dyDescent="0.25">
      <c r="A275" s="5"/>
      <c r="B275" s="6"/>
      <c r="C275" s="6"/>
      <c r="D275" s="6"/>
      <c r="E275" s="6"/>
      <c r="G275" s="3"/>
      <c r="H275" s="2"/>
    </row>
    <row r="276" spans="1:8" x14ac:dyDescent="0.25">
      <c r="A276" s="5"/>
      <c r="B276" s="6"/>
      <c r="C276" s="6"/>
      <c r="D276" s="6"/>
      <c r="E276" s="6"/>
      <c r="G276" s="1"/>
      <c r="H276" s="2"/>
    </row>
    <row r="277" spans="1:8" x14ac:dyDescent="0.25">
      <c r="A277" s="5"/>
      <c r="B277" s="6"/>
      <c r="C277" s="6"/>
      <c r="D277" s="6"/>
      <c r="E277" s="6"/>
      <c r="G277" s="3"/>
      <c r="H277" s="2"/>
    </row>
    <row r="278" spans="1:8" x14ac:dyDescent="0.25">
      <c r="A278" s="5"/>
      <c r="B278" s="6"/>
      <c r="C278" s="6"/>
      <c r="D278" s="6"/>
      <c r="E278" s="6"/>
      <c r="G278" s="1"/>
      <c r="H278" s="2"/>
    </row>
    <row r="279" spans="1:8" x14ac:dyDescent="0.25">
      <c r="A279" s="5"/>
      <c r="B279" s="6"/>
      <c r="C279" s="6"/>
      <c r="D279" s="6"/>
      <c r="E279" s="6"/>
      <c r="G279" s="3"/>
      <c r="H279" s="2"/>
    </row>
    <row r="280" spans="1:8" x14ac:dyDescent="0.25">
      <c r="A280" s="5"/>
      <c r="B280" s="6"/>
      <c r="C280" s="6"/>
      <c r="D280" s="6"/>
      <c r="E280" s="6"/>
      <c r="G280" s="1"/>
      <c r="H280" s="2"/>
    </row>
    <row r="281" spans="1:8" x14ac:dyDescent="0.25">
      <c r="A281" s="5"/>
      <c r="B281" s="6"/>
      <c r="C281" s="6"/>
      <c r="D281" s="6"/>
      <c r="E281" s="6"/>
      <c r="G281" s="3"/>
      <c r="H281" s="2"/>
    </row>
    <row r="282" spans="1:8" x14ac:dyDescent="0.25">
      <c r="A282" s="5"/>
      <c r="B282" s="6"/>
      <c r="C282" s="6"/>
      <c r="D282" s="6"/>
      <c r="E282" s="6"/>
      <c r="G282" s="1"/>
      <c r="H282" s="2"/>
    </row>
    <row r="283" spans="1:8" x14ac:dyDescent="0.25">
      <c r="A283" s="5"/>
      <c r="B283" s="6"/>
      <c r="C283" s="6"/>
      <c r="D283" s="6"/>
      <c r="E283" s="6"/>
      <c r="G283" s="3"/>
      <c r="H283" s="2"/>
    </row>
    <row r="284" spans="1:8" x14ac:dyDescent="0.25">
      <c r="A284" s="5"/>
      <c r="B284" s="6"/>
      <c r="C284" s="6"/>
      <c r="D284" s="6"/>
      <c r="E284" s="6"/>
      <c r="G284" s="1"/>
      <c r="H284" s="2"/>
    </row>
    <row r="285" spans="1:8" x14ac:dyDescent="0.25">
      <c r="A285" s="5"/>
      <c r="B285" s="6"/>
      <c r="C285" s="6"/>
      <c r="D285" s="6"/>
      <c r="E285" s="6"/>
      <c r="G285" s="3"/>
      <c r="H285" s="2"/>
    </row>
    <row r="286" spans="1:8" x14ac:dyDescent="0.25">
      <c r="A286" s="5"/>
      <c r="B286" s="6"/>
      <c r="C286" s="6"/>
      <c r="D286" s="6"/>
      <c r="E286" s="6"/>
      <c r="G286" s="1"/>
      <c r="H286" s="2"/>
    </row>
    <row r="287" spans="1:8" x14ac:dyDescent="0.25">
      <c r="A287" s="5"/>
      <c r="B287" s="6"/>
      <c r="C287" s="6"/>
      <c r="D287" s="6"/>
      <c r="E287" s="6"/>
      <c r="G287" s="3"/>
      <c r="H287" s="2"/>
    </row>
    <row r="288" spans="1:8" x14ac:dyDescent="0.25">
      <c r="A288" s="5"/>
      <c r="B288" s="6"/>
      <c r="C288" s="6"/>
      <c r="D288" s="6"/>
      <c r="E288" s="6"/>
      <c r="G288" s="1"/>
      <c r="H288" s="2"/>
    </row>
    <row r="289" spans="1:8" x14ac:dyDescent="0.25">
      <c r="A289" s="5"/>
      <c r="B289" s="6"/>
      <c r="C289" s="6"/>
      <c r="D289" s="6"/>
      <c r="E289" s="6"/>
      <c r="G289" s="3"/>
      <c r="H289" s="2"/>
    </row>
    <row r="290" spans="1:8" x14ac:dyDescent="0.25">
      <c r="A290" s="5"/>
      <c r="B290" s="6"/>
      <c r="C290" s="6"/>
      <c r="D290" s="6"/>
      <c r="E290" s="6"/>
      <c r="G290" s="1"/>
      <c r="H290" s="2"/>
    </row>
    <row r="291" spans="1:8" x14ac:dyDescent="0.25">
      <c r="A291" s="5"/>
      <c r="B291" s="6"/>
      <c r="C291" s="6"/>
      <c r="D291" s="6"/>
      <c r="E291" s="6"/>
      <c r="G291" s="3"/>
      <c r="H291" s="2"/>
    </row>
    <row r="292" spans="1:8" x14ac:dyDescent="0.25">
      <c r="A292" s="5"/>
      <c r="B292" s="6"/>
      <c r="C292" s="6"/>
      <c r="D292" s="6"/>
      <c r="E292" s="6"/>
      <c r="G292" s="1"/>
      <c r="H292" s="2"/>
    </row>
    <row r="293" spans="1:8" x14ac:dyDescent="0.25">
      <c r="A293" s="5"/>
      <c r="B293" s="6"/>
      <c r="C293" s="6"/>
      <c r="D293" s="6"/>
      <c r="E293" s="6"/>
      <c r="G293" s="3"/>
      <c r="H293" s="2"/>
    </row>
    <row r="294" spans="1:8" x14ac:dyDescent="0.25">
      <c r="A294" s="5"/>
      <c r="B294" s="6"/>
      <c r="C294" s="6"/>
      <c r="D294" s="6"/>
      <c r="E294" s="6"/>
      <c r="G294" s="1"/>
      <c r="H294" s="2"/>
    </row>
    <row r="295" spans="1:8" x14ac:dyDescent="0.25">
      <c r="A295" s="5"/>
      <c r="B295" s="6"/>
      <c r="C295" s="6"/>
      <c r="D295" s="6"/>
      <c r="E295" s="6"/>
      <c r="G295" s="3"/>
      <c r="H295" s="2"/>
    </row>
    <row r="296" spans="1:8" x14ac:dyDescent="0.25">
      <c r="A296" s="5"/>
      <c r="B296" s="6"/>
      <c r="C296" s="6"/>
      <c r="D296" s="6"/>
      <c r="E296" s="6"/>
      <c r="G296" s="1"/>
      <c r="H296" s="2"/>
    </row>
    <row r="297" spans="1:8" x14ac:dyDescent="0.25">
      <c r="A297" s="5"/>
      <c r="B297" s="6"/>
      <c r="C297" s="6"/>
      <c r="D297" s="6"/>
      <c r="E297" s="6"/>
      <c r="G297" s="3"/>
      <c r="H297" s="2"/>
    </row>
    <row r="298" spans="1:8" x14ac:dyDescent="0.25">
      <c r="A298" s="5"/>
      <c r="B298" s="6"/>
      <c r="C298" s="6"/>
      <c r="D298" s="6"/>
      <c r="E298" s="6"/>
      <c r="G298" s="1"/>
      <c r="H298" s="2"/>
    </row>
    <row r="299" spans="1:8" x14ac:dyDescent="0.25">
      <c r="A299" s="5"/>
      <c r="B299" s="6"/>
      <c r="C299" s="6"/>
      <c r="D299" s="6"/>
      <c r="E299" s="6"/>
      <c r="G299" s="3"/>
      <c r="H299" s="2"/>
    </row>
    <row r="300" spans="1:8" x14ac:dyDescent="0.25">
      <c r="A300" s="5"/>
      <c r="B300" s="6"/>
      <c r="C300" s="6"/>
      <c r="D300" s="6"/>
      <c r="E300" s="6"/>
      <c r="G300" s="1"/>
      <c r="H300" s="2"/>
    </row>
    <row r="301" spans="1:8" x14ac:dyDescent="0.25">
      <c r="A301" s="5"/>
      <c r="B301" s="6"/>
      <c r="C301" s="6"/>
      <c r="D301" s="6"/>
      <c r="E301" s="6"/>
      <c r="G301" s="3"/>
      <c r="H301" s="2"/>
    </row>
    <row r="302" spans="1:8" x14ac:dyDescent="0.25">
      <c r="A302" s="5"/>
      <c r="B302" s="6"/>
      <c r="C302" s="6"/>
      <c r="D302" s="6"/>
      <c r="E302" s="6"/>
      <c r="G302" s="1"/>
      <c r="H302" s="2"/>
    </row>
    <row r="303" spans="1:8" x14ac:dyDescent="0.25">
      <c r="A303" s="5"/>
      <c r="B303" s="6"/>
      <c r="C303" s="6"/>
      <c r="D303" s="6"/>
      <c r="E303" s="6"/>
      <c r="G303" s="3"/>
      <c r="H303" s="2"/>
    </row>
    <row r="304" spans="1:8" x14ac:dyDescent="0.25">
      <c r="A304" s="5"/>
      <c r="B304" s="6"/>
      <c r="C304" s="6"/>
      <c r="D304" s="6"/>
      <c r="E304" s="6"/>
      <c r="G304" s="1"/>
      <c r="H304" s="2"/>
    </row>
    <row r="305" spans="1:8" x14ac:dyDescent="0.25">
      <c r="A305" s="5"/>
      <c r="B305" s="6"/>
      <c r="C305" s="6"/>
      <c r="D305" s="6"/>
      <c r="E305" s="6"/>
      <c r="G305" s="3"/>
      <c r="H305" s="2"/>
    </row>
    <row r="306" spans="1:8" x14ac:dyDescent="0.25">
      <c r="A306" s="5"/>
      <c r="B306" s="6"/>
      <c r="C306" s="6"/>
      <c r="D306" s="6"/>
      <c r="E306" s="6"/>
      <c r="G306" s="1"/>
      <c r="H306" s="2"/>
    </row>
    <row r="307" spans="1:8" x14ac:dyDescent="0.25">
      <c r="A307" s="5"/>
      <c r="B307" s="6"/>
      <c r="C307" s="6"/>
      <c r="D307" s="6"/>
      <c r="E307" s="6"/>
      <c r="G307" s="3"/>
      <c r="H307" s="2"/>
    </row>
    <row r="308" spans="1:8" x14ac:dyDescent="0.25">
      <c r="A308" s="5"/>
      <c r="B308" s="6"/>
      <c r="C308" s="6"/>
      <c r="D308" s="6"/>
      <c r="E308" s="6"/>
      <c r="G308" s="1"/>
      <c r="H308" s="2"/>
    </row>
    <row r="309" spans="1:8" x14ac:dyDescent="0.25">
      <c r="A309" s="5"/>
      <c r="B309" s="6"/>
      <c r="C309" s="6"/>
      <c r="D309" s="6"/>
      <c r="E309" s="6"/>
      <c r="G309" s="3"/>
      <c r="H309" s="2"/>
    </row>
    <row r="310" spans="1:8" x14ac:dyDescent="0.25">
      <c r="A310" s="5"/>
      <c r="B310" s="6"/>
      <c r="C310" s="6"/>
      <c r="D310" s="6"/>
      <c r="E310" s="6"/>
      <c r="G310" s="1"/>
      <c r="H310" s="2"/>
    </row>
    <row r="311" spans="1:8" x14ac:dyDescent="0.25">
      <c r="A311" s="5"/>
      <c r="B311" s="6"/>
      <c r="C311" s="6"/>
      <c r="D311" s="6"/>
      <c r="E311" s="6"/>
      <c r="G311" s="3"/>
      <c r="H311" s="2"/>
    </row>
    <row r="312" spans="1:8" x14ac:dyDescent="0.25">
      <c r="A312" s="5"/>
      <c r="B312" s="6"/>
      <c r="C312" s="6"/>
      <c r="D312" s="6"/>
      <c r="E312" s="6"/>
      <c r="G312" s="1"/>
      <c r="H312" s="2"/>
    </row>
    <row r="313" spans="1:8" x14ac:dyDescent="0.25">
      <c r="A313" s="5"/>
      <c r="B313" s="6"/>
      <c r="C313" s="6"/>
      <c r="D313" s="6"/>
      <c r="E313" s="6"/>
      <c r="G313" s="3"/>
      <c r="H313" s="2"/>
    </row>
    <row r="314" spans="1:8" x14ac:dyDescent="0.25">
      <c r="A314" s="5"/>
      <c r="B314" s="6"/>
      <c r="C314" s="6"/>
      <c r="D314" s="6"/>
      <c r="E314" s="6"/>
      <c r="G314" s="1"/>
      <c r="H314" s="2"/>
    </row>
    <row r="315" spans="1:8" x14ac:dyDescent="0.25">
      <c r="A315" s="5"/>
      <c r="B315" s="6"/>
      <c r="C315" s="6"/>
      <c r="D315" s="6"/>
      <c r="E315" s="6"/>
      <c r="G315" s="3"/>
      <c r="H315" s="2"/>
    </row>
    <row r="316" spans="1:8" x14ac:dyDescent="0.25">
      <c r="A316" s="5"/>
      <c r="B316" s="6"/>
      <c r="C316" s="6"/>
      <c r="D316" s="6"/>
      <c r="E316" s="6"/>
      <c r="G316" s="1"/>
      <c r="H316" s="2"/>
    </row>
    <row r="317" spans="1:8" x14ac:dyDescent="0.25">
      <c r="A317" s="5"/>
      <c r="B317" s="6"/>
      <c r="C317" s="6"/>
      <c r="D317" s="6"/>
      <c r="E317" s="6"/>
      <c r="G317" s="3"/>
      <c r="H317" s="2"/>
    </row>
    <row r="318" spans="1:8" x14ac:dyDescent="0.25">
      <c r="A318" s="5"/>
      <c r="B318" s="6"/>
      <c r="C318" s="6"/>
      <c r="D318" s="6"/>
      <c r="E318" s="6"/>
      <c r="G318" s="1"/>
      <c r="H318" s="2"/>
    </row>
    <row r="319" spans="1:8" x14ac:dyDescent="0.25">
      <c r="A319" s="5"/>
      <c r="B319" s="6"/>
      <c r="C319" s="6"/>
      <c r="D319" s="6"/>
      <c r="E319" s="6"/>
      <c r="G319" s="3"/>
      <c r="H319" s="2"/>
    </row>
    <row r="320" spans="1:8" x14ac:dyDescent="0.25">
      <c r="A320" s="5"/>
      <c r="B320" s="6"/>
      <c r="C320" s="6"/>
      <c r="D320" s="6"/>
      <c r="E320" s="6"/>
      <c r="G320" s="1"/>
      <c r="H320" s="2"/>
    </row>
    <row r="321" spans="1:8" x14ac:dyDescent="0.25">
      <c r="A321" s="5"/>
      <c r="B321" s="6"/>
      <c r="C321" s="6"/>
      <c r="D321" s="6"/>
      <c r="E321" s="6"/>
      <c r="G321" s="3"/>
      <c r="H321" s="2"/>
    </row>
    <row r="322" spans="1:8" x14ac:dyDescent="0.25">
      <c r="A322" s="5"/>
      <c r="B322" s="6"/>
      <c r="C322" s="6"/>
      <c r="D322" s="6"/>
      <c r="E322" s="6"/>
      <c r="G322" s="1"/>
      <c r="H322" s="2"/>
    </row>
    <row r="323" spans="1:8" x14ac:dyDescent="0.25">
      <c r="A323" s="5"/>
      <c r="B323" s="6"/>
      <c r="C323" s="6"/>
      <c r="D323" s="6"/>
      <c r="E323" s="6"/>
      <c r="G323" s="3"/>
      <c r="H323" s="2"/>
    </row>
    <row r="324" spans="1:8" x14ac:dyDescent="0.25">
      <c r="A324" s="5"/>
      <c r="B324" s="6"/>
      <c r="C324" s="6"/>
      <c r="D324" s="6"/>
      <c r="E324" s="6"/>
      <c r="G324" s="1"/>
      <c r="H324" s="2"/>
    </row>
    <row r="325" spans="1:8" x14ac:dyDescent="0.25">
      <c r="A325" s="5"/>
      <c r="B325" s="6"/>
      <c r="C325" s="6"/>
      <c r="D325" s="6"/>
      <c r="E325" s="6"/>
      <c r="G325" s="3"/>
      <c r="H325" s="2"/>
    </row>
    <row r="326" spans="1:8" x14ac:dyDescent="0.25">
      <c r="A326" s="5"/>
      <c r="B326" s="6"/>
      <c r="C326" s="6"/>
      <c r="D326" s="6"/>
      <c r="E326" s="6"/>
      <c r="G326" s="1"/>
      <c r="H326" s="2"/>
    </row>
    <row r="327" spans="1:8" x14ac:dyDescent="0.25">
      <c r="A327" s="5"/>
      <c r="B327" s="6"/>
      <c r="C327" s="6"/>
      <c r="D327" s="6"/>
      <c r="E327" s="6"/>
      <c r="G327" s="3"/>
      <c r="H327" s="2"/>
    </row>
    <row r="328" spans="1:8" x14ac:dyDescent="0.25">
      <c r="A328" s="5"/>
      <c r="B328" s="6"/>
      <c r="C328" s="6"/>
      <c r="D328" s="6"/>
      <c r="E328" s="6"/>
      <c r="G328" s="1"/>
      <c r="H328" s="2"/>
    </row>
    <row r="329" spans="1:8" x14ac:dyDescent="0.25">
      <c r="A329" s="5"/>
      <c r="B329" s="6"/>
      <c r="C329" s="6"/>
      <c r="D329" s="6"/>
      <c r="E329" s="6"/>
      <c r="G329" s="3"/>
      <c r="H329" s="2"/>
    </row>
    <row r="330" spans="1:8" x14ac:dyDescent="0.25">
      <c r="A330" s="5"/>
      <c r="B330" s="6"/>
      <c r="C330" s="6"/>
      <c r="D330" s="6"/>
      <c r="E330" s="6"/>
      <c r="G330" s="1"/>
      <c r="H330" s="2"/>
    </row>
    <row r="331" spans="1:8" x14ac:dyDescent="0.25">
      <c r="A331" s="5"/>
      <c r="B331" s="6"/>
      <c r="C331" s="6"/>
      <c r="D331" s="6"/>
      <c r="E331" s="6"/>
      <c r="G331" s="3"/>
      <c r="H331" s="2"/>
    </row>
    <row r="332" spans="1:8" x14ac:dyDescent="0.25">
      <c r="A332" s="5"/>
      <c r="B332" s="6"/>
      <c r="C332" s="6"/>
      <c r="D332" s="6"/>
      <c r="E332" s="6"/>
      <c r="G332" s="1"/>
      <c r="H332" s="2"/>
    </row>
    <row r="333" spans="1:8" x14ac:dyDescent="0.25">
      <c r="A333" s="5"/>
      <c r="B333" s="6"/>
      <c r="C333" s="6"/>
      <c r="D333" s="6"/>
      <c r="E333" s="6"/>
      <c r="G333" s="3"/>
      <c r="H333" s="2"/>
    </row>
    <row r="334" spans="1:8" x14ac:dyDescent="0.25">
      <c r="A334" s="5"/>
      <c r="B334" s="6"/>
      <c r="C334" s="6"/>
      <c r="D334" s="6"/>
      <c r="E334" s="6"/>
      <c r="G334" s="1"/>
      <c r="H334" s="2"/>
    </row>
    <row r="335" spans="1:8" x14ac:dyDescent="0.25">
      <c r="A335" s="5"/>
      <c r="B335" s="6"/>
      <c r="C335" s="6"/>
      <c r="D335" s="6"/>
      <c r="E335" s="6"/>
      <c r="G335" s="3"/>
      <c r="H335" s="2"/>
    </row>
    <row r="336" spans="1:8" x14ac:dyDescent="0.25">
      <c r="A336" s="5"/>
      <c r="B336" s="6"/>
      <c r="C336" s="6"/>
      <c r="D336" s="6"/>
      <c r="E336" s="6"/>
      <c r="G336" s="1"/>
      <c r="H336" s="2"/>
    </row>
    <row r="337" spans="1:8" x14ac:dyDescent="0.25">
      <c r="A337" s="5"/>
      <c r="B337" s="6"/>
      <c r="C337" s="6"/>
      <c r="D337" s="6"/>
      <c r="E337" s="6"/>
      <c r="G337" s="3"/>
      <c r="H337" s="2"/>
    </row>
    <row r="338" spans="1:8" x14ac:dyDescent="0.25">
      <c r="A338" s="5"/>
      <c r="B338" s="6"/>
      <c r="C338" s="6"/>
      <c r="D338" s="6"/>
      <c r="E338" s="6"/>
      <c r="G338" s="1"/>
      <c r="H338" s="2"/>
    </row>
    <row r="339" spans="1:8" x14ac:dyDescent="0.25">
      <c r="A339" s="5"/>
      <c r="B339" s="6"/>
      <c r="C339" s="6"/>
      <c r="D339" s="6"/>
      <c r="E339" s="6"/>
      <c r="G339" s="3"/>
      <c r="H339" s="2"/>
    </row>
    <row r="340" spans="1:8" x14ac:dyDescent="0.25">
      <c r="A340" s="5"/>
      <c r="B340" s="6"/>
      <c r="C340" s="6"/>
      <c r="D340" s="6"/>
      <c r="E340" s="6"/>
      <c r="G340" s="1"/>
      <c r="H340" s="2"/>
    </row>
    <row r="341" spans="1:8" x14ac:dyDescent="0.25">
      <c r="A341" s="5"/>
      <c r="B341" s="6"/>
      <c r="C341" s="6"/>
      <c r="D341" s="6"/>
      <c r="E341" s="6"/>
      <c r="G341" s="3"/>
      <c r="H341" s="2"/>
    </row>
    <row r="342" spans="1:8" x14ac:dyDescent="0.25">
      <c r="A342" s="5"/>
      <c r="B342" s="6"/>
      <c r="C342" s="6"/>
      <c r="D342" s="6"/>
      <c r="E342" s="6"/>
      <c r="G342" s="1"/>
      <c r="H342" s="2"/>
    </row>
    <row r="343" spans="1:8" x14ac:dyDescent="0.25">
      <c r="A343" s="5"/>
      <c r="B343" s="6"/>
      <c r="C343" s="6"/>
      <c r="D343" s="6"/>
      <c r="E343" s="6"/>
      <c r="G343" s="3"/>
      <c r="H343" s="2"/>
    </row>
    <row r="344" spans="1:8" x14ac:dyDescent="0.25">
      <c r="A344" s="5"/>
      <c r="B344" s="6"/>
      <c r="C344" s="6"/>
      <c r="D344" s="6"/>
      <c r="E344" s="6"/>
      <c r="G344" s="1"/>
      <c r="H344" s="2"/>
    </row>
    <row r="345" spans="1:8" x14ac:dyDescent="0.25">
      <c r="A345" s="5"/>
      <c r="B345" s="6"/>
      <c r="C345" s="6"/>
      <c r="D345" s="6"/>
      <c r="E345" s="6"/>
      <c r="G345" s="3"/>
      <c r="H345" s="2"/>
    </row>
    <row r="346" spans="1:8" x14ac:dyDescent="0.25">
      <c r="A346" s="5"/>
      <c r="B346" s="6"/>
      <c r="C346" s="6"/>
      <c r="D346" s="6"/>
      <c r="E346" s="6"/>
      <c r="G346" s="1"/>
      <c r="H346" s="2"/>
    </row>
    <row r="347" spans="1:8" x14ac:dyDescent="0.25">
      <c r="A347" s="5"/>
      <c r="B347" s="6"/>
      <c r="C347" s="6"/>
      <c r="D347" s="6"/>
      <c r="E347" s="6"/>
      <c r="G347" s="3"/>
      <c r="H347" s="2"/>
    </row>
    <row r="348" spans="1:8" x14ac:dyDescent="0.25">
      <c r="A348" s="5"/>
      <c r="B348" s="6"/>
      <c r="C348" s="6"/>
      <c r="D348" s="6"/>
      <c r="E348" s="6"/>
      <c r="G348" s="1"/>
      <c r="H348" s="2"/>
    </row>
    <row r="349" spans="1:8" x14ac:dyDescent="0.25">
      <c r="A349" s="5"/>
      <c r="B349" s="6"/>
      <c r="C349" s="6"/>
      <c r="D349" s="6"/>
      <c r="E349" s="6"/>
      <c r="G349" s="3"/>
      <c r="H349" s="2"/>
    </row>
    <row r="350" spans="1:8" x14ac:dyDescent="0.25">
      <c r="A350" s="5"/>
      <c r="B350" s="6"/>
      <c r="C350" s="6"/>
      <c r="D350" s="6"/>
      <c r="E350" s="6"/>
      <c r="G350" s="1"/>
      <c r="H350" s="2"/>
    </row>
    <row r="351" spans="1:8" x14ac:dyDescent="0.25">
      <c r="A351" s="5"/>
      <c r="B351" s="6"/>
      <c r="C351" s="6"/>
      <c r="D351" s="6"/>
      <c r="E351" s="6"/>
      <c r="G351" s="3"/>
      <c r="H351" s="2"/>
    </row>
    <row r="352" spans="1:8" x14ac:dyDescent="0.25">
      <c r="A352" s="5"/>
      <c r="B352" s="6"/>
      <c r="C352" s="6"/>
      <c r="D352" s="6"/>
      <c r="E352" s="6"/>
      <c r="G352" s="1"/>
      <c r="H352" s="2"/>
    </row>
    <row r="353" spans="1:8" x14ac:dyDescent="0.25">
      <c r="A353" s="5"/>
      <c r="B353" s="6"/>
      <c r="C353" s="6"/>
      <c r="D353" s="6"/>
      <c r="E353" s="6"/>
      <c r="G353" s="3"/>
      <c r="H353" s="2"/>
    </row>
    <row r="354" spans="1:8" x14ac:dyDescent="0.25">
      <c r="A354" s="5"/>
      <c r="B354" s="6"/>
      <c r="C354" s="6"/>
      <c r="D354" s="6"/>
      <c r="E354" s="6"/>
      <c r="G354" s="1"/>
      <c r="H354" s="2"/>
    </row>
    <row r="355" spans="1:8" x14ac:dyDescent="0.25">
      <c r="A355" s="5"/>
      <c r="B355" s="6"/>
      <c r="C355" s="6"/>
      <c r="D355" s="6"/>
      <c r="E355" s="6"/>
      <c r="G355" s="3"/>
      <c r="H355" s="2"/>
    </row>
    <row r="356" spans="1:8" x14ac:dyDescent="0.25">
      <c r="A356" s="5"/>
      <c r="B356" s="6"/>
      <c r="C356" s="6"/>
      <c r="D356" s="6"/>
      <c r="E356" s="6"/>
      <c r="G356" s="1"/>
      <c r="H356" s="2"/>
    </row>
    <row r="357" spans="1:8" x14ac:dyDescent="0.25">
      <c r="A357" s="5"/>
      <c r="B357" s="6"/>
      <c r="C357" s="6"/>
      <c r="D357" s="6"/>
      <c r="E357" s="6"/>
      <c r="G357" s="3"/>
      <c r="H357" s="2"/>
    </row>
    <row r="358" spans="1:8" x14ac:dyDescent="0.25">
      <c r="A358" s="5"/>
      <c r="B358" s="6"/>
      <c r="C358" s="6"/>
      <c r="D358" s="6"/>
      <c r="E358" s="6"/>
      <c r="G358" s="1"/>
      <c r="H358" s="2"/>
    </row>
    <row r="359" spans="1:8" x14ac:dyDescent="0.25">
      <c r="A359" s="5"/>
      <c r="B359" s="6"/>
      <c r="C359" s="6"/>
      <c r="D359" s="6"/>
      <c r="E359" s="6"/>
      <c r="G359" s="3"/>
      <c r="H359" s="2"/>
    </row>
    <row r="360" spans="1:8" x14ac:dyDescent="0.25">
      <c r="A360" s="5"/>
      <c r="B360" s="6"/>
      <c r="C360" s="6"/>
      <c r="D360" s="6"/>
      <c r="E360" s="6"/>
      <c r="G360" s="1"/>
      <c r="H360" s="2"/>
    </row>
    <row r="361" spans="1:8" x14ac:dyDescent="0.25">
      <c r="A361" s="5"/>
      <c r="B361" s="6"/>
      <c r="C361" s="6"/>
      <c r="D361" s="6"/>
      <c r="E361" s="6"/>
      <c r="G361" s="3"/>
      <c r="H361" s="2"/>
    </row>
    <row r="362" spans="1:8" x14ac:dyDescent="0.25">
      <c r="A362" s="5"/>
      <c r="B362" s="6"/>
      <c r="C362" s="6"/>
      <c r="D362" s="6"/>
      <c r="E362" s="6"/>
      <c r="G362" s="1"/>
      <c r="H362" s="2"/>
    </row>
    <row r="363" spans="1:8" x14ac:dyDescent="0.25">
      <c r="A363" s="5"/>
      <c r="B363" s="6"/>
      <c r="C363" s="6"/>
      <c r="D363" s="6"/>
      <c r="E363" s="6"/>
      <c r="G363" s="3"/>
      <c r="H363" s="2"/>
    </row>
    <row r="364" spans="1:8" x14ac:dyDescent="0.25">
      <c r="A364" s="5"/>
      <c r="B364" s="6"/>
      <c r="C364" s="6"/>
      <c r="D364" s="6"/>
      <c r="E364" s="6"/>
      <c r="G364" s="1"/>
      <c r="H364" s="2"/>
    </row>
    <row r="365" spans="1:8" x14ac:dyDescent="0.25">
      <c r="A365" s="5"/>
      <c r="B365" s="6"/>
      <c r="C365" s="6"/>
      <c r="D365" s="6"/>
      <c r="E365" s="6"/>
      <c r="G365" s="3"/>
      <c r="H365" s="2"/>
    </row>
    <row r="366" spans="1:8" x14ac:dyDescent="0.25">
      <c r="A366" s="5"/>
      <c r="B366" s="6"/>
      <c r="C366" s="6"/>
      <c r="D366" s="6"/>
      <c r="E366" s="6"/>
      <c r="G366" s="1"/>
      <c r="H366" s="2"/>
    </row>
    <row r="367" spans="1:8" x14ac:dyDescent="0.25">
      <c r="A367" s="5"/>
      <c r="B367" s="6"/>
      <c r="C367" s="6"/>
      <c r="D367" s="6"/>
      <c r="E367" s="6"/>
      <c r="G367" s="3"/>
      <c r="H367" s="2"/>
    </row>
    <row r="368" spans="1:8" x14ac:dyDescent="0.25">
      <c r="A368" s="5"/>
      <c r="B368" s="6"/>
      <c r="C368" s="6"/>
      <c r="D368" s="6"/>
      <c r="E368" s="6"/>
      <c r="G368" s="1"/>
      <c r="H368" s="2"/>
    </row>
    <row r="369" spans="1:8" x14ac:dyDescent="0.25">
      <c r="A369" s="5"/>
      <c r="B369" s="6"/>
      <c r="C369" s="6"/>
      <c r="D369" s="6"/>
      <c r="E369" s="6"/>
      <c r="G369" s="3"/>
      <c r="H369" s="2"/>
    </row>
    <row r="370" spans="1:8" x14ac:dyDescent="0.25">
      <c r="A370" s="5"/>
      <c r="B370" s="6"/>
      <c r="C370" s="6"/>
      <c r="D370" s="6"/>
      <c r="E370" s="6"/>
      <c r="G370" s="1"/>
      <c r="H370" s="2"/>
    </row>
    <row r="371" spans="1:8" x14ac:dyDescent="0.25">
      <c r="A371" s="5"/>
      <c r="B371" s="6"/>
      <c r="C371" s="6"/>
      <c r="D371" s="6"/>
      <c r="E371" s="6"/>
      <c r="G371" s="3"/>
      <c r="H371" s="2"/>
    </row>
    <row r="372" spans="1:8" x14ac:dyDescent="0.25">
      <c r="A372" s="5"/>
      <c r="B372" s="6"/>
      <c r="C372" s="6"/>
      <c r="D372" s="6"/>
      <c r="E372" s="6"/>
      <c r="G372" s="1"/>
      <c r="H372" s="2"/>
    </row>
    <row r="373" spans="1:8" x14ac:dyDescent="0.25">
      <c r="A373" s="5"/>
      <c r="B373" s="6"/>
      <c r="C373" s="6"/>
      <c r="D373" s="6"/>
      <c r="E373" s="6"/>
      <c r="G373" s="3"/>
      <c r="H373" s="2"/>
    </row>
    <row r="374" spans="1:8" x14ac:dyDescent="0.25">
      <c r="A374" s="5"/>
      <c r="B374" s="6"/>
      <c r="C374" s="6"/>
      <c r="D374" s="6"/>
      <c r="E374" s="6"/>
      <c r="G374" s="1"/>
      <c r="H374" s="2"/>
    </row>
    <row r="375" spans="1:8" x14ac:dyDescent="0.25">
      <c r="A375" s="5"/>
      <c r="B375" s="6"/>
      <c r="C375" s="6"/>
      <c r="D375" s="6"/>
      <c r="E375" s="6"/>
      <c r="G375" s="3"/>
      <c r="H375" s="2"/>
    </row>
    <row r="376" spans="1:8" x14ac:dyDescent="0.25">
      <c r="A376" s="5"/>
      <c r="B376" s="6"/>
      <c r="C376" s="6"/>
      <c r="D376" s="6"/>
      <c r="E376" s="6"/>
      <c r="G376" s="1"/>
      <c r="H376" s="2"/>
    </row>
    <row r="377" spans="1:8" x14ac:dyDescent="0.25">
      <c r="A377" s="5"/>
      <c r="B377" s="6"/>
      <c r="C377" s="6"/>
      <c r="D377" s="6"/>
      <c r="E377" s="6"/>
      <c r="G377" s="3"/>
      <c r="H377" s="2"/>
    </row>
    <row r="378" spans="1:8" x14ac:dyDescent="0.25">
      <c r="A378" s="5"/>
      <c r="B378" s="6"/>
      <c r="C378" s="6"/>
      <c r="D378" s="6"/>
      <c r="E378" s="6"/>
      <c r="G378" s="1"/>
      <c r="H378" s="2"/>
    </row>
    <row r="379" spans="1:8" x14ac:dyDescent="0.25">
      <c r="A379" s="5"/>
      <c r="B379" s="6"/>
      <c r="C379" s="6"/>
      <c r="D379" s="6"/>
      <c r="E379" s="6"/>
      <c r="G379" s="3"/>
      <c r="H379" s="2"/>
    </row>
    <row r="380" spans="1:8" x14ac:dyDescent="0.25">
      <c r="A380" s="5"/>
      <c r="B380" s="6"/>
      <c r="C380" s="6"/>
      <c r="D380" s="6"/>
      <c r="E380" s="6"/>
      <c r="G380" s="1"/>
      <c r="H380" s="2"/>
    </row>
    <row r="381" spans="1:8" x14ac:dyDescent="0.25">
      <c r="A381" s="5"/>
      <c r="B381" s="6"/>
      <c r="C381" s="6"/>
      <c r="D381" s="6"/>
      <c r="E381" s="6"/>
      <c r="G381" s="3"/>
      <c r="H381" s="2"/>
    </row>
    <row r="382" spans="1:8" x14ac:dyDescent="0.25">
      <c r="A382" s="5"/>
      <c r="B382" s="6"/>
      <c r="C382" s="6"/>
      <c r="D382" s="6"/>
      <c r="E382" s="6"/>
      <c r="G382" s="1"/>
      <c r="H382" s="2"/>
    </row>
    <row r="383" spans="1:8" x14ac:dyDescent="0.25">
      <c r="A383" s="5"/>
      <c r="B383" s="6"/>
      <c r="C383" s="6"/>
      <c r="D383" s="6"/>
      <c r="E383" s="6"/>
      <c r="G383" s="3"/>
      <c r="H383" s="2"/>
    </row>
    <row r="384" spans="1:8" x14ac:dyDescent="0.25">
      <c r="A384" s="5"/>
      <c r="B384" s="6"/>
      <c r="C384" s="6"/>
      <c r="D384" s="6"/>
      <c r="E384" s="6"/>
      <c r="G384" s="1"/>
      <c r="H384" s="2"/>
    </row>
    <row r="385" spans="1:8" x14ac:dyDescent="0.25">
      <c r="A385" s="5"/>
      <c r="B385" s="6"/>
      <c r="C385" s="6"/>
      <c r="D385" s="6"/>
      <c r="E385" s="6"/>
      <c r="G385" s="3"/>
      <c r="H385" s="2"/>
    </row>
    <row r="386" spans="1:8" x14ac:dyDescent="0.25">
      <c r="A386" s="5"/>
      <c r="B386" s="6"/>
      <c r="C386" s="6"/>
      <c r="D386" s="6"/>
      <c r="E386" s="6"/>
      <c r="G386" s="1"/>
      <c r="H386" s="2"/>
    </row>
    <row r="387" spans="1:8" x14ac:dyDescent="0.25">
      <c r="A387" s="5"/>
      <c r="B387" s="6"/>
      <c r="C387" s="6"/>
      <c r="D387" s="6"/>
      <c r="E387" s="6"/>
      <c r="G387" s="3"/>
      <c r="H387" s="2"/>
    </row>
    <row r="388" spans="1:8" x14ac:dyDescent="0.25">
      <c r="A388" s="5"/>
      <c r="B388" s="6"/>
      <c r="C388" s="6"/>
      <c r="D388" s="6"/>
      <c r="E388" s="6"/>
      <c r="G388" s="1"/>
      <c r="H388" s="2"/>
    </row>
    <row r="389" spans="1:8" x14ac:dyDescent="0.25">
      <c r="A389" s="5"/>
      <c r="B389" s="6"/>
      <c r="C389" s="6"/>
      <c r="D389" s="6"/>
      <c r="E389" s="6"/>
      <c r="G389" s="3"/>
      <c r="H389" s="2"/>
    </row>
    <row r="390" spans="1:8" x14ac:dyDescent="0.25">
      <c r="A390" s="5"/>
      <c r="B390" s="6"/>
      <c r="C390" s="6"/>
      <c r="D390" s="6"/>
      <c r="E390" s="6"/>
      <c r="G390" s="1"/>
      <c r="H390" s="2"/>
    </row>
    <row r="391" spans="1:8" x14ac:dyDescent="0.25">
      <c r="A391" s="5"/>
      <c r="B391" s="6"/>
      <c r="C391" s="6"/>
      <c r="D391" s="6"/>
      <c r="E391" s="6"/>
      <c r="G391" s="3"/>
      <c r="H391" s="2"/>
    </row>
    <row r="392" spans="1:8" x14ac:dyDescent="0.25">
      <c r="A392" s="5"/>
      <c r="B392" s="6"/>
      <c r="C392" s="6"/>
      <c r="D392" s="6"/>
      <c r="E392" s="6"/>
      <c r="G392" s="1"/>
      <c r="H392" s="2"/>
    </row>
    <row r="393" spans="1:8" x14ac:dyDescent="0.25">
      <c r="A393" s="5"/>
      <c r="B393" s="6"/>
      <c r="C393" s="6"/>
      <c r="D393" s="6"/>
      <c r="E393" s="6"/>
      <c r="G393" s="3"/>
      <c r="H393" s="2"/>
    </row>
    <row r="394" spans="1:8" x14ac:dyDescent="0.25">
      <c r="A394" s="5"/>
      <c r="B394" s="6"/>
      <c r="C394" s="6"/>
      <c r="D394" s="6"/>
      <c r="E394" s="6"/>
      <c r="G394" s="1"/>
      <c r="H394" s="2"/>
    </row>
    <row r="395" spans="1:8" x14ac:dyDescent="0.25">
      <c r="A395" s="5"/>
      <c r="B395" s="6"/>
      <c r="C395" s="6"/>
      <c r="D395" s="6"/>
      <c r="E395" s="6"/>
      <c r="G395" s="3"/>
      <c r="H395" s="2"/>
    </row>
    <row r="396" spans="1:8" x14ac:dyDescent="0.25">
      <c r="A396" s="5"/>
      <c r="B396" s="6"/>
      <c r="C396" s="6"/>
      <c r="D396" s="6"/>
      <c r="E396" s="6"/>
      <c r="G396" s="1"/>
      <c r="H396" s="2"/>
    </row>
    <row r="397" spans="1:8" x14ac:dyDescent="0.25">
      <c r="A397" s="5"/>
      <c r="B397" s="6"/>
      <c r="C397" s="6"/>
      <c r="D397" s="6"/>
      <c r="E397" s="6"/>
      <c r="G397" s="3"/>
      <c r="H397" s="2"/>
    </row>
    <row r="398" spans="1:8" x14ac:dyDescent="0.25">
      <c r="A398" s="5"/>
      <c r="B398" s="6"/>
      <c r="C398" s="6"/>
      <c r="D398" s="6"/>
      <c r="E398" s="6"/>
      <c r="G398" s="1"/>
      <c r="H398" s="2"/>
    </row>
    <row r="399" spans="1:8" x14ac:dyDescent="0.25">
      <c r="A399" s="5"/>
      <c r="B399" s="6"/>
      <c r="C399" s="6"/>
      <c r="D399" s="6"/>
      <c r="E399" s="6"/>
      <c r="G399" s="3"/>
      <c r="H399" s="2"/>
    </row>
    <row r="400" spans="1:8" x14ac:dyDescent="0.25">
      <c r="A400" s="5"/>
      <c r="B400" s="6"/>
      <c r="C400" s="6"/>
      <c r="D400" s="6"/>
      <c r="E400" s="6"/>
      <c r="G400" s="1"/>
      <c r="H400" s="2"/>
    </row>
    <row r="401" spans="1:8" x14ac:dyDescent="0.25">
      <c r="A401" s="5"/>
      <c r="B401" s="6"/>
      <c r="C401" s="6"/>
      <c r="D401" s="6"/>
      <c r="E401" s="6"/>
      <c r="G401" s="3"/>
      <c r="H401" s="2"/>
    </row>
    <row r="402" spans="1:8" x14ac:dyDescent="0.25">
      <c r="A402" s="5"/>
      <c r="B402" s="6"/>
      <c r="C402" s="6"/>
      <c r="D402" s="6"/>
      <c r="E402" s="6"/>
      <c r="G402" s="1"/>
      <c r="H402" s="2"/>
    </row>
    <row r="403" spans="1:8" x14ac:dyDescent="0.25">
      <c r="A403" s="5"/>
      <c r="B403" s="6"/>
      <c r="C403" s="6"/>
      <c r="D403" s="6"/>
      <c r="E403" s="6"/>
      <c r="G403" s="3"/>
      <c r="H403" s="2"/>
    </row>
    <row r="404" spans="1:8" x14ac:dyDescent="0.25">
      <c r="A404" s="5"/>
      <c r="B404" s="6"/>
      <c r="C404" s="6"/>
      <c r="D404" s="6"/>
      <c r="E404" s="6"/>
      <c r="G404" s="1"/>
      <c r="H404" s="2"/>
    </row>
    <row r="405" spans="1:8" x14ac:dyDescent="0.25">
      <c r="A405" s="5"/>
      <c r="B405" s="6"/>
      <c r="C405" s="6"/>
      <c r="D405" s="6"/>
      <c r="E405" s="6"/>
      <c r="G405" s="3"/>
      <c r="H405" s="2"/>
    </row>
    <row r="406" spans="1:8" x14ac:dyDescent="0.25">
      <c r="A406" s="5"/>
      <c r="B406" s="6"/>
      <c r="C406" s="6"/>
      <c r="D406" s="6"/>
      <c r="E406" s="6"/>
      <c r="G406" s="1"/>
      <c r="H406" s="2"/>
    </row>
    <row r="407" spans="1:8" x14ac:dyDescent="0.25">
      <c r="A407" s="5"/>
      <c r="B407" s="6"/>
      <c r="C407" s="6"/>
      <c r="D407" s="6"/>
      <c r="E407" s="6"/>
      <c r="G407" s="3"/>
      <c r="H407" s="2"/>
    </row>
    <row r="408" spans="1:8" x14ac:dyDescent="0.25">
      <c r="A408" s="5"/>
      <c r="B408" s="6"/>
      <c r="C408" s="6"/>
      <c r="D408" s="6"/>
      <c r="E408" s="6"/>
      <c r="G408" s="1"/>
      <c r="H408" s="2"/>
    </row>
    <row r="409" spans="1:8" x14ac:dyDescent="0.25">
      <c r="A409" s="5"/>
      <c r="B409" s="6"/>
      <c r="C409" s="6"/>
      <c r="D409" s="6"/>
      <c r="E409" s="6"/>
      <c r="G409" s="3"/>
      <c r="H409" s="2"/>
    </row>
    <row r="410" spans="1:8" x14ac:dyDescent="0.25">
      <c r="A410" s="5"/>
      <c r="B410" s="6"/>
      <c r="C410" s="6"/>
      <c r="D410" s="6"/>
      <c r="E410" s="6"/>
      <c r="G410" s="1"/>
      <c r="H410" s="2"/>
    </row>
    <row r="411" spans="1:8" x14ac:dyDescent="0.25">
      <c r="A411" s="5"/>
      <c r="B411" s="6"/>
      <c r="C411" s="6"/>
      <c r="D411" s="6"/>
      <c r="E411" s="6"/>
      <c r="G411" s="3"/>
      <c r="H411" s="2"/>
    </row>
    <row r="412" spans="1:8" x14ac:dyDescent="0.25">
      <c r="A412" s="5"/>
      <c r="B412" s="6"/>
      <c r="C412" s="6"/>
      <c r="D412" s="6"/>
      <c r="E412" s="6"/>
      <c r="G412" s="1"/>
      <c r="H412" s="2"/>
    </row>
    <row r="413" spans="1:8" x14ac:dyDescent="0.25">
      <c r="A413" s="5"/>
      <c r="B413" s="6"/>
      <c r="C413" s="6"/>
      <c r="D413" s="6"/>
      <c r="E413" s="6"/>
      <c r="G413" s="3"/>
      <c r="H413" s="2"/>
    </row>
    <row r="414" spans="1:8" x14ac:dyDescent="0.25">
      <c r="A414" s="5"/>
      <c r="B414" s="6"/>
      <c r="C414" s="6"/>
      <c r="D414" s="6"/>
      <c r="E414" s="6"/>
      <c r="G414" s="1"/>
      <c r="H414" s="2"/>
    </row>
    <row r="415" spans="1:8" x14ac:dyDescent="0.25">
      <c r="A415" s="5"/>
      <c r="B415" s="6"/>
      <c r="C415" s="6"/>
      <c r="D415" s="6"/>
      <c r="E415" s="6"/>
      <c r="G415" s="3"/>
      <c r="H415" s="2"/>
    </row>
    <row r="416" spans="1:8" x14ac:dyDescent="0.25">
      <c r="A416" s="5"/>
      <c r="B416" s="6"/>
      <c r="C416" s="6"/>
      <c r="D416" s="6"/>
      <c r="E416" s="6"/>
      <c r="G416" s="1"/>
      <c r="H416" s="2"/>
    </row>
    <row r="417" spans="1:8" x14ac:dyDescent="0.25">
      <c r="A417" s="5"/>
      <c r="B417" s="6"/>
      <c r="C417" s="6"/>
      <c r="D417" s="6"/>
      <c r="E417" s="6"/>
      <c r="G417" s="3"/>
      <c r="H417" s="2"/>
    </row>
    <row r="418" spans="1:8" x14ac:dyDescent="0.25">
      <c r="A418" s="5"/>
      <c r="B418" s="6"/>
      <c r="C418" s="6"/>
      <c r="D418" s="6"/>
      <c r="E418" s="6"/>
      <c r="G418" s="1"/>
      <c r="H418" s="2"/>
    </row>
    <row r="419" spans="1:8" x14ac:dyDescent="0.25">
      <c r="A419" s="5"/>
      <c r="B419" s="6"/>
      <c r="C419" s="6"/>
      <c r="D419" s="6"/>
      <c r="E419" s="6"/>
      <c r="G419" s="3"/>
      <c r="H419" s="2"/>
    </row>
    <row r="420" spans="1:8" x14ac:dyDescent="0.25">
      <c r="A420" s="5"/>
      <c r="B420" s="6"/>
      <c r="C420" s="6"/>
      <c r="D420" s="6"/>
      <c r="E420" s="6"/>
      <c r="G420" s="1"/>
      <c r="H420" s="2"/>
    </row>
    <row r="421" spans="1:8" x14ac:dyDescent="0.25">
      <c r="A421" s="5"/>
      <c r="B421" s="6"/>
      <c r="C421" s="6"/>
      <c r="D421" s="6"/>
      <c r="E421" s="6"/>
      <c r="G421" s="3"/>
      <c r="H421" s="2"/>
    </row>
    <row r="422" spans="1:8" x14ac:dyDescent="0.25">
      <c r="A422" s="5"/>
      <c r="B422" s="6"/>
      <c r="C422" s="6"/>
      <c r="D422" s="6"/>
      <c r="E422" s="6"/>
      <c r="G422" s="1"/>
      <c r="H422" s="2"/>
    </row>
    <row r="423" spans="1:8" x14ac:dyDescent="0.25">
      <c r="A423" s="5"/>
      <c r="B423" s="6"/>
      <c r="C423" s="6"/>
      <c r="D423" s="6"/>
      <c r="E423" s="6"/>
      <c r="G423" s="3"/>
      <c r="H423" s="2"/>
    </row>
    <row r="424" spans="1:8" x14ac:dyDescent="0.25">
      <c r="A424" s="5"/>
      <c r="B424" s="6"/>
      <c r="C424" s="6"/>
      <c r="D424" s="6"/>
      <c r="E424" s="6"/>
      <c r="G424" s="1"/>
      <c r="H424" s="2"/>
    </row>
    <row r="425" spans="1:8" x14ac:dyDescent="0.25">
      <c r="A425" s="5"/>
      <c r="B425" s="6"/>
      <c r="C425" s="6"/>
      <c r="D425" s="6"/>
      <c r="E425" s="6"/>
      <c r="G425" s="3"/>
      <c r="H425" s="2"/>
    </row>
    <row r="426" spans="1:8" x14ac:dyDescent="0.25">
      <c r="A426" s="5"/>
      <c r="B426" s="6"/>
      <c r="C426" s="6"/>
      <c r="D426" s="6"/>
      <c r="E426" s="6"/>
      <c r="G426" s="1"/>
      <c r="H426" s="2"/>
    </row>
    <row r="427" spans="1:8" x14ac:dyDescent="0.25">
      <c r="A427" s="5"/>
      <c r="B427" s="6"/>
      <c r="C427" s="6"/>
      <c r="D427" s="6"/>
      <c r="E427" s="6"/>
      <c r="G427" s="3"/>
      <c r="H427" s="2"/>
    </row>
    <row r="428" spans="1:8" x14ac:dyDescent="0.25">
      <c r="A428" s="5"/>
      <c r="B428" s="6"/>
      <c r="C428" s="6"/>
      <c r="D428" s="6"/>
      <c r="E428" s="6"/>
      <c r="G428" s="1"/>
      <c r="H428" s="2"/>
    </row>
    <row r="429" spans="1:8" x14ac:dyDescent="0.25">
      <c r="A429" s="5"/>
      <c r="B429" s="6"/>
      <c r="C429" s="6"/>
      <c r="D429" s="6"/>
      <c r="E429" s="6"/>
      <c r="G429" s="3"/>
      <c r="H429" s="2"/>
    </row>
    <row r="430" spans="1:8" x14ac:dyDescent="0.25">
      <c r="A430" s="5"/>
      <c r="B430" s="6"/>
      <c r="C430" s="6"/>
      <c r="D430" s="6"/>
      <c r="E430" s="6"/>
      <c r="G430" s="1"/>
      <c r="H430" s="2"/>
    </row>
    <row r="431" spans="1:8" x14ac:dyDescent="0.25">
      <c r="A431" s="5"/>
      <c r="B431" s="6"/>
      <c r="C431" s="6"/>
      <c r="D431" s="6"/>
      <c r="E431" s="6"/>
      <c r="G431" s="3"/>
      <c r="H431" s="2"/>
    </row>
    <row r="432" spans="1:8" x14ac:dyDescent="0.25">
      <c r="A432" s="5"/>
      <c r="B432" s="6"/>
      <c r="C432" s="6"/>
      <c r="D432" s="6"/>
      <c r="E432" s="6"/>
      <c r="G432" s="1"/>
      <c r="H432" s="2"/>
    </row>
    <row r="433" spans="1:8" x14ac:dyDescent="0.25">
      <c r="A433" s="5"/>
      <c r="B433" s="6"/>
      <c r="C433" s="6"/>
      <c r="D433" s="6"/>
      <c r="E433" s="6"/>
      <c r="G433" s="3"/>
      <c r="H433" s="2"/>
    </row>
    <row r="434" spans="1:8" x14ac:dyDescent="0.25">
      <c r="A434" s="5"/>
      <c r="B434" s="6"/>
      <c r="C434" s="6"/>
      <c r="D434" s="6"/>
      <c r="E434" s="6"/>
      <c r="G434" s="1"/>
      <c r="H434" s="2"/>
    </row>
    <row r="435" spans="1:8" x14ac:dyDescent="0.25">
      <c r="A435" s="5"/>
      <c r="B435" s="6"/>
      <c r="C435" s="6"/>
      <c r="D435" s="6"/>
      <c r="E435" s="6"/>
      <c r="G435" s="3"/>
      <c r="H435" s="2"/>
    </row>
    <row r="436" spans="1:8" x14ac:dyDescent="0.25">
      <c r="A436" s="5"/>
      <c r="B436" s="6"/>
      <c r="C436" s="6"/>
      <c r="D436" s="6"/>
      <c r="E436" s="6"/>
      <c r="G436" s="1"/>
      <c r="H436" s="2"/>
    </row>
    <row r="437" spans="1:8" x14ac:dyDescent="0.25">
      <c r="A437" s="5"/>
      <c r="B437" s="6"/>
      <c r="C437" s="6"/>
      <c r="D437" s="6"/>
      <c r="E437" s="6"/>
      <c r="G437" s="3"/>
      <c r="H437" s="2"/>
    </row>
    <row r="438" spans="1:8" x14ac:dyDescent="0.25">
      <c r="A438" s="5"/>
      <c r="B438" s="6"/>
      <c r="C438" s="6"/>
      <c r="D438" s="6"/>
      <c r="E438" s="6"/>
      <c r="G438" s="1"/>
      <c r="H438" s="2"/>
    </row>
    <row r="439" spans="1:8" x14ac:dyDescent="0.25">
      <c r="A439" s="5"/>
      <c r="B439" s="6"/>
      <c r="C439" s="6"/>
      <c r="D439" s="6"/>
      <c r="E439" s="6"/>
      <c r="G439" s="3"/>
      <c r="H439" s="2"/>
    </row>
    <row r="440" spans="1:8" x14ac:dyDescent="0.25">
      <c r="A440" s="5"/>
      <c r="B440" s="6"/>
      <c r="C440" s="6"/>
      <c r="D440" s="6"/>
      <c r="E440" s="6"/>
      <c r="G440" s="1"/>
      <c r="H440" s="2"/>
    </row>
    <row r="441" spans="1:8" x14ac:dyDescent="0.25">
      <c r="A441" s="5"/>
      <c r="B441" s="6"/>
      <c r="C441" s="6"/>
      <c r="D441" s="6"/>
      <c r="E441" s="6"/>
      <c r="G441" s="3"/>
      <c r="H441" s="2"/>
    </row>
    <row r="442" spans="1:8" x14ac:dyDescent="0.25">
      <c r="A442" s="5"/>
      <c r="B442" s="6"/>
      <c r="C442" s="6"/>
      <c r="D442" s="6"/>
      <c r="E442" s="6"/>
      <c r="G442" s="1"/>
      <c r="H442" s="2"/>
    </row>
    <row r="443" spans="1:8" x14ac:dyDescent="0.25">
      <c r="A443" s="5"/>
      <c r="B443" s="6"/>
      <c r="C443" s="6"/>
      <c r="D443" s="6"/>
      <c r="E443" s="6"/>
      <c r="G443" s="3"/>
      <c r="H443" s="2"/>
    </row>
    <row r="444" spans="1:8" x14ac:dyDescent="0.25">
      <c r="A444" s="5"/>
      <c r="B444" s="6"/>
      <c r="C444" s="6"/>
      <c r="D444" s="6"/>
      <c r="E444" s="6"/>
      <c r="G444" s="1"/>
      <c r="H444" s="2"/>
    </row>
    <row r="445" spans="1:8" x14ac:dyDescent="0.25">
      <c r="A445" s="5"/>
      <c r="B445" s="6"/>
      <c r="C445" s="6"/>
      <c r="D445" s="6"/>
      <c r="E445" s="6"/>
      <c r="G445" s="3"/>
      <c r="H445" s="2"/>
    </row>
    <row r="446" spans="1:8" x14ac:dyDescent="0.25">
      <c r="A446" s="5"/>
      <c r="B446" s="6"/>
      <c r="C446" s="6"/>
      <c r="D446" s="6"/>
      <c r="E446" s="6"/>
      <c r="G446" s="1"/>
      <c r="H446" s="2"/>
    </row>
    <row r="447" spans="1:8" x14ac:dyDescent="0.25">
      <c r="A447" s="5"/>
      <c r="B447" s="6"/>
      <c r="C447" s="6"/>
      <c r="D447" s="6"/>
      <c r="E447" s="6"/>
      <c r="G447" s="3"/>
      <c r="H447" s="2"/>
    </row>
    <row r="448" spans="1:8" x14ac:dyDescent="0.25">
      <c r="A448" s="5"/>
      <c r="B448" s="6"/>
      <c r="C448" s="6"/>
      <c r="D448" s="6"/>
      <c r="E448" s="6"/>
      <c r="G448" s="1"/>
      <c r="H448" s="2"/>
    </row>
    <row r="449" spans="1:8" x14ac:dyDescent="0.25">
      <c r="A449" s="5"/>
      <c r="B449" s="6"/>
      <c r="C449" s="6"/>
      <c r="D449" s="6"/>
      <c r="E449" s="6"/>
      <c r="G449" s="3"/>
      <c r="H449" s="2"/>
    </row>
    <row r="450" spans="1:8" x14ac:dyDescent="0.25">
      <c r="A450" s="5"/>
      <c r="B450" s="6"/>
      <c r="C450" s="6"/>
      <c r="D450" s="6"/>
      <c r="E450" s="6"/>
      <c r="G450" s="1"/>
      <c r="H450" s="2"/>
    </row>
    <row r="451" spans="1:8" x14ac:dyDescent="0.25">
      <c r="A451" s="5"/>
      <c r="B451" s="6"/>
      <c r="C451" s="6"/>
      <c r="D451" s="6"/>
      <c r="E451" s="6"/>
      <c r="G451" s="3"/>
      <c r="H451" s="2"/>
    </row>
    <row r="452" spans="1:8" x14ac:dyDescent="0.25">
      <c r="A452" s="5"/>
      <c r="B452" s="6"/>
      <c r="C452" s="6"/>
      <c r="D452" s="6"/>
      <c r="E452" s="6"/>
      <c r="G452" s="1"/>
      <c r="H452" s="2"/>
    </row>
    <row r="453" spans="1:8" x14ac:dyDescent="0.25">
      <c r="A453" s="5"/>
      <c r="B453" s="6"/>
      <c r="C453" s="6"/>
      <c r="D453" s="6"/>
      <c r="E453" s="6"/>
      <c r="G453" s="3"/>
      <c r="H453" s="2"/>
    </row>
    <row r="454" spans="1:8" x14ac:dyDescent="0.25">
      <c r="A454" s="5"/>
      <c r="B454" s="6"/>
      <c r="C454" s="6"/>
      <c r="D454" s="6"/>
      <c r="E454" s="6"/>
      <c r="G454" s="1"/>
      <c r="H454" s="2"/>
    </row>
    <row r="455" spans="1:8" x14ac:dyDescent="0.25">
      <c r="A455" s="5"/>
      <c r="B455" s="6"/>
      <c r="C455" s="6"/>
      <c r="D455" s="6"/>
      <c r="E455" s="6"/>
      <c r="G455" s="3"/>
      <c r="H455" s="2"/>
    </row>
    <row r="456" spans="1:8" x14ac:dyDescent="0.25">
      <c r="A456" s="5"/>
      <c r="B456" s="6"/>
      <c r="C456" s="6"/>
      <c r="D456" s="6"/>
      <c r="E456" s="6"/>
      <c r="G456" s="1"/>
      <c r="H456" s="2"/>
    </row>
    <row r="457" spans="1:8" x14ac:dyDescent="0.25">
      <c r="A457" s="5"/>
      <c r="B457" s="6"/>
      <c r="C457" s="6"/>
      <c r="D457" s="6"/>
      <c r="E457" s="6"/>
      <c r="G457" s="3"/>
      <c r="H457" s="2"/>
    </row>
    <row r="458" spans="1:8" x14ac:dyDescent="0.25">
      <c r="A458" s="5"/>
      <c r="B458" s="6"/>
      <c r="C458" s="6"/>
      <c r="D458" s="6"/>
      <c r="E458" s="6"/>
      <c r="G458" s="1"/>
      <c r="H458" s="2"/>
    </row>
    <row r="459" spans="1:8" x14ac:dyDescent="0.25">
      <c r="A459" s="5"/>
      <c r="B459" s="6"/>
      <c r="C459" s="6"/>
      <c r="D459" s="6"/>
      <c r="E459" s="6"/>
      <c r="G459" s="3"/>
      <c r="H459" s="2"/>
    </row>
    <row r="460" spans="1:8" x14ac:dyDescent="0.25">
      <c r="A460" s="5"/>
      <c r="B460" s="6"/>
      <c r="C460" s="6"/>
      <c r="D460" s="6"/>
      <c r="E460" s="6"/>
      <c r="G460" s="1"/>
      <c r="H460" s="2"/>
    </row>
    <row r="461" spans="1:8" x14ac:dyDescent="0.25">
      <c r="A461" s="5"/>
      <c r="B461" s="6"/>
      <c r="C461" s="6"/>
      <c r="D461" s="6"/>
      <c r="E461" s="6"/>
      <c r="G461" s="3"/>
      <c r="H461" s="2"/>
    </row>
    <row r="462" spans="1:8" x14ac:dyDescent="0.25">
      <c r="A462" s="5"/>
      <c r="B462" s="6"/>
      <c r="C462" s="6"/>
      <c r="D462" s="6"/>
      <c r="E462" s="6"/>
      <c r="G462" s="1"/>
      <c r="H462" s="2"/>
    </row>
    <row r="463" spans="1:8" x14ac:dyDescent="0.25">
      <c r="A463" s="5"/>
      <c r="B463" s="6"/>
      <c r="C463" s="6"/>
      <c r="D463" s="6"/>
      <c r="E463" s="6"/>
      <c r="G463" s="3"/>
      <c r="H463" s="2"/>
    </row>
    <row r="464" spans="1:8" x14ac:dyDescent="0.25">
      <c r="A464" s="5"/>
      <c r="B464" s="6"/>
      <c r="C464" s="6"/>
      <c r="D464" s="6"/>
      <c r="E464" s="6"/>
      <c r="G464" s="1"/>
      <c r="H464" s="2"/>
    </row>
    <row r="465" spans="1:8" x14ac:dyDescent="0.25">
      <c r="A465" s="5"/>
      <c r="B465" s="6"/>
      <c r="C465" s="6"/>
      <c r="D465" s="6"/>
      <c r="E465" s="6"/>
      <c r="G465" s="3"/>
      <c r="H465" s="2"/>
    </row>
    <row r="466" spans="1:8" x14ac:dyDescent="0.25">
      <c r="A466" s="5"/>
      <c r="B466" s="6"/>
      <c r="C466" s="6"/>
      <c r="D466" s="6"/>
      <c r="E466" s="6"/>
      <c r="G466" s="1"/>
      <c r="H466" s="2"/>
    </row>
    <row r="467" spans="1:8" x14ac:dyDescent="0.25">
      <c r="A467" s="5"/>
      <c r="B467" s="6"/>
      <c r="C467" s="6"/>
      <c r="D467" s="6"/>
      <c r="E467" s="6"/>
      <c r="G467" s="3"/>
      <c r="H467" s="2"/>
    </row>
    <row r="468" spans="1:8" x14ac:dyDescent="0.25">
      <c r="A468" s="5"/>
      <c r="B468" s="6"/>
      <c r="C468" s="6"/>
      <c r="D468" s="6"/>
      <c r="E468" s="6"/>
      <c r="G468" s="1"/>
      <c r="H468" s="2"/>
    </row>
    <row r="469" spans="1:8" x14ac:dyDescent="0.25">
      <c r="A469" s="5"/>
      <c r="B469" s="6"/>
      <c r="C469" s="6"/>
      <c r="D469" s="6"/>
      <c r="E469" s="6"/>
      <c r="G469" s="3"/>
      <c r="H469" s="2"/>
    </row>
    <row r="470" spans="1:8" x14ac:dyDescent="0.25">
      <c r="A470" s="5"/>
      <c r="B470" s="6"/>
      <c r="C470" s="6"/>
      <c r="D470" s="6"/>
      <c r="E470" s="6"/>
      <c r="G470" s="1"/>
      <c r="H470" s="2"/>
    </row>
    <row r="471" spans="1:8" x14ac:dyDescent="0.25">
      <c r="A471" s="5"/>
      <c r="B471" s="6"/>
      <c r="C471" s="6"/>
      <c r="D471" s="6"/>
      <c r="E471" s="6"/>
      <c r="G471" s="3"/>
      <c r="H471" s="2"/>
    </row>
    <row r="472" spans="1:8" x14ac:dyDescent="0.25">
      <c r="A472" s="5"/>
      <c r="B472" s="6"/>
      <c r="C472" s="6"/>
      <c r="D472" s="6"/>
      <c r="E472" s="6"/>
      <c r="G472" s="1"/>
      <c r="H472" s="2"/>
    </row>
    <row r="473" spans="1:8" x14ac:dyDescent="0.25">
      <c r="A473" s="5"/>
      <c r="B473" s="6"/>
      <c r="C473" s="6"/>
      <c r="D473" s="6"/>
      <c r="E473" s="6"/>
      <c r="G473" s="3"/>
      <c r="H473" s="2"/>
    </row>
    <row r="474" spans="1:8" x14ac:dyDescent="0.25">
      <c r="A474" s="5"/>
      <c r="B474" s="6"/>
      <c r="C474" s="6"/>
      <c r="D474" s="6"/>
      <c r="E474" s="6"/>
      <c r="G474" s="1"/>
      <c r="H474" s="2"/>
    </row>
    <row r="475" spans="1:8" x14ac:dyDescent="0.25">
      <c r="A475" s="5"/>
      <c r="B475" s="6"/>
      <c r="C475" s="6"/>
      <c r="D475" s="6"/>
      <c r="E475" s="6"/>
      <c r="G475" s="3"/>
      <c r="H475" s="2"/>
    </row>
    <row r="476" spans="1:8" x14ac:dyDescent="0.25">
      <c r="A476" s="5"/>
      <c r="B476" s="6"/>
      <c r="C476" s="6"/>
      <c r="D476" s="6"/>
      <c r="E476" s="6"/>
      <c r="G476" s="1"/>
      <c r="H476" s="2"/>
    </row>
    <row r="477" spans="1:8" x14ac:dyDescent="0.25">
      <c r="A477" s="5"/>
      <c r="B477" s="6"/>
      <c r="C477" s="6"/>
      <c r="D477" s="6"/>
      <c r="E477" s="6"/>
      <c r="G477" s="3"/>
      <c r="H477" s="2"/>
    </row>
    <row r="478" spans="1:8" x14ac:dyDescent="0.25">
      <c r="A478" s="5"/>
      <c r="B478" s="6"/>
      <c r="C478" s="6"/>
      <c r="D478" s="6"/>
      <c r="E478" s="6"/>
      <c r="G478" s="1"/>
      <c r="H478" s="2"/>
    </row>
    <row r="479" spans="1:8" x14ac:dyDescent="0.25">
      <c r="A479" s="5"/>
      <c r="B479" s="6"/>
      <c r="C479" s="6"/>
      <c r="D479" s="6"/>
      <c r="E479" s="6"/>
      <c r="G479" s="3"/>
      <c r="H479" s="2"/>
    </row>
    <row r="480" spans="1:8" x14ac:dyDescent="0.25">
      <c r="A480" s="5"/>
      <c r="B480" s="6"/>
      <c r="C480" s="6"/>
      <c r="D480" s="6"/>
      <c r="E480" s="6"/>
      <c r="G480" s="1"/>
      <c r="H480" s="2"/>
    </row>
    <row r="481" spans="1:8" x14ac:dyDescent="0.25">
      <c r="A481" s="5"/>
      <c r="B481" s="6"/>
      <c r="C481" s="6"/>
      <c r="D481" s="6"/>
      <c r="E481" s="6"/>
      <c r="G481" s="3"/>
      <c r="H481" s="2"/>
    </row>
    <row r="482" spans="1:8" x14ac:dyDescent="0.25">
      <c r="A482" s="5"/>
      <c r="B482" s="6"/>
      <c r="C482" s="6"/>
      <c r="D482" s="6"/>
      <c r="E482" s="6"/>
      <c r="G482" s="1"/>
      <c r="H482" s="2"/>
    </row>
    <row r="483" spans="1:8" x14ac:dyDescent="0.25">
      <c r="A483" s="5"/>
      <c r="B483" s="6"/>
      <c r="C483" s="6"/>
      <c r="D483" s="6"/>
      <c r="E483" s="6"/>
      <c r="G483" s="3"/>
      <c r="H483" s="2"/>
    </row>
    <row r="484" spans="1:8" x14ac:dyDescent="0.25">
      <c r="A484" s="5"/>
      <c r="B484" s="6"/>
      <c r="C484" s="6"/>
      <c r="D484" s="6"/>
      <c r="E484" s="6"/>
      <c r="G484" s="1"/>
      <c r="H484" s="2"/>
    </row>
    <row r="485" spans="1:8" x14ac:dyDescent="0.25">
      <c r="A485" s="5"/>
      <c r="B485" s="6"/>
      <c r="C485" s="6"/>
      <c r="D485" s="6"/>
      <c r="E485" s="6"/>
      <c r="G485" s="3"/>
      <c r="H485" s="2"/>
    </row>
    <row r="486" spans="1:8" x14ac:dyDescent="0.25">
      <c r="A486" s="5"/>
      <c r="B486" s="6"/>
      <c r="C486" s="6"/>
      <c r="D486" s="6"/>
      <c r="E486" s="6"/>
      <c r="G486" s="1"/>
      <c r="H486" s="2"/>
    </row>
    <row r="487" spans="1:8" x14ac:dyDescent="0.25">
      <c r="A487" s="5"/>
      <c r="B487" s="6"/>
      <c r="C487" s="6"/>
      <c r="D487" s="6"/>
      <c r="E487" s="6"/>
      <c r="G487" s="3"/>
      <c r="H487" s="2"/>
    </row>
    <row r="488" spans="1:8" x14ac:dyDescent="0.25">
      <c r="A488" s="5"/>
      <c r="B488" s="6"/>
      <c r="C488" s="6"/>
      <c r="D488" s="6"/>
      <c r="E488" s="6"/>
      <c r="G488" s="1"/>
      <c r="H488" s="2"/>
    </row>
    <row r="489" spans="1:8" x14ac:dyDescent="0.25">
      <c r="A489" s="5"/>
      <c r="B489" s="6"/>
      <c r="C489" s="6"/>
      <c r="D489" s="6"/>
      <c r="E489" s="6"/>
      <c r="G489" s="3"/>
      <c r="H489" s="2"/>
    </row>
    <row r="490" spans="1:8" x14ac:dyDescent="0.25">
      <c r="A490" s="5"/>
      <c r="B490" s="6"/>
      <c r="C490" s="6"/>
      <c r="D490" s="6"/>
      <c r="E490" s="6"/>
      <c r="G490" s="1"/>
      <c r="H490" s="2"/>
    </row>
    <row r="491" spans="1:8" x14ac:dyDescent="0.25">
      <c r="A491" s="5"/>
      <c r="B491" s="6"/>
      <c r="C491" s="6"/>
      <c r="D491" s="6"/>
      <c r="E491" s="6"/>
      <c r="G491" s="3"/>
      <c r="H491" s="2"/>
    </row>
    <row r="492" spans="1:8" x14ac:dyDescent="0.25">
      <c r="A492" s="5"/>
      <c r="B492" s="6"/>
      <c r="C492" s="6"/>
      <c r="D492" s="6"/>
      <c r="E492" s="6"/>
      <c r="G492" s="1"/>
      <c r="H492" s="2"/>
    </row>
    <row r="493" spans="1:8" x14ac:dyDescent="0.25">
      <c r="A493" s="5"/>
      <c r="B493" s="6"/>
      <c r="C493" s="6"/>
      <c r="D493" s="6"/>
      <c r="E493" s="6"/>
      <c r="G493" s="3"/>
      <c r="H493" s="2"/>
    </row>
    <row r="494" spans="1:8" x14ac:dyDescent="0.25">
      <c r="A494" s="5"/>
      <c r="B494" s="6"/>
      <c r="C494" s="6"/>
      <c r="D494" s="6"/>
      <c r="E494" s="6"/>
      <c r="G494" s="1"/>
      <c r="H494" s="2"/>
    </row>
    <row r="495" spans="1:8" x14ac:dyDescent="0.25">
      <c r="A495" s="5"/>
      <c r="B495" s="6"/>
      <c r="C495" s="6"/>
      <c r="D495" s="6"/>
      <c r="E495" s="6"/>
      <c r="G495" s="3"/>
      <c r="H495" s="2"/>
    </row>
    <row r="496" spans="1:8" x14ac:dyDescent="0.25">
      <c r="A496" s="5"/>
      <c r="B496" s="6"/>
      <c r="C496" s="6"/>
      <c r="D496" s="6"/>
      <c r="E496" s="6"/>
      <c r="G496" s="1"/>
      <c r="H496" s="2"/>
    </row>
    <row r="497" spans="1:8" x14ac:dyDescent="0.25">
      <c r="A497" s="5"/>
      <c r="B497" s="6"/>
      <c r="C497" s="6"/>
      <c r="D497" s="6"/>
      <c r="E497" s="6"/>
      <c r="G497" s="3"/>
      <c r="H497" s="2"/>
    </row>
    <row r="498" spans="1:8" x14ac:dyDescent="0.25">
      <c r="A498" s="5"/>
      <c r="B498" s="6"/>
      <c r="C498" s="6"/>
      <c r="D498" s="6"/>
      <c r="E498" s="6"/>
      <c r="G498" s="1"/>
      <c r="H498" s="2"/>
    </row>
    <row r="499" spans="1:8" x14ac:dyDescent="0.25">
      <c r="A499" s="5"/>
      <c r="B499" s="6"/>
      <c r="C499" s="6"/>
      <c r="D499" s="6"/>
      <c r="E499" s="6"/>
      <c r="G499" s="3"/>
      <c r="H499" s="2"/>
    </row>
    <row r="500" spans="1:8" x14ac:dyDescent="0.25">
      <c r="A500" s="5"/>
      <c r="B500" s="6"/>
      <c r="C500" s="6"/>
      <c r="D500" s="6"/>
      <c r="E500" s="6"/>
      <c r="G500" s="1"/>
      <c r="H500" s="2"/>
    </row>
    <row r="501" spans="1:8" x14ac:dyDescent="0.25">
      <c r="A501" s="5"/>
      <c r="B501" s="6"/>
      <c r="C501" s="6"/>
      <c r="D501" s="6"/>
      <c r="E501" s="6"/>
      <c r="G501" s="3"/>
      <c r="H501" s="2"/>
    </row>
    <row r="502" spans="1:8" x14ac:dyDescent="0.25">
      <c r="A502" s="5"/>
      <c r="B502" s="6"/>
      <c r="C502" s="6"/>
      <c r="D502" s="6"/>
      <c r="E502" s="6"/>
      <c r="G502" s="1"/>
      <c r="H502" s="2"/>
    </row>
    <row r="503" spans="1:8" x14ac:dyDescent="0.25">
      <c r="A503" s="5"/>
      <c r="B503" s="6"/>
      <c r="C503" s="6"/>
      <c r="D503" s="6"/>
      <c r="E503" s="6"/>
      <c r="G503" s="3"/>
      <c r="H503" s="2"/>
    </row>
    <row r="504" spans="1:8" x14ac:dyDescent="0.25">
      <c r="A504" s="5"/>
      <c r="B504" s="6"/>
      <c r="C504" s="6"/>
      <c r="D504" s="6"/>
      <c r="E504" s="6"/>
      <c r="G504" s="1"/>
      <c r="H504" s="2"/>
    </row>
    <row r="505" spans="1:8" x14ac:dyDescent="0.25">
      <c r="A505" s="5"/>
      <c r="B505" s="6"/>
      <c r="C505" s="6"/>
      <c r="D505" s="6"/>
      <c r="E505" s="6"/>
      <c r="G505" s="14"/>
      <c r="H505" s="2"/>
    </row>
    <row r="506" spans="1:8" x14ac:dyDescent="0.25">
      <c r="A506" s="5"/>
      <c r="B506" s="6"/>
      <c r="C506" s="6"/>
      <c r="D506" s="6"/>
      <c r="E506" s="6"/>
      <c r="G506" s="14"/>
      <c r="H506" s="2"/>
    </row>
    <row r="507" spans="1:8" x14ac:dyDescent="0.25">
      <c r="A507" s="5"/>
      <c r="B507" s="6"/>
      <c r="C507" s="6"/>
      <c r="D507" s="6"/>
      <c r="E507" s="6"/>
      <c r="G507" s="14"/>
      <c r="H507" s="2"/>
    </row>
    <row r="508" spans="1:8" x14ac:dyDescent="0.25">
      <c r="A508" s="5"/>
      <c r="B508" s="6"/>
      <c r="C508" s="6"/>
      <c r="D508" s="6"/>
      <c r="E508" s="6"/>
      <c r="G508" s="14"/>
      <c r="H508" s="2"/>
    </row>
    <row r="509" spans="1:8" x14ac:dyDescent="0.25">
      <c r="A509" s="5"/>
      <c r="B509" s="6"/>
      <c r="C509" s="6"/>
      <c r="D509" s="6"/>
      <c r="E509" s="6"/>
      <c r="G509" s="14"/>
      <c r="H509" s="2"/>
    </row>
    <row r="510" spans="1:8" x14ac:dyDescent="0.25">
      <c r="A510" s="5"/>
      <c r="B510" s="6"/>
      <c r="C510" s="6"/>
      <c r="D510" s="6"/>
      <c r="E510" s="6"/>
      <c r="G510" s="14"/>
      <c r="H510" s="2"/>
    </row>
    <row r="511" spans="1:8" x14ac:dyDescent="0.25">
      <c r="A511" s="5"/>
      <c r="B511" s="6"/>
      <c r="C511" s="6"/>
      <c r="D511" s="6"/>
      <c r="E511" s="6"/>
    </row>
    <row r="512" spans="1:8" x14ac:dyDescent="0.25">
      <c r="A512" s="5"/>
      <c r="B512" s="6"/>
      <c r="C512" s="6"/>
      <c r="D512" s="6"/>
      <c r="E512" s="6"/>
      <c r="G512" s="3"/>
      <c r="H512" s="2"/>
    </row>
    <row r="513" spans="1:8" x14ac:dyDescent="0.25">
      <c r="A513" s="5"/>
      <c r="B513" s="6"/>
      <c r="C513" s="6"/>
      <c r="D513" s="6"/>
      <c r="E513" s="6"/>
      <c r="G513" s="1"/>
      <c r="H513" s="2"/>
    </row>
    <row r="514" spans="1:8" x14ac:dyDescent="0.25">
      <c r="A514" s="5"/>
      <c r="B514" s="6"/>
      <c r="C514" s="6"/>
      <c r="D514" s="6"/>
      <c r="E514" s="6"/>
      <c r="G514" s="3"/>
      <c r="H514" s="2"/>
    </row>
    <row r="515" spans="1:8" x14ac:dyDescent="0.25">
      <c r="A515" s="5"/>
      <c r="B515" s="6"/>
      <c r="C515" s="6"/>
      <c r="D515" s="6"/>
      <c r="E515" s="6"/>
      <c r="G515" s="1"/>
      <c r="H515" s="2"/>
    </row>
    <row r="516" spans="1:8" x14ac:dyDescent="0.25">
      <c r="A516" s="5"/>
      <c r="B516" s="6"/>
      <c r="C516" s="6"/>
      <c r="D516" s="6"/>
      <c r="E516" s="6"/>
      <c r="G516" s="3"/>
      <c r="H516" s="2"/>
    </row>
    <row r="517" spans="1:8" x14ac:dyDescent="0.25">
      <c r="A517" s="5"/>
      <c r="B517" s="6"/>
      <c r="C517" s="6"/>
      <c r="D517" s="6"/>
      <c r="E517" s="6"/>
      <c r="G517" s="1"/>
      <c r="H517" s="2"/>
    </row>
    <row r="518" spans="1:8" x14ac:dyDescent="0.25">
      <c r="A518" s="5"/>
      <c r="B518" s="6"/>
      <c r="C518" s="6"/>
      <c r="D518" s="6"/>
      <c r="E518" s="6"/>
      <c r="G518" s="3"/>
      <c r="H518" s="2"/>
    </row>
    <row r="519" spans="1:8" x14ac:dyDescent="0.25">
      <c r="A519" s="5"/>
      <c r="B519" s="6"/>
      <c r="C519" s="6"/>
      <c r="D519" s="6"/>
      <c r="E519" s="6"/>
      <c r="G519" s="1"/>
      <c r="H519" s="2"/>
    </row>
    <row r="520" spans="1:8" x14ac:dyDescent="0.25">
      <c r="A520" s="5"/>
      <c r="B520" s="6"/>
      <c r="C520" s="6"/>
      <c r="D520" s="6"/>
      <c r="E520" s="6"/>
      <c r="G520" s="3"/>
      <c r="H520" s="2"/>
    </row>
    <row r="521" spans="1:8" x14ac:dyDescent="0.25">
      <c r="A521" s="5"/>
      <c r="B521" s="6"/>
      <c r="C521" s="6"/>
      <c r="D521" s="6"/>
      <c r="E521" s="6"/>
      <c r="G521" s="1"/>
      <c r="H521" s="2"/>
    </row>
    <row r="522" spans="1:8" x14ac:dyDescent="0.25">
      <c r="A522" s="5"/>
      <c r="B522" s="6"/>
      <c r="C522" s="6"/>
      <c r="D522" s="6"/>
      <c r="E522" s="6"/>
      <c r="G522" s="3"/>
      <c r="H522" s="2"/>
    </row>
    <row r="523" spans="1:8" x14ac:dyDescent="0.25">
      <c r="A523" s="5"/>
      <c r="B523" s="6"/>
      <c r="C523" s="6"/>
      <c r="D523" s="6"/>
      <c r="E523" s="6"/>
      <c r="G523" s="1"/>
      <c r="H523" s="2"/>
    </row>
    <row r="524" spans="1:8" x14ac:dyDescent="0.25">
      <c r="A524" s="5"/>
      <c r="B524" s="6"/>
      <c r="C524" s="6"/>
      <c r="D524" s="6"/>
      <c r="E524" s="6"/>
      <c r="G524" s="3"/>
      <c r="H524" s="2"/>
    </row>
    <row r="525" spans="1:8" x14ac:dyDescent="0.25">
      <c r="A525" s="5"/>
      <c r="B525" s="6"/>
      <c r="C525" s="6"/>
      <c r="D525" s="6"/>
      <c r="E525" s="6"/>
      <c r="G525" s="1"/>
      <c r="H525" s="2"/>
    </row>
    <row r="526" spans="1:8" x14ac:dyDescent="0.25">
      <c r="A526" s="5"/>
      <c r="B526" s="6"/>
      <c r="C526" s="6"/>
      <c r="D526" s="6"/>
      <c r="E526" s="6"/>
      <c r="G526" s="3"/>
      <c r="H526" s="2"/>
    </row>
    <row r="527" spans="1:8" x14ac:dyDescent="0.25">
      <c r="A527" s="5"/>
      <c r="B527" s="6"/>
      <c r="C527" s="6"/>
      <c r="D527" s="6"/>
      <c r="E527" s="6"/>
      <c r="G527" s="1"/>
      <c r="H527" s="2"/>
    </row>
    <row r="528" spans="1:8" x14ac:dyDescent="0.25">
      <c r="A528" s="5"/>
      <c r="B528" s="6"/>
      <c r="C528" s="6"/>
      <c r="D528" s="6"/>
      <c r="E528" s="6"/>
      <c r="G528" s="3"/>
      <c r="H528" s="2"/>
    </row>
    <row r="529" spans="1:8" x14ac:dyDescent="0.25">
      <c r="A529" s="5"/>
      <c r="B529" s="6"/>
      <c r="C529" s="6"/>
      <c r="D529" s="6"/>
      <c r="E529" s="6"/>
      <c r="G529" s="1"/>
      <c r="H529" s="2"/>
    </row>
    <row r="530" spans="1:8" x14ac:dyDescent="0.25">
      <c r="A530" s="5"/>
      <c r="B530" s="6"/>
      <c r="C530" s="6"/>
      <c r="D530" s="6"/>
      <c r="E530" s="6"/>
      <c r="G530" s="3"/>
      <c r="H530" s="2"/>
    </row>
    <row r="531" spans="1:8" x14ac:dyDescent="0.25">
      <c r="A531" s="5"/>
      <c r="B531" s="6"/>
      <c r="C531" s="6"/>
      <c r="D531" s="6"/>
      <c r="E531" s="6"/>
      <c r="G531" s="1"/>
      <c r="H531" s="2"/>
    </row>
    <row r="532" spans="1:8" x14ac:dyDescent="0.25">
      <c r="A532" s="5"/>
      <c r="B532" s="6"/>
      <c r="C532" s="6"/>
      <c r="D532" s="6"/>
      <c r="E532" s="6"/>
      <c r="G532" s="3"/>
      <c r="H532" s="2"/>
    </row>
    <row r="533" spans="1:8" x14ac:dyDescent="0.25">
      <c r="A533" s="5"/>
      <c r="B533" s="6"/>
      <c r="C533" s="6"/>
      <c r="D533" s="6"/>
      <c r="E533" s="6"/>
      <c r="G533" s="1"/>
      <c r="H533" s="2"/>
    </row>
    <row r="534" spans="1:8" x14ac:dyDescent="0.25">
      <c r="A534" s="5"/>
      <c r="B534" s="6"/>
      <c r="C534" s="6"/>
      <c r="D534" s="6"/>
      <c r="E534" s="6"/>
      <c r="G534" s="3"/>
      <c r="H534" s="2"/>
    </row>
    <row r="535" spans="1:8" x14ac:dyDescent="0.25">
      <c r="A535" s="5"/>
      <c r="B535" s="6"/>
      <c r="C535" s="6"/>
      <c r="D535" s="6"/>
      <c r="E535" s="6"/>
      <c r="G535" s="1"/>
      <c r="H535" s="2"/>
    </row>
    <row r="536" spans="1:8" x14ac:dyDescent="0.25">
      <c r="A536" s="5"/>
      <c r="B536" s="6"/>
      <c r="C536" s="6"/>
      <c r="D536" s="6"/>
      <c r="E536" s="6"/>
      <c r="G536" s="3"/>
      <c r="H536" s="2"/>
    </row>
    <row r="537" spans="1:8" x14ac:dyDescent="0.25">
      <c r="A537" s="5"/>
      <c r="B537" s="6"/>
      <c r="C537" s="6"/>
      <c r="D537" s="6"/>
      <c r="E537" s="6"/>
      <c r="G537" s="1"/>
      <c r="H537" s="2"/>
    </row>
    <row r="538" spans="1:8" x14ac:dyDescent="0.25">
      <c r="A538" s="5"/>
      <c r="B538" s="6"/>
      <c r="C538" s="6"/>
      <c r="D538" s="6"/>
      <c r="E538" s="6"/>
      <c r="G538" s="3"/>
      <c r="H538" s="2"/>
    </row>
    <row r="539" spans="1:8" x14ac:dyDescent="0.25">
      <c r="A539" s="5"/>
      <c r="B539" s="6"/>
      <c r="C539" s="6"/>
      <c r="D539" s="6"/>
      <c r="E539" s="6"/>
      <c r="G539" s="1"/>
      <c r="H539" s="2"/>
    </row>
    <row r="540" spans="1:8" x14ac:dyDescent="0.25">
      <c r="A540" s="5"/>
      <c r="B540" s="6"/>
      <c r="C540" s="6"/>
      <c r="D540" s="6"/>
      <c r="E540" s="6"/>
      <c r="G540" s="3"/>
      <c r="H540" s="2"/>
    </row>
    <row r="541" spans="1:8" x14ac:dyDescent="0.25">
      <c r="A541" s="5"/>
      <c r="B541" s="6"/>
      <c r="C541" s="6"/>
      <c r="D541" s="6"/>
      <c r="E541" s="6"/>
      <c r="G541" s="1"/>
      <c r="H541" s="2"/>
    </row>
    <row r="542" spans="1:8" x14ac:dyDescent="0.25">
      <c r="A542" s="5"/>
      <c r="B542" s="6"/>
      <c r="C542" s="6"/>
      <c r="D542" s="6"/>
      <c r="E542" s="6"/>
      <c r="G542" s="3"/>
      <c r="H542" s="2"/>
    </row>
    <row r="543" spans="1:8" x14ac:dyDescent="0.25">
      <c r="A543" s="5"/>
      <c r="B543" s="6"/>
      <c r="C543" s="6"/>
      <c r="D543" s="6"/>
      <c r="E543" s="6"/>
      <c r="G543" s="1"/>
      <c r="H543" s="2"/>
    </row>
    <row r="544" spans="1:8" x14ac:dyDescent="0.25">
      <c r="A544" s="5"/>
      <c r="B544" s="6"/>
      <c r="C544" s="6"/>
      <c r="D544" s="6"/>
      <c r="E544" s="6"/>
      <c r="G544" s="3"/>
      <c r="H544" s="2"/>
    </row>
    <row r="545" spans="1:8" x14ac:dyDescent="0.25">
      <c r="A545" s="5"/>
      <c r="B545" s="6"/>
      <c r="C545" s="6"/>
      <c r="D545" s="6"/>
      <c r="E545" s="6"/>
      <c r="G545" s="1"/>
      <c r="H545" s="2"/>
    </row>
    <row r="546" spans="1:8" x14ac:dyDescent="0.25">
      <c r="A546" s="5"/>
      <c r="B546" s="6"/>
      <c r="C546" s="6"/>
      <c r="D546" s="6"/>
      <c r="E546" s="6"/>
      <c r="G546" s="3"/>
      <c r="H546" s="2"/>
    </row>
    <row r="547" spans="1:8" x14ac:dyDescent="0.25">
      <c r="A547" s="5"/>
      <c r="B547" s="6"/>
      <c r="C547" s="6"/>
      <c r="D547" s="6"/>
      <c r="E547" s="6"/>
      <c r="G547" s="1"/>
      <c r="H547" s="2"/>
    </row>
    <row r="548" spans="1:8" x14ac:dyDescent="0.25">
      <c r="A548" s="5"/>
      <c r="B548" s="6"/>
      <c r="C548" s="6"/>
      <c r="D548" s="6"/>
      <c r="E548" s="6"/>
      <c r="G548" s="3"/>
      <c r="H548" s="2"/>
    </row>
    <row r="549" spans="1:8" x14ac:dyDescent="0.25">
      <c r="A549" s="5"/>
      <c r="B549" s="6"/>
      <c r="C549" s="6"/>
      <c r="D549" s="6"/>
      <c r="E549" s="6"/>
      <c r="G549" s="1"/>
      <c r="H549" s="2"/>
    </row>
    <row r="550" spans="1:8" x14ac:dyDescent="0.25">
      <c r="A550" s="5"/>
      <c r="B550" s="6"/>
      <c r="C550" s="6"/>
      <c r="D550" s="6"/>
      <c r="E550" s="6"/>
      <c r="G550" s="3"/>
      <c r="H550" s="2"/>
    </row>
    <row r="551" spans="1:8" x14ac:dyDescent="0.25">
      <c r="A551" s="5"/>
      <c r="B551" s="6"/>
      <c r="C551" s="6"/>
      <c r="D551" s="6"/>
      <c r="E551" s="6"/>
      <c r="G551" s="1"/>
      <c r="H551" s="2"/>
    </row>
    <row r="552" spans="1:8" x14ac:dyDescent="0.25">
      <c r="A552" s="5"/>
      <c r="B552" s="6"/>
      <c r="C552" s="6"/>
      <c r="D552" s="6"/>
      <c r="E552" s="6"/>
      <c r="G552" s="3"/>
      <c r="H552" s="2"/>
    </row>
    <row r="553" spans="1:8" x14ac:dyDescent="0.25">
      <c r="A553" s="5"/>
      <c r="B553" s="6"/>
      <c r="C553" s="6"/>
      <c r="D553" s="6"/>
      <c r="E553" s="6"/>
      <c r="G553" s="1"/>
      <c r="H553" s="2"/>
    </row>
    <row r="554" spans="1:8" x14ac:dyDescent="0.25">
      <c r="A554" s="5"/>
      <c r="B554" s="6"/>
      <c r="C554" s="6"/>
      <c r="D554" s="6"/>
      <c r="E554" s="6"/>
      <c r="G554" s="3"/>
      <c r="H554" s="2"/>
    </row>
    <row r="555" spans="1:8" x14ac:dyDescent="0.25">
      <c r="A555" s="5"/>
      <c r="B555" s="6"/>
      <c r="C555" s="6"/>
      <c r="D555" s="6"/>
      <c r="E555" s="6"/>
      <c r="G555" s="1"/>
      <c r="H555" s="2"/>
    </row>
    <row r="556" spans="1:8" x14ac:dyDescent="0.25">
      <c r="A556" s="5"/>
      <c r="B556" s="6"/>
      <c r="C556" s="6"/>
      <c r="D556" s="6"/>
      <c r="E556" s="6"/>
      <c r="G556" s="3"/>
      <c r="H556" s="2"/>
    </row>
    <row r="557" spans="1:8" x14ac:dyDescent="0.25">
      <c r="A557" s="5"/>
      <c r="B557" s="6"/>
      <c r="C557" s="6"/>
      <c r="D557" s="6"/>
      <c r="E557" s="6"/>
      <c r="G557" s="1"/>
      <c r="H557" s="2"/>
    </row>
    <row r="558" spans="1:8" x14ac:dyDescent="0.25">
      <c r="A558" s="5"/>
      <c r="B558" s="6"/>
      <c r="C558" s="6"/>
      <c r="D558" s="6"/>
      <c r="E558" s="6"/>
      <c r="G558" s="3"/>
      <c r="H558" s="2"/>
    </row>
    <row r="559" spans="1:8" x14ac:dyDescent="0.25">
      <c r="A559" s="5"/>
      <c r="B559" s="6"/>
      <c r="C559" s="6"/>
      <c r="D559" s="6"/>
      <c r="E559" s="6"/>
      <c r="G559" s="1"/>
      <c r="H559" s="2"/>
    </row>
    <row r="560" spans="1:8" x14ac:dyDescent="0.25">
      <c r="A560" s="5"/>
      <c r="B560" s="6"/>
      <c r="C560" s="6"/>
      <c r="D560" s="6"/>
      <c r="E560" s="6"/>
      <c r="G560" s="3"/>
      <c r="H560" s="2"/>
    </row>
    <row r="561" spans="1:8" x14ac:dyDescent="0.25">
      <c r="A561" s="5"/>
      <c r="B561" s="6"/>
      <c r="C561" s="6"/>
      <c r="D561" s="6"/>
      <c r="E561" s="6"/>
      <c r="G561" s="1"/>
      <c r="H561" s="2"/>
    </row>
    <row r="562" spans="1:8" x14ac:dyDescent="0.25">
      <c r="A562" s="5"/>
      <c r="B562" s="6"/>
      <c r="C562" s="6"/>
      <c r="D562" s="6"/>
      <c r="E562" s="6"/>
      <c r="G562" s="3"/>
      <c r="H562" s="2"/>
    </row>
    <row r="563" spans="1:8" x14ac:dyDescent="0.25">
      <c r="A563" s="5"/>
      <c r="B563" s="6"/>
      <c r="C563" s="6"/>
      <c r="D563" s="6"/>
      <c r="E563" s="6"/>
      <c r="G563" s="1"/>
      <c r="H563" s="2"/>
    </row>
    <row r="564" spans="1:8" x14ac:dyDescent="0.25">
      <c r="A564" s="5"/>
      <c r="B564" s="6"/>
      <c r="C564" s="6"/>
      <c r="D564" s="6"/>
      <c r="E564" s="6"/>
      <c r="G564" s="3"/>
      <c r="H564" s="2"/>
    </row>
    <row r="565" spans="1:8" x14ac:dyDescent="0.25">
      <c r="A565" s="5"/>
      <c r="B565" s="6"/>
      <c r="C565" s="6"/>
      <c r="D565" s="6"/>
      <c r="E565" s="6"/>
      <c r="G565" s="1"/>
      <c r="H565" s="2"/>
    </row>
    <row r="566" spans="1:8" x14ac:dyDescent="0.25">
      <c r="A566" s="5"/>
      <c r="B566" s="6"/>
      <c r="C566" s="6"/>
      <c r="D566" s="6"/>
      <c r="E566" s="6"/>
      <c r="G566" s="3"/>
      <c r="H566" s="2"/>
    </row>
    <row r="567" spans="1:8" x14ac:dyDescent="0.25">
      <c r="A567" s="5"/>
      <c r="B567" s="6"/>
      <c r="C567" s="6"/>
      <c r="D567" s="6"/>
      <c r="E567" s="6"/>
      <c r="G567" s="1"/>
      <c r="H567" s="2"/>
    </row>
    <row r="568" spans="1:8" x14ac:dyDescent="0.25">
      <c r="A568" s="5"/>
      <c r="B568" s="6"/>
      <c r="C568" s="6"/>
      <c r="D568" s="6"/>
      <c r="E568" s="6"/>
      <c r="G568" s="3"/>
      <c r="H568" s="2"/>
    </row>
    <row r="569" spans="1:8" x14ac:dyDescent="0.25">
      <c r="A569" s="5"/>
      <c r="B569" s="6"/>
      <c r="C569" s="6"/>
      <c r="D569" s="6"/>
      <c r="E569" s="6"/>
      <c r="G569" s="1"/>
      <c r="H569" s="2"/>
    </row>
    <row r="570" spans="1:8" x14ac:dyDescent="0.25">
      <c r="A570" s="5"/>
      <c r="B570" s="6"/>
      <c r="C570" s="6"/>
      <c r="D570" s="6"/>
      <c r="E570" s="6"/>
      <c r="G570" s="3"/>
      <c r="H570" s="2"/>
    </row>
    <row r="571" spans="1:8" x14ac:dyDescent="0.25">
      <c r="A571" s="5"/>
      <c r="B571" s="6"/>
      <c r="C571" s="6"/>
      <c r="D571" s="6"/>
      <c r="E571" s="6"/>
      <c r="G571" s="1"/>
      <c r="H571" s="2"/>
    </row>
    <row r="572" spans="1:8" x14ac:dyDescent="0.25">
      <c r="A572" s="5"/>
      <c r="B572" s="6"/>
      <c r="C572" s="6"/>
      <c r="D572" s="6"/>
      <c r="E572" s="6"/>
      <c r="G572" s="3"/>
      <c r="H572" s="2"/>
    </row>
    <row r="573" spans="1:8" x14ac:dyDescent="0.25">
      <c r="A573" s="5"/>
      <c r="B573" s="6"/>
      <c r="C573" s="6"/>
      <c r="D573" s="6"/>
      <c r="E573" s="6"/>
      <c r="G573" s="1"/>
      <c r="H573" s="2"/>
    </row>
    <row r="574" spans="1:8" x14ac:dyDescent="0.25">
      <c r="A574" s="5"/>
      <c r="B574" s="6"/>
      <c r="C574" s="6"/>
      <c r="D574" s="6"/>
      <c r="E574" s="6"/>
      <c r="G574" s="3"/>
      <c r="H574" s="2"/>
    </row>
    <row r="575" spans="1:8" x14ac:dyDescent="0.25">
      <c r="A575" s="5"/>
      <c r="B575" s="6"/>
      <c r="C575" s="6"/>
      <c r="D575" s="6"/>
      <c r="E575" s="6"/>
      <c r="G575" s="1"/>
      <c r="H575" s="2"/>
    </row>
    <row r="576" spans="1:8" x14ac:dyDescent="0.25">
      <c r="A576" s="5"/>
      <c r="B576" s="6"/>
      <c r="C576" s="6"/>
      <c r="D576" s="6"/>
      <c r="E576" s="6"/>
      <c r="G576" s="3"/>
      <c r="H576" s="2"/>
    </row>
    <row r="577" spans="1:8" x14ac:dyDescent="0.25">
      <c r="A577" s="5"/>
      <c r="B577" s="6"/>
      <c r="C577" s="6"/>
      <c r="D577" s="6"/>
      <c r="E577" s="6"/>
      <c r="G577" s="1"/>
      <c r="H577" s="2"/>
    </row>
    <row r="578" spans="1:8" x14ac:dyDescent="0.25">
      <c r="A578" s="5"/>
      <c r="B578" s="6"/>
      <c r="C578" s="6"/>
      <c r="D578" s="6"/>
      <c r="E578" s="6"/>
      <c r="G578" s="3"/>
      <c r="H578" s="2"/>
    </row>
    <row r="579" spans="1:8" x14ac:dyDescent="0.25">
      <c r="A579" s="5"/>
      <c r="B579" s="6"/>
      <c r="C579" s="6"/>
      <c r="D579" s="6"/>
      <c r="E579" s="6"/>
      <c r="G579" s="1"/>
      <c r="H579" s="2"/>
    </row>
    <row r="580" spans="1:8" x14ac:dyDescent="0.25">
      <c r="A580" s="5"/>
      <c r="B580" s="6"/>
      <c r="C580" s="6"/>
      <c r="D580" s="6"/>
      <c r="E580" s="6"/>
      <c r="G580" s="3"/>
      <c r="H580" s="2"/>
    </row>
    <row r="581" spans="1:8" x14ac:dyDescent="0.25">
      <c r="A581" s="5"/>
      <c r="B581" s="6"/>
      <c r="C581" s="6"/>
      <c r="D581" s="6"/>
      <c r="E581" s="6"/>
      <c r="G581" s="1"/>
      <c r="H581" s="2"/>
    </row>
    <row r="582" spans="1:8" x14ac:dyDescent="0.25">
      <c r="A582" s="5"/>
      <c r="B582" s="6"/>
      <c r="C582" s="6"/>
      <c r="D582" s="6"/>
      <c r="E582" s="6"/>
      <c r="G582" s="3"/>
      <c r="H582" s="2"/>
    </row>
    <row r="583" spans="1:8" x14ac:dyDescent="0.25">
      <c r="A583" s="5"/>
      <c r="B583" s="6"/>
      <c r="C583" s="6"/>
      <c r="D583" s="6"/>
      <c r="E583" s="6"/>
      <c r="G583" s="1"/>
      <c r="H583" s="2"/>
    </row>
    <row r="584" spans="1:8" x14ac:dyDescent="0.25">
      <c r="A584" s="5"/>
      <c r="B584" s="6"/>
      <c r="C584" s="6"/>
      <c r="D584" s="6"/>
      <c r="E584" s="6"/>
      <c r="G584" s="3"/>
      <c r="H584" s="2"/>
    </row>
    <row r="585" spans="1:8" x14ac:dyDescent="0.25">
      <c r="A585" s="5"/>
      <c r="B585" s="6"/>
      <c r="C585" s="6"/>
      <c r="D585" s="6"/>
      <c r="E585" s="6"/>
      <c r="G585" s="1"/>
      <c r="H585" s="2"/>
    </row>
    <row r="586" spans="1:8" x14ac:dyDescent="0.25">
      <c r="A586" s="5"/>
      <c r="B586" s="6"/>
      <c r="C586" s="6"/>
      <c r="D586" s="6"/>
      <c r="E586" s="6"/>
      <c r="G586" s="3"/>
      <c r="H586" s="2"/>
    </row>
    <row r="587" spans="1:8" x14ac:dyDescent="0.25">
      <c r="A587" s="5"/>
      <c r="B587" s="6"/>
      <c r="C587" s="6"/>
      <c r="D587" s="6"/>
      <c r="E587" s="6"/>
      <c r="G587" s="1"/>
      <c r="H587" s="2"/>
    </row>
    <row r="588" spans="1:8" x14ac:dyDescent="0.25">
      <c r="A588" s="5"/>
      <c r="B588" s="6"/>
      <c r="C588" s="6"/>
      <c r="D588" s="6"/>
      <c r="E588" s="6"/>
      <c r="G588" s="3"/>
      <c r="H588" s="2"/>
    </row>
    <row r="589" spans="1:8" x14ac:dyDescent="0.25">
      <c r="A589" s="5"/>
      <c r="B589" s="6"/>
      <c r="C589" s="6"/>
      <c r="D589" s="6"/>
      <c r="E589" s="6"/>
      <c r="G589" s="1"/>
      <c r="H589" s="2"/>
    </row>
    <row r="590" spans="1:8" x14ac:dyDescent="0.25">
      <c r="A590" s="5"/>
      <c r="B590" s="6"/>
      <c r="C590" s="6"/>
      <c r="D590" s="6"/>
      <c r="E590" s="6"/>
      <c r="G590" s="3"/>
      <c r="H590" s="2"/>
    </row>
    <row r="591" spans="1:8" x14ac:dyDescent="0.25">
      <c r="A591" s="5"/>
      <c r="B591" s="6"/>
      <c r="C591" s="6"/>
      <c r="D591" s="6"/>
      <c r="E591" s="6"/>
      <c r="G591" s="1"/>
      <c r="H591" s="2"/>
    </row>
    <row r="592" spans="1:8" x14ac:dyDescent="0.25">
      <c r="A592" s="5"/>
      <c r="B592" s="6"/>
      <c r="C592" s="6"/>
      <c r="D592" s="6"/>
      <c r="E592" s="6"/>
      <c r="G592" s="3"/>
      <c r="H592" s="2"/>
    </row>
    <row r="593" spans="1:8" x14ac:dyDescent="0.25">
      <c r="A593" s="5"/>
      <c r="B593" s="6"/>
      <c r="C593" s="6"/>
      <c r="D593" s="6"/>
      <c r="E593" s="6"/>
      <c r="G593" s="1"/>
      <c r="H593" s="2"/>
    </row>
    <row r="594" spans="1:8" x14ac:dyDescent="0.25">
      <c r="A594" s="5"/>
      <c r="B594" s="6"/>
      <c r="C594" s="6"/>
      <c r="D594" s="6"/>
      <c r="E594" s="6"/>
      <c r="G594" s="3"/>
      <c r="H594" s="2"/>
    </row>
    <row r="595" spans="1:8" x14ac:dyDescent="0.25">
      <c r="A595" s="5"/>
      <c r="B595" s="6"/>
      <c r="C595" s="6"/>
      <c r="D595" s="6"/>
      <c r="E595" s="6"/>
      <c r="G595" s="1"/>
      <c r="H595" s="2"/>
    </row>
    <row r="596" spans="1:8" x14ac:dyDescent="0.25">
      <c r="A596" s="5"/>
      <c r="B596" s="6"/>
      <c r="C596" s="6"/>
      <c r="D596" s="6"/>
      <c r="E596" s="6"/>
      <c r="G596" s="3"/>
      <c r="H596" s="2"/>
    </row>
    <row r="597" spans="1:8" x14ac:dyDescent="0.25">
      <c r="A597" s="5"/>
      <c r="B597" s="6"/>
      <c r="C597" s="6"/>
      <c r="D597" s="6"/>
      <c r="E597" s="6"/>
      <c r="G597" s="1"/>
      <c r="H597" s="2"/>
    </row>
    <row r="598" spans="1:8" x14ac:dyDescent="0.25">
      <c r="A598" s="5"/>
      <c r="B598" s="6"/>
      <c r="C598" s="6"/>
      <c r="D598" s="6"/>
      <c r="E598" s="6"/>
      <c r="G598" s="3"/>
      <c r="H598" s="2"/>
    </row>
    <row r="599" spans="1:8" x14ac:dyDescent="0.25">
      <c r="A599" s="5"/>
      <c r="B599" s="6"/>
      <c r="C599" s="6"/>
      <c r="D599" s="6"/>
      <c r="E599" s="6"/>
      <c r="G599" s="1"/>
      <c r="H599" s="2"/>
    </row>
    <row r="600" spans="1:8" x14ac:dyDescent="0.25">
      <c r="A600" s="5"/>
      <c r="B600" s="6"/>
      <c r="C600" s="6"/>
      <c r="D600" s="6"/>
      <c r="E600" s="6"/>
      <c r="G600" s="3"/>
      <c r="H600" s="2"/>
    </row>
    <row r="601" spans="1:8" x14ac:dyDescent="0.25">
      <c r="A601" s="5"/>
      <c r="B601" s="6"/>
      <c r="C601" s="6"/>
      <c r="D601" s="6"/>
      <c r="E601" s="6"/>
      <c r="G601" s="1"/>
      <c r="H601" s="2"/>
    </row>
    <row r="602" spans="1:8" x14ac:dyDescent="0.25">
      <c r="A602" s="5"/>
      <c r="B602" s="6"/>
      <c r="C602" s="6"/>
      <c r="D602" s="6"/>
      <c r="E602" s="6"/>
      <c r="G602" s="3"/>
      <c r="H602" s="2"/>
    </row>
    <row r="603" spans="1:8" x14ac:dyDescent="0.25">
      <c r="A603" s="5"/>
      <c r="B603" s="6"/>
      <c r="C603" s="6"/>
      <c r="D603" s="6"/>
      <c r="E603" s="6"/>
      <c r="G603" s="1"/>
      <c r="H603" s="2"/>
    </row>
    <row r="604" spans="1:8" x14ac:dyDescent="0.25">
      <c r="A604" s="5"/>
      <c r="B604" s="6"/>
      <c r="C604" s="6"/>
      <c r="D604" s="6"/>
      <c r="E604" s="6"/>
      <c r="G604" s="3"/>
      <c r="H604" s="2"/>
    </row>
    <row r="605" spans="1:8" x14ac:dyDescent="0.25">
      <c r="A605" s="5"/>
      <c r="B605" s="6"/>
      <c r="C605" s="6"/>
      <c r="D605" s="6"/>
      <c r="E605" s="6"/>
      <c r="G605" s="1"/>
      <c r="H605" s="2"/>
    </row>
    <row r="606" spans="1:8" x14ac:dyDescent="0.25">
      <c r="A606" s="5"/>
      <c r="B606" s="6"/>
      <c r="C606" s="6"/>
      <c r="D606" s="6"/>
      <c r="E606" s="6"/>
      <c r="G606" s="3"/>
      <c r="H606" s="2"/>
    </row>
    <row r="607" spans="1:8" x14ac:dyDescent="0.25">
      <c r="A607" s="5"/>
      <c r="B607" s="6"/>
      <c r="C607" s="6"/>
      <c r="D607" s="6"/>
      <c r="E607" s="6"/>
      <c r="G607" s="1"/>
      <c r="H607" s="2"/>
    </row>
    <row r="608" spans="1:8" x14ac:dyDescent="0.25">
      <c r="A608" s="5"/>
      <c r="B608" s="6"/>
      <c r="C608" s="6"/>
      <c r="D608" s="6"/>
      <c r="E608" s="6"/>
      <c r="G608" s="3"/>
      <c r="H608" s="2"/>
    </row>
    <row r="609" spans="1:8" x14ac:dyDescent="0.25">
      <c r="A609" s="5"/>
      <c r="B609" s="6"/>
      <c r="C609" s="6"/>
      <c r="D609" s="6"/>
      <c r="E609" s="6"/>
      <c r="G609" s="1"/>
      <c r="H609" s="2"/>
    </row>
    <row r="610" spans="1:8" x14ac:dyDescent="0.25">
      <c r="A610" s="5"/>
      <c r="B610" s="6"/>
      <c r="C610" s="6"/>
      <c r="D610" s="6"/>
      <c r="E610" s="6"/>
      <c r="G610" s="3"/>
      <c r="H610" s="2"/>
    </row>
    <row r="611" spans="1:8" x14ac:dyDescent="0.25">
      <c r="A611" s="5"/>
      <c r="B611" s="6"/>
      <c r="C611" s="6"/>
      <c r="D611" s="6"/>
      <c r="E611" s="6"/>
      <c r="G611" s="1"/>
      <c r="H611" s="2"/>
    </row>
    <row r="612" spans="1:8" x14ac:dyDescent="0.25">
      <c r="A612" s="5"/>
      <c r="B612" s="6"/>
      <c r="C612" s="6"/>
      <c r="D612" s="6"/>
      <c r="E612" s="6"/>
      <c r="G612" s="3"/>
      <c r="H612" s="2"/>
    </row>
    <row r="613" spans="1:8" x14ac:dyDescent="0.25">
      <c r="A613" s="5"/>
      <c r="B613" s="6"/>
      <c r="C613" s="6"/>
      <c r="D613" s="6"/>
      <c r="E613" s="6"/>
      <c r="G613" s="1"/>
      <c r="H613" s="2"/>
    </row>
    <row r="614" spans="1:8" x14ac:dyDescent="0.25">
      <c r="A614" s="5"/>
      <c r="B614" s="6"/>
      <c r="C614" s="6"/>
      <c r="D614" s="6"/>
      <c r="E614" s="6"/>
      <c r="G614" s="3"/>
      <c r="H614" s="2"/>
    </row>
    <row r="615" spans="1:8" x14ac:dyDescent="0.25">
      <c r="A615" s="5"/>
      <c r="B615" s="6"/>
      <c r="C615" s="6"/>
      <c r="D615" s="6"/>
      <c r="E615" s="6"/>
      <c r="G615" s="1"/>
      <c r="H615" s="2"/>
    </row>
    <row r="616" spans="1:8" x14ac:dyDescent="0.25">
      <c r="A616" s="5"/>
      <c r="B616" s="6"/>
      <c r="C616" s="6"/>
      <c r="D616" s="6"/>
      <c r="E616" s="6"/>
      <c r="G616" s="3"/>
      <c r="H616" s="2"/>
    </row>
    <row r="617" spans="1:8" x14ac:dyDescent="0.25">
      <c r="A617" s="5"/>
      <c r="B617" s="6"/>
      <c r="C617" s="6"/>
      <c r="D617" s="6"/>
      <c r="E617" s="6"/>
      <c r="G617" s="1"/>
      <c r="H617" s="2"/>
    </row>
    <row r="618" spans="1:8" x14ac:dyDescent="0.25">
      <c r="A618" s="5"/>
      <c r="B618" s="6"/>
      <c r="C618" s="6"/>
      <c r="D618" s="6"/>
      <c r="E618" s="6"/>
      <c r="G618" s="3"/>
      <c r="H618" s="2"/>
    </row>
    <row r="619" spans="1:8" x14ac:dyDescent="0.25">
      <c r="A619" s="5"/>
      <c r="B619" s="6"/>
      <c r="C619" s="6"/>
      <c r="D619" s="6"/>
      <c r="E619" s="6"/>
      <c r="G619" s="1"/>
      <c r="H619" s="2"/>
    </row>
    <row r="620" spans="1:8" x14ac:dyDescent="0.25">
      <c r="A620" s="5"/>
      <c r="B620" s="6"/>
      <c r="C620" s="6"/>
      <c r="D620" s="6"/>
      <c r="E620" s="6"/>
      <c r="G620" s="3"/>
      <c r="H620" s="2"/>
    </row>
    <row r="621" spans="1:8" x14ac:dyDescent="0.25">
      <c r="A621" s="5"/>
      <c r="B621" s="6"/>
      <c r="C621" s="6"/>
      <c r="D621" s="6"/>
      <c r="E621" s="6"/>
      <c r="G621" s="1"/>
      <c r="H621" s="2"/>
    </row>
    <row r="622" spans="1:8" x14ac:dyDescent="0.25">
      <c r="A622" s="5"/>
      <c r="B622" s="6"/>
      <c r="C622" s="6"/>
      <c r="D622" s="6"/>
      <c r="E622" s="6"/>
      <c r="G622" s="3"/>
      <c r="H622" s="2"/>
    </row>
    <row r="623" spans="1:8" x14ac:dyDescent="0.25">
      <c r="A623" s="5"/>
      <c r="B623" s="6"/>
      <c r="C623" s="6"/>
      <c r="D623" s="6"/>
      <c r="E623" s="6"/>
      <c r="G623" s="1"/>
      <c r="H623" s="2"/>
    </row>
    <row r="624" spans="1:8" x14ac:dyDescent="0.25">
      <c r="A624" s="5"/>
      <c r="B624" s="6"/>
      <c r="C624" s="6"/>
      <c r="D624" s="6"/>
      <c r="E624" s="6"/>
      <c r="G624" s="3"/>
      <c r="H624" s="2"/>
    </row>
    <row r="625" spans="1:8" x14ac:dyDescent="0.25">
      <c r="A625" s="5"/>
      <c r="B625" s="6"/>
      <c r="C625" s="6"/>
      <c r="D625" s="6"/>
      <c r="E625" s="6"/>
      <c r="G625" s="1"/>
      <c r="H625" s="2"/>
    </row>
    <row r="626" spans="1:8" x14ac:dyDescent="0.25">
      <c r="A626" s="5"/>
      <c r="B626" s="6"/>
      <c r="C626" s="6"/>
      <c r="D626" s="6"/>
      <c r="E626" s="6"/>
      <c r="G626" s="3"/>
      <c r="H626" s="2"/>
    </row>
    <row r="627" spans="1:8" x14ac:dyDescent="0.25">
      <c r="A627" s="5"/>
      <c r="B627" s="6"/>
      <c r="C627" s="6"/>
      <c r="D627" s="6"/>
      <c r="E627" s="6"/>
      <c r="G627" s="1"/>
      <c r="H627" s="2"/>
    </row>
    <row r="628" spans="1:8" x14ac:dyDescent="0.25">
      <c r="A628" s="5"/>
      <c r="B628" s="6"/>
      <c r="C628" s="6"/>
      <c r="D628" s="6"/>
      <c r="E628" s="6"/>
      <c r="G628" s="3"/>
      <c r="H628" s="2"/>
    </row>
    <row r="629" spans="1:8" x14ac:dyDescent="0.25">
      <c r="A629" s="5"/>
      <c r="B629" s="6"/>
      <c r="C629" s="6"/>
      <c r="D629" s="6"/>
      <c r="E629" s="6"/>
      <c r="G629" s="1"/>
      <c r="H629" s="2"/>
    </row>
    <row r="630" spans="1:8" x14ac:dyDescent="0.25">
      <c r="A630" s="5"/>
      <c r="B630" s="6"/>
      <c r="C630" s="6"/>
      <c r="D630" s="6"/>
      <c r="E630" s="6"/>
      <c r="G630" s="3"/>
      <c r="H630" s="2"/>
    </row>
    <row r="631" spans="1:8" x14ac:dyDescent="0.25">
      <c r="A631" s="5"/>
      <c r="B631" s="6"/>
      <c r="C631" s="6"/>
      <c r="D631" s="6"/>
      <c r="E631" s="6"/>
      <c r="G631" s="1"/>
      <c r="H631" s="2"/>
    </row>
    <row r="632" spans="1:8" x14ac:dyDescent="0.25">
      <c r="A632" s="5"/>
      <c r="B632" s="6"/>
      <c r="C632" s="6"/>
      <c r="D632" s="6"/>
      <c r="E632" s="6"/>
      <c r="G632" s="3"/>
      <c r="H632" s="2"/>
    </row>
    <row r="633" spans="1:8" x14ac:dyDescent="0.25">
      <c r="A633" s="5"/>
      <c r="B633" s="6"/>
      <c r="C633" s="6"/>
      <c r="D633" s="6"/>
      <c r="E633" s="6"/>
      <c r="G633" s="1"/>
      <c r="H633" s="2"/>
    </row>
    <row r="634" spans="1:8" x14ac:dyDescent="0.25">
      <c r="A634" s="5"/>
      <c r="B634" s="6"/>
      <c r="C634" s="6"/>
      <c r="D634" s="6"/>
      <c r="E634" s="6"/>
      <c r="G634" s="3"/>
      <c r="H634" s="2"/>
    </row>
    <row r="635" spans="1:8" x14ac:dyDescent="0.25">
      <c r="A635" s="5"/>
      <c r="B635" s="6"/>
      <c r="C635" s="6"/>
      <c r="D635" s="6"/>
      <c r="E635" s="6"/>
      <c r="G635" s="1"/>
      <c r="H635" s="2"/>
    </row>
    <row r="636" spans="1:8" x14ac:dyDescent="0.25">
      <c r="A636" s="5"/>
      <c r="B636" s="6"/>
      <c r="C636" s="6"/>
      <c r="D636" s="6"/>
      <c r="E636" s="6"/>
      <c r="G636" s="3"/>
      <c r="H636" s="2"/>
    </row>
    <row r="637" spans="1:8" x14ac:dyDescent="0.25">
      <c r="A637" s="5"/>
      <c r="B637" s="6"/>
      <c r="C637" s="6"/>
      <c r="D637" s="6"/>
      <c r="E637" s="6"/>
      <c r="G637" s="1"/>
      <c r="H637" s="2"/>
    </row>
    <row r="638" spans="1:8" x14ac:dyDescent="0.25">
      <c r="A638" s="5"/>
      <c r="B638" s="6"/>
      <c r="C638" s="6"/>
      <c r="D638" s="6"/>
      <c r="E638" s="6"/>
      <c r="G638" s="3"/>
      <c r="H638" s="2"/>
    </row>
    <row r="639" spans="1:8" x14ac:dyDescent="0.25">
      <c r="A639" s="5"/>
      <c r="B639" s="6"/>
      <c r="C639" s="6"/>
      <c r="D639" s="6"/>
      <c r="E639" s="6"/>
      <c r="G639" s="1"/>
      <c r="H639" s="2"/>
    </row>
    <row r="640" spans="1:8" x14ac:dyDescent="0.25">
      <c r="A640" s="5"/>
      <c r="B640" s="6"/>
      <c r="C640" s="6"/>
      <c r="D640" s="6"/>
      <c r="E640" s="6"/>
      <c r="G640" s="3"/>
      <c r="H640" s="2"/>
    </row>
    <row r="641" spans="1:8" x14ac:dyDescent="0.25">
      <c r="A641" s="5"/>
      <c r="B641" s="6"/>
      <c r="C641" s="6"/>
      <c r="D641" s="6"/>
      <c r="E641" s="6"/>
      <c r="G641" s="1"/>
      <c r="H641" s="2"/>
    </row>
    <row r="642" spans="1:8" x14ac:dyDescent="0.25">
      <c r="A642" s="5"/>
      <c r="B642" s="6"/>
      <c r="C642" s="6"/>
      <c r="D642" s="6"/>
      <c r="E642" s="6"/>
      <c r="G642" s="3"/>
      <c r="H642" s="2"/>
    </row>
    <row r="643" spans="1:8" x14ac:dyDescent="0.25">
      <c r="A643" s="5"/>
      <c r="B643" s="6"/>
      <c r="C643" s="6"/>
      <c r="D643" s="6"/>
      <c r="E643" s="6"/>
      <c r="G643" s="1"/>
      <c r="H643" s="2"/>
    </row>
    <row r="644" spans="1:8" x14ac:dyDescent="0.25">
      <c r="A644" s="5"/>
      <c r="B644" s="6"/>
      <c r="C644" s="6"/>
      <c r="D644" s="6"/>
      <c r="E644" s="6"/>
      <c r="G644" s="3"/>
      <c r="H644" s="2"/>
    </row>
    <row r="645" spans="1:8" x14ac:dyDescent="0.25">
      <c r="A645" s="5"/>
      <c r="B645" s="6"/>
      <c r="C645" s="6"/>
      <c r="D645" s="6"/>
      <c r="E645" s="6"/>
      <c r="G645" s="1"/>
      <c r="H645" s="2"/>
    </row>
    <row r="646" spans="1:8" x14ac:dyDescent="0.25">
      <c r="A646" s="5"/>
      <c r="B646" s="6"/>
      <c r="C646" s="6"/>
      <c r="D646" s="6"/>
      <c r="E646" s="6"/>
      <c r="G646" s="3"/>
      <c r="H646" s="2"/>
    </row>
    <row r="647" spans="1:8" x14ac:dyDescent="0.25">
      <c r="A647" s="5"/>
      <c r="B647" s="6"/>
      <c r="C647" s="6"/>
      <c r="D647" s="6"/>
      <c r="E647" s="6"/>
      <c r="G647" s="1"/>
      <c r="H647" s="2"/>
    </row>
    <row r="648" spans="1:8" x14ac:dyDescent="0.25">
      <c r="A648" s="5"/>
      <c r="B648" s="6"/>
      <c r="C648" s="6"/>
      <c r="D648" s="6"/>
      <c r="E648" s="6"/>
      <c r="G648" s="3"/>
      <c r="H648" s="2"/>
    </row>
    <row r="649" spans="1:8" x14ac:dyDescent="0.25">
      <c r="A649" s="5"/>
      <c r="B649" s="6"/>
      <c r="C649" s="6"/>
      <c r="D649" s="6"/>
      <c r="E649" s="6"/>
      <c r="G649" s="1"/>
      <c r="H649" s="2"/>
    </row>
    <row r="650" spans="1:8" x14ac:dyDescent="0.25">
      <c r="A650" s="5"/>
      <c r="B650" s="6"/>
      <c r="C650" s="6"/>
      <c r="D650" s="6"/>
      <c r="E650" s="6"/>
      <c r="G650" s="3"/>
      <c r="H650" s="2"/>
    </row>
    <row r="651" spans="1:8" x14ac:dyDescent="0.25">
      <c r="A651" s="5"/>
      <c r="B651" s="6"/>
      <c r="C651" s="6"/>
      <c r="D651" s="6"/>
      <c r="E651" s="6"/>
      <c r="G651" s="1"/>
      <c r="H651" s="2"/>
    </row>
    <row r="652" spans="1:8" x14ac:dyDescent="0.25">
      <c r="A652" s="5"/>
      <c r="B652" s="6"/>
      <c r="C652" s="6"/>
      <c r="D652" s="6"/>
      <c r="E652" s="6"/>
      <c r="G652" s="3"/>
      <c r="H652" s="2"/>
    </row>
    <row r="653" spans="1:8" x14ac:dyDescent="0.25">
      <c r="A653" s="5"/>
      <c r="B653" s="6"/>
      <c r="C653" s="6"/>
      <c r="D653" s="6"/>
      <c r="E653" s="6"/>
      <c r="G653" s="1"/>
      <c r="H653" s="2"/>
    </row>
    <row r="654" spans="1:8" x14ac:dyDescent="0.25">
      <c r="A654" s="5"/>
      <c r="B654" s="6"/>
      <c r="C654" s="6"/>
      <c r="D654" s="6"/>
      <c r="E654" s="6"/>
      <c r="G654" s="3"/>
      <c r="H654" s="2"/>
    </row>
    <row r="655" spans="1:8" x14ac:dyDescent="0.25">
      <c r="A655" s="5"/>
      <c r="B655" s="6"/>
      <c r="C655" s="6"/>
      <c r="D655" s="6"/>
      <c r="E655" s="6"/>
      <c r="G655" s="1"/>
      <c r="H655" s="2"/>
    </row>
    <row r="656" spans="1:8" x14ac:dyDescent="0.25">
      <c r="A656" s="5"/>
      <c r="B656" s="6"/>
      <c r="C656" s="6"/>
      <c r="D656" s="6"/>
      <c r="E656" s="6"/>
      <c r="G656" s="3"/>
      <c r="H656" s="2"/>
    </row>
    <row r="657" spans="1:8" x14ac:dyDescent="0.25">
      <c r="A657" s="5"/>
      <c r="B657" s="6"/>
      <c r="C657" s="6"/>
      <c r="D657" s="6"/>
      <c r="E657" s="6"/>
      <c r="G657" s="1"/>
      <c r="H657" s="2"/>
    </row>
    <row r="658" spans="1:8" x14ac:dyDescent="0.25">
      <c r="A658" s="5"/>
      <c r="B658" s="6"/>
      <c r="C658" s="6"/>
      <c r="D658" s="6"/>
      <c r="E658" s="6"/>
      <c r="G658" s="3"/>
      <c r="H658" s="2"/>
    </row>
    <row r="659" spans="1:8" x14ac:dyDescent="0.25">
      <c r="A659" s="5"/>
      <c r="B659" s="6"/>
      <c r="C659" s="6"/>
      <c r="D659" s="6"/>
      <c r="E659" s="6"/>
      <c r="G659" s="1"/>
      <c r="H659" s="2"/>
    </row>
    <row r="660" spans="1:8" x14ac:dyDescent="0.25">
      <c r="A660" s="5"/>
      <c r="B660" s="6"/>
      <c r="C660" s="6"/>
      <c r="D660" s="6"/>
      <c r="E660" s="6"/>
      <c r="G660" s="3"/>
      <c r="H660" s="2"/>
    </row>
    <row r="661" spans="1:8" x14ac:dyDescent="0.25">
      <c r="A661" s="5"/>
      <c r="B661" s="6"/>
      <c r="C661" s="6"/>
      <c r="D661" s="6"/>
      <c r="E661" s="6"/>
      <c r="G661" s="1"/>
      <c r="H661" s="2"/>
    </row>
    <row r="662" spans="1:8" x14ac:dyDescent="0.25">
      <c r="A662" s="5"/>
      <c r="B662" s="6"/>
      <c r="C662" s="6"/>
      <c r="D662" s="6"/>
      <c r="E662" s="6"/>
      <c r="G662" s="3"/>
      <c r="H662" s="2"/>
    </row>
    <row r="663" spans="1:8" x14ac:dyDescent="0.25">
      <c r="A663" s="5"/>
      <c r="B663" s="6"/>
      <c r="C663" s="6"/>
      <c r="D663" s="6"/>
      <c r="E663" s="6"/>
      <c r="G663" s="1"/>
      <c r="H663" s="2"/>
    </row>
    <row r="664" spans="1:8" x14ac:dyDescent="0.25">
      <c r="A664" s="5"/>
      <c r="B664" s="6"/>
      <c r="C664" s="6"/>
      <c r="D664" s="6"/>
      <c r="E664" s="6"/>
      <c r="G664" s="3"/>
      <c r="H664" s="2"/>
    </row>
    <row r="665" spans="1:8" x14ac:dyDescent="0.25">
      <c r="A665" s="5"/>
      <c r="B665" s="6"/>
      <c r="C665" s="6"/>
      <c r="D665" s="6"/>
      <c r="E665" s="6"/>
      <c r="G665" s="1"/>
      <c r="H665" s="2"/>
    </row>
    <row r="666" spans="1:8" x14ac:dyDescent="0.25">
      <c r="A666" s="5"/>
      <c r="B666" s="6"/>
      <c r="C666" s="6"/>
      <c r="D666" s="6"/>
      <c r="E666" s="6"/>
      <c r="G666" s="3"/>
      <c r="H666" s="2"/>
    </row>
    <row r="667" spans="1:8" x14ac:dyDescent="0.25">
      <c r="A667" s="5"/>
      <c r="B667" s="6"/>
      <c r="C667" s="6"/>
      <c r="D667" s="6"/>
      <c r="E667" s="6"/>
      <c r="G667" s="1"/>
      <c r="H667" s="2"/>
    </row>
    <row r="668" spans="1:8" x14ac:dyDescent="0.25">
      <c r="A668" s="5"/>
      <c r="B668" s="6"/>
      <c r="C668" s="6"/>
      <c r="D668" s="6"/>
      <c r="E668" s="6"/>
      <c r="G668" s="3"/>
      <c r="H668" s="2"/>
    </row>
    <row r="669" spans="1:8" x14ac:dyDescent="0.25">
      <c r="A669" s="5"/>
      <c r="B669" s="6"/>
      <c r="C669" s="6"/>
      <c r="D669" s="6"/>
      <c r="E669" s="6"/>
      <c r="G669" s="1"/>
      <c r="H669" s="2"/>
    </row>
    <row r="670" spans="1:8" x14ac:dyDescent="0.25">
      <c r="A670" s="5"/>
      <c r="B670" s="6"/>
      <c r="C670" s="6"/>
      <c r="D670" s="6"/>
      <c r="E670" s="6"/>
      <c r="G670" s="3"/>
      <c r="H670" s="2"/>
    </row>
    <row r="671" spans="1:8" x14ac:dyDescent="0.25">
      <c r="A671" s="5"/>
      <c r="B671" s="6"/>
      <c r="C671" s="6"/>
      <c r="D671" s="6"/>
      <c r="E671" s="6"/>
      <c r="G671" s="1"/>
      <c r="H671" s="2"/>
    </row>
    <row r="672" spans="1:8" x14ac:dyDescent="0.25">
      <c r="A672" s="5"/>
      <c r="B672" s="6"/>
      <c r="C672" s="6"/>
      <c r="D672" s="6"/>
      <c r="E672" s="6"/>
      <c r="G672" s="3"/>
      <c r="H672" s="2"/>
    </row>
    <row r="673" spans="1:8" x14ac:dyDescent="0.25">
      <c r="A673" s="5"/>
      <c r="B673" s="6"/>
      <c r="C673" s="6"/>
      <c r="D673" s="6"/>
      <c r="E673" s="6"/>
      <c r="G673" s="1"/>
      <c r="H673" s="2"/>
    </row>
    <row r="674" spans="1:8" x14ac:dyDescent="0.25">
      <c r="A674" s="5"/>
      <c r="B674" s="6"/>
      <c r="C674" s="6"/>
      <c r="D674" s="6"/>
      <c r="E674" s="6"/>
      <c r="G674" s="3"/>
      <c r="H674" s="2"/>
    </row>
    <row r="675" spans="1:8" x14ac:dyDescent="0.25">
      <c r="A675" s="5"/>
      <c r="B675" s="6"/>
      <c r="C675" s="6"/>
      <c r="D675" s="6"/>
      <c r="E675" s="6"/>
      <c r="G675" s="1"/>
      <c r="H675" s="2"/>
    </row>
    <row r="676" spans="1:8" x14ac:dyDescent="0.25">
      <c r="A676" s="5"/>
      <c r="B676" s="6"/>
      <c r="C676" s="6"/>
      <c r="D676" s="6"/>
      <c r="E676" s="6"/>
      <c r="G676" s="3"/>
      <c r="H676" s="2"/>
    </row>
    <row r="677" spans="1:8" x14ac:dyDescent="0.25">
      <c r="A677" s="5"/>
      <c r="B677" s="6"/>
      <c r="C677" s="6"/>
      <c r="D677" s="6"/>
      <c r="E677" s="6"/>
      <c r="G677" s="1"/>
      <c r="H677" s="2"/>
    </row>
    <row r="678" spans="1:8" x14ac:dyDescent="0.25">
      <c r="A678" s="5"/>
      <c r="B678" s="6"/>
      <c r="C678" s="6"/>
      <c r="D678" s="6"/>
      <c r="E678" s="6"/>
      <c r="G678" s="3"/>
      <c r="H678" s="2"/>
    </row>
    <row r="679" spans="1:8" x14ac:dyDescent="0.25">
      <c r="A679" s="5"/>
      <c r="B679" s="6"/>
      <c r="C679" s="6"/>
      <c r="D679" s="6"/>
      <c r="E679" s="6"/>
      <c r="G679" s="1"/>
      <c r="H679" s="2"/>
    </row>
    <row r="680" spans="1:8" x14ac:dyDescent="0.25">
      <c r="A680" s="5"/>
      <c r="B680" s="6"/>
      <c r="C680" s="6"/>
      <c r="D680" s="6"/>
      <c r="E680" s="6"/>
      <c r="G680" s="3"/>
      <c r="H680" s="2"/>
    </row>
    <row r="681" spans="1:8" x14ac:dyDescent="0.25">
      <c r="A681" s="5"/>
      <c r="B681" s="6"/>
      <c r="C681" s="6"/>
      <c r="D681" s="6"/>
      <c r="E681" s="6"/>
      <c r="G681" s="1"/>
      <c r="H681" s="2"/>
    </row>
    <row r="682" spans="1:8" x14ac:dyDescent="0.25">
      <c r="A682" s="5"/>
      <c r="B682" s="6"/>
      <c r="C682" s="6"/>
      <c r="D682" s="6"/>
      <c r="E682" s="6"/>
      <c r="G682" s="3"/>
      <c r="H682" s="2"/>
    </row>
    <row r="683" spans="1:8" x14ac:dyDescent="0.25">
      <c r="A683" s="5"/>
      <c r="B683" s="6"/>
      <c r="C683" s="6"/>
      <c r="D683" s="6"/>
      <c r="E683" s="6"/>
      <c r="G683" s="1"/>
      <c r="H683" s="2"/>
    </row>
    <row r="684" spans="1:8" x14ac:dyDescent="0.25">
      <c r="A684" s="5"/>
      <c r="B684" s="6"/>
      <c r="C684" s="6"/>
      <c r="D684" s="6"/>
      <c r="E684" s="6"/>
      <c r="G684" s="3"/>
      <c r="H684" s="2"/>
    </row>
    <row r="685" spans="1:8" x14ac:dyDescent="0.25">
      <c r="A685" s="5"/>
      <c r="B685" s="6"/>
      <c r="C685" s="6"/>
      <c r="D685" s="6"/>
      <c r="E685" s="6"/>
      <c r="G685" s="1"/>
      <c r="H685" s="2"/>
    </row>
    <row r="686" spans="1:8" x14ac:dyDescent="0.25">
      <c r="A686" s="5"/>
      <c r="B686" s="6"/>
      <c r="C686" s="6"/>
      <c r="D686" s="6"/>
      <c r="E686" s="6"/>
      <c r="G686" s="3"/>
      <c r="H686" s="2"/>
    </row>
    <row r="687" spans="1:8" x14ac:dyDescent="0.25">
      <c r="A687" s="5"/>
      <c r="B687" s="6"/>
      <c r="C687" s="6"/>
      <c r="D687" s="6"/>
      <c r="E687" s="6"/>
      <c r="G687" s="1"/>
      <c r="H687" s="2"/>
    </row>
    <row r="688" spans="1:8" x14ac:dyDescent="0.25">
      <c r="A688" s="5"/>
      <c r="B688" s="6"/>
      <c r="C688" s="6"/>
      <c r="D688" s="6"/>
      <c r="E688" s="6"/>
      <c r="G688" s="3"/>
      <c r="H688" s="2"/>
    </row>
    <row r="689" spans="1:8" x14ac:dyDescent="0.25">
      <c r="A689" s="5"/>
      <c r="B689" s="6"/>
      <c r="C689" s="6"/>
      <c r="D689" s="6"/>
      <c r="E689" s="6"/>
      <c r="G689" s="1"/>
      <c r="H689" s="2"/>
    </row>
    <row r="690" spans="1:8" x14ac:dyDescent="0.25">
      <c r="A690" s="5"/>
      <c r="B690" s="6"/>
      <c r="C690" s="6"/>
      <c r="D690" s="6"/>
      <c r="E690" s="6"/>
      <c r="G690" s="3"/>
      <c r="H690" s="2"/>
    </row>
    <row r="691" spans="1:8" x14ac:dyDescent="0.25">
      <c r="A691" s="5"/>
      <c r="B691" s="6"/>
      <c r="C691" s="6"/>
      <c r="D691" s="6"/>
      <c r="E691" s="6"/>
      <c r="G691" s="1"/>
      <c r="H691" s="2"/>
    </row>
    <row r="692" spans="1:8" x14ac:dyDescent="0.25">
      <c r="A692" s="5"/>
      <c r="B692" s="6"/>
      <c r="C692" s="6"/>
      <c r="D692" s="6"/>
      <c r="E692" s="6"/>
      <c r="G692" s="3"/>
      <c r="H692" s="2"/>
    </row>
    <row r="693" spans="1:8" x14ac:dyDescent="0.25">
      <c r="A693" s="5"/>
      <c r="B693" s="6"/>
      <c r="C693" s="6"/>
      <c r="D693" s="6"/>
      <c r="E693" s="6"/>
      <c r="G693" s="1"/>
      <c r="H693" s="2"/>
    </row>
    <row r="694" spans="1:8" x14ac:dyDescent="0.25">
      <c r="A694" s="5"/>
      <c r="B694" s="6"/>
      <c r="C694" s="6"/>
      <c r="D694" s="6"/>
      <c r="E694" s="6"/>
      <c r="G694" s="3"/>
      <c r="H694" s="2"/>
    </row>
    <row r="695" spans="1:8" x14ac:dyDescent="0.25">
      <c r="A695" s="5"/>
      <c r="B695" s="6"/>
      <c r="C695" s="6"/>
      <c r="D695" s="6"/>
      <c r="E695" s="6"/>
      <c r="G695" s="1"/>
      <c r="H695" s="2"/>
    </row>
    <row r="696" spans="1:8" x14ac:dyDescent="0.25">
      <c r="A696" s="5"/>
      <c r="B696" s="6"/>
      <c r="C696" s="6"/>
      <c r="D696" s="6"/>
      <c r="E696" s="6"/>
      <c r="G696" s="3"/>
      <c r="H696" s="2"/>
    </row>
    <row r="697" spans="1:8" x14ac:dyDescent="0.25">
      <c r="A697" s="5"/>
      <c r="B697" s="6"/>
      <c r="C697" s="6"/>
      <c r="D697" s="6"/>
      <c r="E697" s="6"/>
      <c r="G697" s="1"/>
      <c r="H697" s="2"/>
    </row>
    <row r="698" spans="1:8" x14ac:dyDescent="0.25">
      <c r="A698" s="5"/>
      <c r="B698" s="6"/>
      <c r="C698" s="6"/>
      <c r="D698" s="6"/>
      <c r="E698" s="6"/>
      <c r="G698" s="3"/>
      <c r="H698" s="2"/>
    </row>
    <row r="699" spans="1:8" x14ac:dyDescent="0.25">
      <c r="A699" s="5"/>
      <c r="B699" s="6"/>
      <c r="C699" s="6"/>
      <c r="D699" s="6"/>
      <c r="E699" s="6"/>
      <c r="G699" s="1"/>
      <c r="H699" s="2"/>
    </row>
    <row r="700" spans="1:8" x14ac:dyDescent="0.25">
      <c r="A700" s="5"/>
      <c r="B700" s="6"/>
      <c r="C700" s="6"/>
      <c r="D700" s="6"/>
      <c r="E700" s="6"/>
      <c r="G700" s="3"/>
      <c r="H700" s="2"/>
    </row>
    <row r="701" spans="1:8" x14ac:dyDescent="0.25">
      <c r="A701" s="5"/>
      <c r="B701" s="6"/>
      <c r="C701" s="6"/>
      <c r="D701" s="6"/>
      <c r="E701" s="6"/>
      <c r="G701" s="1"/>
      <c r="H701" s="2"/>
    </row>
    <row r="702" spans="1:8" x14ac:dyDescent="0.25">
      <c r="A702" s="5"/>
      <c r="B702" s="6"/>
      <c r="C702" s="6"/>
      <c r="D702" s="6"/>
      <c r="E702" s="6"/>
      <c r="G702" s="3"/>
      <c r="H702" s="2"/>
    </row>
    <row r="703" spans="1:8" x14ac:dyDescent="0.25">
      <c r="A703" s="5"/>
      <c r="B703" s="6"/>
      <c r="C703" s="6"/>
      <c r="D703" s="6"/>
      <c r="E703" s="6"/>
      <c r="G703" s="1"/>
      <c r="H703" s="2"/>
    </row>
    <row r="704" spans="1:8" x14ac:dyDescent="0.25">
      <c r="A704" s="5"/>
      <c r="B704" s="6"/>
      <c r="C704" s="6"/>
      <c r="D704" s="6"/>
      <c r="E704" s="6"/>
      <c r="G704" s="3"/>
      <c r="H704" s="2"/>
    </row>
    <row r="705" spans="1:8" x14ac:dyDescent="0.25">
      <c r="A705" s="5"/>
      <c r="B705" s="6"/>
      <c r="C705" s="6"/>
      <c r="D705" s="6"/>
      <c r="E705" s="6"/>
      <c r="G705" s="1"/>
      <c r="H705" s="2"/>
    </row>
    <row r="706" spans="1:8" x14ac:dyDescent="0.25">
      <c r="A706" s="5"/>
      <c r="B706" s="6"/>
      <c r="C706" s="6"/>
      <c r="D706" s="6"/>
      <c r="E706" s="6"/>
      <c r="G706" s="3"/>
      <c r="H706" s="2"/>
    </row>
    <row r="707" spans="1:8" x14ac:dyDescent="0.25">
      <c r="A707" s="5"/>
      <c r="B707" s="6"/>
      <c r="C707" s="6"/>
      <c r="D707" s="6"/>
      <c r="E707" s="6"/>
      <c r="G707" s="1"/>
      <c r="H707" s="2"/>
    </row>
    <row r="708" spans="1:8" x14ac:dyDescent="0.25">
      <c r="A708" s="5"/>
      <c r="B708" s="6"/>
      <c r="C708" s="6"/>
      <c r="D708" s="6"/>
      <c r="E708" s="6"/>
      <c r="G708" s="3"/>
      <c r="H708" s="2"/>
    </row>
    <row r="709" spans="1:8" x14ac:dyDescent="0.25">
      <c r="A709" s="5"/>
      <c r="B709" s="6"/>
      <c r="C709" s="6"/>
      <c r="D709" s="6"/>
      <c r="E709" s="6"/>
      <c r="G709" s="1"/>
      <c r="H709" s="2"/>
    </row>
    <row r="710" spans="1:8" x14ac:dyDescent="0.25">
      <c r="A710" s="5"/>
      <c r="B710" s="6"/>
      <c r="C710" s="6"/>
      <c r="D710" s="6"/>
      <c r="E710" s="6"/>
      <c r="G710" s="3"/>
      <c r="H710" s="2"/>
    </row>
    <row r="711" spans="1:8" x14ac:dyDescent="0.25">
      <c r="A711" s="5"/>
      <c r="B711" s="6"/>
      <c r="C711" s="6"/>
      <c r="D711" s="6"/>
      <c r="E711" s="6"/>
      <c r="G711" s="1"/>
      <c r="H711" s="2"/>
    </row>
    <row r="712" spans="1:8" x14ac:dyDescent="0.25">
      <c r="A712" s="5"/>
      <c r="B712" s="6"/>
      <c r="C712" s="6"/>
      <c r="D712" s="6"/>
      <c r="E712" s="6"/>
      <c r="G712" s="3"/>
      <c r="H712" s="2"/>
    </row>
    <row r="713" spans="1:8" x14ac:dyDescent="0.25">
      <c r="A713" s="5"/>
      <c r="B713" s="6"/>
      <c r="C713" s="6"/>
      <c r="D713" s="6"/>
      <c r="E713" s="6"/>
      <c r="G713" s="1"/>
      <c r="H713" s="2"/>
    </row>
    <row r="714" spans="1:8" x14ac:dyDescent="0.25">
      <c r="A714" s="5"/>
      <c r="B714" s="6"/>
      <c r="C714" s="6"/>
      <c r="D714" s="6"/>
      <c r="E714" s="6"/>
      <c r="G714" s="3"/>
      <c r="H714" s="2"/>
    </row>
    <row r="715" spans="1:8" x14ac:dyDescent="0.25">
      <c r="A715" s="5"/>
      <c r="B715" s="6"/>
      <c r="C715" s="6"/>
      <c r="D715" s="6"/>
      <c r="E715" s="6"/>
      <c r="G715" s="1"/>
      <c r="H715" s="2"/>
    </row>
    <row r="716" spans="1:8" x14ac:dyDescent="0.25">
      <c r="A716" s="5"/>
      <c r="B716" s="6"/>
      <c r="C716" s="6"/>
      <c r="D716" s="6"/>
      <c r="E716" s="6"/>
      <c r="G716" s="3"/>
      <c r="H716" s="2"/>
    </row>
    <row r="717" spans="1:8" x14ac:dyDescent="0.25">
      <c r="A717" s="5"/>
      <c r="B717" s="6"/>
      <c r="C717" s="6"/>
      <c r="D717" s="6"/>
      <c r="E717" s="6"/>
      <c r="G717" s="1"/>
      <c r="H717" s="2"/>
    </row>
    <row r="718" spans="1:8" x14ac:dyDescent="0.25">
      <c r="A718" s="5"/>
      <c r="B718" s="6"/>
      <c r="C718" s="6"/>
      <c r="D718" s="6"/>
      <c r="E718" s="6"/>
      <c r="G718" s="3"/>
      <c r="H718" s="2"/>
    </row>
    <row r="719" spans="1:8" x14ac:dyDescent="0.25">
      <c r="A719" s="5"/>
      <c r="B719" s="6"/>
      <c r="C719" s="6"/>
      <c r="D719" s="6"/>
      <c r="E719" s="6"/>
      <c r="G719" s="1"/>
      <c r="H719" s="2"/>
    </row>
    <row r="720" spans="1:8" x14ac:dyDescent="0.25">
      <c r="A720" s="5"/>
      <c r="B720" s="6"/>
      <c r="C720" s="6"/>
      <c r="D720" s="6"/>
      <c r="E720" s="6"/>
      <c r="G720" s="3"/>
      <c r="H720" s="2"/>
    </row>
    <row r="721" spans="1:8" x14ac:dyDescent="0.25">
      <c r="A721" s="5"/>
      <c r="B721" s="6"/>
      <c r="C721" s="6"/>
      <c r="D721" s="6"/>
      <c r="E721" s="6"/>
      <c r="G721" s="1"/>
      <c r="H721" s="2"/>
    </row>
    <row r="722" spans="1:8" x14ac:dyDescent="0.25">
      <c r="A722" s="5"/>
      <c r="B722" s="6"/>
      <c r="C722" s="6"/>
      <c r="D722" s="6"/>
      <c r="E722" s="6"/>
      <c r="G722" s="3"/>
      <c r="H722" s="2"/>
    </row>
    <row r="723" spans="1:8" x14ac:dyDescent="0.25">
      <c r="A723" s="5"/>
      <c r="B723" s="6"/>
      <c r="C723" s="6"/>
      <c r="D723" s="6"/>
      <c r="E723" s="6"/>
      <c r="G723" s="1"/>
      <c r="H723" s="2"/>
    </row>
    <row r="724" spans="1:8" x14ac:dyDescent="0.25">
      <c r="A724" s="5"/>
      <c r="B724" s="6"/>
      <c r="C724" s="6"/>
      <c r="D724" s="6"/>
      <c r="E724" s="6"/>
      <c r="G724" s="3"/>
      <c r="H724" s="2"/>
    </row>
    <row r="725" spans="1:8" x14ac:dyDescent="0.25">
      <c r="A725" s="5"/>
      <c r="B725" s="6"/>
      <c r="C725" s="6"/>
      <c r="D725" s="6"/>
      <c r="E725" s="6"/>
      <c r="G725" s="1"/>
      <c r="H725" s="2"/>
    </row>
    <row r="726" spans="1:8" x14ac:dyDescent="0.25">
      <c r="A726" s="5"/>
      <c r="B726" s="6"/>
      <c r="C726" s="6"/>
      <c r="D726" s="6"/>
      <c r="E726" s="6"/>
      <c r="G726" s="3"/>
      <c r="H726" s="2"/>
    </row>
    <row r="727" spans="1:8" x14ac:dyDescent="0.25">
      <c r="A727" s="5"/>
      <c r="B727" s="6"/>
      <c r="C727" s="6"/>
      <c r="D727" s="6"/>
      <c r="E727" s="6"/>
      <c r="G727" s="1"/>
      <c r="H727" s="2"/>
    </row>
    <row r="728" spans="1:8" x14ac:dyDescent="0.25">
      <c r="A728" s="5"/>
      <c r="B728" s="6"/>
      <c r="C728" s="6"/>
      <c r="D728" s="6"/>
      <c r="E728" s="6"/>
      <c r="G728" s="3"/>
      <c r="H728" s="2"/>
    </row>
    <row r="729" spans="1:8" x14ac:dyDescent="0.25">
      <c r="A729" s="5"/>
      <c r="B729" s="6"/>
      <c r="C729" s="6"/>
      <c r="D729" s="6"/>
      <c r="E729" s="6"/>
      <c r="G729" s="1"/>
      <c r="H729" s="2"/>
    </row>
    <row r="730" spans="1:8" x14ac:dyDescent="0.25">
      <c r="A730" s="5"/>
      <c r="B730" s="6"/>
      <c r="C730" s="6"/>
      <c r="D730" s="6"/>
      <c r="E730" s="6"/>
      <c r="G730" s="3"/>
      <c r="H730" s="2"/>
    </row>
    <row r="731" spans="1:8" x14ac:dyDescent="0.25">
      <c r="A731" s="5"/>
      <c r="B731" s="6"/>
      <c r="C731" s="6"/>
      <c r="D731" s="6"/>
      <c r="E731" s="6"/>
      <c r="G731" s="1"/>
      <c r="H731" s="2"/>
    </row>
    <row r="732" spans="1:8" x14ac:dyDescent="0.25">
      <c r="A732" s="5"/>
      <c r="B732" s="6"/>
      <c r="C732" s="6"/>
      <c r="D732" s="6"/>
      <c r="E732" s="6"/>
      <c r="G732" s="3"/>
      <c r="H732" s="2"/>
    </row>
    <row r="733" spans="1:8" x14ac:dyDescent="0.25">
      <c r="A733" s="5"/>
      <c r="B733" s="6"/>
      <c r="C733" s="6"/>
      <c r="D733" s="6"/>
      <c r="E733" s="6"/>
      <c r="G733" s="1"/>
      <c r="H733" s="2"/>
    </row>
    <row r="734" spans="1:8" x14ac:dyDescent="0.25">
      <c r="A734" s="5"/>
      <c r="B734" s="6"/>
      <c r="C734" s="6"/>
      <c r="D734" s="6"/>
      <c r="E734" s="6"/>
      <c r="G734" s="3"/>
      <c r="H734" s="2"/>
    </row>
    <row r="735" spans="1:8" x14ac:dyDescent="0.25">
      <c r="A735" s="5"/>
      <c r="B735" s="6"/>
      <c r="C735" s="6"/>
      <c r="D735" s="6"/>
      <c r="E735" s="6"/>
      <c r="G735" s="1"/>
      <c r="H735" s="2"/>
    </row>
    <row r="736" spans="1:8" x14ac:dyDescent="0.25">
      <c r="A736" s="5"/>
      <c r="B736" s="6"/>
      <c r="C736" s="6"/>
      <c r="D736" s="6"/>
      <c r="E736" s="6"/>
      <c r="G736" s="3"/>
      <c r="H736" s="2"/>
    </row>
    <row r="737" spans="1:8" x14ac:dyDescent="0.25">
      <c r="A737" s="5"/>
      <c r="B737" s="6"/>
      <c r="C737" s="6"/>
      <c r="D737" s="6"/>
      <c r="E737" s="6"/>
      <c r="G737" s="1"/>
      <c r="H737" s="2"/>
    </row>
    <row r="738" spans="1:8" x14ac:dyDescent="0.25">
      <c r="A738" s="5"/>
      <c r="B738" s="6"/>
      <c r="C738" s="6"/>
      <c r="D738" s="6"/>
      <c r="E738" s="6"/>
      <c r="G738" s="3"/>
      <c r="H738" s="2"/>
    </row>
    <row r="739" spans="1:8" x14ac:dyDescent="0.25">
      <c r="A739" s="5"/>
      <c r="B739" s="6"/>
      <c r="C739" s="6"/>
      <c r="D739" s="6"/>
      <c r="E739" s="6"/>
      <c r="G739" s="1"/>
      <c r="H739" s="2"/>
    </row>
    <row r="740" spans="1:8" x14ac:dyDescent="0.25">
      <c r="A740" s="5"/>
      <c r="B740" s="6"/>
      <c r="C740" s="6"/>
      <c r="D740" s="6"/>
      <c r="E740" s="6"/>
      <c r="G740" s="3"/>
      <c r="H740" s="2"/>
    </row>
    <row r="741" spans="1:8" x14ac:dyDescent="0.25">
      <c r="A741" s="5"/>
      <c r="B741" s="6"/>
      <c r="C741" s="6"/>
      <c r="D741" s="6"/>
      <c r="E741" s="6"/>
      <c r="G741" s="1"/>
      <c r="H741" s="2"/>
    </row>
    <row r="742" spans="1:8" x14ac:dyDescent="0.25">
      <c r="A742" s="5"/>
      <c r="B742" s="6"/>
      <c r="C742" s="6"/>
      <c r="D742" s="6"/>
      <c r="E742" s="6"/>
      <c r="G742" s="3"/>
      <c r="H742" s="2"/>
    </row>
    <row r="743" spans="1:8" x14ac:dyDescent="0.25">
      <c r="A743" s="5"/>
      <c r="B743" s="6"/>
      <c r="C743" s="6"/>
      <c r="D743" s="6"/>
      <c r="E743" s="6"/>
      <c r="G743" s="1"/>
      <c r="H743" s="2"/>
    </row>
    <row r="744" spans="1:8" x14ac:dyDescent="0.25">
      <c r="A744" s="5"/>
      <c r="B744" s="6"/>
      <c r="C744" s="6"/>
      <c r="D744" s="6"/>
      <c r="E744" s="6"/>
      <c r="G744" s="3"/>
      <c r="H744" s="2"/>
    </row>
    <row r="745" spans="1:8" x14ac:dyDescent="0.25">
      <c r="A745" s="5"/>
      <c r="B745" s="6"/>
      <c r="C745" s="6"/>
      <c r="D745" s="6"/>
      <c r="E745" s="6"/>
      <c r="G745" s="1"/>
      <c r="H745" s="2"/>
    </row>
    <row r="746" spans="1:8" x14ac:dyDescent="0.25">
      <c r="A746" s="5"/>
      <c r="B746" s="6"/>
      <c r="C746" s="6"/>
      <c r="D746" s="6"/>
      <c r="E746" s="6"/>
      <c r="G746" s="3"/>
      <c r="H746" s="2"/>
    </row>
    <row r="747" spans="1:8" x14ac:dyDescent="0.25">
      <c r="A747" s="5"/>
      <c r="B747" s="6"/>
      <c r="C747" s="6"/>
      <c r="D747" s="6"/>
      <c r="E747" s="6"/>
      <c r="G747" s="1"/>
      <c r="H747" s="2"/>
    </row>
    <row r="748" spans="1:8" x14ac:dyDescent="0.25">
      <c r="A748" s="5"/>
      <c r="B748" s="6"/>
      <c r="C748" s="6"/>
      <c r="D748" s="6"/>
      <c r="E748" s="6"/>
      <c r="G748" s="3"/>
      <c r="H748" s="2"/>
    </row>
    <row r="749" spans="1:8" x14ac:dyDescent="0.25">
      <c r="A749" s="5"/>
      <c r="B749" s="6"/>
      <c r="C749" s="6"/>
      <c r="D749" s="6"/>
      <c r="E749" s="6"/>
      <c r="G749" s="1"/>
      <c r="H749" s="2"/>
    </row>
    <row r="750" spans="1:8" x14ac:dyDescent="0.25">
      <c r="A750" s="5"/>
      <c r="B750" s="6"/>
      <c r="C750" s="6"/>
      <c r="D750" s="6"/>
      <c r="E750" s="6"/>
      <c r="G750" s="3"/>
      <c r="H750" s="2"/>
    </row>
    <row r="751" spans="1:8" x14ac:dyDescent="0.25">
      <c r="A751" s="5"/>
      <c r="B751" s="6"/>
      <c r="C751" s="6"/>
      <c r="D751" s="6"/>
      <c r="E751" s="6"/>
      <c r="G751" s="1"/>
      <c r="H751" s="2"/>
    </row>
    <row r="752" spans="1:8" x14ac:dyDescent="0.25">
      <c r="A752" s="5"/>
      <c r="B752" s="6"/>
      <c r="C752" s="6"/>
      <c r="D752" s="6"/>
      <c r="E752" s="6"/>
      <c r="G752" s="3"/>
      <c r="H752" s="2"/>
    </row>
    <row r="753" spans="1:8" x14ac:dyDescent="0.25">
      <c r="A753" s="5"/>
      <c r="B753" s="6"/>
      <c r="C753" s="6"/>
      <c r="D753" s="6"/>
      <c r="E753" s="6"/>
      <c r="G753" s="1"/>
      <c r="H753" s="2"/>
    </row>
    <row r="754" spans="1:8" x14ac:dyDescent="0.25">
      <c r="A754" s="5"/>
      <c r="B754" s="6"/>
      <c r="C754" s="6"/>
      <c r="D754" s="6"/>
      <c r="E754" s="6"/>
      <c r="G754" s="3"/>
      <c r="H754" s="2"/>
    </row>
    <row r="755" spans="1:8" x14ac:dyDescent="0.25">
      <c r="A755" s="5"/>
      <c r="B755" s="6"/>
      <c r="C755" s="6"/>
      <c r="D755" s="6"/>
      <c r="E755" s="6"/>
      <c r="G755" s="1"/>
      <c r="H755" s="2"/>
    </row>
    <row r="756" spans="1:8" x14ac:dyDescent="0.25">
      <c r="A756" s="5"/>
      <c r="B756" s="6"/>
      <c r="C756" s="6"/>
      <c r="D756" s="6"/>
      <c r="E756" s="6"/>
      <c r="G756" s="3"/>
      <c r="H756" s="2"/>
    </row>
    <row r="757" spans="1:8" x14ac:dyDescent="0.25">
      <c r="A757" s="5"/>
      <c r="B757" s="6"/>
      <c r="C757" s="6"/>
      <c r="D757" s="6"/>
      <c r="E757" s="6"/>
      <c r="G757" s="1"/>
      <c r="H757" s="2"/>
    </row>
    <row r="758" spans="1:8" x14ac:dyDescent="0.25">
      <c r="A758" s="5"/>
      <c r="B758" s="6"/>
      <c r="C758" s="6"/>
      <c r="D758" s="6"/>
      <c r="E758" s="6"/>
      <c r="G758" s="3"/>
      <c r="H758" s="2"/>
    </row>
    <row r="759" spans="1:8" x14ac:dyDescent="0.25">
      <c r="A759" s="5"/>
      <c r="B759" s="6"/>
      <c r="C759" s="6"/>
      <c r="D759" s="6"/>
      <c r="E759" s="6"/>
      <c r="G759" s="1"/>
      <c r="H759" s="2"/>
    </row>
    <row r="760" spans="1:8" x14ac:dyDescent="0.25">
      <c r="A760" s="5"/>
      <c r="B760" s="6"/>
      <c r="C760" s="6"/>
      <c r="D760" s="6"/>
      <c r="E760" s="6"/>
      <c r="G760" s="14"/>
      <c r="H760" s="2"/>
    </row>
    <row r="761" spans="1:8" x14ac:dyDescent="0.25">
      <c r="A761" s="5"/>
      <c r="B761" s="6"/>
      <c r="C761" s="6"/>
      <c r="D761" s="6"/>
      <c r="E761" s="6"/>
      <c r="G761" s="14"/>
      <c r="H761" s="2"/>
    </row>
    <row r="762" spans="1:8" x14ac:dyDescent="0.25">
      <c r="A762" s="5"/>
      <c r="B762" s="6"/>
      <c r="C762" s="6"/>
      <c r="D762" s="6"/>
      <c r="E762" s="6"/>
      <c r="G762" s="14"/>
      <c r="H762" s="2"/>
    </row>
    <row r="763" spans="1:8" x14ac:dyDescent="0.25">
      <c r="A763" s="5"/>
      <c r="B763" s="6"/>
      <c r="C763" s="6"/>
      <c r="D763" s="6"/>
      <c r="E763" s="6"/>
      <c r="G763" s="14"/>
      <c r="H763" s="2"/>
    </row>
    <row r="764" spans="1:8" x14ac:dyDescent="0.25">
      <c r="A764" s="5"/>
      <c r="B764" s="6"/>
      <c r="C764" s="6"/>
      <c r="D764" s="6"/>
      <c r="E764" s="6"/>
      <c r="G764" s="14"/>
      <c r="H764" s="2"/>
    </row>
    <row r="765" spans="1:8" x14ac:dyDescent="0.25">
      <c r="A765" s="5"/>
      <c r="B765" s="6"/>
      <c r="C765" s="6"/>
      <c r="D765" s="6"/>
      <c r="E765" s="6"/>
      <c r="G765" s="14"/>
      <c r="H765" s="2"/>
    </row>
    <row r="766" spans="1:8" x14ac:dyDescent="0.25">
      <c r="A766" s="5"/>
      <c r="B766" s="6"/>
      <c r="C766" s="6"/>
      <c r="D766" s="6"/>
      <c r="E766" s="6"/>
    </row>
    <row r="767" spans="1:8" x14ac:dyDescent="0.25">
      <c r="A767" s="5"/>
      <c r="B767" s="6"/>
      <c r="C767" s="6"/>
      <c r="D767" s="6"/>
      <c r="E767" s="6"/>
      <c r="G767" s="3"/>
      <c r="H767" s="2"/>
    </row>
    <row r="768" spans="1:8" x14ac:dyDescent="0.25">
      <c r="A768" s="5"/>
      <c r="B768" s="6"/>
      <c r="C768" s="6"/>
      <c r="D768" s="6"/>
      <c r="E768" s="6"/>
      <c r="G768" s="1"/>
      <c r="H768" s="2"/>
    </row>
    <row r="769" spans="1:8" x14ac:dyDescent="0.25">
      <c r="A769" s="5"/>
      <c r="B769" s="6"/>
      <c r="C769" s="6"/>
      <c r="D769" s="6"/>
      <c r="E769" s="6"/>
      <c r="G769" s="3"/>
      <c r="H769" s="2"/>
    </row>
    <row r="770" spans="1:8" x14ac:dyDescent="0.25">
      <c r="A770" s="5"/>
      <c r="B770" s="6"/>
      <c r="C770" s="6"/>
      <c r="D770" s="6"/>
      <c r="E770" s="6"/>
      <c r="G770" s="1"/>
      <c r="H770" s="2"/>
    </row>
    <row r="771" spans="1:8" x14ac:dyDescent="0.25">
      <c r="A771" s="5"/>
      <c r="B771" s="6"/>
      <c r="C771" s="6"/>
      <c r="D771" s="6"/>
      <c r="E771" s="6"/>
      <c r="G771" s="3"/>
      <c r="H771" s="2"/>
    </row>
    <row r="772" spans="1:8" x14ac:dyDescent="0.25">
      <c r="A772" s="5"/>
      <c r="B772" s="6"/>
      <c r="C772" s="6"/>
      <c r="D772" s="6"/>
      <c r="E772" s="6"/>
      <c r="G772" s="1"/>
      <c r="H772" s="2"/>
    </row>
    <row r="773" spans="1:8" x14ac:dyDescent="0.25">
      <c r="A773" s="5"/>
      <c r="B773" s="6"/>
      <c r="C773" s="6"/>
      <c r="D773" s="6"/>
      <c r="E773" s="6"/>
      <c r="G773" s="3"/>
      <c r="H773" s="2"/>
    </row>
    <row r="774" spans="1:8" x14ac:dyDescent="0.25">
      <c r="A774" s="5"/>
      <c r="B774" s="6"/>
      <c r="C774" s="6"/>
      <c r="D774" s="6"/>
      <c r="E774" s="6"/>
      <c r="G774" s="1"/>
      <c r="H774" s="2"/>
    </row>
    <row r="775" spans="1:8" x14ac:dyDescent="0.25">
      <c r="A775" s="5"/>
      <c r="B775" s="6"/>
      <c r="C775" s="6"/>
      <c r="D775" s="6"/>
      <c r="E775" s="6"/>
      <c r="G775" s="3"/>
      <c r="H775" s="2"/>
    </row>
    <row r="776" spans="1:8" x14ac:dyDescent="0.25">
      <c r="A776" s="5"/>
      <c r="B776" s="6"/>
      <c r="C776" s="6"/>
      <c r="D776" s="6"/>
      <c r="E776" s="6"/>
      <c r="G776" s="1"/>
      <c r="H776" s="2"/>
    </row>
    <row r="777" spans="1:8" x14ac:dyDescent="0.25">
      <c r="A777" s="5"/>
      <c r="B777" s="6"/>
      <c r="C777" s="6"/>
      <c r="D777" s="6"/>
      <c r="E777" s="6"/>
      <c r="G777" s="3"/>
      <c r="H777" s="2"/>
    </row>
    <row r="778" spans="1:8" x14ac:dyDescent="0.25">
      <c r="A778" s="5"/>
      <c r="B778" s="6"/>
      <c r="C778" s="6"/>
      <c r="D778" s="6"/>
      <c r="E778" s="6"/>
      <c r="G778" s="1"/>
      <c r="H778" s="2"/>
    </row>
    <row r="779" spans="1:8" x14ac:dyDescent="0.25">
      <c r="A779" s="5"/>
      <c r="B779" s="6"/>
      <c r="C779" s="6"/>
      <c r="D779" s="6"/>
      <c r="E779" s="6"/>
      <c r="G779" s="3"/>
      <c r="H779" s="2"/>
    </row>
    <row r="780" spans="1:8" x14ac:dyDescent="0.25">
      <c r="A780" s="5"/>
      <c r="B780" s="6"/>
      <c r="C780" s="6"/>
      <c r="D780" s="6"/>
      <c r="E780" s="6"/>
      <c r="G780" s="1"/>
      <c r="H780" s="2"/>
    </row>
    <row r="781" spans="1:8" x14ac:dyDescent="0.25">
      <c r="A781" s="5"/>
      <c r="B781" s="6"/>
      <c r="C781" s="6"/>
      <c r="D781" s="6"/>
      <c r="E781" s="6"/>
      <c r="G781" s="3"/>
      <c r="H781" s="2"/>
    </row>
    <row r="782" spans="1:8" x14ac:dyDescent="0.25">
      <c r="A782" s="5"/>
      <c r="B782" s="6"/>
      <c r="C782" s="6"/>
      <c r="D782" s="6"/>
      <c r="E782" s="6"/>
      <c r="G782" s="1"/>
      <c r="H782" s="2"/>
    </row>
    <row r="783" spans="1:8" x14ac:dyDescent="0.25">
      <c r="A783" s="5"/>
      <c r="B783" s="6"/>
      <c r="C783" s="6"/>
      <c r="D783" s="6"/>
      <c r="E783" s="6"/>
      <c r="G783" s="3"/>
      <c r="H783" s="2"/>
    </row>
    <row r="784" spans="1:8" x14ac:dyDescent="0.25">
      <c r="A784" s="5"/>
      <c r="B784" s="6"/>
      <c r="C784" s="6"/>
      <c r="D784" s="6"/>
      <c r="E784" s="6"/>
      <c r="G784" s="1"/>
      <c r="H784" s="2"/>
    </row>
    <row r="785" spans="1:8" x14ac:dyDescent="0.25">
      <c r="A785" s="5"/>
      <c r="B785" s="6"/>
      <c r="C785" s="6"/>
      <c r="D785" s="6"/>
      <c r="E785" s="6"/>
      <c r="G785" s="3"/>
      <c r="H785" s="2"/>
    </row>
    <row r="786" spans="1:8" x14ac:dyDescent="0.25">
      <c r="A786" s="5"/>
      <c r="B786" s="6"/>
      <c r="C786" s="6"/>
      <c r="D786" s="6"/>
      <c r="E786" s="6"/>
      <c r="G786" s="1"/>
      <c r="H786" s="2"/>
    </row>
    <row r="787" spans="1:8" x14ac:dyDescent="0.25">
      <c r="A787" s="5"/>
      <c r="B787" s="6"/>
      <c r="C787" s="6"/>
      <c r="D787" s="6"/>
      <c r="E787" s="6"/>
      <c r="G787" s="3"/>
      <c r="H787" s="2"/>
    </row>
    <row r="788" spans="1:8" x14ac:dyDescent="0.25">
      <c r="A788" s="5"/>
      <c r="B788" s="6"/>
      <c r="C788" s="6"/>
      <c r="D788" s="6"/>
      <c r="E788" s="6"/>
      <c r="G788" s="1"/>
      <c r="H788" s="2"/>
    </row>
    <row r="789" spans="1:8" x14ac:dyDescent="0.25">
      <c r="A789" s="5"/>
      <c r="B789" s="6"/>
      <c r="C789" s="6"/>
      <c r="D789" s="6"/>
      <c r="E789" s="6"/>
      <c r="G789" s="3"/>
      <c r="H789" s="2"/>
    </row>
    <row r="790" spans="1:8" x14ac:dyDescent="0.25">
      <c r="A790" s="5"/>
      <c r="B790" s="6"/>
      <c r="C790" s="6"/>
      <c r="D790" s="6"/>
      <c r="E790" s="6"/>
      <c r="G790" s="1"/>
      <c r="H790" s="2"/>
    </row>
    <row r="791" spans="1:8" x14ac:dyDescent="0.25">
      <c r="A791" s="5"/>
      <c r="B791" s="6"/>
      <c r="C791" s="6"/>
      <c r="D791" s="6"/>
      <c r="E791" s="6"/>
      <c r="G791" s="3"/>
      <c r="H791" s="2"/>
    </row>
    <row r="792" spans="1:8" x14ac:dyDescent="0.25">
      <c r="A792" s="5"/>
      <c r="B792" s="6"/>
      <c r="C792" s="6"/>
      <c r="D792" s="6"/>
      <c r="E792" s="6"/>
      <c r="G792" s="1"/>
      <c r="H792" s="2"/>
    </row>
    <row r="793" spans="1:8" x14ac:dyDescent="0.25">
      <c r="A793" s="5"/>
      <c r="B793" s="6"/>
      <c r="C793" s="6"/>
      <c r="D793" s="6"/>
      <c r="E793" s="6"/>
      <c r="G793" s="3"/>
      <c r="H793" s="2"/>
    </row>
    <row r="794" spans="1:8" x14ac:dyDescent="0.25">
      <c r="A794" s="5"/>
      <c r="B794" s="6"/>
      <c r="C794" s="6"/>
      <c r="D794" s="6"/>
      <c r="E794" s="6"/>
      <c r="G794" s="1"/>
      <c r="H794" s="2"/>
    </row>
    <row r="795" spans="1:8" x14ac:dyDescent="0.25">
      <c r="A795" s="5"/>
      <c r="B795" s="6"/>
      <c r="C795" s="6"/>
      <c r="D795" s="6"/>
      <c r="E795" s="6"/>
      <c r="G795" s="3"/>
      <c r="H795" s="2"/>
    </row>
    <row r="796" spans="1:8" x14ac:dyDescent="0.25">
      <c r="A796" s="5"/>
      <c r="B796" s="6"/>
      <c r="C796" s="6"/>
      <c r="D796" s="6"/>
      <c r="E796" s="6"/>
      <c r="G796" s="1"/>
      <c r="H796" s="2"/>
    </row>
    <row r="797" spans="1:8" x14ac:dyDescent="0.25">
      <c r="A797" s="5"/>
      <c r="B797" s="6"/>
      <c r="C797" s="6"/>
      <c r="D797" s="6"/>
      <c r="E797" s="6"/>
      <c r="G797" s="3"/>
      <c r="H797" s="2"/>
    </row>
    <row r="798" spans="1:8" x14ac:dyDescent="0.25">
      <c r="A798" s="5"/>
      <c r="B798" s="6"/>
      <c r="C798" s="6"/>
      <c r="D798" s="6"/>
      <c r="E798" s="6"/>
      <c r="G798" s="1"/>
      <c r="H798" s="2"/>
    </row>
    <row r="799" spans="1:8" x14ac:dyDescent="0.25">
      <c r="A799" s="5"/>
      <c r="B799" s="6"/>
      <c r="C799" s="6"/>
      <c r="D799" s="6"/>
      <c r="E799" s="6"/>
      <c r="G799" s="3"/>
      <c r="H799" s="2"/>
    </row>
    <row r="800" spans="1:8" x14ac:dyDescent="0.25">
      <c r="A800" s="5"/>
      <c r="B800" s="6"/>
      <c r="C800" s="6"/>
      <c r="D800" s="6"/>
      <c r="E800" s="6"/>
      <c r="G800" s="1"/>
      <c r="H800" s="2"/>
    </row>
    <row r="801" spans="1:8" x14ac:dyDescent="0.25">
      <c r="A801" s="5"/>
      <c r="B801" s="6"/>
      <c r="C801" s="6"/>
      <c r="D801" s="6"/>
      <c r="E801" s="6"/>
      <c r="G801" s="3"/>
      <c r="H801" s="2"/>
    </row>
    <row r="802" spans="1:8" x14ac:dyDescent="0.25">
      <c r="A802" s="5"/>
      <c r="B802" s="6"/>
      <c r="C802" s="6"/>
      <c r="D802" s="6"/>
      <c r="E802" s="6"/>
      <c r="G802" s="1"/>
      <c r="H802" s="2"/>
    </row>
    <row r="803" spans="1:8" x14ac:dyDescent="0.25">
      <c r="A803" s="5"/>
      <c r="B803" s="6"/>
      <c r="C803" s="6"/>
      <c r="D803" s="6"/>
      <c r="E803" s="6"/>
      <c r="G803" s="3"/>
      <c r="H803" s="2"/>
    </row>
    <row r="804" spans="1:8" x14ac:dyDescent="0.25">
      <c r="A804" s="5"/>
      <c r="B804" s="6"/>
      <c r="C804" s="6"/>
      <c r="D804" s="6"/>
      <c r="E804" s="6"/>
      <c r="G804" s="1"/>
      <c r="H804" s="2"/>
    </row>
    <row r="805" spans="1:8" x14ac:dyDescent="0.25">
      <c r="A805" s="5"/>
      <c r="B805" s="6"/>
      <c r="C805" s="6"/>
      <c r="D805" s="6"/>
      <c r="E805" s="6"/>
      <c r="G805" s="3"/>
      <c r="H805" s="2"/>
    </row>
    <row r="806" spans="1:8" x14ac:dyDescent="0.25">
      <c r="A806" s="5"/>
      <c r="B806" s="6"/>
      <c r="C806" s="6"/>
      <c r="D806" s="6"/>
      <c r="E806" s="6"/>
      <c r="G806" s="1"/>
      <c r="H806" s="2"/>
    </row>
    <row r="807" spans="1:8" x14ac:dyDescent="0.25">
      <c r="A807" s="5"/>
      <c r="B807" s="6"/>
      <c r="C807" s="6"/>
      <c r="D807" s="6"/>
      <c r="E807" s="6"/>
      <c r="G807" s="3"/>
      <c r="H807" s="2"/>
    </row>
    <row r="808" spans="1:8" x14ac:dyDescent="0.25">
      <c r="A808" s="5"/>
      <c r="B808" s="6"/>
      <c r="C808" s="6"/>
      <c r="D808" s="6"/>
      <c r="E808" s="6"/>
      <c r="G808" s="1"/>
      <c r="H808" s="2"/>
    </row>
    <row r="809" spans="1:8" x14ac:dyDescent="0.25">
      <c r="A809" s="5"/>
      <c r="B809" s="6"/>
      <c r="C809" s="6"/>
      <c r="D809" s="6"/>
      <c r="E809" s="6"/>
      <c r="G809" s="3"/>
      <c r="H809" s="2"/>
    </row>
    <row r="810" spans="1:8" x14ac:dyDescent="0.25">
      <c r="A810" s="5"/>
      <c r="B810" s="6"/>
      <c r="C810" s="6"/>
      <c r="D810" s="6"/>
      <c r="E810" s="6"/>
      <c r="G810" s="1"/>
      <c r="H810" s="2"/>
    </row>
    <row r="811" spans="1:8" x14ac:dyDescent="0.25">
      <c r="A811" s="5"/>
      <c r="B811" s="6"/>
      <c r="C811" s="6"/>
      <c r="D811" s="6"/>
      <c r="E811" s="6"/>
      <c r="G811" s="3"/>
      <c r="H811" s="2"/>
    </row>
    <row r="812" spans="1:8" x14ac:dyDescent="0.25">
      <c r="A812" s="5"/>
      <c r="B812" s="6"/>
      <c r="C812" s="6"/>
      <c r="D812" s="6"/>
      <c r="E812" s="6"/>
      <c r="G812" s="1"/>
      <c r="H812" s="2"/>
    </row>
    <row r="813" spans="1:8" x14ac:dyDescent="0.25">
      <c r="A813" s="5"/>
      <c r="B813" s="6"/>
      <c r="C813" s="6"/>
      <c r="D813" s="6"/>
      <c r="E813" s="6"/>
      <c r="G813" s="3"/>
      <c r="H813" s="2"/>
    </row>
    <row r="814" spans="1:8" x14ac:dyDescent="0.25">
      <c r="A814" s="5"/>
      <c r="B814" s="6"/>
      <c r="C814" s="6"/>
      <c r="D814" s="6"/>
      <c r="E814" s="6"/>
      <c r="G814" s="1"/>
      <c r="H814" s="2"/>
    </row>
    <row r="815" spans="1:8" x14ac:dyDescent="0.25">
      <c r="A815" s="5"/>
      <c r="B815" s="6"/>
      <c r="C815" s="6"/>
      <c r="D815" s="6"/>
      <c r="E815" s="6"/>
      <c r="G815" s="3"/>
      <c r="H815" s="2"/>
    </row>
    <row r="816" spans="1:8" x14ac:dyDescent="0.25">
      <c r="A816" s="5"/>
      <c r="B816" s="6"/>
      <c r="C816" s="6"/>
      <c r="D816" s="6"/>
      <c r="E816" s="6"/>
      <c r="G816" s="1"/>
      <c r="H816" s="2"/>
    </row>
    <row r="817" spans="1:8" x14ac:dyDescent="0.25">
      <c r="A817" s="5"/>
      <c r="B817" s="6"/>
      <c r="C817" s="6"/>
      <c r="D817" s="6"/>
      <c r="E817" s="6"/>
      <c r="G817" s="3"/>
      <c r="H817" s="2"/>
    </row>
    <row r="818" spans="1:8" x14ac:dyDescent="0.25">
      <c r="A818" s="5"/>
      <c r="B818" s="6"/>
      <c r="C818" s="6"/>
      <c r="D818" s="6"/>
      <c r="E818" s="6"/>
      <c r="G818" s="1"/>
      <c r="H818" s="2"/>
    </row>
    <row r="819" spans="1:8" x14ac:dyDescent="0.25">
      <c r="A819" s="5"/>
      <c r="B819" s="6"/>
      <c r="C819" s="6"/>
      <c r="D819" s="6"/>
      <c r="E819" s="6"/>
      <c r="G819" s="3"/>
      <c r="H819" s="2"/>
    </row>
    <row r="820" spans="1:8" x14ac:dyDescent="0.25">
      <c r="A820" s="5"/>
      <c r="B820" s="6"/>
      <c r="C820" s="6"/>
      <c r="D820" s="6"/>
      <c r="E820" s="6"/>
      <c r="G820" s="1"/>
      <c r="H820" s="2"/>
    </row>
    <row r="821" spans="1:8" x14ac:dyDescent="0.25">
      <c r="A821" s="5"/>
      <c r="B821" s="6"/>
      <c r="C821" s="6"/>
      <c r="D821" s="6"/>
      <c r="E821" s="6"/>
      <c r="G821" s="3"/>
      <c r="H821" s="2"/>
    </row>
    <row r="822" spans="1:8" x14ac:dyDescent="0.25">
      <c r="A822" s="5"/>
      <c r="B822" s="6"/>
      <c r="C822" s="6"/>
      <c r="D822" s="6"/>
      <c r="E822" s="6"/>
      <c r="G822" s="1"/>
      <c r="H822" s="2"/>
    </row>
    <row r="823" spans="1:8" x14ac:dyDescent="0.25">
      <c r="A823" s="5"/>
      <c r="B823" s="6"/>
      <c r="C823" s="6"/>
      <c r="D823" s="6"/>
      <c r="E823" s="6"/>
      <c r="G823" s="3"/>
      <c r="H823" s="2"/>
    </row>
    <row r="824" spans="1:8" x14ac:dyDescent="0.25">
      <c r="A824" s="5"/>
      <c r="B824" s="6"/>
      <c r="C824" s="6"/>
      <c r="D824" s="6"/>
      <c r="E824" s="6"/>
      <c r="G824" s="1"/>
      <c r="H824" s="2"/>
    </row>
    <row r="825" spans="1:8" x14ac:dyDescent="0.25">
      <c r="A825" s="5"/>
      <c r="B825" s="6"/>
      <c r="C825" s="6"/>
      <c r="D825" s="6"/>
      <c r="E825" s="6"/>
      <c r="G825" s="3"/>
      <c r="H825" s="2"/>
    </row>
    <row r="826" spans="1:8" x14ac:dyDescent="0.25">
      <c r="A826" s="5"/>
      <c r="B826" s="6"/>
      <c r="C826" s="6"/>
      <c r="D826" s="6"/>
      <c r="E826" s="6"/>
      <c r="G826" s="1"/>
      <c r="H826" s="2"/>
    </row>
    <row r="827" spans="1:8" x14ac:dyDescent="0.25">
      <c r="A827" s="5"/>
      <c r="B827" s="6"/>
      <c r="C827" s="6"/>
      <c r="D827" s="6"/>
      <c r="E827" s="6"/>
      <c r="G827" s="3"/>
      <c r="H827" s="2"/>
    </row>
    <row r="828" spans="1:8" x14ac:dyDescent="0.25">
      <c r="A828" s="5"/>
      <c r="B828" s="6"/>
      <c r="C828" s="6"/>
      <c r="D828" s="6"/>
      <c r="E828" s="6"/>
      <c r="G828" s="1"/>
      <c r="H828" s="2"/>
    </row>
    <row r="829" spans="1:8" x14ac:dyDescent="0.25">
      <c r="A829" s="5"/>
      <c r="B829" s="6"/>
      <c r="C829" s="6"/>
      <c r="D829" s="6"/>
      <c r="E829" s="6"/>
      <c r="G829" s="3"/>
      <c r="H829" s="2"/>
    </row>
    <row r="830" spans="1:8" x14ac:dyDescent="0.25">
      <c r="A830" s="5"/>
      <c r="B830" s="6"/>
      <c r="C830" s="6"/>
      <c r="D830" s="6"/>
      <c r="E830" s="6"/>
      <c r="G830" s="1"/>
      <c r="H830" s="2"/>
    </row>
    <row r="831" spans="1:8" x14ac:dyDescent="0.25">
      <c r="A831" s="5"/>
      <c r="B831" s="6"/>
      <c r="C831" s="6"/>
      <c r="D831" s="6"/>
      <c r="E831" s="6"/>
      <c r="G831" s="3"/>
      <c r="H831" s="2"/>
    </row>
    <row r="832" spans="1:8" x14ac:dyDescent="0.25">
      <c r="A832" s="5"/>
      <c r="B832" s="6"/>
      <c r="C832" s="6"/>
      <c r="D832" s="6"/>
      <c r="E832" s="6"/>
      <c r="G832" s="1"/>
      <c r="H832" s="2"/>
    </row>
    <row r="833" spans="1:8" x14ac:dyDescent="0.25">
      <c r="A833" s="5"/>
      <c r="B833" s="6"/>
      <c r="C833" s="6"/>
      <c r="D833" s="6"/>
      <c r="E833" s="6"/>
      <c r="G833" s="3"/>
      <c r="H833" s="2"/>
    </row>
    <row r="834" spans="1:8" x14ac:dyDescent="0.25">
      <c r="A834" s="5"/>
      <c r="B834" s="6"/>
      <c r="C834" s="6"/>
      <c r="D834" s="6"/>
      <c r="E834" s="6"/>
      <c r="G834" s="1"/>
      <c r="H834" s="2"/>
    </row>
    <row r="835" spans="1:8" x14ac:dyDescent="0.25">
      <c r="A835" s="5"/>
      <c r="B835" s="6"/>
      <c r="C835" s="6"/>
      <c r="D835" s="6"/>
      <c r="E835" s="6"/>
      <c r="G835" s="3"/>
      <c r="H835" s="2"/>
    </row>
    <row r="836" spans="1:8" x14ac:dyDescent="0.25">
      <c r="A836" s="5"/>
      <c r="B836" s="6"/>
      <c r="C836" s="6"/>
      <c r="D836" s="6"/>
      <c r="E836" s="6"/>
      <c r="G836" s="1"/>
      <c r="H836" s="2"/>
    </row>
    <row r="837" spans="1:8" x14ac:dyDescent="0.25">
      <c r="A837" s="5"/>
      <c r="B837" s="6"/>
      <c r="C837" s="6"/>
      <c r="D837" s="6"/>
      <c r="E837" s="6"/>
      <c r="G837" s="3"/>
      <c r="H837" s="2"/>
    </row>
    <row r="838" spans="1:8" x14ac:dyDescent="0.25">
      <c r="A838" s="5"/>
      <c r="B838" s="6"/>
      <c r="C838" s="6"/>
      <c r="D838" s="6"/>
      <c r="E838" s="6"/>
      <c r="G838" s="1"/>
      <c r="H838" s="2"/>
    </row>
    <row r="839" spans="1:8" x14ac:dyDescent="0.25">
      <c r="A839" s="5"/>
      <c r="B839" s="6"/>
      <c r="C839" s="6"/>
      <c r="D839" s="6"/>
      <c r="E839" s="6"/>
      <c r="G839" s="3"/>
      <c r="H839" s="2"/>
    </row>
    <row r="840" spans="1:8" x14ac:dyDescent="0.25">
      <c r="A840" s="5"/>
      <c r="B840" s="6"/>
      <c r="C840" s="6"/>
      <c r="D840" s="6"/>
      <c r="E840" s="6"/>
      <c r="G840" s="1"/>
      <c r="H840" s="2"/>
    </row>
    <row r="841" spans="1:8" x14ac:dyDescent="0.25">
      <c r="A841" s="5"/>
      <c r="B841" s="6"/>
      <c r="C841" s="6"/>
      <c r="D841" s="6"/>
      <c r="E841" s="6"/>
      <c r="G841" s="3"/>
      <c r="H841" s="2"/>
    </row>
    <row r="842" spans="1:8" x14ac:dyDescent="0.25">
      <c r="A842" s="5"/>
      <c r="B842" s="6"/>
      <c r="C842" s="6"/>
      <c r="D842" s="6"/>
      <c r="E842" s="6"/>
      <c r="G842" s="1"/>
      <c r="H842" s="2"/>
    </row>
    <row r="843" spans="1:8" x14ac:dyDescent="0.25">
      <c r="A843" s="5"/>
      <c r="B843" s="6"/>
      <c r="C843" s="6"/>
      <c r="D843" s="6"/>
      <c r="E843" s="6"/>
      <c r="G843" s="3"/>
      <c r="H843" s="2"/>
    </row>
    <row r="844" spans="1:8" x14ac:dyDescent="0.25">
      <c r="A844" s="5"/>
      <c r="B844" s="6"/>
      <c r="C844" s="6"/>
      <c r="D844" s="6"/>
      <c r="E844" s="6"/>
      <c r="G844" s="1"/>
      <c r="H844" s="2"/>
    </row>
    <row r="845" spans="1:8" x14ac:dyDescent="0.25">
      <c r="A845" s="5"/>
      <c r="B845" s="6"/>
      <c r="C845" s="6"/>
      <c r="D845" s="6"/>
      <c r="E845" s="6"/>
      <c r="G845" s="3"/>
      <c r="H845" s="2"/>
    </row>
    <row r="846" spans="1:8" x14ac:dyDescent="0.25">
      <c r="A846" s="5"/>
      <c r="B846" s="6"/>
      <c r="C846" s="6"/>
      <c r="D846" s="6"/>
      <c r="E846" s="6"/>
      <c r="G846" s="1"/>
      <c r="H846" s="2"/>
    </row>
    <row r="847" spans="1:8" x14ac:dyDescent="0.25">
      <c r="A847" s="5"/>
      <c r="B847" s="6"/>
      <c r="C847" s="6"/>
      <c r="D847" s="6"/>
      <c r="E847" s="6"/>
      <c r="G847" s="3"/>
      <c r="H847" s="2"/>
    </row>
    <row r="848" spans="1:8" x14ac:dyDescent="0.25">
      <c r="A848" s="5"/>
      <c r="B848" s="6"/>
      <c r="C848" s="6"/>
      <c r="D848" s="6"/>
      <c r="E848" s="6"/>
      <c r="G848" s="1"/>
      <c r="H848" s="2"/>
    </row>
    <row r="849" spans="1:8" x14ac:dyDescent="0.25">
      <c r="A849" s="5"/>
      <c r="B849" s="6"/>
      <c r="C849" s="6"/>
      <c r="D849" s="6"/>
      <c r="E849" s="6"/>
      <c r="G849" s="3"/>
      <c r="H849" s="2"/>
    </row>
    <row r="850" spans="1:8" x14ac:dyDescent="0.25">
      <c r="A850" s="5"/>
      <c r="B850" s="6"/>
      <c r="C850" s="6"/>
      <c r="D850" s="6"/>
      <c r="E850" s="6"/>
      <c r="G850" s="1"/>
      <c r="H850" s="2"/>
    </row>
    <row r="851" spans="1:8" x14ac:dyDescent="0.25">
      <c r="A851" s="5"/>
      <c r="B851" s="6"/>
      <c r="C851" s="6"/>
      <c r="D851" s="6"/>
      <c r="E851" s="6"/>
      <c r="G851" s="3"/>
      <c r="H851" s="2"/>
    </row>
    <row r="852" spans="1:8" x14ac:dyDescent="0.25">
      <c r="A852" s="5"/>
      <c r="B852" s="6"/>
      <c r="C852" s="6"/>
      <c r="D852" s="6"/>
      <c r="E852" s="6"/>
      <c r="G852" s="1"/>
      <c r="H852" s="2"/>
    </row>
    <row r="853" spans="1:8" x14ac:dyDescent="0.25">
      <c r="A853" s="5"/>
      <c r="B853" s="6"/>
      <c r="C853" s="6"/>
      <c r="D853" s="6"/>
      <c r="E853" s="6"/>
      <c r="G853" s="3"/>
      <c r="H853" s="2"/>
    </row>
    <row r="854" spans="1:8" x14ac:dyDescent="0.25">
      <c r="A854" s="5"/>
      <c r="B854" s="6"/>
      <c r="C854" s="6"/>
      <c r="D854" s="6"/>
      <c r="E854" s="6"/>
      <c r="G854" s="1"/>
      <c r="H854" s="2"/>
    </row>
    <row r="855" spans="1:8" x14ac:dyDescent="0.25">
      <c r="A855" s="5"/>
      <c r="B855" s="6"/>
      <c r="C855" s="6"/>
      <c r="D855" s="6"/>
      <c r="E855" s="6"/>
      <c r="G855" s="3"/>
      <c r="H855" s="2"/>
    </row>
    <row r="856" spans="1:8" x14ac:dyDescent="0.25">
      <c r="A856" s="5"/>
      <c r="B856" s="6"/>
      <c r="C856" s="6"/>
      <c r="D856" s="6"/>
      <c r="E856" s="6"/>
      <c r="G856" s="1"/>
      <c r="H856" s="2"/>
    </row>
    <row r="857" spans="1:8" x14ac:dyDescent="0.25">
      <c r="A857" s="5"/>
      <c r="B857" s="6"/>
      <c r="C857" s="6"/>
      <c r="D857" s="6"/>
      <c r="E857" s="6"/>
      <c r="G857" s="3"/>
      <c r="H857" s="2"/>
    </row>
    <row r="858" spans="1:8" x14ac:dyDescent="0.25">
      <c r="A858" s="5"/>
      <c r="B858" s="6"/>
      <c r="C858" s="6"/>
      <c r="D858" s="6"/>
      <c r="E858" s="6"/>
      <c r="G858" s="1"/>
      <c r="H858" s="2"/>
    </row>
    <row r="859" spans="1:8" x14ac:dyDescent="0.25">
      <c r="A859" s="5"/>
      <c r="B859" s="6"/>
      <c r="C859" s="6"/>
      <c r="D859" s="6"/>
      <c r="E859" s="6"/>
      <c r="G859" s="3"/>
      <c r="H859" s="2"/>
    </row>
    <row r="860" spans="1:8" x14ac:dyDescent="0.25">
      <c r="A860" s="5"/>
      <c r="B860" s="6"/>
      <c r="C860" s="6"/>
      <c r="D860" s="6"/>
      <c r="E860" s="6"/>
      <c r="G860" s="1"/>
      <c r="H860" s="2"/>
    </row>
    <row r="861" spans="1:8" x14ac:dyDescent="0.25">
      <c r="A861" s="5"/>
      <c r="B861" s="6"/>
      <c r="C861" s="6"/>
      <c r="D861" s="6"/>
      <c r="E861" s="6"/>
      <c r="G861" s="3"/>
      <c r="H861" s="2"/>
    </row>
    <row r="862" spans="1:8" x14ac:dyDescent="0.25">
      <c r="A862" s="5"/>
      <c r="B862" s="6"/>
      <c r="C862" s="6"/>
      <c r="D862" s="6"/>
      <c r="E862" s="6"/>
      <c r="G862" s="1"/>
      <c r="H862" s="2"/>
    </row>
    <row r="863" spans="1:8" x14ac:dyDescent="0.25">
      <c r="A863" s="5"/>
      <c r="B863" s="6"/>
      <c r="C863" s="6"/>
      <c r="D863" s="6"/>
      <c r="E863" s="6"/>
      <c r="G863" s="3"/>
      <c r="H863" s="2"/>
    </row>
    <row r="864" spans="1:8" x14ac:dyDescent="0.25">
      <c r="A864" s="5"/>
      <c r="B864" s="6"/>
      <c r="C864" s="6"/>
      <c r="D864" s="6"/>
      <c r="E864" s="6"/>
      <c r="G864" s="1"/>
      <c r="H864" s="2"/>
    </row>
    <row r="865" spans="1:8" x14ac:dyDescent="0.25">
      <c r="A865" s="5"/>
      <c r="B865" s="6"/>
      <c r="C865" s="6"/>
      <c r="D865" s="6"/>
      <c r="E865" s="6"/>
      <c r="G865" s="3"/>
      <c r="H865" s="2"/>
    </row>
    <row r="866" spans="1:8" x14ac:dyDescent="0.25">
      <c r="A866" s="5"/>
      <c r="B866" s="6"/>
      <c r="C866" s="6"/>
      <c r="D866" s="6"/>
      <c r="E866" s="6"/>
      <c r="G866" s="1"/>
      <c r="H866" s="2"/>
    </row>
    <row r="867" spans="1:8" x14ac:dyDescent="0.25">
      <c r="A867" s="5"/>
      <c r="B867" s="6"/>
      <c r="C867" s="6"/>
      <c r="D867" s="6"/>
      <c r="E867" s="6"/>
      <c r="G867" s="3"/>
      <c r="H867" s="2"/>
    </row>
    <row r="868" spans="1:8" x14ac:dyDescent="0.25">
      <c r="A868" s="5"/>
      <c r="B868" s="6"/>
      <c r="C868" s="6"/>
      <c r="D868" s="6"/>
      <c r="E868" s="6"/>
      <c r="G868" s="1"/>
      <c r="H868" s="2"/>
    </row>
    <row r="869" spans="1:8" x14ac:dyDescent="0.25">
      <c r="A869" s="5"/>
      <c r="B869" s="6"/>
      <c r="C869" s="6"/>
      <c r="D869" s="6"/>
      <c r="E869" s="6"/>
      <c r="G869" s="3"/>
      <c r="H869" s="2"/>
    </row>
    <row r="870" spans="1:8" x14ac:dyDescent="0.25">
      <c r="A870" s="5"/>
      <c r="B870" s="6"/>
      <c r="C870" s="6"/>
      <c r="D870" s="6"/>
      <c r="E870" s="6"/>
      <c r="G870" s="1"/>
      <c r="H870" s="2"/>
    </row>
    <row r="871" spans="1:8" x14ac:dyDescent="0.25">
      <c r="A871" s="5"/>
      <c r="B871" s="6"/>
      <c r="C871" s="6"/>
      <c r="D871" s="6"/>
      <c r="E871" s="6"/>
      <c r="G871" s="3"/>
      <c r="H871" s="2"/>
    </row>
    <row r="872" spans="1:8" x14ac:dyDescent="0.25">
      <c r="A872" s="5"/>
      <c r="B872" s="6"/>
      <c r="C872" s="6"/>
      <c r="D872" s="6"/>
      <c r="E872" s="6"/>
      <c r="G872" s="1"/>
      <c r="H872" s="2"/>
    </row>
    <row r="873" spans="1:8" x14ac:dyDescent="0.25">
      <c r="A873" s="5"/>
      <c r="B873" s="6"/>
      <c r="C873" s="6"/>
      <c r="D873" s="6"/>
      <c r="E873" s="6"/>
      <c r="G873" s="3"/>
      <c r="H873" s="2"/>
    </row>
    <row r="874" spans="1:8" x14ac:dyDescent="0.25">
      <c r="A874" s="5"/>
      <c r="B874" s="6"/>
      <c r="C874" s="6"/>
      <c r="D874" s="6"/>
      <c r="E874" s="6"/>
      <c r="G874" s="1"/>
      <c r="H874" s="2"/>
    </row>
    <row r="875" spans="1:8" x14ac:dyDescent="0.25">
      <c r="A875" s="5"/>
      <c r="B875" s="6"/>
      <c r="C875" s="6"/>
      <c r="D875" s="6"/>
      <c r="E875" s="6"/>
      <c r="G875" s="3"/>
      <c r="H875" s="2"/>
    </row>
    <row r="876" spans="1:8" x14ac:dyDescent="0.25">
      <c r="A876" s="5"/>
      <c r="B876" s="6"/>
      <c r="C876" s="6"/>
      <c r="D876" s="6"/>
      <c r="E876" s="6"/>
      <c r="G876" s="1"/>
      <c r="H876" s="2"/>
    </row>
    <row r="877" spans="1:8" x14ac:dyDescent="0.25">
      <c r="A877" s="5"/>
      <c r="B877" s="6"/>
      <c r="C877" s="6"/>
      <c r="D877" s="6"/>
      <c r="E877" s="6"/>
      <c r="G877" s="3"/>
      <c r="H877" s="2"/>
    </row>
    <row r="878" spans="1:8" x14ac:dyDescent="0.25">
      <c r="A878" s="5"/>
      <c r="B878" s="6"/>
      <c r="C878" s="6"/>
      <c r="D878" s="6"/>
      <c r="E878" s="6"/>
      <c r="G878" s="1"/>
      <c r="H878" s="2"/>
    </row>
    <row r="879" spans="1:8" x14ac:dyDescent="0.25">
      <c r="A879" s="5"/>
      <c r="B879" s="6"/>
      <c r="C879" s="6"/>
      <c r="D879" s="6"/>
      <c r="E879" s="6"/>
      <c r="G879" s="3"/>
      <c r="H879" s="2"/>
    </row>
    <row r="880" spans="1:8" x14ac:dyDescent="0.25">
      <c r="A880" s="5"/>
      <c r="B880" s="6"/>
      <c r="C880" s="6"/>
      <c r="D880" s="6"/>
      <c r="E880" s="6"/>
      <c r="G880" s="1"/>
      <c r="H880" s="2"/>
    </row>
    <row r="881" spans="1:8" x14ac:dyDescent="0.25">
      <c r="A881" s="5"/>
      <c r="B881" s="6"/>
      <c r="C881" s="6"/>
      <c r="D881" s="6"/>
      <c r="E881" s="6"/>
      <c r="G881" s="3"/>
      <c r="H881" s="2"/>
    </row>
    <row r="882" spans="1:8" x14ac:dyDescent="0.25">
      <c r="A882" s="5"/>
      <c r="B882" s="6"/>
      <c r="C882" s="6"/>
      <c r="D882" s="6"/>
      <c r="E882" s="6"/>
      <c r="G882" s="1"/>
      <c r="H882" s="2"/>
    </row>
    <row r="883" spans="1:8" x14ac:dyDescent="0.25">
      <c r="A883" s="5"/>
      <c r="B883" s="6"/>
      <c r="C883" s="6"/>
      <c r="D883" s="6"/>
      <c r="E883" s="6"/>
      <c r="G883" s="3"/>
      <c r="H883" s="2"/>
    </row>
    <row r="884" spans="1:8" x14ac:dyDescent="0.25">
      <c r="A884" s="5"/>
      <c r="B884" s="6"/>
      <c r="C884" s="6"/>
      <c r="D884" s="6"/>
      <c r="E884" s="6"/>
      <c r="G884" s="1"/>
      <c r="H884" s="2"/>
    </row>
    <row r="885" spans="1:8" x14ac:dyDescent="0.25">
      <c r="A885" s="5"/>
      <c r="B885" s="6"/>
      <c r="C885" s="6"/>
      <c r="D885" s="6"/>
      <c r="E885" s="6"/>
      <c r="G885" s="3"/>
      <c r="H885" s="2"/>
    </row>
    <row r="886" spans="1:8" x14ac:dyDescent="0.25">
      <c r="A886" s="5"/>
      <c r="B886" s="6"/>
      <c r="C886" s="6"/>
      <c r="D886" s="6"/>
      <c r="E886" s="6"/>
      <c r="G886" s="1"/>
      <c r="H886" s="2"/>
    </row>
    <row r="887" spans="1:8" x14ac:dyDescent="0.25">
      <c r="A887" s="5"/>
      <c r="B887" s="6"/>
      <c r="C887" s="6"/>
      <c r="D887" s="6"/>
      <c r="E887" s="6"/>
      <c r="G887" s="3"/>
      <c r="H887" s="2"/>
    </row>
    <row r="888" spans="1:8" x14ac:dyDescent="0.25">
      <c r="A888" s="5"/>
      <c r="B888" s="6"/>
      <c r="C888" s="6"/>
      <c r="D888" s="6"/>
      <c r="E888" s="6"/>
      <c r="G888" s="1"/>
      <c r="H888" s="2"/>
    </row>
    <row r="889" spans="1:8" x14ac:dyDescent="0.25">
      <c r="A889" s="5"/>
      <c r="B889" s="6"/>
      <c r="C889" s="6"/>
      <c r="D889" s="6"/>
      <c r="E889" s="6"/>
      <c r="G889" s="3"/>
      <c r="H889" s="2"/>
    </row>
    <row r="890" spans="1:8" x14ac:dyDescent="0.25">
      <c r="A890" s="5"/>
      <c r="B890" s="6"/>
      <c r="C890" s="6"/>
      <c r="D890" s="6"/>
      <c r="E890" s="6"/>
      <c r="G890" s="1"/>
      <c r="H890" s="2"/>
    </row>
    <row r="891" spans="1:8" x14ac:dyDescent="0.25">
      <c r="A891" s="5"/>
      <c r="B891" s="6"/>
      <c r="C891" s="6"/>
      <c r="D891" s="6"/>
      <c r="E891" s="6"/>
      <c r="G891" s="3"/>
      <c r="H891" s="2"/>
    </row>
    <row r="892" spans="1:8" x14ac:dyDescent="0.25">
      <c r="A892" s="5"/>
      <c r="B892" s="6"/>
      <c r="C892" s="6"/>
      <c r="D892" s="6"/>
      <c r="E892" s="6"/>
      <c r="G892" s="1"/>
      <c r="H892" s="2"/>
    </row>
    <row r="893" spans="1:8" x14ac:dyDescent="0.25">
      <c r="A893" s="5"/>
      <c r="B893" s="6"/>
      <c r="C893" s="6"/>
      <c r="D893" s="6"/>
      <c r="E893" s="6"/>
      <c r="G893" s="3"/>
      <c r="H893" s="2"/>
    </row>
    <row r="894" spans="1:8" x14ac:dyDescent="0.25">
      <c r="A894" s="5"/>
      <c r="B894" s="6"/>
      <c r="C894" s="6"/>
      <c r="D894" s="6"/>
      <c r="E894" s="6"/>
      <c r="G894" s="1"/>
      <c r="H894" s="2"/>
    </row>
    <row r="895" spans="1:8" x14ac:dyDescent="0.25">
      <c r="A895" s="5"/>
      <c r="B895" s="6"/>
      <c r="C895" s="6"/>
      <c r="D895" s="6"/>
      <c r="E895" s="6"/>
      <c r="G895" s="3"/>
      <c r="H895" s="2"/>
    </row>
    <row r="896" spans="1:8" x14ac:dyDescent="0.25">
      <c r="A896" s="5"/>
      <c r="B896" s="6"/>
      <c r="C896" s="6"/>
      <c r="D896" s="6"/>
      <c r="E896" s="6"/>
      <c r="G896" s="1"/>
      <c r="H896" s="2"/>
    </row>
    <row r="897" spans="1:8" x14ac:dyDescent="0.25">
      <c r="A897" s="5"/>
      <c r="B897" s="6"/>
      <c r="C897" s="6"/>
      <c r="D897" s="6"/>
      <c r="E897" s="6"/>
      <c r="G897" s="3"/>
      <c r="H897" s="2"/>
    </row>
    <row r="898" spans="1:8" x14ac:dyDescent="0.25">
      <c r="A898" s="5"/>
      <c r="B898" s="6"/>
      <c r="C898" s="6"/>
      <c r="D898" s="6"/>
      <c r="E898" s="6"/>
      <c r="G898" s="1"/>
      <c r="H898" s="2"/>
    </row>
    <row r="899" spans="1:8" x14ac:dyDescent="0.25">
      <c r="A899" s="5"/>
      <c r="B899" s="6"/>
      <c r="C899" s="6"/>
      <c r="D899" s="6"/>
      <c r="E899" s="6"/>
      <c r="G899" s="3"/>
      <c r="H899" s="2"/>
    </row>
    <row r="900" spans="1:8" x14ac:dyDescent="0.25">
      <c r="A900" s="5"/>
      <c r="B900" s="6"/>
      <c r="C900" s="6"/>
      <c r="D900" s="6"/>
      <c r="E900" s="6"/>
      <c r="G900" s="1"/>
      <c r="H900" s="2"/>
    </row>
    <row r="901" spans="1:8" x14ac:dyDescent="0.25">
      <c r="A901" s="5"/>
      <c r="B901" s="6"/>
      <c r="C901" s="6"/>
      <c r="D901" s="6"/>
      <c r="E901" s="6"/>
      <c r="G901" s="3"/>
      <c r="H901" s="2"/>
    </row>
    <row r="902" spans="1:8" x14ac:dyDescent="0.25">
      <c r="A902" s="5"/>
      <c r="B902" s="6"/>
      <c r="C902" s="6"/>
      <c r="D902" s="6"/>
      <c r="E902" s="6"/>
      <c r="G902" s="1"/>
      <c r="H902" s="2"/>
    </row>
    <row r="903" spans="1:8" x14ac:dyDescent="0.25">
      <c r="A903" s="5"/>
      <c r="B903" s="6"/>
      <c r="C903" s="6"/>
      <c r="D903" s="6"/>
      <c r="E903" s="6"/>
      <c r="G903" s="3"/>
      <c r="H903" s="2"/>
    </row>
    <row r="904" spans="1:8" x14ac:dyDescent="0.25">
      <c r="A904" s="5"/>
      <c r="B904" s="6"/>
      <c r="C904" s="6"/>
      <c r="D904" s="6"/>
      <c r="E904" s="6"/>
      <c r="G904" s="1"/>
      <c r="H904" s="2"/>
    </row>
    <row r="905" spans="1:8" x14ac:dyDescent="0.25">
      <c r="A905" s="5"/>
      <c r="B905" s="6"/>
      <c r="C905" s="6"/>
      <c r="D905" s="6"/>
      <c r="E905" s="6"/>
      <c r="G905" s="3"/>
      <c r="H905" s="2"/>
    </row>
    <row r="906" spans="1:8" x14ac:dyDescent="0.25">
      <c r="A906" s="5"/>
      <c r="B906" s="6"/>
      <c r="C906" s="6"/>
      <c r="D906" s="6"/>
      <c r="E906" s="6"/>
      <c r="G906" s="1"/>
      <c r="H906" s="2"/>
    </row>
    <row r="907" spans="1:8" x14ac:dyDescent="0.25">
      <c r="A907" s="5"/>
      <c r="B907" s="6"/>
      <c r="C907" s="6"/>
      <c r="D907" s="6"/>
      <c r="E907" s="6"/>
      <c r="G907" s="3"/>
      <c r="H907" s="2"/>
    </row>
    <row r="908" spans="1:8" x14ac:dyDescent="0.25">
      <c r="A908" s="5"/>
      <c r="B908" s="6"/>
      <c r="C908" s="6"/>
      <c r="D908" s="6"/>
      <c r="E908" s="6"/>
      <c r="G908" s="1"/>
      <c r="H908" s="2"/>
    </row>
    <row r="909" spans="1:8" x14ac:dyDescent="0.25">
      <c r="A909" s="5"/>
      <c r="B909" s="6"/>
      <c r="C909" s="6"/>
      <c r="D909" s="6"/>
      <c r="E909" s="6"/>
      <c r="G909" s="3"/>
      <c r="H909" s="2"/>
    </row>
    <row r="910" spans="1:8" x14ac:dyDescent="0.25">
      <c r="A910" s="5"/>
      <c r="B910" s="6"/>
      <c r="C910" s="6"/>
      <c r="D910" s="6"/>
      <c r="E910" s="6"/>
      <c r="G910" s="1"/>
      <c r="H910" s="2"/>
    </row>
    <row r="911" spans="1:8" x14ac:dyDescent="0.25">
      <c r="A911" s="5"/>
      <c r="B911" s="6"/>
      <c r="C911" s="6"/>
      <c r="D911" s="6"/>
      <c r="E911" s="6"/>
      <c r="G911" s="3"/>
      <c r="H911" s="2"/>
    </row>
    <row r="912" spans="1:8" x14ac:dyDescent="0.25">
      <c r="A912" s="5"/>
      <c r="B912" s="6"/>
      <c r="C912" s="6"/>
      <c r="D912" s="6"/>
      <c r="E912" s="6"/>
      <c r="G912" s="1"/>
      <c r="H912" s="2"/>
    </row>
    <row r="913" spans="1:8" x14ac:dyDescent="0.25">
      <c r="A913" s="5"/>
      <c r="B913" s="6"/>
      <c r="C913" s="6"/>
      <c r="D913" s="6"/>
      <c r="E913" s="6"/>
      <c r="G913" s="3"/>
      <c r="H913" s="2"/>
    </row>
    <row r="914" spans="1:8" x14ac:dyDescent="0.25">
      <c r="A914" s="5"/>
      <c r="B914" s="6"/>
      <c r="C914" s="6"/>
      <c r="D914" s="6"/>
      <c r="E914" s="6"/>
      <c r="G914" s="1"/>
      <c r="H914" s="2"/>
    </row>
    <row r="915" spans="1:8" x14ac:dyDescent="0.25">
      <c r="A915" s="5"/>
      <c r="B915" s="6"/>
      <c r="C915" s="6"/>
      <c r="D915" s="6"/>
      <c r="E915" s="6"/>
      <c r="G915" s="3"/>
      <c r="H915" s="2"/>
    </row>
    <row r="916" spans="1:8" x14ac:dyDescent="0.25">
      <c r="A916" s="5"/>
      <c r="B916" s="6"/>
      <c r="C916" s="6"/>
      <c r="D916" s="6"/>
      <c r="E916" s="6"/>
      <c r="G916" s="1"/>
      <c r="H916" s="2"/>
    </row>
    <row r="917" spans="1:8" x14ac:dyDescent="0.25">
      <c r="A917" s="5"/>
      <c r="B917" s="6"/>
      <c r="C917" s="6"/>
      <c r="D917" s="6"/>
      <c r="E917" s="6"/>
      <c r="G917" s="3"/>
      <c r="H917" s="2"/>
    </row>
    <row r="918" spans="1:8" x14ac:dyDescent="0.25">
      <c r="A918" s="5"/>
      <c r="B918" s="6"/>
      <c r="C918" s="6"/>
      <c r="D918" s="6"/>
      <c r="E918" s="6"/>
      <c r="G918" s="1"/>
      <c r="H918" s="2"/>
    </row>
    <row r="919" spans="1:8" x14ac:dyDescent="0.25">
      <c r="A919" s="5"/>
      <c r="B919" s="6"/>
      <c r="C919" s="6"/>
      <c r="D919" s="6"/>
      <c r="E919" s="6"/>
      <c r="G919" s="3"/>
      <c r="H919" s="2"/>
    </row>
    <row r="920" spans="1:8" x14ac:dyDescent="0.25">
      <c r="A920" s="5"/>
      <c r="B920" s="6"/>
      <c r="C920" s="6"/>
      <c r="D920" s="6"/>
      <c r="E920" s="6"/>
      <c r="G920" s="1"/>
      <c r="H920" s="2"/>
    </row>
    <row r="921" spans="1:8" x14ac:dyDescent="0.25">
      <c r="A921" s="5"/>
      <c r="B921" s="6"/>
      <c r="C921" s="6"/>
      <c r="D921" s="6"/>
      <c r="E921" s="6"/>
      <c r="G921" s="3"/>
      <c r="H921" s="2"/>
    </row>
    <row r="922" spans="1:8" x14ac:dyDescent="0.25">
      <c r="A922" s="5"/>
      <c r="B922" s="6"/>
      <c r="C922" s="6"/>
      <c r="D922" s="6"/>
      <c r="E922" s="6"/>
      <c r="G922" s="1"/>
      <c r="H922" s="2"/>
    </row>
    <row r="923" spans="1:8" x14ac:dyDescent="0.25">
      <c r="A923" s="5"/>
      <c r="B923" s="6"/>
      <c r="C923" s="6"/>
      <c r="D923" s="6"/>
      <c r="E923" s="6"/>
      <c r="G923" s="3"/>
      <c r="H923" s="2"/>
    </row>
    <row r="924" spans="1:8" x14ac:dyDescent="0.25">
      <c r="A924" s="5"/>
      <c r="B924" s="6"/>
      <c r="C924" s="6"/>
      <c r="D924" s="6"/>
      <c r="E924" s="6"/>
      <c r="G924" s="1"/>
      <c r="H924" s="2"/>
    </row>
    <row r="925" spans="1:8" x14ac:dyDescent="0.25">
      <c r="A925" s="5"/>
      <c r="B925" s="6"/>
      <c r="C925" s="6"/>
      <c r="D925" s="6"/>
      <c r="E925" s="6"/>
      <c r="G925" s="3"/>
      <c r="H925" s="2"/>
    </row>
    <row r="926" spans="1:8" x14ac:dyDescent="0.25">
      <c r="A926" s="5"/>
      <c r="B926" s="6"/>
      <c r="C926" s="6"/>
      <c r="D926" s="6"/>
      <c r="E926" s="6"/>
      <c r="G926" s="1"/>
      <c r="H926" s="2"/>
    </row>
    <row r="927" spans="1:8" x14ac:dyDescent="0.25">
      <c r="A927" s="5"/>
      <c r="B927" s="6"/>
      <c r="C927" s="6"/>
      <c r="D927" s="6"/>
      <c r="E927" s="6"/>
      <c r="G927" s="3"/>
      <c r="H927" s="2"/>
    </row>
    <row r="928" spans="1:8" x14ac:dyDescent="0.25">
      <c r="A928" s="5"/>
      <c r="B928" s="6"/>
      <c r="C928" s="6"/>
      <c r="D928" s="6"/>
      <c r="E928" s="6"/>
      <c r="G928" s="1"/>
      <c r="H928" s="2"/>
    </row>
    <row r="929" spans="1:8" x14ac:dyDescent="0.25">
      <c r="A929" s="5"/>
      <c r="B929" s="6"/>
      <c r="C929" s="6"/>
      <c r="D929" s="6"/>
      <c r="E929" s="6"/>
      <c r="G929" s="3"/>
      <c r="H929" s="2"/>
    </row>
    <row r="930" spans="1:8" x14ac:dyDescent="0.25">
      <c r="A930" s="5"/>
      <c r="B930" s="6"/>
      <c r="C930" s="6"/>
      <c r="D930" s="6"/>
      <c r="E930" s="6"/>
      <c r="G930" s="1"/>
      <c r="H930" s="2"/>
    </row>
    <row r="931" spans="1:8" x14ac:dyDescent="0.25">
      <c r="A931" s="5"/>
      <c r="B931" s="6"/>
      <c r="C931" s="6"/>
      <c r="D931" s="6"/>
      <c r="E931" s="6"/>
      <c r="G931" s="3"/>
      <c r="H931" s="2"/>
    </row>
    <row r="932" spans="1:8" x14ac:dyDescent="0.25">
      <c r="A932" s="5"/>
      <c r="B932" s="6"/>
      <c r="C932" s="6"/>
      <c r="D932" s="6"/>
      <c r="E932" s="6"/>
      <c r="G932" s="1"/>
      <c r="H932" s="2"/>
    </row>
    <row r="933" spans="1:8" x14ac:dyDescent="0.25">
      <c r="A933" s="5"/>
      <c r="B933" s="6"/>
      <c r="C933" s="6"/>
      <c r="D933" s="6"/>
      <c r="E933" s="6"/>
      <c r="G933" s="3"/>
      <c r="H933" s="2"/>
    </row>
    <row r="934" spans="1:8" x14ac:dyDescent="0.25">
      <c r="A934" s="5"/>
      <c r="B934" s="6"/>
      <c r="C934" s="6"/>
      <c r="D934" s="6"/>
      <c r="E934" s="6"/>
      <c r="G934" s="1"/>
      <c r="H934" s="2"/>
    </row>
    <row r="935" spans="1:8" x14ac:dyDescent="0.25">
      <c r="A935" s="5"/>
      <c r="B935" s="6"/>
      <c r="C935" s="6"/>
      <c r="D935" s="6"/>
      <c r="E935" s="6"/>
      <c r="G935" s="3"/>
      <c r="H935" s="2"/>
    </row>
    <row r="936" spans="1:8" x14ac:dyDescent="0.25">
      <c r="A936" s="5"/>
      <c r="B936" s="6"/>
      <c r="C936" s="6"/>
      <c r="D936" s="6"/>
      <c r="E936" s="6"/>
      <c r="G936" s="1"/>
      <c r="H936" s="2"/>
    </row>
    <row r="937" spans="1:8" x14ac:dyDescent="0.25">
      <c r="A937" s="5"/>
      <c r="B937" s="6"/>
      <c r="C937" s="6"/>
      <c r="D937" s="6"/>
      <c r="E937" s="6"/>
      <c r="G937" s="3"/>
      <c r="H937" s="2"/>
    </row>
    <row r="938" spans="1:8" x14ac:dyDescent="0.25">
      <c r="A938" s="5"/>
      <c r="B938" s="6"/>
      <c r="C938" s="6"/>
      <c r="D938" s="6"/>
      <c r="E938" s="6"/>
      <c r="G938" s="1"/>
      <c r="H938" s="2"/>
    </row>
    <row r="939" spans="1:8" x14ac:dyDescent="0.25">
      <c r="A939" s="5"/>
      <c r="B939" s="6"/>
      <c r="C939" s="6"/>
      <c r="D939" s="6"/>
      <c r="E939" s="6"/>
      <c r="G939" s="3"/>
      <c r="H939" s="2"/>
    </row>
    <row r="940" spans="1:8" x14ac:dyDescent="0.25">
      <c r="A940" s="5"/>
      <c r="B940" s="6"/>
      <c r="C940" s="6"/>
      <c r="D940" s="6"/>
      <c r="E940" s="6"/>
      <c r="G940" s="1"/>
      <c r="H940" s="2"/>
    </row>
    <row r="941" spans="1:8" x14ac:dyDescent="0.25">
      <c r="A941" s="5"/>
      <c r="B941" s="6"/>
      <c r="C941" s="6"/>
      <c r="D941" s="6"/>
      <c r="E941" s="6"/>
      <c r="G941" s="3"/>
      <c r="H941" s="2"/>
    </row>
    <row r="942" spans="1:8" x14ac:dyDescent="0.25">
      <c r="A942" s="5"/>
      <c r="B942" s="6"/>
      <c r="C942" s="6"/>
      <c r="D942" s="6"/>
      <c r="E942" s="6"/>
      <c r="G942" s="1"/>
      <c r="H942" s="2"/>
    </row>
    <row r="943" spans="1:8" x14ac:dyDescent="0.25">
      <c r="A943" s="5"/>
      <c r="B943" s="6"/>
      <c r="C943" s="6"/>
      <c r="D943" s="6"/>
      <c r="E943" s="6"/>
      <c r="G943" s="3"/>
      <c r="H943" s="2"/>
    </row>
    <row r="944" spans="1:8" x14ac:dyDescent="0.25">
      <c r="A944" s="5"/>
      <c r="B944" s="6"/>
      <c r="C944" s="6"/>
      <c r="D944" s="6"/>
      <c r="E944" s="6"/>
      <c r="G944" s="1"/>
      <c r="H944" s="2"/>
    </row>
    <row r="945" spans="1:8" x14ac:dyDescent="0.25">
      <c r="A945" s="5"/>
      <c r="B945" s="6"/>
      <c r="C945" s="6"/>
      <c r="D945" s="6"/>
      <c r="E945" s="6"/>
      <c r="G945" s="3"/>
      <c r="H945" s="2"/>
    </row>
    <row r="946" spans="1:8" x14ac:dyDescent="0.25">
      <c r="A946" s="5"/>
      <c r="B946" s="6"/>
      <c r="C946" s="6"/>
      <c r="D946" s="6"/>
      <c r="E946" s="6"/>
      <c r="G946" s="1"/>
      <c r="H946" s="2"/>
    </row>
    <row r="947" spans="1:8" x14ac:dyDescent="0.25">
      <c r="A947" s="5"/>
      <c r="B947" s="6"/>
      <c r="C947" s="6"/>
      <c r="D947" s="6"/>
      <c r="E947" s="6"/>
      <c r="G947" s="3"/>
      <c r="H947" s="2"/>
    </row>
    <row r="948" spans="1:8" x14ac:dyDescent="0.25">
      <c r="A948" s="5"/>
      <c r="B948" s="6"/>
      <c r="C948" s="6"/>
      <c r="D948" s="6"/>
      <c r="E948" s="6"/>
      <c r="G948" s="1"/>
      <c r="H948" s="2"/>
    </row>
    <row r="949" spans="1:8" x14ac:dyDescent="0.25">
      <c r="A949" s="5"/>
      <c r="B949" s="6"/>
      <c r="C949" s="6"/>
      <c r="D949" s="6"/>
      <c r="E949" s="6"/>
      <c r="G949" s="3"/>
      <c r="H949" s="2"/>
    </row>
    <row r="950" spans="1:8" x14ac:dyDescent="0.25">
      <c r="A950" s="5"/>
      <c r="B950" s="6"/>
      <c r="C950" s="6"/>
      <c r="D950" s="6"/>
      <c r="E950" s="6"/>
      <c r="G950" s="1"/>
      <c r="H950" s="2"/>
    </row>
    <row r="951" spans="1:8" x14ac:dyDescent="0.25">
      <c r="A951" s="5"/>
      <c r="B951" s="6"/>
      <c r="C951" s="6"/>
      <c r="D951" s="6"/>
      <c r="E951" s="6"/>
      <c r="G951" s="3"/>
      <c r="H951" s="2"/>
    </row>
    <row r="952" spans="1:8" x14ac:dyDescent="0.25">
      <c r="A952" s="5"/>
      <c r="B952" s="6"/>
      <c r="C952" s="6"/>
      <c r="D952" s="6"/>
      <c r="E952" s="6"/>
      <c r="G952" s="1"/>
      <c r="H952" s="2"/>
    </row>
    <row r="953" spans="1:8" x14ac:dyDescent="0.25">
      <c r="A953" s="5"/>
      <c r="B953" s="6"/>
      <c r="C953" s="6"/>
      <c r="D953" s="6"/>
      <c r="E953" s="6"/>
      <c r="G953" s="3"/>
      <c r="H953" s="2"/>
    </row>
    <row r="954" spans="1:8" x14ac:dyDescent="0.25">
      <c r="A954" s="5"/>
      <c r="B954" s="6"/>
      <c r="C954" s="6"/>
      <c r="D954" s="6"/>
      <c r="E954" s="6"/>
      <c r="G954" s="1"/>
      <c r="H954" s="2"/>
    </row>
    <row r="955" spans="1:8" x14ac:dyDescent="0.25">
      <c r="A955" s="5"/>
      <c r="B955" s="6"/>
      <c r="C955" s="6"/>
      <c r="D955" s="6"/>
      <c r="E955" s="6"/>
      <c r="G955" s="3"/>
      <c r="H955" s="2"/>
    </row>
    <row r="956" spans="1:8" x14ac:dyDescent="0.25">
      <c r="A956" s="5"/>
      <c r="B956" s="6"/>
      <c r="C956" s="6"/>
      <c r="D956" s="6"/>
      <c r="E956" s="6"/>
      <c r="G956" s="1"/>
      <c r="H956" s="2"/>
    </row>
    <row r="957" spans="1:8" x14ac:dyDescent="0.25">
      <c r="A957" s="5"/>
      <c r="B957" s="6"/>
      <c r="C957" s="6"/>
      <c r="D957" s="6"/>
      <c r="E957" s="6"/>
      <c r="G957" s="3"/>
      <c r="H957" s="2"/>
    </row>
    <row r="958" spans="1:8" x14ac:dyDescent="0.25">
      <c r="A958" s="5"/>
      <c r="B958" s="6"/>
      <c r="C958" s="6"/>
      <c r="D958" s="6"/>
      <c r="E958" s="6"/>
      <c r="G958" s="1"/>
      <c r="H958" s="2"/>
    </row>
    <row r="959" spans="1:8" x14ac:dyDescent="0.25">
      <c r="A959" s="5"/>
      <c r="B959" s="6"/>
      <c r="C959" s="6"/>
      <c r="D959" s="6"/>
      <c r="E959" s="6"/>
      <c r="G959" s="3"/>
      <c r="H959" s="2"/>
    </row>
    <row r="960" spans="1:8" x14ac:dyDescent="0.25">
      <c r="A960" s="5"/>
      <c r="B960" s="6"/>
      <c r="C960" s="6"/>
      <c r="D960" s="6"/>
      <c r="E960" s="6"/>
      <c r="G960" s="1"/>
      <c r="H960" s="2"/>
    </row>
    <row r="961" spans="1:8" x14ac:dyDescent="0.25">
      <c r="A961" s="5"/>
      <c r="B961" s="6"/>
      <c r="C961" s="6"/>
      <c r="D961" s="6"/>
      <c r="E961" s="6"/>
      <c r="G961" s="3"/>
      <c r="H961" s="2"/>
    </row>
    <row r="962" spans="1:8" x14ac:dyDescent="0.25">
      <c r="A962" s="5"/>
      <c r="B962" s="6"/>
      <c r="C962" s="6"/>
      <c r="D962" s="6"/>
      <c r="E962" s="6"/>
      <c r="G962" s="1"/>
      <c r="H962" s="2"/>
    </row>
    <row r="963" spans="1:8" x14ac:dyDescent="0.25">
      <c r="A963" s="5"/>
      <c r="B963" s="6"/>
      <c r="C963" s="6"/>
      <c r="D963" s="6"/>
      <c r="E963" s="6"/>
      <c r="G963" s="3"/>
      <c r="H963" s="2"/>
    </row>
    <row r="964" spans="1:8" x14ac:dyDescent="0.25">
      <c r="A964" s="5"/>
      <c r="B964" s="6"/>
      <c r="C964" s="6"/>
      <c r="D964" s="6"/>
      <c r="E964" s="6"/>
      <c r="G964" s="1"/>
      <c r="H964" s="2"/>
    </row>
    <row r="965" spans="1:8" x14ac:dyDescent="0.25">
      <c r="A965" s="5"/>
      <c r="B965" s="6"/>
      <c r="C965" s="6"/>
      <c r="D965" s="6"/>
      <c r="E965" s="6"/>
      <c r="G965" s="3"/>
      <c r="H965" s="2"/>
    </row>
    <row r="966" spans="1:8" x14ac:dyDescent="0.25">
      <c r="A966" s="5"/>
      <c r="B966" s="6"/>
      <c r="C966" s="6"/>
      <c r="D966" s="6"/>
      <c r="E966" s="6"/>
      <c r="G966" s="1"/>
      <c r="H966" s="2"/>
    </row>
    <row r="967" spans="1:8" x14ac:dyDescent="0.25">
      <c r="A967" s="5"/>
      <c r="B967" s="6"/>
      <c r="C967" s="6"/>
      <c r="D967" s="6"/>
      <c r="E967" s="6"/>
      <c r="G967" s="3"/>
      <c r="H967" s="2"/>
    </row>
    <row r="968" spans="1:8" x14ac:dyDescent="0.25">
      <c r="A968" s="5"/>
      <c r="B968" s="6"/>
      <c r="C968" s="6"/>
      <c r="D968" s="6"/>
      <c r="E968" s="6"/>
      <c r="G968" s="1"/>
      <c r="H968" s="2"/>
    </row>
    <row r="969" spans="1:8" x14ac:dyDescent="0.25">
      <c r="A969" s="5"/>
      <c r="B969" s="6"/>
      <c r="C969" s="6"/>
      <c r="D969" s="6"/>
      <c r="E969" s="6"/>
      <c r="G969" s="3"/>
      <c r="H969" s="2"/>
    </row>
    <row r="970" spans="1:8" x14ac:dyDescent="0.25">
      <c r="A970" s="5"/>
      <c r="B970" s="6"/>
      <c r="C970" s="6"/>
      <c r="D970" s="6"/>
      <c r="E970" s="6"/>
      <c r="G970" s="1"/>
      <c r="H970" s="2"/>
    </row>
    <row r="971" spans="1:8" x14ac:dyDescent="0.25">
      <c r="A971" s="5"/>
      <c r="B971" s="6"/>
      <c r="C971" s="6"/>
      <c r="D971" s="6"/>
      <c r="E971" s="6"/>
      <c r="G971" s="3"/>
      <c r="H971" s="2"/>
    </row>
    <row r="972" spans="1:8" x14ac:dyDescent="0.25">
      <c r="A972" s="5"/>
      <c r="B972" s="6"/>
      <c r="C972" s="6"/>
      <c r="D972" s="6"/>
      <c r="E972" s="6"/>
      <c r="G972" s="1"/>
      <c r="H972" s="2"/>
    </row>
    <row r="973" spans="1:8" x14ac:dyDescent="0.25">
      <c r="A973" s="5"/>
      <c r="B973" s="6"/>
      <c r="C973" s="6"/>
      <c r="D973" s="6"/>
      <c r="E973" s="6"/>
      <c r="G973" s="3"/>
      <c r="H973" s="2"/>
    </row>
    <row r="974" spans="1:8" x14ac:dyDescent="0.25">
      <c r="A974" s="5"/>
      <c r="B974" s="6"/>
      <c r="C974" s="6"/>
      <c r="D974" s="6"/>
      <c r="E974" s="6"/>
      <c r="G974" s="1"/>
      <c r="H974" s="2"/>
    </row>
    <row r="975" spans="1:8" x14ac:dyDescent="0.25">
      <c r="A975" s="5"/>
      <c r="B975" s="6"/>
      <c r="C975" s="6"/>
      <c r="D975" s="6"/>
      <c r="E975" s="6"/>
      <c r="G975" s="3"/>
      <c r="H975" s="2"/>
    </row>
    <row r="976" spans="1:8" x14ac:dyDescent="0.25">
      <c r="A976" s="5"/>
      <c r="B976" s="6"/>
      <c r="C976" s="6"/>
      <c r="D976" s="6"/>
      <c r="E976" s="6"/>
      <c r="G976" s="1"/>
      <c r="H976" s="2"/>
    </row>
    <row r="977" spans="1:8" x14ac:dyDescent="0.25">
      <c r="A977" s="5"/>
      <c r="B977" s="6"/>
      <c r="C977" s="6"/>
      <c r="D977" s="6"/>
      <c r="E977" s="6"/>
      <c r="G977" s="3"/>
      <c r="H977" s="2"/>
    </row>
    <row r="978" spans="1:8" x14ac:dyDescent="0.25">
      <c r="A978" s="5"/>
      <c r="B978" s="6"/>
      <c r="C978" s="6"/>
      <c r="D978" s="6"/>
      <c r="E978" s="6"/>
      <c r="G978" s="1"/>
      <c r="H978" s="2"/>
    </row>
    <row r="979" spans="1:8" x14ac:dyDescent="0.25">
      <c r="A979" s="5"/>
      <c r="B979" s="6"/>
      <c r="C979" s="6"/>
      <c r="D979" s="6"/>
      <c r="E979" s="6"/>
      <c r="G979" s="3"/>
      <c r="H979" s="2"/>
    </row>
    <row r="980" spans="1:8" x14ac:dyDescent="0.25">
      <c r="A980" s="5"/>
      <c r="B980" s="6"/>
      <c r="C980" s="6"/>
      <c r="D980" s="6"/>
      <c r="E980" s="6"/>
      <c r="G980" s="1"/>
      <c r="H980" s="2"/>
    </row>
    <row r="981" spans="1:8" x14ac:dyDescent="0.25">
      <c r="A981" s="5"/>
      <c r="B981" s="6"/>
      <c r="C981" s="6"/>
      <c r="D981" s="6"/>
      <c r="E981" s="6"/>
      <c r="G981" s="3"/>
      <c r="H981" s="2"/>
    </row>
    <row r="982" spans="1:8" x14ac:dyDescent="0.25">
      <c r="A982" s="5"/>
      <c r="B982" s="6"/>
      <c r="C982" s="6"/>
      <c r="D982" s="6"/>
      <c r="E982" s="6"/>
      <c r="G982" s="1"/>
      <c r="H982" s="2"/>
    </row>
    <row r="983" spans="1:8" x14ac:dyDescent="0.25">
      <c r="A983" s="5"/>
      <c r="B983" s="6"/>
      <c r="C983" s="6"/>
      <c r="D983" s="6"/>
      <c r="E983" s="6"/>
      <c r="G983" s="3"/>
      <c r="H983" s="2"/>
    </row>
    <row r="984" spans="1:8" x14ac:dyDescent="0.25">
      <c r="A984" s="5"/>
      <c r="B984" s="6"/>
      <c r="C984" s="6"/>
      <c r="D984" s="6"/>
      <c r="E984" s="6"/>
      <c r="G984" s="1"/>
      <c r="H984" s="2"/>
    </row>
    <row r="985" spans="1:8" x14ac:dyDescent="0.25">
      <c r="A985" s="5"/>
      <c r="B985" s="6"/>
      <c r="C985" s="6"/>
      <c r="D985" s="6"/>
      <c r="E985" s="6"/>
      <c r="G985" s="3"/>
      <c r="H985" s="2"/>
    </row>
    <row r="986" spans="1:8" x14ac:dyDescent="0.25">
      <c r="A986" s="5"/>
      <c r="B986" s="6"/>
      <c r="C986" s="6"/>
      <c r="D986" s="6"/>
      <c r="E986" s="6"/>
      <c r="G986" s="1"/>
      <c r="H986" s="2"/>
    </row>
    <row r="987" spans="1:8" x14ac:dyDescent="0.25">
      <c r="A987" s="5"/>
      <c r="B987" s="6"/>
      <c r="C987" s="6"/>
      <c r="D987" s="6"/>
      <c r="E987" s="6"/>
      <c r="G987" s="3"/>
      <c r="H987" s="2"/>
    </row>
    <row r="988" spans="1:8" x14ac:dyDescent="0.25">
      <c r="A988" s="5"/>
      <c r="B988" s="6"/>
      <c r="C988" s="6"/>
      <c r="D988" s="6"/>
      <c r="E988" s="6"/>
      <c r="G988" s="1"/>
      <c r="H988" s="2"/>
    </row>
    <row r="989" spans="1:8" x14ac:dyDescent="0.25">
      <c r="A989" s="5"/>
      <c r="B989" s="6"/>
      <c r="C989" s="6"/>
      <c r="D989" s="6"/>
      <c r="E989" s="6"/>
      <c r="G989" s="3"/>
      <c r="H989" s="2"/>
    </row>
    <row r="990" spans="1:8" x14ac:dyDescent="0.25">
      <c r="A990" s="5"/>
      <c r="B990" s="6"/>
      <c r="C990" s="6"/>
      <c r="D990" s="6"/>
      <c r="E990" s="6"/>
      <c r="G990" s="1"/>
      <c r="H990" s="2"/>
    </row>
    <row r="991" spans="1:8" x14ac:dyDescent="0.25">
      <c r="A991" s="5"/>
      <c r="B991" s="6"/>
      <c r="C991" s="6"/>
      <c r="D991" s="6"/>
      <c r="E991" s="6"/>
      <c r="G991" s="3"/>
      <c r="H991" s="2"/>
    </row>
    <row r="992" spans="1:8" x14ac:dyDescent="0.25">
      <c r="A992" s="5"/>
      <c r="B992" s="6"/>
      <c r="C992" s="6"/>
      <c r="D992" s="6"/>
      <c r="E992" s="6"/>
      <c r="G992" s="1"/>
      <c r="H992" s="2"/>
    </row>
    <row r="993" spans="1:8" x14ac:dyDescent="0.25">
      <c r="A993" s="5"/>
      <c r="B993" s="6"/>
      <c r="C993" s="6"/>
      <c r="D993" s="6"/>
      <c r="E993" s="6"/>
      <c r="G993" s="3"/>
      <c r="H993" s="2"/>
    </row>
    <row r="994" spans="1:8" x14ac:dyDescent="0.25">
      <c r="A994" s="5"/>
      <c r="B994" s="6"/>
      <c r="C994" s="6"/>
      <c r="D994" s="6"/>
      <c r="E994" s="6"/>
      <c r="G994" s="1"/>
      <c r="H994" s="2"/>
    </row>
    <row r="995" spans="1:8" x14ac:dyDescent="0.25">
      <c r="A995" s="5"/>
      <c r="B995" s="6"/>
      <c r="C995" s="6"/>
      <c r="D995" s="6"/>
      <c r="E995" s="6"/>
      <c r="G995" s="3"/>
      <c r="H995" s="2"/>
    </row>
    <row r="996" spans="1:8" x14ac:dyDescent="0.25">
      <c r="A996" s="5"/>
      <c r="B996" s="6"/>
      <c r="C996" s="6"/>
      <c r="D996" s="6"/>
      <c r="E996" s="6"/>
      <c r="G996" s="1"/>
      <c r="H996" s="2"/>
    </row>
    <row r="997" spans="1:8" x14ac:dyDescent="0.25">
      <c r="A997" s="5"/>
      <c r="B997" s="6"/>
      <c r="C997" s="6"/>
      <c r="D997" s="6"/>
      <c r="E997" s="6"/>
      <c r="G997" s="3"/>
      <c r="H997" s="2"/>
    </row>
    <row r="998" spans="1:8" x14ac:dyDescent="0.25">
      <c r="A998" s="5"/>
      <c r="B998" s="6"/>
      <c r="C998" s="6"/>
      <c r="D998" s="6"/>
      <c r="E998" s="6"/>
      <c r="G998" s="1"/>
      <c r="H998" s="2"/>
    </row>
    <row r="999" spans="1:8" x14ac:dyDescent="0.25">
      <c r="A999" s="5"/>
      <c r="B999" s="6"/>
      <c r="C999" s="6"/>
      <c r="D999" s="6"/>
      <c r="E999" s="6"/>
      <c r="G999" s="3"/>
      <c r="H999" s="2"/>
    </row>
    <row r="1000" spans="1:8" x14ac:dyDescent="0.25">
      <c r="A1000" s="5"/>
      <c r="B1000" s="6"/>
      <c r="C1000" s="6"/>
      <c r="D1000" s="6"/>
      <c r="E1000" s="6"/>
      <c r="G1000" s="1"/>
      <c r="H1000" s="2"/>
    </row>
    <row r="1001" spans="1:8" x14ac:dyDescent="0.25">
      <c r="A1001" s="5"/>
      <c r="B1001" s="6"/>
      <c r="C1001" s="6"/>
      <c r="D1001" s="6"/>
      <c r="E1001" s="6"/>
      <c r="G1001" s="3"/>
      <c r="H1001" s="2"/>
    </row>
    <row r="1002" spans="1:8" x14ac:dyDescent="0.25">
      <c r="A1002" s="5"/>
      <c r="B1002" s="6"/>
      <c r="C1002" s="6"/>
      <c r="D1002" s="6"/>
      <c r="E1002" s="6"/>
      <c r="G1002" s="1"/>
      <c r="H1002" s="2"/>
    </row>
    <row r="1003" spans="1:8" x14ac:dyDescent="0.25">
      <c r="A1003" s="5"/>
      <c r="B1003" s="6"/>
      <c r="C1003" s="6"/>
      <c r="D1003" s="6"/>
      <c r="E1003" s="6"/>
      <c r="G1003" s="3"/>
      <c r="H1003" s="2"/>
    </row>
    <row r="1004" spans="1:8" x14ac:dyDescent="0.25">
      <c r="A1004" s="5"/>
      <c r="B1004" s="6"/>
      <c r="C1004" s="6"/>
      <c r="D1004" s="6"/>
      <c r="E1004" s="6"/>
      <c r="G1004" s="1"/>
      <c r="H1004" s="2"/>
    </row>
    <row r="1005" spans="1:8" x14ac:dyDescent="0.25">
      <c r="A1005" s="5"/>
      <c r="B1005" s="6"/>
      <c r="C1005" s="6"/>
      <c r="D1005" s="6"/>
      <c r="E1005" s="6"/>
      <c r="G1005" s="3"/>
      <c r="H1005" s="2"/>
    </row>
    <row r="1006" spans="1:8" x14ac:dyDescent="0.25">
      <c r="A1006" s="5"/>
      <c r="B1006" s="6"/>
      <c r="C1006" s="6"/>
      <c r="D1006" s="6"/>
      <c r="E1006" s="6"/>
      <c r="G1006" s="1"/>
      <c r="H1006" s="2"/>
    </row>
    <row r="1007" spans="1:8" x14ac:dyDescent="0.25">
      <c r="A1007" s="5"/>
      <c r="B1007" s="6"/>
      <c r="C1007" s="6"/>
      <c r="D1007" s="6"/>
      <c r="E1007" s="6"/>
      <c r="G1007" s="3"/>
      <c r="H1007" s="2"/>
    </row>
    <row r="1008" spans="1:8" x14ac:dyDescent="0.25">
      <c r="A1008" s="5"/>
      <c r="B1008" s="6"/>
      <c r="C1008" s="6"/>
      <c r="D1008" s="6"/>
      <c r="E1008" s="6"/>
      <c r="G1008" s="1"/>
      <c r="H1008" s="2"/>
    </row>
    <row r="1009" spans="1:8" x14ac:dyDescent="0.25">
      <c r="A1009" s="5"/>
      <c r="B1009" s="6"/>
      <c r="C1009" s="6"/>
      <c r="D1009" s="6"/>
      <c r="E1009" s="6"/>
      <c r="G1009" s="3"/>
      <c r="H1009" s="2"/>
    </row>
    <row r="1010" spans="1:8" x14ac:dyDescent="0.25">
      <c r="A1010" s="5"/>
      <c r="B1010" s="6"/>
      <c r="C1010" s="6"/>
      <c r="D1010" s="6"/>
      <c r="E1010" s="6"/>
      <c r="G1010" s="1"/>
      <c r="H1010" s="2"/>
    </row>
    <row r="1011" spans="1:8" x14ac:dyDescent="0.25">
      <c r="A1011" s="5"/>
      <c r="B1011" s="6"/>
      <c r="C1011" s="6"/>
      <c r="D1011" s="6"/>
      <c r="E1011" s="6"/>
      <c r="G1011" s="3"/>
      <c r="H1011" s="2"/>
    </row>
    <row r="1012" spans="1:8" x14ac:dyDescent="0.25">
      <c r="A1012" s="5"/>
      <c r="B1012" s="6"/>
      <c r="C1012" s="6"/>
      <c r="D1012" s="6"/>
      <c r="E1012" s="6"/>
      <c r="G1012" s="1"/>
      <c r="H1012" s="2"/>
    </row>
    <row r="1013" spans="1:8" x14ac:dyDescent="0.25">
      <c r="A1013" s="5"/>
      <c r="B1013" s="6"/>
      <c r="C1013" s="6"/>
      <c r="D1013" s="6"/>
      <c r="E1013" s="6"/>
      <c r="G1013" s="3"/>
      <c r="H1013" s="2"/>
    </row>
    <row r="1014" spans="1:8" x14ac:dyDescent="0.25">
      <c r="A1014" s="5"/>
      <c r="B1014" s="6"/>
      <c r="C1014" s="6"/>
      <c r="D1014" s="6"/>
      <c r="E1014" s="6"/>
      <c r="G1014" s="1"/>
      <c r="H1014" s="2"/>
    </row>
    <row r="1015" spans="1:8" x14ac:dyDescent="0.25">
      <c r="A1015" s="5"/>
      <c r="B1015" s="6"/>
      <c r="C1015" s="6"/>
      <c r="D1015" s="6"/>
      <c r="E1015" s="6"/>
      <c r="G1015" s="14"/>
      <c r="H1015" s="2"/>
    </row>
    <row r="1016" spans="1:8" x14ac:dyDescent="0.25">
      <c r="A1016" s="5"/>
      <c r="B1016" s="6"/>
      <c r="C1016" s="6"/>
      <c r="D1016" s="6"/>
      <c r="E1016" s="6"/>
      <c r="G1016" s="14"/>
      <c r="H1016" s="2"/>
    </row>
    <row r="1017" spans="1:8" x14ac:dyDescent="0.25">
      <c r="A1017" s="5"/>
      <c r="B1017" s="6"/>
      <c r="C1017" s="6"/>
      <c r="D1017" s="6"/>
      <c r="E1017" s="6"/>
      <c r="G1017" s="14"/>
      <c r="H1017" s="2"/>
    </row>
    <row r="1018" spans="1:8" x14ac:dyDescent="0.25">
      <c r="A1018" s="5"/>
      <c r="B1018" s="6"/>
      <c r="C1018" s="6"/>
      <c r="D1018" s="6"/>
      <c r="E1018" s="6"/>
      <c r="G1018" s="14"/>
      <c r="H1018" s="2"/>
    </row>
    <row r="1019" spans="1:8" x14ac:dyDescent="0.25">
      <c r="A1019" s="5"/>
      <c r="B1019" s="6"/>
      <c r="C1019" s="6"/>
      <c r="D1019" s="6"/>
      <c r="E1019" s="6"/>
      <c r="G1019" s="14"/>
      <c r="H1019" s="2"/>
    </row>
    <row r="1020" spans="1:8" x14ac:dyDescent="0.25">
      <c r="A1020" s="5"/>
      <c r="B1020" s="6"/>
      <c r="C1020" s="6"/>
      <c r="D1020" s="6"/>
      <c r="E1020" s="6"/>
      <c r="G1020" s="14"/>
      <c r="H1020" s="2"/>
    </row>
    <row r="1021" spans="1:8" x14ac:dyDescent="0.25">
      <c r="A1021" s="5"/>
      <c r="B1021" s="6"/>
      <c r="C1021" s="6"/>
      <c r="D1021" s="6"/>
      <c r="E1021" s="6"/>
    </row>
    <row r="1022" spans="1:8" x14ac:dyDescent="0.25">
      <c r="A1022" s="5"/>
      <c r="B1022" s="6"/>
      <c r="C1022" s="6"/>
      <c r="D1022" s="6"/>
      <c r="E1022" s="6"/>
      <c r="G1022" s="3"/>
      <c r="H1022" s="2"/>
    </row>
    <row r="1023" spans="1:8" x14ac:dyDescent="0.25">
      <c r="A1023" s="5"/>
      <c r="B1023" s="6"/>
      <c r="C1023" s="6"/>
      <c r="D1023" s="6"/>
      <c r="E1023" s="6"/>
      <c r="G1023" s="1"/>
      <c r="H1023" s="2"/>
    </row>
    <row r="1024" spans="1:8" x14ac:dyDescent="0.25">
      <c r="A1024" s="5"/>
      <c r="B1024" s="6"/>
      <c r="C1024" s="6"/>
      <c r="D1024" s="6"/>
      <c r="E1024" s="6"/>
      <c r="G1024" s="3"/>
      <c r="H1024" s="2"/>
    </row>
    <row r="1025" spans="1:8" x14ac:dyDescent="0.25">
      <c r="A1025" s="5"/>
      <c r="B1025" s="6"/>
      <c r="C1025" s="6"/>
      <c r="D1025" s="6"/>
      <c r="E1025" s="6"/>
      <c r="G1025" s="1"/>
      <c r="H1025" s="2"/>
    </row>
    <row r="1026" spans="1:8" x14ac:dyDescent="0.25">
      <c r="A1026" s="5"/>
      <c r="B1026" s="6"/>
      <c r="C1026" s="6"/>
      <c r="D1026" s="6"/>
      <c r="E1026" s="6"/>
      <c r="G1026" s="3"/>
      <c r="H1026" s="2"/>
    </row>
    <row r="1027" spans="1:8" x14ac:dyDescent="0.25">
      <c r="A1027" s="5"/>
      <c r="B1027" s="6"/>
      <c r="C1027" s="6"/>
      <c r="D1027" s="6"/>
      <c r="E1027" s="6"/>
      <c r="G1027" s="1"/>
      <c r="H1027" s="2"/>
    </row>
    <row r="1028" spans="1:8" x14ac:dyDescent="0.25">
      <c r="A1028" s="5"/>
      <c r="B1028" s="6"/>
      <c r="C1028" s="6"/>
      <c r="D1028" s="6"/>
      <c r="E1028" s="6"/>
      <c r="G1028" s="3"/>
      <c r="H1028" s="2"/>
    </row>
    <row r="1029" spans="1:8" x14ac:dyDescent="0.25">
      <c r="A1029" s="5"/>
      <c r="B1029" s="6"/>
      <c r="C1029" s="6"/>
      <c r="D1029" s="6"/>
      <c r="E1029" s="6"/>
      <c r="G1029" s="1"/>
      <c r="H1029" s="2"/>
    </row>
    <row r="1030" spans="1:8" x14ac:dyDescent="0.25">
      <c r="A1030" s="5"/>
      <c r="B1030" s="6"/>
      <c r="C1030" s="6"/>
      <c r="D1030" s="6"/>
      <c r="E1030" s="6"/>
      <c r="G1030" s="3"/>
      <c r="H1030" s="2"/>
    </row>
    <row r="1031" spans="1:8" x14ac:dyDescent="0.25">
      <c r="A1031" s="5"/>
      <c r="B1031" s="6"/>
      <c r="C1031" s="6"/>
      <c r="D1031" s="6"/>
      <c r="E1031" s="6"/>
      <c r="G1031" s="1"/>
      <c r="H1031" s="2"/>
    </row>
    <row r="1032" spans="1:8" x14ac:dyDescent="0.25">
      <c r="A1032" s="5"/>
      <c r="B1032" s="6"/>
      <c r="C1032" s="6"/>
      <c r="D1032" s="6"/>
      <c r="E1032" s="6"/>
      <c r="G1032" s="3"/>
      <c r="H1032" s="2"/>
    </row>
    <row r="1033" spans="1:8" x14ac:dyDescent="0.25">
      <c r="A1033" s="5"/>
      <c r="B1033" s="6"/>
      <c r="C1033" s="6"/>
      <c r="D1033" s="6"/>
      <c r="E1033" s="6"/>
      <c r="G1033" s="1"/>
      <c r="H1033" s="2"/>
    </row>
    <row r="1034" spans="1:8" x14ac:dyDescent="0.25">
      <c r="A1034" s="5"/>
      <c r="B1034" s="6"/>
      <c r="C1034" s="6"/>
      <c r="D1034" s="6"/>
      <c r="E1034" s="6"/>
      <c r="G1034" s="3"/>
      <c r="H1034" s="2"/>
    </row>
    <row r="1035" spans="1:8" x14ac:dyDescent="0.25">
      <c r="A1035" s="5"/>
      <c r="B1035" s="6"/>
      <c r="C1035" s="6"/>
      <c r="D1035" s="6"/>
      <c r="E1035" s="6"/>
      <c r="G1035" s="1"/>
      <c r="H1035" s="2"/>
    </row>
    <row r="1036" spans="1:8" x14ac:dyDescent="0.25">
      <c r="A1036" s="5"/>
      <c r="B1036" s="6"/>
      <c r="C1036" s="6"/>
      <c r="D1036" s="6"/>
      <c r="E1036" s="6"/>
      <c r="G1036" s="3"/>
      <c r="H1036" s="2"/>
    </row>
    <row r="1037" spans="1:8" x14ac:dyDescent="0.25">
      <c r="A1037" s="5"/>
      <c r="B1037" s="6"/>
      <c r="C1037" s="6"/>
      <c r="D1037" s="6"/>
      <c r="E1037" s="6"/>
      <c r="G1037" s="1"/>
      <c r="H1037" s="2"/>
    </row>
    <row r="1038" spans="1:8" x14ac:dyDescent="0.25">
      <c r="A1038" s="5"/>
      <c r="B1038" s="6"/>
      <c r="C1038" s="6"/>
      <c r="D1038" s="6"/>
      <c r="E1038" s="6"/>
      <c r="G1038" s="3"/>
      <c r="H1038" s="2"/>
    </row>
    <row r="1039" spans="1:8" x14ac:dyDescent="0.25">
      <c r="A1039" s="5"/>
      <c r="B1039" s="6"/>
      <c r="C1039" s="6"/>
      <c r="D1039" s="6"/>
      <c r="E1039" s="6"/>
      <c r="G1039" s="1"/>
      <c r="H1039" s="2"/>
    </row>
    <row r="1040" spans="1:8" x14ac:dyDescent="0.25">
      <c r="A1040" s="5"/>
      <c r="B1040" s="6"/>
      <c r="C1040" s="6"/>
      <c r="D1040" s="6"/>
      <c r="E1040" s="6"/>
      <c r="G1040" s="3"/>
      <c r="H1040" s="2"/>
    </row>
    <row r="1041" spans="1:8" x14ac:dyDescent="0.25">
      <c r="A1041" s="5"/>
      <c r="B1041" s="6"/>
      <c r="C1041" s="6"/>
      <c r="D1041" s="6"/>
      <c r="E1041" s="6"/>
      <c r="G1041" s="1"/>
      <c r="H1041" s="2"/>
    </row>
    <row r="1042" spans="1:8" x14ac:dyDescent="0.25">
      <c r="A1042" s="5"/>
      <c r="B1042" s="6"/>
      <c r="C1042" s="6"/>
      <c r="D1042" s="6"/>
      <c r="E1042" s="6"/>
      <c r="G1042" s="3"/>
      <c r="H1042" s="2"/>
    </row>
    <row r="1043" spans="1:8" x14ac:dyDescent="0.25">
      <c r="A1043" s="5"/>
      <c r="B1043" s="6"/>
      <c r="C1043" s="6"/>
      <c r="D1043" s="6"/>
      <c r="E1043" s="6"/>
      <c r="G1043" s="1"/>
      <c r="H1043" s="2"/>
    </row>
    <row r="1044" spans="1:8" x14ac:dyDescent="0.25">
      <c r="A1044" s="5"/>
      <c r="B1044" s="6"/>
      <c r="C1044" s="6"/>
      <c r="D1044" s="6"/>
      <c r="E1044" s="6"/>
      <c r="G1044" s="3"/>
      <c r="H1044" s="2"/>
    </row>
    <row r="1045" spans="1:8" x14ac:dyDescent="0.25">
      <c r="A1045" s="5"/>
      <c r="B1045" s="6"/>
      <c r="C1045" s="6"/>
      <c r="D1045" s="6"/>
      <c r="E1045" s="6"/>
      <c r="G1045" s="1"/>
      <c r="H1045" s="2"/>
    </row>
    <row r="1046" spans="1:8" x14ac:dyDescent="0.25">
      <c r="A1046" s="5"/>
      <c r="B1046" s="6"/>
      <c r="C1046" s="6"/>
      <c r="D1046" s="6"/>
      <c r="E1046" s="6"/>
      <c r="G1046" s="3"/>
      <c r="H1046" s="2"/>
    </row>
    <row r="1047" spans="1:8" x14ac:dyDescent="0.25">
      <c r="A1047" s="5"/>
      <c r="B1047" s="6"/>
      <c r="C1047" s="6"/>
      <c r="D1047" s="6"/>
      <c r="E1047" s="6"/>
      <c r="G1047" s="1"/>
      <c r="H1047" s="2"/>
    </row>
    <row r="1048" spans="1:8" x14ac:dyDescent="0.25">
      <c r="A1048" s="5"/>
      <c r="B1048" s="6"/>
      <c r="C1048" s="6"/>
      <c r="D1048" s="6"/>
      <c r="E1048" s="6"/>
      <c r="G1048" s="3"/>
      <c r="H1048" s="2"/>
    </row>
    <row r="1049" spans="1:8" x14ac:dyDescent="0.25">
      <c r="A1049" s="5"/>
      <c r="B1049" s="6"/>
      <c r="C1049" s="6"/>
      <c r="D1049" s="6"/>
      <c r="E1049" s="6"/>
      <c r="G1049" s="1"/>
      <c r="H1049" s="2"/>
    </row>
    <row r="1050" spans="1:8" x14ac:dyDescent="0.25">
      <c r="A1050" s="5"/>
      <c r="B1050" s="6"/>
      <c r="C1050" s="6"/>
      <c r="D1050" s="6"/>
      <c r="E1050" s="6"/>
      <c r="G1050" s="3"/>
      <c r="H1050" s="2"/>
    </row>
    <row r="1051" spans="1:8" x14ac:dyDescent="0.25">
      <c r="A1051" s="5"/>
      <c r="B1051" s="6"/>
      <c r="C1051" s="6"/>
      <c r="D1051" s="6"/>
      <c r="E1051" s="6"/>
      <c r="G1051" s="1"/>
      <c r="H1051" s="2"/>
    </row>
    <row r="1052" spans="1:8" x14ac:dyDescent="0.25">
      <c r="A1052" s="5"/>
      <c r="B1052" s="6"/>
      <c r="C1052" s="6"/>
      <c r="D1052" s="6"/>
      <c r="E1052" s="6"/>
      <c r="G1052" s="3"/>
      <c r="H1052" s="2"/>
    </row>
    <row r="1053" spans="1:8" x14ac:dyDescent="0.25">
      <c r="A1053" s="5"/>
      <c r="B1053" s="6"/>
      <c r="C1053" s="6"/>
      <c r="D1053" s="6"/>
      <c r="E1053" s="6"/>
      <c r="G1053" s="1"/>
      <c r="H1053" s="2"/>
    </row>
    <row r="1054" spans="1:8" x14ac:dyDescent="0.25">
      <c r="A1054" s="5"/>
      <c r="B1054" s="6"/>
      <c r="C1054" s="6"/>
      <c r="D1054" s="6"/>
      <c r="E1054" s="6"/>
      <c r="G1054" s="3"/>
      <c r="H1054" s="2"/>
    </row>
    <row r="1055" spans="1:8" x14ac:dyDescent="0.25">
      <c r="A1055" s="5"/>
      <c r="B1055" s="6"/>
      <c r="C1055" s="6"/>
      <c r="D1055" s="6"/>
      <c r="E1055" s="6"/>
      <c r="G1055" s="1"/>
      <c r="H1055" s="2"/>
    </row>
    <row r="1056" spans="1:8" x14ac:dyDescent="0.25">
      <c r="A1056" s="5"/>
      <c r="B1056" s="6"/>
      <c r="C1056" s="6"/>
      <c r="D1056" s="6"/>
      <c r="E1056" s="6"/>
      <c r="G1056" s="3"/>
      <c r="H1056" s="2"/>
    </row>
    <row r="1057" spans="1:8" x14ac:dyDescent="0.25">
      <c r="A1057" s="5"/>
      <c r="B1057" s="6"/>
      <c r="C1057" s="6"/>
      <c r="D1057" s="6"/>
      <c r="E1057" s="6"/>
      <c r="G1057" s="1"/>
      <c r="H1057" s="2"/>
    </row>
    <row r="1058" spans="1:8" x14ac:dyDescent="0.25">
      <c r="A1058" s="5"/>
      <c r="B1058" s="6"/>
      <c r="C1058" s="6"/>
      <c r="D1058" s="6"/>
      <c r="E1058" s="6"/>
      <c r="G1058" s="3"/>
      <c r="H1058" s="2"/>
    </row>
    <row r="1059" spans="1:8" x14ac:dyDescent="0.25">
      <c r="A1059" s="5"/>
      <c r="B1059" s="6"/>
      <c r="C1059" s="6"/>
      <c r="D1059" s="6"/>
      <c r="E1059" s="6"/>
      <c r="G1059" s="1"/>
      <c r="H1059" s="2"/>
    </row>
    <row r="1060" spans="1:8" x14ac:dyDescent="0.25">
      <c r="A1060" s="5"/>
      <c r="B1060" s="6"/>
      <c r="C1060" s="6"/>
      <c r="D1060" s="6"/>
      <c r="E1060" s="6"/>
      <c r="G1060" s="3"/>
      <c r="H1060" s="2"/>
    </row>
    <row r="1061" spans="1:8" x14ac:dyDescent="0.25">
      <c r="A1061" s="5"/>
      <c r="B1061" s="6"/>
      <c r="C1061" s="6"/>
      <c r="D1061" s="6"/>
      <c r="E1061" s="6"/>
      <c r="G1061" s="1"/>
      <c r="H1061" s="2"/>
    </row>
    <row r="1062" spans="1:8" x14ac:dyDescent="0.25">
      <c r="A1062" s="5"/>
      <c r="B1062" s="6"/>
      <c r="C1062" s="6"/>
      <c r="D1062" s="6"/>
      <c r="E1062" s="6"/>
      <c r="G1062" s="3"/>
      <c r="H1062" s="2"/>
    </row>
    <row r="1063" spans="1:8" x14ac:dyDescent="0.25">
      <c r="A1063" s="5"/>
      <c r="B1063" s="6"/>
      <c r="C1063" s="6"/>
      <c r="D1063" s="6"/>
      <c r="E1063" s="6"/>
      <c r="G1063" s="1"/>
      <c r="H1063" s="2"/>
    </row>
    <row r="1064" spans="1:8" x14ac:dyDescent="0.25">
      <c r="A1064" s="5"/>
      <c r="B1064" s="6"/>
      <c r="C1064" s="6"/>
      <c r="D1064" s="6"/>
      <c r="E1064" s="6"/>
      <c r="G1064" s="3"/>
      <c r="H1064" s="2"/>
    </row>
    <row r="1065" spans="1:8" x14ac:dyDescent="0.25">
      <c r="A1065" s="5"/>
      <c r="B1065" s="6"/>
      <c r="C1065" s="6"/>
      <c r="D1065" s="6"/>
      <c r="E1065" s="6"/>
      <c r="G1065" s="1"/>
      <c r="H1065" s="2"/>
    </row>
    <row r="1066" spans="1:8" x14ac:dyDescent="0.25">
      <c r="A1066" s="5"/>
      <c r="B1066" s="6"/>
      <c r="C1066" s="6"/>
      <c r="D1066" s="6"/>
      <c r="E1066" s="6"/>
      <c r="G1066" s="3"/>
      <c r="H1066" s="2"/>
    </row>
    <row r="1067" spans="1:8" x14ac:dyDescent="0.25">
      <c r="A1067" s="5"/>
      <c r="B1067" s="6"/>
      <c r="C1067" s="6"/>
      <c r="D1067" s="6"/>
      <c r="E1067" s="6"/>
      <c r="G1067" s="1"/>
      <c r="H1067" s="2"/>
    </row>
    <row r="1068" spans="1:8" x14ac:dyDescent="0.25">
      <c r="A1068" s="5"/>
      <c r="B1068" s="6"/>
      <c r="C1068" s="6"/>
      <c r="D1068" s="6"/>
      <c r="E1068" s="6"/>
      <c r="G1068" s="3"/>
      <c r="H1068" s="2"/>
    </row>
    <row r="1069" spans="1:8" x14ac:dyDescent="0.25">
      <c r="A1069" s="5"/>
      <c r="B1069" s="6"/>
      <c r="C1069" s="6"/>
      <c r="D1069" s="6"/>
      <c r="E1069" s="6"/>
      <c r="G1069" s="1"/>
      <c r="H1069" s="2"/>
    </row>
    <row r="1070" spans="1:8" x14ac:dyDescent="0.25">
      <c r="A1070" s="5"/>
      <c r="B1070" s="6"/>
      <c r="C1070" s="6"/>
      <c r="D1070" s="6"/>
      <c r="E1070" s="6"/>
      <c r="G1070" s="3"/>
      <c r="H1070" s="2"/>
    </row>
    <row r="1071" spans="1:8" x14ac:dyDescent="0.25">
      <c r="A1071" s="5"/>
      <c r="B1071" s="6"/>
      <c r="C1071" s="6"/>
      <c r="D1071" s="6"/>
      <c r="E1071" s="6"/>
      <c r="G1071" s="1"/>
      <c r="H1071" s="2"/>
    </row>
    <row r="1072" spans="1:8" x14ac:dyDescent="0.25">
      <c r="A1072" s="5"/>
      <c r="B1072" s="6"/>
      <c r="C1072" s="6"/>
      <c r="D1072" s="6"/>
      <c r="E1072" s="6"/>
      <c r="G1072" s="3"/>
      <c r="H1072" s="2"/>
    </row>
    <row r="1073" spans="1:8" x14ac:dyDescent="0.25">
      <c r="A1073" s="5"/>
      <c r="B1073" s="6"/>
      <c r="C1073" s="6"/>
      <c r="D1073" s="6"/>
      <c r="E1073" s="6"/>
      <c r="G1073" s="1"/>
      <c r="H1073" s="2"/>
    </row>
    <row r="1074" spans="1:8" x14ac:dyDescent="0.25">
      <c r="A1074" s="5"/>
      <c r="B1074" s="6"/>
      <c r="C1074" s="6"/>
      <c r="D1074" s="6"/>
      <c r="E1074" s="6"/>
      <c r="G1074" s="3"/>
      <c r="H1074" s="2"/>
    </row>
    <row r="1075" spans="1:8" x14ac:dyDescent="0.25">
      <c r="A1075" s="5"/>
      <c r="B1075" s="6"/>
      <c r="C1075" s="6"/>
      <c r="D1075" s="6"/>
      <c r="E1075" s="6"/>
      <c r="G1075" s="1"/>
      <c r="H1075" s="2"/>
    </row>
    <row r="1076" spans="1:8" x14ac:dyDescent="0.25">
      <c r="A1076" s="5"/>
      <c r="B1076" s="6"/>
      <c r="C1076" s="6"/>
      <c r="D1076" s="6"/>
      <c r="E1076" s="6"/>
      <c r="G1076" s="3"/>
      <c r="H1076" s="2"/>
    </row>
    <row r="1077" spans="1:8" x14ac:dyDescent="0.25">
      <c r="A1077" s="5"/>
      <c r="B1077" s="6"/>
      <c r="C1077" s="6"/>
      <c r="D1077" s="6"/>
      <c r="E1077" s="6"/>
      <c r="G1077" s="1"/>
      <c r="H1077" s="2"/>
    </row>
    <row r="1078" spans="1:8" x14ac:dyDescent="0.25">
      <c r="A1078" s="5"/>
      <c r="B1078" s="6"/>
      <c r="C1078" s="6"/>
      <c r="D1078" s="6"/>
      <c r="E1078" s="6"/>
      <c r="G1078" s="3"/>
      <c r="H1078" s="2"/>
    </row>
    <row r="1079" spans="1:8" x14ac:dyDescent="0.25">
      <c r="A1079" s="5"/>
      <c r="B1079" s="6"/>
      <c r="C1079" s="6"/>
      <c r="D1079" s="6"/>
      <c r="E1079" s="6"/>
      <c r="G1079" s="1"/>
      <c r="H1079" s="2"/>
    </row>
    <row r="1080" spans="1:8" x14ac:dyDescent="0.25">
      <c r="A1080" s="5"/>
      <c r="B1080" s="6"/>
      <c r="C1080" s="6"/>
      <c r="D1080" s="6"/>
      <c r="E1080" s="6"/>
      <c r="G1080" s="3"/>
      <c r="H1080" s="2"/>
    </row>
    <row r="1081" spans="1:8" x14ac:dyDescent="0.25">
      <c r="A1081" s="5"/>
      <c r="B1081" s="6"/>
      <c r="C1081" s="6"/>
      <c r="D1081" s="6"/>
      <c r="E1081" s="6"/>
      <c r="G1081" s="1"/>
      <c r="H1081" s="2"/>
    </row>
    <row r="1082" spans="1:8" x14ac:dyDescent="0.25">
      <c r="A1082" s="5"/>
      <c r="B1082" s="6"/>
      <c r="C1082" s="6"/>
      <c r="D1082" s="6"/>
      <c r="E1082" s="6"/>
      <c r="G1082" s="3"/>
      <c r="H1082" s="2"/>
    </row>
    <row r="1083" spans="1:8" x14ac:dyDescent="0.25">
      <c r="A1083" s="5"/>
      <c r="B1083" s="6"/>
      <c r="C1083" s="6"/>
      <c r="D1083" s="6"/>
      <c r="E1083" s="6"/>
      <c r="G1083" s="1"/>
      <c r="H1083" s="2"/>
    </row>
    <row r="1084" spans="1:8" x14ac:dyDescent="0.25">
      <c r="A1084" s="5"/>
      <c r="B1084" s="6"/>
      <c r="C1084" s="6"/>
      <c r="D1084" s="6"/>
      <c r="E1084" s="6"/>
      <c r="G1084" s="3"/>
      <c r="H1084" s="2"/>
    </row>
    <row r="1085" spans="1:8" x14ac:dyDescent="0.25">
      <c r="A1085" s="5"/>
      <c r="B1085" s="6"/>
      <c r="C1085" s="6"/>
      <c r="D1085" s="6"/>
      <c r="E1085" s="6"/>
      <c r="G1085" s="1"/>
      <c r="H1085" s="2"/>
    </row>
    <row r="1086" spans="1:8" x14ac:dyDescent="0.25">
      <c r="A1086" s="5"/>
      <c r="B1086" s="6"/>
      <c r="C1086" s="6"/>
      <c r="D1086" s="6"/>
      <c r="E1086" s="6"/>
      <c r="G1086" s="3"/>
      <c r="H1086" s="2"/>
    </row>
    <row r="1087" spans="1:8" x14ac:dyDescent="0.25">
      <c r="A1087" s="5"/>
      <c r="B1087" s="6"/>
      <c r="C1087" s="6"/>
      <c r="D1087" s="6"/>
      <c r="E1087" s="6"/>
      <c r="G1087" s="1"/>
      <c r="H1087" s="2"/>
    </row>
    <row r="1088" spans="1:8" x14ac:dyDescent="0.25">
      <c r="A1088" s="5"/>
      <c r="B1088" s="6"/>
      <c r="C1088" s="6"/>
      <c r="D1088" s="6"/>
      <c r="E1088" s="6"/>
      <c r="G1088" s="3"/>
      <c r="H1088" s="2"/>
    </row>
    <row r="1089" spans="1:8" x14ac:dyDescent="0.25">
      <c r="A1089" s="5"/>
      <c r="B1089" s="6"/>
      <c r="C1089" s="6"/>
      <c r="D1089" s="6"/>
      <c r="E1089" s="6"/>
      <c r="G1089" s="1"/>
      <c r="H1089" s="2"/>
    </row>
    <row r="1090" spans="1:8" x14ac:dyDescent="0.25">
      <c r="A1090" s="5"/>
      <c r="B1090" s="6"/>
      <c r="C1090" s="6"/>
      <c r="D1090" s="6"/>
      <c r="E1090" s="6"/>
      <c r="G1090" s="3"/>
      <c r="H1090" s="2"/>
    </row>
    <row r="1091" spans="1:8" x14ac:dyDescent="0.25">
      <c r="A1091" s="5"/>
      <c r="B1091" s="6"/>
      <c r="C1091" s="6"/>
      <c r="D1091" s="6"/>
      <c r="E1091" s="6"/>
      <c r="G1091" s="1"/>
      <c r="H1091" s="2"/>
    </row>
    <row r="1092" spans="1:8" x14ac:dyDescent="0.25">
      <c r="A1092" s="5"/>
      <c r="B1092" s="6"/>
      <c r="C1092" s="6"/>
      <c r="D1092" s="6"/>
      <c r="E1092" s="6"/>
      <c r="G1092" s="3"/>
      <c r="H1092" s="2"/>
    </row>
    <row r="1093" spans="1:8" x14ac:dyDescent="0.25">
      <c r="A1093" s="5"/>
      <c r="B1093" s="6"/>
      <c r="C1093" s="6"/>
      <c r="D1093" s="6"/>
      <c r="E1093" s="6"/>
      <c r="G1093" s="1"/>
      <c r="H1093" s="2"/>
    </row>
    <row r="1094" spans="1:8" x14ac:dyDescent="0.25">
      <c r="A1094" s="5"/>
      <c r="B1094" s="6"/>
      <c r="C1094" s="6"/>
      <c r="D1094" s="6"/>
      <c r="E1094" s="6"/>
      <c r="G1094" s="3"/>
      <c r="H1094" s="2"/>
    </row>
    <row r="1095" spans="1:8" x14ac:dyDescent="0.25">
      <c r="A1095" s="5"/>
      <c r="B1095" s="6"/>
      <c r="C1095" s="6"/>
      <c r="D1095" s="6"/>
      <c r="E1095" s="6"/>
      <c r="G1095" s="1"/>
      <c r="H1095" s="2"/>
    </row>
    <row r="1096" spans="1:8" x14ac:dyDescent="0.25">
      <c r="A1096" s="5"/>
      <c r="B1096" s="6"/>
      <c r="C1096" s="6"/>
      <c r="D1096" s="6"/>
      <c r="E1096" s="6"/>
      <c r="G1096" s="3"/>
      <c r="H1096" s="2"/>
    </row>
    <row r="1097" spans="1:8" x14ac:dyDescent="0.25">
      <c r="A1097" s="5"/>
      <c r="B1097" s="6"/>
      <c r="C1097" s="6"/>
      <c r="D1097" s="6"/>
      <c r="E1097" s="6"/>
      <c r="G1097" s="1"/>
      <c r="H1097" s="2"/>
    </row>
    <row r="1098" spans="1:8" x14ac:dyDescent="0.25">
      <c r="A1098" s="5"/>
      <c r="B1098" s="6"/>
      <c r="C1098" s="6"/>
      <c r="D1098" s="6"/>
      <c r="E1098" s="6"/>
      <c r="G1098" s="3"/>
      <c r="H1098" s="2"/>
    </row>
    <row r="1099" spans="1:8" x14ac:dyDescent="0.25">
      <c r="A1099" s="5"/>
      <c r="B1099" s="6"/>
      <c r="C1099" s="6"/>
      <c r="D1099" s="6"/>
      <c r="E1099" s="6"/>
      <c r="G1099" s="1"/>
      <c r="H1099" s="2"/>
    </row>
    <row r="1100" spans="1:8" x14ac:dyDescent="0.25">
      <c r="A1100" s="5"/>
      <c r="B1100" s="6"/>
      <c r="C1100" s="6"/>
      <c r="D1100" s="6"/>
      <c r="E1100" s="6"/>
      <c r="G1100" s="3"/>
      <c r="H1100" s="2"/>
    </row>
    <row r="1101" spans="1:8" x14ac:dyDescent="0.25">
      <c r="A1101" s="5"/>
      <c r="B1101" s="6"/>
      <c r="C1101" s="6"/>
      <c r="D1101" s="6"/>
      <c r="E1101" s="6"/>
      <c r="G1101" s="1"/>
      <c r="H1101" s="2"/>
    </row>
    <row r="1102" spans="1:8" x14ac:dyDescent="0.25">
      <c r="A1102" s="5"/>
      <c r="B1102" s="6"/>
      <c r="C1102" s="6"/>
      <c r="D1102" s="6"/>
      <c r="E1102" s="6"/>
      <c r="G1102" s="3"/>
      <c r="H1102" s="2"/>
    </row>
    <row r="1103" spans="1:8" x14ac:dyDescent="0.25">
      <c r="A1103" s="5"/>
      <c r="B1103" s="6"/>
      <c r="C1103" s="6"/>
      <c r="D1103" s="6"/>
      <c r="E1103" s="6"/>
      <c r="G1103" s="1"/>
      <c r="H1103" s="2"/>
    </row>
    <row r="1104" spans="1:8" x14ac:dyDescent="0.25">
      <c r="A1104" s="5"/>
      <c r="B1104" s="6"/>
      <c r="C1104" s="6"/>
      <c r="D1104" s="6"/>
      <c r="E1104" s="6"/>
      <c r="G1104" s="3"/>
      <c r="H1104" s="2"/>
    </row>
    <row r="1105" spans="1:8" x14ac:dyDescent="0.25">
      <c r="A1105" s="5"/>
      <c r="B1105" s="6"/>
      <c r="C1105" s="6"/>
      <c r="D1105" s="6"/>
      <c r="E1105" s="6"/>
      <c r="G1105" s="1"/>
      <c r="H1105" s="2"/>
    </row>
    <row r="1106" spans="1:8" x14ac:dyDescent="0.25">
      <c r="A1106" s="5"/>
      <c r="B1106" s="6"/>
      <c r="C1106" s="6"/>
      <c r="D1106" s="6"/>
      <c r="E1106" s="6"/>
      <c r="G1106" s="3"/>
      <c r="H1106" s="2"/>
    </row>
    <row r="1107" spans="1:8" x14ac:dyDescent="0.25">
      <c r="A1107" s="5"/>
      <c r="B1107" s="6"/>
      <c r="C1107" s="6"/>
      <c r="D1107" s="6"/>
      <c r="E1107" s="6"/>
      <c r="G1107" s="1"/>
      <c r="H1107" s="2"/>
    </row>
    <row r="1108" spans="1:8" x14ac:dyDescent="0.25">
      <c r="A1108" s="5"/>
      <c r="B1108" s="6"/>
      <c r="C1108" s="6"/>
      <c r="D1108" s="6"/>
      <c r="E1108" s="6"/>
      <c r="G1108" s="3"/>
      <c r="H1108" s="2"/>
    </row>
    <row r="1109" spans="1:8" x14ac:dyDescent="0.25">
      <c r="A1109" s="5"/>
      <c r="B1109" s="6"/>
      <c r="C1109" s="6"/>
      <c r="D1109" s="6"/>
      <c r="E1109" s="6"/>
      <c r="G1109" s="1"/>
      <c r="H1109" s="2"/>
    </row>
    <row r="1110" spans="1:8" x14ac:dyDescent="0.25">
      <c r="A1110" s="5"/>
      <c r="B1110" s="6"/>
      <c r="C1110" s="6"/>
      <c r="D1110" s="6"/>
      <c r="E1110" s="6"/>
      <c r="G1110" s="3"/>
      <c r="H1110" s="2"/>
    </row>
    <row r="1111" spans="1:8" x14ac:dyDescent="0.25">
      <c r="A1111" s="5"/>
      <c r="B1111" s="6"/>
      <c r="C1111" s="6"/>
      <c r="D1111" s="6"/>
      <c r="E1111" s="6"/>
      <c r="G1111" s="1"/>
      <c r="H1111" s="2"/>
    </row>
    <row r="1112" spans="1:8" x14ac:dyDescent="0.25">
      <c r="A1112" s="5"/>
      <c r="B1112" s="6"/>
      <c r="C1112" s="6"/>
      <c r="D1112" s="6"/>
      <c r="E1112" s="6"/>
      <c r="G1112" s="3"/>
      <c r="H1112" s="2"/>
    </row>
    <row r="1113" spans="1:8" x14ac:dyDescent="0.25">
      <c r="A1113" s="5"/>
      <c r="B1113" s="6"/>
      <c r="C1113" s="6"/>
      <c r="D1113" s="6"/>
      <c r="E1113" s="6"/>
      <c r="G1113" s="1"/>
      <c r="H1113" s="2"/>
    </row>
    <row r="1114" spans="1:8" x14ac:dyDescent="0.25">
      <c r="A1114" s="5"/>
      <c r="B1114" s="6"/>
      <c r="C1114" s="6"/>
      <c r="D1114" s="6"/>
      <c r="E1114" s="6"/>
      <c r="G1114" s="3"/>
      <c r="H1114" s="2"/>
    </row>
    <row r="1115" spans="1:8" x14ac:dyDescent="0.25">
      <c r="A1115" s="5"/>
      <c r="B1115" s="6"/>
      <c r="C1115" s="6"/>
      <c r="D1115" s="6"/>
      <c r="E1115" s="6"/>
      <c r="G1115" s="1"/>
      <c r="H1115" s="2"/>
    </row>
    <row r="1116" spans="1:8" x14ac:dyDescent="0.25">
      <c r="A1116" s="5"/>
      <c r="B1116" s="6"/>
      <c r="C1116" s="6"/>
      <c r="D1116" s="6"/>
      <c r="E1116" s="6"/>
      <c r="G1116" s="3"/>
      <c r="H1116" s="2"/>
    </row>
    <row r="1117" spans="1:8" x14ac:dyDescent="0.25">
      <c r="A1117" s="5"/>
      <c r="B1117" s="6"/>
      <c r="C1117" s="6"/>
      <c r="D1117" s="6"/>
      <c r="E1117" s="6"/>
      <c r="G1117" s="1"/>
      <c r="H1117" s="2"/>
    </row>
    <row r="1118" spans="1:8" x14ac:dyDescent="0.25">
      <c r="A1118" s="5"/>
      <c r="B1118" s="6"/>
      <c r="C1118" s="6"/>
      <c r="D1118" s="6"/>
      <c r="E1118" s="6"/>
      <c r="G1118" s="3"/>
      <c r="H1118" s="2"/>
    </row>
    <row r="1119" spans="1:8" x14ac:dyDescent="0.25">
      <c r="A1119" s="5"/>
      <c r="B1119" s="6"/>
      <c r="C1119" s="6"/>
      <c r="D1119" s="6"/>
      <c r="E1119" s="6"/>
      <c r="G1119" s="1"/>
      <c r="H1119" s="2"/>
    </row>
    <row r="1120" spans="1:8" x14ac:dyDescent="0.25">
      <c r="A1120" s="5"/>
      <c r="B1120" s="6"/>
      <c r="C1120" s="6"/>
      <c r="D1120" s="6"/>
      <c r="E1120" s="6"/>
      <c r="G1120" s="3"/>
      <c r="H1120" s="2"/>
    </row>
    <row r="1121" spans="1:8" x14ac:dyDescent="0.25">
      <c r="A1121" s="5"/>
      <c r="B1121" s="6"/>
      <c r="C1121" s="6"/>
      <c r="D1121" s="6"/>
      <c r="E1121" s="6"/>
      <c r="G1121" s="1"/>
      <c r="H1121" s="2"/>
    </row>
    <row r="1122" spans="1:8" x14ac:dyDescent="0.25">
      <c r="A1122" s="5"/>
      <c r="B1122" s="6"/>
      <c r="C1122" s="6"/>
      <c r="D1122" s="6"/>
      <c r="E1122" s="6"/>
      <c r="G1122" s="3"/>
      <c r="H1122" s="2"/>
    </row>
    <row r="1123" spans="1:8" x14ac:dyDescent="0.25">
      <c r="A1123" s="5"/>
      <c r="B1123" s="6"/>
      <c r="C1123" s="6"/>
      <c r="D1123" s="6"/>
      <c r="E1123" s="6"/>
      <c r="G1123" s="1"/>
      <c r="H1123" s="2"/>
    </row>
    <row r="1124" spans="1:8" x14ac:dyDescent="0.25">
      <c r="A1124" s="5"/>
      <c r="B1124" s="6"/>
      <c r="C1124" s="6"/>
      <c r="D1124" s="6"/>
      <c r="E1124" s="6"/>
      <c r="G1124" s="3"/>
      <c r="H1124" s="2"/>
    </row>
    <row r="1125" spans="1:8" x14ac:dyDescent="0.25">
      <c r="A1125" s="5"/>
      <c r="B1125" s="6"/>
      <c r="C1125" s="6"/>
      <c r="D1125" s="6"/>
      <c r="E1125" s="6"/>
      <c r="G1125" s="1"/>
      <c r="H1125" s="2"/>
    </row>
    <row r="1126" spans="1:8" x14ac:dyDescent="0.25">
      <c r="A1126" s="5"/>
      <c r="B1126" s="6"/>
      <c r="C1126" s="6"/>
      <c r="D1126" s="6"/>
      <c r="E1126" s="6"/>
      <c r="G1126" s="3"/>
      <c r="H1126" s="2"/>
    </row>
    <row r="1127" spans="1:8" x14ac:dyDescent="0.25">
      <c r="A1127" s="5"/>
      <c r="B1127" s="6"/>
      <c r="C1127" s="6"/>
      <c r="D1127" s="6"/>
      <c r="E1127" s="6"/>
      <c r="G1127" s="1"/>
      <c r="H1127" s="2"/>
    </row>
    <row r="1128" spans="1:8" x14ac:dyDescent="0.25">
      <c r="A1128" s="5"/>
      <c r="B1128" s="6"/>
      <c r="C1128" s="6"/>
      <c r="D1128" s="6"/>
      <c r="E1128" s="6"/>
      <c r="G1128" s="3"/>
      <c r="H1128" s="2"/>
    </row>
    <row r="1129" spans="1:8" x14ac:dyDescent="0.25">
      <c r="A1129" s="5"/>
      <c r="B1129" s="6"/>
      <c r="C1129" s="6"/>
      <c r="D1129" s="6"/>
      <c r="E1129" s="6"/>
      <c r="G1129" s="1"/>
      <c r="H1129" s="2"/>
    </row>
    <row r="1130" spans="1:8" x14ac:dyDescent="0.25">
      <c r="A1130" s="5"/>
      <c r="B1130" s="6"/>
      <c r="C1130" s="6"/>
      <c r="D1130" s="6"/>
      <c r="E1130" s="6"/>
      <c r="G1130" s="3"/>
      <c r="H1130" s="2"/>
    </row>
    <row r="1131" spans="1:8" x14ac:dyDescent="0.25">
      <c r="A1131" s="5"/>
      <c r="B1131" s="6"/>
      <c r="C1131" s="6"/>
      <c r="D1131" s="6"/>
      <c r="E1131" s="6"/>
      <c r="G1131" s="1"/>
      <c r="H1131" s="2"/>
    </row>
    <row r="1132" spans="1:8" x14ac:dyDescent="0.25">
      <c r="A1132" s="5"/>
      <c r="B1132" s="6"/>
      <c r="C1132" s="6"/>
      <c r="D1132" s="6"/>
      <c r="E1132" s="6"/>
      <c r="G1132" s="3"/>
      <c r="H1132" s="2"/>
    </row>
    <row r="1133" spans="1:8" x14ac:dyDescent="0.25">
      <c r="A1133" s="5"/>
      <c r="B1133" s="6"/>
      <c r="C1133" s="6"/>
      <c r="D1133" s="6"/>
      <c r="E1133" s="6"/>
      <c r="G1133" s="1"/>
      <c r="H1133" s="2"/>
    </row>
    <row r="1134" spans="1:8" x14ac:dyDescent="0.25">
      <c r="A1134" s="5"/>
      <c r="B1134" s="6"/>
      <c r="C1134" s="6"/>
      <c r="D1134" s="6"/>
      <c r="E1134" s="6"/>
      <c r="G1134" s="3"/>
      <c r="H1134" s="2"/>
    </row>
    <row r="1135" spans="1:8" x14ac:dyDescent="0.25">
      <c r="A1135" s="5"/>
      <c r="B1135" s="6"/>
      <c r="C1135" s="6"/>
      <c r="D1135" s="6"/>
      <c r="E1135" s="6"/>
      <c r="G1135" s="1"/>
      <c r="H1135" s="2"/>
    </row>
    <row r="1136" spans="1:8" x14ac:dyDescent="0.25">
      <c r="A1136" s="5"/>
      <c r="B1136" s="6"/>
      <c r="C1136" s="6"/>
      <c r="D1136" s="6"/>
      <c r="E1136" s="6"/>
      <c r="G1136" s="3"/>
      <c r="H1136" s="2"/>
    </row>
    <row r="1137" spans="1:8" x14ac:dyDescent="0.25">
      <c r="A1137" s="5"/>
      <c r="B1137" s="6"/>
      <c r="C1137" s="6"/>
      <c r="D1137" s="6"/>
      <c r="E1137" s="6"/>
      <c r="G1137" s="1"/>
      <c r="H1137" s="2"/>
    </row>
    <row r="1138" spans="1:8" x14ac:dyDescent="0.25">
      <c r="A1138" s="5"/>
      <c r="B1138" s="6"/>
      <c r="C1138" s="6"/>
      <c r="D1138" s="6"/>
      <c r="E1138" s="6"/>
      <c r="G1138" s="3"/>
      <c r="H1138" s="2"/>
    </row>
    <row r="1139" spans="1:8" x14ac:dyDescent="0.25">
      <c r="A1139" s="5"/>
      <c r="B1139" s="6"/>
      <c r="C1139" s="6"/>
      <c r="D1139" s="6"/>
      <c r="E1139" s="6"/>
      <c r="G1139" s="1"/>
      <c r="H1139" s="2"/>
    </row>
    <row r="1140" spans="1:8" x14ac:dyDescent="0.25">
      <c r="A1140" s="5"/>
      <c r="B1140" s="6"/>
      <c r="C1140" s="6"/>
      <c r="D1140" s="6"/>
      <c r="E1140" s="6"/>
      <c r="G1140" s="3"/>
      <c r="H1140" s="2"/>
    </row>
    <row r="1141" spans="1:8" x14ac:dyDescent="0.25">
      <c r="A1141" s="5"/>
      <c r="B1141" s="6"/>
      <c r="C1141" s="6"/>
      <c r="D1141" s="6"/>
      <c r="E1141" s="6"/>
      <c r="G1141" s="1"/>
      <c r="H1141" s="2"/>
    </row>
    <row r="1142" spans="1:8" x14ac:dyDescent="0.25">
      <c r="A1142" s="5"/>
      <c r="B1142" s="6"/>
      <c r="C1142" s="6"/>
      <c r="D1142" s="6"/>
      <c r="E1142" s="6"/>
      <c r="G1142" s="3"/>
      <c r="H1142" s="2"/>
    </row>
    <row r="1143" spans="1:8" x14ac:dyDescent="0.25">
      <c r="A1143" s="5"/>
      <c r="B1143" s="6"/>
      <c r="C1143" s="6"/>
      <c r="D1143" s="6"/>
      <c r="E1143" s="6"/>
      <c r="G1143" s="1"/>
      <c r="H1143" s="2"/>
    </row>
    <row r="1144" spans="1:8" x14ac:dyDescent="0.25">
      <c r="A1144" s="5"/>
      <c r="B1144" s="6"/>
      <c r="C1144" s="6"/>
      <c r="D1144" s="6"/>
      <c r="E1144" s="6"/>
      <c r="G1144" s="3"/>
      <c r="H1144" s="2"/>
    </row>
    <row r="1145" spans="1:8" x14ac:dyDescent="0.25">
      <c r="A1145" s="5"/>
      <c r="B1145" s="6"/>
      <c r="C1145" s="6"/>
      <c r="D1145" s="6"/>
      <c r="E1145" s="6"/>
      <c r="G1145" s="1"/>
      <c r="H1145" s="2"/>
    </row>
    <row r="1146" spans="1:8" x14ac:dyDescent="0.25">
      <c r="A1146" s="5"/>
      <c r="B1146" s="6"/>
      <c r="C1146" s="6"/>
      <c r="D1146" s="6"/>
      <c r="E1146" s="6"/>
      <c r="G1146" s="3"/>
      <c r="H1146" s="2"/>
    </row>
    <row r="1147" spans="1:8" x14ac:dyDescent="0.25">
      <c r="A1147" s="5"/>
      <c r="B1147" s="6"/>
      <c r="C1147" s="6"/>
      <c r="D1147" s="6"/>
      <c r="E1147" s="6"/>
      <c r="G1147" s="1"/>
      <c r="H1147" s="2"/>
    </row>
    <row r="1148" spans="1:8" x14ac:dyDescent="0.25">
      <c r="A1148" s="5"/>
      <c r="B1148" s="6"/>
      <c r="C1148" s="6"/>
      <c r="D1148" s="6"/>
      <c r="E1148" s="6"/>
      <c r="G1148" s="3"/>
      <c r="H1148" s="2"/>
    </row>
    <row r="1149" spans="1:8" x14ac:dyDescent="0.25">
      <c r="A1149" s="5"/>
      <c r="B1149" s="6"/>
      <c r="C1149" s="6"/>
      <c r="D1149" s="6"/>
      <c r="E1149" s="6"/>
      <c r="G1149" s="1"/>
      <c r="H1149" s="2"/>
    </row>
    <row r="1150" spans="1:8" x14ac:dyDescent="0.25">
      <c r="A1150" s="5"/>
      <c r="B1150" s="6"/>
      <c r="C1150" s="6"/>
      <c r="D1150" s="6"/>
      <c r="E1150" s="6"/>
      <c r="G1150" s="3"/>
      <c r="H1150" s="2"/>
    </row>
    <row r="1151" spans="1:8" x14ac:dyDescent="0.25">
      <c r="A1151" s="5"/>
      <c r="B1151" s="6"/>
      <c r="C1151" s="6"/>
      <c r="D1151" s="6"/>
      <c r="E1151" s="6"/>
      <c r="G1151" s="1"/>
      <c r="H1151" s="2"/>
    </row>
    <row r="1152" spans="1:8" x14ac:dyDescent="0.25">
      <c r="A1152" s="5"/>
      <c r="B1152" s="6"/>
      <c r="C1152" s="6"/>
      <c r="D1152" s="6"/>
      <c r="E1152" s="6"/>
      <c r="G1152" s="3"/>
      <c r="H1152" s="2"/>
    </row>
    <row r="1153" spans="1:8" x14ac:dyDescent="0.25">
      <c r="A1153" s="5"/>
      <c r="B1153" s="6"/>
      <c r="C1153" s="6"/>
      <c r="D1153" s="6"/>
      <c r="E1153" s="6"/>
      <c r="G1153" s="1"/>
      <c r="H1153" s="2"/>
    </row>
    <row r="1154" spans="1:8" x14ac:dyDescent="0.25">
      <c r="A1154" s="5"/>
      <c r="B1154" s="6"/>
      <c r="C1154" s="6"/>
      <c r="D1154" s="6"/>
      <c r="E1154" s="6"/>
      <c r="G1154" s="3"/>
      <c r="H1154" s="2"/>
    </row>
    <row r="1155" spans="1:8" x14ac:dyDescent="0.25">
      <c r="A1155" s="5"/>
      <c r="B1155" s="6"/>
      <c r="C1155" s="6"/>
      <c r="D1155" s="6"/>
      <c r="E1155" s="6"/>
      <c r="G1155" s="1"/>
      <c r="H1155" s="2"/>
    </row>
    <row r="1156" spans="1:8" x14ac:dyDescent="0.25">
      <c r="A1156" s="5"/>
      <c r="B1156" s="6"/>
      <c r="C1156" s="6"/>
      <c r="D1156" s="6"/>
      <c r="E1156" s="6"/>
      <c r="G1156" s="3"/>
      <c r="H1156" s="2"/>
    </row>
    <row r="1157" spans="1:8" x14ac:dyDescent="0.25">
      <c r="A1157" s="5"/>
      <c r="B1157" s="6"/>
      <c r="C1157" s="6"/>
      <c r="D1157" s="6"/>
      <c r="E1157" s="6"/>
      <c r="G1157" s="1"/>
      <c r="H1157" s="2"/>
    </row>
    <row r="1158" spans="1:8" x14ac:dyDescent="0.25">
      <c r="A1158" s="5"/>
      <c r="B1158" s="6"/>
      <c r="C1158" s="6"/>
      <c r="D1158" s="6"/>
      <c r="E1158" s="6"/>
      <c r="G1158" s="3"/>
      <c r="H1158" s="2"/>
    </row>
    <row r="1159" spans="1:8" x14ac:dyDescent="0.25">
      <c r="A1159" s="5"/>
      <c r="B1159" s="6"/>
      <c r="C1159" s="6"/>
      <c r="D1159" s="6"/>
      <c r="E1159" s="6"/>
      <c r="G1159" s="1"/>
      <c r="H1159" s="2"/>
    </row>
    <row r="1160" spans="1:8" x14ac:dyDescent="0.25">
      <c r="A1160" s="5"/>
      <c r="B1160" s="6"/>
      <c r="C1160" s="6"/>
      <c r="D1160" s="6"/>
      <c r="E1160" s="6"/>
      <c r="G1160" s="3"/>
      <c r="H1160" s="2"/>
    </row>
    <row r="1161" spans="1:8" x14ac:dyDescent="0.25">
      <c r="A1161" s="5"/>
      <c r="B1161" s="6"/>
      <c r="C1161" s="6"/>
      <c r="D1161" s="6"/>
      <c r="E1161" s="6"/>
      <c r="G1161" s="1"/>
      <c r="H1161" s="2"/>
    </row>
    <row r="1162" spans="1:8" x14ac:dyDescent="0.25">
      <c r="A1162" s="5"/>
      <c r="B1162" s="6"/>
      <c r="C1162" s="6"/>
      <c r="D1162" s="6"/>
      <c r="E1162" s="6"/>
      <c r="G1162" s="3"/>
      <c r="H1162" s="2"/>
    </row>
    <row r="1163" spans="1:8" x14ac:dyDescent="0.25">
      <c r="A1163" s="5"/>
      <c r="B1163" s="6"/>
      <c r="C1163" s="6"/>
      <c r="D1163" s="6"/>
      <c r="E1163" s="6"/>
      <c r="G1163" s="1"/>
      <c r="H1163" s="2"/>
    </row>
    <row r="1164" spans="1:8" x14ac:dyDescent="0.25">
      <c r="A1164" s="5"/>
      <c r="B1164" s="6"/>
      <c r="C1164" s="6"/>
      <c r="D1164" s="6"/>
      <c r="E1164" s="6"/>
      <c r="G1164" s="3"/>
      <c r="H1164" s="2"/>
    </row>
    <row r="1165" spans="1:8" x14ac:dyDescent="0.25">
      <c r="A1165" s="5"/>
      <c r="B1165" s="6"/>
      <c r="C1165" s="6"/>
      <c r="D1165" s="6"/>
      <c r="E1165" s="6"/>
      <c r="G1165" s="1"/>
      <c r="H1165" s="2"/>
    </row>
    <row r="1166" spans="1:8" x14ac:dyDescent="0.25">
      <c r="A1166" s="5"/>
      <c r="B1166" s="6"/>
      <c r="C1166" s="6"/>
      <c r="D1166" s="6"/>
      <c r="E1166" s="6"/>
      <c r="G1166" s="3"/>
      <c r="H1166" s="2"/>
    </row>
    <row r="1167" spans="1:8" x14ac:dyDescent="0.25">
      <c r="A1167" s="5"/>
      <c r="B1167" s="6"/>
      <c r="C1167" s="6"/>
      <c r="D1167" s="6"/>
      <c r="E1167" s="6"/>
      <c r="G1167" s="1"/>
      <c r="H1167" s="2"/>
    </row>
    <row r="1168" spans="1:8" x14ac:dyDescent="0.25">
      <c r="A1168" s="5"/>
      <c r="B1168" s="6"/>
      <c r="C1168" s="6"/>
      <c r="D1168" s="6"/>
      <c r="E1168" s="6"/>
      <c r="G1168" s="3"/>
      <c r="H1168" s="2"/>
    </row>
    <row r="1169" spans="1:8" x14ac:dyDescent="0.25">
      <c r="A1169" s="5"/>
      <c r="B1169" s="6"/>
      <c r="C1169" s="6"/>
      <c r="D1169" s="6"/>
      <c r="E1169" s="6"/>
      <c r="G1169" s="1"/>
      <c r="H1169" s="2"/>
    </row>
    <row r="1170" spans="1:8" x14ac:dyDescent="0.25">
      <c r="A1170" s="5"/>
      <c r="B1170" s="6"/>
      <c r="C1170" s="6"/>
      <c r="D1170" s="6"/>
      <c r="E1170" s="6"/>
      <c r="G1170" s="3"/>
      <c r="H1170" s="2"/>
    </row>
    <row r="1171" spans="1:8" x14ac:dyDescent="0.25">
      <c r="A1171" s="5"/>
      <c r="B1171" s="6"/>
      <c r="C1171" s="6"/>
      <c r="D1171" s="6"/>
      <c r="E1171" s="6"/>
      <c r="G1171" s="1"/>
      <c r="H1171" s="2"/>
    </row>
    <row r="1172" spans="1:8" x14ac:dyDescent="0.25">
      <c r="A1172" s="5"/>
      <c r="B1172" s="6"/>
      <c r="C1172" s="6"/>
      <c r="D1172" s="6"/>
      <c r="E1172" s="6"/>
      <c r="G1172" s="3"/>
      <c r="H1172" s="2"/>
    </row>
    <row r="1173" spans="1:8" x14ac:dyDescent="0.25">
      <c r="A1173" s="5"/>
      <c r="B1173" s="6"/>
      <c r="C1173" s="6"/>
      <c r="D1173" s="6"/>
      <c r="E1173" s="6"/>
      <c r="G1173" s="1"/>
      <c r="H1173" s="2"/>
    </row>
    <row r="1174" spans="1:8" x14ac:dyDescent="0.25">
      <c r="A1174" s="5"/>
      <c r="B1174" s="6"/>
      <c r="C1174" s="6"/>
      <c r="D1174" s="6"/>
      <c r="E1174" s="6"/>
      <c r="G1174" s="3"/>
      <c r="H1174" s="2"/>
    </row>
    <row r="1175" spans="1:8" x14ac:dyDescent="0.25">
      <c r="A1175" s="5"/>
      <c r="B1175" s="6"/>
      <c r="C1175" s="6"/>
      <c r="D1175" s="6"/>
      <c r="E1175" s="6"/>
      <c r="G1175" s="1"/>
      <c r="H1175" s="2"/>
    </row>
    <row r="1176" spans="1:8" x14ac:dyDescent="0.25">
      <c r="A1176" s="5"/>
      <c r="B1176" s="6"/>
      <c r="C1176" s="6"/>
      <c r="D1176" s="6"/>
      <c r="E1176" s="6"/>
      <c r="G1176" s="3"/>
      <c r="H1176" s="2"/>
    </row>
    <row r="1177" spans="1:8" x14ac:dyDescent="0.25">
      <c r="A1177" s="5"/>
      <c r="B1177" s="6"/>
      <c r="C1177" s="6"/>
      <c r="D1177" s="6"/>
      <c r="E1177" s="6"/>
      <c r="G1177" s="1"/>
      <c r="H1177" s="2"/>
    </row>
    <row r="1178" spans="1:8" x14ac:dyDescent="0.25">
      <c r="A1178" s="5"/>
      <c r="B1178" s="6"/>
      <c r="C1178" s="6"/>
      <c r="D1178" s="6"/>
      <c r="E1178" s="6"/>
      <c r="G1178" s="3"/>
      <c r="H1178" s="2"/>
    </row>
    <row r="1179" spans="1:8" x14ac:dyDescent="0.25">
      <c r="A1179" s="5"/>
      <c r="B1179" s="6"/>
      <c r="C1179" s="6"/>
      <c r="D1179" s="6"/>
      <c r="E1179" s="6"/>
      <c r="G1179" s="1"/>
      <c r="H1179" s="2"/>
    </row>
    <row r="1180" spans="1:8" x14ac:dyDescent="0.25">
      <c r="A1180" s="5"/>
      <c r="B1180" s="6"/>
      <c r="C1180" s="6"/>
      <c r="D1180" s="6"/>
      <c r="E1180" s="6"/>
      <c r="G1180" s="3"/>
      <c r="H1180" s="2"/>
    </row>
    <row r="1181" spans="1:8" x14ac:dyDescent="0.25">
      <c r="A1181" s="5"/>
      <c r="B1181" s="6"/>
      <c r="C1181" s="6"/>
      <c r="D1181" s="6"/>
      <c r="E1181" s="6"/>
      <c r="G1181" s="1"/>
      <c r="H1181" s="2"/>
    </row>
    <row r="1182" spans="1:8" x14ac:dyDescent="0.25">
      <c r="A1182" s="5"/>
      <c r="B1182" s="6"/>
      <c r="C1182" s="6"/>
      <c r="D1182" s="6"/>
      <c r="E1182" s="6"/>
      <c r="G1182" s="3"/>
      <c r="H1182" s="2"/>
    </row>
    <row r="1183" spans="1:8" x14ac:dyDescent="0.25">
      <c r="A1183" s="5"/>
      <c r="B1183" s="6"/>
      <c r="C1183" s="6"/>
      <c r="D1183" s="6"/>
      <c r="E1183" s="6"/>
      <c r="G1183" s="1"/>
      <c r="H1183" s="2"/>
    </row>
    <row r="1184" spans="1:8" x14ac:dyDescent="0.25">
      <c r="A1184" s="5"/>
      <c r="B1184" s="6"/>
      <c r="C1184" s="6"/>
      <c r="D1184" s="6"/>
      <c r="E1184" s="6"/>
      <c r="G1184" s="3"/>
      <c r="H1184" s="2"/>
    </row>
    <row r="1185" spans="1:8" x14ac:dyDescent="0.25">
      <c r="A1185" s="5"/>
      <c r="B1185" s="6"/>
      <c r="C1185" s="6"/>
      <c r="D1185" s="6"/>
      <c r="E1185" s="6"/>
      <c r="G1185" s="1"/>
      <c r="H1185" s="2"/>
    </row>
    <row r="1186" spans="1:8" x14ac:dyDescent="0.25">
      <c r="A1186" s="5"/>
      <c r="B1186" s="6"/>
      <c r="C1186" s="6"/>
      <c r="D1186" s="6"/>
      <c r="E1186" s="6"/>
      <c r="G1186" s="3"/>
      <c r="H1186" s="2"/>
    </row>
    <row r="1187" spans="1:8" x14ac:dyDescent="0.25">
      <c r="A1187" s="5"/>
      <c r="B1187" s="6"/>
      <c r="C1187" s="6"/>
      <c r="D1187" s="6"/>
      <c r="E1187" s="6"/>
      <c r="G1187" s="1"/>
      <c r="H1187" s="2"/>
    </row>
    <row r="1188" spans="1:8" x14ac:dyDescent="0.25">
      <c r="A1188" s="5"/>
      <c r="B1188" s="6"/>
      <c r="C1188" s="6"/>
      <c r="D1188" s="6"/>
      <c r="E1188" s="6"/>
      <c r="G1188" s="3"/>
      <c r="H1188" s="2"/>
    </row>
    <row r="1189" spans="1:8" x14ac:dyDescent="0.25">
      <c r="A1189" s="5"/>
      <c r="B1189" s="6"/>
      <c r="C1189" s="6"/>
      <c r="D1189" s="6"/>
      <c r="E1189" s="6"/>
      <c r="G1189" s="1"/>
      <c r="H1189" s="2"/>
    </row>
    <row r="1190" spans="1:8" x14ac:dyDescent="0.25">
      <c r="A1190" s="5"/>
      <c r="B1190" s="6"/>
      <c r="C1190" s="6"/>
      <c r="D1190" s="6"/>
      <c r="E1190" s="6"/>
      <c r="G1190" s="3"/>
      <c r="H1190" s="2"/>
    </row>
    <row r="1191" spans="1:8" x14ac:dyDescent="0.25">
      <c r="A1191" s="5"/>
      <c r="B1191" s="6"/>
      <c r="C1191" s="6"/>
      <c r="D1191" s="6"/>
      <c r="E1191" s="6"/>
      <c r="G1191" s="1"/>
      <c r="H1191" s="2"/>
    </row>
    <row r="1192" spans="1:8" x14ac:dyDescent="0.25">
      <c r="A1192" s="5"/>
      <c r="B1192" s="6"/>
      <c r="C1192" s="6"/>
      <c r="D1192" s="6"/>
      <c r="E1192" s="6"/>
      <c r="G1192" s="3"/>
      <c r="H1192" s="2"/>
    </row>
    <row r="1193" spans="1:8" x14ac:dyDescent="0.25">
      <c r="A1193" s="5"/>
      <c r="B1193" s="6"/>
      <c r="C1193" s="6"/>
      <c r="D1193" s="6"/>
      <c r="E1193" s="6"/>
      <c r="G1193" s="1"/>
      <c r="H1193" s="2"/>
    </row>
    <row r="1194" spans="1:8" x14ac:dyDescent="0.25">
      <c r="A1194" s="5"/>
      <c r="B1194" s="6"/>
      <c r="C1194" s="6"/>
      <c r="D1194" s="6"/>
      <c r="E1194" s="6"/>
      <c r="G1194" s="3"/>
      <c r="H1194" s="2"/>
    </row>
    <row r="1195" spans="1:8" x14ac:dyDescent="0.25">
      <c r="A1195" s="5"/>
      <c r="B1195" s="6"/>
      <c r="C1195" s="6"/>
      <c r="D1195" s="6"/>
      <c r="E1195" s="6"/>
      <c r="G1195" s="1"/>
      <c r="H1195" s="2"/>
    </row>
    <row r="1196" spans="1:8" x14ac:dyDescent="0.25">
      <c r="A1196" s="5"/>
      <c r="B1196" s="6"/>
      <c r="C1196" s="6"/>
      <c r="D1196" s="6"/>
      <c r="E1196" s="6"/>
      <c r="G1196" s="3"/>
      <c r="H1196" s="2"/>
    </row>
    <row r="1197" spans="1:8" x14ac:dyDescent="0.25">
      <c r="A1197" s="5"/>
      <c r="B1197" s="6"/>
      <c r="C1197" s="6"/>
      <c r="D1197" s="6"/>
      <c r="E1197" s="6"/>
      <c r="G1197" s="1"/>
      <c r="H1197" s="2"/>
    </row>
    <row r="1198" spans="1:8" x14ac:dyDescent="0.25">
      <c r="A1198" s="5"/>
      <c r="B1198" s="6"/>
      <c r="C1198" s="6"/>
      <c r="D1198" s="6"/>
      <c r="E1198" s="6"/>
      <c r="G1198" s="3"/>
      <c r="H1198" s="2"/>
    </row>
    <row r="1199" spans="1:8" x14ac:dyDescent="0.25">
      <c r="A1199" s="5"/>
      <c r="B1199" s="6"/>
      <c r="C1199" s="6"/>
      <c r="D1199" s="6"/>
      <c r="E1199" s="6"/>
      <c r="G1199" s="1"/>
      <c r="H1199" s="2"/>
    </row>
    <row r="1200" spans="1:8" x14ac:dyDescent="0.25">
      <c r="A1200" s="5"/>
      <c r="B1200" s="6"/>
      <c r="C1200" s="6"/>
      <c r="D1200" s="6"/>
      <c r="E1200" s="6"/>
      <c r="G1200" s="3"/>
      <c r="H1200" s="2"/>
    </row>
    <row r="1201" spans="1:8" x14ac:dyDescent="0.25">
      <c r="A1201" s="5"/>
      <c r="B1201" s="6"/>
      <c r="C1201" s="6"/>
      <c r="D1201" s="6"/>
      <c r="E1201" s="6"/>
      <c r="G1201" s="1"/>
      <c r="H1201" s="2"/>
    </row>
    <row r="1202" spans="1:8" x14ac:dyDescent="0.25">
      <c r="A1202" s="5"/>
      <c r="B1202" s="6"/>
      <c r="C1202" s="6"/>
      <c r="D1202" s="6"/>
      <c r="E1202" s="6"/>
      <c r="G1202" s="3"/>
      <c r="H1202" s="2"/>
    </row>
    <row r="1203" spans="1:8" x14ac:dyDescent="0.25">
      <c r="A1203" s="5"/>
      <c r="B1203" s="6"/>
      <c r="C1203" s="6"/>
      <c r="D1203" s="6"/>
      <c r="E1203" s="6"/>
      <c r="G1203" s="1"/>
      <c r="H1203" s="2"/>
    </row>
    <row r="1204" spans="1:8" x14ac:dyDescent="0.25">
      <c r="A1204" s="5"/>
      <c r="B1204" s="6"/>
      <c r="C1204" s="6"/>
      <c r="D1204" s="6"/>
      <c r="E1204" s="6"/>
      <c r="G1204" s="3"/>
      <c r="H1204" s="2"/>
    </row>
    <row r="1205" spans="1:8" x14ac:dyDescent="0.25">
      <c r="A1205" s="5"/>
      <c r="B1205" s="6"/>
      <c r="C1205" s="6"/>
      <c r="D1205" s="6"/>
      <c r="E1205" s="6"/>
      <c r="G1205" s="1"/>
      <c r="H1205" s="2"/>
    </row>
    <row r="1206" spans="1:8" x14ac:dyDescent="0.25">
      <c r="A1206" s="5"/>
      <c r="B1206" s="6"/>
      <c r="C1206" s="6"/>
      <c r="D1206" s="6"/>
      <c r="E1206" s="6"/>
      <c r="G1206" s="3"/>
      <c r="H1206" s="2"/>
    </row>
    <row r="1207" spans="1:8" x14ac:dyDescent="0.25">
      <c r="A1207" s="5"/>
      <c r="B1207" s="6"/>
      <c r="C1207" s="6"/>
      <c r="D1207" s="6"/>
      <c r="E1207" s="6"/>
      <c r="G1207" s="1"/>
      <c r="H1207" s="2"/>
    </row>
    <row r="1208" spans="1:8" x14ac:dyDescent="0.25">
      <c r="A1208" s="5"/>
      <c r="B1208" s="6"/>
      <c r="C1208" s="6"/>
      <c r="D1208" s="6"/>
      <c r="E1208" s="6"/>
      <c r="G1208" s="3"/>
      <c r="H1208" s="2"/>
    </row>
    <row r="1209" spans="1:8" x14ac:dyDescent="0.25">
      <c r="A1209" s="5"/>
      <c r="B1209" s="6"/>
      <c r="C1209" s="6"/>
      <c r="D1209" s="6"/>
      <c r="E1209" s="6"/>
      <c r="G1209" s="1"/>
      <c r="H1209" s="2"/>
    </row>
    <row r="1210" spans="1:8" x14ac:dyDescent="0.25">
      <c r="A1210" s="5"/>
      <c r="B1210" s="6"/>
      <c r="C1210" s="6"/>
      <c r="D1210" s="6"/>
      <c r="E1210" s="6"/>
      <c r="G1210" s="3"/>
      <c r="H1210" s="2"/>
    </row>
    <row r="1211" spans="1:8" x14ac:dyDescent="0.25">
      <c r="A1211" s="5"/>
      <c r="B1211" s="6"/>
      <c r="C1211" s="6"/>
      <c r="D1211" s="6"/>
      <c r="E1211" s="6"/>
      <c r="G1211" s="1"/>
      <c r="H1211" s="2"/>
    </row>
    <row r="1212" spans="1:8" x14ac:dyDescent="0.25">
      <c r="A1212" s="5"/>
      <c r="B1212" s="6"/>
      <c r="C1212" s="6"/>
      <c r="D1212" s="6"/>
      <c r="E1212" s="6"/>
      <c r="G1212" s="3"/>
      <c r="H1212" s="2"/>
    </row>
    <row r="1213" spans="1:8" x14ac:dyDescent="0.25">
      <c r="A1213" s="5"/>
      <c r="B1213" s="6"/>
      <c r="C1213" s="6"/>
      <c r="D1213" s="6"/>
      <c r="E1213" s="6"/>
      <c r="G1213" s="1"/>
      <c r="H1213" s="2"/>
    </row>
    <row r="1214" spans="1:8" x14ac:dyDescent="0.25">
      <c r="A1214" s="5"/>
      <c r="B1214" s="6"/>
      <c r="C1214" s="6"/>
      <c r="D1214" s="6"/>
      <c r="E1214" s="6"/>
      <c r="G1214" s="3"/>
      <c r="H1214" s="2"/>
    </row>
    <row r="1215" spans="1:8" x14ac:dyDescent="0.25">
      <c r="A1215" s="5"/>
      <c r="B1215" s="6"/>
      <c r="C1215" s="6"/>
      <c r="D1215" s="6"/>
      <c r="E1215" s="6"/>
      <c r="G1215" s="1"/>
      <c r="H1215" s="2"/>
    </row>
    <row r="1216" spans="1:8" x14ac:dyDescent="0.25">
      <c r="A1216" s="5"/>
      <c r="B1216" s="6"/>
      <c r="C1216" s="6"/>
      <c r="D1216" s="6"/>
      <c r="E1216" s="6"/>
      <c r="G1216" s="3"/>
      <c r="H1216" s="2"/>
    </row>
    <row r="1217" spans="1:8" x14ac:dyDescent="0.25">
      <c r="A1217" s="5"/>
      <c r="B1217" s="6"/>
      <c r="C1217" s="6"/>
      <c r="D1217" s="6"/>
      <c r="E1217" s="6"/>
      <c r="G1217" s="1"/>
      <c r="H1217" s="2"/>
    </row>
    <row r="1218" spans="1:8" x14ac:dyDescent="0.25">
      <c r="A1218" s="5"/>
      <c r="B1218" s="6"/>
      <c r="C1218" s="6"/>
      <c r="D1218" s="6"/>
      <c r="E1218" s="6"/>
      <c r="G1218" s="3"/>
      <c r="H1218" s="2"/>
    </row>
    <row r="1219" spans="1:8" x14ac:dyDescent="0.25">
      <c r="A1219" s="5"/>
      <c r="B1219" s="6"/>
      <c r="C1219" s="6"/>
      <c r="D1219" s="6"/>
      <c r="E1219" s="6"/>
      <c r="G1219" s="1"/>
      <c r="H1219" s="2"/>
    </row>
    <row r="1220" spans="1:8" x14ac:dyDescent="0.25">
      <c r="A1220" s="5"/>
      <c r="B1220" s="6"/>
      <c r="C1220" s="6"/>
      <c r="D1220" s="6"/>
      <c r="E1220" s="6"/>
      <c r="G1220" s="3"/>
      <c r="H1220" s="2"/>
    </row>
    <row r="1221" spans="1:8" x14ac:dyDescent="0.25">
      <c r="A1221" s="5"/>
      <c r="B1221" s="6"/>
      <c r="C1221" s="6"/>
      <c r="D1221" s="6"/>
      <c r="E1221" s="6"/>
      <c r="G1221" s="1"/>
      <c r="H1221" s="2"/>
    </row>
    <row r="1222" spans="1:8" x14ac:dyDescent="0.25">
      <c r="A1222" s="5"/>
      <c r="B1222" s="6"/>
      <c r="C1222" s="6"/>
      <c r="D1222" s="6"/>
      <c r="E1222" s="6"/>
      <c r="G1222" s="3"/>
      <c r="H1222" s="2"/>
    </row>
    <row r="1223" spans="1:8" x14ac:dyDescent="0.25">
      <c r="A1223" s="5"/>
      <c r="B1223" s="6"/>
      <c r="C1223" s="6"/>
      <c r="D1223" s="6"/>
      <c r="E1223" s="6"/>
      <c r="G1223" s="1"/>
      <c r="H1223" s="2"/>
    </row>
    <row r="1224" spans="1:8" x14ac:dyDescent="0.25">
      <c r="A1224" s="5"/>
      <c r="B1224" s="6"/>
      <c r="C1224" s="6"/>
      <c r="D1224" s="6"/>
      <c r="E1224" s="6"/>
      <c r="G1224" s="3"/>
      <c r="H1224" s="2"/>
    </row>
    <row r="1225" spans="1:8" x14ac:dyDescent="0.25">
      <c r="A1225" s="5"/>
      <c r="B1225" s="6"/>
      <c r="C1225" s="6"/>
      <c r="D1225" s="6"/>
      <c r="E1225" s="6"/>
      <c r="G1225" s="1"/>
      <c r="H1225" s="2"/>
    </row>
    <row r="1226" spans="1:8" x14ac:dyDescent="0.25">
      <c r="A1226" s="5"/>
      <c r="B1226" s="6"/>
      <c r="C1226" s="6"/>
      <c r="D1226" s="6"/>
      <c r="E1226" s="6"/>
      <c r="G1226" s="3"/>
      <c r="H1226" s="2"/>
    </row>
    <row r="1227" spans="1:8" x14ac:dyDescent="0.25">
      <c r="A1227" s="5"/>
      <c r="B1227" s="6"/>
      <c r="C1227" s="6"/>
      <c r="D1227" s="6"/>
      <c r="E1227" s="6"/>
      <c r="G1227" s="1"/>
      <c r="H1227" s="2"/>
    </row>
    <row r="1228" spans="1:8" x14ac:dyDescent="0.25">
      <c r="A1228" s="5"/>
      <c r="B1228" s="6"/>
      <c r="C1228" s="6"/>
      <c r="D1228" s="6"/>
      <c r="E1228" s="6"/>
      <c r="G1228" s="3"/>
      <c r="H1228" s="2"/>
    </row>
    <row r="1229" spans="1:8" x14ac:dyDescent="0.25">
      <c r="A1229" s="5"/>
      <c r="B1229" s="6"/>
      <c r="C1229" s="6"/>
      <c r="D1229" s="6"/>
      <c r="E1229" s="6"/>
      <c r="G1229" s="1"/>
      <c r="H1229" s="2"/>
    </row>
    <row r="1230" spans="1:8" x14ac:dyDescent="0.25">
      <c r="A1230" s="5"/>
      <c r="B1230" s="6"/>
      <c r="C1230" s="6"/>
      <c r="D1230" s="6"/>
      <c r="E1230" s="6"/>
      <c r="G1230" s="3"/>
      <c r="H1230" s="2"/>
    </row>
    <row r="1231" spans="1:8" x14ac:dyDescent="0.25">
      <c r="A1231" s="5"/>
      <c r="B1231" s="6"/>
      <c r="C1231" s="6"/>
      <c r="D1231" s="6"/>
      <c r="E1231" s="6"/>
      <c r="G1231" s="1"/>
      <c r="H1231" s="2"/>
    </row>
    <row r="1232" spans="1:8" x14ac:dyDescent="0.25">
      <c r="A1232" s="5"/>
      <c r="B1232" s="6"/>
      <c r="C1232" s="6"/>
      <c r="D1232" s="6"/>
      <c r="E1232" s="6"/>
      <c r="G1232" s="3"/>
      <c r="H1232" s="2"/>
    </row>
    <row r="1233" spans="1:8" x14ac:dyDescent="0.25">
      <c r="A1233" s="5"/>
      <c r="B1233" s="6"/>
      <c r="C1233" s="6"/>
      <c r="D1233" s="6"/>
      <c r="E1233" s="6"/>
      <c r="G1233" s="1"/>
      <c r="H1233" s="2"/>
    </row>
    <row r="1234" spans="1:8" x14ac:dyDescent="0.25">
      <c r="A1234" s="5"/>
      <c r="B1234" s="6"/>
      <c r="C1234" s="6"/>
      <c r="D1234" s="6"/>
      <c r="E1234" s="6"/>
      <c r="G1234" s="3"/>
      <c r="H1234" s="2"/>
    </row>
    <row r="1235" spans="1:8" x14ac:dyDescent="0.25">
      <c r="A1235" s="5"/>
      <c r="B1235" s="6"/>
      <c r="C1235" s="6"/>
      <c r="D1235" s="6"/>
      <c r="E1235" s="6"/>
      <c r="G1235" s="1"/>
      <c r="H1235" s="2"/>
    </row>
    <row r="1236" spans="1:8" x14ac:dyDescent="0.25">
      <c r="A1236" s="5"/>
      <c r="B1236" s="6"/>
      <c r="C1236" s="6"/>
      <c r="D1236" s="6"/>
      <c r="E1236" s="6"/>
      <c r="G1236" s="3"/>
      <c r="H1236" s="2"/>
    </row>
    <row r="1237" spans="1:8" x14ac:dyDescent="0.25">
      <c r="A1237" s="5"/>
      <c r="B1237" s="6"/>
      <c r="C1237" s="6"/>
      <c r="D1237" s="6"/>
      <c r="E1237" s="6"/>
      <c r="G1237" s="1"/>
      <c r="H1237" s="2"/>
    </row>
    <row r="1238" spans="1:8" x14ac:dyDescent="0.25">
      <c r="A1238" s="5"/>
      <c r="B1238" s="6"/>
      <c r="C1238" s="6"/>
      <c r="D1238" s="6"/>
      <c r="E1238" s="6"/>
      <c r="G1238" s="3"/>
      <c r="H1238" s="2"/>
    </row>
    <row r="1239" spans="1:8" x14ac:dyDescent="0.25">
      <c r="A1239" s="5"/>
      <c r="B1239" s="6"/>
      <c r="C1239" s="6"/>
      <c r="D1239" s="6"/>
      <c r="E1239" s="6"/>
      <c r="G1239" s="1"/>
      <c r="H1239" s="2"/>
    </row>
    <row r="1240" spans="1:8" x14ac:dyDescent="0.25">
      <c r="A1240" s="5"/>
      <c r="B1240" s="6"/>
      <c r="C1240" s="6"/>
      <c r="D1240" s="6"/>
      <c r="E1240" s="6"/>
      <c r="G1240" s="3"/>
      <c r="H1240" s="2"/>
    </row>
    <row r="1241" spans="1:8" x14ac:dyDescent="0.25">
      <c r="A1241" s="5"/>
      <c r="B1241" s="6"/>
      <c r="C1241" s="6"/>
      <c r="D1241" s="6"/>
      <c r="E1241" s="6"/>
      <c r="G1241" s="1"/>
      <c r="H1241" s="2"/>
    </row>
    <row r="1242" spans="1:8" x14ac:dyDescent="0.25">
      <c r="A1242" s="5"/>
      <c r="B1242" s="6"/>
      <c r="C1242" s="6"/>
      <c r="D1242" s="6"/>
      <c r="E1242" s="6"/>
      <c r="G1242" s="3"/>
      <c r="H1242" s="2"/>
    </row>
    <row r="1243" spans="1:8" x14ac:dyDescent="0.25">
      <c r="A1243" s="5"/>
      <c r="B1243" s="6"/>
      <c r="C1243" s="6"/>
      <c r="D1243" s="6"/>
      <c r="E1243" s="6"/>
      <c r="G1243" s="1"/>
      <c r="H1243" s="2"/>
    </row>
    <row r="1244" spans="1:8" x14ac:dyDescent="0.25">
      <c r="A1244" s="5"/>
      <c r="B1244" s="6"/>
      <c r="C1244" s="6"/>
      <c r="D1244" s="6"/>
      <c r="E1244" s="6"/>
      <c r="G1244" s="3"/>
      <c r="H1244" s="2"/>
    </row>
    <row r="1245" spans="1:8" x14ac:dyDescent="0.25">
      <c r="A1245" s="5"/>
      <c r="B1245" s="6"/>
      <c r="C1245" s="6"/>
      <c r="D1245" s="6"/>
      <c r="E1245" s="6"/>
      <c r="G1245" s="1"/>
      <c r="H1245" s="2"/>
    </row>
    <row r="1246" spans="1:8" x14ac:dyDescent="0.25">
      <c r="A1246" s="5"/>
      <c r="B1246" s="6"/>
      <c r="C1246" s="6"/>
      <c r="D1246" s="6"/>
      <c r="E1246" s="6"/>
      <c r="G1246" s="3"/>
      <c r="H1246" s="2"/>
    </row>
    <row r="1247" spans="1:8" x14ac:dyDescent="0.25">
      <c r="A1247" s="5"/>
      <c r="B1247" s="6"/>
      <c r="C1247" s="6"/>
      <c r="D1247" s="6"/>
      <c r="E1247" s="6"/>
      <c r="G1247" s="1"/>
      <c r="H1247" s="2"/>
    </row>
    <row r="1248" spans="1:8" x14ac:dyDescent="0.25">
      <c r="A1248" s="5"/>
      <c r="B1248" s="6"/>
      <c r="C1248" s="6"/>
      <c r="D1248" s="6"/>
      <c r="E1248" s="6"/>
      <c r="G1248" s="3"/>
      <c r="H1248" s="2"/>
    </row>
    <row r="1249" spans="1:8" x14ac:dyDescent="0.25">
      <c r="A1249" s="5"/>
      <c r="B1249" s="6"/>
      <c r="C1249" s="6"/>
      <c r="D1249" s="6"/>
      <c r="E1249" s="6"/>
      <c r="G1249" s="1"/>
      <c r="H1249" s="2"/>
    </row>
    <row r="1250" spans="1:8" x14ac:dyDescent="0.25">
      <c r="A1250" s="5"/>
      <c r="B1250" s="6"/>
      <c r="C1250" s="6"/>
      <c r="D1250" s="6"/>
      <c r="E1250" s="6"/>
      <c r="G1250" s="3"/>
      <c r="H1250" s="2"/>
    </row>
    <row r="1251" spans="1:8" x14ac:dyDescent="0.25">
      <c r="A1251" s="5"/>
      <c r="B1251" s="6"/>
      <c r="C1251" s="6"/>
      <c r="D1251" s="6"/>
      <c r="E1251" s="6"/>
      <c r="G1251" s="1"/>
      <c r="H1251" s="2"/>
    </row>
    <row r="1252" spans="1:8" x14ac:dyDescent="0.25">
      <c r="A1252" s="5"/>
      <c r="B1252" s="6"/>
      <c r="C1252" s="6"/>
      <c r="D1252" s="6"/>
      <c r="E1252" s="6"/>
      <c r="G1252" s="3"/>
      <c r="H1252" s="2"/>
    </row>
    <row r="1253" spans="1:8" x14ac:dyDescent="0.25">
      <c r="A1253" s="5"/>
      <c r="B1253" s="6"/>
      <c r="C1253" s="6"/>
      <c r="D1253" s="6"/>
      <c r="E1253" s="6"/>
      <c r="G1253" s="1"/>
      <c r="H1253" s="2"/>
    </row>
    <row r="1254" spans="1:8" x14ac:dyDescent="0.25">
      <c r="A1254" s="5"/>
      <c r="B1254" s="6"/>
      <c r="C1254" s="6"/>
      <c r="D1254" s="6"/>
      <c r="E1254" s="6"/>
      <c r="G1254" s="3"/>
      <c r="H1254" s="2"/>
    </row>
    <row r="1255" spans="1:8" x14ac:dyDescent="0.25">
      <c r="A1255" s="5"/>
      <c r="B1255" s="6"/>
      <c r="C1255" s="6"/>
      <c r="D1255" s="6"/>
      <c r="E1255" s="6"/>
      <c r="G1255" s="1"/>
      <c r="H1255" s="2"/>
    </row>
    <row r="1256" spans="1:8" x14ac:dyDescent="0.25">
      <c r="A1256" s="5"/>
      <c r="B1256" s="6"/>
      <c r="C1256" s="6"/>
      <c r="D1256" s="6"/>
      <c r="E1256" s="6"/>
      <c r="G1256" s="3"/>
      <c r="H1256" s="2"/>
    </row>
    <row r="1257" spans="1:8" x14ac:dyDescent="0.25">
      <c r="A1257" s="5"/>
      <c r="B1257" s="6"/>
      <c r="C1257" s="6"/>
      <c r="D1257" s="6"/>
      <c r="E1257" s="6"/>
      <c r="G1257" s="1"/>
      <c r="H1257" s="2"/>
    </row>
    <row r="1258" spans="1:8" x14ac:dyDescent="0.25">
      <c r="A1258" s="5"/>
      <c r="B1258" s="6"/>
      <c r="C1258" s="6"/>
      <c r="D1258" s="6"/>
      <c r="E1258" s="6"/>
      <c r="G1258" s="3"/>
      <c r="H1258" s="2"/>
    </row>
    <row r="1259" spans="1:8" x14ac:dyDescent="0.25">
      <c r="A1259" s="5"/>
      <c r="B1259" s="6"/>
      <c r="C1259" s="6"/>
      <c r="D1259" s="6"/>
      <c r="E1259" s="6"/>
      <c r="G1259" s="1"/>
      <c r="H1259" s="2"/>
    </row>
    <row r="1260" spans="1:8" x14ac:dyDescent="0.25">
      <c r="A1260" s="5"/>
      <c r="B1260" s="6"/>
      <c r="C1260" s="6"/>
      <c r="D1260" s="6"/>
      <c r="E1260" s="6"/>
      <c r="G1260" s="3"/>
      <c r="H1260" s="2"/>
    </row>
    <row r="1261" spans="1:8" x14ac:dyDescent="0.25">
      <c r="A1261" s="5"/>
      <c r="B1261" s="6"/>
      <c r="C1261" s="6"/>
      <c r="D1261" s="6"/>
      <c r="E1261" s="6"/>
      <c r="G1261" s="1"/>
      <c r="H1261" s="2"/>
    </row>
    <row r="1262" spans="1:8" x14ac:dyDescent="0.25">
      <c r="A1262" s="5"/>
      <c r="B1262" s="6"/>
      <c r="C1262" s="6"/>
      <c r="D1262" s="6"/>
      <c r="E1262" s="6"/>
      <c r="G1262" s="3"/>
      <c r="H1262" s="2"/>
    </row>
    <row r="1263" spans="1:8" x14ac:dyDescent="0.25">
      <c r="A1263" s="5"/>
      <c r="B1263" s="6"/>
      <c r="C1263" s="6"/>
      <c r="D1263" s="6"/>
      <c r="E1263" s="6"/>
      <c r="G1263" s="1"/>
      <c r="H1263" s="2"/>
    </row>
    <row r="1264" spans="1:8" x14ac:dyDescent="0.25">
      <c r="A1264" s="5"/>
      <c r="B1264" s="6"/>
      <c r="C1264" s="6"/>
      <c r="D1264" s="6"/>
      <c r="E1264" s="6"/>
      <c r="G1264" s="3"/>
      <c r="H1264" s="2"/>
    </row>
    <row r="1265" spans="1:8" x14ac:dyDescent="0.25">
      <c r="A1265" s="5"/>
      <c r="B1265" s="6"/>
      <c r="C1265" s="6"/>
      <c r="D1265" s="6"/>
      <c r="E1265" s="6"/>
      <c r="G1265" s="1"/>
      <c r="H1265" s="2"/>
    </row>
    <row r="1266" spans="1:8" x14ac:dyDescent="0.25">
      <c r="A1266" s="5"/>
      <c r="B1266" s="6"/>
      <c r="C1266" s="6"/>
      <c r="D1266" s="6"/>
      <c r="E1266" s="6"/>
      <c r="G1266" s="3"/>
      <c r="H1266" s="2"/>
    </row>
    <row r="1267" spans="1:8" x14ac:dyDescent="0.25">
      <c r="A1267" s="5"/>
      <c r="B1267" s="6"/>
      <c r="C1267" s="6"/>
      <c r="D1267" s="6"/>
      <c r="E1267" s="6"/>
      <c r="G1267" s="1"/>
      <c r="H1267" s="2"/>
    </row>
    <row r="1268" spans="1:8" x14ac:dyDescent="0.25">
      <c r="A1268" s="5"/>
      <c r="B1268" s="6"/>
      <c r="C1268" s="6"/>
      <c r="D1268" s="6"/>
      <c r="E1268" s="6"/>
      <c r="G1268" s="3"/>
      <c r="H1268" s="2"/>
    </row>
    <row r="1269" spans="1:8" x14ac:dyDescent="0.25">
      <c r="A1269" s="5"/>
      <c r="B1269" s="6"/>
      <c r="C1269" s="6"/>
      <c r="D1269" s="6"/>
      <c r="E1269" s="6"/>
      <c r="G1269" s="1"/>
      <c r="H1269" s="2"/>
    </row>
    <row r="1270" spans="1:8" x14ac:dyDescent="0.25">
      <c r="A1270" s="5"/>
      <c r="B1270" s="6"/>
      <c r="C1270" s="6"/>
      <c r="D1270" s="6"/>
      <c r="E1270" s="6"/>
      <c r="G1270" s="14"/>
      <c r="H1270" s="2"/>
    </row>
    <row r="1271" spans="1:8" x14ac:dyDescent="0.25">
      <c r="A1271" s="5"/>
      <c r="B1271" s="6"/>
      <c r="C1271" s="6"/>
      <c r="D1271" s="6"/>
      <c r="E1271" s="6"/>
      <c r="G1271" s="14"/>
      <c r="H1271" s="2"/>
    </row>
    <row r="1272" spans="1:8" x14ac:dyDescent="0.25">
      <c r="A1272" s="5"/>
      <c r="B1272" s="6"/>
      <c r="C1272" s="6"/>
      <c r="D1272" s="6"/>
      <c r="E1272" s="6"/>
      <c r="G1272" s="14"/>
      <c r="H1272" s="2"/>
    </row>
    <row r="1273" spans="1:8" x14ac:dyDescent="0.25">
      <c r="A1273" s="5"/>
      <c r="B1273" s="6"/>
      <c r="C1273" s="6"/>
      <c r="D1273" s="6"/>
      <c r="E1273" s="6"/>
      <c r="G1273" s="14"/>
      <c r="H1273" s="2"/>
    </row>
    <row r="1274" spans="1:8" x14ac:dyDescent="0.25">
      <c r="A1274" s="5"/>
      <c r="B1274" s="6"/>
      <c r="C1274" s="6"/>
      <c r="D1274" s="6"/>
      <c r="E1274" s="6"/>
      <c r="G1274" s="14"/>
      <c r="H1274" s="2"/>
    </row>
    <row r="1275" spans="1:8" x14ac:dyDescent="0.25">
      <c r="A1275" s="5"/>
      <c r="B1275" s="6"/>
      <c r="C1275" s="6"/>
      <c r="D1275" s="6"/>
      <c r="E1275" s="6"/>
      <c r="G1275" s="14"/>
      <c r="H1275" s="2"/>
    </row>
    <row r="1276" spans="1:8" x14ac:dyDescent="0.25">
      <c r="A1276" s="5"/>
      <c r="B1276" s="6"/>
      <c r="C1276" s="6"/>
      <c r="D1276" s="6"/>
      <c r="E1276" s="6"/>
    </row>
    <row r="1277" spans="1:8" x14ac:dyDescent="0.25">
      <c r="A1277" s="5"/>
      <c r="B1277" s="6"/>
      <c r="C1277" s="6"/>
      <c r="D1277" s="6"/>
      <c r="E1277" s="6"/>
      <c r="G1277" s="3"/>
      <c r="H1277" s="2"/>
    </row>
    <row r="1278" spans="1:8" x14ac:dyDescent="0.25">
      <c r="A1278" s="5"/>
      <c r="B1278" s="6"/>
      <c r="C1278" s="6"/>
      <c r="D1278" s="6"/>
      <c r="E1278" s="6"/>
      <c r="G1278" s="1"/>
      <c r="H1278" s="2"/>
    </row>
    <row r="1279" spans="1:8" x14ac:dyDescent="0.25">
      <c r="A1279" s="5"/>
      <c r="B1279" s="6"/>
      <c r="C1279" s="6"/>
      <c r="D1279" s="6"/>
      <c r="E1279" s="6"/>
      <c r="G1279" s="3"/>
      <c r="H1279" s="2"/>
    </row>
    <row r="1280" spans="1:8" x14ac:dyDescent="0.25">
      <c r="A1280" s="5"/>
      <c r="B1280" s="6"/>
      <c r="C1280" s="6"/>
      <c r="D1280" s="6"/>
      <c r="E1280" s="6"/>
      <c r="G1280" s="1"/>
      <c r="H1280" s="2"/>
    </row>
    <row r="1281" spans="1:8" x14ac:dyDescent="0.25">
      <c r="A1281" s="5"/>
      <c r="B1281" s="6"/>
      <c r="C1281" s="6"/>
      <c r="D1281" s="6"/>
      <c r="E1281" s="6"/>
      <c r="G1281" s="3"/>
      <c r="H1281" s="2"/>
    </row>
    <row r="1282" spans="1:8" x14ac:dyDescent="0.25">
      <c r="A1282" s="5"/>
      <c r="B1282" s="6"/>
      <c r="C1282" s="6"/>
      <c r="D1282" s="6"/>
      <c r="E1282" s="6"/>
      <c r="G1282" s="1"/>
      <c r="H1282" s="2"/>
    </row>
    <row r="1283" spans="1:8" x14ac:dyDescent="0.25">
      <c r="A1283" s="5"/>
      <c r="B1283" s="6"/>
      <c r="C1283" s="6"/>
      <c r="D1283" s="6"/>
      <c r="E1283" s="6"/>
      <c r="G1283" s="3"/>
      <c r="H1283" s="2"/>
    </row>
    <row r="1284" spans="1:8" x14ac:dyDescent="0.25">
      <c r="A1284" s="5"/>
      <c r="B1284" s="6"/>
      <c r="C1284" s="6"/>
      <c r="D1284" s="6"/>
      <c r="E1284" s="6"/>
      <c r="G1284" s="1"/>
      <c r="H1284" s="2"/>
    </row>
    <row r="1285" spans="1:8" x14ac:dyDescent="0.25">
      <c r="A1285" s="5"/>
      <c r="B1285" s="6"/>
      <c r="C1285" s="6"/>
      <c r="D1285" s="6"/>
      <c r="E1285" s="6"/>
      <c r="G1285" s="3"/>
      <c r="H1285" s="2"/>
    </row>
    <row r="1286" spans="1:8" x14ac:dyDescent="0.25">
      <c r="A1286" s="5"/>
      <c r="B1286" s="6"/>
      <c r="C1286" s="6"/>
      <c r="D1286" s="6"/>
      <c r="E1286" s="6"/>
      <c r="G1286" s="1"/>
      <c r="H1286" s="2"/>
    </row>
    <row r="1287" spans="1:8" x14ac:dyDescent="0.25">
      <c r="A1287" s="5"/>
      <c r="B1287" s="6"/>
      <c r="C1287" s="6"/>
      <c r="D1287" s="6"/>
      <c r="E1287" s="6"/>
      <c r="G1287" s="3"/>
      <c r="H1287" s="2"/>
    </row>
    <row r="1288" spans="1:8" x14ac:dyDescent="0.25">
      <c r="A1288" s="5"/>
      <c r="B1288" s="6"/>
      <c r="C1288" s="6"/>
      <c r="D1288" s="6"/>
      <c r="E1288" s="6"/>
      <c r="G1288" s="1"/>
      <c r="H1288" s="2"/>
    </row>
    <row r="1289" spans="1:8" x14ac:dyDescent="0.25">
      <c r="A1289" s="5"/>
      <c r="B1289" s="6"/>
      <c r="C1289" s="6"/>
      <c r="D1289" s="6"/>
      <c r="E1289" s="6"/>
      <c r="G1289" s="3"/>
      <c r="H1289" s="2"/>
    </row>
    <row r="1290" spans="1:8" x14ac:dyDescent="0.25">
      <c r="A1290" s="5"/>
      <c r="B1290" s="6"/>
      <c r="C1290" s="6"/>
      <c r="D1290" s="6"/>
      <c r="E1290" s="6"/>
      <c r="G1290" s="1"/>
      <c r="H1290" s="2"/>
    </row>
    <row r="1291" spans="1:8" x14ac:dyDescent="0.25">
      <c r="A1291" s="5"/>
      <c r="B1291" s="6"/>
      <c r="C1291" s="6"/>
      <c r="D1291" s="6"/>
      <c r="E1291" s="6"/>
      <c r="G1291" s="3"/>
      <c r="H1291" s="2"/>
    </row>
    <row r="1292" spans="1:8" x14ac:dyDescent="0.25">
      <c r="A1292" s="5"/>
      <c r="B1292" s="6"/>
      <c r="C1292" s="6"/>
      <c r="D1292" s="6"/>
      <c r="E1292" s="6"/>
      <c r="G1292" s="1"/>
      <c r="H1292" s="2"/>
    </row>
    <row r="1293" spans="1:8" x14ac:dyDescent="0.25">
      <c r="A1293" s="5"/>
      <c r="B1293" s="6"/>
      <c r="C1293" s="6"/>
      <c r="D1293" s="6"/>
      <c r="E1293" s="6"/>
      <c r="G1293" s="3"/>
      <c r="H1293" s="2"/>
    </row>
    <row r="1294" spans="1:8" x14ac:dyDescent="0.25">
      <c r="A1294" s="5"/>
      <c r="B1294" s="6"/>
      <c r="C1294" s="6"/>
      <c r="D1294" s="6"/>
      <c r="E1294" s="6"/>
      <c r="G1294" s="1"/>
      <c r="H1294" s="2"/>
    </row>
    <row r="1295" spans="1:8" x14ac:dyDescent="0.25">
      <c r="A1295" s="5"/>
      <c r="B1295" s="6"/>
      <c r="C1295" s="6"/>
      <c r="D1295" s="6"/>
      <c r="E1295" s="6"/>
      <c r="G1295" s="3"/>
      <c r="H1295" s="2"/>
    </row>
    <row r="1296" spans="1:8" x14ac:dyDescent="0.25">
      <c r="A1296" s="5"/>
      <c r="B1296" s="6"/>
      <c r="C1296" s="6"/>
      <c r="D1296" s="6"/>
      <c r="E1296" s="6"/>
      <c r="G1296" s="1"/>
      <c r="H1296" s="2"/>
    </row>
    <row r="1297" spans="1:8" x14ac:dyDescent="0.25">
      <c r="A1297" s="5"/>
      <c r="B1297" s="6"/>
      <c r="C1297" s="6"/>
      <c r="D1297" s="6"/>
      <c r="E1297" s="6"/>
      <c r="G1297" s="3"/>
      <c r="H1297" s="2"/>
    </row>
    <row r="1298" spans="1:8" x14ac:dyDescent="0.25">
      <c r="A1298" s="5"/>
      <c r="B1298" s="6"/>
      <c r="C1298" s="6"/>
      <c r="D1298" s="6"/>
      <c r="E1298" s="6"/>
      <c r="G1298" s="1"/>
      <c r="H1298" s="2"/>
    </row>
    <row r="1299" spans="1:8" x14ac:dyDescent="0.25">
      <c r="A1299" s="5"/>
      <c r="B1299" s="6"/>
      <c r="C1299" s="6"/>
      <c r="D1299" s="6"/>
      <c r="E1299" s="6"/>
      <c r="G1299" s="3"/>
      <c r="H1299" s="2"/>
    </row>
    <row r="1300" spans="1:8" x14ac:dyDescent="0.25">
      <c r="A1300" s="5"/>
      <c r="B1300" s="6"/>
      <c r="C1300" s="6"/>
      <c r="D1300" s="6"/>
      <c r="E1300" s="6"/>
      <c r="G1300" s="1"/>
      <c r="H1300" s="2"/>
    </row>
    <row r="1301" spans="1:8" x14ac:dyDescent="0.25">
      <c r="A1301" s="5"/>
      <c r="B1301" s="6"/>
      <c r="C1301" s="6"/>
      <c r="D1301" s="6"/>
      <c r="E1301" s="6"/>
      <c r="G1301" s="3"/>
      <c r="H1301" s="2"/>
    </row>
    <row r="1302" spans="1:8" x14ac:dyDescent="0.25">
      <c r="A1302" s="5"/>
      <c r="B1302" s="6"/>
      <c r="C1302" s="6"/>
      <c r="D1302" s="6"/>
      <c r="E1302" s="6"/>
      <c r="G1302" s="1"/>
      <c r="H1302" s="2"/>
    </row>
    <row r="1303" spans="1:8" x14ac:dyDescent="0.25">
      <c r="A1303" s="5"/>
      <c r="B1303" s="6"/>
      <c r="C1303" s="6"/>
      <c r="D1303" s="6"/>
      <c r="E1303" s="6"/>
      <c r="G1303" s="3"/>
      <c r="H1303" s="2"/>
    </row>
    <row r="1304" spans="1:8" x14ac:dyDescent="0.25">
      <c r="A1304" s="5"/>
      <c r="B1304" s="6"/>
      <c r="C1304" s="6"/>
      <c r="D1304" s="6"/>
      <c r="E1304" s="6"/>
      <c r="G1304" s="1"/>
      <c r="H1304" s="2"/>
    </row>
    <row r="1305" spans="1:8" x14ac:dyDescent="0.25">
      <c r="A1305" s="5"/>
      <c r="B1305" s="6"/>
      <c r="C1305" s="6"/>
      <c r="D1305" s="6"/>
      <c r="E1305" s="6"/>
      <c r="G1305" s="3"/>
      <c r="H1305" s="2"/>
    </row>
    <row r="1306" spans="1:8" x14ac:dyDescent="0.25">
      <c r="A1306" s="5"/>
      <c r="B1306" s="6"/>
      <c r="C1306" s="6"/>
      <c r="D1306" s="6"/>
      <c r="E1306" s="6"/>
      <c r="G1306" s="1"/>
      <c r="H1306" s="2"/>
    </row>
    <row r="1307" spans="1:8" x14ac:dyDescent="0.25">
      <c r="A1307" s="5"/>
      <c r="B1307" s="6"/>
      <c r="C1307" s="6"/>
      <c r="D1307" s="6"/>
      <c r="E1307" s="6"/>
      <c r="G1307" s="3"/>
      <c r="H1307" s="2"/>
    </row>
    <row r="1308" spans="1:8" x14ac:dyDescent="0.25">
      <c r="A1308" s="5"/>
      <c r="B1308" s="6"/>
      <c r="C1308" s="6"/>
      <c r="D1308" s="6"/>
      <c r="E1308" s="6"/>
      <c r="G1308" s="1"/>
      <c r="H1308" s="2"/>
    </row>
    <row r="1309" spans="1:8" x14ac:dyDescent="0.25">
      <c r="A1309" s="5"/>
      <c r="B1309" s="6"/>
      <c r="C1309" s="6"/>
      <c r="D1309" s="6"/>
      <c r="E1309" s="6"/>
      <c r="G1309" s="3"/>
      <c r="H1309" s="2"/>
    </row>
    <row r="1310" spans="1:8" x14ac:dyDescent="0.25">
      <c r="A1310" s="5"/>
      <c r="B1310" s="6"/>
      <c r="C1310" s="6"/>
      <c r="D1310" s="6"/>
      <c r="E1310" s="6"/>
      <c r="G1310" s="1"/>
      <c r="H1310" s="2"/>
    </row>
    <row r="1311" spans="1:8" x14ac:dyDescent="0.25">
      <c r="A1311" s="5"/>
      <c r="B1311" s="6"/>
      <c r="C1311" s="6"/>
      <c r="D1311" s="6"/>
      <c r="E1311" s="6"/>
      <c r="G1311" s="3"/>
      <c r="H1311" s="2"/>
    </row>
    <row r="1312" spans="1:8" x14ac:dyDescent="0.25">
      <c r="A1312" s="5"/>
      <c r="B1312" s="6"/>
      <c r="C1312" s="6"/>
      <c r="D1312" s="6"/>
      <c r="E1312" s="6"/>
      <c r="G1312" s="1"/>
      <c r="H1312" s="2"/>
    </row>
    <row r="1313" spans="1:8" x14ac:dyDescent="0.25">
      <c r="A1313" s="5"/>
      <c r="B1313" s="6"/>
      <c r="C1313" s="6"/>
      <c r="D1313" s="6"/>
      <c r="E1313" s="6"/>
      <c r="G1313" s="3"/>
      <c r="H1313" s="2"/>
    </row>
    <row r="1314" spans="1:8" x14ac:dyDescent="0.25">
      <c r="A1314" s="5"/>
      <c r="B1314" s="6"/>
      <c r="C1314" s="6"/>
      <c r="D1314" s="6"/>
      <c r="E1314" s="6"/>
      <c r="G1314" s="1"/>
      <c r="H1314" s="2"/>
    </row>
    <row r="1315" spans="1:8" x14ac:dyDescent="0.25">
      <c r="A1315" s="5"/>
      <c r="B1315" s="6"/>
      <c r="C1315" s="6"/>
      <c r="D1315" s="6"/>
      <c r="E1315" s="6"/>
      <c r="G1315" s="3"/>
      <c r="H1315" s="2"/>
    </row>
    <row r="1316" spans="1:8" x14ac:dyDescent="0.25">
      <c r="A1316" s="5"/>
      <c r="B1316" s="6"/>
      <c r="C1316" s="6"/>
      <c r="D1316" s="6"/>
      <c r="E1316" s="6"/>
      <c r="G1316" s="1"/>
      <c r="H1316" s="2"/>
    </row>
    <row r="1317" spans="1:8" x14ac:dyDescent="0.25">
      <c r="A1317" s="5"/>
      <c r="B1317" s="6"/>
      <c r="C1317" s="6"/>
      <c r="D1317" s="6"/>
      <c r="E1317" s="6"/>
      <c r="G1317" s="3"/>
      <c r="H1317" s="2"/>
    </row>
    <row r="1318" spans="1:8" x14ac:dyDescent="0.25">
      <c r="A1318" s="5"/>
      <c r="B1318" s="6"/>
      <c r="C1318" s="6"/>
      <c r="D1318" s="6"/>
      <c r="E1318" s="6"/>
      <c r="G1318" s="1"/>
      <c r="H1318" s="2"/>
    </row>
    <row r="1319" spans="1:8" x14ac:dyDescent="0.25">
      <c r="A1319" s="5"/>
      <c r="B1319" s="6"/>
      <c r="C1319" s="6"/>
      <c r="D1319" s="6"/>
      <c r="E1319" s="6"/>
      <c r="G1319" s="3"/>
      <c r="H1319" s="2"/>
    </row>
    <row r="1320" spans="1:8" x14ac:dyDescent="0.25">
      <c r="A1320" s="5"/>
      <c r="B1320" s="6"/>
      <c r="C1320" s="6"/>
      <c r="D1320" s="6"/>
      <c r="E1320" s="6"/>
      <c r="G1320" s="1"/>
      <c r="H1320" s="2"/>
    </row>
    <row r="1321" spans="1:8" x14ac:dyDescent="0.25">
      <c r="A1321" s="5"/>
      <c r="B1321" s="6"/>
      <c r="C1321" s="6"/>
      <c r="D1321" s="6"/>
      <c r="E1321" s="6"/>
      <c r="G1321" s="3"/>
      <c r="H1321" s="2"/>
    </row>
    <row r="1322" spans="1:8" x14ac:dyDescent="0.25">
      <c r="A1322" s="5"/>
      <c r="B1322" s="6"/>
      <c r="C1322" s="6"/>
      <c r="D1322" s="6"/>
      <c r="E1322" s="6"/>
      <c r="G1322" s="1"/>
      <c r="H1322" s="2"/>
    </row>
    <row r="1323" spans="1:8" x14ac:dyDescent="0.25">
      <c r="A1323" s="5"/>
      <c r="B1323" s="6"/>
      <c r="C1323" s="6"/>
      <c r="D1323" s="6"/>
      <c r="E1323" s="6"/>
      <c r="G1323" s="3"/>
      <c r="H1323" s="2"/>
    </row>
    <row r="1324" spans="1:8" x14ac:dyDescent="0.25">
      <c r="A1324" s="5"/>
      <c r="B1324" s="6"/>
      <c r="C1324" s="6"/>
      <c r="D1324" s="6"/>
      <c r="E1324" s="6"/>
      <c r="G1324" s="1"/>
      <c r="H1324" s="2"/>
    </row>
    <row r="1325" spans="1:8" x14ac:dyDescent="0.25">
      <c r="A1325" s="5"/>
      <c r="B1325" s="6"/>
      <c r="C1325" s="6"/>
      <c r="D1325" s="6"/>
      <c r="E1325" s="6"/>
      <c r="G1325" s="3"/>
      <c r="H1325" s="2"/>
    </row>
    <row r="1326" spans="1:8" x14ac:dyDescent="0.25">
      <c r="A1326" s="5"/>
      <c r="B1326" s="6"/>
      <c r="C1326" s="6"/>
      <c r="D1326" s="6"/>
      <c r="E1326" s="6"/>
      <c r="G1326" s="1"/>
      <c r="H1326" s="2"/>
    </row>
    <row r="1327" spans="1:8" x14ac:dyDescent="0.25">
      <c r="A1327" s="5"/>
      <c r="B1327" s="6"/>
      <c r="C1327" s="6"/>
      <c r="D1327" s="6"/>
      <c r="E1327" s="6"/>
      <c r="G1327" s="3"/>
      <c r="H1327" s="2"/>
    </row>
    <row r="1328" spans="1:8" x14ac:dyDescent="0.25">
      <c r="A1328" s="5"/>
      <c r="B1328" s="6"/>
      <c r="C1328" s="6"/>
      <c r="D1328" s="6"/>
      <c r="E1328" s="6"/>
      <c r="G1328" s="1"/>
      <c r="H1328" s="2"/>
    </row>
    <row r="1329" spans="1:8" x14ac:dyDescent="0.25">
      <c r="A1329" s="5"/>
      <c r="B1329" s="6"/>
      <c r="C1329" s="6"/>
      <c r="D1329" s="6"/>
      <c r="E1329" s="6"/>
      <c r="G1329" s="3"/>
      <c r="H1329" s="2"/>
    </row>
    <row r="1330" spans="1:8" x14ac:dyDescent="0.25">
      <c r="A1330" s="5"/>
      <c r="B1330" s="6"/>
      <c r="C1330" s="6"/>
      <c r="D1330" s="6"/>
      <c r="E1330" s="6"/>
      <c r="G1330" s="1"/>
      <c r="H1330" s="2"/>
    </row>
    <row r="1331" spans="1:8" x14ac:dyDescent="0.25">
      <c r="A1331" s="5"/>
      <c r="B1331" s="6"/>
      <c r="C1331" s="6"/>
      <c r="D1331" s="6"/>
      <c r="E1331" s="6"/>
      <c r="G1331" s="3"/>
      <c r="H1331" s="2"/>
    </row>
    <row r="1332" spans="1:8" x14ac:dyDescent="0.25">
      <c r="A1332" s="5"/>
      <c r="B1332" s="6"/>
      <c r="C1332" s="6"/>
      <c r="D1332" s="6"/>
      <c r="E1332" s="6"/>
      <c r="G1332" s="1"/>
      <c r="H1332" s="2"/>
    </row>
    <row r="1333" spans="1:8" x14ac:dyDescent="0.25">
      <c r="A1333" s="5"/>
      <c r="B1333" s="6"/>
      <c r="C1333" s="6"/>
      <c r="D1333" s="6"/>
      <c r="E1333" s="6"/>
      <c r="G1333" s="3"/>
      <c r="H1333" s="2"/>
    </row>
    <row r="1334" spans="1:8" x14ac:dyDescent="0.25">
      <c r="A1334" s="5"/>
      <c r="B1334" s="6"/>
      <c r="C1334" s="6"/>
      <c r="D1334" s="6"/>
      <c r="E1334" s="6"/>
      <c r="G1334" s="1"/>
      <c r="H1334" s="2"/>
    </row>
    <row r="1335" spans="1:8" x14ac:dyDescent="0.25">
      <c r="A1335" s="5"/>
      <c r="B1335" s="6"/>
      <c r="C1335" s="6"/>
      <c r="D1335" s="6"/>
      <c r="E1335" s="6"/>
      <c r="G1335" s="3"/>
      <c r="H1335" s="2"/>
    </row>
    <row r="1336" spans="1:8" x14ac:dyDescent="0.25">
      <c r="A1336" s="5"/>
      <c r="B1336" s="6"/>
      <c r="C1336" s="6"/>
      <c r="D1336" s="6"/>
      <c r="E1336" s="6"/>
      <c r="G1336" s="1"/>
      <c r="H1336" s="2"/>
    </row>
    <row r="1337" spans="1:8" x14ac:dyDescent="0.25">
      <c r="A1337" s="5"/>
      <c r="B1337" s="6"/>
      <c r="C1337" s="6"/>
      <c r="D1337" s="6"/>
      <c r="E1337" s="6"/>
      <c r="G1337" s="3"/>
      <c r="H1337" s="2"/>
    </row>
    <row r="1338" spans="1:8" x14ac:dyDescent="0.25">
      <c r="A1338" s="5"/>
      <c r="B1338" s="6"/>
      <c r="C1338" s="6"/>
      <c r="D1338" s="6"/>
      <c r="E1338" s="6"/>
      <c r="G1338" s="1"/>
      <c r="H1338" s="2"/>
    </row>
    <row r="1339" spans="1:8" x14ac:dyDescent="0.25">
      <c r="A1339" s="5"/>
      <c r="B1339" s="6"/>
      <c r="C1339" s="6"/>
      <c r="D1339" s="6"/>
      <c r="E1339" s="6"/>
      <c r="G1339" s="3"/>
      <c r="H1339" s="2"/>
    </row>
    <row r="1340" spans="1:8" x14ac:dyDescent="0.25">
      <c r="A1340" s="5"/>
      <c r="B1340" s="6"/>
      <c r="C1340" s="6"/>
      <c r="D1340" s="6"/>
      <c r="E1340" s="6"/>
      <c r="G1340" s="1"/>
      <c r="H1340" s="2"/>
    </row>
    <row r="1341" spans="1:8" x14ac:dyDescent="0.25">
      <c r="A1341" s="5"/>
      <c r="B1341" s="6"/>
      <c r="C1341" s="6"/>
      <c r="D1341" s="6"/>
      <c r="E1341" s="6"/>
      <c r="G1341" s="3"/>
      <c r="H1341" s="2"/>
    </row>
    <row r="1342" spans="1:8" x14ac:dyDescent="0.25">
      <c r="A1342" s="5"/>
      <c r="B1342" s="6"/>
      <c r="C1342" s="6"/>
      <c r="D1342" s="6"/>
      <c r="E1342" s="6"/>
      <c r="G1342" s="1"/>
      <c r="H1342" s="2"/>
    </row>
    <row r="1343" spans="1:8" x14ac:dyDescent="0.25">
      <c r="A1343" s="5"/>
      <c r="B1343" s="6"/>
      <c r="C1343" s="6"/>
      <c r="D1343" s="6"/>
      <c r="E1343" s="6"/>
      <c r="G1343" s="3"/>
      <c r="H1343" s="2"/>
    </row>
    <row r="1344" spans="1:8" x14ac:dyDescent="0.25">
      <c r="A1344" s="5"/>
      <c r="B1344" s="6"/>
      <c r="C1344" s="6"/>
      <c r="D1344" s="6"/>
      <c r="E1344" s="6"/>
      <c r="G1344" s="1"/>
      <c r="H1344" s="2"/>
    </row>
    <row r="1345" spans="1:8" x14ac:dyDescent="0.25">
      <c r="A1345" s="5"/>
      <c r="B1345" s="6"/>
      <c r="C1345" s="6"/>
      <c r="D1345" s="6"/>
      <c r="E1345" s="6"/>
      <c r="G1345" s="3"/>
      <c r="H1345" s="2"/>
    </row>
    <row r="1346" spans="1:8" x14ac:dyDescent="0.25">
      <c r="A1346" s="5"/>
      <c r="B1346" s="6"/>
      <c r="C1346" s="6"/>
      <c r="D1346" s="6"/>
      <c r="E1346" s="6"/>
      <c r="G1346" s="1"/>
      <c r="H1346" s="2"/>
    </row>
    <row r="1347" spans="1:8" x14ac:dyDescent="0.25">
      <c r="A1347" s="5"/>
      <c r="B1347" s="6"/>
      <c r="C1347" s="6"/>
      <c r="D1347" s="6"/>
      <c r="E1347" s="6"/>
      <c r="G1347" s="3"/>
      <c r="H1347" s="2"/>
    </row>
    <row r="1348" spans="1:8" x14ac:dyDescent="0.25">
      <c r="A1348" s="5"/>
      <c r="B1348" s="6"/>
      <c r="C1348" s="6"/>
      <c r="D1348" s="6"/>
      <c r="E1348" s="6"/>
      <c r="G1348" s="1"/>
      <c r="H1348" s="2"/>
    </row>
    <row r="1349" spans="1:8" x14ac:dyDescent="0.25">
      <c r="A1349" s="5"/>
      <c r="B1349" s="6"/>
      <c r="C1349" s="6"/>
      <c r="D1349" s="6"/>
      <c r="E1349" s="6"/>
      <c r="G1349" s="3"/>
      <c r="H1349" s="2"/>
    </row>
    <row r="1350" spans="1:8" x14ac:dyDescent="0.25">
      <c r="A1350" s="5"/>
      <c r="B1350" s="6"/>
      <c r="C1350" s="6"/>
      <c r="D1350" s="6"/>
      <c r="E1350" s="6"/>
      <c r="G1350" s="1"/>
      <c r="H1350" s="2"/>
    </row>
    <row r="1351" spans="1:8" x14ac:dyDescent="0.25">
      <c r="A1351" s="5"/>
      <c r="B1351" s="6"/>
      <c r="C1351" s="6"/>
      <c r="D1351" s="6"/>
      <c r="E1351" s="6"/>
      <c r="G1351" s="3"/>
      <c r="H1351" s="2"/>
    </row>
    <row r="1352" spans="1:8" x14ac:dyDescent="0.25">
      <c r="A1352" s="5"/>
      <c r="B1352" s="6"/>
      <c r="C1352" s="6"/>
      <c r="D1352" s="6"/>
      <c r="E1352" s="6"/>
      <c r="G1352" s="1"/>
      <c r="H1352" s="2"/>
    </row>
    <row r="1353" spans="1:8" x14ac:dyDescent="0.25">
      <c r="A1353" s="5"/>
      <c r="B1353" s="6"/>
      <c r="C1353" s="6"/>
      <c r="D1353" s="6"/>
      <c r="E1353" s="6"/>
      <c r="G1353" s="3"/>
      <c r="H1353" s="2"/>
    </row>
    <row r="1354" spans="1:8" x14ac:dyDescent="0.25">
      <c r="A1354" s="5"/>
      <c r="B1354" s="6"/>
      <c r="C1354" s="6"/>
      <c r="D1354" s="6"/>
      <c r="E1354" s="6"/>
      <c r="G1354" s="1"/>
      <c r="H1354" s="2"/>
    </row>
    <row r="1355" spans="1:8" x14ac:dyDescent="0.25">
      <c r="A1355" s="5"/>
      <c r="B1355" s="6"/>
      <c r="C1355" s="6"/>
      <c r="D1355" s="6"/>
      <c r="E1355" s="6"/>
      <c r="G1355" s="3"/>
      <c r="H1355" s="2"/>
    </row>
    <row r="1356" spans="1:8" x14ac:dyDescent="0.25">
      <c r="A1356" s="5"/>
      <c r="B1356" s="6"/>
      <c r="C1356" s="6"/>
      <c r="D1356" s="6"/>
      <c r="E1356" s="6"/>
      <c r="G1356" s="1"/>
      <c r="H1356" s="2"/>
    </row>
    <row r="1357" spans="1:8" x14ac:dyDescent="0.25">
      <c r="A1357" s="5"/>
      <c r="B1357" s="6"/>
      <c r="C1357" s="6"/>
      <c r="D1357" s="6"/>
      <c r="E1357" s="6"/>
      <c r="G1357" s="3"/>
      <c r="H1357" s="2"/>
    </row>
    <row r="1358" spans="1:8" x14ac:dyDescent="0.25">
      <c r="A1358" s="5"/>
      <c r="B1358" s="6"/>
      <c r="C1358" s="6"/>
      <c r="D1358" s="6"/>
      <c r="E1358" s="6"/>
      <c r="G1358" s="1"/>
      <c r="H1358" s="2"/>
    </row>
    <row r="1359" spans="1:8" x14ac:dyDescent="0.25">
      <c r="A1359" s="5"/>
      <c r="B1359" s="6"/>
      <c r="C1359" s="6"/>
      <c r="D1359" s="6"/>
      <c r="E1359" s="6"/>
      <c r="G1359" s="3"/>
      <c r="H1359" s="2"/>
    </row>
    <row r="1360" spans="1:8" x14ac:dyDescent="0.25">
      <c r="A1360" s="5"/>
      <c r="B1360" s="6"/>
      <c r="C1360" s="6"/>
      <c r="D1360" s="6"/>
      <c r="E1360" s="6"/>
      <c r="G1360" s="1"/>
      <c r="H1360" s="2"/>
    </row>
    <row r="1361" spans="1:8" x14ac:dyDescent="0.25">
      <c r="A1361" s="5"/>
      <c r="B1361" s="6"/>
      <c r="C1361" s="6"/>
      <c r="D1361" s="6"/>
      <c r="E1361" s="6"/>
      <c r="G1361" s="3"/>
      <c r="H1361" s="2"/>
    </row>
    <row r="1362" spans="1:8" x14ac:dyDescent="0.25">
      <c r="A1362" s="5"/>
      <c r="B1362" s="6"/>
      <c r="C1362" s="6"/>
      <c r="D1362" s="6"/>
      <c r="E1362" s="6"/>
      <c r="G1362" s="1"/>
      <c r="H1362" s="2"/>
    </row>
    <row r="1363" spans="1:8" x14ac:dyDescent="0.25">
      <c r="A1363" s="5"/>
      <c r="B1363" s="6"/>
      <c r="C1363" s="6"/>
      <c r="D1363" s="6"/>
      <c r="E1363" s="6"/>
      <c r="G1363" s="3"/>
      <c r="H1363" s="2"/>
    </row>
    <row r="1364" spans="1:8" x14ac:dyDescent="0.25">
      <c r="A1364" s="5"/>
      <c r="B1364" s="6"/>
      <c r="C1364" s="6"/>
      <c r="D1364" s="6"/>
      <c r="E1364" s="6"/>
      <c r="G1364" s="1"/>
      <c r="H1364" s="2"/>
    </row>
    <row r="1365" spans="1:8" x14ac:dyDescent="0.25">
      <c r="A1365" s="5"/>
      <c r="B1365" s="6"/>
      <c r="C1365" s="6"/>
      <c r="D1365" s="6"/>
      <c r="E1365" s="6"/>
      <c r="G1365" s="3"/>
      <c r="H1365" s="2"/>
    </row>
    <row r="1366" spans="1:8" x14ac:dyDescent="0.25">
      <c r="A1366" s="5"/>
      <c r="B1366" s="6"/>
      <c r="C1366" s="6"/>
      <c r="D1366" s="6"/>
      <c r="E1366" s="6"/>
      <c r="G1366" s="1"/>
      <c r="H1366" s="2"/>
    </row>
    <row r="1367" spans="1:8" x14ac:dyDescent="0.25">
      <c r="A1367" s="5"/>
      <c r="B1367" s="6"/>
      <c r="C1367" s="6"/>
      <c r="D1367" s="6"/>
      <c r="E1367" s="6"/>
      <c r="G1367" s="3"/>
      <c r="H1367" s="2"/>
    </row>
    <row r="1368" spans="1:8" x14ac:dyDescent="0.25">
      <c r="A1368" s="5"/>
      <c r="B1368" s="6"/>
      <c r="C1368" s="6"/>
      <c r="D1368" s="6"/>
      <c r="E1368" s="6"/>
      <c r="G1368" s="1"/>
      <c r="H1368" s="2"/>
    </row>
    <row r="1369" spans="1:8" x14ac:dyDescent="0.25">
      <c r="A1369" s="5"/>
      <c r="B1369" s="6"/>
      <c r="C1369" s="6"/>
      <c r="D1369" s="6"/>
      <c r="E1369" s="6"/>
      <c r="G1369" s="3"/>
      <c r="H1369" s="2"/>
    </row>
    <row r="1370" spans="1:8" x14ac:dyDescent="0.25">
      <c r="A1370" s="5"/>
      <c r="B1370" s="6"/>
      <c r="C1370" s="6"/>
      <c r="D1370" s="6"/>
      <c r="E1370" s="6"/>
      <c r="G1370" s="1"/>
      <c r="H1370" s="2"/>
    </row>
    <row r="1371" spans="1:8" x14ac:dyDescent="0.25">
      <c r="A1371" s="5"/>
      <c r="B1371" s="6"/>
      <c r="C1371" s="6"/>
      <c r="D1371" s="6"/>
      <c r="E1371" s="6"/>
      <c r="G1371" s="3"/>
      <c r="H1371" s="2"/>
    </row>
    <row r="1372" spans="1:8" x14ac:dyDescent="0.25">
      <c r="A1372" s="5"/>
      <c r="B1372" s="6"/>
      <c r="C1372" s="6"/>
      <c r="D1372" s="6"/>
      <c r="E1372" s="6"/>
      <c r="G1372" s="1"/>
      <c r="H1372" s="2"/>
    </row>
    <row r="1373" spans="1:8" x14ac:dyDescent="0.25">
      <c r="A1373" s="5"/>
      <c r="B1373" s="6"/>
      <c r="C1373" s="6"/>
      <c r="D1373" s="6"/>
      <c r="E1373" s="6"/>
      <c r="G1373" s="3"/>
      <c r="H1373" s="2"/>
    </row>
    <row r="1374" spans="1:8" x14ac:dyDescent="0.25">
      <c r="A1374" s="5"/>
      <c r="B1374" s="6"/>
      <c r="C1374" s="6"/>
      <c r="D1374" s="6"/>
      <c r="E1374" s="6"/>
      <c r="G1374" s="1"/>
      <c r="H1374" s="2"/>
    </row>
    <row r="1375" spans="1:8" x14ac:dyDescent="0.25">
      <c r="A1375" s="5"/>
      <c r="B1375" s="6"/>
      <c r="C1375" s="6"/>
      <c r="D1375" s="6"/>
      <c r="E1375" s="6"/>
      <c r="G1375" s="3"/>
      <c r="H1375" s="2"/>
    </row>
    <row r="1376" spans="1:8" x14ac:dyDescent="0.25">
      <c r="A1376" s="5"/>
      <c r="B1376" s="6"/>
      <c r="C1376" s="6"/>
      <c r="D1376" s="6"/>
      <c r="E1376" s="6"/>
      <c r="G1376" s="1"/>
      <c r="H1376" s="2"/>
    </row>
    <row r="1377" spans="1:8" x14ac:dyDescent="0.25">
      <c r="A1377" s="5"/>
      <c r="B1377" s="6"/>
      <c r="C1377" s="6"/>
      <c r="D1377" s="6"/>
      <c r="E1377" s="6"/>
      <c r="G1377" s="3"/>
      <c r="H1377" s="2"/>
    </row>
    <row r="1378" spans="1:8" x14ac:dyDescent="0.25">
      <c r="A1378" s="5"/>
      <c r="B1378" s="6"/>
      <c r="C1378" s="6"/>
      <c r="D1378" s="6"/>
      <c r="E1378" s="6"/>
      <c r="G1378" s="1"/>
      <c r="H1378" s="2"/>
    </row>
    <row r="1379" spans="1:8" x14ac:dyDescent="0.25">
      <c r="A1379" s="5"/>
      <c r="B1379" s="6"/>
      <c r="C1379" s="6"/>
      <c r="D1379" s="6"/>
      <c r="E1379" s="6"/>
      <c r="G1379" s="3"/>
      <c r="H1379" s="2"/>
    </row>
    <row r="1380" spans="1:8" x14ac:dyDescent="0.25">
      <c r="A1380" s="5"/>
      <c r="B1380" s="6"/>
      <c r="C1380" s="6"/>
      <c r="D1380" s="6"/>
      <c r="E1380" s="6"/>
      <c r="G1380" s="1"/>
      <c r="H1380" s="2"/>
    </row>
    <row r="1381" spans="1:8" x14ac:dyDescent="0.25">
      <c r="A1381" s="5"/>
      <c r="B1381" s="6"/>
      <c r="C1381" s="6"/>
      <c r="D1381" s="6"/>
      <c r="E1381" s="6"/>
      <c r="G1381" s="3"/>
      <c r="H1381" s="2"/>
    </row>
    <row r="1382" spans="1:8" x14ac:dyDescent="0.25">
      <c r="A1382" s="5"/>
      <c r="B1382" s="6"/>
      <c r="C1382" s="6"/>
      <c r="D1382" s="6"/>
      <c r="E1382" s="6"/>
      <c r="G1382" s="1"/>
      <c r="H1382" s="2"/>
    </row>
    <row r="1383" spans="1:8" x14ac:dyDescent="0.25">
      <c r="A1383" s="5"/>
      <c r="B1383" s="6"/>
      <c r="C1383" s="6"/>
      <c r="D1383" s="6"/>
      <c r="E1383" s="6"/>
      <c r="G1383" s="3"/>
      <c r="H1383" s="2"/>
    </row>
    <row r="1384" spans="1:8" x14ac:dyDescent="0.25">
      <c r="A1384" s="5"/>
      <c r="B1384" s="6"/>
      <c r="C1384" s="6"/>
      <c r="D1384" s="6"/>
      <c r="E1384" s="6"/>
      <c r="G1384" s="1"/>
      <c r="H1384" s="2"/>
    </row>
    <row r="1385" spans="1:8" x14ac:dyDescent="0.25">
      <c r="A1385" s="5"/>
      <c r="B1385" s="6"/>
      <c r="C1385" s="6"/>
      <c r="D1385" s="6"/>
      <c r="E1385" s="6"/>
      <c r="G1385" s="3"/>
      <c r="H1385" s="2"/>
    </row>
    <row r="1386" spans="1:8" x14ac:dyDescent="0.25">
      <c r="A1386" s="5"/>
      <c r="B1386" s="6"/>
      <c r="C1386" s="6"/>
      <c r="D1386" s="6"/>
      <c r="E1386" s="6"/>
      <c r="G1386" s="1"/>
      <c r="H1386" s="2"/>
    </row>
    <row r="1387" spans="1:8" x14ac:dyDescent="0.25">
      <c r="A1387" s="5"/>
      <c r="B1387" s="6"/>
      <c r="C1387" s="6"/>
      <c r="D1387" s="6"/>
      <c r="E1387" s="6"/>
      <c r="G1387" s="3"/>
      <c r="H1387" s="2"/>
    </row>
    <row r="1388" spans="1:8" x14ac:dyDescent="0.25">
      <c r="A1388" s="5"/>
      <c r="B1388" s="6"/>
      <c r="C1388" s="6"/>
      <c r="D1388" s="6"/>
      <c r="E1388" s="6"/>
      <c r="G1388" s="1"/>
      <c r="H1388" s="2"/>
    </row>
    <row r="1389" spans="1:8" x14ac:dyDescent="0.25">
      <c r="A1389" s="5"/>
      <c r="B1389" s="6"/>
      <c r="C1389" s="6"/>
      <c r="D1389" s="6"/>
      <c r="E1389" s="6"/>
      <c r="G1389" s="3"/>
      <c r="H1389" s="2"/>
    </row>
    <row r="1390" spans="1:8" x14ac:dyDescent="0.25">
      <c r="A1390" s="5"/>
      <c r="B1390" s="6"/>
      <c r="C1390" s="6"/>
      <c r="D1390" s="6"/>
      <c r="E1390" s="6"/>
      <c r="G1390" s="1"/>
      <c r="H1390" s="2"/>
    </row>
    <row r="1391" spans="1:8" x14ac:dyDescent="0.25">
      <c r="A1391" s="5"/>
      <c r="B1391" s="6"/>
      <c r="C1391" s="6"/>
      <c r="D1391" s="6"/>
      <c r="E1391" s="6"/>
      <c r="G1391" s="3"/>
      <c r="H1391" s="2"/>
    </row>
    <row r="1392" spans="1:8" x14ac:dyDescent="0.25">
      <c r="A1392" s="5"/>
      <c r="B1392" s="6"/>
      <c r="C1392" s="6"/>
      <c r="D1392" s="6"/>
      <c r="E1392" s="6"/>
      <c r="G1392" s="1"/>
      <c r="H1392" s="2"/>
    </row>
    <row r="1393" spans="1:8" x14ac:dyDescent="0.25">
      <c r="A1393" s="5"/>
      <c r="B1393" s="6"/>
      <c r="C1393" s="6"/>
      <c r="D1393" s="6"/>
      <c r="E1393" s="6"/>
      <c r="G1393" s="3"/>
      <c r="H1393" s="2"/>
    </row>
    <row r="1394" spans="1:8" x14ac:dyDescent="0.25">
      <c r="A1394" s="5"/>
      <c r="B1394" s="6"/>
      <c r="C1394" s="6"/>
      <c r="D1394" s="6"/>
      <c r="E1394" s="6"/>
      <c r="G1394" s="1"/>
      <c r="H1394" s="2"/>
    </row>
    <row r="1395" spans="1:8" x14ac:dyDescent="0.25">
      <c r="A1395" s="5"/>
      <c r="B1395" s="6"/>
      <c r="C1395" s="6"/>
      <c r="D1395" s="6"/>
      <c r="E1395" s="6"/>
      <c r="G1395" s="3"/>
      <c r="H1395" s="2"/>
    </row>
    <row r="1396" spans="1:8" x14ac:dyDescent="0.25">
      <c r="A1396" s="5"/>
      <c r="B1396" s="6"/>
      <c r="C1396" s="6"/>
      <c r="D1396" s="6"/>
      <c r="E1396" s="6"/>
      <c r="G1396" s="1"/>
      <c r="H1396" s="2"/>
    </row>
    <row r="1397" spans="1:8" x14ac:dyDescent="0.25">
      <c r="A1397" s="5"/>
      <c r="B1397" s="6"/>
      <c r="C1397" s="6"/>
      <c r="D1397" s="6"/>
      <c r="E1397" s="6"/>
      <c r="G1397" s="3"/>
      <c r="H1397" s="2"/>
    </row>
    <row r="1398" spans="1:8" x14ac:dyDescent="0.25">
      <c r="A1398" s="5"/>
      <c r="B1398" s="6"/>
      <c r="C1398" s="6"/>
      <c r="D1398" s="6"/>
      <c r="E1398" s="6"/>
      <c r="G1398" s="1"/>
      <c r="H1398" s="2"/>
    </row>
    <row r="1399" spans="1:8" x14ac:dyDescent="0.25">
      <c r="A1399" s="5"/>
      <c r="B1399" s="6"/>
      <c r="C1399" s="6"/>
      <c r="D1399" s="6"/>
      <c r="E1399" s="6"/>
      <c r="G1399" s="3"/>
      <c r="H1399" s="2"/>
    </row>
    <row r="1400" spans="1:8" x14ac:dyDescent="0.25">
      <c r="A1400" s="5"/>
      <c r="B1400" s="6"/>
      <c r="C1400" s="6"/>
      <c r="D1400" s="6"/>
      <c r="E1400" s="6"/>
      <c r="G1400" s="1"/>
      <c r="H1400" s="2"/>
    </row>
    <row r="1401" spans="1:8" x14ac:dyDescent="0.25">
      <c r="A1401" s="5"/>
      <c r="B1401" s="6"/>
      <c r="C1401" s="6"/>
      <c r="D1401" s="6"/>
      <c r="E1401" s="6"/>
      <c r="G1401" s="3"/>
      <c r="H1401" s="2"/>
    </row>
    <row r="1402" spans="1:8" x14ac:dyDescent="0.25">
      <c r="A1402" s="5"/>
      <c r="B1402" s="6"/>
      <c r="C1402" s="6"/>
      <c r="D1402" s="6"/>
      <c r="E1402" s="6"/>
      <c r="G1402" s="1"/>
      <c r="H1402" s="2"/>
    </row>
    <row r="1403" spans="1:8" x14ac:dyDescent="0.25">
      <c r="A1403" s="5"/>
      <c r="B1403" s="6"/>
      <c r="C1403" s="6"/>
      <c r="D1403" s="6"/>
      <c r="E1403" s="6"/>
      <c r="G1403" s="3"/>
      <c r="H1403" s="2"/>
    </row>
    <row r="1404" spans="1:8" x14ac:dyDescent="0.25">
      <c r="A1404" s="5"/>
      <c r="B1404" s="6"/>
      <c r="C1404" s="6"/>
      <c r="D1404" s="6"/>
      <c r="E1404" s="6"/>
      <c r="G1404" s="1"/>
      <c r="H1404" s="2"/>
    </row>
    <row r="1405" spans="1:8" x14ac:dyDescent="0.25">
      <c r="A1405" s="5"/>
      <c r="B1405" s="6"/>
      <c r="C1405" s="6"/>
      <c r="D1405" s="6"/>
      <c r="E1405" s="6"/>
      <c r="G1405" s="3"/>
      <c r="H1405" s="2"/>
    </row>
    <row r="1406" spans="1:8" x14ac:dyDescent="0.25">
      <c r="A1406" s="5"/>
      <c r="B1406" s="6"/>
      <c r="C1406" s="6"/>
      <c r="D1406" s="6"/>
      <c r="E1406" s="6"/>
      <c r="G1406" s="1"/>
      <c r="H1406" s="2"/>
    </row>
    <row r="1407" spans="1:8" x14ac:dyDescent="0.25">
      <c r="A1407" s="5"/>
      <c r="B1407" s="6"/>
      <c r="C1407" s="6"/>
      <c r="D1407" s="6"/>
      <c r="E1407" s="6"/>
      <c r="G1407" s="3"/>
      <c r="H1407" s="2"/>
    </row>
    <row r="1408" spans="1:8" x14ac:dyDescent="0.25">
      <c r="A1408" s="5"/>
      <c r="B1408" s="6"/>
      <c r="C1408" s="6"/>
      <c r="D1408" s="6"/>
      <c r="E1408" s="6"/>
      <c r="G1408" s="1"/>
      <c r="H1408" s="2"/>
    </row>
    <row r="1409" spans="1:8" x14ac:dyDescent="0.25">
      <c r="A1409" s="5"/>
      <c r="B1409" s="6"/>
      <c r="C1409" s="6"/>
      <c r="D1409" s="6"/>
      <c r="E1409" s="6"/>
      <c r="G1409" s="3"/>
      <c r="H1409" s="2"/>
    </row>
    <row r="1410" spans="1:8" x14ac:dyDescent="0.25">
      <c r="A1410" s="5"/>
      <c r="B1410" s="6"/>
      <c r="C1410" s="6"/>
      <c r="D1410" s="6"/>
      <c r="E1410" s="6"/>
      <c r="G1410" s="1"/>
      <c r="H1410" s="2"/>
    </row>
    <row r="1411" spans="1:8" x14ac:dyDescent="0.25">
      <c r="A1411" s="5"/>
      <c r="B1411" s="6"/>
      <c r="C1411" s="6"/>
      <c r="D1411" s="6"/>
      <c r="E1411" s="6"/>
      <c r="G1411" s="3"/>
      <c r="H1411" s="2"/>
    </row>
    <row r="1412" spans="1:8" x14ac:dyDescent="0.25">
      <c r="A1412" s="5"/>
      <c r="B1412" s="6"/>
      <c r="C1412" s="6"/>
      <c r="D1412" s="6"/>
      <c r="E1412" s="6"/>
      <c r="G1412" s="1"/>
      <c r="H1412" s="2"/>
    </row>
    <row r="1413" spans="1:8" x14ac:dyDescent="0.25">
      <c r="A1413" s="5"/>
      <c r="B1413" s="6"/>
      <c r="C1413" s="6"/>
      <c r="D1413" s="6"/>
      <c r="E1413" s="6"/>
      <c r="G1413" s="3"/>
      <c r="H1413" s="2"/>
    </row>
    <row r="1414" spans="1:8" x14ac:dyDescent="0.25">
      <c r="A1414" s="5"/>
      <c r="B1414" s="6"/>
      <c r="C1414" s="6"/>
      <c r="D1414" s="6"/>
      <c r="E1414" s="6"/>
      <c r="G1414" s="1"/>
      <c r="H1414" s="2"/>
    </row>
    <row r="1415" spans="1:8" x14ac:dyDescent="0.25">
      <c r="A1415" s="5"/>
      <c r="B1415" s="6"/>
      <c r="C1415" s="6"/>
      <c r="D1415" s="6"/>
      <c r="E1415" s="6"/>
      <c r="G1415" s="3"/>
      <c r="H1415" s="2"/>
    </row>
    <row r="1416" spans="1:8" x14ac:dyDescent="0.25">
      <c r="A1416" s="5"/>
      <c r="B1416" s="6"/>
      <c r="C1416" s="6"/>
      <c r="D1416" s="6"/>
      <c r="E1416" s="6"/>
      <c r="G1416" s="1"/>
      <c r="H1416" s="2"/>
    </row>
    <row r="1417" spans="1:8" x14ac:dyDescent="0.25">
      <c r="A1417" s="5"/>
      <c r="B1417" s="6"/>
      <c r="C1417" s="6"/>
      <c r="D1417" s="6"/>
      <c r="E1417" s="6"/>
      <c r="G1417" s="3"/>
      <c r="H1417" s="2"/>
    </row>
    <row r="1418" spans="1:8" x14ac:dyDescent="0.25">
      <c r="A1418" s="5"/>
      <c r="B1418" s="6"/>
      <c r="C1418" s="6"/>
      <c r="D1418" s="6"/>
      <c r="E1418" s="6"/>
      <c r="G1418" s="1"/>
      <c r="H1418" s="2"/>
    </row>
    <row r="1419" spans="1:8" x14ac:dyDescent="0.25">
      <c r="A1419" s="5"/>
      <c r="B1419" s="6"/>
      <c r="C1419" s="6"/>
      <c r="D1419" s="6"/>
      <c r="E1419" s="6"/>
      <c r="G1419" s="3"/>
      <c r="H1419" s="2"/>
    </row>
    <row r="1420" spans="1:8" x14ac:dyDescent="0.25">
      <c r="A1420" s="5"/>
      <c r="B1420" s="6"/>
      <c r="C1420" s="6"/>
      <c r="D1420" s="6"/>
      <c r="E1420" s="6"/>
      <c r="G1420" s="1"/>
      <c r="H1420" s="2"/>
    </row>
    <row r="1421" spans="1:8" x14ac:dyDescent="0.25">
      <c r="A1421" s="5"/>
      <c r="B1421" s="6"/>
      <c r="C1421" s="6"/>
      <c r="D1421" s="6"/>
      <c r="E1421" s="6"/>
      <c r="G1421" s="3"/>
      <c r="H1421" s="2"/>
    </row>
    <row r="1422" spans="1:8" x14ac:dyDescent="0.25">
      <c r="A1422" s="5"/>
      <c r="B1422" s="6"/>
      <c r="C1422" s="6"/>
      <c r="D1422" s="6"/>
      <c r="E1422" s="6"/>
      <c r="G1422" s="1"/>
      <c r="H1422" s="2"/>
    </row>
    <row r="1423" spans="1:8" x14ac:dyDescent="0.25">
      <c r="A1423" s="5"/>
      <c r="B1423" s="6"/>
      <c r="C1423" s="6"/>
      <c r="D1423" s="6"/>
      <c r="E1423" s="6"/>
      <c r="G1423" s="3"/>
      <c r="H1423" s="2"/>
    </row>
    <row r="1424" spans="1:8" x14ac:dyDescent="0.25">
      <c r="A1424" s="5"/>
      <c r="B1424" s="6"/>
      <c r="C1424" s="6"/>
      <c r="D1424" s="6"/>
      <c r="E1424" s="6"/>
      <c r="G1424" s="1"/>
      <c r="H1424" s="2"/>
    </row>
    <row r="1425" spans="1:8" x14ac:dyDescent="0.25">
      <c r="A1425" s="5"/>
      <c r="B1425" s="6"/>
      <c r="C1425" s="6"/>
      <c r="D1425" s="6"/>
      <c r="E1425" s="6"/>
      <c r="G1425" s="3"/>
      <c r="H1425" s="2"/>
    </row>
    <row r="1426" spans="1:8" x14ac:dyDescent="0.25">
      <c r="A1426" s="5"/>
      <c r="B1426" s="6"/>
      <c r="C1426" s="6"/>
      <c r="D1426" s="6"/>
      <c r="E1426" s="6"/>
      <c r="G1426" s="1"/>
      <c r="H1426" s="2"/>
    </row>
    <row r="1427" spans="1:8" x14ac:dyDescent="0.25">
      <c r="A1427" s="5"/>
      <c r="B1427" s="6"/>
      <c r="C1427" s="6"/>
      <c r="D1427" s="6"/>
      <c r="E1427" s="6"/>
      <c r="G1427" s="3"/>
      <c r="H1427" s="2"/>
    </row>
    <row r="1428" spans="1:8" x14ac:dyDescent="0.25">
      <c r="A1428" s="5"/>
      <c r="B1428" s="6"/>
      <c r="C1428" s="6"/>
      <c r="D1428" s="6"/>
      <c r="E1428" s="6"/>
      <c r="G1428" s="1"/>
      <c r="H1428" s="2"/>
    </row>
    <row r="1429" spans="1:8" x14ac:dyDescent="0.25">
      <c r="A1429" s="5"/>
      <c r="B1429" s="6"/>
      <c r="C1429" s="6"/>
      <c r="D1429" s="6"/>
      <c r="E1429" s="6"/>
      <c r="G1429" s="3"/>
      <c r="H1429" s="2"/>
    </row>
    <row r="1430" spans="1:8" x14ac:dyDescent="0.25">
      <c r="A1430" s="5"/>
      <c r="B1430" s="6"/>
      <c r="C1430" s="6"/>
      <c r="D1430" s="6"/>
      <c r="E1430" s="6"/>
      <c r="G1430" s="1"/>
      <c r="H1430" s="2"/>
    </row>
    <row r="1431" spans="1:8" x14ac:dyDescent="0.25">
      <c r="A1431" s="5"/>
      <c r="B1431" s="6"/>
      <c r="C1431" s="6"/>
      <c r="D1431" s="6"/>
      <c r="E1431" s="6"/>
      <c r="G1431" s="3"/>
      <c r="H1431" s="2"/>
    </row>
    <row r="1432" spans="1:8" x14ac:dyDescent="0.25">
      <c r="A1432" s="5"/>
      <c r="B1432" s="6"/>
      <c r="C1432" s="6"/>
      <c r="D1432" s="6"/>
      <c r="E1432" s="6"/>
      <c r="G1432" s="1"/>
      <c r="H1432" s="2"/>
    </row>
    <row r="1433" spans="1:8" x14ac:dyDescent="0.25">
      <c r="A1433" s="5"/>
      <c r="B1433" s="6"/>
      <c r="C1433" s="6"/>
      <c r="D1433" s="6"/>
      <c r="E1433" s="6"/>
      <c r="G1433" s="3"/>
      <c r="H1433" s="2"/>
    </row>
    <row r="1434" spans="1:8" x14ac:dyDescent="0.25">
      <c r="A1434" s="5"/>
      <c r="B1434" s="6"/>
      <c r="C1434" s="6"/>
      <c r="D1434" s="6"/>
      <c r="E1434" s="6"/>
      <c r="G1434" s="1"/>
      <c r="H1434" s="2"/>
    </row>
    <row r="1435" spans="1:8" x14ac:dyDescent="0.25">
      <c r="A1435" s="5"/>
      <c r="B1435" s="6"/>
      <c r="C1435" s="6"/>
      <c r="D1435" s="6"/>
      <c r="E1435" s="6"/>
      <c r="G1435" s="3"/>
      <c r="H1435" s="2"/>
    </row>
    <row r="1436" spans="1:8" x14ac:dyDescent="0.25">
      <c r="A1436" s="5"/>
      <c r="B1436" s="6"/>
      <c r="C1436" s="6"/>
      <c r="D1436" s="6"/>
      <c r="E1436" s="6"/>
      <c r="G1436" s="1"/>
      <c r="H1436" s="2"/>
    </row>
    <row r="1437" spans="1:8" x14ac:dyDescent="0.25">
      <c r="A1437" s="5"/>
      <c r="B1437" s="6"/>
      <c r="C1437" s="6"/>
      <c r="D1437" s="6"/>
      <c r="E1437" s="6"/>
      <c r="G1437" s="3"/>
      <c r="H1437" s="2"/>
    </row>
    <row r="1438" spans="1:8" x14ac:dyDescent="0.25">
      <c r="A1438" s="5"/>
      <c r="B1438" s="6"/>
      <c r="C1438" s="6"/>
      <c r="D1438" s="6"/>
      <c r="E1438" s="6"/>
      <c r="G1438" s="1"/>
      <c r="H1438" s="2"/>
    </row>
    <row r="1439" spans="1:8" x14ac:dyDescent="0.25">
      <c r="A1439" s="5"/>
      <c r="B1439" s="6"/>
      <c r="C1439" s="6"/>
      <c r="D1439" s="6"/>
      <c r="E1439" s="6"/>
      <c r="G1439" s="3"/>
      <c r="H1439" s="2"/>
    </row>
    <row r="1440" spans="1:8" x14ac:dyDescent="0.25">
      <c r="A1440" s="5"/>
      <c r="B1440" s="6"/>
      <c r="C1440" s="6"/>
      <c r="D1440" s="6"/>
      <c r="E1440" s="6"/>
      <c r="G1440" s="1"/>
      <c r="H1440" s="2"/>
    </row>
    <row r="1441" spans="1:8" x14ac:dyDescent="0.25">
      <c r="A1441" s="5"/>
      <c r="B1441" s="6"/>
      <c r="C1441" s="6"/>
      <c r="D1441" s="6"/>
      <c r="E1441" s="6"/>
      <c r="G1441" s="3"/>
      <c r="H1441" s="2"/>
    </row>
    <row r="1442" spans="1:8" x14ac:dyDescent="0.25">
      <c r="A1442" s="5"/>
      <c r="B1442" s="6"/>
      <c r="C1442" s="6"/>
      <c r="D1442" s="6"/>
      <c r="E1442" s="6"/>
      <c r="G1442" s="1"/>
      <c r="H1442" s="2"/>
    </row>
    <row r="1443" spans="1:8" x14ac:dyDescent="0.25">
      <c r="A1443" s="5"/>
      <c r="B1443" s="6"/>
      <c r="C1443" s="6"/>
      <c r="D1443" s="6"/>
      <c r="E1443" s="6"/>
      <c r="G1443" s="3"/>
      <c r="H1443" s="2"/>
    </row>
    <row r="1444" spans="1:8" x14ac:dyDescent="0.25">
      <c r="A1444" s="5"/>
      <c r="B1444" s="6"/>
      <c r="C1444" s="6"/>
      <c r="D1444" s="6"/>
      <c r="E1444" s="6"/>
      <c r="G1444" s="1"/>
      <c r="H1444" s="2"/>
    </row>
    <row r="1445" spans="1:8" x14ac:dyDescent="0.25">
      <c r="A1445" s="5"/>
      <c r="B1445" s="6"/>
      <c r="C1445" s="6"/>
      <c r="D1445" s="6"/>
      <c r="E1445" s="6"/>
      <c r="G1445" s="3"/>
      <c r="H1445" s="2"/>
    </row>
    <row r="1446" spans="1:8" x14ac:dyDescent="0.25">
      <c r="A1446" s="5"/>
      <c r="B1446" s="6"/>
      <c r="C1446" s="6"/>
      <c r="D1446" s="6"/>
      <c r="E1446" s="6"/>
      <c r="G1446" s="1"/>
      <c r="H1446" s="2"/>
    </row>
    <row r="1447" spans="1:8" x14ac:dyDescent="0.25">
      <c r="A1447" s="5"/>
      <c r="B1447" s="6"/>
      <c r="C1447" s="6"/>
      <c r="D1447" s="6"/>
      <c r="E1447" s="6"/>
      <c r="G1447" s="3"/>
      <c r="H1447" s="2"/>
    </row>
    <row r="1448" spans="1:8" x14ac:dyDescent="0.25">
      <c r="A1448" s="5"/>
      <c r="B1448" s="6"/>
      <c r="C1448" s="6"/>
      <c r="D1448" s="6"/>
      <c r="E1448" s="6"/>
      <c r="G1448" s="1"/>
      <c r="H1448" s="2"/>
    </row>
    <row r="1449" spans="1:8" x14ac:dyDescent="0.25">
      <c r="A1449" s="5"/>
      <c r="B1449" s="6"/>
      <c r="C1449" s="6"/>
      <c r="D1449" s="6"/>
      <c r="E1449" s="6"/>
      <c r="G1449" s="3"/>
      <c r="H1449" s="2"/>
    </row>
    <row r="1450" spans="1:8" x14ac:dyDescent="0.25">
      <c r="A1450" s="5"/>
      <c r="B1450" s="6"/>
      <c r="C1450" s="6"/>
      <c r="D1450" s="6"/>
      <c r="E1450" s="6"/>
      <c r="G1450" s="1"/>
      <c r="H1450" s="2"/>
    </row>
    <row r="1451" spans="1:8" x14ac:dyDescent="0.25">
      <c r="A1451" s="5"/>
      <c r="B1451" s="6"/>
      <c r="C1451" s="6"/>
      <c r="D1451" s="6"/>
      <c r="E1451" s="6"/>
      <c r="G1451" s="3"/>
      <c r="H1451" s="2"/>
    </row>
    <row r="1452" spans="1:8" x14ac:dyDescent="0.25">
      <c r="A1452" s="5"/>
      <c r="B1452" s="6"/>
      <c r="C1452" s="6"/>
      <c r="D1452" s="6"/>
      <c r="E1452" s="6"/>
      <c r="G1452" s="1"/>
      <c r="H1452" s="2"/>
    </row>
    <row r="1453" spans="1:8" x14ac:dyDescent="0.25">
      <c r="A1453" s="5"/>
      <c r="B1453" s="6"/>
      <c r="C1453" s="6"/>
      <c r="D1453" s="6"/>
      <c r="E1453" s="6"/>
      <c r="G1453" s="3"/>
      <c r="H1453" s="2"/>
    </row>
    <row r="1454" spans="1:8" x14ac:dyDescent="0.25">
      <c r="A1454" s="5"/>
      <c r="B1454" s="6"/>
      <c r="C1454" s="6"/>
      <c r="D1454" s="6"/>
      <c r="E1454" s="6"/>
      <c r="G1454" s="1"/>
      <c r="H1454" s="2"/>
    </row>
    <row r="1455" spans="1:8" x14ac:dyDescent="0.25">
      <c r="A1455" s="5"/>
      <c r="B1455" s="6"/>
      <c r="C1455" s="6"/>
      <c r="D1455" s="6"/>
      <c r="E1455" s="6"/>
      <c r="G1455" s="3"/>
      <c r="H1455" s="2"/>
    </row>
    <row r="1456" spans="1:8" x14ac:dyDescent="0.25">
      <c r="A1456" s="5"/>
      <c r="B1456" s="6"/>
      <c r="C1456" s="6"/>
      <c r="D1456" s="6"/>
      <c r="E1456" s="6"/>
      <c r="G1456" s="1"/>
      <c r="H1456" s="2"/>
    </row>
    <row r="1457" spans="1:8" x14ac:dyDescent="0.25">
      <c r="A1457" s="5"/>
      <c r="B1457" s="6"/>
      <c r="C1457" s="6"/>
      <c r="D1457" s="6"/>
      <c r="E1457" s="6"/>
      <c r="G1457" s="3"/>
      <c r="H1457" s="2"/>
    </row>
    <row r="1458" spans="1:8" x14ac:dyDescent="0.25">
      <c r="A1458" s="5"/>
      <c r="B1458" s="6"/>
      <c r="C1458" s="6"/>
      <c r="D1458" s="6"/>
      <c r="E1458" s="6"/>
      <c r="G1458" s="1"/>
      <c r="H1458" s="2"/>
    </row>
    <row r="1459" spans="1:8" x14ac:dyDescent="0.25">
      <c r="A1459" s="5"/>
      <c r="B1459" s="6"/>
      <c r="C1459" s="6"/>
      <c r="D1459" s="6"/>
      <c r="E1459" s="6"/>
      <c r="G1459" s="3"/>
      <c r="H1459" s="2"/>
    </row>
    <row r="1460" spans="1:8" x14ac:dyDescent="0.25">
      <c r="A1460" s="5"/>
      <c r="B1460" s="6"/>
      <c r="C1460" s="6"/>
      <c r="D1460" s="6"/>
      <c r="E1460" s="6"/>
      <c r="G1460" s="1"/>
      <c r="H1460" s="2"/>
    </row>
    <row r="1461" spans="1:8" x14ac:dyDescent="0.25">
      <c r="A1461" s="5"/>
      <c r="B1461" s="6"/>
      <c r="C1461" s="6"/>
      <c r="D1461" s="6"/>
      <c r="E1461" s="6"/>
      <c r="G1461" s="3"/>
      <c r="H1461" s="2"/>
    </row>
    <row r="1462" spans="1:8" x14ac:dyDescent="0.25">
      <c r="A1462" s="5"/>
      <c r="B1462" s="6"/>
      <c r="C1462" s="6"/>
      <c r="D1462" s="6"/>
      <c r="E1462" s="6"/>
      <c r="G1462" s="1"/>
      <c r="H1462" s="2"/>
    </row>
    <row r="1463" spans="1:8" x14ac:dyDescent="0.25">
      <c r="A1463" s="5"/>
      <c r="B1463" s="6"/>
      <c r="C1463" s="6"/>
      <c r="D1463" s="6"/>
      <c r="E1463" s="6"/>
      <c r="G1463" s="3"/>
      <c r="H1463" s="2"/>
    </row>
    <row r="1464" spans="1:8" x14ac:dyDescent="0.25">
      <c r="A1464" s="5"/>
      <c r="B1464" s="6"/>
      <c r="C1464" s="6"/>
      <c r="D1464" s="6"/>
      <c r="E1464" s="6"/>
      <c r="G1464" s="1"/>
      <c r="H1464" s="2"/>
    </row>
    <row r="1465" spans="1:8" x14ac:dyDescent="0.25">
      <c r="A1465" s="5"/>
      <c r="B1465" s="6"/>
      <c r="C1465" s="6"/>
      <c r="D1465" s="6"/>
      <c r="E1465" s="6"/>
      <c r="G1465" s="3"/>
      <c r="H1465" s="2"/>
    </row>
    <row r="1466" spans="1:8" x14ac:dyDescent="0.25">
      <c r="A1466" s="5"/>
      <c r="B1466" s="6"/>
      <c r="C1466" s="6"/>
      <c r="D1466" s="6"/>
      <c r="E1466" s="6"/>
      <c r="G1466" s="1"/>
      <c r="H1466" s="2"/>
    </row>
    <row r="1467" spans="1:8" x14ac:dyDescent="0.25">
      <c r="A1467" s="5"/>
      <c r="B1467" s="6"/>
      <c r="C1467" s="6"/>
      <c r="D1467" s="6"/>
      <c r="E1467" s="6"/>
      <c r="G1467" s="3"/>
      <c r="H1467" s="2"/>
    </row>
    <row r="1468" spans="1:8" x14ac:dyDescent="0.25">
      <c r="A1468" s="5"/>
      <c r="B1468" s="6"/>
      <c r="C1468" s="6"/>
      <c r="D1468" s="6"/>
      <c r="E1468" s="6"/>
      <c r="G1468" s="1"/>
      <c r="H1468" s="2"/>
    </row>
    <row r="1469" spans="1:8" x14ac:dyDescent="0.25">
      <c r="A1469" s="5"/>
      <c r="B1469" s="6"/>
      <c r="C1469" s="6"/>
      <c r="D1469" s="6"/>
      <c r="E1469" s="6"/>
      <c r="G1469" s="3"/>
      <c r="H1469" s="2"/>
    </row>
    <row r="1470" spans="1:8" x14ac:dyDescent="0.25">
      <c r="A1470" s="5"/>
      <c r="B1470" s="6"/>
      <c r="C1470" s="6"/>
      <c r="D1470" s="6"/>
      <c r="E1470" s="6"/>
      <c r="G1470" s="1"/>
      <c r="H1470" s="2"/>
    </row>
    <row r="1471" spans="1:8" x14ac:dyDescent="0.25">
      <c r="A1471" s="5"/>
      <c r="B1471" s="6"/>
      <c r="C1471" s="6"/>
      <c r="D1471" s="6"/>
      <c r="E1471" s="6"/>
      <c r="G1471" s="3"/>
      <c r="H1471" s="2"/>
    </row>
    <row r="1472" spans="1:8" x14ac:dyDescent="0.25">
      <c r="A1472" s="5"/>
      <c r="B1472" s="6"/>
      <c r="C1472" s="6"/>
      <c r="D1472" s="6"/>
      <c r="E1472" s="6"/>
      <c r="G1472" s="1"/>
      <c r="H1472" s="2"/>
    </row>
    <row r="1473" spans="1:8" x14ac:dyDescent="0.25">
      <c r="A1473" s="5"/>
      <c r="B1473" s="6"/>
      <c r="C1473" s="6"/>
      <c r="D1473" s="6"/>
      <c r="E1473" s="6"/>
      <c r="G1473" s="3"/>
      <c r="H1473" s="2"/>
    </row>
    <row r="1474" spans="1:8" x14ac:dyDescent="0.25">
      <c r="A1474" s="5"/>
      <c r="B1474" s="6"/>
      <c r="C1474" s="6"/>
      <c r="D1474" s="6"/>
      <c r="E1474" s="6"/>
      <c r="G1474" s="1"/>
      <c r="H1474" s="2"/>
    </row>
    <row r="1475" spans="1:8" x14ac:dyDescent="0.25">
      <c r="A1475" s="5"/>
      <c r="B1475" s="6"/>
      <c r="C1475" s="6"/>
      <c r="D1475" s="6"/>
      <c r="E1475" s="6"/>
      <c r="G1475" s="3"/>
      <c r="H1475" s="2"/>
    </row>
    <row r="1476" spans="1:8" x14ac:dyDescent="0.25">
      <c r="A1476" s="5"/>
      <c r="B1476" s="6"/>
      <c r="C1476" s="6"/>
      <c r="D1476" s="6"/>
      <c r="E1476" s="6"/>
      <c r="G1476" s="1"/>
      <c r="H1476" s="2"/>
    </row>
    <row r="1477" spans="1:8" x14ac:dyDescent="0.25">
      <c r="A1477" s="5"/>
      <c r="B1477" s="6"/>
      <c r="C1477" s="6"/>
      <c r="D1477" s="6"/>
      <c r="E1477" s="6"/>
      <c r="G1477" s="3"/>
      <c r="H1477" s="2"/>
    </row>
    <row r="1478" spans="1:8" x14ac:dyDescent="0.25">
      <c r="A1478" s="5"/>
      <c r="B1478" s="6"/>
      <c r="C1478" s="6"/>
      <c r="D1478" s="6"/>
      <c r="E1478" s="6"/>
      <c r="G1478" s="1"/>
      <c r="H1478" s="2"/>
    </row>
    <row r="1479" spans="1:8" x14ac:dyDescent="0.25">
      <c r="A1479" s="5"/>
      <c r="B1479" s="6"/>
      <c r="C1479" s="6"/>
      <c r="D1479" s="6"/>
      <c r="E1479" s="6"/>
      <c r="G1479" s="3"/>
      <c r="H1479" s="2"/>
    </row>
    <row r="1480" spans="1:8" x14ac:dyDescent="0.25">
      <c r="A1480" s="5"/>
      <c r="B1480" s="6"/>
      <c r="C1480" s="6"/>
      <c r="D1480" s="6"/>
      <c r="E1480" s="6"/>
      <c r="G1480" s="1"/>
      <c r="H1480" s="2"/>
    </row>
    <row r="1481" spans="1:8" x14ac:dyDescent="0.25">
      <c r="A1481" s="5"/>
      <c r="B1481" s="6"/>
      <c r="C1481" s="6"/>
      <c r="D1481" s="6"/>
      <c r="E1481" s="6"/>
      <c r="G1481" s="3"/>
      <c r="H1481" s="2"/>
    </row>
    <row r="1482" spans="1:8" x14ac:dyDescent="0.25">
      <c r="A1482" s="5"/>
      <c r="B1482" s="6"/>
      <c r="C1482" s="6"/>
      <c r="D1482" s="6"/>
      <c r="E1482" s="6"/>
      <c r="G1482" s="1"/>
      <c r="H1482" s="2"/>
    </row>
    <row r="1483" spans="1:8" x14ac:dyDescent="0.25">
      <c r="A1483" s="5"/>
      <c r="B1483" s="6"/>
      <c r="C1483" s="6"/>
      <c r="D1483" s="6"/>
      <c r="E1483" s="6"/>
      <c r="G1483" s="3"/>
      <c r="H1483" s="2"/>
    </row>
    <row r="1484" spans="1:8" x14ac:dyDescent="0.25">
      <c r="A1484" s="5"/>
      <c r="B1484" s="6"/>
      <c r="C1484" s="6"/>
      <c r="D1484" s="6"/>
      <c r="E1484" s="6"/>
      <c r="G1484" s="1"/>
      <c r="H1484" s="2"/>
    </row>
    <row r="1485" spans="1:8" x14ac:dyDescent="0.25">
      <c r="A1485" s="5"/>
      <c r="B1485" s="6"/>
      <c r="C1485" s="6"/>
      <c r="D1485" s="6"/>
      <c r="E1485" s="6"/>
      <c r="G1485" s="3"/>
      <c r="H1485" s="2"/>
    </row>
    <row r="1486" spans="1:8" x14ac:dyDescent="0.25">
      <c r="A1486" s="5"/>
      <c r="B1486" s="6"/>
      <c r="C1486" s="6"/>
      <c r="D1486" s="6"/>
      <c r="E1486" s="6"/>
      <c r="G1486" s="1"/>
      <c r="H1486" s="2"/>
    </row>
    <row r="1487" spans="1:8" x14ac:dyDescent="0.25">
      <c r="A1487" s="5"/>
      <c r="B1487" s="6"/>
      <c r="C1487" s="6"/>
      <c r="D1487" s="6"/>
      <c r="E1487" s="6"/>
      <c r="G1487" s="3"/>
      <c r="H1487" s="2"/>
    </row>
    <row r="1488" spans="1:8" x14ac:dyDescent="0.25">
      <c r="A1488" s="5"/>
      <c r="B1488" s="6"/>
      <c r="C1488" s="6"/>
      <c r="D1488" s="6"/>
      <c r="E1488" s="6"/>
      <c r="G1488" s="1"/>
      <c r="H1488" s="2"/>
    </row>
    <row r="1489" spans="1:8" x14ac:dyDescent="0.25">
      <c r="A1489" s="5"/>
      <c r="B1489" s="6"/>
      <c r="C1489" s="6"/>
      <c r="D1489" s="6"/>
      <c r="E1489" s="6"/>
      <c r="G1489" s="3"/>
      <c r="H1489" s="2"/>
    </row>
    <row r="1490" spans="1:8" x14ac:dyDescent="0.25">
      <c r="A1490" s="5"/>
      <c r="B1490" s="6"/>
      <c r="C1490" s="6"/>
      <c r="D1490" s="6"/>
      <c r="E1490" s="6"/>
      <c r="G1490" s="1"/>
      <c r="H1490" s="2"/>
    </row>
    <row r="1491" spans="1:8" x14ac:dyDescent="0.25">
      <c r="A1491" s="5"/>
      <c r="B1491" s="6"/>
      <c r="C1491" s="6"/>
      <c r="D1491" s="6"/>
      <c r="E1491" s="6"/>
      <c r="G1491" s="3"/>
      <c r="H1491" s="2"/>
    </row>
    <row r="1492" spans="1:8" x14ac:dyDescent="0.25">
      <c r="A1492" s="5"/>
      <c r="B1492" s="6"/>
      <c r="C1492" s="6"/>
      <c r="D1492" s="6"/>
      <c r="E1492" s="6"/>
      <c r="G1492" s="1"/>
      <c r="H1492" s="2"/>
    </row>
    <row r="1493" spans="1:8" x14ac:dyDescent="0.25">
      <c r="A1493" s="5"/>
      <c r="B1493" s="6"/>
      <c r="C1493" s="6"/>
      <c r="D1493" s="6"/>
      <c r="E1493" s="6"/>
      <c r="G1493" s="3"/>
      <c r="H1493" s="2"/>
    </row>
    <row r="1494" spans="1:8" x14ac:dyDescent="0.25">
      <c r="A1494" s="5"/>
      <c r="B1494" s="6"/>
      <c r="C1494" s="6"/>
      <c r="D1494" s="6"/>
      <c r="E1494" s="6"/>
      <c r="G1494" s="1"/>
      <c r="H1494" s="2"/>
    </row>
    <row r="1495" spans="1:8" x14ac:dyDescent="0.25">
      <c r="A1495" s="5"/>
      <c r="B1495" s="6"/>
      <c r="C1495" s="6"/>
      <c r="D1495" s="6"/>
      <c r="E1495" s="6"/>
      <c r="G1495" s="3"/>
      <c r="H1495" s="2"/>
    </row>
    <row r="1496" spans="1:8" x14ac:dyDescent="0.25">
      <c r="A1496" s="5"/>
      <c r="B1496" s="6"/>
      <c r="C1496" s="6"/>
      <c r="D1496" s="6"/>
      <c r="E1496" s="6"/>
      <c r="G1496" s="1"/>
      <c r="H1496" s="2"/>
    </row>
    <row r="1497" spans="1:8" x14ac:dyDescent="0.25">
      <c r="A1497" s="5"/>
      <c r="B1497" s="6"/>
      <c r="C1497" s="6"/>
      <c r="D1497" s="6"/>
      <c r="E1497" s="6"/>
      <c r="G1497" s="3"/>
      <c r="H1497" s="2"/>
    </row>
    <row r="1498" spans="1:8" x14ac:dyDescent="0.25">
      <c r="A1498" s="5"/>
      <c r="B1498" s="6"/>
      <c r="C1498" s="6"/>
      <c r="D1498" s="6"/>
      <c r="E1498" s="6"/>
      <c r="G1498" s="1"/>
      <c r="H1498" s="2"/>
    </row>
    <row r="1499" spans="1:8" x14ac:dyDescent="0.25">
      <c r="A1499" s="5"/>
      <c r="B1499" s="6"/>
      <c r="C1499" s="6"/>
      <c r="D1499" s="6"/>
      <c r="E1499" s="6"/>
      <c r="G1499" s="3"/>
      <c r="H1499" s="2"/>
    </row>
    <row r="1500" spans="1:8" x14ac:dyDescent="0.25">
      <c r="A1500" s="5"/>
      <c r="B1500" s="6"/>
      <c r="C1500" s="6"/>
      <c r="D1500" s="6"/>
      <c r="E1500" s="6"/>
      <c r="G1500" s="1"/>
      <c r="H1500" s="2"/>
    </row>
    <row r="1501" spans="1:8" x14ac:dyDescent="0.25">
      <c r="A1501" s="5"/>
      <c r="B1501" s="6"/>
      <c r="C1501" s="6"/>
      <c r="D1501" s="6"/>
      <c r="E1501" s="6"/>
      <c r="G1501" s="3"/>
      <c r="H1501" s="2"/>
    </row>
    <row r="1502" spans="1:8" x14ac:dyDescent="0.25">
      <c r="A1502" s="5"/>
      <c r="B1502" s="6"/>
      <c r="C1502" s="6"/>
      <c r="D1502" s="6"/>
      <c r="E1502" s="6"/>
      <c r="G1502" s="1"/>
      <c r="H1502" s="2"/>
    </row>
    <row r="1503" spans="1:8" x14ac:dyDescent="0.25">
      <c r="A1503" s="5"/>
      <c r="B1503" s="6"/>
      <c r="C1503" s="6"/>
      <c r="D1503" s="6"/>
      <c r="E1503" s="6"/>
      <c r="G1503" s="3"/>
      <c r="H1503" s="2"/>
    </row>
    <row r="1504" spans="1:8" x14ac:dyDescent="0.25">
      <c r="A1504" s="5"/>
      <c r="B1504" s="6"/>
      <c r="C1504" s="6"/>
      <c r="D1504" s="6"/>
      <c r="E1504" s="6"/>
      <c r="G1504" s="1"/>
      <c r="H1504" s="2"/>
    </row>
    <row r="1505" spans="1:8" x14ac:dyDescent="0.25">
      <c r="A1505" s="5"/>
      <c r="B1505" s="6"/>
      <c r="C1505" s="6"/>
      <c r="D1505" s="6"/>
      <c r="E1505" s="6"/>
      <c r="G1505" s="3"/>
      <c r="H1505" s="2"/>
    </row>
    <row r="1506" spans="1:8" x14ac:dyDescent="0.25">
      <c r="A1506" s="5"/>
      <c r="B1506" s="6"/>
      <c r="C1506" s="6"/>
      <c r="D1506" s="6"/>
      <c r="E1506" s="6"/>
      <c r="G1506" s="1"/>
      <c r="H1506" s="2"/>
    </row>
    <row r="1507" spans="1:8" x14ac:dyDescent="0.25">
      <c r="A1507" s="5"/>
      <c r="B1507" s="6"/>
      <c r="C1507" s="6"/>
      <c r="D1507" s="6"/>
      <c r="E1507" s="6"/>
      <c r="G1507" s="3"/>
      <c r="H1507" s="2"/>
    </row>
    <row r="1508" spans="1:8" x14ac:dyDescent="0.25">
      <c r="A1508" s="5"/>
      <c r="B1508" s="6"/>
      <c r="C1508" s="6"/>
      <c r="D1508" s="6"/>
      <c r="E1508" s="6"/>
      <c r="G1508" s="1"/>
      <c r="H1508" s="2"/>
    </row>
    <row r="1509" spans="1:8" x14ac:dyDescent="0.25">
      <c r="A1509" s="5"/>
      <c r="B1509" s="6"/>
      <c r="C1509" s="6"/>
      <c r="D1509" s="6"/>
      <c r="E1509" s="6"/>
      <c r="G1509" s="3"/>
      <c r="H1509" s="2"/>
    </row>
    <row r="1510" spans="1:8" x14ac:dyDescent="0.25">
      <c r="A1510" s="5"/>
      <c r="B1510" s="6"/>
      <c r="C1510" s="6"/>
      <c r="D1510" s="6"/>
      <c r="E1510" s="6"/>
      <c r="G1510" s="1"/>
      <c r="H1510" s="2"/>
    </row>
    <row r="1511" spans="1:8" x14ac:dyDescent="0.25">
      <c r="A1511" s="5"/>
      <c r="B1511" s="6"/>
      <c r="C1511" s="6"/>
      <c r="D1511" s="6"/>
      <c r="E1511" s="6"/>
      <c r="G1511" s="3"/>
      <c r="H1511" s="2"/>
    </row>
    <row r="1512" spans="1:8" x14ac:dyDescent="0.25">
      <c r="A1512" s="5"/>
      <c r="B1512" s="6"/>
      <c r="C1512" s="6"/>
      <c r="D1512" s="6"/>
      <c r="E1512" s="6"/>
      <c r="G1512" s="1"/>
      <c r="H1512" s="2"/>
    </row>
    <row r="1513" spans="1:8" x14ac:dyDescent="0.25">
      <c r="A1513" s="5"/>
      <c r="B1513" s="6"/>
      <c r="C1513" s="6"/>
      <c r="D1513" s="6"/>
      <c r="E1513" s="6"/>
      <c r="G1513" s="3"/>
      <c r="H1513" s="2"/>
    </row>
    <row r="1514" spans="1:8" x14ac:dyDescent="0.25">
      <c r="A1514" s="5"/>
      <c r="B1514" s="6"/>
      <c r="C1514" s="6"/>
      <c r="D1514" s="6"/>
      <c r="E1514" s="6"/>
      <c r="G1514" s="1"/>
      <c r="H1514" s="2"/>
    </row>
    <row r="1515" spans="1:8" x14ac:dyDescent="0.25">
      <c r="A1515" s="5"/>
      <c r="B1515" s="6"/>
      <c r="C1515" s="6"/>
      <c r="D1515" s="6"/>
      <c r="E1515" s="6"/>
      <c r="G1515" s="3"/>
      <c r="H1515" s="2"/>
    </row>
    <row r="1516" spans="1:8" x14ac:dyDescent="0.25">
      <c r="A1516" s="5"/>
      <c r="B1516" s="6"/>
      <c r="C1516" s="6"/>
      <c r="D1516" s="6"/>
      <c r="E1516" s="6"/>
      <c r="G1516" s="1"/>
      <c r="H1516" s="2"/>
    </row>
    <row r="1517" spans="1:8" x14ac:dyDescent="0.25">
      <c r="A1517" s="5"/>
      <c r="B1517" s="6"/>
      <c r="C1517" s="6"/>
      <c r="D1517" s="6"/>
      <c r="E1517" s="6"/>
      <c r="G1517" s="3"/>
      <c r="H1517" s="2"/>
    </row>
    <row r="1518" spans="1:8" x14ac:dyDescent="0.25">
      <c r="A1518" s="5"/>
      <c r="B1518" s="6"/>
      <c r="C1518" s="6"/>
      <c r="D1518" s="6"/>
      <c r="E1518" s="6"/>
      <c r="G1518" s="1"/>
      <c r="H1518" s="2"/>
    </row>
    <row r="1519" spans="1:8" x14ac:dyDescent="0.25">
      <c r="A1519" s="5"/>
      <c r="B1519" s="6"/>
      <c r="C1519" s="6"/>
      <c r="D1519" s="6"/>
      <c r="E1519" s="6"/>
      <c r="G1519" s="3"/>
      <c r="H1519" s="2"/>
    </row>
    <row r="1520" spans="1:8" x14ac:dyDescent="0.25">
      <c r="A1520" s="5"/>
      <c r="B1520" s="6"/>
      <c r="C1520" s="6"/>
      <c r="D1520" s="6"/>
      <c r="E1520" s="6"/>
      <c r="G1520" s="1"/>
      <c r="H1520" s="2"/>
    </row>
    <row r="1521" spans="1:8" x14ac:dyDescent="0.25">
      <c r="A1521" s="5"/>
      <c r="B1521" s="6"/>
      <c r="C1521" s="6"/>
      <c r="D1521" s="6"/>
      <c r="E1521" s="6"/>
      <c r="G1521" s="3"/>
      <c r="H1521" s="2"/>
    </row>
    <row r="1522" spans="1:8" x14ac:dyDescent="0.25">
      <c r="A1522" s="5"/>
      <c r="B1522" s="6"/>
      <c r="C1522" s="6"/>
      <c r="D1522" s="6"/>
      <c r="E1522" s="6"/>
      <c r="G1522" s="1"/>
      <c r="H1522" s="2"/>
    </row>
    <row r="1523" spans="1:8" x14ac:dyDescent="0.25">
      <c r="A1523" s="5"/>
      <c r="B1523" s="6"/>
      <c r="C1523" s="6"/>
      <c r="D1523" s="6"/>
      <c r="E1523" s="6"/>
      <c r="G1523" s="3"/>
      <c r="H1523" s="2"/>
    </row>
    <row r="1524" spans="1:8" x14ac:dyDescent="0.25">
      <c r="A1524" s="5"/>
      <c r="B1524" s="6"/>
      <c r="C1524" s="6"/>
      <c r="D1524" s="6"/>
      <c r="E1524" s="6"/>
      <c r="G1524" s="1"/>
      <c r="H1524" s="2"/>
    </row>
    <row r="1525" spans="1:8" x14ac:dyDescent="0.25">
      <c r="A1525" s="5"/>
      <c r="B1525" s="6"/>
      <c r="C1525" s="6"/>
      <c r="D1525" s="6"/>
      <c r="E1525" s="6"/>
      <c r="G1525" s="14"/>
      <c r="H1525" s="2"/>
    </row>
    <row r="1526" spans="1:8" x14ac:dyDescent="0.25">
      <c r="A1526" s="5"/>
      <c r="B1526" s="6"/>
      <c r="C1526" s="6"/>
      <c r="D1526" s="6"/>
      <c r="E1526" s="6"/>
      <c r="G1526" s="14"/>
      <c r="H1526" s="2"/>
    </row>
    <row r="1527" spans="1:8" x14ac:dyDescent="0.25">
      <c r="A1527" s="5"/>
      <c r="B1527" s="6"/>
      <c r="C1527" s="6"/>
      <c r="D1527" s="6"/>
      <c r="E1527" s="6"/>
      <c r="G1527" s="14"/>
      <c r="H1527" s="2"/>
    </row>
    <row r="1528" spans="1:8" x14ac:dyDescent="0.25">
      <c r="A1528" s="5"/>
      <c r="B1528" s="6"/>
      <c r="C1528" s="6"/>
      <c r="D1528" s="6"/>
      <c r="E1528" s="6"/>
      <c r="G1528" s="14"/>
      <c r="H1528" s="2"/>
    </row>
    <row r="1529" spans="1:8" x14ac:dyDescent="0.25">
      <c r="A1529" s="5"/>
      <c r="B1529" s="6"/>
      <c r="C1529" s="6"/>
      <c r="D1529" s="6"/>
      <c r="E1529" s="6"/>
      <c r="G1529" s="14"/>
      <c r="H1529" s="2"/>
    </row>
    <row r="1530" spans="1:8" x14ac:dyDescent="0.25">
      <c r="A1530" s="5"/>
      <c r="B1530" s="6"/>
      <c r="C1530" s="6"/>
      <c r="D1530" s="6"/>
      <c r="E1530" s="6"/>
      <c r="G1530" s="14"/>
      <c r="H1530" s="2"/>
    </row>
    <row r="1531" spans="1:8" x14ac:dyDescent="0.25">
      <c r="A1531" s="5"/>
      <c r="B1531" s="6"/>
      <c r="C1531" s="6"/>
      <c r="D1531" s="6"/>
      <c r="E1531" s="6"/>
    </row>
    <row r="1532" spans="1:8" x14ac:dyDescent="0.25">
      <c r="A1532" s="5"/>
      <c r="B1532" s="6"/>
      <c r="C1532" s="6"/>
      <c r="D1532" s="6"/>
      <c r="E1532" s="6"/>
      <c r="G1532" s="3"/>
      <c r="H1532" s="2"/>
    </row>
    <row r="1533" spans="1:8" x14ac:dyDescent="0.25">
      <c r="A1533" s="5"/>
      <c r="B1533" s="6"/>
      <c r="C1533" s="6"/>
      <c r="D1533" s="6"/>
      <c r="E1533" s="6"/>
      <c r="G1533" s="1"/>
      <c r="H1533" s="2"/>
    </row>
    <row r="1534" spans="1:8" x14ac:dyDescent="0.25">
      <c r="A1534" s="5"/>
      <c r="B1534" s="6"/>
      <c r="C1534" s="6"/>
      <c r="D1534" s="6"/>
      <c r="E1534" s="6"/>
      <c r="G1534" s="3"/>
      <c r="H1534" s="2"/>
    </row>
    <row r="1535" spans="1:8" x14ac:dyDescent="0.25">
      <c r="A1535" s="5"/>
      <c r="B1535" s="6"/>
      <c r="C1535" s="6"/>
      <c r="D1535" s="6"/>
      <c r="E1535" s="6"/>
      <c r="G1535" s="1"/>
      <c r="H1535" s="2"/>
    </row>
    <row r="1536" spans="1:8" x14ac:dyDescent="0.25">
      <c r="A1536" s="5"/>
      <c r="B1536" s="6"/>
      <c r="C1536" s="6"/>
      <c r="D1536" s="6"/>
      <c r="E1536" s="6"/>
      <c r="G1536" s="3"/>
      <c r="H1536" s="2"/>
    </row>
    <row r="1537" spans="1:8" x14ac:dyDescent="0.25">
      <c r="A1537" s="5"/>
      <c r="B1537" s="6"/>
      <c r="C1537" s="6"/>
      <c r="D1537" s="6"/>
      <c r="E1537" s="6"/>
      <c r="G1537" s="1"/>
      <c r="H1537" s="2"/>
    </row>
    <row r="1538" spans="1:8" x14ac:dyDescent="0.25">
      <c r="A1538" s="5"/>
      <c r="B1538" s="6"/>
      <c r="C1538" s="6"/>
      <c r="D1538" s="6"/>
      <c r="E1538" s="6"/>
      <c r="G1538" s="3"/>
      <c r="H1538" s="2"/>
    </row>
    <row r="1539" spans="1:8" x14ac:dyDescent="0.25">
      <c r="A1539" s="5"/>
      <c r="B1539" s="6"/>
      <c r="C1539" s="6"/>
      <c r="D1539" s="6"/>
      <c r="E1539" s="6"/>
      <c r="G1539" s="1"/>
      <c r="H1539" s="2"/>
    </row>
    <row r="1540" spans="1:8" x14ac:dyDescent="0.25">
      <c r="A1540" s="5"/>
      <c r="B1540" s="6"/>
      <c r="C1540" s="6"/>
      <c r="D1540" s="6"/>
      <c r="E1540" s="6"/>
      <c r="G1540" s="3"/>
      <c r="H1540" s="2"/>
    </row>
    <row r="1541" spans="1:8" x14ac:dyDescent="0.25">
      <c r="A1541" s="5"/>
      <c r="B1541" s="6"/>
      <c r="C1541" s="6"/>
      <c r="D1541" s="6"/>
      <c r="E1541" s="6"/>
      <c r="G1541" s="1"/>
      <c r="H1541" s="2"/>
    </row>
    <row r="1542" spans="1:8" x14ac:dyDescent="0.25">
      <c r="A1542" s="5"/>
      <c r="B1542" s="6"/>
      <c r="C1542" s="6"/>
      <c r="D1542" s="6"/>
      <c r="E1542" s="6"/>
      <c r="G1542" s="3"/>
      <c r="H1542" s="2"/>
    </row>
    <row r="1543" spans="1:8" x14ac:dyDescent="0.25">
      <c r="A1543" s="5"/>
      <c r="B1543" s="6"/>
      <c r="C1543" s="6"/>
      <c r="D1543" s="6"/>
      <c r="E1543" s="6"/>
      <c r="G1543" s="1"/>
      <c r="H1543" s="2"/>
    </row>
    <row r="1544" spans="1:8" x14ac:dyDescent="0.25">
      <c r="A1544" s="5"/>
      <c r="B1544" s="6"/>
      <c r="C1544" s="6"/>
      <c r="D1544" s="6"/>
      <c r="E1544" s="6"/>
      <c r="G1544" s="3"/>
      <c r="H1544" s="2"/>
    </row>
    <row r="1545" spans="1:8" x14ac:dyDescent="0.25">
      <c r="A1545" s="5"/>
      <c r="B1545" s="6"/>
      <c r="C1545" s="6"/>
      <c r="D1545" s="6"/>
      <c r="E1545" s="6"/>
      <c r="G1545" s="1"/>
      <c r="H1545" s="2"/>
    </row>
    <row r="1546" spans="1:8" x14ac:dyDescent="0.25">
      <c r="A1546" s="5"/>
      <c r="B1546" s="6"/>
      <c r="C1546" s="6"/>
      <c r="D1546" s="6"/>
      <c r="E1546" s="6"/>
      <c r="G1546" s="3"/>
      <c r="H1546" s="2"/>
    </row>
    <row r="1547" spans="1:8" x14ac:dyDescent="0.25">
      <c r="A1547" s="5"/>
      <c r="B1547" s="6"/>
      <c r="C1547" s="6"/>
      <c r="D1547" s="6"/>
      <c r="E1547" s="6"/>
      <c r="G1547" s="1"/>
      <c r="H1547" s="2"/>
    </row>
    <row r="1548" spans="1:8" x14ac:dyDescent="0.25">
      <c r="A1548" s="5"/>
      <c r="B1548" s="6"/>
      <c r="C1548" s="6"/>
      <c r="D1548" s="6"/>
      <c r="E1548" s="6"/>
      <c r="G1548" s="3"/>
      <c r="H1548" s="2"/>
    </row>
    <row r="1549" spans="1:8" x14ac:dyDescent="0.25">
      <c r="A1549" s="5"/>
      <c r="B1549" s="6"/>
      <c r="C1549" s="6"/>
      <c r="D1549" s="6"/>
      <c r="E1549" s="6"/>
      <c r="G1549" s="1"/>
      <c r="H1549" s="2"/>
    </row>
    <row r="1550" spans="1:8" x14ac:dyDescent="0.25">
      <c r="A1550" s="5"/>
      <c r="B1550" s="6"/>
      <c r="C1550" s="6"/>
      <c r="D1550" s="6"/>
      <c r="E1550" s="6"/>
      <c r="G1550" s="3"/>
      <c r="H1550" s="2"/>
    </row>
    <row r="1551" spans="1:8" x14ac:dyDescent="0.25">
      <c r="A1551" s="5"/>
      <c r="B1551" s="6"/>
      <c r="C1551" s="6"/>
      <c r="D1551" s="6"/>
      <c r="E1551" s="6"/>
      <c r="G1551" s="1"/>
      <c r="H1551" s="2"/>
    </row>
    <row r="1552" spans="1:8" x14ac:dyDescent="0.25">
      <c r="A1552" s="5"/>
      <c r="B1552" s="6"/>
      <c r="C1552" s="6"/>
      <c r="D1552" s="6"/>
      <c r="E1552" s="6"/>
      <c r="G1552" s="3"/>
      <c r="H1552" s="2"/>
    </row>
    <row r="1553" spans="1:8" x14ac:dyDescent="0.25">
      <c r="A1553" s="5"/>
      <c r="B1553" s="6"/>
      <c r="C1553" s="6"/>
      <c r="D1553" s="6"/>
      <c r="E1553" s="6"/>
      <c r="G1553" s="1"/>
      <c r="H1553" s="2"/>
    </row>
    <row r="1554" spans="1:8" x14ac:dyDescent="0.25">
      <c r="A1554" s="5"/>
      <c r="B1554" s="6"/>
      <c r="C1554" s="6"/>
      <c r="D1554" s="6"/>
      <c r="E1554" s="6"/>
      <c r="G1554" s="3"/>
      <c r="H1554" s="2"/>
    </row>
    <row r="1555" spans="1:8" x14ac:dyDescent="0.25">
      <c r="A1555" s="5"/>
      <c r="B1555" s="6"/>
      <c r="C1555" s="6"/>
      <c r="D1555" s="6"/>
      <c r="E1555" s="6"/>
      <c r="G1555" s="1"/>
      <c r="H1555" s="2"/>
    </row>
    <row r="1556" spans="1:8" x14ac:dyDescent="0.25">
      <c r="A1556" s="5"/>
      <c r="B1556" s="6"/>
      <c r="C1556" s="6"/>
      <c r="D1556" s="6"/>
      <c r="E1556" s="6"/>
      <c r="G1556" s="3"/>
      <c r="H1556" s="2"/>
    </row>
    <row r="1557" spans="1:8" x14ac:dyDescent="0.25">
      <c r="A1557" s="5"/>
      <c r="B1557" s="6"/>
      <c r="C1557" s="6"/>
      <c r="D1557" s="6"/>
      <c r="E1557" s="6"/>
      <c r="G1557" s="1"/>
      <c r="H1557" s="2"/>
    </row>
    <row r="1558" spans="1:8" x14ac:dyDescent="0.25">
      <c r="A1558" s="5"/>
      <c r="B1558" s="6"/>
      <c r="C1558" s="6"/>
      <c r="D1558" s="6"/>
      <c r="E1558" s="6"/>
      <c r="G1558" s="3"/>
      <c r="H1558" s="2"/>
    </row>
    <row r="1559" spans="1:8" x14ac:dyDescent="0.25">
      <c r="A1559" s="5"/>
      <c r="B1559" s="6"/>
      <c r="C1559" s="6"/>
      <c r="D1559" s="6"/>
      <c r="E1559" s="6"/>
      <c r="G1559" s="1"/>
      <c r="H1559" s="2"/>
    </row>
    <row r="1560" spans="1:8" x14ac:dyDescent="0.25">
      <c r="A1560" s="5"/>
      <c r="B1560" s="6"/>
      <c r="C1560" s="6"/>
      <c r="D1560" s="6"/>
      <c r="E1560" s="6"/>
      <c r="G1560" s="3"/>
      <c r="H1560" s="2"/>
    </row>
    <row r="1561" spans="1:8" x14ac:dyDescent="0.25">
      <c r="A1561" s="5"/>
      <c r="B1561" s="6"/>
      <c r="C1561" s="6"/>
      <c r="D1561" s="6"/>
      <c r="E1561" s="6"/>
      <c r="G1561" s="1"/>
      <c r="H1561" s="2"/>
    </row>
    <row r="1562" spans="1:8" x14ac:dyDescent="0.25">
      <c r="A1562" s="5"/>
      <c r="B1562" s="6"/>
      <c r="C1562" s="6"/>
      <c r="D1562" s="6"/>
      <c r="E1562" s="6"/>
      <c r="G1562" s="3"/>
      <c r="H1562" s="2"/>
    </row>
    <row r="1563" spans="1:8" x14ac:dyDescent="0.25">
      <c r="A1563" s="5"/>
      <c r="B1563" s="6"/>
      <c r="C1563" s="6"/>
      <c r="D1563" s="6"/>
      <c r="E1563" s="6"/>
      <c r="G1563" s="1"/>
      <c r="H1563" s="2"/>
    </row>
    <row r="1564" spans="1:8" x14ac:dyDescent="0.25">
      <c r="A1564" s="5"/>
      <c r="B1564" s="6"/>
      <c r="C1564" s="6"/>
      <c r="D1564" s="6"/>
      <c r="E1564" s="6"/>
      <c r="G1564" s="3"/>
      <c r="H1564" s="2"/>
    </row>
    <row r="1565" spans="1:8" x14ac:dyDescent="0.25">
      <c r="A1565" s="5"/>
      <c r="B1565" s="6"/>
      <c r="C1565" s="6"/>
      <c r="D1565" s="6"/>
      <c r="E1565" s="6"/>
      <c r="G1565" s="1"/>
      <c r="H1565" s="2"/>
    </row>
    <row r="1566" spans="1:8" x14ac:dyDescent="0.25">
      <c r="A1566" s="5"/>
      <c r="B1566" s="6"/>
      <c r="C1566" s="6"/>
      <c r="D1566" s="6"/>
      <c r="E1566" s="6"/>
      <c r="G1566" s="3"/>
      <c r="H1566" s="2"/>
    </row>
    <row r="1567" spans="1:8" x14ac:dyDescent="0.25">
      <c r="A1567" s="5"/>
      <c r="B1567" s="6"/>
      <c r="C1567" s="6"/>
      <c r="D1567" s="6"/>
      <c r="E1567" s="6"/>
      <c r="G1567" s="1"/>
      <c r="H1567" s="2"/>
    </row>
    <row r="1568" spans="1:8" x14ac:dyDescent="0.25">
      <c r="A1568" s="5"/>
      <c r="B1568" s="6"/>
      <c r="C1568" s="6"/>
      <c r="D1568" s="6"/>
      <c r="E1568" s="6"/>
      <c r="G1568" s="3"/>
      <c r="H1568" s="2"/>
    </row>
    <row r="1569" spans="1:8" x14ac:dyDescent="0.25">
      <c r="A1569" s="5"/>
      <c r="B1569" s="6"/>
      <c r="C1569" s="6"/>
      <c r="D1569" s="6"/>
      <c r="E1569" s="6"/>
      <c r="G1569" s="1"/>
      <c r="H1569" s="2"/>
    </row>
    <row r="1570" spans="1:8" x14ac:dyDescent="0.25">
      <c r="A1570" s="5"/>
      <c r="B1570" s="6"/>
      <c r="C1570" s="6"/>
      <c r="D1570" s="6"/>
      <c r="E1570" s="6"/>
      <c r="G1570" s="3"/>
      <c r="H1570" s="2"/>
    </row>
    <row r="1571" spans="1:8" x14ac:dyDescent="0.25">
      <c r="A1571" s="5"/>
      <c r="B1571" s="6"/>
      <c r="C1571" s="6"/>
      <c r="D1571" s="6"/>
      <c r="E1571" s="6"/>
      <c r="G1571" s="1"/>
      <c r="H1571" s="2"/>
    </row>
    <row r="1572" spans="1:8" x14ac:dyDescent="0.25">
      <c r="A1572" s="5"/>
      <c r="B1572" s="6"/>
      <c r="C1572" s="6"/>
      <c r="D1572" s="6"/>
      <c r="E1572" s="6"/>
      <c r="G1572" s="3"/>
      <c r="H1572" s="2"/>
    </row>
    <row r="1573" spans="1:8" x14ac:dyDescent="0.25">
      <c r="A1573" s="5"/>
      <c r="B1573" s="6"/>
      <c r="C1573" s="6"/>
      <c r="D1573" s="6"/>
      <c r="E1573" s="6"/>
      <c r="G1573" s="1"/>
      <c r="H1573" s="2"/>
    </row>
    <row r="1574" spans="1:8" x14ac:dyDescent="0.25">
      <c r="A1574" s="5"/>
      <c r="B1574" s="6"/>
      <c r="C1574" s="6"/>
      <c r="D1574" s="6"/>
      <c r="E1574" s="6"/>
      <c r="G1574" s="3"/>
      <c r="H1574" s="2"/>
    </row>
    <row r="1575" spans="1:8" x14ac:dyDescent="0.25">
      <c r="A1575" s="5"/>
      <c r="B1575" s="6"/>
      <c r="C1575" s="6"/>
      <c r="D1575" s="6"/>
      <c r="E1575" s="6"/>
      <c r="G1575" s="1"/>
      <c r="H1575" s="2"/>
    </row>
    <row r="1576" spans="1:8" x14ac:dyDescent="0.25">
      <c r="A1576" s="5"/>
      <c r="B1576" s="6"/>
      <c r="C1576" s="6"/>
      <c r="D1576" s="6"/>
      <c r="E1576" s="6"/>
      <c r="G1576" s="3"/>
      <c r="H1576" s="2"/>
    </row>
    <row r="1577" spans="1:8" x14ac:dyDescent="0.25">
      <c r="A1577" s="5"/>
      <c r="B1577" s="6"/>
      <c r="C1577" s="6"/>
      <c r="D1577" s="6"/>
      <c r="E1577" s="6"/>
      <c r="G1577" s="1"/>
      <c r="H1577" s="2"/>
    </row>
    <row r="1578" spans="1:8" x14ac:dyDescent="0.25">
      <c r="A1578" s="5"/>
      <c r="B1578" s="6"/>
      <c r="C1578" s="6"/>
      <c r="D1578" s="6"/>
      <c r="E1578" s="6"/>
      <c r="G1578" s="3"/>
      <c r="H1578" s="2"/>
    </row>
    <row r="1579" spans="1:8" x14ac:dyDescent="0.25">
      <c r="A1579" s="5"/>
      <c r="B1579" s="6"/>
      <c r="C1579" s="6"/>
      <c r="D1579" s="6"/>
      <c r="E1579" s="6"/>
      <c r="G1579" s="1"/>
      <c r="H1579" s="2"/>
    </row>
    <row r="1580" spans="1:8" x14ac:dyDescent="0.25">
      <c r="A1580" s="5"/>
      <c r="B1580" s="6"/>
      <c r="C1580" s="6"/>
      <c r="D1580" s="6"/>
      <c r="E1580" s="6"/>
      <c r="G1580" s="3"/>
      <c r="H1580" s="2"/>
    </row>
    <row r="1581" spans="1:8" x14ac:dyDescent="0.25">
      <c r="A1581" s="5"/>
      <c r="B1581" s="6"/>
      <c r="C1581" s="6"/>
      <c r="D1581" s="6"/>
      <c r="E1581" s="6"/>
      <c r="G1581" s="1"/>
      <c r="H1581" s="2"/>
    </row>
    <row r="1582" spans="1:8" x14ac:dyDescent="0.25">
      <c r="A1582" s="5"/>
      <c r="B1582" s="6"/>
      <c r="C1582" s="6"/>
      <c r="D1582" s="6"/>
      <c r="E1582" s="6"/>
      <c r="G1582" s="3"/>
      <c r="H1582" s="2"/>
    </row>
    <row r="1583" spans="1:8" x14ac:dyDescent="0.25">
      <c r="A1583" s="5"/>
      <c r="B1583" s="6"/>
      <c r="C1583" s="6"/>
      <c r="D1583" s="6"/>
      <c r="E1583" s="6"/>
      <c r="G1583" s="1"/>
      <c r="H1583" s="2"/>
    </row>
    <row r="1584" spans="1:8" x14ac:dyDescent="0.25">
      <c r="A1584" s="5"/>
      <c r="B1584" s="6"/>
      <c r="C1584" s="6"/>
      <c r="D1584" s="6"/>
      <c r="E1584" s="6"/>
      <c r="G1584" s="3"/>
      <c r="H1584" s="2"/>
    </row>
    <row r="1585" spans="1:8" x14ac:dyDescent="0.25">
      <c r="A1585" s="5"/>
      <c r="B1585" s="6"/>
      <c r="C1585" s="6"/>
      <c r="D1585" s="6"/>
      <c r="E1585" s="6"/>
      <c r="G1585" s="1"/>
      <c r="H1585" s="2"/>
    </row>
    <row r="1586" spans="1:8" x14ac:dyDescent="0.25">
      <c r="A1586" s="5"/>
      <c r="B1586" s="6"/>
      <c r="C1586" s="6"/>
      <c r="D1586" s="6"/>
      <c r="E1586" s="6"/>
      <c r="G1586" s="3"/>
      <c r="H1586" s="2"/>
    </row>
    <row r="1587" spans="1:8" x14ac:dyDescent="0.25">
      <c r="A1587" s="5"/>
      <c r="B1587" s="6"/>
      <c r="C1587" s="6"/>
      <c r="D1587" s="6"/>
      <c r="E1587" s="6"/>
      <c r="G1587" s="1"/>
      <c r="H1587" s="2"/>
    </row>
    <row r="1588" spans="1:8" x14ac:dyDescent="0.25">
      <c r="A1588" s="5"/>
      <c r="B1588" s="6"/>
      <c r="C1588" s="6"/>
      <c r="D1588" s="6"/>
      <c r="E1588" s="6"/>
      <c r="G1588" s="3"/>
      <c r="H1588" s="2"/>
    </row>
    <row r="1589" spans="1:8" x14ac:dyDescent="0.25">
      <c r="A1589" s="5"/>
      <c r="B1589" s="6"/>
      <c r="C1589" s="6"/>
      <c r="D1589" s="6"/>
      <c r="E1589" s="6"/>
      <c r="G1589" s="1"/>
      <c r="H1589" s="2"/>
    </row>
    <row r="1590" spans="1:8" x14ac:dyDescent="0.25">
      <c r="A1590" s="5"/>
      <c r="B1590" s="6"/>
      <c r="C1590" s="6"/>
      <c r="D1590" s="6"/>
      <c r="E1590" s="6"/>
      <c r="G1590" s="3"/>
      <c r="H1590" s="2"/>
    </row>
    <row r="1591" spans="1:8" x14ac:dyDescent="0.25">
      <c r="A1591" s="5"/>
      <c r="B1591" s="6"/>
      <c r="C1591" s="6"/>
      <c r="D1591" s="6"/>
      <c r="E1591" s="6"/>
      <c r="G1591" s="1"/>
      <c r="H1591" s="2"/>
    </row>
    <row r="1592" spans="1:8" x14ac:dyDescent="0.25">
      <c r="A1592" s="5"/>
      <c r="B1592" s="6"/>
      <c r="C1592" s="6"/>
      <c r="D1592" s="6"/>
      <c r="E1592" s="6"/>
      <c r="G1592" s="3"/>
      <c r="H1592" s="2"/>
    </row>
    <row r="1593" spans="1:8" x14ac:dyDescent="0.25">
      <c r="A1593" s="5"/>
      <c r="B1593" s="6"/>
      <c r="C1593" s="6"/>
      <c r="D1593" s="6"/>
      <c r="E1593" s="6"/>
      <c r="G1593" s="1"/>
      <c r="H1593" s="2"/>
    </row>
    <row r="1594" spans="1:8" x14ac:dyDescent="0.25">
      <c r="A1594" s="5"/>
      <c r="B1594" s="6"/>
      <c r="C1594" s="6"/>
      <c r="D1594" s="6"/>
      <c r="E1594" s="6"/>
      <c r="G1594" s="3"/>
      <c r="H1594" s="2"/>
    </row>
    <row r="1595" spans="1:8" x14ac:dyDescent="0.25">
      <c r="A1595" s="5"/>
      <c r="B1595" s="6"/>
      <c r="C1595" s="6"/>
      <c r="D1595" s="6"/>
      <c r="E1595" s="6"/>
      <c r="G1595" s="1"/>
      <c r="H1595" s="2"/>
    </row>
    <row r="1596" spans="1:8" x14ac:dyDescent="0.25">
      <c r="A1596" s="5"/>
      <c r="B1596" s="6"/>
      <c r="C1596" s="6"/>
      <c r="D1596" s="6"/>
      <c r="E1596" s="6"/>
      <c r="G1596" s="3"/>
      <c r="H1596" s="2"/>
    </row>
    <row r="1597" spans="1:8" x14ac:dyDescent="0.25">
      <c r="A1597" s="5"/>
      <c r="B1597" s="6"/>
      <c r="C1597" s="6"/>
      <c r="D1597" s="6"/>
      <c r="E1597" s="6"/>
      <c r="G1597" s="1"/>
      <c r="H1597" s="2"/>
    </row>
    <row r="1598" spans="1:8" x14ac:dyDescent="0.25">
      <c r="A1598" s="5"/>
      <c r="B1598" s="6"/>
      <c r="C1598" s="6"/>
      <c r="D1598" s="6"/>
      <c r="E1598" s="6"/>
      <c r="G1598" s="3"/>
      <c r="H1598" s="2"/>
    </row>
    <row r="1599" spans="1:8" x14ac:dyDescent="0.25">
      <c r="A1599" s="5"/>
      <c r="B1599" s="6"/>
      <c r="C1599" s="6"/>
      <c r="D1599" s="6"/>
      <c r="E1599" s="6"/>
      <c r="G1599" s="1"/>
      <c r="H1599" s="2"/>
    </row>
    <row r="1600" spans="1:8" x14ac:dyDescent="0.25">
      <c r="A1600" s="5"/>
      <c r="B1600" s="6"/>
      <c r="C1600" s="6"/>
      <c r="D1600" s="6"/>
      <c r="E1600" s="6"/>
      <c r="G1600" s="3"/>
      <c r="H1600" s="2"/>
    </row>
    <row r="1601" spans="1:8" x14ac:dyDescent="0.25">
      <c r="A1601" s="5"/>
      <c r="B1601" s="6"/>
      <c r="C1601" s="6"/>
      <c r="D1601" s="6"/>
      <c r="E1601" s="6"/>
      <c r="G1601" s="1"/>
      <c r="H1601" s="2"/>
    </row>
    <row r="1602" spans="1:8" x14ac:dyDescent="0.25">
      <c r="A1602" s="5"/>
      <c r="B1602" s="6"/>
      <c r="C1602" s="6"/>
      <c r="D1602" s="6"/>
      <c r="E1602" s="6"/>
      <c r="G1602" s="3"/>
      <c r="H1602" s="2"/>
    </row>
    <row r="1603" spans="1:8" x14ac:dyDescent="0.25">
      <c r="A1603" s="5"/>
      <c r="B1603" s="6"/>
      <c r="C1603" s="6"/>
      <c r="D1603" s="6"/>
      <c r="E1603" s="6"/>
      <c r="G1603" s="1"/>
      <c r="H1603" s="2"/>
    </row>
    <row r="1604" spans="1:8" x14ac:dyDescent="0.25">
      <c r="A1604" s="5"/>
      <c r="B1604" s="6"/>
      <c r="C1604" s="6"/>
      <c r="D1604" s="6"/>
      <c r="E1604" s="6"/>
      <c r="G1604" s="3"/>
      <c r="H1604" s="2"/>
    </row>
    <row r="1605" spans="1:8" x14ac:dyDescent="0.25">
      <c r="A1605" s="5"/>
      <c r="B1605" s="6"/>
      <c r="C1605" s="6"/>
      <c r="D1605" s="6"/>
      <c r="E1605" s="6"/>
      <c r="G1605" s="1"/>
      <c r="H1605" s="2"/>
    </row>
    <row r="1606" spans="1:8" x14ac:dyDescent="0.25">
      <c r="A1606" s="5"/>
      <c r="B1606" s="6"/>
      <c r="C1606" s="6"/>
      <c r="D1606" s="6"/>
      <c r="E1606" s="6"/>
      <c r="G1606" s="3"/>
      <c r="H1606" s="2"/>
    </row>
    <row r="1607" spans="1:8" x14ac:dyDescent="0.25">
      <c r="A1607" s="5"/>
      <c r="B1607" s="6"/>
      <c r="C1607" s="6"/>
      <c r="D1607" s="6"/>
      <c r="E1607" s="6"/>
      <c r="G1607" s="1"/>
      <c r="H1607" s="2"/>
    </row>
    <row r="1608" spans="1:8" x14ac:dyDescent="0.25">
      <c r="A1608" s="5"/>
      <c r="B1608" s="6"/>
      <c r="C1608" s="6"/>
      <c r="D1608" s="6"/>
      <c r="E1608" s="6"/>
      <c r="G1608" s="3"/>
      <c r="H1608" s="2"/>
    </row>
    <row r="1609" spans="1:8" x14ac:dyDescent="0.25">
      <c r="A1609" s="5"/>
      <c r="B1609" s="6"/>
      <c r="C1609" s="6"/>
      <c r="D1609" s="6"/>
      <c r="E1609" s="6"/>
      <c r="G1609" s="1"/>
      <c r="H1609" s="2"/>
    </row>
    <row r="1610" spans="1:8" x14ac:dyDescent="0.25">
      <c r="A1610" s="5"/>
      <c r="B1610" s="6"/>
      <c r="C1610" s="6"/>
      <c r="D1610" s="6"/>
      <c r="E1610" s="6"/>
      <c r="G1610" s="3"/>
      <c r="H1610" s="2"/>
    </row>
    <row r="1611" spans="1:8" x14ac:dyDescent="0.25">
      <c r="A1611" s="5"/>
      <c r="B1611" s="6"/>
      <c r="C1611" s="6"/>
      <c r="D1611" s="6"/>
      <c r="E1611" s="6"/>
      <c r="G1611" s="1"/>
      <c r="H1611" s="2"/>
    </row>
    <row r="1612" spans="1:8" x14ac:dyDescent="0.25">
      <c r="A1612" s="5"/>
      <c r="B1612" s="6"/>
      <c r="C1612" s="6"/>
      <c r="D1612" s="6"/>
      <c r="E1612" s="6"/>
      <c r="G1612" s="3"/>
      <c r="H1612" s="2"/>
    </row>
    <row r="1613" spans="1:8" x14ac:dyDescent="0.25">
      <c r="A1613" s="5"/>
      <c r="B1613" s="6"/>
      <c r="C1613" s="6"/>
      <c r="D1613" s="6"/>
      <c r="E1613" s="6"/>
      <c r="G1613" s="1"/>
      <c r="H1613" s="2"/>
    </row>
    <row r="1614" spans="1:8" x14ac:dyDescent="0.25">
      <c r="A1614" s="5"/>
      <c r="B1614" s="6"/>
      <c r="C1614" s="6"/>
      <c r="D1614" s="6"/>
      <c r="E1614" s="6"/>
      <c r="G1614" s="3"/>
      <c r="H1614" s="2"/>
    </row>
    <row r="1615" spans="1:8" x14ac:dyDescent="0.25">
      <c r="A1615" s="5"/>
      <c r="B1615" s="6"/>
      <c r="C1615" s="6"/>
      <c r="D1615" s="6"/>
      <c r="E1615" s="6"/>
      <c r="G1615" s="1"/>
      <c r="H1615" s="2"/>
    </row>
    <row r="1616" spans="1:8" x14ac:dyDescent="0.25">
      <c r="A1616" s="5"/>
      <c r="B1616" s="6"/>
      <c r="C1616" s="6"/>
      <c r="D1616" s="6"/>
      <c r="E1616" s="6"/>
      <c r="G1616" s="3"/>
      <c r="H1616" s="2"/>
    </row>
    <row r="1617" spans="1:8" x14ac:dyDescent="0.25">
      <c r="A1617" s="5"/>
      <c r="B1617" s="6"/>
      <c r="C1617" s="6"/>
      <c r="D1617" s="6"/>
      <c r="E1617" s="6"/>
      <c r="G1617" s="1"/>
      <c r="H1617" s="2"/>
    </row>
    <row r="1618" spans="1:8" x14ac:dyDescent="0.25">
      <c r="A1618" s="5"/>
      <c r="B1618" s="6"/>
      <c r="C1618" s="6"/>
      <c r="D1618" s="6"/>
      <c r="E1618" s="6"/>
      <c r="G1618" s="3"/>
      <c r="H1618" s="2"/>
    </row>
    <row r="1619" spans="1:8" x14ac:dyDescent="0.25">
      <c r="A1619" s="5"/>
      <c r="B1619" s="6"/>
      <c r="C1619" s="6"/>
      <c r="D1619" s="6"/>
      <c r="E1619" s="6"/>
      <c r="G1619" s="1"/>
      <c r="H1619" s="2"/>
    </row>
    <row r="1620" spans="1:8" x14ac:dyDescent="0.25">
      <c r="A1620" s="5"/>
      <c r="B1620" s="6"/>
      <c r="C1620" s="6"/>
      <c r="D1620" s="6"/>
      <c r="E1620" s="6"/>
      <c r="G1620" s="3"/>
      <c r="H1620" s="2"/>
    </row>
    <row r="1621" spans="1:8" x14ac:dyDescent="0.25">
      <c r="A1621" s="5"/>
      <c r="B1621" s="6"/>
      <c r="C1621" s="6"/>
      <c r="D1621" s="6"/>
      <c r="E1621" s="6"/>
      <c r="G1621" s="1"/>
      <c r="H1621" s="2"/>
    </row>
    <row r="1622" spans="1:8" x14ac:dyDescent="0.25">
      <c r="A1622" s="5"/>
      <c r="B1622" s="6"/>
      <c r="C1622" s="6"/>
      <c r="D1622" s="6"/>
      <c r="E1622" s="6"/>
      <c r="G1622" s="3"/>
      <c r="H1622" s="2"/>
    </row>
    <row r="1623" spans="1:8" x14ac:dyDescent="0.25">
      <c r="A1623" s="5"/>
      <c r="B1623" s="6"/>
      <c r="C1623" s="6"/>
      <c r="D1623" s="6"/>
      <c r="E1623" s="6"/>
      <c r="G1623" s="1"/>
      <c r="H1623" s="2"/>
    </row>
    <row r="1624" spans="1:8" x14ac:dyDescent="0.25">
      <c r="A1624" s="5"/>
      <c r="B1624" s="6"/>
      <c r="C1624" s="6"/>
      <c r="D1624" s="6"/>
      <c r="E1624" s="6"/>
      <c r="G1624" s="3"/>
      <c r="H1624" s="2"/>
    </row>
    <row r="1625" spans="1:8" x14ac:dyDescent="0.25">
      <c r="A1625" s="5"/>
      <c r="B1625" s="6"/>
      <c r="C1625" s="6"/>
      <c r="D1625" s="6"/>
      <c r="E1625" s="6"/>
      <c r="G1625" s="1"/>
      <c r="H1625" s="2"/>
    </row>
    <row r="1626" spans="1:8" x14ac:dyDescent="0.25">
      <c r="A1626" s="5"/>
      <c r="B1626" s="6"/>
      <c r="C1626" s="6"/>
      <c r="D1626" s="6"/>
      <c r="E1626" s="6"/>
      <c r="G1626" s="3"/>
      <c r="H1626" s="2"/>
    </row>
    <row r="1627" spans="1:8" x14ac:dyDescent="0.25">
      <c r="A1627" s="5"/>
      <c r="B1627" s="6"/>
      <c r="C1627" s="6"/>
      <c r="D1627" s="6"/>
      <c r="E1627" s="6"/>
      <c r="G1627" s="1"/>
      <c r="H1627" s="2"/>
    </row>
    <row r="1628" spans="1:8" x14ac:dyDescent="0.25">
      <c r="A1628" s="5"/>
      <c r="B1628" s="6"/>
      <c r="C1628" s="6"/>
      <c r="D1628" s="6"/>
      <c r="E1628" s="6"/>
      <c r="G1628" s="3"/>
      <c r="H1628" s="2"/>
    </row>
    <row r="1629" spans="1:8" x14ac:dyDescent="0.25">
      <c r="A1629" s="5"/>
      <c r="B1629" s="6"/>
      <c r="C1629" s="6"/>
      <c r="D1629" s="6"/>
      <c r="E1629" s="6"/>
      <c r="G1629" s="1"/>
      <c r="H1629" s="2"/>
    </row>
    <row r="1630" spans="1:8" x14ac:dyDescent="0.25">
      <c r="A1630" s="5"/>
      <c r="B1630" s="6"/>
      <c r="C1630" s="6"/>
      <c r="D1630" s="6"/>
      <c r="E1630" s="6"/>
      <c r="G1630" s="3"/>
      <c r="H1630" s="2"/>
    </row>
    <row r="1631" spans="1:8" x14ac:dyDescent="0.25">
      <c r="A1631" s="5"/>
      <c r="B1631" s="6"/>
      <c r="C1631" s="6"/>
      <c r="D1631" s="6"/>
      <c r="E1631" s="6"/>
      <c r="G1631" s="1"/>
      <c r="H1631" s="2"/>
    </row>
    <row r="1632" spans="1:8" x14ac:dyDescent="0.25">
      <c r="A1632" s="5"/>
      <c r="B1632" s="6"/>
      <c r="C1632" s="6"/>
      <c r="D1632" s="6"/>
      <c r="E1632" s="6"/>
      <c r="G1632" s="3"/>
      <c r="H1632" s="2"/>
    </row>
    <row r="1633" spans="1:8" x14ac:dyDescent="0.25">
      <c r="A1633" s="5"/>
      <c r="B1633" s="6"/>
      <c r="C1633" s="6"/>
      <c r="D1633" s="6"/>
      <c r="E1633" s="6"/>
      <c r="G1633" s="1"/>
      <c r="H1633" s="2"/>
    </row>
    <row r="1634" spans="1:8" x14ac:dyDescent="0.25">
      <c r="A1634" s="5"/>
      <c r="B1634" s="6"/>
      <c r="C1634" s="6"/>
      <c r="D1634" s="6"/>
      <c r="E1634" s="6"/>
      <c r="G1634" s="3"/>
      <c r="H1634" s="2"/>
    </row>
    <row r="1635" spans="1:8" x14ac:dyDescent="0.25">
      <c r="A1635" s="5"/>
      <c r="B1635" s="6"/>
      <c r="C1635" s="6"/>
      <c r="D1635" s="6"/>
      <c r="E1635" s="6"/>
      <c r="G1635" s="1"/>
      <c r="H1635" s="2"/>
    </row>
    <row r="1636" spans="1:8" x14ac:dyDescent="0.25">
      <c r="A1636" s="5"/>
      <c r="B1636" s="6"/>
      <c r="C1636" s="6"/>
      <c r="D1636" s="6"/>
      <c r="E1636" s="6"/>
      <c r="G1636" s="3"/>
      <c r="H1636" s="2"/>
    </row>
    <row r="1637" spans="1:8" x14ac:dyDescent="0.25">
      <c r="A1637" s="5"/>
      <c r="B1637" s="6"/>
      <c r="C1637" s="6"/>
      <c r="D1637" s="6"/>
      <c r="E1637" s="6"/>
      <c r="G1637" s="1"/>
      <c r="H1637" s="2"/>
    </row>
    <row r="1638" spans="1:8" x14ac:dyDescent="0.25">
      <c r="A1638" s="5"/>
      <c r="B1638" s="6"/>
      <c r="C1638" s="6"/>
      <c r="D1638" s="6"/>
      <c r="E1638" s="6"/>
      <c r="G1638" s="3"/>
      <c r="H1638" s="2"/>
    </row>
    <row r="1639" spans="1:8" x14ac:dyDescent="0.25">
      <c r="A1639" s="5"/>
      <c r="B1639" s="6"/>
      <c r="C1639" s="6"/>
      <c r="D1639" s="6"/>
      <c r="E1639" s="6"/>
      <c r="G1639" s="1"/>
      <c r="H1639" s="2"/>
    </row>
    <row r="1640" spans="1:8" x14ac:dyDescent="0.25">
      <c r="A1640" s="5"/>
      <c r="B1640" s="6"/>
      <c r="C1640" s="6"/>
      <c r="D1640" s="6"/>
      <c r="E1640" s="6"/>
      <c r="G1640" s="3"/>
      <c r="H1640" s="2"/>
    </row>
    <row r="1641" spans="1:8" x14ac:dyDescent="0.25">
      <c r="A1641" s="5"/>
      <c r="B1641" s="6"/>
      <c r="C1641" s="6"/>
      <c r="D1641" s="6"/>
      <c r="E1641" s="6"/>
      <c r="G1641" s="1"/>
      <c r="H1641" s="2"/>
    </row>
    <row r="1642" spans="1:8" x14ac:dyDescent="0.25">
      <c r="A1642" s="5"/>
      <c r="B1642" s="6"/>
      <c r="C1642" s="6"/>
      <c r="D1642" s="6"/>
      <c r="E1642" s="6"/>
      <c r="G1642" s="3"/>
      <c r="H1642" s="2"/>
    </row>
    <row r="1643" spans="1:8" x14ac:dyDescent="0.25">
      <c r="A1643" s="5"/>
      <c r="B1643" s="6"/>
      <c r="C1643" s="6"/>
      <c r="D1643" s="6"/>
      <c r="E1643" s="6"/>
      <c r="G1643" s="1"/>
      <c r="H1643" s="2"/>
    </row>
    <row r="1644" spans="1:8" x14ac:dyDescent="0.25">
      <c r="A1644" s="5"/>
      <c r="B1644" s="6"/>
      <c r="C1644" s="6"/>
      <c r="D1644" s="6"/>
      <c r="E1644" s="6"/>
      <c r="G1644" s="3"/>
      <c r="H1644" s="2"/>
    </row>
    <row r="1645" spans="1:8" x14ac:dyDescent="0.25">
      <c r="A1645" s="5"/>
      <c r="B1645" s="6"/>
      <c r="C1645" s="6"/>
      <c r="D1645" s="6"/>
      <c r="E1645" s="6"/>
      <c r="G1645" s="1"/>
      <c r="H1645" s="2"/>
    </row>
    <row r="1646" spans="1:8" x14ac:dyDescent="0.25">
      <c r="A1646" s="5"/>
      <c r="B1646" s="6"/>
      <c r="C1646" s="6"/>
      <c r="D1646" s="6"/>
      <c r="E1646" s="6"/>
      <c r="G1646" s="3"/>
      <c r="H1646" s="2"/>
    </row>
    <row r="1647" spans="1:8" x14ac:dyDescent="0.25">
      <c r="A1647" s="5"/>
      <c r="B1647" s="6"/>
      <c r="C1647" s="6"/>
      <c r="D1647" s="6"/>
      <c r="E1647" s="6"/>
      <c r="G1647" s="1"/>
      <c r="H1647" s="2"/>
    </row>
    <row r="1648" spans="1:8" x14ac:dyDescent="0.25">
      <c r="A1648" s="5"/>
      <c r="B1648" s="6"/>
      <c r="C1648" s="6"/>
      <c r="D1648" s="6"/>
      <c r="E1648" s="6"/>
      <c r="G1648" s="3"/>
      <c r="H1648" s="2"/>
    </row>
    <row r="1649" spans="1:8" x14ac:dyDescent="0.25">
      <c r="A1649" s="5"/>
      <c r="B1649" s="6"/>
      <c r="C1649" s="6"/>
      <c r="D1649" s="6"/>
      <c r="E1649" s="6"/>
      <c r="G1649" s="1"/>
      <c r="H1649" s="2"/>
    </row>
    <row r="1650" spans="1:8" x14ac:dyDescent="0.25">
      <c r="A1650" s="5"/>
      <c r="B1650" s="6"/>
      <c r="C1650" s="6"/>
      <c r="D1650" s="6"/>
      <c r="E1650" s="6"/>
      <c r="G1650" s="3"/>
      <c r="H1650" s="2"/>
    </row>
    <row r="1651" spans="1:8" x14ac:dyDescent="0.25">
      <c r="A1651" s="5"/>
      <c r="B1651" s="6"/>
      <c r="C1651" s="6"/>
      <c r="D1651" s="6"/>
      <c r="E1651" s="6"/>
      <c r="G1651" s="1"/>
      <c r="H1651" s="2"/>
    </row>
    <row r="1652" spans="1:8" x14ac:dyDescent="0.25">
      <c r="A1652" s="5"/>
      <c r="B1652" s="6"/>
      <c r="C1652" s="6"/>
      <c r="D1652" s="6"/>
      <c r="E1652" s="6"/>
      <c r="G1652" s="3"/>
      <c r="H1652" s="2"/>
    </row>
    <row r="1653" spans="1:8" x14ac:dyDescent="0.25">
      <c r="A1653" s="5"/>
      <c r="B1653" s="6"/>
      <c r="C1653" s="6"/>
      <c r="D1653" s="6"/>
      <c r="E1653" s="6"/>
      <c r="G1653" s="1"/>
      <c r="H1653" s="2"/>
    </row>
    <row r="1654" spans="1:8" x14ac:dyDescent="0.25">
      <c r="A1654" s="5"/>
      <c r="B1654" s="6"/>
      <c r="C1654" s="6"/>
      <c r="D1654" s="6"/>
      <c r="E1654" s="6"/>
      <c r="G1654" s="3"/>
      <c r="H1654" s="2"/>
    </row>
    <row r="1655" spans="1:8" x14ac:dyDescent="0.25">
      <c r="A1655" s="5"/>
      <c r="B1655" s="6"/>
      <c r="C1655" s="6"/>
      <c r="D1655" s="6"/>
      <c r="E1655" s="6"/>
      <c r="G1655" s="1"/>
      <c r="H1655" s="2"/>
    </row>
    <row r="1656" spans="1:8" x14ac:dyDescent="0.25">
      <c r="A1656" s="5"/>
      <c r="B1656" s="6"/>
      <c r="C1656" s="6"/>
      <c r="D1656" s="6"/>
      <c r="E1656" s="6"/>
      <c r="G1656" s="3"/>
      <c r="H1656" s="2"/>
    </row>
    <row r="1657" spans="1:8" x14ac:dyDescent="0.25">
      <c r="A1657" s="5"/>
      <c r="B1657" s="6"/>
      <c r="C1657" s="6"/>
      <c r="D1657" s="6"/>
      <c r="E1657" s="6"/>
      <c r="G1657" s="1"/>
      <c r="H1657" s="2"/>
    </row>
    <row r="1658" spans="1:8" x14ac:dyDescent="0.25">
      <c r="A1658" s="5"/>
      <c r="B1658" s="6"/>
      <c r="C1658" s="6"/>
      <c r="D1658" s="6"/>
      <c r="E1658" s="6"/>
      <c r="G1658" s="3"/>
      <c r="H1658" s="2"/>
    </row>
    <row r="1659" spans="1:8" x14ac:dyDescent="0.25">
      <c r="A1659" s="5"/>
      <c r="B1659" s="6"/>
      <c r="C1659" s="6"/>
      <c r="D1659" s="6"/>
      <c r="E1659" s="6"/>
      <c r="G1659" s="1"/>
      <c r="H1659" s="2"/>
    </row>
    <row r="1660" spans="1:8" x14ac:dyDescent="0.25">
      <c r="A1660" s="5"/>
      <c r="B1660" s="6"/>
      <c r="C1660" s="6"/>
      <c r="D1660" s="6"/>
      <c r="E1660" s="6"/>
      <c r="G1660" s="3"/>
      <c r="H1660" s="2"/>
    </row>
    <row r="1661" spans="1:8" x14ac:dyDescent="0.25">
      <c r="A1661" s="5"/>
      <c r="B1661" s="6"/>
      <c r="C1661" s="6"/>
      <c r="D1661" s="6"/>
      <c r="E1661" s="6"/>
      <c r="G1661" s="1"/>
      <c r="H1661" s="2"/>
    </row>
    <row r="1662" spans="1:8" x14ac:dyDescent="0.25">
      <c r="A1662" s="5"/>
      <c r="B1662" s="6"/>
      <c r="C1662" s="6"/>
      <c r="D1662" s="6"/>
      <c r="E1662" s="6"/>
      <c r="G1662" s="3"/>
      <c r="H1662" s="2"/>
    </row>
    <row r="1663" spans="1:8" x14ac:dyDescent="0.25">
      <c r="A1663" s="5"/>
      <c r="B1663" s="6"/>
      <c r="C1663" s="6"/>
      <c r="D1663" s="6"/>
      <c r="E1663" s="6"/>
      <c r="G1663" s="1"/>
      <c r="H1663" s="2"/>
    </row>
    <row r="1664" spans="1:8" x14ac:dyDescent="0.25">
      <c r="A1664" s="5"/>
      <c r="B1664" s="6"/>
      <c r="C1664" s="6"/>
      <c r="D1664" s="6"/>
      <c r="E1664" s="6"/>
      <c r="G1664" s="3"/>
      <c r="H1664" s="2"/>
    </row>
    <row r="1665" spans="1:8" x14ac:dyDescent="0.25">
      <c r="A1665" s="5"/>
      <c r="B1665" s="6"/>
      <c r="C1665" s="6"/>
      <c r="D1665" s="6"/>
      <c r="E1665" s="6"/>
      <c r="G1665" s="1"/>
      <c r="H1665" s="2"/>
    </row>
    <row r="1666" spans="1:8" x14ac:dyDescent="0.25">
      <c r="A1666" s="5"/>
      <c r="B1666" s="6"/>
      <c r="C1666" s="6"/>
      <c r="D1666" s="6"/>
      <c r="E1666" s="6"/>
      <c r="G1666" s="3"/>
      <c r="H1666" s="2"/>
    </row>
    <row r="1667" spans="1:8" x14ac:dyDescent="0.25">
      <c r="A1667" s="5"/>
      <c r="B1667" s="6"/>
      <c r="C1667" s="6"/>
      <c r="D1667" s="6"/>
      <c r="E1667" s="6"/>
      <c r="G1667" s="1"/>
      <c r="H1667" s="2"/>
    </row>
    <row r="1668" spans="1:8" x14ac:dyDescent="0.25">
      <c r="A1668" s="5"/>
      <c r="B1668" s="6"/>
      <c r="C1668" s="6"/>
      <c r="D1668" s="6"/>
      <c r="E1668" s="6"/>
      <c r="G1668" s="3"/>
      <c r="H1668" s="2"/>
    </row>
    <row r="1669" spans="1:8" x14ac:dyDescent="0.25">
      <c r="A1669" s="5"/>
      <c r="B1669" s="6"/>
      <c r="C1669" s="6"/>
      <c r="D1669" s="6"/>
      <c r="E1669" s="6"/>
      <c r="G1669" s="1"/>
      <c r="H1669" s="2"/>
    </row>
    <row r="1670" spans="1:8" x14ac:dyDescent="0.25">
      <c r="A1670" s="5"/>
      <c r="B1670" s="6"/>
      <c r="C1670" s="6"/>
      <c r="D1670" s="6"/>
      <c r="E1670" s="6"/>
      <c r="G1670" s="3"/>
      <c r="H1670" s="2"/>
    </row>
    <row r="1671" spans="1:8" x14ac:dyDescent="0.25">
      <c r="A1671" s="5"/>
      <c r="B1671" s="6"/>
      <c r="C1671" s="6"/>
      <c r="D1671" s="6"/>
      <c r="E1671" s="6"/>
      <c r="G1671" s="1"/>
      <c r="H1671" s="2"/>
    </row>
    <row r="1672" spans="1:8" x14ac:dyDescent="0.25">
      <c r="A1672" s="5"/>
      <c r="B1672" s="6"/>
      <c r="C1672" s="6"/>
      <c r="D1672" s="6"/>
      <c r="E1672" s="6"/>
      <c r="G1672" s="3"/>
      <c r="H1672" s="2"/>
    </row>
    <row r="1673" spans="1:8" x14ac:dyDescent="0.25">
      <c r="A1673" s="5"/>
      <c r="B1673" s="6"/>
      <c r="C1673" s="6"/>
      <c r="D1673" s="6"/>
      <c r="E1673" s="6"/>
      <c r="G1673" s="1"/>
      <c r="H1673" s="2"/>
    </row>
    <row r="1674" spans="1:8" x14ac:dyDescent="0.25">
      <c r="A1674" s="5"/>
      <c r="B1674" s="6"/>
      <c r="C1674" s="6"/>
      <c r="D1674" s="6"/>
      <c r="E1674" s="6"/>
      <c r="G1674" s="3"/>
      <c r="H1674" s="2"/>
    </row>
    <row r="1675" spans="1:8" x14ac:dyDescent="0.25">
      <c r="A1675" s="5"/>
      <c r="B1675" s="6"/>
      <c r="C1675" s="6"/>
      <c r="D1675" s="6"/>
      <c r="E1675" s="6"/>
      <c r="G1675" s="1"/>
      <c r="H1675" s="2"/>
    </row>
    <row r="1676" spans="1:8" x14ac:dyDescent="0.25">
      <c r="A1676" s="5"/>
      <c r="B1676" s="6"/>
      <c r="C1676" s="6"/>
      <c r="D1676" s="6"/>
      <c r="E1676" s="6"/>
      <c r="G1676" s="3"/>
      <c r="H1676" s="2"/>
    </row>
    <row r="1677" spans="1:8" x14ac:dyDescent="0.25">
      <c r="A1677" s="5"/>
      <c r="B1677" s="6"/>
      <c r="C1677" s="6"/>
      <c r="D1677" s="6"/>
      <c r="E1677" s="6"/>
      <c r="G1677" s="1"/>
      <c r="H1677" s="2"/>
    </row>
    <row r="1678" spans="1:8" x14ac:dyDescent="0.25">
      <c r="A1678" s="5"/>
      <c r="B1678" s="6"/>
      <c r="C1678" s="6"/>
      <c r="D1678" s="6"/>
      <c r="E1678" s="6"/>
      <c r="G1678" s="3"/>
      <c r="H1678" s="2"/>
    </row>
    <row r="1679" spans="1:8" x14ac:dyDescent="0.25">
      <c r="A1679" s="5"/>
      <c r="B1679" s="6"/>
      <c r="C1679" s="6"/>
      <c r="D1679" s="6"/>
      <c r="E1679" s="6"/>
      <c r="G1679" s="1"/>
      <c r="H1679" s="2"/>
    </row>
    <row r="1680" spans="1:8" x14ac:dyDescent="0.25">
      <c r="A1680" s="5"/>
      <c r="B1680" s="6"/>
      <c r="C1680" s="6"/>
      <c r="D1680" s="6"/>
      <c r="E1680" s="6"/>
      <c r="G1680" s="3"/>
      <c r="H1680" s="2"/>
    </row>
    <row r="1681" spans="1:8" x14ac:dyDescent="0.25">
      <c r="A1681" s="5"/>
      <c r="B1681" s="6"/>
      <c r="C1681" s="6"/>
      <c r="D1681" s="6"/>
      <c r="E1681" s="6"/>
      <c r="G1681" s="1"/>
      <c r="H1681" s="2"/>
    </row>
    <row r="1682" spans="1:8" x14ac:dyDescent="0.25">
      <c r="A1682" s="5"/>
      <c r="B1682" s="6"/>
      <c r="C1682" s="6"/>
      <c r="D1682" s="6"/>
      <c r="E1682" s="6"/>
      <c r="G1682" s="3"/>
      <c r="H1682" s="2"/>
    </row>
    <row r="1683" spans="1:8" x14ac:dyDescent="0.25">
      <c r="A1683" s="5"/>
      <c r="B1683" s="6"/>
      <c r="C1683" s="6"/>
      <c r="D1683" s="6"/>
      <c r="E1683" s="6"/>
      <c r="G1683" s="1"/>
      <c r="H1683" s="2"/>
    </row>
    <row r="1684" spans="1:8" x14ac:dyDescent="0.25">
      <c r="A1684" s="5"/>
      <c r="B1684" s="6"/>
      <c r="C1684" s="6"/>
      <c r="D1684" s="6"/>
      <c r="E1684" s="6"/>
      <c r="G1684" s="3"/>
      <c r="H1684" s="2"/>
    </row>
    <row r="1685" spans="1:8" x14ac:dyDescent="0.25">
      <c r="A1685" s="5"/>
      <c r="B1685" s="6"/>
      <c r="C1685" s="6"/>
      <c r="D1685" s="6"/>
      <c r="E1685" s="6"/>
      <c r="G1685" s="1"/>
      <c r="H1685" s="2"/>
    </row>
    <row r="1686" spans="1:8" x14ac:dyDescent="0.25">
      <c r="A1686" s="5"/>
      <c r="B1686" s="6"/>
      <c r="C1686" s="6"/>
      <c r="D1686" s="6"/>
      <c r="E1686" s="6"/>
      <c r="G1686" s="3"/>
      <c r="H1686" s="2"/>
    </row>
    <row r="1687" spans="1:8" x14ac:dyDescent="0.25">
      <c r="A1687" s="5"/>
      <c r="B1687" s="6"/>
      <c r="C1687" s="6"/>
      <c r="D1687" s="6"/>
      <c r="E1687" s="6"/>
      <c r="G1687" s="1"/>
      <c r="H1687" s="2"/>
    </row>
    <row r="1688" spans="1:8" x14ac:dyDescent="0.25">
      <c r="A1688" s="5"/>
      <c r="B1688" s="6"/>
      <c r="C1688" s="6"/>
      <c r="D1688" s="6"/>
      <c r="E1688" s="6"/>
      <c r="G1688" s="3"/>
      <c r="H1688" s="2"/>
    </row>
    <row r="1689" spans="1:8" x14ac:dyDescent="0.25">
      <c r="A1689" s="5"/>
      <c r="B1689" s="6"/>
      <c r="C1689" s="6"/>
      <c r="D1689" s="6"/>
      <c r="E1689" s="6"/>
      <c r="G1689" s="1"/>
      <c r="H1689" s="2"/>
    </row>
    <row r="1690" spans="1:8" x14ac:dyDescent="0.25">
      <c r="A1690" s="5"/>
      <c r="B1690" s="6"/>
      <c r="C1690" s="6"/>
      <c r="D1690" s="6"/>
      <c r="E1690" s="6"/>
      <c r="G1690" s="3"/>
      <c r="H1690" s="2"/>
    </row>
    <row r="1691" spans="1:8" x14ac:dyDescent="0.25">
      <c r="A1691" s="5"/>
      <c r="B1691" s="6"/>
      <c r="C1691" s="6"/>
      <c r="D1691" s="6"/>
      <c r="E1691" s="6"/>
      <c r="G1691" s="1"/>
      <c r="H1691" s="2"/>
    </row>
    <row r="1692" spans="1:8" x14ac:dyDescent="0.25">
      <c r="A1692" s="5"/>
      <c r="B1692" s="6"/>
      <c r="C1692" s="6"/>
      <c r="D1692" s="6"/>
      <c r="E1692" s="6"/>
      <c r="G1692" s="3"/>
      <c r="H1692" s="2"/>
    </row>
    <row r="1693" spans="1:8" x14ac:dyDescent="0.25">
      <c r="A1693" s="5"/>
      <c r="B1693" s="6"/>
      <c r="C1693" s="6"/>
      <c r="D1693" s="6"/>
      <c r="E1693" s="6"/>
      <c r="G1693" s="1"/>
      <c r="H1693" s="2"/>
    </row>
    <row r="1694" spans="1:8" x14ac:dyDescent="0.25">
      <c r="A1694" s="5"/>
      <c r="B1694" s="6"/>
      <c r="C1694" s="6"/>
      <c r="D1694" s="6"/>
      <c r="E1694" s="6"/>
      <c r="G1694" s="3"/>
      <c r="H1694" s="2"/>
    </row>
    <row r="1695" spans="1:8" x14ac:dyDescent="0.25">
      <c r="A1695" s="5"/>
      <c r="B1695" s="6"/>
      <c r="C1695" s="6"/>
      <c r="D1695" s="6"/>
      <c r="E1695" s="6"/>
      <c r="G1695" s="1"/>
      <c r="H1695" s="2"/>
    </row>
    <row r="1696" spans="1:8" x14ac:dyDescent="0.25">
      <c r="A1696" s="5"/>
      <c r="B1696" s="6"/>
      <c r="C1696" s="6"/>
      <c r="D1696" s="6"/>
      <c r="E1696" s="6"/>
      <c r="G1696" s="3"/>
      <c r="H1696" s="2"/>
    </row>
    <row r="1697" spans="1:8" x14ac:dyDescent="0.25">
      <c r="A1697" s="5"/>
      <c r="B1697" s="6"/>
      <c r="C1697" s="6"/>
      <c r="D1697" s="6"/>
      <c r="E1697" s="6"/>
      <c r="G1697" s="1"/>
      <c r="H1697" s="2"/>
    </row>
    <row r="1698" spans="1:8" x14ac:dyDescent="0.25">
      <c r="A1698" s="5"/>
      <c r="B1698" s="6"/>
      <c r="C1698" s="6"/>
      <c r="D1698" s="6"/>
      <c r="E1698" s="6"/>
      <c r="G1698" s="3"/>
      <c r="H1698" s="2"/>
    </row>
    <row r="1699" spans="1:8" x14ac:dyDescent="0.25">
      <c r="A1699" s="5"/>
      <c r="B1699" s="6"/>
      <c r="C1699" s="6"/>
      <c r="D1699" s="6"/>
      <c r="E1699" s="6"/>
      <c r="G1699" s="1"/>
      <c r="H1699" s="2"/>
    </row>
    <row r="1700" spans="1:8" x14ac:dyDescent="0.25">
      <c r="A1700" s="5"/>
      <c r="B1700" s="6"/>
      <c r="C1700" s="6"/>
      <c r="D1700" s="6"/>
      <c r="E1700" s="6"/>
      <c r="G1700" s="3"/>
      <c r="H1700" s="2"/>
    </row>
    <row r="1701" spans="1:8" x14ac:dyDescent="0.25">
      <c r="A1701" s="5"/>
      <c r="B1701" s="6"/>
      <c r="C1701" s="6"/>
      <c r="D1701" s="6"/>
      <c r="E1701" s="6"/>
      <c r="G1701" s="1"/>
      <c r="H1701" s="2"/>
    </row>
    <row r="1702" spans="1:8" x14ac:dyDescent="0.25">
      <c r="A1702" s="5"/>
      <c r="B1702" s="6"/>
      <c r="C1702" s="6"/>
      <c r="D1702" s="6"/>
      <c r="E1702" s="6"/>
      <c r="G1702" s="3"/>
      <c r="H1702" s="2"/>
    </row>
    <row r="1703" spans="1:8" x14ac:dyDescent="0.25">
      <c r="A1703" s="5"/>
      <c r="B1703" s="6"/>
      <c r="C1703" s="6"/>
      <c r="D1703" s="6"/>
      <c r="E1703" s="6"/>
      <c r="G1703" s="1"/>
      <c r="H1703" s="2"/>
    </row>
    <row r="1704" spans="1:8" x14ac:dyDescent="0.25">
      <c r="A1704" s="5"/>
      <c r="B1704" s="6"/>
      <c r="C1704" s="6"/>
      <c r="D1704" s="6"/>
      <c r="E1704" s="6"/>
      <c r="G1704" s="3"/>
      <c r="H1704" s="2"/>
    </row>
    <row r="1705" spans="1:8" x14ac:dyDescent="0.25">
      <c r="A1705" s="5"/>
      <c r="B1705" s="6"/>
      <c r="C1705" s="6"/>
      <c r="D1705" s="6"/>
      <c r="E1705" s="6"/>
      <c r="G1705" s="1"/>
      <c r="H1705" s="2"/>
    </row>
    <row r="1706" spans="1:8" x14ac:dyDescent="0.25">
      <c r="A1706" s="5"/>
      <c r="B1706" s="6"/>
      <c r="C1706" s="6"/>
      <c r="D1706" s="6"/>
      <c r="E1706" s="6"/>
      <c r="G1706" s="3"/>
      <c r="H1706" s="2"/>
    </row>
    <row r="1707" spans="1:8" x14ac:dyDescent="0.25">
      <c r="A1707" s="5"/>
      <c r="B1707" s="6"/>
      <c r="C1707" s="6"/>
      <c r="D1707" s="6"/>
      <c r="E1707" s="6"/>
      <c r="G1707" s="1"/>
      <c r="H1707" s="2"/>
    </row>
    <row r="1708" spans="1:8" x14ac:dyDescent="0.25">
      <c r="A1708" s="5"/>
      <c r="B1708" s="6"/>
      <c r="C1708" s="6"/>
      <c r="D1708" s="6"/>
      <c r="E1708" s="6"/>
      <c r="G1708" s="3"/>
      <c r="H1708" s="2"/>
    </row>
    <row r="1709" spans="1:8" x14ac:dyDescent="0.25">
      <c r="A1709" s="5"/>
      <c r="B1709" s="6"/>
      <c r="C1709" s="6"/>
      <c r="D1709" s="6"/>
      <c r="E1709" s="6"/>
      <c r="G1709" s="1"/>
      <c r="H1709" s="2"/>
    </row>
    <row r="1710" spans="1:8" x14ac:dyDescent="0.25">
      <c r="A1710" s="5"/>
      <c r="B1710" s="6"/>
      <c r="C1710" s="6"/>
      <c r="D1710" s="6"/>
      <c r="E1710" s="6"/>
      <c r="G1710" s="3"/>
      <c r="H1710" s="2"/>
    </row>
    <row r="1711" spans="1:8" x14ac:dyDescent="0.25">
      <c r="A1711" s="5"/>
      <c r="B1711" s="6"/>
      <c r="C1711" s="6"/>
      <c r="D1711" s="6"/>
      <c r="E1711" s="6"/>
      <c r="G1711" s="1"/>
      <c r="H1711" s="2"/>
    </row>
    <row r="1712" spans="1:8" x14ac:dyDescent="0.25">
      <c r="A1712" s="5"/>
      <c r="B1712" s="6"/>
      <c r="C1712" s="6"/>
      <c r="D1712" s="6"/>
      <c r="E1712" s="6"/>
      <c r="G1712" s="3"/>
      <c r="H1712" s="2"/>
    </row>
    <row r="1713" spans="1:8" x14ac:dyDescent="0.25">
      <c r="A1713" s="5"/>
      <c r="B1713" s="6"/>
      <c r="C1713" s="6"/>
      <c r="D1713" s="6"/>
      <c r="E1713" s="6"/>
      <c r="G1713" s="1"/>
      <c r="H1713" s="2"/>
    </row>
    <row r="1714" spans="1:8" x14ac:dyDescent="0.25">
      <c r="A1714" s="5"/>
      <c r="B1714" s="6"/>
      <c r="C1714" s="6"/>
      <c r="D1714" s="6"/>
      <c r="E1714" s="6"/>
      <c r="G1714" s="3"/>
      <c r="H1714" s="2"/>
    </row>
    <row r="1715" spans="1:8" x14ac:dyDescent="0.25">
      <c r="A1715" s="5"/>
      <c r="B1715" s="6"/>
      <c r="C1715" s="6"/>
      <c r="D1715" s="6"/>
      <c r="E1715" s="6"/>
      <c r="G1715" s="1"/>
      <c r="H1715" s="2"/>
    </row>
    <row r="1716" spans="1:8" x14ac:dyDescent="0.25">
      <c r="A1716" s="5"/>
      <c r="B1716" s="6"/>
      <c r="C1716" s="6"/>
      <c r="D1716" s="6"/>
      <c r="E1716" s="6"/>
      <c r="G1716" s="3"/>
      <c r="H1716" s="2"/>
    </row>
    <row r="1717" spans="1:8" x14ac:dyDescent="0.25">
      <c r="A1717" s="5"/>
      <c r="B1717" s="6"/>
      <c r="C1717" s="6"/>
      <c r="D1717" s="6"/>
      <c r="E1717" s="6"/>
      <c r="G1717" s="1"/>
      <c r="H1717" s="2"/>
    </row>
    <row r="1718" spans="1:8" x14ac:dyDescent="0.25">
      <c r="A1718" s="5"/>
      <c r="B1718" s="6"/>
      <c r="C1718" s="6"/>
      <c r="D1718" s="6"/>
      <c r="E1718" s="6"/>
      <c r="G1718" s="3"/>
      <c r="H1718" s="2"/>
    </row>
    <row r="1719" spans="1:8" x14ac:dyDescent="0.25">
      <c r="A1719" s="5"/>
      <c r="B1719" s="6"/>
      <c r="C1719" s="6"/>
      <c r="D1719" s="6"/>
      <c r="E1719" s="6"/>
      <c r="G1719" s="1"/>
      <c r="H1719" s="2"/>
    </row>
    <row r="1720" spans="1:8" x14ac:dyDescent="0.25">
      <c r="A1720" s="5"/>
      <c r="B1720" s="6"/>
      <c r="C1720" s="6"/>
      <c r="D1720" s="6"/>
      <c r="E1720" s="6"/>
      <c r="G1720" s="3"/>
      <c r="H1720" s="2"/>
    </row>
    <row r="1721" spans="1:8" x14ac:dyDescent="0.25">
      <c r="A1721" s="5"/>
      <c r="B1721" s="6"/>
      <c r="C1721" s="6"/>
      <c r="D1721" s="6"/>
      <c r="E1721" s="6"/>
      <c r="G1721" s="1"/>
      <c r="H1721" s="2"/>
    </row>
    <row r="1722" spans="1:8" x14ac:dyDescent="0.25">
      <c r="A1722" s="5"/>
      <c r="B1722" s="6"/>
      <c r="C1722" s="6"/>
      <c r="D1722" s="6"/>
      <c r="E1722" s="6"/>
      <c r="G1722" s="3"/>
      <c r="H1722" s="2"/>
    </row>
    <row r="1723" spans="1:8" x14ac:dyDescent="0.25">
      <c r="A1723" s="5"/>
      <c r="B1723" s="6"/>
      <c r="C1723" s="6"/>
      <c r="D1723" s="6"/>
      <c r="E1723" s="6"/>
      <c r="G1723" s="1"/>
      <c r="H1723" s="2"/>
    </row>
    <row r="1724" spans="1:8" x14ac:dyDescent="0.25">
      <c r="A1724" s="5"/>
      <c r="B1724" s="6"/>
      <c r="C1724" s="6"/>
      <c r="D1724" s="6"/>
      <c r="E1724" s="6"/>
      <c r="G1724" s="3"/>
      <c r="H1724" s="2"/>
    </row>
    <row r="1725" spans="1:8" x14ac:dyDescent="0.25">
      <c r="A1725" s="5"/>
      <c r="B1725" s="6"/>
      <c r="C1725" s="6"/>
      <c r="D1725" s="6"/>
      <c r="E1725" s="6"/>
      <c r="G1725" s="1"/>
      <c r="H1725" s="2"/>
    </row>
    <row r="1726" spans="1:8" x14ac:dyDescent="0.25">
      <c r="A1726" s="5"/>
      <c r="B1726" s="6"/>
      <c r="C1726" s="6"/>
      <c r="D1726" s="6"/>
      <c r="E1726" s="6"/>
      <c r="G1726" s="3"/>
      <c r="H1726" s="2"/>
    </row>
    <row r="1727" spans="1:8" x14ac:dyDescent="0.25">
      <c r="A1727" s="5"/>
      <c r="B1727" s="6"/>
      <c r="C1727" s="6"/>
      <c r="D1727" s="6"/>
      <c r="E1727" s="6"/>
      <c r="G1727" s="1"/>
      <c r="H1727" s="2"/>
    </row>
    <row r="1728" spans="1:8" x14ac:dyDescent="0.25">
      <c r="A1728" s="5"/>
      <c r="B1728" s="6"/>
      <c r="C1728" s="6"/>
      <c r="D1728" s="6"/>
      <c r="E1728" s="6"/>
      <c r="G1728" s="3"/>
      <c r="H1728" s="2"/>
    </row>
    <row r="1729" spans="1:8" x14ac:dyDescent="0.25">
      <c r="A1729" s="5"/>
      <c r="B1729" s="6"/>
      <c r="C1729" s="6"/>
      <c r="D1729" s="6"/>
      <c r="E1729" s="6"/>
      <c r="G1729" s="1"/>
      <c r="H1729" s="2"/>
    </row>
    <row r="1730" spans="1:8" x14ac:dyDescent="0.25">
      <c r="A1730" s="5"/>
      <c r="B1730" s="6"/>
      <c r="C1730" s="6"/>
      <c r="D1730" s="6"/>
      <c r="E1730" s="6"/>
      <c r="G1730" s="3"/>
      <c r="H1730" s="2"/>
    </row>
    <row r="1731" spans="1:8" x14ac:dyDescent="0.25">
      <c r="A1731" s="5"/>
      <c r="B1731" s="6"/>
      <c r="C1731" s="6"/>
      <c r="D1731" s="6"/>
      <c r="E1731" s="6"/>
      <c r="G1731" s="1"/>
      <c r="H1731" s="2"/>
    </row>
    <row r="1732" spans="1:8" x14ac:dyDescent="0.25">
      <c r="A1732" s="5"/>
      <c r="B1732" s="6"/>
      <c r="C1732" s="6"/>
      <c r="D1732" s="6"/>
      <c r="E1732" s="6"/>
      <c r="G1732" s="3"/>
      <c r="H1732" s="2"/>
    </row>
    <row r="1733" spans="1:8" x14ac:dyDescent="0.25">
      <c r="A1733" s="5"/>
      <c r="B1733" s="6"/>
      <c r="C1733" s="6"/>
      <c r="D1733" s="6"/>
      <c r="E1733" s="6"/>
      <c r="G1733" s="1"/>
      <c r="H1733" s="2"/>
    </row>
    <row r="1734" spans="1:8" x14ac:dyDescent="0.25">
      <c r="A1734" s="5"/>
      <c r="B1734" s="6"/>
      <c r="C1734" s="6"/>
      <c r="D1734" s="6"/>
      <c r="E1734" s="6"/>
      <c r="G1734" s="3"/>
      <c r="H1734" s="2"/>
    </row>
    <row r="1735" spans="1:8" x14ac:dyDescent="0.25">
      <c r="A1735" s="5"/>
      <c r="B1735" s="6"/>
      <c r="C1735" s="6"/>
      <c r="D1735" s="6"/>
      <c r="E1735" s="6"/>
      <c r="G1735" s="1"/>
      <c r="H1735" s="2"/>
    </row>
    <row r="1736" spans="1:8" x14ac:dyDescent="0.25">
      <c r="A1736" s="5"/>
      <c r="B1736" s="6"/>
      <c r="C1736" s="6"/>
      <c r="D1736" s="6"/>
      <c r="E1736" s="6"/>
      <c r="G1736" s="3"/>
      <c r="H1736" s="2"/>
    </row>
    <row r="1737" spans="1:8" x14ac:dyDescent="0.25">
      <c r="A1737" s="5"/>
      <c r="B1737" s="6"/>
      <c r="C1737" s="6"/>
      <c r="D1737" s="6"/>
      <c r="E1737" s="6"/>
      <c r="G1737" s="1"/>
      <c r="H1737" s="2"/>
    </row>
    <row r="1738" spans="1:8" x14ac:dyDescent="0.25">
      <c r="A1738" s="5"/>
      <c r="B1738" s="6"/>
      <c r="C1738" s="6"/>
      <c r="D1738" s="6"/>
      <c r="E1738" s="6"/>
      <c r="G1738" s="3"/>
      <c r="H1738" s="2"/>
    </row>
    <row r="1739" spans="1:8" x14ac:dyDescent="0.25">
      <c r="A1739" s="5"/>
      <c r="B1739" s="6"/>
      <c r="C1739" s="6"/>
      <c r="D1739" s="6"/>
      <c r="E1739" s="6"/>
      <c r="G1739" s="1"/>
      <c r="H1739" s="2"/>
    </row>
    <row r="1740" spans="1:8" x14ac:dyDescent="0.25">
      <c r="A1740" s="5"/>
      <c r="B1740" s="6"/>
      <c r="C1740" s="6"/>
      <c r="D1740" s="6"/>
      <c r="E1740" s="6"/>
      <c r="G1740" s="3"/>
      <c r="H1740" s="2"/>
    </row>
    <row r="1741" spans="1:8" x14ac:dyDescent="0.25">
      <c r="A1741" s="5"/>
      <c r="B1741" s="6"/>
      <c r="C1741" s="6"/>
      <c r="D1741" s="6"/>
      <c r="E1741" s="6"/>
      <c r="G1741" s="1"/>
      <c r="H1741" s="2"/>
    </row>
    <row r="1742" spans="1:8" x14ac:dyDescent="0.25">
      <c r="A1742" s="5"/>
      <c r="B1742" s="6"/>
      <c r="C1742" s="6"/>
      <c r="D1742" s="6"/>
      <c r="E1742" s="6"/>
      <c r="G1742" s="3"/>
      <c r="H1742" s="2"/>
    </row>
    <row r="1743" spans="1:8" x14ac:dyDescent="0.25">
      <c r="A1743" s="5"/>
      <c r="B1743" s="6"/>
      <c r="C1743" s="6"/>
      <c r="D1743" s="6"/>
      <c r="E1743" s="6"/>
      <c r="G1743" s="1"/>
      <c r="H1743" s="2"/>
    </row>
    <row r="1744" spans="1:8" x14ac:dyDescent="0.25">
      <c r="A1744" s="5"/>
      <c r="B1744" s="6"/>
      <c r="C1744" s="6"/>
      <c r="D1744" s="6"/>
      <c r="E1744" s="6"/>
      <c r="G1744" s="3"/>
      <c r="H1744" s="2"/>
    </row>
    <row r="1745" spans="1:8" x14ac:dyDescent="0.25">
      <c r="A1745" s="5"/>
      <c r="B1745" s="6"/>
      <c r="C1745" s="6"/>
      <c r="D1745" s="6"/>
      <c r="E1745" s="6"/>
      <c r="G1745" s="1"/>
      <c r="H1745" s="2"/>
    </row>
    <row r="1746" spans="1:8" x14ac:dyDescent="0.25">
      <c r="A1746" s="5"/>
      <c r="B1746" s="6"/>
      <c r="C1746" s="6"/>
      <c r="D1746" s="6"/>
      <c r="E1746" s="6"/>
      <c r="G1746" s="3"/>
      <c r="H1746" s="2"/>
    </row>
    <row r="1747" spans="1:8" x14ac:dyDescent="0.25">
      <c r="A1747" s="5"/>
      <c r="B1747" s="6"/>
      <c r="C1747" s="6"/>
      <c r="D1747" s="6"/>
      <c r="E1747" s="6"/>
      <c r="G1747" s="1"/>
      <c r="H1747" s="2"/>
    </row>
    <row r="1748" spans="1:8" x14ac:dyDescent="0.25">
      <c r="A1748" s="5"/>
      <c r="B1748" s="6"/>
      <c r="C1748" s="6"/>
      <c r="D1748" s="6"/>
      <c r="E1748" s="6"/>
      <c r="G1748" s="3"/>
      <c r="H1748" s="2"/>
    </row>
    <row r="1749" spans="1:8" x14ac:dyDescent="0.25">
      <c r="A1749" s="5"/>
      <c r="B1749" s="6"/>
      <c r="C1749" s="6"/>
      <c r="D1749" s="6"/>
      <c r="E1749" s="6"/>
      <c r="G1749" s="1"/>
      <c r="H1749" s="2"/>
    </row>
    <row r="1750" spans="1:8" x14ac:dyDescent="0.25">
      <c r="A1750" s="5"/>
      <c r="B1750" s="6"/>
      <c r="C1750" s="6"/>
      <c r="D1750" s="6"/>
      <c r="E1750" s="6"/>
      <c r="G1750" s="3"/>
      <c r="H1750" s="2"/>
    </row>
    <row r="1751" spans="1:8" x14ac:dyDescent="0.25">
      <c r="A1751" s="5"/>
      <c r="B1751" s="6"/>
      <c r="C1751" s="6"/>
      <c r="D1751" s="6"/>
      <c r="E1751" s="6"/>
      <c r="G1751" s="1"/>
      <c r="H1751" s="2"/>
    </row>
    <row r="1752" spans="1:8" x14ac:dyDescent="0.25">
      <c r="A1752" s="5"/>
      <c r="B1752" s="6"/>
      <c r="C1752" s="6"/>
      <c r="D1752" s="6"/>
      <c r="E1752" s="6"/>
      <c r="G1752" s="3"/>
      <c r="H1752" s="2"/>
    </row>
    <row r="1753" spans="1:8" x14ac:dyDescent="0.25">
      <c r="A1753" s="5"/>
      <c r="B1753" s="6"/>
      <c r="C1753" s="6"/>
      <c r="D1753" s="6"/>
      <c r="E1753" s="6"/>
      <c r="G1753" s="1"/>
      <c r="H1753" s="2"/>
    </row>
    <row r="1754" spans="1:8" x14ac:dyDescent="0.25">
      <c r="A1754" s="5"/>
      <c r="B1754" s="6"/>
      <c r="C1754" s="6"/>
      <c r="D1754" s="6"/>
      <c r="E1754" s="6"/>
      <c r="G1754" s="3"/>
      <c r="H1754" s="2"/>
    </row>
    <row r="1755" spans="1:8" x14ac:dyDescent="0.25">
      <c r="A1755" s="5"/>
      <c r="B1755" s="6"/>
      <c r="C1755" s="6"/>
      <c r="D1755" s="6"/>
      <c r="E1755" s="6"/>
      <c r="G1755" s="1"/>
      <c r="H1755" s="2"/>
    </row>
    <row r="1756" spans="1:8" x14ac:dyDescent="0.25">
      <c r="A1756" s="5"/>
      <c r="B1756" s="6"/>
      <c r="C1756" s="6"/>
      <c r="D1756" s="6"/>
      <c r="E1756" s="6"/>
      <c r="G1756" s="3"/>
      <c r="H1756" s="2"/>
    </row>
    <row r="1757" spans="1:8" x14ac:dyDescent="0.25">
      <c r="A1757" s="5"/>
      <c r="B1757" s="6"/>
      <c r="C1757" s="6"/>
      <c r="D1757" s="6"/>
      <c r="E1757" s="6"/>
      <c r="G1757" s="1"/>
      <c r="H1757" s="2"/>
    </row>
    <row r="1758" spans="1:8" x14ac:dyDescent="0.25">
      <c r="A1758" s="5"/>
      <c r="B1758" s="6"/>
      <c r="C1758" s="6"/>
      <c r="D1758" s="6"/>
      <c r="E1758" s="6"/>
      <c r="G1758" s="3"/>
      <c r="H1758" s="2"/>
    </row>
    <row r="1759" spans="1:8" x14ac:dyDescent="0.25">
      <c r="A1759" s="5"/>
      <c r="B1759" s="6"/>
      <c r="C1759" s="6"/>
      <c r="D1759" s="6"/>
      <c r="E1759" s="6"/>
      <c r="G1759" s="1"/>
      <c r="H1759" s="2"/>
    </row>
    <row r="1760" spans="1:8" x14ac:dyDescent="0.25">
      <c r="A1760" s="5"/>
      <c r="B1760" s="6"/>
      <c r="C1760" s="6"/>
      <c r="D1760" s="6"/>
      <c r="E1760" s="6"/>
      <c r="G1760" s="3"/>
      <c r="H1760" s="2"/>
    </row>
    <row r="1761" spans="1:8" x14ac:dyDescent="0.25">
      <c r="A1761" s="5"/>
      <c r="B1761" s="6"/>
      <c r="C1761" s="6"/>
      <c r="D1761" s="6"/>
      <c r="E1761" s="6"/>
      <c r="G1761" s="1"/>
      <c r="H1761" s="2"/>
    </row>
    <row r="1762" spans="1:8" x14ac:dyDescent="0.25">
      <c r="A1762" s="5"/>
      <c r="B1762" s="6"/>
      <c r="C1762" s="6"/>
      <c r="D1762" s="6"/>
      <c r="E1762" s="6"/>
      <c r="G1762" s="3"/>
      <c r="H1762" s="2"/>
    </row>
    <row r="1763" spans="1:8" x14ac:dyDescent="0.25">
      <c r="A1763" s="5"/>
      <c r="B1763" s="6"/>
      <c r="C1763" s="6"/>
      <c r="D1763" s="6"/>
      <c r="E1763" s="6"/>
      <c r="G1763" s="1"/>
      <c r="H1763" s="2"/>
    </row>
    <row r="1764" spans="1:8" x14ac:dyDescent="0.25">
      <c r="A1764" s="5"/>
      <c r="B1764" s="6"/>
      <c r="C1764" s="6"/>
      <c r="D1764" s="6"/>
      <c r="E1764" s="6"/>
      <c r="G1764" s="3"/>
      <c r="H1764" s="2"/>
    </row>
    <row r="1765" spans="1:8" x14ac:dyDescent="0.25">
      <c r="A1765" s="5"/>
      <c r="B1765" s="6"/>
      <c r="C1765" s="6"/>
      <c r="D1765" s="6"/>
      <c r="E1765" s="6"/>
      <c r="G1765" s="1"/>
      <c r="H1765" s="2"/>
    </row>
    <row r="1766" spans="1:8" x14ac:dyDescent="0.25">
      <c r="A1766" s="5"/>
      <c r="B1766" s="6"/>
      <c r="C1766" s="6"/>
      <c r="D1766" s="6"/>
      <c r="E1766" s="6"/>
      <c r="G1766" s="3"/>
      <c r="H1766" s="2"/>
    </row>
    <row r="1767" spans="1:8" x14ac:dyDescent="0.25">
      <c r="A1767" s="5"/>
      <c r="B1767" s="6"/>
      <c r="C1767" s="6"/>
      <c r="D1767" s="6"/>
      <c r="E1767" s="6"/>
      <c r="G1767" s="1"/>
      <c r="H1767" s="2"/>
    </row>
    <row r="1768" spans="1:8" x14ac:dyDescent="0.25">
      <c r="A1768" s="5"/>
      <c r="B1768" s="6"/>
      <c r="C1768" s="6"/>
      <c r="D1768" s="6"/>
      <c r="E1768" s="6"/>
      <c r="G1768" s="3"/>
      <c r="H1768" s="2"/>
    </row>
    <row r="1769" spans="1:8" x14ac:dyDescent="0.25">
      <c r="A1769" s="5"/>
      <c r="B1769" s="6"/>
      <c r="C1769" s="6"/>
      <c r="D1769" s="6"/>
      <c r="E1769" s="6"/>
      <c r="G1769" s="1"/>
      <c r="H1769" s="2"/>
    </row>
    <row r="1770" spans="1:8" x14ac:dyDescent="0.25">
      <c r="A1770" s="5"/>
      <c r="B1770" s="6"/>
      <c r="C1770" s="6"/>
      <c r="D1770" s="6"/>
      <c r="E1770" s="6"/>
      <c r="G1770" s="3"/>
      <c r="H1770" s="2"/>
    </row>
    <row r="1771" spans="1:8" x14ac:dyDescent="0.25">
      <c r="A1771" s="5"/>
      <c r="B1771" s="6"/>
      <c r="C1771" s="6"/>
      <c r="D1771" s="6"/>
      <c r="E1771" s="6"/>
      <c r="G1771" s="1"/>
      <c r="H1771" s="2"/>
    </row>
    <row r="1772" spans="1:8" x14ac:dyDescent="0.25">
      <c r="A1772" s="5"/>
      <c r="B1772" s="6"/>
      <c r="C1772" s="6"/>
      <c r="D1772" s="6"/>
      <c r="E1772" s="6"/>
      <c r="G1772" s="3"/>
      <c r="H1772" s="2"/>
    </row>
    <row r="1773" spans="1:8" x14ac:dyDescent="0.25">
      <c r="A1773" s="5"/>
      <c r="B1773" s="6"/>
      <c r="C1773" s="6"/>
      <c r="D1773" s="6"/>
      <c r="E1773" s="6"/>
      <c r="G1773" s="1"/>
      <c r="H1773" s="2"/>
    </row>
    <row r="1774" spans="1:8" x14ac:dyDescent="0.25">
      <c r="A1774" s="5"/>
      <c r="B1774" s="6"/>
      <c r="C1774" s="6"/>
      <c r="D1774" s="6"/>
      <c r="E1774" s="6"/>
      <c r="G1774" s="3"/>
      <c r="H1774" s="2"/>
    </row>
    <row r="1775" spans="1:8" x14ac:dyDescent="0.25">
      <c r="A1775" s="5"/>
      <c r="B1775" s="6"/>
      <c r="C1775" s="6"/>
      <c r="D1775" s="6"/>
      <c r="E1775" s="6"/>
      <c r="G1775" s="1"/>
      <c r="H1775" s="2"/>
    </row>
    <row r="1776" spans="1:8" x14ac:dyDescent="0.25">
      <c r="A1776" s="5"/>
      <c r="B1776" s="6"/>
      <c r="C1776" s="6"/>
      <c r="D1776" s="6"/>
      <c r="E1776" s="6"/>
      <c r="G1776" s="3"/>
      <c r="H1776" s="2"/>
    </row>
    <row r="1777" spans="1:8" x14ac:dyDescent="0.25">
      <c r="A1777" s="5"/>
      <c r="B1777" s="6"/>
      <c r="C1777" s="6"/>
      <c r="D1777" s="6"/>
      <c r="E1777" s="6"/>
      <c r="G1777" s="1"/>
      <c r="H1777" s="2"/>
    </row>
    <row r="1778" spans="1:8" x14ac:dyDescent="0.25">
      <c r="A1778" s="5"/>
      <c r="B1778" s="6"/>
      <c r="C1778" s="6"/>
      <c r="D1778" s="6"/>
      <c r="E1778" s="6"/>
      <c r="G1778" s="3"/>
      <c r="H1778" s="2"/>
    </row>
    <row r="1779" spans="1:8" x14ac:dyDescent="0.25">
      <c r="A1779" s="5"/>
      <c r="B1779" s="6"/>
      <c r="C1779" s="6"/>
      <c r="D1779" s="6"/>
      <c r="E1779" s="6"/>
      <c r="G1779" s="1"/>
      <c r="H1779" s="2"/>
    </row>
    <row r="1780" spans="1:8" x14ac:dyDescent="0.25">
      <c r="A1780" s="5"/>
      <c r="B1780" s="6"/>
      <c r="C1780" s="6"/>
      <c r="D1780" s="6"/>
      <c r="E1780" s="6"/>
      <c r="G1780" s="14"/>
      <c r="H1780" s="2"/>
    </row>
    <row r="1781" spans="1:8" x14ac:dyDescent="0.25">
      <c r="A1781" s="5"/>
      <c r="B1781" s="6"/>
      <c r="C1781" s="6"/>
      <c r="D1781" s="6"/>
      <c r="E1781" s="6"/>
      <c r="G1781" s="14"/>
      <c r="H1781" s="2"/>
    </row>
    <row r="1782" spans="1:8" x14ac:dyDescent="0.25">
      <c r="A1782" s="5"/>
      <c r="B1782" s="6"/>
      <c r="C1782" s="6"/>
      <c r="D1782" s="6"/>
      <c r="E1782" s="6"/>
      <c r="G1782" s="14"/>
      <c r="H1782" s="2"/>
    </row>
    <row r="1783" spans="1:8" x14ac:dyDescent="0.25">
      <c r="A1783" s="5"/>
      <c r="B1783" s="6"/>
      <c r="C1783" s="6"/>
      <c r="D1783" s="6"/>
      <c r="E1783" s="6"/>
      <c r="G1783" s="14"/>
      <c r="H1783" s="2"/>
    </row>
    <row r="1784" spans="1:8" x14ac:dyDescent="0.25">
      <c r="A1784" s="5"/>
      <c r="B1784" s="6"/>
      <c r="C1784" s="6"/>
      <c r="D1784" s="6"/>
      <c r="E1784" s="6"/>
      <c r="G1784" s="14"/>
      <c r="H1784" s="2"/>
    </row>
    <row r="1785" spans="1:8" x14ac:dyDescent="0.25">
      <c r="A1785" s="5"/>
      <c r="B1785" s="6"/>
      <c r="C1785" s="6"/>
      <c r="D1785" s="6"/>
      <c r="E1785" s="6"/>
      <c r="G1785" s="14"/>
      <c r="H1785" s="2"/>
    </row>
    <row r="1786" spans="1:8" x14ac:dyDescent="0.25">
      <c r="A1786" s="5"/>
      <c r="B1786" s="6"/>
      <c r="C1786" s="6"/>
      <c r="D1786" s="6"/>
      <c r="E1786" s="6"/>
    </row>
    <row r="1787" spans="1:8" x14ac:dyDescent="0.25">
      <c r="A1787" s="5"/>
      <c r="B1787" s="6"/>
      <c r="C1787" s="6"/>
      <c r="D1787" s="6"/>
      <c r="E1787" s="6"/>
      <c r="G1787" s="3"/>
      <c r="H1787" s="2"/>
    </row>
    <row r="1788" spans="1:8" x14ac:dyDescent="0.25">
      <c r="A1788" s="5"/>
      <c r="B1788" s="6"/>
      <c r="C1788" s="6"/>
      <c r="D1788" s="6"/>
      <c r="E1788" s="6"/>
      <c r="G1788" s="1"/>
      <c r="H1788" s="2"/>
    </row>
    <row r="1789" spans="1:8" x14ac:dyDescent="0.25">
      <c r="A1789" s="5"/>
      <c r="B1789" s="6"/>
      <c r="C1789" s="6"/>
      <c r="D1789" s="6"/>
      <c r="E1789" s="6"/>
      <c r="G1789" s="3"/>
      <c r="H1789" s="2"/>
    </row>
    <row r="1790" spans="1:8" x14ac:dyDescent="0.25">
      <c r="A1790" s="5"/>
      <c r="B1790" s="6"/>
      <c r="C1790" s="6"/>
      <c r="D1790" s="6"/>
      <c r="E1790" s="6"/>
      <c r="G1790" s="1"/>
      <c r="H1790" s="2"/>
    </row>
    <row r="1791" spans="1:8" x14ac:dyDescent="0.25">
      <c r="A1791" s="5"/>
      <c r="B1791" s="6"/>
      <c r="C1791" s="6"/>
      <c r="D1791" s="6"/>
      <c r="E1791" s="6"/>
      <c r="G1791" s="3"/>
      <c r="H1791" s="2"/>
    </row>
    <row r="1792" spans="1:8" x14ac:dyDescent="0.25">
      <c r="A1792" s="5"/>
      <c r="B1792" s="6"/>
      <c r="C1792" s="6"/>
      <c r="D1792" s="6"/>
      <c r="E1792" s="6"/>
      <c r="G1792" s="1"/>
      <c r="H1792" s="2"/>
    </row>
    <row r="1793" spans="1:8" x14ac:dyDescent="0.25">
      <c r="A1793" s="5"/>
      <c r="B1793" s="6"/>
      <c r="C1793" s="6"/>
      <c r="D1793" s="6"/>
      <c r="E1793" s="6"/>
      <c r="G1793" s="3"/>
      <c r="H1793" s="2"/>
    </row>
    <row r="1794" spans="1:8" x14ac:dyDescent="0.25">
      <c r="A1794" s="5"/>
      <c r="B1794" s="6"/>
      <c r="C1794" s="6"/>
      <c r="D1794" s="6"/>
      <c r="E1794" s="6"/>
      <c r="G1794" s="1"/>
      <c r="H1794" s="2"/>
    </row>
    <row r="1795" spans="1:8" x14ac:dyDescent="0.25">
      <c r="A1795" s="5"/>
      <c r="B1795" s="6"/>
      <c r="C1795" s="6"/>
      <c r="D1795" s="6"/>
      <c r="E1795" s="6"/>
      <c r="G1795" s="3"/>
      <c r="H1795" s="2"/>
    </row>
    <row r="1796" spans="1:8" x14ac:dyDescent="0.25">
      <c r="A1796" s="5"/>
      <c r="B1796" s="6"/>
      <c r="C1796" s="6"/>
      <c r="D1796" s="6"/>
      <c r="E1796" s="6"/>
      <c r="G1796" s="1"/>
      <c r="H1796" s="2"/>
    </row>
    <row r="1797" spans="1:8" x14ac:dyDescent="0.25">
      <c r="A1797" s="5"/>
      <c r="B1797" s="6"/>
      <c r="C1797" s="6"/>
      <c r="D1797" s="6"/>
      <c r="E1797" s="6"/>
      <c r="G1797" s="3"/>
      <c r="H1797" s="2"/>
    </row>
    <row r="1798" spans="1:8" x14ac:dyDescent="0.25">
      <c r="A1798" s="5"/>
      <c r="B1798" s="6"/>
      <c r="C1798" s="6"/>
      <c r="D1798" s="6"/>
      <c r="E1798" s="6"/>
      <c r="G1798" s="1"/>
      <c r="H1798" s="2"/>
    </row>
    <row r="1799" spans="1:8" x14ac:dyDescent="0.25">
      <c r="A1799" s="5"/>
      <c r="B1799" s="6"/>
      <c r="C1799" s="6"/>
      <c r="D1799" s="6"/>
      <c r="E1799" s="6"/>
      <c r="G1799" s="3"/>
      <c r="H1799" s="2"/>
    </row>
    <row r="1800" spans="1:8" x14ac:dyDescent="0.25">
      <c r="A1800" s="5"/>
      <c r="B1800" s="6"/>
      <c r="C1800" s="6"/>
      <c r="D1800" s="6"/>
      <c r="E1800" s="6"/>
      <c r="G1800" s="1"/>
      <c r="H1800" s="2"/>
    </row>
    <row r="1801" spans="1:8" x14ac:dyDescent="0.25">
      <c r="A1801" s="5"/>
      <c r="B1801" s="6"/>
      <c r="C1801" s="6"/>
      <c r="D1801" s="6"/>
      <c r="E1801" s="6"/>
      <c r="G1801" s="3"/>
      <c r="H1801" s="2"/>
    </row>
    <row r="1802" spans="1:8" x14ac:dyDescent="0.25">
      <c r="A1802" s="5"/>
      <c r="B1802" s="6"/>
      <c r="C1802" s="6"/>
      <c r="D1802" s="6"/>
      <c r="E1802" s="6"/>
      <c r="G1802" s="1"/>
      <c r="H1802" s="2"/>
    </row>
    <row r="1803" spans="1:8" x14ac:dyDescent="0.25">
      <c r="A1803" s="5"/>
      <c r="B1803" s="6"/>
      <c r="C1803" s="6"/>
      <c r="D1803" s="6"/>
      <c r="E1803" s="6"/>
      <c r="G1803" s="3"/>
      <c r="H1803" s="2"/>
    </row>
    <row r="1804" spans="1:8" x14ac:dyDescent="0.25">
      <c r="A1804" s="5"/>
      <c r="B1804" s="6"/>
      <c r="C1804" s="6"/>
      <c r="D1804" s="6"/>
      <c r="E1804" s="6"/>
      <c r="G1804" s="1"/>
      <c r="H1804" s="2"/>
    </row>
    <row r="1805" spans="1:8" x14ac:dyDescent="0.25">
      <c r="A1805" s="5"/>
      <c r="B1805" s="6"/>
      <c r="C1805" s="6"/>
      <c r="D1805" s="6"/>
      <c r="E1805" s="6"/>
      <c r="G1805" s="3"/>
      <c r="H1805" s="2"/>
    </row>
    <row r="1806" spans="1:8" x14ac:dyDescent="0.25">
      <c r="A1806" s="5"/>
      <c r="B1806" s="6"/>
      <c r="C1806" s="6"/>
      <c r="D1806" s="6"/>
      <c r="E1806" s="6"/>
      <c r="G1806" s="1"/>
      <c r="H1806" s="2"/>
    </row>
    <row r="1807" spans="1:8" x14ac:dyDescent="0.25">
      <c r="A1807" s="5"/>
      <c r="B1807" s="6"/>
      <c r="C1807" s="6"/>
      <c r="D1807" s="6"/>
      <c r="E1807" s="6"/>
      <c r="G1807" s="3"/>
      <c r="H1807" s="2"/>
    </row>
    <row r="1808" spans="1:8" x14ac:dyDescent="0.25">
      <c r="A1808" s="5"/>
      <c r="B1808" s="6"/>
      <c r="C1808" s="6"/>
      <c r="D1808" s="6"/>
      <c r="E1808" s="6"/>
      <c r="G1808" s="1"/>
      <c r="H1808" s="2"/>
    </row>
    <row r="1809" spans="1:8" x14ac:dyDescent="0.25">
      <c r="A1809" s="5"/>
      <c r="B1809" s="6"/>
      <c r="C1809" s="6"/>
      <c r="D1809" s="6"/>
      <c r="E1809" s="6"/>
      <c r="G1809" s="3"/>
      <c r="H1809" s="2"/>
    </row>
    <row r="1810" spans="1:8" x14ac:dyDescent="0.25">
      <c r="A1810" s="5"/>
      <c r="B1810" s="6"/>
      <c r="C1810" s="6"/>
      <c r="D1810" s="6"/>
      <c r="E1810" s="6"/>
      <c r="G1810" s="1"/>
      <c r="H1810" s="2"/>
    </row>
    <row r="1811" spans="1:8" x14ac:dyDescent="0.25">
      <c r="A1811" s="5"/>
      <c r="B1811" s="6"/>
      <c r="C1811" s="6"/>
      <c r="D1811" s="6"/>
      <c r="E1811" s="6"/>
      <c r="G1811" s="3"/>
      <c r="H1811" s="2"/>
    </row>
    <row r="1812" spans="1:8" x14ac:dyDescent="0.25">
      <c r="A1812" s="5"/>
      <c r="B1812" s="6"/>
      <c r="C1812" s="6"/>
      <c r="D1812" s="6"/>
      <c r="E1812" s="6"/>
      <c r="G1812" s="1"/>
      <c r="H1812" s="2"/>
    </row>
    <row r="1813" spans="1:8" x14ac:dyDescent="0.25">
      <c r="A1813" s="5"/>
      <c r="B1813" s="6"/>
      <c r="C1813" s="6"/>
      <c r="D1813" s="6"/>
      <c r="E1813" s="6"/>
      <c r="G1813" s="3"/>
      <c r="H1813" s="2"/>
    </row>
    <row r="1814" spans="1:8" x14ac:dyDescent="0.25">
      <c r="A1814" s="5"/>
      <c r="B1814" s="6"/>
      <c r="C1814" s="6"/>
      <c r="D1814" s="6"/>
      <c r="E1814" s="6"/>
      <c r="G1814" s="1"/>
      <c r="H1814" s="2"/>
    </row>
    <row r="1815" spans="1:8" x14ac:dyDescent="0.25">
      <c r="A1815" s="5"/>
      <c r="B1815" s="6"/>
      <c r="C1815" s="6"/>
      <c r="D1815" s="6"/>
      <c r="E1815" s="6"/>
      <c r="G1815" s="3"/>
      <c r="H1815" s="2"/>
    </row>
    <row r="1816" spans="1:8" x14ac:dyDescent="0.25">
      <c r="A1816" s="5"/>
      <c r="B1816" s="6"/>
      <c r="C1816" s="6"/>
      <c r="D1816" s="6"/>
      <c r="E1816" s="6"/>
      <c r="G1816" s="1"/>
      <c r="H1816" s="2"/>
    </row>
    <row r="1817" spans="1:8" x14ac:dyDescent="0.25">
      <c r="A1817" s="5"/>
      <c r="B1817" s="6"/>
      <c r="C1817" s="6"/>
      <c r="D1817" s="6"/>
      <c r="E1817" s="6"/>
      <c r="G1817" s="3"/>
      <c r="H1817" s="2"/>
    </row>
    <row r="1818" spans="1:8" x14ac:dyDescent="0.25">
      <c r="A1818" s="5"/>
      <c r="B1818" s="6"/>
      <c r="C1818" s="6"/>
      <c r="D1818" s="6"/>
      <c r="E1818" s="6"/>
      <c r="G1818" s="1"/>
      <c r="H1818" s="2"/>
    </row>
    <row r="1819" spans="1:8" x14ac:dyDescent="0.25">
      <c r="A1819" s="5"/>
      <c r="B1819" s="6"/>
      <c r="C1819" s="6"/>
      <c r="D1819" s="6"/>
      <c r="E1819" s="6"/>
      <c r="G1819" s="3"/>
      <c r="H1819" s="2"/>
    </row>
    <row r="1820" spans="1:8" x14ac:dyDescent="0.25">
      <c r="A1820" s="5"/>
      <c r="B1820" s="6"/>
      <c r="C1820" s="6"/>
      <c r="D1820" s="6"/>
      <c r="E1820" s="6"/>
      <c r="G1820" s="1"/>
      <c r="H1820" s="2"/>
    </row>
    <row r="1821" spans="1:8" x14ac:dyDescent="0.25">
      <c r="A1821" s="5"/>
      <c r="B1821" s="6"/>
      <c r="C1821" s="6"/>
      <c r="D1821" s="6"/>
      <c r="E1821" s="6"/>
      <c r="G1821" s="3"/>
      <c r="H1821" s="2"/>
    </row>
    <row r="1822" spans="1:8" x14ac:dyDescent="0.25">
      <c r="A1822" s="5"/>
      <c r="B1822" s="6"/>
      <c r="C1822" s="6"/>
      <c r="D1822" s="6"/>
      <c r="E1822" s="6"/>
      <c r="G1822" s="1"/>
      <c r="H1822" s="2"/>
    </row>
    <row r="1823" spans="1:8" x14ac:dyDescent="0.25">
      <c r="A1823" s="5"/>
      <c r="B1823" s="6"/>
      <c r="C1823" s="6"/>
      <c r="D1823" s="6"/>
      <c r="E1823" s="6"/>
      <c r="G1823" s="3"/>
      <c r="H1823" s="2"/>
    </row>
    <row r="1824" spans="1:8" x14ac:dyDescent="0.25">
      <c r="A1824" s="5"/>
      <c r="B1824" s="6"/>
      <c r="C1824" s="6"/>
      <c r="D1824" s="6"/>
      <c r="E1824" s="6"/>
      <c r="G1824" s="1"/>
      <c r="H1824" s="2"/>
    </row>
    <row r="1825" spans="1:8" x14ac:dyDescent="0.25">
      <c r="A1825" s="5"/>
      <c r="B1825" s="6"/>
      <c r="C1825" s="6"/>
      <c r="D1825" s="6"/>
      <c r="E1825" s="6"/>
      <c r="G1825" s="3"/>
      <c r="H1825" s="2"/>
    </row>
    <row r="1826" spans="1:8" x14ac:dyDescent="0.25">
      <c r="A1826" s="5"/>
      <c r="B1826" s="6"/>
      <c r="C1826" s="6"/>
      <c r="D1826" s="6"/>
      <c r="E1826" s="6"/>
      <c r="G1826" s="1"/>
      <c r="H1826" s="2"/>
    </row>
    <row r="1827" spans="1:8" x14ac:dyDescent="0.25">
      <c r="A1827" s="5"/>
      <c r="B1827" s="6"/>
      <c r="C1827" s="6"/>
      <c r="D1827" s="6"/>
      <c r="E1827" s="6"/>
      <c r="G1827" s="3"/>
      <c r="H1827" s="2"/>
    </row>
    <row r="1828" spans="1:8" x14ac:dyDescent="0.25">
      <c r="A1828" s="5"/>
      <c r="B1828" s="6"/>
      <c r="C1828" s="6"/>
      <c r="D1828" s="6"/>
      <c r="E1828" s="6"/>
      <c r="G1828" s="1"/>
      <c r="H1828" s="2"/>
    </row>
    <row r="1829" spans="1:8" x14ac:dyDescent="0.25">
      <c r="A1829" s="5"/>
      <c r="B1829" s="6"/>
      <c r="C1829" s="6"/>
      <c r="D1829" s="6"/>
      <c r="E1829" s="6"/>
      <c r="G1829" s="3"/>
      <c r="H1829" s="2"/>
    </row>
    <row r="1830" spans="1:8" x14ac:dyDescent="0.25">
      <c r="A1830" s="5"/>
      <c r="B1830" s="6"/>
      <c r="C1830" s="6"/>
      <c r="D1830" s="6"/>
      <c r="E1830" s="6"/>
      <c r="G1830" s="1"/>
      <c r="H1830" s="2"/>
    </row>
    <row r="1831" spans="1:8" x14ac:dyDescent="0.25">
      <c r="A1831" s="5"/>
      <c r="B1831" s="6"/>
      <c r="C1831" s="6"/>
      <c r="D1831" s="6"/>
      <c r="E1831" s="6"/>
      <c r="G1831" s="3"/>
      <c r="H1831" s="2"/>
    </row>
    <row r="1832" spans="1:8" x14ac:dyDescent="0.25">
      <c r="A1832" s="5"/>
      <c r="B1832" s="6"/>
      <c r="C1832" s="6"/>
      <c r="D1832" s="6"/>
      <c r="E1832" s="6"/>
      <c r="G1832" s="1"/>
      <c r="H1832" s="2"/>
    </row>
    <row r="1833" spans="1:8" x14ac:dyDescent="0.25">
      <c r="A1833" s="5"/>
      <c r="B1833" s="6"/>
      <c r="C1833" s="6"/>
      <c r="D1833" s="6"/>
      <c r="E1833" s="6"/>
      <c r="G1833" s="3"/>
      <c r="H1833" s="2"/>
    </row>
    <row r="1834" spans="1:8" x14ac:dyDescent="0.25">
      <c r="A1834" s="5"/>
      <c r="B1834" s="6"/>
      <c r="C1834" s="6"/>
      <c r="D1834" s="6"/>
      <c r="E1834" s="6"/>
      <c r="G1834" s="1"/>
      <c r="H1834" s="2"/>
    </row>
    <row r="1835" spans="1:8" x14ac:dyDescent="0.25">
      <c r="A1835" s="5"/>
      <c r="B1835" s="6"/>
      <c r="C1835" s="6"/>
      <c r="D1835" s="6"/>
      <c r="E1835" s="6"/>
      <c r="G1835" s="3"/>
      <c r="H1835" s="2"/>
    </row>
    <row r="1836" spans="1:8" x14ac:dyDescent="0.25">
      <c r="A1836" s="5"/>
      <c r="B1836" s="6"/>
      <c r="C1836" s="6"/>
      <c r="D1836" s="6"/>
      <c r="E1836" s="6"/>
      <c r="G1836" s="1"/>
      <c r="H1836" s="2"/>
    </row>
    <row r="1837" spans="1:8" x14ac:dyDescent="0.25">
      <c r="A1837" s="5"/>
      <c r="B1837" s="6"/>
      <c r="C1837" s="6"/>
      <c r="D1837" s="6"/>
      <c r="E1837" s="6"/>
      <c r="G1837" s="3"/>
      <c r="H1837" s="2"/>
    </row>
    <row r="1838" spans="1:8" x14ac:dyDescent="0.25">
      <c r="A1838" s="5"/>
      <c r="B1838" s="6"/>
      <c r="C1838" s="6"/>
      <c r="D1838" s="6"/>
      <c r="E1838" s="6"/>
      <c r="G1838" s="1"/>
      <c r="H1838" s="2"/>
    </row>
    <row r="1839" spans="1:8" x14ac:dyDescent="0.25">
      <c r="A1839" s="5"/>
      <c r="B1839" s="6"/>
      <c r="C1839" s="6"/>
      <c r="D1839" s="6"/>
      <c r="E1839" s="6"/>
      <c r="G1839" s="3"/>
      <c r="H1839" s="2"/>
    </row>
    <row r="1840" spans="1:8" x14ac:dyDescent="0.25">
      <c r="A1840" s="5"/>
      <c r="B1840" s="6"/>
      <c r="C1840" s="6"/>
      <c r="D1840" s="6"/>
      <c r="E1840" s="6"/>
      <c r="G1840" s="1"/>
      <c r="H1840" s="2"/>
    </row>
    <row r="1841" spans="1:8" x14ac:dyDescent="0.25">
      <c r="A1841" s="5"/>
      <c r="B1841" s="6"/>
      <c r="C1841" s="6"/>
      <c r="D1841" s="6"/>
      <c r="E1841" s="6"/>
      <c r="G1841" s="3"/>
      <c r="H1841" s="2"/>
    </row>
    <row r="1842" spans="1:8" x14ac:dyDescent="0.25">
      <c r="A1842" s="5"/>
      <c r="B1842" s="6"/>
      <c r="C1842" s="6"/>
      <c r="D1842" s="6"/>
      <c r="E1842" s="6"/>
      <c r="G1842" s="1"/>
      <c r="H1842" s="2"/>
    </row>
    <row r="1843" spans="1:8" x14ac:dyDescent="0.25">
      <c r="A1843" s="5"/>
      <c r="B1843" s="6"/>
      <c r="C1843" s="6"/>
      <c r="D1843" s="6"/>
      <c r="E1843" s="6"/>
      <c r="G1843" s="3"/>
      <c r="H1843" s="2"/>
    </row>
    <row r="1844" spans="1:8" x14ac:dyDescent="0.25">
      <c r="A1844" s="5"/>
      <c r="B1844" s="6"/>
      <c r="C1844" s="6"/>
      <c r="D1844" s="6"/>
      <c r="E1844" s="6"/>
      <c r="G1844" s="1"/>
      <c r="H1844" s="2"/>
    </row>
    <row r="1845" spans="1:8" x14ac:dyDescent="0.25">
      <c r="A1845" s="5"/>
      <c r="B1845" s="6"/>
      <c r="C1845" s="6"/>
      <c r="D1845" s="6"/>
      <c r="E1845" s="6"/>
      <c r="G1845" s="3"/>
      <c r="H1845" s="2"/>
    </row>
    <row r="1846" spans="1:8" x14ac:dyDescent="0.25">
      <c r="A1846" s="5"/>
      <c r="B1846" s="6"/>
      <c r="C1846" s="6"/>
      <c r="D1846" s="6"/>
      <c r="E1846" s="6"/>
      <c r="G1846" s="1"/>
      <c r="H1846" s="2"/>
    </row>
    <row r="1847" spans="1:8" x14ac:dyDescent="0.25">
      <c r="A1847" s="5"/>
      <c r="B1847" s="6"/>
      <c r="C1847" s="6"/>
      <c r="D1847" s="6"/>
      <c r="E1847" s="6"/>
      <c r="G1847" s="3"/>
      <c r="H1847" s="2"/>
    </row>
    <row r="1848" spans="1:8" x14ac:dyDescent="0.25">
      <c r="A1848" s="5"/>
      <c r="B1848" s="6"/>
      <c r="C1848" s="6"/>
      <c r="D1848" s="6"/>
      <c r="E1848" s="6"/>
      <c r="G1848" s="1"/>
      <c r="H1848" s="2"/>
    </row>
    <row r="1849" spans="1:8" x14ac:dyDescent="0.25">
      <c r="A1849" s="5"/>
      <c r="B1849" s="6"/>
      <c r="C1849" s="6"/>
      <c r="D1849" s="6"/>
      <c r="E1849" s="6"/>
      <c r="G1849" s="3"/>
      <c r="H1849" s="2"/>
    </row>
    <row r="1850" spans="1:8" x14ac:dyDescent="0.25">
      <c r="A1850" s="5"/>
      <c r="B1850" s="6"/>
      <c r="C1850" s="6"/>
      <c r="D1850" s="6"/>
      <c r="E1850" s="6"/>
      <c r="G1850" s="1"/>
      <c r="H1850" s="2"/>
    </row>
    <row r="1851" spans="1:8" x14ac:dyDescent="0.25">
      <c r="A1851" s="5"/>
      <c r="B1851" s="6"/>
      <c r="C1851" s="6"/>
      <c r="D1851" s="6"/>
      <c r="E1851" s="6"/>
      <c r="G1851" s="3"/>
      <c r="H1851" s="2"/>
    </row>
    <row r="1852" spans="1:8" x14ac:dyDescent="0.25">
      <c r="A1852" s="5"/>
      <c r="B1852" s="6"/>
      <c r="C1852" s="6"/>
      <c r="D1852" s="6"/>
      <c r="E1852" s="6"/>
      <c r="G1852" s="1"/>
      <c r="H1852" s="2"/>
    </row>
    <row r="1853" spans="1:8" x14ac:dyDescent="0.25">
      <c r="A1853" s="5"/>
      <c r="B1853" s="6"/>
      <c r="C1853" s="6"/>
      <c r="D1853" s="6"/>
      <c r="E1853" s="6"/>
      <c r="G1853" s="3"/>
      <c r="H1853" s="2"/>
    </row>
    <row r="1854" spans="1:8" x14ac:dyDescent="0.25">
      <c r="A1854" s="5"/>
      <c r="B1854" s="6"/>
      <c r="C1854" s="6"/>
      <c r="D1854" s="6"/>
      <c r="E1854" s="6"/>
      <c r="G1854" s="1"/>
      <c r="H1854" s="2"/>
    </row>
    <row r="1855" spans="1:8" x14ac:dyDescent="0.25">
      <c r="A1855" s="5"/>
      <c r="B1855" s="6"/>
      <c r="C1855" s="6"/>
      <c r="D1855" s="6"/>
      <c r="E1855" s="6"/>
      <c r="G1855" s="3"/>
      <c r="H1855" s="2"/>
    </row>
    <row r="1856" spans="1:8" x14ac:dyDescent="0.25">
      <c r="A1856" s="5"/>
      <c r="B1856" s="6"/>
      <c r="C1856" s="6"/>
      <c r="D1856" s="6"/>
      <c r="E1856" s="6"/>
      <c r="G1856" s="1"/>
      <c r="H1856" s="2"/>
    </row>
    <row r="1857" spans="1:8" x14ac:dyDescent="0.25">
      <c r="A1857" s="5"/>
      <c r="B1857" s="6"/>
      <c r="C1857" s="6"/>
      <c r="D1857" s="6"/>
      <c r="E1857" s="6"/>
      <c r="G1857" s="3"/>
      <c r="H1857" s="2"/>
    </row>
    <row r="1858" spans="1:8" x14ac:dyDescent="0.25">
      <c r="A1858" s="5"/>
      <c r="B1858" s="6"/>
      <c r="C1858" s="6"/>
      <c r="D1858" s="6"/>
      <c r="E1858" s="6"/>
      <c r="G1858" s="1"/>
      <c r="H1858" s="2"/>
    </row>
    <row r="1859" spans="1:8" x14ac:dyDescent="0.25">
      <c r="A1859" s="5"/>
      <c r="B1859" s="6"/>
      <c r="C1859" s="6"/>
      <c r="D1859" s="6"/>
      <c r="E1859" s="6"/>
      <c r="G1859" s="3"/>
      <c r="H1859" s="2"/>
    </row>
    <row r="1860" spans="1:8" x14ac:dyDescent="0.25">
      <c r="A1860" s="5"/>
      <c r="B1860" s="6"/>
      <c r="C1860" s="6"/>
      <c r="D1860" s="6"/>
      <c r="E1860" s="6"/>
      <c r="G1860" s="1"/>
      <c r="H1860" s="2"/>
    </row>
    <row r="1861" spans="1:8" x14ac:dyDescent="0.25">
      <c r="A1861" s="5"/>
      <c r="B1861" s="6"/>
      <c r="C1861" s="6"/>
      <c r="D1861" s="6"/>
      <c r="E1861" s="6"/>
      <c r="G1861" s="3"/>
      <c r="H1861" s="2"/>
    </row>
    <row r="1862" spans="1:8" x14ac:dyDescent="0.25">
      <c r="A1862" s="5"/>
      <c r="B1862" s="6"/>
      <c r="C1862" s="6"/>
      <c r="D1862" s="6"/>
      <c r="E1862" s="6"/>
      <c r="G1862" s="1"/>
      <c r="H1862" s="2"/>
    </row>
    <row r="1863" spans="1:8" x14ac:dyDescent="0.25">
      <c r="A1863" s="5"/>
      <c r="B1863" s="6"/>
      <c r="C1863" s="6"/>
      <c r="D1863" s="6"/>
      <c r="E1863" s="6"/>
      <c r="G1863" s="3"/>
      <c r="H1863" s="2"/>
    </row>
    <row r="1864" spans="1:8" x14ac:dyDescent="0.25">
      <c r="A1864" s="5"/>
      <c r="B1864" s="6"/>
      <c r="C1864" s="6"/>
      <c r="D1864" s="6"/>
      <c r="E1864" s="6"/>
      <c r="G1864" s="1"/>
      <c r="H1864" s="2"/>
    </row>
    <row r="1865" spans="1:8" x14ac:dyDescent="0.25">
      <c r="A1865" s="5"/>
      <c r="B1865" s="6"/>
      <c r="C1865" s="6"/>
      <c r="D1865" s="6"/>
      <c r="E1865" s="6"/>
      <c r="G1865" s="3"/>
      <c r="H1865" s="2"/>
    </row>
    <row r="1866" spans="1:8" x14ac:dyDescent="0.25">
      <c r="A1866" s="5"/>
      <c r="B1866" s="6"/>
      <c r="C1866" s="6"/>
      <c r="D1866" s="6"/>
      <c r="E1866" s="6"/>
      <c r="G1866" s="1"/>
      <c r="H1866" s="2"/>
    </row>
    <row r="1867" spans="1:8" x14ac:dyDescent="0.25">
      <c r="A1867" s="5"/>
      <c r="B1867" s="6"/>
      <c r="C1867" s="6"/>
      <c r="D1867" s="6"/>
      <c r="E1867" s="6"/>
      <c r="G1867" s="3"/>
      <c r="H1867" s="2"/>
    </row>
    <row r="1868" spans="1:8" x14ac:dyDescent="0.25">
      <c r="A1868" s="5"/>
      <c r="B1868" s="6"/>
      <c r="C1868" s="6"/>
      <c r="D1868" s="6"/>
      <c r="E1868" s="6"/>
      <c r="G1868" s="1"/>
      <c r="H1868" s="2"/>
    </row>
    <row r="1869" spans="1:8" x14ac:dyDescent="0.25">
      <c r="A1869" s="5"/>
      <c r="B1869" s="6"/>
      <c r="C1869" s="6"/>
      <c r="D1869" s="6"/>
      <c r="E1869" s="6"/>
      <c r="G1869" s="3"/>
      <c r="H1869" s="2"/>
    </row>
    <row r="1870" spans="1:8" x14ac:dyDescent="0.25">
      <c r="A1870" s="5"/>
      <c r="B1870" s="6"/>
      <c r="C1870" s="6"/>
      <c r="D1870" s="6"/>
      <c r="E1870" s="6"/>
      <c r="G1870" s="1"/>
      <c r="H1870" s="2"/>
    </row>
    <row r="1871" spans="1:8" x14ac:dyDescent="0.25">
      <c r="A1871" s="5"/>
      <c r="B1871" s="6"/>
      <c r="C1871" s="6"/>
      <c r="D1871" s="6"/>
      <c r="E1871" s="6"/>
      <c r="G1871" s="3"/>
      <c r="H1871" s="2"/>
    </row>
    <row r="1872" spans="1:8" x14ac:dyDescent="0.25">
      <c r="A1872" s="5"/>
      <c r="B1872" s="6"/>
      <c r="C1872" s="6"/>
      <c r="D1872" s="6"/>
      <c r="E1872" s="6"/>
      <c r="G1872" s="1"/>
      <c r="H1872" s="2"/>
    </row>
    <row r="1873" spans="1:8" x14ac:dyDescent="0.25">
      <c r="A1873" s="5"/>
      <c r="B1873" s="6"/>
      <c r="C1873" s="6"/>
      <c r="D1873" s="6"/>
      <c r="E1873" s="6"/>
      <c r="G1873" s="3"/>
      <c r="H1873" s="2"/>
    </row>
    <row r="1874" spans="1:8" x14ac:dyDescent="0.25">
      <c r="A1874" s="5"/>
      <c r="B1874" s="6"/>
      <c r="C1874" s="6"/>
      <c r="D1874" s="6"/>
      <c r="E1874" s="6"/>
      <c r="G1874" s="1"/>
      <c r="H1874" s="2"/>
    </row>
    <row r="1875" spans="1:8" x14ac:dyDescent="0.25">
      <c r="A1875" s="5"/>
      <c r="B1875" s="6"/>
      <c r="C1875" s="6"/>
      <c r="D1875" s="6"/>
      <c r="E1875" s="6"/>
      <c r="G1875" s="3"/>
      <c r="H1875" s="2"/>
    </row>
    <row r="1876" spans="1:8" x14ac:dyDescent="0.25">
      <c r="A1876" s="5"/>
      <c r="B1876" s="6"/>
      <c r="C1876" s="6"/>
      <c r="D1876" s="6"/>
      <c r="E1876" s="6"/>
      <c r="G1876" s="1"/>
      <c r="H1876" s="2"/>
    </row>
    <row r="1877" spans="1:8" x14ac:dyDescent="0.25">
      <c r="A1877" s="5"/>
      <c r="B1877" s="6"/>
      <c r="C1877" s="6"/>
      <c r="D1877" s="6"/>
      <c r="E1877" s="6"/>
      <c r="G1877" s="3"/>
      <c r="H1877" s="2"/>
    </row>
    <row r="1878" spans="1:8" x14ac:dyDescent="0.25">
      <c r="A1878" s="5"/>
      <c r="B1878" s="6"/>
      <c r="C1878" s="6"/>
      <c r="D1878" s="6"/>
      <c r="E1878" s="6"/>
      <c r="G1878" s="1"/>
      <c r="H1878" s="2"/>
    </row>
    <row r="1879" spans="1:8" x14ac:dyDescent="0.25">
      <c r="A1879" s="5"/>
      <c r="B1879" s="6"/>
      <c r="C1879" s="6"/>
      <c r="D1879" s="6"/>
      <c r="E1879" s="6"/>
      <c r="G1879" s="3"/>
      <c r="H1879" s="2"/>
    </row>
    <row r="1880" spans="1:8" x14ac:dyDescent="0.25">
      <c r="A1880" s="5"/>
      <c r="B1880" s="6"/>
      <c r="C1880" s="6"/>
      <c r="D1880" s="6"/>
      <c r="E1880" s="6"/>
      <c r="G1880" s="1"/>
      <c r="H1880" s="2"/>
    </row>
    <row r="1881" spans="1:8" x14ac:dyDescent="0.25">
      <c r="A1881" s="5"/>
      <c r="B1881" s="6"/>
      <c r="C1881" s="6"/>
      <c r="D1881" s="6"/>
      <c r="E1881" s="6"/>
      <c r="G1881" s="3"/>
      <c r="H1881" s="2"/>
    </row>
    <row r="1882" spans="1:8" x14ac:dyDescent="0.25">
      <c r="A1882" s="5"/>
      <c r="B1882" s="6"/>
      <c r="C1882" s="6"/>
      <c r="D1882" s="6"/>
      <c r="E1882" s="6"/>
      <c r="G1882" s="1"/>
      <c r="H1882" s="2"/>
    </row>
    <row r="1883" spans="1:8" x14ac:dyDescent="0.25">
      <c r="A1883" s="5"/>
      <c r="B1883" s="6"/>
      <c r="C1883" s="6"/>
      <c r="D1883" s="6"/>
      <c r="E1883" s="6"/>
      <c r="G1883" s="3"/>
      <c r="H1883" s="2"/>
    </row>
    <row r="1884" spans="1:8" x14ac:dyDescent="0.25">
      <c r="A1884" s="5"/>
      <c r="B1884" s="6"/>
      <c r="C1884" s="6"/>
      <c r="D1884" s="6"/>
      <c r="E1884" s="6"/>
      <c r="G1884" s="1"/>
      <c r="H1884" s="2"/>
    </row>
    <row r="1885" spans="1:8" x14ac:dyDescent="0.25">
      <c r="A1885" s="5"/>
      <c r="B1885" s="6"/>
      <c r="C1885" s="6"/>
      <c r="D1885" s="6"/>
      <c r="E1885" s="6"/>
      <c r="G1885" s="3"/>
      <c r="H1885" s="2"/>
    </row>
    <row r="1886" spans="1:8" x14ac:dyDescent="0.25">
      <c r="A1886" s="5"/>
      <c r="B1886" s="6"/>
      <c r="C1886" s="6"/>
      <c r="D1886" s="6"/>
      <c r="E1886" s="6"/>
      <c r="G1886" s="1"/>
      <c r="H1886" s="2"/>
    </row>
    <row r="1887" spans="1:8" x14ac:dyDescent="0.25">
      <c r="A1887" s="5"/>
      <c r="B1887" s="6"/>
      <c r="C1887" s="6"/>
      <c r="D1887" s="6"/>
      <c r="E1887" s="6"/>
      <c r="G1887" s="3"/>
      <c r="H1887" s="2"/>
    </row>
    <row r="1888" spans="1:8" x14ac:dyDescent="0.25">
      <c r="A1888" s="5"/>
      <c r="B1888" s="6"/>
      <c r="C1888" s="6"/>
      <c r="D1888" s="6"/>
      <c r="E1888" s="6"/>
      <c r="G1888" s="1"/>
      <c r="H1888" s="2"/>
    </row>
    <row r="1889" spans="1:8" x14ac:dyDescent="0.25">
      <c r="A1889" s="5"/>
      <c r="B1889" s="6"/>
      <c r="C1889" s="6"/>
      <c r="D1889" s="6"/>
      <c r="E1889" s="6"/>
      <c r="G1889" s="3"/>
      <c r="H1889" s="2"/>
    </row>
    <row r="1890" spans="1:8" x14ac:dyDescent="0.25">
      <c r="A1890" s="5"/>
      <c r="B1890" s="6"/>
      <c r="C1890" s="6"/>
      <c r="D1890" s="6"/>
      <c r="E1890" s="6"/>
      <c r="G1890" s="1"/>
      <c r="H1890" s="2"/>
    </row>
    <row r="1891" spans="1:8" x14ac:dyDescent="0.25">
      <c r="A1891" s="5"/>
      <c r="B1891" s="6"/>
      <c r="C1891" s="6"/>
      <c r="D1891" s="6"/>
      <c r="E1891" s="6"/>
      <c r="G1891" s="3"/>
      <c r="H1891" s="2"/>
    </row>
    <row r="1892" spans="1:8" x14ac:dyDescent="0.25">
      <c r="A1892" s="5"/>
      <c r="B1892" s="6"/>
      <c r="C1892" s="6"/>
      <c r="D1892" s="6"/>
      <c r="E1892" s="6"/>
      <c r="G1892" s="1"/>
      <c r="H1892" s="2"/>
    </row>
    <row r="1893" spans="1:8" x14ac:dyDescent="0.25">
      <c r="A1893" s="5"/>
      <c r="B1893" s="6"/>
      <c r="C1893" s="6"/>
      <c r="D1893" s="6"/>
      <c r="E1893" s="6"/>
      <c r="G1893" s="3"/>
      <c r="H1893" s="2"/>
    </row>
    <row r="1894" spans="1:8" x14ac:dyDescent="0.25">
      <c r="A1894" s="5"/>
      <c r="B1894" s="6"/>
      <c r="C1894" s="6"/>
      <c r="D1894" s="6"/>
      <c r="E1894" s="6"/>
      <c r="G1894" s="1"/>
      <c r="H1894" s="2"/>
    </row>
    <row r="1895" spans="1:8" x14ac:dyDescent="0.25">
      <c r="A1895" s="5"/>
      <c r="B1895" s="6"/>
      <c r="C1895" s="6"/>
      <c r="D1895" s="6"/>
      <c r="E1895" s="6"/>
      <c r="G1895" s="3"/>
      <c r="H1895" s="2"/>
    </row>
    <row r="1896" spans="1:8" x14ac:dyDescent="0.25">
      <c r="A1896" s="5"/>
      <c r="B1896" s="6"/>
      <c r="C1896" s="6"/>
      <c r="D1896" s="6"/>
      <c r="E1896" s="6"/>
      <c r="G1896" s="1"/>
      <c r="H1896" s="2"/>
    </row>
    <row r="1897" spans="1:8" x14ac:dyDescent="0.25">
      <c r="A1897" s="5"/>
      <c r="B1897" s="6"/>
      <c r="C1897" s="6"/>
      <c r="D1897" s="6"/>
      <c r="E1897" s="6"/>
      <c r="G1897" s="3"/>
      <c r="H1897" s="2"/>
    </row>
    <row r="1898" spans="1:8" x14ac:dyDescent="0.25">
      <c r="A1898" s="5"/>
      <c r="B1898" s="6"/>
      <c r="C1898" s="6"/>
      <c r="D1898" s="6"/>
      <c r="E1898" s="6"/>
      <c r="G1898" s="1"/>
      <c r="H1898" s="2"/>
    </row>
    <row r="1899" spans="1:8" x14ac:dyDescent="0.25">
      <c r="A1899" s="5"/>
      <c r="B1899" s="6"/>
      <c r="C1899" s="6"/>
      <c r="D1899" s="6"/>
      <c r="E1899" s="6"/>
      <c r="G1899" s="3"/>
      <c r="H1899" s="2"/>
    </row>
    <row r="1900" spans="1:8" x14ac:dyDescent="0.25">
      <c r="A1900" s="5"/>
      <c r="B1900" s="6"/>
      <c r="C1900" s="6"/>
      <c r="D1900" s="6"/>
      <c r="E1900" s="6"/>
      <c r="G1900" s="1"/>
      <c r="H1900" s="2"/>
    </row>
    <row r="1901" spans="1:8" x14ac:dyDescent="0.25">
      <c r="A1901" s="5"/>
      <c r="B1901" s="6"/>
      <c r="C1901" s="6"/>
      <c r="D1901" s="6"/>
      <c r="E1901" s="6"/>
      <c r="G1901" s="3"/>
      <c r="H1901" s="2"/>
    </row>
    <row r="1902" spans="1:8" x14ac:dyDescent="0.25">
      <c r="A1902" s="5"/>
      <c r="B1902" s="6"/>
      <c r="C1902" s="6"/>
      <c r="D1902" s="6"/>
      <c r="E1902" s="6"/>
      <c r="G1902" s="1"/>
      <c r="H1902" s="2"/>
    </row>
    <row r="1903" spans="1:8" x14ac:dyDescent="0.25">
      <c r="A1903" s="5"/>
      <c r="B1903" s="6"/>
      <c r="C1903" s="6"/>
      <c r="D1903" s="6"/>
      <c r="E1903" s="6"/>
      <c r="G1903" s="3"/>
      <c r="H1903" s="2"/>
    </row>
    <row r="1904" spans="1:8" x14ac:dyDescent="0.25">
      <c r="A1904" s="5"/>
      <c r="B1904" s="6"/>
      <c r="C1904" s="6"/>
      <c r="D1904" s="6"/>
      <c r="E1904" s="6"/>
      <c r="G1904" s="1"/>
      <c r="H1904" s="2"/>
    </row>
    <row r="1905" spans="1:8" x14ac:dyDescent="0.25">
      <c r="A1905" s="5"/>
      <c r="B1905" s="6"/>
      <c r="C1905" s="6"/>
      <c r="D1905" s="6"/>
      <c r="E1905" s="6"/>
      <c r="G1905" s="3"/>
      <c r="H1905" s="2"/>
    </row>
    <row r="1906" spans="1:8" x14ac:dyDescent="0.25">
      <c r="A1906" s="5"/>
      <c r="B1906" s="6"/>
      <c r="C1906" s="6"/>
      <c r="D1906" s="6"/>
      <c r="E1906" s="6"/>
      <c r="G1906" s="1"/>
      <c r="H1906" s="2"/>
    </row>
    <row r="1907" spans="1:8" x14ac:dyDescent="0.25">
      <c r="A1907" s="5"/>
      <c r="B1907" s="6"/>
      <c r="C1907" s="6"/>
      <c r="D1907" s="6"/>
      <c r="E1907" s="6"/>
      <c r="G1907" s="3"/>
      <c r="H1907" s="2"/>
    </row>
    <row r="1908" spans="1:8" x14ac:dyDescent="0.25">
      <c r="A1908" s="5"/>
      <c r="B1908" s="6"/>
      <c r="C1908" s="6"/>
      <c r="D1908" s="6"/>
      <c r="E1908" s="6"/>
      <c r="G1908" s="1"/>
      <c r="H1908" s="2"/>
    </row>
    <row r="1909" spans="1:8" x14ac:dyDescent="0.25">
      <c r="A1909" s="5"/>
      <c r="B1909" s="6"/>
      <c r="C1909" s="6"/>
      <c r="D1909" s="6"/>
      <c r="E1909" s="6"/>
      <c r="G1909" s="3"/>
      <c r="H1909" s="2"/>
    </row>
    <row r="1910" spans="1:8" x14ac:dyDescent="0.25">
      <c r="A1910" s="5"/>
      <c r="B1910" s="6"/>
      <c r="C1910" s="6"/>
      <c r="D1910" s="6"/>
      <c r="E1910" s="6"/>
      <c r="G1910" s="1"/>
      <c r="H1910" s="2"/>
    </row>
    <row r="1911" spans="1:8" x14ac:dyDescent="0.25">
      <c r="A1911" s="5"/>
      <c r="B1911" s="6"/>
      <c r="C1911" s="6"/>
      <c r="D1911" s="6"/>
      <c r="E1911" s="6"/>
      <c r="G1911" s="3"/>
      <c r="H1911" s="2"/>
    </row>
    <row r="1912" spans="1:8" x14ac:dyDescent="0.25">
      <c r="A1912" s="5"/>
      <c r="B1912" s="6"/>
      <c r="C1912" s="6"/>
      <c r="D1912" s="6"/>
      <c r="E1912" s="6"/>
      <c r="G1912" s="1"/>
      <c r="H1912" s="2"/>
    </row>
    <row r="1913" spans="1:8" x14ac:dyDescent="0.25">
      <c r="A1913" s="5"/>
      <c r="B1913" s="6"/>
      <c r="C1913" s="6"/>
      <c r="D1913" s="6"/>
      <c r="E1913" s="6"/>
      <c r="G1913" s="3"/>
      <c r="H1913" s="2"/>
    </row>
    <row r="1914" spans="1:8" x14ac:dyDescent="0.25">
      <c r="A1914" s="5"/>
      <c r="B1914" s="6"/>
      <c r="C1914" s="6"/>
      <c r="D1914" s="6"/>
      <c r="E1914" s="6"/>
      <c r="G1914" s="1"/>
      <c r="H1914" s="2"/>
    </row>
    <row r="1915" spans="1:8" x14ac:dyDescent="0.25">
      <c r="A1915" s="5"/>
      <c r="B1915" s="6"/>
      <c r="C1915" s="6"/>
      <c r="D1915" s="6"/>
      <c r="E1915" s="6"/>
      <c r="G1915" s="3"/>
      <c r="H1915" s="2"/>
    </row>
    <row r="1916" spans="1:8" x14ac:dyDescent="0.25">
      <c r="A1916" s="5"/>
      <c r="B1916" s="6"/>
      <c r="C1916" s="6"/>
      <c r="D1916" s="6"/>
      <c r="E1916" s="6"/>
      <c r="G1916" s="1"/>
      <c r="H1916" s="2"/>
    </row>
    <row r="1917" spans="1:8" x14ac:dyDescent="0.25">
      <c r="A1917" s="5"/>
      <c r="B1917" s="6"/>
      <c r="C1917" s="6"/>
      <c r="D1917" s="6"/>
      <c r="E1917" s="6"/>
      <c r="G1917" s="3"/>
      <c r="H1917" s="2"/>
    </row>
    <row r="1918" spans="1:8" x14ac:dyDescent="0.25">
      <c r="A1918" s="5"/>
      <c r="B1918" s="6"/>
      <c r="C1918" s="6"/>
      <c r="D1918" s="6"/>
      <c r="E1918" s="6"/>
      <c r="G1918" s="1"/>
      <c r="H1918" s="2"/>
    </row>
    <row r="1919" spans="1:8" x14ac:dyDescent="0.25">
      <c r="A1919" s="5"/>
      <c r="B1919" s="6"/>
      <c r="C1919" s="6"/>
      <c r="D1919" s="6"/>
      <c r="E1919" s="6"/>
      <c r="G1919" s="3"/>
      <c r="H1919" s="2"/>
    </row>
    <row r="1920" spans="1:8" x14ac:dyDescent="0.25">
      <c r="A1920" s="5"/>
      <c r="B1920" s="6"/>
      <c r="C1920" s="6"/>
      <c r="D1920" s="6"/>
      <c r="E1920" s="6"/>
      <c r="G1920" s="1"/>
      <c r="H1920" s="2"/>
    </row>
    <row r="1921" spans="1:8" x14ac:dyDescent="0.25">
      <c r="A1921" s="5"/>
      <c r="B1921" s="6"/>
      <c r="C1921" s="6"/>
      <c r="D1921" s="6"/>
      <c r="E1921" s="6"/>
      <c r="G1921" s="3"/>
      <c r="H1921" s="2"/>
    </row>
    <row r="1922" spans="1:8" x14ac:dyDescent="0.25">
      <c r="A1922" s="5"/>
      <c r="B1922" s="6"/>
      <c r="C1922" s="6"/>
      <c r="D1922" s="6"/>
      <c r="E1922" s="6"/>
      <c r="G1922" s="1"/>
      <c r="H1922" s="2"/>
    </row>
    <row r="1923" spans="1:8" x14ac:dyDescent="0.25">
      <c r="A1923" s="5"/>
      <c r="B1923" s="6"/>
      <c r="C1923" s="6"/>
      <c r="D1923" s="6"/>
      <c r="E1923" s="6"/>
      <c r="G1923" s="3"/>
      <c r="H1923" s="2"/>
    </row>
    <row r="1924" spans="1:8" x14ac:dyDescent="0.25">
      <c r="A1924" s="5"/>
      <c r="B1924" s="6"/>
      <c r="C1924" s="6"/>
      <c r="D1924" s="6"/>
      <c r="E1924" s="6"/>
      <c r="G1924" s="1"/>
      <c r="H1924" s="2"/>
    </row>
    <row r="1925" spans="1:8" x14ac:dyDescent="0.25">
      <c r="A1925" s="5"/>
      <c r="B1925" s="6"/>
      <c r="C1925" s="6"/>
      <c r="D1925" s="6"/>
      <c r="E1925" s="6"/>
      <c r="G1925" s="3"/>
      <c r="H1925" s="2"/>
    </row>
    <row r="1926" spans="1:8" x14ac:dyDescent="0.25">
      <c r="A1926" s="5"/>
      <c r="B1926" s="6"/>
      <c r="C1926" s="6"/>
      <c r="D1926" s="6"/>
      <c r="E1926" s="6"/>
      <c r="G1926" s="1"/>
      <c r="H1926" s="2"/>
    </row>
    <row r="1927" spans="1:8" x14ac:dyDescent="0.25">
      <c r="A1927" s="5"/>
      <c r="B1927" s="6"/>
      <c r="C1927" s="6"/>
      <c r="D1927" s="6"/>
      <c r="E1927" s="6"/>
      <c r="G1927" s="3"/>
      <c r="H1927" s="2"/>
    </row>
    <row r="1928" spans="1:8" x14ac:dyDescent="0.25">
      <c r="A1928" s="5"/>
      <c r="B1928" s="6"/>
      <c r="C1928" s="6"/>
      <c r="D1928" s="6"/>
      <c r="E1928" s="6"/>
      <c r="G1928" s="1"/>
      <c r="H1928" s="2"/>
    </row>
    <row r="1929" spans="1:8" x14ac:dyDescent="0.25">
      <c r="A1929" s="5"/>
      <c r="B1929" s="6"/>
      <c r="C1929" s="6"/>
      <c r="D1929" s="6"/>
      <c r="E1929" s="6"/>
      <c r="G1929" s="3"/>
      <c r="H1929" s="2"/>
    </row>
    <row r="1930" spans="1:8" x14ac:dyDescent="0.25">
      <c r="A1930" s="5"/>
      <c r="B1930" s="6"/>
      <c r="C1930" s="6"/>
      <c r="D1930" s="6"/>
      <c r="E1930" s="6"/>
      <c r="G1930" s="1"/>
      <c r="H1930" s="2"/>
    </row>
    <row r="1931" spans="1:8" x14ac:dyDescent="0.25">
      <c r="A1931" s="5"/>
      <c r="B1931" s="6"/>
      <c r="C1931" s="6"/>
      <c r="D1931" s="6"/>
      <c r="E1931" s="6"/>
      <c r="G1931" s="3"/>
      <c r="H1931" s="2"/>
    </row>
    <row r="1932" spans="1:8" x14ac:dyDescent="0.25">
      <c r="A1932" s="5"/>
      <c r="B1932" s="6"/>
      <c r="C1932" s="6"/>
      <c r="D1932" s="6"/>
      <c r="E1932" s="6"/>
      <c r="G1932" s="1"/>
      <c r="H1932" s="2"/>
    </row>
    <row r="1933" spans="1:8" x14ac:dyDescent="0.25">
      <c r="A1933" s="5"/>
      <c r="B1933" s="6"/>
      <c r="C1933" s="6"/>
      <c r="D1933" s="6"/>
      <c r="E1933" s="6"/>
      <c r="G1933" s="3"/>
      <c r="H1933" s="2"/>
    </row>
    <row r="1934" spans="1:8" x14ac:dyDescent="0.25">
      <c r="A1934" s="5"/>
      <c r="B1934" s="6"/>
      <c r="C1934" s="6"/>
      <c r="D1934" s="6"/>
      <c r="E1934" s="6"/>
      <c r="G1934" s="1"/>
      <c r="H1934" s="2"/>
    </row>
    <row r="1935" spans="1:8" x14ac:dyDescent="0.25">
      <c r="A1935" s="5"/>
      <c r="B1935" s="6"/>
      <c r="C1935" s="6"/>
      <c r="D1935" s="6"/>
      <c r="E1935" s="6"/>
      <c r="G1935" s="3"/>
      <c r="H1935" s="2"/>
    </row>
    <row r="1936" spans="1:8" x14ac:dyDescent="0.25">
      <c r="A1936" s="5"/>
      <c r="B1936" s="6"/>
      <c r="C1936" s="6"/>
      <c r="D1936" s="6"/>
      <c r="E1936" s="6"/>
      <c r="G1936" s="1"/>
      <c r="H1936" s="2"/>
    </row>
    <row r="1937" spans="1:8" x14ac:dyDescent="0.25">
      <c r="A1937" s="5"/>
      <c r="B1937" s="6"/>
      <c r="C1937" s="6"/>
      <c r="D1937" s="6"/>
      <c r="E1937" s="6"/>
      <c r="G1937" s="3"/>
      <c r="H1937" s="2"/>
    </row>
    <row r="1938" spans="1:8" x14ac:dyDescent="0.25">
      <c r="A1938" s="5"/>
      <c r="B1938" s="6"/>
      <c r="C1938" s="6"/>
      <c r="D1938" s="6"/>
      <c r="E1938" s="6"/>
      <c r="G1938" s="1"/>
      <c r="H1938" s="2"/>
    </row>
    <row r="1939" spans="1:8" x14ac:dyDescent="0.25">
      <c r="A1939" s="5"/>
      <c r="B1939" s="6"/>
      <c r="C1939" s="6"/>
      <c r="D1939" s="6"/>
      <c r="E1939" s="6"/>
      <c r="G1939" s="3"/>
      <c r="H1939" s="2"/>
    </row>
    <row r="1940" spans="1:8" x14ac:dyDescent="0.25">
      <c r="A1940" s="5"/>
      <c r="B1940" s="6"/>
      <c r="C1940" s="6"/>
      <c r="D1940" s="6"/>
      <c r="E1940" s="6"/>
      <c r="G1940" s="1"/>
      <c r="H1940" s="2"/>
    </row>
    <row r="1941" spans="1:8" x14ac:dyDescent="0.25">
      <c r="A1941" s="5"/>
      <c r="B1941" s="6"/>
      <c r="C1941" s="6"/>
      <c r="D1941" s="6"/>
      <c r="E1941" s="6"/>
      <c r="G1941" s="3"/>
      <c r="H1941" s="2"/>
    </row>
    <row r="1942" spans="1:8" x14ac:dyDescent="0.25">
      <c r="A1942" s="5"/>
      <c r="B1942" s="6"/>
      <c r="C1942" s="6"/>
      <c r="D1942" s="6"/>
      <c r="E1942" s="6"/>
      <c r="G1942" s="1"/>
      <c r="H1942" s="2"/>
    </row>
    <row r="1943" spans="1:8" x14ac:dyDescent="0.25">
      <c r="A1943" s="5"/>
      <c r="B1943" s="6"/>
      <c r="C1943" s="6"/>
      <c r="D1943" s="6"/>
      <c r="E1943" s="6"/>
      <c r="G1943" s="3"/>
      <c r="H1943" s="2"/>
    </row>
    <row r="1944" spans="1:8" x14ac:dyDescent="0.25">
      <c r="A1944" s="5"/>
      <c r="B1944" s="6"/>
      <c r="C1944" s="6"/>
      <c r="D1944" s="6"/>
      <c r="E1944" s="6"/>
      <c r="G1944" s="1"/>
      <c r="H1944" s="2"/>
    </row>
    <row r="1945" spans="1:8" x14ac:dyDescent="0.25">
      <c r="A1945" s="5"/>
      <c r="B1945" s="6"/>
      <c r="C1945" s="6"/>
      <c r="D1945" s="6"/>
      <c r="E1945" s="6"/>
      <c r="G1945" s="3"/>
      <c r="H1945" s="2"/>
    </row>
    <row r="1946" spans="1:8" x14ac:dyDescent="0.25">
      <c r="A1946" s="5"/>
      <c r="B1946" s="6"/>
      <c r="C1946" s="6"/>
      <c r="D1946" s="6"/>
      <c r="E1946" s="6"/>
      <c r="G1946" s="1"/>
      <c r="H1946" s="2"/>
    </row>
    <row r="1947" spans="1:8" x14ac:dyDescent="0.25">
      <c r="A1947" s="5"/>
      <c r="B1947" s="6"/>
      <c r="C1947" s="6"/>
      <c r="D1947" s="6"/>
      <c r="E1947" s="6"/>
      <c r="G1947" s="3"/>
      <c r="H1947" s="2"/>
    </row>
    <row r="1948" spans="1:8" x14ac:dyDescent="0.25">
      <c r="A1948" s="5"/>
      <c r="B1948" s="6"/>
      <c r="C1948" s="6"/>
      <c r="D1948" s="6"/>
      <c r="E1948" s="6"/>
      <c r="G1948" s="1"/>
      <c r="H1948" s="2"/>
    </row>
    <row r="1949" spans="1:8" x14ac:dyDescent="0.25">
      <c r="A1949" s="5"/>
      <c r="B1949" s="6"/>
      <c r="C1949" s="6"/>
      <c r="D1949" s="6"/>
      <c r="E1949" s="6"/>
      <c r="G1949" s="3"/>
      <c r="H1949" s="2"/>
    </row>
    <row r="1950" spans="1:8" x14ac:dyDescent="0.25">
      <c r="A1950" s="5"/>
      <c r="B1950" s="6"/>
      <c r="C1950" s="6"/>
      <c r="D1950" s="6"/>
      <c r="E1950" s="6"/>
      <c r="G1950" s="1"/>
      <c r="H1950" s="2"/>
    </row>
    <row r="1951" spans="1:8" x14ac:dyDescent="0.25">
      <c r="A1951" s="5"/>
      <c r="B1951" s="6"/>
      <c r="C1951" s="6"/>
      <c r="D1951" s="6"/>
      <c r="E1951" s="6"/>
      <c r="G1951" s="3"/>
      <c r="H1951" s="2"/>
    </row>
    <row r="1952" spans="1:8" x14ac:dyDescent="0.25">
      <c r="A1952" s="5"/>
      <c r="B1952" s="6"/>
      <c r="C1952" s="6"/>
      <c r="D1952" s="6"/>
      <c r="E1952" s="6"/>
      <c r="G1952" s="1"/>
      <c r="H1952" s="2"/>
    </row>
    <row r="1953" spans="1:8" x14ac:dyDescent="0.25">
      <c r="A1953" s="5"/>
      <c r="B1953" s="6"/>
      <c r="C1953" s="6"/>
      <c r="D1953" s="6"/>
      <c r="E1953" s="6"/>
      <c r="G1953" s="3"/>
      <c r="H1953" s="2"/>
    </row>
    <row r="1954" spans="1:8" x14ac:dyDescent="0.25">
      <c r="A1954" s="5"/>
      <c r="B1954" s="6"/>
      <c r="C1954" s="6"/>
      <c r="D1954" s="6"/>
      <c r="E1954" s="6"/>
      <c r="G1954" s="1"/>
      <c r="H1954" s="2"/>
    </row>
    <row r="1955" spans="1:8" x14ac:dyDescent="0.25">
      <c r="A1955" s="5"/>
      <c r="B1955" s="6"/>
      <c r="C1955" s="6"/>
      <c r="D1955" s="6"/>
      <c r="E1955" s="6"/>
      <c r="G1955" s="3"/>
      <c r="H1955" s="2"/>
    </row>
    <row r="1956" spans="1:8" x14ac:dyDescent="0.25">
      <c r="A1956" s="5"/>
      <c r="B1956" s="6"/>
      <c r="C1956" s="6"/>
      <c r="D1956" s="6"/>
      <c r="E1956" s="6"/>
      <c r="G1956" s="1"/>
      <c r="H1956" s="2"/>
    </row>
    <row r="1957" spans="1:8" x14ac:dyDescent="0.25">
      <c r="A1957" s="5"/>
      <c r="B1957" s="6"/>
      <c r="C1957" s="6"/>
      <c r="D1957" s="6"/>
      <c r="E1957" s="6"/>
      <c r="G1957" s="3"/>
      <c r="H1957" s="2"/>
    </row>
    <row r="1958" spans="1:8" x14ac:dyDescent="0.25">
      <c r="A1958" s="5"/>
      <c r="B1958" s="6"/>
      <c r="C1958" s="6"/>
      <c r="D1958" s="6"/>
      <c r="E1958" s="6"/>
      <c r="G1958" s="1"/>
      <c r="H1958" s="2"/>
    </row>
    <row r="1959" spans="1:8" x14ac:dyDescent="0.25">
      <c r="A1959" s="5"/>
      <c r="B1959" s="6"/>
      <c r="C1959" s="6"/>
      <c r="D1959" s="6"/>
      <c r="E1959" s="6"/>
      <c r="G1959" s="3"/>
      <c r="H1959" s="2"/>
    </row>
    <row r="1960" spans="1:8" x14ac:dyDescent="0.25">
      <c r="A1960" s="5"/>
      <c r="B1960" s="6"/>
      <c r="C1960" s="6"/>
      <c r="D1960" s="6"/>
      <c r="E1960" s="6"/>
      <c r="G1960" s="1"/>
      <c r="H1960" s="2"/>
    </row>
    <row r="1961" spans="1:8" x14ac:dyDescent="0.25">
      <c r="A1961" s="5"/>
      <c r="B1961" s="6"/>
      <c r="C1961" s="6"/>
      <c r="D1961" s="6"/>
      <c r="E1961" s="6"/>
      <c r="G1961" s="3"/>
      <c r="H1961" s="2"/>
    </row>
    <row r="1962" spans="1:8" x14ac:dyDescent="0.25">
      <c r="A1962" s="5"/>
      <c r="B1962" s="6"/>
      <c r="C1962" s="6"/>
      <c r="D1962" s="6"/>
      <c r="E1962" s="6"/>
      <c r="G1962" s="1"/>
      <c r="H1962" s="2"/>
    </row>
    <row r="1963" spans="1:8" x14ac:dyDescent="0.25">
      <c r="A1963" s="5"/>
      <c r="B1963" s="6"/>
      <c r="C1963" s="6"/>
      <c r="D1963" s="6"/>
      <c r="E1963" s="6"/>
      <c r="G1963" s="3"/>
      <c r="H1963" s="2"/>
    </row>
    <row r="1964" spans="1:8" x14ac:dyDescent="0.25">
      <c r="A1964" s="5"/>
      <c r="B1964" s="6"/>
      <c r="C1964" s="6"/>
      <c r="D1964" s="6"/>
      <c r="E1964" s="6"/>
      <c r="G1964" s="1"/>
      <c r="H1964" s="2"/>
    </row>
    <row r="1965" spans="1:8" x14ac:dyDescent="0.25">
      <c r="A1965" s="5"/>
      <c r="B1965" s="6"/>
      <c r="C1965" s="6"/>
      <c r="D1965" s="6"/>
      <c r="E1965" s="6"/>
      <c r="G1965" s="3"/>
      <c r="H1965" s="2"/>
    </row>
    <row r="1966" spans="1:8" x14ac:dyDescent="0.25">
      <c r="A1966" s="5"/>
      <c r="B1966" s="6"/>
      <c r="C1966" s="6"/>
      <c r="D1966" s="6"/>
      <c r="E1966" s="6"/>
      <c r="G1966" s="1"/>
      <c r="H1966" s="2"/>
    </row>
    <row r="1967" spans="1:8" x14ac:dyDescent="0.25">
      <c r="A1967" s="5"/>
      <c r="B1967" s="6"/>
      <c r="C1967" s="6"/>
      <c r="D1967" s="6"/>
      <c r="E1967" s="6"/>
      <c r="G1967" s="3"/>
      <c r="H1967" s="2"/>
    </row>
    <row r="1968" spans="1:8" x14ac:dyDescent="0.25">
      <c r="A1968" s="5"/>
      <c r="B1968" s="6"/>
      <c r="C1968" s="6"/>
      <c r="D1968" s="6"/>
      <c r="E1968" s="6"/>
      <c r="G1968" s="1"/>
      <c r="H1968" s="2"/>
    </row>
    <row r="1969" spans="1:8" x14ac:dyDescent="0.25">
      <c r="A1969" s="5"/>
      <c r="B1969" s="6"/>
      <c r="C1969" s="6"/>
      <c r="D1969" s="6"/>
      <c r="E1969" s="6"/>
      <c r="G1969" s="3"/>
      <c r="H1969" s="2"/>
    </row>
    <row r="1970" spans="1:8" x14ac:dyDescent="0.25">
      <c r="A1970" s="5"/>
      <c r="B1970" s="6"/>
      <c r="C1970" s="6"/>
      <c r="D1970" s="6"/>
      <c r="E1970" s="6"/>
      <c r="G1970" s="1"/>
      <c r="H1970" s="2"/>
    </row>
    <row r="1971" spans="1:8" x14ac:dyDescent="0.25">
      <c r="A1971" s="5"/>
      <c r="B1971" s="6"/>
      <c r="C1971" s="6"/>
      <c r="D1971" s="6"/>
      <c r="E1971" s="6"/>
      <c r="G1971" s="3"/>
      <c r="H1971" s="2"/>
    </row>
    <row r="1972" spans="1:8" x14ac:dyDescent="0.25">
      <c r="A1972" s="5"/>
      <c r="B1972" s="6"/>
      <c r="C1972" s="6"/>
      <c r="D1972" s="6"/>
      <c r="E1972" s="6"/>
      <c r="G1972" s="1"/>
      <c r="H1972" s="2"/>
    </row>
    <row r="1973" spans="1:8" x14ac:dyDescent="0.25">
      <c r="A1973" s="5"/>
      <c r="B1973" s="6"/>
      <c r="C1973" s="6"/>
      <c r="D1973" s="6"/>
      <c r="E1973" s="6"/>
      <c r="G1973" s="3"/>
      <c r="H1973" s="2"/>
    </row>
    <row r="1974" spans="1:8" x14ac:dyDescent="0.25">
      <c r="A1974" s="5"/>
      <c r="B1974" s="6"/>
      <c r="C1974" s="6"/>
      <c r="D1974" s="6"/>
      <c r="E1974" s="6"/>
      <c r="G1974" s="1"/>
      <c r="H1974" s="2"/>
    </row>
    <row r="1975" spans="1:8" x14ac:dyDescent="0.25">
      <c r="A1975" s="5"/>
      <c r="B1975" s="6"/>
      <c r="C1975" s="6"/>
      <c r="D1975" s="6"/>
      <c r="E1975" s="6"/>
      <c r="G1975" s="3"/>
      <c r="H1975" s="2"/>
    </row>
    <row r="1976" spans="1:8" x14ac:dyDescent="0.25">
      <c r="A1976" s="5"/>
      <c r="B1976" s="6"/>
      <c r="C1976" s="6"/>
      <c r="D1976" s="6"/>
      <c r="E1976" s="6"/>
      <c r="G1976" s="1"/>
      <c r="H1976" s="2"/>
    </row>
    <row r="1977" spans="1:8" x14ac:dyDescent="0.25">
      <c r="A1977" s="5"/>
      <c r="B1977" s="6"/>
      <c r="C1977" s="6"/>
      <c r="D1977" s="6"/>
      <c r="E1977" s="6"/>
      <c r="G1977" s="3"/>
      <c r="H1977" s="2"/>
    </row>
    <row r="1978" spans="1:8" x14ac:dyDescent="0.25">
      <c r="A1978" s="5"/>
      <c r="B1978" s="6"/>
      <c r="C1978" s="6"/>
      <c r="D1978" s="6"/>
      <c r="E1978" s="6"/>
      <c r="G1978" s="1"/>
      <c r="H1978" s="2"/>
    </row>
    <row r="1979" spans="1:8" x14ac:dyDescent="0.25">
      <c r="A1979" s="5"/>
      <c r="B1979" s="6"/>
      <c r="C1979" s="6"/>
      <c r="D1979" s="6"/>
      <c r="E1979" s="6"/>
      <c r="G1979" s="3"/>
      <c r="H1979" s="2"/>
    </row>
    <row r="1980" spans="1:8" x14ac:dyDescent="0.25">
      <c r="A1980" s="5"/>
      <c r="B1980" s="6"/>
      <c r="C1980" s="6"/>
      <c r="D1980" s="6"/>
      <c r="E1980" s="6"/>
      <c r="G1980" s="1"/>
      <c r="H1980" s="2"/>
    </row>
    <row r="1981" spans="1:8" x14ac:dyDescent="0.25">
      <c r="A1981" s="5"/>
      <c r="B1981" s="6"/>
      <c r="C1981" s="6"/>
      <c r="D1981" s="6"/>
      <c r="E1981" s="6"/>
      <c r="G1981" s="3"/>
      <c r="H1981" s="2"/>
    </row>
    <row r="1982" spans="1:8" x14ac:dyDescent="0.25">
      <c r="A1982" s="5"/>
      <c r="B1982" s="6"/>
      <c r="C1982" s="6"/>
      <c r="D1982" s="6"/>
      <c r="E1982" s="6"/>
      <c r="G1982" s="1"/>
      <c r="H1982" s="2"/>
    </row>
    <row r="1983" spans="1:8" x14ac:dyDescent="0.25">
      <c r="A1983" s="5"/>
      <c r="B1983" s="6"/>
      <c r="C1983" s="6"/>
      <c r="D1983" s="6"/>
      <c r="E1983" s="6"/>
      <c r="G1983" s="3"/>
      <c r="H1983" s="2"/>
    </row>
    <row r="1984" spans="1:8" x14ac:dyDescent="0.25">
      <c r="A1984" s="5"/>
      <c r="B1984" s="6"/>
      <c r="C1984" s="6"/>
      <c r="D1984" s="6"/>
      <c r="E1984" s="6"/>
      <c r="G1984" s="1"/>
      <c r="H1984" s="2"/>
    </row>
    <row r="1985" spans="1:8" x14ac:dyDescent="0.25">
      <c r="A1985" s="5"/>
      <c r="B1985" s="6"/>
      <c r="C1985" s="6"/>
      <c r="D1985" s="6"/>
      <c r="E1985" s="6"/>
      <c r="G1985" s="3"/>
      <c r="H1985" s="2"/>
    </row>
    <row r="1986" spans="1:8" x14ac:dyDescent="0.25">
      <c r="A1986" s="5"/>
      <c r="B1986" s="6"/>
      <c r="C1986" s="6"/>
      <c r="D1986" s="6"/>
      <c r="E1986" s="6"/>
      <c r="G1986" s="1"/>
      <c r="H1986" s="2"/>
    </row>
    <row r="1987" spans="1:8" x14ac:dyDescent="0.25">
      <c r="A1987" s="5"/>
      <c r="B1987" s="6"/>
      <c r="C1987" s="6"/>
      <c r="D1987" s="6"/>
      <c r="E1987" s="6"/>
      <c r="G1987" s="3"/>
      <c r="H1987" s="2"/>
    </row>
    <row r="1988" spans="1:8" x14ac:dyDescent="0.25">
      <c r="A1988" s="5"/>
      <c r="B1988" s="6"/>
      <c r="C1988" s="6"/>
      <c r="D1988" s="6"/>
      <c r="E1988" s="6"/>
      <c r="G1988" s="1"/>
      <c r="H1988" s="2"/>
    </row>
    <row r="1989" spans="1:8" x14ac:dyDescent="0.25">
      <c r="A1989" s="5"/>
      <c r="B1989" s="6"/>
      <c r="C1989" s="6"/>
      <c r="D1989" s="6"/>
      <c r="E1989" s="6"/>
      <c r="G1989" s="3"/>
      <c r="H1989" s="2"/>
    </row>
    <row r="1990" spans="1:8" x14ac:dyDescent="0.25">
      <c r="A1990" s="5"/>
      <c r="B1990" s="6"/>
      <c r="C1990" s="6"/>
      <c r="D1990" s="6"/>
      <c r="E1990" s="6"/>
      <c r="G1990" s="1"/>
      <c r="H1990" s="2"/>
    </row>
    <row r="1991" spans="1:8" x14ac:dyDescent="0.25">
      <c r="A1991" s="5"/>
      <c r="B1991" s="6"/>
      <c r="C1991" s="6"/>
      <c r="D1991" s="6"/>
      <c r="E1991" s="6"/>
      <c r="G1991" s="3"/>
      <c r="H1991" s="2"/>
    </row>
    <row r="1992" spans="1:8" x14ac:dyDescent="0.25">
      <c r="A1992" s="5"/>
      <c r="B1992" s="6"/>
      <c r="C1992" s="6"/>
      <c r="D1992" s="6"/>
      <c r="E1992" s="6"/>
      <c r="G1992" s="1"/>
      <c r="H1992" s="2"/>
    </row>
    <row r="1993" spans="1:8" x14ac:dyDescent="0.25">
      <c r="A1993" s="5"/>
      <c r="B1993" s="6"/>
      <c r="C1993" s="6"/>
      <c r="D1993" s="6"/>
      <c r="E1993" s="6"/>
      <c r="G1993" s="3"/>
      <c r="H1993" s="2"/>
    </row>
    <row r="1994" spans="1:8" x14ac:dyDescent="0.25">
      <c r="A1994" s="5"/>
      <c r="B1994" s="6"/>
      <c r="C1994" s="6"/>
      <c r="D1994" s="6"/>
      <c r="E1994" s="6"/>
      <c r="G1994" s="1"/>
      <c r="H1994" s="2"/>
    </row>
    <row r="1995" spans="1:8" x14ac:dyDescent="0.25">
      <c r="A1995" s="5"/>
      <c r="B1995" s="6"/>
      <c r="C1995" s="6"/>
      <c r="D1995" s="6"/>
      <c r="E1995" s="6"/>
      <c r="G1995" s="3"/>
      <c r="H1995" s="2"/>
    </row>
    <row r="1996" spans="1:8" x14ac:dyDescent="0.25">
      <c r="A1996" s="5"/>
      <c r="B1996" s="6"/>
      <c r="C1996" s="6"/>
      <c r="D1996" s="6"/>
      <c r="E1996" s="6"/>
      <c r="G1996" s="1"/>
      <c r="H1996" s="2"/>
    </row>
    <row r="1997" spans="1:8" x14ac:dyDescent="0.25">
      <c r="A1997" s="5"/>
      <c r="B1997" s="6"/>
      <c r="C1997" s="6"/>
      <c r="D1997" s="6"/>
      <c r="E1997" s="6"/>
      <c r="G1997" s="3"/>
      <c r="H1997" s="2"/>
    </row>
    <row r="1998" spans="1:8" x14ac:dyDescent="0.25">
      <c r="A1998" s="5"/>
      <c r="B1998" s="6"/>
      <c r="C1998" s="6"/>
      <c r="D1998" s="6"/>
      <c r="E1998" s="6"/>
      <c r="G1998" s="1"/>
      <c r="H1998" s="2"/>
    </row>
    <row r="1999" spans="1:8" x14ac:dyDescent="0.25">
      <c r="A1999" s="5"/>
      <c r="B1999" s="6"/>
      <c r="C1999" s="6"/>
      <c r="D1999" s="6"/>
      <c r="E1999" s="6"/>
      <c r="G1999" s="3"/>
      <c r="H1999" s="2"/>
    </row>
    <row r="2000" spans="1:8" x14ac:dyDescent="0.25">
      <c r="A2000" s="5"/>
      <c r="B2000" s="6"/>
      <c r="C2000" s="6"/>
      <c r="D2000" s="6"/>
      <c r="E2000" s="6"/>
      <c r="G2000" s="1"/>
      <c r="H2000" s="2"/>
    </row>
    <row r="2001" spans="1:8" x14ac:dyDescent="0.25">
      <c r="A2001" s="5"/>
      <c r="B2001" s="6"/>
      <c r="C2001" s="6"/>
      <c r="D2001" s="6"/>
      <c r="E2001" s="6"/>
      <c r="G2001" s="3"/>
      <c r="H2001" s="2"/>
    </row>
    <row r="2002" spans="1:8" x14ac:dyDescent="0.25">
      <c r="A2002" s="5"/>
      <c r="B2002" s="6"/>
      <c r="C2002" s="6"/>
      <c r="D2002" s="6"/>
      <c r="E2002" s="6"/>
      <c r="G2002" s="1"/>
      <c r="H2002" s="2"/>
    </row>
    <row r="2003" spans="1:8" x14ac:dyDescent="0.25">
      <c r="A2003" s="5"/>
      <c r="B2003" s="6"/>
      <c r="C2003" s="6"/>
      <c r="D2003" s="6"/>
      <c r="E2003" s="6"/>
      <c r="G2003" s="3"/>
      <c r="H2003" s="2"/>
    </row>
    <row r="2004" spans="1:8" x14ac:dyDescent="0.25">
      <c r="A2004" s="5"/>
      <c r="B2004" s="6"/>
      <c r="C2004" s="6"/>
      <c r="D2004" s="6"/>
      <c r="E2004" s="6"/>
      <c r="G2004" s="1"/>
      <c r="H2004" s="2"/>
    </row>
    <row r="2005" spans="1:8" x14ac:dyDescent="0.25">
      <c r="A2005" s="5"/>
      <c r="B2005" s="6"/>
      <c r="C2005" s="6"/>
      <c r="D2005" s="6"/>
      <c r="E2005" s="6"/>
      <c r="G2005" s="3"/>
      <c r="H2005" s="2"/>
    </row>
    <row r="2006" spans="1:8" x14ac:dyDescent="0.25">
      <c r="A2006" s="5"/>
      <c r="B2006" s="6"/>
      <c r="C2006" s="6"/>
      <c r="D2006" s="6"/>
      <c r="E2006" s="6"/>
      <c r="G2006" s="1"/>
      <c r="H2006" s="2"/>
    </row>
    <row r="2007" spans="1:8" x14ac:dyDescent="0.25">
      <c r="A2007" s="5"/>
      <c r="B2007" s="6"/>
      <c r="C2007" s="6"/>
      <c r="D2007" s="6"/>
      <c r="E2007" s="6"/>
      <c r="G2007" s="3"/>
      <c r="H2007" s="2"/>
    </row>
    <row r="2008" spans="1:8" x14ac:dyDescent="0.25">
      <c r="A2008" s="5"/>
      <c r="B2008" s="6"/>
      <c r="C2008" s="6"/>
      <c r="D2008" s="6"/>
      <c r="E2008" s="6"/>
      <c r="G2008" s="1"/>
      <c r="H2008" s="2"/>
    </row>
    <row r="2009" spans="1:8" x14ac:dyDescent="0.25">
      <c r="A2009" s="5"/>
      <c r="B2009" s="6"/>
      <c r="C2009" s="6"/>
      <c r="D2009" s="6"/>
      <c r="E2009" s="6"/>
      <c r="G2009" s="3"/>
      <c r="H2009" s="2"/>
    </row>
    <row r="2010" spans="1:8" x14ac:dyDescent="0.25">
      <c r="A2010" s="5"/>
      <c r="B2010" s="6"/>
      <c r="C2010" s="6"/>
      <c r="D2010" s="6"/>
      <c r="E2010" s="6"/>
      <c r="G2010" s="1"/>
      <c r="H2010" s="2"/>
    </row>
    <row r="2011" spans="1:8" x14ac:dyDescent="0.25">
      <c r="A2011" s="5"/>
      <c r="B2011" s="6"/>
      <c r="C2011" s="6"/>
      <c r="D2011" s="6"/>
      <c r="E2011" s="6"/>
      <c r="G2011" s="3"/>
      <c r="H2011" s="2"/>
    </row>
    <row r="2012" spans="1:8" x14ac:dyDescent="0.25">
      <c r="A2012" s="5"/>
      <c r="B2012" s="6"/>
      <c r="C2012" s="6"/>
      <c r="D2012" s="6"/>
      <c r="E2012" s="6"/>
      <c r="G2012" s="1"/>
      <c r="H2012" s="2"/>
    </row>
    <row r="2013" spans="1:8" x14ac:dyDescent="0.25">
      <c r="A2013" s="5"/>
      <c r="B2013" s="6"/>
      <c r="C2013" s="6"/>
      <c r="D2013" s="6"/>
      <c r="E2013" s="6"/>
      <c r="G2013" s="3"/>
      <c r="H2013" s="2"/>
    </row>
    <row r="2014" spans="1:8" x14ac:dyDescent="0.25">
      <c r="A2014" s="5"/>
      <c r="B2014" s="6"/>
      <c r="C2014" s="6"/>
      <c r="D2014" s="6"/>
      <c r="E2014" s="6"/>
      <c r="G2014" s="1"/>
      <c r="H2014" s="2"/>
    </row>
    <row r="2015" spans="1:8" x14ac:dyDescent="0.25">
      <c r="A2015" s="5"/>
      <c r="B2015" s="6"/>
      <c r="C2015" s="6"/>
      <c r="D2015" s="6"/>
      <c r="E2015" s="6"/>
      <c r="G2015" s="3"/>
      <c r="H2015" s="2"/>
    </row>
    <row r="2016" spans="1:8" x14ac:dyDescent="0.25">
      <c r="A2016" s="5"/>
      <c r="B2016" s="6"/>
      <c r="C2016" s="6"/>
      <c r="D2016" s="6"/>
      <c r="E2016" s="6"/>
      <c r="G2016" s="1"/>
      <c r="H2016" s="2"/>
    </row>
    <row r="2017" spans="1:8" x14ac:dyDescent="0.25">
      <c r="A2017" s="5"/>
      <c r="B2017" s="6"/>
      <c r="C2017" s="6"/>
      <c r="D2017" s="6"/>
      <c r="E2017" s="6"/>
      <c r="G2017" s="3"/>
      <c r="H2017" s="2"/>
    </row>
    <row r="2018" spans="1:8" x14ac:dyDescent="0.25">
      <c r="A2018" s="5"/>
      <c r="B2018" s="6"/>
      <c r="C2018" s="6"/>
      <c r="D2018" s="6"/>
      <c r="E2018" s="6"/>
      <c r="G2018" s="1"/>
      <c r="H2018" s="2"/>
    </row>
    <row r="2019" spans="1:8" x14ac:dyDescent="0.25">
      <c r="A2019" s="5"/>
      <c r="B2019" s="6"/>
      <c r="C2019" s="6"/>
      <c r="D2019" s="6"/>
      <c r="E2019" s="6"/>
      <c r="G2019" s="3"/>
      <c r="H2019" s="2"/>
    </row>
    <row r="2020" spans="1:8" x14ac:dyDescent="0.25">
      <c r="A2020" s="5"/>
      <c r="B2020" s="6"/>
      <c r="C2020" s="6"/>
      <c r="D2020" s="6"/>
      <c r="E2020" s="6"/>
      <c r="G2020" s="1"/>
      <c r="H2020" s="2"/>
    </row>
    <row r="2021" spans="1:8" x14ac:dyDescent="0.25">
      <c r="A2021" s="5"/>
      <c r="B2021" s="6"/>
      <c r="C2021" s="6"/>
      <c r="D2021" s="6"/>
      <c r="E2021" s="6"/>
      <c r="G2021" s="3"/>
      <c r="H2021" s="2"/>
    </row>
    <row r="2022" spans="1:8" x14ac:dyDescent="0.25">
      <c r="A2022" s="5"/>
      <c r="B2022" s="6"/>
      <c r="C2022" s="6"/>
      <c r="D2022" s="6"/>
      <c r="E2022" s="6"/>
      <c r="G2022" s="1"/>
      <c r="H2022" s="2"/>
    </row>
    <row r="2023" spans="1:8" x14ac:dyDescent="0.25">
      <c r="A2023" s="5"/>
      <c r="B2023" s="6"/>
      <c r="C2023" s="6"/>
      <c r="D2023" s="6"/>
      <c r="E2023" s="6"/>
      <c r="G2023" s="3"/>
      <c r="H2023" s="2"/>
    </row>
    <row r="2024" spans="1:8" x14ac:dyDescent="0.25">
      <c r="A2024" s="5"/>
      <c r="B2024" s="6"/>
      <c r="C2024" s="6"/>
      <c r="D2024" s="6"/>
      <c r="E2024" s="6"/>
      <c r="G2024" s="1"/>
      <c r="H2024" s="2"/>
    </row>
    <row r="2025" spans="1:8" x14ac:dyDescent="0.25">
      <c r="A2025" s="5"/>
      <c r="B2025" s="6"/>
      <c r="C2025" s="6"/>
      <c r="D2025" s="6"/>
      <c r="E2025" s="6"/>
      <c r="G2025" s="3"/>
      <c r="H2025" s="2"/>
    </row>
    <row r="2026" spans="1:8" x14ac:dyDescent="0.25">
      <c r="A2026" s="5"/>
      <c r="B2026" s="6"/>
      <c r="C2026" s="6"/>
      <c r="D2026" s="6"/>
      <c r="E2026" s="6"/>
      <c r="G2026" s="1"/>
      <c r="H2026" s="2"/>
    </row>
    <row r="2027" spans="1:8" x14ac:dyDescent="0.25">
      <c r="A2027" s="5"/>
      <c r="B2027" s="6"/>
      <c r="C2027" s="6"/>
      <c r="D2027" s="6"/>
      <c r="E2027" s="6"/>
      <c r="G2027" s="3"/>
      <c r="H2027" s="2"/>
    </row>
    <row r="2028" spans="1:8" x14ac:dyDescent="0.25">
      <c r="A2028" s="5"/>
      <c r="B2028" s="6"/>
      <c r="C2028" s="6"/>
      <c r="D2028" s="6"/>
      <c r="E2028" s="6"/>
      <c r="G2028" s="1"/>
      <c r="H2028" s="2"/>
    </row>
    <row r="2029" spans="1:8" x14ac:dyDescent="0.25">
      <c r="A2029" s="5"/>
      <c r="B2029" s="6"/>
      <c r="C2029" s="6"/>
      <c r="D2029" s="6"/>
      <c r="E2029" s="6"/>
      <c r="G2029" s="3"/>
      <c r="H2029" s="2"/>
    </row>
    <row r="2030" spans="1:8" x14ac:dyDescent="0.25">
      <c r="A2030" s="5"/>
      <c r="B2030" s="6"/>
      <c r="C2030" s="6"/>
      <c r="D2030" s="6"/>
      <c r="E2030" s="6"/>
      <c r="G2030" s="1"/>
      <c r="H2030" s="2"/>
    </row>
    <row r="2031" spans="1:8" x14ac:dyDescent="0.25">
      <c r="A2031" s="5"/>
      <c r="B2031" s="6"/>
      <c r="C2031" s="6"/>
      <c r="D2031" s="6"/>
      <c r="E2031" s="6"/>
      <c r="G2031" s="3"/>
      <c r="H2031" s="2"/>
    </row>
    <row r="2032" spans="1:8" x14ac:dyDescent="0.25">
      <c r="A2032" s="5"/>
      <c r="B2032" s="6"/>
      <c r="C2032" s="6"/>
      <c r="D2032" s="6"/>
      <c r="E2032" s="6"/>
      <c r="G2032" s="1"/>
      <c r="H2032" s="2"/>
    </row>
    <row r="2033" spans="1:8" x14ac:dyDescent="0.25">
      <c r="A2033" s="5"/>
      <c r="B2033" s="6"/>
      <c r="C2033" s="6"/>
      <c r="D2033" s="6"/>
      <c r="E2033" s="6"/>
      <c r="G2033" s="3"/>
      <c r="H2033" s="2"/>
    </row>
    <row r="2034" spans="1:8" x14ac:dyDescent="0.25">
      <c r="A2034" s="5"/>
      <c r="B2034" s="6"/>
      <c r="C2034" s="6"/>
      <c r="D2034" s="6"/>
      <c r="E2034" s="6"/>
      <c r="G2034" s="1"/>
      <c r="H2034" s="2"/>
    </row>
    <row r="2035" spans="1:8" x14ac:dyDescent="0.25">
      <c r="A2035" s="5"/>
      <c r="B2035" s="6"/>
      <c r="C2035" s="6"/>
      <c r="D2035" s="6"/>
      <c r="E2035" s="6"/>
      <c r="G2035" s="14"/>
      <c r="H2035" s="2"/>
    </row>
    <row r="2036" spans="1:8" x14ac:dyDescent="0.25">
      <c r="A2036" s="5"/>
      <c r="B2036" s="6"/>
      <c r="C2036" s="6"/>
      <c r="D2036" s="6"/>
      <c r="E2036" s="6"/>
      <c r="G2036" s="14"/>
      <c r="H2036" s="2"/>
    </row>
    <row r="2037" spans="1:8" x14ac:dyDescent="0.25">
      <c r="A2037" s="5"/>
      <c r="B2037" s="6"/>
      <c r="C2037" s="6"/>
      <c r="D2037" s="6"/>
      <c r="E2037" s="6"/>
      <c r="G2037" s="14"/>
      <c r="H2037" s="2"/>
    </row>
    <row r="2038" spans="1:8" x14ac:dyDescent="0.25">
      <c r="A2038" s="5"/>
      <c r="B2038" s="6"/>
      <c r="C2038" s="6"/>
      <c r="D2038" s="6"/>
      <c r="E2038" s="6"/>
      <c r="G2038" s="14"/>
      <c r="H2038" s="2"/>
    </row>
    <row r="2039" spans="1:8" x14ac:dyDescent="0.25">
      <c r="A2039" s="5"/>
      <c r="B2039" s="6"/>
      <c r="C2039" s="6"/>
      <c r="D2039" s="6"/>
      <c r="E2039" s="6"/>
      <c r="G2039" s="14"/>
      <c r="H2039" s="2"/>
    </row>
    <row r="2040" spans="1:8" x14ac:dyDescent="0.25">
      <c r="A2040" s="5"/>
      <c r="B2040" s="6"/>
      <c r="C2040" s="6"/>
      <c r="D2040" s="6"/>
      <c r="E2040" s="6"/>
      <c r="G2040" s="14"/>
      <c r="H2040" s="2"/>
    </row>
    <row r="2041" spans="1:8" x14ac:dyDescent="0.25">
      <c r="A2041" s="5"/>
      <c r="B2041" s="6"/>
      <c r="C2041" s="6"/>
      <c r="D2041" s="6"/>
      <c r="E2041" s="6"/>
    </row>
    <row r="2042" spans="1:8" x14ac:dyDescent="0.25">
      <c r="A2042" s="5"/>
      <c r="B2042" s="6"/>
      <c r="C2042" s="6"/>
      <c r="D2042" s="6"/>
      <c r="E2042" s="6"/>
      <c r="G2042" s="3"/>
      <c r="H2042" s="2"/>
    </row>
    <row r="2043" spans="1:8" x14ac:dyDescent="0.25">
      <c r="A2043" s="5"/>
      <c r="B2043" s="6"/>
      <c r="C2043" s="6"/>
      <c r="D2043" s="6"/>
      <c r="E2043" s="6"/>
      <c r="G2043" s="1"/>
      <c r="H2043" s="2"/>
    </row>
    <row r="2044" spans="1:8" x14ac:dyDescent="0.25">
      <c r="A2044" s="5"/>
      <c r="B2044" s="6"/>
      <c r="C2044" s="6"/>
      <c r="D2044" s="6"/>
      <c r="E2044" s="6"/>
      <c r="G2044" s="3"/>
      <c r="H2044" s="2"/>
    </row>
    <row r="2045" spans="1:8" x14ac:dyDescent="0.25">
      <c r="A2045" s="5"/>
      <c r="B2045" s="6"/>
      <c r="C2045" s="6"/>
      <c r="D2045" s="6"/>
      <c r="E2045" s="6"/>
      <c r="G2045" s="1"/>
      <c r="H2045" s="2"/>
    </row>
    <row r="2046" spans="1:8" x14ac:dyDescent="0.25">
      <c r="A2046" s="5"/>
      <c r="B2046" s="6"/>
      <c r="C2046" s="6"/>
      <c r="D2046" s="6"/>
      <c r="E2046" s="6"/>
      <c r="G2046" s="3"/>
      <c r="H2046" s="2"/>
    </row>
    <row r="2047" spans="1:8" x14ac:dyDescent="0.25">
      <c r="A2047" s="5"/>
      <c r="B2047" s="6"/>
      <c r="C2047" s="6"/>
      <c r="D2047" s="6"/>
      <c r="E2047" s="6"/>
      <c r="G2047" s="1"/>
      <c r="H2047" s="2"/>
    </row>
    <row r="2048" spans="1:8" x14ac:dyDescent="0.25">
      <c r="A2048" s="5"/>
      <c r="B2048" s="6"/>
      <c r="C2048" s="6"/>
      <c r="D2048" s="6"/>
      <c r="E2048" s="6"/>
      <c r="G2048" s="3"/>
      <c r="H2048" s="2"/>
    </row>
    <row r="2049" spans="1:8" x14ac:dyDescent="0.25">
      <c r="A2049" s="5"/>
      <c r="B2049" s="6"/>
      <c r="C2049" s="6"/>
      <c r="D2049" s="6"/>
      <c r="E2049" s="6"/>
      <c r="G2049" s="1"/>
      <c r="H2049" s="2"/>
    </row>
    <row r="2050" spans="1:8" x14ac:dyDescent="0.25">
      <c r="A2050" s="5"/>
      <c r="B2050" s="6"/>
      <c r="C2050" s="6"/>
      <c r="D2050" s="6"/>
      <c r="E2050" s="6"/>
      <c r="G2050" s="3"/>
      <c r="H2050" s="2"/>
    </row>
    <row r="2051" spans="1:8" x14ac:dyDescent="0.25">
      <c r="A2051" s="5"/>
      <c r="B2051" s="6"/>
      <c r="C2051" s="6"/>
      <c r="D2051" s="6"/>
      <c r="E2051" s="6"/>
      <c r="G2051" s="1"/>
      <c r="H2051" s="2"/>
    </row>
    <row r="2052" spans="1:8" x14ac:dyDescent="0.25">
      <c r="A2052" s="5"/>
      <c r="B2052" s="6"/>
      <c r="C2052" s="6"/>
      <c r="D2052" s="6"/>
      <c r="E2052" s="6"/>
      <c r="G2052" s="3"/>
      <c r="H2052" s="2"/>
    </row>
    <row r="2053" spans="1:8" x14ac:dyDescent="0.25">
      <c r="A2053" s="5"/>
      <c r="B2053" s="6"/>
      <c r="C2053" s="6"/>
      <c r="D2053" s="6"/>
      <c r="E2053" s="6"/>
      <c r="G2053" s="1"/>
      <c r="H2053" s="2"/>
    </row>
    <row r="2054" spans="1:8" x14ac:dyDescent="0.25">
      <c r="A2054" s="5"/>
      <c r="B2054" s="6"/>
      <c r="C2054" s="6"/>
      <c r="D2054" s="6"/>
      <c r="E2054" s="6"/>
      <c r="G2054" s="3"/>
      <c r="H2054" s="2"/>
    </row>
    <row r="2055" spans="1:8" x14ac:dyDescent="0.25">
      <c r="A2055" s="5"/>
      <c r="B2055" s="6"/>
      <c r="C2055" s="6"/>
      <c r="D2055" s="6"/>
      <c r="E2055" s="6"/>
      <c r="G2055" s="1"/>
      <c r="H2055" s="2"/>
    </row>
    <row r="2056" spans="1:8" x14ac:dyDescent="0.25">
      <c r="A2056" s="5"/>
      <c r="B2056" s="6"/>
      <c r="C2056" s="6"/>
      <c r="D2056" s="6"/>
      <c r="E2056" s="6"/>
      <c r="G2056" s="3"/>
      <c r="H2056" s="2"/>
    </row>
    <row r="2057" spans="1:8" x14ac:dyDescent="0.25">
      <c r="A2057" s="5"/>
      <c r="B2057" s="6"/>
      <c r="C2057" s="6"/>
      <c r="D2057" s="6"/>
      <c r="E2057" s="6"/>
      <c r="G2057" s="1"/>
      <c r="H2057" s="2"/>
    </row>
    <row r="2058" spans="1:8" x14ac:dyDescent="0.25">
      <c r="A2058" s="5"/>
      <c r="B2058" s="6"/>
      <c r="C2058" s="6"/>
      <c r="D2058" s="6"/>
      <c r="E2058" s="6"/>
      <c r="G2058" s="3"/>
      <c r="H2058" s="2"/>
    </row>
    <row r="2059" spans="1:8" x14ac:dyDescent="0.25">
      <c r="A2059" s="5"/>
      <c r="B2059" s="6"/>
      <c r="C2059" s="6"/>
      <c r="D2059" s="6"/>
      <c r="E2059" s="6"/>
      <c r="G2059" s="1"/>
      <c r="H2059" s="2"/>
    </row>
    <row r="2060" spans="1:8" x14ac:dyDescent="0.25">
      <c r="A2060" s="5"/>
      <c r="B2060" s="6"/>
      <c r="C2060" s="6"/>
      <c r="D2060" s="6"/>
      <c r="E2060" s="6"/>
      <c r="G2060" s="3"/>
      <c r="H2060" s="2"/>
    </row>
    <row r="2061" spans="1:8" x14ac:dyDescent="0.25">
      <c r="A2061" s="5"/>
      <c r="B2061" s="6"/>
      <c r="C2061" s="6"/>
      <c r="D2061" s="6"/>
      <c r="E2061" s="6"/>
      <c r="G2061" s="1"/>
      <c r="H2061" s="2"/>
    </row>
    <row r="2062" spans="1:8" x14ac:dyDescent="0.25">
      <c r="A2062" s="5"/>
      <c r="B2062" s="6"/>
      <c r="C2062" s="6"/>
      <c r="D2062" s="6"/>
      <c r="E2062" s="6"/>
      <c r="G2062" s="3"/>
      <c r="H2062" s="2"/>
    </row>
    <row r="2063" spans="1:8" x14ac:dyDescent="0.25">
      <c r="A2063" s="5"/>
      <c r="B2063" s="6"/>
      <c r="C2063" s="6"/>
      <c r="D2063" s="6"/>
      <c r="E2063" s="6"/>
      <c r="G2063" s="1"/>
      <c r="H2063" s="2"/>
    </row>
    <row r="2064" spans="1:8" x14ac:dyDescent="0.25">
      <c r="A2064" s="5"/>
      <c r="B2064" s="6"/>
      <c r="C2064" s="6"/>
      <c r="D2064" s="6"/>
      <c r="E2064" s="6"/>
      <c r="G2064" s="3"/>
      <c r="H2064" s="2"/>
    </row>
    <row r="2065" spans="1:8" x14ac:dyDescent="0.25">
      <c r="A2065" s="5"/>
      <c r="B2065" s="6"/>
      <c r="C2065" s="6"/>
      <c r="D2065" s="6"/>
      <c r="E2065" s="6"/>
      <c r="G2065" s="1"/>
      <c r="H2065" s="2"/>
    </row>
    <row r="2066" spans="1:8" x14ac:dyDescent="0.25">
      <c r="A2066" s="5"/>
      <c r="B2066" s="6"/>
      <c r="C2066" s="6"/>
      <c r="D2066" s="6"/>
      <c r="E2066" s="6"/>
      <c r="G2066" s="3"/>
      <c r="H2066" s="2"/>
    </row>
    <row r="2067" spans="1:8" x14ac:dyDescent="0.25">
      <c r="A2067" s="5"/>
      <c r="B2067" s="6"/>
      <c r="C2067" s="6"/>
      <c r="D2067" s="6"/>
      <c r="E2067" s="6"/>
      <c r="G2067" s="1"/>
      <c r="H2067" s="2"/>
    </row>
    <row r="2068" spans="1:8" x14ac:dyDescent="0.25">
      <c r="A2068" s="5"/>
      <c r="B2068" s="6"/>
      <c r="C2068" s="6"/>
      <c r="D2068" s="6"/>
      <c r="E2068" s="6"/>
      <c r="G2068" s="3"/>
      <c r="H2068" s="2"/>
    </row>
    <row r="2069" spans="1:8" x14ac:dyDescent="0.25">
      <c r="A2069" s="5"/>
      <c r="B2069" s="6"/>
      <c r="C2069" s="6"/>
      <c r="D2069" s="6"/>
      <c r="E2069" s="6"/>
      <c r="G2069" s="1"/>
      <c r="H2069" s="2"/>
    </row>
    <row r="2070" spans="1:8" x14ac:dyDescent="0.25">
      <c r="A2070" s="5"/>
      <c r="B2070" s="6"/>
      <c r="C2070" s="6"/>
      <c r="D2070" s="6"/>
      <c r="E2070" s="6"/>
      <c r="G2070" s="3"/>
      <c r="H2070" s="2"/>
    </row>
    <row r="2071" spans="1:8" x14ac:dyDescent="0.25">
      <c r="A2071" s="5"/>
      <c r="B2071" s="6"/>
      <c r="C2071" s="6"/>
      <c r="D2071" s="6"/>
      <c r="E2071" s="6"/>
      <c r="G2071" s="1"/>
      <c r="H2071" s="2"/>
    </row>
    <row r="2072" spans="1:8" x14ac:dyDescent="0.25">
      <c r="A2072" s="5"/>
      <c r="B2072" s="6"/>
      <c r="C2072" s="6"/>
      <c r="D2072" s="6"/>
      <c r="E2072" s="6"/>
      <c r="G2072" s="3"/>
      <c r="H2072" s="2"/>
    </row>
    <row r="2073" spans="1:8" x14ac:dyDescent="0.25">
      <c r="A2073" s="5"/>
      <c r="B2073" s="6"/>
      <c r="C2073" s="6"/>
      <c r="D2073" s="6"/>
      <c r="E2073" s="6"/>
      <c r="G2073" s="1"/>
      <c r="H2073" s="2"/>
    </row>
    <row r="2074" spans="1:8" x14ac:dyDescent="0.25">
      <c r="A2074" s="5"/>
      <c r="B2074" s="6"/>
      <c r="C2074" s="6"/>
      <c r="D2074" s="6"/>
      <c r="E2074" s="6"/>
      <c r="G2074" s="3"/>
      <c r="H2074" s="2"/>
    </row>
    <row r="2075" spans="1:8" x14ac:dyDescent="0.25">
      <c r="A2075" s="5"/>
      <c r="B2075" s="6"/>
      <c r="C2075" s="6"/>
      <c r="D2075" s="6"/>
      <c r="E2075" s="6"/>
      <c r="G2075" s="1"/>
      <c r="H2075" s="2"/>
    </row>
    <row r="2076" spans="1:8" x14ac:dyDescent="0.25">
      <c r="A2076" s="5"/>
      <c r="B2076" s="6"/>
      <c r="C2076" s="6"/>
      <c r="D2076" s="6"/>
      <c r="E2076" s="6"/>
      <c r="G2076" s="3"/>
      <c r="H2076" s="2"/>
    </row>
    <row r="2077" spans="1:8" x14ac:dyDescent="0.25">
      <c r="A2077" s="5"/>
      <c r="B2077" s="6"/>
      <c r="C2077" s="6"/>
      <c r="D2077" s="6"/>
      <c r="E2077" s="6"/>
      <c r="G2077" s="1"/>
      <c r="H2077" s="2"/>
    </row>
    <row r="2078" spans="1:8" x14ac:dyDescent="0.25">
      <c r="A2078" s="5"/>
      <c r="B2078" s="6"/>
      <c r="C2078" s="6"/>
      <c r="D2078" s="6"/>
      <c r="E2078" s="6"/>
      <c r="G2078" s="3"/>
      <c r="H2078" s="2"/>
    </row>
    <row r="2079" spans="1:8" x14ac:dyDescent="0.25">
      <c r="A2079" s="5"/>
      <c r="B2079" s="6"/>
      <c r="C2079" s="6"/>
      <c r="D2079" s="6"/>
      <c r="E2079" s="6"/>
      <c r="G2079" s="1"/>
      <c r="H2079" s="2"/>
    </row>
    <row r="2080" spans="1:8" x14ac:dyDescent="0.25">
      <c r="A2080" s="5"/>
      <c r="B2080" s="6"/>
      <c r="C2080" s="6"/>
      <c r="D2080" s="6"/>
      <c r="E2080" s="6"/>
      <c r="G2080" s="3"/>
      <c r="H2080" s="2"/>
    </row>
    <row r="2081" spans="1:8" x14ac:dyDescent="0.25">
      <c r="A2081" s="5"/>
      <c r="B2081" s="6"/>
      <c r="C2081" s="6"/>
      <c r="D2081" s="6"/>
      <c r="E2081" s="6"/>
      <c r="G2081" s="1"/>
      <c r="H2081" s="2"/>
    </row>
    <row r="2082" spans="1:8" x14ac:dyDescent="0.25">
      <c r="A2082" s="5"/>
      <c r="B2082" s="6"/>
      <c r="C2082" s="6"/>
      <c r="D2082" s="6"/>
      <c r="E2082" s="6"/>
      <c r="G2082" s="3"/>
      <c r="H2082" s="2"/>
    </row>
    <row r="2083" spans="1:8" x14ac:dyDescent="0.25">
      <c r="A2083" s="5"/>
      <c r="B2083" s="6"/>
      <c r="C2083" s="6"/>
      <c r="D2083" s="6"/>
      <c r="E2083" s="6"/>
      <c r="G2083" s="1"/>
      <c r="H2083" s="2"/>
    </row>
    <row r="2084" spans="1:8" x14ac:dyDescent="0.25">
      <c r="A2084" s="5"/>
      <c r="B2084" s="6"/>
      <c r="C2084" s="6"/>
      <c r="D2084" s="6"/>
      <c r="E2084" s="6"/>
      <c r="G2084" s="3"/>
      <c r="H2084" s="2"/>
    </row>
    <row r="2085" spans="1:8" x14ac:dyDescent="0.25">
      <c r="A2085" s="5"/>
      <c r="B2085" s="6"/>
      <c r="C2085" s="6"/>
      <c r="D2085" s="6"/>
      <c r="E2085" s="6"/>
      <c r="G2085" s="1"/>
      <c r="H2085" s="2"/>
    </row>
    <row r="2086" spans="1:8" x14ac:dyDescent="0.25">
      <c r="A2086" s="5"/>
      <c r="B2086" s="6"/>
      <c r="C2086" s="6"/>
      <c r="D2086" s="6"/>
      <c r="E2086" s="6"/>
      <c r="G2086" s="3"/>
      <c r="H2086" s="2"/>
    </row>
    <row r="2087" spans="1:8" x14ac:dyDescent="0.25">
      <c r="A2087" s="5"/>
      <c r="B2087" s="6"/>
      <c r="C2087" s="6"/>
      <c r="D2087" s="6"/>
      <c r="E2087" s="6"/>
      <c r="G2087" s="1"/>
      <c r="H2087" s="2"/>
    </row>
    <row r="2088" spans="1:8" x14ac:dyDescent="0.25">
      <c r="A2088" s="5"/>
      <c r="B2088" s="6"/>
      <c r="C2088" s="6"/>
      <c r="D2088" s="6"/>
      <c r="E2088" s="6"/>
      <c r="G2088" s="3"/>
      <c r="H2088" s="2"/>
    </row>
    <row r="2089" spans="1:8" x14ac:dyDescent="0.25">
      <c r="A2089" s="5"/>
      <c r="B2089" s="6"/>
      <c r="C2089" s="6"/>
      <c r="D2089" s="6"/>
      <c r="E2089" s="6"/>
      <c r="G2089" s="1"/>
      <c r="H2089" s="2"/>
    </row>
    <row r="2090" spans="1:8" x14ac:dyDescent="0.25">
      <c r="A2090" s="5"/>
      <c r="B2090" s="6"/>
      <c r="C2090" s="6"/>
      <c r="D2090" s="6"/>
      <c r="E2090" s="6"/>
      <c r="G2090" s="3"/>
      <c r="H2090" s="2"/>
    </row>
    <row r="2091" spans="1:8" x14ac:dyDescent="0.25">
      <c r="A2091" s="5"/>
      <c r="B2091" s="6"/>
      <c r="C2091" s="6"/>
      <c r="D2091" s="6"/>
      <c r="E2091" s="6"/>
      <c r="G2091" s="1"/>
      <c r="H2091" s="2"/>
    </row>
    <row r="2092" spans="1:8" x14ac:dyDescent="0.25">
      <c r="A2092" s="5"/>
      <c r="B2092" s="6"/>
      <c r="C2092" s="6"/>
      <c r="D2092" s="6"/>
      <c r="E2092" s="6"/>
      <c r="G2092" s="3"/>
      <c r="H2092" s="2"/>
    </row>
    <row r="2093" spans="1:8" x14ac:dyDescent="0.25">
      <c r="A2093" s="5"/>
      <c r="B2093" s="6"/>
      <c r="C2093" s="6"/>
      <c r="D2093" s="6"/>
      <c r="E2093" s="6"/>
      <c r="G2093" s="1"/>
      <c r="H2093" s="2"/>
    </row>
    <row r="2094" spans="1:8" x14ac:dyDescent="0.25">
      <c r="A2094" s="5"/>
      <c r="B2094" s="6"/>
      <c r="C2094" s="6"/>
      <c r="D2094" s="6"/>
      <c r="E2094" s="6"/>
      <c r="G2094" s="3"/>
      <c r="H2094" s="2"/>
    </row>
    <row r="2095" spans="1:8" x14ac:dyDescent="0.25">
      <c r="A2095" s="5"/>
      <c r="B2095" s="6"/>
      <c r="C2095" s="6"/>
      <c r="D2095" s="6"/>
      <c r="E2095" s="6"/>
      <c r="G2095" s="1"/>
      <c r="H2095" s="2"/>
    </row>
    <row r="2096" spans="1:8" x14ac:dyDescent="0.25">
      <c r="A2096" s="5"/>
      <c r="B2096" s="6"/>
      <c r="C2096" s="6"/>
      <c r="D2096" s="6"/>
      <c r="E2096" s="6"/>
      <c r="G2096" s="3"/>
      <c r="H2096" s="2"/>
    </row>
    <row r="2097" spans="1:8" x14ac:dyDescent="0.25">
      <c r="A2097" s="5"/>
      <c r="B2097" s="6"/>
      <c r="C2097" s="6"/>
      <c r="D2097" s="6"/>
      <c r="E2097" s="6"/>
      <c r="G2097" s="1"/>
      <c r="H2097" s="2"/>
    </row>
    <row r="2098" spans="1:8" x14ac:dyDescent="0.25">
      <c r="A2098" s="5"/>
      <c r="B2098" s="6"/>
      <c r="C2098" s="6"/>
      <c r="D2098" s="6"/>
      <c r="E2098" s="6"/>
      <c r="G2098" s="3"/>
      <c r="H2098" s="2"/>
    </row>
    <row r="2099" spans="1:8" x14ac:dyDescent="0.25">
      <c r="A2099" s="5"/>
      <c r="B2099" s="6"/>
      <c r="C2099" s="6"/>
      <c r="D2099" s="6"/>
      <c r="E2099" s="6"/>
      <c r="G2099" s="1"/>
      <c r="H2099" s="2"/>
    </row>
    <row r="2100" spans="1:8" x14ac:dyDescent="0.25">
      <c r="A2100" s="5"/>
      <c r="B2100" s="6"/>
      <c r="C2100" s="6"/>
      <c r="D2100" s="6"/>
      <c r="E2100" s="6"/>
      <c r="G2100" s="3"/>
      <c r="H2100" s="2"/>
    </row>
    <row r="2101" spans="1:8" x14ac:dyDescent="0.25">
      <c r="A2101" s="5"/>
      <c r="B2101" s="6"/>
      <c r="C2101" s="6"/>
      <c r="D2101" s="6"/>
      <c r="E2101" s="6"/>
      <c r="G2101" s="1"/>
      <c r="H2101" s="2"/>
    </row>
    <row r="2102" spans="1:8" x14ac:dyDescent="0.25">
      <c r="A2102" s="5"/>
      <c r="B2102" s="6"/>
      <c r="C2102" s="6"/>
      <c r="D2102" s="6"/>
      <c r="E2102" s="6"/>
      <c r="G2102" s="3"/>
      <c r="H2102" s="2"/>
    </row>
    <row r="2103" spans="1:8" x14ac:dyDescent="0.25">
      <c r="A2103" s="5"/>
      <c r="B2103" s="6"/>
      <c r="C2103" s="6"/>
      <c r="D2103" s="6"/>
      <c r="E2103" s="6"/>
      <c r="G2103" s="1"/>
      <c r="H2103" s="2"/>
    </row>
    <row r="2104" spans="1:8" x14ac:dyDescent="0.25">
      <c r="A2104" s="5"/>
      <c r="B2104" s="6"/>
      <c r="C2104" s="6"/>
      <c r="D2104" s="6"/>
      <c r="E2104" s="6"/>
      <c r="G2104" s="3"/>
      <c r="H2104" s="2"/>
    </row>
    <row r="2105" spans="1:8" x14ac:dyDescent="0.25">
      <c r="A2105" s="5"/>
      <c r="B2105" s="6"/>
      <c r="C2105" s="6"/>
      <c r="D2105" s="6"/>
      <c r="E2105" s="6"/>
      <c r="G2105" s="1"/>
      <c r="H2105" s="2"/>
    </row>
    <row r="2106" spans="1:8" x14ac:dyDescent="0.25">
      <c r="A2106" s="5"/>
      <c r="B2106" s="6"/>
      <c r="C2106" s="6"/>
      <c r="D2106" s="6"/>
      <c r="E2106" s="6"/>
      <c r="G2106" s="3"/>
      <c r="H2106" s="2"/>
    </row>
    <row r="2107" spans="1:8" x14ac:dyDescent="0.25">
      <c r="A2107" s="5"/>
      <c r="B2107" s="6"/>
      <c r="C2107" s="6"/>
      <c r="D2107" s="6"/>
      <c r="E2107" s="6"/>
      <c r="G2107" s="1"/>
      <c r="H2107" s="2"/>
    </row>
    <row r="2108" spans="1:8" x14ac:dyDescent="0.25">
      <c r="A2108" s="5"/>
      <c r="B2108" s="6"/>
      <c r="C2108" s="6"/>
      <c r="D2108" s="6"/>
      <c r="E2108" s="6"/>
      <c r="G2108" s="3"/>
      <c r="H2108" s="2"/>
    </row>
    <row r="2109" spans="1:8" x14ac:dyDescent="0.25">
      <c r="A2109" s="5"/>
      <c r="B2109" s="6"/>
      <c r="C2109" s="6"/>
      <c r="D2109" s="6"/>
      <c r="E2109" s="6"/>
      <c r="G2109" s="1"/>
      <c r="H2109" s="2"/>
    </row>
    <row r="2110" spans="1:8" x14ac:dyDescent="0.25">
      <c r="A2110" s="5"/>
      <c r="B2110" s="6"/>
      <c r="C2110" s="6"/>
      <c r="D2110" s="6"/>
      <c r="E2110" s="6"/>
      <c r="G2110" s="3"/>
      <c r="H2110" s="2"/>
    </row>
    <row r="2111" spans="1:8" x14ac:dyDescent="0.25">
      <c r="A2111" s="5"/>
      <c r="B2111" s="6"/>
      <c r="C2111" s="6"/>
      <c r="D2111" s="6"/>
      <c r="E2111" s="6"/>
      <c r="G2111" s="1"/>
      <c r="H2111" s="2"/>
    </row>
    <row r="2112" spans="1:8" x14ac:dyDescent="0.25">
      <c r="A2112" s="5"/>
      <c r="B2112" s="6"/>
      <c r="C2112" s="6"/>
      <c r="D2112" s="6"/>
      <c r="E2112" s="6"/>
      <c r="G2112" s="3"/>
      <c r="H2112" s="2"/>
    </row>
    <row r="2113" spans="1:8" x14ac:dyDescent="0.25">
      <c r="A2113" s="5"/>
      <c r="B2113" s="6"/>
      <c r="C2113" s="6"/>
      <c r="D2113" s="6"/>
      <c r="E2113" s="6"/>
      <c r="G2113" s="1"/>
      <c r="H2113" s="2"/>
    </row>
    <row r="2114" spans="1:8" x14ac:dyDescent="0.25">
      <c r="A2114" s="5"/>
      <c r="B2114" s="6"/>
      <c r="C2114" s="6"/>
      <c r="D2114" s="6"/>
      <c r="E2114" s="6"/>
      <c r="G2114" s="3"/>
      <c r="H2114" s="2"/>
    </row>
    <row r="2115" spans="1:8" x14ac:dyDescent="0.25">
      <c r="A2115" s="5"/>
      <c r="B2115" s="6"/>
      <c r="C2115" s="6"/>
      <c r="D2115" s="6"/>
      <c r="E2115" s="6"/>
      <c r="G2115" s="1"/>
      <c r="H2115" s="2"/>
    </row>
    <row r="2116" spans="1:8" x14ac:dyDescent="0.25">
      <c r="A2116" s="5"/>
      <c r="B2116" s="6"/>
      <c r="C2116" s="6"/>
      <c r="D2116" s="6"/>
      <c r="E2116" s="6"/>
      <c r="G2116" s="3"/>
      <c r="H2116" s="2"/>
    </row>
    <row r="2117" spans="1:8" x14ac:dyDescent="0.25">
      <c r="A2117" s="5"/>
      <c r="B2117" s="6"/>
      <c r="C2117" s="6"/>
      <c r="D2117" s="6"/>
      <c r="E2117" s="6"/>
      <c r="G2117" s="1"/>
      <c r="H2117" s="2"/>
    </row>
    <row r="2118" spans="1:8" x14ac:dyDescent="0.25">
      <c r="A2118" s="5"/>
      <c r="B2118" s="6"/>
      <c r="C2118" s="6"/>
      <c r="D2118" s="6"/>
      <c r="E2118" s="6"/>
      <c r="G2118" s="3"/>
      <c r="H2118" s="2"/>
    </row>
    <row r="2119" spans="1:8" x14ac:dyDescent="0.25">
      <c r="A2119" s="5"/>
      <c r="B2119" s="6"/>
      <c r="C2119" s="6"/>
      <c r="D2119" s="6"/>
      <c r="E2119" s="6"/>
      <c r="G2119" s="1"/>
      <c r="H2119" s="2"/>
    </row>
    <row r="2120" spans="1:8" x14ac:dyDescent="0.25">
      <c r="A2120" s="5"/>
      <c r="B2120" s="6"/>
      <c r="C2120" s="6"/>
      <c r="D2120" s="6"/>
      <c r="E2120" s="6"/>
      <c r="G2120" s="3"/>
      <c r="H2120" s="2"/>
    </row>
    <row r="2121" spans="1:8" x14ac:dyDescent="0.25">
      <c r="A2121" s="5"/>
      <c r="B2121" s="6"/>
      <c r="C2121" s="6"/>
      <c r="D2121" s="6"/>
      <c r="E2121" s="6"/>
      <c r="G2121" s="1"/>
      <c r="H2121" s="2"/>
    </row>
    <row r="2122" spans="1:8" x14ac:dyDescent="0.25">
      <c r="A2122" s="5"/>
      <c r="B2122" s="6"/>
      <c r="C2122" s="6"/>
      <c r="D2122" s="6"/>
      <c r="E2122" s="6"/>
      <c r="G2122" s="3"/>
      <c r="H2122" s="2"/>
    </row>
    <row r="2123" spans="1:8" x14ac:dyDescent="0.25">
      <c r="A2123" s="5"/>
      <c r="B2123" s="6"/>
      <c r="C2123" s="6"/>
      <c r="D2123" s="6"/>
      <c r="E2123" s="6"/>
      <c r="G2123" s="1"/>
      <c r="H2123" s="2"/>
    </row>
    <row r="2124" spans="1:8" x14ac:dyDescent="0.25">
      <c r="A2124" s="5"/>
      <c r="B2124" s="6"/>
      <c r="C2124" s="6"/>
      <c r="D2124" s="6"/>
      <c r="E2124" s="6"/>
      <c r="G2124" s="3"/>
      <c r="H2124" s="2"/>
    </row>
    <row r="2125" spans="1:8" x14ac:dyDescent="0.25">
      <c r="A2125" s="5"/>
      <c r="B2125" s="6"/>
      <c r="C2125" s="6"/>
      <c r="D2125" s="6"/>
      <c r="E2125" s="6"/>
      <c r="G2125" s="1"/>
      <c r="H2125" s="2"/>
    </row>
    <row r="2126" spans="1:8" x14ac:dyDescent="0.25">
      <c r="A2126" s="5"/>
      <c r="B2126" s="6"/>
      <c r="C2126" s="6"/>
      <c r="D2126" s="6"/>
      <c r="E2126" s="6"/>
      <c r="G2126" s="3"/>
      <c r="H2126" s="2"/>
    </row>
    <row r="2127" spans="1:8" x14ac:dyDescent="0.25">
      <c r="A2127" s="5"/>
      <c r="B2127" s="6"/>
      <c r="C2127" s="6"/>
      <c r="D2127" s="6"/>
      <c r="E2127" s="6"/>
      <c r="G2127" s="1"/>
      <c r="H2127" s="2"/>
    </row>
    <row r="2128" spans="1:8" x14ac:dyDescent="0.25">
      <c r="A2128" s="5"/>
      <c r="B2128" s="6"/>
      <c r="C2128" s="6"/>
      <c r="D2128" s="6"/>
      <c r="E2128" s="6"/>
      <c r="G2128" s="3"/>
      <c r="H2128" s="2"/>
    </row>
    <row r="2129" spans="1:8" x14ac:dyDescent="0.25">
      <c r="A2129" s="5"/>
      <c r="B2129" s="6"/>
      <c r="C2129" s="6"/>
      <c r="D2129" s="6"/>
      <c r="E2129" s="6"/>
      <c r="G2129" s="1"/>
      <c r="H2129" s="2"/>
    </row>
    <row r="2130" spans="1:8" x14ac:dyDescent="0.25">
      <c r="A2130" s="5"/>
      <c r="B2130" s="6"/>
      <c r="C2130" s="6"/>
      <c r="D2130" s="6"/>
      <c r="E2130" s="6"/>
      <c r="G2130" s="3"/>
      <c r="H2130" s="2"/>
    </row>
    <row r="2131" spans="1:8" x14ac:dyDescent="0.25">
      <c r="A2131" s="5"/>
      <c r="B2131" s="6"/>
      <c r="C2131" s="6"/>
      <c r="D2131" s="6"/>
      <c r="E2131" s="6"/>
      <c r="G2131" s="1"/>
      <c r="H2131" s="2"/>
    </row>
    <row r="2132" spans="1:8" x14ac:dyDescent="0.25">
      <c r="A2132" s="5"/>
      <c r="B2132" s="6"/>
      <c r="C2132" s="6"/>
      <c r="D2132" s="6"/>
      <c r="E2132" s="6"/>
      <c r="G2132" s="3"/>
      <c r="H2132" s="2"/>
    </row>
    <row r="2133" spans="1:8" x14ac:dyDescent="0.25">
      <c r="A2133" s="5"/>
      <c r="B2133" s="6"/>
      <c r="C2133" s="6"/>
      <c r="D2133" s="6"/>
      <c r="E2133" s="6"/>
      <c r="G2133" s="1"/>
      <c r="H2133" s="2"/>
    </row>
    <row r="2134" spans="1:8" x14ac:dyDescent="0.25">
      <c r="A2134" s="5"/>
      <c r="B2134" s="6"/>
      <c r="C2134" s="6"/>
      <c r="D2134" s="6"/>
      <c r="E2134" s="6"/>
      <c r="G2134" s="3"/>
      <c r="H2134" s="2"/>
    </row>
    <row r="2135" spans="1:8" x14ac:dyDescent="0.25">
      <c r="A2135" s="5"/>
      <c r="B2135" s="6"/>
      <c r="C2135" s="6"/>
      <c r="D2135" s="6"/>
      <c r="E2135" s="6"/>
      <c r="G2135" s="1"/>
      <c r="H2135" s="2"/>
    </row>
    <row r="2136" spans="1:8" x14ac:dyDescent="0.25">
      <c r="A2136" s="5"/>
      <c r="B2136" s="6"/>
      <c r="C2136" s="6"/>
      <c r="D2136" s="6"/>
      <c r="E2136" s="6"/>
      <c r="G2136" s="3"/>
      <c r="H2136" s="2"/>
    </row>
    <row r="2137" spans="1:8" x14ac:dyDescent="0.25">
      <c r="A2137" s="5"/>
      <c r="B2137" s="6"/>
      <c r="C2137" s="6"/>
      <c r="D2137" s="6"/>
      <c r="E2137" s="6"/>
      <c r="G2137" s="1"/>
      <c r="H2137" s="2"/>
    </row>
    <row r="2138" spans="1:8" x14ac:dyDescent="0.25">
      <c r="A2138" s="5"/>
      <c r="B2138" s="6"/>
      <c r="C2138" s="6"/>
      <c r="D2138" s="6"/>
      <c r="E2138" s="6"/>
      <c r="G2138" s="3"/>
      <c r="H2138" s="2"/>
    </row>
    <row r="2139" spans="1:8" x14ac:dyDescent="0.25">
      <c r="A2139" s="5"/>
      <c r="B2139" s="6"/>
      <c r="C2139" s="6"/>
      <c r="D2139" s="6"/>
      <c r="E2139" s="6"/>
      <c r="G2139" s="1"/>
      <c r="H2139" s="2"/>
    </row>
    <row r="2140" spans="1:8" x14ac:dyDescent="0.25">
      <c r="A2140" s="5"/>
      <c r="B2140" s="6"/>
      <c r="C2140" s="6"/>
      <c r="D2140" s="6"/>
      <c r="E2140" s="6"/>
      <c r="G2140" s="3"/>
      <c r="H2140" s="2"/>
    </row>
    <row r="2141" spans="1:8" x14ac:dyDescent="0.25">
      <c r="A2141" s="5"/>
      <c r="B2141" s="6"/>
      <c r="C2141" s="6"/>
      <c r="D2141" s="6"/>
      <c r="E2141" s="6"/>
      <c r="G2141" s="1"/>
      <c r="H2141" s="2"/>
    </row>
    <row r="2142" spans="1:8" x14ac:dyDescent="0.25">
      <c r="A2142" s="5"/>
      <c r="B2142" s="6"/>
      <c r="C2142" s="6"/>
      <c r="D2142" s="6"/>
      <c r="E2142" s="6"/>
      <c r="G2142" s="3"/>
      <c r="H2142" s="2"/>
    </row>
    <row r="2143" spans="1:8" x14ac:dyDescent="0.25">
      <c r="A2143" s="5"/>
      <c r="B2143" s="6"/>
      <c r="C2143" s="6"/>
      <c r="D2143" s="6"/>
      <c r="E2143" s="6"/>
      <c r="G2143" s="1"/>
      <c r="H2143" s="2"/>
    </row>
    <row r="2144" spans="1:8" x14ac:dyDescent="0.25">
      <c r="A2144" s="5"/>
      <c r="B2144" s="6"/>
      <c r="C2144" s="6"/>
      <c r="D2144" s="6"/>
      <c r="E2144" s="6"/>
      <c r="G2144" s="3"/>
      <c r="H2144" s="2"/>
    </row>
    <row r="2145" spans="1:8" x14ac:dyDescent="0.25">
      <c r="A2145" s="5"/>
      <c r="B2145" s="6"/>
      <c r="C2145" s="6"/>
      <c r="D2145" s="6"/>
      <c r="E2145" s="6"/>
      <c r="G2145" s="1"/>
      <c r="H2145" s="2"/>
    </row>
    <row r="2146" spans="1:8" x14ac:dyDescent="0.25">
      <c r="A2146" s="5"/>
      <c r="B2146" s="6"/>
      <c r="C2146" s="6"/>
      <c r="D2146" s="6"/>
      <c r="E2146" s="6"/>
      <c r="G2146" s="3"/>
      <c r="H2146" s="2"/>
    </row>
    <row r="2147" spans="1:8" x14ac:dyDescent="0.25">
      <c r="A2147" s="5"/>
      <c r="B2147" s="6"/>
      <c r="C2147" s="6"/>
      <c r="D2147" s="6"/>
      <c r="E2147" s="6"/>
      <c r="G2147" s="1"/>
      <c r="H2147" s="2"/>
    </row>
    <row r="2148" spans="1:8" x14ac:dyDescent="0.25">
      <c r="A2148" s="5"/>
      <c r="B2148" s="6"/>
      <c r="C2148" s="6"/>
      <c r="D2148" s="6"/>
      <c r="E2148" s="6"/>
      <c r="G2148" s="3"/>
      <c r="H2148" s="2"/>
    </row>
    <row r="2149" spans="1:8" x14ac:dyDescent="0.25">
      <c r="A2149" s="5"/>
      <c r="B2149" s="6"/>
      <c r="C2149" s="6"/>
      <c r="D2149" s="6"/>
      <c r="E2149" s="6"/>
      <c r="G2149" s="1"/>
      <c r="H2149" s="2"/>
    </row>
    <row r="2150" spans="1:8" x14ac:dyDescent="0.25">
      <c r="A2150" s="5"/>
      <c r="B2150" s="6"/>
      <c r="C2150" s="6"/>
      <c r="D2150" s="6"/>
      <c r="E2150" s="6"/>
      <c r="G2150" s="3"/>
      <c r="H2150" s="2"/>
    </row>
    <row r="2151" spans="1:8" x14ac:dyDescent="0.25">
      <c r="A2151" s="5"/>
      <c r="B2151" s="6"/>
      <c r="C2151" s="6"/>
      <c r="D2151" s="6"/>
      <c r="E2151" s="6"/>
      <c r="G2151" s="1"/>
      <c r="H2151" s="2"/>
    </row>
    <row r="2152" spans="1:8" x14ac:dyDescent="0.25">
      <c r="A2152" s="5"/>
      <c r="B2152" s="6"/>
      <c r="C2152" s="6"/>
      <c r="D2152" s="6"/>
      <c r="E2152" s="6"/>
      <c r="G2152" s="3"/>
      <c r="H2152" s="2"/>
    </row>
    <row r="2153" spans="1:8" x14ac:dyDescent="0.25">
      <c r="A2153" s="5"/>
      <c r="B2153" s="6"/>
      <c r="C2153" s="6"/>
      <c r="D2153" s="6"/>
      <c r="E2153" s="6"/>
      <c r="G2153" s="1"/>
      <c r="H2153" s="2"/>
    </row>
    <row r="2154" spans="1:8" x14ac:dyDescent="0.25">
      <c r="A2154" s="5"/>
      <c r="B2154" s="6"/>
      <c r="C2154" s="6"/>
      <c r="D2154" s="6"/>
      <c r="E2154" s="6"/>
      <c r="G2154" s="3"/>
      <c r="H2154" s="2"/>
    </row>
    <row r="2155" spans="1:8" x14ac:dyDescent="0.25">
      <c r="A2155" s="5"/>
      <c r="B2155" s="6"/>
      <c r="C2155" s="6"/>
      <c r="D2155" s="6"/>
      <c r="E2155" s="6"/>
      <c r="G2155" s="1"/>
      <c r="H2155" s="2"/>
    </row>
    <row r="2156" spans="1:8" x14ac:dyDescent="0.25">
      <c r="A2156" s="5"/>
      <c r="B2156" s="6"/>
      <c r="C2156" s="6"/>
      <c r="D2156" s="6"/>
      <c r="E2156" s="6"/>
      <c r="G2156" s="3"/>
      <c r="H2156" s="2"/>
    </row>
    <row r="2157" spans="1:8" x14ac:dyDescent="0.25">
      <c r="A2157" s="5"/>
      <c r="B2157" s="6"/>
      <c r="C2157" s="6"/>
      <c r="D2157" s="6"/>
      <c r="E2157" s="6"/>
      <c r="G2157" s="1"/>
      <c r="H2157" s="2"/>
    </row>
    <row r="2158" spans="1:8" x14ac:dyDescent="0.25">
      <c r="A2158" s="5"/>
      <c r="B2158" s="6"/>
      <c r="C2158" s="6"/>
      <c r="D2158" s="6"/>
      <c r="E2158" s="6"/>
      <c r="G2158" s="3"/>
      <c r="H2158" s="2"/>
    </row>
    <row r="2159" spans="1:8" x14ac:dyDescent="0.25">
      <c r="A2159" s="5"/>
      <c r="B2159" s="6"/>
      <c r="C2159" s="6"/>
      <c r="D2159" s="6"/>
      <c r="E2159" s="6"/>
      <c r="G2159" s="1"/>
      <c r="H2159" s="2"/>
    </row>
    <row r="2160" spans="1:8" x14ac:dyDescent="0.25">
      <c r="A2160" s="5"/>
      <c r="B2160" s="6"/>
      <c r="C2160" s="6"/>
      <c r="D2160" s="6"/>
      <c r="E2160" s="6"/>
      <c r="G2160" s="3"/>
      <c r="H2160" s="2"/>
    </row>
    <row r="2161" spans="1:8" x14ac:dyDescent="0.25">
      <c r="A2161" s="5"/>
      <c r="B2161" s="6"/>
      <c r="C2161" s="6"/>
      <c r="D2161" s="6"/>
      <c r="E2161" s="6"/>
      <c r="G2161" s="1"/>
      <c r="H2161" s="2"/>
    </row>
    <row r="2162" spans="1:8" x14ac:dyDescent="0.25">
      <c r="A2162" s="5"/>
      <c r="B2162" s="6"/>
      <c r="C2162" s="6"/>
      <c r="D2162" s="6"/>
      <c r="E2162" s="6"/>
      <c r="G2162" s="3"/>
      <c r="H2162" s="2"/>
    </row>
    <row r="2163" spans="1:8" x14ac:dyDescent="0.25">
      <c r="A2163" s="5"/>
      <c r="B2163" s="6"/>
      <c r="C2163" s="6"/>
      <c r="D2163" s="6"/>
      <c r="E2163" s="6"/>
      <c r="G2163" s="1"/>
      <c r="H2163" s="2"/>
    </row>
    <row r="2164" spans="1:8" x14ac:dyDescent="0.25">
      <c r="A2164" s="5"/>
      <c r="B2164" s="6"/>
      <c r="C2164" s="6"/>
      <c r="D2164" s="6"/>
      <c r="E2164" s="6"/>
      <c r="G2164" s="3"/>
      <c r="H2164" s="2"/>
    </row>
    <row r="2165" spans="1:8" x14ac:dyDescent="0.25">
      <c r="A2165" s="5"/>
      <c r="B2165" s="6"/>
      <c r="C2165" s="6"/>
      <c r="D2165" s="6"/>
      <c r="E2165" s="6"/>
      <c r="G2165" s="1"/>
      <c r="H2165" s="2"/>
    </row>
    <row r="2166" spans="1:8" x14ac:dyDescent="0.25">
      <c r="A2166" s="5"/>
      <c r="B2166" s="6"/>
      <c r="C2166" s="6"/>
      <c r="D2166" s="6"/>
      <c r="E2166" s="6"/>
      <c r="G2166" s="3"/>
      <c r="H2166" s="2"/>
    </row>
    <row r="2167" spans="1:8" x14ac:dyDescent="0.25">
      <c r="A2167" s="5"/>
      <c r="B2167" s="6"/>
      <c r="C2167" s="6"/>
      <c r="D2167" s="6"/>
      <c r="E2167" s="6"/>
      <c r="G2167" s="1"/>
      <c r="H2167" s="2"/>
    </row>
    <row r="2168" spans="1:8" x14ac:dyDescent="0.25">
      <c r="A2168" s="5"/>
      <c r="B2168" s="6"/>
      <c r="C2168" s="6"/>
      <c r="D2168" s="6"/>
      <c r="E2168" s="6"/>
      <c r="G2168" s="3"/>
      <c r="H2168" s="2"/>
    </row>
    <row r="2169" spans="1:8" x14ac:dyDescent="0.25">
      <c r="A2169" s="5"/>
      <c r="B2169" s="6"/>
      <c r="C2169" s="6"/>
      <c r="D2169" s="6"/>
      <c r="E2169" s="6"/>
      <c r="G2169" s="1"/>
      <c r="H2169" s="2"/>
    </row>
    <row r="2170" spans="1:8" x14ac:dyDescent="0.25">
      <c r="A2170" s="5"/>
      <c r="B2170" s="6"/>
      <c r="C2170" s="6"/>
      <c r="D2170" s="6"/>
      <c r="E2170" s="6"/>
      <c r="G2170" s="3"/>
      <c r="H2170" s="2"/>
    </row>
    <row r="2171" spans="1:8" x14ac:dyDescent="0.25">
      <c r="A2171" s="5"/>
      <c r="B2171" s="6"/>
      <c r="C2171" s="6"/>
      <c r="D2171" s="6"/>
      <c r="E2171" s="6"/>
      <c r="G2171" s="1"/>
      <c r="H2171" s="2"/>
    </row>
    <row r="2172" spans="1:8" x14ac:dyDescent="0.25">
      <c r="A2172" s="5"/>
      <c r="B2172" s="6"/>
      <c r="C2172" s="6"/>
      <c r="D2172" s="6"/>
      <c r="E2172" s="6"/>
      <c r="G2172" s="3"/>
      <c r="H2172" s="2"/>
    </row>
    <row r="2173" spans="1:8" x14ac:dyDescent="0.25">
      <c r="A2173" s="5"/>
      <c r="B2173" s="6"/>
      <c r="C2173" s="6"/>
      <c r="D2173" s="6"/>
      <c r="E2173" s="6"/>
      <c r="G2173" s="1"/>
      <c r="H2173" s="2"/>
    </row>
    <row r="2174" spans="1:8" x14ac:dyDescent="0.25">
      <c r="A2174" s="5"/>
      <c r="B2174" s="6"/>
      <c r="C2174" s="6"/>
      <c r="D2174" s="6"/>
      <c r="E2174" s="6"/>
      <c r="G2174" s="3"/>
      <c r="H2174" s="2"/>
    </row>
    <row r="2175" spans="1:8" x14ac:dyDescent="0.25">
      <c r="A2175" s="5"/>
      <c r="B2175" s="6"/>
      <c r="C2175" s="6"/>
      <c r="D2175" s="6"/>
      <c r="E2175" s="6"/>
      <c r="G2175" s="1"/>
      <c r="H2175" s="2"/>
    </row>
    <row r="2176" spans="1:8" x14ac:dyDescent="0.25">
      <c r="A2176" s="5"/>
      <c r="B2176" s="6"/>
      <c r="C2176" s="6"/>
      <c r="D2176" s="6"/>
      <c r="E2176" s="6"/>
      <c r="G2176" s="3"/>
      <c r="H2176" s="2"/>
    </row>
    <row r="2177" spans="1:8" x14ac:dyDescent="0.25">
      <c r="A2177" s="5"/>
      <c r="B2177" s="6"/>
      <c r="C2177" s="6"/>
      <c r="D2177" s="6"/>
      <c r="E2177" s="6"/>
      <c r="G2177" s="1"/>
      <c r="H2177" s="2"/>
    </row>
    <row r="2178" spans="1:8" x14ac:dyDescent="0.25">
      <c r="A2178" s="5"/>
      <c r="B2178" s="6"/>
      <c r="C2178" s="6"/>
      <c r="D2178" s="6"/>
      <c r="E2178" s="6"/>
      <c r="G2178" s="3"/>
      <c r="H2178" s="2"/>
    </row>
    <row r="2179" spans="1:8" x14ac:dyDescent="0.25">
      <c r="A2179" s="5"/>
      <c r="B2179" s="6"/>
      <c r="C2179" s="6"/>
      <c r="D2179" s="6"/>
      <c r="E2179" s="6"/>
      <c r="G2179" s="1"/>
      <c r="H2179" s="2"/>
    </row>
    <row r="2180" spans="1:8" x14ac:dyDescent="0.25">
      <c r="A2180" s="5"/>
      <c r="B2180" s="6"/>
      <c r="C2180" s="6"/>
      <c r="D2180" s="6"/>
      <c r="E2180" s="6"/>
      <c r="G2180" s="3"/>
      <c r="H2180" s="2"/>
    </row>
    <row r="2181" spans="1:8" x14ac:dyDescent="0.25">
      <c r="A2181" s="5"/>
      <c r="B2181" s="6"/>
      <c r="C2181" s="6"/>
      <c r="D2181" s="6"/>
      <c r="E2181" s="6"/>
      <c r="G2181" s="1"/>
      <c r="H2181" s="2"/>
    </row>
    <row r="2182" spans="1:8" x14ac:dyDescent="0.25">
      <c r="A2182" s="5"/>
      <c r="B2182" s="6"/>
      <c r="C2182" s="6"/>
      <c r="D2182" s="6"/>
      <c r="E2182" s="6"/>
      <c r="G2182" s="3"/>
      <c r="H2182" s="2"/>
    </row>
    <row r="2183" spans="1:8" x14ac:dyDescent="0.25">
      <c r="A2183" s="5"/>
      <c r="B2183" s="6"/>
      <c r="C2183" s="6"/>
      <c r="D2183" s="6"/>
      <c r="E2183" s="6"/>
      <c r="G2183" s="1"/>
      <c r="H2183" s="2"/>
    </row>
    <row r="2184" spans="1:8" x14ac:dyDescent="0.25">
      <c r="A2184" s="5"/>
      <c r="B2184" s="6"/>
      <c r="C2184" s="6"/>
      <c r="D2184" s="6"/>
      <c r="E2184" s="6"/>
      <c r="G2184" s="3"/>
      <c r="H2184" s="2"/>
    </row>
    <row r="2185" spans="1:8" x14ac:dyDescent="0.25">
      <c r="A2185" s="5"/>
      <c r="B2185" s="6"/>
      <c r="C2185" s="6"/>
      <c r="D2185" s="6"/>
      <c r="E2185" s="6"/>
      <c r="G2185" s="1"/>
      <c r="H2185" s="2"/>
    </row>
    <row r="2186" spans="1:8" x14ac:dyDescent="0.25">
      <c r="A2186" s="5"/>
      <c r="B2186" s="6"/>
      <c r="C2186" s="6"/>
      <c r="D2186" s="6"/>
      <c r="E2186" s="6"/>
      <c r="G2186" s="3"/>
      <c r="H2186" s="2"/>
    </row>
    <row r="2187" spans="1:8" x14ac:dyDescent="0.25">
      <c r="A2187" s="5"/>
      <c r="B2187" s="6"/>
      <c r="C2187" s="6"/>
      <c r="D2187" s="6"/>
      <c r="E2187" s="6"/>
      <c r="G2187" s="1"/>
      <c r="H2187" s="2"/>
    </row>
    <row r="2188" spans="1:8" x14ac:dyDescent="0.25">
      <c r="A2188" s="5"/>
      <c r="B2188" s="6"/>
      <c r="C2188" s="6"/>
      <c r="D2188" s="6"/>
      <c r="E2188" s="6"/>
      <c r="G2188" s="3"/>
      <c r="H2188" s="2"/>
    </row>
    <row r="2189" spans="1:8" x14ac:dyDescent="0.25">
      <c r="A2189" s="5"/>
      <c r="B2189" s="6"/>
      <c r="C2189" s="6"/>
      <c r="D2189" s="6"/>
      <c r="E2189" s="6"/>
      <c r="G2189" s="1"/>
      <c r="H2189" s="2"/>
    </row>
    <row r="2190" spans="1:8" x14ac:dyDescent="0.25">
      <c r="A2190" s="5"/>
      <c r="B2190" s="6"/>
      <c r="C2190" s="6"/>
      <c r="D2190" s="6"/>
      <c r="E2190" s="6"/>
      <c r="G2190" s="3"/>
      <c r="H2190" s="2"/>
    </row>
    <row r="2191" spans="1:8" x14ac:dyDescent="0.25">
      <c r="A2191" s="5"/>
      <c r="B2191" s="6"/>
      <c r="C2191" s="6"/>
      <c r="D2191" s="6"/>
      <c r="E2191" s="6"/>
      <c r="G2191" s="1"/>
      <c r="H2191" s="2"/>
    </row>
    <row r="2192" spans="1:8" x14ac:dyDescent="0.25">
      <c r="A2192" s="5"/>
      <c r="B2192" s="6"/>
      <c r="C2192" s="6"/>
      <c r="D2192" s="6"/>
      <c r="E2192" s="6"/>
      <c r="G2192" s="3"/>
      <c r="H2192" s="2"/>
    </row>
    <row r="2193" spans="1:8" x14ac:dyDescent="0.25">
      <c r="A2193" s="5"/>
      <c r="B2193" s="6"/>
      <c r="C2193" s="6"/>
      <c r="D2193" s="6"/>
      <c r="E2193" s="6"/>
      <c r="G2193" s="1"/>
      <c r="H2193" s="2"/>
    </row>
    <row r="2194" spans="1:8" x14ac:dyDescent="0.25">
      <c r="A2194" s="5"/>
      <c r="B2194" s="6"/>
      <c r="C2194" s="6"/>
      <c r="D2194" s="6"/>
      <c r="E2194" s="6"/>
      <c r="G2194" s="3"/>
      <c r="H2194" s="2"/>
    </row>
    <row r="2195" spans="1:8" x14ac:dyDescent="0.25">
      <c r="A2195" s="5"/>
      <c r="B2195" s="6"/>
      <c r="C2195" s="6"/>
      <c r="D2195" s="6"/>
      <c r="E2195" s="6"/>
      <c r="G2195" s="1"/>
      <c r="H2195" s="2"/>
    </row>
    <row r="2196" spans="1:8" x14ac:dyDescent="0.25">
      <c r="A2196" s="5"/>
      <c r="B2196" s="6"/>
      <c r="C2196" s="6"/>
      <c r="D2196" s="6"/>
      <c r="E2196" s="6"/>
      <c r="G2196" s="3"/>
      <c r="H2196" s="2"/>
    </row>
    <row r="2197" spans="1:8" x14ac:dyDescent="0.25">
      <c r="A2197" s="5"/>
      <c r="B2197" s="6"/>
      <c r="C2197" s="6"/>
      <c r="D2197" s="6"/>
      <c r="E2197" s="6"/>
      <c r="G2197" s="1"/>
      <c r="H2197" s="2"/>
    </row>
    <row r="2198" spans="1:8" x14ac:dyDescent="0.25">
      <c r="A2198" s="5"/>
      <c r="B2198" s="6"/>
      <c r="C2198" s="6"/>
      <c r="D2198" s="6"/>
      <c r="E2198" s="6"/>
      <c r="G2198" s="3"/>
      <c r="H2198" s="2"/>
    </row>
    <row r="2199" spans="1:8" x14ac:dyDescent="0.25">
      <c r="A2199" s="5"/>
      <c r="B2199" s="6"/>
      <c r="C2199" s="6"/>
      <c r="D2199" s="6"/>
      <c r="E2199" s="6"/>
      <c r="G2199" s="1"/>
      <c r="H2199" s="2"/>
    </row>
    <row r="2200" spans="1:8" x14ac:dyDescent="0.25">
      <c r="A2200" s="5"/>
      <c r="B2200" s="6"/>
      <c r="C2200" s="6"/>
      <c r="D2200" s="6"/>
      <c r="E2200" s="6"/>
      <c r="G2200" s="3"/>
      <c r="H2200" s="2"/>
    </row>
    <row r="2201" spans="1:8" x14ac:dyDescent="0.25">
      <c r="A2201" s="5"/>
      <c r="B2201" s="6"/>
      <c r="C2201" s="6"/>
      <c r="D2201" s="6"/>
      <c r="E2201" s="6"/>
      <c r="G2201" s="1"/>
      <c r="H2201" s="2"/>
    </row>
    <row r="2202" spans="1:8" x14ac:dyDescent="0.25">
      <c r="A2202" s="5"/>
      <c r="B2202" s="6"/>
      <c r="C2202" s="6"/>
      <c r="D2202" s="6"/>
      <c r="E2202" s="6"/>
      <c r="G2202" s="3"/>
      <c r="H2202" s="2"/>
    </row>
    <row r="2203" spans="1:8" x14ac:dyDescent="0.25">
      <c r="A2203" s="5"/>
      <c r="B2203" s="6"/>
      <c r="C2203" s="6"/>
      <c r="D2203" s="6"/>
      <c r="E2203" s="6"/>
      <c r="G2203" s="1"/>
      <c r="H2203" s="2"/>
    </row>
    <row r="2204" spans="1:8" x14ac:dyDescent="0.25">
      <c r="A2204" s="5"/>
      <c r="B2204" s="6"/>
      <c r="C2204" s="6"/>
      <c r="D2204" s="6"/>
      <c r="E2204" s="6"/>
      <c r="G2204" s="3"/>
      <c r="H2204" s="2"/>
    </row>
    <row r="2205" spans="1:8" x14ac:dyDescent="0.25">
      <c r="A2205" s="5"/>
      <c r="B2205" s="6"/>
      <c r="C2205" s="6"/>
      <c r="D2205" s="6"/>
      <c r="E2205" s="6"/>
      <c r="G2205" s="1"/>
      <c r="H2205" s="2"/>
    </row>
    <row r="2206" spans="1:8" x14ac:dyDescent="0.25">
      <c r="A2206" s="5"/>
      <c r="B2206" s="6"/>
      <c r="C2206" s="6"/>
      <c r="D2206" s="6"/>
      <c r="E2206" s="6"/>
      <c r="G2206" s="3"/>
      <c r="H2206" s="2"/>
    </row>
    <row r="2207" spans="1:8" x14ac:dyDescent="0.25">
      <c r="A2207" s="5"/>
      <c r="B2207" s="6"/>
      <c r="C2207" s="6"/>
      <c r="D2207" s="6"/>
      <c r="E2207" s="6"/>
      <c r="G2207" s="1"/>
      <c r="H2207" s="2"/>
    </row>
    <row r="2208" spans="1:8" x14ac:dyDescent="0.25">
      <c r="A2208" s="5"/>
      <c r="B2208" s="6"/>
      <c r="C2208" s="6"/>
      <c r="D2208" s="6"/>
      <c r="E2208" s="6"/>
      <c r="G2208" s="3"/>
      <c r="H2208" s="2"/>
    </row>
    <row r="2209" spans="1:8" x14ac:dyDescent="0.25">
      <c r="A2209" s="5"/>
      <c r="B2209" s="6"/>
      <c r="C2209" s="6"/>
      <c r="D2209" s="6"/>
      <c r="E2209" s="6"/>
      <c r="G2209" s="1"/>
      <c r="H2209" s="2"/>
    </row>
    <row r="2210" spans="1:8" x14ac:dyDescent="0.25">
      <c r="A2210" s="5"/>
      <c r="B2210" s="6"/>
      <c r="C2210" s="6"/>
      <c r="D2210" s="6"/>
      <c r="E2210" s="6"/>
      <c r="G2210" s="3"/>
      <c r="H2210" s="2"/>
    </row>
    <row r="2211" spans="1:8" x14ac:dyDescent="0.25">
      <c r="A2211" s="5"/>
      <c r="B2211" s="6"/>
      <c r="C2211" s="6"/>
      <c r="D2211" s="6"/>
      <c r="E2211" s="6"/>
      <c r="G2211" s="1"/>
      <c r="H2211" s="2"/>
    </row>
    <row r="2212" spans="1:8" x14ac:dyDescent="0.25">
      <c r="A2212" s="5"/>
      <c r="B2212" s="6"/>
      <c r="C2212" s="6"/>
      <c r="D2212" s="6"/>
      <c r="E2212" s="6"/>
      <c r="G2212" s="3"/>
      <c r="H2212" s="2"/>
    </row>
    <row r="2213" spans="1:8" x14ac:dyDescent="0.25">
      <c r="A2213" s="5"/>
      <c r="B2213" s="6"/>
      <c r="C2213" s="6"/>
      <c r="D2213" s="6"/>
      <c r="E2213" s="6"/>
      <c r="G2213" s="1"/>
      <c r="H2213" s="2"/>
    </row>
    <row r="2214" spans="1:8" x14ac:dyDescent="0.25">
      <c r="A2214" s="5"/>
      <c r="B2214" s="6"/>
      <c r="C2214" s="6"/>
      <c r="D2214" s="6"/>
      <c r="E2214" s="6"/>
      <c r="G2214" s="3"/>
      <c r="H2214" s="2"/>
    </row>
    <row r="2215" spans="1:8" x14ac:dyDescent="0.25">
      <c r="A2215" s="5"/>
      <c r="B2215" s="6"/>
      <c r="C2215" s="6"/>
      <c r="D2215" s="6"/>
      <c r="E2215" s="6"/>
      <c r="G2215" s="1"/>
      <c r="H2215" s="2"/>
    </row>
    <row r="2216" spans="1:8" x14ac:dyDescent="0.25">
      <c r="A2216" s="5"/>
      <c r="B2216" s="6"/>
      <c r="C2216" s="6"/>
      <c r="D2216" s="6"/>
      <c r="E2216" s="6"/>
      <c r="G2216" s="3"/>
      <c r="H2216" s="2"/>
    </row>
    <row r="2217" spans="1:8" x14ac:dyDescent="0.25">
      <c r="A2217" s="5"/>
      <c r="B2217" s="6"/>
      <c r="C2217" s="6"/>
      <c r="D2217" s="6"/>
      <c r="E2217" s="6"/>
      <c r="G2217" s="1"/>
      <c r="H2217" s="2"/>
    </row>
    <row r="2218" spans="1:8" x14ac:dyDescent="0.25">
      <c r="A2218" s="5"/>
      <c r="B2218" s="6"/>
      <c r="C2218" s="6"/>
      <c r="D2218" s="6"/>
      <c r="E2218" s="6"/>
      <c r="G2218" s="3"/>
      <c r="H2218" s="2"/>
    </row>
    <row r="2219" spans="1:8" x14ac:dyDescent="0.25">
      <c r="A2219" s="5"/>
      <c r="B2219" s="6"/>
      <c r="C2219" s="6"/>
      <c r="D2219" s="6"/>
      <c r="E2219" s="6"/>
      <c r="G2219" s="1"/>
      <c r="H2219" s="2"/>
    </row>
    <row r="2220" spans="1:8" x14ac:dyDescent="0.25">
      <c r="A2220" s="5"/>
      <c r="B2220" s="6"/>
      <c r="C2220" s="6"/>
      <c r="D2220" s="6"/>
      <c r="E2220" s="6"/>
      <c r="G2220" s="3"/>
      <c r="H2220" s="2"/>
    </row>
    <row r="2221" spans="1:8" x14ac:dyDescent="0.25">
      <c r="A2221" s="5"/>
      <c r="B2221" s="6"/>
      <c r="C2221" s="6"/>
      <c r="D2221" s="6"/>
      <c r="E2221" s="6"/>
      <c r="G2221" s="1"/>
      <c r="H2221" s="2"/>
    </row>
    <row r="2222" spans="1:8" x14ac:dyDescent="0.25">
      <c r="A2222" s="5"/>
      <c r="B2222" s="6"/>
      <c r="C2222" s="6"/>
      <c r="D2222" s="6"/>
      <c r="E2222" s="6"/>
      <c r="G2222" s="3"/>
      <c r="H2222" s="2"/>
    </row>
    <row r="2223" spans="1:8" x14ac:dyDescent="0.25">
      <c r="A2223" s="5"/>
      <c r="B2223" s="6"/>
      <c r="C2223" s="6"/>
      <c r="D2223" s="6"/>
      <c r="E2223" s="6"/>
      <c r="G2223" s="1"/>
      <c r="H2223" s="2"/>
    </row>
    <row r="2224" spans="1:8" x14ac:dyDescent="0.25">
      <c r="A2224" s="5"/>
      <c r="B2224" s="6"/>
      <c r="C2224" s="6"/>
      <c r="D2224" s="6"/>
      <c r="E2224" s="6"/>
      <c r="G2224" s="3"/>
      <c r="H2224" s="2"/>
    </row>
    <row r="2225" spans="1:8" x14ac:dyDescent="0.25">
      <c r="A2225" s="5"/>
      <c r="B2225" s="6"/>
      <c r="C2225" s="6"/>
      <c r="D2225" s="6"/>
      <c r="E2225" s="6"/>
      <c r="G2225" s="1"/>
      <c r="H2225" s="2"/>
    </row>
    <row r="2226" spans="1:8" x14ac:dyDescent="0.25">
      <c r="A2226" s="5"/>
      <c r="B2226" s="6"/>
      <c r="C2226" s="6"/>
      <c r="D2226" s="6"/>
      <c r="E2226" s="6"/>
      <c r="G2226" s="3"/>
      <c r="H2226" s="2"/>
    </row>
    <row r="2227" spans="1:8" x14ac:dyDescent="0.25">
      <c r="A2227" s="5"/>
      <c r="B2227" s="6"/>
      <c r="C2227" s="6"/>
      <c r="D2227" s="6"/>
      <c r="E2227" s="6"/>
      <c r="G2227" s="1"/>
      <c r="H2227" s="2"/>
    </row>
    <row r="2228" spans="1:8" x14ac:dyDescent="0.25">
      <c r="A2228" s="5"/>
      <c r="B2228" s="6"/>
      <c r="C2228" s="6"/>
      <c r="D2228" s="6"/>
      <c r="E2228" s="6"/>
      <c r="G2228" s="3"/>
      <c r="H2228" s="2"/>
    </row>
    <row r="2229" spans="1:8" x14ac:dyDescent="0.25">
      <c r="A2229" s="5"/>
      <c r="B2229" s="6"/>
      <c r="C2229" s="6"/>
      <c r="D2229" s="6"/>
      <c r="E2229" s="6"/>
      <c r="G2229" s="1"/>
      <c r="H2229" s="2"/>
    </row>
    <row r="2230" spans="1:8" x14ac:dyDescent="0.25">
      <c r="A2230" s="5"/>
      <c r="B2230" s="6"/>
      <c r="C2230" s="6"/>
      <c r="D2230" s="6"/>
      <c r="E2230" s="6"/>
      <c r="G2230" s="3"/>
      <c r="H2230" s="2"/>
    </row>
    <row r="2231" spans="1:8" x14ac:dyDescent="0.25">
      <c r="A2231" s="5"/>
      <c r="B2231" s="6"/>
      <c r="C2231" s="6"/>
      <c r="D2231" s="6"/>
      <c r="E2231" s="6"/>
      <c r="G2231" s="1"/>
      <c r="H2231" s="2"/>
    </row>
    <row r="2232" spans="1:8" x14ac:dyDescent="0.25">
      <c r="A2232" s="5"/>
      <c r="B2232" s="6"/>
      <c r="C2232" s="6"/>
      <c r="D2232" s="6"/>
      <c r="E2232" s="6"/>
      <c r="G2232" s="3"/>
      <c r="H2232" s="2"/>
    </row>
    <row r="2233" spans="1:8" x14ac:dyDescent="0.25">
      <c r="A2233" s="5"/>
      <c r="B2233" s="6"/>
      <c r="C2233" s="6"/>
      <c r="D2233" s="6"/>
      <c r="E2233" s="6"/>
      <c r="G2233" s="1"/>
      <c r="H2233" s="2"/>
    </row>
    <row r="2234" spans="1:8" x14ac:dyDescent="0.25">
      <c r="A2234" s="5"/>
      <c r="B2234" s="6"/>
      <c r="C2234" s="6"/>
      <c r="D2234" s="6"/>
      <c r="E2234" s="6"/>
      <c r="G2234" s="3"/>
      <c r="H2234" s="2"/>
    </row>
    <row r="2235" spans="1:8" x14ac:dyDescent="0.25">
      <c r="A2235" s="5"/>
      <c r="B2235" s="6"/>
      <c r="C2235" s="6"/>
      <c r="D2235" s="6"/>
      <c r="E2235" s="6"/>
      <c r="G2235" s="1"/>
      <c r="H2235" s="2"/>
    </row>
    <row r="2236" spans="1:8" x14ac:dyDescent="0.25">
      <c r="A2236" s="5"/>
      <c r="B2236" s="6"/>
      <c r="C2236" s="6"/>
      <c r="D2236" s="6"/>
      <c r="E2236" s="6"/>
      <c r="G2236" s="3"/>
      <c r="H2236" s="2"/>
    </row>
    <row r="2237" spans="1:8" x14ac:dyDescent="0.25">
      <c r="A2237" s="5"/>
      <c r="B2237" s="6"/>
      <c r="C2237" s="6"/>
      <c r="D2237" s="6"/>
      <c r="E2237" s="6"/>
      <c r="G2237" s="1"/>
      <c r="H2237" s="2"/>
    </row>
    <row r="2238" spans="1:8" x14ac:dyDescent="0.25">
      <c r="A2238" s="5"/>
      <c r="B2238" s="6"/>
      <c r="C2238" s="6"/>
      <c r="D2238" s="6"/>
      <c r="E2238" s="6"/>
      <c r="G2238" s="3"/>
      <c r="H2238" s="2"/>
    </row>
    <row r="2239" spans="1:8" x14ac:dyDescent="0.25">
      <c r="A2239" s="5"/>
      <c r="B2239" s="6"/>
      <c r="C2239" s="6"/>
      <c r="D2239" s="6"/>
      <c r="E2239" s="6"/>
      <c r="G2239" s="1"/>
      <c r="H2239" s="2"/>
    </row>
    <row r="2240" spans="1:8" x14ac:dyDescent="0.25">
      <c r="A2240" s="5"/>
      <c r="B2240" s="6"/>
      <c r="C2240" s="6"/>
      <c r="D2240" s="6"/>
      <c r="E2240" s="6"/>
      <c r="G2240" s="3"/>
      <c r="H2240" s="2"/>
    </row>
    <row r="2241" spans="1:8" x14ac:dyDescent="0.25">
      <c r="A2241" s="5"/>
      <c r="B2241" s="6"/>
      <c r="C2241" s="6"/>
      <c r="D2241" s="6"/>
      <c r="E2241" s="6"/>
      <c r="G2241" s="1"/>
      <c r="H2241" s="2"/>
    </row>
    <row r="2242" spans="1:8" x14ac:dyDescent="0.25">
      <c r="A2242" s="5"/>
      <c r="B2242" s="6"/>
      <c r="C2242" s="6"/>
      <c r="D2242" s="6"/>
      <c r="E2242" s="6"/>
      <c r="G2242" s="3"/>
      <c r="H2242" s="2"/>
    </row>
    <row r="2243" spans="1:8" x14ac:dyDescent="0.25">
      <c r="A2243" s="5"/>
      <c r="B2243" s="6"/>
      <c r="C2243" s="6"/>
      <c r="D2243" s="6"/>
      <c r="E2243" s="6"/>
      <c r="G2243" s="1"/>
      <c r="H2243" s="2"/>
    </row>
    <row r="2244" spans="1:8" x14ac:dyDescent="0.25">
      <c r="A2244" s="5"/>
      <c r="B2244" s="6"/>
      <c r="C2244" s="6"/>
      <c r="D2244" s="6"/>
      <c r="E2244" s="6"/>
      <c r="G2244" s="3"/>
      <c r="H2244" s="2"/>
    </row>
    <row r="2245" spans="1:8" x14ac:dyDescent="0.25">
      <c r="A2245" s="5"/>
      <c r="B2245" s="6"/>
      <c r="C2245" s="6"/>
      <c r="D2245" s="6"/>
      <c r="E2245" s="6"/>
      <c r="G2245" s="1"/>
      <c r="H2245" s="2"/>
    </row>
    <row r="2246" spans="1:8" x14ac:dyDescent="0.25">
      <c r="A2246" s="5"/>
      <c r="B2246" s="6"/>
      <c r="C2246" s="6"/>
      <c r="D2246" s="6"/>
      <c r="E2246" s="6"/>
      <c r="G2246" s="3"/>
      <c r="H2246" s="2"/>
    </row>
    <row r="2247" spans="1:8" x14ac:dyDescent="0.25">
      <c r="A2247" s="5"/>
      <c r="B2247" s="6"/>
      <c r="C2247" s="6"/>
      <c r="D2247" s="6"/>
      <c r="E2247" s="6"/>
      <c r="G2247" s="1"/>
      <c r="H2247" s="2"/>
    </row>
    <row r="2248" spans="1:8" x14ac:dyDescent="0.25">
      <c r="A2248" s="5"/>
      <c r="B2248" s="6"/>
      <c r="C2248" s="6"/>
      <c r="D2248" s="6"/>
      <c r="E2248" s="6"/>
      <c r="G2248" s="3"/>
      <c r="H2248" s="2"/>
    </row>
    <row r="2249" spans="1:8" x14ac:dyDescent="0.25">
      <c r="A2249" s="5"/>
      <c r="B2249" s="6"/>
      <c r="C2249" s="6"/>
      <c r="D2249" s="6"/>
      <c r="E2249" s="6"/>
      <c r="G2249" s="1"/>
      <c r="H2249" s="2"/>
    </row>
    <row r="2250" spans="1:8" x14ac:dyDescent="0.25">
      <c r="A2250" s="5"/>
      <c r="B2250" s="6"/>
      <c r="C2250" s="6"/>
      <c r="D2250" s="6"/>
      <c r="E2250" s="6"/>
      <c r="G2250" s="3"/>
      <c r="H2250" s="2"/>
    </row>
    <row r="2251" spans="1:8" x14ac:dyDescent="0.25">
      <c r="A2251" s="5"/>
      <c r="B2251" s="6"/>
      <c r="C2251" s="6"/>
      <c r="D2251" s="6"/>
      <c r="E2251" s="6"/>
      <c r="G2251" s="1"/>
      <c r="H2251" s="2"/>
    </row>
    <row r="2252" spans="1:8" x14ac:dyDescent="0.25">
      <c r="A2252" s="5"/>
      <c r="B2252" s="6"/>
      <c r="C2252" s="6"/>
      <c r="D2252" s="6"/>
      <c r="E2252" s="6"/>
      <c r="G2252" s="3"/>
      <c r="H2252" s="2"/>
    </row>
    <row r="2253" spans="1:8" x14ac:dyDescent="0.25">
      <c r="A2253" s="5"/>
      <c r="B2253" s="6"/>
      <c r="C2253" s="6"/>
      <c r="D2253" s="6"/>
      <c r="E2253" s="6"/>
      <c r="G2253" s="1"/>
      <c r="H2253" s="2"/>
    </row>
    <row r="2254" spans="1:8" x14ac:dyDescent="0.25">
      <c r="A2254" s="5"/>
      <c r="B2254" s="6"/>
      <c r="C2254" s="6"/>
      <c r="D2254" s="6"/>
      <c r="E2254" s="6"/>
      <c r="G2254" s="3"/>
      <c r="H2254" s="2"/>
    </row>
    <row r="2255" spans="1:8" x14ac:dyDescent="0.25">
      <c r="A2255" s="5"/>
      <c r="B2255" s="6"/>
      <c r="C2255" s="6"/>
      <c r="D2255" s="6"/>
      <c r="E2255" s="6"/>
      <c r="G2255" s="1"/>
      <c r="H2255" s="2"/>
    </row>
    <row r="2256" spans="1:8" x14ac:dyDescent="0.25">
      <c r="A2256" s="5"/>
      <c r="B2256" s="6"/>
      <c r="C2256" s="6"/>
      <c r="D2256" s="6"/>
      <c r="E2256" s="6"/>
      <c r="G2256" s="3"/>
      <c r="H2256" s="2"/>
    </row>
    <row r="2257" spans="1:8" x14ac:dyDescent="0.25">
      <c r="A2257" s="5"/>
      <c r="B2257" s="6"/>
      <c r="C2257" s="6"/>
      <c r="D2257" s="6"/>
      <c r="E2257" s="6"/>
      <c r="G2257" s="1"/>
      <c r="H2257" s="2"/>
    </row>
    <row r="2258" spans="1:8" x14ac:dyDescent="0.25">
      <c r="A2258" s="5"/>
      <c r="B2258" s="6"/>
      <c r="C2258" s="6"/>
      <c r="D2258" s="6"/>
      <c r="E2258" s="6"/>
      <c r="G2258" s="3"/>
      <c r="H2258" s="2"/>
    </row>
    <row r="2259" spans="1:8" x14ac:dyDescent="0.25">
      <c r="A2259" s="5"/>
      <c r="B2259" s="6"/>
      <c r="C2259" s="6"/>
      <c r="D2259" s="6"/>
      <c r="E2259" s="6"/>
      <c r="G2259" s="1"/>
      <c r="H2259" s="2"/>
    </row>
    <row r="2260" spans="1:8" x14ac:dyDescent="0.25">
      <c r="A2260" s="5"/>
      <c r="B2260" s="6"/>
      <c r="C2260" s="6"/>
      <c r="D2260" s="6"/>
      <c r="E2260" s="6"/>
      <c r="G2260" s="3"/>
      <c r="H2260" s="2"/>
    </row>
    <row r="2261" spans="1:8" x14ac:dyDescent="0.25">
      <c r="A2261" s="5"/>
      <c r="B2261" s="6"/>
      <c r="C2261" s="6"/>
      <c r="D2261" s="6"/>
      <c r="E2261" s="6"/>
      <c r="G2261" s="1"/>
      <c r="H2261" s="2"/>
    </row>
    <row r="2262" spans="1:8" x14ac:dyDescent="0.25">
      <c r="A2262" s="5"/>
      <c r="B2262" s="6"/>
      <c r="C2262" s="6"/>
      <c r="D2262" s="6"/>
      <c r="E2262" s="6"/>
      <c r="G2262" s="3"/>
      <c r="H2262" s="2"/>
    </row>
    <row r="2263" spans="1:8" x14ac:dyDescent="0.25">
      <c r="A2263" s="5"/>
      <c r="B2263" s="6"/>
      <c r="C2263" s="6"/>
      <c r="D2263" s="6"/>
      <c r="E2263" s="6"/>
      <c r="G2263" s="1"/>
      <c r="H2263" s="2"/>
    </row>
    <row r="2264" spans="1:8" x14ac:dyDescent="0.25">
      <c r="A2264" s="5"/>
      <c r="B2264" s="6"/>
      <c r="C2264" s="6"/>
      <c r="D2264" s="6"/>
      <c r="E2264" s="6"/>
      <c r="G2264" s="3"/>
      <c r="H2264" s="2"/>
    </row>
    <row r="2265" spans="1:8" x14ac:dyDescent="0.25">
      <c r="A2265" s="5"/>
      <c r="B2265" s="6"/>
      <c r="C2265" s="6"/>
      <c r="D2265" s="6"/>
      <c r="E2265" s="6"/>
      <c r="G2265" s="1"/>
      <c r="H2265" s="2"/>
    </row>
    <row r="2266" spans="1:8" x14ac:dyDescent="0.25">
      <c r="A2266" s="5"/>
      <c r="B2266" s="6"/>
      <c r="C2266" s="6"/>
      <c r="D2266" s="6"/>
      <c r="E2266" s="6"/>
      <c r="G2266" s="3"/>
      <c r="H2266" s="2"/>
    </row>
    <row r="2267" spans="1:8" x14ac:dyDescent="0.25">
      <c r="A2267" s="5"/>
      <c r="B2267" s="6"/>
      <c r="C2267" s="6"/>
      <c r="D2267" s="6"/>
      <c r="E2267" s="6"/>
      <c r="G2267" s="1"/>
      <c r="H2267" s="2"/>
    </row>
    <row r="2268" spans="1:8" x14ac:dyDescent="0.25">
      <c r="A2268" s="5"/>
      <c r="B2268" s="6"/>
      <c r="C2268" s="6"/>
      <c r="D2268" s="6"/>
      <c r="E2268" s="6"/>
      <c r="G2268" s="3"/>
      <c r="H2268" s="2"/>
    </row>
    <row r="2269" spans="1:8" x14ac:dyDescent="0.25">
      <c r="A2269" s="5"/>
      <c r="B2269" s="6"/>
      <c r="C2269" s="6"/>
      <c r="D2269" s="6"/>
      <c r="E2269" s="6"/>
      <c r="G2269" s="1"/>
      <c r="H2269" s="2"/>
    </row>
    <row r="2270" spans="1:8" x14ac:dyDescent="0.25">
      <c r="A2270" s="5"/>
      <c r="B2270" s="6"/>
      <c r="C2270" s="6"/>
      <c r="D2270" s="6"/>
      <c r="E2270" s="6"/>
      <c r="G2270" s="3"/>
      <c r="H2270" s="2"/>
    </row>
    <row r="2271" spans="1:8" x14ac:dyDescent="0.25">
      <c r="A2271" s="5"/>
      <c r="B2271" s="6"/>
      <c r="C2271" s="6"/>
      <c r="D2271" s="6"/>
      <c r="E2271" s="6"/>
      <c r="G2271" s="1"/>
      <c r="H2271" s="2"/>
    </row>
    <row r="2272" spans="1:8" x14ac:dyDescent="0.25">
      <c r="A2272" s="5"/>
      <c r="B2272" s="6"/>
      <c r="C2272" s="6"/>
      <c r="D2272" s="6"/>
      <c r="E2272" s="6"/>
      <c r="G2272" s="3"/>
      <c r="H2272" s="2"/>
    </row>
    <row r="2273" spans="1:8" x14ac:dyDescent="0.25">
      <c r="A2273" s="5"/>
      <c r="B2273" s="6"/>
      <c r="C2273" s="6"/>
      <c r="D2273" s="6"/>
      <c r="E2273" s="6"/>
      <c r="G2273" s="1"/>
      <c r="H2273" s="2"/>
    </row>
    <row r="2274" spans="1:8" x14ac:dyDescent="0.25">
      <c r="A2274" s="5"/>
      <c r="B2274" s="6"/>
      <c r="C2274" s="6"/>
      <c r="D2274" s="6"/>
      <c r="E2274" s="6"/>
      <c r="G2274" s="3"/>
      <c r="H2274" s="2"/>
    </row>
    <row r="2275" spans="1:8" x14ac:dyDescent="0.25">
      <c r="A2275" s="5"/>
      <c r="B2275" s="6"/>
      <c r="C2275" s="6"/>
      <c r="D2275" s="6"/>
      <c r="E2275" s="6"/>
      <c r="G2275" s="1"/>
      <c r="H2275" s="2"/>
    </row>
    <row r="2276" spans="1:8" x14ac:dyDescent="0.25">
      <c r="A2276" s="5"/>
      <c r="B2276" s="6"/>
      <c r="C2276" s="6"/>
      <c r="D2276" s="6"/>
      <c r="E2276" s="6"/>
      <c r="G2276" s="3"/>
      <c r="H2276" s="2"/>
    </row>
    <row r="2277" spans="1:8" x14ac:dyDescent="0.25">
      <c r="A2277" s="5"/>
      <c r="B2277" s="6"/>
      <c r="C2277" s="6"/>
      <c r="D2277" s="6"/>
      <c r="E2277" s="6"/>
      <c r="G2277" s="1"/>
      <c r="H2277" s="2"/>
    </row>
    <row r="2278" spans="1:8" x14ac:dyDescent="0.25">
      <c r="A2278" s="5"/>
      <c r="B2278" s="6"/>
      <c r="C2278" s="6"/>
      <c r="D2278" s="6"/>
      <c r="E2278" s="6"/>
      <c r="G2278" s="3"/>
      <c r="H2278" s="2"/>
    </row>
    <row r="2279" spans="1:8" x14ac:dyDescent="0.25">
      <c r="A2279" s="5"/>
      <c r="B2279" s="6"/>
      <c r="C2279" s="6"/>
      <c r="D2279" s="6"/>
      <c r="E2279" s="6"/>
      <c r="G2279" s="1"/>
      <c r="H2279" s="2"/>
    </row>
    <row r="2280" spans="1:8" x14ac:dyDescent="0.25">
      <c r="A2280" s="5"/>
      <c r="B2280" s="6"/>
      <c r="C2280" s="6"/>
      <c r="D2280" s="6"/>
      <c r="E2280" s="6"/>
      <c r="G2280" s="3"/>
      <c r="H2280" s="2"/>
    </row>
    <row r="2281" spans="1:8" x14ac:dyDescent="0.25">
      <c r="A2281" s="5"/>
      <c r="B2281" s="6"/>
      <c r="C2281" s="6"/>
      <c r="D2281" s="6"/>
      <c r="E2281" s="6"/>
      <c r="G2281" s="1"/>
      <c r="H2281" s="2"/>
    </row>
    <row r="2282" spans="1:8" x14ac:dyDescent="0.25">
      <c r="A2282" s="5"/>
      <c r="B2282" s="6"/>
      <c r="C2282" s="6"/>
      <c r="D2282" s="6"/>
      <c r="E2282" s="6"/>
      <c r="G2282" s="3"/>
      <c r="H2282" s="2"/>
    </row>
    <row r="2283" spans="1:8" x14ac:dyDescent="0.25">
      <c r="A2283" s="5"/>
      <c r="B2283" s="6"/>
      <c r="C2283" s="6"/>
      <c r="D2283" s="6"/>
      <c r="E2283" s="6"/>
      <c r="G2283" s="1"/>
      <c r="H2283" s="2"/>
    </row>
    <row r="2284" spans="1:8" x14ac:dyDescent="0.25">
      <c r="A2284" s="5"/>
      <c r="B2284" s="6"/>
      <c r="C2284" s="6"/>
      <c r="D2284" s="6"/>
      <c r="E2284" s="6"/>
      <c r="G2284" s="3"/>
      <c r="H2284" s="2"/>
    </row>
    <row r="2285" spans="1:8" x14ac:dyDescent="0.25">
      <c r="A2285" s="5"/>
      <c r="B2285" s="6"/>
      <c r="C2285" s="6"/>
      <c r="D2285" s="6"/>
      <c r="E2285" s="6"/>
      <c r="G2285" s="1"/>
      <c r="H2285" s="2"/>
    </row>
    <row r="2286" spans="1:8" x14ac:dyDescent="0.25">
      <c r="A2286" s="5"/>
      <c r="B2286" s="6"/>
      <c r="C2286" s="6"/>
      <c r="D2286" s="6"/>
      <c r="E2286" s="6"/>
      <c r="G2286" s="3"/>
      <c r="H2286" s="2"/>
    </row>
    <row r="2287" spans="1:8" x14ac:dyDescent="0.25">
      <c r="A2287" s="5"/>
      <c r="B2287" s="6"/>
      <c r="C2287" s="6"/>
      <c r="D2287" s="6"/>
      <c r="E2287" s="6"/>
      <c r="G2287" s="1"/>
      <c r="H2287" s="2"/>
    </row>
    <row r="2288" spans="1:8" x14ac:dyDescent="0.25">
      <c r="A2288" s="5"/>
      <c r="B2288" s="6"/>
      <c r="C2288" s="6"/>
      <c r="D2288" s="6"/>
      <c r="E2288" s="6"/>
      <c r="G2288" s="3"/>
      <c r="H2288" s="2"/>
    </row>
    <row r="2289" spans="1:8" x14ac:dyDescent="0.25">
      <c r="A2289" s="5"/>
      <c r="B2289" s="6"/>
      <c r="C2289" s="6"/>
      <c r="D2289" s="6"/>
      <c r="E2289" s="6"/>
      <c r="G2289" s="1"/>
      <c r="H2289" s="2"/>
    </row>
    <row r="2290" spans="1:8" x14ac:dyDescent="0.25">
      <c r="A2290" s="5"/>
      <c r="B2290" s="6"/>
      <c r="C2290" s="6"/>
      <c r="D2290" s="6"/>
      <c r="E2290" s="6"/>
      <c r="G2290" s="14"/>
      <c r="H2290" s="2"/>
    </row>
    <row r="2291" spans="1:8" x14ac:dyDescent="0.25">
      <c r="A2291" s="5"/>
      <c r="B2291" s="6"/>
      <c r="C2291" s="6"/>
      <c r="D2291" s="6"/>
      <c r="E2291" s="6"/>
      <c r="G2291" s="14"/>
      <c r="H2291" s="2"/>
    </row>
    <row r="2292" spans="1:8" x14ac:dyDescent="0.25">
      <c r="A2292" s="5"/>
      <c r="B2292" s="6"/>
      <c r="C2292" s="6"/>
      <c r="D2292" s="6"/>
      <c r="E2292" s="6"/>
      <c r="G2292" s="14"/>
      <c r="H2292" s="2"/>
    </row>
    <row r="2293" spans="1:8" x14ac:dyDescent="0.25">
      <c r="A2293" s="5"/>
      <c r="B2293" s="6"/>
      <c r="C2293" s="6"/>
      <c r="D2293" s="6"/>
      <c r="E2293" s="6"/>
      <c r="G2293" s="14"/>
      <c r="H2293" s="2"/>
    </row>
    <row r="2294" spans="1:8" x14ac:dyDescent="0.25">
      <c r="A2294" s="5"/>
      <c r="B2294" s="6"/>
      <c r="C2294" s="6"/>
      <c r="D2294" s="6"/>
      <c r="E2294" s="6"/>
      <c r="G2294" s="14"/>
      <c r="H2294" s="2"/>
    </row>
    <row r="2295" spans="1:8" x14ac:dyDescent="0.25">
      <c r="A2295" s="5"/>
      <c r="B2295" s="6"/>
      <c r="C2295" s="6"/>
      <c r="D2295" s="6"/>
      <c r="E2295" s="6"/>
      <c r="G2295" s="14"/>
      <c r="H2295" s="2"/>
    </row>
    <row r="2296" spans="1:8" x14ac:dyDescent="0.25">
      <c r="A2296" s="5"/>
      <c r="B2296" s="6"/>
      <c r="C2296" s="6"/>
      <c r="D2296" s="6"/>
      <c r="E2296" s="6"/>
    </row>
    <row r="2297" spans="1:8" x14ac:dyDescent="0.25">
      <c r="A2297" s="5"/>
      <c r="B2297" s="6"/>
      <c r="C2297" s="6"/>
      <c r="D2297" s="6"/>
      <c r="E2297" s="6"/>
      <c r="G2297" s="3"/>
      <c r="H2297" s="2"/>
    </row>
    <row r="2298" spans="1:8" x14ac:dyDescent="0.25">
      <c r="A2298" s="5"/>
      <c r="B2298" s="6"/>
      <c r="C2298" s="6"/>
      <c r="D2298" s="6"/>
      <c r="E2298" s="6"/>
      <c r="G2298" s="1"/>
      <c r="H2298" s="2"/>
    </row>
    <row r="2299" spans="1:8" x14ac:dyDescent="0.25">
      <c r="A2299" s="5"/>
      <c r="B2299" s="6"/>
      <c r="C2299" s="6"/>
      <c r="D2299" s="6"/>
      <c r="E2299" s="6"/>
      <c r="G2299" s="3"/>
      <c r="H2299" s="2"/>
    </row>
    <row r="2300" spans="1:8" x14ac:dyDescent="0.25">
      <c r="A2300" s="5"/>
      <c r="B2300" s="6"/>
      <c r="C2300" s="6"/>
      <c r="D2300" s="6"/>
      <c r="E2300" s="6"/>
      <c r="G2300" s="1"/>
      <c r="H2300" s="2"/>
    </row>
    <row r="2301" spans="1:8" x14ac:dyDescent="0.25">
      <c r="A2301" s="5"/>
      <c r="B2301" s="6"/>
      <c r="C2301" s="6"/>
      <c r="D2301" s="6"/>
      <c r="E2301" s="6"/>
      <c r="G2301" s="3"/>
      <c r="H2301" s="2"/>
    </row>
    <row r="2302" spans="1:8" x14ac:dyDescent="0.25">
      <c r="A2302" s="5"/>
      <c r="B2302" s="6"/>
      <c r="C2302" s="6"/>
      <c r="D2302" s="6"/>
      <c r="E2302" s="6"/>
      <c r="G2302" s="1"/>
      <c r="H2302" s="2"/>
    </row>
    <row r="2303" spans="1:8" x14ac:dyDescent="0.25">
      <c r="A2303" s="5"/>
      <c r="B2303" s="6"/>
      <c r="C2303" s="6"/>
      <c r="D2303" s="6"/>
      <c r="E2303" s="6"/>
      <c r="G2303" s="3"/>
      <c r="H2303" s="2"/>
    </row>
    <row r="2304" spans="1:8" x14ac:dyDescent="0.25">
      <c r="A2304" s="5"/>
      <c r="B2304" s="6"/>
      <c r="C2304" s="6"/>
      <c r="D2304" s="6"/>
      <c r="E2304" s="6"/>
      <c r="G2304" s="1"/>
      <c r="H2304" s="2"/>
    </row>
    <row r="2305" spans="1:8" x14ac:dyDescent="0.25">
      <c r="A2305" s="5"/>
      <c r="B2305" s="6"/>
      <c r="C2305" s="6"/>
      <c r="D2305" s="6"/>
      <c r="E2305" s="6"/>
      <c r="G2305" s="3"/>
      <c r="H2305" s="2"/>
    </row>
    <row r="2306" spans="1:8" x14ac:dyDescent="0.25">
      <c r="A2306" s="5"/>
      <c r="B2306" s="6"/>
      <c r="C2306" s="6"/>
      <c r="D2306" s="6"/>
      <c r="E2306" s="6"/>
      <c r="G2306" s="1"/>
      <c r="H2306" s="2"/>
    </row>
    <row r="2307" spans="1:8" x14ac:dyDescent="0.25">
      <c r="A2307" s="5"/>
      <c r="B2307" s="6"/>
      <c r="C2307" s="6"/>
      <c r="D2307" s="6"/>
      <c r="E2307" s="6"/>
      <c r="G2307" s="3"/>
      <c r="H2307" s="2"/>
    </row>
    <row r="2308" spans="1:8" x14ac:dyDescent="0.25">
      <c r="A2308" s="5"/>
      <c r="B2308" s="6"/>
      <c r="C2308" s="6"/>
      <c r="D2308" s="6"/>
      <c r="E2308" s="6"/>
      <c r="G2308" s="1"/>
      <c r="H2308" s="2"/>
    </row>
    <row r="2309" spans="1:8" x14ac:dyDescent="0.25">
      <c r="A2309" s="5"/>
      <c r="B2309" s="6"/>
      <c r="C2309" s="6"/>
      <c r="D2309" s="6"/>
      <c r="E2309" s="6"/>
      <c r="G2309" s="3"/>
      <c r="H2309" s="2"/>
    </row>
    <row r="2310" spans="1:8" x14ac:dyDescent="0.25">
      <c r="A2310" s="5"/>
      <c r="B2310" s="6"/>
      <c r="C2310" s="6"/>
      <c r="D2310" s="6"/>
      <c r="E2310" s="6"/>
      <c r="G2310" s="1"/>
      <c r="H2310" s="2"/>
    </row>
    <row r="2311" spans="1:8" x14ac:dyDescent="0.25">
      <c r="A2311" s="5"/>
      <c r="B2311" s="6"/>
      <c r="C2311" s="6"/>
      <c r="D2311" s="6"/>
      <c r="E2311" s="6"/>
      <c r="G2311" s="3"/>
      <c r="H2311" s="2"/>
    </row>
    <row r="2312" spans="1:8" x14ac:dyDescent="0.25">
      <c r="A2312" s="5"/>
      <c r="B2312" s="6"/>
      <c r="C2312" s="6"/>
      <c r="D2312" s="6"/>
      <c r="E2312" s="6"/>
      <c r="G2312" s="1"/>
      <c r="H2312" s="2"/>
    </row>
    <row r="2313" spans="1:8" x14ac:dyDescent="0.25">
      <c r="A2313" s="5"/>
      <c r="B2313" s="6"/>
      <c r="C2313" s="6"/>
      <c r="D2313" s="6"/>
      <c r="E2313" s="6"/>
      <c r="G2313" s="3"/>
      <c r="H2313" s="2"/>
    </row>
    <row r="2314" spans="1:8" x14ac:dyDescent="0.25">
      <c r="A2314" s="5"/>
      <c r="B2314" s="6"/>
      <c r="C2314" s="6"/>
      <c r="D2314" s="6"/>
      <c r="E2314" s="6"/>
      <c r="G2314" s="1"/>
      <c r="H2314" s="2"/>
    </row>
    <row r="2315" spans="1:8" x14ac:dyDescent="0.25">
      <c r="A2315" s="5"/>
      <c r="B2315" s="6"/>
      <c r="C2315" s="6"/>
      <c r="D2315" s="6"/>
      <c r="E2315" s="6"/>
      <c r="G2315" s="3"/>
      <c r="H2315" s="2"/>
    </row>
    <row r="2316" spans="1:8" x14ac:dyDescent="0.25">
      <c r="A2316" s="5"/>
      <c r="B2316" s="6"/>
      <c r="C2316" s="6"/>
      <c r="D2316" s="6"/>
      <c r="E2316" s="6"/>
      <c r="G2316" s="1"/>
      <c r="H2316" s="2"/>
    </row>
    <row r="2317" spans="1:8" x14ac:dyDescent="0.25">
      <c r="A2317" s="5"/>
      <c r="B2317" s="6"/>
      <c r="C2317" s="6"/>
      <c r="D2317" s="6"/>
      <c r="E2317" s="6"/>
      <c r="G2317" s="3"/>
      <c r="H2317" s="2"/>
    </row>
    <row r="2318" spans="1:8" x14ac:dyDescent="0.25">
      <c r="A2318" s="5"/>
      <c r="B2318" s="6"/>
      <c r="C2318" s="6"/>
      <c r="D2318" s="6"/>
      <c r="E2318" s="6"/>
      <c r="G2318" s="1"/>
      <c r="H2318" s="2"/>
    </row>
    <row r="2319" spans="1:8" x14ac:dyDescent="0.25">
      <c r="A2319" s="5"/>
      <c r="B2319" s="6"/>
      <c r="C2319" s="6"/>
      <c r="D2319" s="6"/>
      <c r="E2319" s="6"/>
      <c r="G2319" s="3"/>
      <c r="H2319" s="2"/>
    </row>
    <row r="2320" spans="1:8" x14ac:dyDescent="0.25">
      <c r="A2320" s="5"/>
      <c r="B2320" s="6"/>
      <c r="C2320" s="6"/>
      <c r="D2320" s="6"/>
      <c r="E2320" s="6"/>
      <c r="G2320" s="1"/>
      <c r="H2320" s="2"/>
    </row>
    <row r="2321" spans="1:8" x14ac:dyDescent="0.25">
      <c r="A2321" s="5"/>
      <c r="B2321" s="6"/>
      <c r="C2321" s="6"/>
      <c r="D2321" s="6"/>
      <c r="E2321" s="6"/>
      <c r="G2321" s="3"/>
      <c r="H2321" s="2"/>
    </row>
    <row r="2322" spans="1:8" x14ac:dyDescent="0.25">
      <c r="A2322" s="5"/>
      <c r="B2322" s="6"/>
      <c r="C2322" s="6"/>
      <c r="D2322" s="6"/>
      <c r="E2322" s="6"/>
      <c r="G2322" s="1"/>
      <c r="H2322" s="2"/>
    </row>
    <row r="2323" spans="1:8" x14ac:dyDescent="0.25">
      <c r="A2323" s="5"/>
      <c r="B2323" s="6"/>
      <c r="C2323" s="6"/>
      <c r="D2323" s="6"/>
      <c r="E2323" s="6"/>
      <c r="G2323" s="3"/>
      <c r="H2323" s="2"/>
    </row>
    <row r="2324" spans="1:8" x14ac:dyDescent="0.25">
      <c r="A2324" s="5"/>
      <c r="B2324" s="6"/>
      <c r="C2324" s="6"/>
      <c r="D2324" s="6"/>
      <c r="E2324" s="6"/>
      <c r="G2324" s="1"/>
      <c r="H2324" s="2"/>
    </row>
    <row r="2325" spans="1:8" x14ac:dyDescent="0.25">
      <c r="A2325" s="5"/>
      <c r="B2325" s="6"/>
      <c r="C2325" s="6"/>
      <c r="D2325" s="6"/>
      <c r="E2325" s="6"/>
      <c r="G2325" s="3"/>
      <c r="H2325" s="2"/>
    </row>
    <row r="2326" spans="1:8" x14ac:dyDescent="0.25">
      <c r="A2326" s="5"/>
      <c r="B2326" s="6"/>
      <c r="C2326" s="6"/>
      <c r="D2326" s="6"/>
      <c r="E2326" s="6"/>
      <c r="G2326" s="1"/>
      <c r="H2326" s="2"/>
    </row>
    <row r="2327" spans="1:8" x14ac:dyDescent="0.25">
      <c r="A2327" s="5"/>
      <c r="B2327" s="6"/>
      <c r="C2327" s="6"/>
      <c r="D2327" s="6"/>
      <c r="E2327" s="6"/>
      <c r="G2327" s="3"/>
      <c r="H2327" s="2"/>
    </row>
    <row r="2328" spans="1:8" x14ac:dyDescent="0.25">
      <c r="A2328" s="5"/>
      <c r="B2328" s="6"/>
      <c r="C2328" s="6"/>
      <c r="D2328" s="6"/>
      <c r="E2328" s="6"/>
      <c r="G2328" s="1"/>
      <c r="H2328" s="2"/>
    </row>
    <row r="2329" spans="1:8" x14ac:dyDescent="0.25">
      <c r="A2329" s="5"/>
      <c r="B2329" s="6"/>
      <c r="C2329" s="6"/>
      <c r="D2329" s="6"/>
      <c r="E2329" s="6"/>
      <c r="G2329" s="3"/>
      <c r="H2329" s="2"/>
    </row>
    <row r="2330" spans="1:8" x14ac:dyDescent="0.25">
      <c r="A2330" s="5"/>
      <c r="B2330" s="6"/>
      <c r="C2330" s="6"/>
      <c r="D2330" s="6"/>
      <c r="E2330" s="6"/>
      <c r="G2330" s="1"/>
      <c r="H2330" s="2"/>
    </row>
    <row r="2331" spans="1:8" x14ac:dyDescent="0.25">
      <c r="A2331" s="5"/>
      <c r="B2331" s="6"/>
      <c r="C2331" s="6"/>
      <c r="D2331" s="6"/>
      <c r="E2331" s="6"/>
      <c r="G2331" s="3"/>
      <c r="H2331" s="2"/>
    </row>
    <row r="2332" spans="1:8" x14ac:dyDescent="0.25">
      <c r="A2332" s="5"/>
      <c r="B2332" s="6"/>
      <c r="C2332" s="6"/>
      <c r="D2332" s="6"/>
      <c r="E2332" s="6"/>
      <c r="G2332" s="1"/>
      <c r="H2332" s="2"/>
    </row>
    <row r="2333" spans="1:8" x14ac:dyDescent="0.25">
      <c r="A2333" s="5"/>
      <c r="B2333" s="6"/>
      <c r="C2333" s="6"/>
      <c r="D2333" s="6"/>
      <c r="E2333" s="6"/>
      <c r="G2333" s="3"/>
      <c r="H2333" s="2"/>
    </row>
    <row r="2334" spans="1:8" x14ac:dyDescent="0.25">
      <c r="A2334" s="5"/>
      <c r="B2334" s="6"/>
      <c r="C2334" s="6"/>
      <c r="D2334" s="6"/>
      <c r="E2334" s="6"/>
      <c r="G2334" s="1"/>
      <c r="H2334" s="2"/>
    </row>
    <row r="2335" spans="1:8" x14ac:dyDescent="0.25">
      <c r="A2335" s="5"/>
      <c r="B2335" s="6"/>
      <c r="C2335" s="6"/>
      <c r="D2335" s="6"/>
      <c r="E2335" s="6"/>
      <c r="G2335" s="3"/>
      <c r="H2335" s="2"/>
    </row>
    <row r="2336" spans="1:8" x14ac:dyDescent="0.25">
      <c r="A2336" s="5"/>
      <c r="B2336" s="6"/>
      <c r="C2336" s="6"/>
      <c r="D2336" s="6"/>
      <c r="E2336" s="6"/>
      <c r="G2336" s="1"/>
      <c r="H2336" s="2"/>
    </row>
    <row r="2337" spans="1:8" x14ac:dyDescent="0.25">
      <c r="A2337" s="5"/>
      <c r="B2337" s="6"/>
      <c r="C2337" s="6"/>
      <c r="D2337" s="6"/>
      <c r="E2337" s="6"/>
      <c r="G2337" s="3"/>
      <c r="H2337" s="2"/>
    </row>
    <row r="2338" spans="1:8" x14ac:dyDescent="0.25">
      <c r="A2338" s="5"/>
      <c r="B2338" s="6"/>
      <c r="C2338" s="6"/>
      <c r="D2338" s="6"/>
      <c r="E2338" s="6"/>
      <c r="G2338" s="1"/>
      <c r="H2338" s="2"/>
    </row>
    <row r="2339" spans="1:8" x14ac:dyDescent="0.25">
      <c r="A2339" s="5"/>
      <c r="B2339" s="6"/>
      <c r="C2339" s="6"/>
      <c r="D2339" s="6"/>
      <c r="E2339" s="6"/>
      <c r="G2339" s="3"/>
      <c r="H2339" s="2"/>
    </row>
    <row r="2340" spans="1:8" x14ac:dyDescent="0.25">
      <c r="A2340" s="5"/>
      <c r="B2340" s="6"/>
      <c r="C2340" s="6"/>
      <c r="D2340" s="6"/>
      <c r="E2340" s="6"/>
      <c r="G2340" s="1"/>
      <c r="H2340" s="2"/>
    </row>
    <row r="2341" spans="1:8" x14ac:dyDescent="0.25">
      <c r="A2341" s="5"/>
      <c r="B2341" s="6"/>
      <c r="C2341" s="6"/>
      <c r="D2341" s="6"/>
      <c r="E2341" s="6"/>
      <c r="G2341" s="3"/>
      <c r="H2341" s="2"/>
    </row>
    <row r="2342" spans="1:8" x14ac:dyDescent="0.25">
      <c r="A2342" s="5"/>
      <c r="B2342" s="6"/>
      <c r="C2342" s="6"/>
      <c r="D2342" s="6"/>
      <c r="E2342" s="6"/>
      <c r="G2342" s="1"/>
      <c r="H2342" s="2"/>
    </row>
    <row r="2343" spans="1:8" x14ac:dyDescent="0.25">
      <c r="A2343" s="5"/>
      <c r="B2343" s="6"/>
      <c r="C2343" s="6"/>
      <c r="D2343" s="6"/>
      <c r="E2343" s="6"/>
      <c r="G2343" s="3"/>
      <c r="H2343" s="2"/>
    </row>
    <row r="2344" spans="1:8" x14ac:dyDescent="0.25">
      <c r="A2344" s="5"/>
      <c r="B2344" s="6"/>
      <c r="C2344" s="6"/>
      <c r="D2344" s="6"/>
      <c r="E2344" s="6"/>
      <c r="G2344" s="1"/>
      <c r="H2344" s="2"/>
    </row>
    <row r="2345" spans="1:8" x14ac:dyDescent="0.25">
      <c r="A2345" s="5"/>
      <c r="B2345" s="6"/>
      <c r="C2345" s="6"/>
      <c r="D2345" s="6"/>
      <c r="E2345" s="6"/>
      <c r="G2345" s="3"/>
      <c r="H2345" s="2"/>
    </row>
    <row r="2346" spans="1:8" x14ac:dyDescent="0.25">
      <c r="A2346" s="5"/>
      <c r="B2346" s="6"/>
      <c r="C2346" s="6"/>
      <c r="D2346" s="6"/>
      <c r="E2346" s="6"/>
      <c r="G2346" s="1"/>
      <c r="H2346" s="2"/>
    </row>
    <row r="2347" spans="1:8" x14ac:dyDescent="0.25">
      <c r="A2347" s="5"/>
      <c r="B2347" s="6"/>
      <c r="C2347" s="6"/>
      <c r="D2347" s="6"/>
      <c r="E2347" s="6"/>
      <c r="G2347" s="3"/>
      <c r="H2347" s="2"/>
    </row>
    <row r="2348" spans="1:8" x14ac:dyDescent="0.25">
      <c r="A2348" s="5"/>
      <c r="B2348" s="6"/>
      <c r="C2348" s="6"/>
      <c r="D2348" s="6"/>
      <c r="E2348" s="6"/>
      <c r="G2348" s="1"/>
      <c r="H2348" s="2"/>
    </row>
    <row r="2349" spans="1:8" x14ac:dyDescent="0.25">
      <c r="A2349" s="5"/>
      <c r="B2349" s="6"/>
      <c r="C2349" s="6"/>
      <c r="D2349" s="6"/>
      <c r="E2349" s="6"/>
      <c r="G2349" s="3"/>
      <c r="H2349" s="2"/>
    </row>
    <row r="2350" spans="1:8" x14ac:dyDescent="0.25">
      <c r="A2350" s="5"/>
      <c r="B2350" s="6"/>
      <c r="C2350" s="6"/>
      <c r="D2350" s="6"/>
      <c r="E2350" s="6"/>
      <c r="G2350" s="1"/>
      <c r="H2350" s="2"/>
    </row>
    <row r="2351" spans="1:8" x14ac:dyDescent="0.25">
      <c r="A2351" s="5"/>
      <c r="B2351" s="6"/>
      <c r="C2351" s="6"/>
      <c r="D2351" s="6"/>
      <c r="E2351" s="6"/>
      <c r="G2351" s="3"/>
      <c r="H2351" s="2"/>
    </row>
    <row r="2352" spans="1:8" x14ac:dyDescent="0.25">
      <c r="A2352" s="5"/>
      <c r="B2352" s="6"/>
      <c r="C2352" s="6"/>
      <c r="D2352" s="6"/>
      <c r="E2352" s="6"/>
      <c r="G2352" s="1"/>
      <c r="H2352" s="2"/>
    </row>
    <row r="2353" spans="1:8" x14ac:dyDescent="0.25">
      <c r="A2353" s="5"/>
      <c r="B2353" s="6"/>
      <c r="C2353" s="6"/>
      <c r="D2353" s="6"/>
      <c r="E2353" s="6"/>
      <c r="G2353" s="3"/>
      <c r="H2353" s="2"/>
    </row>
    <row r="2354" spans="1:8" x14ac:dyDescent="0.25">
      <c r="A2354" s="5"/>
      <c r="B2354" s="6"/>
      <c r="C2354" s="6"/>
      <c r="D2354" s="6"/>
      <c r="E2354" s="6"/>
      <c r="G2354" s="1"/>
      <c r="H2354" s="2"/>
    </row>
    <row r="2355" spans="1:8" x14ac:dyDescent="0.25">
      <c r="A2355" s="5"/>
      <c r="B2355" s="6"/>
      <c r="C2355" s="6"/>
      <c r="D2355" s="6"/>
      <c r="E2355" s="6"/>
      <c r="G2355" s="3"/>
      <c r="H2355" s="2"/>
    </row>
    <row r="2356" spans="1:8" x14ac:dyDescent="0.25">
      <c r="A2356" s="5"/>
      <c r="B2356" s="6"/>
      <c r="C2356" s="6"/>
      <c r="D2356" s="6"/>
      <c r="E2356" s="6"/>
      <c r="G2356" s="1"/>
      <c r="H2356" s="2"/>
    </row>
    <row r="2357" spans="1:8" x14ac:dyDescent="0.25">
      <c r="A2357" s="5"/>
      <c r="B2357" s="6"/>
      <c r="C2357" s="6"/>
      <c r="D2357" s="6"/>
      <c r="E2357" s="6"/>
      <c r="G2357" s="3"/>
      <c r="H2357" s="2"/>
    </row>
    <row r="2358" spans="1:8" x14ac:dyDescent="0.25">
      <c r="A2358" s="5"/>
      <c r="B2358" s="6"/>
      <c r="C2358" s="6"/>
      <c r="D2358" s="6"/>
      <c r="E2358" s="6"/>
      <c r="G2358" s="1"/>
      <c r="H2358" s="2"/>
    </row>
    <row r="2359" spans="1:8" x14ac:dyDescent="0.25">
      <c r="A2359" s="5"/>
      <c r="B2359" s="6"/>
      <c r="C2359" s="6"/>
      <c r="D2359" s="6"/>
      <c r="E2359" s="6"/>
      <c r="G2359" s="3"/>
      <c r="H2359" s="2"/>
    </row>
    <row r="2360" spans="1:8" x14ac:dyDescent="0.25">
      <c r="A2360" s="5"/>
      <c r="B2360" s="6"/>
      <c r="C2360" s="6"/>
      <c r="D2360" s="6"/>
      <c r="E2360" s="6"/>
      <c r="G2360" s="1"/>
      <c r="H2360" s="2"/>
    </row>
    <row r="2361" spans="1:8" x14ac:dyDescent="0.25">
      <c r="A2361" s="5"/>
      <c r="B2361" s="6"/>
      <c r="C2361" s="6"/>
      <c r="D2361" s="6"/>
      <c r="E2361" s="6"/>
      <c r="G2361" s="3"/>
      <c r="H2361" s="2"/>
    </row>
    <row r="2362" spans="1:8" x14ac:dyDescent="0.25">
      <c r="A2362" s="5"/>
      <c r="B2362" s="6"/>
      <c r="C2362" s="6"/>
      <c r="D2362" s="6"/>
      <c r="E2362" s="6"/>
      <c r="G2362" s="1"/>
      <c r="H2362" s="2"/>
    </row>
    <row r="2363" spans="1:8" x14ac:dyDescent="0.25">
      <c r="A2363" s="5"/>
      <c r="B2363" s="6"/>
      <c r="C2363" s="6"/>
      <c r="D2363" s="6"/>
      <c r="E2363" s="6"/>
      <c r="G2363" s="3"/>
      <c r="H2363" s="2"/>
    </row>
    <row r="2364" spans="1:8" x14ac:dyDescent="0.25">
      <c r="A2364" s="5"/>
      <c r="B2364" s="6"/>
      <c r="C2364" s="6"/>
      <c r="D2364" s="6"/>
      <c r="E2364" s="6"/>
      <c r="G2364" s="1"/>
      <c r="H2364" s="2"/>
    </row>
    <row r="2365" spans="1:8" x14ac:dyDescent="0.25">
      <c r="A2365" s="5"/>
      <c r="B2365" s="6"/>
      <c r="C2365" s="6"/>
      <c r="D2365" s="6"/>
      <c r="E2365" s="6"/>
      <c r="G2365" s="3"/>
      <c r="H2365" s="2"/>
    </row>
    <row r="2366" spans="1:8" x14ac:dyDescent="0.25">
      <c r="A2366" s="5"/>
      <c r="B2366" s="6"/>
      <c r="C2366" s="6"/>
      <c r="D2366" s="6"/>
      <c r="E2366" s="6"/>
      <c r="G2366" s="1"/>
      <c r="H2366" s="2"/>
    </row>
    <row r="2367" spans="1:8" x14ac:dyDescent="0.25">
      <c r="A2367" s="5"/>
      <c r="B2367" s="6"/>
      <c r="C2367" s="6"/>
      <c r="D2367" s="6"/>
      <c r="E2367" s="6"/>
      <c r="G2367" s="3"/>
      <c r="H2367" s="2"/>
    </row>
    <row r="2368" spans="1:8" x14ac:dyDescent="0.25">
      <c r="A2368" s="5"/>
      <c r="B2368" s="6"/>
      <c r="C2368" s="6"/>
      <c r="D2368" s="6"/>
      <c r="E2368" s="6"/>
      <c r="G2368" s="1"/>
      <c r="H2368" s="2"/>
    </row>
    <row r="2369" spans="1:8" x14ac:dyDescent="0.25">
      <c r="A2369" s="5"/>
      <c r="B2369" s="6"/>
      <c r="C2369" s="6"/>
      <c r="D2369" s="6"/>
      <c r="E2369" s="6"/>
      <c r="G2369" s="3"/>
      <c r="H2369" s="2"/>
    </row>
    <row r="2370" spans="1:8" x14ac:dyDescent="0.25">
      <c r="A2370" s="5"/>
      <c r="B2370" s="6"/>
      <c r="C2370" s="6"/>
      <c r="D2370" s="6"/>
      <c r="E2370" s="6"/>
      <c r="G2370" s="1"/>
      <c r="H2370" s="2"/>
    </row>
    <row r="2371" spans="1:8" x14ac:dyDescent="0.25">
      <c r="A2371" s="5"/>
      <c r="B2371" s="6"/>
      <c r="C2371" s="6"/>
      <c r="D2371" s="6"/>
      <c r="E2371" s="6"/>
      <c r="G2371" s="3"/>
      <c r="H2371" s="2"/>
    </row>
    <row r="2372" spans="1:8" x14ac:dyDescent="0.25">
      <c r="A2372" s="5"/>
      <c r="B2372" s="6"/>
      <c r="C2372" s="6"/>
      <c r="D2372" s="6"/>
      <c r="E2372" s="6"/>
      <c r="G2372" s="1"/>
      <c r="H2372" s="2"/>
    </row>
    <row r="2373" spans="1:8" x14ac:dyDescent="0.25">
      <c r="A2373" s="5"/>
      <c r="B2373" s="6"/>
      <c r="C2373" s="6"/>
      <c r="D2373" s="6"/>
      <c r="E2373" s="6"/>
      <c r="G2373" s="3"/>
      <c r="H2373" s="2"/>
    </row>
    <row r="2374" spans="1:8" x14ac:dyDescent="0.25">
      <c r="A2374" s="5"/>
      <c r="B2374" s="6"/>
      <c r="C2374" s="6"/>
      <c r="D2374" s="6"/>
      <c r="E2374" s="6"/>
      <c r="G2374" s="1"/>
      <c r="H2374" s="2"/>
    </row>
    <row r="2375" spans="1:8" x14ac:dyDescent="0.25">
      <c r="A2375" s="5"/>
      <c r="B2375" s="6"/>
      <c r="C2375" s="6"/>
      <c r="D2375" s="6"/>
      <c r="E2375" s="6"/>
      <c r="G2375" s="3"/>
      <c r="H2375" s="2"/>
    </row>
    <row r="2376" spans="1:8" x14ac:dyDescent="0.25">
      <c r="A2376" s="5"/>
      <c r="B2376" s="6"/>
      <c r="C2376" s="6"/>
      <c r="D2376" s="6"/>
      <c r="E2376" s="6"/>
      <c r="G2376" s="1"/>
      <c r="H2376" s="2"/>
    </row>
    <row r="2377" spans="1:8" x14ac:dyDescent="0.25">
      <c r="A2377" s="5"/>
      <c r="B2377" s="6"/>
      <c r="C2377" s="6"/>
      <c r="D2377" s="6"/>
      <c r="E2377" s="6"/>
      <c r="G2377" s="3"/>
      <c r="H2377" s="2"/>
    </row>
    <row r="2378" spans="1:8" x14ac:dyDescent="0.25">
      <c r="A2378" s="5"/>
      <c r="B2378" s="6"/>
      <c r="C2378" s="6"/>
      <c r="D2378" s="6"/>
      <c r="E2378" s="6"/>
      <c r="G2378" s="1"/>
      <c r="H2378" s="2"/>
    </row>
    <row r="2379" spans="1:8" x14ac:dyDescent="0.25">
      <c r="A2379" s="5"/>
      <c r="B2379" s="6"/>
      <c r="C2379" s="6"/>
      <c r="D2379" s="6"/>
      <c r="E2379" s="6"/>
      <c r="G2379" s="3"/>
      <c r="H2379" s="2"/>
    </row>
    <row r="2380" spans="1:8" x14ac:dyDescent="0.25">
      <c r="A2380" s="5"/>
      <c r="B2380" s="6"/>
      <c r="C2380" s="6"/>
      <c r="D2380" s="6"/>
      <c r="E2380" s="6"/>
      <c r="G2380" s="1"/>
      <c r="H2380" s="2"/>
    </row>
    <row r="2381" spans="1:8" x14ac:dyDescent="0.25">
      <c r="A2381" s="5"/>
      <c r="B2381" s="6"/>
      <c r="C2381" s="6"/>
      <c r="D2381" s="6"/>
      <c r="E2381" s="6"/>
      <c r="G2381" s="3"/>
      <c r="H2381" s="2"/>
    </row>
    <row r="2382" spans="1:8" x14ac:dyDescent="0.25">
      <c r="A2382" s="5"/>
      <c r="B2382" s="6"/>
      <c r="C2382" s="6"/>
      <c r="D2382" s="6"/>
      <c r="E2382" s="6"/>
      <c r="G2382" s="1"/>
      <c r="H2382" s="2"/>
    </row>
    <row r="2383" spans="1:8" x14ac:dyDescent="0.25">
      <c r="A2383" s="5"/>
      <c r="B2383" s="6"/>
      <c r="C2383" s="6"/>
      <c r="D2383" s="6"/>
      <c r="E2383" s="6"/>
      <c r="G2383" s="3"/>
      <c r="H2383" s="2"/>
    </row>
    <row r="2384" spans="1:8" x14ac:dyDescent="0.25">
      <c r="A2384" s="5"/>
      <c r="B2384" s="6"/>
      <c r="C2384" s="6"/>
      <c r="D2384" s="6"/>
      <c r="E2384" s="6"/>
      <c r="G2384" s="1"/>
      <c r="H2384" s="2"/>
    </row>
    <row r="2385" spans="1:8" x14ac:dyDescent="0.25">
      <c r="A2385" s="5"/>
      <c r="B2385" s="6"/>
      <c r="C2385" s="6"/>
      <c r="D2385" s="6"/>
      <c r="E2385" s="6"/>
      <c r="G2385" s="3"/>
      <c r="H2385" s="2"/>
    </row>
    <row r="2386" spans="1:8" x14ac:dyDescent="0.25">
      <c r="A2386" s="5"/>
      <c r="B2386" s="6"/>
      <c r="C2386" s="6"/>
      <c r="D2386" s="6"/>
      <c r="E2386" s="6"/>
      <c r="G2386" s="1"/>
      <c r="H2386" s="2"/>
    </row>
    <row r="2387" spans="1:8" x14ac:dyDescent="0.25">
      <c r="A2387" s="5"/>
      <c r="B2387" s="6"/>
      <c r="C2387" s="6"/>
      <c r="D2387" s="6"/>
      <c r="E2387" s="6"/>
      <c r="G2387" s="3"/>
      <c r="H2387" s="2"/>
    </row>
    <row r="2388" spans="1:8" x14ac:dyDescent="0.25">
      <c r="A2388" s="5"/>
      <c r="B2388" s="6"/>
      <c r="C2388" s="6"/>
      <c r="D2388" s="6"/>
      <c r="E2388" s="6"/>
      <c r="G2388" s="1"/>
      <c r="H2388" s="2"/>
    </row>
    <row r="2389" spans="1:8" x14ac:dyDescent="0.25">
      <c r="A2389" s="5"/>
      <c r="B2389" s="6"/>
      <c r="C2389" s="6"/>
      <c r="D2389" s="6"/>
      <c r="E2389" s="6"/>
      <c r="G2389" s="3"/>
      <c r="H2389" s="2"/>
    </row>
    <row r="2390" spans="1:8" x14ac:dyDescent="0.25">
      <c r="A2390" s="5"/>
      <c r="B2390" s="6"/>
      <c r="C2390" s="6"/>
      <c r="D2390" s="6"/>
      <c r="E2390" s="6"/>
      <c r="G2390" s="1"/>
      <c r="H2390" s="2"/>
    </row>
    <row r="2391" spans="1:8" x14ac:dyDescent="0.25">
      <c r="A2391" s="5"/>
      <c r="B2391" s="6"/>
      <c r="C2391" s="6"/>
      <c r="D2391" s="6"/>
      <c r="E2391" s="6"/>
      <c r="G2391" s="3"/>
      <c r="H2391" s="2"/>
    </row>
    <row r="2392" spans="1:8" x14ac:dyDescent="0.25">
      <c r="A2392" s="5"/>
      <c r="B2392" s="6"/>
      <c r="C2392" s="6"/>
      <c r="D2392" s="6"/>
      <c r="E2392" s="6"/>
      <c r="G2392" s="1"/>
      <c r="H2392" s="2"/>
    </row>
    <row r="2393" spans="1:8" x14ac:dyDescent="0.25">
      <c r="A2393" s="5"/>
      <c r="B2393" s="6"/>
      <c r="C2393" s="6"/>
      <c r="D2393" s="6"/>
      <c r="E2393" s="6"/>
      <c r="G2393" s="3"/>
      <c r="H2393" s="2"/>
    </row>
    <row r="2394" spans="1:8" x14ac:dyDescent="0.25">
      <c r="A2394" s="5"/>
      <c r="B2394" s="6"/>
      <c r="C2394" s="6"/>
      <c r="D2394" s="6"/>
      <c r="E2394" s="6"/>
      <c r="G2394" s="1"/>
      <c r="H2394" s="2"/>
    </row>
    <row r="2395" spans="1:8" x14ac:dyDescent="0.25">
      <c r="A2395" s="5"/>
      <c r="B2395" s="6"/>
      <c r="C2395" s="6"/>
      <c r="D2395" s="6"/>
      <c r="E2395" s="6"/>
      <c r="G2395" s="3"/>
      <c r="H2395" s="2"/>
    </row>
    <row r="2396" spans="1:8" x14ac:dyDescent="0.25">
      <c r="A2396" s="5"/>
      <c r="B2396" s="6"/>
      <c r="C2396" s="6"/>
      <c r="D2396" s="6"/>
      <c r="E2396" s="6"/>
      <c r="G2396" s="1"/>
      <c r="H2396" s="2"/>
    </row>
    <row r="2397" spans="1:8" x14ac:dyDescent="0.25">
      <c r="A2397" s="5"/>
      <c r="B2397" s="6"/>
      <c r="C2397" s="6"/>
      <c r="D2397" s="6"/>
      <c r="E2397" s="6"/>
      <c r="G2397" s="3"/>
      <c r="H2397" s="2"/>
    </row>
    <row r="2398" spans="1:8" x14ac:dyDescent="0.25">
      <c r="A2398" s="5"/>
      <c r="B2398" s="6"/>
      <c r="C2398" s="6"/>
      <c r="D2398" s="6"/>
      <c r="E2398" s="6"/>
      <c r="G2398" s="1"/>
      <c r="H2398" s="2"/>
    </row>
    <row r="2399" spans="1:8" x14ac:dyDescent="0.25">
      <c r="A2399" s="5"/>
      <c r="B2399" s="6"/>
      <c r="C2399" s="6"/>
      <c r="D2399" s="6"/>
      <c r="E2399" s="6"/>
      <c r="G2399" s="3"/>
      <c r="H2399" s="2"/>
    </row>
    <row r="2400" spans="1:8" x14ac:dyDescent="0.25">
      <c r="A2400" s="5"/>
      <c r="B2400" s="6"/>
      <c r="C2400" s="6"/>
      <c r="D2400" s="6"/>
      <c r="E2400" s="6"/>
      <c r="G2400" s="1"/>
      <c r="H2400" s="2"/>
    </row>
    <row r="2401" spans="1:8" x14ac:dyDescent="0.25">
      <c r="A2401" s="5"/>
      <c r="B2401" s="6"/>
      <c r="C2401" s="6"/>
      <c r="D2401" s="6"/>
      <c r="E2401" s="6"/>
      <c r="G2401" s="3"/>
      <c r="H2401" s="2"/>
    </row>
    <row r="2402" spans="1:8" x14ac:dyDescent="0.25">
      <c r="A2402" s="5"/>
      <c r="B2402" s="6"/>
      <c r="C2402" s="6"/>
      <c r="D2402" s="6"/>
      <c r="E2402" s="6"/>
      <c r="G2402" s="1"/>
      <c r="H2402" s="2"/>
    </row>
    <row r="2403" spans="1:8" x14ac:dyDescent="0.25">
      <c r="A2403" s="5"/>
      <c r="B2403" s="6"/>
      <c r="C2403" s="6"/>
      <c r="D2403" s="6"/>
      <c r="E2403" s="6"/>
      <c r="G2403" s="3"/>
      <c r="H2403" s="2"/>
    </row>
    <row r="2404" spans="1:8" x14ac:dyDescent="0.25">
      <c r="A2404" s="5"/>
      <c r="B2404" s="6"/>
      <c r="C2404" s="6"/>
      <c r="D2404" s="6"/>
      <c r="E2404" s="6"/>
      <c r="G2404" s="1"/>
      <c r="H2404" s="2"/>
    </row>
    <row r="2405" spans="1:8" x14ac:dyDescent="0.25">
      <c r="A2405" s="5"/>
      <c r="B2405" s="6"/>
      <c r="C2405" s="6"/>
      <c r="D2405" s="6"/>
      <c r="E2405" s="6"/>
      <c r="G2405" s="3"/>
      <c r="H2405" s="2"/>
    </row>
    <row r="2406" spans="1:8" x14ac:dyDescent="0.25">
      <c r="A2406" s="5"/>
      <c r="B2406" s="6"/>
      <c r="C2406" s="6"/>
      <c r="D2406" s="6"/>
      <c r="E2406" s="6"/>
      <c r="G2406" s="1"/>
      <c r="H2406" s="2"/>
    </row>
    <row r="2407" spans="1:8" x14ac:dyDescent="0.25">
      <c r="A2407" s="5"/>
      <c r="B2407" s="6"/>
      <c r="C2407" s="6"/>
      <c r="D2407" s="6"/>
      <c r="E2407" s="6"/>
      <c r="G2407" s="3"/>
      <c r="H2407" s="2"/>
    </row>
    <row r="2408" spans="1:8" x14ac:dyDescent="0.25">
      <c r="A2408" s="5"/>
      <c r="B2408" s="6"/>
      <c r="C2408" s="6"/>
      <c r="D2408" s="6"/>
      <c r="E2408" s="6"/>
      <c r="G2408" s="1"/>
      <c r="H2408" s="2"/>
    </row>
    <row r="2409" spans="1:8" x14ac:dyDescent="0.25">
      <c r="A2409" s="5"/>
      <c r="B2409" s="6"/>
      <c r="C2409" s="6"/>
      <c r="D2409" s="6"/>
      <c r="E2409" s="6"/>
      <c r="G2409" s="3"/>
      <c r="H2409" s="2"/>
    </row>
    <row r="2410" spans="1:8" x14ac:dyDescent="0.25">
      <c r="A2410" s="5"/>
      <c r="B2410" s="6"/>
      <c r="C2410" s="6"/>
      <c r="D2410" s="6"/>
      <c r="E2410" s="6"/>
      <c r="G2410" s="1"/>
      <c r="H2410" s="2"/>
    </row>
    <row r="2411" spans="1:8" x14ac:dyDescent="0.25">
      <c r="A2411" s="5"/>
      <c r="B2411" s="6"/>
      <c r="C2411" s="6"/>
      <c r="D2411" s="6"/>
      <c r="E2411" s="6"/>
      <c r="G2411" s="3"/>
      <c r="H2411" s="2"/>
    </row>
    <row r="2412" spans="1:8" x14ac:dyDescent="0.25">
      <c r="A2412" s="5"/>
      <c r="B2412" s="6"/>
      <c r="C2412" s="6"/>
      <c r="D2412" s="6"/>
      <c r="E2412" s="6"/>
      <c r="G2412" s="1"/>
      <c r="H2412" s="2"/>
    </row>
    <row r="2413" spans="1:8" x14ac:dyDescent="0.25">
      <c r="A2413" s="5"/>
      <c r="B2413" s="6"/>
      <c r="C2413" s="6"/>
      <c r="D2413" s="6"/>
      <c r="E2413" s="6"/>
      <c r="G2413" s="3"/>
      <c r="H2413" s="2"/>
    </row>
    <row r="2414" spans="1:8" x14ac:dyDescent="0.25">
      <c r="A2414" s="5"/>
      <c r="B2414" s="6"/>
      <c r="C2414" s="6"/>
      <c r="D2414" s="6"/>
      <c r="E2414" s="6"/>
      <c r="G2414" s="1"/>
      <c r="H2414" s="2"/>
    </row>
    <row r="2415" spans="1:8" x14ac:dyDescent="0.25">
      <c r="A2415" s="5"/>
      <c r="B2415" s="6"/>
      <c r="C2415" s="6"/>
      <c r="D2415" s="6"/>
      <c r="E2415" s="6"/>
      <c r="G2415" s="3"/>
      <c r="H2415" s="2"/>
    </row>
    <row r="2416" spans="1:8" x14ac:dyDescent="0.25">
      <c r="A2416" s="5"/>
      <c r="B2416" s="6"/>
      <c r="C2416" s="6"/>
      <c r="D2416" s="6"/>
      <c r="E2416" s="6"/>
      <c r="G2416" s="1"/>
      <c r="H2416" s="2"/>
    </row>
    <row r="2417" spans="1:8" x14ac:dyDescent="0.25">
      <c r="A2417" s="5"/>
      <c r="B2417" s="6"/>
      <c r="C2417" s="6"/>
      <c r="D2417" s="6"/>
      <c r="E2417" s="6"/>
      <c r="G2417" s="3"/>
      <c r="H2417" s="2"/>
    </row>
    <row r="2418" spans="1:8" x14ac:dyDescent="0.25">
      <c r="A2418" s="5"/>
      <c r="B2418" s="6"/>
      <c r="C2418" s="6"/>
      <c r="D2418" s="6"/>
      <c r="E2418" s="6"/>
      <c r="G2418" s="1"/>
      <c r="H2418" s="2"/>
    </row>
    <row r="2419" spans="1:8" x14ac:dyDescent="0.25">
      <c r="A2419" s="5"/>
      <c r="B2419" s="6"/>
      <c r="C2419" s="6"/>
      <c r="D2419" s="6"/>
      <c r="E2419" s="6"/>
      <c r="G2419" s="3"/>
      <c r="H2419" s="2"/>
    </row>
    <row r="2420" spans="1:8" x14ac:dyDescent="0.25">
      <c r="A2420" s="5"/>
      <c r="B2420" s="6"/>
      <c r="C2420" s="6"/>
      <c r="D2420" s="6"/>
      <c r="E2420" s="6"/>
      <c r="G2420" s="1"/>
      <c r="H2420" s="2"/>
    </row>
    <row r="2421" spans="1:8" x14ac:dyDescent="0.25">
      <c r="A2421" s="5"/>
      <c r="B2421" s="6"/>
      <c r="C2421" s="6"/>
      <c r="D2421" s="6"/>
      <c r="E2421" s="6"/>
      <c r="G2421" s="3"/>
      <c r="H2421" s="2"/>
    </row>
    <row r="2422" spans="1:8" x14ac:dyDescent="0.25">
      <c r="A2422" s="5"/>
      <c r="B2422" s="6"/>
      <c r="C2422" s="6"/>
      <c r="D2422" s="6"/>
      <c r="E2422" s="6"/>
      <c r="G2422" s="1"/>
      <c r="H2422" s="2"/>
    </row>
    <row r="2423" spans="1:8" x14ac:dyDescent="0.25">
      <c r="A2423" s="5"/>
      <c r="B2423" s="6"/>
      <c r="C2423" s="6"/>
      <c r="D2423" s="6"/>
      <c r="E2423" s="6"/>
      <c r="G2423" s="3"/>
      <c r="H2423" s="2"/>
    </row>
    <row r="2424" spans="1:8" x14ac:dyDescent="0.25">
      <c r="A2424" s="5"/>
      <c r="B2424" s="6"/>
      <c r="C2424" s="6"/>
      <c r="D2424" s="6"/>
      <c r="E2424" s="6"/>
      <c r="G2424" s="1"/>
      <c r="H2424" s="2"/>
    </row>
    <row r="2425" spans="1:8" x14ac:dyDescent="0.25">
      <c r="A2425" s="5"/>
      <c r="B2425" s="6"/>
      <c r="C2425" s="6"/>
      <c r="D2425" s="6"/>
      <c r="E2425" s="6"/>
      <c r="G2425" s="3"/>
      <c r="H2425" s="2"/>
    </row>
    <row r="2426" spans="1:8" x14ac:dyDescent="0.25">
      <c r="A2426" s="5"/>
      <c r="B2426" s="6"/>
      <c r="C2426" s="6"/>
      <c r="D2426" s="6"/>
      <c r="E2426" s="6"/>
      <c r="G2426" s="1"/>
      <c r="H2426" s="2"/>
    </row>
    <row r="2427" spans="1:8" x14ac:dyDescent="0.25">
      <c r="A2427" s="5"/>
      <c r="B2427" s="6"/>
      <c r="C2427" s="6"/>
      <c r="D2427" s="6"/>
      <c r="E2427" s="6"/>
      <c r="G2427" s="3"/>
      <c r="H2427" s="2"/>
    </row>
    <row r="2428" spans="1:8" x14ac:dyDescent="0.25">
      <c r="A2428" s="5"/>
      <c r="B2428" s="6"/>
      <c r="C2428" s="6"/>
      <c r="D2428" s="6"/>
      <c r="E2428" s="6"/>
      <c r="G2428" s="1"/>
      <c r="H2428" s="2"/>
    </row>
    <row r="2429" spans="1:8" x14ac:dyDescent="0.25">
      <c r="A2429" s="5"/>
      <c r="B2429" s="6"/>
      <c r="C2429" s="6"/>
      <c r="D2429" s="6"/>
      <c r="E2429" s="6"/>
      <c r="G2429" s="3"/>
      <c r="H2429" s="2"/>
    </row>
    <row r="2430" spans="1:8" x14ac:dyDescent="0.25">
      <c r="A2430" s="5"/>
      <c r="B2430" s="6"/>
      <c r="C2430" s="6"/>
      <c r="D2430" s="6"/>
      <c r="E2430" s="6"/>
      <c r="G2430" s="1"/>
      <c r="H2430" s="2"/>
    </row>
    <row r="2431" spans="1:8" x14ac:dyDescent="0.25">
      <c r="A2431" s="5"/>
      <c r="B2431" s="6"/>
      <c r="C2431" s="6"/>
      <c r="D2431" s="6"/>
      <c r="E2431" s="6"/>
      <c r="G2431" s="3"/>
      <c r="H2431" s="2"/>
    </row>
    <row r="2432" spans="1:8" x14ac:dyDescent="0.25">
      <c r="A2432" s="5"/>
      <c r="B2432" s="6"/>
      <c r="C2432" s="6"/>
      <c r="D2432" s="6"/>
      <c r="E2432" s="6"/>
      <c r="G2432" s="1"/>
      <c r="H2432" s="2"/>
    </row>
    <row r="2433" spans="1:8" x14ac:dyDescent="0.25">
      <c r="A2433" s="5"/>
      <c r="B2433" s="6"/>
      <c r="C2433" s="6"/>
      <c r="D2433" s="6"/>
      <c r="E2433" s="6"/>
      <c r="G2433" s="3"/>
      <c r="H2433" s="2"/>
    </row>
    <row r="2434" spans="1:8" x14ac:dyDescent="0.25">
      <c r="A2434" s="5"/>
      <c r="B2434" s="6"/>
      <c r="C2434" s="6"/>
      <c r="D2434" s="6"/>
      <c r="E2434" s="6"/>
      <c r="G2434" s="1"/>
      <c r="H2434" s="2"/>
    </row>
    <row r="2435" spans="1:8" x14ac:dyDescent="0.25">
      <c r="A2435" s="5"/>
      <c r="B2435" s="6"/>
      <c r="C2435" s="6"/>
      <c r="D2435" s="6"/>
      <c r="E2435" s="6"/>
      <c r="G2435" s="3"/>
      <c r="H2435" s="2"/>
    </row>
    <row r="2436" spans="1:8" x14ac:dyDescent="0.25">
      <c r="A2436" s="5"/>
      <c r="B2436" s="6"/>
      <c r="C2436" s="6"/>
      <c r="D2436" s="6"/>
      <c r="E2436" s="6"/>
      <c r="G2436" s="1"/>
      <c r="H2436" s="2"/>
    </row>
    <row r="2437" spans="1:8" x14ac:dyDescent="0.25">
      <c r="A2437" s="5"/>
      <c r="B2437" s="6"/>
      <c r="C2437" s="6"/>
      <c r="D2437" s="6"/>
      <c r="E2437" s="6"/>
      <c r="G2437" s="3"/>
      <c r="H2437" s="2"/>
    </row>
    <row r="2438" spans="1:8" x14ac:dyDescent="0.25">
      <c r="A2438" s="5"/>
      <c r="B2438" s="6"/>
      <c r="C2438" s="6"/>
      <c r="D2438" s="6"/>
      <c r="E2438" s="6"/>
      <c r="G2438" s="1"/>
      <c r="H2438" s="2"/>
    </row>
    <row r="2439" spans="1:8" x14ac:dyDescent="0.25">
      <c r="A2439" s="5"/>
      <c r="B2439" s="6"/>
      <c r="C2439" s="6"/>
      <c r="D2439" s="6"/>
      <c r="E2439" s="6"/>
      <c r="G2439" s="3"/>
      <c r="H2439" s="2"/>
    </row>
    <row r="2440" spans="1:8" x14ac:dyDescent="0.25">
      <c r="A2440" s="5"/>
      <c r="B2440" s="6"/>
      <c r="C2440" s="6"/>
      <c r="D2440" s="6"/>
      <c r="E2440" s="6"/>
      <c r="G2440" s="1"/>
      <c r="H2440" s="2"/>
    </row>
    <row r="2441" spans="1:8" x14ac:dyDescent="0.25">
      <c r="A2441" s="5"/>
      <c r="B2441" s="6"/>
      <c r="C2441" s="6"/>
      <c r="D2441" s="6"/>
      <c r="E2441" s="6"/>
      <c r="G2441" s="3"/>
      <c r="H2441" s="2"/>
    </row>
    <row r="2442" spans="1:8" x14ac:dyDescent="0.25">
      <c r="A2442" s="5"/>
      <c r="B2442" s="6"/>
      <c r="C2442" s="6"/>
      <c r="D2442" s="6"/>
      <c r="E2442" s="6"/>
      <c r="G2442" s="1"/>
      <c r="H2442" s="2"/>
    </row>
    <row r="2443" spans="1:8" x14ac:dyDescent="0.25">
      <c r="A2443" s="5"/>
      <c r="B2443" s="6"/>
      <c r="C2443" s="6"/>
      <c r="D2443" s="6"/>
      <c r="E2443" s="6"/>
      <c r="G2443" s="3"/>
      <c r="H2443" s="2"/>
    </row>
    <row r="2444" spans="1:8" x14ac:dyDescent="0.25">
      <c r="A2444" s="5"/>
      <c r="B2444" s="6"/>
      <c r="C2444" s="6"/>
      <c r="D2444" s="6"/>
      <c r="E2444" s="6"/>
      <c r="G2444" s="1"/>
      <c r="H2444" s="2"/>
    </row>
    <row r="2445" spans="1:8" x14ac:dyDescent="0.25">
      <c r="A2445" s="5"/>
      <c r="B2445" s="6"/>
      <c r="C2445" s="6"/>
      <c r="D2445" s="6"/>
      <c r="E2445" s="6"/>
      <c r="G2445" s="3"/>
      <c r="H2445" s="2"/>
    </row>
    <row r="2446" spans="1:8" x14ac:dyDescent="0.25">
      <c r="A2446" s="5"/>
      <c r="B2446" s="6"/>
      <c r="C2446" s="6"/>
      <c r="D2446" s="6"/>
      <c r="E2446" s="6"/>
      <c r="G2446" s="1"/>
      <c r="H2446" s="2"/>
    </row>
    <row r="2447" spans="1:8" x14ac:dyDescent="0.25">
      <c r="A2447" s="5"/>
      <c r="B2447" s="6"/>
      <c r="C2447" s="6"/>
      <c r="D2447" s="6"/>
      <c r="E2447" s="6"/>
      <c r="G2447" s="3"/>
      <c r="H2447" s="2"/>
    </row>
    <row r="2448" spans="1:8" x14ac:dyDescent="0.25">
      <c r="A2448" s="5"/>
      <c r="B2448" s="6"/>
      <c r="C2448" s="6"/>
      <c r="D2448" s="6"/>
      <c r="E2448" s="6"/>
      <c r="G2448" s="1"/>
      <c r="H2448" s="2"/>
    </row>
    <row r="2449" spans="1:8" x14ac:dyDescent="0.25">
      <c r="A2449" s="5"/>
      <c r="B2449" s="6"/>
      <c r="C2449" s="6"/>
      <c r="D2449" s="6"/>
      <c r="E2449" s="6"/>
      <c r="G2449" s="3"/>
      <c r="H2449" s="2"/>
    </row>
    <row r="2450" spans="1:8" x14ac:dyDescent="0.25">
      <c r="A2450" s="5"/>
      <c r="B2450" s="6"/>
      <c r="C2450" s="6"/>
      <c r="D2450" s="6"/>
      <c r="E2450" s="6"/>
      <c r="G2450" s="1"/>
      <c r="H2450" s="2"/>
    </row>
    <row r="2451" spans="1:8" x14ac:dyDescent="0.25">
      <c r="A2451" s="5"/>
      <c r="B2451" s="6"/>
      <c r="C2451" s="6"/>
      <c r="D2451" s="6"/>
      <c r="E2451" s="6"/>
      <c r="G2451" s="3"/>
      <c r="H2451" s="2"/>
    </row>
    <row r="2452" spans="1:8" x14ac:dyDescent="0.25">
      <c r="A2452" s="5"/>
      <c r="B2452" s="6"/>
      <c r="C2452" s="6"/>
      <c r="D2452" s="6"/>
      <c r="E2452" s="6"/>
      <c r="G2452" s="1"/>
      <c r="H2452" s="2"/>
    </row>
    <row r="2453" spans="1:8" x14ac:dyDescent="0.25">
      <c r="A2453" s="5"/>
      <c r="B2453" s="6"/>
      <c r="C2453" s="6"/>
      <c r="D2453" s="6"/>
      <c r="E2453" s="6"/>
      <c r="G2453" s="3"/>
      <c r="H2453" s="2"/>
    </row>
    <row r="2454" spans="1:8" x14ac:dyDescent="0.25">
      <c r="A2454" s="5"/>
      <c r="B2454" s="6"/>
      <c r="C2454" s="6"/>
      <c r="D2454" s="6"/>
      <c r="E2454" s="6"/>
      <c r="G2454" s="1"/>
      <c r="H2454" s="2"/>
    </row>
    <row r="2455" spans="1:8" x14ac:dyDescent="0.25">
      <c r="A2455" s="5"/>
      <c r="B2455" s="6"/>
      <c r="C2455" s="6"/>
      <c r="D2455" s="6"/>
      <c r="E2455" s="6"/>
      <c r="G2455" s="3"/>
      <c r="H2455" s="2"/>
    </row>
    <row r="2456" spans="1:8" x14ac:dyDescent="0.25">
      <c r="A2456" s="5"/>
      <c r="B2456" s="6"/>
      <c r="C2456" s="6"/>
      <c r="D2456" s="6"/>
      <c r="E2456" s="6"/>
      <c r="G2456" s="1"/>
      <c r="H2456" s="2"/>
    </row>
    <row r="2457" spans="1:8" x14ac:dyDescent="0.25">
      <c r="A2457" s="5"/>
      <c r="B2457" s="6"/>
      <c r="C2457" s="6"/>
      <c r="D2457" s="6"/>
      <c r="E2457" s="6"/>
      <c r="G2457" s="3"/>
      <c r="H2457" s="2"/>
    </row>
    <row r="2458" spans="1:8" x14ac:dyDescent="0.25">
      <c r="A2458" s="5"/>
      <c r="B2458" s="6"/>
      <c r="C2458" s="6"/>
      <c r="D2458" s="6"/>
      <c r="E2458" s="6"/>
      <c r="G2458" s="1"/>
      <c r="H2458" s="2"/>
    </row>
    <row r="2459" spans="1:8" x14ac:dyDescent="0.25">
      <c r="A2459" s="5"/>
      <c r="B2459" s="6"/>
      <c r="C2459" s="6"/>
      <c r="D2459" s="6"/>
      <c r="E2459" s="6"/>
      <c r="G2459" s="3"/>
      <c r="H2459" s="2"/>
    </row>
    <row r="2460" spans="1:8" x14ac:dyDescent="0.25">
      <c r="A2460" s="5"/>
      <c r="B2460" s="6"/>
      <c r="C2460" s="6"/>
      <c r="D2460" s="6"/>
      <c r="E2460" s="6"/>
      <c r="G2460" s="1"/>
      <c r="H2460" s="2"/>
    </row>
    <row r="2461" spans="1:8" x14ac:dyDescent="0.25">
      <c r="A2461" s="5"/>
      <c r="B2461" s="6"/>
      <c r="C2461" s="6"/>
      <c r="D2461" s="6"/>
      <c r="E2461" s="6"/>
      <c r="G2461" s="3"/>
      <c r="H2461" s="2"/>
    </row>
    <row r="2462" spans="1:8" x14ac:dyDescent="0.25">
      <c r="A2462" s="5"/>
      <c r="B2462" s="6"/>
      <c r="C2462" s="6"/>
      <c r="D2462" s="6"/>
      <c r="E2462" s="6"/>
      <c r="G2462" s="1"/>
      <c r="H2462" s="2"/>
    </row>
    <row r="2463" spans="1:8" x14ac:dyDescent="0.25">
      <c r="A2463" s="5"/>
      <c r="B2463" s="6"/>
      <c r="C2463" s="6"/>
      <c r="D2463" s="6"/>
      <c r="E2463" s="6"/>
      <c r="G2463" s="3"/>
      <c r="H2463" s="2"/>
    </row>
    <row r="2464" spans="1:8" x14ac:dyDescent="0.25">
      <c r="A2464" s="5"/>
      <c r="B2464" s="6"/>
      <c r="C2464" s="6"/>
      <c r="D2464" s="6"/>
      <c r="E2464" s="6"/>
      <c r="G2464" s="1"/>
      <c r="H2464" s="2"/>
    </row>
    <row r="2465" spans="1:8" x14ac:dyDescent="0.25">
      <c r="A2465" s="5"/>
      <c r="B2465" s="6"/>
      <c r="C2465" s="6"/>
      <c r="D2465" s="6"/>
      <c r="E2465" s="6"/>
      <c r="G2465" s="3"/>
      <c r="H2465" s="2"/>
    </row>
    <row r="2466" spans="1:8" x14ac:dyDescent="0.25">
      <c r="A2466" s="5"/>
      <c r="B2466" s="6"/>
      <c r="C2466" s="6"/>
      <c r="D2466" s="6"/>
      <c r="E2466" s="6"/>
      <c r="G2466" s="1"/>
      <c r="H2466" s="2"/>
    </row>
    <row r="2467" spans="1:8" x14ac:dyDescent="0.25">
      <c r="A2467" s="5"/>
      <c r="B2467" s="6"/>
      <c r="C2467" s="6"/>
      <c r="D2467" s="6"/>
      <c r="E2467" s="6"/>
      <c r="G2467" s="3"/>
      <c r="H2467" s="2"/>
    </row>
    <row r="2468" spans="1:8" x14ac:dyDescent="0.25">
      <c r="A2468" s="5"/>
      <c r="B2468" s="6"/>
      <c r="C2468" s="6"/>
      <c r="D2468" s="6"/>
      <c r="E2468" s="6"/>
      <c r="G2468" s="1"/>
      <c r="H2468" s="2"/>
    </row>
    <row r="2469" spans="1:8" x14ac:dyDescent="0.25">
      <c r="A2469" s="5"/>
      <c r="B2469" s="6"/>
      <c r="C2469" s="6"/>
      <c r="D2469" s="6"/>
      <c r="E2469" s="6"/>
      <c r="G2469" s="3"/>
      <c r="H2469" s="2"/>
    </row>
    <row r="2470" spans="1:8" x14ac:dyDescent="0.25">
      <c r="A2470" s="5"/>
      <c r="B2470" s="6"/>
      <c r="C2470" s="6"/>
      <c r="D2470" s="6"/>
      <c r="E2470" s="6"/>
      <c r="G2470" s="1"/>
      <c r="H2470" s="2"/>
    </row>
    <row r="2471" spans="1:8" x14ac:dyDescent="0.25">
      <c r="A2471" s="5"/>
      <c r="B2471" s="6"/>
      <c r="C2471" s="6"/>
      <c r="D2471" s="6"/>
      <c r="E2471" s="6"/>
      <c r="G2471" s="3"/>
      <c r="H2471" s="2"/>
    </row>
    <row r="2472" spans="1:8" x14ac:dyDescent="0.25">
      <c r="A2472" s="5"/>
      <c r="B2472" s="6"/>
      <c r="C2472" s="6"/>
      <c r="D2472" s="6"/>
      <c r="E2472" s="6"/>
      <c r="G2472" s="1"/>
      <c r="H2472" s="2"/>
    </row>
    <row r="2473" spans="1:8" x14ac:dyDescent="0.25">
      <c r="A2473" s="5"/>
      <c r="B2473" s="6"/>
      <c r="C2473" s="6"/>
      <c r="D2473" s="6"/>
      <c r="E2473" s="6"/>
      <c r="G2473" s="3"/>
      <c r="H2473" s="2"/>
    </row>
    <row r="2474" spans="1:8" x14ac:dyDescent="0.25">
      <c r="A2474" s="5"/>
      <c r="B2474" s="6"/>
      <c r="C2474" s="6"/>
      <c r="D2474" s="6"/>
      <c r="E2474" s="6"/>
      <c r="G2474" s="1"/>
      <c r="H2474" s="2"/>
    </row>
    <row r="2475" spans="1:8" x14ac:dyDescent="0.25">
      <c r="A2475" s="5"/>
      <c r="B2475" s="6"/>
      <c r="C2475" s="6"/>
      <c r="D2475" s="6"/>
      <c r="E2475" s="6"/>
      <c r="G2475" s="3"/>
      <c r="H2475" s="2"/>
    </row>
    <row r="2476" spans="1:8" x14ac:dyDescent="0.25">
      <c r="A2476" s="5"/>
      <c r="B2476" s="6"/>
      <c r="C2476" s="6"/>
      <c r="D2476" s="6"/>
      <c r="E2476" s="6"/>
      <c r="G2476" s="1"/>
      <c r="H2476" s="2"/>
    </row>
    <row r="2477" spans="1:8" x14ac:dyDescent="0.25">
      <c r="A2477" s="5"/>
      <c r="B2477" s="6"/>
      <c r="C2477" s="6"/>
      <c r="D2477" s="6"/>
      <c r="E2477" s="6"/>
      <c r="G2477" s="3"/>
      <c r="H2477" s="2"/>
    </row>
    <row r="2478" spans="1:8" x14ac:dyDescent="0.25">
      <c r="A2478" s="5"/>
      <c r="B2478" s="6"/>
      <c r="C2478" s="6"/>
      <c r="D2478" s="6"/>
      <c r="E2478" s="6"/>
      <c r="G2478" s="1"/>
      <c r="H2478" s="2"/>
    </row>
    <row r="2479" spans="1:8" x14ac:dyDescent="0.25">
      <c r="A2479" s="5"/>
      <c r="B2479" s="6"/>
      <c r="C2479" s="6"/>
      <c r="D2479" s="6"/>
      <c r="E2479" s="6"/>
      <c r="G2479" s="3"/>
      <c r="H2479" s="2"/>
    </row>
    <row r="2480" spans="1:8" x14ac:dyDescent="0.25">
      <c r="A2480" s="5"/>
      <c r="B2480" s="6"/>
      <c r="C2480" s="6"/>
      <c r="D2480" s="6"/>
      <c r="E2480" s="6"/>
      <c r="G2480" s="1"/>
      <c r="H2480" s="2"/>
    </row>
    <row r="2481" spans="1:8" x14ac:dyDescent="0.25">
      <c r="A2481" s="5"/>
      <c r="B2481" s="6"/>
      <c r="C2481" s="6"/>
      <c r="D2481" s="6"/>
      <c r="E2481" s="6"/>
      <c r="G2481" s="3"/>
      <c r="H2481" s="2"/>
    </row>
    <row r="2482" spans="1:8" x14ac:dyDescent="0.25">
      <c r="A2482" s="5"/>
      <c r="B2482" s="6"/>
      <c r="C2482" s="6"/>
      <c r="D2482" s="6"/>
      <c r="E2482" s="6"/>
      <c r="G2482" s="1"/>
      <c r="H2482" s="2"/>
    </row>
    <row r="2483" spans="1:8" x14ac:dyDescent="0.25">
      <c r="A2483" s="5"/>
      <c r="B2483" s="6"/>
      <c r="C2483" s="6"/>
      <c r="D2483" s="6"/>
      <c r="E2483" s="6"/>
      <c r="G2483" s="3"/>
      <c r="H2483" s="2"/>
    </row>
    <row r="2484" spans="1:8" x14ac:dyDescent="0.25">
      <c r="A2484" s="5"/>
      <c r="B2484" s="6"/>
      <c r="C2484" s="6"/>
      <c r="D2484" s="6"/>
      <c r="E2484" s="6"/>
      <c r="G2484" s="1"/>
      <c r="H2484" s="2"/>
    </row>
    <row r="2485" spans="1:8" x14ac:dyDescent="0.25">
      <c r="A2485" s="5"/>
      <c r="B2485" s="6"/>
      <c r="C2485" s="6"/>
      <c r="D2485" s="6"/>
      <c r="E2485" s="6"/>
      <c r="G2485" s="3"/>
      <c r="H2485" s="2"/>
    </row>
    <row r="2486" spans="1:8" x14ac:dyDescent="0.25">
      <c r="A2486" s="5"/>
      <c r="B2486" s="6"/>
      <c r="C2486" s="6"/>
      <c r="D2486" s="6"/>
      <c r="E2486" s="6"/>
      <c r="G2486" s="1"/>
      <c r="H2486" s="2"/>
    </row>
    <row r="2487" spans="1:8" x14ac:dyDescent="0.25">
      <c r="A2487" s="5"/>
      <c r="B2487" s="6"/>
      <c r="C2487" s="6"/>
      <c r="D2487" s="6"/>
      <c r="E2487" s="6"/>
      <c r="G2487" s="3"/>
      <c r="H2487" s="2"/>
    </row>
    <row r="2488" spans="1:8" x14ac:dyDescent="0.25">
      <c r="A2488" s="5"/>
      <c r="B2488" s="6"/>
      <c r="C2488" s="6"/>
      <c r="D2488" s="6"/>
      <c r="E2488" s="6"/>
      <c r="G2488" s="1"/>
      <c r="H2488" s="2"/>
    </row>
    <row r="2489" spans="1:8" x14ac:dyDescent="0.25">
      <c r="A2489" s="5"/>
      <c r="B2489" s="6"/>
      <c r="C2489" s="6"/>
      <c r="D2489" s="6"/>
      <c r="E2489" s="6"/>
      <c r="G2489" s="3"/>
      <c r="H2489" s="2"/>
    </row>
    <row r="2490" spans="1:8" x14ac:dyDescent="0.25">
      <c r="A2490" s="5"/>
      <c r="B2490" s="6"/>
      <c r="C2490" s="6"/>
      <c r="D2490" s="6"/>
      <c r="E2490" s="6"/>
      <c r="G2490" s="1"/>
      <c r="H2490" s="2"/>
    </row>
    <row r="2491" spans="1:8" x14ac:dyDescent="0.25">
      <c r="A2491" s="5"/>
      <c r="B2491" s="6"/>
      <c r="C2491" s="6"/>
      <c r="D2491" s="6"/>
      <c r="E2491" s="6"/>
      <c r="G2491" s="3"/>
      <c r="H2491" s="2"/>
    </row>
    <row r="2492" spans="1:8" x14ac:dyDescent="0.25">
      <c r="A2492" s="5"/>
      <c r="B2492" s="6"/>
      <c r="C2492" s="6"/>
      <c r="D2492" s="6"/>
      <c r="E2492" s="6"/>
      <c r="G2492" s="1"/>
      <c r="H2492" s="2"/>
    </row>
    <row r="2493" spans="1:8" x14ac:dyDescent="0.25">
      <c r="A2493" s="5"/>
      <c r="B2493" s="6"/>
      <c r="C2493" s="6"/>
      <c r="D2493" s="6"/>
      <c r="E2493" s="6"/>
      <c r="G2493" s="3"/>
      <c r="H2493" s="2"/>
    </row>
    <row r="2494" spans="1:8" x14ac:dyDescent="0.25">
      <c r="A2494" s="5"/>
      <c r="B2494" s="6"/>
      <c r="C2494" s="6"/>
      <c r="D2494" s="6"/>
      <c r="E2494" s="6"/>
      <c r="G2494" s="1"/>
      <c r="H2494" s="2"/>
    </row>
    <row r="2495" spans="1:8" x14ac:dyDescent="0.25">
      <c r="A2495" s="5"/>
      <c r="B2495" s="6"/>
      <c r="C2495" s="6"/>
      <c r="D2495" s="6"/>
      <c r="E2495" s="6"/>
      <c r="G2495" s="3"/>
      <c r="H2495" s="2"/>
    </row>
    <row r="2496" spans="1:8" x14ac:dyDescent="0.25">
      <c r="A2496" s="5"/>
      <c r="B2496" s="6"/>
      <c r="C2496" s="6"/>
      <c r="D2496" s="6"/>
      <c r="E2496" s="6"/>
      <c r="G2496" s="1"/>
      <c r="H2496" s="2"/>
    </row>
    <row r="2497" spans="1:8" x14ac:dyDescent="0.25">
      <c r="A2497" s="5"/>
      <c r="B2497" s="6"/>
      <c r="C2497" s="6"/>
      <c r="D2497" s="6"/>
      <c r="E2497" s="6"/>
      <c r="G2497" s="3"/>
      <c r="H2497" s="2"/>
    </row>
    <row r="2498" spans="1:8" x14ac:dyDescent="0.25">
      <c r="A2498" s="5"/>
      <c r="B2498" s="6"/>
      <c r="C2498" s="6"/>
      <c r="D2498" s="6"/>
      <c r="E2498" s="6"/>
      <c r="G2498" s="1"/>
      <c r="H2498" s="2"/>
    </row>
    <row r="2499" spans="1:8" x14ac:dyDescent="0.25">
      <c r="A2499" s="5"/>
      <c r="B2499" s="6"/>
      <c r="C2499" s="6"/>
      <c r="D2499" s="6"/>
      <c r="E2499" s="6"/>
      <c r="G2499" s="3"/>
      <c r="H2499" s="2"/>
    </row>
    <row r="2500" spans="1:8" x14ac:dyDescent="0.25">
      <c r="A2500" s="5"/>
      <c r="B2500" s="6"/>
      <c r="C2500" s="6"/>
      <c r="D2500" s="6"/>
      <c r="E2500" s="6"/>
      <c r="G2500" s="1"/>
      <c r="H2500" s="2"/>
    </row>
    <row r="2501" spans="1:8" x14ac:dyDescent="0.25">
      <c r="A2501" s="5"/>
      <c r="B2501" s="6"/>
      <c r="C2501" s="6"/>
      <c r="D2501" s="6"/>
      <c r="E2501" s="6"/>
      <c r="G2501" s="3"/>
      <c r="H2501" s="2"/>
    </row>
    <row r="2502" spans="1:8" x14ac:dyDescent="0.25">
      <c r="A2502" s="5"/>
      <c r="B2502" s="6"/>
      <c r="C2502" s="6"/>
      <c r="D2502" s="6"/>
      <c r="E2502" s="6"/>
      <c r="G2502" s="1"/>
      <c r="H2502" s="2"/>
    </row>
    <row r="2503" spans="1:8" x14ac:dyDescent="0.25">
      <c r="A2503" s="5"/>
      <c r="B2503" s="6"/>
      <c r="C2503" s="6"/>
      <c r="D2503" s="6"/>
      <c r="E2503" s="6"/>
      <c r="G2503" s="3"/>
      <c r="H2503" s="2"/>
    </row>
    <row r="2504" spans="1:8" x14ac:dyDescent="0.25">
      <c r="A2504" s="5"/>
      <c r="B2504" s="6"/>
      <c r="C2504" s="6"/>
      <c r="D2504" s="6"/>
      <c r="E2504" s="6"/>
      <c r="G2504" s="1"/>
      <c r="H2504" s="2"/>
    </row>
    <row r="2505" spans="1:8" x14ac:dyDescent="0.25">
      <c r="A2505" s="5"/>
      <c r="B2505" s="6"/>
      <c r="C2505" s="6"/>
      <c r="D2505" s="6"/>
      <c r="E2505" s="6"/>
      <c r="G2505" s="3"/>
      <c r="H2505" s="2"/>
    </row>
    <row r="2506" spans="1:8" x14ac:dyDescent="0.25">
      <c r="A2506" s="5"/>
      <c r="B2506" s="6"/>
      <c r="C2506" s="6"/>
      <c r="D2506" s="6"/>
      <c r="E2506" s="6"/>
      <c r="G2506" s="1"/>
      <c r="H2506" s="2"/>
    </row>
    <row r="2507" spans="1:8" x14ac:dyDescent="0.25">
      <c r="A2507" s="5"/>
      <c r="B2507" s="6"/>
      <c r="C2507" s="6"/>
      <c r="D2507" s="6"/>
      <c r="E2507" s="6"/>
      <c r="G2507" s="3"/>
      <c r="H2507" s="2"/>
    </row>
    <row r="2508" spans="1:8" x14ac:dyDescent="0.25">
      <c r="A2508" s="5"/>
      <c r="B2508" s="6"/>
      <c r="C2508" s="6"/>
      <c r="D2508" s="6"/>
      <c r="E2508" s="6"/>
      <c r="G2508" s="1"/>
      <c r="H2508" s="2"/>
    </row>
    <row r="2509" spans="1:8" x14ac:dyDescent="0.25">
      <c r="A2509" s="5"/>
      <c r="B2509" s="6"/>
      <c r="C2509" s="6"/>
      <c r="D2509" s="6"/>
      <c r="E2509" s="6"/>
      <c r="G2509" s="3"/>
      <c r="H2509" s="2"/>
    </row>
    <row r="2510" spans="1:8" x14ac:dyDescent="0.25">
      <c r="A2510" s="5"/>
      <c r="B2510" s="6"/>
      <c r="C2510" s="6"/>
      <c r="D2510" s="6"/>
      <c r="E2510" s="6"/>
      <c r="G2510" s="1"/>
      <c r="H2510" s="2"/>
    </row>
    <row r="2511" spans="1:8" x14ac:dyDescent="0.25">
      <c r="A2511" s="5"/>
      <c r="B2511" s="6"/>
      <c r="C2511" s="6"/>
      <c r="D2511" s="6"/>
      <c r="E2511" s="6"/>
      <c r="G2511" s="3"/>
      <c r="H2511" s="2"/>
    </row>
    <row r="2512" spans="1:8" x14ac:dyDescent="0.25">
      <c r="A2512" s="5"/>
      <c r="B2512" s="6"/>
      <c r="C2512" s="6"/>
      <c r="D2512" s="6"/>
      <c r="E2512" s="6"/>
      <c r="G2512" s="1"/>
      <c r="H2512" s="2"/>
    </row>
    <row r="2513" spans="1:8" x14ac:dyDescent="0.25">
      <c r="A2513" s="5"/>
      <c r="B2513" s="6"/>
      <c r="C2513" s="6"/>
      <c r="D2513" s="6"/>
      <c r="E2513" s="6"/>
      <c r="G2513" s="3"/>
      <c r="H2513" s="2"/>
    </row>
    <row r="2514" spans="1:8" x14ac:dyDescent="0.25">
      <c r="A2514" s="5"/>
      <c r="B2514" s="6"/>
      <c r="C2514" s="6"/>
      <c r="D2514" s="6"/>
      <c r="E2514" s="6"/>
      <c r="G2514" s="1"/>
      <c r="H2514" s="2"/>
    </row>
    <row r="2515" spans="1:8" x14ac:dyDescent="0.25">
      <c r="A2515" s="5"/>
      <c r="B2515" s="6"/>
      <c r="C2515" s="6"/>
      <c r="D2515" s="6"/>
      <c r="E2515" s="6"/>
      <c r="G2515" s="3"/>
      <c r="H2515" s="2"/>
    </row>
    <row r="2516" spans="1:8" x14ac:dyDescent="0.25">
      <c r="A2516" s="5"/>
      <c r="B2516" s="6"/>
      <c r="C2516" s="6"/>
      <c r="D2516" s="6"/>
      <c r="E2516" s="6"/>
      <c r="G2516" s="1"/>
      <c r="H2516" s="2"/>
    </row>
    <row r="2517" spans="1:8" x14ac:dyDescent="0.25">
      <c r="A2517" s="5"/>
      <c r="B2517" s="6"/>
      <c r="C2517" s="6"/>
      <c r="D2517" s="6"/>
      <c r="E2517" s="6"/>
      <c r="G2517" s="3"/>
      <c r="H2517" s="2"/>
    </row>
    <row r="2518" spans="1:8" x14ac:dyDescent="0.25">
      <c r="A2518" s="5"/>
      <c r="B2518" s="6"/>
      <c r="C2518" s="6"/>
      <c r="D2518" s="6"/>
      <c r="E2518" s="6"/>
      <c r="G2518" s="1"/>
      <c r="H2518" s="2"/>
    </row>
    <row r="2519" spans="1:8" x14ac:dyDescent="0.25">
      <c r="A2519" s="5"/>
      <c r="B2519" s="6"/>
      <c r="C2519" s="6"/>
      <c r="D2519" s="6"/>
      <c r="E2519" s="6"/>
      <c r="G2519" s="3"/>
      <c r="H2519" s="2"/>
    </row>
    <row r="2520" spans="1:8" x14ac:dyDescent="0.25">
      <c r="A2520" s="5"/>
      <c r="B2520" s="6"/>
      <c r="C2520" s="6"/>
      <c r="D2520" s="6"/>
      <c r="E2520" s="6"/>
      <c r="G2520" s="1"/>
      <c r="H2520" s="2"/>
    </row>
    <row r="2521" spans="1:8" x14ac:dyDescent="0.25">
      <c r="A2521" s="5"/>
      <c r="B2521" s="6"/>
      <c r="C2521" s="6"/>
      <c r="D2521" s="6"/>
      <c r="E2521" s="6"/>
      <c r="G2521" s="3"/>
      <c r="H2521" s="2"/>
    </row>
    <row r="2522" spans="1:8" x14ac:dyDescent="0.25">
      <c r="A2522" s="5"/>
      <c r="B2522" s="6"/>
      <c r="C2522" s="6"/>
      <c r="D2522" s="6"/>
      <c r="E2522" s="6"/>
      <c r="G2522" s="1"/>
      <c r="H2522" s="2"/>
    </row>
    <row r="2523" spans="1:8" x14ac:dyDescent="0.25">
      <c r="A2523" s="5"/>
      <c r="B2523" s="6"/>
      <c r="C2523" s="6"/>
      <c r="D2523" s="6"/>
      <c r="E2523" s="6"/>
      <c r="G2523" s="3"/>
      <c r="H2523" s="2"/>
    </row>
    <row r="2524" spans="1:8" x14ac:dyDescent="0.25">
      <c r="A2524" s="5"/>
      <c r="B2524" s="6"/>
      <c r="C2524" s="6"/>
      <c r="D2524" s="6"/>
      <c r="E2524" s="6"/>
      <c r="G2524" s="1"/>
      <c r="H2524" s="2"/>
    </row>
    <row r="2525" spans="1:8" x14ac:dyDescent="0.25">
      <c r="A2525" s="5"/>
      <c r="B2525" s="6"/>
      <c r="C2525" s="6"/>
      <c r="D2525" s="6"/>
      <c r="E2525" s="6"/>
      <c r="G2525" s="3"/>
      <c r="H2525" s="2"/>
    </row>
    <row r="2526" spans="1:8" x14ac:dyDescent="0.25">
      <c r="A2526" s="5"/>
      <c r="B2526" s="6"/>
      <c r="C2526" s="6"/>
      <c r="D2526" s="6"/>
      <c r="E2526" s="6"/>
      <c r="G2526" s="1"/>
      <c r="H2526" s="2"/>
    </row>
    <row r="2527" spans="1:8" x14ac:dyDescent="0.25">
      <c r="A2527" s="5"/>
      <c r="B2527" s="6"/>
      <c r="C2527" s="6"/>
      <c r="D2527" s="6"/>
      <c r="E2527" s="6"/>
      <c r="G2527" s="3"/>
      <c r="H2527" s="2"/>
    </row>
    <row r="2528" spans="1:8" x14ac:dyDescent="0.25">
      <c r="A2528" s="5"/>
      <c r="B2528" s="6"/>
      <c r="C2528" s="6"/>
      <c r="D2528" s="6"/>
      <c r="E2528" s="6"/>
      <c r="G2528" s="1"/>
      <c r="H2528" s="2"/>
    </row>
    <row r="2529" spans="1:8" x14ac:dyDescent="0.25">
      <c r="A2529" s="5"/>
      <c r="B2529" s="6"/>
      <c r="C2529" s="6"/>
      <c r="D2529" s="6"/>
      <c r="E2529" s="6"/>
      <c r="G2529" s="3"/>
      <c r="H2529" s="2"/>
    </row>
    <row r="2530" spans="1:8" x14ac:dyDescent="0.25">
      <c r="A2530" s="5"/>
      <c r="B2530" s="6"/>
      <c r="C2530" s="6"/>
      <c r="D2530" s="6"/>
      <c r="E2530" s="6"/>
      <c r="G2530" s="1"/>
      <c r="H2530" s="2"/>
    </row>
    <row r="2531" spans="1:8" x14ac:dyDescent="0.25">
      <c r="A2531" s="5"/>
      <c r="B2531" s="6"/>
      <c r="C2531" s="6"/>
      <c r="D2531" s="6"/>
      <c r="E2531" s="6"/>
      <c r="G2531" s="3"/>
      <c r="H2531" s="2"/>
    </row>
    <row r="2532" spans="1:8" x14ac:dyDescent="0.25">
      <c r="A2532" s="5"/>
      <c r="B2532" s="6"/>
      <c r="C2532" s="6"/>
      <c r="D2532" s="6"/>
      <c r="E2532" s="6"/>
      <c r="G2532" s="1"/>
      <c r="H2532" s="2"/>
    </row>
    <row r="2533" spans="1:8" x14ac:dyDescent="0.25">
      <c r="A2533" s="5"/>
      <c r="B2533" s="6"/>
      <c r="C2533" s="6"/>
      <c r="D2533" s="6"/>
      <c r="E2533" s="6"/>
      <c r="G2533" s="3"/>
      <c r="H2533" s="2"/>
    </row>
    <row r="2534" spans="1:8" x14ac:dyDescent="0.25">
      <c r="A2534" s="5"/>
      <c r="B2534" s="6"/>
      <c r="C2534" s="6"/>
      <c r="D2534" s="6"/>
      <c r="E2534" s="6"/>
      <c r="G2534" s="1"/>
      <c r="H2534" s="2"/>
    </row>
    <row r="2535" spans="1:8" x14ac:dyDescent="0.25">
      <c r="A2535" s="5"/>
      <c r="B2535" s="6"/>
      <c r="C2535" s="6"/>
      <c r="D2535" s="6"/>
      <c r="E2535" s="6"/>
      <c r="G2535" s="3"/>
      <c r="H2535" s="2"/>
    </row>
    <row r="2536" spans="1:8" x14ac:dyDescent="0.25">
      <c r="A2536" s="5"/>
      <c r="B2536" s="6"/>
      <c r="C2536" s="6"/>
      <c r="D2536" s="6"/>
      <c r="E2536" s="6"/>
      <c r="G2536" s="1"/>
      <c r="H2536" s="2"/>
    </row>
    <row r="2537" spans="1:8" x14ac:dyDescent="0.25">
      <c r="A2537" s="5"/>
      <c r="B2537" s="6"/>
      <c r="C2537" s="6"/>
      <c r="D2537" s="6"/>
      <c r="E2537" s="6"/>
      <c r="G2537" s="3"/>
      <c r="H2537" s="2"/>
    </row>
    <row r="2538" spans="1:8" x14ac:dyDescent="0.25">
      <c r="A2538" s="5"/>
      <c r="B2538" s="6"/>
      <c r="C2538" s="6"/>
      <c r="D2538" s="6"/>
      <c r="E2538" s="6"/>
      <c r="G2538" s="1"/>
      <c r="H2538" s="2"/>
    </row>
    <row r="2539" spans="1:8" x14ac:dyDescent="0.25">
      <c r="A2539" s="5"/>
      <c r="B2539" s="6"/>
      <c r="C2539" s="6"/>
      <c r="D2539" s="6"/>
      <c r="E2539" s="6"/>
      <c r="G2539" s="3"/>
      <c r="H2539" s="2"/>
    </row>
    <row r="2540" spans="1:8" x14ac:dyDescent="0.25">
      <c r="A2540" s="5"/>
      <c r="B2540" s="6"/>
      <c r="C2540" s="6"/>
      <c r="D2540" s="6"/>
      <c r="E2540" s="6"/>
      <c r="G2540" s="1"/>
      <c r="H2540" s="2"/>
    </row>
    <row r="2541" spans="1:8" x14ac:dyDescent="0.25">
      <c r="A2541" s="5"/>
      <c r="B2541" s="6"/>
      <c r="C2541" s="6"/>
      <c r="D2541" s="6"/>
      <c r="E2541" s="6"/>
      <c r="G2541" s="3"/>
      <c r="H2541" s="2"/>
    </row>
    <row r="2542" spans="1:8" x14ac:dyDescent="0.25">
      <c r="A2542" s="5"/>
      <c r="B2542" s="6"/>
      <c r="C2542" s="6"/>
      <c r="D2542" s="6"/>
      <c r="E2542" s="6"/>
      <c r="G2542" s="1"/>
      <c r="H2542" s="2"/>
    </row>
    <row r="2543" spans="1:8" x14ac:dyDescent="0.25">
      <c r="A2543" s="5"/>
      <c r="B2543" s="6"/>
      <c r="C2543" s="6"/>
      <c r="D2543" s="6"/>
      <c r="E2543" s="6"/>
      <c r="G2543" s="3"/>
      <c r="H2543" s="2"/>
    </row>
    <row r="2544" spans="1:8" x14ac:dyDescent="0.25">
      <c r="A2544" s="5"/>
      <c r="B2544" s="6"/>
      <c r="C2544" s="6"/>
      <c r="D2544" s="6"/>
      <c r="E2544" s="6"/>
      <c r="G2544" s="1"/>
      <c r="H2544" s="2"/>
    </row>
    <row r="2545" spans="1:8" x14ac:dyDescent="0.25">
      <c r="A2545" s="5"/>
      <c r="B2545" s="6"/>
      <c r="C2545" s="6"/>
      <c r="D2545" s="6"/>
      <c r="E2545" s="6"/>
      <c r="G2545" s="14"/>
      <c r="H2545" s="2"/>
    </row>
    <row r="2546" spans="1:8" x14ac:dyDescent="0.25">
      <c r="A2546" s="5"/>
      <c r="B2546" s="6"/>
      <c r="C2546" s="6"/>
      <c r="D2546" s="6"/>
      <c r="E2546" s="6"/>
      <c r="G2546" s="14"/>
      <c r="H2546" s="2"/>
    </row>
    <row r="2547" spans="1:8" x14ac:dyDescent="0.25">
      <c r="A2547" s="5"/>
      <c r="B2547" s="6"/>
      <c r="C2547" s="6"/>
      <c r="D2547" s="6"/>
      <c r="E2547" s="6"/>
      <c r="G2547" s="14"/>
      <c r="H2547" s="2"/>
    </row>
    <row r="2548" spans="1:8" x14ac:dyDescent="0.25">
      <c r="A2548" s="5"/>
      <c r="B2548" s="6"/>
      <c r="C2548" s="6"/>
      <c r="D2548" s="6"/>
      <c r="E2548" s="6"/>
      <c r="G2548" s="14"/>
      <c r="H2548" s="2"/>
    </row>
    <row r="2549" spans="1:8" x14ac:dyDescent="0.25">
      <c r="A2549" s="5"/>
      <c r="B2549" s="6"/>
      <c r="C2549" s="6"/>
      <c r="D2549" s="6"/>
      <c r="E2549" s="6"/>
      <c r="G2549" s="14"/>
      <c r="H2549" s="2"/>
    </row>
    <row r="2550" spans="1:8" x14ac:dyDescent="0.25">
      <c r="A2550" s="5"/>
      <c r="B2550" s="6"/>
      <c r="C2550" s="6"/>
      <c r="D2550" s="6"/>
      <c r="E2550" s="6"/>
      <c r="G2550" s="14"/>
      <c r="H2550" s="2"/>
    </row>
    <row r="2551" spans="1:8" x14ac:dyDescent="0.25">
      <c r="A2551" s="5"/>
      <c r="B2551" s="6"/>
      <c r="C2551" s="6"/>
      <c r="D2551" s="6"/>
      <c r="E2551" s="6"/>
    </row>
    <row r="2552" spans="1:8" x14ac:dyDescent="0.25">
      <c r="A2552" s="5"/>
      <c r="B2552" s="6"/>
      <c r="C2552" s="6"/>
      <c r="D2552" s="6"/>
      <c r="E2552" s="6"/>
      <c r="G2552" s="3"/>
      <c r="H2552" s="2"/>
    </row>
    <row r="2553" spans="1:8" x14ac:dyDescent="0.25">
      <c r="A2553" s="5"/>
      <c r="B2553" s="6"/>
      <c r="C2553" s="6"/>
      <c r="D2553" s="6"/>
      <c r="E2553" s="6"/>
      <c r="G2553" s="1"/>
      <c r="H2553" s="2"/>
    </row>
    <row r="2554" spans="1:8" x14ac:dyDescent="0.25">
      <c r="A2554" s="5"/>
      <c r="B2554" s="6"/>
      <c r="C2554" s="6"/>
      <c r="D2554" s="6"/>
      <c r="E2554" s="6"/>
      <c r="G2554" s="3"/>
      <c r="H2554" s="2"/>
    </row>
    <row r="2555" spans="1:8" x14ac:dyDescent="0.25">
      <c r="A2555" s="5"/>
      <c r="B2555" s="6"/>
      <c r="C2555" s="6"/>
      <c r="D2555" s="6"/>
      <c r="E2555" s="6"/>
      <c r="G2555" s="1"/>
      <c r="H2555" s="2"/>
    </row>
    <row r="2556" spans="1:8" x14ac:dyDescent="0.25">
      <c r="A2556" s="5"/>
      <c r="B2556" s="6"/>
      <c r="C2556" s="6"/>
      <c r="D2556" s="6"/>
      <c r="E2556" s="6"/>
      <c r="G2556" s="3"/>
      <c r="H2556" s="2"/>
    </row>
    <row r="2557" spans="1:8" x14ac:dyDescent="0.25">
      <c r="A2557" s="5"/>
      <c r="B2557" s="6"/>
      <c r="C2557" s="6"/>
      <c r="D2557" s="6"/>
      <c r="E2557" s="6"/>
      <c r="G2557" s="1"/>
      <c r="H2557" s="2"/>
    </row>
    <row r="2558" spans="1:8" x14ac:dyDescent="0.25">
      <c r="A2558" s="5"/>
      <c r="B2558" s="6"/>
      <c r="C2558" s="6"/>
      <c r="D2558" s="6"/>
      <c r="E2558" s="6"/>
      <c r="G2558" s="3"/>
      <c r="H2558" s="2"/>
    </row>
    <row r="2559" spans="1:8" x14ac:dyDescent="0.25">
      <c r="A2559" s="5"/>
      <c r="B2559" s="6"/>
      <c r="C2559" s="6"/>
      <c r="D2559" s="6"/>
      <c r="E2559" s="6"/>
      <c r="G2559" s="1"/>
      <c r="H2559" s="2"/>
    </row>
    <row r="2560" spans="1:8" x14ac:dyDescent="0.25">
      <c r="A2560" s="5"/>
      <c r="B2560" s="6"/>
      <c r="C2560" s="6"/>
      <c r="D2560" s="6"/>
      <c r="E2560" s="6"/>
      <c r="G2560" s="3"/>
      <c r="H2560" s="2"/>
    </row>
    <row r="2561" spans="1:8" x14ac:dyDescent="0.25">
      <c r="A2561" s="5"/>
      <c r="B2561" s="6"/>
      <c r="C2561" s="6"/>
      <c r="D2561" s="6"/>
      <c r="E2561" s="6"/>
      <c r="G2561" s="1"/>
      <c r="H2561" s="2"/>
    </row>
    <row r="2562" spans="1:8" x14ac:dyDescent="0.25">
      <c r="A2562" s="5"/>
      <c r="B2562" s="6"/>
      <c r="C2562" s="6"/>
      <c r="D2562" s="6"/>
      <c r="E2562" s="6"/>
      <c r="G2562" s="3"/>
      <c r="H2562" s="2"/>
    </row>
    <row r="2563" spans="1:8" x14ac:dyDescent="0.25">
      <c r="A2563" s="5"/>
      <c r="B2563" s="6"/>
      <c r="C2563" s="6"/>
      <c r="D2563" s="6"/>
      <c r="E2563" s="6"/>
      <c r="G2563" s="1"/>
      <c r="H2563" s="2"/>
    </row>
    <row r="2564" spans="1:8" x14ac:dyDescent="0.25">
      <c r="A2564" s="5"/>
      <c r="B2564" s="6"/>
      <c r="C2564" s="6"/>
      <c r="D2564" s="6"/>
      <c r="E2564" s="6"/>
      <c r="G2564" s="3"/>
      <c r="H2564" s="2"/>
    </row>
    <row r="2565" spans="1:8" x14ac:dyDescent="0.25">
      <c r="A2565" s="5"/>
      <c r="B2565" s="6"/>
      <c r="C2565" s="6"/>
      <c r="D2565" s="6"/>
      <c r="E2565" s="6"/>
      <c r="G2565" s="1"/>
      <c r="H2565" s="2"/>
    </row>
    <row r="2566" spans="1:8" x14ac:dyDescent="0.25">
      <c r="A2566" s="5"/>
      <c r="B2566" s="6"/>
      <c r="C2566" s="6"/>
      <c r="D2566" s="6"/>
      <c r="E2566" s="6"/>
      <c r="G2566" s="3"/>
      <c r="H2566" s="2"/>
    </row>
    <row r="2567" spans="1:8" x14ac:dyDescent="0.25">
      <c r="A2567" s="5"/>
      <c r="B2567" s="6"/>
      <c r="C2567" s="6"/>
      <c r="D2567" s="6"/>
      <c r="E2567" s="6"/>
      <c r="G2567" s="1"/>
      <c r="H2567" s="2"/>
    </row>
    <row r="2568" spans="1:8" x14ac:dyDescent="0.25">
      <c r="A2568" s="5"/>
      <c r="B2568" s="6"/>
      <c r="C2568" s="6"/>
      <c r="D2568" s="6"/>
      <c r="E2568" s="6"/>
      <c r="G2568" s="3"/>
      <c r="H2568" s="2"/>
    </row>
    <row r="2569" spans="1:8" x14ac:dyDescent="0.25">
      <c r="A2569" s="5"/>
      <c r="B2569" s="6"/>
      <c r="C2569" s="6"/>
      <c r="D2569" s="6"/>
      <c r="E2569" s="6"/>
      <c r="G2569" s="1"/>
      <c r="H2569" s="2"/>
    </row>
    <row r="2570" spans="1:8" x14ac:dyDescent="0.25">
      <c r="A2570" s="5"/>
      <c r="B2570" s="6"/>
      <c r="C2570" s="6"/>
      <c r="D2570" s="6"/>
      <c r="E2570" s="6"/>
      <c r="G2570" s="3"/>
      <c r="H2570" s="2"/>
    </row>
    <row r="2571" spans="1:8" x14ac:dyDescent="0.25">
      <c r="A2571" s="5"/>
      <c r="B2571" s="6"/>
      <c r="C2571" s="6"/>
      <c r="D2571" s="6"/>
      <c r="E2571" s="6"/>
      <c r="G2571" s="1"/>
      <c r="H2571" s="2"/>
    </row>
    <row r="2572" spans="1:8" x14ac:dyDescent="0.25">
      <c r="A2572" s="5"/>
      <c r="B2572" s="6"/>
      <c r="C2572" s="6"/>
      <c r="D2572" s="6"/>
      <c r="E2572" s="6"/>
      <c r="G2572" s="3"/>
      <c r="H2572" s="2"/>
    </row>
    <row r="2573" spans="1:8" x14ac:dyDescent="0.25">
      <c r="A2573" s="5"/>
      <c r="B2573" s="6"/>
      <c r="C2573" s="6"/>
      <c r="D2573" s="6"/>
      <c r="E2573" s="6"/>
      <c r="G2573" s="1"/>
      <c r="H2573" s="2"/>
    </row>
    <row r="2574" spans="1:8" x14ac:dyDescent="0.25">
      <c r="A2574" s="5"/>
      <c r="B2574" s="6"/>
      <c r="C2574" s="6"/>
      <c r="D2574" s="6"/>
      <c r="E2574" s="6"/>
      <c r="G2574" s="3"/>
      <c r="H2574" s="2"/>
    </row>
    <row r="2575" spans="1:8" x14ac:dyDescent="0.25">
      <c r="A2575" s="5"/>
      <c r="B2575" s="6"/>
      <c r="C2575" s="6"/>
      <c r="D2575" s="6"/>
      <c r="E2575" s="6"/>
      <c r="G2575" s="1"/>
      <c r="H2575" s="2"/>
    </row>
    <row r="2576" spans="1:8" x14ac:dyDescent="0.25">
      <c r="A2576" s="5"/>
      <c r="B2576" s="6"/>
      <c r="C2576" s="6"/>
      <c r="D2576" s="6"/>
      <c r="E2576" s="6"/>
      <c r="G2576" s="3"/>
      <c r="H2576" s="2"/>
    </row>
    <row r="2577" spans="1:8" x14ac:dyDescent="0.25">
      <c r="A2577" s="5"/>
      <c r="B2577" s="6"/>
      <c r="C2577" s="6"/>
      <c r="D2577" s="6"/>
      <c r="E2577" s="6"/>
      <c r="G2577" s="1"/>
      <c r="H2577" s="2"/>
    </row>
    <row r="2578" spans="1:8" x14ac:dyDescent="0.25">
      <c r="A2578" s="5"/>
      <c r="B2578" s="6"/>
      <c r="C2578" s="6"/>
      <c r="D2578" s="6"/>
      <c r="E2578" s="6"/>
      <c r="G2578" s="3"/>
      <c r="H2578" s="2"/>
    </row>
    <row r="2579" spans="1:8" x14ac:dyDescent="0.25">
      <c r="A2579" s="5"/>
      <c r="B2579" s="6"/>
      <c r="C2579" s="6"/>
      <c r="D2579" s="6"/>
      <c r="E2579" s="6"/>
      <c r="G2579" s="1"/>
      <c r="H2579" s="2"/>
    </row>
    <row r="2580" spans="1:8" x14ac:dyDescent="0.25">
      <c r="A2580" s="5"/>
      <c r="B2580" s="6"/>
      <c r="C2580" s="6"/>
      <c r="D2580" s="6"/>
      <c r="E2580" s="6"/>
      <c r="G2580" s="3"/>
      <c r="H2580" s="2"/>
    </row>
    <row r="2581" spans="1:8" x14ac:dyDescent="0.25">
      <c r="A2581" s="5"/>
      <c r="B2581" s="6"/>
      <c r="C2581" s="6"/>
      <c r="D2581" s="6"/>
      <c r="E2581" s="6"/>
      <c r="G2581" s="1"/>
      <c r="H2581" s="2"/>
    </row>
    <row r="2582" spans="1:8" x14ac:dyDescent="0.25">
      <c r="A2582" s="5"/>
      <c r="B2582" s="6"/>
      <c r="C2582" s="6"/>
      <c r="D2582" s="6"/>
      <c r="E2582" s="6"/>
      <c r="G2582" s="3"/>
      <c r="H2582" s="2"/>
    </row>
    <row r="2583" spans="1:8" x14ac:dyDescent="0.25">
      <c r="A2583" s="5"/>
      <c r="B2583" s="6"/>
      <c r="C2583" s="6"/>
      <c r="D2583" s="6"/>
      <c r="E2583" s="6"/>
      <c r="G2583" s="1"/>
      <c r="H2583" s="2"/>
    </row>
    <row r="2584" spans="1:8" x14ac:dyDescent="0.25">
      <c r="A2584" s="5"/>
      <c r="B2584" s="6"/>
      <c r="C2584" s="6"/>
      <c r="D2584" s="6"/>
      <c r="E2584" s="6"/>
      <c r="G2584" s="3"/>
      <c r="H2584" s="2"/>
    </row>
    <row r="2585" spans="1:8" x14ac:dyDescent="0.25">
      <c r="A2585" s="5"/>
      <c r="B2585" s="6"/>
      <c r="C2585" s="6"/>
      <c r="D2585" s="6"/>
      <c r="E2585" s="6"/>
      <c r="G2585" s="1"/>
      <c r="H2585" s="2"/>
    </row>
    <row r="2586" spans="1:8" x14ac:dyDescent="0.25">
      <c r="A2586" s="5"/>
      <c r="B2586" s="6"/>
      <c r="C2586" s="6"/>
      <c r="D2586" s="6"/>
      <c r="E2586" s="6"/>
      <c r="G2586" s="3"/>
      <c r="H2586" s="2"/>
    </row>
    <row r="2587" spans="1:8" x14ac:dyDescent="0.25">
      <c r="A2587" s="5"/>
      <c r="B2587" s="6"/>
      <c r="C2587" s="6"/>
      <c r="D2587" s="6"/>
      <c r="E2587" s="6"/>
      <c r="G2587" s="1"/>
      <c r="H2587" s="2"/>
    </row>
    <row r="2588" spans="1:8" x14ac:dyDescent="0.25">
      <c r="A2588" s="5"/>
      <c r="B2588" s="6"/>
      <c r="C2588" s="6"/>
      <c r="D2588" s="6"/>
      <c r="E2588" s="6"/>
      <c r="G2588" s="3"/>
      <c r="H2588" s="2"/>
    </row>
    <row r="2589" spans="1:8" x14ac:dyDescent="0.25">
      <c r="A2589" s="5"/>
      <c r="B2589" s="6"/>
      <c r="C2589" s="6"/>
      <c r="D2589" s="6"/>
      <c r="E2589" s="6"/>
      <c r="G2589" s="1"/>
      <c r="H2589" s="2"/>
    </row>
    <row r="2590" spans="1:8" x14ac:dyDescent="0.25">
      <c r="A2590" s="5"/>
      <c r="B2590" s="6"/>
      <c r="C2590" s="6"/>
      <c r="D2590" s="6"/>
      <c r="E2590" s="6"/>
      <c r="G2590" s="3"/>
      <c r="H2590" s="2"/>
    </row>
    <row r="2591" spans="1:8" x14ac:dyDescent="0.25">
      <c r="A2591" s="5"/>
      <c r="B2591" s="6"/>
      <c r="C2591" s="6"/>
      <c r="D2591" s="6"/>
      <c r="E2591" s="6"/>
      <c r="G2591" s="1"/>
      <c r="H2591" s="2"/>
    </row>
    <row r="2592" spans="1:8" x14ac:dyDescent="0.25">
      <c r="A2592" s="5"/>
      <c r="B2592" s="6"/>
      <c r="C2592" s="6"/>
      <c r="D2592" s="6"/>
      <c r="E2592" s="6"/>
      <c r="G2592" s="3"/>
      <c r="H2592" s="2"/>
    </row>
    <row r="2593" spans="1:8" x14ac:dyDescent="0.25">
      <c r="A2593" s="5"/>
      <c r="B2593" s="6"/>
      <c r="C2593" s="6"/>
      <c r="D2593" s="6"/>
      <c r="E2593" s="6"/>
      <c r="G2593" s="1"/>
      <c r="H2593" s="2"/>
    </row>
    <row r="2594" spans="1:8" x14ac:dyDescent="0.25">
      <c r="A2594" s="5"/>
      <c r="B2594" s="6"/>
      <c r="C2594" s="6"/>
      <c r="D2594" s="6"/>
      <c r="E2594" s="6"/>
      <c r="G2594" s="3"/>
      <c r="H2594" s="2"/>
    </row>
    <row r="2595" spans="1:8" x14ac:dyDescent="0.25">
      <c r="A2595" s="5"/>
      <c r="B2595" s="6"/>
      <c r="C2595" s="6"/>
      <c r="D2595" s="6"/>
      <c r="E2595" s="6"/>
      <c r="G2595" s="1"/>
      <c r="H2595" s="2"/>
    </row>
    <row r="2596" spans="1:8" x14ac:dyDescent="0.25">
      <c r="A2596" s="5"/>
      <c r="B2596" s="6"/>
      <c r="C2596" s="6"/>
      <c r="D2596" s="6"/>
      <c r="E2596" s="6"/>
      <c r="G2596" s="3"/>
      <c r="H2596" s="2"/>
    </row>
    <row r="2597" spans="1:8" x14ac:dyDescent="0.25">
      <c r="A2597" s="5"/>
      <c r="B2597" s="6"/>
      <c r="C2597" s="6"/>
      <c r="D2597" s="6"/>
      <c r="E2597" s="6"/>
      <c r="G2597" s="1"/>
      <c r="H2597" s="2"/>
    </row>
    <row r="2598" spans="1:8" x14ac:dyDescent="0.25">
      <c r="A2598" s="5"/>
      <c r="B2598" s="6"/>
      <c r="C2598" s="6"/>
      <c r="D2598" s="6"/>
      <c r="E2598" s="6"/>
      <c r="G2598" s="3"/>
      <c r="H2598" s="2"/>
    </row>
    <row r="2599" spans="1:8" x14ac:dyDescent="0.25">
      <c r="A2599" s="5"/>
      <c r="B2599" s="6"/>
      <c r="C2599" s="6"/>
      <c r="D2599" s="6"/>
      <c r="E2599" s="6"/>
      <c r="G2599" s="1"/>
      <c r="H2599" s="2"/>
    </row>
    <row r="2600" spans="1:8" x14ac:dyDescent="0.25">
      <c r="A2600" s="5"/>
      <c r="B2600" s="6"/>
      <c r="C2600" s="6"/>
      <c r="D2600" s="6"/>
      <c r="E2600" s="6"/>
      <c r="G2600" s="3"/>
      <c r="H2600" s="2"/>
    </row>
    <row r="2601" spans="1:8" x14ac:dyDescent="0.25">
      <c r="A2601" s="5"/>
      <c r="B2601" s="6"/>
      <c r="C2601" s="6"/>
      <c r="D2601" s="6"/>
      <c r="E2601" s="6"/>
      <c r="G2601" s="1"/>
      <c r="H2601" s="2"/>
    </row>
    <row r="2602" spans="1:8" x14ac:dyDescent="0.25">
      <c r="A2602" s="5"/>
      <c r="B2602" s="6"/>
      <c r="C2602" s="6"/>
      <c r="D2602" s="6"/>
      <c r="E2602" s="6"/>
      <c r="G2602" s="3"/>
      <c r="H2602" s="2"/>
    </row>
    <row r="2603" spans="1:8" x14ac:dyDescent="0.25">
      <c r="A2603" s="5"/>
      <c r="B2603" s="6"/>
      <c r="C2603" s="6"/>
      <c r="D2603" s="6"/>
      <c r="E2603" s="6"/>
      <c r="G2603" s="1"/>
      <c r="H2603" s="2"/>
    </row>
    <row r="2604" spans="1:8" x14ac:dyDescent="0.25">
      <c r="A2604" s="5"/>
      <c r="B2604" s="6"/>
      <c r="C2604" s="6"/>
      <c r="D2604" s="6"/>
      <c r="E2604" s="6"/>
      <c r="G2604" s="3"/>
      <c r="H2604" s="2"/>
    </row>
    <row r="2605" spans="1:8" x14ac:dyDescent="0.25">
      <c r="A2605" s="5"/>
      <c r="B2605" s="6"/>
      <c r="C2605" s="6"/>
      <c r="D2605" s="6"/>
      <c r="E2605" s="6"/>
      <c r="G2605" s="1"/>
      <c r="H2605" s="2"/>
    </row>
    <row r="2606" spans="1:8" x14ac:dyDescent="0.25">
      <c r="A2606" s="5"/>
      <c r="B2606" s="6"/>
      <c r="C2606" s="6"/>
      <c r="D2606" s="6"/>
      <c r="E2606" s="6"/>
      <c r="G2606" s="3"/>
      <c r="H2606" s="2"/>
    </row>
    <row r="2607" spans="1:8" x14ac:dyDescent="0.25">
      <c r="A2607" s="5"/>
      <c r="B2607" s="6"/>
      <c r="C2607" s="6"/>
      <c r="D2607" s="6"/>
      <c r="E2607" s="6"/>
      <c r="G2607" s="1"/>
      <c r="H2607" s="2"/>
    </row>
    <row r="2608" spans="1:8" x14ac:dyDescent="0.25">
      <c r="A2608" s="5"/>
      <c r="B2608" s="6"/>
      <c r="C2608" s="6"/>
      <c r="D2608" s="6"/>
      <c r="E2608" s="6"/>
      <c r="G2608" s="3"/>
      <c r="H2608" s="2"/>
    </row>
    <row r="2609" spans="1:8" x14ac:dyDescent="0.25">
      <c r="A2609" s="5"/>
      <c r="B2609" s="6"/>
      <c r="C2609" s="6"/>
      <c r="D2609" s="6"/>
      <c r="E2609" s="6"/>
      <c r="G2609" s="1"/>
      <c r="H2609" s="2"/>
    </row>
    <row r="2610" spans="1:8" x14ac:dyDescent="0.25">
      <c r="A2610" s="5"/>
      <c r="B2610" s="6"/>
      <c r="C2610" s="6"/>
      <c r="D2610" s="6"/>
      <c r="E2610" s="6"/>
      <c r="G2610" s="3"/>
      <c r="H2610" s="2"/>
    </row>
    <row r="2611" spans="1:8" x14ac:dyDescent="0.25">
      <c r="A2611" s="5"/>
      <c r="B2611" s="6"/>
      <c r="C2611" s="6"/>
      <c r="D2611" s="6"/>
      <c r="E2611" s="6"/>
      <c r="G2611" s="1"/>
      <c r="H2611" s="2"/>
    </row>
    <row r="2612" spans="1:8" x14ac:dyDescent="0.25">
      <c r="A2612" s="5"/>
      <c r="B2612" s="6"/>
      <c r="C2612" s="6"/>
      <c r="D2612" s="6"/>
      <c r="E2612" s="6"/>
      <c r="G2612" s="3"/>
      <c r="H2612" s="2"/>
    </row>
    <row r="2613" spans="1:8" x14ac:dyDescent="0.25">
      <c r="A2613" s="5"/>
      <c r="B2613" s="6"/>
      <c r="C2613" s="6"/>
      <c r="D2613" s="6"/>
      <c r="E2613" s="6"/>
      <c r="G2613" s="1"/>
      <c r="H2613" s="2"/>
    </row>
    <row r="2614" spans="1:8" x14ac:dyDescent="0.25">
      <c r="A2614" s="5"/>
      <c r="B2614" s="6"/>
      <c r="C2614" s="6"/>
      <c r="D2614" s="6"/>
      <c r="E2614" s="6"/>
      <c r="G2614" s="3"/>
      <c r="H2614" s="2"/>
    </row>
    <row r="2615" spans="1:8" x14ac:dyDescent="0.25">
      <c r="A2615" s="5"/>
      <c r="B2615" s="6"/>
      <c r="C2615" s="6"/>
      <c r="D2615" s="6"/>
      <c r="E2615" s="6"/>
      <c r="G2615" s="1"/>
      <c r="H2615" s="2"/>
    </row>
    <row r="2616" spans="1:8" x14ac:dyDescent="0.25">
      <c r="A2616" s="5"/>
      <c r="B2616" s="6"/>
      <c r="C2616" s="6"/>
      <c r="D2616" s="6"/>
      <c r="E2616" s="6"/>
      <c r="G2616" s="3"/>
      <c r="H2616" s="2"/>
    </row>
    <row r="2617" spans="1:8" x14ac:dyDescent="0.25">
      <c r="A2617" s="5"/>
      <c r="B2617" s="6"/>
      <c r="C2617" s="6"/>
      <c r="D2617" s="6"/>
      <c r="E2617" s="6"/>
      <c r="G2617" s="1"/>
      <c r="H2617" s="2"/>
    </row>
    <row r="2618" spans="1:8" x14ac:dyDescent="0.25">
      <c r="A2618" s="5"/>
      <c r="B2618" s="6"/>
      <c r="C2618" s="6"/>
      <c r="D2618" s="6"/>
      <c r="E2618" s="6"/>
      <c r="G2618" s="3"/>
      <c r="H2618" s="2"/>
    </row>
    <row r="2619" spans="1:8" x14ac:dyDescent="0.25">
      <c r="A2619" s="5"/>
      <c r="B2619" s="6"/>
      <c r="C2619" s="6"/>
      <c r="D2619" s="6"/>
      <c r="E2619" s="6"/>
      <c r="G2619" s="1"/>
      <c r="H2619" s="2"/>
    </row>
    <row r="2620" spans="1:8" x14ac:dyDescent="0.25">
      <c r="A2620" s="5"/>
      <c r="B2620" s="6"/>
      <c r="C2620" s="6"/>
      <c r="D2620" s="6"/>
      <c r="E2620" s="6"/>
      <c r="G2620" s="3"/>
      <c r="H2620" s="2"/>
    </row>
    <row r="2621" spans="1:8" x14ac:dyDescent="0.25">
      <c r="A2621" s="5"/>
      <c r="B2621" s="6"/>
      <c r="C2621" s="6"/>
      <c r="D2621" s="6"/>
      <c r="E2621" s="6"/>
      <c r="G2621" s="1"/>
      <c r="H2621" s="2"/>
    </row>
    <row r="2622" spans="1:8" x14ac:dyDescent="0.25">
      <c r="A2622" s="5"/>
      <c r="B2622" s="6"/>
      <c r="C2622" s="6"/>
      <c r="D2622" s="6"/>
      <c r="E2622" s="6"/>
      <c r="G2622" s="3"/>
      <c r="H2622" s="2"/>
    </row>
    <row r="2623" spans="1:8" x14ac:dyDescent="0.25">
      <c r="A2623" s="5"/>
      <c r="B2623" s="6"/>
      <c r="C2623" s="6"/>
      <c r="D2623" s="6"/>
      <c r="E2623" s="6"/>
      <c r="G2623" s="1"/>
      <c r="H2623" s="2"/>
    </row>
    <row r="2624" spans="1:8" x14ac:dyDescent="0.25">
      <c r="A2624" s="5"/>
      <c r="B2624" s="6"/>
      <c r="C2624" s="6"/>
      <c r="D2624" s="6"/>
      <c r="E2624" s="6"/>
      <c r="G2624" s="3"/>
      <c r="H2624" s="2"/>
    </row>
    <row r="2625" spans="1:8" x14ac:dyDescent="0.25">
      <c r="A2625" s="5"/>
      <c r="B2625" s="6"/>
      <c r="C2625" s="6"/>
      <c r="D2625" s="6"/>
      <c r="E2625" s="6"/>
      <c r="G2625" s="1"/>
      <c r="H2625" s="2"/>
    </row>
    <row r="2626" spans="1:8" x14ac:dyDescent="0.25">
      <c r="A2626" s="5"/>
      <c r="B2626" s="6"/>
      <c r="C2626" s="6"/>
      <c r="D2626" s="6"/>
      <c r="E2626" s="6"/>
      <c r="G2626" s="3"/>
      <c r="H2626" s="2"/>
    </row>
    <row r="2627" spans="1:8" x14ac:dyDescent="0.25">
      <c r="A2627" s="5"/>
      <c r="B2627" s="6"/>
      <c r="C2627" s="6"/>
      <c r="D2627" s="6"/>
      <c r="E2627" s="6"/>
      <c r="G2627" s="1"/>
      <c r="H2627" s="2"/>
    </row>
    <row r="2628" spans="1:8" x14ac:dyDescent="0.25">
      <c r="A2628" s="5"/>
      <c r="B2628" s="6"/>
      <c r="C2628" s="6"/>
      <c r="D2628" s="6"/>
      <c r="E2628" s="6"/>
      <c r="G2628" s="3"/>
      <c r="H2628" s="2"/>
    </row>
    <row r="2629" spans="1:8" x14ac:dyDescent="0.25">
      <c r="A2629" s="5"/>
      <c r="B2629" s="6"/>
      <c r="C2629" s="6"/>
      <c r="D2629" s="6"/>
      <c r="E2629" s="6"/>
      <c r="G2629" s="1"/>
      <c r="H2629" s="2"/>
    </row>
    <row r="2630" spans="1:8" x14ac:dyDescent="0.25">
      <c r="A2630" s="5"/>
      <c r="B2630" s="6"/>
      <c r="C2630" s="6"/>
      <c r="D2630" s="6"/>
      <c r="E2630" s="6"/>
      <c r="G2630" s="3"/>
      <c r="H2630" s="2"/>
    </row>
    <row r="2631" spans="1:8" x14ac:dyDescent="0.25">
      <c r="A2631" s="5"/>
      <c r="B2631" s="6"/>
      <c r="C2631" s="6"/>
      <c r="D2631" s="6"/>
      <c r="E2631" s="6"/>
      <c r="G2631" s="1"/>
      <c r="H2631" s="2"/>
    </row>
    <row r="2632" spans="1:8" x14ac:dyDescent="0.25">
      <c r="A2632" s="5"/>
      <c r="B2632" s="6"/>
      <c r="C2632" s="6"/>
      <c r="D2632" s="6"/>
      <c r="E2632" s="6"/>
      <c r="G2632" s="3"/>
      <c r="H2632" s="2"/>
    </row>
    <row r="2633" spans="1:8" x14ac:dyDescent="0.25">
      <c r="A2633" s="5"/>
      <c r="B2633" s="6"/>
      <c r="C2633" s="6"/>
      <c r="D2633" s="6"/>
      <c r="E2633" s="6"/>
      <c r="G2633" s="1"/>
      <c r="H2633" s="2"/>
    </row>
    <row r="2634" spans="1:8" x14ac:dyDescent="0.25">
      <c r="A2634" s="5"/>
      <c r="B2634" s="6"/>
      <c r="C2634" s="6"/>
      <c r="D2634" s="6"/>
      <c r="E2634" s="6"/>
      <c r="G2634" s="3"/>
      <c r="H2634" s="2"/>
    </row>
    <row r="2635" spans="1:8" x14ac:dyDescent="0.25">
      <c r="A2635" s="5"/>
      <c r="B2635" s="6"/>
      <c r="C2635" s="6"/>
      <c r="D2635" s="6"/>
      <c r="E2635" s="6"/>
      <c r="G2635" s="1"/>
      <c r="H2635" s="2"/>
    </row>
    <row r="2636" spans="1:8" x14ac:dyDescent="0.25">
      <c r="A2636" s="5"/>
      <c r="B2636" s="6"/>
      <c r="C2636" s="6"/>
      <c r="D2636" s="6"/>
      <c r="E2636" s="6"/>
      <c r="G2636" s="3"/>
      <c r="H2636" s="2"/>
    </row>
    <row r="2637" spans="1:8" x14ac:dyDescent="0.25">
      <c r="A2637" s="5"/>
      <c r="B2637" s="6"/>
      <c r="C2637" s="6"/>
      <c r="D2637" s="6"/>
      <c r="E2637" s="6"/>
      <c r="G2637" s="1"/>
      <c r="H2637" s="2"/>
    </row>
    <row r="2638" spans="1:8" x14ac:dyDescent="0.25">
      <c r="A2638" s="5"/>
      <c r="B2638" s="6"/>
      <c r="C2638" s="6"/>
      <c r="D2638" s="6"/>
      <c r="E2638" s="6"/>
      <c r="G2638" s="3"/>
      <c r="H2638" s="2"/>
    </row>
    <row r="2639" spans="1:8" x14ac:dyDescent="0.25">
      <c r="A2639" s="5"/>
      <c r="B2639" s="6"/>
      <c r="C2639" s="6"/>
      <c r="D2639" s="6"/>
      <c r="E2639" s="6"/>
      <c r="G2639" s="1"/>
      <c r="H2639" s="2"/>
    </row>
    <row r="2640" spans="1:8" x14ac:dyDescent="0.25">
      <c r="A2640" s="5"/>
      <c r="B2640" s="6"/>
      <c r="C2640" s="6"/>
      <c r="D2640" s="6"/>
      <c r="E2640" s="6"/>
      <c r="G2640" s="3"/>
      <c r="H2640" s="2"/>
    </row>
    <row r="2641" spans="1:8" x14ac:dyDescent="0.25">
      <c r="A2641" s="5"/>
      <c r="B2641" s="6"/>
      <c r="C2641" s="6"/>
      <c r="D2641" s="6"/>
      <c r="E2641" s="6"/>
      <c r="G2641" s="1"/>
      <c r="H2641" s="2"/>
    </row>
    <row r="2642" spans="1:8" x14ac:dyDescent="0.25">
      <c r="A2642" s="5"/>
      <c r="B2642" s="6"/>
      <c r="C2642" s="6"/>
      <c r="D2642" s="6"/>
      <c r="E2642" s="6"/>
      <c r="G2642" s="3"/>
      <c r="H2642" s="2"/>
    </row>
    <row r="2643" spans="1:8" x14ac:dyDescent="0.25">
      <c r="A2643" s="5"/>
      <c r="B2643" s="6"/>
      <c r="C2643" s="6"/>
      <c r="D2643" s="6"/>
      <c r="E2643" s="6"/>
      <c r="G2643" s="1"/>
      <c r="H2643" s="2"/>
    </row>
    <row r="2644" spans="1:8" x14ac:dyDescent="0.25">
      <c r="A2644" s="5"/>
      <c r="B2644" s="6"/>
      <c r="C2644" s="6"/>
      <c r="D2644" s="6"/>
      <c r="E2644" s="6"/>
      <c r="G2644" s="3"/>
      <c r="H2644" s="2"/>
    </row>
    <row r="2645" spans="1:8" x14ac:dyDescent="0.25">
      <c r="A2645" s="5"/>
      <c r="B2645" s="6"/>
      <c r="C2645" s="6"/>
      <c r="D2645" s="6"/>
      <c r="E2645" s="6"/>
      <c r="G2645" s="1"/>
      <c r="H2645" s="2"/>
    </row>
    <row r="2646" spans="1:8" x14ac:dyDescent="0.25">
      <c r="A2646" s="5"/>
      <c r="B2646" s="6"/>
      <c r="C2646" s="6"/>
      <c r="D2646" s="6"/>
      <c r="E2646" s="6"/>
      <c r="G2646" s="3"/>
      <c r="H2646" s="2"/>
    </row>
    <row r="2647" spans="1:8" x14ac:dyDescent="0.25">
      <c r="A2647" s="5"/>
      <c r="B2647" s="6"/>
      <c r="C2647" s="6"/>
      <c r="D2647" s="6"/>
      <c r="E2647" s="6"/>
      <c r="G2647" s="1"/>
      <c r="H2647" s="2"/>
    </row>
    <row r="2648" spans="1:8" x14ac:dyDescent="0.25">
      <c r="A2648" s="5"/>
      <c r="B2648" s="6"/>
      <c r="C2648" s="6"/>
      <c r="D2648" s="6"/>
      <c r="E2648" s="6"/>
      <c r="G2648" s="3"/>
      <c r="H2648" s="2"/>
    </row>
    <row r="2649" spans="1:8" x14ac:dyDescent="0.25">
      <c r="A2649" s="5"/>
      <c r="B2649" s="6"/>
      <c r="C2649" s="6"/>
      <c r="D2649" s="6"/>
      <c r="E2649" s="6"/>
      <c r="G2649" s="1"/>
      <c r="H2649" s="2"/>
    </row>
    <row r="2650" spans="1:8" x14ac:dyDescent="0.25">
      <c r="A2650" s="5"/>
      <c r="B2650" s="6"/>
      <c r="C2650" s="6"/>
      <c r="D2650" s="6"/>
      <c r="E2650" s="6"/>
      <c r="G2650" s="3"/>
      <c r="H2650" s="2"/>
    </row>
    <row r="2651" spans="1:8" x14ac:dyDescent="0.25">
      <c r="A2651" s="5"/>
      <c r="B2651" s="6"/>
      <c r="C2651" s="6"/>
      <c r="D2651" s="6"/>
      <c r="E2651" s="6"/>
      <c r="G2651" s="1"/>
      <c r="H2651" s="2"/>
    </row>
    <row r="2652" spans="1:8" x14ac:dyDescent="0.25">
      <c r="A2652" s="5"/>
      <c r="B2652" s="6"/>
      <c r="C2652" s="6"/>
      <c r="D2652" s="6"/>
      <c r="E2652" s="6"/>
      <c r="G2652" s="3"/>
      <c r="H2652" s="2"/>
    </row>
    <row r="2653" spans="1:8" x14ac:dyDescent="0.25">
      <c r="A2653" s="5"/>
      <c r="B2653" s="6"/>
      <c r="C2653" s="6"/>
      <c r="D2653" s="6"/>
      <c r="E2653" s="6"/>
      <c r="G2653" s="1"/>
      <c r="H2653" s="2"/>
    </row>
    <row r="2654" spans="1:8" x14ac:dyDescent="0.25">
      <c r="A2654" s="5"/>
      <c r="B2654" s="6"/>
      <c r="C2654" s="6"/>
      <c r="D2654" s="6"/>
      <c r="E2654" s="6"/>
      <c r="G2654" s="3"/>
      <c r="H2654" s="2"/>
    </row>
    <row r="2655" spans="1:8" x14ac:dyDescent="0.25">
      <c r="A2655" s="5"/>
      <c r="B2655" s="6"/>
      <c r="C2655" s="6"/>
      <c r="D2655" s="6"/>
      <c r="E2655" s="6"/>
      <c r="G2655" s="1"/>
      <c r="H2655" s="2"/>
    </row>
    <row r="2656" spans="1:8" x14ac:dyDescent="0.25">
      <c r="A2656" s="5"/>
      <c r="B2656" s="6"/>
      <c r="C2656" s="6"/>
      <c r="D2656" s="6"/>
      <c r="E2656" s="6"/>
      <c r="G2656" s="3"/>
      <c r="H2656" s="2"/>
    </row>
    <row r="2657" spans="1:8" x14ac:dyDescent="0.25">
      <c r="A2657" s="5"/>
      <c r="B2657" s="6"/>
      <c r="C2657" s="6"/>
      <c r="D2657" s="6"/>
      <c r="E2657" s="6"/>
      <c r="G2657" s="1"/>
      <c r="H2657" s="2"/>
    </row>
    <row r="2658" spans="1:8" x14ac:dyDescent="0.25">
      <c r="A2658" s="5"/>
      <c r="B2658" s="6"/>
      <c r="C2658" s="6"/>
      <c r="D2658" s="6"/>
      <c r="E2658" s="6"/>
      <c r="G2658" s="3"/>
      <c r="H2658" s="2"/>
    </row>
    <row r="2659" spans="1:8" x14ac:dyDescent="0.25">
      <c r="A2659" s="5"/>
      <c r="B2659" s="6"/>
      <c r="C2659" s="6"/>
      <c r="D2659" s="6"/>
      <c r="E2659" s="6"/>
      <c r="G2659" s="1"/>
      <c r="H2659" s="2"/>
    </row>
    <row r="2660" spans="1:8" x14ac:dyDescent="0.25">
      <c r="A2660" s="5"/>
      <c r="B2660" s="6"/>
      <c r="C2660" s="6"/>
      <c r="D2660" s="6"/>
      <c r="E2660" s="6"/>
      <c r="G2660" s="3"/>
      <c r="H2660" s="2"/>
    </row>
    <row r="2661" spans="1:8" x14ac:dyDescent="0.25">
      <c r="A2661" s="5"/>
      <c r="B2661" s="6"/>
      <c r="C2661" s="6"/>
      <c r="D2661" s="6"/>
      <c r="E2661" s="6"/>
      <c r="G2661" s="1"/>
      <c r="H2661" s="2"/>
    </row>
    <row r="2662" spans="1:8" x14ac:dyDescent="0.25">
      <c r="A2662" s="5"/>
      <c r="B2662" s="6"/>
      <c r="C2662" s="6"/>
      <c r="D2662" s="6"/>
      <c r="E2662" s="6"/>
      <c r="G2662" s="3"/>
      <c r="H2662" s="2"/>
    </row>
    <row r="2663" spans="1:8" x14ac:dyDescent="0.25">
      <c r="A2663" s="5"/>
      <c r="B2663" s="6"/>
      <c r="C2663" s="6"/>
      <c r="D2663" s="6"/>
      <c r="E2663" s="6"/>
      <c r="G2663" s="1"/>
      <c r="H2663" s="2"/>
    </row>
    <row r="2664" spans="1:8" x14ac:dyDescent="0.25">
      <c r="A2664" s="5"/>
      <c r="B2664" s="6"/>
      <c r="C2664" s="6"/>
      <c r="D2664" s="6"/>
      <c r="E2664" s="6"/>
      <c r="G2664" s="3"/>
      <c r="H2664" s="2"/>
    </row>
    <row r="2665" spans="1:8" x14ac:dyDescent="0.25">
      <c r="A2665" s="5"/>
      <c r="B2665" s="6"/>
      <c r="C2665" s="6"/>
      <c r="D2665" s="6"/>
      <c r="E2665" s="6"/>
      <c r="G2665" s="1"/>
      <c r="H2665" s="2"/>
    </row>
    <row r="2666" spans="1:8" x14ac:dyDescent="0.25">
      <c r="A2666" s="5"/>
      <c r="B2666" s="6"/>
      <c r="C2666" s="6"/>
      <c r="D2666" s="6"/>
      <c r="E2666" s="6"/>
      <c r="G2666" s="3"/>
      <c r="H2666" s="2"/>
    </row>
    <row r="2667" spans="1:8" x14ac:dyDescent="0.25">
      <c r="A2667" s="5"/>
      <c r="B2667" s="6"/>
      <c r="C2667" s="6"/>
      <c r="D2667" s="6"/>
      <c r="E2667" s="6"/>
      <c r="G2667" s="1"/>
      <c r="H2667" s="2"/>
    </row>
    <row r="2668" spans="1:8" x14ac:dyDescent="0.25">
      <c r="A2668" s="5"/>
      <c r="B2668" s="6"/>
      <c r="C2668" s="6"/>
      <c r="D2668" s="6"/>
      <c r="E2668" s="6"/>
      <c r="G2668" s="3"/>
      <c r="H2668" s="2"/>
    </row>
    <row r="2669" spans="1:8" x14ac:dyDescent="0.25">
      <c r="A2669" s="5"/>
      <c r="B2669" s="6"/>
      <c r="C2669" s="6"/>
      <c r="D2669" s="6"/>
      <c r="E2669" s="6"/>
      <c r="G2669" s="1"/>
      <c r="H2669" s="2"/>
    </row>
    <row r="2670" spans="1:8" x14ac:dyDescent="0.25">
      <c r="A2670" s="5"/>
      <c r="B2670" s="6"/>
      <c r="C2670" s="6"/>
      <c r="D2670" s="6"/>
      <c r="E2670" s="6"/>
      <c r="G2670" s="3"/>
      <c r="H2670" s="2"/>
    </row>
    <row r="2671" spans="1:8" x14ac:dyDescent="0.25">
      <c r="A2671" s="5"/>
      <c r="B2671" s="6"/>
      <c r="C2671" s="6"/>
      <c r="D2671" s="6"/>
      <c r="E2671" s="6"/>
      <c r="G2671" s="1"/>
      <c r="H2671" s="2"/>
    </row>
    <row r="2672" spans="1:8" x14ac:dyDescent="0.25">
      <c r="A2672" s="5"/>
      <c r="B2672" s="6"/>
      <c r="C2672" s="6"/>
      <c r="D2672" s="6"/>
      <c r="E2672" s="6"/>
      <c r="G2672" s="3"/>
      <c r="H2672" s="2"/>
    </row>
    <row r="2673" spans="1:8" x14ac:dyDescent="0.25">
      <c r="A2673" s="5"/>
      <c r="B2673" s="6"/>
      <c r="C2673" s="6"/>
      <c r="D2673" s="6"/>
      <c r="E2673" s="6"/>
      <c r="G2673" s="1"/>
      <c r="H2673" s="2"/>
    </row>
    <row r="2674" spans="1:8" x14ac:dyDescent="0.25">
      <c r="A2674" s="5"/>
      <c r="B2674" s="6"/>
      <c r="C2674" s="6"/>
      <c r="D2674" s="6"/>
      <c r="E2674" s="6"/>
      <c r="G2674" s="3"/>
      <c r="H2674" s="2"/>
    </row>
    <row r="2675" spans="1:8" x14ac:dyDescent="0.25">
      <c r="A2675" s="5"/>
      <c r="B2675" s="6"/>
      <c r="C2675" s="6"/>
      <c r="D2675" s="6"/>
      <c r="E2675" s="6"/>
      <c r="G2675" s="1"/>
      <c r="H2675" s="2"/>
    </row>
    <row r="2676" spans="1:8" x14ac:dyDescent="0.25">
      <c r="A2676" s="5"/>
      <c r="B2676" s="6"/>
      <c r="C2676" s="6"/>
      <c r="D2676" s="6"/>
      <c r="E2676" s="6"/>
      <c r="G2676" s="3"/>
      <c r="H2676" s="2"/>
    </row>
    <row r="2677" spans="1:8" x14ac:dyDescent="0.25">
      <c r="A2677" s="5"/>
      <c r="B2677" s="6"/>
      <c r="C2677" s="6"/>
      <c r="D2677" s="6"/>
      <c r="E2677" s="6"/>
      <c r="G2677" s="1"/>
      <c r="H2677" s="2"/>
    </row>
    <row r="2678" spans="1:8" x14ac:dyDescent="0.25">
      <c r="A2678" s="5"/>
      <c r="B2678" s="6"/>
      <c r="C2678" s="6"/>
      <c r="D2678" s="6"/>
      <c r="E2678" s="6"/>
      <c r="G2678" s="3"/>
      <c r="H2678" s="2"/>
    </row>
    <row r="2679" spans="1:8" x14ac:dyDescent="0.25">
      <c r="A2679" s="5"/>
      <c r="B2679" s="6"/>
      <c r="C2679" s="6"/>
      <c r="D2679" s="6"/>
      <c r="E2679" s="6"/>
      <c r="G2679" s="1"/>
      <c r="H2679" s="2"/>
    </row>
    <row r="2680" spans="1:8" x14ac:dyDescent="0.25">
      <c r="A2680" s="5"/>
      <c r="B2680" s="6"/>
      <c r="C2680" s="6"/>
      <c r="D2680" s="6"/>
      <c r="E2680" s="6"/>
      <c r="G2680" s="3"/>
      <c r="H2680" s="2"/>
    </row>
    <row r="2681" spans="1:8" x14ac:dyDescent="0.25">
      <c r="A2681" s="5"/>
      <c r="B2681" s="6"/>
      <c r="C2681" s="6"/>
      <c r="D2681" s="6"/>
      <c r="E2681" s="6"/>
      <c r="G2681" s="1"/>
      <c r="H2681" s="2"/>
    </row>
    <row r="2682" spans="1:8" x14ac:dyDescent="0.25">
      <c r="A2682" s="5"/>
      <c r="B2682" s="6"/>
      <c r="C2682" s="6"/>
      <c r="D2682" s="6"/>
      <c r="E2682" s="6"/>
      <c r="G2682" s="3"/>
      <c r="H2682" s="2"/>
    </row>
    <row r="2683" spans="1:8" x14ac:dyDescent="0.25">
      <c r="A2683" s="5"/>
      <c r="B2683" s="6"/>
      <c r="C2683" s="6"/>
      <c r="D2683" s="6"/>
      <c r="E2683" s="6"/>
      <c r="G2683" s="1"/>
      <c r="H2683" s="2"/>
    </row>
    <row r="2684" spans="1:8" x14ac:dyDescent="0.25">
      <c r="A2684" s="5"/>
      <c r="B2684" s="6"/>
      <c r="C2684" s="6"/>
      <c r="D2684" s="6"/>
      <c r="E2684" s="6"/>
      <c r="G2684" s="3"/>
      <c r="H2684" s="2"/>
    </row>
    <row r="2685" spans="1:8" x14ac:dyDescent="0.25">
      <c r="A2685" s="5"/>
      <c r="B2685" s="6"/>
      <c r="C2685" s="6"/>
      <c r="D2685" s="6"/>
      <c r="E2685" s="6"/>
      <c r="G2685" s="1"/>
      <c r="H2685" s="2"/>
    </row>
    <row r="2686" spans="1:8" x14ac:dyDescent="0.25">
      <c r="A2686" s="5"/>
      <c r="B2686" s="6"/>
      <c r="C2686" s="6"/>
      <c r="D2686" s="6"/>
      <c r="E2686" s="6"/>
      <c r="G2686" s="3"/>
      <c r="H2686" s="2"/>
    </row>
    <row r="2687" spans="1:8" x14ac:dyDescent="0.25">
      <c r="A2687" s="5"/>
      <c r="B2687" s="6"/>
      <c r="C2687" s="6"/>
      <c r="D2687" s="6"/>
      <c r="E2687" s="6"/>
      <c r="G2687" s="1"/>
      <c r="H2687" s="2"/>
    </row>
    <row r="2688" spans="1:8" x14ac:dyDescent="0.25">
      <c r="A2688" s="5"/>
      <c r="B2688" s="6"/>
      <c r="C2688" s="6"/>
      <c r="D2688" s="6"/>
      <c r="E2688" s="6"/>
      <c r="G2688" s="3"/>
      <c r="H2688" s="2"/>
    </row>
    <row r="2689" spans="1:8" x14ac:dyDescent="0.25">
      <c r="A2689" s="5"/>
      <c r="B2689" s="6"/>
      <c r="C2689" s="6"/>
      <c r="D2689" s="6"/>
      <c r="E2689" s="6"/>
      <c r="G2689" s="1"/>
      <c r="H2689" s="2"/>
    </row>
    <row r="2690" spans="1:8" x14ac:dyDescent="0.25">
      <c r="A2690" s="5"/>
      <c r="B2690" s="6"/>
      <c r="C2690" s="6"/>
      <c r="D2690" s="6"/>
      <c r="E2690" s="6"/>
      <c r="G2690" s="3"/>
      <c r="H2690" s="2"/>
    </row>
    <row r="2691" spans="1:8" x14ac:dyDescent="0.25">
      <c r="A2691" s="5"/>
      <c r="B2691" s="6"/>
      <c r="C2691" s="6"/>
      <c r="D2691" s="6"/>
      <c r="E2691" s="6"/>
      <c r="G2691" s="1"/>
      <c r="H2691" s="2"/>
    </row>
    <row r="2692" spans="1:8" x14ac:dyDescent="0.25">
      <c r="A2692" s="5"/>
      <c r="B2692" s="6"/>
      <c r="C2692" s="6"/>
      <c r="D2692" s="6"/>
      <c r="E2692" s="6"/>
      <c r="G2692" s="3"/>
      <c r="H2692" s="2"/>
    </row>
    <row r="2693" spans="1:8" x14ac:dyDescent="0.25">
      <c r="A2693" s="5"/>
      <c r="B2693" s="6"/>
      <c r="C2693" s="6"/>
      <c r="D2693" s="6"/>
      <c r="E2693" s="6"/>
      <c r="G2693" s="1"/>
      <c r="H2693" s="2"/>
    </row>
    <row r="2694" spans="1:8" x14ac:dyDescent="0.25">
      <c r="A2694" s="5"/>
      <c r="B2694" s="6"/>
      <c r="C2694" s="6"/>
      <c r="D2694" s="6"/>
      <c r="E2694" s="6"/>
      <c r="G2694" s="3"/>
      <c r="H2694" s="2"/>
    </row>
    <row r="2695" spans="1:8" x14ac:dyDescent="0.25">
      <c r="A2695" s="5"/>
      <c r="B2695" s="6"/>
      <c r="C2695" s="6"/>
      <c r="D2695" s="6"/>
      <c r="E2695" s="6"/>
      <c r="G2695" s="1"/>
      <c r="H2695" s="2"/>
    </row>
    <row r="2696" spans="1:8" x14ac:dyDescent="0.25">
      <c r="A2696" s="5"/>
      <c r="B2696" s="6"/>
      <c r="C2696" s="6"/>
      <c r="D2696" s="6"/>
      <c r="E2696" s="6"/>
      <c r="G2696" s="3"/>
      <c r="H2696" s="2"/>
    </row>
    <row r="2697" spans="1:8" x14ac:dyDescent="0.25">
      <c r="A2697" s="5"/>
      <c r="B2697" s="6"/>
      <c r="C2697" s="6"/>
      <c r="D2697" s="6"/>
      <c r="E2697" s="6"/>
      <c r="G2697" s="1"/>
      <c r="H2697" s="2"/>
    </row>
    <row r="2698" spans="1:8" x14ac:dyDescent="0.25">
      <c r="A2698" s="5"/>
      <c r="B2698" s="6"/>
      <c r="C2698" s="6"/>
      <c r="D2698" s="6"/>
      <c r="E2698" s="6"/>
      <c r="G2698" s="3"/>
      <c r="H2698" s="2"/>
    </row>
    <row r="2699" spans="1:8" x14ac:dyDescent="0.25">
      <c r="A2699" s="5"/>
      <c r="B2699" s="6"/>
      <c r="C2699" s="6"/>
      <c r="D2699" s="6"/>
      <c r="E2699" s="6"/>
      <c r="G2699" s="1"/>
      <c r="H2699" s="2"/>
    </row>
    <row r="2700" spans="1:8" x14ac:dyDescent="0.25">
      <c r="A2700" s="5"/>
      <c r="B2700" s="6"/>
      <c r="C2700" s="6"/>
      <c r="D2700" s="6"/>
      <c r="E2700" s="6"/>
      <c r="G2700" s="3"/>
      <c r="H2700" s="2"/>
    </row>
    <row r="2701" spans="1:8" x14ac:dyDescent="0.25">
      <c r="A2701" s="5"/>
      <c r="B2701" s="6"/>
      <c r="C2701" s="6"/>
      <c r="D2701" s="6"/>
      <c r="E2701" s="6"/>
      <c r="G2701" s="1"/>
      <c r="H2701" s="2"/>
    </row>
    <row r="2702" spans="1:8" x14ac:dyDescent="0.25">
      <c r="A2702" s="5"/>
      <c r="B2702" s="6"/>
      <c r="C2702" s="6"/>
      <c r="D2702" s="6"/>
      <c r="E2702" s="6"/>
      <c r="G2702" s="3"/>
      <c r="H2702" s="2"/>
    </row>
    <row r="2703" spans="1:8" x14ac:dyDescent="0.25">
      <c r="A2703" s="5"/>
      <c r="B2703" s="6"/>
      <c r="C2703" s="6"/>
      <c r="D2703" s="6"/>
      <c r="E2703" s="6"/>
      <c r="G2703" s="1"/>
      <c r="H2703" s="2"/>
    </row>
    <row r="2704" spans="1:8" x14ac:dyDescent="0.25">
      <c r="A2704" s="5"/>
      <c r="B2704" s="6"/>
      <c r="C2704" s="6"/>
      <c r="D2704" s="6"/>
      <c r="E2704" s="6"/>
      <c r="G2704" s="3"/>
      <c r="H2704" s="2"/>
    </row>
    <row r="2705" spans="1:8" x14ac:dyDescent="0.25">
      <c r="A2705" s="5"/>
      <c r="B2705" s="6"/>
      <c r="C2705" s="6"/>
      <c r="D2705" s="6"/>
      <c r="E2705" s="6"/>
      <c r="G2705" s="1"/>
      <c r="H2705" s="2"/>
    </row>
    <row r="2706" spans="1:8" x14ac:dyDescent="0.25">
      <c r="A2706" s="5"/>
      <c r="B2706" s="6"/>
      <c r="C2706" s="6"/>
      <c r="D2706" s="6"/>
      <c r="E2706" s="6"/>
      <c r="G2706" s="3"/>
      <c r="H2706" s="2"/>
    </row>
    <row r="2707" spans="1:8" x14ac:dyDescent="0.25">
      <c r="A2707" s="5"/>
      <c r="B2707" s="6"/>
      <c r="C2707" s="6"/>
      <c r="D2707" s="6"/>
      <c r="E2707" s="6"/>
      <c r="G2707" s="1"/>
      <c r="H2707" s="2"/>
    </row>
    <row r="2708" spans="1:8" x14ac:dyDescent="0.25">
      <c r="A2708" s="5"/>
      <c r="B2708" s="6"/>
      <c r="C2708" s="6"/>
      <c r="D2708" s="6"/>
      <c r="E2708" s="6"/>
      <c r="G2708" s="3"/>
      <c r="H2708" s="2"/>
    </row>
    <row r="2709" spans="1:8" x14ac:dyDescent="0.25">
      <c r="A2709" s="5"/>
      <c r="B2709" s="6"/>
      <c r="C2709" s="6"/>
      <c r="D2709" s="6"/>
      <c r="E2709" s="6"/>
      <c r="G2709" s="1"/>
      <c r="H2709" s="2"/>
    </row>
    <row r="2710" spans="1:8" x14ac:dyDescent="0.25">
      <c r="A2710" s="5"/>
      <c r="B2710" s="6"/>
      <c r="C2710" s="6"/>
      <c r="D2710" s="6"/>
      <c r="E2710" s="6"/>
      <c r="G2710" s="3"/>
      <c r="H2710" s="2"/>
    </row>
    <row r="2711" spans="1:8" x14ac:dyDescent="0.25">
      <c r="A2711" s="5"/>
      <c r="B2711" s="6"/>
      <c r="C2711" s="6"/>
      <c r="D2711" s="6"/>
      <c r="E2711" s="6"/>
      <c r="G2711" s="1"/>
      <c r="H2711" s="2"/>
    </row>
    <row r="2712" spans="1:8" x14ac:dyDescent="0.25">
      <c r="A2712" s="5"/>
      <c r="B2712" s="6"/>
      <c r="C2712" s="6"/>
      <c r="D2712" s="6"/>
      <c r="E2712" s="6"/>
      <c r="G2712" s="3"/>
      <c r="H2712" s="2"/>
    </row>
    <row r="2713" spans="1:8" x14ac:dyDescent="0.25">
      <c r="A2713" s="5"/>
      <c r="B2713" s="6"/>
      <c r="C2713" s="6"/>
      <c r="D2713" s="6"/>
      <c r="E2713" s="6"/>
      <c r="G2713" s="1"/>
      <c r="H2713" s="2"/>
    </row>
    <row r="2714" spans="1:8" x14ac:dyDescent="0.25">
      <c r="A2714" s="5"/>
      <c r="B2714" s="6"/>
      <c r="C2714" s="6"/>
      <c r="D2714" s="6"/>
      <c r="E2714" s="6"/>
      <c r="G2714" s="3"/>
      <c r="H2714" s="2"/>
    </row>
    <row r="2715" spans="1:8" x14ac:dyDescent="0.25">
      <c r="A2715" s="5"/>
      <c r="B2715" s="6"/>
      <c r="C2715" s="6"/>
      <c r="D2715" s="6"/>
      <c r="E2715" s="6"/>
      <c r="G2715" s="1"/>
      <c r="H2715" s="2"/>
    </row>
    <row r="2716" spans="1:8" x14ac:dyDescent="0.25">
      <c r="A2716" s="5"/>
      <c r="B2716" s="6"/>
      <c r="C2716" s="6"/>
      <c r="D2716" s="6"/>
      <c r="E2716" s="6"/>
      <c r="G2716" s="3"/>
      <c r="H2716" s="2"/>
    </row>
    <row r="2717" spans="1:8" x14ac:dyDescent="0.25">
      <c r="A2717" s="5"/>
      <c r="B2717" s="6"/>
      <c r="C2717" s="6"/>
      <c r="D2717" s="6"/>
      <c r="E2717" s="6"/>
      <c r="G2717" s="1"/>
      <c r="H2717" s="2"/>
    </row>
    <row r="2718" spans="1:8" x14ac:dyDescent="0.25">
      <c r="A2718" s="5"/>
      <c r="B2718" s="6"/>
      <c r="C2718" s="6"/>
      <c r="D2718" s="6"/>
      <c r="E2718" s="6"/>
      <c r="G2718" s="3"/>
      <c r="H2718" s="2"/>
    </row>
    <row r="2719" spans="1:8" x14ac:dyDescent="0.25">
      <c r="A2719" s="5"/>
      <c r="B2719" s="6"/>
      <c r="C2719" s="6"/>
      <c r="D2719" s="6"/>
      <c r="E2719" s="6"/>
      <c r="G2719" s="1"/>
      <c r="H2719" s="2"/>
    </row>
    <row r="2720" spans="1:8" x14ac:dyDescent="0.25">
      <c r="A2720" s="5"/>
      <c r="B2720" s="6"/>
      <c r="C2720" s="6"/>
      <c r="D2720" s="6"/>
      <c r="E2720" s="6"/>
      <c r="G2720" s="3"/>
      <c r="H2720" s="2"/>
    </row>
    <row r="2721" spans="1:8" x14ac:dyDescent="0.25">
      <c r="A2721" s="5"/>
      <c r="B2721" s="6"/>
      <c r="C2721" s="6"/>
      <c r="D2721" s="6"/>
      <c r="E2721" s="6"/>
      <c r="G2721" s="1"/>
      <c r="H2721" s="2"/>
    </row>
    <row r="2722" spans="1:8" x14ac:dyDescent="0.25">
      <c r="A2722" s="5"/>
      <c r="B2722" s="6"/>
      <c r="C2722" s="6"/>
      <c r="D2722" s="6"/>
      <c r="E2722" s="6"/>
      <c r="G2722" s="3"/>
      <c r="H2722" s="2"/>
    </row>
    <row r="2723" spans="1:8" x14ac:dyDescent="0.25">
      <c r="A2723" s="5"/>
      <c r="B2723" s="6"/>
      <c r="C2723" s="6"/>
      <c r="D2723" s="6"/>
      <c r="E2723" s="6"/>
      <c r="G2723" s="1"/>
      <c r="H2723" s="2"/>
    </row>
    <row r="2724" spans="1:8" x14ac:dyDescent="0.25">
      <c r="A2724" s="5"/>
      <c r="B2724" s="6"/>
      <c r="C2724" s="6"/>
      <c r="D2724" s="6"/>
      <c r="E2724" s="6"/>
      <c r="G2724" s="3"/>
      <c r="H2724" s="2"/>
    </row>
    <row r="2725" spans="1:8" x14ac:dyDescent="0.25">
      <c r="A2725" s="5"/>
      <c r="B2725" s="6"/>
      <c r="C2725" s="6"/>
      <c r="D2725" s="6"/>
      <c r="E2725" s="6"/>
      <c r="G2725" s="1"/>
      <c r="H2725" s="2"/>
    </row>
    <row r="2726" spans="1:8" x14ac:dyDescent="0.25">
      <c r="A2726" s="5"/>
      <c r="B2726" s="6"/>
      <c r="C2726" s="6"/>
      <c r="D2726" s="6"/>
      <c r="E2726" s="6"/>
      <c r="G2726" s="3"/>
      <c r="H2726" s="2"/>
    </row>
    <row r="2727" spans="1:8" x14ac:dyDescent="0.25">
      <c r="A2727" s="5"/>
      <c r="B2727" s="6"/>
      <c r="C2727" s="6"/>
      <c r="D2727" s="6"/>
      <c r="E2727" s="6"/>
      <c r="G2727" s="1"/>
      <c r="H2727" s="2"/>
    </row>
    <row r="2728" spans="1:8" x14ac:dyDescent="0.25">
      <c r="A2728" s="5"/>
      <c r="B2728" s="6"/>
      <c r="C2728" s="6"/>
      <c r="D2728" s="6"/>
      <c r="E2728" s="6"/>
      <c r="G2728" s="3"/>
      <c r="H2728" s="2"/>
    </row>
    <row r="2729" spans="1:8" x14ac:dyDescent="0.25">
      <c r="A2729" s="5"/>
      <c r="B2729" s="6"/>
      <c r="C2729" s="6"/>
      <c r="D2729" s="6"/>
      <c r="E2729" s="6"/>
      <c r="G2729" s="1"/>
      <c r="H2729" s="2"/>
    </row>
    <row r="2730" spans="1:8" x14ac:dyDescent="0.25">
      <c r="A2730" s="5"/>
      <c r="B2730" s="6"/>
      <c r="C2730" s="6"/>
      <c r="D2730" s="6"/>
      <c r="E2730" s="6"/>
      <c r="G2730" s="3"/>
      <c r="H2730" s="2"/>
    </row>
    <row r="2731" spans="1:8" x14ac:dyDescent="0.25">
      <c r="A2731" s="5"/>
      <c r="B2731" s="6"/>
      <c r="C2731" s="6"/>
      <c r="D2731" s="6"/>
      <c r="E2731" s="6"/>
      <c r="G2731" s="1"/>
      <c r="H2731" s="2"/>
    </row>
    <row r="2732" spans="1:8" x14ac:dyDescent="0.25">
      <c r="A2732" s="5"/>
      <c r="B2732" s="6"/>
      <c r="C2732" s="6"/>
      <c r="D2732" s="6"/>
      <c r="E2732" s="6"/>
      <c r="G2732" s="3"/>
      <c r="H2732" s="2"/>
    </row>
    <row r="2733" spans="1:8" x14ac:dyDescent="0.25">
      <c r="A2733" s="5"/>
      <c r="B2733" s="6"/>
      <c r="C2733" s="6"/>
      <c r="D2733" s="6"/>
      <c r="E2733" s="6"/>
      <c r="G2733" s="1"/>
      <c r="H2733" s="2"/>
    </row>
    <row r="2734" spans="1:8" x14ac:dyDescent="0.25">
      <c r="A2734" s="5"/>
      <c r="B2734" s="6"/>
      <c r="C2734" s="6"/>
      <c r="D2734" s="6"/>
      <c r="E2734" s="6"/>
      <c r="G2734" s="3"/>
      <c r="H2734" s="2"/>
    </row>
    <row r="2735" spans="1:8" x14ac:dyDescent="0.25">
      <c r="A2735" s="5"/>
      <c r="B2735" s="6"/>
      <c r="C2735" s="6"/>
      <c r="D2735" s="6"/>
      <c r="E2735" s="6"/>
      <c r="G2735" s="1"/>
      <c r="H2735" s="2"/>
    </row>
    <row r="2736" spans="1:8" x14ac:dyDescent="0.25">
      <c r="A2736" s="5"/>
      <c r="B2736" s="6"/>
      <c r="C2736" s="6"/>
      <c r="D2736" s="6"/>
      <c r="E2736" s="6"/>
      <c r="G2736" s="3"/>
      <c r="H2736" s="2"/>
    </row>
    <row r="2737" spans="1:8" x14ac:dyDescent="0.25">
      <c r="A2737" s="5"/>
      <c r="B2737" s="6"/>
      <c r="C2737" s="6"/>
      <c r="D2737" s="6"/>
      <c r="E2737" s="6"/>
      <c r="G2737" s="1"/>
      <c r="H2737" s="2"/>
    </row>
    <row r="2738" spans="1:8" x14ac:dyDescent="0.25">
      <c r="A2738" s="5"/>
      <c r="B2738" s="6"/>
      <c r="C2738" s="6"/>
      <c r="D2738" s="6"/>
      <c r="E2738" s="6"/>
      <c r="G2738" s="3"/>
      <c r="H2738" s="2"/>
    </row>
    <row r="2739" spans="1:8" x14ac:dyDescent="0.25">
      <c r="A2739" s="5"/>
      <c r="B2739" s="6"/>
      <c r="C2739" s="6"/>
      <c r="D2739" s="6"/>
      <c r="E2739" s="6"/>
      <c r="G2739" s="1"/>
      <c r="H2739" s="2"/>
    </row>
    <row r="2740" spans="1:8" x14ac:dyDescent="0.25">
      <c r="A2740" s="5"/>
      <c r="B2740" s="6"/>
      <c r="C2740" s="6"/>
      <c r="D2740" s="6"/>
      <c r="E2740" s="6"/>
      <c r="G2740" s="3"/>
      <c r="H2740" s="2"/>
    </row>
    <row r="2741" spans="1:8" x14ac:dyDescent="0.25">
      <c r="A2741" s="5"/>
      <c r="B2741" s="6"/>
      <c r="C2741" s="6"/>
      <c r="D2741" s="6"/>
      <c r="E2741" s="6"/>
      <c r="G2741" s="1"/>
      <c r="H2741" s="2"/>
    </row>
    <row r="2742" spans="1:8" x14ac:dyDescent="0.25">
      <c r="A2742" s="5"/>
      <c r="B2742" s="6"/>
      <c r="C2742" s="6"/>
      <c r="D2742" s="6"/>
      <c r="E2742" s="6"/>
      <c r="G2742" s="3"/>
      <c r="H2742" s="2"/>
    </row>
    <row r="2743" spans="1:8" x14ac:dyDescent="0.25">
      <c r="A2743" s="5"/>
      <c r="B2743" s="6"/>
      <c r="C2743" s="6"/>
      <c r="D2743" s="6"/>
      <c r="E2743" s="6"/>
      <c r="G2743" s="1"/>
      <c r="H2743" s="2"/>
    </row>
    <row r="2744" spans="1:8" x14ac:dyDescent="0.25">
      <c r="A2744" s="5"/>
      <c r="B2744" s="6"/>
      <c r="C2744" s="6"/>
      <c r="D2744" s="6"/>
      <c r="E2744" s="6"/>
      <c r="G2744" s="3"/>
      <c r="H2744" s="2"/>
    </row>
    <row r="2745" spans="1:8" x14ac:dyDescent="0.25">
      <c r="A2745" s="5"/>
      <c r="B2745" s="6"/>
      <c r="C2745" s="6"/>
      <c r="D2745" s="6"/>
      <c r="E2745" s="6"/>
      <c r="G2745" s="1"/>
      <c r="H2745" s="2"/>
    </row>
    <row r="2746" spans="1:8" x14ac:dyDescent="0.25">
      <c r="A2746" s="5"/>
      <c r="B2746" s="6"/>
      <c r="C2746" s="6"/>
      <c r="D2746" s="6"/>
      <c r="E2746" s="6"/>
      <c r="G2746" s="3"/>
      <c r="H2746" s="2"/>
    </row>
    <row r="2747" spans="1:8" x14ac:dyDescent="0.25">
      <c r="A2747" s="5"/>
      <c r="B2747" s="6"/>
      <c r="C2747" s="6"/>
      <c r="D2747" s="6"/>
      <c r="E2747" s="6"/>
      <c r="G2747" s="1"/>
      <c r="H2747" s="2"/>
    </row>
    <row r="2748" spans="1:8" x14ac:dyDescent="0.25">
      <c r="A2748" s="5"/>
      <c r="B2748" s="6"/>
      <c r="C2748" s="6"/>
      <c r="D2748" s="6"/>
      <c r="E2748" s="6"/>
      <c r="G2748" s="3"/>
      <c r="H2748" s="2"/>
    </row>
    <row r="2749" spans="1:8" x14ac:dyDescent="0.25">
      <c r="A2749" s="5"/>
      <c r="B2749" s="6"/>
      <c r="C2749" s="6"/>
      <c r="D2749" s="6"/>
      <c r="E2749" s="6"/>
      <c r="G2749" s="1"/>
      <c r="H2749" s="2"/>
    </row>
    <row r="2750" spans="1:8" x14ac:dyDescent="0.25">
      <c r="A2750" s="5"/>
      <c r="B2750" s="6"/>
      <c r="C2750" s="6"/>
      <c r="D2750" s="6"/>
      <c r="E2750" s="6"/>
      <c r="G2750" s="3"/>
      <c r="H2750" s="2"/>
    </row>
    <row r="2751" spans="1:8" x14ac:dyDescent="0.25">
      <c r="A2751" s="5"/>
      <c r="B2751" s="6"/>
      <c r="C2751" s="6"/>
      <c r="D2751" s="6"/>
      <c r="E2751" s="6"/>
      <c r="G2751" s="1"/>
      <c r="H2751" s="2"/>
    </row>
    <row r="2752" spans="1:8" x14ac:dyDescent="0.25">
      <c r="A2752" s="5"/>
      <c r="B2752" s="6"/>
      <c r="C2752" s="6"/>
      <c r="D2752" s="6"/>
      <c r="E2752" s="6"/>
      <c r="G2752" s="3"/>
      <c r="H2752" s="2"/>
    </row>
    <row r="2753" spans="1:8" x14ac:dyDescent="0.25">
      <c r="A2753" s="5"/>
      <c r="B2753" s="6"/>
      <c r="C2753" s="6"/>
      <c r="D2753" s="6"/>
      <c r="E2753" s="6"/>
      <c r="G2753" s="1"/>
      <c r="H2753" s="2"/>
    </row>
    <row r="2754" spans="1:8" x14ac:dyDescent="0.25">
      <c r="A2754" s="5"/>
      <c r="B2754" s="6"/>
      <c r="C2754" s="6"/>
      <c r="D2754" s="6"/>
      <c r="E2754" s="6"/>
      <c r="G2754" s="3"/>
      <c r="H2754" s="2"/>
    </row>
    <row r="2755" spans="1:8" x14ac:dyDescent="0.25">
      <c r="A2755" s="5"/>
      <c r="B2755" s="6"/>
      <c r="C2755" s="6"/>
      <c r="D2755" s="6"/>
      <c r="E2755" s="6"/>
      <c r="G2755" s="1"/>
      <c r="H2755" s="2"/>
    </row>
    <row r="2756" spans="1:8" x14ac:dyDescent="0.25">
      <c r="A2756" s="5"/>
      <c r="B2756" s="6"/>
      <c r="C2756" s="6"/>
      <c r="D2756" s="6"/>
      <c r="E2756" s="6"/>
      <c r="G2756" s="3"/>
      <c r="H2756" s="2"/>
    </row>
    <row r="2757" spans="1:8" x14ac:dyDescent="0.25">
      <c r="A2757" s="5"/>
      <c r="B2757" s="6"/>
      <c r="C2757" s="6"/>
      <c r="D2757" s="6"/>
      <c r="E2757" s="6"/>
      <c r="G2757" s="1"/>
      <c r="H2757" s="2"/>
    </row>
    <row r="2758" spans="1:8" x14ac:dyDescent="0.25">
      <c r="A2758" s="5"/>
      <c r="B2758" s="6"/>
      <c r="C2758" s="6"/>
      <c r="D2758" s="6"/>
      <c r="E2758" s="6"/>
      <c r="G2758" s="3"/>
      <c r="H2758" s="2"/>
    </row>
    <row r="2759" spans="1:8" x14ac:dyDescent="0.25">
      <c r="A2759" s="5"/>
      <c r="B2759" s="6"/>
      <c r="C2759" s="6"/>
      <c r="D2759" s="6"/>
      <c r="E2759" s="6"/>
      <c r="G2759" s="1"/>
      <c r="H2759" s="2"/>
    </row>
    <row r="2760" spans="1:8" x14ac:dyDescent="0.25">
      <c r="A2760" s="5"/>
      <c r="B2760" s="6"/>
      <c r="C2760" s="6"/>
      <c r="D2760" s="6"/>
      <c r="E2760" s="6"/>
      <c r="G2760" s="3"/>
      <c r="H2760" s="2"/>
    </row>
    <row r="2761" spans="1:8" x14ac:dyDescent="0.25">
      <c r="A2761" s="5"/>
      <c r="B2761" s="6"/>
      <c r="C2761" s="6"/>
      <c r="D2761" s="6"/>
      <c r="E2761" s="6"/>
      <c r="G2761" s="1"/>
      <c r="H2761" s="2"/>
    </row>
    <row r="2762" spans="1:8" x14ac:dyDescent="0.25">
      <c r="A2762" s="5"/>
      <c r="B2762" s="6"/>
      <c r="C2762" s="6"/>
      <c r="D2762" s="6"/>
      <c r="E2762" s="6"/>
      <c r="G2762" s="3"/>
      <c r="H2762" s="2"/>
    </row>
    <row r="2763" spans="1:8" x14ac:dyDescent="0.25">
      <c r="A2763" s="5"/>
      <c r="B2763" s="6"/>
      <c r="C2763" s="6"/>
      <c r="D2763" s="6"/>
      <c r="E2763" s="6"/>
      <c r="G2763" s="1"/>
      <c r="H2763" s="2"/>
    </row>
    <row r="2764" spans="1:8" x14ac:dyDescent="0.25">
      <c r="A2764" s="5"/>
      <c r="B2764" s="6"/>
      <c r="C2764" s="6"/>
      <c r="D2764" s="6"/>
      <c r="E2764" s="6"/>
      <c r="G2764" s="3"/>
      <c r="H2764" s="2"/>
    </row>
    <row r="2765" spans="1:8" x14ac:dyDescent="0.25">
      <c r="A2765" s="5"/>
      <c r="B2765" s="6"/>
      <c r="C2765" s="6"/>
      <c r="D2765" s="6"/>
      <c r="E2765" s="6"/>
      <c r="G2765" s="1"/>
      <c r="H2765" s="2"/>
    </row>
    <row r="2766" spans="1:8" x14ac:dyDescent="0.25">
      <c r="A2766" s="5"/>
      <c r="B2766" s="6"/>
      <c r="C2766" s="6"/>
      <c r="D2766" s="6"/>
      <c r="E2766" s="6"/>
      <c r="G2766" s="3"/>
      <c r="H2766" s="2"/>
    </row>
    <row r="2767" spans="1:8" x14ac:dyDescent="0.25">
      <c r="A2767" s="5"/>
      <c r="B2767" s="6"/>
      <c r="C2767" s="6"/>
      <c r="D2767" s="6"/>
      <c r="E2767" s="6"/>
      <c r="G2767" s="1"/>
      <c r="H2767" s="2"/>
    </row>
    <row r="2768" spans="1:8" x14ac:dyDescent="0.25">
      <c r="A2768" s="5"/>
      <c r="B2768" s="6"/>
      <c r="C2768" s="6"/>
      <c r="D2768" s="6"/>
      <c r="E2768" s="6"/>
      <c r="G2768" s="3"/>
      <c r="H2768" s="2"/>
    </row>
    <row r="2769" spans="1:8" x14ac:dyDescent="0.25">
      <c r="A2769" s="5"/>
      <c r="B2769" s="6"/>
      <c r="C2769" s="6"/>
      <c r="D2769" s="6"/>
      <c r="E2769" s="6"/>
      <c r="G2769" s="1"/>
      <c r="H2769" s="2"/>
    </row>
    <row r="2770" spans="1:8" x14ac:dyDescent="0.25">
      <c r="A2770" s="5"/>
      <c r="B2770" s="6"/>
      <c r="C2770" s="6"/>
      <c r="D2770" s="6"/>
      <c r="E2770" s="6"/>
      <c r="G2770" s="3"/>
      <c r="H2770" s="2"/>
    </row>
    <row r="2771" spans="1:8" x14ac:dyDescent="0.25">
      <c r="A2771" s="5"/>
      <c r="B2771" s="6"/>
      <c r="C2771" s="6"/>
      <c r="D2771" s="6"/>
      <c r="E2771" s="6"/>
      <c r="G2771" s="1"/>
      <c r="H2771" s="2"/>
    </row>
    <row r="2772" spans="1:8" x14ac:dyDescent="0.25">
      <c r="A2772" s="5"/>
      <c r="B2772" s="6"/>
      <c r="C2772" s="6"/>
      <c r="D2772" s="6"/>
      <c r="E2772" s="6"/>
      <c r="G2772" s="3"/>
      <c r="H2772" s="2"/>
    </row>
    <row r="2773" spans="1:8" x14ac:dyDescent="0.25">
      <c r="A2773" s="5"/>
      <c r="B2773" s="6"/>
      <c r="C2773" s="6"/>
      <c r="D2773" s="6"/>
      <c r="E2773" s="6"/>
      <c r="G2773" s="1"/>
      <c r="H2773" s="2"/>
    </row>
    <row r="2774" spans="1:8" x14ac:dyDescent="0.25">
      <c r="A2774" s="5"/>
      <c r="B2774" s="6"/>
      <c r="C2774" s="6"/>
      <c r="D2774" s="6"/>
      <c r="E2774" s="6"/>
      <c r="G2774" s="3"/>
      <c r="H2774" s="2"/>
    </row>
    <row r="2775" spans="1:8" x14ac:dyDescent="0.25">
      <c r="A2775" s="5"/>
      <c r="B2775" s="6"/>
      <c r="C2775" s="6"/>
      <c r="D2775" s="6"/>
      <c r="E2775" s="6"/>
      <c r="G2775" s="1"/>
      <c r="H2775" s="2"/>
    </row>
    <row r="2776" spans="1:8" x14ac:dyDescent="0.25">
      <c r="A2776" s="5"/>
      <c r="B2776" s="6"/>
      <c r="C2776" s="6"/>
      <c r="D2776" s="6"/>
      <c r="E2776" s="6"/>
      <c r="G2776" s="3"/>
      <c r="H2776" s="2"/>
    </row>
    <row r="2777" spans="1:8" x14ac:dyDescent="0.25">
      <c r="A2777" s="5"/>
      <c r="B2777" s="6"/>
      <c r="C2777" s="6"/>
      <c r="D2777" s="6"/>
      <c r="E2777" s="6"/>
      <c r="G2777" s="1"/>
      <c r="H2777" s="2"/>
    </row>
    <row r="2778" spans="1:8" x14ac:dyDescent="0.25">
      <c r="A2778" s="5"/>
      <c r="B2778" s="6"/>
      <c r="C2778" s="6"/>
      <c r="D2778" s="6"/>
      <c r="E2778" s="6"/>
      <c r="G2778" s="3"/>
      <c r="H2778" s="2"/>
    </row>
    <row r="2779" spans="1:8" x14ac:dyDescent="0.25">
      <c r="A2779" s="5"/>
      <c r="B2779" s="6"/>
      <c r="C2779" s="6"/>
      <c r="D2779" s="6"/>
      <c r="E2779" s="6"/>
      <c r="G2779" s="1"/>
      <c r="H2779" s="2"/>
    </row>
    <row r="2780" spans="1:8" x14ac:dyDescent="0.25">
      <c r="A2780" s="5"/>
      <c r="B2780" s="6"/>
      <c r="C2780" s="6"/>
      <c r="D2780" s="6"/>
      <c r="E2780" s="6"/>
      <c r="G2780" s="3"/>
      <c r="H2780" s="2"/>
    </row>
    <row r="2781" spans="1:8" x14ac:dyDescent="0.25">
      <c r="A2781" s="5"/>
      <c r="B2781" s="6"/>
      <c r="C2781" s="6"/>
      <c r="D2781" s="6"/>
      <c r="E2781" s="6"/>
      <c r="G2781" s="1"/>
      <c r="H2781" s="2"/>
    </row>
    <row r="2782" spans="1:8" x14ac:dyDescent="0.25">
      <c r="A2782" s="5"/>
      <c r="B2782" s="6"/>
      <c r="C2782" s="6"/>
      <c r="D2782" s="6"/>
      <c r="E2782" s="6"/>
      <c r="G2782" s="3"/>
      <c r="H2782" s="2"/>
    </row>
    <row r="2783" spans="1:8" x14ac:dyDescent="0.25">
      <c r="A2783" s="5"/>
      <c r="B2783" s="6"/>
      <c r="C2783" s="6"/>
      <c r="D2783" s="6"/>
      <c r="E2783" s="6"/>
      <c r="G2783" s="1"/>
      <c r="H2783" s="2"/>
    </row>
    <row r="2784" spans="1:8" x14ac:dyDescent="0.25">
      <c r="A2784" s="5"/>
      <c r="B2784" s="6"/>
      <c r="C2784" s="6"/>
      <c r="D2784" s="6"/>
      <c r="E2784" s="6"/>
      <c r="G2784" s="3"/>
      <c r="H2784" s="2"/>
    </row>
    <row r="2785" spans="1:8" x14ac:dyDescent="0.25">
      <c r="A2785" s="5"/>
      <c r="B2785" s="6"/>
      <c r="C2785" s="6"/>
      <c r="D2785" s="6"/>
      <c r="E2785" s="6"/>
      <c r="G2785" s="1"/>
      <c r="H2785" s="2"/>
    </row>
    <row r="2786" spans="1:8" x14ac:dyDescent="0.25">
      <c r="A2786" s="5"/>
      <c r="B2786" s="6"/>
      <c r="C2786" s="6"/>
      <c r="D2786" s="6"/>
      <c r="E2786" s="6"/>
      <c r="G2786" s="3"/>
      <c r="H2786" s="2"/>
    </row>
    <row r="2787" spans="1:8" x14ac:dyDescent="0.25">
      <c r="A2787" s="5"/>
      <c r="B2787" s="6"/>
      <c r="C2787" s="6"/>
      <c r="D2787" s="6"/>
      <c r="E2787" s="6"/>
      <c r="G2787" s="1"/>
      <c r="H2787" s="2"/>
    </row>
    <row r="2788" spans="1:8" x14ac:dyDescent="0.25">
      <c r="A2788" s="5"/>
      <c r="B2788" s="6"/>
      <c r="C2788" s="6"/>
      <c r="D2788" s="6"/>
      <c r="E2788" s="6"/>
      <c r="G2788" s="3"/>
      <c r="H2788" s="2"/>
    </row>
    <row r="2789" spans="1:8" x14ac:dyDescent="0.25">
      <c r="A2789" s="5"/>
      <c r="B2789" s="6"/>
      <c r="C2789" s="6"/>
      <c r="D2789" s="6"/>
      <c r="E2789" s="6"/>
      <c r="G2789" s="1"/>
      <c r="H2789" s="2"/>
    </row>
    <row r="2790" spans="1:8" x14ac:dyDescent="0.25">
      <c r="A2790" s="5"/>
      <c r="B2790" s="6"/>
      <c r="C2790" s="6"/>
      <c r="D2790" s="6"/>
      <c r="E2790" s="6"/>
      <c r="G2790" s="3"/>
      <c r="H2790" s="2"/>
    </row>
    <row r="2791" spans="1:8" x14ac:dyDescent="0.25">
      <c r="A2791" s="5"/>
      <c r="B2791" s="6"/>
      <c r="C2791" s="6"/>
      <c r="D2791" s="6"/>
      <c r="E2791" s="6"/>
      <c r="G2791" s="1"/>
      <c r="H2791" s="2"/>
    </row>
    <row r="2792" spans="1:8" x14ac:dyDescent="0.25">
      <c r="A2792" s="5"/>
      <c r="B2792" s="6"/>
      <c r="C2792" s="6"/>
      <c r="D2792" s="6"/>
      <c r="E2792" s="6"/>
      <c r="G2792" s="3"/>
      <c r="H2792" s="2"/>
    </row>
    <row r="2793" spans="1:8" x14ac:dyDescent="0.25">
      <c r="A2793" s="5"/>
      <c r="B2793" s="6"/>
      <c r="C2793" s="6"/>
      <c r="D2793" s="6"/>
      <c r="E2793" s="6"/>
      <c r="G2793" s="1"/>
      <c r="H2793" s="2"/>
    </row>
    <row r="2794" spans="1:8" x14ac:dyDescent="0.25">
      <c r="A2794" s="5"/>
      <c r="B2794" s="6"/>
      <c r="C2794" s="6"/>
      <c r="D2794" s="6"/>
      <c r="E2794" s="6"/>
      <c r="G2794" s="3"/>
      <c r="H2794" s="2"/>
    </row>
    <row r="2795" spans="1:8" x14ac:dyDescent="0.25">
      <c r="A2795" s="5"/>
      <c r="B2795" s="6"/>
      <c r="C2795" s="6"/>
      <c r="D2795" s="6"/>
      <c r="E2795" s="6"/>
      <c r="G2795" s="1"/>
      <c r="H2795" s="2"/>
    </row>
    <row r="2796" spans="1:8" x14ac:dyDescent="0.25">
      <c r="A2796" s="5"/>
      <c r="B2796" s="6"/>
      <c r="C2796" s="6"/>
      <c r="D2796" s="6"/>
      <c r="E2796" s="6"/>
      <c r="G2796" s="3"/>
      <c r="H2796" s="2"/>
    </row>
    <row r="2797" spans="1:8" x14ac:dyDescent="0.25">
      <c r="A2797" s="5"/>
      <c r="B2797" s="6"/>
      <c r="C2797" s="6"/>
      <c r="D2797" s="6"/>
      <c r="E2797" s="6"/>
      <c r="G2797" s="1"/>
      <c r="H2797" s="2"/>
    </row>
    <row r="2798" spans="1:8" x14ac:dyDescent="0.25">
      <c r="A2798" s="5"/>
      <c r="B2798" s="6"/>
      <c r="C2798" s="6"/>
      <c r="D2798" s="6"/>
      <c r="E2798" s="6"/>
      <c r="G2798" s="3"/>
      <c r="H2798" s="2"/>
    </row>
    <row r="2799" spans="1:8" x14ac:dyDescent="0.25">
      <c r="A2799" s="5"/>
      <c r="B2799" s="6"/>
      <c r="C2799" s="6"/>
      <c r="D2799" s="6"/>
      <c r="E2799" s="6"/>
      <c r="G2799" s="1"/>
      <c r="H2799" s="2"/>
    </row>
    <row r="2800" spans="1:8" x14ac:dyDescent="0.25">
      <c r="A2800" s="5"/>
      <c r="B2800" s="6"/>
      <c r="C2800" s="6"/>
      <c r="D2800" s="6"/>
      <c r="E2800" s="6"/>
      <c r="G2800" s="14"/>
      <c r="H2800" s="2"/>
    </row>
    <row r="2801" spans="1:8" x14ac:dyDescent="0.25">
      <c r="A2801" s="5"/>
      <c r="B2801" s="6"/>
      <c r="C2801" s="6"/>
      <c r="D2801" s="6"/>
      <c r="E2801" s="6"/>
      <c r="G2801" s="14"/>
      <c r="H2801" s="2"/>
    </row>
    <row r="2802" spans="1:8" x14ac:dyDescent="0.25">
      <c r="A2802" s="5"/>
      <c r="B2802" s="6"/>
      <c r="C2802" s="6"/>
      <c r="D2802" s="6"/>
      <c r="E2802" s="6"/>
      <c r="G2802" s="14"/>
      <c r="H2802" s="2"/>
    </row>
    <row r="2803" spans="1:8" x14ac:dyDescent="0.25">
      <c r="A2803" s="5"/>
      <c r="B2803" s="6"/>
      <c r="C2803" s="6"/>
      <c r="D2803" s="6"/>
      <c r="E2803" s="6"/>
      <c r="G2803" s="14"/>
      <c r="H2803" s="2"/>
    </row>
    <row r="2804" spans="1:8" x14ac:dyDescent="0.25">
      <c r="A2804" s="5"/>
      <c r="B2804" s="6"/>
      <c r="C2804" s="6"/>
      <c r="D2804" s="6"/>
      <c r="E2804" s="6"/>
      <c r="G2804" s="14"/>
      <c r="H2804" s="2"/>
    </row>
    <row r="2805" spans="1:8" x14ac:dyDescent="0.25">
      <c r="A2805" s="5"/>
      <c r="B2805" s="6"/>
      <c r="C2805" s="6"/>
      <c r="D2805" s="6"/>
      <c r="E2805" s="6"/>
      <c r="G2805" s="14"/>
      <c r="H2805" s="2"/>
    </row>
    <row r="2806" spans="1:8" x14ac:dyDescent="0.25">
      <c r="A2806" s="5"/>
      <c r="B2806" s="6"/>
      <c r="C2806" s="6"/>
      <c r="D2806" s="6"/>
      <c r="E2806" s="6"/>
    </row>
    <row r="2807" spans="1:8" x14ac:dyDescent="0.25">
      <c r="A2807" s="5"/>
      <c r="B2807" s="6"/>
      <c r="C2807" s="6"/>
      <c r="D2807" s="6"/>
      <c r="E2807" s="6"/>
      <c r="G2807" s="3"/>
      <c r="H2807" s="2"/>
    </row>
    <row r="2808" spans="1:8" x14ac:dyDescent="0.25">
      <c r="A2808" s="5"/>
      <c r="B2808" s="6"/>
      <c r="C2808" s="6"/>
      <c r="D2808" s="6"/>
      <c r="E2808" s="6"/>
      <c r="G2808" s="1"/>
      <c r="H2808" s="2"/>
    </row>
    <row r="2809" spans="1:8" x14ac:dyDescent="0.25">
      <c r="A2809" s="5"/>
      <c r="B2809" s="6"/>
      <c r="C2809" s="6"/>
      <c r="D2809" s="6"/>
      <c r="E2809" s="6"/>
      <c r="G2809" s="3"/>
      <c r="H2809" s="2"/>
    </row>
    <row r="2810" spans="1:8" x14ac:dyDescent="0.25">
      <c r="A2810" s="5"/>
      <c r="B2810" s="6"/>
      <c r="C2810" s="6"/>
      <c r="D2810" s="6"/>
      <c r="E2810" s="6"/>
      <c r="G2810" s="1"/>
      <c r="H2810" s="2"/>
    </row>
    <row r="2811" spans="1:8" x14ac:dyDescent="0.25">
      <c r="A2811" s="5"/>
      <c r="B2811" s="6"/>
      <c r="C2811" s="6"/>
      <c r="D2811" s="6"/>
      <c r="E2811" s="6"/>
      <c r="G2811" s="3"/>
      <c r="H2811" s="2"/>
    </row>
    <row r="2812" spans="1:8" x14ac:dyDescent="0.25">
      <c r="A2812" s="5"/>
      <c r="B2812" s="6"/>
      <c r="C2812" s="6"/>
      <c r="D2812" s="6"/>
      <c r="E2812" s="6"/>
      <c r="G2812" s="1"/>
      <c r="H2812" s="2"/>
    </row>
    <row r="2813" spans="1:8" x14ac:dyDescent="0.25">
      <c r="A2813" s="5"/>
      <c r="B2813" s="6"/>
      <c r="C2813" s="6"/>
      <c r="D2813" s="6"/>
      <c r="E2813" s="6"/>
      <c r="G2813" s="3"/>
      <c r="H2813" s="2"/>
    </row>
    <row r="2814" spans="1:8" x14ac:dyDescent="0.25">
      <c r="A2814" s="5"/>
      <c r="B2814" s="6"/>
      <c r="C2814" s="6"/>
      <c r="D2814" s="6"/>
      <c r="E2814" s="6"/>
      <c r="G2814" s="1"/>
      <c r="H2814" s="2"/>
    </row>
    <row r="2815" spans="1:8" x14ac:dyDescent="0.25">
      <c r="A2815" s="5"/>
      <c r="B2815" s="6"/>
      <c r="C2815" s="6"/>
      <c r="D2815" s="6"/>
      <c r="E2815" s="6"/>
      <c r="G2815" s="3"/>
      <c r="H2815" s="2"/>
    </row>
    <row r="2816" spans="1:8" x14ac:dyDescent="0.25">
      <c r="A2816" s="5"/>
      <c r="B2816" s="6"/>
      <c r="C2816" s="6"/>
      <c r="D2816" s="6"/>
      <c r="E2816" s="6"/>
      <c r="G2816" s="1"/>
      <c r="H2816" s="2"/>
    </row>
    <row r="2817" spans="1:8" x14ac:dyDescent="0.25">
      <c r="A2817" s="5"/>
      <c r="B2817" s="6"/>
      <c r="C2817" s="6"/>
      <c r="D2817" s="6"/>
      <c r="E2817" s="6"/>
      <c r="G2817" s="3"/>
      <c r="H2817" s="2"/>
    </row>
    <row r="2818" spans="1:8" x14ac:dyDescent="0.25">
      <c r="A2818" s="5"/>
      <c r="B2818" s="6"/>
      <c r="C2818" s="6"/>
      <c r="D2818" s="6"/>
      <c r="E2818" s="6"/>
      <c r="G2818" s="1"/>
      <c r="H2818" s="2"/>
    </row>
    <row r="2819" spans="1:8" x14ac:dyDescent="0.25">
      <c r="A2819" s="5"/>
      <c r="B2819" s="6"/>
      <c r="C2819" s="6"/>
      <c r="D2819" s="6"/>
      <c r="E2819" s="6"/>
      <c r="G2819" s="3"/>
      <c r="H2819" s="2"/>
    </row>
    <row r="2820" spans="1:8" x14ac:dyDescent="0.25">
      <c r="A2820" s="5"/>
      <c r="B2820" s="6"/>
      <c r="C2820" s="6"/>
      <c r="D2820" s="6"/>
      <c r="E2820" s="6"/>
      <c r="G2820" s="1"/>
      <c r="H2820" s="2"/>
    </row>
    <row r="2821" spans="1:8" x14ac:dyDescent="0.25">
      <c r="A2821" s="5"/>
      <c r="B2821" s="6"/>
      <c r="C2821" s="6"/>
      <c r="D2821" s="6"/>
      <c r="E2821" s="6"/>
      <c r="G2821" s="3"/>
      <c r="H2821" s="2"/>
    </row>
    <row r="2822" spans="1:8" x14ac:dyDescent="0.25">
      <c r="A2822" s="5"/>
      <c r="B2822" s="6"/>
      <c r="C2822" s="6"/>
      <c r="D2822" s="6"/>
      <c r="E2822" s="6"/>
      <c r="G2822" s="1"/>
      <c r="H2822" s="2"/>
    </row>
    <row r="2823" spans="1:8" x14ac:dyDescent="0.25">
      <c r="A2823" s="5"/>
      <c r="B2823" s="6"/>
      <c r="C2823" s="6"/>
      <c r="D2823" s="6"/>
      <c r="E2823" s="6"/>
      <c r="G2823" s="3"/>
      <c r="H2823" s="2"/>
    </row>
    <row r="2824" spans="1:8" x14ac:dyDescent="0.25">
      <c r="A2824" s="5"/>
      <c r="B2824" s="6"/>
      <c r="C2824" s="6"/>
      <c r="D2824" s="6"/>
      <c r="E2824" s="6"/>
      <c r="G2824" s="1"/>
      <c r="H2824" s="2"/>
    </row>
    <row r="2825" spans="1:8" x14ac:dyDescent="0.25">
      <c r="A2825" s="5"/>
      <c r="B2825" s="6"/>
      <c r="C2825" s="6"/>
      <c r="D2825" s="6"/>
      <c r="E2825" s="6"/>
      <c r="G2825" s="3"/>
      <c r="H2825" s="2"/>
    </row>
    <row r="2826" spans="1:8" x14ac:dyDescent="0.25">
      <c r="A2826" s="5"/>
      <c r="B2826" s="6"/>
      <c r="C2826" s="6"/>
      <c r="D2826" s="6"/>
      <c r="E2826" s="6"/>
      <c r="G2826" s="1"/>
      <c r="H2826" s="2"/>
    </row>
    <row r="2827" spans="1:8" x14ac:dyDescent="0.25">
      <c r="A2827" s="5"/>
      <c r="B2827" s="6"/>
      <c r="C2827" s="6"/>
      <c r="D2827" s="6"/>
      <c r="E2827" s="6"/>
      <c r="G2827" s="3"/>
      <c r="H2827" s="2"/>
    </row>
    <row r="2828" spans="1:8" x14ac:dyDescent="0.25">
      <c r="A2828" s="5"/>
      <c r="B2828" s="6"/>
      <c r="C2828" s="6"/>
      <c r="D2828" s="6"/>
      <c r="E2828" s="6"/>
      <c r="G2828" s="1"/>
      <c r="H2828" s="2"/>
    </row>
    <row r="2829" spans="1:8" x14ac:dyDescent="0.25">
      <c r="A2829" s="5"/>
      <c r="B2829" s="6"/>
      <c r="C2829" s="6"/>
      <c r="D2829" s="6"/>
      <c r="E2829" s="6"/>
      <c r="G2829" s="3"/>
      <c r="H2829" s="2"/>
    </row>
    <row r="2830" spans="1:8" x14ac:dyDescent="0.25">
      <c r="A2830" s="5"/>
      <c r="B2830" s="6"/>
      <c r="C2830" s="6"/>
      <c r="D2830" s="6"/>
      <c r="E2830" s="6"/>
      <c r="G2830" s="1"/>
      <c r="H2830" s="2"/>
    </row>
    <row r="2831" spans="1:8" x14ac:dyDescent="0.25">
      <c r="A2831" s="5"/>
      <c r="B2831" s="6"/>
      <c r="C2831" s="6"/>
      <c r="D2831" s="6"/>
      <c r="E2831" s="6"/>
      <c r="G2831" s="3"/>
      <c r="H2831" s="2"/>
    </row>
    <row r="2832" spans="1:8" x14ac:dyDescent="0.25">
      <c r="A2832" s="5"/>
      <c r="B2832" s="6"/>
      <c r="C2832" s="6"/>
      <c r="D2832" s="6"/>
      <c r="E2832" s="6"/>
      <c r="G2832" s="1"/>
      <c r="H2832" s="2"/>
    </row>
    <row r="2833" spans="1:8" x14ac:dyDescent="0.25">
      <c r="A2833" s="5"/>
      <c r="B2833" s="6"/>
      <c r="C2833" s="6"/>
      <c r="D2833" s="6"/>
      <c r="E2833" s="6"/>
      <c r="G2833" s="3"/>
      <c r="H2833" s="2"/>
    </row>
    <row r="2834" spans="1:8" x14ac:dyDescent="0.25">
      <c r="A2834" s="5"/>
      <c r="B2834" s="6"/>
      <c r="C2834" s="6"/>
      <c r="D2834" s="6"/>
      <c r="E2834" s="6"/>
      <c r="G2834" s="1"/>
      <c r="H2834" s="2"/>
    </row>
    <row r="2835" spans="1:8" x14ac:dyDescent="0.25">
      <c r="A2835" s="5"/>
      <c r="B2835" s="6"/>
      <c r="C2835" s="6"/>
      <c r="D2835" s="6"/>
      <c r="E2835" s="6"/>
      <c r="G2835" s="3"/>
      <c r="H2835" s="2"/>
    </row>
    <row r="2836" spans="1:8" x14ac:dyDescent="0.25">
      <c r="A2836" s="5"/>
      <c r="B2836" s="6"/>
      <c r="C2836" s="6"/>
      <c r="D2836" s="6"/>
      <c r="E2836" s="6"/>
      <c r="G2836" s="1"/>
      <c r="H2836" s="2"/>
    </row>
    <row r="2837" spans="1:8" x14ac:dyDescent="0.25">
      <c r="A2837" s="5"/>
      <c r="B2837" s="6"/>
      <c r="C2837" s="6"/>
      <c r="D2837" s="6"/>
      <c r="E2837" s="6"/>
      <c r="G2837" s="3"/>
      <c r="H2837" s="2"/>
    </row>
    <row r="2838" spans="1:8" x14ac:dyDescent="0.25">
      <c r="A2838" s="5"/>
      <c r="B2838" s="6"/>
      <c r="C2838" s="6"/>
      <c r="D2838" s="6"/>
      <c r="E2838" s="6"/>
      <c r="G2838" s="1"/>
      <c r="H2838" s="2"/>
    </row>
    <row r="2839" spans="1:8" x14ac:dyDescent="0.25">
      <c r="A2839" s="5"/>
      <c r="B2839" s="6"/>
      <c r="C2839" s="6"/>
      <c r="D2839" s="6"/>
      <c r="E2839" s="6"/>
      <c r="G2839" s="3"/>
      <c r="H2839" s="2"/>
    </row>
    <row r="2840" spans="1:8" x14ac:dyDescent="0.25">
      <c r="A2840" s="5"/>
      <c r="B2840" s="6"/>
      <c r="C2840" s="6"/>
      <c r="D2840" s="6"/>
      <c r="E2840" s="6"/>
      <c r="G2840" s="1"/>
      <c r="H2840" s="2"/>
    </row>
    <row r="2841" spans="1:8" x14ac:dyDescent="0.25">
      <c r="A2841" s="5"/>
      <c r="B2841" s="6"/>
      <c r="C2841" s="6"/>
      <c r="D2841" s="6"/>
      <c r="E2841" s="6"/>
      <c r="G2841" s="3"/>
      <c r="H2841" s="2"/>
    </row>
    <row r="2842" spans="1:8" x14ac:dyDescent="0.25">
      <c r="A2842" s="5"/>
      <c r="B2842" s="6"/>
      <c r="C2842" s="6"/>
      <c r="D2842" s="6"/>
      <c r="E2842" s="6"/>
      <c r="G2842" s="1"/>
      <c r="H2842" s="2"/>
    </row>
    <row r="2843" spans="1:8" x14ac:dyDescent="0.25">
      <c r="A2843" s="5"/>
      <c r="B2843" s="6"/>
      <c r="C2843" s="6"/>
      <c r="D2843" s="6"/>
      <c r="E2843" s="6"/>
      <c r="G2843" s="3"/>
      <c r="H2843" s="2"/>
    </row>
    <row r="2844" spans="1:8" x14ac:dyDescent="0.25">
      <c r="A2844" s="5"/>
      <c r="B2844" s="6"/>
      <c r="C2844" s="6"/>
      <c r="D2844" s="6"/>
      <c r="E2844" s="6"/>
      <c r="G2844" s="1"/>
      <c r="H2844" s="2"/>
    </row>
    <row r="2845" spans="1:8" x14ac:dyDescent="0.25">
      <c r="A2845" s="5"/>
      <c r="B2845" s="6"/>
      <c r="C2845" s="6"/>
      <c r="D2845" s="6"/>
      <c r="E2845" s="6"/>
      <c r="G2845" s="3"/>
      <c r="H2845" s="2"/>
    </row>
    <row r="2846" spans="1:8" x14ac:dyDescent="0.25">
      <c r="A2846" s="5"/>
      <c r="B2846" s="6"/>
      <c r="C2846" s="6"/>
      <c r="D2846" s="6"/>
      <c r="E2846" s="6"/>
      <c r="G2846" s="1"/>
      <c r="H2846" s="2"/>
    </row>
    <row r="2847" spans="1:8" x14ac:dyDescent="0.25">
      <c r="A2847" s="5"/>
      <c r="B2847" s="6"/>
      <c r="C2847" s="6"/>
      <c r="D2847" s="6"/>
      <c r="E2847" s="6"/>
      <c r="G2847" s="3"/>
      <c r="H2847" s="2"/>
    </row>
    <row r="2848" spans="1:8" x14ac:dyDescent="0.25">
      <c r="A2848" s="5"/>
      <c r="B2848" s="6"/>
      <c r="C2848" s="6"/>
      <c r="D2848" s="6"/>
      <c r="E2848" s="6"/>
      <c r="G2848" s="1"/>
      <c r="H2848" s="2"/>
    </row>
    <row r="2849" spans="1:8" x14ac:dyDescent="0.25">
      <c r="A2849" s="5"/>
      <c r="B2849" s="6"/>
      <c r="C2849" s="6"/>
      <c r="D2849" s="6"/>
      <c r="E2849" s="6"/>
      <c r="G2849" s="3"/>
      <c r="H2849" s="2"/>
    </row>
    <row r="2850" spans="1:8" x14ac:dyDescent="0.25">
      <c r="A2850" s="5"/>
      <c r="B2850" s="6"/>
      <c r="C2850" s="6"/>
      <c r="D2850" s="6"/>
      <c r="E2850" s="6"/>
      <c r="G2850" s="1"/>
      <c r="H2850" s="2"/>
    </row>
    <row r="2851" spans="1:8" x14ac:dyDescent="0.25">
      <c r="A2851" s="5"/>
      <c r="B2851" s="6"/>
      <c r="C2851" s="6"/>
      <c r="D2851" s="6"/>
      <c r="E2851" s="6"/>
      <c r="G2851" s="3"/>
      <c r="H2851" s="2"/>
    </row>
    <row r="2852" spans="1:8" x14ac:dyDescent="0.25">
      <c r="A2852" s="5"/>
      <c r="B2852" s="6"/>
      <c r="C2852" s="6"/>
      <c r="D2852" s="6"/>
      <c r="E2852" s="6"/>
      <c r="G2852" s="1"/>
      <c r="H2852" s="2"/>
    </row>
    <row r="2853" spans="1:8" x14ac:dyDescent="0.25">
      <c r="A2853" s="5"/>
      <c r="B2853" s="6"/>
      <c r="C2853" s="6"/>
      <c r="D2853" s="6"/>
      <c r="E2853" s="6"/>
      <c r="G2853" s="3"/>
      <c r="H2853" s="2"/>
    </row>
    <row r="2854" spans="1:8" x14ac:dyDescent="0.25">
      <c r="A2854" s="5"/>
      <c r="B2854" s="6"/>
      <c r="C2854" s="6"/>
      <c r="D2854" s="6"/>
      <c r="E2854" s="6"/>
      <c r="G2854" s="1"/>
      <c r="H2854" s="2"/>
    </row>
    <row r="2855" spans="1:8" x14ac:dyDescent="0.25">
      <c r="A2855" s="5"/>
      <c r="B2855" s="6"/>
      <c r="C2855" s="6"/>
      <c r="D2855" s="6"/>
      <c r="E2855" s="6"/>
      <c r="G2855" s="3"/>
      <c r="H2855" s="2"/>
    </row>
    <row r="2856" spans="1:8" x14ac:dyDescent="0.25">
      <c r="A2856" s="5"/>
      <c r="B2856" s="6"/>
      <c r="C2856" s="6"/>
      <c r="D2856" s="6"/>
      <c r="E2856" s="6"/>
      <c r="G2856" s="1"/>
      <c r="H2856" s="2"/>
    </row>
    <row r="2857" spans="1:8" x14ac:dyDescent="0.25">
      <c r="A2857" s="5"/>
      <c r="B2857" s="6"/>
      <c r="C2857" s="6"/>
      <c r="D2857" s="6"/>
      <c r="E2857" s="6"/>
      <c r="G2857" s="3"/>
      <c r="H2857" s="2"/>
    </row>
    <row r="2858" spans="1:8" x14ac:dyDescent="0.25">
      <c r="A2858" s="5"/>
      <c r="B2858" s="6"/>
      <c r="C2858" s="6"/>
      <c r="D2858" s="6"/>
      <c r="E2858" s="6"/>
      <c r="G2858" s="1"/>
      <c r="H2858" s="2"/>
    </row>
    <row r="2859" spans="1:8" x14ac:dyDescent="0.25">
      <c r="A2859" s="5"/>
      <c r="B2859" s="6"/>
      <c r="C2859" s="6"/>
      <c r="D2859" s="6"/>
      <c r="E2859" s="6"/>
      <c r="G2859" s="3"/>
      <c r="H2859" s="2"/>
    </row>
    <row r="2860" spans="1:8" x14ac:dyDescent="0.25">
      <c r="A2860" s="5"/>
      <c r="B2860" s="6"/>
      <c r="C2860" s="6"/>
      <c r="D2860" s="6"/>
      <c r="E2860" s="6"/>
      <c r="G2860" s="1"/>
      <c r="H2860" s="2"/>
    </row>
    <row r="2861" spans="1:8" x14ac:dyDescent="0.25">
      <c r="A2861" s="5"/>
      <c r="B2861" s="6"/>
      <c r="C2861" s="6"/>
      <c r="D2861" s="6"/>
      <c r="E2861" s="6"/>
      <c r="G2861" s="3"/>
      <c r="H2861" s="2"/>
    </row>
    <row r="2862" spans="1:8" x14ac:dyDescent="0.25">
      <c r="A2862" s="5"/>
      <c r="B2862" s="6"/>
      <c r="C2862" s="6"/>
      <c r="D2862" s="6"/>
      <c r="E2862" s="6"/>
      <c r="G2862" s="1"/>
      <c r="H2862" s="2"/>
    </row>
    <row r="2863" spans="1:8" x14ac:dyDescent="0.25">
      <c r="A2863" s="5"/>
      <c r="B2863" s="6"/>
      <c r="C2863" s="6"/>
      <c r="D2863" s="6"/>
      <c r="E2863" s="6"/>
      <c r="G2863" s="3"/>
      <c r="H2863" s="2"/>
    </row>
    <row r="2864" spans="1:8" x14ac:dyDescent="0.25">
      <c r="A2864" s="5"/>
      <c r="B2864" s="6"/>
      <c r="C2864" s="6"/>
      <c r="D2864" s="6"/>
      <c r="E2864" s="6"/>
      <c r="G2864" s="1"/>
      <c r="H2864" s="2"/>
    </row>
    <row r="2865" spans="1:8" x14ac:dyDescent="0.25">
      <c r="A2865" s="5"/>
      <c r="B2865" s="6"/>
      <c r="C2865" s="6"/>
      <c r="D2865" s="6"/>
      <c r="E2865" s="6"/>
      <c r="G2865" s="3"/>
      <c r="H2865" s="2"/>
    </row>
    <row r="2866" spans="1:8" x14ac:dyDescent="0.25">
      <c r="A2866" s="5"/>
      <c r="B2866" s="6"/>
      <c r="C2866" s="6"/>
      <c r="D2866" s="6"/>
      <c r="E2866" s="6"/>
      <c r="G2866" s="1"/>
      <c r="H2866" s="2"/>
    </row>
    <row r="2867" spans="1:8" x14ac:dyDescent="0.25">
      <c r="A2867" s="5"/>
      <c r="B2867" s="6"/>
      <c r="C2867" s="6"/>
      <c r="D2867" s="6"/>
      <c r="E2867" s="6"/>
      <c r="G2867" s="3"/>
      <c r="H2867" s="2"/>
    </row>
    <row r="2868" spans="1:8" x14ac:dyDescent="0.25">
      <c r="A2868" s="5"/>
      <c r="B2868" s="6"/>
      <c r="C2868" s="6"/>
      <c r="D2868" s="6"/>
      <c r="E2868" s="6"/>
      <c r="G2868" s="1"/>
      <c r="H2868" s="2"/>
    </row>
    <row r="2869" spans="1:8" x14ac:dyDescent="0.25">
      <c r="A2869" s="5"/>
      <c r="B2869" s="6"/>
      <c r="C2869" s="6"/>
      <c r="D2869" s="6"/>
      <c r="E2869" s="6"/>
      <c r="G2869" s="3"/>
      <c r="H2869" s="2"/>
    </row>
    <row r="2870" spans="1:8" x14ac:dyDescent="0.25">
      <c r="A2870" s="5"/>
      <c r="B2870" s="6"/>
      <c r="C2870" s="6"/>
      <c r="D2870" s="6"/>
      <c r="E2870" s="6"/>
      <c r="G2870" s="1"/>
      <c r="H2870" s="2"/>
    </row>
    <row r="2871" spans="1:8" x14ac:dyDescent="0.25">
      <c r="A2871" s="5"/>
      <c r="B2871" s="6"/>
      <c r="C2871" s="6"/>
      <c r="D2871" s="6"/>
      <c r="E2871" s="6"/>
      <c r="G2871" s="3"/>
      <c r="H2871" s="2"/>
    </row>
    <row r="2872" spans="1:8" x14ac:dyDescent="0.25">
      <c r="A2872" s="5"/>
      <c r="B2872" s="6"/>
      <c r="C2872" s="6"/>
      <c r="D2872" s="6"/>
      <c r="E2872" s="6"/>
      <c r="G2872" s="1"/>
      <c r="H2872" s="2"/>
    </row>
    <row r="2873" spans="1:8" x14ac:dyDescent="0.25">
      <c r="A2873" s="5"/>
      <c r="B2873" s="6"/>
      <c r="C2873" s="6"/>
      <c r="D2873" s="6"/>
      <c r="E2873" s="6"/>
      <c r="G2873" s="3"/>
      <c r="H2873" s="2"/>
    </row>
    <row r="2874" spans="1:8" x14ac:dyDescent="0.25">
      <c r="A2874" s="5"/>
      <c r="B2874" s="6"/>
      <c r="C2874" s="6"/>
      <c r="D2874" s="6"/>
      <c r="E2874" s="6"/>
      <c r="G2874" s="1"/>
      <c r="H2874" s="2"/>
    </row>
    <row r="2875" spans="1:8" x14ac:dyDescent="0.25">
      <c r="A2875" s="5"/>
      <c r="B2875" s="6"/>
      <c r="C2875" s="6"/>
      <c r="D2875" s="6"/>
      <c r="E2875" s="6"/>
      <c r="G2875" s="3"/>
      <c r="H2875" s="2"/>
    </row>
    <row r="2876" spans="1:8" x14ac:dyDescent="0.25">
      <c r="A2876" s="5"/>
      <c r="B2876" s="6"/>
      <c r="C2876" s="6"/>
      <c r="D2876" s="6"/>
      <c r="E2876" s="6"/>
      <c r="G2876" s="1"/>
      <c r="H2876" s="2"/>
    </row>
    <row r="2877" spans="1:8" x14ac:dyDescent="0.25">
      <c r="A2877" s="5"/>
      <c r="B2877" s="6"/>
      <c r="C2877" s="6"/>
      <c r="D2877" s="6"/>
      <c r="E2877" s="6"/>
      <c r="G2877" s="3"/>
      <c r="H2877" s="2"/>
    </row>
    <row r="2878" spans="1:8" x14ac:dyDescent="0.25">
      <c r="A2878" s="5"/>
      <c r="B2878" s="6"/>
      <c r="C2878" s="6"/>
      <c r="D2878" s="6"/>
      <c r="E2878" s="6"/>
      <c r="G2878" s="1"/>
      <c r="H2878" s="2"/>
    </row>
    <row r="2879" spans="1:8" x14ac:dyDescent="0.25">
      <c r="A2879" s="5"/>
      <c r="B2879" s="6"/>
      <c r="C2879" s="6"/>
      <c r="D2879" s="6"/>
      <c r="E2879" s="6"/>
      <c r="G2879" s="3"/>
      <c r="H2879" s="2"/>
    </row>
    <row r="2880" spans="1:8" x14ac:dyDescent="0.25">
      <c r="A2880" s="5"/>
      <c r="B2880" s="6"/>
      <c r="C2880" s="6"/>
      <c r="D2880" s="6"/>
      <c r="E2880" s="6"/>
      <c r="G2880" s="1"/>
      <c r="H2880" s="2"/>
    </row>
    <row r="2881" spans="1:8" x14ac:dyDescent="0.25">
      <c r="A2881" s="5"/>
      <c r="B2881" s="6"/>
      <c r="C2881" s="6"/>
      <c r="D2881" s="6"/>
      <c r="E2881" s="6"/>
      <c r="G2881" s="3"/>
      <c r="H2881" s="2"/>
    </row>
    <row r="2882" spans="1:8" x14ac:dyDescent="0.25">
      <c r="A2882" s="5"/>
      <c r="B2882" s="6"/>
      <c r="C2882" s="6"/>
      <c r="D2882" s="6"/>
      <c r="E2882" s="6"/>
      <c r="G2882" s="1"/>
      <c r="H2882" s="2"/>
    </row>
    <row r="2883" spans="1:8" x14ac:dyDescent="0.25">
      <c r="A2883" s="5"/>
      <c r="B2883" s="6"/>
      <c r="C2883" s="6"/>
      <c r="D2883" s="6"/>
      <c r="E2883" s="6"/>
      <c r="G2883" s="3"/>
      <c r="H2883" s="2"/>
    </row>
    <row r="2884" spans="1:8" x14ac:dyDescent="0.25">
      <c r="A2884" s="5"/>
      <c r="B2884" s="6"/>
      <c r="C2884" s="6"/>
      <c r="D2884" s="6"/>
      <c r="E2884" s="6"/>
      <c r="G2884" s="1"/>
      <c r="H2884" s="2"/>
    </row>
    <row r="2885" spans="1:8" x14ac:dyDescent="0.25">
      <c r="A2885" s="5"/>
      <c r="B2885" s="6"/>
      <c r="C2885" s="6"/>
      <c r="D2885" s="6"/>
      <c r="E2885" s="6"/>
      <c r="G2885" s="3"/>
      <c r="H2885" s="2"/>
    </row>
    <row r="2886" spans="1:8" x14ac:dyDescent="0.25">
      <c r="A2886" s="5"/>
      <c r="B2886" s="6"/>
      <c r="C2886" s="6"/>
      <c r="D2886" s="6"/>
      <c r="E2886" s="6"/>
      <c r="G2886" s="1"/>
      <c r="H2886" s="2"/>
    </row>
    <row r="2887" spans="1:8" x14ac:dyDescent="0.25">
      <c r="A2887" s="5"/>
      <c r="B2887" s="6"/>
      <c r="C2887" s="6"/>
      <c r="D2887" s="6"/>
      <c r="E2887" s="6"/>
      <c r="G2887" s="3"/>
      <c r="H2887" s="2"/>
    </row>
    <row r="2888" spans="1:8" x14ac:dyDescent="0.25">
      <c r="A2888" s="5"/>
      <c r="B2888" s="6"/>
      <c r="C2888" s="6"/>
      <c r="D2888" s="6"/>
      <c r="E2888" s="6"/>
      <c r="G2888" s="1"/>
      <c r="H2888" s="2"/>
    </row>
    <row r="2889" spans="1:8" x14ac:dyDescent="0.25">
      <c r="A2889" s="5"/>
      <c r="B2889" s="6"/>
      <c r="C2889" s="6"/>
      <c r="D2889" s="6"/>
      <c r="E2889" s="6"/>
      <c r="G2889" s="3"/>
      <c r="H2889" s="2"/>
    </row>
    <row r="2890" spans="1:8" x14ac:dyDescent="0.25">
      <c r="A2890" s="5"/>
      <c r="B2890" s="6"/>
      <c r="C2890" s="6"/>
      <c r="D2890" s="6"/>
      <c r="E2890" s="6"/>
      <c r="G2890" s="1"/>
      <c r="H2890" s="2"/>
    </row>
    <row r="2891" spans="1:8" x14ac:dyDescent="0.25">
      <c r="A2891" s="5"/>
      <c r="B2891" s="6"/>
      <c r="C2891" s="6"/>
      <c r="D2891" s="6"/>
      <c r="E2891" s="6"/>
      <c r="G2891" s="3"/>
      <c r="H2891" s="2"/>
    </row>
    <row r="2892" spans="1:8" x14ac:dyDescent="0.25">
      <c r="A2892" s="5"/>
      <c r="B2892" s="6"/>
      <c r="C2892" s="6"/>
      <c r="D2892" s="6"/>
      <c r="E2892" s="6"/>
      <c r="G2892" s="1"/>
      <c r="H2892" s="2"/>
    </row>
    <row r="2893" spans="1:8" x14ac:dyDescent="0.25">
      <c r="A2893" s="5"/>
      <c r="B2893" s="6"/>
      <c r="C2893" s="6"/>
      <c r="D2893" s="6"/>
      <c r="E2893" s="6"/>
      <c r="G2893" s="3"/>
      <c r="H2893" s="2"/>
    </row>
    <row r="2894" spans="1:8" x14ac:dyDescent="0.25">
      <c r="A2894" s="5"/>
      <c r="B2894" s="6"/>
      <c r="C2894" s="6"/>
      <c r="D2894" s="6"/>
      <c r="E2894" s="6"/>
      <c r="G2894" s="1"/>
      <c r="H2894" s="2"/>
    </row>
    <row r="2895" spans="1:8" x14ac:dyDescent="0.25">
      <c r="A2895" s="5"/>
      <c r="B2895" s="6"/>
      <c r="C2895" s="6"/>
      <c r="D2895" s="6"/>
      <c r="E2895" s="6"/>
      <c r="G2895" s="3"/>
      <c r="H2895" s="2"/>
    </row>
    <row r="2896" spans="1:8" x14ac:dyDescent="0.25">
      <c r="A2896" s="5"/>
      <c r="B2896" s="6"/>
      <c r="C2896" s="6"/>
      <c r="D2896" s="6"/>
      <c r="E2896" s="6"/>
      <c r="G2896" s="1"/>
      <c r="H2896" s="2"/>
    </row>
    <row r="2897" spans="1:8" x14ac:dyDescent="0.25">
      <c r="A2897" s="5"/>
      <c r="B2897" s="6"/>
      <c r="C2897" s="6"/>
      <c r="D2897" s="6"/>
      <c r="E2897" s="6"/>
      <c r="G2897" s="3"/>
      <c r="H2897" s="2"/>
    </row>
    <row r="2898" spans="1:8" x14ac:dyDescent="0.25">
      <c r="A2898" s="5"/>
      <c r="B2898" s="6"/>
      <c r="C2898" s="6"/>
      <c r="D2898" s="6"/>
      <c r="E2898" s="6"/>
      <c r="G2898" s="1"/>
      <c r="H2898" s="2"/>
    </row>
    <row r="2899" spans="1:8" x14ac:dyDescent="0.25">
      <c r="A2899" s="5"/>
      <c r="B2899" s="6"/>
      <c r="C2899" s="6"/>
      <c r="D2899" s="6"/>
      <c r="E2899" s="6"/>
      <c r="G2899" s="3"/>
      <c r="H2899" s="2"/>
    </row>
    <row r="2900" spans="1:8" x14ac:dyDescent="0.25">
      <c r="A2900" s="5"/>
      <c r="B2900" s="6"/>
      <c r="C2900" s="6"/>
      <c r="D2900" s="6"/>
      <c r="E2900" s="6"/>
      <c r="G2900" s="1"/>
      <c r="H2900" s="2"/>
    </row>
    <row r="2901" spans="1:8" x14ac:dyDescent="0.25">
      <c r="A2901" s="5"/>
      <c r="B2901" s="6"/>
      <c r="C2901" s="6"/>
      <c r="D2901" s="6"/>
      <c r="E2901" s="6"/>
      <c r="G2901" s="3"/>
      <c r="H2901" s="2"/>
    </row>
    <row r="2902" spans="1:8" x14ac:dyDescent="0.25">
      <c r="A2902" s="5"/>
      <c r="B2902" s="6"/>
      <c r="C2902" s="6"/>
      <c r="D2902" s="6"/>
      <c r="E2902" s="6"/>
      <c r="G2902" s="1"/>
      <c r="H2902" s="2"/>
    </row>
    <row r="2903" spans="1:8" x14ac:dyDescent="0.25">
      <c r="A2903" s="5"/>
      <c r="B2903" s="6"/>
      <c r="C2903" s="6"/>
      <c r="D2903" s="6"/>
      <c r="E2903" s="6"/>
      <c r="G2903" s="3"/>
      <c r="H2903" s="2"/>
    </row>
    <row r="2904" spans="1:8" x14ac:dyDescent="0.25">
      <c r="A2904" s="5"/>
      <c r="B2904" s="6"/>
      <c r="C2904" s="6"/>
      <c r="D2904" s="6"/>
      <c r="E2904" s="6"/>
      <c r="G2904" s="1"/>
      <c r="H2904" s="2"/>
    </row>
    <row r="2905" spans="1:8" x14ac:dyDescent="0.25">
      <c r="A2905" s="5"/>
      <c r="B2905" s="6"/>
      <c r="C2905" s="6"/>
      <c r="D2905" s="6"/>
      <c r="E2905" s="6"/>
      <c r="G2905" s="3"/>
      <c r="H2905" s="2"/>
    </row>
    <row r="2906" spans="1:8" x14ac:dyDescent="0.25">
      <c r="A2906" s="5"/>
      <c r="B2906" s="6"/>
      <c r="C2906" s="6"/>
      <c r="D2906" s="6"/>
      <c r="E2906" s="6"/>
      <c r="G2906" s="1"/>
      <c r="H2906" s="2"/>
    </row>
    <row r="2907" spans="1:8" x14ac:dyDescent="0.25">
      <c r="A2907" s="5"/>
      <c r="B2907" s="6"/>
      <c r="C2907" s="6"/>
      <c r="D2907" s="6"/>
      <c r="E2907" s="6"/>
      <c r="G2907" s="3"/>
      <c r="H2907" s="2"/>
    </row>
    <row r="2908" spans="1:8" x14ac:dyDescent="0.25">
      <c r="A2908" s="5"/>
      <c r="B2908" s="6"/>
      <c r="C2908" s="6"/>
      <c r="D2908" s="6"/>
      <c r="E2908" s="6"/>
      <c r="G2908" s="1"/>
      <c r="H2908" s="2"/>
    </row>
    <row r="2909" spans="1:8" x14ac:dyDescent="0.25">
      <c r="A2909" s="5"/>
      <c r="B2909" s="6"/>
      <c r="C2909" s="6"/>
      <c r="D2909" s="6"/>
      <c r="E2909" s="6"/>
      <c r="G2909" s="3"/>
      <c r="H2909" s="2"/>
    </row>
    <row r="2910" spans="1:8" x14ac:dyDescent="0.25">
      <c r="A2910" s="5"/>
      <c r="B2910" s="6"/>
      <c r="C2910" s="6"/>
      <c r="D2910" s="6"/>
      <c r="E2910" s="6"/>
      <c r="G2910" s="1"/>
      <c r="H2910" s="2"/>
    </row>
    <row r="2911" spans="1:8" x14ac:dyDescent="0.25">
      <c r="A2911" s="5"/>
      <c r="B2911" s="6"/>
      <c r="C2911" s="6"/>
      <c r="D2911" s="6"/>
      <c r="E2911" s="6"/>
      <c r="G2911" s="3"/>
      <c r="H2911" s="2"/>
    </row>
    <row r="2912" spans="1:8" x14ac:dyDescent="0.25">
      <c r="A2912" s="5"/>
      <c r="B2912" s="6"/>
      <c r="C2912" s="6"/>
      <c r="D2912" s="6"/>
      <c r="E2912" s="6"/>
      <c r="G2912" s="1"/>
      <c r="H2912" s="2"/>
    </row>
    <row r="2913" spans="1:8" x14ac:dyDescent="0.25">
      <c r="A2913" s="5"/>
      <c r="B2913" s="6"/>
      <c r="C2913" s="6"/>
      <c r="D2913" s="6"/>
      <c r="E2913" s="6"/>
      <c r="G2913" s="3"/>
      <c r="H2913" s="2"/>
    </row>
    <row r="2914" spans="1:8" x14ac:dyDescent="0.25">
      <c r="A2914" s="5"/>
      <c r="B2914" s="6"/>
      <c r="C2914" s="6"/>
      <c r="D2914" s="6"/>
      <c r="E2914" s="6"/>
      <c r="G2914" s="1"/>
      <c r="H2914" s="2"/>
    </row>
    <row r="2915" spans="1:8" x14ac:dyDescent="0.25">
      <c r="A2915" s="5"/>
      <c r="B2915" s="6"/>
      <c r="C2915" s="6"/>
      <c r="D2915" s="6"/>
      <c r="E2915" s="6"/>
      <c r="G2915" s="3"/>
      <c r="H2915" s="2"/>
    </row>
    <row r="2916" spans="1:8" x14ac:dyDescent="0.25">
      <c r="A2916" s="5"/>
      <c r="B2916" s="6"/>
      <c r="C2916" s="6"/>
      <c r="D2916" s="6"/>
      <c r="E2916" s="6"/>
      <c r="G2916" s="1"/>
      <c r="H2916" s="2"/>
    </row>
    <row r="2917" spans="1:8" x14ac:dyDescent="0.25">
      <c r="A2917" s="5"/>
      <c r="B2917" s="6"/>
      <c r="C2917" s="6"/>
      <c r="D2917" s="6"/>
      <c r="E2917" s="6"/>
      <c r="G2917" s="3"/>
      <c r="H2917" s="2"/>
    </row>
    <row r="2918" spans="1:8" x14ac:dyDescent="0.25">
      <c r="A2918" s="5"/>
      <c r="B2918" s="6"/>
      <c r="C2918" s="6"/>
      <c r="D2918" s="6"/>
      <c r="E2918" s="6"/>
      <c r="G2918" s="1"/>
      <c r="H2918" s="2"/>
    </row>
    <row r="2919" spans="1:8" x14ac:dyDescent="0.25">
      <c r="A2919" s="5"/>
      <c r="B2919" s="6"/>
      <c r="C2919" s="6"/>
      <c r="D2919" s="6"/>
      <c r="E2919" s="6"/>
      <c r="G2919" s="3"/>
      <c r="H2919" s="2"/>
    </row>
    <row r="2920" spans="1:8" x14ac:dyDescent="0.25">
      <c r="A2920" s="5"/>
      <c r="B2920" s="6"/>
      <c r="C2920" s="6"/>
      <c r="D2920" s="6"/>
      <c r="E2920" s="6"/>
      <c r="G2920" s="1"/>
      <c r="H2920" s="2"/>
    </row>
    <row r="2921" spans="1:8" x14ac:dyDescent="0.25">
      <c r="A2921" s="5"/>
      <c r="B2921" s="6"/>
      <c r="C2921" s="6"/>
      <c r="D2921" s="6"/>
      <c r="E2921" s="6"/>
      <c r="G2921" s="3"/>
      <c r="H2921" s="2"/>
    </row>
    <row r="2922" spans="1:8" x14ac:dyDescent="0.25">
      <c r="A2922" s="5"/>
      <c r="B2922" s="6"/>
      <c r="C2922" s="6"/>
      <c r="D2922" s="6"/>
      <c r="E2922" s="6"/>
      <c r="G2922" s="1"/>
      <c r="H2922" s="2"/>
    </row>
    <row r="2923" spans="1:8" x14ac:dyDescent="0.25">
      <c r="A2923" s="5"/>
      <c r="B2923" s="6"/>
      <c r="C2923" s="6"/>
      <c r="D2923" s="6"/>
      <c r="E2923" s="6"/>
      <c r="G2923" s="3"/>
      <c r="H2923" s="2"/>
    </row>
    <row r="2924" spans="1:8" x14ac:dyDescent="0.25">
      <c r="A2924" s="5"/>
      <c r="B2924" s="6"/>
      <c r="C2924" s="6"/>
      <c r="D2924" s="6"/>
      <c r="E2924" s="6"/>
      <c r="G2924" s="1"/>
      <c r="H2924" s="2"/>
    </row>
    <row r="2925" spans="1:8" x14ac:dyDescent="0.25">
      <c r="A2925" s="5"/>
      <c r="B2925" s="6"/>
      <c r="C2925" s="6"/>
      <c r="D2925" s="6"/>
      <c r="E2925" s="6"/>
      <c r="G2925" s="3"/>
      <c r="H2925" s="2"/>
    </row>
    <row r="2926" spans="1:8" x14ac:dyDescent="0.25">
      <c r="A2926" s="5"/>
      <c r="B2926" s="6"/>
      <c r="C2926" s="6"/>
      <c r="D2926" s="6"/>
      <c r="E2926" s="6"/>
      <c r="G2926" s="1"/>
      <c r="H2926" s="2"/>
    </row>
    <row r="2927" spans="1:8" x14ac:dyDescent="0.25">
      <c r="A2927" s="5"/>
      <c r="B2927" s="6"/>
      <c r="C2927" s="6"/>
      <c r="D2927" s="6"/>
      <c r="E2927" s="6"/>
      <c r="G2927" s="3"/>
      <c r="H2927" s="2"/>
    </row>
    <row r="2928" spans="1:8" x14ac:dyDescent="0.25">
      <c r="A2928" s="5"/>
      <c r="B2928" s="6"/>
      <c r="C2928" s="6"/>
      <c r="D2928" s="6"/>
      <c r="E2928" s="6"/>
      <c r="G2928" s="1"/>
      <c r="H2928" s="2"/>
    </row>
    <row r="2929" spans="1:8" x14ac:dyDescent="0.25">
      <c r="A2929" s="5"/>
      <c r="B2929" s="6"/>
      <c r="C2929" s="6"/>
      <c r="D2929" s="6"/>
      <c r="E2929" s="6"/>
      <c r="G2929" s="3"/>
      <c r="H2929" s="2"/>
    </row>
    <row r="2930" spans="1:8" x14ac:dyDescent="0.25">
      <c r="A2930" s="5"/>
      <c r="B2930" s="6"/>
      <c r="C2930" s="6"/>
      <c r="D2930" s="6"/>
      <c r="E2930" s="6"/>
      <c r="G2930" s="1"/>
      <c r="H2930" s="2"/>
    </row>
    <row r="2931" spans="1:8" x14ac:dyDescent="0.25">
      <c r="A2931" s="5"/>
      <c r="B2931" s="6"/>
      <c r="C2931" s="6"/>
      <c r="D2931" s="6"/>
      <c r="E2931" s="6"/>
      <c r="G2931" s="3"/>
      <c r="H2931" s="2"/>
    </row>
    <row r="2932" spans="1:8" x14ac:dyDescent="0.25">
      <c r="A2932" s="5"/>
      <c r="B2932" s="6"/>
      <c r="C2932" s="6"/>
      <c r="D2932" s="6"/>
      <c r="E2932" s="6"/>
      <c r="G2932" s="1"/>
      <c r="H2932" s="2"/>
    </row>
    <row r="2933" spans="1:8" x14ac:dyDescent="0.25">
      <c r="A2933" s="5"/>
      <c r="B2933" s="6"/>
      <c r="C2933" s="6"/>
      <c r="D2933" s="6"/>
      <c r="E2933" s="6"/>
      <c r="G2933" s="3"/>
      <c r="H2933" s="2"/>
    </row>
    <row r="2934" spans="1:8" x14ac:dyDescent="0.25">
      <c r="A2934" s="5"/>
      <c r="B2934" s="6"/>
      <c r="C2934" s="6"/>
      <c r="D2934" s="6"/>
      <c r="E2934" s="6"/>
      <c r="G2934" s="1"/>
      <c r="H2934" s="2"/>
    </row>
    <row r="2935" spans="1:8" x14ac:dyDescent="0.25">
      <c r="A2935" s="5"/>
      <c r="B2935" s="6"/>
      <c r="C2935" s="6"/>
      <c r="D2935" s="6"/>
      <c r="E2935" s="6"/>
      <c r="G2935" s="3"/>
      <c r="H2935" s="2"/>
    </row>
    <row r="2936" spans="1:8" x14ac:dyDescent="0.25">
      <c r="A2936" s="5"/>
      <c r="B2936" s="6"/>
      <c r="C2936" s="6"/>
      <c r="D2936" s="6"/>
      <c r="E2936" s="6"/>
      <c r="G2936" s="1"/>
      <c r="H2936" s="2"/>
    </row>
    <row r="2937" spans="1:8" x14ac:dyDescent="0.25">
      <c r="A2937" s="5"/>
      <c r="B2937" s="6"/>
      <c r="C2937" s="6"/>
      <c r="D2937" s="6"/>
      <c r="E2937" s="6"/>
      <c r="G2937" s="3"/>
      <c r="H2937" s="2"/>
    </row>
    <row r="2938" spans="1:8" x14ac:dyDescent="0.25">
      <c r="A2938" s="5"/>
      <c r="B2938" s="6"/>
      <c r="C2938" s="6"/>
      <c r="D2938" s="6"/>
      <c r="E2938" s="6"/>
      <c r="G2938" s="1"/>
      <c r="H2938" s="2"/>
    </row>
    <row r="2939" spans="1:8" x14ac:dyDescent="0.25">
      <c r="A2939" s="5"/>
      <c r="B2939" s="6"/>
      <c r="C2939" s="6"/>
      <c r="D2939" s="6"/>
      <c r="E2939" s="6"/>
      <c r="G2939" s="3"/>
      <c r="H2939" s="2"/>
    </row>
    <row r="2940" spans="1:8" x14ac:dyDescent="0.25">
      <c r="A2940" s="5"/>
      <c r="B2940" s="6"/>
      <c r="C2940" s="6"/>
      <c r="D2940" s="6"/>
      <c r="E2940" s="6"/>
      <c r="G2940" s="1"/>
      <c r="H2940" s="2"/>
    </row>
    <row r="2941" spans="1:8" x14ac:dyDescent="0.25">
      <c r="A2941" s="5"/>
      <c r="B2941" s="6"/>
      <c r="C2941" s="6"/>
      <c r="D2941" s="6"/>
      <c r="E2941" s="6"/>
      <c r="G2941" s="3"/>
      <c r="H2941" s="2"/>
    </row>
    <row r="2942" spans="1:8" x14ac:dyDescent="0.25">
      <c r="A2942" s="5"/>
      <c r="B2942" s="6"/>
      <c r="C2942" s="6"/>
      <c r="D2942" s="6"/>
      <c r="E2942" s="6"/>
      <c r="G2942" s="1"/>
      <c r="H2942" s="2"/>
    </row>
    <row r="2943" spans="1:8" x14ac:dyDescent="0.25">
      <c r="A2943" s="5"/>
      <c r="B2943" s="6"/>
      <c r="C2943" s="6"/>
      <c r="D2943" s="6"/>
      <c r="E2943" s="6"/>
      <c r="G2943" s="3"/>
      <c r="H2943" s="2"/>
    </row>
    <row r="2944" spans="1:8" x14ac:dyDescent="0.25">
      <c r="A2944" s="5"/>
      <c r="B2944" s="6"/>
      <c r="C2944" s="6"/>
      <c r="D2944" s="6"/>
      <c r="E2944" s="6"/>
      <c r="G2944" s="1"/>
      <c r="H2944" s="2"/>
    </row>
    <row r="2945" spans="1:8" x14ac:dyDescent="0.25">
      <c r="A2945" s="5"/>
      <c r="B2945" s="6"/>
      <c r="C2945" s="6"/>
      <c r="D2945" s="6"/>
      <c r="E2945" s="6"/>
      <c r="G2945" s="3"/>
      <c r="H2945" s="2"/>
    </row>
    <row r="2946" spans="1:8" x14ac:dyDescent="0.25">
      <c r="A2946" s="5"/>
      <c r="B2946" s="6"/>
      <c r="C2946" s="6"/>
      <c r="D2946" s="6"/>
      <c r="E2946" s="6"/>
      <c r="G2946" s="1"/>
      <c r="H2946" s="2"/>
    </row>
    <row r="2947" spans="1:8" x14ac:dyDescent="0.25">
      <c r="A2947" s="5"/>
      <c r="B2947" s="6"/>
      <c r="C2947" s="6"/>
      <c r="D2947" s="6"/>
      <c r="E2947" s="6"/>
      <c r="G2947" s="3"/>
      <c r="H2947" s="2"/>
    </row>
    <row r="2948" spans="1:8" x14ac:dyDescent="0.25">
      <c r="A2948" s="5"/>
      <c r="B2948" s="6"/>
      <c r="C2948" s="6"/>
      <c r="D2948" s="6"/>
      <c r="E2948" s="6"/>
      <c r="G2948" s="1"/>
      <c r="H2948" s="2"/>
    </row>
    <row r="2949" spans="1:8" x14ac:dyDescent="0.25">
      <c r="A2949" s="5"/>
      <c r="B2949" s="6"/>
      <c r="C2949" s="6"/>
      <c r="D2949" s="6"/>
      <c r="E2949" s="6"/>
      <c r="G2949" s="3"/>
      <c r="H2949" s="2"/>
    </row>
    <row r="2950" spans="1:8" x14ac:dyDescent="0.25">
      <c r="A2950" s="5"/>
      <c r="B2950" s="6"/>
      <c r="C2950" s="6"/>
      <c r="D2950" s="6"/>
      <c r="E2950" s="6"/>
      <c r="G2950" s="1"/>
      <c r="H2950" s="2"/>
    </row>
    <row r="2951" spans="1:8" x14ac:dyDescent="0.25">
      <c r="A2951" s="5"/>
      <c r="B2951" s="6"/>
      <c r="C2951" s="6"/>
      <c r="D2951" s="6"/>
      <c r="E2951" s="6"/>
      <c r="G2951" s="3"/>
      <c r="H2951" s="2"/>
    </row>
    <row r="2952" spans="1:8" x14ac:dyDescent="0.25">
      <c r="A2952" s="5"/>
      <c r="B2952" s="6"/>
      <c r="C2952" s="6"/>
      <c r="D2952" s="6"/>
      <c r="E2952" s="6"/>
      <c r="G2952" s="1"/>
      <c r="H2952" s="2"/>
    </row>
    <row r="2953" spans="1:8" x14ac:dyDescent="0.25">
      <c r="A2953" s="5"/>
      <c r="B2953" s="6"/>
      <c r="C2953" s="6"/>
      <c r="D2953" s="6"/>
      <c r="E2953" s="6"/>
      <c r="G2953" s="3"/>
      <c r="H2953" s="2"/>
    </row>
    <row r="2954" spans="1:8" x14ac:dyDescent="0.25">
      <c r="A2954" s="5"/>
      <c r="B2954" s="6"/>
      <c r="C2954" s="6"/>
      <c r="D2954" s="6"/>
      <c r="E2954" s="6"/>
      <c r="G2954" s="1"/>
      <c r="H2954" s="2"/>
    </row>
    <row r="2955" spans="1:8" x14ac:dyDescent="0.25">
      <c r="A2955" s="5"/>
      <c r="B2955" s="6"/>
      <c r="C2955" s="6"/>
      <c r="D2955" s="6"/>
      <c r="E2955" s="6"/>
      <c r="G2955" s="3"/>
      <c r="H2955" s="2"/>
    </row>
    <row r="2956" spans="1:8" x14ac:dyDescent="0.25">
      <c r="A2956" s="5"/>
      <c r="B2956" s="6"/>
      <c r="C2956" s="6"/>
      <c r="D2956" s="6"/>
      <c r="E2956" s="6"/>
      <c r="G2956" s="1"/>
      <c r="H2956" s="2"/>
    </row>
    <row r="2957" spans="1:8" x14ac:dyDescent="0.25">
      <c r="A2957" s="5"/>
      <c r="B2957" s="6"/>
      <c r="C2957" s="6"/>
      <c r="D2957" s="6"/>
      <c r="E2957" s="6"/>
      <c r="G2957" s="3"/>
      <c r="H2957" s="2"/>
    </row>
    <row r="2958" spans="1:8" x14ac:dyDescent="0.25">
      <c r="A2958" s="5"/>
      <c r="B2958" s="6"/>
      <c r="C2958" s="6"/>
      <c r="D2958" s="6"/>
      <c r="E2958" s="6"/>
      <c r="G2958" s="1"/>
      <c r="H2958" s="2"/>
    </row>
    <row r="2959" spans="1:8" x14ac:dyDescent="0.25">
      <c r="A2959" s="5"/>
      <c r="B2959" s="6"/>
      <c r="C2959" s="6"/>
      <c r="D2959" s="6"/>
      <c r="E2959" s="6"/>
      <c r="G2959" s="3"/>
      <c r="H2959" s="2"/>
    </row>
    <row r="2960" spans="1:8" x14ac:dyDescent="0.25">
      <c r="A2960" s="5"/>
      <c r="B2960" s="6"/>
      <c r="C2960" s="6"/>
      <c r="D2960" s="6"/>
      <c r="E2960" s="6"/>
      <c r="G2960" s="1"/>
      <c r="H2960" s="2"/>
    </row>
    <row r="2961" spans="1:8" x14ac:dyDescent="0.25">
      <c r="A2961" s="5"/>
      <c r="B2961" s="6"/>
      <c r="C2961" s="6"/>
      <c r="D2961" s="6"/>
      <c r="E2961" s="6"/>
      <c r="G2961" s="3"/>
      <c r="H2961" s="2"/>
    </row>
    <row r="2962" spans="1:8" x14ac:dyDescent="0.25">
      <c r="A2962" s="5"/>
      <c r="B2962" s="6"/>
      <c r="C2962" s="6"/>
      <c r="D2962" s="6"/>
      <c r="E2962" s="6"/>
      <c r="G2962" s="1"/>
      <c r="H2962" s="2"/>
    </row>
    <row r="2963" spans="1:8" x14ac:dyDescent="0.25">
      <c r="A2963" s="5"/>
      <c r="B2963" s="6"/>
      <c r="C2963" s="6"/>
      <c r="D2963" s="6"/>
      <c r="E2963" s="6"/>
      <c r="G2963" s="3"/>
      <c r="H2963" s="2"/>
    </row>
    <row r="2964" spans="1:8" x14ac:dyDescent="0.25">
      <c r="A2964" s="5"/>
      <c r="B2964" s="6"/>
      <c r="C2964" s="6"/>
      <c r="D2964" s="6"/>
      <c r="E2964" s="6"/>
      <c r="G2964" s="1"/>
      <c r="H2964" s="2"/>
    </row>
    <row r="2965" spans="1:8" x14ac:dyDescent="0.25">
      <c r="A2965" s="5"/>
      <c r="B2965" s="6"/>
      <c r="C2965" s="6"/>
      <c r="D2965" s="6"/>
      <c r="E2965" s="6"/>
      <c r="G2965" s="3"/>
      <c r="H2965" s="2"/>
    </row>
    <row r="2966" spans="1:8" x14ac:dyDescent="0.25">
      <c r="A2966" s="5"/>
      <c r="B2966" s="6"/>
      <c r="C2966" s="6"/>
      <c r="D2966" s="6"/>
      <c r="E2966" s="6"/>
      <c r="G2966" s="1"/>
      <c r="H2966" s="2"/>
    </row>
    <row r="2967" spans="1:8" x14ac:dyDescent="0.25">
      <c r="A2967" s="5"/>
      <c r="B2967" s="6"/>
      <c r="C2967" s="6"/>
      <c r="D2967" s="6"/>
      <c r="E2967" s="6"/>
      <c r="G2967" s="3"/>
      <c r="H2967" s="2"/>
    </row>
    <row r="2968" spans="1:8" x14ac:dyDescent="0.25">
      <c r="A2968" s="5"/>
      <c r="B2968" s="6"/>
      <c r="C2968" s="6"/>
      <c r="D2968" s="6"/>
      <c r="E2968" s="6"/>
      <c r="G2968" s="1"/>
      <c r="H2968" s="2"/>
    </row>
    <row r="2969" spans="1:8" x14ac:dyDescent="0.25">
      <c r="A2969" s="5"/>
      <c r="B2969" s="6"/>
      <c r="C2969" s="6"/>
      <c r="D2969" s="6"/>
      <c r="E2969" s="6"/>
      <c r="G2969" s="3"/>
      <c r="H2969" s="2"/>
    </row>
    <row r="2970" spans="1:8" x14ac:dyDescent="0.25">
      <c r="A2970" s="5"/>
      <c r="B2970" s="6"/>
      <c r="C2970" s="6"/>
      <c r="D2970" s="6"/>
      <c r="E2970" s="6"/>
      <c r="G2970" s="1"/>
      <c r="H2970" s="2"/>
    </row>
    <row r="2971" spans="1:8" x14ac:dyDescent="0.25">
      <c r="A2971" s="5"/>
      <c r="B2971" s="6"/>
      <c r="C2971" s="6"/>
      <c r="D2971" s="6"/>
      <c r="E2971" s="6"/>
      <c r="G2971" s="3"/>
      <c r="H2971" s="2"/>
    </row>
    <row r="2972" spans="1:8" x14ac:dyDescent="0.25">
      <c r="A2972" s="5"/>
      <c r="B2972" s="6"/>
      <c r="C2972" s="6"/>
      <c r="D2972" s="6"/>
      <c r="E2972" s="6"/>
      <c r="G2972" s="1"/>
      <c r="H2972" s="2"/>
    </row>
    <row r="2973" spans="1:8" x14ac:dyDescent="0.25">
      <c r="A2973" s="5"/>
      <c r="B2973" s="6"/>
      <c r="C2973" s="6"/>
      <c r="D2973" s="6"/>
      <c r="E2973" s="6"/>
      <c r="G2973" s="3"/>
      <c r="H2973" s="2"/>
    </row>
    <row r="2974" spans="1:8" x14ac:dyDescent="0.25">
      <c r="A2974" s="5"/>
      <c r="B2974" s="6"/>
      <c r="C2974" s="6"/>
      <c r="D2974" s="6"/>
      <c r="E2974" s="6"/>
      <c r="G2974" s="1"/>
      <c r="H2974" s="2"/>
    </row>
    <row r="2975" spans="1:8" x14ac:dyDescent="0.25">
      <c r="A2975" s="5"/>
      <c r="B2975" s="6"/>
      <c r="C2975" s="6"/>
      <c r="D2975" s="6"/>
      <c r="E2975" s="6"/>
      <c r="G2975" s="3"/>
      <c r="H2975" s="2"/>
    </row>
    <row r="2976" spans="1:8" x14ac:dyDescent="0.25">
      <c r="A2976" s="5"/>
      <c r="B2976" s="6"/>
      <c r="C2976" s="6"/>
      <c r="D2976" s="6"/>
      <c r="E2976" s="6"/>
      <c r="G2976" s="1"/>
      <c r="H2976" s="2"/>
    </row>
    <row r="2977" spans="1:8" x14ac:dyDescent="0.25">
      <c r="A2977" s="5"/>
      <c r="B2977" s="6"/>
      <c r="C2977" s="6"/>
      <c r="D2977" s="6"/>
      <c r="E2977" s="6"/>
      <c r="G2977" s="3"/>
      <c r="H2977" s="2"/>
    </row>
    <row r="2978" spans="1:8" x14ac:dyDescent="0.25">
      <c r="A2978" s="5"/>
      <c r="B2978" s="6"/>
      <c r="C2978" s="6"/>
      <c r="D2978" s="6"/>
      <c r="E2978" s="6"/>
      <c r="G2978" s="1"/>
      <c r="H2978" s="2"/>
    </row>
    <row r="2979" spans="1:8" x14ac:dyDescent="0.25">
      <c r="A2979" s="5"/>
      <c r="B2979" s="6"/>
      <c r="C2979" s="6"/>
      <c r="D2979" s="6"/>
      <c r="E2979" s="6"/>
      <c r="G2979" s="3"/>
      <c r="H2979" s="2"/>
    </row>
    <row r="2980" spans="1:8" x14ac:dyDescent="0.25">
      <c r="A2980" s="5"/>
      <c r="B2980" s="6"/>
      <c r="C2980" s="6"/>
      <c r="D2980" s="6"/>
      <c r="E2980" s="6"/>
      <c r="G2980" s="1"/>
      <c r="H2980" s="2"/>
    </row>
    <row r="2981" spans="1:8" x14ac:dyDescent="0.25">
      <c r="A2981" s="5"/>
      <c r="B2981" s="6"/>
      <c r="C2981" s="6"/>
      <c r="D2981" s="6"/>
      <c r="E2981" s="6"/>
      <c r="G2981" s="3"/>
      <c r="H2981" s="2"/>
    </row>
    <row r="2982" spans="1:8" x14ac:dyDescent="0.25">
      <c r="A2982" s="5"/>
      <c r="B2982" s="6"/>
      <c r="C2982" s="6"/>
      <c r="D2982" s="6"/>
      <c r="E2982" s="6"/>
      <c r="G2982" s="1"/>
      <c r="H2982" s="2"/>
    </row>
    <row r="2983" spans="1:8" x14ac:dyDescent="0.25">
      <c r="A2983" s="5"/>
      <c r="B2983" s="6"/>
      <c r="C2983" s="6"/>
      <c r="D2983" s="6"/>
      <c r="E2983" s="6"/>
      <c r="G2983" s="3"/>
      <c r="H2983" s="2"/>
    </row>
    <row r="2984" spans="1:8" x14ac:dyDescent="0.25">
      <c r="A2984" s="5"/>
      <c r="B2984" s="6"/>
      <c r="C2984" s="6"/>
      <c r="D2984" s="6"/>
      <c r="E2984" s="6"/>
      <c r="G2984" s="1"/>
      <c r="H2984" s="2"/>
    </row>
    <row r="2985" spans="1:8" x14ac:dyDescent="0.25">
      <c r="A2985" s="5"/>
      <c r="B2985" s="6"/>
      <c r="C2985" s="6"/>
      <c r="D2985" s="6"/>
      <c r="E2985" s="6"/>
      <c r="G2985" s="3"/>
      <c r="H2985" s="2"/>
    </row>
    <row r="2986" spans="1:8" x14ac:dyDescent="0.25">
      <c r="A2986" s="5"/>
      <c r="B2986" s="6"/>
      <c r="C2986" s="6"/>
      <c r="D2986" s="6"/>
      <c r="E2986" s="6"/>
      <c r="G2986" s="1"/>
      <c r="H2986" s="2"/>
    </row>
    <row r="2987" spans="1:8" x14ac:dyDescent="0.25">
      <c r="A2987" s="5"/>
      <c r="B2987" s="6"/>
      <c r="C2987" s="6"/>
      <c r="D2987" s="6"/>
      <c r="E2987" s="6"/>
      <c r="G2987" s="3"/>
      <c r="H2987" s="2"/>
    </row>
    <row r="2988" spans="1:8" x14ac:dyDescent="0.25">
      <c r="A2988" s="5"/>
      <c r="B2988" s="6"/>
      <c r="C2988" s="6"/>
      <c r="D2988" s="6"/>
      <c r="E2988" s="6"/>
      <c r="G2988" s="1"/>
      <c r="H2988" s="2"/>
    </row>
    <row r="2989" spans="1:8" x14ac:dyDescent="0.25">
      <c r="A2989" s="5"/>
      <c r="B2989" s="6"/>
      <c r="C2989" s="6"/>
      <c r="D2989" s="6"/>
      <c r="E2989" s="6"/>
      <c r="G2989" s="3"/>
      <c r="H2989" s="2"/>
    </row>
    <row r="2990" spans="1:8" x14ac:dyDescent="0.25">
      <c r="A2990" s="5"/>
      <c r="B2990" s="6"/>
      <c r="C2990" s="6"/>
      <c r="D2990" s="6"/>
      <c r="E2990" s="6"/>
      <c r="G2990" s="1"/>
      <c r="H2990" s="2"/>
    </row>
    <row r="2991" spans="1:8" x14ac:dyDescent="0.25">
      <c r="A2991" s="5"/>
      <c r="B2991" s="6"/>
      <c r="C2991" s="6"/>
      <c r="D2991" s="6"/>
      <c r="E2991" s="6"/>
      <c r="G2991" s="3"/>
      <c r="H2991" s="2"/>
    </row>
    <row r="2992" spans="1:8" x14ac:dyDescent="0.25">
      <c r="A2992" s="5"/>
      <c r="B2992" s="6"/>
      <c r="C2992" s="6"/>
      <c r="D2992" s="6"/>
      <c r="E2992" s="6"/>
      <c r="G2992" s="1"/>
      <c r="H2992" s="2"/>
    </row>
    <row r="2993" spans="1:8" x14ac:dyDescent="0.25">
      <c r="A2993" s="5"/>
      <c r="B2993" s="6"/>
      <c r="C2993" s="6"/>
      <c r="D2993" s="6"/>
      <c r="E2993" s="6"/>
      <c r="G2993" s="3"/>
      <c r="H2993" s="2"/>
    </row>
    <row r="2994" spans="1:8" x14ac:dyDescent="0.25">
      <c r="A2994" s="5"/>
      <c r="B2994" s="6"/>
      <c r="C2994" s="6"/>
      <c r="D2994" s="6"/>
      <c r="E2994" s="6"/>
      <c r="G2994" s="1"/>
      <c r="H2994" s="2"/>
    </row>
    <row r="2995" spans="1:8" x14ac:dyDescent="0.25">
      <c r="A2995" s="5"/>
      <c r="B2995" s="6"/>
      <c r="C2995" s="6"/>
      <c r="D2995" s="6"/>
      <c r="E2995" s="6"/>
      <c r="G2995" s="3"/>
      <c r="H2995" s="2"/>
    </row>
    <row r="2996" spans="1:8" x14ac:dyDescent="0.25">
      <c r="A2996" s="5"/>
      <c r="B2996" s="6"/>
      <c r="C2996" s="6"/>
      <c r="D2996" s="6"/>
      <c r="E2996" s="6"/>
      <c r="G2996" s="1"/>
      <c r="H2996" s="2"/>
    </row>
    <row r="2997" spans="1:8" x14ac:dyDescent="0.25">
      <c r="A2997" s="5"/>
      <c r="B2997" s="6"/>
      <c r="C2997" s="6"/>
      <c r="D2997" s="6"/>
      <c r="E2997" s="6"/>
      <c r="G2997" s="3"/>
      <c r="H2997" s="2"/>
    </row>
    <row r="2998" spans="1:8" x14ac:dyDescent="0.25">
      <c r="A2998" s="5"/>
      <c r="B2998" s="6"/>
      <c r="C2998" s="6"/>
      <c r="D2998" s="6"/>
      <c r="E2998" s="6"/>
      <c r="G2998" s="1"/>
      <c r="H2998" s="2"/>
    </row>
    <row r="2999" spans="1:8" x14ac:dyDescent="0.25">
      <c r="A2999" s="5"/>
      <c r="B2999" s="6"/>
      <c r="C2999" s="6"/>
      <c r="D2999" s="6"/>
      <c r="E2999" s="6"/>
      <c r="G2999" s="3"/>
      <c r="H2999" s="2"/>
    </row>
    <row r="3000" spans="1:8" x14ac:dyDescent="0.25">
      <c r="A3000" s="5"/>
      <c r="B3000" s="6"/>
      <c r="C3000" s="6"/>
      <c r="D3000" s="6"/>
      <c r="E3000" s="6"/>
      <c r="G3000" s="1"/>
      <c r="H3000" s="2"/>
    </row>
    <row r="3001" spans="1:8" x14ac:dyDescent="0.25">
      <c r="A3001" s="5"/>
      <c r="B3001" s="6"/>
      <c r="C3001" s="6"/>
      <c r="D3001" s="6"/>
      <c r="E3001" s="6"/>
      <c r="G3001" s="3"/>
      <c r="H3001" s="2"/>
    </row>
    <row r="3002" spans="1:8" x14ac:dyDescent="0.25">
      <c r="A3002" s="5"/>
      <c r="B3002" s="6"/>
      <c r="C3002" s="6"/>
      <c r="D3002" s="6"/>
      <c r="E3002" s="6"/>
      <c r="G3002" s="1"/>
      <c r="H3002" s="2"/>
    </row>
    <row r="3003" spans="1:8" x14ac:dyDescent="0.25">
      <c r="A3003" s="5"/>
      <c r="B3003" s="6"/>
      <c r="C3003" s="6"/>
      <c r="D3003" s="6"/>
      <c r="E3003" s="6"/>
      <c r="G3003" s="3"/>
      <c r="H3003" s="2"/>
    </row>
    <row r="3004" spans="1:8" x14ac:dyDescent="0.25">
      <c r="A3004" s="5"/>
      <c r="B3004" s="6"/>
      <c r="C3004" s="6"/>
      <c r="D3004" s="6"/>
      <c r="E3004" s="6"/>
      <c r="G3004" s="1"/>
      <c r="H3004" s="2"/>
    </row>
    <row r="3005" spans="1:8" x14ac:dyDescent="0.25">
      <c r="A3005" s="5"/>
      <c r="B3005" s="6"/>
      <c r="C3005" s="6"/>
      <c r="D3005" s="6"/>
      <c r="E3005" s="6"/>
      <c r="G3005" s="3"/>
      <c r="H3005" s="2"/>
    </row>
    <row r="3006" spans="1:8" x14ac:dyDescent="0.25">
      <c r="A3006" s="5"/>
      <c r="B3006" s="6"/>
      <c r="C3006" s="6"/>
      <c r="D3006" s="6"/>
      <c r="E3006" s="6"/>
      <c r="G3006" s="1"/>
      <c r="H3006" s="2"/>
    </row>
    <row r="3007" spans="1:8" x14ac:dyDescent="0.25">
      <c r="A3007" s="5"/>
      <c r="B3007" s="6"/>
      <c r="C3007" s="6"/>
      <c r="D3007" s="6"/>
      <c r="E3007" s="6"/>
      <c r="G3007" s="3"/>
      <c r="H3007" s="2"/>
    </row>
    <row r="3008" spans="1:8" x14ac:dyDescent="0.25">
      <c r="A3008" s="5"/>
      <c r="B3008" s="6"/>
      <c r="C3008" s="6"/>
      <c r="D3008" s="6"/>
      <c r="E3008" s="6"/>
      <c r="G3008" s="1"/>
      <c r="H3008" s="2"/>
    </row>
    <row r="3009" spans="1:8" x14ac:dyDescent="0.25">
      <c r="A3009" s="5"/>
      <c r="B3009" s="6"/>
      <c r="C3009" s="6"/>
      <c r="D3009" s="6"/>
      <c r="E3009" s="6"/>
      <c r="G3009" s="3"/>
      <c r="H3009" s="2"/>
    </row>
    <row r="3010" spans="1:8" x14ac:dyDescent="0.25">
      <c r="A3010" s="5"/>
      <c r="B3010" s="6"/>
      <c r="C3010" s="6"/>
      <c r="D3010" s="6"/>
      <c r="E3010" s="6"/>
      <c r="G3010" s="1"/>
      <c r="H3010" s="2"/>
    </row>
    <row r="3011" spans="1:8" x14ac:dyDescent="0.25">
      <c r="A3011" s="5"/>
      <c r="B3011" s="6"/>
      <c r="C3011" s="6"/>
      <c r="D3011" s="6"/>
      <c r="E3011" s="6"/>
      <c r="G3011" s="3"/>
      <c r="H3011" s="2"/>
    </row>
    <row r="3012" spans="1:8" x14ac:dyDescent="0.25">
      <c r="A3012" s="5"/>
      <c r="B3012" s="6"/>
      <c r="C3012" s="6"/>
      <c r="D3012" s="6"/>
      <c r="E3012" s="6"/>
      <c r="G3012" s="1"/>
      <c r="H3012" s="2"/>
    </row>
    <row r="3013" spans="1:8" x14ac:dyDescent="0.25">
      <c r="A3013" s="5"/>
      <c r="B3013" s="6"/>
      <c r="C3013" s="6"/>
      <c r="D3013" s="6"/>
      <c r="E3013" s="6"/>
      <c r="G3013" s="3"/>
      <c r="H3013" s="2"/>
    </row>
    <row r="3014" spans="1:8" x14ac:dyDescent="0.25">
      <c r="A3014" s="5"/>
      <c r="B3014" s="6"/>
      <c r="C3014" s="6"/>
      <c r="D3014" s="6"/>
      <c r="E3014" s="6"/>
      <c r="G3014" s="1"/>
      <c r="H3014" s="2"/>
    </row>
    <row r="3015" spans="1:8" x14ac:dyDescent="0.25">
      <c r="A3015" s="5"/>
      <c r="B3015" s="6"/>
      <c r="C3015" s="6"/>
      <c r="D3015" s="6"/>
      <c r="E3015" s="6"/>
      <c r="G3015" s="3"/>
      <c r="H3015" s="2"/>
    </row>
    <row r="3016" spans="1:8" x14ac:dyDescent="0.25">
      <c r="A3016" s="5"/>
      <c r="B3016" s="6"/>
      <c r="C3016" s="6"/>
      <c r="D3016" s="6"/>
      <c r="E3016" s="6"/>
      <c r="G3016" s="1"/>
      <c r="H3016" s="2"/>
    </row>
    <row r="3017" spans="1:8" x14ac:dyDescent="0.25">
      <c r="A3017" s="5"/>
      <c r="B3017" s="6"/>
      <c r="C3017" s="6"/>
      <c r="D3017" s="6"/>
      <c r="E3017" s="6"/>
      <c r="G3017" s="3"/>
      <c r="H3017" s="2"/>
    </row>
    <row r="3018" spans="1:8" x14ac:dyDescent="0.25">
      <c r="A3018" s="5"/>
      <c r="B3018" s="6"/>
      <c r="C3018" s="6"/>
      <c r="D3018" s="6"/>
      <c r="E3018" s="6"/>
      <c r="G3018" s="1"/>
      <c r="H3018" s="2"/>
    </row>
    <row r="3019" spans="1:8" x14ac:dyDescent="0.25">
      <c r="A3019" s="5"/>
      <c r="B3019" s="6"/>
      <c r="C3019" s="6"/>
      <c r="D3019" s="6"/>
      <c r="E3019" s="6"/>
      <c r="G3019" s="3"/>
      <c r="H3019" s="2"/>
    </row>
    <row r="3020" spans="1:8" x14ac:dyDescent="0.25">
      <c r="A3020" s="5"/>
      <c r="B3020" s="6"/>
      <c r="C3020" s="6"/>
      <c r="D3020" s="6"/>
      <c r="E3020" s="6"/>
      <c r="G3020" s="1"/>
      <c r="H3020" s="2"/>
    </row>
    <row r="3021" spans="1:8" x14ac:dyDescent="0.25">
      <c r="A3021" s="5"/>
      <c r="B3021" s="6"/>
      <c r="C3021" s="6"/>
      <c r="D3021" s="6"/>
      <c r="E3021" s="6"/>
      <c r="G3021" s="3"/>
      <c r="H3021" s="2"/>
    </row>
    <row r="3022" spans="1:8" x14ac:dyDescent="0.25">
      <c r="A3022" s="5"/>
      <c r="B3022" s="6"/>
      <c r="C3022" s="6"/>
      <c r="D3022" s="6"/>
      <c r="E3022" s="6"/>
      <c r="G3022" s="1"/>
      <c r="H3022" s="2"/>
    </row>
    <row r="3023" spans="1:8" x14ac:dyDescent="0.25">
      <c r="A3023" s="5"/>
      <c r="B3023" s="6"/>
      <c r="C3023" s="6"/>
      <c r="D3023" s="6"/>
      <c r="E3023" s="6"/>
      <c r="G3023" s="3"/>
      <c r="H3023" s="2"/>
    </row>
    <row r="3024" spans="1:8" x14ac:dyDescent="0.25">
      <c r="A3024" s="5"/>
      <c r="B3024" s="6"/>
      <c r="C3024" s="6"/>
      <c r="D3024" s="6"/>
      <c r="E3024" s="6"/>
      <c r="G3024" s="1"/>
      <c r="H3024" s="2"/>
    </row>
    <row r="3025" spans="1:8" x14ac:dyDescent="0.25">
      <c r="A3025" s="5"/>
      <c r="B3025" s="6"/>
      <c r="C3025" s="6"/>
      <c r="D3025" s="6"/>
      <c r="E3025" s="6"/>
      <c r="G3025" s="3"/>
      <c r="H3025" s="2"/>
    </row>
    <row r="3026" spans="1:8" x14ac:dyDescent="0.25">
      <c r="A3026" s="5"/>
      <c r="B3026" s="6"/>
      <c r="C3026" s="6"/>
      <c r="D3026" s="6"/>
      <c r="E3026" s="6"/>
      <c r="G3026" s="1"/>
      <c r="H3026" s="2"/>
    </row>
    <row r="3027" spans="1:8" x14ac:dyDescent="0.25">
      <c r="A3027" s="5"/>
      <c r="B3027" s="6"/>
      <c r="C3027" s="6"/>
      <c r="D3027" s="6"/>
      <c r="E3027" s="6"/>
      <c r="G3027" s="3"/>
      <c r="H3027" s="2"/>
    </row>
    <row r="3028" spans="1:8" x14ac:dyDescent="0.25">
      <c r="A3028" s="5"/>
      <c r="B3028" s="6"/>
      <c r="C3028" s="6"/>
      <c r="D3028" s="6"/>
      <c r="E3028" s="6"/>
      <c r="G3028" s="1"/>
      <c r="H3028" s="2"/>
    </row>
    <row r="3029" spans="1:8" x14ac:dyDescent="0.25">
      <c r="A3029" s="5"/>
      <c r="B3029" s="6"/>
      <c r="C3029" s="6"/>
      <c r="D3029" s="6"/>
      <c r="E3029" s="6"/>
      <c r="G3029" s="3"/>
      <c r="H3029" s="2"/>
    </row>
    <row r="3030" spans="1:8" x14ac:dyDescent="0.25">
      <c r="A3030" s="5"/>
      <c r="B3030" s="6"/>
      <c r="C3030" s="6"/>
      <c r="D3030" s="6"/>
      <c r="E3030" s="6"/>
      <c r="G3030" s="1"/>
      <c r="H3030" s="2"/>
    </row>
    <row r="3031" spans="1:8" x14ac:dyDescent="0.25">
      <c r="A3031" s="5"/>
      <c r="B3031" s="6"/>
      <c r="C3031" s="6"/>
      <c r="D3031" s="6"/>
      <c r="E3031" s="6"/>
      <c r="G3031" s="3"/>
      <c r="H3031" s="2"/>
    </row>
    <row r="3032" spans="1:8" x14ac:dyDescent="0.25">
      <c r="A3032" s="5"/>
      <c r="B3032" s="6"/>
      <c r="C3032" s="6"/>
      <c r="D3032" s="6"/>
      <c r="E3032" s="6"/>
      <c r="G3032" s="1"/>
      <c r="H3032" s="2"/>
    </row>
    <row r="3033" spans="1:8" x14ac:dyDescent="0.25">
      <c r="A3033" s="5"/>
      <c r="B3033" s="6"/>
      <c r="C3033" s="6"/>
      <c r="D3033" s="6"/>
      <c r="E3033" s="6"/>
      <c r="G3033" s="3"/>
      <c r="H3033" s="2"/>
    </row>
    <row r="3034" spans="1:8" x14ac:dyDescent="0.25">
      <c r="A3034" s="5"/>
      <c r="B3034" s="6"/>
      <c r="C3034" s="6"/>
      <c r="D3034" s="6"/>
      <c r="E3034" s="6"/>
      <c r="G3034" s="1"/>
      <c r="H3034" s="2"/>
    </row>
    <row r="3035" spans="1:8" x14ac:dyDescent="0.25">
      <c r="A3035" s="5"/>
      <c r="B3035" s="6"/>
      <c r="C3035" s="6"/>
      <c r="D3035" s="6"/>
      <c r="E3035" s="6"/>
      <c r="G3035" s="3"/>
      <c r="H3035" s="2"/>
    </row>
    <row r="3036" spans="1:8" x14ac:dyDescent="0.25">
      <c r="A3036" s="5"/>
      <c r="B3036" s="6"/>
      <c r="C3036" s="6"/>
      <c r="D3036" s="6"/>
      <c r="E3036" s="6"/>
      <c r="G3036" s="1"/>
      <c r="H3036" s="2"/>
    </row>
    <row r="3037" spans="1:8" x14ac:dyDescent="0.25">
      <c r="A3037" s="5"/>
      <c r="B3037" s="6"/>
      <c r="C3037" s="6"/>
      <c r="D3037" s="6"/>
      <c r="E3037" s="6"/>
      <c r="G3037" s="3"/>
      <c r="H3037" s="2"/>
    </row>
    <row r="3038" spans="1:8" x14ac:dyDescent="0.25">
      <c r="A3038" s="5"/>
      <c r="B3038" s="6"/>
      <c r="C3038" s="6"/>
      <c r="D3038" s="6"/>
      <c r="E3038" s="6"/>
      <c r="G3038" s="1"/>
      <c r="H3038" s="2"/>
    </row>
    <row r="3039" spans="1:8" x14ac:dyDescent="0.25">
      <c r="A3039" s="5"/>
      <c r="B3039" s="6"/>
      <c r="C3039" s="6"/>
      <c r="D3039" s="6"/>
      <c r="E3039" s="6"/>
      <c r="G3039" s="3"/>
      <c r="H3039" s="2"/>
    </row>
    <row r="3040" spans="1:8" x14ac:dyDescent="0.25">
      <c r="A3040" s="5"/>
      <c r="B3040" s="6"/>
      <c r="C3040" s="6"/>
      <c r="D3040" s="6"/>
      <c r="E3040" s="6"/>
      <c r="G3040" s="1"/>
      <c r="H3040" s="2"/>
    </row>
    <row r="3041" spans="1:8" x14ac:dyDescent="0.25">
      <c r="A3041" s="5"/>
      <c r="B3041" s="6"/>
      <c r="C3041" s="6"/>
      <c r="D3041" s="6"/>
      <c r="E3041" s="6"/>
      <c r="G3041" s="3"/>
      <c r="H3041" s="2"/>
    </row>
    <row r="3042" spans="1:8" x14ac:dyDescent="0.25">
      <c r="A3042" s="5"/>
      <c r="B3042" s="6"/>
      <c r="C3042" s="6"/>
      <c r="D3042" s="6"/>
      <c r="E3042" s="6"/>
      <c r="G3042" s="1"/>
      <c r="H3042" s="2"/>
    </row>
    <row r="3043" spans="1:8" x14ac:dyDescent="0.25">
      <c r="A3043" s="5"/>
      <c r="B3043" s="6"/>
      <c r="C3043" s="6"/>
      <c r="D3043" s="6"/>
      <c r="E3043" s="6"/>
      <c r="G3043" s="3"/>
      <c r="H3043" s="2"/>
    </row>
    <row r="3044" spans="1:8" x14ac:dyDescent="0.25">
      <c r="A3044" s="5"/>
      <c r="B3044" s="6"/>
      <c r="C3044" s="6"/>
      <c r="D3044" s="6"/>
      <c r="E3044" s="6"/>
      <c r="G3044" s="1"/>
      <c r="H3044" s="2"/>
    </row>
    <row r="3045" spans="1:8" x14ac:dyDescent="0.25">
      <c r="A3045" s="5"/>
      <c r="B3045" s="6"/>
      <c r="C3045" s="6"/>
      <c r="D3045" s="6"/>
      <c r="E3045" s="6"/>
      <c r="G3045" s="3"/>
      <c r="H3045" s="2"/>
    </row>
    <row r="3046" spans="1:8" x14ac:dyDescent="0.25">
      <c r="A3046" s="5"/>
      <c r="B3046" s="6"/>
      <c r="C3046" s="6"/>
      <c r="D3046" s="6"/>
      <c r="E3046" s="6"/>
      <c r="G3046" s="1"/>
      <c r="H3046" s="2"/>
    </row>
    <row r="3047" spans="1:8" x14ac:dyDescent="0.25">
      <c r="A3047" s="5"/>
      <c r="B3047" s="6"/>
      <c r="C3047" s="6"/>
      <c r="D3047" s="6"/>
      <c r="E3047" s="6"/>
      <c r="G3047" s="3"/>
      <c r="H3047" s="2"/>
    </row>
    <row r="3048" spans="1:8" x14ac:dyDescent="0.25">
      <c r="A3048" s="5"/>
      <c r="B3048" s="6"/>
      <c r="C3048" s="6"/>
      <c r="D3048" s="6"/>
      <c r="E3048" s="6"/>
      <c r="G3048" s="1"/>
      <c r="H3048" s="2"/>
    </row>
    <row r="3049" spans="1:8" x14ac:dyDescent="0.25">
      <c r="A3049" s="5"/>
      <c r="B3049" s="6"/>
      <c r="C3049" s="6"/>
      <c r="D3049" s="6"/>
      <c r="E3049" s="6"/>
      <c r="G3049" s="3"/>
      <c r="H3049" s="2"/>
    </row>
    <row r="3050" spans="1:8" x14ac:dyDescent="0.25">
      <c r="A3050" s="5"/>
      <c r="B3050" s="6"/>
      <c r="C3050" s="6"/>
      <c r="D3050" s="6"/>
      <c r="E3050" s="6"/>
      <c r="G3050" s="1"/>
      <c r="H3050" s="2"/>
    </row>
    <row r="3051" spans="1:8" x14ac:dyDescent="0.25">
      <c r="A3051" s="5"/>
      <c r="B3051" s="6"/>
      <c r="C3051" s="6"/>
      <c r="D3051" s="6"/>
      <c r="E3051" s="6"/>
      <c r="G3051" s="3"/>
      <c r="H3051" s="2"/>
    </row>
    <row r="3052" spans="1:8" x14ac:dyDescent="0.25">
      <c r="A3052" s="5"/>
      <c r="B3052" s="6"/>
      <c r="C3052" s="6"/>
      <c r="D3052" s="6"/>
      <c r="E3052" s="6"/>
      <c r="G3052" s="1"/>
      <c r="H3052" s="2"/>
    </row>
    <row r="3053" spans="1:8" x14ac:dyDescent="0.25">
      <c r="A3053" s="5"/>
      <c r="B3053" s="6"/>
      <c r="C3053" s="6"/>
      <c r="D3053" s="6"/>
      <c r="E3053" s="6"/>
      <c r="G3053" s="3"/>
      <c r="H3053" s="2"/>
    </row>
    <row r="3054" spans="1:8" x14ac:dyDescent="0.25">
      <c r="A3054" s="5"/>
      <c r="B3054" s="6"/>
      <c r="C3054" s="6"/>
      <c r="D3054" s="6"/>
      <c r="E3054" s="6"/>
      <c r="G3054" s="1"/>
      <c r="H3054" s="2"/>
    </row>
    <row r="3055" spans="1:8" x14ac:dyDescent="0.25">
      <c r="A3055" s="5"/>
      <c r="B3055" s="6"/>
      <c r="C3055" s="6"/>
      <c r="D3055" s="6"/>
      <c r="E3055" s="6"/>
      <c r="G3055" s="14"/>
      <c r="H3055" s="2"/>
    </row>
    <row r="3056" spans="1:8" x14ac:dyDescent="0.25">
      <c r="A3056" s="5"/>
      <c r="B3056" s="6"/>
      <c r="C3056" s="6"/>
      <c r="D3056" s="6"/>
      <c r="E3056" s="6"/>
      <c r="G3056" s="14"/>
      <c r="H3056" s="2"/>
    </row>
    <row r="3057" spans="1:8" x14ac:dyDescent="0.25">
      <c r="A3057" s="5"/>
      <c r="B3057" s="6"/>
      <c r="C3057" s="6"/>
      <c r="D3057" s="6"/>
      <c r="E3057" s="6"/>
      <c r="G3057" s="14"/>
      <c r="H3057" s="2"/>
    </row>
    <row r="3058" spans="1:8" x14ac:dyDescent="0.25">
      <c r="A3058" s="5"/>
      <c r="B3058" s="6"/>
      <c r="C3058" s="6"/>
      <c r="D3058" s="6"/>
      <c r="E3058" s="6"/>
      <c r="G3058" s="14"/>
      <c r="H3058" s="2"/>
    </row>
    <row r="3059" spans="1:8" x14ac:dyDescent="0.25">
      <c r="A3059" s="5"/>
      <c r="B3059" s="6"/>
      <c r="C3059" s="6"/>
      <c r="D3059" s="6"/>
      <c r="E3059" s="6"/>
      <c r="G3059" s="14"/>
      <c r="H3059" s="2"/>
    </row>
    <row r="3060" spans="1:8" x14ac:dyDescent="0.25">
      <c r="A3060" s="5"/>
      <c r="B3060" s="6"/>
      <c r="C3060" s="6"/>
      <c r="D3060" s="6"/>
      <c r="E3060" s="6"/>
      <c r="G3060" s="14"/>
      <c r="H3060" s="2"/>
    </row>
    <row r="3061" spans="1:8" x14ac:dyDescent="0.25">
      <c r="A3061" s="5"/>
      <c r="B3061" s="6"/>
      <c r="C3061" s="6"/>
      <c r="D3061" s="6"/>
      <c r="E3061" s="6"/>
    </row>
    <row r="3062" spans="1:8" x14ac:dyDescent="0.25">
      <c r="A3062" s="5"/>
      <c r="B3062" s="6"/>
      <c r="C3062" s="6"/>
      <c r="D3062" s="6"/>
      <c r="E3062" s="6"/>
      <c r="G3062" s="3"/>
      <c r="H3062" s="2"/>
    </row>
    <row r="3063" spans="1:8" x14ac:dyDescent="0.25">
      <c r="A3063" s="5"/>
      <c r="B3063" s="6"/>
      <c r="C3063" s="6"/>
      <c r="D3063" s="6"/>
      <c r="E3063" s="6"/>
      <c r="G3063" s="1"/>
      <c r="H3063" s="2"/>
    </row>
    <row r="3064" spans="1:8" x14ac:dyDescent="0.25">
      <c r="A3064" s="5"/>
      <c r="B3064" s="6"/>
      <c r="C3064" s="6"/>
      <c r="D3064" s="6"/>
      <c r="E3064" s="6"/>
      <c r="G3064" s="3"/>
      <c r="H3064" s="2"/>
    </row>
    <row r="3065" spans="1:8" x14ac:dyDescent="0.25">
      <c r="A3065" s="5"/>
      <c r="B3065" s="6"/>
      <c r="C3065" s="6"/>
      <c r="D3065" s="6"/>
      <c r="E3065" s="6"/>
      <c r="G3065" s="1"/>
      <c r="H3065" s="2"/>
    </row>
    <row r="3066" spans="1:8" x14ac:dyDescent="0.25">
      <c r="A3066" s="5"/>
      <c r="B3066" s="6"/>
      <c r="C3066" s="6"/>
      <c r="D3066" s="6"/>
      <c r="E3066" s="6"/>
      <c r="G3066" s="3"/>
      <c r="H3066" s="2"/>
    </row>
    <row r="3067" spans="1:8" x14ac:dyDescent="0.25">
      <c r="A3067" s="5"/>
      <c r="B3067" s="6"/>
      <c r="C3067" s="6"/>
      <c r="D3067" s="6"/>
      <c r="E3067" s="6"/>
      <c r="G3067" s="1"/>
      <c r="H3067" s="2"/>
    </row>
    <row r="3068" spans="1:8" x14ac:dyDescent="0.25">
      <c r="A3068" s="5"/>
      <c r="B3068" s="6"/>
      <c r="C3068" s="6"/>
      <c r="D3068" s="6"/>
      <c r="E3068" s="6"/>
      <c r="G3068" s="3"/>
      <c r="H3068" s="2"/>
    </row>
    <row r="3069" spans="1:8" x14ac:dyDescent="0.25">
      <c r="A3069" s="5"/>
      <c r="B3069" s="6"/>
      <c r="C3069" s="6"/>
      <c r="D3069" s="6"/>
      <c r="E3069" s="6"/>
      <c r="G3069" s="1"/>
      <c r="H3069" s="2"/>
    </row>
    <row r="3070" spans="1:8" x14ac:dyDescent="0.25">
      <c r="A3070" s="5"/>
      <c r="B3070" s="6"/>
      <c r="C3070" s="6"/>
      <c r="D3070" s="6"/>
      <c r="E3070" s="6"/>
      <c r="G3070" s="3"/>
      <c r="H3070" s="2"/>
    </row>
    <row r="3071" spans="1:8" x14ac:dyDescent="0.25">
      <c r="A3071" s="5"/>
      <c r="B3071" s="6"/>
      <c r="C3071" s="6"/>
      <c r="D3071" s="6"/>
      <c r="E3071" s="6"/>
      <c r="G3071" s="1"/>
      <c r="H3071" s="2"/>
    </row>
    <row r="3072" spans="1:8" x14ac:dyDescent="0.25">
      <c r="A3072" s="5"/>
      <c r="B3072" s="6"/>
      <c r="C3072" s="6"/>
      <c r="D3072" s="6"/>
      <c r="E3072" s="6"/>
      <c r="G3072" s="3"/>
      <c r="H3072" s="2"/>
    </row>
    <row r="3073" spans="1:8" x14ac:dyDescent="0.25">
      <c r="A3073" s="5"/>
      <c r="B3073" s="6"/>
      <c r="C3073" s="6"/>
      <c r="D3073" s="6"/>
      <c r="E3073" s="6"/>
      <c r="G3073" s="1"/>
      <c r="H3073" s="2"/>
    </row>
    <row r="3074" spans="1:8" x14ac:dyDescent="0.25">
      <c r="A3074" s="5"/>
      <c r="B3074" s="6"/>
      <c r="C3074" s="6"/>
      <c r="D3074" s="6"/>
      <c r="E3074" s="6"/>
      <c r="G3074" s="3"/>
      <c r="H3074" s="2"/>
    </row>
    <row r="3075" spans="1:8" x14ac:dyDescent="0.25">
      <c r="A3075" s="5"/>
      <c r="B3075" s="6"/>
      <c r="C3075" s="6"/>
      <c r="D3075" s="6"/>
      <c r="E3075" s="6"/>
      <c r="G3075" s="1"/>
      <c r="H3075" s="2"/>
    </row>
    <row r="3076" spans="1:8" x14ac:dyDescent="0.25">
      <c r="A3076" s="5"/>
      <c r="B3076" s="6"/>
      <c r="C3076" s="6"/>
      <c r="D3076" s="6"/>
      <c r="E3076" s="6"/>
      <c r="G3076" s="3"/>
      <c r="H3076" s="2"/>
    </row>
    <row r="3077" spans="1:8" x14ac:dyDescent="0.25">
      <c r="A3077" s="5"/>
      <c r="B3077" s="6"/>
      <c r="C3077" s="6"/>
      <c r="D3077" s="6"/>
      <c r="E3077" s="6"/>
      <c r="G3077" s="1"/>
      <c r="H3077" s="2"/>
    </row>
    <row r="3078" spans="1:8" x14ac:dyDescent="0.25">
      <c r="A3078" s="5"/>
      <c r="B3078" s="6"/>
      <c r="C3078" s="6"/>
      <c r="D3078" s="6"/>
      <c r="E3078" s="6"/>
      <c r="G3078" s="3"/>
      <c r="H3078" s="2"/>
    </row>
    <row r="3079" spans="1:8" x14ac:dyDescent="0.25">
      <c r="A3079" s="5"/>
      <c r="B3079" s="6"/>
      <c r="C3079" s="6"/>
      <c r="D3079" s="6"/>
      <c r="E3079" s="6"/>
      <c r="G3079" s="1"/>
      <c r="H3079" s="2"/>
    </row>
    <row r="3080" spans="1:8" x14ac:dyDescent="0.25">
      <c r="A3080" s="5"/>
      <c r="B3080" s="6"/>
      <c r="C3080" s="6"/>
      <c r="D3080" s="6"/>
      <c r="E3080" s="6"/>
      <c r="G3080" s="3"/>
      <c r="H3080" s="2"/>
    </row>
    <row r="3081" spans="1:8" x14ac:dyDescent="0.25">
      <c r="A3081" s="5"/>
      <c r="B3081" s="6"/>
      <c r="C3081" s="6"/>
      <c r="D3081" s="6"/>
      <c r="E3081" s="6"/>
      <c r="G3081" s="1"/>
      <c r="H3081" s="2"/>
    </row>
    <row r="3082" spans="1:8" x14ac:dyDescent="0.25">
      <c r="A3082" s="5"/>
      <c r="B3082" s="6"/>
      <c r="C3082" s="6"/>
      <c r="D3082" s="6"/>
      <c r="E3082" s="6"/>
      <c r="G3082" s="3"/>
      <c r="H3082" s="2"/>
    </row>
    <row r="3083" spans="1:8" x14ac:dyDescent="0.25">
      <c r="A3083" s="5"/>
      <c r="B3083" s="6"/>
      <c r="C3083" s="6"/>
      <c r="D3083" s="6"/>
      <c r="E3083" s="6"/>
      <c r="G3083" s="1"/>
      <c r="H3083" s="2"/>
    </row>
    <row r="3084" spans="1:8" x14ac:dyDescent="0.25">
      <c r="A3084" s="5"/>
      <c r="B3084" s="6"/>
      <c r="C3084" s="6"/>
      <c r="D3084" s="6"/>
      <c r="E3084" s="6"/>
      <c r="G3084" s="3"/>
      <c r="H3084" s="2"/>
    </row>
    <row r="3085" spans="1:8" x14ac:dyDescent="0.25">
      <c r="A3085" s="5"/>
      <c r="B3085" s="6"/>
      <c r="C3085" s="6"/>
      <c r="D3085" s="6"/>
      <c r="E3085" s="6"/>
      <c r="G3085" s="1"/>
      <c r="H3085" s="2"/>
    </row>
    <row r="3086" spans="1:8" x14ac:dyDescent="0.25">
      <c r="A3086" s="5"/>
      <c r="B3086" s="6"/>
      <c r="C3086" s="6"/>
      <c r="D3086" s="6"/>
      <c r="E3086" s="6"/>
      <c r="G3086" s="3"/>
      <c r="H3086" s="2"/>
    </row>
    <row r="3087" spans="1:8" x14ac:dyDescent="0.25">
      <c r="A3087" s="5"/>
      <c r="B3087" s="6"/>
      <c r="C3087" s="6"/>
      <c r="D3087" s="6"/>
      <c r="E3087" s="6"/>
      <c r="G3087" s="1"/>
      <c r="H3087" s="2"/>
    </row>
    <row r="3088" spans="1:8" x14ac:dyDescent="0.25">
      <c r="A3088" s="5"/>
      <c r="B3088" s="6"/>
      <c r="C3088" s="6"/>
      <c r="D3088" s="6"/>
      <c r="E3088" s="6"/>
      <c r="G3088" s="3"/>
      <c r="H3088" s="2"/>
    </row>
    <row r="3089" spans="1:8" x14ac:dyDescent="0.25">
      <c r="A3089" s="5"/>
      <c r="B3089" s="6"/>
      <c r="C3089" s="6"/>
      <c r="D3089" s="6"/>
      <c r="E3089" s="6"/>
      <c r="G3089" s="1"/>
      <c r="H3089" s="2"/>
    </row>
    <row r="3090" spans="1:8" x14ac:dyDescent="0.25">
      <c r="A3090" s="5"/>
      <c r="B3090" s="6"/>
      <c r="C3090" s="6"/>
      <c r="D3090" s="6"/>
      <c r="E3090" s="6"/>
      <c r="G3090" s="3"/>
      <c r="H3090" s="2"/>
    </row>
    <row r="3091" spans="1:8" x14ac:dyDescent="0.25">
      <c r="A3091" s="5"/>
      <c r="B3091" s="6"/>
      <c r="C3091" s="6"/>
      <c r="D3091" s="6"/>
      <c r="E3091" s="6"/>
      <c r="G3091" s="1"/>
      <c r="H3091" s="2"/>
    </row>
    <row r="3092" spans="1:8" x14ac:dyDescent="0.25">
      <c r="A3092" s="5"/>
      <c r="B3092" s="6"/>
      <c r="C3092" s="6"/>
      <c r="D3092" s="6"/>
      <c r="E3092" s="6"/>
      <c r="G3092" s="3"/>
      <c r="H3092" s="2"/>
    </row>
    <row r="3093" spans="1:8" x14ac:dyDescent="0.25">
      <c r="A3093" s="5"/>
      <c r="B3093" s="6"/>
      <c r="C3093" s="6"/>
      <c r="D3093" s="6"/>
      <c r="E3093" s="6"/>
      <c r="G3093" s="1"/>
      <c r="H3093" s="2"/>
    </row>
    <row r="3094" spans="1:8" x14ac:dyDescent="0.25">
      <c r="A3094" s="5"/>
      <c r="B3094" s="6"/>
      <c r="C3094" s="6"/>
      <c r="D3094" s="6"/>
      <c r="E3094" s="6"/>
      <c r="G3094" s="3"/>
      <c r="H3094" s="2"/>
    </row>
    <row r="3095" spans="1:8" x14ac:dyDescent="0.25">
      <c r="A3095" s="5"/>
      <c r="B3095" s="6"/>
      <c r="C3095" s="6"/>
      <c r="D3095" s="6"/>
      <c r="E3095" s="6"/>
      <c r="G3095" s="1"/>
      <c r="H3095" s="2"/>
    </row>
    <row r="3096" spans="1:8" x14ac:dyDescent="0.25">
      <c r="A3096" s="5"/>
      <c r="B3096" s="6"/>
      <c r="C3096" s="6"/>
      <c r="D3096" s="6"/>
      <c r="E3096" s="6"/>
      <c r="G3096" s="3"/>
      <c r="H3096" s="2"/>
    </row>
    <row r="3097" spans="1:8" x14ac:dyDescent="0.25">
      <c r="A3097" s="5"/>
      <c r="B3097" s="6"/>
      <c r="C3097" s="6"/>
      <c r="D3097" s="6"/>
      <c r="E3097" s="6"/>
      <c r="G3097" s="1"/>
      <c r="H3097" s="2"/>
    </row>
    <row r="3098" spans="1:8" x14ac:dyDescent="0.25">
      <c r="A3098" s="5"/>
      <c r="B3098" s="6"/>
      <c r="C3098" s="6"/>
      <c r="D3098" s="6"/>
      <c r="E3098" s="6"/>
      <c r="G3098" s="3"/>
      <c r="H3098" s="2"/>
    </row>
    <row r="3099" spans="1:8" x14ac:dyDescent="0.25">
      <c r="A3099" s="5"/>
      <c r="B3099" s="6"/>
      <c r="C3099" s="6"/>
      <c r="D3099" s="6"/>
      <c r="E3099" s="6"/>
      <c r="G3099" s="1"/>
      <c r="H3099" s="2"/>
    </row>
    <row r="3100" spans="1:8" x14ac:dyDescent="0.25">
      <c r="A3100" s="5"/>
      <c r="B3100" s="6"/>
      <c r="C3100" s="6"/>
      <c r="D3100" s="6"/>
      <c r="E3100" s="6"/>
      <c r="G3100" s="3"/>
      <c r="H3100" s="2"/>
    </row>
    <row r="3101" spans="1:8" x14ac:dyDescent="0.25">
      <c r="A3101" s="5"/>
      <c r="B3101" s="6"/>
      <c r="C3101" s="6"/>
      <c r="D3101" s="6"/>
      <c r="E3101" s="6"/>
      <c r="G3101" s="1"/>
      <c r="H3101" s="2"/>
    </row>
    <row r="3102" spans="1:8" x14ac:dyDescent="0.25">
      <c r="A3102" s="5"/>
      <c r="B3102" s="6"/>
      <c r="C3102" s="6"/>
      <c r="D3102" s="6"/>
      <c r="E3102" s="6"/>
      <c r="G3102" s="3"/>
      <c r="H3102" s="2"/>
    </row>
    <row r="3103" spans="1:8" x14ac:dyDescent="0.25">
      <c r="A3103" s="5"/>
      <c r="B3103" s="6"/>
      <c r="C3103" s="6"/>
      <c r="D3103" s="6"/>
      <c r="E3103" s="6"/>
      <c r="G3103" s="1"/>
      <c r="H3103" s="2"/>
    </row>
    <row r="3104" spans="1:8" x14ac:dyDescent="0.25">
      <c r="A3104" s="5"/>
      <c r="B3104" s="6"/>
      <c r="C3104" s="6"/>
      <c r="D3104" s="6"/>
      <c r="E3104" s="6"/>
      <c r="G3104" s="3"/>
      <c r="H3104" s="2"/>
    </row>
    <row r="3105" spans="1:8" x14ac:dyDescent="0.25">
      <c r="A3105" s="5"/>
      <c r="B3105" s="6"/>
      <c r="C3105" s="6"/>
      <c r="D3105" s="6"/>
      <c r="E3105" s="6"/>
      <c r="G3105" s="1"/>
      <c r="H3105" s="2"/>
    </row>
    <row r="3106" spans="1:8" x14ac:dyDescent="0.25">
      <c r="A3106" s="5"/>
      <c r="B3106" s="6"/>
      <c r="C3106" s="6"/>
      <c r="D3106" s="6"/>
      <c r="E3106" s="6"/>
      <c r="G3106" s="3"/>
      <c r="H3106" s="2"/>
    </row>
    <row r="3107" spans="1:8" x14ac:dyDescent="0.25">
      <c r="A3107" s="5"/>
      <c r="B3107" s="6"/>
      <c r="C3107" s="6"/>
      <c r="D3107" s="6"/>
      <c r="E3107" s="6"/>
      <c r="G3107" s="1"/>
      <c r="H3107" s="2"/>
    </row>
    <row r="3108" spans="1:8" x14ac:dyDescent="0.25">
      <c r="A3108" s="5"/>
      <c r="B3108" s="6"/>
      <c r="C3108" s="6"/>
      <c r="D3108" s="6"/>
      <c r="E3108" s="6"/>
      <c r="G3108" s="3"/>
      <c r="H3108" s="2"/>
    </row>
    <row r="3109" spans="1:8" x14ac:dyDescent="0.25">
      <c r="A3109" s="5"/>
      <c r="B3109" s="6"/>
      <c r="C3109" s="6"/>
      <c r="D3109" s="6"/>
      <c r="E3109" s="6"/>
      <c r="G3109" s="1"/>
      <c r="H3109" s="2"/>
    </row>
    <row r="3110" spans="1:8" x14ac:dyDescent="0.25">
      <c r="A3110" s="5"/>
      <c r="B3110" s="6"/>
      <c r="C3110" s="6"/>
      <c r="D3110" s="6"/>
      <c r="E3110" s="6"/>
      <c r="G3110" s="3"/>
      <c r="H3110" s="2"/>
    </row>
    <row r="3111" spans="1:8" x14ac:dyDescent="0.25">
      <c r="A3111" s="5"/>
      <c r="B3111" s="6"/>
      <c r="C3111" s="6"/>
      <c r="D3111" s="6"/>
      <c r="E3111" s="6"/>
      <c r="G3111" s="1"/>
      <c r="H3111" s="2"/>
    </row>
    <row r="3112" spans="1:8" x14ac:dyDescent="0.25">
      <c r="A3112" s="5"/>
      <c r="B3112" s="6"/>
      <c r="C3112" s="6"/>
      <c r="D3112" s="6"/>
      <c r="E3112" s="6"/>
      <c r="G3112" s="3"/>
      <c r="H3112" s="2"/>
    </row>
    <row r="3113" spans="1:8" x14ac:dyDescent="0.25">
      <c r="A3113" s="5"/>
      <c r="B3113" s="6"/>
      <c r="C3113" s="6"/>
      <c r="D3113" s="6"/>
      <c r="E3113" s="6"/>
      <c r="G3113" s="1"/>
      <c r="H3113" s="2"/>
    </row>
    <row r="3114" spans="1:8" x14ac:dyDescent="0.25">
      <c r="A3114" s="5"/>
      <c r="B3114" s="6"/>
      <c r="C3114" s="6"/>
      <c r="D3114" s="6"/>
      <c r="E3114" s="6"/>
      <c r="G3114" s="3"/>
      <c r="H3114" s="2"/>
    </row>
    <row r="3115" spans="1:8" x14ac:dyDescent="0.25">
      <c r="A3115" s="5"/>
      <c r="B3115" s="6"/>
      <c r="C3115" s="6"/>
      <c r="D3115" s="6"/>
      <c r="E3115" s="6"/>
      <c r="G3115" s="1"/>
      <c r="H3115" s="2"/>
    </row>
    <row r="3116" spans="1:8" x14ac:dyDescent="0.25">
      <c r="A3116" s="5"/>
      <c r="B3116" s="6"/>
      <c r="C3116" s="6"/>
      <c r="D3116" s="6"/>
      <c r="E3116" s="6"/>
      <c r="G3116" s="3"/>
      <c r="H3116" s="2"/>
    </row>
    <row r="3117" spans="1:8" x14ac:dyDescent="0.25">
      <c r="A3117" s="5"/>
      <c r="B3117" s="6"/>
      <c r="C3117" s="6"/>
      <c r="D3117" s="6"/>
      <c r="E3117" s="6"/>
      <c r="G3117" s="1"/>
      <c r="H3117" s="2"/>
    </row>
    <row r="3118" spans="1:8" x14ac:dyDescent="0.25">
      <c r="A3118" s="5"/>
      <c r="B3118" s="6"/>
      <c r="C3118" s="6"/>
      <c r="D3118" s="6"/>
      <c r="E3118" s="6"/>
      <c r="G3118" s="3"/>
      <c r="H3118" s="2"/>
    </row>
    <row r="3119" spans="1:8" x14ac:dyDescent="0.25">
      <c r="A3119" s="5"/>
      <c r="B3119" s="6"/>
      <c r="C3119" s="6"/>
      <c r="D3119" s="6"/>
      <c r="E3119" s="6"/>
      <c r="G3119" s="1"/>
      <c r="H3119" s="2"/>
    </row>
    <row r="3120" spans="1:8" x14ac:dyDescent="0.25">
      <c r="A3120" s="5"/>
      <c r="B3120" s="6"/>
      <c r="C3120" s="6"/>
      <c r="D3120" s="6"/>
      <c r="E3120" s="6"/>
      <c r="G3120" s="3"/>
      <c r="H3120" s="2"/>
    </row>
    <row r="3121" spans="1:8" x14ac:dyDescent="0.25">
      <c r="A3121" s="5"/>
      <c r="B3121" s="6"/>
      <c r="C3121" s="6"/>
      <c r="D3121" s="6"/>
      <c r="E3121" s="6"/>
      <c r="G3121" s="1"/>
      <c r="H3121" s="2"/>
    </row>
    <row r="3122" spans="1:8" x14ac:dyDescent="0.25">
      <c r="A3122" s="5"/>
      <c r="B3122" s="6"/>
      <c r="C3122" s="6"/>
      <c r="D3122" s="6"/>
      <c r="E3122" s="6"/>
      <c r="G3122" s="3"/>
      <c r="H3122" s="2"/>
    </row>
    <row r="3123" spans="1:8" x14ac:dyDescent="0.25">
      <c r="A3123" s="5"/>
      <c r="B3123" s="6"/>
      <c r="C3123" s="6"/>
      <c r="D3123" s="6"/>
      <c r="E3123" s="6"/>
      <c r="G3123" s="1"/>
      <c r="H3123" s="2"/>
    </row>
    <row r="3124" spans="1:8" x14ac:dyDescent="0.25">
      <c r="A3124" s="5"/>
      <c r="B3124" s="6"/>
      <c r="C3124" s="6"/>
      <c r="D3124" s="6"/>
      <c r="E3124" s="6"/>
      <c r="G3124" s="3"/>
      <c r="H3124" s="2"/>
    </row>
    <row r="3125" spans="1:8" x14ac:dyDescent="0.25">
      <c r="A3125" s="5"/>
      <c r="B3125" s="6"/>
      <c r="C3125" s="6"/>
      <c r="D3125" s="6"/>
      <c r="E3125" s="6"/>
      <c r="G3125" s="1"/>
      <c r="H3125" s="2"/>
    </row>
    <row r="3126" spans="1:8" x14ac:dyDescent="0.25">
      <c r="A3126" s="5"/>
      <c r="B3126" s="6"/>
      <c r="C3126" s="6"/>
      <c r="D3126" s="6"/>
      <c r="E3126" s="6"/>
      <c r="G3126" s="3"/>
      <c r="H3126" s="2"/>
    </row>
    <row r="3127" spans="1:8" x14ac:dyDescent="0.25">
      <c r="A3127" s="5"/>
      <c r="B3127" s="6"/>
      <c r="C3127" s="6"/>
      <c r="D3127" s="6"/>
      <c r="E3127" s="6"/>
      <c r="G3127" s="1"/>
      <c r="H3127" s="2"/>
    </row>
    <row r="3128" spans="1:8" x14ac:dyDescent="0.25">
      <c r="A3128" s="5"/>
      <c r="B3128" s="6"/>
      <c r="C3128" s="6"/>
      <c r="D3128" s="6"/>
      <c r="E3128" s="6"/>
      <c r="G3128" s="3"/>
      <c r="H3128" s="2"/>
    </row>
    <row r="3129" spans="1:8" x14ac:dyDescent="0.25">
      <c r="A3129" s="5"/>
      <c r="B3129" s="6"/>
      <c r="C3129" s="6"/>
      <c r="D3129" s="6"/>
      <c r="E3129" s="6"/>
      <c r="G3129" s="1"/>
      <c r="H3129" s="2"/>
    </row>
    <row r="3130" spans="1:8" x14ac:dyDescent="0.25">
      <c r="A3130" s="5"/>
      <c r="B3130" s="6"/>
      <c r="C3130" s="6"/>
      <c r="D3130" s="6"/>
      <c r="E3130" s="6"/>
      <c r="G3130" s="3"/>
      <c r="H3130" s="2"/>
    </row>
    <row r="3131" spans="1:8" x14ac:dyDescent="0.25">
      <c r="A3131" s="5"/>
      <c r="B3131" s="6"/>
      <c r="C3131" s="6"/>
      <c r="D3131" s="6"/>
      <c r="E3131" s="6"/>
      <c r="G3131" s="1"/>
      <c r="H3131" s="2"/>
    </row>
    <row r="3132" spans="1:8" x14ac:dyDescent="0.25">
      <c r="A3132" s="5"/>
      <c r="B3132" s="6"/>
      <c r="C3132" s="6"/>
      <c r="D3132" s="6"/>
      <c r="E3132" s="6"/>
      <c r="G3132" s="3"/>
      <c r="H3132" s="2"/>
    </row>
    <row r="3133" spans="1:8" x14ac:dyDescent="0.25">
      <c r="A3133" s="5"/>
      <c r="B3133" s="6"/>
      <c r="C3133" s="6"/>
      <c r="D3133" s="6"/>
      <c r="E3133" s="6"/>
      <c r="G3133" s="1"/>
      <c r="H3133" s="2"/>
    </row>
    <row r="3134" spans="1:8" x14ac:dyDescent="0.25">
      <c r="A3134" s="5"/>
      <c r="B3134" s="6"/>
      <c r="C3134" s="6"/>
      <c r="D3134" s="6"/>
      <c r="E3134" s="6"/>
      <c r="G3134" s="3"/>
      <c r="H3134" s="2"/>
    </row>
    <row r="3135" spans="1:8" x14ac:dyDescent="0.25">
      <c r="A3135" s="5"/>
      <c r="B3135" s="6"/>
      <c r="C3135" s="6"/>
      <c r="D3135" s="6"/>
      <c r="E3135" s="6"/>
      <c r="G3135" s="1"/>
      <c r="H3135" s="2"/>
    </row>
    <row r="3136" spans="1:8" x14ac:dyDescent="0.25">
      <c r="A3136" s="5"/>
      <c r="B3136" s="6"/>
      <c r="C3136" s="6"/>
      <c r="D3136" s="6"/>
      <c r="E3136" s="6"/>
      <c r="G3136" s="3"/>
      <c r="H3136" s="2"/>
    </row>
    <row r="3137" spans="1:8" x14ac:dyDescent="0.25">
      <c r="A3137" s="5"/>
      <c r="B3137" s="6"/>
      <c r="C3137" s="6"/>
      <c r="D3137" s="6"/>
      <c r="E3137" s="6"/>
      <c r="G3137" s="1"/>
      <c r="H3137" s="2"/>
    </row>
    <row r="3138" spans="1:8" x14ac:dyDescent="0.25">
      <c r="A3138" s="5"/>
      <c r="B3138" s="6"/>
      <c r="C3138" s="6"/>
      <c r="D3138" s="6"/>
      <c r="E3138" s="6"/>
      <c r="G3138" s="3"/>
      <c r="H3138" s="2"/>
    </row>
    <row r="3139" spans="1:8" x14ac:dyDescent="0.25">
      <c r="A3139" s="5"/>
      <c r="B3139" s="6"/>
      <c r="C3139" s="6"/>
      <c r="D3139" s="6"/>
      <c r="E3139" s="6"/>
      <c r="G3139" s="1"/>
      <c r="H3139" s="2"/>
    </row>
    <row r="3140" spans="1:8" x14ac:dyDescent="0.25">
      <c r="A3140" s="5"/>
      <c r="B3140" s="6"/>
      <c r="C3140" s="6"/>
      <c r="D3140" s="6"/>
      <c r="E3140" s="6"/>
      <c r="G3140" s="3"/>
      <c r="H3140" s="2"/>
    </row>
    <row r="3141" spans="1:8" x14ac:dyDescent="0.25">
      <c r="A3141" s="5"/>
      <c r="B3141" s="6"/>
      <c r="C3141" s="6"/>
      <c r="D3141" s="6"/>
      <c r="E3141" s="6"/>
      <c r="G3141" s="1"/>
      <c r="H3141" s="2"/>
    </row>
    <row r="3142" spans="1:8" x14ac:dyDescent="0.25">
      <c r="A3142" s="5"/>
      <c r="B3142" s="6"/>
      <c r="C3142" s="6"/>
      <c r="D3142" s="6"/>
      <c r="E3142" s="6"/>
      <c r="G3142" s="3"/>
      <c r="H3142" s="2"/>
    </row>
    <row r="3143" spans="1:8" x14ac:dyDescent="0.25">
      <c r="A3143" s="5"/>
      <c r="B3143" s="6"/>
      <c r="C3143" s="6"/>
      <c r="D3143" s="6"/>
      <c r="E3143" s="6"/>
      <c r="G3143" s="1"/>
      <c r="H3143" s="2"/>
    </row>
    <row r="3144" spans="1:8" x14ac:dyDescent="0.25">
      <c r="A3144" s="5"/>
      <c r="B3144" s="6"/>
      <c r="C3144" s="6"/>
      <c r="D3144" s="6"/>
      <c r="E3144" s="6"/>
      <c r="G3144" s="3"/>
      <c r="H3144" s="2"/>
    </row>
    <row r="3145" spans="1:8" x14ac:dyDescent="0.25">
      <c r="A3145" s="5"/>
      <c r="B3145" s="6"/>
      <c r="C3145" s="6"/>
      <c r="D3145" s="6"/>
      <c r="E3145" s="6"/>
      <c r="G3145" s="1"/>
      <c r="H3145" s="2"/>
    </row>
    <row r="3146" spans="1:8" x14ac:dyDescent="0.25">
      <c r="A3146" s="5"/>
      <c r="B3146" s="6"/>
      <c r="C3146" s="6"/>
      <c r="D3146" s="6"/>
      <c r="E3146" s="6"/>
      <c r="G3146" s="3"/>
      <c r="H3146" s="2"/>
    </row>
    <row r="3147" spans="1:8" x14ac:dyDescent="0.25">
      <c r="A3147" s="5"/>
      <c r="B3147" s="6"/>
      <c r="C3147" s="6"/>
      <c r="D3147" s="6"/>
      <c r="E3147" s="6"/>
      <c r="G3147" s="1"/>
      <c r="H3147" s="2"/>
    </row>
    <row r="3148" spans="1:8" x14ac:dyDescent="0.25">
      <c r="A3148" s="5"/>
      <c r="B3148" s="6"/>
      <c r="C3148" s="6"/>
      <c r="D3148" s="6"/>
      <c r="E3148" s="6"/>
      <c r="G3148" s="3"/>
      <c r="H3148" s="2"/>
    </row>
    <row r="3149" spans="1:8" x14ac:dyDescent="0.25">
      <c r="A3149" s="5"/>
      <c r="B3149" s="6"/>
      <c r="C3149" s="6"/>
      <c r="D3149" s="6"/>
      <c r="E3149" s="6"/>
      <c r="G3149" s="1"/>
      <c r="H3149" s="2"/>
    </row>
    <row r="3150" spans="1:8" x14ac:dyDescent="0.25">
      <c r="A3150" s="5"/>
      <c r="B3150" s="6"/>
      <c r="C3150" s="6"/>
      <c r="D3150" s="6"/>
      <c r="E3150" s="6"/>
      <c r="G3150" s="3"/>
      <c r="H3150" s="2"/>
    </row>
    <row r="3151" spans="1:8" x14ac:dyDescent="0.25">
      <c r="A3151" s="5"/>
      <c r="B3151" s="6"/>
      <c r="C3151" s="6"/>
      <c r="D3151" s="6"/>
      <c r="E3151" s="6"/>
      <c r="G3151" s="1"/>
      <c r="H3151" s="2"/>
    </row>
    <row r="3152" spans="1:8" x14ac:dyDescent="0.25">
      <c r="A3152" s="5"/>
      <c r="B3152" s="6"/>
      <c r="C3152" s="6"/>
      <c r="D3152" s="6"/>
      <c r="E3152" s="6"/>
      <c r="G3152" s="3"/>
      <c r="H3152" s="2"/>
    </row>
    <row r="3153" spans="1:8" x14ac:dyDescent="0.25">
      <c r="A3153" s="5"/>
      <c r="B3153" s="6"/>
      <c r="C3153" s="6"/>
      <c r="D3153" s="6"/>
      <c r="E3153" s="6"/>
      <c r="G3153" s="1"/>
      <c r="H3153" s="2"/>
    </row>
    <row r="3154" spans="1:8" x14ac:dyDescent="0.25">
      <c r="A3154" s="5"/>
      <c r="B3154" s="6"/>
      <c r="C3154" s="6"/>
      <c r="D3154" s="6"/>
      <c r="E3154" s="6"/>
      <c r="G3154" s="3"/>
      <c r="H3154" s="2"/>
    </row>
    <row r="3155" spans="1:8" x14ac:dyDescent="0.25">
      <c r="A3155" s="5"/>
      <c r="B3155" s="6"/>
      <c r="C3155" s="6"/>
      <c r="D3155" s="6"/>
      <c r="E3155" s="6"/>
      <c r="G3155" s="1"/>
      <c r="H3155" s="2"/>
    </row>
    <row r="3156" spans="1:8" x14ac:dyDescent="0.25">
      <c r="A3156" s="5"/>
      <c r="B3156" s="6"/>
      <c r="C3156" s="6"/>
      <c r="D3156" s="6"/>
      <c r="E3156" s="6"/>
      <c r="G3156" s="3"/>
      <c r="H3156" s="2"/>
    </row>
    <row r="3157" spans="1:8" x14ac:dyDescent="0.25">
      <c r="A3157" s="5"/>
      <c r="B3157" s="6"/>
      <c r="C3157" s="6"/>
      <c r="D3157" s="6"/>
      <c r="E3157" s="6"/>
      <c r="G3157" s="1"/>
      <c r="H3157" s="2"/>
    </row>
    <row r="3158" spans="1:8" x14ac:dyDescent="0.25">
      <c r="A3158" s="5"/>
      <c r="B3158" s="6"/>
      <c r="C3158" s="6"/>
      <c r="D3158" s="6"/>
      <c r="E3158" s="6"/>
      <c r="G3158" s="3"/>
      <c r="H3158" s="2"/>
    </row>
    <row r="3159" spans="1:8" x14ac:dyDescent="0.25">
      <c r="A3159" s="5"/>
      <c r="B3159" s="6"/>
      <c r="C3159" s="6"/>
      <c r="D3159" s="6"/>
      <c r="E3159" s="6"/>
      <c r="G3159" s="1"/>
      <c r="H3159" s="2"/>
    </row>
    <row r="3160" spans="1:8" x14ac:dyDescent="0.25">
      <c r="A3160" s="5"/>
      <c r="B3160" s="6"/>
      <c r="C3160" s="6"/>
      <c r="D3160" s="6"/>
      <c r="E3160" s="6"/>
      <c r="G3160" s="3"/>
      <c r="H3160" s="2"/>
    </row>
    <row r="3161" spans="1:8" x14ac:dyDescent="0.25">
      <c r="A3161" s="5"/>
      <c r="B3161" s="6"/>
      <c r="C3161" s="6"/>
      <c r="D3161" s="6"/>
      <c r="E3161" s="6"/>
      <c r="G3161" s="1"/>
      <c r="H3161" s="2"/>
    </row>
    <row r="3162" spans="1:8" x14ac:dyDescent="0.25">
      <c r="A3162" s="5"/>
      <c r="B3162" s="6"/>
      <c r="C3162" s="6"/>
      <c r="D3162" s="6"/>
      <c r="E3162" s="6"/>
      <c r="G3162" s="3"/>
      <c r="H3162" s="2"/>
    </row>
    <row r="3163" spans="1:8" x14ac:dyDescent="0.25">
      <c r="A3163" s="5"/>
      <c r="B3163" s="6"/>
      <c r="C3163" s="6"/>
      <c r="D3163" s="6"/>
      <c r="E3163" s="6"/>
      <c r="G3163" s="1"/>
      <c r="H3163" s="2"/>
    </row>
    <row r="3164" spans="1:8" x14ac:dyDescent="0.25">
      <c r="A3164" s="5"/>
      <c r="B3164" s="6"/>
      <c r="C3164" s="6"/>
      <c r="D3164" s="6"/>
      <c r="E3164" s="6"/>
      <c r="G3164" s="3"/>
      <c r="H3164" s="2"/>
    </row>
    <row r="3165" spans="1:8" x14ac:dyDescent="0.25">
      <c r="A3165" s="5"/>
      <c r="B3165" s="6"/>
      <c r="C3165" s="6"/>
      <c r="D3165" s="6"/>
      <c r="E3165" s="6"/>
      <c r="G3165" s="1"/>
      <c r="H3165" s="2"/>
    </row>
    <row r="3166" spans="1:8" x14ac:dyDescent="0.25">
      <c r="A3166" s="5"/>
      <c r="B3166" s="6"/>
      <c r="C3166" s="6"/>
      <c r="D3166" s="6"/>
      <c r="E3166" s="6"/>
      <c r="G3166" s="3"/>
      <c r="H3166" s="2"/>
    </row>
    <row r="3167" spans="1:8" x14ac:dyDescent="0.25">
      <c r="A3167" s="5"/>
      <c r="B3167" s="6"/>
      <c r="C3167" s="6"/>
      <c r="D3167" s="6"/>
      <c r="E3167" s="6"/>
      <c r="G3167" s="1"/>
      <c r="H3167" s="2"/>
    </row>
    <row r="3168" spans="1:8" x14ac:dyDescent="0.25">
      <c r="A3168" s="5"/>
      <c r="B3168" s="6"/>
      <c r="C3168" s="6"/>
      <c r="D3168" s="6"/>
      <c r="E3168" s="6"/>
      <c r="G3168" s="3"/>
      <c r="H3168" s="2"/>
    </row>
    <row r="3169" spans="1:8" x14ac:dyDescent="0.25">
      <c r="A3169" s="5"/>
      <c r="B3169" s="6"/>
      <c r="C3169" s="6"/>
      <c r="D3169" s="6"/>
      <c r="E3169" s="6"/>
      <c r="G3169" s="1"/>
      <c r="H3169" s="2"/>
    </row>
    <row r="3170" spans="1:8" x14ac:dyDescent="0.25">
      <c r="A3170" s="5"/>
      <c r="B3170" s="6"/>
      <c r="C3170" s="6"/>
      <c r="D3170" s="6"/>
      <c r="E3170" s="6"/>
      <c r="G3170" s="3"/>
      <c r="H3170" s="2"/>
    </row>
    <row r="3171" spans="1:8" x14ac:dyDescent="0.25">
      <c r="A3171" s="5"/>
      <c r="B3171" s="6"/>
      <c r="C3171" s="6"/>
      <c r="D3171" s="6"/>
      <c r="E3171" s="6"/>
      <c r="G3171" s="1"/>
      <c r="H3171" s="2"/>
    </row>
    <row r="3172" spans="1:8" x14ac:dyDescent="0.25">
      <c r="A3172" s="5"/>
      <c r="B3172" s="6"/>
      <c r="C3172" s="6"/>
      <c r="D3172" s="6"/>
      <c r="E3172" s="6"/>
      <c r="G3172" s="3"/>
      <c r="H3172" s="2"/>
    </row>
    <row r="3173" spans="1:8" x14ac:dyDescent="0.25">
      <c r="A3173" s="5"/>
      <c r="B3173" s="6"/>
      <c r="C3173" s="6"/>
      <c r="D3173" s="6"/>
      <c r="E3173" s="6"/>
      <c r="G3173" s="1"/>
      <c r="H3173" s="2"/>
    </row>
    <row r="3174" spans="1:8" x14ac:dyDescent="0.25">
      <c r="A3174" s="5"/>
      <c r="B3174" s="6"/>
      <c r="C3174" s="6"/>
      <c r="D3174" s="6"/>
      <c r="E3174" s="6"/>
      <c r="G3174" s="3"/>
      <c r="H3174" s="2"/>
    </row>
    <row r="3175" spans="1:8" x14ac:dyDescent="0.25">
      <c r="A3175" s="5"/>
      <c r="B3175" s="6"/>
      <c r="C3175" s="6"/>
      <c r="D3175" s="6"/>
      <c r="E3175" s="6"/>
      <c r="G3175" s="1"/>
      <c r="H3175" s="2"/>
    </row>
    <row r="3176" spans="1:8" x14ac:dyDescent="0.25">
      <c r="A3176" s="5"/>
      <c r="B3176" s="6"/>
      <c r="C3176" s="6"/>
      <c r="D3176" s="6"/>
      <c r="E3176" s="6"/>
      <c r="G3176" s="3"/>
      <c r="H3176" s="2"/>
    </row>
    <row r="3177" spans="1:8" x14ac:dyDescent="0.25">
      <c r="A3177" s="5"/>
      <c r="B3177" s="6"/>
      <c r="C3177" s="6"/>
      <c r="D3177" s="6"/>
      <c r="E3177" s="6"/>
      <c r="G3177" s="1"/>
      <c r="H3177" s="2"/>
    </row>
    <row r="3178" spans="1:8" x14ac:dyDescent="0.25">
      <c r="A3178" s="5"/>
      <c r="B3178" s="6"/>
      <c r="C3178" s="6"/>
      <c r="D3178" s="6"/>
      <c r="E3178" s="6"/>
      <c r="G3178" s="3"/>
      <c r="H3178" s="2"/>
    </row>
    <row r="3179" spans="1:8" x14ac:dyDescent="0.25">
      <c r="A3179" s="5"/>
      <c r="B3179" s="6"/>
      <c r="C3179" s="6"/>
      <c r="D3179" s="6"/>
      <c r="E3179" s="6"/>
      <c r="G3179" s="1"/>
      <c r="H3179" s="2"/>
    </row>
    <row r="3180" spans="1:8" x14ac:dyDescent="0.25">
      <c r="A3180" s="5"/>
      <c r="B3180" s="6"/>
      <c r="C3180" s="6"/>
      <c r="D3180" s="6"/>
      <c r="E3180" s="6"/>
      <c r="G3180" s="3"/>
      <c r="H3180" s="2"/>
    </row>
    <row r="3181" spans="1:8" x14ac:dyDescent="0.25">
      <c r="A3181" s="5"/>
      <c r="B3181" s="6"/>
      <c r="C3181" s="6"/>
      <c r="D3181" s="6"/>
      <c r="E3181" s="6"/>
      <c r="G3181" s="1"/>
      <c r="H3181" s="2"/>
    </row>
    <row r="3182" spans="1:8" x14ac:dyDescent="0.25">
      <c r="A3182" s="5"/>
      <c r="B3182" s="6"/>
      <c r="C3182" s="6"/>
      <c r="D3182" s="6"/>
      <c r="E3182" s="6"/>
      <c r="G3182" s="3"/>
      <c r="H3182" s="2"/>
    </row>
    <row r="3183" spans="1:8" x14ac:dyDescent="0.25">
      <c r="A3183" s="5"/>
      <c r="B3183" s="6"/>
      <c r="C3183" s="6"/>
      <c r="D3183" s="6"/>
      <c r="E3183" s="6"/>
      <c r="G3183" s="1"/>
      <c r="H3183" s="2"/>
    </row>
    <row r="3184" spans="1:8" x14ac:dyDescent="0.25">
      <c r="A3184" s="5"/>
      <c r="B3184" s="6"/>
      <c r="C3184" s="6"/>
      <c r="D3184" s="6"/>
      <c r="E3184" s="6"/>
      <c r="G3184" s="3"/>
      <c r="H3184" s="2"/>
    </row>
    <row r="3185" spans="1:8" x14ac:dyDescent="0.25">
      <c r="A3185" s="5"/>
      <c r="B3185" s="6"/>
      <c r="C3185" s="6"/>
      <c r="D3185" s="6"/>
      <c r="E3185" s="6"/>
      <c r="G3185" s="1"/>
      <c r="H3185" s="2"/>
    </row>
    <row r="3186" spans="1:8" x14ac:dyDescent="0.25">
      <c r="A3186" s="5"/>
      <c r="B3186" s="6"/>
      <c r="C3186" s="6"/>
      <c r="D3186" s="6"/>
      <c r="E3186" s="6"/>
      <c r="G3186" s="3"/>
      <c r="H3186" s="2"/>
    </row>
    <row r="3187" spans="1:8" x14ac:dyDescent="0.25">
      <c r="A3187" s="5"/>
      <c r="B3187" s="6"/>
      <c r="C3187" s="6"/>
      <c r="D3187" s="6"/>
      <c r="E3187" s="6"/>
      <c r="G3187" s="1"/>
      <c r="H3187" s="2"/>
    </row>
    <row r="3188" spans="1:8" x14ac:dyDescent="0.25">
      <c r="A3188" s="5"/>
      <c r="B3188" s="6"/>
      <c r="C3188" s="6"/>
      <c r="D3188" s="6"/>
      <c r="E3188" s="6"/>
      <c r="G3188" s="3"/>
      <c r="H3188" s="2"/>
    </row>
    <row r="3189" spans="1:8" x14ac:dyDescent="0.25">
      <c r="A3189" s="5"/>
      <c r="B3189" s="6"/>
      <c r="C3189" s="6"/>
      <c r="D3189" s="6"/>
      <c r="E3189" s="6"/>
      <c r="G3189" s="1"/>
      <c r="H3189" s="2"/>
    </row>
    <row r="3190" spans="1:8" x14ac:dyDescent="0.25">
      <c r="A3190" s="5"/>
      <c r="B3190" s="6"/>
      <c r="C3190" s="6"/>
      <c r="D3190" s="6"/>
      <c r="E3190" s="6"/>
      <c r="G3190" s="3"/>
      <c r="H3190" s="2"/>
    </row>
    <row r="3191" spans="1:8" x14ac:dyDescent="0.25">
      <c r="A3191" s="5"/>
      <c r="B3191" s="6"/>
      <c r="C3191" s="6"/>
      <c r="D3191" s="6"/>
      <c r="E3191" s="6"/>
      <c r="G3191" s="1"/>
      <c r="H3191" s="2"/>
    </row>
    <row r="3192" spans="1:8" x14ac:dyDescent="0.25">
      <c r="A3192" s="5"/>
      <c r="B3192" s="6"/>
      <c r="C3192" s="6"/>
      <c r="D3192" s="6"/>
      <c r="E3192" s="6"/>
      <c r="G3192" s="3"/>
      <c r="H3192" s="2"/>
    </row>
    <row r="3193" spans="1:8" x14ac:dyDescent="0.25">
      <c r="A3193" s="5"/>
      <c r="B3193" s="6"/>
      <c r="C3193" s="6"/>
      <c r="D3193" s="6"/>
      <c r="E3193" s="6"/>
      <c r="G3193" s="1"/>
      <c r="H3193" s="2"/>
    </row>
    <row r="3194" spans="1:8" x14ac:dyDescent="0.25">
      <c r="A3194" s="5"/>
      <c r="B3194" s="6"/>
      <c r="C3194" s="6"/>
      <c r="D3194" s="6"/>
      <c r="E3194" s="6"/>
      <c r="G3194" s="3"/>
      <c r="H3194" s="2"/>
    </row>
    <row r="3195" spans="1:8" x14ac:dyDescent="0.25">
      <c r="A3195" s="5"/>
      <c r="B3195" s="6"/>
      <c r="C3195" s="6"/>
      <c r="D3195" s="6"/>
      <c r="E3195" s="6"/>
      <c r="G3195" s="1"/>
      <c r="H3195" s="2"/>
    </row>
    <row r="3196" spans="1:8" x14ac:dyDescent="0.25">
      <c r="A3196" s="5"/>
      <c r="B3196" s="6"/>
      <c r="C3196" s="6"/>
      <c r="D3196" s="6"/>
      <c r="E3196" s="6"/>
      <c r="G3196" s="3"/>
      <c r="H3196" s="2"/>
    </row>
    <row r="3197" spans="1:8" x14ac:dyDescent="0.25">
      <c r="A3197" s="5"/>
      <c r="B3197" s="6"/>
      <c r="C3197" s="6"/>
      <c r="D3197" s="6"/>
      <c r="E3197" s="6"/>
      <c r="G3197" s="1"/>
      <c r="H3197" s="2"/>
    </row>
    <row r="3198" spans="1:8" x14ac:dyDescent="0.25">
      <c r="A3198" s="5"/>
      <c r="B3198" s="6"/>
      <c r="C3198" s="6"/>
      <c r="D3198" s="6"/>
      <c r="E3198" s="6"/>
      <c r="G3198" s="3"/>
      <c r="H3198" s="2"/>
    </row>
    <row r="3199" spans="1:8" x14ac:dyDescent="0.25">
      <c r="A3199" s="5"/>
      <c r="B3199" s="6"/>
      <c r="C3199" s="6"/>
      <c r="D3199" s="6"/>
      <c r="E3199" s="6"/>
      <c r="G3199" s="1"/>
      <c r="H3199" s="2"/>
    </row>
    <row r="3200" spans="1:8" x14ac:dyDescent="0.25">
      <c r="A3200" s="5"/>
      <c r="B3200" s="6"/>
      <c r="C3200" s="6"/>
      <c r="D3200" s="6"/>
      <c r="E3200" s="6"/>
      <c r="G3200" s="3"/>
      <c r="H3200" s="2"/>
    </row>
    <row r="3201" spans="1:8" x14ac:dyDescent="0.25">
      <c r="A3201" s="5"/>
      <c r="B3201" s="6"/>
      <c r="C3201" s="6"/>
      <c r="D3201" s="6"/>
      <c r="E3201" s="6"/>
      <c r="G3201" s="1"/>
      <c r="H3201" s="2"/>
    </row>
    <row r="3202" spans="1:8" x14ac:dyDescent="0.25">
      <c r="A3202" s="5"/>
      <c r="B3202" s="6"/>
      <c r="C3202" s="6"/>
      <c r="D3202" s="6"/>
      <c r="E3202" s="6"/>
      <c r="G3202" s="3"/>
      <c r="H3202" s="2"/>
    </row>
    <row r="3203" spans="1:8" x14ac:dyDescent="0.25">
      <c r="A3203" s="5"/>
      <c r="B3203" s="6"/>
      <c r="C3203" s="6"/>
      <c r="D3203" s="6"/>
      <c r="E3203" s="6"/>
      <c r="G3203" s="1"/>
      <c r="H3203" s="2"/>
    </row>
    <row r="3204" spans="1:8" x14ac:dyDescent="0.25">
      <c r="A3204" s="5"/>
      <c r="B3204" s="6"/>
      <c r="C3204" s="6"/>
      <c r="D3204" s="6"/>
      <c r="E3204" s="6"/>
      <c r="G3204" s="3"/>
      <c r="H3204" s="2"/>
    </row>
    <row r="3205" spans="1:8" x14ac:dyDescent="0.25">
      <c r="A3205" s="5"/>
      <c r="B3205" s="6"/>
      <c r="C3205" s="6"/>
      <c r="D3205" s="6"/>
      <c r="E3205" s="6"/>
      <c r="G3205" s="1"/>
      <c r="H3205" s="2"/>
    </row>
    <row r="3206" spans="1:8" x14ac:dyDescent="0.25">
      <c r="A3206" s="5"/>
      <c r="B3206" s="6"/>
      <c r="C3206" s="6"/>
      <c r="D3206" s="6"/>
      <c r="E3206" s="6"/>
      <c r="G3206" s="3"/>
      <c r="H3206" s="2"/>
    </row>
    <row r="3207" spans="1:8" x14ac:dyDescent="0.25">
      <c r="A3207" s="5"/>
      <c r="B3207" s="6"/>
      <c r="C3207" s="6"/>
      <c r="D3207" s="6"/>
      <c r="E3207" s="6"/>
      <c r="G3207" s="1"/>
      <c r="H3207" s="2"/>
    </row>
    <row r="3208" spans="1:8" x14ac:dyDescent="0.25">
      <c r="A3208" s="5"/>
      <c r="B3208" s="6"/>
      <c r="C3208" s="6"/>
      <c r="D3208" s="6"/>
      <c r="E3208" s="6"/>
      <c r="G3208" s="3"/>
      <c r="H3208" s="2"/>
    </row>
    <row r="3209" spans="1:8" x14ac:dyDescent="0.25">
      <c r="A3209" s="5"/>
      <c r="B3209" s="6"/>
      <c r="C3209" s="6"/>
      <c r="D3209" s="6"/>
      <c r="E3209" s="6"/>
      <c r="G3209" s="1"/>
      <c r="H3209" s="2"/>
    </row>
    <row r="3210" spans="1:8" x14ac:dyDescent="0.25">
      <c r="A3210" s="5"/>
      <c r="B3210" s="6"/>
      <c r="C3210" s="6"/>
      <c r="D3210" s="6"/>
      <c r="E3210" s="6"/>
      <c r="G3210" s="3"/>
      <c r="H3210" s="2"/>
    </row>
    <row r="3211" spans="1:8" x14ac:dyDescent="0.25">
      <c r="A3211" s="5"/>
      <c r="B3211" s="6"/>
      <c r="C3211" s="6"/>
      <c r="D3211" s="6"/>
      <c r="E3211" s="6"/>
      <c r="G3211" s="1"/>
      <c r="H3211" s="2"/>
    </row>
    <row r="3212" spans="1:8" x14ac:dyDescent="0.25">
      <c r="A3212" s="5"/>
      <c r="B3212" s="6"/>
      <c r="C3212" s="6"/>
      <c r="D3212" s="6"/>
      <c r="E3212" s="6"/>
      <c r="G3212" s="3"/>
      <c r="H3212" s="2"/>
    </row>
    <row r="3213" spans="1:8" x14ac:dyDescent="0.25">
      <c r="A3213" s="5"/>
      <c r="B3213" s="6"/>
      <c r="C3213" s="6"/>
      <c r="D3213" s="6"/>
      <c r="E3213" s="6"/>
      <c r="G3213" s="1"/>
      <c r="H3213" s="2"/>
    </row>
    <row r="3214" spans="1:8" x14ac:dyDescent="0.25">
      <c r="A3214" s="5"/>
      <c r="B3214" s="6"/>
      <c r="C3214" s="6"/>
      <c r="D3214" s="6"/>
      <c r="E3214" s="6"/>
      <c r="G3214" s="3"/>
      <c r="H3214" s="2"/>
    </row>
    <row r="3215" spans="1:8" x14ac:dyDescent="0.25">
      <c r="A3215" s="5"/>
      <c r="B3215" s="6"/>
      <c r="C3215" s="6"/>
      <c r="D3215" s="6"/>
      <c r="E3215" s="6"/>
      <c r="G3215" s="1"/>
      <c r="H3215" s="2"/>
    </row>
    <row r="3216" spans="1:8" x14ac:dyDescent="0.25">
      <c r="A3216" s="5"/>
      <c r="B3216" s="6"/>
      <c r="C3216" s="6"/>
      <c r="D3216" s="6"/>
      <c r="E3216" s="6"/>
      <c r="G3216" s="3"/>
      <c r="H3216" s="2"/>
    </row>
    <row r="3217" spans="1:8" x14ac:dyDescent="0.25">
      <c r="A3217" s="5"/>
      <c r="B3217" s="6"/>
      <c r="C3217" s="6"/>
      <c r="D3217" s="6"/>
      <c r="E3217" s="6"/>
      <c r="G3217" s="1"/>
      <c r="H3217" s="2"/>
    </row>
    <row r="3218" spans="1:8" x14ac:dyDescent="0.25">
      <c r="A3218" s="5"/>
      <c r="B3218" s="6"/>
      <c r="C3218" s="6"/>
      <c r="D3218" s="6"/>
      <c r="E3218" s="6"/>
      <c r="G3218" s="3"/>
      <c r="H3218" s="2"/>
    </row>
    <row r="3219" spans="1:8" x14ac:dyDescent="0.25">
      <c r="A3219" s="5"/>
      <c r="B3219" s="6"/>
      <c r="C3219" s="6"/>
      <c r="D3219" s="6"/>
      <c r="E3219" s="6"/>
      <c r="G3219" s="1"/>
      <c r="H3219" s="2"/>
    </row>
    <row r="3220" spans="1:8" x14ac:dyDescent="0.25">
      <c r="A3220" s="5"/>
      <c r="B3220" s="6"/>
      <c r="C3220" s="6"/>
      <c r="D3220" s="6"/>
      <c r="E3220" s="6"/>
      <c r="G3220" s="3"/>
      <c r="H3220" s="2"/>
    </row>
    <row r="3221" spans="1:8" x14ac:dyDescent="0.25">
      <c r="A3221" s="5"/>
      <c r="B3221" s="6"/>
      <c r="C3221" s="6"/>
      <c r="D3221" s="6"/>
      <c r="E3221" s="6"/>
      <c r="G3221" s="1"/>
      <c r="H3221" s="2"/>
    </row>
    <row r="3222" spans="1:8" x14ac:dyDescent="0.25">
      <c r="A3222" s="5"/>
      <c r="B3222" s="6"/>
      <c r="C3222" s="6"/>
      <c r="D3222" s="6"/>
      <c r="E3222" s="6"/>
      <c r="G3222" s="3"/>
      <c r="H3222" s="2"/>
    </row>
    <row r="3223" spans="1:8" x14ac:dyDescent="0.25">
      <c r="A3223" s="5"/>
      <c r="B3223" s="6"/>
      <c r="C3223" s="6"/>
      <c r="D3223" s="6"/>
      <c r="E3223" s="6"/>
      <c r="G3223" s="1"/>
      <c r="H3223" s="2"/>
    </row>
    <row r="3224" spans="1:8" x14ac:dyDescent="0.25">
      <c r="A3224" s="5"/>
      <c r="B3224" s="6"/>
      <c r="C3224" s="6"/>
      <c r="D3224" s="6"/>
      <c r="E3224" s="6"/>
      <c r="G3224" s="3"/>
      <c r="H3224" s="2"/>
    </row>
    <row r="3225" spans="1:8" x14ac:dyDescent="0.25">
      <c r="A3225" s="5"/>
      <c r="B3225" s="6"/>
      <c r="C3225" s="6"/>
      <c r="D3225" s="6"/>
      <c r="E3225" s="6"/>
      <c r="G3225" s="1"/>
      <c r="H3225" s="2"/>
    </row>
    <row r="3226" spans="1:8" x14ac:dyDescent="0.25">
      <c r="A3226" s="5"/>
      <c r="B3226" s="6"/>
      <c r="C3226" s="6"/>
      <c r="D3226" s="6"/>
      <c r="E3226" s="6"/>
      <c r="G3226" s="3"/>
      <c r="H3226" s="2"/>
    </row>
    <row r="3227" spans="1:8" x14ac:dyDescent="0.25">
      <c r="A3227" s="5"/>
      <c r="B3227" s="6"/>
      <c r="C3227" s="6"/>
      <c r="D3227" s="6"/>
      <c r="E3227" s="6"/>
      <c r="G3227" s="1"/>
      <c r="H3227" s="2"/>
    </row>
    <row r="3228" spans="1:8" x14ac:dyDescent="0.25">
      <c r="A3228" s="5"/>
      <c r="B3228" s="6"/>
      <c r="C3228" s="6"/>
      <c r="D3228" s="6"/>
      <c r="E3228" s="6"/>
      <c r="G3228" s="3"/>
      <c r="H3228" s="2"/>
    </row>
    <row r="3229" spans="1:8" x14ac:dyDescent="0.25">
      <c r="A3229" s="5"/>
      <c r="B3229" s="6"/>
      <c r="C3229" s="6"/>
      <c r="D3229" s="6"/>
      <c r="E3229" s="6"/>
      <c r="G3229" s="1"/>
      <c r="H3229" s="2"/>
    </row>
    <row r="3230" spans="1:8" x14ac:dyDescent="0.25">
      <c r="A3230" s="5"/>
      <c r="B3230" s="6"/>
      <c r="C3230" s="6"/>
      <c r="D3230" s="6"/>
      <c r="E3230" s="6"/>
      <c r="G3230" s="3"/>
      <c r="H3230" s="2"/>
    </row>
    <row r="3231" spans="1:8" x14ac:dyDescent="0.25">
      <c r="A3231" s="5"/>
      <c r="B3231" s="6"/>
      <c r="C3231" s="6"/>
      <c r="D3231" s="6"/>
      <c r="E3231" s="6"/>
      <c r="G3231" s="1"/>
      <c r="H3231" s="2"/>
    </row>
    <row r="3232" spans="1:8" x14ac:dyDescent="0.25">
      <c r="A3232" s="5"/>
      <c r="B3232" s="6"/>
      <c r="C3232" s="6"/>
      <c r="D3232" s="6"/>
      <c r="E3232" s="6"/>
      <c r="G3232" s="3"/>
      <c r="H3232" s="2"/>
    </row>
    <row r="3233" spans="1:8" x14ac:dyDescent="0.25">
      <c r="A3233" s="5"/>
      <c r="B3233" s="6"/>
      <c r="C3233" s="6"/>
      <c r="D3233" s="6"/>
      <c r="E3233" s="6"/>
      <c r="G3233" s="1"/>
      <c r="H3233" s="2"/>
    </row>
    <row r="3234" spans="1:8" x14ac:dyDescent="0.25">
      <c r="A3234" s="5"/>
      <c r="B3234" s="6"/>
      <c r="C3234" s="6"/>
      <c r="D3234" s="6"/>
      <c r="E3234" s="6"/>
      <c r="G3234" s="3"/>
      <c r="H3234" s="2"/>
    </row>
    <row r="3235" spans="1:8" x14ac:dyDescent="0.25">
      <c r="A3235" s="5"/>
      <c r="B3235" s="6"/>
      <c r="C3235" s="6"/>
      <c r="D3235" s="6"/>
      <c r="E3235" s="6"/>
      <c r="G3235" s="1"/>
      <c r="H3235" s="2"/>
    </row>
    <row r="3236" spans="1:8" x14ac:dyDescent="0.25">
      <c r="A3236" s="5"/>
      <c r="B3236" s="6"/>
      <c r="C3236" s="6"/>
      <c r="D3236" s="6"/>
      <c r="E3236" s="6"/>
      <c r="G3236" s="3"/>
      <c r="H3236" s="2"/>
    </row>
    <row r="3237" spans="1:8" x14ac:dyDescent="0.25">
      <c r="A3237" s="5"/>
      <c r="B3237" s="6"/>
      <c r="C3237" s="6"/>
      <c r="D3237" s="6"/>
      <c r="E3237" s="6"/>
      <c r="G3237" s="1"/>
      <c r="H3237" s="2"/>
    </row>
    <row r="3238" spans="1:8" x14ac:dyDescent="0.25">
      <c r="A3238" s="5"/>
      <c r="B3238" s="6"/>
      <c r="C3238" s="6"/>
      <c r="D3238" s="6"/>
      <c r="E3238" s="6"/>
      <c r="G3238" s="3"/>
      <c r="H3238" s="2"/>
    </row>
    <row r="3239" spans="1:8" x14ac:dyDescent="0.25">
      <c r="A3239" s="5"/>
      <c r="B3239" s="6"/>
      <c r="C3239" s="6"/>
      <c r="D3239" s="6"/>
      <c r="E3239" s="6"/>
      <c r="G3239" s="1"/>
      <c r="H3239" s="2"/>
    </row>
    <row r="3240" spans="1:8" x14ac:dyDescent="0.25">
      <c r="A3240" s="5"/>
      <c r="B3240" s="6"/>
      <c r="C3240" s="6"/>
      <c r="D3240" s="6"/>
      <c r="E3240" s="6"/>
      <c r="G3240" s="3"/>
      <c r="H3240" s="2"/>
    </row>
    <row r="3241" spans="1:8" x14ac:dyDescent="0.25">
      <c r="A3241" s="5"/>
      <c r="B3241" s="6"/>
      <c r="C3241" s="6"/>
      <c r="D3241" s="6"/>
      <c r="E3241" s="6"/>
      <c r="G3241" s="1"/>
      <c r="H3241" s="2"/>
    </row>
    <row r="3242" spans="1:8" x14ac:dyDescent="0.25">
      <c r="A3242" s="5"/>
      <c r="B3242" s="6"/>
      <c r="C3242" s="6"/>
      <c r="D3242" s="6"/>
      <c r="E3242" s="6"/>
      <c r="G3242" s="3"/>
      <c r="H3242" s="2"/>
    </row>
    <row r="3243" spans="1:8" x14ac:dyDescent="0.25">
      <c r="A3243" s="5"/>
      <c r="B3243" s="6"/>
      <c r="C3243" s="6"/>
      <c r="D3243" s="6"/>
      <c r="E3243" s="6"/>
      <c r="G3243" s="1"/>
      <c r="H3243" s="2"/>
    </row>
    <row r="3244" spans="1:8" x14ac:dyDescent="0.25">
      <c r="A3244" s="5"/>
      <c r="B3244" s="6"/>
      <c r="C3244" s="6"/>
      <c r="D3244" s="6"/>
      <c r="E3244" s="6"/>
      <c r="G3244" s="3"/>
      <c r="H3244" s="2"/>
    </row>
    <row r="3245" spans="1:8" x14ac:dyDescent="0.25">
      <c r="A3245" s="5"/>
      <c r="B3245" s="6"/>
      <c r="C3245" s="6"/>
      <c r="D3245" s="6"/>
      <c r="E3245" s="6"/>
      <c r="G3245" s="1"/>
      <c r="H3245" s="2"/>
    </row>
    <row r="3246" spans="1:8" x14ac:dyDescent="0.25">
      <c r="A3246" s="5"/>
      <c r="B3246" s="6"/>
      <c r="C3246" s="6"/>
      <c r="D3246" s="6"/>
      <c r="E3246" s="6"/>
      <c r="G3246" s="3"/>
      <c r="H3246" s="2"/>
    </row>
    <row r="3247" spans="1:8" x14ac:dyDescent="0.25">
      <c r="A3247" s="5"/>
      <c r="B3247" s="6"/>
      <c r="C3247" s="6"/>
      <c r="D3247" s="6"/>
      <c r="E3247" s="6"/>
      <c r="G3247" s="1"/>
      <c r="H3247" s="2"/>
    </row>
    <row r="3248" spans="1:8" x14ac:dyDescent="0.25">
      <c r="A3248" s="5"/>
      <c r="B3248" s="6"/>
      <c r="C3248" s="6"/>
      <c r="D3248" s="6"/>
      <c r="E3248" s="6"/>
      <c r="G3248" s="3"/>
      <c r="H3248" s="2"/>
    </row>
    <row r="3249" spans="1:8" x14ac:dyDescent="0.25">
      <c r="A3249" s="5"/>
      <c r="B3249" s="6"/>
      <c r="C3249" s="6"/>
      <c r="D3249" s="6"/>
      <c r="E3249" s="6"/>
      <c r="G3249" s="1"/>
      <c r="H3249" s="2"/>
    </row>
    <row r="3250" spans="1:8" x14ac:dyDescent="0.25">
      <c r="A3250" s="5"/>
      <c r="B3250" s="6"/>
      <c r="C3250" s="6"/>
      <c r="D3250" s="6"/>
      <c r="E3250" s="6"/>
      <c r="G3250" s="3"/>
      <c r="H3250" s="2"/>
    </row>
    <row r="3251" spans="1:8" x14ac:dyDescent="0.25">
      <c r="A3251" s="5"/>
      <c r="B3251" s="6"/>
      <c r="C3251" s="6"/>
      <c r="D3251" s="6"/>
      <c r="E3251" s="6"/>
      <c r="G3251" s="1"/>
      <c r="H3251" s="2"/>
    </row>
    <row r="3252" spans="1:8" x14ac:dyDescent="0.25">
      <c r="A3252" s="5"/>
      <c r="B3252" s="6"/>
      <c r="C3252" s="6"/>
      <c r="D3252" s="6"/>
      <c r="E3252" s="6"/>
      <c r="G3252" s="3"/>
      <c r="H3252" s="2"/>
    </row>
    <row r="3253" spans="1:8" x14ac:dyDescent="0.25">
      <c r="A3253" s="5"/>
      <c r="B3253" s="6"/>
      <c r="C3253" s="6"/>
      <c r="D3253" s="6"/>
      <c r="E3253" s="6"/>
      <c r="G3253" s="1"/>
      <c r="H3253" s="2"/>
    </row>
    <row r="3254" spans="1:8" x14ac:dyDescent="0.25">
      <c r="A3254" s="5"/>
      <c r="B3254" s="6"/>
      <c r="C3254" s="6"/>
      <c r="D3254" s="6"/>
      <c r="E3254" s="6"/>
      <c r="G3254" s="3"/>
      <c r="H3254" s="2"/>
    </row>
    <row r="3255" spans="1:8" x14ac:dyDescent="0.25">
      <c r="A3255" s="5"/>
      <c r="B3255" s="6"/>
      <c r="C3255" s="6"/>
      <c r="D3255" s="6"/>
      <c r="E3255" s="6"/>
      <c r="G3255" s="1"/>
      <c r="H3255" s="2"/>
    </row>
    <row r="3256" spans="1:8" x14ac:dyDescent="0.25">
      <c r="A3256" s="5"/>
      <c r="B3256" s="6"/>
      <c r="C3256" s="6"/>
      <c r="D3256" s="6"/>
      <c r="E3256" s="6"/>
      <c r="G3256" s="3"/>
      <c r="H3256" s="2"/>
    </row>
    <row r="3257" spans="1:8" x14ac:dyDescent="0.25">
      <c r="A3257" s="5"/>
      <c r="B3257" s="6"/>
      <c r="C3257" s="6"/>
      <c r="D3257" s="6"/>
      <c r="E3257" s="6"/>
      <c r="G3257" s="1"/>
      <c r="H3257" s="2"/>
    </row>
    <row r="3258" spans="1:8" x14ac:dyDescent="0.25">
      <c r="A3258" s="5"/>
      <c r="B3258" s="6"/>
      <c r="C3258" s="6"/>
      <c r="D3258" s="6"/>
      <c r="E3258" s="6"/>
      <c r="G3258" s="3"/>
      <c r="H3258" s="2"/>
    </row>
    <row r="3259" spans="1:8" x14ac:dyDescent="0.25">
      <c r="A3259" s="5"/>
      <c r="B3259" s="6"/>
      <c r="C3259" s="6"/>
      <c r="D3259" s="6"/>
      <c r="E3259" s="6"/>
      <c r="G3259" s="1"/>
      <c r="H3259" s="2"/>
    </row>
    <row r="3260" spans="1:8" x14ac:dyDescent="0.25">
      <c r="A3260" s="5"/>
      <c r="B3260" s="6"/>
      <c r="C3260" s="6"/>
      <c r="D3260" s="6"/>
      <c r="E3260" s="6"/>
      <c r="G3260" s="3"/>
      <c r="H3260" s="2"/>
    </row>
    <row r="3261" spans="1:8" x14ac:dyDescent="0.25">
      <c r="A3261" s="5"/>
      <c r="B3261" s="6"/>
      <c r="C3261" s="6"/>
      <c r="D3261" s="6"/>
      <c r="E3261" s="6"/>
      <c r="G3261" s="1"/>
      <c r="H3261" s="2"/>
    </row>
    <row r="3262" spans="1:8" x14ac:dyDescent="0.25">
      <c r="A3262" s="5"/>
      <c r="B3262" s="6"/>
      <c r="C3262" s="6"/>
      <c r="D3262" s="6"/>
      <c r="E3262" s="6"/>
      <c r="G3262" s="3"/>
      <c r="H3262" s="2"/>
    </row>
    <row r="3263" spans="1:8" x14ac:dyDescent="0.25">
      <c r="A3263" s="5"/>
      <c r="B3263" s="6"/>
      <c r="C3263" s="6"/>
      <c r="D3263" s="6"/>
      <c r="E3263" s="6"/>
      <c r="G3263" s="1"/>
      <c r="H3263" s="2"/>
    </row>
    <row r="3264" spans="1:8" x14ac:dyDescent="0.25">
      <c r="A3264" s="5"/>
      <c r="B3264" s="6"/>
      <c r="C3264" s="6"/>
      <c r="D3264" s="6"/>
      <c r="E3264" s="6"/>
      <c r="G3264" s="3"/>
      <c r="H3264" s="2"/>
    </row>
    <row r="3265" spans="1:8" x14ac:dyDescent="0.25">
      <c r="A3265" s="5"/>
      <c r="B3265" s="6"/>
      <c r="C3265" s="6"/>
      <c r="D3265" s="6"/>
      <c r="E3265" s="6"/>
      <c r="G3265" s="1"/>
      <c r="H3265" s="2"/>
    </row>
    <row r="3266" spans="1:8" x14ac:dyDescent="0.25">
      <c r="A3266" s="5"/>
      <c r="B3266" s="6"/>
      <c r="C3266" s="6"/>
      <c r="D3266" s="6"/>
      <c r="E3266" s="6"/>
      <c r="G3266" s="3"/>
      <c r="H3266" s="2"/>
    </row>
    <row r="3267" spans="1:8" x14ac:dyDescent="0.25">
      <c r="A3267" s="5"/>
      <c r="B3267" s="6"/>
      <c r="C3267" s="6"/>
      <c r="D3267" s="6"/>
      <c r="E3267" s="6"/>
      <c r="G3267" s="1"/>
      <c r="H3267" s="2"/>
    </row>
    <row r="3268" spans="1:8" x14ac:dyDescent="0.25">
      <c r="A3268" s="5"/>
      <c r="B3268" s="6"/>
      <c r="C3268" s="6"/>
      <c r="D3268" s="6"/>
      <c r="E3268" s="6"/>
      <c r="G3268" s="3"/>
      <c r="H3268" s="2"/>
    </row>
    <row r="3269" spans="1:8" x14ac:dyDescent="0.25">
      <c r="A3269" s="5"/>
      <c r="B3269" s="6"/>
      <c r="C3269" s="6"/>
      <c r="D3269" s="6"/>
      <c r="E3269" s="6"/>
      <c r="G3269" s="1"/>
      <c r="H3269" s="2"/>
    </row>
    <row r="3270" spans="1:8" x14ac:dyDescent="0.25">
      <c r="A3270" s="5"/>
      <c r="B3270" s="6"/>
      <c r="C3270" s="6"/>
      <c r="D3270" s="6"/>
      <c r="E3270" s="6"/>
      <c r="G3270" s="3"/>
      <c r="H3270" s="2"/>
    </row>
    <row r="3271" spans="1:8" x14ac:dyDescent="0.25">
      <c r="A3271" s="5"/>
      <c r="B3271" s="6"/>
      <c r="C3271" s="6"/>
      <c r="D3271" s="6"/>
      <c r="E3271" s="6"/>
      <c r="G3271" s="1"/>
      <c r="H3271" s="2"/>
    </row>
    <row r="3272" spans="1:8" x14ac:dyDescent="0.25">
      <c r="A3272" s="5"/>
      <c r="B3272" s="6"/>
      <c r="C3272" s="6"/>
      <c r="D3272" s="6"/>
      <c r="E3272" s="6"/>
      <c r="G3272" s="3"/>
      <c r="H3272" s="2"/>
    </row>
    <row r="3273" spans="1:8" x14ac:dyDescent="0.25">
      <c r="A3273" s="5"/>
      <c r="B3273" s="6"/>
      <c r="C3273" s="6"/>
      <c r="D3273" s="6"/>
      <c r="E3273" s="6"/>
      <c r="G3273" s="1"/>
      <c r="H3273" s="2"/>
    </row>
    <row r="3274" spans="1:8" x14ac:dyDescent="0.25">
      <c r="A3274" s="5"/>
      <c r="B3274" s="6"/>
      <c r="C3274" s="6"/>
      <c r="D3274" s="6"/>
      <c r="E3274" s="6"/>
      <c r="G3274" s="3"/>
      <c r="H3274" s="2"/>
    </row>
    <row r="3275" spans="1:8" x14ac:dyDescent="0.25">
      <c r="A3275" s="5"/>
      <c r="B3275" s="6"/>
      <c r="C3275" s="6"/>
      <c r="D3275" s="6"/>
      <c r="E3275" s="6"/>
      <c r="G3275" s="1"/>
      <c r="H3275" s="2"/>
    </row>
    <row r="3276" spans="1:8" x14ac:dyDescent="0.25">
      <c r="A3276" s="5"/>
      <c r="B3276" s="6"/>
      <c r="C3276" s="6"/>
      <c r="D3276" s="6"/>
      <c r="E3276" s="6"/>
      <c r="G3276" s="3"/>
      <c r="H3276" s="2"/>
    </row>
    <row r="3277" spans="1:8" x14ac:dyDescent="0.25">
      <c r="A3277" s="5"/>
      <c r="B3277" s="6"/>
      <c r="C3277" s="6"/>
      <c r="D3277" s="6"/>
      <c r="E3277" s="6"/>
      <c r="G3277" s="1"/>
      <c r="H3277" s="2"/>
    </row>
    <row r="3278" spans="1:8" x14ac:dyDescent="0.25">
      <c r="A3278" s="5"/>
      <c r="B3278" s="6"/>
      <c r="C3278" s="6"/>
      <c r="D3278" s="6"/>
      <c r="E3278" s="6"/>
      <c r="G3278" s="3"/>
      <c r="H3278" s="2"/>
    </row>
    <row r="3279" spans="1:8" x14ac:dyDescent="0.25">
      <c r="A3279" s="5"/>
      <c r="B3279" s="6"/>
      <c r="C3279" s="6"/>
      <c r="D3279" s="6"/>
      <c r="E3279" s="6"/>
      <c r="G3279" s="1"/>
      <c r="H3279" s="2"/>
    </row>
    <row r="3280" spans="1:8" x14ac:dyDescent="0.25">
      <c r="A3280" s="5"/>
      <c r="B3280" s="6"/>
      <c r="C3280" s="6"/>
      <c r="D3280" s="6"/>
      <c r="E3280" s="6"/>
      <c r="G3280" s="3"/>
      <c r="H3280" s="2"/>
    </row>
    <row r="3281" spans="1:8" x14ac:dyDescent="0.25">
      <c r="A3281" s="5"/>
      <c r="B3281" s="6"/>
      <c r="C3281" s="6"/>
      <c r="D3281" s="6"/>
      <c r="E3281" s="6"/>
      <c r="G3281" s="1"/>
      <c r="H3281" s="2"/>
    </row>
    <row r="3282" spans="1:8" x14ac:dyDescent="0.25">
      <c r="A3282" s="5"/>
      <c r="B3282" s="6"/>
      <c r="C3282" s="6"/>
      <c r="D3282" s="6"/>
      <c r="E3282" s="6"/>
      <c r="G3282" s="3"/>
      <c r="H3282" s="2"/>
    </row>
    <row r="3283" spans="1:8" x14ac:dyDescent="0.25">
      <c r="A3283" s="5"/>
      <c r="B3283" s="6"/>
      <c r="C3283" s="6"/>
      <c r="D3283" s="6"/>
      <c r="E3283" s="6"/>
      <c r="G3283" s="1"/>
      <c r="H3283" s="2"/>
    </row>
    <row r="3284" spans="1:8" x14ac:dyDescent="0.25">
      <c r="A3284" s="5"/>
      <c r="B3284" s="6"/>
      <c r="C3284" s="6"/>
      <c r="D3284" s="6"/>
      <c r="E3284" s="6"/>
      <c r="G3284" s="3"/>
      <c r="H3284" s="2"/>
    </row>
    <row r="3285" spans="1:8" x14ac:dyDescent="0.25">
      <c r="A3285" s="5"/>
      <c r="B3285" s="6"/>
      <c r="C3285" s="6"/>
      <c r="D3285" s="6"/>
      <c r="E3285" s="6"/>
      <c r="G3285" s="1"/>
      <c r="H3285" s="2"/>
    </row>
    <row r="3286" spans="1:8" x14ac:dyDescent="0.25">
      <c r="A3286" s="5"/>
      <c r="B3286" s="6"/>
      <c r="C3286" s="6"/>
      <c r="D3286" s="6"/>
      <c r="E3286" s="6"/>
      <c r="G3286" s="3"/>
      <c r="H3286" s="2"/>
    </row>
    <row r="3287" spans="1:8" x14ac:dyDescent="0.25">
      <c r="A3287" s="5"/>
      <c r="B3287" s="6"/>
      <c r="C3287" s="6"/>
      <c r="D3287" s="6"/>
      <c r="E3287" s="6"/>
      <c r="G3287" s="1"/>
      <c r="H3287" s="2"/>
    </row>
    <row r="3288" spans="1:8" x14ac:dyDescent="0.25">
      <c r="A3288" s="5"/>
      <c r="B3288" s="6"/>
      <c r="C3288" s="6"/>
      <c r="D3288" s="6"/>
      <c r="E3288" s="6"/>
      <c r="G3288" s="3"/>
      <c r="H3288" s="2"/>
    </row>
    <row r="3289" spans="1:8" x14ac:dyDescent="0.25">
      <c r="A3289" s="5"/>
      <c r="B3289" s="6"/>
      <c r="C3289" s="6"/>
      <c r="D3289" s="6"/>
      <c r="E3289" s="6"/>
      <c r="G3289" s="1"/>
      <c r="H3289" s="2"/>
    </row>
    <row r="3290" spans="1:8" x14ac:dyDescent="0.25">
      <c r="A3290" s="5"/>
      <c r="B3290" s="6"/>
      <c r="C3290" s="6"/>
      <c r="D3290" s="6"/>
      <c r="E3290" s="6"/>
      <c r="G3290" s="3"/>
      <c r="H3290" s="2"/>
    </row>
    <row r="3291" spans="1:8" x14ac:dyDescent="0.25">
      <c r="A3291" s="5"/>
      <c r="B3291" s="6"/>
      <c r="C3291" s="6"/>
      <c r="D3291" s="6"/>
      <c r="E3291" s="6"/>
      <c r="G3291" s="1"/>
      <c r="H3291" s="2"/>
    </row>
    <row r="3292" spans="1:8" x14ac:dyDescent="0.25">
      <c r="A3292" s="5"/>
      <c r="B3292" s="6"/>
      <c r="C3292" s="6"/>
      <c r="D3292" s="6"/>
      <c r="E3292" s="6"/>
      <c r="G3292" s="3"/>
      <c r="H3292" s="2"/>
    </row>
    <row r="3293" spans="1:8" x14ac:dyDescent="0.25">
      <c r="A3293" s="5"/>
      <c r="B3293" s="6"/>
      <c r="C3293" s="6"/>
      <c r="D3293" s="6"/>
      <c r="E3293" s="6"/>
      <c r="G3293" s="1"/>
      <c r="H3293" s="2"/>
    </row>
    <row r="3294" spans="1:8" x14ac:dyDescent="0.25">
      <c r="A3294" s="5"/>
      <c r="B3294" s="6"/>
      <c r="C3294" s="6"/>
      <c r="D3294" s="6"/>
      <c r="E3294" s="6"/>
      <c r="G3294" s="3"/>
      <c r="H3294" s="2"/>
    </row>
    <row r="3295" spans="1:8" x14ac:dyDescent="0.25">
      <c r="A3295" s="5"/>
      <c r="B3295" s="6"/>
      <c r="C3295" s="6"/>
      <c r="D3295" s="6"/>
      <c r="E3295" s="6"/>
      <c r="G3295" s="1"/>
      <c r="H3295" s="2"/>
    </row>
    <row r="3296" spans="1:8" x14ac:dyDescent="0.25">
      <c r="A3296" s="5"/>
      <c r="B3296" s="6"/>
      <c r="C3296" s="6"/>
      <c r="D3296" s="6"/>
      <c r="E3296" s="6"/>
      <c r="G3296" s="3"/>
      <c r="H3296" s="2"/>
    </row>
    <row r="3297" spans="1:8" x14ac:dyDescent="0.25">
      <c r="A3297" s="5"/>
      <c r="B3297" s="6"/>
      <c r="C3297" s="6"/>
      <c r="D3297" s="6"/>
      <c r="E3297" s="6"/>
      <c r="G3297" s="1"/>
      <c r="H3297" s="2"/>
    </row>
    <row r="3298" spans="1:8" x14ac:dyDescent="0.25">
      <c r="A3298" s="5"/>
      <c r="B3298" s="6"/>
      <c r="C3298" s="6"/>
      <c r="D3298" s="6"/>
      <c r="E3298" s="6"/>
      <c r="G3298" s="3"/>
      <c r="H3298" s="2"/>
    </row>
    <row r="3299" spans="1:8" x14ac:dyDescent="0.25">
      <c r="A3299" s="5"/>
      <c r="B3299" s="6"/>
      <c r="C3299" s="6"/>
      <c r="D3299" s="6"/>
      <c r="E3299" s="6"/>
      <c r="G3299" s="1"/>
      <c r="H3299" s="2"/>
    </row>
    <row r="3300" spans="1:8" x14ac:dyDescent="0.25">
      <c r="A3300" s="5"/>
      <c r="B3300" s="6"/>
      <c r="C3300" s="6"/>
      <c r="D3300" s="6"/>
      <c r="E3300" s="6"/>
      <c r="G3300" s="3"/>
      <c r="H3300" s="2"/>
    </row>
    <row r="3301" spans="1:8" x14ac:dyDescent="0.25">
      <c r="A3301" s="5"/>
      <c r="B3301" s="6"/>
      <c r="C3301" s="6"/>
      <c r="D3301" s="6"/>
      <c r="E3301" s="6"/>
      <c r="G3301" s="1"/>
      <c r="H3301" s="2"/>
    </row>
    <row r="3302" spans="1:8" x14ac:dyDescent="0.25">
      <c r="A3302" s="5"/>
      <c r="B3302" s="6"/>
      <c r="C3302" s="6"/>
      <c r="D3302" s="6"/>
      <c r="E3302" s="6"/>
      <c r="G3302" s="3"/>
      <c r="H3302" s="2"/>
    </row>
    <row r="3303" spans="1:8" x14ac:dyDescent="0.25">
      <c r="A3303" s="5"/>
      <c r="B3303" s="6"/>
      <c r="C3303" s="6"/>
      <c r="D3303" s="6"/>
      <c r="E3303" s="6"/>
      <c r="G3303" s="1"/>
      <c r="H3303" s="2"/>
    </row>
    <row r="3304" spans="1:8" x14ac:dyDescent="0.25">
      <c r="A3304" s="5"/>
      <c r="B3304" s="6"/>
      <c r="C3304" s="6"/>
      <c r="D3304" s="6"/>
      <c r="E3304" s="6"/>
      <c r="G3304" s="3"/>
      <c r="H3304" s="2"/>
    </row>
    <row r="3305" spans="1:8" x14ac:dyDescent="0.25">
      <c r="A3305" s="5"/>
      <c r="B3305" s="6"/>
      <c r="C3305" s="6"/>
      <c r="D3305" s="6"/>
      <c r="E3305" s="6"/>
      <c r="G3305" s="1"/>
      <c r="H3305" s="2"/>
    </row>
    <row r="3306" spans="1:8" x14ac:dyDescent="0.25">
      <c r="A3306" s="5"/>
      <c r="B3306" s="6"/>
      <c r="C3306" s="6"/>
      <c r="D3306" s="6"/>
      <c r="E3306" s="6"/>
      <c r="G3306" s="3"/>
      <c r="H3306" s="2"/>
    </row>
    <row r="3307" spans="1:8" x14ac:dyDescent="0.25">
      <c r="A3307" s="5"/>
      <c r="B3307" s="6"/>
      <c r="C3307" s="6"/>
      <c r="D3307" s="6"/>
      <c r="E3307" s="6"/>
      <c r="G3307" s="1"/>
      <c r="H3307" s="2"/>
    </row>
    <row r="3308" spans="1:8" x14ac:dyDescent="0.25">
      <c r="A3308" s="5"/>
      <c r="B3308" s="6"/>
      <c r="C3308" s="6"/>
      <c r="D3308" s="6"/>
      <c r="E3308" s="6"/>
      <c r="G3308" s="3"/>
      <c r="H3308" s="2"/>
    </row>
    <row r="3309" spans="1:8" x14ac:dyDescent="0.25">
      <c r="A3309" s="5"/>
      <c r="B3309" s="6"/>
      <c r="C3309" s="6"/>
      <c r="D3309" s="6"/>
      <c r="E3309" s="6"/>
      <c r="G3309" s="1"/>
      <c r="H3309" s="2"/>
    </row>
    <row r="3310" spans="1:8" x14ac:dyDescent="0.25">
      <c r="A3310" s="5"/>
      <c r="B3310" s="6"/>
      <c r="C3310" s="6"/>
      <c r="D3310" s="6"/>
      <c r="E3310" s="6"/>
      <c r="G3310" s="14"/>
      <c r="H3310" s="2"/>
    </row>
    <row r="3311" spans="1:8" x14ac:dyDescent="0.25">
      <c r="A3311" s="5"/>
      <c r="B3311" s="6"/>
      <c r="C3311" s="6"/>
      <c r="D3311" s="6"/>
      <c r="E3311" s="6"/>
      <c r="G3311" s="14"/>
      <c r="H3311" s="2"/>
    </row>
    <row r="3312" spans="1:8" x14ac:dyDescent="0.25">
      <c r="A3312" s="5"/>
      <c r="B3312" s="6"/>
      <c r="C3312" s="6"/>
      <c r="D3312" s="6"/>
      <c r="E3312" s="6"/>
      <c r="G3312" s="14"/>
      <c r="H3312" s="2"/>
    </row>
    <row r="3313" spans="1:8" x14ac:dyDescent="0.25">
      <c r="A3313" s="5"/>
      <c r="B3313" s="6"/>
      <c r="C3313" s="6"/>
      <c r="D3313" s="6"/>
      <c r="E3313" s="6"/>
      <c r="G3313" s="14"/>
      <c r="H3313" s="2"/>
    </row>
    <row r="3314" spans="1:8" x14ac:dyDescent="0.25">
      <c r="A3314" s="5"/>
      <c r="B3314" s="6"/>
      <c r="C3314" s="6"/>
      <c r="D3314" s="6"/>
      <c r="E3314" s="6"/>
      <c r="G3314" s="14"/>
      <c r="H3314" s="2"/>
    </row>
    <row r="3315" spans="1:8" x14ac:dyDescent="0.25">
      <c r="A3315" s="5"/>
      <c r="B3315" s="6"/>
      <c r="C3315" s="6"/>
      <c r="D3315" s="6"/>
      <c r="E3315" s="6"/>
      <c r="G3315" s="14"/>
      <c r="H3315" s="2"/>
    </row>
    <row r="3316" spans="1:8" x14ac:dyDescent="0.25">
      <c r="A3316" s="5"/>
      <c r="B3316" s="6"/>
      <c r="C3316" s="6"/>
      <c r="D3316" s="6"/>
      <c r="E3316" s="6"/>
    </row>
    <row r="3317" spans="1:8" x14ac:dyDescent="0.25">
      <c r="A3317" s="5"/>
      <c r="B3317" s="6"/>
      <c r="C3317" s="6"/>
      <c r="D3317" s="6"/>
      <c r="E3317" s="6"/>
      <c r="G3317" s="3"/>
      <c r="H3317" s="2"/>
    </row>
    <row r="3318" spans="1:8" x14ac:dyDescent="0.25">
      <c r="A3318" s="5"/>
      <c r="B3318" s="6"/>
      <c r="C3318" s="6"/>
      <c r="D3318" s="6"/>
      <c r="E3318" s="6"/>
      <c r="G3318" s="1"/>
      <c r="H3318" s="2"/>
    </row>
    <row r="3319" spans="1:8" x14ac:dyDescent="0.25">
      <c r="A3319" s="5"/>
      <c r="B3319" s="6"/>
      <c r="C3319" s="6"/>
      <c r="D3319" s="6"/>
      <c r="E3319" s="6"/>
      <c r="G3319" s="3"/>
      <c r="H3319" s="2"/>
    </row>
    <row r="3320" spans="1:8" x14ac:dyDescent="0.25">
      <c r="A3320" s="5"/>
      <c r="B3320" s="6"/>
      <c r="C3320" s="6"/>
      <c r="D3320" s="6"/>
      <c r="E3320" s="6"/>
      <c r="G3320" s="1"/>
      <c r="H3320" s="2"/>
    </row>
    <row r="3321" spans="1:8" x14ac:dyDescent="0.25">
      <c r="A3321" s="5"/>
      <c r="B3321" s="6"/>
      <c r="C3321" s="6"/>
      <c r="D3321" s="6"/>
      <c r="E3321" s="6"/>
      <c r="G3321" s="3"/>
      <c r="H3321" s="2"/>
    </row>
    <row r="3322" spans="1:8" x14ac:dyDescent="0.25">
      <c r="A3322" s="5"/>
      <c r="B3322" s="6"/>
      <c r="C3322" s="6"/>
      <c r="D3322" s="6"/>
      <c r="E3322" s="6"/>
      <c r="G3322" s="1"/>
      <c r="H3322" s="2"/>
    </row>
    <row r="3323" spans="1:8" x14ac:dyDescent="0.25">
      <c r="A3323" s="5"/>
      <c r="B3323" s="6"/>
      <c r="C3323" s="6"/>
      <c r="D3323" s="6"/>
      <c r="E3323" s="6"/>
      <c r="G3323" s="3"/>
      <c r="H3323" s="2"/>
    </row>
    <row r="3324" spans="1:8" x14ac:dyDescent="0.25">
      <c r="A3324" s="5"/>
      <c r="B3324" s="6"/>
      <c r="C3324" s="6"/>
      <c r="D3324" s="6"/>
      <c r="E3324" s="6"/>
      <c r="G3324" s="1"/>
      <c r="H3324" s="2"/>
    </row>
    <row r="3325" spans="1:8" x14ac:dyDescent="0.25">
      <c r="A3325" s="5"/>
      <c r="B3325" s="6"/>
      <c r="C3325" s="6"/>
      <c r="D3325" s="6"/>
      <c r="E3325" s="6"/>
      <c r="G3325" s="3"/>
      <c r="H3325" s="2"/>
    </row>
    <row r="3326" spans="1:8" x14ac:dyDescent="0.25">
      <c r="A3326" s="5"/>
      <c r="B3326" s="6"/>
      <c r="C3326" s="6"/>
      <c r="D3326" s="6"/>
      <c r="E3326" s="6"/>
      <c r="G3326" s="1"/>
      <c r="H3326" s="2"/>
    </row>
    <row r="3327" spans="1:8" x14ac:dyDescent="0.25">
      <c r="A3327" s="5"/>
      <c r="B3327" s="6"/>
      <c r="C3327" s="6"/>
      <c r="D3327" s="6"/>
      <c r="E3327" s="6"/>
      <c r="G3327" s="3"/>
      <c r="H3327" s="2"/>
    </row>
    <row r="3328" spans="1:8" x14ac:dyDescent="0.25">
      <c r="A3328" s="5"/>
      <c r="B3328" s="6"/>
      <c r="C3328" s="6"/>
      <c r="D3328" s="6"/>
      <c r="E3328" s="6"/>
      <c r="G3328" s="1"/>
      <c r="H3328" s="2"/>
    </row>
    <row r="3329" spans="1:8" x14ac:dyDescent="0.25">
      <c r="A3329" s="5"/>
      <c r="B3329" s="6"/>
      <c r="C3329" s="6"/>
      <c r="D3329" s="6"/>
      <c r="E3329" s="6"/>
      <c r="G3329" s="3"/>
      <c r="H3329" s="2"/>
    </row>
    <row r="3330" spans="1:8" x14ac:dyDescent="0.25">
      <c r="A3330" s="5"/>
      <c r="B3330" s="6"/>
      <c r="C3330" s="6"/>
      <c r="D3330" s="6"/>
      <c r="E3330" s="6"/>
      <c r="G3330" s="1"/>
      <c r="H3330" s="2"/>
    </row>
    <row r="3331" spans="1:8" x14ac:dyDescent="0.25">
      <c r="A3331" s="5"/>
      <c r="B3331" s="6"/>
      <c r="C3331" s="6"/>
      <c r="D3331" s="6"/>
      <c r="E3331" s="6"/>
      <c r="G3331" s="3"/>
      <c r="H3331" s="2"/>
    </row>
    <row r="3332" spans="1:8" x14ac:dyDescent="0.25">
      <c r="A3332" s="5"/>
      <c r="B3332" s="6"/>
      <c r="C3332" s="6"/>
      <c r="D3332" s="6"/>
      <c r="E3332" s="6"/>
      <c r="G3332" s="1"/>
      <c r="H3332" s="2"/>
    </row>
    <row r="3333" spans="1:8" x14ac:dyDescent="0.25">
      <c r="A3333" s="5"/>
      <c r="B3333" s="6"/>
      <c r="C3333" s="6"/>
      <c r="D3333" s="6"/>
      <c r="E3333" s="6"/>
      <c r="G3333" s="3"/>
      <c r="H3333" s="2"/>
    </row>
    <row r="3334" spans="1:8" x14ac:dyDescent="0.25">
      <c r="A3334" s="5"/>
      <c r="B3334" s="6"/>
      <c r="C3334" s="6"/>
      <c r="D3334" s="6"/>
      <c r="E3334" s="6"/>
      <c r="G3334" s="1"/>
      <c r="H3334" s="2"/>
    </row>
    <row r="3335" spans="1:8" x14ac:dyDescent="0.25">
      <c r="A3335" s="5"/>
      <c r="B3335" s="6"/>
      <c r="C3335" s="6"/>
      <c r="D3335" s="6"/>
      <c r="E3335" s="6"/>
      <c r="G3335" s="3"/>
      <c r="H3335" s="2"/>
    </row>
    <row r="3336" spans="1:8" x14ac:dyDescent="0.25">
      <c r="A3336" s="5"/>
      <c r="B3336" s="6"/>
      <c r="C3336" s="6"/>
      <c r="D3336" s="6"/>
      <c r="E3336" s="6"/>
      <c r="G3336" s="1"/>
      <c r="H3336" s="2"/>
    </row>
    <row r="3337" spans="1:8" x14ac:dyDescent="0.25">
      <c r="A3337" s="5"/>
      <c r="B3337" s="6"/>
      <c r="C3337" s="6"/>
      <c r="D3337" s="6"/>
      <c r="E3337" s="6"/>
      <c r="G3337" s="3"/>
      <c r="H3337" s="2"/>
    </row>
    <row r="3338" spans="1:8" x14ac:dyDescent="0.25">
      <c r="A3338" s="5"/>
      <c r="B3338" s="6"/>
      <c r="C3338" s="6"/>
      <c r="D3338" s="6"/>
      <c r="E3338" s="6"/>
      <c r="G3338" s="1"/>
      <c r="H3338" s="2"/>
    </row>
    <row r="3339" spans="1:8" x14ac:dyDescent="0.25">
      <c r="A3339" s="5"/>
      <c r="B3339" s="6"/>
      <c r="C3339" s="6"/>
      <c r="D3339" s="6"/>
      <c r="E3339" s="6"/>
      <c r="G3339" s="3"/>
      <c r="H3339" s="2"/>
    </row>
    <row r="3340" spans="1:8" x14ac:dyDescent="0.25">
      <c r="A3340" s="5"/>
      <c r="B3340" s="6"/>
      <c r="C3340" s="6"/>
      <c r="D3340" s="6"/>
      <c r="E3340" s="6"/>
      <c r="G3340" s="1"/>
      <c r="H3340" s="2"/>
    </row>
    <row r="3341" spans="1:8" x14ac:dyDescent="0.25">
      <c r="A3341" s="5"/>
      <c r="B3341" s="6"/>
      <c r="C3341" s="6"/>
      <c r="D3341" s="6"/>
      <c r="E3341" s="6"/>
      <c r="G3341" s="3"/>
      <c r="H3341" s="2"/>
    </row>
    <row r="3342" spans="1:8" x14ac:dyDescent="0.25">
      <c r="A3342" s="5"/>
      <c r="B3342" s="6"/>
      <c r="C3342" s="6"/>
      <c r="D3342" s="6"/>
      <c r="E3342" s="6"/>
      <c r="G3342" s="1"/>
      <c r="H3342" s="2"/>
    </row>
    <row r="3343" spans="1:8" x14ac:dyDescent="0.25">
      <c r="A3343" s="5"/>
      <c r="B3343" s="6"/>
      <c r="C3343" s="6"/>
      <c r="D3343" s="6"/>
      <c r="E3343" s="6"/>
      <c r="G3343" s="3"/>
      <c r="H3343" s="2"/>
    </row>
    <row r="3344" spans="1:8" x14ac:dyDescent="0.25">
      <c r="A3344" s="5"/>
      <c r="B3344" s="6"/>
      <c r="C3344" s="6"/>
      <c r="D3344" s="6"/>
      <c r="E3344" s="6"/>
      <c r="G3344" s="1"/>
      <c r="H3344" s="2"/>
    </row>
    <row r="3345" spans="1:8" x14ac:dyDescent="0.25">
      <c r="A3345" s="5"/>
      <c r="B3345" s="6"/>
      <c r="C3345" s="6"/>
      <c r="D3345" s="6"/>
      <c r="E3345" s="6"/>
      <c r="G3345" s="3"/>
      <c r="H3345" s="2"/>
    </row>
    <row r="3346" spans="1:8" x14ac:dyDescent="0.25">
      <c r="A3346" s="5"/>
      <c r="B3346" s="6"/>
      <c r="C3346" s="6"/>
      <c r="D3346" s="6"/>
      <c r="E3346" s="6"/>
      <c r="G3346" s="1"/>
      <c r="H3346" s="2"/>
    </row>
    <row r="3347" spans="1:8" x14ac:dyDescent="0.25">
      <c r="A3347" s="5"/>
      <c r="B3347" s="6"/>
      <c r="C3347" s="6"/>
      <c r="D3347" s="6"/>
      <c r="E3347" s="6"/>
      <c r="G3347" s="3"/>
      <c r="H3347" s="2"/>
    </row>
    <row r="3348" spans="1:8" x14ac:dyDescent="0.25">
      <c r="A3348" s="5"/>
      <c r="B3348" s="6"/>
      <c r="C3348" s="6"/>
      <c r="D3348" s="6"/>
      <c r="E3348" s="6"/>
      <c r="G3348" s="1"/>
      <c r="H3348" s="2"/>
    </row>
    <row r="3349" spans="1:8" x14ac:dyDescent="0.25">
      <c r="A3349" s="5"/>
      <c r="B3349" s="6"/>
      <c r="C3349" s="6"/>
      <c r="D3349" s="6"/>
      <c r="E3349" s="6"/>
      <c r="G3349" s="3"/>
      <c r="H3349" s="2"/>
    </row>
    <row r="3350" spans="1:8" x14ac:dyDescent="0.25">
      <c r="A3350" s="5"/>
      <c r="B3350" s="6"/>
      <c r="C3350" s="6"/>
      <c r="D3350" s="6"/>
      <c r="E3350" s="6"/>
      <c r="G3350" s="1"/>
      <c r="H3350" s="2"/>
    </row>
    <row r="3351" spans="1:8" x14ac:dyDescent="0.25">
      <c r="A3351" s="5"/>
      <c r="B3351" s="6"/>
      <c r="C3351" s="6"/>
      <c r="D3351" s="6"/>
      <c r="E3351" s="6"/>
      <c r="G3351" s="3"/>
      <c r="H3351" s="2"/>
    </row>
    <row r="3352" spans="1:8" x14ac:dyDescent="0.25">
      <c r="A3352" s="5"/>
      <c r="B3352" s="6"/>
      <c r="C3352" s="6"/>
      <c r="D3352" s="6"/>
      <c r="E3352" s="6"/>
      <c r="G3352" s="1"/>
      <c r="H3352" s="2"/>
    </row>
    <row r="3353" spans="1:8" x14ac:dyDescent="0.25">
      <c r="A3353" s="5"/>
      <c r="B3353" s="6"/>
      <c r="C3353" s="6"/>
      <c r="D3353" s="6"/>
      <c r="E3353" s="6"/>
      <c r="G3353" s="3"/>
      <c r="H3353" s="2"/>
    </row>
    <row r="3354" spans="1:8" x14ac:dyDescent="0.25">
      <c r="A3354" s="5"/>
      <c r="B3354" s="6"/>
      <c r="C3354" s="6"/>
      <c r="D3354" s="6"/>
      <c r="E3354" s="6"/>
      <c r="G3354" s="1"/>
      <c r="H3354" s="2"/>
    </row>
    <row r="3355" spans="1:8" x14ac:dyDescent="0.25">
      <c r="A3355" s="5"/>
      <c r="B3355" s="6"/>
      <c r="C3355" s="6"/>
      <c r="D3355" s="6"/>
      <c r="E3355" s="6"/>
      <c r="G3355" s="3"/>
      <c r="H3355" s="2"/>
    </row>
    <row r="3356" spans="1:8" x14ac:dyDescent="0.25">
      <c r="A3356" s="5"/>
      <c r="B3356" s="6"/>
      <c r="C3356" s="6"/>
      <c r="D3356" s="6"/>
      <c r="E3356" s="6"/>
      <c r="G3356" s="1"/>
      <c r="H3356" s="2"/>
    </row>
    <row r="3357" spans="1:8" x14ac:dyDescent="0.25">
      <c r="A3357" s="5"/>
      <c r="B3357" s="6"/>
      <c r="C3357" s="6"/>
      <c r="D3357" s="6"/>
      <c r="E3357" s="6"/>
      <c r="G3357" s="3"/>
      <c r="H3357" s="2"/>
    </row>
    <row r="3358" spans="1:8" x14ac:dyDescent="0.25">
      <c r="A3358" s="5"/>
      <c r="B3358" s="6"/>
      <c r="C3358" s="6"/>
      <c r="D3358" s="6"/>
      <c r="E3358" s="6"/>
      <c r="G3358" s="1"/>
      <c r="H3358" s="2"/>
    </row>
    <row r="3359" spans="1:8" x14ac:dyDescent="0.25">
      <c r="A3359" s="5"/>
      <c r="B3359" s="6"/>
      <c r="C3359" s="6"/>
      <c r="D3359" s="6"/>
      <c r="E3359" s="6"/>
      <c r="G3359" s="3"/>
      <c r="H3359" s="2"/>
    </row>
    <row r="3360" spans="1:8" x14ac:dyDescent="0.25">
      <c r="A3360" s="5"/>
      <c r="B3360" s="6"/>
      <c r="C3360" s="6"/>
      <c r="D3360" s="6"/>
      <c r="E3360" s="6"/>
      <c r="G3360" s="1"/>
      <c r="H3360" s="2"/>
    </row>
    <row r="3361" spans="1:8" x14ac:dyDescent="0.25">
      <c r="A3361" s="5"/>
      <c r="B3361" s="6"/>
      <c r="C3361" s="6"/>
      <c r="D3361" s="6"/>
      <c r="E3361" s="6"/>
      <c r="G3361" s="3"/>
      <c r="H3361" s="2"/>
    </row>
    <row r="3362" spans="1:8" x14ac:dyDescent="0.25">
      <c r="A3362" s="5"/>
      <c r="B3362" s="6"/>
      <c r="C3362" s="6"/>
      <c r="D3362" s="6"/>
      <c r="E3362" s="6"/>
      <c r="G3362" s="1"/>
      <c r="H3362" s="2"/>
    </row>
    <row r="3363" spans="1:8" x14ac:dyDescent="0.25">
      <c r="A3363" s="5"/>
      <c r="B3363" s="6"/>
      <c r="C3363" s="6"/>
      <c r="D3363" s="6"/>
      <c r="E3363" s="6"/>
      <c r="G3363" s="3"/>
      <c r="H3363" s="2"/>
    </row>
    <row r="3364" spans="1:8" x14ac:dyDescent="0.25">
      <c r="A3364" s="5"/>
      <c r="B3364" s="6"/>
      <c r="C3364" s="6"/>
      <c r="D3364" s="6"/>
      <c r="E3364" s="6"/>
      <c r="G3364" s="1"/>
      <c r="H3364" s="2"/>
    </row>
    <row r="3365" spans="1:8" x14ac:dyDescent="0.25">
      <c r="A3365" s="5"/>
      <c r="B3365" s="6"/>
      <c r="C3365" s="6"/>
      <c r="D3365" s="6"/>
      <c r="E3365" s="6"/>
      <c r="G3365" s="3"/>
      <c r="H3365" s="2"/>
    </row>
    <row r="3366" spans="1:8" x14ac:dyDescent="0.25">
      <c r="A3366" s="5"/>
      <c r="B3366" s="6"/>
      <c r="C3366" s="6"/>
      <c r="D3366" s="6"/>
      <c r="E3366" s="6"/>
      <c r="G3366" s="1"/>
      <c r="H3366" s="2"/>
    </row>
    <row r="3367" spans="1:8" x14ac:dyDescent="0.25">
      <c r="A3367" s="5"/>
      <c r="B3367" s="6"/>
      <c r="C3367" s="6"/>
      <c r="D3367" s="6"/>
      <c r="E3367" s="6"/>
      <c r="G3367" s="3"/>
      <c r="H3367" s="2"/>
    </row>
    <row r="3368" spans="1:8" x14ac:dyDescent="0.25">
      <c r="A3368" s="5"/>
      <c r="B3368" s="6"/>
      <c r="C3368" s="6"/>
      <c r="D3368" s="6"/>
      <c r="E3368" s="6"/>
      <c r="G3368" s="1"/>
      <c r="H3368" s="2"/>
    </row>
    <row r="3369" spans="1:8" x14ac:dyDescent="0.25">
      <c r="A3369" s="5"/>
      <c r="B3369" s="6"/>
      <c r="C3369" s="6"/>
      <c r="D3369" s="6"/>
      <c r="E3369" s="6"/>
      <c r="G3369" s="3"/>
      <c r="H3369" s="2"/>
    </row>
    <row r="3370" spans="1:8" x14ac:dyDescent="0.25">
      <c r="A3370" s="5"/>
      <c r="B3370" s="6"/>
      <c r="C3370" s="6"/>
      <c r="D3370" s="6"/>
      <c r="E3370" s="6"/>
      <c r="G3370" s="1"/>
      <c r="H3370" s="2"/>
    </row>
    <row r="3371" spans="1:8" x14ac:dyDescent="0.25">
      <c r="A3371" s="5"/>
      <c r="B3371" s="6"/>
      <c r="C3371" s="6"/>
      <c r="D3371" s="6"/>
      <c r="E3371" s="6"/>
      <c r="G3371" s="3"/>
      <c r="H3371" s="2"/>
    </row>
    <row r="3372" spans="1:8" x14ac:dyDescent="0.25">
      <c r="A3372" s="5"/>
      <c r="B3372" s="6"/>
      <c r="C3372" s="6"/>
      <c r="D3372" s="6"/>
      <c r="E3372" s="6"/>
      <c r="G3372" s="1"/>
      <c r="H3372" s="2"/>
    </row>
    <row r="3373" spans="1:8" x14ac:dyDescent="0.25">
      <c r="A3373" s="5"/>
      <c r="B3373" s="6"/>
      <c r="C3373" s="6"/>
      <c r="D3373" s="6"/>
      <c r="E3373" s="6"/>
      <c r="G3373" s="3"/>
      <c r="H3373" s="2"/>
    </row>
    <row r="3374" spans="1:8" x14ac:dyDescent="0.25">
      <c r="A3374" s="5"/>
      <c r="B3374" s="6"/>
      <c r="C3374" s="6"/>
      <c r="D3374" s="6"/>
      <c r="E3374" s="6"/>
      <c r="G3374" s="1"/>
      <c r="H3374" s="2"/>
    </row>
    <row r="3375" spans="1:8" x14ac:dyDescent="0.25">
      <c r="A3375" s="5"/>
      <c r="B3375" s="6"/>
      <c r="C3375" s="6"/>
      <c r="D3375" s="6"/>
      <c r="E3375" s="6"/>
      <c r="G3375" s="3"/>
      <c r="H3375" s="2"/>
    </row>
    <row r="3376" spans="1:8" x14ac:dyDescent="0.25">
      <c r="A3376" s="5"/>
      <c r="B3376" s="6"/>
      <c r="C3376" s="6"/>
      <c r="D3376" s="6"/>
      <c r="E3376" s="6"/>
      <c r="G3376" s="1"/>
      <c r="H3376" s="2"/>
    </row>
    <row r="3377" spans="1:8" x14ac:dyDescent="0.25">
      <c r="A3377" s="5"/>
      <c r="B3377" s="6"/>
      <c r="C3377" s="6"/>
      <c r="D3377" s="6"/>
      <c r="E3377" s="6"/>
      <c r="G3377" s="3"/>
      <c r="H3377" s="2"/>
    </row>
    <row r="3378" spans="1:8" x14ac:dyDescent="0.25">
      <c r="A3378" s="5"/>
      <c r="B3378" s="6"/>
      <c r="C3378" s="6"/>
      <c r="D3378" s="6"/>
      <c r="E3378" s="6"/>
      <c r="G3378" s="1"/>
      <c r="H3378" s="2"/>
    </row>
    <row r="3379" spans="1:8" x14ac:dyDescent="0.25">
      <c r="A3379" s="5"/>
      <c r="B3379" s="6"/>
      <c r="C3379" s="6"/>
      <c r="D3379" s="6"/>
      <c r="E3379" s="6"/>
      <c r="G3379" s="3"/>
      <c r="H3379" s="2"/>
    </row>
    <row r="3380" spans="1:8" x14ac:dyDescent="0.25">
      <c r="A3380" s="5"/>
      <c r="B3380" s="6"/>
      <c r="C3380" s="6"/>
      <c r="D3380" s="6"/>
      <c r="E3380" s="6"/>
      <c r="G3380" s="1"/>
      <c r="H3380" s="2"/>
    </row>
    <row r="3381" spans="1:8" x14ac:dyDescent="0.25">
      <c r="A3381" s="5"/>
      <c r="B3381" s="6"/>
      <c r="C3381" s="6"/>
      <c r="D3381" s="6"/>
      <c r="E3381" s="6"/>
      <c r="G3381" s="3"/>
      <c r="H3381" s="2"/>
    </row>
    <row r="3382" spans="1:8" x14ac:dyDescent="0.25">
      <c r="A3382" s="5"/>
      <c r="B3382" s="6"/>
      <c r="C3382" s="6"/>
      <c r="D3382" s="6"/>
      <c r="E3382" s="6"/>
      <c r="G3382" s="1"/>
      <c r="H3382" s="2"/>
    </row>
    <row r="3383" spans="1:8" x14ac:dyDescent="0.25">
      <c r="A3383" s="5"/>
      <c r="B3383" s="6"/>
      <c r="C3383" s="6"/>
      <c r="D3383" s="6"/>
      <c r="E3383" s="6"/>
      <c r="G3383" s="3"/>
      <c r="H3383" s="2"/>
    </row>
    <row r="3384" spans="1:8" x14ac:dyDescent="0.25">
      <c r="A3384" s="5"/>
      <c r="B3384" s="6"/>
      <c r="C3384" s="6"/>
      <c r="D3384" s="6"/>
      <c r="E3384" s="6"/>
      <c r="G3384" s="1"/>
      <c r="H3384" s="2"/>
    </row>
    <row r="3385" spans="1:8" x14ac:dyDescent="0.25">
      <c r="A3385" s="5"/>
      <c r="B3385" s="6"/>
      <c r="C3385" s="6"/>
      <c r="D3385" s="6"/>
      <c r="E3385" s="6"/>
      <c r="G3385" s="3"/>
      <c r="H3385" s="2"/>
    </row>
    <row r="3386" spans="1:8" x14ac:dyDescent="0.25">
      <c r="A3386" s="5"/>
      <c r="B3386" s="6"/>
      <c r="C3386" s="6"/>
      <c r="D3386" s="6"/>
      <c r="E3386" s="6"/>
      <c r="G3386" s="1"/>
      <c r="H3386" s="2"/>
    </row>
    <row r="3387" spans="1:8" x14ac:dyDescent="0.25">
      <c r="A3387" s="5"/>
      <c r="B3387" s="6"/>
      <c r="C3387" s="6"/>
      <c r="D3387" s="6"/>
      <c r="E3387" s="6"/>
      <c r="G3387" s="3"/>
      <c r="H3387" s="2"/>
    </row>
    <row r="3388" spans="1:8" x14ac:dyDescent="0.25">
      <c r="A3388" s="5"/>
      <c r="B3388" s="6"/>
      <c r="C3388" s="6"/>
      <c r="D3388" s="6"/>
      <c r="E3388" s="6"/>
      <c r="G3388" s="1"/>
      <c r="H3388" s="2"/>
    </row>
    <row r="3389" spans="1:8" x14ac:dyDescent="0.25">
      <c r="A3389" s="5"/>
      <c r="B3389" s="6"/>
      <c r="C3389" s="6"/>
      <c r="D3389" s="6"/>
      <c r="E3389" s="6"/>
      <c r="G3389" s="3"/>
      <c r="H3389" s="2"/>
    </row>
    <row r="3390" spans="1:8" x14ac:dyDescent="0.25">
      <c r="A3390" s="5"/>
      <c r="B3390" s="6"/>
      <c r="C3390" s="6"/>
      <c r="D3390" s="6"/>
      <c r="E3390" s="6"/>
      <c r="G3390" s="1"/>
      <c r="H3390" s="2"/>
    </row>
    <row r="3391" spans="1:8" x14ac:dyDescent="0.25">
      <c r="A3391" s="5"/>
      <c r="B3391" s="6"/>
      <c r="C3391" s="6"/>
      <c r="D3391" s="6"/>
      <c r="E3391" s="6"/>
      <c r="G3391" s="3"/>
      <c r="H3391" s="2"/>
    </row>
    <row r="3392" spans="1:8" x14ac:dyDescent="0.25">
      <c r="A3392" s="5"/>
      <c r="B3392" s="6"/>
      <c r="C3392" s="6"/>
      <c r="D3392" s="6"/>
      <c r="E3392" s="6"/>
      <c r="G3392" s="1"/>
      <c r="H3392" s="2"/>
    </row>
    <row r="3393" spans="1:8" x14ac:dyDescent="0.25">
      <c r="A3393" s="5"/>
      <c r="B3393" s="6"/>
      <c r="C3393" s="6"/>
      <c r="D3393" s="6"/>
      <c r="E3393" s="6"/>
      <c r="G3393" s="3"/>
      <c r="H3393" s="2"/>
    </row>
    <row r="3394" spans="1:8" x14ac:dyDescent="0.25">
      <c r="A3394" s="5"/>
      <c r="B3394" s="6"/>
      <c r="C3394" s="6"/>
      <c r="D3394" s="6"/>
      <c r="E3394" s="6"/>
      <c r="G3394" s="1"/>
      <c r="H3394" s="2"/>
    </row>
    <row r="3395" spans="1:8" x14ac:dyDescent="0.25">
      <c r="A3395" s="5"/>
      <c r="B3395" s="6"/>
      <c r="C3395" s="6"/>
      <c r="D3395" s="6"/>
      <c r="E3395" s="6"/>
      <c r="G3395" s="3"/>
      <c r="H3395" s="2"/>
    </row>
    <row r="3396" spans="1:8" x14ac:dyDescent="0.25">
      <c r="A3396" s="5"/>
      <c r="B3396" s="6"/>
      <c r="C3396" s="6"/>
      <c r="D3396" s="6"/>
      <c r="E3396" s="6"/>
      <c r="G3396" s="1"/>
      <c r="H3396" s="2"/>
    </row>
    <row r="3397" spans="1:8" x14ac:dyDescent="0.25">
      <c r="A3397" s="5"/>
      <c r="B3397" s="6"/>
      <c r="C3397" s="6"/>
      <c r="D3397" s="6"/>
      <c r="E3397" s="6"/>
      <c r="G3397" s="3"/>
      <c r="H3397" s="2"/>
    </row>
    <row r="3398" spans="1:8" x14ac:dyDescent="0.25">
      <c r="A3398" s="5"/>
      <c r="B3398" s="6"/>
      <c r="C3398" s="6"/>
      <c r="D3398" s="6"/>
      <c r="E3398" s="6"/>
      <c r="G3398" s="1"/>
      <c r="H3398" s="2"/>
    </row>
    <row r="3399" spans="1:8" x14ac:dyDescent="0.25">
      <c r="A3399" s="5"/>
      <c r="B3399" s="6"/>
      <c r="C3399" s="6"/>
      <c r="D3399" s="6"/>
      <c r="E3399" s="6"/>
      <c r="G3399" s="3"/>
      <c r="H3399" s="2"/>
    </row>
    <row r="3400" spans="1:8" x14ac:dyDescent="0.25">
      <c r="A3400" s="5"/>
      <c r="B3400" s="6"/>
      <c r="C3400" s="6"/>
      <c r="D3400" s="6"/>
      <c r="E3400" s="6"/>
      <c r="G3400" s="1"/>
      <c r="H3400" s="2"/>
    </row>
    <row r="3401" spans="1:8" x14ac:dyDescent="0.25">
      <c r="A3401" s="5"/>
      <c r="B3401" s="6"/>
      <c r="C3401" s="6"/>
      <c r="D3401" s="6"/>
      <c r="E3401" s="6"/>
      <c r="G3401" s="3"/>
      <c r="H3401" s="2"/>
    </row>
    <row r="3402" spans="1:8" x14ac:dyDescent="0.25">
      <c r="A3402" s="5"/>
      <c r="B3402" s="6"/>
      <c r="C3402" s="6"/>
      <c r="D3402" s="6"/>
      <c r="E3402" s="6"/>
      <c r="G3402" s="1"/>
      <c r="H3402" s="2"/>
    </row>
    <row r="3403" spans="1:8" x14ac:dyDescent="0.25">
      <c r="A3403" s="5"/>
      <c r="B3403" s="6"/>
      <c r="C3403" s="6"/>
      <c r="D3403" s="6"/>
      <c r="E3403" s="6"/>
      <c r="G3403" s="3"/>
      <c r="H3403" s="2"/>
    </row>
    <row r="3404" spans="1:8" x14ac:dyDescent="0.25">
      <c r="A3404" s="5"/>
      <c r="B3404" s="6"/>
      <c r="C3404" s="6"/>
      <c r="D3404" s="6"/>
      <c r="E3404" s="6"/>
      <c r="G3404" s="1"/>
      <c r="H3404" s="2"/>
    </row>
    <row r="3405" spans="1:8" x14ac:dyDescent="0.25">
      <c r="A3405" s="5"/>
      <c r="B3405" s="6"/>
      <c r="C3405" s="6"/>
      <c r="D3405" s="6"/>
      <c r="E3405" s="6"/>
      <c r="G3405" s="3"/>
      <c r="H3405" s="2"/>
    </row>
    <row r="3406" spans="1:8" x14ac:dyDescent="0.25">
      <c r="A3406" s="5"/>
      <c r="B3406" s="6"/>
      <c r="C3406" s="6"/>
      <c r="D3406" s="6"/>
      <c r="E3406" s="6"/>
      <c r="G3406" s="1"/>
      <c r="H3406" s="2"/>
    </row>
    <row r="3407" spans="1:8" x14ac:dyDescent="0.25">
      <c r="A3407" s="5"/>
      <c r="B3407" s="6"/>
      <c r="C3407" s="6"/>
      <c r="D3407" s="6"/>
      <c r="E3407" s="6"/>
      <c r="G3407" s="3"/>
      <c r="H3407" s="2"/>
    </row>
    <row r="3408" spans="1:8" x14ac:dyDescent="0.25">
      <c r="A3408" s="5"/>
      <c r="B3408" s="6"/>
      <c r="C3408" s="6"/>
      <c r="D3408" s="6"/>
      <c r="E3408" s="6"/>
      <c r="G3408" s="1"/>
      <c r="H3408" s="2"/>
    </row>
    <row r="3409" spans="1:8" x14ac:dyDescent="0.25">
      <c r="A3409" s="5"/>
      <c r="B3409" s="6"/>
      <c r="C3409" s="6"/>
      <c r="D3409" s="6"/>
      <c r="E3409" s="6"/>
      <c r="G3409" s="3"/>
      <c r="H3409" s="2"/>
    </row>
    <row r="3410" spans="1:8" x14ac:dyDescent="0.25">
      <c r="A3410" s="5"/>
      <c r="B3410" s="6"/>
      <c r="C3410" s="6"/>
      <c r="D3410" s="6"/>
      <c r="E3410" s="6"/>
      <c r="G3410" s="1"/>
      <c r="H3410" s="2"/>
    </row>
    <row r="3411" spans="1:8" x14ac:dyDescent="0.25">
      <c r="A3411" s="5"/>
      <c r="B3411" s="6"/>
      <c r="C3411" s="6"/>
      <c r="D3411" s="6"/>
      <c r="E3411" s="6"/>
      <c r="G3411" s="3"/>
      <c r="H3411" s="2"/>
    </row>
    <row r="3412" spans="1:8" x14ac:dyDescent="0.25">
      <c r="A3412" s="5"/>
      <c r="B3412" s="6"/>
      <c r="C3412" s="6"/>
      <c r="D3412" s="6"/>
      <c r="E3412" s="6"/>
      <c r="G3412" s="1"/>
      <c r="H3412" s="2"/>
    </row>
    <row r="3413" spans="1:8" x14ac:dyDescent="0.25">
      <c r="A3413" s="5"/>
      <c r="B3413" s="6"/>
      <c r="C3413" s="6"/>
      <c r="D3413" s="6"/>
      <c r="E3413" s="6"/>
      <c r="G3413" s="3"/>
      <c r="H3413" s="2"/>
    </row>
    <row r="3414" spans="1:8" x14ac:dyDescent="0.25">
      <c r="A3414" s="5"/>
      <c r="B3414" s="6"/>
      <c r="C3414" s="6"/>
      <c r="D3414" s="6"/>
      <c r="E3414" s="6"/>
      <c r="G3414" s="1"/>
      <c r="H3414" s="2"/>
    </row>
    <row r="3415" spans="1:8" x14ac:dyDescent="0.25">
      <c r="A3415" s="5"/>
      <c r="B3415" s="6"/>
      <c r="C3415" s="6"/>
      <c r="D3415" s="6"/>
      <c r="E3415" s="6"/>
      <c r="G3415" s="3"/>
      <c r="H3415" s="2"/>
    </row>
    <row r="3416" spans="1:8" x14ac:dyDescent="0.25">
      <c r="A3416" s="5"/>
      <c r="B3416" s="6"/>
      <c r="C3416" s="6"/>
      <c r="D3416" s="6"/>
      <c r="E3416" s="6"/>
      <c r="G3416" s="1"/>
      <c r="H3416" s="2"/>
    </row>
    <row r="3417" spans="1:8" x14ac:dyDescent="0.25">
      <c r="A3417" s="5"/>
      <c r="B3417" s="6"/>
      <c r="C3417" s="6"/>
      <c r="D3417" s="6"/>
      <c r="E3417" s="6"/>
      <c r="G3417" s="3"/>
      <c r="H3417" s="2"/>
    </row>
    <row r="3418" spans="1:8" x14ac:dyDescent="0.25">
      <c r="A3418" s="5"/>
      <c r="B3418" s="6"/>
      <c r="C3418" s="6"/>
      <c r="D3418" s="6"/>
      <c r="E3418" s="6"/>
      <c r="G3418" s="1"/>
      <c r="H3418" s="2"/>
    </row>
    <row r="3419" spans="1:8" x14ac:dyDescent="0.25">
      <c r="A3419" s="5"/>
      <c r="B3419" s="6"/>
      <c r="C3419" s="6"/>
      <c r="D3419" s="6"/>
      <c r="E3419" s="6"/>
      <c r="G3419" s="3"/>
      <c r="H3419" s="2"/>
    </row>
    <row r="3420" spans="1:8" x14ac:dyDescent="0.25">
      <c r="A3420" s="5"/>
      <c r="B3420" s="6"/>
      <c r="C3420" s="6"/>
      <c r="D3420" s="6"/>
      <c r="E3420" s="6"/>
      <c r="G3420" s="1"/>
      <c r="H3420" s="2"/>
    </row>
    <row r="3421" spans="1:8" x14ac:dyDescent="0.25">
      <c r="A3421" s="5"/>
      <c r="B3421" s="6"/>
      <c r="C3421" s="6"/>
      <c r="D3421" s="6"/>
      <c r="E3421" s="6"/>
      <c r="G3421" s="3"/>
      <c r="H3421" s="2"/>
    </row>
    <row r="3422" spans="1:8" x14ac:dyDescent="0.25">
      <c r="A3422" s="5"/>
      <c r="B3422" s="6"/>
      <c r="C3422" s="6"/>
      <c r="D3422" s="6"/>
      <c r="E3422" s="6"/>
      <c r="G3422" s="1"/>
      <c r="H3422" s="2"/>
    </row>
    <row r="3423" spans="1:8" x14ac:dyDescent="0.25">
      <c r="A3423" s="5"/>
      <c r="B3423" s="6"/>
      <c r="C3423" s="6"/>
      <c r="D3423" s="6"/>
      <c r="E3423" s="6"/>
      <c r="G3423" s="3"/>
      <c r="H3423" s="2"/>
    </row>
    <row r="3424" spans="1:8" x14ac:dyDescent="0.25">
      <c r="A3424" s="5"/>
      <c r="B3424" s="6"/>
      <c r="C3424" s="6"/>
      <c r="D3424" s="6"/>
      <c r="E3424" s="6"/>
      <c r="G3424" s="1"/>
      <c r="H3424" s="2"/>
    </row>
    <row r="3425" spans="1:8" x14ac:dyDescent="0.25">
      <c r="A3425" s="5"/>
      <c r="B3425" s="6"/>
      <c r="C3425" s="6"/>
      <c r="D3425" s="6"/>
      <c r="E3425" s="6"/>
      <c r="G3425" s="3"/>
      <c r="H3425" s="2"/>
    </row>
    <row r="3426" spans="1:8" x14ac:dyDescent="0.25">
      <c r="A3426" s="5"/>
      <c r="B3426" s="6"/>
      <c r="C3426" s="6"/>
      <c r="D3426" s="6"/>
      <c r="E3426" s="6"/>
      <c r="G3426" s="1"/>
      <c r="H3426" s="2"/>
    </row>
    <row r="3427" spans="1:8" x14ac:dyDescent="0.25">
      <c r="A3427" s="5"/>
      <c r="B3427" s="6"/>
      <c r="C3427" s="6"/>
      <c r="D3427" s="6"/>
      <c r="E3427" s="6"/>
      <c r="G3427" s="3"/>
      <c r="H3427" s="2"/>
    </row>
    <row r="3428" spans="1:8" x14ac:dyDescent="0.25">
      <c r="A3428" s="5"/>
      <c r="B3428" s="6"/>
      <c r="C3428" s="6"/>
      <c r="D3428" s="6"/>
      <c r="E3428" s="6"/>
      <c r="G3428" s="1"/>
      <c r="H3428" s="2"/>
    </row>
    <row r="3429" spans="1:8" x14ac:dyDescent="0.25">
      <c r="A3429" s="5"/>
      <c r="B3429" s="6"/>
      <c r="C3429" s="6"/>
      <c r="D3429" s="6"/>
      <c r="E3429" s="6"/>
      <c r="G3429" s="3"/>
      <c r="H3429" s="2"/>
    </row>
    <row r="3430" spans="1:8" x14ac:dyDescent="0.25">
      <c r="A3430" s="5"/>
      <c r="B3430" s="6"/>
      <c r="C3430" s="6"/>
      <c r="D3430" s="6"/>
      <c r="E3430" s="6"/>
      <c r="G3430" s="1"/>
      <c r="H3430" s="2"/>
    </row>
    <row r="3431" spans="1:8" x14ac:dyDescent="0.25">
      <c r="A3431" s="5"/>
      <c r="B3431" s="6"/>
      <c r="C3431" s="6"/>
      <c r="D3431" s="6"/>
      <c r="E3431" s="6"/>
      <c r="G3431" s="3"/>
      <c r="H3431" s="2"/>
    </row>
    <row r="3432" spans="1:8" x14ac:dyDescent="0.25">
      <c r="A3432" s="5"/>
      <c r="B3432" s="6"/>
      <c r="C3432" s="6"/>
      <c r="D3432" s="6"/>
      <c r="E3432" s="6"/>
      <c r="G3432" s="1"/>
      <c r="H3432" s="2"/>
    </row>
    <row r="3433" spans="1:8" x14ac:dyDescent="0.25">
      <c r="A3433" s="5"/>
      <c r="B3433" s="6"/>
      <c r="C3433" s="6"/>
      <c r="D3433" s="6"/>
      <c r="E3433" s="6"/>
      <c r="G3433" s="3"/>
      <c r="H3433" s="2"/>
    </row>
    <row r="3434" spans="1:8" x14ac:dyDescent="0.25">
      <c r="A3434" s="5"/>
      <c r="B3434" s="6"/>
      <c r="C3434" s="6"/>
      <c r="D3434" s="6"/>
      <c r="E3434" s="6"/>
      <c r="G3434" s="1"/>
      <c r="H3434" s="2"/>
    </row>
    <row r="3435" spans="1:8" x14ac:dyDescent="0.25">
      <c r="A3435" s="5"/>
      <c r="B3435" s="6"/>
      <c r="C3435" s="6"/>
      <c r="D3435" s="6"/>
      <c r="E3435" s="6"/>
      <c r="G3435" s="3"/>
      <c r="H3435" s="2"/>
    </row>
    <row r="3436" spans="1:8" x14ac:dyDescent="0.25">
      <c r="A3436" s="5"/>
      <c r="B3436" s="6"/>
      <c r="C3436" s="6"/>
      <c r="D3436" s="6"/>
      <c r="E3436" s="6"/>
      <c r="G3436" s="1"/>
      <c r="H3436" s="2"/>
    </row>
    <row r="3437" spans="1:8" x14ac:dyDescent="0.25">
      <c r="A3437" s="5"/>
      <c r="B3437" s="6"/>
      <c r="C3437" s="6"/>
      <c r="D3437" s="6"/>
      <c r="E3437" s="6"/>
      <c r="G3437" s="3"/>
      <c r="H3437" s="2"/>
    </row>
    <row r="3438" spans="1:8" x14ac:dyDescent="0.25">
      <c r="A3438" s="5"/>
      <c r="B3438" s="6"/>
      <c r="C3438" s="6"/>
      <c r="D3438" s="6"/>
      <c r="E3438" s="6"/>
      <c r="G3438" s="1"/>
      <c r="H3438" s="2"/>
    </row>
    <row r="3439" spans="1:8" x14ac:dyDescent="0.25">
      <c r="A3439" s="5"/>
      <c r="B3439" s="6"/>
      <c r="C3439" s="6"/>
      <c r="D3439" s="6"/>
      <c r="E3439" s="6"/>
      <c r="G3439" s="3"/>
      <c r="H3439" s="2"/>
    </row>
    <row r="3440" spans="1:8" x14ac:dyDescent="0.25">
      <c r="A3440" s="5"/>
      <c r="B3440" s="6"/>
      <c r="C3440" s="6"/>
      <c r="D3440" s="6"/>
      <c r="E3440" s="6"/>
      <c r="G3440" s="1"/>
      <c r="H3440" s="2"/>
    </row>
    <row r="3441" spans="1:8" x14ac:dyDescent="0.25">
      <c r="A3441" s="5"/>
      <c r="B3441" s="6"/>
      <c r="C3441" s="6"/>
      <c r="D3441" s="6"/>
      <c r="E3441" s="6"/>
      <c r="G3441" s="3"/>
      <c r="H3441" s="2"/>
    </row>
    <row r="3442" spans="1:8" x14ac:dyDescent="0.25">
      <c r="A3442" s="5"/>
      <c r="B3442" s="6"/>
      <c r="C3442" s="6"/>
      <c r="D3442" s="6"/>
      <c r="E3442" s="6"/>
      <c r="G3442" s="1"/>
      <c r="H3442" s="2"/>
    </row>
    <row r="3443" spans="1:8" x14ac:dyDescent="0.25">
      <c r="A3443" s="5"/>
      <c r="B3443" s="6"/>
      <c r="C3443" s="6"/>
      <c r="D3443" s="6"/>
      <c r="E3443" s="6"/>
      <c r="G3443" s="3"/>
      <c r="H3443" s="2"/>
    </row>
    <row r="3444" spans="1:8" x14ac:dyDescent="0.25">
      <c r="A3444" s="5"/>
      <c r="B3444" s="6"/>
      <c r="C3444" s="6"/>
      <c r="D3444" s="6"/>
      <c r="E3444" s="6"/>
      <c r="G3444" s="1"/>
      <c r="H3444" s="2"/>
    </row>
    <row r="3445" spans="1:8" x14ac:dyDescent="0.25">
      <c r="A3445" s="5"/>
      <c r="B3445" s="6"/>
      <c r="C3445" s="6"/>
      <c r="D3445" s="6"/>
      <c r="E3445" s="6"/>
      <c r="G3445" s="3"/>
      <c r="H3445" s="2"/>
    </row>
    <row r="3446" spans="1:8" x14ac:dyDescent="0.25">
      <c r="A3446" s="5"/>
      <c r="B3446" s="6"/>
      <c r="C3446" s="6"/>
      <c r="D3446" s="6"/>
      <c r="E3446" s="6"/>
      <c r="G3446" s="1"/>
      <c r="H3446" s="2"/>
    </row>
    <row r="3447" spans="1:8" x14ac:dyDescent="0.25">
      <c r="A3447" s="5"/>
      <c r="B3447" s="6"/>
      <c r="C3447" s="6"/>
      <c r="D3447" s="6"/>
      <c r="E3447" s="6"/>
      <c r="G3447" s="3"/>
      <c r="H3447" s="2"/>
    </row>
    <row r="3448" spans="1:8" x14ac:dyDescent="0.25">
      <c r="A3448" s="5"/>
      <c r="B3448" s="6"/>
      <c r="C3448" s="6"/>
      <c r="D3448" s="6"/>
      <c r="E3448" s="6"/>
      <c r="G3448" s="1"/>
      <c r="H3448" s="2"/>
    </row>
    <row r="3449" spans="1:8" x14ac:dyDescent="0.25">
      <c r="A3449" s="5"/>
      <c r="B3449" s="6"/>
      <c r="C3449" s="6"/>
      <c r="D3449" s="6"/>
      <c r="E3449" s="6"/>
      <c r="G3449" s="3"/>
      <c r="H3449" s="2"/>
    </row>
    <row r="3450" spans="1:8" x14ac:dyDescent="0.25">
      <c r="A3450" s="5"/>
      <c r="B3450" s="6"/>
      <c r="C3450" s="6"/>
      <c r="D3450" s="6"/>
      <c r="E3450" s="6"/>
      <c r="G3450" s="1"/>
      <c r="H3450" s="2"/>
    </row>
    <row r="3451" spans="1:8" x14ac:dyDescent="0.25">
      <c r="A3451" s="5"/>
      <c r="B3451" s="6"/>
      <c r="C3451" s="6"/>
      <c r="D3451" s="6"/>
      <c r="E3451" s="6"/>
      <c r="G3451" s="3"/>
      <c r="H3451" s="2"/>
    </row>
    <row r="3452" spans="1:8" x14ac:dyDescent="0.25">
      <c r="A3452" s="5"/>
      <c r="B3452" s="6"/>
      <c r="C3452" s="6"/>
      <c r="D3452" s="6"/>
      <c r="E3452" s="6"/>
      <c r="G3452" s="1"/>
      <c r="H3452" s="2"/>
    </row>
    <row r="3453" spans="1:8" x14ac:dyDescent="0.25">
      <c r="A3453" s="5"/>
      <c r="B3453" s="6"/>
      <c r="C3453" s="6"/>
      <c r="D3453" s="6"/>
      <c r="E3453" s="6"/>
      <c r="G3453" s="3"/>
      <c r="H3453" s="2"/>
    </row>
    <row r="3454" spans="1:8" x14ac:dyDescent="0.25">
      <c r="A3454" s="5"/>
      <c r="B3454" s="6"/>
      <c r="C3454" s="6"/>
      <c r="D3454" s="6"/>
      <c r="E3454" s="6"/>
      <c r="G3454" s="1"/>
      <c r="H3454" s="2"/>
    </row>
    <row r="3455" spans="1:8" x14ac:dyDescent="0.25">
      <c r="A3455" s="5"/>
      <c r="B3455" s="6"/>
      <c r="C3455" s="6"/>
      <c r="D3455" s="6"/>
      <c r="E3455" s="6"/>
      <c r="G3455" s="3"/>
      <c r="H3455" s="2"/>
    </row>
    <row r="3456" spans="1:8" x14ac:dyDescent="0.25">
      <c r="A3456" s="5"/>
      <c r="B3456" s="6"/>
      <c r="C3456" s="6"/>
      <c r="D3456" s="6"/>
      <c r="E3456" s="6"/>
      <c r="G3456" s="1"/>
      <c r="H3456" s="2"/>
    </row>
    <row r="3457" spans="1:8" x14ac:dyDescent="0.25">
      <c r="A3457" s="5"/>
      <c r="B3457" s="6"/>
      <c r="C3457" s="6"/>
      <c r="D3457" s="6"/>
      <c r="E3457" s="6"/>
      <c r="G3457" s="3"/>
      <c r="H3457" s="2"/>
    </row>
    <row r="3458" spans="1:8" x14ac:dyDescent="0.25">
      <c r="A3458" s="5"/>
      <c r="B3458" s="6"/>
      <c r="C3458" s="6"/>
      <c r="D3458" s="6"/>
      <c r="E3458" s="6"/>
      <c r="G3458" s="1"/>
      <c r="H3458" s="2"/>
    </row>
    <row r="3459" spans="1:8" x14ac:dyDescent="0.25">
      <c r="A3459" s="5"/>
      <c r="B3459" s="6"/>
      <c r="C3459" s="6"/>
      <c r="D3459" s="6"/>
      <c r="E3459" s="6"/>
      <c r="G3459" s="3"/>
      <c r="H3459" s="2"/>
    </row>
    <row r="3460" spans="1:8" x14ac:dyDescent="0.25">
      <c r="A3460" s="5"/>
      <c r="B3460" s="6"/>
      <c r="C3460" s="6"/>
      <c r="D3460" s="6"/>
      <c r="E3460" s="6"/>
      <c r="G3460" s="1"/>
      <c r="H3460" s="2"/>
    </row>
    <row r="3461" spans="1:8" x14ac:dyDescent="0.25">
      <c r="A3461" s="5"/>
      <c r="B3461" s="6"/>
      <c r="C3461" s="6"/>
      <c r="D3461" s="6"/>
      <c r="E3461" s="6"/>
      <c r="G3461" s="3"/>
      <c r="H3461" s="2"/>
    </row>
    <row r="3462" spans="1:8" x14ac:dyDescent="0.25">
      <c r="A3462" s="5"/>
      <c r="B3462" s="6"/>
      <c r="C3462" s="6"/>
      <c r="D3462" s="6"/>
      <c r="E3462" s="6"/>
      <c r="G3462" s="1"/>
      <c r="H3462" s="2"/>
    </row>
    <row r="3463" spans="1:8" x14ac:dyDescent="0.25">
      <c r="A3463" s="5"/>
      <c r="B3463" s="6"/>
      <c r="C3463" s="6"/>
      <c r="D3463" s="6"/>
      <c r="E3463" s="6"/>
      <c r="G3463" s="3"/>
      <c r="H3463" s="2"/>
    </row>
    <row r="3464" spans="1:8" x14ac:dyDescent="0.25">
      <c r="A3464" s="5"/>
      <c r="B3464" s="6"/>
      <c r="C3464" s="6"/>
      <c r="D3464" s="6"/>
      <c r="E3464" s="6"/>
      <c r="G3464" s="1"/>
      <c r="H3464" s="2"/>
    </row>
    <row r="3465" spans="1:8" x14ac:dyDescent="0.25">
      <c r="A3465" s="5"/>
      <c r="B3465" s="6"/>
      <c r="C3465" s="6"/>
      <c r="D3465" s="6"/>
      <c r="E3465" s="6"/>
      <c r="G3465" s="3"/>
      <c r="H3465" s="2"/>
    </row>
    <row r="3466" spans="1:8" x14ac:dyDescent="0.25">
      <c r="A3466" s="5"/>
      <c r="B3466" s="6"/>
      <c r="C3466" s="6"/>
      <c r="D3466" s="6"/>
      <c r="E3466" s="6"/>
      <c r="G3466" s="1"/>
      <c r="H3466" s="2"/>
    </row>
    <row r="3467" spans="1:8" x14ac:dyDescent="0.25">
      <c r="A3467" s="5"/>
      <c r="B3467" s="6"/>
      <c r="C3467" s="6"/>
      <c r="D3467" s="6"/>
      <c r="E3467" s="6"/>
      <c r="G3467" s="3"/>
      <c r="H3467" s="2"/>
    </row>
    <row r="3468" spans="1:8" x14ac:dyDescent="0.25">
      <c r="A3468" s="5"/>
      <c r="B3468" s="6"/>
      <c r="C3468" s="6"/>
      <c r="D3468" s="6"/>
      <c r="E3468" s="6"/>
      <c r="G3468" s="1"/>
      <c r="H3468" s="2"/>
    </row>
    <row r="3469" spans="1:8" x14ac:dyDescent="0.25">
      <c r="A3469" s="5"/>
      <c r="B3469" s="6"/>
      <c r="C3469" s="6"/>
      <c r="D3469" s="6"/>
      <c r="E3469" s="6"/>
      <c r="G3469" s="3"/>
      <c r="H3469" s="2"/>
    </row>
    <row r="3470" spans="1:8" x14ac:dyDescent="0.25">
      <c r="A3470" s="5"/>
      <c r="B3470" s="6"/>
      <c r="C3470" s="6"/>
      <c r="D3470" s="6"/>
      <c r="E3470" s="6"/>
      <c r="G3470" s="1"/>
      <c r="H3470" s="2"/>
    </row>
    <row r="3471" spans="1:8" x14ac:dyDescent="0.25">
      <c r="A3471" s="5"/>
      <c r="B3471" s="6"/>
      <c r="C3471" s="6"/>
      <c r="D3471" s="6"/>
      <c r="E3471" s="6"/>
      <c r="G3471" s="3"/>
      <c r="H3471" s="2"/>
    </row>
    <row r="3472" spans="1:8" x14ac:dyDescent="0.25">
      <c r="A3472" s="5"/>
      <c r="B3472" s="6"/>
      <c r="C3472" s="6"/>
      <c r="D3472" s="6"/>
      <c r="E3472" s="6"/>
      <c r="G3472" s="1"/>
      <c r="H3472" s="2"/>
    </row>
    <row r="3473" spans="1:8" x14ac:dyDescent="0.25">
      <c r="A3473" s="5"/>
      <c r="B3473" s="6"/>
      <c r="C3473" s="6"/>
      <c r="D3473" s="6"/>
      <c r="E3473" s="6"/>
      <c r="G3473" s="3"/>
      <c r="H3473" s="2"/>
    </row>
    <row r="3474" spans="1:8" x14ac:dyDescent="0.25">
      <c r="A3474" s="5"/>
      <c r="B3474" s="6"/>
      <c r="C3474" s="6"/>
      <c r="D3474" s="6"/>
      <c r="E3474" s="6"/>
      <c r="G3474" s="1"/>
      <c r="H3474" s="2"/>
    </row>
    <row r="3475" spans="1:8" x14ac:dyDescent="0.25">
      <c r="A3475" s="5"/>
      <c r="B3475" s="6"/>
      <c r="C3475" s="6"/>
      <c r="D3475" s="6"/>
      <c r="E3475" s="6"/>
      <c r="G3475" s="3"/>
      <c r="H3475" s="2"/>
    </row>
    <row r="3476" spans="1:8" x14ac:dyDescent="0.25">
      <c r="A3476" s="5"/>
      <c r="B3476" s="6"/>
      <c r="C3476" s="6"/>
      <c r="D3476" s="6"/>
      <c r="E3476" s="6"/>
      <c r="G3476" s="1"/>
      <c r="H3476" s="2"/>
    </row>
    <row r="3477" spans="1:8" x14ac:dyDescent="0.25">
      <c r="A3477" s="5"/>
      <c r="B3477" s="6"/>
      <c r="C3477" s="6"/>
      <c r="D3477" s="6"/>
      <c r="E3477" s="6"/>
      <c r="G3477" s="3"/>
      <c r="H3477" s="2"/>
    </row>
    <row r="3478" spans="1:8" x14ac:dyDescent="0.25">
      <c r="A3478" s="5"/>
      <c r="B3478" s="6"/>
      <c r="C3478" s="6"/>
      <c r="D3478" s="6"/>
      <c r="E3478" s="6"/>
      <c r="G3478" s="1"/>
      <c r="H3478" s="2"/>
    </row>
    <row r="3479" spans="1:8" x14ac:dyDescent="0.25">
      <c r="A3479" s="5"/>
      <c r="B3479" s="6"/>
      <c r="C3479" s="6"/>
      <c r="D3479" s="6"/>
      <c r="E3479" s="6"/>
      <c r="G3479" s="3"/>
      <c r="H3479" s="2"/>
    </row>
    <row r="3480" spans="1:8" x14ac:dyDescent="0.25">
      <c r="A3480" s="5"/>
      <c r="B3480" s="6"/>
      <c r="C3480" s="6"/>
      <c r="D3480" s="6"/>
      <c r="E3480" s="6"/>
      <c r="G3480" s="1"/>
      <c r="H3480" s="2"/>
    </row>
    <row r="3481" spans="1:8" x14ac:dyDescent="0.25">
      <c r="A3481" s="5"/>
      <c r="B3481" s="6"/>
      <c r="C3481" s="6"/>
      <c r="D3481" s="6"/>
      <c r="E3481" s="6"/>
      <c r="G3481" s="3"/>
      <c r="H3481" s="2"/>
    </row>
    <row r="3482" spans="1:8" x14ac:dyDescent="0.25">
      <c r="A3482" s="5"/>
      <c r="B3482" s="6"/>
      <c r="C3482" s="6"/>
      <c r="D3482" s="6"/>
      <c r="E3482" s="6"/>
      <c r="G3482" s="1"/>
      <c r="H3482" s="2"/>
    </row>
    <row r="3483" spans="1:8" x14ac:dyDescent="0.25">
      <c r="A3483" s="5"/>
      <c r="B3483" s="6"/>
      <c r="C3483" s="6"/>
      <c r="D3483" s="6"/>
      <c r="E3483" s="6"/>
      <c r="G3483" s="3"/>
      <c r="H3483" s="2"/>
    </row>
    <row r="3484" spans="1:8" x14ac:dyDescent="0.25">
      <c r="A3484" s="5"/>
      <c r="B3484" s="6"/>
      <c r="C3484" s="6"/>
      <c r="D3484" s="6"/>
      <c r="E3484" s="6"/>
      <c r="G3484" s="1"/>
      <c r="H3484" s="2"/>
    </row>
    <row r="3485" spans="1:8" x14ac:dyDescent="0.25">
      <c r="A3485" s="5"/>
      <c r="B3485" s="6"/>
      <c r="C3485" s="6"/>
      <c r="D3485" s="6"/>
      <c r="E3485" s="6"/>
      <c r="G3485" s="3"/>
      <c r="H3485" s="2"/>
    </row>
    <row r="3486" spans="1:8" x14ac:dyDescent="0.25">
      <c r="A3486" s="5"/>
      <c r="B3486" s="6"/>
      <c r="C3486" s="6"/>
      <c r="D3486" s="6"/>
      <c r="E3486" s="6"/>
      <c r="G3486" s="1"/>
      <c r="H3486" s="2"/>
    </row>
    <row r="3487" spans="1:8" x14ac:dyDescent="0.25">
      <c r="A3487" s="5"/>
      <c r="B3487" s="6"/>
      <c r="C3487" s="6"/>
      <c r="D3487" s="6"/>
      <c r="E3487" s="6"/>
      <c r="G3487" s="3"/>
      <c r="H3487" s="2"/>
    </row>
    <row r="3488" spans="1:8" x14ac:dyDescent="0.25">
      <c r="A3488" s="5"/>
      <c r="B3488" s="6"/>
      <c r="C3488" s="6"/>
      <c r="D3488" s="6"/>
      <c r="E3488" s="6"/>
      <c r="G3488" s="1"/>
      <c r="H3488" s="2"/>
    </row>
    <row r="3489" spans="1:8" x14ac:dyDescent="0.25">
      <c r="A3489" s="5"/>
      <c r="B3489" s="6"/>
      <c r="C3489" s="6"/>
      <c r="D3489" s="6"/>
      <c r="E3489" s="6"/>
      <c r="G3489" s="3"/>
      <c r="H3489" s="2"/>
    </row>
    <row r="3490" spans="1:8" x14ac:dyDescent="0.25">
      <c r="A3490" s="5"/>
      <c r="B3490" s="6"/>
      <c r="C3490" s="6"/>
      <c r="D3490" s="6"/>
      <c r="E3490" s="6"/>
      <c r="G3490" s="1"/>
      <c r="H3490" s="2"/>
    </row>
    <row r="3491" spans="1:8" x14ac:dyDescent="0.25">
      <c r="A3491" s="5"/>
      <c r="B3491" s="6"/>
      <c r="C3491" s="6"/>
      <c r="D3491" s="6"/>
      <c r="E3491" s="6"/>
      <c r="G3491" s="3"/>
      <c r="H3491" s="2"/>
    </row>
    <row r="3492" spans="1:8" x14ac:dyDescent="0.25">
      <c r="A3492" s="5"/>
      <c r="B3492" s="6"/>
      <c r="C3492" s="6"/>
      <c r="D3492" s="6"/>
      <c r="E3492" s="6"/>
      <c r="G3492" s="1"/>
      <c r="H3492" s="2"/>
    </row>
    <row r="3493" spans="1:8" x14ac:dyDescent="0.25">
      <c r="A3493" s="5"/>
      <c r="B3493" s="6"/>
      <c r="C3493" s="6"/>
      <c r="D3493" s="6"/>
      <c r="E3493" s="6"/>
      <c r="G3493" s="3"/>
      <c r="H3493" s="2"/>
    </row>
    <row r="3494" spans="1:8" x14ac:dyDescent="0.25">
      <c r="A3494" s="5"/>
      <c r="B3494" s="6"/>
      <c r="C3494" s="6"/>
      <c r="D3494" s="6"/>
      <c r="E3494" s="6"/>
      <c r="G3494" s="1"/>
      <c r="H3494" s="2"/>
    </row>
    <row r="3495" spans="1:8" x14ac:dyDescent="0.25">
      <c r="A3495" s="5"/>
      <c r="B3495" s="6"/>
      <c r="C3495" s="6"/>
      <c r="D3495" s="6"/>
      <c r="E3495" s="6"/>
      <c r="G3495" s="3"/>
      <c r="H3495" s="2"/>
    </row>
    <row r="3496" spans="1:8" x14ac:dyDescent="0.25">
      <c r="A3496" s="5"/>
      <c r="B3496" s="6"/>
      <c r="C3496" s="6"/>
      <c r="D3496" s="6"/>
      <c r="E3496" s="6"/>
      <c r="G3496" s="1"/>
      <c r="H3496" s="2"/>
    </row>
    <row r="3497" spans="1:8" x14ac:dyDescent="0.25">
      <c r="A3497" s="5"/>
      <c r="B3497" s="6"/>
      <c r="C3497" s="6"/>
      <c r="D3497" s="6"/>
      <c r="E3497" s="6"/>
      <c r="G3497" s="3"/>
      <c r="H3497" s="2"/>
    </row>
    <row r="3498" spans="1:8" x14ac:dyDescent="0.25">
      <c r="A3498" s="5"/>
      <c r="B3498" s="6"/>
      <c r="C3498" s="6"/>
      <c r="D3498" s="6"/>
      <c r="E3498" s="6"/>
      <c r="G3498" s="1"/>
      <c r="H3498" s="2"/>
    </row>
    <row r="3499" spans="1:8" x14ac:dyDescent="0.25">
      <c r="A3499" s="5"/>
      <c r="B3499" s="6"/>
      <c r="C3499" s="6"/>
      <c r="D3499" s="6"/>
      <c r="E3499" s="6"/>
      <c r="G3499" s="3"/>
      <c r="H3499" s="2"/>
    </row>
    <row r="3500" spans="1:8" x14ac:dyDescent="0.25">
      <c r="A3500" s="5"/>
      <c r="B3500" s="6"/>
      <c r="C3500" s="6"/>
      <c r="D3500" s="6"/>
      <c r="E3500" s="6"/>
      <c r="G3500" s="1"/>
      <c r="H3500" s="2"/>
    </row>
    <row r="3501" spans="1:8" x14ac:dyDescent="0.25">
      <c r="A3501" s="5"/>
      <c r="B3501" s="6"/>
      <c r="C3501" s="6"/>
      <c r="D3501" s="6"/>
      <c r="E3501" s="6"/>
      <c r="G3501" s="3"/>
      <c r="H3501" s="2"/>
    </row>
    <row r="3502" spans="1:8" x14ac:dyDescent="0.25">
      <c r="A3502" s="5"/>
      <c r="B3502" s="6"/>
      <c r="C3502" s="6"/>
      <c r="D3502" s="6"/>
      <c r="E3502" s="6"/>
      <c r="G3502" s="1"/>
      <c r="H3502" s="2"/>
    </row>
    <row r="3503" spans="1:8" x14ac:dyDescent="0.25">
      <c r="A3503" s="5"/>
      <c r="B3503" s="6"/>
      <c r="C3503" s="6"/>
      <c r="D3503" s="6"/>
      <c r="E3503" s="6"/>
      <c r="G3503" s="3"/>
      <c r="H3503" s="2"/>
    </row>
    <row r="3504" spans="1:8" x14ac:dyDescent="0.25">
      <c r="A3504" s="5"/>
      <c r="B3504" s="6"/>
      <c r="C3504" s="6"/>
      <c r="D3504" s="6"/>
      <c r="E3504" s="6"/>
      <c r="G3504" s="1"/>
      <c r="H3504" s="2"/>
    </row>
    <row r="3505" spans="1:8" x14ac:dyDescent="0.25">
      <c r="A3505" s="5"/>
      <c r="B3505" s="6"/>
      <c r="C3505" s="6"/>
      <c r="D3505" s="6"/>
      <c r="E3505" s="6"/>
      <c r="G3505" s="3"/>
      <c r="H3505" s="2"/>
    </row>
    <row r="3506" spans="1:8" x14ac:dyDescent="0.25">
      <c r="A3506" s="5"/>
      <c r="B3506" s="6"/>
      <c r="C3506" s="6"/>
      <c r="D3506" s="6"/>
      <c r="E3506" s="6"/>
      <c r="G3506" s="1"/>
      <c r="H3506" s="2"/>
    </row>
    <row r="3507" spans="1:8" x14ac:dyDescent="0.25">
      <c r="A3507" s="5"/>
      <c r="B3507" s="6"/>
      <c r="C3507" s="6"/>
      <c r="D3507" s="6"/>
      <c r="E3507" s="6"/>
      <c r="G3507" s="3"/>
      <c r="H3507" s="2"/>
    </row>
    <row r="3508" spans="1:8" x14ac:dyDescent="0.25">
      <c r="A3508" s="5"/>
      <c r="B3508" s="6"/>
      <c r="C3508" s="6"/>
      <c r="D3508" s="6"/>
      <c r="E3508" s="6"/>
      <c r="G3508" s="1"/>
      <c r="H3508" s="2"/>
    </row>
    <row r="3509" spans="1:8" x14ac:dyDescent="0.25">
      <c r="A3509" s="5"/>
      <c r="B3509" s="6"/>
      <c r="C3509" s="6"/>
      <c r="D3509" s="6"/>
      <c r="E3509" s="6"/>
      <c r="G3509" s="3"/>
      <c r="H3509" s="2"/>
    </row>
    <row r="3510" spans="1:8" x14ac:dyDescent="0.25">
      <c r="A3510" s="5"/>
      <c r="B3510" s="6"/>
      <c r="C3510" s="6"/>
      <c r="D3510" s="6"/>
      <c r="E3510" s="6"/>
      <c r="G3510" s="1"/>
      <c r="H3510" s="2"/>
    </row>
    <row r="3511" spans="1:8" x14ac:dyDescent="0.25">
      <c r="A3511" s="5"/>
      <c r="B3511" s="6"/>
      <c r="C3511" s="6"/>
      <c r="D3511" s="6"/>
      <c r="E3511" s="6"/>
      <c r="G3511" s="3"/>
      <c r="H3511" s="2"/>
    </row>
    <row r="3512" spans="1:8" x14ac:dyDescent="0.25">
      <c r="A3512" s="5"/>
      <c r="B3512" s="6"/>
      <c r="C3512" s="6"/>
      <c r="D3512" s="6"/>
      <c r="E3512" s="6"/>
      <c r="G3512" s="1"/>
      <c r="H3512" s="2"/>
    </row>
    <row r="3513" spans="1:8" x14ac:dyDescent="0.25">
      <c r="A3513" s="5"/>
      <c r="B3513" s="6"/>
      <c r="C3513" s="6"/>
      <c r="D3513" s="6"/>
      <c r="E3513" s="6"/>
      <c r="G3513" s="3"/>
      <c r="H3513" s="2"/>
    </row>
    <row r="3514" spans="1:8" x14ac:dyDescent="0.25">
      <c r="A3514" s="5"/>
      <c r="B3514" s="6"/>
      <c r="C3514" s="6"/>
      <c r="D3514" s="6"/>
      <c r="E3514" s="6"/>
      <c r="G3514" s="1"/>
      <c r="H3514" s="2"/>
    </row>
    <row r="3515" spans="1:8" x14ac:dyDescent="0.25">
      <c r="A3515" s="5"/>
      <c r="B3515" s="6"/>
      <c r="C3515" s="6"/>
      <c r="D3515" s="6"/>
      <c r="E3515" s="6"/>
      <c r="G3515" s="3"/>
      <c r="H3515" s="2"/>
    </row>
    <row r="3516" spans="1:8" x14ac:dyDescent="0.25">
      <c r="A3516" s="5"/>
      <c r="B3516" s="6"/>
      <c r="C3516" s="6"/>
      <c r="D3516" s="6"/>
      <c r="E3516" s="6"/>
      <c r="G3516" s="1"/>
      <c r="H3516" s="2"/>
    </row>
    <row r="3517" spans="1:8" x14ac:dyDescent="0.25">
      <c r="A3517" s="5"/>
      <c r="B3517" s="6"/>
      <c r="C3517" s="6"/>
      <c r="D3517" s="6"/>
      <c r="E3517" s="6"/>
      <c r="G3517" s="3"/>
      <c r="H3517" s="2"/>
    </row>
    <row r="3518" spans="1:8" x14ac:dyDescent="0.25">
      <c r="A3518" s="5"/>
      <c r="B3518" s="6"/>
      <c r="C3518" s="6"/>
      <c r="D3518" s="6"/>
      <c r="E3518" s="6"/>
      <c r="G3518" s="1"/>
      <c r="H3518" s="2"/>
    </row>
    <row r="3519" spans="1:8" x14ac:dyDescent="0.25">
      <c r="A3519" s="5"/>
      <c r="B3519" s="6"/>
      <c r="C3519" s="6"/>
      <c r="D3519" s="6"/>
      <c r="E3519" s="6"/>
      <c r="G3519" s="3"/>
      <c r="H3519" s="2"/>
    </row>
    <row r="3520" spans="1:8" x14ac:dyDescent="0.25">
      <c r="A3520" s="5"/>
      <c r="B3520" s="6"/>
      <c r="C3520" s="6"/>
      <c r="D3520" s="6"/>
      <c r="E3520" s="6"/>
      <c r="G3520" s="1"/>
      <c r="H3520" s="2"/>
    </row>
    <row r="3521" spans="1:8" x14ac:dyDescent="0.25">
      <c r="A3521" s="5"/>
      <c r="B3521" s="6"/>
      <c r="C3521" s="6"/>
      <c r="D3521" s="6"/>
      <c r="E3521" s="6"/>
      <c r="G3521" s="3"/>
      <c r="H3521" s="2"/>
    </row>
    <row r="3522" spans="1:8" x14ac:dyDescent="0.25">
      <c r="A3522" s="5"/>
      <c r="B3522" s="6"/>
      <c r="C3522" s="6"/>
      <c r="D3522" s="6"/>
      <c r="E3522" s="6"/>
      <c r="G3522" s="1"/>
      <c r="H3522" s="2"/>
    </row>
    <row r="3523" spans="1:8" x14ac:dyDescent="0.25">
      <c r="A3523" s="5"/>
      <c r="B3523" s="6"/>
      <c r="C3523" s="6"/>
      <c r="D3523" s="6"/>
      <c r="E3523" s="6"/>
      <c r="G3523" s="3"/>
      <c r="H3523" s="2"/>
    </row>
    <row r="3524" spans="1:8" x14ac:dyDescent="0.25">
      <c r="A3524" s="5"/>
      <c r="B3524" s="6"/>
      <c r="C3524" s="6"/>
      <c r="D3524" s="6"/>
      <c r="E3524" s="6"/>
      <c r="G3524" s="1"/>
      <c r="H3524" s="2"/>
    </row>
    <row r="3525" spans="1:8" x14ac:dyDescent="0.25">
      <c r="A3525" s="5"/>
      <c r="B3525" s="6"/>
      <c r="C3525" s="6"/>
      <c r="D3525" s="6"/>
      <c r="E3525" s="6"/>
      <c r="G3525" s="3"/>
      <c r="H3525" s="2"/>
    </row>
    <row r="3526" spans="1:8" x14ac:dyDescent="0.25">
      <c r="A3526" s="5"/>
      <c r="B3526" s="6"/>
      <c r="C3526" s="6"/>
      <c r="D3526" s="6"/>
      <c r="E3526" s="6"/>
      <c r="G3526" s="1"/>
      <c r="H3526" s="2"/>
    </row>
    <row r="3527" spans="1:8" x14ac:dyDescent="0.25">
      <c r="A3527" s="5"/>
      <c r="B3527" s="6"/>
      <c r="C3527" s="6"/>
      <c r="D3527" s="6"/>
      <c r="E3527" s="6"/>
      <c r="G3527" s="3"/>
      <c r="H3527" s="2"/>
    </row>
    <row r="3528" spans="1:8" x14ac:dyDescent="0.25">
      <c r="A3528" s="5"/>
      <c r="B3528" s="6"/>
      <c r="C3528" s="6"/>
      <c r="D3528" s="6"/>
      <c r="E3528" s="6"/>
      <c r="G3528" s="1"/>
      <c r="H3528" s="2"/>
    </row>
    <row r="3529" spans="1:8" x14ac:dyDescent="0.25">
      <c r="A3529" s="5"/>
      <c r="B3529" s="6"/>
      <c r="C3529" s="6"/>
      <c r="D3529" s="6"/>
      <c r="E3529" s="6"/>
      <c r="G3529" s="3"/>
      <c r="H3529" s="2"/>
    </row>
    <row r="3530" spans="1:8" x14ac:dyDescent="0.25">
      <c r="A3530" s="5"/>
      <c r="B3530" s="6"/>
      <c r="C3530" s="6"/>
      <c r="D3530" s="6"/>
      <c r="E3530" s="6"/>
      <c r="G3530" s="1"/>
      <c r="H3530" s="2"/>
    </row>
    <row r="3531" spans="1:8" x14ac:dyDescent="0.25">
      <c r="A3531" s="5"/>
      <c r="B3531" s="6"/>
      <c r="C3531" s="6"/>
      <c r="D3531" s="6"/>
      <c r="E3531" s="6"/>
      <c r="G3531" s="3"/>
      <c r="H3531" s="2"/>
    </row>
    <row r="3532" spans="1:8" x14ac:dyDescent="0.25">
      <c r="A3532" s="5"/>
      <c r="B3532" s="6"/>
      <c r="C3532" s="6"/>
      <c r="D3532" s="6"/>
      <c r="E3532" s="6"/>
      <c r="G3532" s="1"/>
      <c r="H3532" s="2"/>
    </row>
    <row r="3533" spans="1:8" x14ac:dyDescent="0.25">
      <c r="A3533" s="5"/>
      <c r="B3533" s="6"/>
      <c r="C3533" s="6"/>
      <c r="D3533" s="6"/>
      <c r="E3533" s="6"/>
      <c r="G3533" s="3"/>
      <c r="H3533" s="2"/>
    </row>
    <row r="3534" spans="1:8" x14ac:dyDescent="0.25">
      <c r="A3534" s="5"/>
      <c r="B3534" s="6"/>
      <c r="C3534" s="6"/>
      <c r="D3534" s="6"/>
      <c r="E3534" s="6"/>
      <c r="G3534" s="1"/>
      <c r="H3534" s="2"/>
    </row>
    <row r="3535" spans="1:8" x14ac:dyDescent="0.25">
      <c r="A3535" s="5"/>
      <c r="B3535" s="6"/>
      <c r="C3535" s="6"/>
      <c r="D3535" s="6"/>
      <c r="E3535" s="6"/>
      <c r="G3535" s="3"/>
      <c r="H3535" s="2"/>
    </row>
    <row r="3536" spans="1:8" x14ac:dyDescent="0.25">
      <c r="A3536" s="5"/>
      <c r="B3536" s="6"/>
      <c r="C3536" s="6"/>
      <c r="D3536" s="6"/>
      <c r="E3536" s="6"/>
      <c r="G3536" s="1"/>
      <c r="H3536" s="2"/>
    </row>
    <row r="3537" spans="1:8" x14ac:dyDescent="0.25">
      <c r="A3537" s="5"/>
      <c r="B3537" s="6"/>
      <c r="C3537" s="6"/>
      <c r="D3537" s="6"/>
      <c r="E3537" s="6"/>
      <c r="G3537" s="3"/>
      <c r="H3537" s="2"/>
    </row>
    <row r="3538" spans="1:8" x14ac:dyDescent="0.25">
      <c r="A3538" s="5"/>
      <c r="B3538" s="6"/>
      <c r="C3538" s="6"/>
      <c r="D3538" s="6"/>
      <c r="E3538" s="6"/>
      <c r="G3538" s="1"/>
      <c r="H3538" s="2"/>
    </row>
    <row r="3539" spans="1:8" x14ac:dyDescent="0.25">
      <c r="A3539" s="5"/>
      <c r="B3539" s="6"/>
      <c r="C3539" s="6"/>
      <c r="D3539" s="6"/>
      <c r="E3539" s="6"/>
      <c r="G3539" s="3"/>
      <c r="H3539" s="2"/>
    </row>
    <row r="3540" spans="1:8" x14ac:dyDescent="0.25">
      <c r="A3540" s="5"/>
      <c r="B3540" s="6"/>
      <c r="C3540" s="6"/>
      <c r="D3540" s="6"/>
      <c r="E3540" s="6"/>
      <c r="G3540" s="1"/>
      <c r="H3540" s="2"/>
    </row>
    <row r="3541" spans="1:8" x14ac:dyDescent="0.25">
      <c r="A3541" s="5"/>
      <c r="B3541" s="6"/>
      <c r="C3541" s="6"/>
      <c r="D3541" s="6"/>
      <c r="E3541" s="6"/>
      <c r="G3541" s="3"/>
      <c r="H3541" s="2"/>
    </row>
    <row r="3542" spans="1:8" x14ac:dyDescent="0.25">
      <c r="A3542" s="5"/>
      <c r="B3542" s="6"/>
      <c r="C3542" s="6"/>
      <c r="D3542" s="6"/>
      <c r="E3542" s="6"/>
      <c r="G3542" s="1"/>
      <c r="H3542" s="2"/>
    </row>
    <row r="3543" spans="1:8" x14ac:dyDescent="0.25">
      <c r="A3543" s="5"/>
      <c r="B3543" s="6"/>
      <c r="C3543" s="6"/>
      <c r="D3543" s="6"/>
      <c r="E3543" s="6"/>
      <c r="G3543" s="3"/>
      <c r="H3543" s="2"/>
    </row>
    <row r="3544" spans="1:8" x14ac:dyDescent="0.25">
      <c r="A3544" s="5"/>
      <c r="B3544" s="6"/>
      <c r="C3544" s="6"/>
      <c r="D3544" s="6"/>
      <c r="E3544" s="6"/>
      <c r="G3544" s="1"/>
      <c r="H3544" s="2"/>
    </row>
    <row r="3545" spans="1:8" x14ac:dyDescent="0.25">
      <c r="A3545" s="5"/>
      <c r="B3545" s="6"/>
      <c r="C3545" s="6"/>
      <c r="D3545" s="6"/>
      <c r="E3545" s="6"/>
      <c r="G3545" s="3"/>
      <c r="H3545" s="2"/>
    </row>
    <row r="3546" spans="1:8" x14ac:dyDescent="0.25">
      <c r="A3546" s="5"/>
      <c r="B3546" s="6"/>
      <c r="C3546" s="6"/>
      <c r="D3546" s="6"/>
      <c r="E3546" s="6"/>
      <c r="G3546" s="1"/>
      <c r="H3546" s="2"/>
    </row>
    <row r="3547" spans="1:8" x14ac:dyDescent="0.25">
      <c r="A3547" s="5"/>
      <c r="B3547" s="6"/>
      <c r="C3547" s="6"/>
      <c r="D3547" s="6"/>
      <c r="E3547" s="6"/>
      <c r="G3547" s="3"/>
      <c r="H3547" s="2"/>
    </row>
    <row r="3548" spans="1:8" x14ac:dyDescent="0.25">
      <c r="A3548" s="5"/>
      <c r="B3548" s="6"/>
      <c r="C3548" s="6"/>
      <c r="D3548" s="6"/>
      <c r="E3548" s="6"/>
      <c r="G3548" s="1"/>
      <c r="H3548" s="2"/>
    </row>
    <row r="3549" spans="1:8" x14ac:dyDescent="0.25">
      <c r="A3549" s="5"/>
      <c r="B3549" s="6"/>
      <c r="C3549" s="6"/>
      <c r="D3549" s="6"/>
      <c r="E3549" s="6"/>
      <c r="G3549" s="3"/>
      <c r="H3549" s="2"/>
    </row>
    <row r="3550" spans="1:8" x14ac:dyDescent="0.25">
      <c r="A3550" s="5"/>
      <c r="B3550" s="6"/>
      <c r="C3550" s="6"/>
      <c r="D3550" s="6"/>
      <c r="E3550" s="6"/>
      <c r="G3550" s="1"/>
      <c r="H3550" s="2"/>
    </row>
    <row r="3551" spans="1:8" x14ac:dyDescent="0.25">
      <c r="A3551" s="5"/>
      <c r="B3551" s="6"/>
      <c r="C3551" s="6"/>
      <c r="D3551" s="6"/>
      <c r="E3551" s="6"/>
      <c r="G3551" s="3"/>
      <c r="H3551" s="2"/>
    </row>
    <row r="3552" spans="1:8" x14ac:dyDescent="0.25">
      <c r="A3552" s="5"/>
      <c r="B3552" s="6"/>
      <c r="C3552" s="6"/>
      <c r="D3552" s="6"/>
      <c r="E3552" s="6"/>
      <c r="G3552" s="1"/>
      <c r="H3552" s="2"/>
    </row>
    <row r="3553" spans="1:8" x14ac:dyDescent="0.25">
      <c r="A3553" s="5"/>
      <c r="B3553" s="6"/>
      <c r="C3553" s="6"/>
      <c r="D3553" s="6"/>
      <c r="E3553" s="6"/>
      <c r="G3553" s="3"/>
      <c r="H3553" s="2"/>
    </row>
    <row r="3554" spans="1:8" x14ac:dyDescent="0.25">
      <c r="A3554" s="5"/>
      <c r="B3554" s="6"/>
      <c r="C3554" s="6"/>
      <c r="D3554" s="6"/>
      <c r="E3554" s="6"/>
      <c r="G3554" s="1"/>
      <c r="H3554" s="2"/>
    </row>
    <row r="3555" spans="1:8" x14ac:dyDescent="0.25">
      <c r="A3555" s="5"/>
      <c r="B3555" s="6"/>
      <c r="C3555" s="6"/>
      <c r="D3555" s="6"/>
      <c r="E3555" s="6"/>
      <c r="G3555" s="3"/>
      <c r="H3555" s="2"/>
    </row>
    <row r="3556" spans="1:8" x14ac:dyDescent="0.25">
      <c r="A3556" s="5"/>
      <c r="B3556" s="6"/>
      <c r="C3556" s="6"/>
      <c r="D3556" s="6"/>
      <c r="E3556" s="6"/>
      <c r="G3556" s="1"/>
      <c r="H3556" s="2"/>
    </row>
    <row r="3557" spans="1:8" x14ac:dyDescent="0.25">
      <c r="A3557" s="5"/>
      <c r="B3557" s="6"/>
      <c r="C3557" s="6"/>
      <c r="D3557" s="6"/>
      <c r="E3557" s="6"/>
      <c r="G3557" s="3"/>
      <c r="H3557" s="2"/>
    </row>
    <row r="3558" spans="1:8" x14ac:dyDescent="0.25">
      <c r="A3558" s="5"/>
      <c r="B3558" s="6"/>
      <c r="C3558" s="6"/>
      <c r="D3558" s="6"/>
      <c r="E3558" s="6"/>
      <c r="G3558" s="1"/>
      <c r="H3558" s="2"/>
    </row>
    <row r="3559" spans="1:8" x14ac:dyDescent="0.25">
      <c r="A3559" s="5"/>
      <c r="B3559" s="6"/>
      <c r="C3559" s="6"/>
      <c r="D3559" s="6"/>
      <c r="E3559" s="6"/>
      <c r="G3559" s="3"/>
      <c r="H3559" s="2"/>
    </row>
    <row r="3560" spans="1:8" x14ac:dyDescent="0.25">
      <c r="A3560" s="5"/>
      <c r="B3560" s="6"/>
      <c r="C3560" s="6"/>
      <c r="D3560" s="6"/>
      <c r="E3560" s="6"/>
      <c r="G3560" s="1"/>
      <c r="H3560" s="2"/>
    </row>
    <row r="3561" spans="1:8" x14ac:dyDescent="0.25">
      <c r="A3561" s="5"/>
      <c r="B3561" s="6"/>
      <c r="C3561" s="6"/>
      <c r="D3561" s="6"/>
      <c r="E3561" s="6"/>
      <c r="G3561" s="3"/>
      <c r="H3561" s="2"/>
    </row>
    <row r="3562" spans="1:8" x14ac:dyDescent="0.25">
      <c r="A3562" s="5"/>
      <c r="B3562" s="6"/>
      <c r="C3562" s="6"/>
      <c r="D3562" s="6"/>
      <c r="E3562" s="6"/>
      <c r="G3562" s="1"/>
      <c r="H3562" s="2"/>
    </row>
    <row r="3563" spans="1:8" x14ac:dyDescent="0.25">
      <c r="A3563" s="5"/>
      <c r="B3563" s="6"/>
      <c r="C3563" s="6"/>
      <c r="D3563" s="6"/>
      <c r="E3563" s="6"/>
      <c r="G3563" s="3"/>
      <c r="H3563" s="2"/>
    </row>
    <row r="3564" spans="1:8" x14ac:dyDescent="0.25">
      <c r="A3564" s="5"/>
      <c r="B3564" s="6"/>
      <c r="C3564" s="6"/>
      <c r="D3564" s="6"/>
      <c r="E3564" s="6"/>
      <c r="G3564" s="1"/>
      <c r="H3564" s="2"/>
    </row>
    <row r="3565" spans="1:8" x14ac:dyDescent="0.25">
      <c r="A3565" s="5"/>
      <c r="B3565" s="6"/>
      <c r="C3565" s="6"/>
      <c r="D3565" s="6"/>
      <c r="E3565" s="6"/>
      <c r="G3565" s="14"/>
      <c r="H3565" s="2"/>
    </row>
    <row r="3566" spans="1:8" x14ac:dyDescent="0.25">
      <c r="A3566" s="5"/>
      <c r="B3566" s="6"/>
      <c r="C3566" s="6"/>
      <c r="D3566" s="6"/>
      <c r="E3566" s="6"/>
      <c r="G3566" s="14"/>
      <c r="H3566" s="2"/>
    </row>
    <row r="3567" spans="1:8" x14ac:dyDescent="0.25">
      <c r="A3567" s="5"/>
      <c r="B3567" s="6"/>
      <c r="C3567" s="6"/>
      <c r="D3567" s="6"/>
      <c r="E3567" s="6"/>
      <c r="G3567" s="14"/>
      <c r="H3567" s="2"/>
    </row>
    <row r="3568" spans="1:8" x14ac:dyDescent="0.25">
      <c r="A3568" s="5"/>
      <c r="B3568" s="6"/>
      <c r="C3568" s="6"/>
      <c r="D3568" s="6"/>
      <c r="E3568" s="6"/>
      <c r="G3568" s="14"/>
      <c r="H3568" s="2"/>
    </row>
    <row r="3569" spans="1:8" x14ac:dyDescent="0.25">
      <c r="A3569" s="5"/>
      <c r="B3569" s="6"/>
      <c r="C3569" s="6"/>
      <c r="D3569" s="6"/>
      <c r="E3569" s="6"/>
      <c r="G3569" s="14"/>
      <c r="H3569" s="2"/>
    </row>
    <row r="3570" spans="1:8" x14ac:dyDescent="0.25">
      <c r="A3570" s="5"/>
      <c r="B3570" s="6"/>
      <c r="C3570" s="6"/>
      <c r="D3570" s="6"/>
      <c r="E3570" s="6"/>
      <c r="G3570" s="14"/>
      <c r="H3570" s="2"/>
    </row>
    <row r="3571" spans="1:8" x14ac:dyDescent="0.25">
      <c r="A3571" s="5"/>
      <c r="B3571" s="6"/>
      <c r="C3571" s="6"/>
      <c r="D3571" s="6"/>
      <c r="E3571" s="6"/>
    </row>
    <row r="3572" spans="1:8" x14ac:dyDescent="0.25">
      <c r="A3572" s="5"/>
      <c r="B3572" s="6"/>
      <c r="C3572" s="6"/>
      <c r="D3572" s="6"/>
      <c r="E3572" s="6"/>
      <c r="G3572" s="3"/>
      <c r="H3572" s="2"/>
    </row>
    <row r="3573" spans="1:8" x14ac:dyDescent="0.25">
      <c r="A3573" s="5"/>
      <c r="B3573" s="6"/>
      <c r="C3573" s="6"/>
      <c r="D3573" s="6"/>
      <c r="E3573" s="6"/>
      <c r="G3573" s="1"/>
      <c r="H3573" s="2"/>
    </row>
    <row r="3574" spans="1:8" x14ac:dyDescent="0.25">
      <c r="A3574" s="5"/>
      <c r="B3574" s="6"/>
      <c r="C3574" s="6"/>
      <c r="D3574" s="6"/>
      <c r="E3574" s="6"/>
      <c r="G3574" s="3"/>
      <c r="H3574" s="2"/>
    </row>
    <row r="3575" spans="1:8" x14ac:dyDescent="0.25">
      <c r="A3575" s="5"/>
      <c r="B3575" s="6"/>
      <c r="C3575" s="6"/>
      <c r="D3575" s="6"/>
      <c r="E3575" s="6"/>
      <c r="G3575" s="1"/>
      <c r="H3575" s="2"/>
    </row>
    <row r="3576" spans="1:8" x14ac:dyDescent="0.25">
      <c r="A3576" s="5"/>
      <c r="B3576" s="6"/>
      <c r="C3576" s="6"/>
      <c r="D3576" s="6"/>
      <c r="E3576" s="6"/>
      <c r="G3576" s="3"/>
      <c r="H3576" s="2"/>
    </row>
    <row r="3577" spans="1:8" x14ac:dyDescent="0.25">
      <c r="A3577" s="5"/>
      <c r="B3577" s="6"/>
      <c r="C3577" s="6"/>
      <c r="D3577" s="6"/>
      <c r="E3577" s="6"/>
      <c r="G3577" s="1"/>
      <c r="H3577" s="2"/>
    </row>
    <row r="3578" spans="1:8" x14ac:dyDescent="0.25">
      <c r="A3578" s="5"/>
      <c r="B3578" s="6"/>
      <c r="C3578" s="6"/>
      <c r="D3578" s="6"/>
      <c r="E3578" s="6"/>
      <c r="G3578" s="3"/>
      <c r="H3578" s="2"/>
    </row>
    <row r="3579" spans="1:8" x14ac:dyDescent="0.25">
      <c r="A3579" s="5"/>
      <c r="B3579" s="6"/>
      <c r="C3579" s="6"/>
      <c r="D3579" s="6"/>
      <c r="E3579" s="6"/>
      <c r="G3579" s="1"/>
      <c r="H3579" s="2"/>
    </row>
    <row r="3580" spans="1:8" x14ac:dyDescent="0.25">
      <c r="A3580" s="5"/>
      <c r="B3580" s="6"/>
      <c r="C3580" s="6"/>
      <c r="D3580" s="6"/>
      <c r="E3580" s="6"/>
      <c r="G3580" s="3"/>
      <c r="H3580" s="2"/>
    </row>
    <row r="3581" spans="1:8" x14ac:dyDescent="0.25">
      <c r="A3581" s="5"/>
      <c r="B3581" s="6"/>
      <c r="C3581" s="6"/>
      <c r="D3581" s="6"/>
      <c r="E3581" s="6"/>
      <c r="G3581" s="1"/>
      <c r="H3581" s="2"/>
    </row>
    <row r="3582" spans="1:8" x14ac:dyDescent="0.25">
      <c r="A3582" s="5"/>
      <c r="B3582" s="6"/>
      <c r="C3582" s="6"/>
      <c r="D3582" s="6"/>
      <c r="E3582" s="6"/>
      <c r="G3582" s="3"/>
      <c r="H3582" s="2"/>
    </row>
    <row r="3583" spans="1:8" x14ac:dyDescent="0.25">
      <c r="A3583" s="5"/>
      <c r="B3583" s="6"/>
      <c r="C3583" s="6"/>
      <c r="D3583" s="6"/>
      <c r="E3583" s="6"/>
      <c r="G3583" s="1"/>
      <c r="H3583" s="2"/>
    </row>
    <row r="3584" spans="1:8" x14ac:dyDescent="0.25">
      <c r="A3584" s="5"/>
      <c r="B3584" s="6"/>
      <c r="C3584" s="6"/>
      <c r="D3584" s="6"/>
      <c r="E3584" s="6"/>
      <c r="G3584" s="3"/>
      <c r="H3584" s="2"/>
    </row>
    <row r="3585" spans="1:8" x14ac:dyDescent="0.25">
      <c r="A3585" s="5"/>
      <c r="B3585" s="6"/>
      <c r="C3585" s="6"/>
      <c r="D3585" s="6"/>
      <c r="E3585" s="6"/>
      <c r="G3585" s="1"/>
      <c r="H3585" s="2"/>
    </row>
    <row r="3586" spans="1:8" x14ac:dyDescent="0.25">
      <c r="A3586" s="5"/>
      <c r="B3586" s="6"/>
      <c r="C3586" s="6"/>
      <c r="D3586" s="6"/>
      <c r="E3586" s="6"/>
      <c r="G3586" s="3"/>
      <c r="H3586" s="2"/>
    </row>
    <row r="3587" spans="1:8" x14ac:dyDescent="0.25">
      <c r="A3587" s="5"/>
      <c r="B3587" s="6"/>
      <c r="C3587" s="6"/>
      <c r="D3587" s="6"/>
      <c r="E3587" s="6"/>
      <c r="G3587" s="1"/>
      <c r="H3587" s="2"/>
    </row>
    <row r="3588" spans="1:8" x14ac:dyDescent="0.25">
      <c r="A3588" s="5"/>
      <c r="B3588" s="6"/>
      <c r="C3588" s="6"/>
      <c r="D3588" s="6"/>
      <c r="E3588" s="6"/>
      <c r="G3588" s="3"/>
      <c r="H3588" s="2"/>
    </row>
    <row r="3589" spans="1:8" x14ac:dyDescent="0.25">
      <c r="A3589" s="5"/>
      <c r="B3589" s="6"/>
      <c r="C3589" s="6"/>
      <c r="D3589" s="6"/>
      <c r="E3589" s="6"/>
      <c r="G3589" s="1"/>
      <c r="H3589" s="2"/>
    </row>
    <row r="3590" spans="1:8" x14ac:dyDescent="0.25">
      <c r="A3590" s="5"/>
      <c r="B3590" s="6"/>
      <c r="C3590" s="6"/>
      <c r="D3590" s="6"/>
      <c r="E3590" s="6"/>
      <c r="G3590" s="3"/>
      <c r="H3590" s="2"/>
    </row>
    <row r="3591" spans="1:8" x14ac:dyDescent="0.25">
      <c r="A3591" s="5"/>
      <c r="B3591" s="6"/>
      <c r="C3591" s="6"/>
      <c r="D3591" s="6"/>
      <c r="E3591" s="6"/>
      <c r="G3591" s="1"/>
      <c r="H3591" s="2"/>
    </row>
    <row r="3592" spans="1:8" x14ac:dyDescent="0.25">
      <c r="A3592" s="5"/>
      <c r="B3592" s="6"/>
      <c r="C3592" s="6"/>
      <c r="D3592" s="6"/>
      <c r="E3592" s="6"/>
      <c r="G3592" s="3"/>
      <c r="H3592" s="2"/>
    </row>
    <row r="3593" spans="1:8" x14ac:dyDescent="0.25">
      <c r="A3593" s="5"/>
      <c r="B3593" s="6"/>
      <c r="C3593" s="6"/>
      <c r="D3593" s="6"/>
      <c r="E3593" s="6"/>
      <c r="G3593" s="1"/>
      <c r="H3593" s="2"/>
    </row>
    <row r="3594" spans="1:8" x14ac:dyDescent="0.25">
      <c r="A3594" s="5"/>
      <c r="B3594" s="6"/>
      <c r="C3594" s="6"/>
      <c r="D3594" s="6"/>
      <c r="E3594" s="6"/>
      <c r="G3594" s="3"/>
      <c r="H3594" s="2"/>
    </row>
    <row r="3595" spans="1:8" x14ac:dyDescent="0.25">
      <c r="A3595" s="5"/>
      <c r="B3595" s="6"/>
      <c r="C3595" s="6"/>
      <c r="D3595" s="6"/>
      <c r="E3595" s="6"/>
      <c r="G3595" s="1"/>
      <c r="H3595" s="2"/>
    </row>
    <row r="3596" spans="1:8" x14ac:dyDescent="0.25">
      <c r="A3596" s="5"/>
      <c r="B3596" s="6"/>
      <c r="C3596" s="6"/>
      <c r="D3596" s="6"/>
      <c r="E3596" s="6"/>
      <c r="G3596" s="3"/>
      <c r="H3596" s="2"/>
    </row>
    <row r="3597" spans="1:8" x14ac:dyDescent="0.25">
      <c r="A3597" s="5"/>
      <c r="B3597" s="6"/>
      <c r="C3597" s="6"/>
      <c r="D3597" s="6"/>
      <c r="E3597" s="6"/>
      <c r="G3597" s="1"/>
      <c r="H3597" s="2"/>
    </row>
    <row r="3598" spans="1:8" x14ac:dyDescent="0.25">
      <c r="A3598" s="5"/>
      <c r="B3598" s="6"/>
      <c r="C3598" s="6"/>
      <c r="D3598" s="6"/>
      <c r="E3598" s="6"/>
      <c r="G3598" s="3"/>
      <c r="H3598" s="2"/>
    </row>
    <row r="3599" spans="1:8" x14ac:dyDescent="0.25">
      <c r="A3599" s="5"/>
      <c r="B3599" s="6"/>
      <c r="C3599" s="6"/>
      <c r="D3599" s="6"/>
      <c r="E3599" s="6"/>
      <c r="G3599" s="1"/>
      <c r="H3599" s="2"/>
    </row>
    <row r="3600" spans="1:8" x14ac:dyDescent="0.25">
      <c r="A3600" s="5"/>
      <c r="B3600" s="6"/>
      <c r="C3600" s="6"/>
      <c r="D3600" s="6"/>
      <c r="E3600" s="6"/>
      <c r="G3600" s="3"/>
      <c r="H3600" s="2"/>
    </row>
    <row r="3601" spans="1:8" x14ac:dyDescent="0.25">
      <c r="A3601" s="5"/>
      <c r="B3601" s="6"/>
      <c r="C3601" s="6"/>
      <c r="D3601" s="6"/>
      <c r="E3601" s="6"/>
      <c r="G3601" s="1"/>
      <c r="H3601" s="2"/>
    </row>
    <row r="3602" spans="1:8" x14ac:dyDescent="0.25">
      <c r="A3602" s="5"/>
      <c r="B3602" s="6"/>
      <c r="C3602" s="6"/>
      <c r="D3602" s="6"/>
      <c r="E3602" s="6"/>
      <c r="G3602" s="3"/>
      <c r="H3602" s="2"/>
    </row>
    <row r="3603" spans="1:8" x14ac:dyDescent="0.25">
      <c r="A3603" s="5"/>
      <c r="B3603" s="6"/>
      <c r="C3603" s="6"/>
      <c r="D3603" s="6"/>
      <c r="E3603" s="6"/>
      <c r="G3603" s="1"/>
      <c r="H3603" s="2"/>
    </row>
    <row r="3604" spans="1:8" x14ac:dyDescent="0.25">
      <c r="A3604" s="5"/>
      <c r="B3604" s="6"/>
      <c r="C3604" s="6"/>
      <c r="D3604" s="6"/>
      <c r="E3604" s="6"/>
      <c r="G3604" s="3"/>
      <c r="H3604" s="2"/>
    </row>
    <row r="3605" spans="1:8" x14ac:dyDescent="0.25">
      <c r="A3605" s="5"/>
      <c r="B3605" s="6"/>
      <c r="C3605" s="6"/>
      <c r="D3605" s="6"/>
      <c r="E3605" s="6"/>
      <c r="G3605" s="1"/>
      <c r="H3605" s="2"/>
    </row>
    <row r="3606" spans="1:8" x14ac:dyDescent="0.25">
      <c r="A3606" s="5"/>
      <c r="B3606" s="6"/>
      <c r="C3606" s="6"/>
      <c r="D3606" s="6"/>
      <c r="E3606" s="6"/>
      <c r="G3606" s="3"/>
      <c r="H3606" s="2"/>
    </row>
    <row r="3607" spans="1:8" x14ac:dyDescent="0.25">
      <c r="A3607" s="5"/>
      <c r="B3607" s="6"/>
      <c r="C3607" s="6"/>
      <c r="D3607" s="6"/>
      <c r="E3607" s="6"/>
      <c r="G3607" s="1"/>
      <c r="H3607" s="2"/>
    </row>
    <row r="3608" spans="1:8" x14ac:dyDescent="0.25">
      <c r="A3608" s="5"/>
      <c r="B3608" s="6"/>
      <c r="C3608" s="6"/>
      <c r="D3608" s="6"/>
      <c r="E3608" s="6"/>
      <c r="G3608" s="3"/>
      <c r="H3608" s="2"/>
    </row>
    <row r="3609" spans="1:8" x14ac:dyDescent="0.25">
      <c r="A3609" s="5"/>
      <c r="B3609" s="6"/>
      <c r="C3609" s="6"/>
      <c r="D3609" s="6"/>
      <c r="E3609" s="6"/>
      <c r="G3609" s="1"/>
      <c r="H3609" s="2"/>
    </row>
    <row r="3610" spans="1:8" x14ac:dyDescent="0.25">
      <c r="A3610" s="5"/>
      <c r="B3610" s="6"/>
      <c r="C3610" s="6"/>
      <c r="D3610" s="6"/>
      <c r="E3610" s="6"/>
      <c r="G3610" s="3"/>
      <c r="H3610" s="2"/>
    </row>
    <row r="3611" spans="1:8" x14ac:dyDescent="0.25">
      <c r="A3611" s="5"/>
      <c r="B3611" s="6"/>
      <c r="C3611" s="6"/>
      <c r="D3611" s="6"/>
      <c r="E3611" s="6"/>
      <c r="G3611" s="1"/>
      <c r="H3611" s="2"/>
    </row>
    <row r="3612" spans="1:8" x14ac:dyDescent="0.25">
      <c r="A3612" s="5"/>
      <c r="B3612" s="6"/>
      <c r="C3612" s="6"/>
      <c r="D3612" s="6"/>
      <c r="E3612" s="6"/>
      <c r="G3612" s="3"/>
      <c r="H3612" s="2"/>
    </row>
    <row r="3613" spans="1:8" x14ac:dyDescent="0.25">
      <c r="A3613" s="5"/>
      <c r="B3613" s="6"/>
      <c r="C3613" s="6"/>
      <c r="D3613" s="6"/>
      <c r="E3613" s="6"/>
      <c r="G3613" s="1"/>
      <c r="H3613" s="2"/>
    </row>
    <row r="3614" spans="1:8" x14ac:dyDescent="0.25">
      <c r="A3614" s="5"/>
      <c r="B3614" s="6"/>
      <c r="C3614" s="6"/>
      <c r="D3614" s="6"/>
      <c r="E3614" s="6"/>
      <c r="G3614" s="3"/>
      <c r="H3614" s="2"/>
    </row>
    <row r="3615" spans="1:8" x14ac:dyDescent="0.25">
      <c r="A3615" s="5"/>
      <c r="B3615" s="6"/>
      <c r="C3615" s="6"/>
      <c r="D3615" s="6"/>
      <c r="E3615" s="6"/>
      <c r="G3615" s="1"/>
      <c r="H3615" s="2"/>
    </row>
    <row r="3616" spans="1:8" x14ac:dyDescent="0.25">
      <c r="A3616" s="5"/>
      <c r="B3616" s="6"/>
      <c r="C3616" s="6"/>
      <c r="D3616" s="6"/>
      <c r="E3616" s="6"/>
      <c r="G3616" s="3"/>
      <c r="H3616" s="2"/>
    </row>
    <row r="3617" spans="1:8" x14ac:dyDescent="0.25">
      <c r="A3617" s="5"/>
      <c r="B3617" s="6"/>
      <c r="C3617" s="6"/>
      <c r="D3617" s="6"/>
      <c r="E3617" s="6"/>
      <c r="G3617" s="1"/>
      <c r="H3617" s="2"/>
    </row>
    <row r="3618" spans="1:8" x14ac:dyDescent="0.25">
      <c r="A3618" s="5"/>
      <c r="B3618" s="6"/>
      <c r="C3618" s="6"/>
      <c r="D3618" s="6"/>
      <c r="E3618" s="6"/>
      <c r="G3618" s="3"/>
      <c r="H3618" s="2"/>
    </row>
    <row r="3619" spans="1:8" x14ac:dyDescent="0.25">
      <c r="A3619" s="5"/>
      <c r="B3619" s="6"/>
      <c r="C3619" s="6"/>
      <c r="D3619" s="6"/>
      <c r="E3619" s="6"/>
      <c r="G3619" s="1"/>
      <c r="H3619" s="2"/>
    </row>
    <row r="3620" spans="1:8" x14ac:dyDescent="0.25">
      <c r="A3620" s="5"/>
      <c r="B3620" s="6"/>
      <c r="C3620" s="6"/>
      <c r="D3620" s="6"/>
      <c r="E3620" s="6"/>
      <c r="G3620" s="3"/>
      <c r="H3620" s="2"/>
    </row>
    <row r="3621" spans="1:8" x14ac:dyDescent="0.25">
      <c r="A3621" s="5"/>
      <c r="B3621" s="6"/>
      <c r="C3621" s="6"/>
      <c r="D3621" s="6"/>
      <c r="E3621" s="6"/>
      <c r="G3621" s="1"/>
      <c r="H3621" s="2"/>
    </row>
    <row r="3622" spans="1:8" x14ac:dyDescent="0.25">
      <c r="A3622" s="5"/>
      <c r="B3622" s="6"/>
      <c r="C3622" s="6"/>
      <c r="D3622" s="6"/>
      <c r="E3622" s="6"/>
      <c r="G3622" s="3"/>
      <c r="H3622" s="2"/>
    </row>
    <row r="3623" spans="1:8" x14ac:dyDescent="0.25">
      <c r="A3623" s="5"/>
      <c r="B3623" s="6"/>
      <c r="C3623" s="6"/>
      <c r="D3623" s="6"/>
      <c r="E3623" s="6"/>
      <c r="G3623" s="1"/>
      <c r="H3623" s="2"/>
    </row>
    <row r="3624" spans="1:8" x14ac:dyDescent="0.25">
      <c r="A3624" s="5"/>
      <c r="B3624" s="6"/>
      <c r="C3624" s="6"/>
      <c r="D3624" s="6"/>
      <c r="E3624" s="6"/>
      <c r="G3624" s="3"/>
      <c r="H3624" s="2"/>
    </row>
    <row r="3625" spans="1:8" x14ac:dyDescent="0.25">
      <c r="A3625" s="5"/>
      <c r="B3625" s="6"/>
      <c r="C3625" s="6"/>
      <c r="D3625" s="6"/>
      <c r="E3625" s="6"/>
      <c r="G3625" s="1"/>
      <c r="H3625" s="2"/>
    </row>
    <row r="3626" spans="1:8" x14ac:dyDescent="0.25">
      <c r="A3626" s="5"/>
      <c r="B3626" s="6"/>
      <c r="C3626" s="6"/>
      <c r="D3626" s="6"/>
      <c r="E3626" s="6"/>
      <c r="G3626" s="3"/>
      <c r="H3626" s="2"/>
    </row>
    <row r="3627" spans="1:8" x14ac:dyDescent="0.25">
      <c r="A3627" s="5"/>
      <c r="B3627" s="6"/>
      <c r="C3627" s="6"/>
      <c r="D3627" s="6"/>
      <c r="E3627" s="6"/>
      <c r="G3627" s="1"/>
      <c r="H3627" s="2"/>
    </row>
    <row r="3628" spans="1:8" x14ac:dyDescent="0.25">
      <c r="A3628" s="5"/>
      <c r="B3628" s="6"/>
      <c r="C3628" s="6"/>
      <c r="D3628" s="6"/>
      <c r="E3628" s="6"/>
      <c r="G3628" s="3"/>
      <c r="H3628" s="2"/>
    </row>
    <row r="3629" spans="1:8" x14ac:dyDescent="0.25">
      <c r="A3629" s="5"/>
      <c r="B3629" s="6"/>
      <c r="C3629" s="6"/>
      <c r="D3629" s="6"/>
      <c r="E3629" s="6"/>
      <c r="G3629" s="1"/>
      <c r="H3629" s="2"/>
    </row>
    <row r="3630" spans="1:8" x14ac:dyDescent="0.25">
      <c r="A3630" s="5"/>
      <c r="B3630" s="6"/>
      <c r="C3630" s="6"/>
      <c r="D3630" s="6"/>
      <c r="E3630" s="6"/>
      <c r="G3630" s="3"/>
      <c r="H3630" s="2"/>
    </row>
    <row r="3631" spans="1:8" x14ac:dyDescent="0.25">
      <c r="A3631" s="5"/>
      <c r="B3631" s="6"/>
      <c r="C3631" s="6"/>
      <c r="D3631" s="6"/>
      <c r="E3631" s="6"/>
      <c r="G3631" s="1"/>
      <c r="H3631" s="2"/>
    </row>
    <row r="3632" spans="1:8" x14ac:dyDescent="0.25">
      <c r="A3632" s="5"/>
      <c r="B3632" s="6"/>
      <c r="C3632" s="6"/>
      <c r="D3632" s="6"/>
      <c r="E3632" s="6"/>
      <c r="G3632" s="3"/>
      <c r="H3632" s="2"/>
    </row>
    <row r="3633" spans="1:8" x14ac:dyDescent="0.25">
      <c r="A3633" s="5"/>
      <c r="B3633" s="6"/>
      <c r="C3633" s="6"/>
      <c r="D3633" s="6"/>
      <c r="E3633" s="6"/>
      <c r="G3633" s="1"/>
      <c r="H3633" s="2"/>
    </row>
    <row r="3634" spans="1:8" x14ac:dyDescent="0.25">
      <c r="A3634" s="5"/>
      <c r="B3634" s="6"/>
      <c r="C3634" s="6"/>
      <c r="D3634" s="6"/>
      <c r="E3634" s="6"/>
      <c r="G3634" s="3"/>
      <c r="H3634" s="2"/>
    </row>
    <row r="3635" spans="1:8" x14ac:dyDescent="0.25">
      <c r="A3635" s="5"/>
      <c r="B3635" s="6"/>
      <c r="C3635" s="6"/>
      <c r="D3635" s="6"/>
      <c r="E3635" s="6"/>
      <c r="G3635" s="1"/>
      <c r="H3635" s="2"/>
    </row>
    <row r="3636" spans="1:8" x14ac:dyDescent="0.25">
      <c r="A3636" s="5"/>
      <c r="B3636" s="6"/>
      <c r="C3636" s="6"/>
      <c r="D3636" s="6"/>
      <c r="E3636" s="6"/>
      <c r="G3636" s="3"/>
      <c r="H3636" s="2"/>
    </row>
    <row r="3637" spans="1:8" x14ac:dyDescent="0.25">
      <c r="A3637" s="5"/>
      <c r="B3637" s="6"/>
      <c r="C3637" s="6"/>
      <c r="D3637" s="6"/>
      <c r="E3637" s="6"/>
      <c r="G3637" s="1"/>
      <c r="H3637" s="2"/>
    </row>
    <row r="3638" spans="1:8" x14ac:dyDescent="0.25">
      <c r="A3638" s="5"/>
      <c r="B3638" s="6"/>
      <c r="C3638" s="6"/>
      <c r="D3638" s="6"/>
      <c r="E3638" s="6"/>
      <c r="G3638" s="3"/>
      <c r="H3638" s="2"/>
    </row>
    <row r="3639" spans="1:8" x14ac:dyDescent="0.25">
      <c r="A3639" s="5"/>
      <c r="B3639" s="6"/>
      <c r="C3639" s="6"/>
      <c r="D3639" s="6"/>
      <c r="E3639" s="6"/>
      <c r="G3639" s="1"/>
      <c r="H3639" s="2"/>
    </row>
    <row r="3640" spans="1:8" x14ac:dyDescent="0.25">
      <c r="A3640" s="5"/>
      <c r="B3640" s="6"/>
      <c r="C3640" s="6"/>
      <c r="D3640" s="6"/>
      <c r="E3640" s="6"/>
      <c r="G3640" s="3"/>
      <c r="H3640" s="2"/>
    </row>
    <row r="3641" spans="1:8" x14ac:dyDescent="0.25">
      <c r="A3641" s="5"/>
      <c r="B3641" s="6"/>
      <c r="C3641" s="6"/>
      <c r="D3641" s="6"/>
      <c r="E3641" s="6"/>
      <c r="G3641" s="1"/>
      <c r="H3641" s="2"/>
    </row>
    <row r="3642" spans="1:8" x14ac:dyDescent="0.25">
      <c r="A3642" s="5"/>
      <c r="B3642" s="6"/>
      <c r="C3642" s="6"/>
      <c r="D3642" s="6"/>
      <c r="E3642" s="6"/>
      <c r="G3642" s="3"/>
      <c r="H3642" s="2"/>
    </row>
    <row r="3643" spans="1:8" x14ac:dyDescent="0.25">
      <c r="A3643" s="5"/>
      <c r="B3643" s="6"/>
      <c r="C3643" s="6"/>
      <c r="D3643" s="6"/>
      <c r="E3643" s="6"/>
      <c r="G3643" s="1"/>
      <c r="H3643" s="2"/>
    </row>
    <row r="3644" spans="1:8" x14ac:dyDescent="0.25">
      <c r="A3644" s="5"/>
      <c r="B3644" s="6"/>
      <c r="C3644" s="6"/>
      <c r="D3644" s="6"/>
      <c r="E3644" s="6"/>
      <c r="G3644" s="3"/>
      <c r="H3644" s="2"/>
    </row>
    <row r="3645" spans="1:8" x14ac:dyDescent="0.25">
      <c r="A3645" s="5"/>
      <c r="B3645" s="6"/>
      <c r="C3645" s="6"/>
      <c r="D3645" s="6"/>
      <c r="E3645" s="6"/>
      <c r="G3645" s="1"/>
      <c r="H3645" s="2"/>
    </row>
    <row r="3646" spans="1:8" x14ac:dyDescent="0.25">
      <c r="A3646" s="5"/>
      <c r="B3646" s="6"/>
      <c r="C3646" s="6"/>
      <c r="D3646" s="6"/>
      <c r="E3646" s="6"/>
      <c r="G3646" s="3"/>
      <c r="H3646" s="2"/>
    </row>
    <row r="3647" spans="1:8" x14ac:dyDescent="0.25">
      <c r="A3647" s="5"/>
      <c r="B3647" s="6"/>
      <c r="C3647" s="6"/>
      <c r="D3647" s="6"/>
      <c r="E3647" s="6"/>
      <c r="G3647" s="1"/>
      <c r="H3647" s="2"/>
    </row>
    <row r="3648" spans="1:8" x14ac:dyDescent="0.25">
      <c r="A3648" s="5"/>
      <c r="B3648" s="6"/>
      <c r="C3648" s="6"/>
      <c r="D3648" s="6"/>
      <c r="E3648" s="6"/>
      <c r="G3648" s="3"/>
      <c r="H3648" s="2"/>
    </row>
    <row r="3649" spans="1:8" x14ac:dyDescent="0.25">
      <c r="A3649" s="5"/>
      <c r="B3649" s="6"/>
      <c r="C3649" s="6"/>
      <c r="D3649" s="6"/>
      <c r="E3649" s="6"/>
      <c r="G3649" s="1"/>
      <c r="H3649" s="2"/>
    </row>
    <row r="3650" spans="1:8" x14ac:dyDescent="0.25">
      <c r="A3650" s="5"/>
      <c r="B3650" s="6"/>
      <c r="C3650" s="6"/>
      <c r="D3650" s="6"/>
      <c r="E3650" s="6"/>
      <c r="G3650" s="3"/>
      <c r="H3650" s="2"/>
    </row>
    <row r="3651" spans="1:8" x14ac:dyDescent="0.25">
      <c r="A3651" s="5"/>
      <c r="B3651" s="6"/>
      <c r="C3651" s="6"/>
      <c r="D3651" s="6"/>
      <c r="E3651" s="6"/>
      <c r="G3651" s="1"/>
      <c r="H3651" s="2"/>
    </row>
    <row r="3652" spans="1:8" x14ac:dyDescent="0.25">
      <c r="A3652" s="5"/>
      <c r="B3652" s="6"/>
      <c r="C3652" s="6"/>
      <c r="D3652" s="6"/>
      <c r="E3652" s="6"/>
      <c r="G3652" s="3"/>
      <c r="H3652" s="2"/>
    </row>
    <row r="3653" spans="1:8" x14ac:dyDescent="0.25">
      <c r="A3653" s="5"/>
      <c r="B3653" s="6"/>
      <c r="C3653" s="6"/>
      <c r="D3653" s="6"/>
      <c r="E3653" s="6"/>
      <c r="G3653" s="1"/>
      <c r="H3653" s="2"/>
    </row>
    <row r="3654" spans="1:8" x14ac:dyDescent="0.25">
      <c r="A3654" s="5"/>
      <c r="B3654" s="6"/>
      <c r="C3654" s="6"/>
      <c r="D3654" s="6"/>
      <c r="E3654" s="6"/>
      <c r="G3654" s="3"/>
      <c r="H3654" s="2"/>
    </row>
    <row r="3655" spans="1:8" x14ac:dyDescent="0.25">
      <c r="A3655" s="5"/>
      <c r="B3655" s="6"/>
      <c r="C3655" s="6"/>
      <c r="D3655" s="6"/>
      <c r="E3655" s="6"/>
      <c r="G3655" s="1"/>
      <c r="H3655" s="2"/>
    </row>
    <row r="3656" spans="1:8" x14ac:dyDescent="0.25">
      <c r="A3656" s="5"/>
      <c r="B3656" s="6"/>
      <c r="C3656" s="6"/>
      <c r="D3656" s="6"/>
      <c r="E3656" s="6"/>
      <c r="G3656" s="3"/>
      <c r="H3656" s="2"/>
    </row>
    <row r="3657" spans="1:8" x14ac:dyDescent="0.25">
      <c r="A3657" s="5"/>
      <c r="B3657" s="6"/>
      <c r="C3657" s="6"/>
      <c r="D3657" s="6"/>
      <c r="E3657" s="6"/>
      <c r="G3657" s="1"/>
      <c r="H3657" s="2"/>
    </row>
    <row r="3658" spans="1:8" x14ac:dyDescent="0.25">
      <c r="A3658" s="5"/>
      <c r="B3658" s="6"/>
      <c r="C3658" s="6"/>
      <c r="D3658" s="6"/>
      <c r="E3658" s="6"/>
      <c r="G3658" s="3"/>
      <c r="H3658" s="2"/>
    </row>
    <row r="3659" spans="1:8" x14ac:dyDescent="0.25">
      <c r="A3659" s="5"/>
      <c r="B3659" s="6"/>
      <c r="C3659" s="6"/>
      <c r="D3659" s="6"/>
      <c r="E3659" s="6"/>
      <c r="G3659" s="1"/>
      <c r="H3659" s="2"/>
    </row>
    <row r="3660" spans="1:8" x14ac:dyDescent="0.25">
      <c r="A3660" s="5"/>
      <c r="B3660" s="6"/>
      <c r="C3660" s="6"/>
      <c r="D3660" s="6"/>
      <c r="E3660" s="6"/>
      <c r="G3660" s="3"/>
      <c r="H3660" s="2"/>
    </row>
    <row r="3661" spans="1:8" x14ac:dyDescent="0.25">
      <c r="A3661" s="5"/>
      <c r="B3661" s="6"/>
      <c r="C3661" s="6"/>
      <c r="D3661" s="6"/>
      <c r="E3661" s="6"/>
      <c r="G3661" s="1"/>
      <c r="H3661" s="2"/>
    </row>
    <row r="3662" spans="1:8" x14ac:dyDescent="0.25">
      <c r="A3662" s="5"/>
      <c r="B3662" s="6"/>
      <c r="C3662" s="6"/>
      <c r="D3662" s="6"/>
      <c r="E3662" s="6"/>
      <c r="G3662" s="3"/>
      <c r="H3662" s="2"/>
    </row>
    <row r="3663" spans="1:8" x14ac:dyDescent="0.25">
      <c r="A3663" s="5"/>
      <c r="B3663" s="6"/>
      <c r="C3663" s="6"/>
      <c r="D3663" s="6"/>
      <c r="E3663" s="6"/>
      <c r="G3663" s="1"/>
      <c r="H3663" s="2"/>
    </row>
    <row r="3664" spans="1:8" x14ac:dyDescent="0.25">
      <c r="A3664" s="5"/>
      <c r="B3664" s="6"/>
      <c r="C3664" s="6"/>
      <c r="D3664" s="6"/>
      <c r="E3664" s="6"/>
      <c r="G3664" s="3"/>
      <c r="H3664" s="2"/>
    </row>
    <row r="3665" spans="1:8" x14ac:dyDescent="0.25">
      <c r="A3665" s="5"/>
      <c r="B3665" s="6"/>
      <c r="C3665" s="6"/>
      <c r="D3665" s="6"/>
      <c r="E3665" s="6"/>
      <c r="G3665" s="1"/>
      <c r="H3665" s="2"/>
    </row>
    <row r="3666" spans="1:8" x14ac:dyDescent="0.25">
      <c r="A3666" s="5"/>
      <c r="B3666" s="6"/>
      <c r="C3666" s="6"/>
      <c r="D3666" s="6"/>
      <c r="E3666" s="6"/>
      <c r="G3666" s="3"/>
      <c r="H3666" s="2"/>
    </row>
    <row r="3667" spans="1:8" x14ac:dyDescent="0.25">
      <c r="A3667" s="5"/>
      <c r="B3667" s="6"/>
      <c r="C3667" s="6"/>
      <c r="D3667" s="6"/>
      <c r="E3667" s="6"/>
      <c r="G3667" s="1"/>
      <c r="H3667" s="2"/>
    </row>
    <row r="3668" spans="1:8" x14ac:dyDescent="0.25">
      <c r="A3668" s="5"/>
      <c r="B3668" s="6"/>
      <c r="C3668" s="6"/>
      <c r="D3668" s="6"/>
      <c r="E3668" s="6"/>
      <c r="G3668" s="3"/>
      <c r="H3668" s="2"/>
    </row>
    <row r="3669" spans="1:8" x14ac:dyDescent="0.25">
      <c r="A3669" s="5"/>
      <c r="B3669" s="6"/>
      <c r="C3669" s="6"/>
      <c r="D3669" s="6"/>
      <c r="E3669" s="6"/>
      <c r="G3669" s="1"/>
      <c r="H3669" s="2"/>
    </row>
    <row r="3670" spans="1:8" x14ac:dyDescent="0.25">
      <c r="A3670" s="5"/>
      <c r="B3670" s="6"/>
      <c r="C3670" s="6"/>
      <c r="D3670" s="6"/>
      <c r="E3670" s="6"/>
      <c r="G3670" s="3"/>
      <c r="H3670" s="2"/>
    </row>
    <row r="3671" spans="1:8" x14ac:dyDescent="0.25">
      <c r="A3671" s="5"/>
      <c r="B3671" s="6"/>
      <c r="C3671" s="6"/>
      <c r="D3671" s="6"/>
      <c r="E3671" s="6"/>
      <c r="G3671" s="1"/>
      <c r="H3671" s="2"/>
    </row>
    <row r="3672" spans="1:8" x14ac:dyDescent="0.25">
      <c r="A3672" s="5"/>
      <c r="B3672" s="6"/>
      <c r="C3672" s="6"/>
      <c r="D3672" s="6"/>
      <c r="E3672" s="6"/>
      <c r="G3672" s="3"/>
      <c r="H3672" s="2"/>
    </row>
    <row r="3673" spans="1:8" x14ac:dyDescent="0.25">
      <c r="A3673" s="5"/>
      <c r="B3673" s="6"/>
      <c r="C3673" s="6"/>
      <c r="D3673" s="6"/>
      <c r="E3673" s="6"/>
      <c r="G3673" s="1"/>
      <c r="H3673" s="2"/>
    </row>
    <row r="3674" spans="1:8" x14ac:dyDescent="0.25">
      <c r="A3674" s="5"/>
      <c r="B3674" s="6"/>
      <c r="C3674" s="6"/>
      <c r="D3674" s="6"/>
      <c r="E3674" s="6"/>
      <c r="G3674" s="3"/>
      <c r="H3674" s="2"/>
    </row>
    <row r="3675" spans="1:8" x14ac:dyDescent="0.25">
      <c r="A3675" s="5"/>
      <c r="B3675" s="6"/>
      <c r="C3675" s="6"/>
      <c r="D3675" s="6"/>
      <c r="E3675" s="6"/>
      <c r="G3675" s="1"/>
      <c r="H3675" s="2"/>
    </row>
    <row r="3676" spans="1:8" x14ac:dyDescent="0.25">
      <c r="A3676" s="5"/>
      <c r="B3676" s="6"/>
      <c r="C3676" s="6"/>
      <c r="D3676" s="6"/>
      <c r="E3676" s="6"/>
      <c r="G3676" s="3"/>
      <c r="H3676" s="2"/>
    </row>
    <row r="3677" spans="1:8" x14ac:dyDescent="0.25">
      <c r="A3677" s="5"/>
      <c r="B3677" s="6"/>
      <c r="C3677" s="6"/>
      <c r="D3677" s="6"/>
      <c r="E3677" s="6"/>
      <c r="G3677" s="1"/>
      <c r="H3677" s="2"/>
    </row>
    <row r="3678" spans="1:8" x14ac:dyDescent="0.25">
      <c r="A3678" s="5"/>
      <c r="B3678" s="6"/>
      <c r="C3678" s="6"/>
      <c r="D3678" s="6"/>
      <c r="E3678" s="6"/>
      <c r="G3678" s="3"/>
      <c r="H3678" s="2"/>
    </row>
    <row r="3679" spans="1:8" x14ac:dyDescent="0.25">
      <c r="A3679" s="5"/>
      <c r="B3679" s="6"/>
      <c r="C3679" s="6"/>
      <c r="D3679" s="6"/>
      <c r="E3679" s="6"/>
      <c r="G3679" s="1"/>
      <c r="H3679" s="2"/>
    </row>
    <row r="3680" spans="1:8" x14ac:dyDescent="0.25">
      <c r="A3680" s="5"/>
      <c r="B3680" s="6"/>
      <c r="C3680" s="6"/>
      <c r="D3680" s="6"/>
      <c r="E3680" s="6"/>
      <c r="G3680" s="3"/>
      <c r="H3680" s="2"/>
    </row>
    <row r="3681" spans="1:8" x14ac:dyDescent="0.25">
      <c r="A3681" s="5"/>
      <c r="B3681" s="6"/>
      <c r="C3681" s="6"/>
      <c r="D3681" s="6"/>
      <c r="E3681" s="6"/>
      <c r="G3681" s="1"/>
      <c r="H3681" s="2"/>
    </row>
    <row r="3682" spans="1:8" x14ac:dyDescent="0.25">
      <c r="A3682" s="5"/>
      <c r="B3682" s="6"/>
      <c r="C3682" s="6"/>
      <c r="D3682" s="6"/>
      <c r="E3682" s="6"/>
      <c r="G3682" s="3"/>
      <c r="H3682" s="2"/>
    </row>
    <row r="3683" spans="1:8" x14ac:dyDescent="0.25">
      <c r="A3683" s="5"/>
      <c r="B3683" s="6"/>
      <c r="C3683" s="6"/>
      <c r="D3683" s="6"/>
      <c r="E3683" s="6"/>
      <c r="G3683" s="1"/>
      <c r="H3683" s="2"/>
    </row>
    <row r="3684" spans="1:8" x14ac:dyDescent="0.25">
      <c r="A3684" s="5"/>
      <c r="B3684" s="6"/>
      <c r="C3684" s="6"/>
      <c r="D3684" s="6"/>
      <c r="E3684" s="6"/>
      <c r="G3684" s="3"/>
      <c r="H3684" s="2"/>
    </row>
    <row r="3685" spans="1:8" x14ac:dyDescent="0.25">
      <c r="A3685" s="5"/>
      <c r="B3685" s="6"/>
      <c r="C3685" s="6"/>
      <c r="D3685" s="6"/>
      <c r="E3685" s="6"/>
      <c r="G3685" s="1"/>
      <c r="H3685" s="2"/>
    </row>
    <row r="3686" spans="1:8" x14ac:dyDescent="0.25">
      <c r="A3686" s="5"/>
      <c r="B3686" s="6"/>
      <c r="C3686" s="6"/>
      <c r="D3686" s="6"/>
      <c r="E3686" s="6"/>
      <c r="G3686" s="3"/>
      <c r="H3686" s="2"/>
    </row>
    <row r="3687" spans="1:8" x14ac:dyDescent="0.25">
      <c r="A3687" s="5"/>
      <c r="B3687" s="6"/>
      <c r="C3687" s="6"/>
      <c r="D3687" s="6"/>
      <c r="E3687" s="6"/>
      <c r="G3687" s="1"/>
      <c r="H3687" s="2"/>
    </row>
    <row r="3688" spans="1:8" x14ac:dyDescent="0.25">
      <c r="A3688" s="5"/>
      <c r="B3688" s="6"/>
      <c r="C3688" s="6"/>
      <c r="D3688" s="6"/>
      <c r="E3688" s="6"/>
      <c r="G3688" s="3"/>
      <c r="H3688" s="2"/>
    </row>
    <row r="3689" spans="1:8" x14ac:dyDescent="0.25">
      <c r="A3689" s="5"/>
      <c r="B3689" s="6"/>
      <c r="C3689" s="6"/>
      <c r="D3689" s="6"/>
      <c r="E3689" s="6"/>
      <c r="G3689" s="1"/>
      <c r="H3689" s="2"/>
    </row>
    <row r="3690" spans="1:8" x14ac:dyDescent="0.25">
      <c r="A3690" s="5"/>
      <c r="B3690" s="6"/>
      <c r="C3690" s="6"/>
      <c r="D3690" s="6"/>
      <c r="E3690" s="6"/>
      <c r="G3690" s="3"/>
      <c r="H3690" s="2"/>
    </row>
    <row r="3691" spans="1:8" x14ac:dyDescent="0.25">
      <c r="A3691" s="5"/>
      <c r="B3691" s="6"/>
      <c r="C3691" s="6"/>
      <c r="D3691" s="6"/>
      <c r="E3691" s="6"/>
      <c r="G3691" s="1"/>
      <c r="H3691" s="2"/>
    </row>
    <row r="3692" spans="1:8" x14ac:dyDescent="0.25">
      <c r="A3692" s="5"/>
      <c r="B3692" s="6"/>
      <c r="C3692" s="6"/>
      <c r="D3692" s="6"/>
      <c r="E3692" s="6"/>
      <c r="G3692" s="3"/>
      <c r="H3692" s="2"/>
    </row>
    <row r="3693" spans="1:8" x14ac:dyDescent="0.25">
      <c r="A3693" s="5"/>
      <c r="B3693" s="6"/>
      <c r="C3693" s="6"/>
      <c r="D3693" s="6"/>
      <c r="E3693" s="6"/>
      <c r="G3693" s="1"/>
      <c r="H3693" s="2"/>
    </row>
    <row r="3694" spans="1:8" x14ac:dyDescent="0.25">
      <c r="A3694" s="5"/>
      <c r="B3694" s="6"/>
      <c r="C3694" s="6"/>
      <c r="D3694" s="6"/>
      <c r="E3694" s="6"/>
      <c r="G3694" s="3"/>
      <c r="H3694" s="2"/>
    </row>
    <row r="3695" spans="1:8" x14ac:dyDescent="0.25">
      <c r="A3695" s="5"/>
      <c r="B3695" s="6"/>
      <c r="C3695" s="6"/>
      <c r="D3695" s="6"/>
      <c r="E3695" s="6"/>
      <c r="G3695" s="1"/>
      <c r="H3695" s="2"/>
    </row>
    <row r="3696" spans="1:8" x14ac:dyDescent="0.25">
      <c r="A3696" s="5"/>
      <c r="B3696" s="6"/>
      <c r="C3696" s="6"/>
      <c r="D3696" s="6"/>
      <c r="E3696" s="6"/>
      <c r="G3696" s="3"/>
      <c r="H3696" s="2"/>
    </row>
    <row r="3697" spans="1:8" x14ac:dyDescent="0.25">
      <c r="A3697" s="5"/>
      <c r="B3697" s="6"/>
      <c r="C3697" s="6"/>
      <c r="D3697" s="6"/>
      <c r="E3697" s="6"/>
      <c r="G3697" s="1"/>
      <c r="H3697" s="2"/>
    </row>
    <row r="3698" spans="1:8" x14ac:dyDescent="0.25">
      <c r="A3698" s="5"/>
      <c r="B3698" s="6"/>
      <c r="C3698" s="6"/>
      <c r="D3698" s="6"/>
      <c r="E3698" s="6"/>
      <c r="G3698" s="3"/>
      <c r="H3698" s="2"/>
    </row>
    <row r="3699" spans="1:8" x14ac:dyDescent="0.25">
      <c r="A3699" s="5"/>
      <c r="B3699" s="6"/>
      <c r="C3699" s="6"/>
      <c r="D3699" s="6"/>
      <c r="E3699" s="6"/>
      <c r="G3699" s="1"/>
      <c r="H3699" s="2"/>
    </row>
    <row r="3700" spans="1:8" x14ac:dyDescent="0.25">
      <c r="A3700" s="5"/>
      <c r="B3700" s="6"/>
      <c r="C3700" s="6"/>
      <c r="D3700" s="6"/>
      <c r="E3700" s="6"/>
      <c r="G3700" s="3"/>
      <c r="H3700" s="2"/>
    </row>
    <row r="3701" spans="1:8" x14ac:dyDescent="0.25">
      <c r="A3701" s="5"/>
      <c r="B3701" s="6"/>
      <c r="C3701" s="6"/>
      <c r="D3701" s="6"/>
      <c r="E3701" s="6"/>
      <c r="G3701" s="1"/>
      <c r="H3701" s="2"/>
    </row>
    <row r="3702" spans="1:8" x14ac:dyDescent="0.25">
      <c r="A3702" s="5"/>
      <c r="B3702" s="6"/>
      <c r="C3702" s="6"/>
      <c r="D3702" s="6"/>
      <c r="E3702" s="6"/>
      <c r="G3702" s="3"/>
      <c r="H3702" s="2"/>
    </row>
    <row r="3703" spans="1:8" x14ac:dyDescent="0.25">
      <c r="A3703" s="5"/>
      <c r="B3703" s="6"/>
      <c r="C3703" s="6"/>
      <c r="D3703" s="6"/>
      <c r="E3703" s="6"/>
      <c r="G3703" s="1"/>
      <c r="H3703" s="2"/>
    </row>
    <row r="3704" spans="1:8" x14ac:dyDescent="0.25">
      <c r="A3704" s="5"/>
      <c r="B3704" s="6"/>
      <c r="C3704" s="6"/>
      <c r="D3704" s="6"/>
      <c r="E3704" s="6"/>
      <c r="G3704" s="3"/>
      <c r="H3704" s="2"/>
    </row>
    <row r="3705" spans="1:8" x14ac:dyDescent="0.25">
      <c r="A3705" s="5"/>
      <c r="B3705" s="6"/>
      <c r="C3705" s="6"/>
      <c r="D3705" s="6"/>
      <c r="E3705" s="6"/>
      <c r="G3705" s="1"/>
      <c r="H3705" s="2"/>
    </row>
    <row r="3706" spans="1:8" x14ac:dyDescent="0.25">
      <c r="A3706" s="5"/>
      <c r="B3706" s="6"/>
      <c r="C3706" s="6"/>
      <c r="D3706" s="6"/>
      <c r="E3706" s="6"/>
      <c r="G3706" s="3"/>
      <c r="H3706" s="2"/>
    </row>
    <row r="3707" spans="1:8" x14ac:dyDescent="0.25">
      <c r="A3707" s="5"/>
      <c r="B3707" s="6"/>
      <c r="C3707" s="6"/>
      <c r="D3707" s="6"/>
      <c r="E3707" s="6"/>
      <c r="G3707" s="1"/>
      <c r="H3707" s="2"/>
    </row>
    <row r="3708" spans="1:8" x14ac:dyDescent="0.25">
      <c r="A3708" s="5"/>
      <c r="B3708" s="6"/>
      <c r="C3708" s="6"/>
      <c r="D3708" s="6"/>
      <c r="E3708" s="6"/>
      <c r="G3708" s="3"/>
      <c r="H3708" s="2"/>
    </row>
    <row r="3709" spans="1:8" x14ac:dyDescent="0.25">
      <c r="A3709" s="5"/>
      <c r="B3709" s="6"/>
      <c r="C3709" s="6"/>
      <c r="D3709" s="6"/>
      <c r="E3709" s="6"/>
      <c r="G3709" s="1"/>
      <c r="H3709" s="2"/>
    </row>
    <row r="3710" spans="1:8" x14ac:dyDescent="0.25">
      <c r="A3710" s="5"/>
      <c r="B3710" s="6"/>
      <c r="C3710" s="6"/>
      <c r="D3710" s="6"/>
      <c r="E3710" s="6"/>
      <c r="G3710" s="3"/>
      <c r="H3710" s="2"/>
    </row>
    <row r="3711" spans="1:8" x14ac:dyDescent="0.25">
      <c r="A3711" s="5"/>
      <c r="B3711" s="6"/>
      <c r="C3711" s="6"/>
      <c r="D3711" s="6"/>
      <c r="E3711" s="6"/>
      <c r="G3711" s="1"/>
      <c r="H3711" s="2"/>
    </row>
    <row r="3712" spans="1:8" x14ac:dyDescent="0.25">
      <c r="A3712" s="5"/>
      <c r="B3712" s="6"/>
      <c r="C3712" s="6"/>
      <c r="D3712" s="6"/>
      <c r="E3712" s="6"/>
      <c r="G3712" s="3"/>
      <c r="H3712" s="2"/>
    </row>
    <row r="3713" spans="1:8" x14ac:dyDescent="0.25">
      <c r="A3713" s="5"/>
      <c r="B3713" s="6"/>
      <c r="C3713" s="6"/>
      <c r="D3713" s="6"/>
      <c r="E3713" s="6"/>
      <c r="G3713" s="1"/>
      <c r="H3713" s="2"/>
    </row>
    <row r="3714" spans="1:8" x14ac:dyDescent="0.25">
      <c r="A3714" s="5"/>
      <c r="B3714" s="6"/>
      <c r="C3714" s="6"/>
      <c r="D3714" s="6"/>
      <c r="E3714" s="6"/>
      <c r="G3714" s="3"/>
      <c r="H3714" s="2"/>
    </row>
    <row r="3715" spans="1:8" x14ac:dyDescent="0.25">
      <c r="A3715" s="5"/>
      <c r="B3715" s="6"/>
      <c r="C3715" s="6"/>
      <c r="D3715" s="6"/>
      <c r="E3715" s="6"/>
      <c r="G3715" s="1"/>
      <c r="H3715" s="2"/>
    </row>
    <row r="3716" spans="1:8" x14ac:dyDescent="0.25">
      <c r="A3716" s="5"/>
      <c r="B3716" s="6"/>
      <c r="C3716" s="6"/>
      <c r="D3716" s="6"/>
      <c r="E3716" s="6"/>
      <c r="G3716" s="3"/>
      <c r="H3716" s="2"/>
    </row>
    <row r="3717" spans="1:8" x14ac:dyDescent="0.25">
      <c r="A3717" s="5"/>
      <c r="B3717" s="6"/>
      <c r="C3717" s="6"/>
      <c r="D3717" s="6"/>
      <c r="E3717" s="6"/>
      <c r="G3717" s="1"/>
      <c r="H3717" s="2"/>
    </row>
    <row r="3718" spans="1:8" x14ac:dyDescent="0.25">
      <c r="A3718" s="5"/>
      <c r="B3718" s="6"/>
      <c r="C3718" s="6"/>
      <c r="D3718" s="6"/>
      <c r="E3718" s="6"/>
      <c r="G3718" s="3"/>
      <c r="H3718" s="2"/>
    </row>
    <row r="3719" spans="1:8" x14ac:dyDescent="0.25">
      <c r="A3719" s="5"/>
      <c r="B3719" s="6"/>
      <c r="C3719" s="6"/>
      <c r="D3719" s="6"/>
      <c r="E3719" s="6"/>
      <c r="G3719" s="1"/>
      <c r="H3719" s="2"/>
    </row>
    <row r="3720" spans="1:8" x14ac:dyDescent="0.25">
      <c r="A3720" s="5"/>
      <c r="B3720" s="6"/>
      <c r="C3720" s="6"/>
      <c r="D3720" s="6"/>
      <c r="E3720" s="6"/>
      <c r="G3720" s="3"/>
      <c r="H3720" s="2"/>
    </row>
    <row r="3721" spans="1:8" x14ac:dyDescent="0.25">
      <c r="A3721" s="5"/>
      <c r="B3721" s="6"/>
      <c r="C3721" s="6"/>
      <c r="D3721" s="6"/>
      <c r="E3721" s="6"/>
      <c r="G3721" s="1"/>
      <c r="H3721" s="2"/>
    </row>
    <row r="3722" spans="1:8" x14ac:dyDescent="0.25">
      <c r="A3722" s="5"/>
      <c r="B3722" s="6"/>
      <c r="C3722" s="6"/>
      <c r="D3722" s="6"/>
      <c r="E3722" s="6"/>
      <c r="G3722" s="3"/>
      <c r="H3722" s="2"/>
    </row>
    <row r="3723" spans="1:8" x14ac:dyDescent="0.25">
      <c r="A3723" s="5"/>
      <c r="B3723" s="6"/>
      <c r="C3723" s="6"/>
      <c r="D3723" s="6"/>
      <c r="E3723" s="6"/>
      <c r="G3723" s="1"/>
      <c r="H3723" s="2"/>
    </row>
    <row r="3724" spans="1:8" x14ac:dyDescent="0.25">
      <c r="A3724" s="5"/>
      <c r="B3724" s="6"/>
      <c r="C3724" s="6"/>
      <c r="D3724" s="6"/>
      <c r="E3724" s="6"/>
      <c r="G3724" s="3"/>
      <c r="H3724" s="2"/>
    </row>
    <row r="3725" spans="1:8" x14ac:dyDescent="0.25">
      <c r="A3725" s="5"/>
      <c r="B3725" s="6"/>
      <c r="C3725" s="6"/>
      <c r="D3725" s="6"/>
      <c r="E3725" s="6"/>
      <c r="G3725" s="1"/>
      <c r="H3725" s="2"/>
    </row>
    <row r="3726" spans="1:8" x14ac:dyDescent="0.25">
      <c r="A3726" s="5"/>
      <c r="B3726" s="6"/>
      <c r="C3726" s="6"/>
      <c r="D3726" s="6"/>
      <c r="E3726" s="6"/>
      <c r="G3726" s="3"/>
      <c r="H3726" s="2"/>
    </row>
    <row r="3727" spans="1:8" x14ac:dyDescent="0.25">
      <c r="A3727" s="5"/>
      <c r="B3727" s="6"/>
      <c r="C3727" s="6"/>
      <c r="D3727" s="6"/>
      <c r="E3727" s="6"/>
      <c r="G3727" s="1"/>
      <c r="H3727" s="2"/>
    </row>
    <row r="3728" spans="1:8" x14ac:dyDescent="0.25">
      <c r="A3728" s="5"/>
      <c r="B3728" s="6"/>
      <c r="C3728" s="6"/>
      <c r="D3728" s="6"/>
      <c r="E3728" s="6"/>
      <c r="G3728" s="3"/>
      <c r="H3728" s="2"/>
    </row>
    <row r="3729" spans="1:8" x14ac:dyDescent="0.25">
      <c r="A3729" s="5"/>
      <c r="B3729" s="6"/>
      <c r="C3729" s="6"/>
      <c r="D3729" s="6"/>
      <c r="E3729" s="6"/>
      <c r="G3729" s="1"/>
      <c r="H3729" s="2"/>
    </row>
    <row r="3730" spans="1:8" x14ac:dyDescent="0.25">
      <c r="A3730" s="5"/>
      <c r="B3730" s="6"/>
      <c r="C3730" s="6"/>
      <c r="D3730" s="6"/>
      <c r="E3730" s="6"/>
      <c r="G3730" s="3"/>
      <c r="H3730" s="2"/>
    </row>
    <row r="3731" spans="1:8" x14ac:dyDescent="0.25">
      <c r="A3731" s="5"/>
      <c r="B3731" s="6"/>
      <c r="C3731" s="6"/>
      <c r="D3731" s="6"/>
      <c r="E3731" s="6"/>
      <c r="G3731" s="1"/>
      <c r="H3731" s="2"/>
    </row>
    <row r="3732" spans="1:8" x14ac:dyDescent="0.25">
      <c r="A3732" s="5"/>
      <c r="B3732" s="6"/>
      <c r="C3732" s="6"/>
      <c r="D3732" s="6"/>
      <c r="E3732" s="6"/>
      <c r="G3732" s="3"/>
      <c r="H3732" s="2"/>
    </row>
    <row r="3733" spans="1:8" x14ac:dyDescent="0.25">
      <c r="A3733" s="5"/>
      <c r="B3733" s="6"/>
      <c r="C3733" s="6"/>
      <c r="D3733" s="6"/>
      <c r="E3733" s="6"/>
      <c r="G3733" s="1"/>
      <c r="H3733" s="2"/>
    </row>
    <row r="3734" spans="1:8" x14ac:dyDescent="0.25">
      <c r="A3734" s="5"/>
      <c r="B3734" s="6"/>
      <c r="C3734" s="6"/>
      <c r="D3734" s="6"/>
      <c r="E3734" s="6"/>
      <c r="G3734" s="3"/>
      <c r="H3734" s="2"/>
    </row>
    <row r="3735" spans="1:8" x14ac:dyDescent="0.25">
      <c r="A3735" s="5"/>
      <c r="B3735" s="6"/>
      <c r="C3735" s="6"/>
      <c r="D3735" s="6"/>
      <c r="E3735" s="6"/>
      <c r="G3735" s="1"/>
      <c r="H3735" s="2"/>
    </row>
    <row r="3736" spans="1:8" x14ac:dyDescent="0.25">
      <c r="A3736" s="5"/>
      <c r="B3736" s="6"/>
      <c r="C3736" s="6"/>
      <c r="D3736" s="6"/>
      <c r="E3736" s="6"/>
      <c r="G3736" s="3"/>
      <c r="H3736" s="2"/>
    </row>
    <row r="3737" spans="1:8" x14ac:dyDescent="0.25">
      <c r="A3737" s="5"/>
      <c r="B3737" s="6"/>
      <c r="C3737" s="6"/>
      <c r="D3737" s="6"/>
      <c r="E3737" s="6"/>
      <c r="G3737" s="1"/>
      <c r="H3737" s="2"/>
    </row>
    <row r="3738" spans="1:8" x14ac:dyDescent="0.25">
      <c r="A3738" s="5"/>
      <c r="B3738" s="6"/>
      <c r="C3738" s="6"/>
      <c r="D3738" s="6"/>
      <c r="E3738" s="6"/>
      <c r="G3738" s="3"/>
      <c r="H3738" s="2"/>
    </row>
    <row r="3739" spans="1:8" x14ac:dyDescent="0.25">
      <c r="A3739" s="5"/>
      <c r="B3739" s="6"/>
      <c r="C3739" s="6"/>
      <c r="D3739" s="6"/>
      <c r="E3739" s="6"/>
      <c r="G3739" s="1"/>
      <c r="H3739" s="2"/>
    </row>
    <row r="3740" spans="1:8" x14ac:dyDescent="0.25">
      <c r="A3740" s="5"/>
      <c r="B3740" s="6"/>
      <c r="C3740" s="6"/>
      <c r="D3740" s="6"/>
      <c r="E3740" s="6"/>
      <c r="G3740" s="3"/>
      <c r="H3740" s="2"/>
    </row>
    <row r="3741" spans="1:8" x14ac:dyDescent="0.25">
      <c r="A3741" s="5"/>
      <c r="B3741" s="6"/>
      <c r="C3741" s="6"/>
      <c r="D3741" s="6"/>
      <c r="E3741" s="6"/>
      <c r="G3741" s="1"/>
      <c r="H3741" s="2"/>
    </row>
    <row r="3742" spans="1:8" x14ac:dyDescent="0.25">
      <c r="A3742" s="5"/>
      <c r="B3742" s="6"/>
      <c r="C3742" s="6"/>
      <c r="D3742" s="6"/>
      <c r="E3742" s="6"/>
      <c r="G3742" s="3"/>
      <c r="H3742" s="2"/>
    </row>
    <row r="3743" spans="1:8" x14ac:dyDescent="0.25">
      <c r="A3743" s="5"/>
      <c r="B3743" s="6"/>
      <c r="C3743" s="6"/>
      <c r="D3743" s="6"/>
      <c r="E3743" s="6"/>
      <c r="G3743" s="1"/>
      <c r="H3743" s="2"/>
    </row>
    <row r="3744" spans="1:8" x14ac:dyDescent="0.25">
      <c r="A3744" s="5"/>
      <c r="B3744" s="6"/>
      <c r="C3744" s="6"/>
      <c r="D3744" s="6"/>
      <c r="E3744" s="6"/>
      <c r="G3744" s="3"/>
      <c r="H3744" s="2"/>
    </row>
    <row r="3745" spans="1:8" x14ac:dyDescent="0.25">
      <c r="A3745" s="5"/>
      <c r="B3745" s="6"/>
      <c r="C3745" s="6"/>
      <c r="D3745" s="6"/>
      <c r="E3745" s="6"/>
      <c r="G3745" s="1"/>
      <c r="H3745" s="2"/>
    </row>
    <row r="3746" spans="1:8" x14ac:dyDescent="0.25">
      <c r="A3746" s="5"/>
      <c r="B3746" s="6"/>
      <c r="C3746" s="6"/>
      <c r="D3746" s="6"/>
      <c r="E3746" s="6"/>
      <c r="G3746" s="3"/>
      <c r="H3746" s="2"/>
    </row>
    <row r="3747" spans="1:8" x14ac:dyDescent="0.25">
      <c r="A3747" s="5"/>
      <c r="B3747" s="6"/>
      <c r="C3747" s="6"/>
      <c r="D3747" s="6"/>
      <c r="E3747" s="6"/>
      <c r="G3747" s="1"/>
      <c r="H3747" s="2"/>
    </row>
    <row r="3748" spans="1:8" x14ac:dyDescent="0.25">
      <c r="A3748" s="5"/>
      <c r="B3748" s="6"/>
      <c r="C3748" s="6"/>
      <c r="D3748" s="6"/>
      <c r="E3748" s="6"/>
      <c r="G3748" s="3"/>
      <c r="H3748" s="2"/>
    </row>
    <row r="3749" spans="1:8" x14ac:dyDescent="0.25">
      <c r="A3749" s="5"/>
      <c r="B3749" s="6"/>
      <c r="C3749" s="6"/>
      <c r="D3749" s="6"/>
      <c r="E3749" s="6"/>
      <c r="G3749" s="1"/>
      <c r="H3749" s="2"/>
    </row>
    <row r="3750" spans="1:8" x14ac:dyDescent="0.25">
      <c r="A3750" s="5"/>
      <c r="B3750" s="6"/>
      <c r="C3750" s="6"/>
      <c r="D3750" s="6"/>
      <c r="E3750" s="6"/>
      <c r="G3750" s="3"/>
      <c r="H3750" s="2"/>
    </row>
    <row r="3751" spans="1:8" x14ac:dyDescent="0.25">
      <c r="A3751" s="5"/>
      <c r="B3751" s="6"/>
      <c r="C3751" s="6"/>
      <c r="D3751" s="6"/>
      <c r="E3751" s="6"/>
      <c r="G3751" s="1"/>
      <c r="H3751" s="2"/>
    </row>
    <row r="3752" spans="1:8" x14ac:dyDescent="0.25">
      <c r="A3752" s="5"/>
      <c r="B3752" s="6"/>
      <c r="C3752" s="6"/>
      <c r="D3752" s="6"/>
      <c r="E3752" s="6"/>
      <c r="G3752" s="3"/>
      <c r="H3752" s="2"/>
    </row>
    <row r="3753" spans="1:8" x14ac:dyDescent="0.25">
      <c r="A3753" s="5"/>
      <c r="B3753" s="6"/>
      <c r="C3753" s="6"/>
      <c r="D3753" s="6"/>
      <c r="E3753" s="6"/>
      <c r="G3753" s="1"/>
      <c r="H3753" s="2"/>
    </row>
    <row r="3754" spans="1:8" x14ac:dyDescent="0.25">
      <c r="A3754" s="5"/>
      <c r="B3754" s="6"/>
      <c r="C3754" s="6"/>
      <c r="D3754" s="6"/>
      <c r="E3754" s="6"/>
      <c r="G3754" s="3"/>
      <c r="H3754" s="2"/>
    </row>
    <row r="3755" spans="1:8" x14ac:dyDescent="0.25">
      <c r="A3755" s="5"/>
      <c r="B3755" s="6"/>
      <c r="C3755" s="6"/>
      <c r="D3755" s="6"/>
      <c r="E3755" s="6"/>
      <c r="G3755" s="1"/>
      <c r="H3755" s="2"/>
    </row>
    <row r="3756" spans="1:8" x14ac:dyDescent="0.25">
      <c r="A3756" s="5"/>
      <c r="B3756" s="6"/>
      <c r="C3756" s="6"/>
      <c r="D3756" s="6"/>
      <c r="E3756" s="6"/>
      <c r="G3756" s="3"/>
      <c r="H3756" s="2"/>
    </row>
    <row r="3757" spans="1:8" x14ac:dyDescent="0.25">
      <c r="A3757" s="5"/>
      <c r="B3757" s="6"/>
      <c r="C3757" s="6"/>
      <c r="D3757" s="6"/>
      <c r="E3757" s="6"/>
      <c r="G3757" s="1"/>
      <c r="H3757" s="2"/>
    </row>
    <row r="3758" spans="1:8" x14ac:dyDescent="0.25">
      <c r="A3758" s="5"/>
      <c r="B3758" s="6"/>
      <c r="C3758" s="6"/>
      <c r="D3758" s="6"/>
      <c r="E3758" s="6"/>
      <c r="G3758" s="3"/>
      <c r="H3758" s="2"/>
    </row>
    <row r="3759" spans="1:8" x14ac:dyDescent="0.25">
      <c r="A3759" s="5"/>
      <c r="B3759" s="6"/>
      <c r="C3759" s="6"/>
      <c r="D3759" s="6"/>
      <c r="E3759" s="6"/>
      <c r="G3759" s="1"/>
      <c r="H3759" s="2"/>
    </row>
    <row r="3760" spans="1:8" x14ac:dyDescent="0.25">
      <c r="A3760" s="5"/>
      <c r="B3760" s="6"/>
      <c r="C3760" s="6"/>
      <c r="D3760" s="6"/>
      <c r="E3760" s="6"/>
      <c r="G3760" s="3"/>
      <c r="H3760" s="2"/>
    </row>
    <row r="3761" spans="1:8" x14ac:dyDescent="0.25">
      <c r="A3761" s="5"/>
      <c r="B3761" s="6"/>
      <c r="C3761" s="6"/>
      <c r="D3761" s="6"/>
      <c r="E3761" s="6"/>
      <c r="G3761" s="1"/>
      <c r="H3761" s="2"/>
    </row>
    <row r="3762" spans="1:8" x14ac:dyDescent="0.25">
      <c r="A3762" s="5"/>
      <c r="B3762" s="6"/>
      <c r="C3762" s="6"/>
      <c r="D3762" s="6"/>
      <c r="E3762" s="6"/>
      <c r="G3762" s="3"/>
      <c r="H3762" s="2"/>
    </row>
    <row r="3763" spans="1:8" x14ac:dyDescent="0.25">
      <c r="A3763" s="5"/>
      <c r="B3763" s="6"/>
      <c r="C3763" s="6"/>
      <c r="D3763" s="6"/>
      <c r="E3763" s="6"/>
      <c r="G3763" s="1"/>
      <c r="H3763" s="2"/>
    </row>
    <row r="3764" spans="1:8" x14ac:dyDescent="0.25">
      <c r="A3764" s="5"/>
      <c r="B3764" s="6"/>
      <c r="C3764" s="6"/>
      <c r="D3764" s="6"/>
      <c r="E3764" s="6"/>
      <c r="G3764" s="3"/>
      <c r="H3764" s="2"/>
    </row>
    <row r="3765" spans="1:8" x14ac:dyDescent="0.25">
      <c r="A3765" s="5"/>
      <c r="B3765" s="6"/>
      <c r="C3765" s="6"/>
      <c r="D3765" s="6"/>
      <c r="E3765" s="6"/>
      <c r="G3765" s="1"/>
      <c r="H3765" s="2"/>
    </row>
    <row r="3766" spans="1:8" x14ac:dyDescent="0.25">
      <c r="A3766" s="5"/>
      <c r="B3766" s="6"/>
      <c r="C3766" s="6"/>
      <c r="D3766" s="6"/>
      <c r="E3766" s="6"/>
      <c r="G3766" s="3"/>
      <c r="H3766" s="2"/>
    </row>
    <row r="3767" spans="1:8" x14ac:dyDescent="0.25">
      <c r="A3767" s="5"/>
      <c r="B3767" s="6"/>
      <c r="C3767" s="6"/>
      <c r="D3767" s="6"/>
      <c r="E3767" s="6"/>
      <c r="G3767" s="1"/>
      <c r="H3767" s="2"/>
    </row>
    <row r="3768" spans="1:8" x14ac:dyDescent="0.25">
      <c r="A3768" s="5"/>
      <c r="B3768" s="6"/>
      <c r="C3768" s="6"/>
      <c r="D3768" s="6"/>
      <c r="E3768" s="6"/>
      <c r="G3768" s="3"/>
      <c r="H3768" s="2"/>
    </row>
    <row r="3769" spans="1:8" x14ac:dyDescent="0.25">
      <c r="A3769" s="5"/>
      <c r="B3769" s="6"/>
      <c r="C3769" s="6"/>
      <c r="D3769" s="6"/>
      <c r="E3769" s="6"/>
      <c r="G3769" s="1"/>
      <c r="H3769" s="2"/>
    </row>
    <row r="3770" spans="1:8" x14ac:dyDescent="0.25">
      <c r="A3770" s="5"/>
      <c r="B3770" s="6"/>
      <c r="C3770" s="6"/>
      <c r="D3770" s="6"/>
      <c r="E3770" s="6"/>
      <c r="G3770" s="3"/>
      <c r="H3770" s="2"/>
    </row>
    <row r="3771" spans="1:8" x14ac:dyDescent="0.25">
      <c r="A3771" s="5"/>
      <c r="B3771" s="6"/>
      <c r="C3771" s="6"/>
      <c r="D3771" s="6"/>
      <c r="E3771" s="6"/>
      <c r="G3771" s="1"/>
      <c r="H3771" s="2"/>
    </row>
    <row r="3772" spans="1:8" x14ac:dyDescent="0.25">
      <c r="A3772" s="5"/>
      <c r="B3772" s="6"/>
      <c r="C3772" s="6"/>
      <c r="D3772" s="6"/>
      <c r="E3772" s="6"/>
      <c r="G3772" s="3"/>
      <c r="H3772" s="2"/>
    </row>
    <row r="3773" spans="1:8" x14ac:dyDescent="0.25">
      <c r="A3773" s="5"/>
      <c r="B3773" s="6"/>
      <c r="C3773" s="6"/>
      <c r="D3773" s="6"/>
      <c r="E3773" s="6"/>
      <c r="G3773" s="1"/>
      <c r="H3773" s="2"/>
    </row>
    <row r="3774" spans="1:8" x14ac:dyDescent="0.25">
      <c r="A3774" s="5"/>
      <c r="B3774" s="6"/>
      <c r="C3774" s="6"/>
      <c r="D3774" s="6"/>
      <c r="E3774" s="6"/>
      <c r="G3774" s="3"/>
      <c r="H3774" s="2"/>
    </row>
    <row r="3775" spans="1:8" x14ac:dyDescent="0.25">
      <c r="A3775" s="5"/>
      <c r="B3775" s="6"/>
      <c r="C3775" s="6"/>
      <c r="D3775" s="6"/>
      <c r="E3775" s="6"/>
      <c r="G3775" s="1"/>
      <c r="H3775" s="2"/>
    </row>
    <row r="3776" spans="1:8" x14ac:dyDescent="0.25">
      <c r="A3776" s="5"/>
      <c r="B3776" s="6"/>
      <c r="C3776" s="6"/>
      <c r="D3776" s="6"/>
      <c r="E3776" s="6"/>
      <c r="G3776" s="3"/>
      <c r="H3776" s="2"/>
    </row>
    <row r="3777" spans="1:8" x14ac:dyDescent="0.25">
      <c r="A3777" s="5"/>
      <c r="B3777" s="6"/>
      <c r="C3777" s="6"/>
      <c r="D3777" s="6"/>
      <c r="E3777" s="6"/>
      <c r="G3777" s="1"/>
      <c r="H3777" s="2"/>
    </row>
    <row r="3778" spans="1:8" x14ac:dyDescent="0.25">
      <c r="A3778" s="5"/>
      <c r="B3778" s="6"/>
      <c r="C3778" s="6"/>
      <c r="D3778" s="6"/>
      <c r="E3778" s="6"/>
      <c r="G3778" s="3"/>
      <c r="H3778" s="2"/>
    </row>
    <row r="3779" spans="1:8" x14ac:dyDescent="0.25">
      <c r="A3779" s="5"/>
      <c r="B3779" s="6"/>
      <c r="C3779" s="6"/>
      <c r="D3779" s="6"/>
      <c r="E3779" s="6"/>
      <c r="G3779" s="1"/>
      <c r="H3779" s="2"/>
    </row>
    <row r="3780" spans="1:8" x14ac:dyDescent="0.25">
      <c r="A3780" s="5"/>
      <c r="B3780" s="6"/>
      <c r="C3780" s="6"/>
      <c r="D3780" s="6"/>
      <c r="E3780" s="6"/>
      <c r="G3780" s="3"/>
      <c r="H3780" s="2"/>
    </row>
    <row r="3781" spans="1:8" x14ac:dyDescent="0.25">
      <c r="A3781" s="5"/>
      <c r="B3781" s="6"/>
      <c r="C3781" s="6"/>
      <c r="D3781" s="6"/>
      <c r="E3781" s="6"/>
      <c r="G3781" s="1"/>
      <c r="H3781" s="2"/>
    </row>
    <row r="3782" spans="1:8" x14ac:dyDescent="0.25">
      <c r="A3782" s="5"/>
      <c r="B3782" s="6"/>
      <c r="C3782" s="6"/>
      <c r="D3782" s="6"/>
      <c r="E3782" s="6"/>
      <c r="G3782" s="3"/>
      <c r="H3782" s="2"/>
    </row>
    <row r="3783" spans="1:8" x14ac:dyDescent="0.25">
      <c r="A3783" s="5"/>
      <c r="B3783" s="6"/>
      <c r="C3783" s="6"/>
      <c r="D3783" s="6"/>
      <c r="E3783" s="6"/>
      <c r="G3783" s="1"/>
      <c r="H3783" s="2"/>
    </row>
    <row r="3784" spans="1:8" x14ac:dyDescent="0.25">
      <c r="A3784" s="5"/>
      <c r="B3784" s="6"/>
      <c r="C3784" s="6"/>
      <c r="D3784" s="6"/>
      <c r="E3784" s="6"/>
      <c r="G3784" s="3"/>
      <c r="H3784" s="2"/>
    </row>
    <row r="3785" spans="1:8" x14ac:dyDescent="0.25">
      <c r="A3785" s="5"/>
      <c r="B3785" s="6"/>
      <c r="C3785" s="6"/>
      <c r="D3785" s="6"/>
      <c r="E3785" s="6"/>
      <c r="G3785" s="1"/>
      <c r="H3785" s="2"/>
    </row>
    <row r="3786" spans="1:8" x14ac:dyDescent="0.25">
      <c r="A3786" s="5"/>
      <c r="B3786" s="6"/>
      <c r="C3786" s="6"/>
      <c r="D3786" s="6"/>
      <c r="E3786" s="6"/>
      <c r="G3786" s="3"/>
      <c r="H3786" s="2"/>
    </row>
    <row r="3787" spans="1:8" x14ac:dyDescent="0.25">
      <c r="A3787" s="5"/>
      <c r="B3787" s="6"/>
      <c r="C3787" s="6"/>
      <c r="D3787" s="6"/>
      <c r="E3787" s="6"/>
      <c r="G3787" s="1"/>
      <c r="H3787" s="2"/>
    </row>
    <row r="3788" spans="1:8" x14ac:dyDescent="0.25">
      <c r="A3788" s="5"/>
      <c r="B3788" s="6"/>
      <c r="C3788" s="6"/>
      <c r="D3788" s="6"/>
      <c r="E3788" s="6"/>
      <c r="G3788" s="3"/>
      <c r="H3788" s="2"/>
    </row>
    <row r="3789" spans="1:8" x14ac:dyDescent="0.25">
      <c r="A3789" s="5"/>
      <c r="B3789" s="6"/>
      <c r="C3789" s="6"/>
      <c r="D3789" s="6"/>
      <c r="E3789" s="6"/>
      <c r="G3789" s="1"/>
      <c r="H3789" s="2"/>
    </row>
    <row r="3790" spans="1:8" x14ac:dyDescent="0.25">
      <c r="A3790" s="5"/>
      <c r="B3790" s="6"/>
      <c r="C3790" s="6"/>
      <c r="D3790" s="6"/>
      <c r="E3790" s="6"/>
      <c r="G3790" s="3"/>
      <c r="H3790" s="2"/>
    </row>
    <row r="3791" spans="1:8" x14ac:dyDescent="0.25">
      <c r="A3791" s="5"/>
      <c r="B3791" s="6"/>
      <c r="C3791" s="6"/>
      <c r="D3791" s="6"/>
      <c r="E3791" s="6"/>
      <c r="G3791" s="1"/>
      <c r="H3791" s="2"/>
    </row>
    <row r="3792" spans="1:8" x14ac:dyDescent="0.25">
      <c r="A3792" s="5"/>
      <c r="B3792" s="6"/>
      <c r="C3792" s="6"/>
      <c r="D3792" s="6"/>
      <c r="E3792" s="6"/>
      <c r="G3792" s="3"/>
      <c r="H3792" s="2"/>
    </row>
    <row r="3793" spans="1:8" x14ac:dyDescent="0.25">
      <c r="A3793" s="5"/>
      <c r="B3793" s="6"/>
      <c r="C3793" s="6"/>
      <c r="D3793" s="6"/>
      <c r="E3793" s="6"/>
      <c r="G3793" s="1"/>
      <c r="H3793" s="2"/>
    </row>
    <row r="3794" spans="1:8" x14ac:dyDescent="0.25">
      <c r="A3794" s="5"/>
      <c r="B3794" s="6"/>
      <c r="C3794" s="6"/>
      <c r="D3794" s="6"/>
      <c r="E3794" s="6"/>
      <c r="G3794" s="3"/>
      <c r="H3794" s="2"/>
    </row>
    <row r="3795" spans="1:8" x14ac:dyDescent="0.25">
      <c r="A3795" s="5"/>
      <c r="B3795" s="6"/>
      <c r="C3795" s="6"/>
      <c r="D3795" s="6"/>
      <c r="E3795" s="6"/>
      <c r="G3795" s="1"/>
      <c r="H3795" s="2"/>
    </row>
    <row r="3796" spans="1:8" x14ac:dyDescent="0.25">
      <c r="A3796" s="5"/>
      <c r="B3796" s="6"/>
      <c r="C3796" s="6"/>
      <c r="D3796" s="6"/>
      <c r="E3796" s="6"/>
      <c r="G3796" s="3"/>
      <c r="H3796" s="2"/>
    </row>
    <row r="3797" spans="1:8" x14ac:dyDescent="0.25">
      <c r="A3797" s="5"/>
      <c r="B3797" s="6"/>
      <c r="C3797" s="6"/>
      <c r="D3797" s="6"/>
      <c r="E3797" s="6"/>
      <c r="G3797" s="1"/>
      <c r="H3797" s="2"/>
    </row>
    <row r="3798" spans="1:8" x14ac:dyDescent="0.25">
      <c r="A3798" s="5"/>
      <c r="B3798" s="6"/>
      <c r="C3798" s="6"/>
      <c r="D3798" s="6"/>
      <c r="E3798" s="6"/>
      <c r="G3798" s="3"/>
      <c r="H3798" s="2"/>
    </row>
    <row r="3799" spans="1:8" x14ac:dyDescent="0.25">
      <c r="A3799" s="5"/>
      <c r="B3799" s="6"/>
      <c r="C3799" s="6"/>
      <c r="D3799" s="6"/>
      <c r="E3799" s="6"/>
      <c r="G3799" s="1"/>
      <c r="H3799" s="2"/>
    </row>
    <row r="3800" spans="1:8" x14ac:dyDescent="0.25">
      <c r="A3800" s="5"/>
      <c r="B3800" s="6"/>
      <c r="C3800" s="6"/>
      <c r="D3800" s="6"/>
      <c r="E3800" s="6"/>
      <c r="G3800" s="3"/>
      <c r="H3800" s="2"/>
    </row>
    <row r="3801" spans="1:8" x14ac:dyDescent="0.25">
      <c r="A3801" s="5"/>
      <c r="B3801" s="6"/>
      <c r="C3801" s="6"/>
      <c r="D3801" s="6"/>
      <c r="E3801" s="6"/>
      <c r="G3801" s="1"/>
      <c r="H3801" s="2"/>
    </row>
    <row r="3802" spans="1:8" x14ac:dyDescent="0.25">
      <c r="A3802" s="5"/>
      <c r="B3802" s="6"/>
      <c r="C3802" s="6"/>
      <c r="D3802" s="6"/>
      <c r="E3802" s="6"/>
      <c r="G3802" s="3"/>
      <c r="H3802" s="2"/>
    </row>
    <row r="3803" spans="1:8" x14ac:dyDescent="0.25">
      <c r="A3803" s="5"/>
      <c r="B3803" s="6"/>
      <c r="C3803" s="6"/>
      <c r="D3803" s="6"/>
      <c r="E3803" s="6"/>
      <c r="G3803" s="1"/>
      <c r="H3803" s="2"/>
    </row>
    <row r="3804" spans="1:8" x14ac:dyDescent="0.25">
      <c r="A3804" s="5"/>
      <c r="B3804" s="6"/>
      <c r="C3804" s="6"/>
      <c r="D3804" s="6"/>
      <c r="E3804" s="6"/>
      <c r="G3804" s="3"/>
      <c r="H3804" s="2"/>
    </row>
    <row r="3805" spans="1:8" x14ac:dyDescent="0.25">
      <c r="A3805" s="5"/>
      <c r="B3805" s="6"/>
      <c r="C3805" s="6"/>
      <c r="D3805" s="6"/>
      <c r="E3805" s="6"/>
      <c r="G3805" s="1"/>
      <c r="H3805" s="2"/>
    </row>
    <row r="3806" spans="1:8" x14ac:dyDescent="0.25">
      <c r="A3806" s="5"/>
      <c r="B3806" s="6"/>
      <c r="C3806" s="6"/>
      <c r="D3806" s="6"/>
      <c r="E3806" s="6"/>
      <c r="G3806" s="3"/>
      <c r="H3806" s="2"/>
    </row>
    <row r="3807" spans="1:8" x14ac:dyDescent="0.25">
      <c r="A3807" s="5"/>
      <c r="B3807" s="6"/>
      <c r="C3807" s="6"/>
      <c r="D3807" s="6"/>
      <c r="E3807" s="6"/>
      <c r="G3807" s="1"/>
      <c r="H3807" s="2"/>
    </row>
    <row r="3808" spans="1:8" x14ac:dyDescent="0.25">
      <c r="A3808" s="5"/>
      <c r="B3808" s="6"/>
      <c r="C3808" s="6"/>
      <c r="D3808" s="6"/>
      <c r="E3808" s="6"/>
      <c r="G3808" s="3"/>
      <c r="H3808" s="2"/>
    </row>
    <row r="3809" spans="1:8" x14ac:dyDescent="0.25">
      <c r="A3809" s="5"/>
      <c r="B3809" s="6"/>
      <c r="C3809" s="6"/>
      <c r="D3809" s="6"/>
      <c r="E3809" s="6"/>
      <c r="G3809" s="1"/>
      <c r="H3809" s="2"/>
    </row>
    <row r="3810" spans="1:8" x14ac:dyDescent="0.25">
      <c r="A3810" s="5"/>
      <c r="B3810" s="6"/>
      <c r="C3810" s="6"/>
      <c r="D3810" s="6"/>
      <c r="E3810" s="6"/>
      <c r="G3810" s="3"/>
      <c r="H3810" s="2"/>
    </row>
    <row r="3811" spans="1:8" x14ac:dyDescent="0.25">
      <c r="A3811" s="5"/>
      <c r="B3811" s="6"/>
      <c r="C3811" s="6"/>
      <c r="D3811" s="6"/>
      <c r="E3811" s="6"/>
      <c r="G3811" s="1"/>
      <c r="H3811" s="2"/>
    </row>
    <row r="3812" spans="1:8" x14ac:dyDescent="0.25">
      <c r="A3812" s="5"/>
      <c r="B3812" s="6"/>
      <c r="C3812" s="6"/>
      <c r="D3812" s="6"/>
      <c r="E3812" s="6"/>
      <c r="G3812" s="3"/>
      <c r="H3812" s="2"/>
    </row>
    <row r="3813" spans="1:8" x14ac:dyDescent="0.25">
      <c r="A3813" s="5"/>
      <c r="B3813" s="6"/>
      <c r="C3813" s="6"/>
      <c r="D3813" s="6"/>
      <c r="E3813" s="6"/>
      <c r="G3813" s="1"/>
      <c r="H3813" s="2"/>
    </row>
    <row r="3814" spans="1:8" x14ac:dyDescent="0.25">
      <c r="A3814" s="5"/>
      <c r="B3814" s="6"/>
      <c r="C3814" s="6"/>
      <c r="D3814" s="6"/>
      <c r="E3814" s="6"/>
      <c r="G3814" s="3"/>
      <c r="H3814" s="2"/>
    </row>
    <row r="3815" spans="1:8" x14ac:dyDescent="0.25">
      <c r="A3815" s="5"/>
      <c r="B3815" s="6"/>
      <c r="C3815" s="6"/>
      <c r="D3815" s="6"/>
      <c r="E3815" s="6"/>
      <c r="G3815" s="1"/>
      <c r="H3815" s="2"/>
    </row>
    <row r="3816" spans="1:8" x14ac:dyDescent="0.25">
      <c r="A3816" s="5"/>
      <c r="B3816" s="6"/>
      <c r="C3816" s="6"/>
      <c r="D3816" s="6"/>
      <c r="E3816" s="6"/>
      <c r="G3816" s="3"/>
      <c r="H3816" s="2"/>
    </row>
    <row r="3817" spans="1:8" x14ac:dyDescent="0.25">
      <c r="A3817" s="5"/>
      <c r="B3817" s="6"/>
      <c r="C3817" s="6"/>
      <c r="D3817" s="6"/>
      <c r="E3817" s="6"/>
      <c r="G3817" s="1"/>
      <c r="H3817" s="2"/>
    </row>
    <row r="3818" spans="1:8" x14ac:dyDescent="0.25">
      <c r="A3818" s="5"/>
      <c r="B3818" s="6"/>
      <c r="C3818" s="6"/>
      <c r="D3818" s="6"/>
      <c r="E3818" s="6"/>
      <c r="G3818" s="3"/>
      <c r="H3818" s="2"/>
    </row>
    <row r="3819" spans="1:8" x14ac:dyDescent="0.25">
      <c r="A3819" s="5"/>
      <c r="B3819" s="6"/>
      <c r="C3819" s="6"/>
      <c r="D3819" s="6"/>
      <c r="E3819" s="6"/>
      <c r="G3819" s="1"/>
      <c r="H3819" s="2"/>
    </row>
    <row r="3820" spans="1:8" x14ac:dyDescent="0.25">
      <c r="A3820" s="5"/>
      <c r="B3820" s="6"/>
      <c r="C3820" s="6"/>
      <c r="D3820" s="6"/>
      <c r="E3820" s="6"/>
      <c r="G3820" s="14"/>
      <c r="H3820" s="2"/>
    </row>
    <row r="3821" spans="1:8" x14ac:dyDescent="0.25">
      <c r="A3821" s="5"/>
      <c r="B3821" s="6"/>
      <c r="C3821" s="6"/>
      <c r="D3821" s="6"/>
      <c r="E3821" s="6"/>
      <c r="G3821" s="14"/>
      <c r="H3821" s="2"/>
    </row>
    <row r="3822" spans="1:8" x14ac:dyDescent="0.25">
      <c r="A3822" s="5"/>
      <c r="B3822" s="6"/>
      <c r="C3822" s="6"/>
      <c r="D3822" s="6"/>
      <c r="E3822" s="6"/>
      <c r="G3822" s="14"/>
      <c r="H3822" s="2"/>
    </row>
    <row r="3823" spans="1:8" x14ac:dyDescent="0.25">
      <c r="A3823" s="5"/>
      <c r="B3823" s="6"/>
      <c r="C3823" s="6"/>
      <c r="D3823" s="6"/>
      <c r="E3823" s="6"/>
      <c r="G3823" s="14"/>
      <c r="H3823" s="2"/>
    </row>
    <row r="3824" spans="1:8" x14ac:dyDescent="0.25">
      <c r="A3824" s="5"/>
      <c r="B3824" s="6"/>
      <c r="C3824" s="6"/>
      <c r="D3824" s="6"/>
      <c r="E3824" s="6"/>
      <c r="G3824" s="14"/>
      <c r="H3824" s="2"/>
    </row>
    <row r="3825" spans="1:8" x14ac:dyDescent="0.25">
      <c r="A3825" s="5"/>
      <c r="B3825" s="6"/>
      <c r="C3825" s="6"/>
      <c r="D3825" s="6"/>
      <c r="E3825" s="6"/>
      <c r="G3825" s="14"/>
      <c r="H3825" s="2"/>
    </row>
    <row r="3826" spans="1:8" x14ac:dyDescent="0.25">
      <c r="A3826" s="5"/>
      <c r="B3826" s="6"/>
      <c r="C3826" s="6"/>
      <c r="D3826" s="6"/>
      <c r="E3826" s="6"/>
    </row>
    <row r="3827" spans="1:8" x14ac:dyDescent="0.25">
      <c r="A3827" s="5"/>
      <c r="B3827" s="6"/>
      <c r="C3827" s="6"/>
      <c r="D3827" s="6"/>
      <c r="E3827" s="6"/>
      <c r="G3827" s="3"/>
      <c r="H3827" s="2"/>
    </row>
    <row r="3828" spans="1:8" x14ac:dyDescent="0.25">
      <c r="A3828" s="5"/>
      <c r="B3828" s="6"/>
      <c r="C3828" s="6"/>
      <c r="D3828" s="6"/>
      <c r="E3828" s="6"/>
      <c r="G3828" s="1"/>
      <c r="H3828" s="2"/>
    </row>
    <row r="3829" spans="1:8" x14ac:dyDescent="0.25">
      <c r="A3829" s="5"/>
      <c r="B3829" s="6"/>
      <c r="C3829" s="6"/>
      <c r="D3829" s="6"/>
      <c r="E3829" s="6"/>
      <c r="G3829" s="3"/>
      <c r="H3829" s="2"/>
    </row>
    <row r="3830" spans="1:8" x14ac:dyDescent="0.25">
      <c r="A3830" s="5"/>
      <c r="B3830" s="6"/>
      <c r="C3830" s="6"/>
      <c r="D3830" s="6"/>
      <c r="E3830" s="6"/>
      <c r="G3830" s="1"/>
      <c r="H3830" s="2"/>
    </row>
    <row r="3831" spans="1:8" x14ac:dyDescent="0.25">
      <c r="A3831" s="5"/>
      <c r="B3831" s="6"/>
      <c r="C3831" s="6"/>
      <c r="D3831" s="6"/>
      <c r="E3831" s="6"/>
      <c r="G3831" s="3"/>
      <c r="H3831" s="2"/>
    </row>
    <row r="3832" spans="1:8" x14ac:dyDescent="0.25">
      <c r="A3832" s="5"/>
      <c r="B3832" s="6"/>
      <c r="C3832" s="6"/>
      <c r="D3832" s="6"/>
      <c r="E3832" s="6"/>
      <c r="G3832" s="1"/>
      <c r="H3832" s="2"/>
    </row>
    <row r="3833" spans="1:8" x14ac:dyDescent="0.25">
      <c r="A3833" s="5"/>
      <c r="B3833" s="6"/>
      <c r="C3833" s="6"/>
      <c r="D3833" s="6"/>
      <c r="E3833" s="6"/>
      <c r="G3833" s="3"/>
      <c r="H3833" s="2"/>
    </row>
    <row r="3834" spans="1:8" x14ac:dyDescent="0.25">
      <c r="A3834" s="5"/>
      <c r="B3834" s="6"/>
      <c r="C3834" s="6"/>
      <c r="D3834" s="6"/>
      <c r="E3834" s="6"/>
      <c r="G3834" s="1"/>
      <c r="H3834" s="2"/>
    </row>
    <row r="3835" spans="1:8" x14ac:dyDescent="0.25">
      <c r="A3835" s="5"/>
      <c r="B3835" s="6"/>
      <c r="C3835" s="6"/>
      <c r="D3835" s="6"/>
      <c r="E3835" s="6"/>
      <c r="G3835" s="3"/>
      <c r="H3835" s="2"/>
    </row>
    <row r="3836" spans="1:8" x14ac:dyDescent="0.25">
      <c r="A3836" s="5"/>
      <c r="B3836" s="6"/>
      <c r="C3836" s="6"/>
      <c r="D3836" s="6"/>
      <c r="E3836" s="6"/>
      <c r="G3836" s="1"/>
      <c r="H3836" s="2"/>
    </row>
    <row r="3837" spans="1:8" x14ac:dyDescent="0.25">
      <c r="A3837" s="5"/>
      <c r="B3837" s="6"/>
      <c r="C3837" s="6"/>
      <c r="D3837" s="6"/>
      <c r="E3837" s="6"/>
      <c r="G3837" s="3"/>
      <c r="H3837" s="2"/>
    </row>
    <row r="3838" spans="1:8" x14ac:dyDescent="0.25">
      <c r="A3838" s="5"/>
      <c r="B3838" s="6"/>
      <c r="C3838" s="6"/>
      <c r="D3838" s="6"/>
      <c r="E3838" s="6"/>
      <c r="G3838" s="1"/>
      <c r="H3838" s="2"/>
    </row>
    <row r="3839" spans="1:8" x14ac:dyDescent="0.25">
      <c r="A3839" s="5"/>
      <c r="B3839" s="6"/>
      <c r="C3839" s="6"/>
      <c r="D3839" s="6"/>
      <c r="E3839" s="6"/>
      <c r="G3839" s="3"/>
      <c r="H3839" s="2"/>
    </row>
    <row r="3840" spans="1:8" x14ac:dyDescent="0.25">
      <c r="A3840" s="5"/>
      <c r="B3840" s="6"/>
      <c r="C3840" s="6"/>
      <c r="D3840" s="6"/>
      <c r="E3840" s="6"/>
      <c r="G3840" s="1"/>
      <c r="H3840" s="2"/>
    </row>
    <row r="3841" spans="1:8" x14ac:dyDescent="0.25">
      <c r="A3841" s="5"/>
      <c r="B3841" s="6"/>
      <c r="C3841" s="6"/>
      <c r="D3841" s="6"/>
      <c r="E3841" s="6"/>
      <c r="G3841" s="3"/>
      <c r="H3841" s="2"/>
    </row>
    <row r="3842" spans="1:8" x14ac:dyDescent="0.25">
      <c r="A3842" s="5"/>
      <c r="B3842" s="6"/>
      <c r="C3842" s="6"/>
      <c r="D3842" s="6"/>
      <c r="E3842" s="6"/>
      <c r="G3842" s="1"/>
      <c r="H3842" s="2"/>
    </row>
    <row r="3843" spans="1:8" x14ac:dyDescent="0.25">
      <c r="A3843" s="5"/>
      <c r="B3843" s="6"/>
      <c r="C3843" s="6"/>
      <c r="D3843" s="6"/>
      <c r="E3843" s="6"/>
      <c r="G3843" s="3"/>
      <c r="H3843" s="2"/>
    </row>
    <row r="3844" spans="1:8" x14ac:dyDescent="0.25">
      <c r="A3844" s="5"/>
      <c r="B3844" s="6"/>
      <c r="C3844" s="6"/>
      <c r="D3844" s="6"/>
      <c r="E3844" s="6"/>
      <c r="G3844" s="1"/>
      <c r="H3844" s="2"/>
    </row>
    <row r="3845" spans="1:8" x14ac:dyDescent="0.25">
      <c r="A3845" s="5"/>
      <c r="B3845" s="6"/>
      <c r="C3845" s="6"/>
      <c r="D3845" s="6"/>
      <c r="E3845" s="6"/>
      <c r="G3845" s="3"/>
      <c r="H3845" s="2"/>
    </row>
    <row r="3846" spans="1:8" x14ac:dyDescent="0.25">
      <c r="A3846" s="5"/>
      <c r="B3846" s="6"/>
      <c r="C3846" s="6"/>
      <c r="D3846" s="6"/>
      <c r="E3846" s="6"/>
      <c r="G3846" s="1"/>
      <c r="H3846" s="2"/>
    </row>
    <row r="3847" spans="1:8" x14ac:dyDescent="0.25">
      <c r="A3847" s="5"/>
      <c r="B3847" s="6"/>
      <c r="C3847" s="6"/>
      <c r="D3847" s="6"/>
      <c r="E3847" s="6"/>
      <c r="G3847" s="3"/>
      <c r="H3847" s="2"/>
    </row>
    <row r="3848" spans="1:8" x14ac:dyDescent="0.25">
      <c r="A3848" s="5"/>
      <c r="B3848" s="6"/>
      <c r="C3848" s="6"/>
      <c r="D3848" s="6"/>
      <c r="E3848" s="6"/>
      <c r="G3848" s="1"/>
      <c r="H3848" s="2"/>
    </row>
    <row r="3849" spans="1:8" x14ac:dyDescent="0.25">
      <c r="A3849" s="5"/>
      <c r="B3849" s="6"/>
      <c r="C3849" s="6"/>
      <c r="D3849" s="6"/>
      <c r="E3849" s="6"/>
      <c r="G3849" s="3"/>
      <c r="H3849" s="2"/>
    </row>
    <row r="3850" spans="1:8" x14ac:dyDescent="0.25">
      <c r="A3850" s="5"/>
      <c r="B3850" s="6"/>
      <c r="C3850" s="6"/>
      <c r="D3850" s="6"/>
      <c r="E3850" s="6"/>
      <c r="G3850" s="1"/>
      <c r="H3850" s="2"/>
    </row>
    <row r="3851" spans="1:8" x14ac:dyDescent="0.25">
      <c r="A3851" s="5"/>
      <c r="B3851" s="6"/>
      <c r="C3851" s="6"/>
      <c r="D3851" s="6"/>
      <c r="E3851" s="6"/>
      <c r="G3851" s="3"/>
      <c r="H3851" s="2"/>
    </row>
    <row r="3852" spans="1:8" x14ac:dyDescent="0.25">
      <c r="A3852" s="5"/>
      <c r="B3852" s="6"/>
      <c r="C3852" s="6"/>
      <c r="D3852" s="6"/>
      <c r="E3852" s="6"/>
      <c r="G3852" s="1"/>
      <c r="H3852" s="2"/>
    </row>
    <row r="3853" spans="1:8" x14ac:dyDescent="0.25">
      <c r="A3853" s="5"/>
      <c r="B3853" s="6"/>
      <c r="C3853" s="6"/>
      <c r="D3853" s="6"/>
      <c r="E3853" s="6"/>
      <c r="G3853" s="3"/>
      <c r="H3853" s="2"/>
    </row>
    <row r="3854" spans="1:8" x14ac:dyDescent="0.25">
      <c r="A3854" s="5"/>
      <c r="B3854" s="6"/>
      <c r="C3854" s="6"/>
      <c r="D3854" s="6"/>
      <c r="E3854" s="6"/>
      <c r="G3854" s="1"/>
      <c r="H3854" s="2"/>
    </row>
    <row r="3855" spans="1:8" x14ac:dyDescent="0.25">
      <c r="A3855" s="5"/>
      <c r="B3855" s="6"/>
      <c r="C3855" s="6"/>
      <c r="D3855" s="6"/>
      <c r="E3855" s="6"/>
      <c r="G3855" s="3"/>
      <c r="H3855" s="2"/>
    </row>
    <row r="3856" spans="1:8" x14ac:dyDescent="0.25">
      <c r="A3856" s="5"/>
      <c r="B3856" s="6"/>
      <c r="C3856" s="6"/>
      <c r="D3856" s="6"/>
      <c r="E3856" s="6"/>
      <c r="G3856" s="1"/>
      <c r="H3856" s="2"/>
    </row>
    <row r="3857" spans="1:8" x14ac:dyDescent="0.25">
      <c r="A3857" s="5"/>
      <c r="B3857" s="6"/>
      <c r="C3857" s="6"/>
      <c r="D3857" s="6"/>
      <c r="E3857" s="6"/>
      <c r="G3857" s="3"/>
      <c r="H3857" s="2"/>
    </row>
    <row r="3858" spans="1:8" x14ac:dyDescent="0.25">
      <c r="A3858" s="5"/>
      <c r="B3858" s="6"/>
      <c r="C3858" s="6"/>
      <c r="D3858" s="6"/>
      <c r="E3858" s="6"/>
      <c r="G3858" s="1"/>
      <c r="H3858" s="2"/>
    </row>
    <row r="3859" spans="1:8" x14ac:dyDescent="0.25">
      <c r="A3859" s="5"/>
      <c r="B3859" s="6"/>
      <c r="C3859" s="6"/>
      <c r="D3859" s="6"/>
      <c r="E3859" s="6"/>
      <c r="G3859" s="3"/>
      <c r="H3859" s="2"/>
    </row>
    <row r="3860" spans="1:8" x14ac:dyDescent="0.25">
      <c r="A3860" s="5"/>
      <c r="B3860" s="6"/>
      <c r="C3860" s="6"/>
      <c r="D3860" s="6"/>
      <c r="E3860" s="6"/>
      <c r="G3860" s="1"/>
      <c r="H3860" s="2"/>
    </row>
    <row r="3861" spans="1:8" x14ac:dyDescent="0.25">
      <c r="A3861" s="5"/>
      <c r="B3861" s="6"/>
      <c r="C3861" s="6"/>
      <c r="D3861" s="6"/>
      <c r="E3861" s="6"/>
      <c r="G3861" s="3"/>
      <c r="H3861" s="2"/>
    </row>
    <row r="3862" spans="1:8" x14ac:dyDescent="0.25">
      <c r="A3862" s="5"/>
      <c r="B3862" s="6"/>
      <c r="C3862" s="6"/>
      <c r="D3862" s="6"/>
      <c r="E3862" s="6"/>
      <c r="G3862" s="1"/>
      <c r="H3862" s="2"/>
    </row>
    <row r="3863" spans="1:8" x14ac:dyDescent="0.25">
      <c r="A3863" s="5"/>
      <c r="B3863" s="6"/>
      <c r="C3863" s="6"/>
      <c r="D3863" s="6"/>
      <c r="E3863" s="6"/>
      <c r="G3863" s="3"/>
      <c r="H3863" s="2"/>
    </row>
    <row r="3864" spans="1:8" x14ac:dyDescent="0.25">
      <c r="A3864" s="5"/>
      <c r="B3864" s="6"/>
      <c r="C3864" s="6"/>
      <c r="D3864" s="6"/>
      <c r="E3864" s="6"/>
      <c r="G3864" s="1"/>
      <c r="H3864" s="2"/>
    </row>
    <row r="3865" spans="1:8" x14ac:dyDescent="0.25">
      <c r="A3865" s="5"/>
      <c r="B3865" s="6"/>
      <c r="C3865" s="6"/>
      <c r="D3865" s="6"/>
      <c r="E3865" s="6"/>
      <c r="G3865" s="3"/>
      <c r="H3865" s="2"/>
    </row>
    <row r="3866" spans="1:8" x14ac:dyDescent="0.25">
      <c r="A3866" s="5"/>
      <c r="B3866" s="6"/>
      <c r="C3866" s="6"/>
      <c r="D3866" s="6"/>
      <c r="E3866" s="6"/>
      <c r="G3866" s="1"/>
      <c r="H3866" s="2"/>
    </row>
    <row r="3867" spans="1:8" x14ac:dyDescent="0.25">
      <c r="A3867" s="5"/>
      <c r="B3867" s="6"/>
      <c r="C3867" s="6"/>
      <c r="D3867" s="6"/>
      <c r="E3867" s="6"/>
      <c r="G3867" s="3"/>
      <c r="H3867" s="2"/>
    </row>
    <row r="3868" spans="1:8" x14ac:dyDescent="0.25">
      <c r="A3868" s="5"/>
      <c r="B3868" s="6"/>
      <c r="C3868" s="6"/>
      <c r="D3868" s="6"/>
      <c r="E3868" s="6"/>
      <c r="G3868" s="1"/>
      <c r="H3868" s="2"/>
    </row>
    <row r="3869" spans="1:8" x14ac:dyDescent="0.25">
      <c r="A3869" s="5"/>
      <c r="B3869" s="6"/>
      <c r="C3869" s="6"/>
      <c r="D3869" s="6"/>
      <c r="E3869" s="6"/>
      <c r="G3869" s="3"/>
      <c r="H3869" s="2"/>
    </row>
    <row r="3870" spans="1:8" x14ac:dyDescent="0.25">
      <c r="A3870" s="5"/>
      <c r="B3870" s="6"/>
      <c r="C3870" s="6"/>
      <c r="D3870" s="6"/>
      <c r="E3870" s="6"/>
      <c r="G3870" s="1"/>
      <c r="H3870" s="2"/>
    </row>
    <row r="3871" spans="1:8" x14ac:dyDescent="0.25">
      <c r="A3871" s="5"/>
      <c r="B3871" s="6"/>
      <c r="C3871" s="6"/>
      <c r="D3871" s="6"/>
      <c r="E3871" s="6"/>
      <c r="G3871" s="3"/>
      <c r="H3871" s="2"/>
    </row>
    <row r="3872" spans="1:8" x14ac:dyDescent="0.25">
      <c r="A3872" s="5"/>
      <c r="B3872" s="6"/>
      <c r="C3872" s="6"/>
      <c r="D3872" s="6"/>
      <c r="E3872" s="6"/>
      <c r="G3872" s="1"/>
      <c r="H3872" s="2"/>
    </row>
    <row r="3873" spans="1:8" x14ac:dyDescent="0.25">
      <c r="A3873" s="5"/>
      <c r="B3873" s="6"/>
      <c r="C3873" s="6"/>
      <c r="D3873" s="6"/>
      <c r="E3873" s="6"/>
      <c r="G3873" s="3"/>
      <c r="H3873" s="2"/>
    </row>
    <row r="3874" spans="1:8" x14ac:dyDescent="0.25">
      <c r="A3874" s="5"/>
      <c r="B3874" s="6"/>
      <c r="C3874" s="6"/>
      <c r="D3874" s="6"/>
      <c r="E3874" s="6"/>
      <c r="G3874" s="1"/>
      <c r="H3874" s="2"/>
    </row>
    <row r="3875" spans="1:8" x14ac:dyDescent="0.25">
      <c r="A3875" s="5"/>
      <c r="B3875" s="6"/>
      <c r="C3875" s="6"/>
      <c r="D3875" s="6"/>
      <c r="E3875" s="6"/>
      <c r="G3875" s="3"/>
      <c r="H3875" s="2"/>
    </row>
    <row r="3876" spans="1:8" x14ac:dyDescent="0.25">
      <c r="A3876" s="5"/>
      <c r="B3876" s="6"/>
      <c r="C3876" s="6"/>
      <c r="D3876" s="6"/>
      <c r="E3876" s="6"/>
      <c r="G3876" s="1"/>
      <c r="H3876" s="2"/>
    </row>
    <row r="3877" spans="1:8" x14ac:dyDescent="0.25">
      <c r="A3877" s="5"/>
      <c r="B3877" s="6"/>
      <c r="C3877" s="6"/>
      <c r="D3877" s="6"/>
      <c r="E3877" s="6"/>
      <c r="G3877" s="3"/>
      <c r="H3877" s="2"/>
    </row>
    <row r="3878" spans="1:8" x14ac:dyDescent="0.25">
      <c r="A3878" s="5"/>
      <c r="B3878" s="6"/>
      <c r="C3878" s="6"/>
      <c r="D3878" s="6"/>
      <c r="E3878" s="6"/>
      <c r="G3878" s="1"/>
      <c r="H3878" s="2"/>
    </row>
    <row r="3879" spans="1:8" x14ac:dyDescent="0.25">
      <c r="A3879" s="5"/>
      <c r="B3879" s="6"/>
      <c r="C3879" s="6"/>
      <c r="D3879" s="6"/>
      <c r="E3879" s="6"/>
      <c r="G3879" s="3"/>
      <c r="H3879" s="2"/>
    </row>
    <row r="3880" spans="1:8" x14ac:dyDescent="0.25">
      <c r="A3880" s="5"/>
      <c r="B3880" s="6"/>
      <c r="C3880" s="6"/>
      <c r="D3880" s="6"/>
      <c r="E3880" s="6"/>
      <c r="G3880" s="1"/>
      <c r="H3880" s="2"/>
    </row>
    <row r="3881" spans="1:8" x14ac:dyDescent="0.25">
      <c r="A3881" s="5"/>
      <c r="B3881" s="6"/>
      <c r="C3881" s="6"/>
      <c r="D3881" s="6"/>
      <c r="E3881" s="6"/>
      <c r="G3881" s="3"/>
      <c r="H3881" s="2"/>
    </row>
    <row r="3882" spans="1:8" x14ac:dyDescent="0.25">
      <c r="A3882" s="5"/>
      <c r="B3882" s="6"/>
      <c r="C3882" s="6"/>
      <c r="D3882" s="6"/>
      <c r="E3882" s="6"/>
      <c r="G3882" s="1"/>
      <c r="H3882" s="2"/>
    </row>
    <row r="3883" spans="1:8" x14ac:dyDescent="0.25">
      <c r="A3883" s="5"/>
      <c r="B3883" s="6"/>
      <c r="C3883" s="6"/>
      <c r="D3883" s="6"/>
      <c r="E3883" s="6"/>
      <c r="G3883" s="3"/>
      <c r="H3883" s="2"/>
    </row>
    <row r="3884" spans="1:8" x14ac:dyDescent="0.25">
      <c r="A3884" s="5"/>
      <c r="B3884" s="6"/>
      <c r="C3884" s="6"/>
      <c r="D3884" s="6"/>
      <c r="E3884" s="6"/>
      <c r="G3884" s="1"/>
      <c r="H3884" s="2"/>
    </row>
    <row r="3885" spans="1:8" x14ac:dyDescent="0.25">
      <c r="A3885" s="5"/>
      <c r="B3885" s="6"/>
      <c r="C3885" s="6"/>
      <c r="D3885" s="6"/>
      <c r="E3885" s="6"/>
      <c r="G3885" s="3"/>
      <c r="H3885" s="2"/>
    </row>
    <row r="3886" spans="1:8" x14ac:dyDescent="0.25">
      <c r="A3886" s="5"/>
      <c r="B3886" s="6"/>
      <c r="C3886" s="6"/>
      <c r="D3886" s="6"/>
      <c r="E3886" s="6"/>
      <c r="G3886" s="1"/>
      <c r="H3886" s="2"/>
    </row>
    <row r="3887" spans="1:8" x14ac:dyDescent="0.25">
      <c r="A3887" s="5"/>
      <c r="B3887" s="6"/>
      <c r="C3887" s="6"/>
      <c r="D3887" s="6"/>
      <c r="E3887" s="6"/>
      <c r="G3887" s="3"/>
      <c r="H3887" s="2"/>
    </row>
    <row r="3888" spans="1:8" x14ac:dyDescent="0.25">
      <c r="A3888" s="5"/>
      <c r="B3888" s="6"/>
      <c r="C3888" s="6"/>
      <c r="D3888" s="6"/>
      <c r="E3888" s="6"/>
      <c r="G3888" s="1"/>
      <c r="H3888" s="2"/>
    </row>
    <row r="3889" spans="1:8" x14ac:dyDescent="0.25">
      <c r="A3889" s="5"/>
      <c r="B3889" s="6"/>
      <c r="C3889" s="6"/>
      <c r="D3889" s="6"/>
      <c r="E3889" s="6"/>
      <c r="G3889" s="3"/>
      <c r="H3889" s="2"/>
    </row>
    <row r="3890" spans="1:8" x14ac:dyDescent="0.25">
      <c r="A3890" s="5"/>
      <c r="B3890" s="6"/>
      <c r="C3890" s="6"/>
      <c r="D3890" s="6"/>
      <c r="E3890" s="6"/>
      <c r="G3890" s="1"/>
      <c r="H3890" s="2"/>
    </row>
    <row r="3891" spans="1:8" x14ac:dyDescent="0.25">
      <c r="A3891" s="5"/>
      <c r="B3891" s="6"/>
      <c r="C3891" s="6"/>
      <c r="D3891" s="6"/>
      <c r="E3891" s="6"/>
      <c r="G3891" s="3"/>
      <c r="H3891" s="2"/>
    </row>
    <row r="3892" spans="1:8" x14ac:dyDescent="0.25">
      <c r="A3892" s="5"/>
      <c r="B3892" s="6"/>
      <c r="C3892" s="6"/>
      <c r="D3892" s="6"/>
      <c r="E3892" s="6"/>
      <c r="G3892" s="1"/>
      <c r="H3892" s="2"/>
    </row>
    <row r="3893" spans="1:8" x14ac:dyDescent="0.25">
      <c r="A3893" s="5"/>
      <c r="B3893" s="6"/>
      <c r="C3893" s="6"/>
      <c r="D3893" s="6"/>
      <c r="E3893" s="6"/>
      <c r="G3893" s="3"/>
      <c r="H3893" s="2"/>
    </row>
    <row r="3894" spans="1:8" x14ac:dyDescent="0.25">
      <c r="A3894" s="5"/>
      <c r="B3894" s="6"/>
      <c r="C3894" s="6"/>
      <c r="D3894" s="6"/>
      <c r="E3894" s="6"/>
      <c r="G3894" s="1"/>
      <c r="H3894" s="2"/>
    </row>
    <row r="3895" spans="1:8" x14ac:dyDescent="0.25">
      <c r="A3895" s="5"/>
      <c r="B3895" s="6"/>
      <c r="C3895" s="6"/>
      <c r="D3895" s="6"/>
      <c r="E3895" s="6"/>
      <c r="G3895" s="3"/>
      <c r="H3895" s="2"/>
    </row>
    <row r="3896" spans="1:8" x14ac:dyDescent="0.25">
      <c r="A3896" s="5"/>
      <c r="B3896" s="6"/>
      <c r="C3896" s="6"/>
      <c r="D3896" s="6"/>
      <c r="E3896" s="6"/>
      <c r="G3896" s="1"/>
      <c r="H3896" s="2"/>
    </row>
    <row r="3897" spans="1:8" x14ac:dyDescent="0.25">
      <c r="A3897" s="5"/>
      <c r="B3897" s="6"/>
      <c r="C3897" s="6"/>
      <c r="D3897" s="6"/>
      <c r="E3897" s="6"/>
      <c r="G3897" s="3"/>
      <c r="H3897" s="2"/>
    </row>
    <row r="3898" spans="1:8" x14ac:dyDescent="0.25">
      <c r="A3898" s="5"/>
      <c r="B3898" s="6"/>
      <c r="C3898" s="6"/>
      <c r="D3898" s="6"/>
      <c r="E3898" s="6"/>
      <c r="G3898" s="1"/>
      <c r="H3898" s="2"/>
    </row>
    <row r="3899" spans="1:8" x14ac:dyDescent="0.25">
      <c r="A3899" s="5"/>
      <c r="B3899" s="6"/>
      <c r="C3899" s="6"/>
      <c r="D3899" s="6"/>
      <c r="E3899" s="6"/>
      <c r="G3899" s="3"/>
      <c r="H3899" s="2"/>
    </row>
    <row r="3900" spans="1:8" x14ac:dyDescent="0.25">
      <c r="A3900" s="5"/>
      <c r="B3900" s="6"/>
      <c r="C3900" s="6"/>
      <c r="D3900" s="6"/>
      <c r="E3900" s="6"/>
      <c r="G3900" s="1"/>
      <c r="H3900" s="2"/>
    </row>
    <row r="3901" spans="1:8" x14ac:dyDescent="0.25">
      <c r="A3901" s="5"/>
      <c r="B3901" s="6"/>
      <c r="C3901" s="6"/>
      <c r="D3901" s="6"/>
      <c r="E3901" s="6"/>
      <c r="G3901" s="3"/>
      <c r="H3901" s="2"/>
    </row>
    <row r="3902" spans="1:8" x14ac:dyDescent="0.25">
      <c r="A3902" s="5"/>
      <c r="B3902" s="6"/>
      <c r="C3902" s="6"/>
      <c r="D3902" s="6"/>
      <c r="E3902" s="6"/>
      <c r="G3902" s="1"/>
      <c r="H3902" s="2"/>
    </row>
    <row r="3903" spans="1:8" x14ac:dyDescent="0.25">
      <c r="A3903" s="5"/>
      <c r="B3903" s="6"/>
      <c r="C3903" s="6"/>
      <c r="D3903" s="6"/>
      <c r="E3903" s="6"/>
      <c r="G3903" s="3"/>
      <c r="H3903" s="2"/>
    </row>
    <row r="3904" spans="1:8" x14ac:dyDescent="0.25">
      <c r="A3904" s="5"/>
      <c r="B3904" s="6"/>
      <c r="C3904" s="6"/>
      <c r="D3904" s="6"/>
      <c r="E3904" s="6"/>
      <c r="G3904" s="1"/>
      <c r="H3904" s="2"/>
    </row>
    <row r="3905" spans="1:8" x14ac:dyDescent="0.25">
      <c r="A3905" s="5"/>
      <c r="B3905" s="6"/>
      <c r="C3905" s="6"/>
      <c r="D3905" s="6"/>
      <c r="E3905" s="6"/>
      <c r="G3905" s="3"/>
      <c r="H3905" s="2"/>
    </row>
    <row r="3906" spans="1:8" x14ac:dyDescent="0.25">
      <c r="A3906" s="5"/>
      <c r="B3906" s="6"/>
      <c r="C3906" s="6"/>
      <c r="D3906" s="6"/>
      <c r="E3906" s="6"/>
      <c r="G3906" s="1"/>
      <c r="H3906" s="2"/>
    </row>
    <row r="3907" spans="1:8" x14ac:dyDescent="0.25">
      <c r="A3907" s="5"/>
      <c r="B3907" s="6"/>
      <c r="C3907" s="6"/>
      <c r="D3907" s="6"/>
      <c r="E3907" s="6"/>
      <c r="G3907" s="3"/>
      <c r="H3907" s="2"/>
    </row>
    <row r="3908" spans="1:8" x14ac:dyDescent="0.25">
      <c r="A3908" s="5"/>
      <c r="B3908" s="6"/>
      <c r="C3908" s="6"/>
      <c r="D3908" s="6"/>
      <c r="E3908" s="6"/>
      <c r="G3908" s="1"/>
      <c r="H3908" s="2"/>
    </row>
    <row r="3909" spans="1:8" x14ac:dyDescent="0.25">
      <c r="A3909" s="5"/>
      <c r="B3909" s="6"/>
      <c r="C3909" s="6"/>
      <c r="D3909" s="6"/>
      <c r="E3909" s="6"/>
      <c r="G3909" s="3"/>
      <c r="H3909" s="2"/>
    </row>
    <row r="3910" spans="1:8" x14ac:dyDescent="0.25">
      <c r="A3910" s="5"/>
      <c r="B3910" s="6"/>
      <c r="C3910" s="6"/>
      <c r="D3910" s="6"/>
      <c r="E3910" s="6"/>
      <c r="G3910" s="1"/>
      <c r="H3910" s="2"/>
    </row>
    <row r="3911" spans="1:8" x14ac:dyDescent="0.25">
      <c r="A3911" s="5"/>
      <c r="B3911" s="6"/>
      <c r="C3911" s="6"/>
      <c r="D3911" s="6"/>
      <c r="E3911" s="6"/>
      <c r="G3911" s="3"/>
      <c r="H3911" s="2"/>
    </row>
    <row r="3912" spans="1:8" x14ac:dyDescent="0.25">
      <c r="A3912" s="5"/>
      <c r="B3912" s="6"/>
      <c r="C3912" s="6"/>
      <c r="D3912" s="6"/>
      <c r="E3912" s="6"/>
      <c r="G3912" s="1"/>
      <c r="H3912" s="2"/>
    </row>
    <row r="3913" spans="1:8" x14ac:dyDescent="0.25">
      <c r="A3913" s="5"/>
      <c r="B3913" s="6"/>
      <c r="C3913" s="6"/>
      <c r="D3913" s="6"/>
      <c r="E3913" s="6"/>
      <c r="G3913" s="3"/>
      <c r="H3913" s="2"/>
    </row>
    <row r="3914" spans="1:8" x14ac:dyDescent="0.25">
      <c r="A3914" s="5"/>
      <c r="B3914" s="6"/>
      <c r="C3914" s="6"/>
      <c r="D3914" s="6"/>
      <c r="E3914" s="6"/>
      <c r="G3914" s="1"/>
      <c r="H3914" s="2"/>
    </row>
    <row r="3915" spans="1:8" x14ac:dyDescent="0.25">
      <c r="A3915" s="5"/>
      <c r="B3915" s="6"/>
      <c r="C3915" s="6"/>
      <c r="D3915" s="6"/>
      <c r="E3915" s="6"/>
      <c r="G3915" s="3"/>
      <c r="H3915" s="2"/>
    </row>
    <row r="3916" spans="1:8" x14ac:dyDescent="0.25">
      <c r="A3916" s="5"/>
      <c r="B3916" s="6"/>
      <c r="C3916" s="6"/>
      <c r="D3916" s="6"/>
      <c r="E3916" s="6"/>
      <c r="G3916" s="1"/>
      <c r="H3916" s="2"/>
    </row>
    <row r="3917" spans="1:8" x14ac:dyDescent="0.25">
      <c r="A3917" s="5"/>
      <c r="B3917" s="6"/>
      <c r="C3917" s="6"/>
      <c r="D3917" s="6"/>
      <c r="E3917" s="6"/>
      <c r="G3917" s="3"/>
      <c r="H3917" s="2"/>
    </row>
    <row r="3918" spans="1:8" x14ac:dyDescent="0.25">
      <c r="A3918" s="5"/>
      <c r="B3918" s="6"/>
      <c r="C3918" s="6"/>
      <c r="D3918" s="6"/>
      <c r="E3918" s="6"/>
      <c r="G3918" s="1"/>
      <c r="H3918" s="2"/>
    </row>
    <row r="3919" spans="1:8" x14ac:dyDescent="0.25">
      <c r="A3919" s="5"/>
      <c r="B3919" s="6"/>
      <c r="C3919" s="6"/>
      <c r="D3919" s="6"/>
      <c r="E3919" s="6"/>
      <c r="G3919" s="3"/>
      <c r="H3919" s="2"/>
    </row>
    <row r="3920" spans="1:8" x14ac:dyDescent="0.25">
      <c r="A3920" s="5"/>
      <c r="B3920" s="6"/>
      <c r="C3920" s="6"/>
      <c r="D3920" s="6"/>
      <c r="E3920" s="6"/>
      <c r="G3920" s="1"/>
      <c r="H3920" s="2"/>
    </row>
    <row r="3921" spans="1:8" x14ac:dyDescent="0.25">
      <c r="A3921" s="5"/>
      <c r="B3921" s="6"/>
      <c r="C3921" s="6"/>
      <c r="D3921" s="6"/>
      <c r="E3921" s="6"/>
      <c r="G3921" s="3"/>
      <c r="H3921" s="2"/>
    </row>
    <row r="3922" spans="1:8" x14ac:dyDescent="0.25">
      <c r="A3922" s="5"/>
      <c r="B3922" s="6"/>
      <c r="C3922" s="6"/>
      <c r="D3922" s="6"/>
      <c r="E3922" s="6"/>
      <c r="G3922" s="1"/>
      <c r="H3922" s="2"/>
    </row>
    <row r="3923" spans="1:8" x14ac:dyDescent="0.25">
      <c r="A3923" s="5"/>
      <c r="B3923" s="6"/>
      <c r="C3923" s="6"/>
      <c r="D3923" s="6"/>
      <c r="E3923" s="6"/>
      <c r="G3923" s="3"/>
      <c r="H3923" s="2"/>
    </row>
    <row r="3924" spans="1:8" x14ac:dyDescent="0.25">
      <c r="A3924" s="5"/>
      <c r="B3924" s="6"/>
      <c r="C3924" s="6"/>
      <c r="D3924" s="6"/>
      <c r="E3924" s="6"/>
      <c r="G3924" s="1"/>
      <c r="H3924" s="2"/>
    </row>
    <row r="3925" spans="1:8" x14ac:dyDescent="0.25">
      <c r="A3925" s="5"/>
      <c r="B3925" s="6"/>
      <c r="C3925" s="6"/>
      <c r="D3925" s="6"/>
      <c r="E3925" s="6"/>
      <c r="G3925" s="3"/>
      <c r="H3925" s="2"/>
    </row>
    <row r="3926" spans="1:8" x14ac:dyDescent="0.25">
      <c r="A3926" s="5"/>
      <c r="B3926" s="6"/>
      <c r="C3926" s="6"/>
      <c r="D3926" s="6"/>
      <c r="E3926" s="6"/>
      <c r="G3926" s="1"/>
      <c r="H3926" s="2"/>
    </row>
    <row r="3927" spans="1:8" x14ac:dyDescent="0.25">
      <c r="A3927" s="5"/>
      <c r="B3927" s="6"/>
      <c r="C3927" s="6"/>
      <c r="D3927" s="6"/>
      <c r="E3927" s="6"/>
      <c r="G3927" s="3"/>
      <c r="H3927" s="2"/>
    </row>
    <row r="3928" spans="1:8" x14ac:dyDescent="0.25">
      <c r="A3928" s="5"/>
      <c r="B3928" s="6"/>
      <c r="C3928" s="6"/>
      <c r="D3928" s="6"/>
      <c r="E3928" s="6"/>
      <c r="G3928" s="1"/>
      <c r="H3928" s="2"/>
    </row>
    <row r="3929" spans="1:8" x14ac:dyDescent="0.25">
      <c r="A3929" s="5"/>
      <c r="B3929" s="6"/>
      <c r="C3929" s="6"/>
      <c r="D3929" s="6"/>
      <c r="E3929" s="6"/>
      <c r="G3929" s="3"/>
      <c r="H3929" s="2"/>
    </row>
    <row r="3930" spans="1:8" x14ac:dyDescent="0.25">
      <c r="A3930" s="5"/>
      <c r="B3930" s="6"/>
      <c r="C3930" s="6"/>
      <c r="D3930" s="6"/>
      <c r="E3930" s="6"/>
      <c r="G3930" s="1"/>
      <c r="H3930" s="2"/>
    </row>
    <row r="3931" spans="1:8" x14ac:dyDescent="0.25">
      <c r="A3931" s="5"/>
      <c r="B3931" s="6"/>
      <c r="C3931" s="6"/>
      <c r="D3931" s="6"/>
      <c r="E3931" s="6"/>
      <c r="G3931" s="3"/>
      <c r="H3931" s="2"/>
    </row>
    <row r="3932" spans="1:8" x14ac:dyDescent="0.25">
      <c r="A3932" s="5"/>
      <c r="B3932" s="6"/>
      <c r="C3932" s="6"/>
      <c r="D3932" s="6"/>
      <c r="E3932" s="6"/>
      <c r="G3932" s="1"/>
      <c r="H3932" s="2"/>
    </row>
    <row r="3933" spans="1:8" x14ac:dyDescent="0.25">
      <c r="A3933" s="5"/>
      <c r="B3933" s="6"/>
      <c r="C3933" s="6"/>
      <c r="D3933" s="6"/>
      <c r="E3933" s="6"/>
      <c r="G3933" s="3"/>
      <c r="H3933" s="2"/>
    </row>
    <row r="3934" spans="1:8" x14ac:dyDescent="0.25">
      <c r="A3934" s="5"/>
      <c r="B3934" s="6"/>
      <c r="C3934" s="6"/>
      <c r="D3934" s="6"/>
      <c r="E3934" s="6"/>
      <c r="G3934" s="1"/>
      <c r="H3934" s="2"/>
    </row>
    <row r="3935" spans="1:8" x14ac:dyDescent="0.25">
      <c r="A3935" s="5"/>
      <c r="B3935" s="6"/>
      <c r="C3935" s="6"/>
      <c r="D3935" s="6"/>
      <c r="E3935" s="6"/>
      <c r="G3935" s="3"/>
      <c r="H3935" s="2"/>
    </row>
    <row r="3936" spans="1:8" x14ac:dyDescent="0.25">
      <c r="A3936" s="5"/>
      <c r="B3936" s="6"/>
      <c r="C3936" s="6"/>
      <c r="D3936" s="6"/>
      <c r="E3936" s="6"/>
      <c r="G3936" s="1"/>
      <c r="H3936" s="2"/>
    </row>
    <row r="3937" spans="1:8" x14ac:dyDescent="0.25">
      <c r="A3937" s="5"/>
      <c r="B3937" s="6"/>
      <c r="C3937" s="6"/>
      <c r="D3937" s="6"/>
      <c r="E3937" s="6"/>
      <c r="G3937" s="3"/>
      <c r="H3937" s="2"/>
    </row>
    <row r="3938" spans="1:8" x14ac:dyDescent="0.25">
      <c r="A3938" s="5"/>
      <c r="B3938" s="6"/>
      <c r="C3938" s="6"/>
      <c r="D3938" s="6"/>
      <c r="E3938" s="6"/>
      <c r="G3938" s="1"/>
      <c r="H3938" s="2"/>
    </row>
    <row r="3939" spans="1:8" x14ac:dyDescent="0.25">
      <c r="A3939" s="5"/>
      <c r="B3939" s="6"/>
      <c r="C3939" s="6"/>
      <c r="D3939" s="6"/>
      <c r="E3939" s="6"/>
      <c r="G3939" s="3"/>
      <c r="H3939" s="2"/>
    </row>
    <row r="3940" spans="1:8" x14ac:dyDescent="0.25">
      <c r="A3940" s="5"/>
      <c r="B3940" s="6"/>
      <c r="C3940" s="6"/>
      <c r="D3940" s="6"/>
      <c r="E3940" s="6"/>
      <c r="G3940" s="1"/>
      <c r="H3940" s="2"/>
    </row>
    <row r="3941" spans="1:8" x14ac:dyDescent="0.25">
      <c r="A3941" s="5"/>
      <c r="B3941" s="6"/>
      <c r="C3941" s="6"/>
      <c r="D3941" s="6"/>
      <c r="E3941" s="6"/>
      <c r="G3941" s="3"/>
      <c r="H3941" s="2"/>
    </row>
    <row r="3942" spans="1:8" x14ac:dyDescent="0.25">
      <c r="A3942" s="5"/>
      <c r="B3942" s="6"/>
      <c r="C3942" s="6"/>
      <c r="D3942" s="6"/>
      <c r="E3942" s="6"/>
      <c r="G3942" s="1"/>
      <c r="H3942" s="2"/>
    </row>
    <row r="3943" spans="1:8" x14ac:dyDescent="0.25">
      <c r="A3943" s="5"/>
      <c r="B3943" s="6"/>
      <c r="C3943" s="6"/>
      <c r="D3943" s="6"/>
      <c r="E3943" s="6"/>
      <c r="G3943" s="3"/>
      <c r="H3943" s="2"/>
    </row>
    <row r="3944" spans="1:8" x14ac:dyDescent="0.25">
      <c r="A3944" s="5"/>
      <c r="B3944" s="6"/>
      <c r="C3944" s="6"/>
      <c r="D3944" s="6"/>
      <c r="E3944" s="6"/>
      <c r="G3944" s="1"/>
      <c r="H3944" s="2"/>
    </row>
    <row r="3945" spans="1:8" x14ac:dyDescent="0.25">
      <c r="A3945" s="5"/>
      <c r="B3945" s="6"/>
      <c r="C3945" s="6"/>
      <c r="D3945" s="6"/>
      <c r="E3945" s="6"/>
      <c r="G3945" s="3"/>
      <c r="H3945" s="2"/>
    </row>
    <row r="3946" spans="1:8" x14ac:dyDescent="0.25">
      <c r="A3946" s="5"/>
      <c r="B3946" s="6"/>
      <c r="C3946" s="6"/>
      <c r="D3946" s="6"/>
      <c r="E3946" s="6"/>
      <c r="G3946" s="1"/>
      <c r="H3946" s="2"/>
    </row>
    <row r="3947" spans="1:8" x14ac:dyDescent="0.25">
      <c r="A3947" s="5"/>
      <c r="B3947" s="6"/>
      <c r="C3947" s="6"/>
      <c r="D3947" s="6"/>
      <c r="E3947" s="6"/>
      <c r="G3947" s="3"/>
      <c r="H3947" s="2"/>
    </row>
    <row r="3948" spans="1:8" x14ac:dyDescent="0.25">
      <c r="A3948" s="5"/>
      <c r="B3948" s="6"/>
      <c r="C3948" s="6"/>
      <c r="D3948" s="6"/>
      <c r="E3948" s="6"/>
      <c r="G3948" s="1"/>
      <c r="H3948" s="2"/>
    </row>
    <row r="3949" spans="1:8" x14ac:dyDescent="0.25">
      <c r="A3949" s="5"/>
      <c r="B3949" s="6"/>
      <c r="C3949" s="6"/>
      <c r="D3949" s="6"/>
      <c r="E3949" s="6"/>
      <c r="G3949" s="3"/>
      <c r="H3949" s="2"/>
    </row>
    <row r="3950" spans="1:8" x14ac:dyDescent="0.25">
      <c r="A3950" s="5"/>
      <c r="B3950" s="6"/>
      <c r="C3950" s="6"/>
      <c r="D3950" s="6"/>
      <c r="E3950" s="6"/>
      <c r="G3950" s="1"/>
      <c r="H3950" s="2"/>
    </row>
    <row r="3951" spans="1:8" x14ac:dyDescent="0.25">
      <c r="A3951" s="5"/>
      <c r="B3951" s="6"/>
      <c r="C3951" s="6"/>
      <c r="D3951" s="6"/>
      <c r="E3951" s="6"/>
      <c r="G3951" s="3"/>
      <c r="H3951" s="2"/>
    </row>
    <row r="3952" spans="1:8" x14ac:dyDescent="0.25">
      <c r="A3952" s="5"/>
      <c r="B3952" s="6"/>
      <c r="C3952" s="6"/>
      <c r="D3952" s="6"/>
      <c r="E3952" s="6"/>
      <c r="G3952" s="1"/>
      <c r="H3952" s="2"/>
    </row>
    <row r="3953" spans="1:8" x14ac:dyDescent="0.25">
      <c r="A3953" s="5"/>
      <c r="B3953" s="6"/>
      <c r="C3953" s="6"/>
      <c r="D3953" s="6"/>
      <c r="E3953" s="6"/>
      <c r="G3953" s="3"/>
      <c r="H3953" s="2"/>
    </row>
    <row r="3954" spans="1:8" x14ac:dyDescent="0.25">
      <c r="A3954" s="5"/>
      <c r="B3954" s="6"/>
      <c r="C3954" s="6"/>
      <c r="D3954" s="6"/>
      <c r="E3954" s="6"/>
      <c r="G3954" s="1"/>
      <c r="H3954" s="2"/>
    </row>
    <row r="3955" spans="1:8" x14ac:dyDescent="0.25">
      <c r="A3955" s="5"/>
      <c r="B3955" s="6"/>
      <c r="C3955" s="6"/>
      <c r="D3955" s="6"/>
      <c r="E3955" s="6"/>
      <c r="G3955" s="3"/>
      <c r="H3955" s="2"/>
    </row>
    <row r="3956" spans="1:8" x14ac:dyDescent="0.25">
      <c r="A3956" s="5"/>
      <c r="B3956" s="6"/>
      <c r="C3956" s="6"/>
      <c r="D3956" s="6"/>
      <c r="E3956" s="6"/>
      <c r="G3956" s="1"/>
      <c r="H3956" s="2"/>
    </row>
    <row r="3957" spans="1:8" x14ac:dyDescent="0.25">
      <c r="A3957" s="5"/>
      <c r="B3957" s="6"/>
      <c r="C3957" s="6"/>
      <c r="D3957" s="6"/>
      <c r="E3957" s="6"/>
      <c r="G3957" s="3"/>
      <c r="H3957" s="2"/>
    </row>
    <row r="3958" spans="1:8" x14ac:dyDescent="0.25">
      <c r="A3958" s="5"/>
      <c r="B3958" s="6"/>
      <c r="C3958" s="6"/>
      <c r="D3958" s="6"/>
      <c r="E3958" s="6"/>
      <c r="G3958" s="1"/>
      <c r="H3958" s="2"/>
    </row>
    <row r="3959" spans="1:8" x14ac:dyDescent="0.25">
      <c r="A3959" s="5"/>
      <c r="B3959" s="6"/>
      <c r="C3959" s="6"/>
      <c r="D3959" s="6"/>
      <c r="E3959" s="6"/>
      <c r="G3959" s="3"/>
      <c r="H3959" s="2"/>
    </row>
    <row r="3960" spans="1:8" x14ac:dyDescent="0.25">
      <c r="A3960" s="5"/>
      <c r="B3960" s="6"/>
      <c r="C3960" s="6"/>
      <c r="D3960" s="6"/>
      <c r="E3960" s="6"/>
      <c r="G3960" s="1"/>
      <c r="H3960" s="2"/>
    </row>
    <row r="3961" spans="1:8" x14ac:dyDescent="0.25">
      <c r="A3961" s="5"/>
      <c r="B3961" s="6"/>
      <c r="C3961" s="6"/>
      <c r="D3961" s="6"/>
      <c r="E3961" s="6"/>
      <c r="G3961" s="3"/>
      <c r="H3961" s="2"/>
    </row>
    <row r="3962" spans="1:8" x14ac:dyDescent="0.25">
      <c r="A3962" s="5"/>
      <c r="B3962" s="6"/>
      <c r="C3962" s="6"/>
      <c r="D3962" s="6"/>
      <c r="E3962" s="6"/>
      <c r="G3962" s="1"/>
      <c r="H3962" s="2"/>
    </row>
    <row r="3963" spans="1:8" x14ac:dyDescent="0.25">
      <c r="A3963" s="5"/>
      <c r="B3963" s="6"/>
      <c r="C3963" s="6"/>
      <c r="D3963" s="6"/>
      <c r="E3963" s="6"/>
      <c r="G3963" s="3"/>
      <c r="H3963" s="2"/>
    </row>
    <row r="3964" spans="1:8" x14ac:dyDescent="0.25">
      <c r="A3964" s="5"/>
      <c r="B3964" s="6"/>
      <c r="C3964" s="6"/>
      <c r="D3964" s="6"/>
      <c r="E3964" s="6"/>
      <c r="G3964" s="1"/>
      <c r="H3964" s="2"/>
    </row>
    <row r="3965" spans="1:8" x14ac:dyDescent="0.25">
      <c r="A3965" s="5"/>
      <c r="B3965" s="6"/>
      <c r="C3965" s="6"/>
      <c r="D3965" s="6"/>
      <c r="E3965" s="6"/>
      <c r="G3965" s="3"/>
      <c r="H3965" s="2"/>
    </row>
    <row r="3966" spans="1:8" x14ac:dyDescent="0.25">
      <c r="A3966" s="5"/>
      <c r="B3966" s="6"/>
      <c r="C3966" s="6"/>
      <c r="D3966" s="6"/>
      <c r="E3966" s="6"/>
      <c r="G3966" s="1"/>
      <c r="H3966" s="2"/>
    </row>
    <row r="3967" spans="1:8" x14ac:dyDescent="0.25">
      <c r="A3967" s="5"/>
      <c r="B3967" s="6"/>
      <c r="C3967" s="6"/>
      <c r="D3967" s="6"/>
      <c r="E3967" s="6"/>
      <c r="G3967" s="3"/>
      <c r="H3967" s="2"/>
    </row>
    <row r="3968" spans="1:8" x14ac:dyDescent="0.25">
      <c r="A3968" s="5"/>
      <c r="B3968" s="6"/>
      <c r="C3968" s="6"/>
      <c r="D3968" s="6"/>
      <c r="E3968" s="6"/>
      <c r="G3968" s="1"/>
      <c r="H3968" s="2"/>
    </row>
    <row r="3969" spans="1:8" x14ac:dyDescent="0.25">
      <c r="A3969" s="5"/>
      <c r="B3969" s="6"/>
      <c r="C3969" s="6"/>
      <c r="D3969" s="6"/>
      <c r="E3969" s="6"/>
      <c r="G3969" s="3"/>
      <c r="H3969" s="2"/>
    </row>
    <row r="3970" spans="1:8" x14ac:dyDescent="0.25">
      <c r="A3970" s="5"/>
      <c r="B3970" s="6"/>
      <c r="C3970" s="6"/>
      <c r="D3970" s="6"/>
      <c r="E3970" s="6"/>
      <c r="G3970" s="1"/>
      <c r="H3970" s="2"/>
    </row>
    <row r="3971" spans="1:8" x14ac:dyDescent="0.25">
      <c r="A3971" s="5"/>
      <c r="B3971" s="6"/>
      <c r="C3971" s="6"/>
      <c r="D3971" s="6"/>
      <c r="E3971" s="6"/>
      <c r="G3971" s="3"/>
      <c r="H3971" s="2"/>
    </row>
    <row r="3972" spans="1:8" x14ac:dyDescent="0.25">
      <c r="A3972" s="5"/>
      <c r="B3972" s="6"/>
      <c r="C3972" s="6"/>
      <c r="D3972" s="6"/>
      <c r="E3972" s="6"/>
      <c r="G3972" s="1"/>
      <c r="H3972" s="2"/>
    </row>
    <row r="3973" spans="1:8" x14ac:dyDescent="0.25">
      <c r="A3973" s="5"/>
      <c r="B3973" s="6"/>
      <c r="C3973" s="6"/>
      <c r="D3973" s="6"/>
      <c r="E3973" s="6"/>
      <c r="G3973" s="3"/>
      <c r="H3973" s="2"/>
    </row>
    <row r="3974" spans="1:8" x14ac:dyDescent="0.25">
      <c r="A3974" s="5"/>
      <c r="B3974" s="6"/>
      <c r="C3974" s="6"/>
      <c r="D3974" s="6"/>
      <c r="E3974" s="6"/>
      <c r="G3974" s="1"/>
      <c r="H3974" s="2"/>
    </row>
    <row r="3975" spans="1:8" x14ac:dyDescent="0.25">
      <c r="A3975" s="5"/>
      <c r="B3975" s="6"/>
      <c r="C3975" s="6"/>
      <c r="D3975" s="6"/>
      <c r="E3975" s="6"/>
      <c r="G3975" s="3"/>
      <c r="H3975" s="2"/>
    </row>
    <row r="3976" spans="1:8" x14ac:dyDescent="0.25">
      <c r="A3976" s="5"/>
      <c r="B3976" s="6"/>
      <c r="C3976" s="6"/>
      <c r="D3976" s="6"/>
      <c r="E3976" s="6"/>
      <c r="G3976" s="1"/>
      <c r="H3976" s="2"/>
    </row>
    <row r="3977" spans="1:8" x14ac:dyDescent="0.25">
      <c r="A3977" s="5"/>
      <c r="B3977" s="6"/>
      <c r="C3977" s="6"/>
      <c r="D3977" s="6"/>
      <c r="E3977" s="6"/>
      <c r="G3977" s="3"/>
      <c r="H3977" s="2"/>
    </row>
    <row r="3978" spans="1:8" x14ac:dyDescent="0.25">
      <c r="A3978" s="5"/>
      <c r="B3978" s="6"/>
      <c r="C3978" s="6"/>
      <c r="D3978" s="6"/>
      <c r="E3978" s="6"/>
      <c r="G3978" s="1"/>
      <c r="H3978" s="2"/>
    </row>
    <row r="3979" spans="1:8" x14ac:dyDescent="0.25">
      <c r="A3979" s="5"/>
      <c r="B3979" s="6"/>
      <c r="C3979" s="6"/>
      <c r="D3979" s="6"/>
      <c r="E3979" s="6"/>
      <c r="G3979" s="3"/>
      <c r="H3979" s="2"/>
    </row>
    <row r="3980" spans="1:8" x14ac:dyDescent="0.25">
      <c r="A3980" s="5"/>
      <c r="B3980" s="6"/>
      <c r="C3980" s="6"/>
      <c r="D3980" s="6"/>
      <c r="E3980" s="6"/>
      <c r="G3980" s="1"/>
      <c r="H3980" s="2"/>
    </row>
    <row r="3981" spans="1:8" x14ac:dyDescent="0.25">
      <c r="A3981" s="5"/>
      <c r="B3981" s="6"/>
      <c r="C3981" s="6"/>
      <c r="D3981" s="6"/>
      <c r="E3981" s="6"/>
      <c r="G3981" s="3"/>
      <c r="H3981" s="2"/>
    </row>
    <row r="3982" spans="1:8" x14ac:dyDescent="0.25">
      <c r="A3982" s="5"/>
      <c r="B3982" s="6"/>
      <c r="C3982" s="6"/>
      <c r="D3982" s="6"/>
      <c r="E3982" s="6"/>
      <c r="G3982" s="1"/>
      <c r="H3982" s="2"/>
    </row>
    <row r="3983" spans="1:8" x14ac:dyDescent="0.25">
      <c r="A3983" s="5"/>
      <c r="B3983" s="6"/>
      <c r="C3983" s="6"/>
      <c r="D3983" s="6"/>
      <c r="E3983" s="6"/>
      <c r="G3983" s="3"/>
      <c r="H3983" s="2"/>
    </row>
    <row r="3984" spans="1:8" x14ac:dyDescent="0.25">
      <c r="A3984" s="5"/>
      <c r="B3984" s="6"/>
      <c r="C3984" s="6"/>
      <c r="D3984" s="6"/>
      <c r="E3984" s="6"/>
      <c r="G3984" s="1"/>
      <c r="H3984" s="2"/>
    </row>
    <row r="3985" spans="1:8" x14ac:dyDescent="0.25">
      <c r="A3985" s="5"/>
      <c r="B3985" s="6"/>
      <c r="C3985" s="6"/>
      <c r="D3985" s="6"/>
      <c r="E3985" s="6"/>
      <c r="G3985" s="3"/>
      <c r="H3985" s="2"/>
    </row>
    <row r="3986" spans="1:8" x14ac:dyDescent="0.25">
      <c r="A3986" s="5"/>
      <c r="B3986" s="6"/>
      <c r="C3986" s="6"/>
      <c r="D3986" s="6"/>
      <c r="E3986" s="6"/>
      <c r="G3986" s="1"/>
      <c r="H3986" s="2"/>
    </row>
    <row r="3987" spans="1:8" x14ac:dyDescent="0.25">
      <c r="A3987" s="5"/>
      <c r="B3987" s="6"/>
      <c r="C3987" s="6"/>
      <c r="D3987" s="6"/>
      <c r="E3987" s="6"/>
      <c r="G3987" s="3"/>
      <c r="H3987" s="2"/>
    </row>
    <row r="3988" spans="1:8" x14ac:dyDescent="0.25">
      <c r="A3988" s="5"/>
      <c r="B3988" s="6"/>
      <c r="C3988" s="6"/>
      <c r="D3988" s="6"/>
      <c r="E3988" s="6"/>
      <c r="G3988" s="1"/>
      <c r="H3988" s="2"/>
    </row>
    <row r="3989" spans="1:8" x14ac:dyDescent="0.25">
      <c r="A3989" s="5"/>
      <c r="B3989" s="6"/>
      <c r="C3989" s="6"/>
      <c r="D3989" s="6"/>
      <c r="E3989" s="6"/>
      <c r="G3989" s="3"/>
      <c r="H3989" s="2"/>
    </row>
    <row r="3990" spans="1:8" x14ac:dyDescent="0.25">
      <c r="A3990" s="5"/>
      <c r="B3990" s="6"/>
      <c r="C3990" s="6"/>
      <c r="D3990" s="6"/>
      <c r="E3990" s="6"/>
      <c r="G3990" s="1"/>
      <c r="H3990" s="2"/>
    </row>
    <row r="3991" spans="1:8" x14ac:dyDescent="0.25">
      <c r="A3991" s="5"/>
      <c r="B3991" s="6"/>
      <c r="C3991" s="6"/>
      <c r="D3991" s="6"/>
      <c r="E3991" s="6"/>
      <c r="G3991" s="3"/>
      <c r="H3991" s="2"/>
    </row>
    <row r="3992" spans="1:8" x14ac:dyDescent="0.25">
      <c r="A3992" s="5"/>
      <c r="B3992" s="6"/>
      <c r="C3992" s="6"/>
      <c r="D3992" s="6"/>
      <c r="E3992" s="6"/>
      <c r="G3992" s="1"/>
      <c r="H3992" s="2"/>
    </row>
    <row r="3993" spans="1:8" x14ac:dyDescent="0.25">
      <c r="A3993" s="5"/>
      <c r="B3993" s="6"/>
      <c r="C3993" s="6"/>
      <c r="D3993" s="6"/>
      <c r="E3993" s="6"/>
      <c r="G3993" s="3"/>
      <c r="H3993" s="2"/>
    </row>
    <row r="3994" spans="1:8" x14ac:dyDescent="0.25">
      <c r="A3994" s="5"/>
      <c r="B3994" s="6"/>
      <c r="C3994" s="6"/>
      <c r="D3994" s="6"/>
      <c r="E3994" s="6"/>
      <c r="G3994" s="1"/>
      <c r="H3994" s="2"/>
    </row>
    <row r="3995" spans="1:8" x14ac:dyDescent="0.25">
      <c r="A3995" s="5"/>
      <c r="B3995" s="6"/>
      <c r="C3995" s="6"/>
      <c r="D3995" s="6"/>
      <c r="E3995" s="6"/>
      <c r="G3995" s="3"/>
      <c r="H3995" s="2"/>
    </row>
    <row r="3996" spans="1:8" x14ac:dyDescent="0.25">
      <c r="A3996" s="5"/>
      <c r="B3996" s="6"/>
      <c r="C3996" s="6"/>
      <c r="D3996" s="6"/>
      <c r="E3996" s="6"/>
      <c r="G3996" s="1"/>
      <c r="H3996" s="2"/>
    </row>
    <row r="3997" spans="1:8" x14ac:dyDescent="0.25">
      <c r="A3997" s="5"/>
      <c r="B3997" s="6"/>
      <c r="C3997" s="6"/>
      <c r="D3997" s="6"/>
      <c r="E3997" s="6"/>
      <c r="G3997" s="3"/>
      <c r="H3997" s="2"/>
    </row>
    <row r="3998" spans="1:8" x14ac:dyDescent="0.25">
      <c r="A3998" s="5"/>
      <c r="B3998" s="6"/>
      <c r="C3998" s="6"/>
      <c r="D3998" s="6"/>
      <c r="E3998" s="6"/>
      <c r="G3998" s="1"/>
      <c r="H3998" s="2"/>
    </row>
    <row r="3999" spans="1:8" x14ac:dyDescent="0.25">
      <c r="A3999" s="5"/>
      <c r="B3999" s="6"/>
      <c r="C3999" s="6"/>
      <c r="D3999" s="6"/>
      <c r="E3999" s="6"/>
      <c r="G3999" s="3"/>
      <c r="H3999" s="2"/>
    </row>
    <row r="4000" spans="1:8" x14ac:dyDescent="0.25">
      <c r="A4000" s="5"/>
      <c r="B4000" s="6"/>
      <c r="C4000" s="6"/>
      <c r="D4000" s="6"/>
      <c r="E4000" s="6"/>
      <c r="G4000" s="1"/>
      <c r="H4000" s="2"/>
    </row>
    <row r="4001" spans="1:8" x14ac:dyDescent="0.25">
      <c r="A4001" s="5"/>
      <c r="B4001" s="6"/>
      <c r="C4001" s="6"/>
      <c r="D4001" s="6"/>
      <c r="E4001" s="6"/>
      <c r="G4001" s="3"/>
      <c r="H4001" s="2"/>
    </row>
    <row r="4002" spans="1:8" x14ac:dyDescent="0.25">
      <c r="A4002" s="5"/>
      <c r="B4002" s="6"/>
      <c r="C4002" s="6"/>
      <c r="D4002" s="6"/>
      <c r="E4002" s="6"/>
      <c r="G4002" s="1"/>
      <c r="H4002" s="2"/>
    </row>
    <row r="4003" spans="1:8" x14ac:dyDescent="0.25">
      <c r="A4003" s="5"/>
      <c r="B4003" s="6"/>
      <c r="C4003" s="6"/>
      <c r="D4003" s="6"/>
      <c r="E4003" s="6"/>
      <c r="G4003" s="3"/>
      <c r="H4003" s="2"/>
    </row>
    <row r="4004" spans="1:8" x14ac:dyDescent="0.25">
      <c r="A4004" s="5"/>
      <c r="B4004" s="6"/>
      <c r="C4004" s="6"/>
      <c r="D4004" s="6"/>
      <c r="E4004" s="6"/>
      <c r="G4004" s="1"/>
      <c r="H4004" s="2"/>
    </row>
    <row r="4005" spans="1:8" x14ac:dyDescent="0.25">
      <c r="A4005" s="5"/>
      <c r="B4005" s="6"/>
      <c r="C4005" s="6"/>
      <c r="D4005" s="6"/>
      <c r="E4005" s="6"/>
      <c r="G4005" s="3"/>
      <c r="H4005" s="2"/>
    </row>
    <row r="4006" spans="1:8" x14ac:dyDescent="0.25">
      <c r="A4006" s="5"/>
      <c r="B4006" s="6"/>
      <c r="C4006" s="6"/>
      <c r="D4006" s="6"/>
      <c r="E4006" s="6"/>
      <c r="G4006" s="1"/>
      <c r="H4006" s="2"/>
    </row>
    <row r="4007" spans="1:8" x14ac:dyDescent="0.25">
      <c r="A4007" s="5"/>
      <c r="B4007" s="6"/>
      <c r="C4007" s="6"/>
      <c r="D4007" s="6"/>
      <c r="E4007" s="6"/>
      <c r="G4007" s="3"/>
      <c r="H4007" s="2"/>
    </row>
    <row r="4008" spans="1:8" x14ac:dyDescent="0.25">
      <c r="A4008" s="5"/>
      <c r="B4008" s="6"/>
      <c r="C4008" s="6"/>
      <c r="D4008" s="6"/>
      <c r="E4008" s="6"/>
      <c r="G4008" s="1"/>
      <c r="H4008" s="2"/>
    </row>
    <row r="4009" spans="1:8" x14ac:dyDescent="0.25">
      <c r="A4009" s="5"/>
      <c r="B4009" s="6"/>
      <c r="C4009" s="6"/>
      <c r="D4009" s="6"/>
      <c r="E4009" s="6"/>
      <c r="G4009" s="3"/>
      <c r="H4009" s="2"/>
    </row>
    <row r="4010" spans="1:8" x14ac:dyDescent="0.25">
      <c r="A4010" s="5"/>
      <c r="B4010" s="6"/>
      <c r="C4010" s="6"/>
      <c r="D4010" s="6"/>
      <c r="E4010" s="6"/>
      <c r="G4010" s="1"/>
      <c r="H4010" s="2"/>
    </row>
    <row r="4011" spans="1:8" x14ac:dyDescent="0.25">
      <c r="A4011" s="5"/>
      <c r="B4011" s="6"/>
      <c r="C4011" s="6"/>
      <c r="D4011" s="6"/>
      <c r="E4011" s="6"/>
      <c r="G4011" s="3"/>
      <c r="H4011" s="2"/>
    </row>
    <row r="4012" spans="1:8" x14ac:dyDescent="0.25">
      <c r="A4012" s="5"/>
      <c r="B4012" s="6"/>
      <c r="C4012" s="6"/>
      <c r="D4012" s="6"/>
      <c r="E4012" s="6"/>
      <c r="G4012" s="1"/>
      <c r="H4012" s="2"/>
    </row>
    <row r="4013" spans="1:8" x14ac:dyDescent="0.25">
      <c r="A4013" s="5"/>
      <c r="B4013" s="6"/>
      <c r="C4013" s="6"/>
      <c r="D4013" s="6"/>
      <c r="E4013" s="6"/>
      <c r="G4013" s="3"/>
      <c r="H4013" s="2"/>
    </row>
    <row r="4014" spans="1:8" x14ac:dyDescent="0.25">
      <c r="A4014" s="5"/>
      <c r="B4014" s="6"/>
      <c r="C4014" s="6"/>
      <c r="D4014" s="6"/>
      <c r="E4014" s="6"/>
      <c r="G4014" s="1"/>
      <c r="H4014" s="2"/>
    </row>
    <row r="4015" spans="1:8" x14ac:dyDescent="0.25">
      <c r="A4015" s="5"/>
      <c r="B4015" s="6"/>
      <c r="C4015" s="6"/>
      <c r="D4015" s="6"/>
      <c r="E4015" s="6"/>
      <c r="G4015" s="3"/>
      <c r="H4015" s="2"/>
    </row>
    <row r="4016" spans="1:8" x14ac:dyDescent="0.25">
      <c r="A4016" s="5"/>
      <c r="B4016" s="6"/>
      <c r="C4016" s="6"/>
      <c r="D4016" s="6"/>
      <c r="E4016" s="6"/>
      <c r="G4016" s="1"/>
      <c r="H4016" s="2"/>
    </row>
    <row r="4017" spans="1:8" x14ac:dyDescent="0.25">
      <c r="A4017" s="5"/>
      <c r="B4017" s="6"/>
      <c r="C4017" s="6"/>
      <c r="D4017" s="6"/>
      <c r="E4017" s="6"/>
      <c r="G4017" s="3"/>
      <c r="H4017" s="2"/>
    </row>
    <row r="4018" spans="1:8" x14ac:dyDescent="0.25">
      <c r="A4018" s="5"/>
      <c r="B4018" s="6"/>
      <c r="C4018" s="6"/>
      <c r="D4018" s="6"/>
      <c r="E4018" s="6"/>
      <c r="G4018" s="1"/>
      <c r="H4018" s="2"/>
    </row>
    <row r="4019" spans="1:8" x14ac:dyDescent="0.25">
      <c r="A4019" s="5"/>
      <c r="B4019" s="6"/>
      <c r="C4019" s="6"/>
      <c r="D4019" s="6"/>
      <c r="E4019" s="6"/>
      <c r="G4019" s="3"/>
      <c r="H4019" s="2"/>
    </row>
    <row r="4020" spans="1:8" x14ac:dyDescent="0.25">
      <c r="A4020" s="5"/>
      <c r="B4020" s="6"/>
      <c r="C4020" s="6"/>
      <c r="D4020" s="6"/>
      <c r="E4020" s="6"/>
      <c r="G4020" s="1"/>
      <c r="H4020" s="2"/>
    </row>
    <row r="4021" spans="1:8" x14ac:dyDescent="0.25">
      <c r="A4021" s="5"/>
      <c r="B4021" s="6"/>
      <c r="C4021" s="6"/>
      <c r="D4021" s="6"/>
      <c r="E4021" s="6"/>
      <c r="G4021" s="3"/>
      <c r="H4021" s="2"/>
    </row>
    <row r="4022" spans="1:8" x14ac:dyDescent="0.25">
      <c r="A4022" s="5"/>
      <c r="B4022" s="6"/>
      <c r="C4022" s="6"/>
      <c r="D4022" s="6"/>
      <c r="E4022" s="6"/>
      <c r="G4022" s="1"/>
      <c r="H4022" s="2"/>
    </row>
    <row r="4023" spans="1:8" x14ac:dyDescent="0.25">
      <c r="A4023" s="5"/>
      <c r="B4023" s="6"/>
      <c r="C4023" s="6"/>
      <c r="D4023" s="6"/>
      <c r="E4023" s="6"/>
      <c r="G4023" s="3"/>
      <c r="H4023" s="2"/>
    </row>
    <row r="4024" spans="1:8" x14ac:dyDescent="0.25">
      <c r="A4024" s="5"/>
      <c r="B4024" s="6"/>
      <c r="C4024" s="6"/>
      <c r="D4024" s="6"/>
      <c r="E4024" s="6"/>
      <c r="G4024" s="1"/>
      <c r="H4024" s="2"/>
    </row>
    <row r="4025" spans="1:8" x14ac:dyDescent="0.25">
      <c r="A4025" s="5"/>
      <c r="B4025" s="6"/>
      <c r="C4025" s="6"/>
      <c r="D4025" s="6"/>
      <c r="E4025" s="6"/>
      <c r="G4025" s="3"/>
      <c r="H4025" s="2"/>
    </row>
    <row r="4026" spans="1:8" x14ac:dyDescent="0.25">
      <c r="A4026" s="5"/>
      <c r="B4026" s="6"/>
      <c r="C4026" s="6"/>
      <c r="D4026" s="6"/>
      <c r="E4026" s="6"/>
      <c r="G4026" s="1"/>
      <c r="H4026" s="2"/>
    </row>
    <row r="4027" spans="1:8" x14ac:dyDescent="0.25">
      <c r="A4027" s="5"/>
      <c r="B4027" s="6"/>
      <c r="C4027" s="6"/>
      <c r="D4027" s="6"/>
      <c r="E4027" s="6"/>
      <c r="G4027" s="3"/>
      <c r="H4027" s="2"/>
    </row>
    <row r="4028" spans="1:8" x14ac:dyDescent="0.25">
      <c r="A4028" s="5"/>
      <c r="B4028" s="6"/>
      <c r="C4028" s="6"/>
      <c r="D4028" s="6"/>
      <c r="E4028" s="6"/>
      <c r="G4028" s="1"/>
      <c r="H4028" s="2"/>
    </row>
    <row r="4029" spans="1:8" x14ac:dyDescent="0.25">
      <c r="A4029" s="5"/>
      <c r="B4029" s="6"/>
      <c r="C4029" s="6"/>
      <c r="D4029" s="6"/>
      <c r="E4029" s="6"/>
      <c r="G4029" s="3"/>
      <c r="H4029" s="2"/>
    </row>
    <row r="4030" spans="1:8" x14ac:dyDescent="0.25">
      <c r="A4030" s="5"/>
      <c r="B4030" s="6"/>
      <c r="C4030" s="6"/>
      <c r="D4030" s="6"/>
      <c r="E4030" s="6"/>
      <c r="G4030" s="1"/>
      <c r="H4030" s="2"/>
    </row>
    <row r="4031" spans="1:8" x14ac:dyDescent="0.25">
      <c r="A4031" s="5"/>
      <c r="B4031" s="6"/>
      <c r="C4031" s="6"/>
      <c r="D4031" s="6"/>
      <c r="E4031" s="6"/>
      <c r="G4031" s="3"/>
      <c r="H4031" s="2"/>
    </row>
    <row r="4032" spans="1:8" x14ac:dyDescent="0.25">
      <c r="A4032" s="5"/>
      <c r="B4032" s="6"/>
      <c r="C4032" s="6"/>
      <c r="D4032" s="6"/>
      <c r="E4032" s="6"/>
      <c r="G4032" s="1"/>
      <c r="H4032" s="2"/>
    </row>
    <row r="4033" spans="1:8" x14ac:dyDescent="0.25">
      <c r="A4033" s="5"/>
      <c r="B4033" s="6"/>
      <c r="C4033" s="6"/>
      <c r="D4033" s="6"/>
      <c r="E4033" s="6"/>
      <c r="G4033" s="3"/>
      <c r="H4033" s="2"/>
    </row>
    <row r="4034" spans="1:8" x14ac:dyDescent="0.25">
      <c r="A4034" s="5"/>
      <c r="B4034" s="6"/>
      <c r="C4034" s="6"/>
      <c r="D4034" s="6"/>
      <c r="E4034" s="6"/>
      <c r="G4034" s="1"/>
      <c r="H4034" s="2"/>
    </row>
    <row r="4035" spans="1:8" x14ac:dyDescent="0.25">
      <c r="A4035" s="5"/>
      <c r="B4035" s="6"/>
      <c r="C4035" s="6"/>
      <c r="D4035" s="6"/>
      <c r="E4035" s="6"/>
      <c r="G4035" s="3"/>
      <c r="H4035" s="2"/>
    </row>
    <row r="4036" spans="1:8" x14ac:dyDescent="0.25">
      <c r="A4036" s="5"/>
      <c r="B4036" s="6"/>
      <c r="C4036" s="6"/>
      <c r="D4036" s="6"/>
      <c r="E4036" s="6"/>
      <c r="G4036" s="1"/>
      <c r="H4036" s="2"/>
    </row>
    <row r="4037" spans="1:8" x14ac:dyDescent="0.25">
      <c r="A4037" s="5"/>
      <c r="B4037" s="6"/>
      <c r="C4037" s="6"/>
      <c r="D4037" s="6"/>
      <c r="E4037" s="6"/>
      <c r="G4037" s="3"/>
      <c r="H4037" s="2"/>
    </row>
    <row r="4038" spans="1:8" x14ac:dyDescent="0.25">
      <c r="A4038" s="5"/>
      <c r="B4038" s="6"/>
      <c r="C4038" s="6"/>
      <c r="D4038" s="6"/>
      <c r="E4038" s="6"/>
      <c r="G4038" s="1"/>
      <c r="H4038" s="2"/>
    </row>
    <row r="4039" spans="1:8" x14ac:dyDescent="0.25">
      <c r="A4039" s="5"/>
      <c r="B4039" s="6"/>
      <c r="C4039" s="6"/>
      <c r="D4039" s="6"/>
      <c r="E4039" s="6"/>
      <c r="G4039" s="3"/>
      <c r="H4039" s="2"/>
    </row>
    <row r="4040" spans="1:8" x14ac:dyDescent="0.25">
      <c r="A4040" s="5"/>
      <c r="B4040" s="6"/>
      <c r="C4040" s="6"/>
      <c r="D4040" s="6"/>
      <c r="E4040" s="6"/>
      <c r="G4040" s="1"/>
      <c r="H4040" s="2"/>
    </row>
    <row r="4041" spans="1:8" x14ac:dyDescent="0.25">
      <c r="A4041" s="5"/>
      <c r="B4041" s="6"/>
      <c r="C4041" s="6"/>
      <c r="D4041" s="6"/>
      <c r="E4041" s="6"/>
      <c r="G4041" s="3"/>
      <c r="H4041" s="2"/>
    </row>
    <row r="4042" spans="1:8" x14ac:dyDescent="0.25">
      <c r="A4042" s="5"/>
      <c r="B4042" s="6"/>
      <c r="C4042" s="6"/>
      <c r="D4042" s="6"/>
      <c r="E4042" s="6"/>
      <c r="G4042" s="1"/>
      <c r="H4042" s="2"/>
    </row>
    <row r="4043" spans="1:8" x14ac:dyDescent="0.25">
      <c r="A4043" s="5"/>
      <c r="B4043" s="6"/>
      <c r="C4043" s="6"/>
      <c r="D4043" s="6"/>
      <c r="E4043" s="6"/>
      <c r="G4043" s="3"/>
      <c r="H4043" s="2"/>
    </row>
    <row r="4044" spans="1:8" x14ac:dyDescent="0.25">
      <c r="A4044" s="5"/>
      <c r="B4044" s="6"/>
      <c r="C4044" s="6"/>
      <c r="D4044" s="6"/>
      <c r="E4044" s="6"/>
      <c r="G4044" s="1"/>
      <c r="H4044" s="2"/>
    </row>
    <row r="4045" spans="1:8" x14ac:dyDescent="0.25">
      <c r="A4045" s="5"/>
      <c r="B4045" s="6"/>
      <c r="C4045" s="6"/>
      <c r="D4045" s="6"/>
      <c r="E4045" s="6"/>
      <c r="G4045" s="3"/>
      <c r="H4045" s="2"/>
    </row>
    <row r="4046" spans="1:8" x14ac:dyDescent="0.25">
      <c r="A4046" s="5"/>
      <c r="B4046" s="6"/>
      <c r="C4046" s="6"/>
      <c r="D4046" s="6"/>
      <c r="E4046" s="6"/>
      <c r="G4046" s="1"/>
      <c r="H4046" s="2"/>
    </row>
    <row r="4047" spans="1:8" x14ac:dyDescent="0.25">
      <c r="A4047" s="5"/>
      <c r="B4047" s="6"/>
      <c r="C4047" s="6"/>
      <c r="D4047" s="6"/>
      <c r="E4047" s="6"/>
      <c r="G4047" s="3"/>
      <c r="H4047" s="2"/>
    </row>
    <row r="4048" spans="1:8" x14ac:dyDescent="0.25">
      <c r="A4048" s="5"/>
      <c r="B4048" s="6"/>
      <c r="C4048" s="6"/>
      <c r="D4048" s="6"/>
      <c r="E4048" s="6"/>
      <c r="G4048" s="1"/>
      <c r="H4048" s="2"/>
    </row>
    <row r="4049" spans="1:8" x14ac:dyDescent="0.25">
      <c r="A4049" s="5"/>
      <c r="B4049" s="6"/>
      <c r="C4049" s="6"/>
      <c r="D4049" s="6"/>
      <c r="E4049" s="6"/>
      <c r="G4049" s="3"/>
      <c r="H4049" s="2"/>
    </row>
    <row r="4050" spans="1:8" x14ac:dyDescent="0.25">
      <c r="A4050" s="5"/>
      <c r="B4050" s="6"/>
      <c r="C4050" s="6"/>
      <c r="D4050" s="6"/>
      <c r="E4050" s="6"/>
      <c r="G4050" s="1"/>
      <c r="H4050" s="2"/>
    </row>
    <row r="4051" spans="1:8" x14ac:dyDescent="0.25">
      <c r="A4051" s="5"/>
      <c r="B4051" s="6"/>
      <c r="C4051" s="6"/>
      <c r="D4051" s="6"/>
      <c r="E4051" s="6"/>
      <c r="G4051" s="3"/>
      <c r="H4051" s="2"/>
    </row>
    <row r="4052" spans="1:8" x14ac:dyDescent="0.25">
      <c r="A4052" s="5"/>
      <c r="B4052" s="6"/>
      <c r="C4052" s="6"/>
      <c r="D4052" s="6"/>
      <c r="E4052" s="6"/>
      <c r="G4052" s="1"/>
      <c r="H4052" s="2"/>
    </row>
    <row r="4053" spans="1:8" x14ac:dyDescent="0.25">
      <c r="A4053" s="5"/>
      <c r="B4053" s="6"/>
      <c r="C4053" s="6"/>
      <c r="D4053" s="6"/>
      <c r="E4053" s="6"/>
      <c r="G4053" s="3"/>
      <c r="H4053" s="2"/>
    </row>
    <row r="4054" spans="1:8" x14ac:dyDescent="0.25">
      <c r="A4054" s="5"/>
      <c r="B4054" s="6"/>
      <c r="C4054" s="6"/>
      <c r="D4054" s="6"/>
      <c r="E4054" s="6"/>
      <c r="G4054" s="1"/>
      <c r="H4054" s="2"/>
    </row>
    <row r="4055" spans="1:8" x14ac:dyDescent="0.25">
      <c r="A4055" s="5"/>
      <c r="B4055" s="6"/>
      <c r="C4055" s="6"/>
      <c r="D4055" s="6"/>
      <c r="E4055" s="6"/>
      <c r="G4055" s="3"/>
      <c r="H4055" s="2"/>
    </row>
    <row r="4056" spans="1:8" x14ac:dyDescent="0.25">
      <c r="A4056" s="5"/>
      <c r="B4056" s="6"/>
      <c r="C4056" s="6"/>
      <c r="D4056" s="6"/>
      <c r="E4056" s="6"/>
      <c r="G4056" s="1"/>
      <c r="H4056" s="2"/>
    </row>
    <row r="4057" spans="1:8" x14ac:dyDescent="0.25">
      <c r="A4057" s="5"/>
      <c r="B4057" s="6"/>
      <c r="C4057" s="6"/>
      <c r="D4057" s="6"/>
      <c r="E4057" s="6"/>
      <c r="G4057" s="3"/>
      <c r="H4057" s="2"/>
    </row>
    <row r="4058" spans="1:8" x14ac:dyDescent="0.25">
      <c r="A4058" s="5"/>
      <c r="B4058" s="6"/>
      <c r="C4058" s="6"/>
      <c r="D4058" s="6"/>
      <c r="E4058" s="6"/>
      <c r="G4058" s="1"/>
      <c r="H4058" s="2"/>
    </row>
    <row r="4059" spans="1:8" x14ac:dyDescent="0.25">
      <c r="A4059" s="5"/>
      <c r="B4059" s="6"/>
      <c r="C4059" s="6"/>
      <c r="D4059" s="6"/>
      <c r="E4059" s="6"/>
      <c r="G4059" s="3"/>
      <c r="H4059" s="2"/>
    </row>
    <row r="4060" spans="1:8" x14ac:dyDescent="0.25">
      <c r="A4060" s="5"/>
      <c r="B4060" s="6"/>
      <c r="C4060" s="6"/>
      <c r="D4060" s="6"/>
      <c r="E4060" s="6"/>
      <c r="G4060" s="1"/>
      <c r="H4060" s="2"/>
    </row>
    <row r="4061" spans="1:8" x14ac:dyDescent="0.25">
      <c r="A4061" s="5"/>
      <c r="B4061" s="6"/>
      <c r="C4061" s="6"/>
      <c r="D4061" s="6"/>
      <c r="E4061" s="6"/>
      <c r="G4061" s="3"/>
      <c r="H4061" s="2"/>
    </row>
    <row r="4062" spans="1:8" x14ac:dyDescent="0.25">
      <c r="A4062" s="5"/>
      <c r="B4062" s="6"/>
      <c r="C4062" s="6"/>
      <c r="D4062" s="6"/>
      <c r="E4062" s="6"/>
      <c r="G4062" s="1"/>
      <c r="H4062" s="2"/>
    </row>
    <row r="4063" spans="1:8" x14ac:dyDescent="0.25">
      <c r="A4063" s="5"/>
      <c r="B4063" s="6"/>
      <c r="C4063" s="6"/>
      <c r="D4063" s="6"/>
      <c r="E4063" s="6"/>
      <c r="G4063" s="3"/>
      <c r="H4063" s="2"/>
    </row>
    <row r="4064" spans="1:8" x14ac:dyDescent="0.25">
      <c r="A4064" s="5"/>
      <c r="B4064" s="6"/>
      <c r="C4064" s="6"/>
      <c r="D4064" s="6"/>
      <c r="E4064" s="6"/>
      <c r="G4064" s="1"/>
      <c r="H4064" s="2"/>
    </row>
    <row r="4065" spans="1:8" x14ac:dyDescent="0.25">
      <c r="A4065" s="5"/>
      <c r="B4065" s="6"/>
      <c r="C4065" s="6"/>
      <c r="D4065" s="6"/>
      <c r="E4065" s="6"/>
      <c r="G4065" s="3"/>
      <c r="H4065" s="2"/>
    </row>
    <row r="4066" spans="1:8" x14ac:dyDescent="0.25">
      <c r="A4066" s="5"/>
      <c r="B4066" s="6"/>
      <c r="C4066" s="6"/>
      <c r="D4066" s="6"/>
      <c r="E4066" s="6"/>
      <c r="G4066" s="1"/>
      <c r="H4066" s="2"/>
    </row>
    <row r="4067" spans="1:8" x14ac:dyDescent="0.25">
      <c r="A4067" s="5"/>
      <c r="B4067" s="6"/>
      <c r="C4067" s="6"/>
      <c r="D4067" s="6"/>
      <c r="E4067" s="6"/>
      <c r="G4067" s="3"/>
      <c r="H4067" s="2"/>
    </row>
    <row r="4068" spans="1:8" x14ac:dyDescent="0.25">
      <c r="A4068" s="5"/>
      <c r="B4068" s="6"/>
      <c r="C4068" s="6"/>
      <c r="D4068" s="6"/>
      <c r="E4068" s="6"/>
      <c r="G4068" s="1"/>
      <c r="H4068" s="2"/>
    </row>
    <row r="4069" spans="1:8" x14ac:dyDescent="0.25">
      <c r="A4069" s="5"/>
      <c r="B4069" s="6"/>
      <c r="C4069" s="6"/>
      <c r="D4069" s="6"/>
      <c r="E4069" s="6"/>
      <c r="G4069" s="3"/>
      <c r="H4069" s="2"/>
    </row>
    <row r="4070" spans="1:8" x14ac:dyDescent="0.25">
      <c r="A4070" s="5"/>
      <c r="B4070" s="6"/>
      <c r="C4070" s="6"/>
      <c r="D4070" s="6"/>
      <c r="E4070" s="6"/>
      <c r="G4070" s="1"/>
      <c r="H4070" s="2"/>
    </row>
    <row r="4071" spans="1:8" x14ac:dyDescent="0.25">
      <c r="A4071" s="5"/>
      <c r="B4071" s="6"/>
      <c r="C4071" s="6"/>
      <c r="D4071" s="6"/>
      <c r="E4071" s="6"/>
      <c r="G4071" s="3"/>
      <c r="H4071" s="2"/>
    </row>
    <row r="4072" spans="1:8" x14ac:dyDescent="0.25">
      <c r="A4072" s="5"/>
      <c r="B4072" s="6"/>
      <c r="C4072" s="6"/>
      <c r="D4072" s="6"/>
      <c r="E4072" s="6"/>
      <c r="G4072" s="1"/>
      <c r="H4072" s="2"/>
    </row>
    <row r="4073" spans="1:8" x14ac:dyDescent="0.25">
      <c r="A4073" s="5"/>
      <c r="B4073" s="6"/>
      <c r="C4073" s="6"/>
      <c r="D4073" s="6"/>
      <c r="E4073" s="6"/>
      <c r="G4073" s="3"/>
      <c r="H4073" s="2"/>
    </row>
    <row r="4074" spans="1:8" x14ac:dyDescent="0.25">
      <c r="A4074" s="5"/>
      <c r="B4074" s="6"/>
      <c r="C4074" s="6"/>
      <c r="D4074" s="6"/>
      <c r="E4074" s="6"/>
      <c r="G4074" s="1"/>
      <c r="H4074" s="2"/>
    </row>
    <row r="4075" spans="1:8" x14ac:dyDescent="0.25">
      <c r="A4075" s="5"/>
      <c r="B4075" s="6"/>
      <c r="C4075" s="6"/>
      <c r="D4075" s="6"/>
      <c r="E4075" s="6"/>
      <c r="G4075" s="14"/>
      <c r="H4075" s="2"/>
    </row>
    <row r="4076" spans="1:8" x14ac:dyDescent="0.25">
      <c r="A4076" s="5"/>
      <c r="B4076" s="6"/>
      <c r="C4076" s="6"/>
      <c r="D4076" s="6"/>
      <c r="E4076" s="6"/>
      <c r="G4076" s="14"/>
      <c r="H4076" s="2"/>
    </row>
    <row r="4077" spans="1:8" x14ac:dyDescent="0.25">
      <c r="A4077" s="5"/>
      <c r="B4077" s="6"/>
      <c r="C4077" s="6"/>
      <c r="D4077" s="6"/>
      <c r="E4077" s="6"/>
      <c r="G4077" s="14"/>
      <c r="H4077" s="2"/>
    </row>
    <row r="4078" spans="1:8" x14ac:dyDescent="0.25">
      <c r="A4078" s="5"/>
      <c r="B4078" s="6"/>
      <c r="C4078" s="6"/>
      <c r="D4078" s="6"/>
      <c r="E4078" s="6"/>
      <c r="G4078" s="14"/>
      <c r="H4078" s="2"/>
    </row>
    <row r="4079" spans="1:8" x14ac:dyDescent="0.25">
      <c r="A4079" s="5"/>
      <c r="B4079" s="6"/>
      <c r="C4079" s="6"/>
      <c r="D4079" s="6"/>
      <c r="E4079" s="6"/>
      <c r="G4079" s="14"/>
      <c r="H4079" s="2"/>
    </row>
    <row r="4080" spans="1:8" x14ac:dyDescent="0.25">
      <c r="A4080" s="5"/>
      <c r="B4080" s="6"/>
      <c r="C4080" s="6"/>
      <c r="D4080" s="6"/>
      <c r="E4080" s="6"/>
      <c r="G4080" s="14"/>
      <c r="H4080" s="2"/>
    </row>
    <row r="4081" spans="1:8" x14ac:dyDescent="0.25">
      <c r="A4081" s="5"/>
      <c r="B4081" s="6"/>
      <c r="C4081" s="6"/>
      <c r="D4081" s="6"/>
      <c r="E4081" s="6"/>
    </row>
    <row r="4082" spans="1:8" x14ac:dyDescent="0.25">
      <c r="A4082" s="5"/>
      <c r="B4082" s="6"/>
      <c r="C4082" s="6"/>
      <c r="D4082" s="6"/>
      <c r="E4082" s="6"/>
      <c r="G4082" s="3"/>
      <c r="H4082" s="2"/>
    </row>
    <row r="4083" spans="1:8" x14ac:dyDescent="0.25">
      <c r="A4083" s="5"/>
      <c r="B4083" s="6"/>
      <c r="C4083" s="6"/>
      <c r="D4083" s="6"/>
      <c r="E4083" s="6"/>
      <c r="G4083" s="1"/>
      <c r="H4083" s="2"/>
    </row>
    <row r="4084" spans="1:8" x14ac:dyDescent="0.25">
      <c r="A4084" s="5"/>
      <c r="B4084" s="6"/>
      <c r="C4084" s="6"/>
      <c r="D4084" s="6"/>
      <c r="E4084" s="6"/>
      <c r="G4084" s="3"/>
      <c r="H4084" s="2"/>
    </row>
    <row r="4085" spans="1:8" x14ac:dyDescent="0.25">
      <c r="A4085" s="5"/>
      <c r="B4085" s="6"/>
      <c r="C4085" s="6"/>
      <c r="D4085" s="6"/>
      <c r="E4085" s="6"/>
      <c r="G4085" s="1"/>
      <c r="H4085" s="2"/>
    </row>
    <row r="4086" spans="1:8" x14ac:dyDescent="0.25">
      <c r="A4086" s="5"/>
      <c r="B4086" s="6"/>
      <c r="C4086" s="6"/>
      <c r="D4086" s="6"/>
      <c r="E4086" s="6"/>
      <c r="G4086" s="3"/>
      <c r="H4086" s="2"/>
    </row>
    <row r="4087" spans="1:8" x14ac:dyDescent="0.25">
      <c r="A4087" s="5"/>
      <c r="B4087" s="6"/>
      <c r="C4087" s="6"/>
      <c r="D4087" s="6"/>
      <c r="E4087" s="6"/>
      <c r="G4087" s="1"/>
      <c r="H4087" s="2"/>
    </row>
    <row r="4088" spans="1:8" x14ac:dyDescent="0.25">
      <c r="A4088" s="5"/>
      <c r="B4088" s="6"/>
      <c r="C4088" s="6"/>
      <c r="D4088" s="6"/>
      <c r="E4088" s="6"/>
      <c r="G4088" s="3"/>
      <c r="H4088" s="2"/>
    </row>
    <row r="4089" spans="1:8" x14ac:dyDescent="0.25">
      <c r="A4089" s="5"/>
      <c r="B4089" s="6"/>
      <c r="C4089" s="6"/>
      <c r="D4089" s="6"/>
      <c r="E4089" s="6"/>
      <c r="G4089" s="1"/>
      <c r="H4089" s="2"/>
    </row>
    <row r="4090" spans="1:8" x14ac:dyDescent="0.25">
      <c r="A4090" s="5"/>
      <c r="B4090" s="6"/>
      <c r="C4090" s="6"/>
      <c r="D4090" s="6"/>
      <c r="E4090" s="6"/>
      <c r="G4090" s="3"/>
      <c r="H4090" s="2"/>
    </row>
    <row r="4091" spans="1:8" x14ac:dyDescent="0.25">
      <c r="A4091" s="5"/>
      <c r="B4091" s="6"/>
      <c r="C4091" s="6"/>
      <c r="D4091" s="6"/>
      <c r="E4091" s="6"/>
      <c r="G4091" s="1"/>
      <c r="H4091" s="2"/>
    </row>
    <row r="4092" spans="1:8" x14ac:dyDescent="0.25">
      <c r="A4092" s="5"/>
      <c r="B4092" s="6"/>
      <c r="C4092" s="6"/>
      <c r="D4092" s="6"/>
      <c r="E4092" s="6"/>
      <c r="G4092" s="3"/>
      <c r="H4092" s="2"/>
    </row>
    <row r="4093" spans="1:8" x14ac:dyDescent="0.25">
      <c r="A4093" s="5"/>
      <c r="B4093" s="6"/>
      <c r="C4093" s="6"/>
      <c r="D4093" s="6"/>
      <c r="E4093" s="6"/>
      <c r="G4093" s="1"/>
      <c r="H4093" s="2"/>
    </row>
    <row r="4094" spans="1:8" x14ac:dyDescent="0.25">
      <c r="A4094" s="5"/>
      <c r="B4094" s="6"/>
      <c r="C4094" s="6"/>
      <c r="D4094" s="6"/>
      <c r="E4094" s="6"/>
      <c r="G4094" s="3"/>
      <c r="H4094" s="2"/>
    </row>
    <row r="4095" spans="1:8" x14ac:dyDescent="0.25">
      <c r="A4095" s="5"/>
      <c r="B4095" s="6"/>
      <c r="C4095" s="6"/>
      <c r="D4095" s="6"/>
      <c r="E4095" s="6"/>
      <c r="G4095" s="1"/>
      <c r="H4095" s="2"/>
    </row>
    <row r="4096" spans="1:8" x14ac:dyDescent="0.25">
      <c r="A4096" s="5"/>
      <c r="B4096" s="6"/>
      <c r="C4096" s="6"/>
      <c r="D4096" s="6"/>
      <c r="E4096" s="6"/>
      <c r="G4096" s="3"/>
      <c r="H4096" s="2"/>
    </row>
    <row r="4097" spans="1:8" x14ac:dyDescent="0.25">
      <c r="A4097" s="5"/>
      <c r="B4097" s="6"/>
      <c r="C4097" s="6"/>
      <c r="D4097" s="6"/>
      <c r="E4097" s="6"/>
      <c r="G4097" s="1"/>
      <c r="H4097" s="2"/>
    </row>
    <row r="4098" spans="1:8" x14ac:dyDescent="0.25">
      <c r="A4098" s="5"/>
      <c r="B4098" s="6"/>
      <c r="C4098" s="6"/>
      <c r="D4098" s="6"/>
      <c r="E4098" s="6"/>
      <c r="G4098" s="3"/>
      <c r="H4098" s="2"/>
    </row>
    <row r="4099" spans="1:8" x14ac:dyDescent="0.25">
      <c r="A4099" s="5"/>
      <c r="B4099" s="6"/>
      <c r="C4099" s="6"/>
      <c r="D4099" s="6"/>
      <c r="E4099" s="6"/>
      <c r="G4099" s="1"/>
      <c r="H4099" s="2"/>
    </row>
    <row r="4100" spans="1:8" x14ac:dyDescent="0.25">
      <c r="A4100" s="5"/>
      <c r="B4100" s="6"/>
      <c r="C4100" s="6"/>
      <c r="D4100" s="6"/>
      <c r="E4100" s="6"/>
      <c r="G4100" s="3"/>
      <c r="H4100" s="2"/>
    </row>
    <row r="4101" spans="1:8" x14ac:dyDescent="0.25">
      <c r="A4101" s="5"/>
      <c r="B4101" s="6"/>
      <c r="C4101" s="6"/>
      <c r="D4101" s="6"/>
      <c r="E4101" s="6"/>
      <c r="G4101" s="1"/>
      <c r="H4101" s="2"/>
    </row>
    <row r="4102" spans="1:8" x14ac:dyDescent="0.25">
      <c r="A4102" s="5"/>
      <c r="B4102" s="6"/>
      <c r="C4102" s="6"/>
      <c r="D4102" s="6"/>
      <c r="E4102" s="6"/>
      <c r="G4102" s="3"/>
      <c r="H4102" s="2"/>
    </row>
    <row r="4103" spans="1:8" x14ac:dyDescent="0.25">
      <c r="A4103" s="5"/>
      <c r="B4103" s="6"/>
      <c r="C4103" s="6"/>
      <c r="D4103" s="6"/>
      <c r="E4103" s="6"/>
      <c r="G4103" s="1"/>
      <c r="H4103" s="2"/>
    </row>
    <row r="4104" spans="1:8" x14ac:dyDescent="0.25">
      <c r="A4104" s="5"/>
      <c r="B4104" s="6"/>
      <c r="C4104" s="6"/>
      <c r="D4104" s="6"/>
      <c r="E4104" s="6"/>
      <c r="G4104" s="3"/>
      <c r="H4104" s="2"/>
    </row>
    <row r="4105" spans="1:8" x14ac:dyDescent="0.25">
      <c r="A4105" s="5"/>
      <c r="B4105" s="6"/>
      <c r="C4105" s="6"/>
      <c r="D4105" s="6"/>
      <c r="E4105" s="6"/>
      <c r="G4105" s="1"/>
      <c r="H4105" s="2"/>
    </row>
    <row r="4106" spans="1:8" x14ac:dyDescent="0.25">
      <c r="A4106" s="5"/>
      <c r="B4106" s="6"/>
      <c r="C4106" s="6"/>
      <c r="D4106" s="6"/>
      <c r="E4106" s="6"/>
      <c r="G4106" s="3"/>
      <c r="H4106" s="2"/>
    </row>
    <row r="4107" spans="1:8" x14ac:dyDescent="0.25">
      <c r="A4107" s="5"/>
      <c r="B4107" s="6"/>
      <c r="C4107" s="6"/>
      <c r="D4107" s="6"/>
      <c r="E4107" s="6"/>
      <c r="G4107" s="1"/>
      <c r="H4107" s="2"/>
    </row>
    <row r="4108" spans="1:8" x14ac:dyDescent="0.25">
      <c r="A4108" s="5"/>
      <c r="B4108" s="6"/>
      <c r="C4108" s="6"/>
      <c r="D4108" s="6"/>
      <c r="E4108" s="6"/>
      <c r="G4108" s="3"/>
      <c r="H4108" s="2"/>
    </row>
    <row r="4109" spans="1:8" x14ac:dyDescent="0.25">
      <c r="A4109" s="5"/>
      <c r="B4109" s="6"/>
      <c r="C4109" s="6"/>
      <c r="D4109" s="6"/>
      <c r="E4109" s="6"/>
      <c r="G4109" s="1"/>
      <c r="H4109" s="2"/>
    </row>
    <row r="4110" spans="1:8" x14ac:dyDescent="0.25">
      <c r="A4110" s="5"/>
      <c r="B4110" s="6"/>
      <c r="C4110" s="6"/>
      <c r="D4110" s="6"/>
      <c r="E4110" s="6"/>
      <c r="G4110" s="3"/>
      <c r="H4110" s="2"/>
    </row>
    <row r="4111" spans="1:8" x14ac:dyDescent="0.25">
      <c r="A4111" s="5"/>
      <c r="B4111" s="6"/>
      <c r="C4111" s="6"/>
      <c r="D4111" s="6"/>
      <c r="E4111" s="6"/>
      <c r="G4111" s="1"/>
      <c r="H4111" s="2"/>
    </row>
    <row r="4112" spans="1:8" x14ac:dyDescent="0.25">
      <c r="A4112" s="5"/>
      <c r="B4112" s="6"/>
      <c r="C4112" s="6"/>
      <c r="D4112" s="6"/>
      <c r="E4112" s="6"/>
      <c r="G4112" s="3"/>
      <c r="H4112" s="2"/>
    </row>
    <row r="4113" spans="1:8" x14ac:dyDescent="0.25">
      <c r="A4113" s="5"/>
      <c r="B4113" s="6"/>
      <c r="C4113" s="6"/>
      <c r="D4113" s="6"/>
      <c r="E4113" s="6"/>
      <c r="G4113" s="1"/>
      <c r="H4113" s="2"/>
    </row>
    <row r="4114" spans="1:8" x14ac:dyDescent="0.25">
      <c r="A4114" s="5"/>
      <c r="B4114" s="6"/>
      <c r="C4114" s="6"/>
      <c r="D4114" s="6"/>
      <c r="E4114" s="6"/>
      <c r="G4114" s="3"/>
      <c r="H4114" s="2"/>
    </row>
    <row r="4115" spans="1:8" x14ac:dyDescent="0.25">
      <c r="A4115" s="5"/>
      <c r="B4115" s="6"/>
      <c r="C4115" s="6"/>
      <c r="D4115" s="6"/>
      <c r="E4115" s="6"/>
      <c r="G4115" s="1"/>
      <c r="H4115" s="2"/>
    </row>
    <row r="4116" spans="1:8" x14ac:dyDescent="0.25">
      <c r="A4116" s="5"/>
      <c r="B4116" s="6"/>
      <c r="C4116" s="6"/>
      <c r="D4116" s="6"/>
      <c r="E4116" s="6"/>
      <c r="G4116" s="3"/>
      <c r="H4116" s="2"/>
    </row>
    <row r="4117" spans="1:8" x14ac:dyDescent="0.25">
      <c r="A4117" s="5"/>
      <c r="B4117" s="6"/>
      <c r="C4117" s="6"/>
      <c r="D4117" s="6"/>
      <c r="E4117" s="6"/>
      <c r="G4117" s="1"/>
      <c r="H4117" s="2"/>
    </row>
    <row r="4118" spans="1:8" x14ac:dyDescent="0.25">
      <c r="A4118" s="5"/>
      <c r="B4118" s="6"/>
      <c r="C4118" s="6"/>
      <c r="D4118" s="6"/>
      <c r="E4118" s="6"/>
      <c r="G4118" s="3"/>
      <c r="H4118" s="2"/>
    </row>
    <row r="4119" spans="1:8" x14ac:dyDescent="0.25">
      <c r="A4119" s="5"/>
      <c r="B4119" s="6"/>
      <c r="C4119" s="6"/>
      <c r="D4119" s="6"/>
      <c r="E4119" s="6"/>
      <c r="G4119" s="1"/>
      <c r="H4119" s="2"/>
    </row>
    <row r="4120" spans="1:8" x14ac:dyDescent="0.25">
      <c r="A4120" s="5"/>
      <c r="B4120" s="6"/>
      <c r="C4120" s="6"/>
      <c r="D4120" s="6"/>
      <c r="E4120" s="6"/>
      <c r="G4120" s="3"/>
      <c r="H4120" s="2"/>
    </row>
    <row r="4121" spans="1:8" x14ac:dyDescent="0.25">
      <c r="A4121" s="5"/>
      <c r="B4121" s="6"/>
      <c r="C4121" s="6"/>
      <c r="D4121" s="6"/>
      <c r="E4121" s="6"/>
      <c r="G4121" s="1"/>
      <c r="H4121" s="2"/>
    </row>
    <row r="4122" spans="1:8" x14ac:dyDescent="0.25">
      <c r="A4122" s="5"/>
      <c r="B4122" s="6"/>
      <c r="C4122" s="6"/>
      <c r="D4122" s="6"/>
      <c r="E4122" s="6"/>
      <c r="G4122" s="3"/>
      <c r="H4122" s="2"/>
    </row>
    <row r="4123" spans="1:8" x14ac:dyDescent="0.25">
      <c r="A4123" s="5"/>
      <c r="B4123" s="6"/>
      <c r="C4123" s="6"/>
      <c r="D4123" s="6"/>
      <c r="E4123" s="6"/>
      <c r="G4123" s="1"/>
      <c r="H4123" s="2"/>
    </row>
    <row r="4124" spans="1:8" x14ac:dyDescent="0.25">
      <c r="A4124" s="5"/>
      <c r="B4124" s="6"/>
      <c r="C4124" s="6"/>
      <c r="D4124" s="6"/>
      <c r="E4124" s="6"/>
      <c r="G4124" s="3"/>
      <c r="H4124" s="2"/>
    </row>
    <row r="4125" spans="1:8" x14ac:dyDescent="0.25">
      <c r="A4125" s="5"/>
      <c r="B4125" s="6"/>
      <c r="C4125" s="6"/>
      <c r="D4125" s="6"/>
      <c r="E4125" s="6"/>
      <c r="G4125" s="1"/>
      <c r="H4125" s="2"/>
    </row>
    <row r="4126" spans="1:8" x14ac:dyDescent="0.25">
      <c r="A4126" s="5"/>
      <c r="B4126" s="6"/>
      <c r="C4126" s="6"/>
      <c r="D4126" s="6"/>
      <c r="E4126" s="6"/>
      <c r="G4126" s="3"/>
      <c r="H4126" s="2"/>
    </row>
    <row r="4127" spans="1:8" x14ac:dyDescent="0.25">
      <c r="A4127" s="5"/>
      <c r="B4127" s="6"/>
      <c r="C4127" s="6"/>
      <c r="D4127" s="6"/>
      <c r="E4127" s="6"/>
      <c r="G4127" s="1"/>
      <c r="H4127" s="2"/>
    </row>
    <row r="4128" spans="1:8" x14ac:dyDescent="0.25">
      <c r="A4128" s="5"/>
      <c r="B4128" s="6"/>
      <c r="C4128" s="6"/>
      <c r="D4128" s="6"/>
      <c r="E4128" s="6"/>
      <c r="G4128" s="3"/>
      <c r="H4128" s="2"/>
    </row>
    <row r="4129" spans="1:8" x14ac:dyDescent="0.25">
      <c r="A4129" s="5"/>
      <c r="B4129" s="6"/>
      <c r="C4129" s="6"/>
      <c r="D4129" s="6"/>
      <c r="E4129" s="6"/>
      <c r="G4129" s="1"/>
      <c r="H4129" s="2"/>
    </row>
    <row r="4130" spans="1:8" x14ac:dyDescent="0.25">
      <c r="A4130" s="5"/>
      <c r="B4130" s="6"/>
      <c r="C4130" s="6"/>
      <c r="D4130" s="6"/>
      <c r="E4130" s="6"/>
      <c r="G4130" s="3"/>
      <c r="H4130" s="2"/>
    </row>
    <row r="4131" spans="1:8" x14ac:dyDescent="0.25">
      <c r="A4131" s="5"/>
      <c r="B4131" s="6"/>
      <c r="C4131" s="6"/>
      <c r="D4131" s="6"/>
      <c r="E4131" s="6"/>
      <c r="G4131" s="1"/>
      <c r="H4131" s="2"/>
    </row>
    <row r="4132" spans="1:8" x14ac:dyDescent="0.25">
      <c r="A4132" s="5"/>
      <c r="B4132" s="6"/>
      <c r="C4132" s="6"/>
      <c r="D4132" s="6"/>
      <c r="E4132" s="6"/>
      <c r="G4132" s="3"/>
      <c r="H4132" s="2"/>
    </row>
    <row r="4133" spans="1:8" x14ac:dyDescent="0.25">
      <c r="A4133" s="5"/>
      <c r="B4133" s="6"/>
      <c r="C4133" s="6"/>
      <c r="D4133" s="6"/>
      <c r="E4133" s="6"/>
      <c r="G4133" s="1"/>
      <c r="H4133" s="2"/>
    </row>
    <row r="4134" spans="1:8" x14ac:dyDescent="0.25">
      <c r="A4134" s="5"/>
      <c r="B4134" s="6"/>
      <c r="C4134" s="6"/>
      <c r="D4134" s="6"/>
      <c r="E4134" s="6"/>
      <c r="G4134" s="3"/>
      <c r="H4134" s="2"/>
    </row>
    <row r="4135" spans="1:8" x14ac:dyDescent="0.25">
      <c r="A4135" s="5"/>
      <c r="B4135" s="6"/>
      <c r="C4135" s="6"/>
      <c r="D4135" s="6"/>
      <c r="E4135" s="6"/>
      <c r="G4135" s="1"/>
      <c r="H4135" s="2"/>
    </row>
    <row r="4136" spans="1:8" x14ac:dyDescent="0.25">
      <c r="A4136" s="5"/>
      <c r="B4136" s="6"/>
      <c r="C4136" s="6"/>
      <c r="D4136" s="6"/>
      <c r="E4136" s="6"/>
      <c r="G4136" s="3"/>
      <c r="H4136" s="2"/>
    </row>
    <row r="4137" spans="1:8" x14ac:dyDescent="0.25">
      <c r="A4137" s="5"/>
      <c r="B4137" s="6"/>
      <c r="C4137" s="6"/>
      <c r="D4137" s="6"/>
      <c r="E4137" s="6"/>
      <c r="G4137" s="1"/>
      <c r="H4137" s="2"/>
    </row>
    <row r="4138" spans="1:8" x14ac:dyDescent="0.25">
      <c r="A4138" s="5"/>
      <c r="B4138" s="6"/>
      <c r="C4138" s="6"/>
      <c r="D4138" s="6"/>
      <c r="E4138" s="6"/>
      <c r="G4138" s="3"/>
      <c r="H4138" s="2"/>
    </row>
    <row r="4139" spans="1:8" x14ac:dyDescent="0.25">
      <c r="A4139" s="5"/>
      <c r="B4139" s="6"/>
      <c r="C4139" s="6"/>
      <c r="D4139" s="6"/>
      <c r="E4139" s="6"/>
      <c r="G4139" s="1"/>
      <c r="H4139" s="2"/>
    </row>
    <row r="4140" spans="1:8" x14ac:dyDescent="0.25">
      <c r="A4140" s="5"/>
      <c r="B4140" s="6"/>
      <c r="C4140" s="6"/>
      <c r="D4140" s="6"/>
      <c r="E4140" s="6"/>
      <c r="G4140" s="3"/>
      <c r="H4140" s="2"/>
    </row>
    <row r="4141" spans="1:8" x14ac:dyDescent="0.25">
      <c r="A4141" s="5"/>
      <c r="B4141" s="6"/>
      <c r="C4141" s="6"/>
      <c r="D4141" s="6"/>
      <c r="E4141" s="6"/>
      <c r="G4141" s="1"/>
      <c r="H4141" s="2"/>
    </row>
    <row r="4142" spans="1:8" x14ac:dyDescent="0.25">
      <c r="A4142" s="5"/>
      <c r="B4142" s="6"/>
      <c r="C4142" s="6"/>
      <c r="D4142" s="6"/>
      <c r="E4142" s="6"/>
      <c r="G4142" s="3"/>
      <c r="H4142" s="2"/>
    </row>
    <row r="4143" spans="1:8" x14ac:dyDescent="0.25">
      <c r="A4143" s="5"/>
      <c r="B4143" s="6"/>
      <c r="C4143" s="6"/>
      <c r="D4143" s="6"/>
      <c r="E4143" s="6"/>
      <c r="G4143" s="1"/>
      <c r="H4143" s="2"/>
    </row>
    <row r="4144" spans="1:8" x14ac:dyDescent="0.25">
      <c r="A4144" s="5"/>
      <c r="B4144" s="6"/>
      <c r="C4144" s="6"/>
      <c r="D4144" s="6"/>
      <c r="E4144" s="6"/>
      <c r="G4144" s="3"/>
      <c r="H4144" s="2"/>
    </row>
    <row r="4145" spans="1:8" x14ac:dyDescent="0.25">
      <c r="A4145" s="5"/>
      <c r="B4145" s="6"/>
      <c r="C4145" s="6"/>
      <c r="D4145" s="6"/>
      <c r="E4145" s="6"/>
      <c r="G4145" s="1"/>
      <c r="H4145" s="2"/>
    </row>
    <row r="4146" spans="1:8" x14ac:dyDescent="0.25">
      <c r="A4146" s="5"/>
      <c r="B4146" s="6"/>
      <c r="C4146" s="6"/>
      <c r="D4146" s="6"/>
      <c r="E4146" s="6"/>
      <c r="G4146" s="3"/>
      <c r="H4146" s="2"/>
    </row>
    <row r="4147" spans="1:8" x14ac:dyDescent="0.25">
      <c r="A4147" s="5"/>
      <c r="B4147" s="6"/>
      <c r="C4147" s="6"/>
      <c r="D4147" s="6"/>
      <c r="E4147" s="6"/>
      <c r="G4147" s="1"/>
      <c r="H4147" s="2"/>
    </row>
    <row r="4148" spans="1:8" x14ac:dyDescent="0.25">
      <c r="A4148" s="5"/>
      <c r="B4148" s="6"/>
      <c r="C4148" s="6"/>
      <c r="D4148" s="6"/>
      <c r="E4148" s="6"/>
      <c r="G4148" s="3"/>
      <c r="H4148" s="2"/>
    </row>
    <row r="4149" spans="1:8" x14ac:dyDescent="0.25">
      <c r="A4149" s="5"/>
      <c r="B4149" s="6"/>
      <c r="C4149" s="6"/>
      <c r="D4149" s="6"/>
      <c r="E4149" s="6"/>
      <c r="G4149" s="1"/>
      <c r="H4149" s="2"/>
    </row>
    <row r="4150" spans="1:8" x14ac:dyDescent="0.25">
      <c r="A4150" s="5"/>
      <c r="B4150" s="6"/>
      <c r="C4150" s="6"/>
      <c r="D4150" s="6"/>
      <c r="E4150" s="6"/>
      <c r="G4150" s="3"/>
      <c r="H4150" s="2"/>
    </row>
    <row r="4151" spans="1:8" x14ac:dyDescent="0.25">
      <c r="A4151" s="5"/>
      <c r="B4151" s="6"/>
      <c r="C4151" s="6"/>
      <c r="D4151" s="6"/>
      <c r="E4151" s="6"/>
      <c r="G4151" s="1"/>
      <c r="H4151" s="2"/>
    </row>
    <row r="4152" spans="1:8" x14ac:dyDescent="0.25">
      <c r="A4152" s="5"/>
      <c r="B4152" s="6"/>
      <c r="C4152" s="6"/>
      <c r="D4152" s="6"/>
      <c r="E4152" s="6"/>
      <c r="G4152" s="3"/>
      <c r="H4152" s="2"/>
    </row>
    <row r="4153" spans="1:8" x14ac:dyDescent="0.25">
      <c r="A4153" s="5"/>
      <c r="B4153" s="6"/>
      <c r="C4153" s="6"/>
      <c r="D4153" s="6"/>
      <c r="E4153" s="6"/>
      <c r="G4153" s="1"/>
      <c r="H4153" s="2"/>
    </row>
    <row r="4154" spans="1:8" x14ac:dyDescent="0.25">
      <c r="A4154" s="5"/>
      <c r="B4154" s="6"/>
      <c r="C4154" s="6"/>
      <c r="D4154" s="6"/>
      <c r="E4154" s="6"/>
      <c r="G4154" s="3"/>
      <c r="H4154" s="2"/>
    </row>
    <row r="4155" spans="1:8" x14ac:dyDescent="0.25">
      <c r="A4155" s="5"/>
      <c r="B4155" s="6"/>
      <c r="C4155" s="6"/>
      <c r="D4155" s="6"/>
      <c r="E4155" s="6"/>
      <c r="G4155" s="1"/>
      <c r="H4155" s="2"/>
    </row>
    <row r="4156" spans="1:8" x14ac:dyDescent="0.25">
      <c r="A4156" s="5"/>
      <c r="B4156" s="6"/>
      <c r="C4156" s="6"/>
      <c r="D4156" s="6"/>
      <c r="E4156" s="6"/>
      <c r="G4156" s="3"/>
      <c r="H4156" s="2"/>
    </row>
    <row r="4157" spans="1:8" x14ac:dyDescent="0.25">
      <c r="A4157" s="5"/>
      <c r="B4157" s="6"/>
      <c r="C4157" s="6"/>
      <c r="D4157" s="6"/>
      <c r="E4157" s="6"/>
      <c r="G4157" s="1"/>
      <c r="H4157" s="2"/>
    </row>
    <row r="4158" spans="1:8" x14ac:dyDescent="0.25">
      <c r="A4158" s="5"/>
      <c r="B4158" s="6"/>
      <c r="C4158" s="6"/>
      <c r="D4158" s="6"/>
      <c r="E4158" s="6"/>
      <c r="G4158" s="3"/>
      <c r="H4158" s="2"/>
    </row>
    <row r="4159" spans="1:8" x14ac:dyDescent="0.25">
      <c r="A4159" s="5"/>
      <c r="B4159" s="6"/>
      <c r="C4159" s="6"/>
      <c r="D4159" s="6"/>
      <c r="E4159" s="6"/>
      <c r="G4159" s="1"/>
      <c r="H4159" s="2"/>
    </row>
    <row r="4160" spans="1:8" x14ac:dyDescent="0.25">
      <c r="A4160" s="5"/>
      <c r="B4160" s="6"/>
      <c r="C4160" s="6"/>
      <c r="D4160" s="6"/>
      <c r="E4160" s="6"/>
      <c r="G4160" s="3"/>
      <c r="H4160" s="2"/>
    </row>
    <row r="4161" spans="1:8" x14ac:dyDescent="0.25">
      <c r="A4161" s="5"/>
      <c r="B4161" s="6"/>
      <c r="C4161" s="6"/>
      <c r="D4161" s="6"/>
      <c r="E4161" s="6"/>
      <c r="G4161" s="1"/>
      <c r="H4161" s="2"/>
    </row>
    <row r="4162" spans="1:8" x14ac:dyDescent="0.25">
      <c r="A4162" s="5"/>
      <c r="B4162" s="6"/>
      <c r="C4162" s="6"/>
      <c r="D4162" s="6"/>
      <c r="E4162" s="6"/>
      <c r="G4162" s="3"/>
      <c r="H4162" s="2"/>
    </row>
    <row r="4163" spans="1:8" x14ac:dyDescent="0.25">
      <c r="A4163" s="5"/>
      <c r="B4163" s="6"/>
      <c r="C4163" s="6"/>
      <c r="D4163" s="6"/>
      <c r="E4163" s="6"/>
      <c r="G4163" s="1"/>
      <c r="H4163" s="2"/>
    </row>
    <row r="4164" spans="1:8" x14ac:dyDescent="0.25">
      <c r="A4164" s="5"/>
      <c r="B4164" s="6"/>
      <c r="C4164" s="6"/>
      <c r="D4164" s="6"/>
      <c r="E4164" s="6"/>
      <c r="G4164" s="3"/>
      <c r="H4164" s="2"/>
    </row>
    <row r="4165" spans="1:8" x14ac:dyDescent="0.25">
      <c r="A4165" s="5"/>
      <c r="B4165" s="6"/>
      <c r="C4165" s="6"/>
      <c r="D4165" s="6"/>
      <c r="E4165" s="6"/>
      <c r="G4165" s="1"/>
      <c r="H4165" s="2"/>
    </row>
    <row r="4166" spans="1:8" x14ac:dyDescent="0.25">
      <c r="A4166" s="5"/>
      <c r="B4166" s="6"/>
      <c r="C4166" s="6"/>
      <c r="D4166" s="6"/>
      <c r="E4166" s="6"/>
      <c r="G4166" s="3"/>
      <c r="H4166" s="2"/>
    </row>
    <row r="4167" spans="1:8" x14ac:dyDescent="0.25">
      <c r="A4167" s="5"/>
      <c r="B4167" s="6"/>
      <c r="C4167" s="6"/>
      <c r="D4167" s="6"/>
      <c r="E4167" s="6"/>
      <c r="G4167" s="1"/>
      <c r="H4167" s="2"/>
    </row>
    <row r="4168" spans="1:8" x14ac:dyDescent="0.25">
      <c r="A4168" s="5"/>
      <c r="B4168" s="6"/>
      <c r="C4168" s="6"/>
      <c r="D4168" s="6"/>
      <c r="E4168" s="6"/>
      <c r="G4168" s="3"/>
      <c r="H4168" s="2"/>
    </row>
    <row r="4169" spans="1:8" x14ac:dyDescent="0.25">
      <c r="A4169" s="5"/>
      <c r="B4169" s="6"/>
      <c r="C4169" s="6"/>
      <c r="D4169" s="6"/>
      <c r="E4169" s="6"/>
      <c r="G4169" s="1"/>
      <c r="H4169" s="2"/>
    </row>
    <row r="4170" spans="1:8" x14ac:dyDescent="0.25">
      <c r="A4170" s="5"/>
      <c r="B4170" s="6"/>
      <c r="C4170" s="6"/>
      <c r="D4170" s="6"/>
      <c r="E4170" s="6"/>
      <c r="G4170" s="3"/>
      <c r="H4170" s="2"/>
    </row>
    <row r="4171" spans="1:8" x14ac:dyDescent="0.25">
      <c r="A4171" s="5"/>
      <c r="B4171" s="6"/>
      <c r="C4171" s="6"/>
      <c r="D4171" s="6"/>
      <c r="E4171" s="6"/>
      <c r="G4171" s="1"/>
      <c r="H4171" s="2"/>
    </row>
    <row r="4172" spans="1:8" x14ac:dyDescent="0.25">
      <c r="A4172" s="5"/>
      <c r="B4172" s="6"/>
      <c r="C4172" s="6"/>
      <c r="D4172" s="6"/>
      <c r="E4172" s="6"/>
      <c r="G4172" s="3"/>
      <c r="H4172" s="2"/>
    </row>
    <row r="4173" spans="1:8" x14ac:dyDescent="0.25">
      <c r="A4173" s="5"/>
      <c r="B4173" s="6"/>
      <c r="C4173" s="6"/>
      <c r="D4173" s="6"/>
      <c r="E4173" s="6"/>
      <c r="G4173" s="1"/>
      <c r="H4173" s="2"/>
    </row>
    <row r="4174" spans="1:8" x14ac:dyDescent="0.25">
      <c r="A4174" s="5"/>
      <c r="B4174" s="6"/>
      <c r="C4174" s="6"/>
      <c r="D4174" s="6"/>
      <c r="E4174" s="6"/>
      <c r="G4174" s="3"/>
      <c r="H4174" s="2"/>
    </row>
    <row r="4175" spans="1:8" x14ac:dyDescent="0.25">
      <c r="A4175" s="5"/>
      <c r="B4175" s="6"/>
      <c r="C4175" s="6"/>
      <c r="D4175" s="6"/>
      <c r="E4175" s="6"/>
      <c r="G4175" s="1"/>
      <c r="H4175" s="2"/>
    </row>
    <row r="4176" spans="1:8" x14ac:dyDescent="0.25">
      <c r="A4176" s="5"/>
      <c r="B4176" s="6"/>
      <c r="C4176" s="6"/>
      <c r="D4176" s="6"/>
      <c r="E4176" s="6"/>
      <c r="G4176" s="3"/>
      <c r="H4176" s="2"/>
    </row>
    <row r="4177" spans="1:8" x14ac:dyDescent="0.25">
      <c r="A4177" s="5"/>
      <c r="B4177" s="6"/>
      <c r="C4177" s="6"/>
      <c r="D4177" s="6"/>
      <c r="E4177" s="6"/>
      <c r="G4177" s="1"/>
      <c r="H4177" s="2"/>
    </row>
    <row r="4178" spans="1:8" x14ac:dyDescent="0.25">
      <c r="A4178" s="5"/>
      <c r="B4178" s="6"/>
      <c r="C4178" s="6"/>
      <c r="D4178" s="6"/>
      <c r="E4178" s="6"/>
      <c r="G4178" s="3"/>
      <c r="H4178" s="2"/>
    </row>
    <row r="4179" spans="1:8" x14ac:dyDescent="0.25">
      <c r="A4179" s="5"/>
      <c r="B4179" s="6"/>
      <c r="C4179" s="6"/>
      <c r="D4179" s="6"/>
      <c r="E4179" s="6"/>
      <c r="G4179" s="1"/>
      <c r="H4179" s="2"/>
    </row>
    <row r="4180" spans="1:8" x14ac:dyDescent="0.25">
      <c r="A4180" s="5"/>
      <c r="B4180" s="6"/>
      <c r="C4180" s="6"/>
      <c r="D4180" s="6"/>
      <c r="E4180" s="6"/>
      <c r="G4180" s="3"/>
      <c r="H4180" s="2"/>
    </row>
    <row r="4181" spans="1:8" x14ac:dyDescent="0.25">
      <c r="A4181" s="5"/>
      <c r="B4181" s="6"/>
      <c r="C4181" s="6"/>
      <c r="D4181" s="6"/>
      <c r="E4181" s="6"/>
      <c r="G4181" s="1"/>
      <c r="H4181" s="2"/>
    </row>
    <row r="4182" spans="1:8" x14ac:dyDescent="0.25">
      <c r="A4182" s="5"/>
      <c r="B4182" s="6"/>
      <c r="C4182" s="6"/>
      <c r="D4182" s="6"/>
      <c r="E4182" s="6"/>
      <c r="G4182" s="3"/>
      <c r="H4182" s="2"/>
    </row>
    <row r="4183" spans="1:8" x14ac:dyDescent="0.25">
      <c r="A4183" s="5"/>
      <c r="B4183" s="6"/>
      <c r="C4183" s="6"/>
      <c r="D4183" s="6"/>
      <c r="E4183" s="6"/>
      <c r="G4183" s="1"/>
      <c r="H4183" s="2"/>
    </row>
    <row r="4184" spans="1:8" x14ac:dyDescent="0.25">
      <c r="A4184" s="5"/>
      <c r="B4184" s="6"/>
      <c r="C4184" s="6"/>
      <c r="D4184" s="6"/>
      <c r="E4184" s="6"/>
      <c r="G4184" s="3"/>
      <c r="H4184" s="2"/>
    </row>
    <row r="4185" spans="1:8" x14ac:dyDescent="0.25">
      <c r="A4185" s="5"/>
      <c r="B4185" s="6"/>
      <c r="C4185" s="6"/>
      <c r="D4185" s="6"/>
      <c r="E4185" s="6"/>
      <c r="G4185" s="1"/>
      <c r="H4185" s="2"/>
    </row>
    <row r="4186" spans="1:8" x14ac:dyDescent="0.25">
      <c r="A4186" s="5"/>
      <c r="B4186" s="6"/>
      <c r="C4186" s="6"/>
      <c r="D4186" s="6"/>
      <c r="E4186" s="6"/>
      <c r="G4186" s="3"/>
      <c r="H4186" s="2"/>
    </row>
    <row r="4187" spans="1:8" x14ac:dyDescent="0.25">
      <c r="A4187" s="5"/>
      <c r="B4187" s="6"/>
      <c r="C4187" s="6"/>
      <c r="D4187" s="6"/>
      <c r="E4187" s="6"/>
      <c r="G4187" s="1"/>
      <c r="H4187" s="2"/>
    </row>
    <row r="4188" spans="1:8" x14ac:dyDescent="0.25">
      <c r="A4188" s="5"/>
      <c r="B4188" s="6"/>
      <c r="C4188" s="6"/>
      <c r="D4188" s="6"/>
      <c r="E4188" s="6"/>
      <c r="G4188" s="3"/>
      <c r="H4188" s="2"/>
    </row>
    <row r="4189" spans="1:8" x14ac:dyDescent="0.25">
      <c r="A4189" s="5"/>
      <c r="B4189" s="6"/>
      <c r="C4189" s="6"/>
      <c r="D4189" s="6"/>
      <c r="E4189" s="6"/>
      <c r="G4189" s="1"/>
      <c r="H4189" s="2"/>
    </row>
    <row r="4190" spans="1:8" x14ac:dyDescent="0.25">
      <c r="A4190" s="5"/>
      <c r="B4190" s="6"/>
      <c r="C4190" s="6"/>
      <c r="D4190" s="6"/>
      <c r="E4190" s="6"/>
      <c r="G4190" s="3"/>
      <c r="H4190" s="2"/>
    </row>
    <row r="4191" spans="1:8" x14ac:dyDescent="0.25">
      <c r="A4191" s="5"/>
      <c r="B4191" s="6"/>
      <c r="C4191" s="6"/>
      <c r="D4191" s="6"/>
      <c r="E4191" s="6"/>
      <c r="G4191" s="1"/>
      <c r="H4191" s="2"/>
    </row>
    <row r="4192" spans="1:8" x14ac:dyDescent="0.25">
      <c r="A4192" s="5"/>
      <c r="B4192" s="6"/>
      <c r="C4192" s="6"/>
      <c r="D4192" s="6"/>
      <c r="E4192" s="6"/>
      <c r="G4192" s="3"/>
      <c r="H4192" s="2"/>
    </row>
    <row r="4193" spans="1:8" x14ac:dyDescent="0.25">
      <c r="A4193" s="5"/>
      <c r="B4193" s="6"/>
      <c r="C4193" s="6"/>
      <c r="D4193" s="6"/>
      <c r="E4193" s="6"/>
      <c r="G4193" s="1"/>
      <c r="H4193" s="2"/>
    </row>
    <row r="4194" spans="1:8" x14ac:dyDescent="0.25">
      <c r="A4194" s="5"/>
      <c r="B4194" s="6"/>
      <c r="C4194" s="6"/>
      <c r="D4194" s="6"/>
      <c r="E4194" s="6"/>
      <c r="G4194" s="3"/>
      <c r="H4194" s="2"/>
    </row>
    <row r="4195" spans="1:8" x14ac:dyDescent="0.25">
      <c r="A4195" s="5"/>
      <c r="B4195" s="6"/>
      <c r="C4195" s="6"/>
      <c r="D4195" s="6"/>
      <c r="E4195" s="6"/>
      <c r="G4195" s="1"/>
      <c r="H4195" s="2"/>
    </row>
    <row r="4196" spans="1:8" x14ac:dyDescent="0.25">
      <c r="A4196" s="5"/>
      <c r="B4196" s="6"/>
      <c r="C4196" s="6"/>
      <c r="D4196" s="6"/>
      <c r="E4196" s="6"/>
      <c r="G4196" s="3"/>
      <c r="H4196" s="2"/>
    </row>
    <row r="4197" spans="1:8" x14ac:dyDescent="0.25">
      <c r="A4197" s="5"/>
      <c r="B4197" s="6"/>
      <c r="C4197" s="6"/>
      <c r="D4197" s="6"/>
      <c r="E4197" s="6"/>
      <c r="G4197" s="1"/>
      <c r="H4197" s="2"/>
    </row>
    <row r="4198" spans="1:8" x14ac:dyDescent="0.25">
      <c r="A4198" s="5"/>
      <c r="B4198" s="6"/>
      <c r="C4198" s="6"/>
      <c r="D4198" s="6"/>
      <c r="E4198" s="6"/>
      <c r="G4198" s="3"/>
      <c r="H4198" s="2"/>
    </row>
    <row r="4199" spans="1:8" x14ac:dyDescent="0.25">
      <c r="A4199" s="5"/>
      <c r="B4199" s="6"/>
      <c r="C4199" s="6"/>
      <c r="D4199" s="6"/>
      <c r="E4199" s="6"/>
      <c r="G4199" s="1"/>
      <c r="H4199" s="2"/>
    </row>
    <row r="4200" spans="1:8" x14ac:dyDescent="0.25">
      <c r="A4200" s="5"/>
      <c r="B4200" s="6"/>
      <c r="C4200" s="6"/>
      <c r="D4200" s="6"/>
      <c r="E4200" s="6"/>
      <c r="G4200" s="3"/>
      <c r="H4200" s="2"/>
    </row>
    <row r="4201" spans="1:8" x14ac:dyDescent="0.25">
      <c r="A4201" s="5"/>
      <c r="B4201" s="6"/>
      <c r="C4201" s="6"/>
      <c r="D4201" s="6"/>
      <c r="E4201" s="6"/>
      <c r="G4201" s="1"/>
      <c r="H4201" s="2"/>
    </row>
    <row r="4202" spans="1:8" x14ac:dyDescent="0.25">
      <c r="A4202" s="5"/>
      <c r="B4202" s="6"/>
      <c r="C4202" s="6"/>
      <c r="D4202" s="6"/>
      <c r="E4202" s="6"/>
      <c r="G4202" s="3"/>
      <c r="H4202" s="2"/>
    </row>
    <row r="4203" spans="1:8" x14ac:dyDescent="0.25">
      <c r="A4203" s="5"/>
      <c r="B4203" s="6"/>
      <c r="C4203" s="6"/>
      <c r="D4203" s="6"/>
      <c r="E4203" s="6"/>
      <c r="G4203" s="1"/>
      <c r="H4203" s="2"/>
    </row>
    <row r="4204" spans="1:8" x14ac:dyDescent="0.25">
      <c r="A4204" s="5"/>
      <c r="B4204" s="6"/>
      <c r="C4204" s="6"/>
      <c r="D4204" s="6"/>
      <c r="E4204" s="6"/>
      <c r="G4204" s="3"/>
      <c r="H4204" s="2"/>
    </row>
    <row r="4205" spans="1:8" x14ac:dyDescent="0.25">
      <c r="A4205" s="5"/>
      <c r="B4205" s="6"/>
      <c r="C4205" s="6"/>
      <c r="D4205" s="6"/>
      <c r="E4205" s="6"/>
      <c r="G4205" s="1"/>
      <c r="H4205" s="2"/>
    </row>
    <row r="4206" spans="1:8" x14ac:dyDescent="0.25">
      <c r="A4206" s="5"/>
      <c r="B4206" s="6"/>
      <c r="C4206" s="6"/>
      <c r="D4206" s="6"/>
      <c r="E4206" s="6"/>
      <c r="G4206" s="3"/>
      <c r="H4206" s="2"/>
    </row>
    <row r="4207" spans="1:8" x14ac:dyDescent="0.25">
      <c r="A4207" s="5"/>
      <c r="B4207" s="6"/>
      <c r="C4207" s="6"/>
      <c r="D4207" s="6"/>
      <c r="E4207" s="6"/>
      <c r="G4207" s="1"/>
      <c r="H4207" s="2"/>
    </row>
    <row r="4208" spans="1:8" x14ac:dyDescent="0.25">
      <c r="A4208" s="5"/>
      <c r="B4208" s="6"/>
      <c r="C4208" s="6"/>
      <c r="D4208" s="6"/>
      <c r="E4208" s="6"/>
      <c r="G4208" s="3"/>
      <c r="H4208" s="2"/>
    </row>
    <row r="4209" spans="1:8" x14ac:dyDescent="0.25">
      <c r="A4209" s="5"/>
      <c r="B4209" s="6"/>
      <c r="C4209" s="6"/>
      <c r="D4209" s="6"/>
      <c r="E4209" s="6"/>
      <c r="G4209" s="1"/>
      <c r="H4209" s="2"/>
    </row>
    <row r="4210" spans="1:8" x14ac:dyDescent="0.25">
      <c r="A4210" s="5"/>
      <c r="B4210" s="6"/>
      <c r="C4210" s="6"/>
      <c r="D4210" s="6"/>
      <c r="E4210" s="6"/>
      <c r="G4210" s="3"/>
      <c r="H4210" s="2"/>
    </row>
    <row r="4211" spans="1:8" x14ac:dyDescent="0.25">
      <c r="A4211" s="5"/>
      <c r="B4211" s="6"/>
      <c r="C4211" s="6"/>
      <c r="D4211" s="6"/>
      <c r="E4211" s="6"/>
      <c r="G4211" s="1"/>
      <c r="H4211" s="2"/>
    </row>
    <row r="4212" spans="1:8" x14ac:dyDescent="0.25">
      <c r="A4212" s="5"/>
      <c r="B4212" s="6"/>
      <c r="C4212" s="6"/>
      <c r="D4212" s="6"/>
      <c r="E4212" s="6"/>
      <c r="G4212" s="3"/>
      <c r="H4212" s="2"/>
    </row>
    <row r="4213" spans="1:8" x14ac:dyDescent="0.25">
      <c r="A4213" s="5"/>
      <c r="B4213" s="6"/>
      <c r="C4213" s="6"/>
      <c r="D4213" s="6"/>
      <c r="E4213" s="6"/>
      <c r="G4213" s="1"/>
      <c r="H4213" s="2"/>
    </row>
    <row r="4214" spans="1:8" x14ac:dyDescent="0.25">
      <c r="A4214" s="5"/>
      <c r="B4214" s="6"/>
      <c r="C4214" s="6"/>
      <c r="D4214" s="6"/>
      <c r="E4214" s="6"/>
      <c r="G4214" s="3"/>
      <c r="H4214" s="2"/>
    </row>
    <row r="4215" spans="1:8" x14ac:dyDescent="0.25">
      <c r="A4215" s="5"/>
      <c r="B4215" s="6"/>
      <c r="C4215" s="6"/>
      <c r="D4215" s="6"/>
      <c r="E4215" s="6"/>
      <c r="G4215" s="1"/>
      <c r="H4215" s="2"/>
    </row>
    <row r="4216" spans="1:8" x14ac:dyDescent="0.25">
      <c r="A4216" s="5"/>
      <c r="B4216" s="6"/>
      <c r="C4216" s="6"/>
      <c r="D4216" s="6"/>
      <c r="E4216" s="6"/>
      <c r="G4216" s="3"/>
      <c r="H4216" s="2"/>
    </row>
    <row r="4217" spans="1:8" x14ac:dyDescent="0.25">
      <c r="A4217" s="5"/>
      <c r="B4217" s="6"/>
      <c r="C4217" s="6"/>
      <c r="D4217" s="6"/>
      <c r="E4217" s="6"/>
      <c r="G4217" s="1"/>
      <c r="H4217" s="2"/>
    </row>
    <row r="4218" spans="1:8" x14ac:dyDescent="0.25">
      <c r="A4218" s="5"/>
      <c r="B4218" s="6"/>
      <c r="C4218" s="6"/>
      <c r="D4218" s="6"/>
      <c r="E4218" s="6"/>
      <c r="G4218" s="3"/>
      <c r="H4218" s="2"/>
    </row>
    <row r="4219" spans="1:8" x14ac:dyDescent="0.25">
      <c r="A4219" s="5"/>
      <c r="B4219" s="6"/>
      <c r="C4219" s="6"/>
      <c r="D4219" s="6"/>
      <c r="E4219" s="6"/>
      <c r="G4219" s="1"/>
      <c r="H4219" s="2"/>
    </row>
    <row r="4220" spans="1:8" x14ac:dyDescent="0.25">
      <c r="A4220" s="5"/>
      <c r="B4220" s="6"/>
      <c r="C4220" s="6"/>
      <c r="D4220" s="6"/>
      <c r="E4220" s="6"/>
      <c r="G4220" s="3"/>
      <c r="H4220" s="2"/>
    </row>
    <row r="4221" spans="1:8" x14ac:dyDescent="0.25">
      <c r="A4221" s="5"/>
      <c r="B4221" s="6"/>
      <c r="C4221" s="6"/>
      <c r="D4221" s="6"/>
      <c r="E4221" s="6"/>
      <c r="G4221" s="1"/>
      <c r="H4221" s="2"/>
    </row>
    <row r="4222" spans="1:8" x14ac:dyDescent="0.25">
      <c r="A4222" s="5"/>
      <c r="B4222" s="6"/>
      <c r="C4222" s="6"/>
      <c r="D4222" s="6"/>
      <c r="E4222" s="6"/>
      <c r="G4222" s="3"/>
      <c r="H4222" s="2"/>
    </row>
    <row r="4223" spans="1:8" x14ac:dyDescent="0.25">
      <c r="A4223" s="5"/>
      <c r="B4223" s="6"/>
      <c r="C4223" s="6"/>
      <c r="D4223" s="6"/>
      <c r="E4223" s="6"/>
      <c r="G4223" s="1"/>
      <c r="H4223" s="2"/>
    </row>
    <row r="4224" spans="1:8" x14ac:dyDescent="0.25">
      <c r="A4224" s="5"/>
      <c r="B4224" s="6"/>
      <c r="C4224" s="6"/>
      <c r="D4224" s="6"/>
      <c r="E4224" s="6"/>
      <c r="G4224" s="3"/>
      <c r="H4224" s="2"/>
    </row>
    <row r="4225" spans="1:8" x14ac:dyDescent="0.25">
      <c r="A4225" s="5"/>
      <c r="B4225" s="6"/>
      <c r="C4225" s="6"/>
      <c r="D4225" s="6"/>
      <c r="E4225" s="6"/>
      <c r="G4225" s="1"/>
      <c r="H4225" s="2"/>
    </row>
    <row r="4226" spans="1:8" x14ac:dyDescent="0.25">
      <c r="A4226" s="5"/>
      <c r="B4226" s="6"/>
      <c r="C4226" s="6"/>
      <c r="D4226" s="6"/>
      <c r="E4226" s="6"/>
      <c r="G4226" s="3"/>
      <c r="H4226" s="2"/>
    </row>
    <row r="4227" spans="1:8" x14ac:dyDescent="0.25">
      <c r="A4227" s="5"/>
      <c r="B4227" s="6"/>
      <c r="C4227" s="6"/>
      <c r="D4227" s="6"/>
      <c r="E4227" s="6"/>
      <c r="G4227" s="1"/>
      <c r="H4227" s="2"/>
    </row>
    <row r="4228" spans="1:8" x14ac:dyDescent="0.25">
      <c r="A4228" s="5"/>
      <c r="B4228" s="6"/>
      <c r="C4228" s="6"/>
      <c r="D4228" s="6"/>
      <c r="E4228" s="6"/>
      <c r="G4228" s="3"/>
      <c r="H4228" s="2"/>
    </row>
    <row r="4229" spans="1:8" x14ac:dyDescent="0.25">
      <c r="A4229" s="5"/>
      <c r="B4229" s="6"/>
      <c r="C4229" s="6"/>
      <c r="D4229" s="6"/>
      <c r="E4229" s="6"/>
      <c r="G4229" s="1"/>
      <c r="H4229" s="2"/>
    </row>
    <row r="4230" spans="1:8" x14ac:dyDescent="0.25">
      <c r="A4230" s="5"/>
      <c r="B4230" s="6"/>
      <c r="C4230" s="6"/>
      <c r="D4230" s="6"/>
      <c r="E4230" s="6"/>
      <c r="G4230" s="3"/>
      <c r="H4230" s="2"/>
    </row>
    <row r="4231" spans="1:8" x14ac:dyDescent="0.25">
      <c r="A4231" s="5"/>
      <c r="B4231" s="6"/>
      <c r="C4231" s="6"/>
      <c r="D4231" s="6"/>
      <c r="E4231" s="6"/>
      <c r="G4231" s="1"/>
      <c r="H4231" s="2"/>
    </row>
    <row r="4232" spans="1:8" x14ac:dyDescent="0.25">
      <c r="A4232" s="5"/>
      <c r="B4232" s="6"/>
      <c r="C4232" s="6"/>
      <c r="D4232" s="6"/>
      <c r="E4232" s="6"/>
      <c r="G4232" s="3"/>
      <c r="H4232" s="2"/>
    </row>
    <row r="4233" spans="1:8" x14ac:dyDescent="0.25">
      <c r="A4233" s="5"/>
      <c r="B4233" s="6"/>
      <c r="C4233" s="6"/>
      <c r="D4233" s="6"/>
      <c r="E4233" s="6"/>
      <c r="G4233" s="1"/>
      <c r="H4233" s="2"/>
    </row>
    <row r="4234" spans="1:8" x14ac:dyDescent="0.25">
      <c r="A4234" s="5"/>
      <c r="B4234" s="6"/>
      <c r="C4234" s="6"/>
      <c r="D4234" s="6"/>
      <c r="E4234" s="6"/>
      <c r="G4234" s="3"/>
      <c r="H4234" s="2"/>
    </row>
    <row r="4235" spans="1:8" x14ac:dyDescent="0.25">
      <c r="A4235" s="5"/>
      <c r="B4235" s="6"/>
      <c r="C4235" s="6"/>
      <c r="D4235" s="6"/>
      <c r="E4235" s="6"/>
      <c r="G4235" s="1"/>
      <c r="H4235" s="2"/>
    </row>
    <row r="4236" spans="1:8" x14ac:dyDescent="0.25">
      <c r="A4236" s="5"/>
      <c r="B4236" s="6"/>
      <c r="C4236" s="6"/>
      <c r="D4236" s="6"/>
      <c r="E4236" s="6"/>
      <c r="G4236" s="3"/>
      <c r="H4236" s="2"/>
    </row>
    <row r="4237" spans="1:8" x14ac:dyDescent="0.25">
      <c r="A4237" s="5"/>
      <c r="B4237" s="6"/>
      <c r="C4237" s="6"/>
      <c r="D4237" s="6"/>
      <c r="E4237" s="6"/>
      <c r="G4237" s="1"/>
      <c r="H4237" s="2"/>
    </row>
    <row r="4238" spans="1:8" x14ac:dyDescent="0.25">
      <c r="A4238" s="5"/>
      <c r="B4238" s="6"/>
      <c r="C4238" s="6"/>
      <c r="D4238" s="6"/>
      <c r="E4238" s="6"/>
      <c r="G4238" s="3"/>
      <c r="H4238" s="2"/>
    </row>
    <row r="4239" spans="1:8" x14ac:dyDescent="0.25">
      <c r="A4239" s="5"/>
      <c r="B4239" s="6"/>
      <c r="C4239" s="6"/>
      <c r="D4239" s="6"/>
      <c r="E4239" s="6"/>
      <c r="G4239" s="1"/>
      <c r="H4239" s="2"/>
    </row>
    <row r="4240" spans="1:8" x14ac:dyDescent="0.25">
      <c r="A4240" s="5"/>
      <c r="B4240" s="6"/>
      <c r="C4240" s="6"/>
      <c r="D4240" s="6"/>
      <c r="E4240" s="6"/>
      <c r="G4240" s="3"/>
      <c r="H4240" s="2"/>
    </row>
    <row r="4241" spans="1:8" x14ac:dyDescent="0.25">
      <c r="A4241" s="5"/>
      <c r="B4241" s="6"/>
      <c r="C4241" s="6"/>
      <c r="D4241" s="6"/>
      <c r="E4241" s="6"/>
      <c r="G4241" s="1"/>
      <c r="H4241" s="2"/>
    </row>
    <row r="4242" spans="1:8" x14ac:dyDescent="0.25">
      <c r="A4242" s="5"/>
      <c r="B4242" s="6"/>
      <c r="C4242" s="6"/>
      <c r="D4242" s="6"/>
      <c r="E4242" s="6"/>
      <c r="G4242" s="3"/>
      <c r="H4242" s="2"/>
    </row>
    <row r="4243" spans="1:8" x14ac:dyDescent="0.25">
      <c r="A4243" s="5"/>
      <c r="B4243" s="6"/>
      <c r="C4243" s="6"/>
      <c r="D4243" s="6"/>
      <c r="E4243" s="6"/>
      <c r="G4243" s="1"/>
      <c r="H4243" s="2"/>
    </row>
    <row r="4244" spans="1:8" x14ac:dyDescent="0.25">
      <c r="A4244" s="5"/>
      <c r="B4244" s="6"/>
      <c r="C4244" s="6"/>
      <c r="D4244" s="6"/>
      <c r="E4244" s="6"/>
      <c r="G4244" s="3"/>
      <c r="H4244" s="2"/>
    </row>
    <row r="4245" spans="1:8" x14ac:dyDescent="0.25">
      <c r="A4245" s="5"/>
      <c r="B4245" s="6"/>
      <c r="C4245" s="6"/>
      <c r="D4245" s="6"/>
      <c r="E4245" s="6"/>
      <c r="G4245" s="1"/>
      <c r="H4245" s="2"/>
    </row>
    <row r="4246" spans="1:8" x14ac:dyDescent="0.25">
      <c r="A4246" s="5"/>
      <c r="B4246" s="6"/>
      <c r="C4246" s="6"/>
      <c r="D4246" s="6"/>
      <c r="E4246" s="6"/>
      <c r="G4246" s="3"/>
      <c r="H4246" s="2"/>
    </row>
    <row r="4247" spans="1:8" x14ac:dyDescent="0.25">
      <c r="A4247" s="5"/>
      <c r="B4247" s="6"/>
      <c r="C4247" s="6"/>
      <c r="D4247" s="6"/>
      <c r="E4247" s="6"/>
      <c r="G4247" s="1"/>
      <c r="H4247" s="2"/>
    </row>
    <row r="4248" spans="1:8" x14ac:dyDescent="0.25">
      <c r="A4248" s="5"/>
      <c r="B4248" s="6"/>
      <c r="C4248" s="6"/>
      <c r="D4248" s="6"/>
      <c r="E4248" s="6"/>
      <c r="G4248" s="3"/>
      <c r="H4248" s="2"/>
    </row>
    <row r="4249" spans="1:8" x14ac:dyDescent="0.25">
      <c r="A4249" s="5"/>
      <c r="B4249" s="6"/>
      <c r="C4249" s="6"/>
      <c r="D4249" s="6"/>
      <c r="E4249" s="6"/>
      <c r="G4249" s="1"/>
      <c r="H4249" s="2"/>
    </row>
    <row r="4250" spans="1:8" x14ac:dyDescent="0.25">
      <c r="A4250" s="5"/>
      <c r="B4250" s="6"/>
      <c r="C4250" s="6"/>
      <c r="D4250" s="6"/>
      <c r="E4250" s="6"/>
      <c r="G4250" s="3"/>
      <c r="H4250" s="2"/>
    </row>
    <row r="4251" spans="1:8" x14ac:dyDescent="0.25">
      <c r="A4251" s="5"/>
      <c r="B4251" s="6"/>
      <c r="C4251" s="6"/>
      <c r="D4251" s="6"/>
      <c r="E4251" s="6"/>
      <c r="G4251" s="1"/>
      <c r="H4251" s="2"/>
    </row>
    <row r="4252" spans="1:8" x14ac:dyDescent="0.25">
      <c r="A4252" s="5"/>
      <c r="B4252" s="6"/>
      <c r="C4252" s="6"/>
      <c r="D4252" s="6"/>
      <c r="E4252" s="6"/>
      <c r="G4252" s="3"/>
      <c r="H4252" s="2"/>
    </row>
    <row r="4253" spans="1:8" x14ac:dyDescent="0.25">
      <c r="A4253" s="5"/>
      <c r="B4253" s="6"/>
      <c r="C4253" s="6"/>
      <c r="D4253" s="6"/>
      <c r="E4253" s="6"/>
      <c r="G4253" s="1"/>
      <c r="H4253" s="2"/>
    </row>
    <row r="4254" spans="1:8" x14ac:dyDescent="0.25">
      <c r="A4254" s="5"/>
      <c r="B4254" s="6"/>
      <c r="C4254" s="6"/>
      <c r="D4254" s="6"/>
      <c r="E4254" s="6"/>
      <c r="G4254" s="3"/>
      <c r="H4254" s="2"/>
    </row>
    <row r="4255" spans="1:8" x14ac:dyDescent="0.25">
      <c r="A4255" s="5"/>
      <c r="B4255" s="6"/>
      <c r="C4255" s="6"/>
      <c r="D4255" s="6"/>
      <c r="E4255" s="6"/>
      <c r="G4255" s="1"/>
      <c r="H4255" s="2"/>
    </row>
    <row r="4256" spans="1:8" x14ac:dyDescent="0.25">
      <c r="A4256" s="5"/>
      <c r="B4256" s="6"/>
      <c r="C4256" s="6"/>
      <c r="D4256" s="6"/>
      <c r="E4256" s="6"/>
      <c r="G4256" s="3"/>
      <c r="H4256" s="2"/>
    </row>
    <row r="4257" spans="1:8" x14ac:dyDescent="0.25">
      <c r="A4257" s="5"/>
      <c r="B4257" s="6"/>
      <c r="C4257" s="6"/>
      <c r="D4257" s="6"/>
      <c r="E4257" s="6"/>
      <c r="G4257" s="1"/>
      <c r="H4257" s="2"/>
    </row>
    <row r="4258" spans="1:8" x14ac:dyDescent="0.25">
      <c r="A4258" s="5"/>
      <c r="B4258" s="6"/>
      <c r="C4258" s="6"/>
      <c r="D4258" s="6"/>
      <c r="E4258" s="6"/>
      <c r="G4258" s="3"/>
      <c r="H4258" s="2"/>
    </row>
    <row r="4259" spans="1:8" x14ac:dyDescent="0.25">
      <c r="A4259" s="5"/>
      <c r="B4259" s="6"/>
      <c r="C4259" s="6"/>
      <c r="D4259" s="6"/>
      <c r="E4259" s="6"/>
      <c r="G4259" s="1"/>
      <c r="H4259" s="2"/>
    </row>
    <row r="4260" spans="1:8" x14ac:dyDescent="0.25">
      <c r="A4260" s="5"/>
      <c r="B4260" s="6"/>
      <c r="C4260" s="6"/>
      <c r="D4260" s="6"/>
      <c r="E4260" s="6"/>
      <c r="G4260" s="3"/>
      <c r="H4260" s="2"/>
    </row>
    <row r="4261" spans="1:8" x14ac:dyDescent="0.25">
      <c r="A4261" s="5"/>
      <c r="B4261" s="6"/>
      <c r="C4261" s="6"/>
      <c r="D4261" s="6"/>
      <c r="E4261" s="6"/>
      <c r="G4261" s="1"/>
      <c r="H4261" s="2"/>
    </row>
    <row r="4262" spans="1:8" x14ac:dyDescent="0.25">
      <c r="A4262" s="5"/>
      <c r="B4262" s="6"/>
      <c r="C4262" s="6"/>
      <c r="D4262" s="6"/>
      <c r="E4262" s="6"/>
      <c r="G4262" s="3"/>
      <c r="H4262" s="2"/>
    </row>
    <row r="4263" spans="1:8" x14ac:dyDescent="0.25">
      <c r="A4263" s="5"/>
      <c r="B4263" s="6"/>
      <c r="C4263" s="6"/>
      <c r="D4263" s="6"/>
      <c r="E4263" s="6"/>
      <c r="G4263" s="1"/>
      <c r="H4263" s="2"/>
    </row>
    <row r="4264" spans="1:8" x14ac:dyDescent="0.25">
      <c r="A4264" s="5"/>
      <c r="B4264" s="6"/>
      <c r="C4264" s="6"/>
      <c r="D4264" s="6"/>
      <c r="E4264" s="6"/>
      <c r="G4264" s="3"/>
      <c r="H4264" s="2"/>
    </row>
    <row r="4265" spans="1:8" x14ac:dyDescent="0.25">
      <c r="A4265" s="5"/>
      <c r="B4265" s="6"/>
      <c r="C4265" s="6"/>
      <c r="D4265" s="6"/>
      <c r="E4265" s="6"/>
      <c r="G4265" s="1"/>
      <c r="H4265" s="2"/>
    </row>
    <row r="4266" spans="1:8" x14ac:dyDescent="0.25">
      <c r="A4266" s="5"/>
      <c r="B4266" s="6"/>
      <c r="C4266" s="6"/>
      <c r="D4266" s="6"/>
      <c r="E4266" s="6"/>
      <c r="G4266" s="3"/>
      <c r="H4266" s="2"/>
    </row>
    <row r="4267" spans="1:8" x14ac:dyDescent="0.25">
      <c r="A4267" s="5"/>
      <c r="B4267" s="6"/>
      <c r="C4267" s="6"/>
      <c r="D4267" s="6"/>
      <c r="E4267" s="6"/>
      <c r="G4267" s="1"/>
      <c r="H4267" s="2"/>
    </row>
    <row r="4268" spans="1:8" x14ac:dyDescent="0.25">
      <c r="A4268" s="5"/>
      <c r="B4268" s="6"/>
      <c r="C4268" s="6"/>
      <c r="D4268" s="6"/>
      <c r="E4268" s="6"/>
      <c r="G4268" s="3"/>
      <c r="H4268" s="2"/>
    </row>
    <row r="4269" spans="1:8" x14ac:dyDescent="0.25">
      <c r="A4269" s="5"/>
      <c r="B4269" s="6"/>
      <c r="C4269" s="6"/>
      <c r="D4269" s="6"/>
      <c r="E4269" s="6"/>
      <c r="G4269" s="1"/>
      <c r="H4269" s="2"/>
    </row>
    <row r="4270" spans="1:8" x14ac:dyDescent="0.25">
      <c r="A4270" s="5"/>
      <c r="B4270" s="6"/>
      <c r="C4270" s="6"/>
      <c r="D4270" s="6"/>
      <c r="E4270" s="6"/>
      <c r="G4270" s="3"/>
      <c r="H4270" s="2"/>
    </row>
    <row r="4271" spans="1:8" x14ac:dyDescent="0.25">
      <c r="A4271" s="5"/>
      <c r="B4271" s="6"/>
      <c r="C4271" s="6"/>
      <c r="D4271" s="6"/>
      <c r="E4271" s="6"/>
      <c r="G4271" s="1"/>
      <c r="H4271" s="2"/>
    </row>
    <row r="4272" spans="1:8" x14ac:dyDescent="0.25">
      <c r="A4272" s="5"/>
      <c r="B4272" s="6"/>
      <c r="C4272" s="6"/>
      <c r="D4272" s="6"/>
      <c r="E4272" s="6"/>
      <c r="G4272" s="3"/>
      <c r="H4272" s="2"/>
    </row>
    <row r="4273" spans="1:8" x14ac:dyDescent="0.25">
      <c r="A4273" s="5"/>
      <c r="B4273" s="6"/>
      <c r="C4273" s="6"/>
      <c r="D4273" s="6"/>
      <c r="E4273" s="6"/>
      <c r="G4273" s="1"/>
      <c r="H4273" s="2"/>
    </row>
    <row r="4274" spans="1:8" x14ac:dyDescent="0.25">
      <c r="A4274" s="5"/>
      <c r="B4274" s="6"/>
      <c r="C4274" s="6"/>
      <c r="D4274" s="6"/>
      <c r="E4274" s="6"/>
      <c r="G4274" s="3"/>
      <c r="H4274" s="2"/>
    </row>
    <row r="4275" spans="1:8" x14ac:dyDescent="0.25">
      <c r="A4275" s="5"/>
      <c r="B4275" s="6"/>
      <c r="C4275" s="6"/>
      <c r="D4275" s="6"/>
      <c r="E4275" s="6"/>
      <c r="G4275" s="1"/>
      <c r="H4275" s="2"/>
    </row>
    <row r="4276" spans="1:8" x14ac:dyDescent="0.25">
      <c r="A4276" s="5"/>
      <c r="B4276" s="6"/>
      <c r="C4276" s="6"/>
      <c r="D4276" s="6"/>
      <c r="E4276" s="6"/>
      <c r="G4276" s="3"/>
      <c r="H4276" s="2"/>
    </row>
    <row r="4277" spans="1:8" x14ac:dyDescent="0.25">
      <c r="A4277" s="5"/>
      <c r="B4277" s="6"/>
      <c r="C4277" s="6"/>
      <c r="D4277" s="6"/>
      <c r="E4277" s="6"/>
      <c r="G4277" s="1"/>
      <c r="H4277" s="2"/>
    </row>
    <row r="4278" spans="1:8" x14ac:dyDescent="0.25">
      <c r="A4278" s="5"/>
      <c r="B4278" s="6"/>
      <c r="C4278" s="6"/>
      <c r="D4278" s="6"/>
      <c r="E4278" s="6"/>
      <c r="G4278" s="3"/>
      <c r="H4278" s="2"/>
    </row>
    <row r="4279" spans="1:8" x14ac:dyDescent="0.25">
      <c r="A4279" s="5"/>
      <c r="B4279" s="6"/>
      <c r="C4279" s="6"/>
      <c r="D4279" s="6"/>
      <c r="E4279" s="6"/>
      <c r="G4279" s="1"/>
      <c r="H4279" s="2"/>
    </row>
    <row r="4280" spans="1:8" x14ac:dyDescent="0.25">
      <c r="A4280" s="5"/>
      <c r="B4280" s="6"/>
      <c r="C4280" s="6"/>
      <c r="D4280" s="6"/>
      <c r="E4280" s="6"/>
      <c r="G4280" s="3"/>
      <c r="H4280" s="2"/>
    </row>
    <row r="4281" spans="1:8" x14ac:dyDescent="0.25">
      <c r="A4281" s="5"/>
      <c r="B4281" s="6"/>
      <c r="C4281" s="6"/>
      <c r="D4281" s="6"/>
      <c r="E4281" s="6"/>
      <c r="G4281" s="1"/>
      <c r="H4281" s="2"/>
    </row>
    <row r="4282" spans="1:8" x14ac:dyDescent="0.25">
      <c r="A4282" s="5"/>
      <c r="B4282" s="6"/>
      <c r="C4282" s="6"/>
      <c r="D4282" s="6"/>
      <c r="E4282" s="6"/>
      <c r="G4282" s="3"/>
      <c r="H4282" s="2"/>
    </row>
    <row r="4283" spans="1:8" x14ac:dyDescent="0.25">
      <c r="A4283" s="5"/>
      <c r="B4283" s="6"/>
      <c r="C4283" s="6"/>
      <c r="D4283" s="6"/>
      <c r="E4283" s="6"/>
      <c r="G4283" s="1"/>
      <c r="H4283" s="2"/>
    </row>
    <row r="4284" spans="1:8" x14ac:dyDescent="0.25">
      <c r="A4284" s="5"/>
      <c r="B4284" s="6"/>
      <c r="C4284" s="6"/>
      <c r="D4284" s="6"/>
      <c r="E4284" s="6"/>
      <c r="G4284" s="3"/>
      <c r="H4284" s="2"/>
    </row>
    <row r="4285" spans="1:8" x14ac:dyDescent="0.25">
      <c r="A4285" s="5"/>
      <c r="B4285" s="6"/>
      <c r="C4285" s="6"/>
      <c r="D4285" s="6"/>
      <c r="E4285" s="6"/>
      <c r="G4285" s="1"/>
      <c r="H4285" s="2"/>
    </row>
    <row r="4286" spans="1:8" x14ac:dyDescent="0.25">
      <c r="A4286" s="5"/>
      <c r="B4286" s="6"/>
      <c r="C4286" s="6"/>
      <c r="D4286" s="6"/>
      <c r="E4286" s="6"/>
      <c r="G4286" s="3"/>
      <c r="H4286" s="2"/>
    </row>
    <row r="4287" spans="1:8" x14ac:dyDescent="0.25">
      <c r="A4287" s="5"/>
      <c r="B4287" s="6"/>
      <c r="C4287" s="6"/>
      <c r="D4287" s="6"/>
      <c r="E4287" s="6"/>
      <c r="G4287" s="1"/>
      <c r="H4287" s="2"/>
    </row>
    <row r="4288" spans="1:8" x14ac:dyDescent="0.25">
      <c r="A4288" s="5"/>
      <c r="B4288" s="6"/>
      <c r="C4288" s="6"/>
      <c r="D4288" s="6"/>
      <c r="E4288" s="6"/>
      <c r="G4288" s="3"/>
      <c r="H4288" s="2"/>
    </row>
    <row r="4289" spans="1:8" x14ac:dyDescent="0.25">
      <c r="A4289" s="5"/>
      <c r="B4289" s="6"/>
      <c r="C4289" s="6"/>
      <c r="D4289" s="6"/>
      <c r="E4289" s="6"/>
      <c r="G4289" s="1"/>
      <c r="H4289" s="2"/>
    </row>
    <row r="4290" spans="1:8" x14ac:dyDescent="0.25">
      <c r="A4290" s="5"/>
      <c r="B4290" s="6"/>
      <c r="C4290" s="6"/>
      <c r="D4290" s="6"/>
      <c r="E4290" s="6"/>
      <c r="G4290" s="3"/>
      <c r="H4290" s="2"/>
    </row>
    <row r="4291" spans="1:8" x14ac:dyDescent="0.25">
      <c r="A4291" s="5"/>
      <c r="B4291" s="6"/>
      <c r="C4291" s="6"/>
      <c r="D4291" s="6"/>
      <c r="E4291" s="6"/>
      <c r="G4291" s="1"/>
      <c r="H4291" s="2"/>
    </row>
    <row r="4292" spans="1:8" x14ac:dyDescent="0.25">
      <c r="A4292" s="5"/>
      <c r="B4292" s="6"/>
      <c r="C4292" s="6"/>
      <c r="D4292" s="6"/>
      <c r="E4292" s="6"/>
      <c r="G4292" s="3"/>
      <c r="H4292" s="2"/>
    </row>
    <row r="4293" spans="1:8" x14ac:dyDescent="0.25">
      <c r="A4293" s="5"/>
      <c r="B4293" s="6"/>
      <c r="C4293" s="6"/>
      <c r="D4293" s="6"/>
      <c r="E4293" s="6"/>
      <c r="G4293" s="1"/>
      <c r="H4293" s="2"/>
    </row>
    <row r="4294" spans="1:8" x14ac:dyDescent="0.25">
      <c r="A4294" s="5"/>
      <c r="B4294" s="6"/>
      <c r="C4294" s="6"/>
      <c r="D4294" s="6"/>
      <c r="E4294" s="6"/>
      <c r="G4294" s="3"/>
      <c r="H4294" s="2"/>
    </row>
    <row r="4295" spans="1:8" x14ac:dyDescent="0.25">
      <c r="A4295" s="5"/>
      <c r="B4295" s="6"/>
      <c r="C4295" s="6"/>
      <c r="D4295" s="6"/>
      <c r="E4295" s="6"/>
      <c r="G4295" s="1"/>
      <c r="H4295" s="2"/>
    </row>
    <row r="4296" spans="1:8" x14ac:dyDescent="0.25">
      <c r="A4296" s="5"/>
      <c r="B4296" s="6"/>
      <c r="C4296" s="6"/>
      <c r="D4296" s="6"/>
      <c r="E4296" s="6"/>
      <c r="G4296" s="3"/>
      <c r="H4296" s="2"/>
    </row>
    <row r="4297" spans="1:8" x14ac:dyDescent="0.25">
      <c r="A4297" s="5"/>
      <c r="B4297" s="6"/>
      <c r="C4297" s="6"/>
      <c r="D4297" s="6"/>
      <c r="E4297" s="6"/>
      <c r="G4297" s="1"/>
      <c r="H4297" s="2"/>
    </row>
    <row r="4298" spans="1:8" x14ac:dyDescent="0.25">
      <c r="A4298" s="5"/>
      <c r="B4298" s="6"/>
      <c r="C4298" s="6"/>
      <c r="D4298" s="6"/>
      <c r="E4298" s="6"/>
      <c r="G4298" s="3"/>
      <c r="H4298" s="2"/>
    </row>
    <row r="4299" spans="1:8" x14ac:dyDescent="0.25">
      <c r="A4299" s="5"/>
      <c r="B4299" s="6"/>
      <c r="C4299" s="6"/>
      <c r="D4299" s="6"/>
      <c r="E4299" s="6"/>
      <c r="G4299" s="1"/>
      <c r="H4299" s="2"/>
    </row>
    <row r="4300" spans="1:8" x14ac:dyDescent="0.25">
      <c r="A4300" s="5"/>
      <c r="B4300" s="6"/>
      <c r="C4300" s="6"/>
      <c r="D4300" s="6"/>
      <c r="E4300" s="6"/>
      <c r="G4300" s="3"/>
      <c r="H4300" s="2"/>
    </row>
    <row r="4301" spans="1:8" x14ac:dyDescent="0.25">
      <c r="A4301" s="5"/>
      <c r="B4301" s="6"/>
      <c r="C4301" s="6"/>
      <c r="D4301" s="6"/>
      <c r="E4301" s="6"/>
      <c r="G4301" s="1"/>
      <c r="H4301" s="2"/>
    </row>
    <row r="4302" spans="1:8" x14ac:dyDescent="0.25">
      <c r="A4302" s="5"/>
      <c r="B4302" s="6"/>
      <c r="C4302" s="6"/>
      <c r="D4302" s="6"/>
      <c r="E4302" s="6"/>
      <c r="G4302" s="3"/>
      <c r="H4302" s="2"/>
    </row>
    <row r="4303" spans="1:8" x14ac:dyDescent="0.25">
      <c r="A4303" s="5"/>
      <c r="B4303" s="6"/>
      <c r="C4303" s="6"/>
      <c r="D4303" s="6"/>
      <c r="E4303" s="6"/>
      <c r="G4303" s="1"/>
      <c r="H4303" s="2"/>
    </row>
    <row r="4304" spans="1:8" x14ac:dyDescent="0.25">
      <c r="A4304" s="5"/>
      <c r="B4304" s="6"/>
      <c r="C4304" s="6"/>
      <c r="D4304" s="6"/>
      <c r="E4304" s="6"/>
      <c r="G4304" s="3"/>
      <c r="H4304" s="2"/>
    </row>
    <row r="4305" spans="1:8" x14ac:dyDescent="0.25">
      <c r="A4305" s="5"/>
      <c r="B4305" s="6"/>
      <c r="C4305" s="6"/>
      <c r="D4305" s="6"/>
      <c r="E4305" s="6"/>
      <c r="G4305" s="1"/>
      <c r="H4305" s="2"/>
    </row>
    <row r="4306" spans="1:8" x14ac:dyDescent="0.25">
      <c r="A4306" s="5"/>
      <c r="B4306" s="6"/>
      <c r="C4306" s="6"/>
      <c r="D4306" s="6"/>
      <c r="E4306" s="6"/>
      <c r="G4306" s="3"/>
      <c r="H4306" s="2"/>
    </row>
    <row r="4307" spans="1:8" x14ac:dyDescent="0.25">
      <c r="A4307" s="5"/>
      <c r="B4307" s="6"/>
      <c r="C4307" s="6"/>
      <c r="D4307" s="6"/>
      <c r="E4307" s="6"/>
      <c r="G4307" s="1"/>
      <c r="H4307" s="2"/>
    </row>
    <row r="4308" spans="1:8" x14ac:dyDescent="0.25">
      <c r="A4308" s="5"/>
      <c r="B4308" s="6"/>
      <c r="C4308" s="6"/>
      <c r="D4308" s="6"/>
      <c r="E4308" s="6"/>
      <c r="G4308" s="3"/>
      <c r="H4308" s="2"/>
    </row>
    <row r="4309" spans="1:8" x14ac:dyDescent="0.25">
      <c r="A4309" s="5"/>
      <c r="B4309" s="6"/>
      <c r="C4309" s="6"/>
      <c r="D4309" s="6"/>
      <c r="E4309" s="6"/>
      <c r="G4309" s="1"/>
      <c r="H4309" s="2"/>
    </row>
    <row r="4310" spans="1:8" x14ac:dyDescent="0.25">
      <c r="A4310" s="5"/>
      <c r="B4310" s="6"/>
      <c r="C4310" s="6"/>
      <c r="D4310" s="6"/>
      <c r="E4310" s="6"/>
      <c r="G4310" s="3"/>
      <c r="H4310" s="2"/>
    </row>
    <row r="4311" spans="1:8" x14ac:dyDescent="0.25">
      <c r="A4311" s="5"/>
      <c r="B4311" s="6"/>
      <c r="C4311" s="6"/>
      <c r="D4311" s="6"/>
      <c r="E4311" s="6"/>
      <c r="G4311" s="1"/>
      <c r="H4311" s="2"/>
    </row>
    <row r="4312" spans="1:8" x14ac:dyDescent="0.25">
      <c r="A4312" s="5"/>
      <c r="B4312" s="6"/>
      <c r="C4312" s="6"/>
      <c r="D4312" s="6"/>
      <c r="E4312" s="6"/>
      <c r="G4312" s="3"/>
      <c r="H4312" s="2"/>
    </row>
    <row r="4313" spans="1:8" x14ac:dyDescent="0.25">
      <c r="A4313" s="5"/>
      <c r="B4313" s="6"/>
      <c r="C4313" s="6"/>
      <c r="D4313" s="6"/>
      <c r="E4313" s="6"/>
      <c r="G4313" s="1"/>
      <c r="H4313" s="2"/>
    </row>
    <row r="4314" spans="1:8" x14ac:dyDescent="0.25">
      <c r="A4314" s="5"/>
      <c r="B4314" s="6"/>
      <c r="C4314" s="6"/>
      <c r="D4314" s="6"/>
      <c r="E4314" s="6"/>
      <c r="G4314" s="3"/>
      <c r="H4314" s="2"/>
    </row>
    <row r="4315" spans="1:8" x14ac:dyDescent="0.25">
      <c r="A4315" s="5"/>
      <c r="B4315" s="6"/>
      <c r="C4315" s="6"/>
      <c r="D4315" s="6"/>
      <c r="E4315" s="6"/>
      <c r="G4315" s="1"/>
      <c r="H4315" s="2"/>
    </row>
    <row r="4316" spans="1:8" x14ac:dyDescent="0.25">
      <c r="A4316" s="5"/>
      <c r="B4316" s="6"/>
      <c r="C4316" s="6"/>
      <c r="D4316" s="6"/>
      <c r="E4316" s="6"/>
      <c r="G4316" s="3"/>
      <c r="H4316" s="2"/>
    </row>
    <row r="4317" spans="1:8" x14ac:dyDescent="0.25">
      <c r="A4317" s="5"/>
      <c r="B4317" s="6"/>
      <c r="C4317" s="6"/>
      <c r="D4317" s="6"/>
      <c r="E4317" s="6"/>
      <c r="G4317" s="1"/>
      <c r="H4317" s="2"/>
    </row>
    <row r="4318" spans="1:8" x14ac:dyDescent="0.25">
      <c r="A4318" s="5"/>
      <c r="B4318" s="6"/>
      <c r="C4318" s="6"/>
      <c r="D4318" s="6"/>
      <c r="E4318" s="6"/>
      <c r="G4318" s="3"/>
      <c r="H4318" s="2"/>
    </row>
    <row r="4319" spans="1:8" x14ac:dyDescent="0.25">
      <c r="A4319" s="5"/>
      <c r="B4319" s="6"/>
      <c r="C4319" s="6"/>
      <c r="D4319" s="6"/>
      <c r="E4319" s="6"/>
      <c r="G4319" s="1"/>
      <c r="H4319" s="2"/>
    </row>
    <row r="4320" spans="1:8" x14ac:dyDescent="0.25">
      <c r="A4320" s="5"/>
      <c r="B4320" s="6"/>
      <c r="C4320" s="6"/>
      <c r="D4320" s="6"/>
      <c r="E4320" s="6"/>
      <c r="G4320" s="3"/>
      <c r="H4320" s="2"/>
    </row>
    <row r="4321" spans="1:8" x14ac:dyDescent="0.25">
      <c r="A4321" s="5"/>
      <c r="B4321" s="6"/>
      <c r="C4321" s="6"/>
      <c r="D4321" s="6"/>
      <c r="E4321" s="6"/>
      <c r="G4321" s="1"/>
      <c r="H4321" s="2"/>
    </row>
    <row r="4322" spans="1:8" x14ac:dyDescent="0.25">
      <c r="A4322" s="5"/>
      <c r="B4322" s="6"/>
      <c r="C4322" s="6"/>
      <c r="D4322" s="6"/>
      <c r="E4322" s="6"/>
      <c r="G4322" s="3"/>
      <c r="H4322" s="2"/>
    </row>
    <row r="4323" spans="1:8" x14ac:dyDescent="0.25">
      <c r="A4323" s="5"/>
      <c r="B4323" s="6"/>
      <c r="C4323" s="6"/>
      <c r="D4323" s="6"/>
      <c r="E4323" s="6"/>
      <c r="G4323" s="1"/>
      <c r="H4323" s="2"/>
    </row>
    <row r="4324" spans="1:8" x14ac:dyDescent="0.25">
      <c r="A4324" s="5"/>
      <c r="B4324" s="6"/>
      <c r="C4324" s="6"/>
      <c r="D4324" s="6"/>
      <c r="E4324" s="6"/>
      <c r="G4324" s="3"/>
      <c r="H4324" s="2"/>
    </row>
    <row r="4325" spans="1:8" x14ac:dyDescent="0.25">
      <c r="A4325" s="5"/>
      <c r="B4325" s="6"/>
      <c r="C4325" s="6"/>
      <c r="D4325" s="6"/>
      <c r="E4325" s="6"/>
      <c r="G4325" s="1"/>
      <c r="H4325" s="2"/>
    </row>
    <row r="4326" spans="1:8" x14ac:dyDescent="0.25">
      <c r="A4326" s="5"/>
      <c r="B4326" s="6"/>
      <c r="C4326" s="6"/>
      <c r="D4326" s="6"/>
      <c r="E4326" s="6"/>
      <c r="G4326" s="3"/>
      <c r="H4326" s="2"/>
    </row>
    <row r="4327" spans="1:8" x14ac:dyDescent="0.25">
      <c r="A4327" s="5"/>
      <c r="B4327" s="6"/>
      <c r="C4327" s="6"/>
      <c r="D4327" s="6"/>
      <c r="E4327" s="6"/>
      <c r="G4327" s="1"/>
      <c r="H4327" s="2"/>
    </row>
    <row r="4328" spans="1:8" x14ac:dyDescent="0.25">
      <c r="A4328" s="5"/>
      <c r="B4328" s="6"/>
      <c r="C4328" s="6"/>
      <c r="D4328" s="6"/>
      <c r="E4328" s="6"/>
      <c r="G4328" s="3"/>
      <c r="H4328" s="2"/>
    </row>
    <row r="4329" spans="1:8" x14ac:dyDescent="0.25">
      <c r="A4329" s="5"/>
      <c r="B4329" s="6"/>
      <c r="C4329" s="6"/>
      <c r="D4329" s="6"/>
      <c r="E4329" s="6"/>
      <c r="G4329" s="1"/>
      <c r="H4329" s="2"/>
    </row>
    <row r="4330" spans="1:8" x14ac:dyDescent="0.25">
      <c r="A4330" s="5"/>
      <c r="B4330" s="6"/>
      <c r="C4330" s="6"/>
      <c r="D4330" s="6"/>
      <c r="E4330" s="6"/>
      <c r="G4330" s="14"/>
      <c r="H4330" s="2"/>
    </row>
    <row r="4331" spans="1:8" x14ac:dyDescent="0.25">
      <c r="A4331" s="5"/>
      <c r="B4331" s="6"/>
      <c r="C4331" s="6"/>
      <c r="D4331" s="6"/>
      <c r="E4331" s="6"/>
      <c r="G4331" s="14"/>
      <c r="H4331" s="2"/>
    </row>
    <row r="4332" spans="1:8" x14ac:dyDescent="0.25">
      <c r="A4332" s="5"/>
      <c r="B4332" s="6"/>
      <c r="C4332" s="6"/>
      <c r="D4332" s="6"/>
      <c r="E4332" s="6"/>
      <c r="G4332" s="14"/>
      <c r="H4332" s="2"/>
    </row>
    <row r="4333" spans="1:8" x14ac:dyDescent="0.25">
      <c r="A4333" s="5"/>
      <c r="B4333" s="6"/>
      <c r="C4333" s="6"/>
      <c r="D4333" s="6"/>
      <c r="E4333" s="6"/>
      <c r="G4333" s="14"/>
      <c r="H4333" s="2"/>
    </row>
    <row r="4334" spans="1:8" x14ac:dyDescent="0.25">
      <c r="A4334" s="5"/>
      <c r="B4334" s="6"/>
      <c r="C4334" s="6"/>
      <c r="D4334" s="6"/>
      <c r="E4334" s="6"/>
      <c r="G4334" s="14"/>
      <c r="H4334" s="2"/>
    </row>
    <row r="4335" spans="1:8" x14ac:dyDescent="0.25">
      <c r="A4335" s="5"/>
      <c r="B4335" s="6"/>
      <c r="C4335" s="6"/>
      <c r="D4335" s="6"/>
      <c r="E4335" s="6"/>
      <c r="G4335" s="14"/>
      <c r="H4335" s="2"/>
    </row>
    <row r="4336" spans="1:8" x14ac:dyDescent="0.25">
      <c r="A4336" s="5"/>
      <c r="B4336" s="6"/>
      <c r="C4336" s="6"/>
      <c r="D4336" s="6"/>
      <c r="E4336" s="6"/>
    </row>
    <row r="4337" spans="1:8" x14ac:dyDescent="0.25">
      <c r="A4337" s="5"/>
      <c r="B4337" s="6"/>
      <c r="C4337" s="6"/>
      <c r="D4337" s="6"/>
      <c r="E4337" s="6"/>
      <c r="G4337" s="3"/>
      <c r="H4337" s="2"/>
    </row>
    <row r="4338" spans="1:8" x14ac:dyDescent="0.25">
      <c r="A4338" s="5"/>
      <c r="B4338" s="6"/>
      <c r="C4338" s="6"/>
      <c r="D4338" s="6"/>
      <c r="E4338" s="6"/>
      <c r="G4338" s="1"/>
      <c r="H4338" s="2"/>
    </row>
    <row r="4339" spans="1:8" x14ac:dyDescent="0.25">
      <c r="A4339" s="5"/>
      <c r="B4339" s="6"/>
      <c r="C4339" s="6"/>
      <c r="D4339" s="6"/>
      <c r="E4339" s="6"/>
      <c r="G4339" s="3"/>
      <c r="H4339" s="2"/>
    </row>
    <row r="4340" spans="1:8" x14ac:dyDescent="0.25">
      <c r="A4340" s="5"/>
      <c r="B4340" s="6"/>
      <c r="C4340" s="6"/>
      <c r="D4340" s="6"/>
      <c r="E4340" s="6"/>
      <c r="G4340" s="1"/>
      <c r="H4340" s="2"/>
    </row>
    <row r="4341" spans="1:8" x14ac:dyDescent="0.25">
      <c r="A4341" s="5"/>
      <c r="B4341" s="6"/>
      <c r="C4341" s="6"/>
      <c r="D4341" s="6"/>
      <c r="E4341" s="6"/>
      <c r="G4341" s="3"/>
      <c r="H4341" s="2"/>
    </row>
    <row r="4342" spans="1:8" x14ac:dyDescent="0.25">
      <c r="A4342" s="5"/>
      <c r="B4342" s="6"/>
      <c r="C4342" s="6"/>
      <c r="D4342" s="6"/>
      <c r="E4342" s="6"/>
      <c r="G4342" s="1"/>
      <c r="H4342" s="2"/>
    </row>
    <row r="4343" spans="1:8" x14ac:dyDescent="0.25">
      <c r="A4343" s="5"/>
      <c r="B4343" s="6"/>
      <c r="C4343" s="6"/>
      <c r="D4343" s="6"/>
      <c r="E4343" s="6"/>
      <c r="G4343" s="3"/>
      <c r="H4343" s="2"/>
    </row>
    <row r="4344" spans="1:8" x14ac:dyDescent="0.25">
      <c r="A4344" s="5"/>
      <c r="B4344" s="6"/>
      <c r="C4344" s="6"/>
      <c r="D4344" s="6"/>
      <c r="E4344" s="6"/>
      <c r="G4344" s="1"/>
      <c r="H4344" s="2"/>
    </row>
    <row r="4345" spans="1:8" x14ac:dyDescent="0.25">
      <c r="A4345" s="5"/>
      <c r="B4345" s="6"/>
      <c r="C4345" s="6"/>
      <c r="D4345" s="6"/>
      <c r="E4345" s="6"/>
      <c r="G4345" s="3"/>
      <c r="H4345" s="2"/>
    </row>
    <row r="4346" spans="1:8" x14ac:dyDescent="0.25">
      <c r="A4346" s="5"/>
      <c r="B4346" s="6"/>
      <c r="C4346" s="6"/>
      <c r="D4346" s="6"/>
      <c r="E4346" s="6"/>
      <c r="G4346" s="1"/>
      <c r="H4346" s="2"/>
    </row>
    <row r="4347" spans="1:8" x14ac:dyDescent="0.25">
      <c r="A4347" s="5"/>
      <c r="B4347" s="6"/>
      <c r="C4347" s="6"/>
      <c r="D4347" s="6"/>
      <c r="E4347" s="6"/>
      <c r="G4347" s="3"/>
      <c r="H4347" s="2"/>
    </row>
    <row r="4348" spans="1:8" x14ac:dyDescent="0.25">
      <c r="A4348" s="5"/>
      <c r="B4348" s="6"/>
      <c r="C4348" s="6"/>
      <c r="D4348" s="6"/>
      <c r="E4348" s="6"/>
      <c r="G4348" s="1"/>
      <c r="H4348" s="2"/>
    </row>
    <row r="4349" spans="1:8" x14ac:dyDescent="0.25">
      <c r="A4349" s="5"/>
      <c r="B4349" s="6"/>
      <c r="C4349" s="6"/>
      <c r="D4349" s="6"/>
      <c r="E4349" s="6"/>
      <c r="G4349" s="3"/>
      <c r="H4349" s="2"/>
    </row>
    <row r="4350" spans="1:8" x14ac:dyDescent="0.25">
      <c r="A4350" s="5"/>
      <c r="B4350" s="6"/>
      <c r="C4350" s="6"/>
      <c r="D4350" s="6"/>
      <c r="E4350" s="6"/>
      <c r="G4350" s="1"/>
      <c r="H4350" s="2"/>
    </row>
    <row r="4351" spans="1:8" x14ac:dyDescent="0.25">
      <c r="A4351" s="5"/>
      <c r="B4351" s="6"/>
      <c r="C4351" s="6"/>
      <c r="D4351" s="6"/>
      <c r="E4351" s="6"/>
      <c r="G4351" s="3"/>
      <c r="H4351" s="2"/>
    </row>
    <row r="4352" spans="1:8" x14ac:dyDescent="0.25">
      <c r="A4352" s="5"/>
      <c r="B4352" s="6"/>
      <c r="C4352" s="6"/>
      <c r="D4352" s="6"/>
      <c r="E4352" s="6"/>
      <c r="G4352" s="1"/>
      <c r="H4352" s="2"/>
    </row>
    <row r="4353" spans="1:8" x14ac:dyDescent="0.25">
      <c r="A4353" s="5"/>
      <c r="B4353" s="6"/>
      <c r="C4353" s="6"/>
      <c r="D4353" s="6"/>
      <c r="E4353" s="6"/>
      <c r="G4353" s="3"/>
      <c r="H4353" s="2"/>
    </row>
    <row r="4354" spans="1:8" x14ac:dyDescent="0.25">
      <c r="A4354" s="5"/>
      <c r="B4354" s="6"/>
      <c r="C4354" s="6"/>
      <c r="D4354" s="6"/>
      <c r="E4354" s="6"/>
      <c r="G4354" s="1"/>
      <c r="H4354" s="2"/>
    </row>
    <row r="4355" spans="1:8" x14ac:dyDescent="0.25">
      <c r="A4355" s="5"/>
      <c r="B4355" s="6"/>
      <c r="C4355" s="6"/>
      <c r="D4355" s="6"/>
      <c r="E4355" s="6"/>
      <c r="G4355" s="3"/>
      <c r="H4355" s="2"/>
    </row>
    <row r="4356" spans="1:8" x14ac:dyDescent="0.25">
      <c r="A4356" s="5"/>
      <c r="B4356" s="6"/>
      <c r="C4356" s="6"/>
      <c r="D4356" s="6"/>
      <c r="E4356" s="6"/>
      <c r="G4356" s="1"/>
      <c r="H4356" s="2"/>
    </row>
    <row r="4357" spans="1:8" x14ac:dyDescent="0.25">
      <c r="A4357" s="5"/>
      <c r="B4357" s="6"/>
      <c r="C4357" s="6"/>
      <c r="D4357" s="6"/>
      <c r="E4357" s="6"/>
      <c r="G4357" s="3"/>
      <c r="H4357" s="2"/>
    </row>
    <row r="4358" spans="1:8" x14ac:dyDescent="0.25">
      <c r="A4358" s="5"/>
      <c r="B4358" s="6"/>
      <c r="C4358" s="6"/>
      <c r="D4358" s="6"/>
      <c r="E4358" s="6"/>
      <c r="G4358" s="1"/>
      <c r="H4358" s="2"/>
    </row>
    <row r="4359" spans="1:8" x14ac:dyDescent="0.25">
      <c r="A4359" s="5"/>
      <c r="B4359" s="6"/>
      <c r="C4359" s="6"/>
      <c r="D4359" s="6"/>
      <c r="E4359" s="6"/>
      <c r="G4359" s="3"/>
      <c r="H4359" s="2"/>
    </row>
    <row r="4360" spans="1:8" x14ac:dyDescent="0.25">
      <c r="A4360" s="5"/>
      <c r="B4360" s="6"/>
      <c r="C4360" s="6"/>
      <c r="D4360" s="6"/>
      <c r="E4360" s="6"/>
      <c r="G4360" s="1"/>
      <c r="H4360" s="2"/>
    </row>
    <row r="4361" spans="1:8" x14ac:dyDescent="0.25">
      <c r="A4361" s="5"/>
      <c r="B4361" s="6"/>
      <c r="C4361" s="6"/>
      <c r="D4361" s="6"/>
      <c r="E4361" s="6"/>
      <c r="G4361" s="3"/>
      <c r="H4361" s="2"/>
    </row>
    <row r="4362" spans="1:8" x14ac:dyDescent="0.25">
      <c r="A4362" s="5"/>
      <c r="B4362" s="6"/>
      <c r="C4362" s="6"/>
      <c r="D4362" s="6"/>
      <c r="E4362" s="6"/>
      <c r="G4362" s="1"/>
      <c r="H4362" s="2"/>
    </row>
    <row r="4363" spans="1:8" x14ac:dyDescent="0.25">
      <c r="A4363" s="5"/>
      <c r="B4363" s="6"/>
      <c r="C4363" s="6"/>
      <c r="D4363" s="6"/>
      <c r="E4363" s="6"/>
      <c r="G4363" s="3"/>
      <c r="H4363" s="2"/>
    </row>
    <row r="4364" spans="1:8" x14ac:dyDescent="0.25">
      <c r="A4364" s="5"/>
      <c r="B4364" s="6"/>
      <c r="C4364" s="6"/>
      <c r="D4364" s="6"/>
      <c r="E4364" s="6"/>
      <c r="G4364" s="1"/>
      <c r="H4364" s="2"/>
    </row>
    <row r="4365" spans="1:8" x14ac:dyDescent="0.25">
      <c r="A4365" s="5"/>
      <c r="B4365" s="6"/>
      <c r="C4365" s="6"/>
      <c r="D4365" s="6"/>
      <c r="E4365" s="6"/>
      <c r="G4365" s="3"/>
      <c r="H4365" s="2"/>
    </row>
    <row r="4366" spans="1:8" x14ac:dyDescent="0.25">
      <c r="A4366" s="5"/>
      <c r="B4366" s="6"/>
      <c r="C4366" s="6"/>
      <c r="D4366" s="6"/>
      <c r="E4366" s="6"/>
      <c r="G4366" s="1"/>
      <c r="H4366" s="2"/>
    </row>
    <row r="4367" spans="1:8" x14ac:dyDescent="0.25">
      <c r="A4367" s="5"/>
      <c r="B4367" s="6"/>
      <c r="C4367" s="6"/>
      <c r="D4367" s="6"/>
      <c r="E4367" s="6"/>
      <c r="G4367" s="3"/>
      <c r="H4367" s="2"/>
    </row>
    <row r="4368" spans="1:8" x14ac:dyDescent="0.25">
      <c r="A4368" s="5"/>
      <c r="B4368" s="6"/>
      <c r="C4368" s="6"/>
      <c r="D4368" s="6"/>
      <c r="E4368" s="6"/>
      <c r="G4368" s="1"/>
      <c r="H4368" s="2"/>
    </row>
    <row r="4369" spans="1:8" x14ac:dyDescent="0.25">
      <c r="A4369" s="5"/>
      <c r="B4369" s="6"/>
      <c r="C4369" s="6"/>
      <c r="D4369" s="6"/>
      <c r="E4369" s="6"/>
      <c r="G4369" s="3"/>
      <c r="H4369" s="2"/>
    </row>
    <row r="4370" spans="1:8" x14ac:dyDescent="0.25">
      <c r="A4370" s="5"/>
      <c r="B4370" s="6"/>
      <c r="C4370" s="6"/>
      <c r="D4370" s="6"/>
      <c r="E4370" s="6"/>
      <c r="G4370" s="1"/>
      <c r="H4370" s="2"/>
    </row>
    <row r="4371" spans="1:8" x14ac:dyDescent="0.25">
      <c r="A4371" s="5"/>
      <c r="B4371" s="6"/>
      <c r="C4371" s="6"/>
      <c r="D4371" s="6"/>
      <c r="E4371" s="6"/>
      <c r="G4371" s="3"/>
      <c r="H4371" s="2"/>
    </row>
    <row r="4372" spans="1:8" x14ac:dyDescent="0.25">
      <c r="A4372" s="5"/>
      <c r="B4372" s="6"/>
      <c r="C4372" s="6"/>
      <c r="D4372" s="6"/>
      <c r="E4372" s="6"/>
      <c r="G4372" s="1"/>
      <c r="H4372" s="2"/>
    </row>
    <row r="4373" spans="1:8" x14ac:dyDescent="0.25">
      <c r="A4373" s="5"/>
      <c r="B4373" s="6"/>
      <c r="C4373" s="6"/>
      <c r="D4373" s="6"/>
      <c r="E4373" s="6"/>
      <c r="G4373" s="3"/>
      <c r="H4373" s="2"/>
    </row>
    <row r="4374" spans="1:8" x14ac:dyDescent="0.25">
      <c r="A4374" s="5"/>
      <c r="B4374" s="6"/>
      <c r="C4374" s="6"/>
      <c r="D4374" s="6"/>
      <c r="E4374" s="6"/>
      <c r="G4374" s="1"/>
      <c r="H4374" s="2"/>
    </row>
    <row r="4375" spans="1:8" x14ac:dyDescent="0.25">
      <c r="A4375" s="5"/>
      <c r="B4375" s="6"/>
      <c r="C4375" s="6"/>
      <c r="D4375" s="6"/>
      <c r="E4375" s="6"/>
      <c r="G4375" s="3"/>
      <c r="H4375" s="2"/>
    </row>
    <row r="4376" spans="1:8" x14ac:dyDescent="0.25">
      <c r="A4376" s="5"/>
      <c r="B4376" s="6"/>
      <c r="C4376" s="6"/>
      <c r="D4376" s="6"/>
      <c r="E4376" s="6"/>
      <c r="G4376" s="1"/>
      <c r="H4376" s="2"/>
    </row>
    <row r="4377" spans="1:8" x14ac:dyDescent="0.25">
      <c r="A4377" s="5"/>
      <c r="B4377" s="6"/>
      <c r="C4377" s="6"/>
      <c r="D4377" s="6"/>
      <c r="E4377" s="6"/>
      <c r="G4377" s="3"/>
      <c r="H4377" s="2"/>
    </row>
    <row r="4378" spans="1:8" x14ac:dyDescent="0.25">
      <c r="A4378" s="5"/>
      <c r="B4378" s="6"/>
      <c r="C4378" s="6"/>
      <c r="D4378" s="6"/>
      <c r="E4378" s="6"/>
      <c r="G4378" s="1"/>
      <c r="H4378" s="2"/>
    </row>
    <row r="4379" spans="1:8" x14ac:dyDescent="0.25">
      <c r="A4379" s="5"/>
      <c r="B4379" s="6"/>
      <c r="C4379" s="6"/>
      <c r="D4379" s="6"/>
      <c r="E4379" s="6"/>
      <c r="G4379" s="3"/>
      <c r="H4379" s="2"/>
    </row>
    <row r="4380" spans="1:8" x14ac:dyDescent="0.25">
      <c r="A4380" s="5"/>
      <c r="B4380" s="6"/>
      <c r="C4380" s="6"/>
      <c r="D4380" s="6"/>
      <c r="E4380" s="6"/>
      <c r="G4380" s="1"/>
      <c r="H4380" s="2"/>
    </row>
    <row r="4381" spans="1:8" x14ac:dyDescent="0.25">
      <c r="A4381" s="5"/>
      <c r="B4381" s="6"/>
      <c r="C4381" s="6"/>
      <c r="D4381" s="6"/>
      <c r="E4381" s="6"/>
      <c r="G4381" s="3"/>
      <c r="H4381" s="2"/>
    </row>
    <row r="4382" spans="1:8" x14ac:dyDescent="0.25">
      <c r="A4382" s="5"/>
      <c r="B4382" s="6"/>
      <c r="C4382" s="6"/>
      <c r="D4382" s="6"/>
      <c r="E4382" s="6"/>
      <c r="G4382" s="1"/>
      <c r="H4382" s="2"/>
    </row>
    <row r="4383" spans="1:8" x14ac:dyDescent="0.25">
      <c r="A4383" s="5"/>
      <c r="B4383" s="6"/>
      <c r="C4383" s="6"/>
      <c r="D4383" s="6"/>
      <c r="E4383" s="6"/>
      <c r="G4383" s="3"/>
      <c r="H4383" s="2"/>
    </row>
    <row r="4384" spans="1:8" x14ac:dyDescent="0.25">
      <c r="A4384" s="5"/>
      <c r="B4384" s="6"/>
      <c r="C4384" s="6"/>
      <c r="D4384" s="6"/>
      <c r="E4384" s="6"/>
      <c r="G4384" s="1"/>
      <c r="H4384" s="2"/>
    </row>
    <row r="4385" spans="1:8" x14ac:dyDescent="0.25">
      <c r="A4385" s="5"/>
      <c r="B4385" s="6"/>
      <c r="C4385" s="6"/>
      <c r="D4385" s="6"/>
      <c r="E4385" s="6"/>
      <c r="G4385" s="3"/>
      <c r="H4385" s="2"/>
    </row>
    <row r="4386" spans="1:8" x14ac:dyDescent="0.25">
      <c r="A4386" s="5"/>
      <c r="B4386" s="6"/>
      <c r="C4386" s="6"/>
      <c r="D4386" s="6"/>
      <c r="E4386" s="6"/>
      <c r="G4386" s="1"/>
      <c r="H4386" s="2"/>
    </row>
    <row r="4387" spans="1:8" x14ac:dyDescent="0.25">
      <c r="A4387" s="5"/>
      <c r="B4387" s="6"/>
      <c r="C4387" s="6"/>
      <c r="D4387" s="6"/>
      <c r="E4387" s="6"/>
      <c r="G4387" s="3"/>
      <c r="H4387" s="2"/>
    </row>
    <row r="4388" spans="1:8" x14ac:dyDescent="0.25">
      <c r="A4388" s="5"/>
      <c r="B4388" s="6"/>
      <c r="C4388" s="6"/>
      <c r="D4388" s="6"/>
      <c r="E4388" s="6"/>
      <c r="G4388" s="1"/>
      <c r="H4388" s="2"/>
    </row>
    <row r="4389" spans="1:8" x14ac:dyDescent="0.25">
      <c r="A4389" s="5"/>
      <c r="B4389" s="6"/>
      <c r="C4389" s="6"/>
      <c r="D4389" s="6"/>
      <c r="E4389" s="6"/>
      <c r="G4389" s="3"/>
      <c r="H4389" s="2"/>
    </row>
    <row r="4390" spans="1:8" x14ac:dyDescent="0.25">
      <c r="A4390" s="5"/>
      <c r="B4390" s="6"/>
      <c r="C4390" s="6"/>
      <c r="D4390" s="6"/>
      <c r="E4390" s="6"/>
      <c r="G4390" s="1"/>
      <c r="H4390" s="2"/>
    </row>
    <row r="4391" spans="1:8" x14ac:dyDescent="0.25">
      <c r="A4391" s="5"/>
      <c r="B4391" s="6"/>
      <c r="C4391" s="6"/>
      <c r="D4391" s="6"/>
      <c r="E4391" s="6"/>
      <c r="G4391" s="3"/>
      <c r="H4391" s="2"/>
    </row>
    <row r="4392" spans="1:8" x14ac:dyDescent="0.25">
      <c r="A4392" s="5"/>
      <c r="B4392" s="6"/>
      <c r="C4392" s="6"/>
      <c r="D4392" s="6"/>
      <c r="E4392" s="6"/>
      <c r="G4392" s="1"/>
      <c r="H4392" s="2"/>
    </row>
    <row r="4393" spans="1:8" x14ac:dyDescent="0.25">
      <c r="A4393" s="5"/>
      <c r="B4393" s="6"/>
      <c r="C4393" s="6"/>
      <c r="D4393" s="6"/>
      <c r="E4393" s="6"/>
      <c r="G4393" s="3"/>
      <c r="H4393" s="2"/>
    </row>
    <row r="4394" spans="1:8" x14ac:dyDescent="0.25">
      <c r="A4394" s="5"/>
      <c r="B4394" s="6"/>
      <c r="C4394" s="6"/>
      <c r="D4394" s="6"/>
      <c r="E4394" s="6"/>
      <c r="G4394" s="1"/>
      <c r="H4394" s="2"/>
    </row>
    <row r="4395" spans="1:8" x14ac:dyDescent="0.25">
      <c r="A4395" s="5"/>
      <c r="B4395" s="6"/>
      <c r="C4395" s="6"/>
      <c r="D4395" s="6"/>
      <c r="E4395" s="6"/>
      <c r="G4395" s="3"/>
      <c r="H4395" s="2"/>
    </row>
    <row r="4396" spans="1:8" x14ac:dyDescent="0.25">
      <c r="A4396" s="5"/>
      <c r="B4396" s="6"/>
      <c r="C4396" s="6"/>
      <c r="D4396" s="6"/>
      <c r="E4396" s="6"/>
      <c r="G4396" s="1"/>
      <c r="H4396" s="2"/>
    </row>
    <row r="4397" spans="1:8" x14ac:dyDescent="0.25">
      <c r="A4397" s="5"/>
      <c r="B4397" s="6"/>
      <c r="C4397" s="6"/>
      <c r="D4397" s="6"/>
      <c r="E4397" s="6"/>
      <c r="G4397" s="3"/>
      <c r="H4397" s="2"/>
    </row>
    <row r="4398" spans="1:8" x14ac:dyDescent="0.25">
      <c r="A4398" s="5"/>
      <c r="B4398" s="6"/>
      <c r="C4398" s="6"/>
      <c r="D4398" s="6"/>
      <c r="E4398" s="6"/>
      <c r="G4398" s="1"/>
      <c r="H4398" s="2"/>
    </row>
    <row r="4399" spans="1:8" x14ac:dyDescent="0.25">
      <c r="A4399" s="5"/>
      <c r="B4399" s="6"/>
      <c r="C4399" s="6"/>
      <c r="D4399" s="6"/>
      <c r="E4399" s="6"/>
      <c r="G4399" s="3"/>
      <c r="H4399" s="2"/>
    </row>
    <row r="4400" spans="1:8" x14ac:dyDescent="0.25">
      <c r="A4400" s="5"/>
      <c r="B4400" s="6"/>
      <c r="C4400" s="6"/>
      <c r="D4400" s="6"/>
      <c r="E4400" s="6"/>
      <c r="G4400" s="1"/>
      <c r="H4400" s="2"/>
    </row>
    <row r="4401" spans="1:8" x14ac:dyDescent="0.25">
      <c r="A4401" s="5"/>
      <c r="B4401" s="6"/>
      <c r="C4401" s="6"/>
      <c r="D4401" s="6"/>
      <c r="E4401" s="6"/>
      <c r="G4401" s="3"/>
      <c r="H4401" s="2"/>
    </row>
    <row r="4402" spans="1:8" x14ac:dyDescent="0.25">
      <c r="A4402" s="5"/>
      <c r="B4402" s="6"/>
      <c r="C4402" s="6"/>
      <c r="D4402" s="6"/>
      <c r="E4402" s="6"/>
      <c r="G4402" s="1"/>
      <c r="H4402" s="2"/>
    </row>
    <row r="4403" spans="1:8" x14ac:dyDescent="0.25">
      <c r="A4403" s="5"/>
      <c r="B4403" s="6"/>
      <c r="C4403" s="6"/>
      <c r="D4403" s="6"/>
      <c r="E4403" s="6"/>
      <c r="G4403" s="3"/>
      <c r="H4403" s="2"/>
    </row>
    <row r="4404" spans="1:8" x14ac:dyDescent="0.25">
      <c r="A4404" s="5"/>
      <c r="B4404" s="6"/>
      <c r="C4404" s="6"/>
      <c r="D4404" s="6"/>
      <c r="E4404" s="6"/>
      <c r="G4404" s="1"/>
      <c r="H4404" s="2"/>
    </row>
    <row r="4405" spans="1:8" x14ac:dyDescent="0.25">
      <c r="A4405" s="5"/>
      <c r="B4405" s="6"/>
      <c r="C4405" s="6"/>
      <c r="D4405" s="6"/>
      <c r="E4405" s="6"/>
      <c r="G4405" s="3"/>
      <c r="H4405" s="2"/>
    </row>
    <row r="4406" spans="1:8" x14ac:dyDescent="0.25">
      <c r="A4406" s="5"/>
      <c r="B4406" s="6"/>
      <c r="C4406" s="6"/>
      <c r="D4406" s="6"/>
      <c r="E4406" s="6"/>
      <c r="G4406" s="1"/>
      <c r="H4406" s="2"/>
    </row>
    <row r="4407" spans="1:8" x14ac:dyDescent="0.25">
      <c r="A4407" s="5"/>
      <c r="B4407" s="6"/>
      <c r="C4407" s="6"/>
      <c r="D4407" s="6"/>
      <c r="E4407" s="6"/>
      <c r="G4407" s="3"/>
      <c r="H4407" s="2"/>
    </row>
    <row r="4408" spans="1:8" x14ac:dyDescent="0.25">
      <c r="A4408" s="5"/>
      <c r="B4408" s="6"/>
      <c r="C4408" s="6"/>
      <c r="D4408" s="6"/>
      <c r="E4408" s="6"/>
      <c r="G4408" s="1"/>
      <c r="H4408" s="2"/>
    </row>
    <row r="4409" spans="1:8" x14ac:dyDescent="0.25">
      <c r="A4409" s="5"/>
      <c r="B4409" s="6"/>
      <c r="C4409" s="6"/>
      <c r="D4409" s="6"/>
      <c r="E4409" s="6"/>
      <c r="G4409" s="3"/>
      <c r="H4409" s="2"/>
    </row>
    <row r="4410" spans="1:8" x14ac:dyDescent="0.25">
      <c r="A4410" s="5"/>
      <c r="B4410" s="6"/>
      <c r="C4410" s="6"/>
      <c r="D4410" s="6"/>
      <c r="E4410" s="6"/>
      <c r="G4410" s="1"/>
      <c r="H4410" s="2"/>
    </row>
    <row r="4411" spans="1:8" x14ac:dyDescent="0.25">
      <c r="A4411" s="5"/>
      <c r="B4411" s="6"/>
      <c r="C4411" s="6"/>
      <c r="D4411" s="6"/>
      <c r="E4411" s="6"/>
      <c r="G4411" s="3"/>
      <c r="H4411" s="2"/>
    </row>
    <row r="4412" spans="1:8" x14ac:dyDescent="0.25">
      <c r="A4412" s="5"/>
      <c r="B4412" s="6"/>
      <c r="C4412" s="6"/>
      <c r="D4412" s="6"/>
      <c r="E4412" s="6"/>
      <c r="G4412" s="1"/>
      <c r="H4412" s="2"/>
    </row>
    <row r="4413" spans="1:8" x14ac:dyDescent="0.25">
      <c r="A4413" s="5"/>
      <c r="B4413" s="6"/>
      <c r="C4413" s="6"/>
      <c r="D4413" s="6"/>
      <c r="E4413" s="6"/>
      <c r="G4413" s="3"/>
      <c r="H4413" s="2"/>
    </row>
    <row r="4414" spans="1:8" x14ac:dyDescent="0.25">
      <c r="A4414" s="5"/>
      <c r="B4414" s="6"/>
      <c r="C4414" s="6"/>
      <c r="D4414" s="6"/>
      <c r="E4414" s="6"/>
      <c r="G4414" s="1"/>
      <c r="H4414" s="2"/>
    </row>
    <row r="4415" spans="1:8" x14ac:dyDescent="0.25">
      <c r="A4415" s="5"/>
      <c r="B4415" s="6"/>
      <c r="C4415" s="6"/>
      <c r="D4415" s="6"/>
      <c r="E4415" s="6"/>
      <c r="G4415" s="3"/>
      <c r="H4415" s="2"/>
    </row>
    <row r="4416" spans="1:8" x14ac:dyDescent="0.25">
      <c r="A4416" s="5"/>
      <c r="B4416" s="6"/>
      <c r="C4416" s="6"/>
      <c r="D4416" s="6"/>
      <c r="E4416" s="6"/>
      <c r="G4416" s="1"/>
      <c r="H4416" s="2"/>
    </row>
    <row r="4417" spans="1:8" x14ac:dyDescent="0.25">
      <c r="A4417" s="5"/>
      <c r="B4417" s="6"/>
      <c r="C4417" s="6"/>
      <c r="D4417" s="6"/>
      <c r="E4417" s="6"/>
      <c r="G4417" s="3"/>
      <c r="H4417" s="2"/>
    </row>
    <row r="4418" spans="1:8" x14ac:dyDescent="0.25">
      <c r="A4418" s="5"/>
      <c r="B4418" s="6"/>
      <c r="C4418" s="6"/>
      <c r="D4418" s="6"/>
      <c r="E4418" s="6"/>
      <c r="G4418" s="1"/>
      <c r="H4418" s="2"/>
    </row>
    <row r="4419" spans="1:8" x14ac:dyDescent="0.25">
      <c r="A4419" s="5"/>
      <c r="B4419" s="6"/>
      <c r="C4419" s="6"/>
      <c r="D4419" s="6"/>
      <c r="E4419" s="6"/>
      <c r="G4419" s="3"/>
      <c r="H4419" s="2"/>
    </row>
    <row r="4420" spans="1:8" x14ac:dyDescent="0.25">
      <c r="A4420" s="5"/>
      <c r="B4420" s="6"/>
      <c r="C4420" s="6"/>
      <c r="D4420" s="6"/>
      <c r="E4420" s="6"/>
      <c r="G4420" s="1"/>
      <c r="H4420" s="2"/>
    </row>
    <row r="4421" spans="1:8" x14ac:dyDescent="0.25">
      <c r="A4421" s="5"/>
      <c r="B4421" s="6"/>
      <c r="C4421" s="6"/>
      <c r="D4421" s="6"/>
      <c r="E4421" s="6"/>
      <c r="G4421" s="3"/>
      <c r="H4421" s="2"/>
    </row>
    <row r="4422" spans="1:8" x14ac:dyDescent="0.25">
      <c r="A4422" s="5"/>
      <c r="B4422" s="6"/>
      <c r="C4422" s="6"/>
      <c r="D4422" s="6"/>
      <c r="E4422" s="6"/>
      <c r="G4422" s="1"/>
      <c r="H4422" s="2"/>
    </row>
    <row r="4423" spans="1:8" x14ac:dyDescent="0.25">
      <c r="A4423" s="5"/>
      <c r="B4423" s="6"/>
      <c r="C4423" s="6"/>
      <c r="D4423" s="6"/>
      <c r="E4423" s="6"/>
      <c r="G4423" s="3"/>
      <c r="H4423" s="2"/>
    </row>
    <row r="4424" spans="1:8" x14ac:dyDescent="0.25">
      <c r="A4424" s="5"/>
      <c r="B4424" s="6"/>
      <c r="C4424" s="6"/>
      <c r="D4424" s="6"/>
      <c r="E4424" s="6"/>
      <c r="G4424" s="1"/>
      <c r="H4424" s="2"/>
    </row>
    <row r="4425" spans="1:8" x14ac:dyDescent="0.25">
      <c r="A4425" s="5"/>
      <c r="B4425" s="6"/>
      <c r="C4425" s="6"/>
      <c r="D4425" s="6"/>
      <c r="E4425" s="6"/>
      <c r="G4425" s="3"/>
      <c r="H4425" s="2"/>
    </row>
    <row r="4426" spans="1:8" x14ac:dyDescent="0.25">
      <c r="A4426" s="5"/>
      <c r="B4426" s="6"/>
      <c r="C4426" s="6"/>
      <c r="D4426" s="6"/>
      <c r="E4426" s="6"/>
      <c r="G4426" s="1"/>
      <c r="H4426" s="2"/>
    </row>
    <row r="4427" spans="1:8" x14ac:dyDescent="0.25">
      <c r="A4427" s="5"/>
      <c r="B4427" s="6"/>
      <c r="C4427" s="6"/>
      <c r="D4427" s="6"/>
      <c r="E4427" s="6"/>
      <c r="G4427" s="3"/>
      <c r="H4427" s="2"/>
    </row>
    <row r="4428" spans="1:8" x14ac:dyDescent="0.25">
      <c r="A4428" s="5"/>
      <c r="B4428" s="6"/>
      <c r="C4428" s="6"/>
      <c r="D4428" s="6"/>
      <c r="E4428" s="6"/>
      <c r="G4428" s="1"/>
      <c r="H4428" s="2"/>
    </row>
    <row r="4429" spans="1:8" x14ac:dyDescent="0.25">
      <c r="A4429" s="5"/>
      <c r="B4429" s="6"/>
      <c r="C4429" s="6"/>
      <c r="D4429" s="6"/>
      <c r="E4429" s="6"/>
      <c r="G4429" s="3"/>
      <c r="H4429" s="2"/>
    </row>
    <row r="4430" spans="1:8" x14ac:dyDescent="0.25">
      <c r="A4430" s="5"/>
      <c r="B4430" s="6"/>
      <c r="C4430" s="6"/>
      <c r="D4430" s="6"/>
      <c r="E4430" s="6"/>
      <c r="G4430" s="1"/>
      <c r="H4430" s="2"/>
    </row>
    <row r="4431" spans="1:8" x14ac:dyDescent="0.25">
      <c r="A4431" s="5"/>
      <c r="B4431" s="6"/>
      <c r="C4431" s="6"/>
      <c r="D4431" s="6"/>
      <c r="E4431" s="6"/>
      <c r="G4431" s="3"/>
      <c r="H4431" s="2"/>
    </row>
    <row r="4432" spans="1:8" x14ac:dyDescent="0.25">
      <c r="A4432" s="5"/>
      <c r="B4432" s="6"/>
      <c r="C4432" s="6"/>
      <c r="D4432" s="6"/>
      <c r="E4432" s="6"/>
      <c r="G4432" s="1"/>
      <c r="H4432" s="2"/>
    </row>
    <row r="4433" spans="1:8" x14ac:dyDescent="0.25">
      <c r="A4433" s="5"/>
      <c r="B4433" s="6"/>
      <c r="C4433" s="6"/>
      <c r="D4433" s="6"/>
      <c r="E4433" s="6"/>
      <c r="G4433" s="3"/>
      <c r="H4433" s="2"/>
    </row>
    <row r="4434" spans="1:8" x14ac:dyDescent="0.25">
      <c r="A4434" s="5"/>
      <c r="B4434" s="6"/>
      <c r="C4434" s="6"/>
      <c r="D4434" s="6"/>
      <c r="E4434" s="6"/>
      <c r="G4434" s="1"/>
      <c r="H4434" s="2"/>
    </row>
    <row r="4435" spans="1:8" x14ac:dyDescent="0.25">
      <c r="A4435" s="5"/>
      <c r="B4435" s="6"/>
      <c r="C4435" s="6"/>
      <c r="D4435" s="6"/>
      <c r="E4435" s="6"/>
      <c r="G4435" s="3"/>
      <c r="H4435" s="2"/>
    </row>
    <row r="4436" spans="1:8" x14ac:dyDescent="0.25">
      <c r="A4436" s="5"/>
      <c r="B4436" s="6"/>
      <c r="C4436" s="6"/>
      <c r="D4436" s="6"/>
      <c r="E4436" s="6"/>
      <c r="G4436" s="1"/>
      <c r="H4436" s="2"/>
    </row>
    <row r="4437" spans="1:8" x14ac:dyDescent="0.25">
      <c r="A4437" s="5"/>
      <c r="B4437" s="6"/>
      <c r="C4437" s="6"/>
      <c r="D4437" s="6"/>
      <c r="E4437" s="6"/>
      <c r="G4437" s="3"/>
      <c r="H4437" s="2"/>
    </row>
    <row r="4438" spans="1:8" x14ac:dyDescent="0.25">
      <c r="A4438" s="5"/>
      <c r="B4438" s="6"/>
      <c r="C4438" s="6"/>
      <c r="D4438" s="6"/>
      <c r="E4438" s="6"/>
      <c r="G4438" s="1"/>
      <c r="H4438" s="2"/>
    </row>
    <row r="4439" spans="1:8" x14ac:dyDescent="0.25">
      <c r="A4439" s="5"/>
      <c r="B4439" s="6"/>
      <c r="C4439" s="6"/>
      <c r="D4439" s="6"/>
      <c r="E4439" s="6"/>
      <c r="G4439" s="3"/>
      <c r="H4439" s="2"/>
    </row>
    <row r="4440" spans="1:8" x14ac:dyDescent="0.25">
      <c r="A4440" s="5"/>
      <c r="B4440" s="6"/>
      <c r="C4440" s="6"/>
      <c r="D4440" s="6"/>
      <c r="E4440" s="6"/>
      <c r="G4440" s="1"/>
      <c r="H4440" s="2"/>
    </row>
    <row r="4441" spans="1:8" x14ac:dyDescent="0.25">
      <c r="A4441" s="5"/>
      <c r="B4441" s="6"/>
      <c r="C4441" s="6"/>
      <c r="D4441" s="6"/>
      <c r="E4441" s="6"/>
      <c r="G4441" s="3"/>
      <c r="H4441" s="2"/>
    </row>
    <row r="4442" spans="1:8" x14ac:dyDescent="0.25">
      <c r="A4442" s="5"/>
      <c r="B4442" s="6"/>
      <c r="C4442" s="6"/>
      <c r="D4442" s="6"/>
      <c r="E4442" s="6"/>
      <c r="G4442" s="1"/>
      <c r="H4442" s="2"/>
    </row>
    <row r="4443" spans="1:8" x14ac:dyDescent="0.25">
      <c r="A4443" s="5"/>
      <c r="B4443" s="6"/>
      <c r="C4443" s="6"/>
      <c r="D4443" s="6"/>
      <c r="E4443" s="6"/>
      <c r="G4443" s="3"/>
      <c r="H4443" s="2"/>
    </row>
    <row r="4444" spans="1:8" x14ac:dyDescent="0.25">
      <c r="A4444" s="5"/>
      <c r="B4444" s="6"/>
      <c r="C4444" s="6"/>
      <c r="D4444" s="6"/>
      <c r="E4444" s="6"/>
      <c r="G4444" s="1"/>
      <c r="H4444" s="2"/>
    </row>
    <row r="4445" spans="1:8" x14ac:dyDescent="0.25">
      <c r="A4445" s="5"/>
      <c r="B4445" s="6"/>
      <c r="C4445" s="6"/>
      <c r="D4445" s="6"/>
      <c r="E4445" s="6"/>
      <c r="G4445" s="3"/>
      <c r="H4445" s="2"/>
    </row>
    <row r="4446" spans="1:8" x14ac:dyDescent="0.25">
      <c r="A4446" s="5"/>
      <c r="B4446" s="6"/>
      <c r="C4446" s="6"/>
      <c r="D4446" s="6"/>
      <c r="E4446" s="6"/>
      <c r="G4446" s="1"/>
      <c r="H4446" s="2"/>
    </row>
    <row r="4447" spans="1:8" x14ac:dyDescent="0.25">
      <c r="A4447" s="5"/>
      <c r="B4447" s="6"/>
      <c r="C4447" s="6"/>
      <c r="D4447" s="6"/>
      <c r="E4447" s="6"/>
      <c r="G4447" s="3"/>
      <c r="H4447" s="2"/>
    </row>
    <row r="4448" spans="1:8" x14ac:dyDescent="0.25">
      <c r="A4448" s="5"/>
      <c r="B4448" s="6"/>
      <c r="C4448" s="6"/>
      <c r="D4448" s="6"/>
      <c r="E4448" s="6"/>
      <c r="G4448" s="1"/>
      <c r="H4448" s="2"/>
    </row>
    <row r="4449" spans="1:8" x14ac:dyDescent="0.25">
      <c r="A4449" s="5"/>
      <c r="B4449" s="6"/>
      <c r="C4449" s="6"/>
      <c r="D4449" s="6"/>
      <c r="E4449" s="6"/>
      <c r="G4449" s="3"/>
      <c r="H4449" s="2"/>
    </row>
    <row r="4450" spans="1:8" x14ac:dyDescent="0.25">
      <c r="A4450" s="5"/>
      <c r="B4450" s="6"/>
      <c r="C4450" s="6"/>
      <c r="D4450" s="6"/>
      <c r="E4450" s="6"/>
      <c r="G4450" s="1"/>
      <c r="H4450" s="2"/>
    </row>
    <row r="4451" spans="1:8" x14ac:dyDescent="0.25">
      <c r="A4451" s="5"/>
      <c r="B4451" s="6"/>
      <c r="C4451" s="6"/>
      <c r="D4451" s="6"/>
      <c r="E4451" s="6"/>
      <c r="G4451" s="3"/>
      <c r="H4451" s="2"/>
    </row>
    <row r="4452" spans="1:8" x14ac:dyDescent="0.25">
      <c r="A4452" s="5"/>
      <c r="B4452" s="6"/>
      <c r="C4452" s="6"/>
      <c r="D4452" s="6"/>
      <c r="E4452" s="6"/>
      <c r="G4452" s="1"/>
      <c r="H4452" s="2"/>
    </row>
    <row r="4453" spans="1:8" x14ac:dyDescent="0.25">
      <c r="A4453" s="5"/>
      <c r="B4453" s="6"/>
      <c r="C4453" s="6"/>
      <c r="D4453" s="6"/>
      <c r="E4453" s="6"/>
      <c r="G4453" s="3"/>
      <c r="H4453" s="2"/>
    </row>
    <row r="4454" spans="1:8" x14ac:dyDescent="0.25">
      <c r="A4454" s="5"/>
      <c r="B4454" s="6"/>
      <c r="C4454" s="6"/>
      <c r="D4454" s="6"/>
      <c r="E4454" s="6"/>
      <c r="G4454" s="1"/>
      <c r="H4454" s="2"/>
    </row>
    <row r="4455" spans="1:8" x14ac:dyDescent="0.25">
      <c r="A4455" s="5"/>
      <c r="B4455" s="6"/>
      <c r="C4455" s="6"/>
      <c r="D4455" s="6"/>
      <c r="E4455" s="6"/>
      <c r="G4455" s="3"/>
      <c r="H4455" s="2"/>
    </row>
    <row r="4456" spans="1:8" x14ac:dyDescent="0.25">
      <c r="A4456" s="5"/>
      <c r="B4456" s="6"/>
      <c r="C4456" s="6"/>
      <c r="D4456" s="6"/>
      <c r="E4456" s="6"/>
      <c r="G4456" s="1"/>
      <c r="H4456" s="2"/>
    </row>
    <row r="4457" spans="1:8" x14ac:dyDescent="0.25">
      <c r="A4457" s="5"/>
      <c r="B4457" s="6"/>
      <c r="C4457" s="6"/>
      <c r="D4457" s="6"/>
      <c r="E4457" s="6"/>
      <c r="G4457" s="3"/>
      <c r="H4457" s="2"/>
    </row>
    <row r="4458" spans="1:8" x14ac:dyDescent="0.25">
      <c r="A4458" s="5"/>
      <c r="B4458" s="6"/>
      <c r="C4458" s="6"/>
      <c r="D4458" s="6"/>
      <c r="E4458" s="6"/>
      <c r="G4458" s="1"/>
      <c r="H4458" s="2"/>
    </row>
    <row r="4459" spans="1:8" x14ac:dyDescent="0.25">
      <c r="A4459" s="5"/>
      <c r="B4459" s="6"/>
      <c r="C4459" s="6"/>
      <c r="D4459" s="6"/>
      <c r="E4459" s="6"/>
      <c r="G4459" s="3"/>
      <c r="H4459" s="2"/>
    </row>
    <row r="4460" spans="1:8" x14ac:dyDescent="0.25">
      <c r="A4460" s="5"/>
      <c r="B4460" s="6"/>
      <c r="C4460" s="6"/>
      <c r="D4460" s="6"/>
      <c r="E4460" s="6"/>
      <c r="G4460" s="1"/>
      <c r="H4460" s="2"/>
    </row>
    <row r="4461" spans="1:8" x14ac:dyDescent="0.25">
      <c r="A4461" s="5"/>
      <c r="B4461" s="6"/>
      <c r="C4461" s="6"/>
      <c r="D4461" s="6"/>
      <c r="E4461" s="6"/>
      <c r="G4461" s="3"/>
      <c r="H4461" s="2"/>
    </row>
    <row r="4462" spans="1:8" x14ac:dyDescent="0.25">
      <c r="A4462" s="5"/>
      <c r="B4462" s="6"/>
      <c r="C4462" s="6"/>
      <c r="D4462" s="6"/>
      <c r="E4462" s="6"/>
      <c r="G4462" s="1"/>
      <c r="H4462" s="2"/>
    </row>
    <row r="4463" spans="1:8" x14ac:dyDescent="0.25">
      <c r="A4463" s="5"/>
      <c r="B4463" s="6"/>
      <c r="C4463" s="6"/>
      <c r="D4463" s="6"/>
      <c r="E4463" s="6"/>
      <c r="G4463" s="3"/>
      <c r="H4463" s="2"/>
    </row>
    <row r="4464" spans="1:8" x14ac:dyDescent="0.25">
      <c r="A4464" s="5"/>
      <c r="B4464" s="6"/>
      <c r="C4464" s="6"/>
      <c r="D4464" s="6"/>
      <c r="E4464" s="6"/>
      <c r="G4464" s="1"/>
      <c r="H4464" s="2"/>
    </row>
    <row r="4465" spans="1:8" x14ac:dyDescent="0.25">
      <c r="A4465" s="5"/>
      <c r="B4465" s="6"/>
      <c r="C4465" s="6"/>
      <c r="D4465" s="6"/>
      <c r="E4465" s="6"/>
      <c r="G4465" s="3"/>
      <c r="H4465" s="2"/>
    </row>
    <row r="4466" spans="1:8" x14ac:dyDescent="0.25">
      <c r="A4466" s="5"/>
      <c r="B4466" s="6"/>
      <c r="C4466" s="6"/>
      <c r="D4466" s="6"/>
      <c r="E4466" s="6"/>
      <c r="G4466" s="1"/>
      <c r="H4466" s="2"/>
    </row>
    <row r="4467" spans="1:8" x14ac:dyDescent="0.25">
      <c r="A4467" s="5"/>
      <c r="B4467" s="6"/>
      <c r="C4467" s="6"/>
      <c r="D4467" s="6"/>
      <c r="E4467" s="6"/>
      <c r="G4467" s="3"/>
      <c r="H4467" s="2"/>
    </row>
    <row r="4468" spans="1:8" x14ac:dyDescent="0.25">
      <c r="A4468" s="5"/>
      <c r="B4468" s="6"/>
      <c r="C4468" s="6"/>
      <c r="D4468" s="6"/>
      <c r="E4468" s="6"/>
      <c r="G4468" s="1"/>
      <c r="H4468" s="2"/>
    </row>
    <row r="4469" spans="1:8" x14ac:dyDescent="0.25">
      <c r="A4469" s="5"/>
      <c r="B4469" s="6"/>
      <c r="C4469" s="6"/>
      <c r="D4469" s="6"/>
      <c r="E4469" s="6"/>
      <c r="G4469" s="3"/>
      <c r="H4469" s="2"/>
    </row>
    <row r="4470" spans="1:8" x14ac:dyDescent="0.25">
      <c r="A4470" s="5"/>
      <c r="B4470" s="6"/>
      <c r="C4470" s="6"/>
      <c r="D4470" s="6"/>
      <c r="E4470" s="6"/>
      <c r="G4470" s="1"/>
      <c r="H4470" s="2"/>
    </row>
    <row r="4471" spans="1:8" x14ac:dyDescent="0.25">
      <c r="A4471" s="5"/>
      <c r="B4471" s="6"/>
      <c r="C4471" s="6"/>
      <c r="D4471" s="6"/>
      <c r="E4471" s="6"/>
      <c r="G4471" s="3"/>
      <c r="H4471" s="2"/>
    </row>
    <row r="4472" spans="1:8" x14ac:dyDescent="0.25">
      <c r="A4472" s="5"/>
      <c r="B4472" s="6"/>
      <c r="C4472" s="6"/>
      <c r="D4472" s="6"/>
      <c r="E4472" s="6"/>
      <c r="G4472" s="1"/>
      <c r="H4472" s="2"/>
    </row>
    <row r="4473" spans="1:8" x14ac:dyDescent="0.25">
      <c r="A4473" s="5"/>
      <c r="B4473" s="6"/>
      <c r="C4473" s="6"/>
      <c r="D4473" s="6"/>
      <c r="E4473" s="6"/>
      <c r="G4473" s="3"/>
      <c r="H4473" s="2"/>
    </row>
    <row r="4474" spans="1:8" x14ac:dyDescent="0.25">
      <c r="A4474" s="5"/>
      <c r="B4474" s="6"/>
      <c r="C4474" s="6"/>
      <c r="D4474" s="6"/>
      <c r="E4474" s="6"/>
      <c r="G4474" s="1"/>
      <c r="H4474" s="2"/>
    </row>
    <row r="4475" spans="1:8" x14ac:dyDescent="0.25">
      <c r="A4475" s="5"/>
      <c r="B4475" s="6"/>
      <c r="C4475" s="6"/>
      <c r="D4475" s="6"/>
      <c r="E4475" s="6"/>
      <c r="G4475" s="3"/>
      <c r="H4475" s="2"/>
    </row>
    <row r="4476" spans="1:8" x14ac:dyDescent="0.25">
      <c r="A4476" s="5"/>
      <c r="B4476" s="6"/>
      <c r="C4476" s="6"/>
      <c r="D4476" s="6"/>
      <c r="E4476" s="6"/>
      <c r="G4476" s="1"/>
      <c r="H4476" s="2"/>
    </row>
    <row r="4477" spans="1:8" x14ac:dyDescent="0.25">
      <c r="A4477" s="5"/>
      <c r="B4477" s="6"/>
      <c r="C4477" s="6"/>
      <c r="D4477" s="6"/>
      <c r="E4477" s="6"/>
      <c r="G4477" s="3"/>
      <c r="H4477" s="2"/>
    </row>
    <row r="4478" spans="1:8" x14ac:dyDescent="0.25">
      <c r="A4478" s="5"/>
      <c r="B4478" s="6"/>
      <c r="C4478" s="6"/>
      <c r="D4478" s="6"/>
      <c r="E4478" s="6"/>
      <c r="G4478" s="1"/>
      <c r="H4478" s="2"/>
    </row>
    <row r="4479" spans="1:8" x14ac:dyDescent="0.25">
      <c r="A4479" s="5"/>
      <c r="B4479" s="6"/>
      <c r="C4479" s="6"/>
      <c r="D4479" s="6"/>
      <c r="E4479" s="6"/>
      <c r="G4479" s="3"/>
      <c r="H4479" s="2"/>
    </row>
    <row r="4480" spans="1:8" x14ac:dyDescent="0.25">
      <c r="A4480" s="5"/>
      <c r="B4480" s="6"/>
      <c r="C4480" s="6"/>
      <c r="D4480" s="6"/>
      <c r="E4480" s="6"/>
      <c r="G4480" s="1"/>
      <c r="H4480" s="2"/>
    </row>
    <row r="4481" spans="1:8" x14ac:dyDescent="0.25">
      <c r="A4481" s="5"/>
      <c r="B4481" s="6"/>
      <c r="C4481" s="6"/>
      <c r="D4481" s="6"/>
      <c r="E4481" s="6"/>
      <c r="G4481" s="3"/>
      <c r="H4481" s="2"/>
    </row>
    <row r="4482" spans="1:8" x14ac:dyDescent="0.25">
      <c r="A4482" s="5"/>
      <c r="B4482" s="6"/>
      <c r="C4482" s="6"/>
      <c r="D4482" s="6"/>
      <c r="E4482" s="6"/>
      <c r="G4482" s="1"/>
      <c r="H4482" s="2"/>
    </row>
    <row r="4483" spans="1:8" x14ac:dyDescent="0.25">
      <c r="A4483" s="5"/>
      <c r="B4483" s="6"/>
      <c r="C4483" s="6"/>
      <c r="D4483" s="6"/>
      <c r="E4483" s="6"/>
      <c r="G4483" s="3"/>
      <c r="H4483" s="2"/>
    </row>
    <row r="4484" spans="1:8" x14ac:dyDescent="0.25">
      <c r="A4484" s="5"/>
      <c r="B4484" s="6"/>
      <c r="C4484" s="6"/>
      <c r="D4484" s="6"/>
      <c r="E4484" s="6"/>
      <c r="G4484" s="1"/>
      <c r="H4484" s="2"/>
    </row>
    <row r="4485" spans="1:8" x14ac:dyDescent="0.25">
      <c r="A4485" s="5"/>
      <c r="B4485" s="6"/>
      <c r="C4485" s="6"/>
      <c r="D4485" s="6"/>
      <c r="E4485" s="6"/>
      <c r="G4485" s="3"/>
      <c r="H4485" s="2"/>
    </row>
    <row r="4486" spans="1:8" x14ac:dyDescent="0.25">
      <c r="A4486" s="5"/>
      <c r="B4486" s="6"/>
      <c r="C4486" s="6"/>
      <c r="D4486" s="6"/>
      <c r="E4486" s="6"/>
      <c r="G4486" s="1"/>
      <c r="H4486" s="2"/>
    </row>
    <row r="4487" spans="1:8" x14ac:dyDescent="0.25">
      <c r="A4487" s="5"/>
      <c r="B4487" s="6"/>
      <c r="C4487" s="6"/>
      <c r="D4487" s="6"/>
      <c r="E4487" s="6"/>
      <c r="G4487" s="3"/>
      <c r="H4487" s="2"/>
    </row>
    <row r="4488" spans="1:8" x14ac:dyDescent="0.25">
      <c r="A4488" s="5"/>
      <c r="B4488" s="6"/>
      <c r="C4488" s="6"/>
      <c r="D4488" s="6"/>
      <c r="E4488" s="6"/>
      <c r="G4488" s="1"/>
      <c r="H4488" s="2"/>
    </row>
    <row r="4489" spans="1:8" x14ac:dyDescent="0.25">
      <c r="A4489" s="5"/>
      <c r="B4489" s="6"/>
      <c r="C4489" s="6"/>
      <c r="D4489" s="6"/>
      <c r="E4489" s="6"/>
      <c r="G4489" s="3"/>
      <c r="H4489" s="2"/>
    </row>
    <row r="4490" spans="1:8" x14ac:dyDescent="0.25">
      <c r="A4490" s="5"/>
      <c r="B4490" s="6"/>
      <c r="C4490" s="6"/>
      <c r="D4490" s="6"/>
      <c r="E4490" s="6"/>
      <c r="G4490" s="1"/>
      <c r="H4490" s="2"/>
    </row>
    <row r="4491" spans="1:8" x14ac:dyDescent="0.25">
      <c r="A4491" s="5"/>
      <c r="B4491" s="6"/>
      <c r="C4491" s="6"/>
      <c r="D4491" s="6"/>
      <c r="E4491" s="6"/>
      <c r="G4491" s="3"/>
      <c r="H4491" s="2"/>
    </row>
    <row r="4492" spans="1:8" x14ac:dyDescent="0.25">
      <c r="A4492" s="5"/>
      <c r="B4492" s="6"/>
      <c r="C4492" s="6"/>
      <c r="D4492" s="6"/>
      <c r="E4492" s="6"/>
      <c r="G4492" s="1"/>
      <c r="H4492" s="2"/>
    </row>
    <row r="4493" spans="1:8" x14ac:dyDescent="0.25">
      <c r="A4493" s="5"/>
      <c r="B4493" s="6"/>
      <c r="C4493" s="6"/>
      <c r="D4493" s="6"/>
      <c r="E4493" s="6"/>
      <c r="G4493" s="3"/>
      <c r="H4493" s="2"/>
    </row>
    <row r="4494" spans="1:8" x14ac:dyDescent="0.25">
      <c r="A4494" s="5"/>
      <c r="B4494" s="6"/>
      <c r="C4494" s="6"/>
      <c r="D4494" s="6"/>
      <c r="E4494" s="6"/>
      <c r="G4494" s="1"/>
      <c r="H4494" s="2"/>
    </row>
    <row r="4495" spans="1:8" x14ac:dyDescent="0.25">
      <c r="A4495" s="5"/>
      <c r="B4495" s="6"/>
      <c r="C4495" s="6"/>
      <c r="D4495" s="6"/>
      <c r="E4495" s="6"/>
      <c r="G4495" s="3"/>
      <c r="H4495" s="2"/>
    </row>
    <row r="4496" spans="1:8" x14ac:dyDescent="0.25">
      <c r="A4496" s="5"/>
      <c r="B4496" s="6"/>
      <c r="C4496" s="6"/>
      <c r="D4496" s="6"/>
      <c r="E4496" s="6"/>
      <c r="G4496" s="1"/>
      <c r="H4496" s="2"/>
    </row>
    <row r="4497" spans="1:8" x14ac:dyDescent="0.25">
      <c r="A4497" s="5"/>
      <c r="B4497" s="6"/>
      <c r="C4497" s="6"/>
      <c r="D4497" s="6"/>
      <c r="E4497" s="6"/>
      <c r="G4497" s="3"/>
      <c r="H4497" s="2"/>
    </row>
    <row r="4498" spans="1:8" x14ac:dyDescent="0.25">
      <c r="A4498" s="5"/>
      <c r="B4498" s="6"/>
      <c r="C4498" s="6"/>
      <c r="D4498" s="6"/>
      <c r="E4498" s="6"/>
      <c r="G4498" s="1"/>
      <c r="H4498" s="2"/>
    </row>
    <row r="4499" spans="1:8" x14ac:dyDescent="0.25">
      <c r="A4499" s="5"/>
      <c r="B4499" s="6"/>
      <c r="C4499" s="6"/>
      <c r="D4499" s="6"/>
      <c r="E4499" s="6"/>
      <c r="G4499" s="3"/>
      <c r="H4499" s="2"/>
    </row>
    <row r="4500" spans="1:8" x14ac:dyDescent="0.25">
      <c r="A4500" s="5"/>
      <c r="B4500" s="6"/>
      <c r="C4500" s="6"/>
      <c r="D4500" s="6"/>
      <c r="E4500" s="6"/>
      <c r="G4500" s="1"/>
      <c r="H4500" s="2"/>
    </row>
    <row r="4501" spans="1:8" x14ac:dyDescent="0.25">
      <c r="A4501" s="5"/>
      <c r="B4501" s="6"/>
      <c r="C4501" s="6"/>
      <c r="D4501" s="6"/>
      <c r="E4501" s="6"/>
      <c r="G4501" s="3"/>
      <c r="H4501" s="2"/>
    </row>
    <row r="4502" spans="1:8" x14ac:dyDescent="0.25">
      <c r="A4502" s="5"/>
      <c r="B4502" s="6"/>
      <c r="C4502" s="6"/>
      <c r="D4502" s="6"/>
      <c r="E4502" s="6"/>
      <c r="G4502" s="1"/>
      <c r="H4502" s="2"/>
    </row>
    <row r="4503" spans="1:8" x14ac:dyDescent="0.25">
      <c r="A4503" s="5"/>
      <c r="B4503" s="6"/>
      <c r="C4503" s="6"/>
      <c r="D4503" s="6"/>
      <c r="E4503" s="6"/>
      <c r="G4503" s="3"/>
      <c r="H4503" s="2"/>
    </row>
    <row r="4504" spans="1:8" x14ac:dyDescent="0.25">
      <c r="A4504" s="5"/>
      <c r="B4504" s="6"/>
      <c r="C4504" s="6"/>
      <c r="D4504" s="6"/>
      <c r="E4504" s="6"/>
      <c r="G4504" s="1"/>
      <c r="H4504" s="2"/>
    </row>
    <row r="4505" spans="1:8" x14ac:dyDescent="0.25">
      <c r="A4505" s="5"/>
      <c r="B4505" s="6"/>
      <c r="C4505" s="6"/>
      <c r="D4505" s="6"/>
      <c r="E4505" s="6"/>
      <c r="G4505" s="3"/>
      <c r="H4505" s="2"/>
    </row>
    <row r="4506" spans="1:8" x14ac:dyDescent="0.25">
      <c r="A4506" s="5"/>
      <c r="B4506" s="6"/>
      <c r="C4506" s="6"/>
      <c r="D4506" s="6"/>
      <c r="E4506" s="6"/>
      <c r="G4506" s="1"/>
      <c r="H4506" s="2"/>
    </row>
    <row r="4507" spans="1:8" x14ac:dyDescent="0.25">
      <c r="A4507" s="5"/>
      <c r="B4507" s="6"/>
      <c r="C4507" s="6"/>
      <c r="D4507" s="6"/>
      <c r="E4507" s="6"/>
      <c r="G4507" s="3"/>
      <c r="H4507" s="2"/>
    </row>
    <row r="4508" spans="1:8" x14ac:dyDescent="0.25">
      <c r="A4508" s="5"/>
      <c r="B4508" s="6"/>
      <c r="C4508" s="6"/>
      <c r="D4508" s="6"/>
      <c r="E4508" s="6"/>
      <c r="G4508" s="1"/>
      <c r="H4508" s="2"/>
    </row>
    <row r="4509" spans="1:8" x14ac:dyDescent="0.25">
      <c r="A4509" s="5"/>
      <c r="B4509" s="6"/>
      <c r="C4509" s="6"/>
      <c r="D4509" s="6"/>
      <c r="E4509" s="6"/>
      <c r="G4509" s="3"/>
      <c r="H4509" s="2"/>
    </row>
    <row r="4510" spans="1:8" x14ac:dyDescent="0.25">
      <c r="A4510" s="5"/>
      <c r="B4510" s="6"/>
      <c r="C4510" s="6"/>
      <c r="D4510" s="6"/>
      <c r="E4510" s="6"/>
      <c r="G4510" s="1"/>
      <c r="H4510" s="2"/>
    </row>
    <row r="4511" spans="1:8" x14ac:dyDescent="0.25">
      <c r="A4511" s="5"/>
      <c r="B4511" s="6"/>
      <c r="C4511" s="6"/>
      <c r="D4511" s="6"/>
      <c r="E4511" s="6"/>
      <c r="G4511" s="3"/>
      <c r="H4511" s="2"/>
    </row>
    <row r="4512" spans="1:8" x14ac:dyDescent="0.25">
      <c r="A4512" s="5"/>
      <c r="B4512" s="6"/>
      <c r="C4512" s="6"/>
      <c r="D4512" s="6"/>
      <c r="E4512" s="6"/>
      <c r="G4512" s="1"/>
      <c r="H4512" s="2"/>
    </row>
    <row r="4513" spans="1:8" x14ac:dyDescent="0.25">
      <c r="A4513" s="5"/>
      <c r="B4513" s="6"/>
      <c r="C4513" s="6"/>
      <c r="D4513" s="6"/>
      <c r="E4513" s="6"/>
      <c r="G4513" s="3"/>
      <c r="H4513" s="2"/>
    </row>
    <row r="4514" spans="1:8" x14ac:dyDescent="0.25">
      <c r="A4514" s="5"/>
      <c r="B4514" s="6"/>
      <c r="C4514" s="6"/>
      <c r="D4514" s="6"/>
      <c r="E4514" s="6"/>
      <c r="G4514" s="1"/>
      <c r="H4514" s="2"/>
    </row>
    <row r="4515" spans="1:8" x14ac:dyDescent="0.25">
      <c r="A4515" s="5"/>
      <c r="B4515" s="6"/>
      <c r="C4515" s="6"/>
      <c r="D4515" s="6"/>
      <c r="E4515" s="6"/>
      <c r="G4515" s="3"/>
      <c r="H4515" s="2"/>
    </row>
    <row r="4516" spans="1:8" x14ac:dyDescent="0.25">
      <c r="A4516" s="5"/>
      <c r="B4516" s="6"/>
      <c r="C4516" s="6"/>
      <c r="D4516" s="6"/>
      <c r="E4516" s="6"/>
      <c r="G4516" s="1"/>
      <c r="H4516" s="2"/>
    </row>
    <row r="4517" spans="1:8" x14ac:dyDescent="0.25">
      <c r="A4517" s="5"/>
      <c r="B4517" s="6"/>
      <c r="C4517" s="6"/>
      <c r="D4517" s="6"/>
      <c r="E4517" s="6"/>
      <c r="G4517" s="3"/>
      <c r="H4517" s="2"/>
    </row>
    <row r="4518" spans="1:8" x14ac:dyDescent="0.25">
      <c r="A4518" s="5"/>
      <c r="B4518" s="6"/>
      <c r="C4518" s="6"/>
      <c r="D4518" s="6"/>
      <c r="E4518" s="6"/>
      <c r="G4518" s="1"/>
      <c r="H4518" s="2"/>
    </row>
    <row r="4519" spans="1:8" x14ac:dyDescent="0.25">
      <c r="A4519" s="5"/>
      <c r="B4519" s="6"/>
      <c r="C4519" s="6"/>
      <c r="D4519" s="6"/>
      <c r="E4519" s="6"/>
      <c r="G4519" s="3"/>
      <c r="H4519" s="2"/>
    </row>
    <row r="4520" spans="1:8" x14ac:dyDescent="0.25">
      <c r="A4520" s="5"/>
      <c r="B4520" s="6"/>
      <c r="C4520" s="6"/>
      <c r="D4520" s="6"/>
      <c r="E4520" s="6"/>
      <c r="G4520" s="1"/>
      <c r="H4520" s="2"/>
    </row>
    <row r="4521" spans="1:8" x14ac:dyDescent="0.25">
      <c r="A4521" s="5"/>
      <c r="B4521" s="6"/>
      <c r="C4521" s="6"/>
      <c r="D4521" s="6"/>
      <c r="E4521" s="6"/>
      <c r="G4521" s="3"/>
      <c r="H4521" s="2"/>
    </row>
    <row r="4522" spans="1:8" x14ac:dyDescent="0.25">
      <c r="A4522" s="5"/>
      <c r="B4522" s="6"/>
      <c r="C4522" s="6"/>
      <c r="D4522" s="6"/>
      <c r="E4522" s="6"/>
      <c r="G4522" s="1"/>
      <c r="H4522" s="2"/>
    </row>
    <row r="4523" spans="1:8" x14ac:dyDescent="0.25">
      <c r="A4523" s="5"/>
      <c r="B4523" s="6"/>
      <c r="C4523" s="6"/>
      <c r="D4523" s="6"/>
      <c r="E4523" s="6"/>
      <c r="G4523" s="3"/>
      <c r="H4523" s="2"/>
    </row>
    <row r="4524" spans="1:8" x14ac:dyDescent="0.25">
      <c r="A4524" s="5"/>
      <c r="B4524" s="6"/>
      <c r="C4524" s="6"/>
      <c r="D4524" s="6"/>
      <c r="E4524" s="6"/>
      <c r="G4524" s="1"/>
      <c r="H4524" s="2"/>
    </row>
    <row r="4525" spans="1:8" x14ac:dyDescent="0.25">
      <c r="A4525" s="5"/>
      <c r="B4525" s="6"/>
      <c r="C4525" s="6"/>
      <c r="D4525" s="6"/>
      <c r="E4525" s="6"/>
      <c r="G4525" s="3"/>
      <c r="H4525" s="2"/>
    </row>
    <row r="4526" spans="1:8" x14ac:dyDescent="0.25">
      <c r="A4526" s="5"/>
      <c r="B4526" s="6"/>
      <c r="C4526" s="6"/>
      <c r="D4526" s="6"/>
      <c r="E4526" s="6"/>
      <c r="G4526" s="1"/>
      <c r="H4526" s="2"/>
    </row>
    <row r="4527" spans="1:8" x14ac:dyDescent="0.25">
      <c r="A4527" s="5"/>
      <c r="B4527" s="6"/>
      <c r="C4527" s="6"/>
      <c r="D4527" s="6"/>
      <c r="E4527" s="6"/>
      <c r="G4527" s="3"/>
      <c r="H4527" s="2"/>
    </row>
    <row r="4528" spans="1:8" x14ac:dyDescent="0.25">
      <c r="A4528" s="5"/>
      <c r="B4528" s="6"/>
      <c r="C4528" s="6"/>
      <c r="D4528" s="6"/>
      <c r="E4528" s="6"/>
      <c r="G4528" s="1"/>
      <c r="H4528" s="2"/>
    </row>
    <row r="4529" spans="1:8" x14ac:dyDescent="0.25">
      <c r="A4529" s="5"/>
      <c r="B4529" s="6"/>
      <c r="C4529" s="6"/>
      <c r="D4529" s="6"/>
      <c r="E4529" s="6"/>
      <c r="G4529" s="3"/>
      <c r="H4529" s="2"/>
    </row>
    <row r="4530" spans="1:8" x14ac:dyDescent="0.25">
      <c r="A4530" s="5"/>
      <c r="B4530" s="6"/>
      <c r="C4530" s="6"/>
      <c r="D4530" s="6"/>
      <c r="E4530" s="6"/>
      <c r="G4530" s="1"/>
      <c r="H4530" s="2"/>
    </row>
    <row r="4531" spans="1:8" x14ac:dyDescent="0.25">
      <c r="A4531" s="5"/>
      <c r="B4531" s="6"/>
      <c r="C4531" s="6"/>
      <c r="D4531" s="6"/>
      <c r="E4531" s="6"/>
      <c r="G4531" s="3"/>
      <c r="H4531" s="2"/>
    </row>
    <row r="4532" spans="1:8" x14ac:dyDescent="0.25">
      <c r="A4532" s="5"/>
      <c r="B4532" s="6"/>
      <c r="C4532" s="6"/>
      <c r="D4532" s="6"/>
      <c r="E4532" s="6"/>
      <c r="G4532" s="1"/>
      <c r="H4532" s="2"/>
    </row>
    <row r="4533" spans="1:8" x14ac:dyDescent="0.25">
      <c r="A4533" s="5"/>
      <c r="B4533" s="6"/>
      <c r="C4533" s="6"/>
      <c r="D4533" s="6"/>
      <c r="E4533" s="6"/>
      <c r="G4533" s="3"/>
      <c r="H4533" s="2"/>
    </row>
    <row r="4534" spans="1:8" x14ac:dyDescent="0.25">
      <c r="A4534" s="5"/>
      <c r="B4534" s="6"/>
      <c r="C4534" s="6"/>
      <c r="D4534" s="6"/>
      <c r="E4534" s="6"/>
      <c r="G4534" s="1"/>
      <c r="H4534" s="2"/>
    </row>
    <row r="4535" spans="1:8" x14ac:dyDescent="0.25">
      <c r="A4535" s="5"/>
      <c r="B4535" s="6"/>
      <c r="C4535" s="6"/>
      <c r="D4535" s="6"/>
      <c r="E4535" s="6"/>
      <c r="G4535" s="3"/>
      <c r="H4535" s="2"/>
    </row>
    <row r="4536" spans="1:8" x14ac:dyDescent="0.25">
      <c r="A4536" s="5"/>
      <c r="B4536" s="6"/>
      <c r="C4536" s="6"/>
      <c r="D4536" s="6"/>
      <c r="E4536" s="6"/>
      <c r="G4536" s="1"/>
      <c r="H4536" s="2"/>
    </row>
    <row r="4537" spans="1:8" x14ac:dyDescent="0.25">
      <c r="A4537" s="5"/>
      <c r="B4537" s="6"/>
      <c r="C4537" s="6"/>
      <c r="D4537" s="6"/>
      <c r="E4537" s="6"/>
      <c r="G4537" s="3"/>
      <c r="H4537" s="2"/>
    </row>
    <row r="4538" spans="1:8" x14ac:dyDescent="0.25">
      <c r="A4538" s="5"/>
      <c r="B4538" s="6"/>
      <c r="C4538" s="6"/>
      <c r="D4538" s="6"/>
      <c r="E4538" s="6"/>
      <c r="G4538" s="1"/>
      <c r="H4538" s="2"/>
    </row>
    <row r="4539" spans="1:8" x14ac:dyDescent="0.25">
      <c r="A4539" s="5"/>
      <c r="B4539" s="6"/>
      <c r="C4539" s="6"/>
      <c r="D4539" s="6"/>
      <c r="E4539" s="6"/>
      <c r="G4539" s="3"/>
      <c r="H4539" s="2"/>
    </row>
    <row r="4540" spans="1:8" x14ac:dyDescent="0.25">
      <c r="A4540" s="5"/>
      <c r="B4540" s="6"/>
      <c r="C4540" s="6"/>
      <c r="D4540" s="6"/>
      <c r="E4540" s="6"/>
      <c r="G4540" s="1"/>
      <c r="H4540" s="2"/>
    </row>
    <row r="4541" spans="1:8" x14ac:dyDescent="0.25">
      <c r="A4541" s="5"/>
      <c r="B4541" s="6"/>
      <c r="C4541" s="6"/>
      <c r="D4541" s="6"/>
      <c r="E4541" s="6"/>
      <c r="G4541" s="3"/>
      <c r="H4541" s="2"/>
    </row>
    <row r="4542" spans="1:8" x14ac:dyDescent="0.25">
      <c r="A4542" s="5"/>
      <c r="B4542" s="6"/>
      <c r="C4542" s="6"/>
      <c r="D4542" s="6"/>
      <c r="E4542" s="6"/>
      <c r="G4542" s="1"/>
      <c r="H4542" s="2"/>
    </row>
    <row r="4543" spans="1:8" x14ac:dyDescent="0.25">
      <c r="A4543" s="5"/>
      <c r="B4543" s="6"/>
      <c r="C4543" s="6"/>
      <c r="D4543" s="6"/>
      <c r="E4543" s="6"/>
      <c r="G4543" s="3"/>
      <c r="H4543" s="2"/>
    </row>
    <row r="4544" spans="1:8" x14ac:dyDescent="0.25">
      <c r="A4544" s="5"/>
      <c r="B4544" s="6"/>
      <c r="C4544" s="6"/>
      <c r="D4544" s="6"/>
      <c r="E4544" s="6"/>
      <c r="G4544" s="1"/>
      <c r="H4544" s="2"/>
    </row>
    <row r="4545" spans="1:8" x14ac:dyDescent="0.25">
      <c r="A4545" s="5"/>
      <c r="B4545" s="6"/>
      <c r="C4545" s="6"/>
      <c r="D4545" s="6"/>
      <c r="E4545" s="6"/>
      <c r="G4545" s="3"/>
      <c r="H4545" s="2"/>
    </row>
    <row r="4546" spans="1:8" x14ac:dyDescent="0.25">
      <c r="A4546" s="5"/>
      <c r="B4546" s="6"/>
      <c r="C4546" s="6"/>
      <c r="D4546" s="6"/>
      <c r="E4546" s="6"/>
      <c r="G4546" s="1"/>
      <c r="H4546" s="2"/>
    </row>
    <row r="4547" spans="1:8" x14ac:dyDescent="0.25">
      <c r="A4547" s="5"/>
      <c r="B4547" s="6"/>
      <c r="C4547" s="6"/>
      <c r="D4547" s="6"/>
      <c r="E4547" s="6"/>
      <c r="G4547" s="3"/>
      <c r="H4547" s="2"/>
    </row>
    <row r="4548" spans="1:8" x14ac:dyDescent="0.25">
      <c r="A4548" s="5"/>
      <c r="B4548" s="6"/>
      <c r="C4548" s="6"/>
      <c r="D4548" s="6"/>
      <c r="E4548" s="6"/>
      <c r="G4548" s="1"/>
      <c r="H4548" s="2"/>
    </row>
    <row r="4549" spans="1:8" x14ac:dyDescent="0.25">
      <c r="A4549" s="5"/>
      <c r="B4549" s="6"/>
      <c r="C4549" s="6"/>
      <c r="D4549" s="6"/>
      <c r="E4549" s="6"/>
      <c r="G4549" s="3"/>
      <c r="H4549" s="2"/>
    </row>
    <row r="4550" spans="1:8" x14ac:dyDescent="0.25">
      <c r="A4550" s="5"/>
      <c r="B4550" s="6"/>
      <c r="C4550" s="6"/>
      <c r="D4550" s="6"/>
      <c r="E4550" s="6"/>
      <c r="G4550" s="1"/>
      <c r="H4550" s="2"/>
    </row>
    <row r="4551" spans="1:8" x14ac:dyDescent="0.25">
      <c r="A4551" s="5"/>
      <c r="B4551" s="6"/>
      <c r="C4551" s="6"/>
      <c r="D4551" s="6"/>
      <c r="E4551" s="6"/>
      <c r="G4551" s="3"/>
      <c r="H4551" s="2"/>
    </row>
    <row r="4552" spans="1:8" x14ac:dyDescent="0.25">
      <c r="A4552" s="5"/>
      <c r="B4552" s="6"/>
      <c r="C4552" s="6"/>
      <c r="D4552" s="6"/>
      <c r="E4552" s="6"/>
      <c r="G4552" s="1"/>
      <c r="H4552" s="2"/>
    </row>
    <row r="4553" spans="1:8" x14ac:dyDescent="0.25">
      <c r="A4553" s="5"/>
      <c r="B4553" s="6"/>
      <c r="C4553" s="6"/>
      <c r="D4553" s="6"/>
      <c r="E4553" s="6"/>
      <c r="G4553" s="3"/>
      <c r="H4553" s="2"/>
    </row>
    <row r="4554" spans="1:8" x14ac:dyDescent="0.25">
      <c r="A4554" s="5"/>
      <c r="B4554" s="6"/>
      <c r="C4554" s="6"/>
      <c r="D4554" s="6"/>
      <c r="E4554" s="6"/>
      <c r="G4554" s="1"/>
      <c r="H4554" s="2"/>
    </row>
    <row r="4555" spans="1:8" x14ac:dyDescent="0.25">
      <c r="A4555" s="5"/>
      <c r="B4555" s="6"/>
      <c r="C4555" s="6"/>
      <c r="D4555" s="6"/>
      <c r="E4555" s="6"/>
      <c r="G4555" s="3"/>
      <c r="H4555" s="2"/>
    </row>
    <row r="4556" spans="1:8" x14ac:dyDescent="0.25">
      <c r="A4556" s="5"/>
      <c r="B4556" s="6"/>
      <c r="C4556" s="6"/>
      <c r="D4556" s="6"/>
      <c r="E4556" s="6"/>
      <c r="G4556" s="1"/>
      <c r="H4556" s="2"/>
    </row>
    <row r="4557" spans="1:8" x14ac:dyDescent="0.25">
      <c r="A4557" s="5"/>
      <c r="B4557" s="6"/>
      <c r="C4557" s="6"/>
      <c r="D4557" s="6"/>
      <c r="E4557" s="6"/>
      <c r="G4557" s="3"/>
      <c r="H4557" s="2"/>
    </row>
    <row r="4558" spans="1:8" x14ac:dyDescent="0.25">
      <c r="A4558" s="5"/>
      <c r="B4558" s="6"/>
      <c r="C4558" s="6"/>
      <c r="D4558" s="6"/>
      <c r="E4558" s="6"/>
      <c r="G4558" s="1"/>
      <c r="H4558" s="2"/>
    </row>
    <row r="4559" spans="1:8" x14ac:dyDescent="0.25">
      <c r="A4559" s="5"/>
      <c r="B4559" s="6"/>
      <c r="C4559" s="6"/>
      <c r="D4559" s="6"/>
      <c r="E4559" s="6"/>
      <c r="G4559" s="3"/>
      <c r="H4559" s="2"/>
    </row>
    <row r="4560" spans="1:8" x14ac:dyDescent="0.25">
      <c r="A4560" s="5"/>
      <c r="B4560" s="6"/>
      <c r="C4560" s="6"/>
      <c r="D4560" s="6"/>
      <c r="E4560" s="6"/>
      <c r="G4560" s="1"/>
      <c r="H4560" s="2"/>
    </row>
    <row r="4561" spans="1:8" x14ac:dyDescent="0.25">
      <c r="A4561" s="5"/>
      <c r="B4561" s="6"/>
      <c r="C4561" s="6"/>
      <c r="D4561" s="6"/>
      <c r="E4561" s="6"/>
      <c r="G4561" s="3"/>
      <c r="H4561" s="2"/>
    </row>
    <row r="4562" spans="1:8" x14ac:dyDescent="0.25">
      <c r="A4562" s="5"/>
      <c r="B4562" s="6"/>
      <c r="C4562" s="6"/>
      <c r="D4562" s="6"/>
      <c r="E4562" s="6"/>
      <c r="G4562" s="1"/>
      <c r="H4562" s="2"/>
    </row>
    <row r="4563" spans="1:8" x14ac:dyDescent="0.25">
      <c r="A4563" s="5"/>
      <c r="B4563" s="6"/>
      <c r="C4563" s="6"/>
      <c r="D4563" s="6"/>
      <c r="E4563" s="6"/>
      <c r="G4563" s="3"/>
      <c r="H4563" s="2"/>
    </row>
    <row r="4564" spans="1:8" x14ac:dyDescent="0.25">
      <c r="A4564" s="5"/>
      <c r="B4564" s="6"/>
      <c r="C4564" s="6"/>
      <c r="D4564" s="6"/>
      <c r="E4564" s="6"/>
      <c r="G4564" s="1"/>
      <c r="H4564" s="2"/>
    </row>
    <row r="4565" spans="1:8" x14ac:dyDescent="0.25">
      <c r="A4565" s="5"/>
      <c r="B4565" s="6"/>
      <c r="C4565" s="6"/>
      <c r="D4565" s="6"/>
      <c r="E4565" s="6"/>
      <c r="G4565" s="3"/>
      <c r="H4565" s="2"/>
    </row>
    <row r="4566" spans="1:8" x14ac:dyDescent="0.25">
      <c r="A4566" s="5"/>
      <c r="B4566" s="6"/>
      <c r="C4566" s="6"/>
      <c r="D4566" s="6"/>
      <c r="E4566" s="6"/>
      <c r="G4566" s="1"/>
      <c r="H4566" s="2"/>
    </row>
    <row r="4567" spans="1:8" x14ac:dyDescent="0.25">
      <c r="A4567" s="5"/>
      <c r="B4567" s="6"/>
      <c r="C4567" s="6"/>
      <c r="D4567" s="6"/>
      <c r="E4567" s="6"/>
      <c r="G4567" s="3"/>
      <c r="H4567" s="2"/>
    </row>
    <row r="4568" spans="1:8" x14ac:dyDescent="0.25">
      <c r="A4568" s="5"/>
      <c r="B4568" s="6"/>
      <c r="C4568" s="6"/>
      <c r="D4568" s="6"/>
      <c r="E4568" s="6"/>
      <c r="G4568" s="1"/>
      <c r="H4568" s="2"/>
    </row>
    <row r="4569" spans="1:8" x14ac:dyDescent="0.25">
      <c r="A4569" s="5"/>
      <c r="B4569" s="6"/>
      <c r="C4569" s="6"/>
      <c r="D4569" s="6"/>
      <c r="E4569" s="6"/>
      <c r="G4569" s="3"/>
      <c r="H4569" s="2"/>
    </row>
    <row r="4570" spans="1:8" x14ac:dyDescent="0.25">
      <c r="A4570" s="5"/>
      <c r="B4570" s="6"/>
      <c r="C4570" s="6"/>
      <c r="D4570" s="6"/>
      <c r="E4570" s="6"/>
      <c r="G4570" s="1"/>
      <c r="H4570" s="2"/>
    </row>
    <row r="4571" spans="1:8" x14ac:dyDescent="0.25">
      <c r="A4571" s="5"/>
      <c r="B4571" s="6"/>
      <c r="C4571" s="6"/>
      <c r="D4571" s="6"/>
      <c r="E4571" s="6"/>
      <c r="G4571" s="3"/>
      <c r="H4571" s="2"/>
    </row>
    <row r="4572" spans="1:8" x14ac:dyDescent="0.25">
      <c r="A4572" s="5"/>
      <c r="B4572" s="6"/>
      <c r="C4572" s="6"/>
      <c r="D4572" s="6"/>
      <c r="E4572" s="6"/>
      <c r="G4572" s="1"/>
      <c r="H4572" s="2"/>
    </row>
    <row r="4573" spans="1:8" x14ac:dyDescent="0.25">
      <c r="A4573" s="5"/>
      <c r="B4573" s="6"/>
      <c r="C4573" s="6"/>
      <c r="D4573" s="6"/>
      <c r="E4573" s="6"/>
      <c r="G4573" s="3"/>
      <c r="H4573" s="2"/>
    </row>
    <row r="4574" spans="1:8" x14ac:dyDescent="0.25">
      <c r="A4574" s="5"/>
      <c r="B4574" s="6"/>
      <c r="C4574" s="6"/>
      <c r="D4574" s="6"/>
      <c r="E4574" s="6"/>
      <c r="G4574" s="1"/>
      <c r="H4574" s="2"/>
    </row>
    <row r="4575" spans="1:8" x14ac:dyDescent="0.25">
      <c r="A4575" s="5"/>
      <c r="B4575" s="6"/>
      <c r="C4575" s="6"/>
      <c r="D4575" s="6"/>
      <c r="E4575" s="6"/>
      <c r="G4575" s="3"/>
      <c r="H4575" s="2"/>
    </row>
    <row r="4576" spans="1:8" x14ac:dyDescent="0.25">
      <c r="A4576" s="5"/>
      <c r="B4576" s="6"/>
      <c r="C4576" s="6"/>
      <c r="D4576" s="6"/>
      <c r="E4576" s="6"/>
      <c r="G4576" s="1"/>
      <c r="H4576" s="2"/>
    </row>
    <row r="4577" spans="1:8" x14ac:dyDescent="0.25">
      <c r="A4577" s="5"/>
      <c r="B4577" s="6"/>
      <c r="C4577" s="6"/>
      <c r="D4577" s="6"/>
      <c r="E4577" s="6"/>
      <c r="G4577" s="3"/>
      <c r="H4577" s="2"/>
    </row>
    <row r="4578" spans="1:8" x14ac:dyDescent="0.25">
      <c r="A4578" s="5"/>
      <c r="B4578" s="6"/>
      <c r="C4578" s="6"/>
      <c r="D4578" s="6"/>
      <c r="E4578" s="6"/>
      <c r="G4578" s="1"/>
      <c r="H4578" s="2"/>
    </row>
    <row r="4579" spans="1:8" x14ac:dyDescent="0.25">
      <c r="A4579" s="5"/>
      <c r="B4579" s="6"/>
      <c r="C4579" s="6"/>
      <c r="D4579" s="6"/>
      <c r="E4579" s="6"/>
      <c r="G4579" s="3"/>
      <c r="H4579" s="2"/>
    </row>
    <row r="4580" spans="1:8" x14ac:dyDescent="0.25">
      <c r="A4580" s="5"/>
      <c r="B4580" s="6"/>
      <c r="C4580" s="6"/>
      <c r="D4580" s="6"/>
      <c r="E4580" s="6"/>
      <c r="G4580" s="1"/>
      <c r="H4580" s="2"/>
    </row>
    <row r="4581" spans="1:8" x14ac:dyDescent="0.25">
      <c r="A4581" s="5"/>
      <c r="B4581" s="6"/>
      <c r="C4581" s="6"/>
      <c r="D4581" s="6"/>
      <c r="E4581" s="6"/>
      <c r="G4581" s="3"/>
      <c r="H4581" s="2"/>
    </row>
    <row r="4582" spans="1:8" x14ac:dyDescent="0.25">
      <c r="A4582" s="5"/>
      <c r="B4582" s="6"/>
      <c r="C4582" s="6"/>
      <c r="D4582" s="6"/>
      <c r="E4582" s="6"/>
      <c r="G4582" s="1"/>
      <c r="H4582" s="2"/>
    </row>
    <row r="4583" spans="1:8" x14ac:dyDescent="0.25">
      <c r="A4583" s="5"/>
      <c r="B4583" s="6"/>
      <c r="C4583" s="6"/>
      <c r="D4583" s="6"/>
      <c r="E4583" s="6"/>
      <c r="G4583" s="3"/>
      <c r="H4583" s="2"/>
    </row>
    <row r="4584" spans="1:8" x14ac:dyDescent="0.25">
      <c r="A4584" s="5"/>
      <c r="B4584" s="6"/>
      <c r="C4584" s="6"/>
      <c r="D4584" s="6"/>
      <c r="E4584" s="6"/>
      <c r="G4584" s="1"/>
      <c r="H4584" s="2"/>
    </row>
    <row r="4585" spans="1:8" x14ac:dyDescent="0.25">
      <c r="A4585" s="5"/>
      <c r="B4585" s="6"/>
      <c r="C4585" s="6"/>
      <c r="D4585" s="6"/>
      <c r="E4585" s="6"/>
      <c r="G4585" s="14"/>
      <c r="H4585" s="2"/>
    </row>
    <row r="4586" spans="1:8" x14ac:dyDescent="0.25">
      <c r="A4586" s="5"/>
      <c r="B4586" s="6"/>
      <c r="C4586" s="6"/>
      <c r="D4586" s="6"/>
      <c r="E4586" s="6"/>
      <c r="G4586" s="14"/>
      <c r="H4586" s="2"/>
    </row>
    <row r="4587" spans="1:8" x14ac:dyDescent="0.25">
      <c r="A4587" s="5"/>
      <c r="B4587" s="6"/>
      <c r="C4587" s="6"/>
      <c r="D4587" s="6"/>
      <c r="E4587" s="6"/>
      <c r="G4587" s="14"/>
      <c r="H4587" s="2"/>
    </row>
    <row r="4588" spans="1:8" x14ac:dyDescent="0.25">
      <c r="A4588" s="5"/>
      <c r="B4588" s="6"/>
      <c r="C4588" s="6"/>
      <c r="D4588" s="6"/>
      <c r="E4588" s="6"/>
      <c r="G4588" s="14"/>
      <c r="H4588" s="2"/>
    </row>
    <row r="4589" spans="1:8" x14ac:dyDescent="0.25">
      <c r="A4589" s="5"/>
      <c r="B4589" s="6"/>
      <c r="C4589" s="6"/>
      <c r="D4589" s="6"/>
      <c r="E4589" s="6"/>
      <c r="G4589" s="14"/>
      <c r="H4589" s="2"/>
    </row>
    <row r="4590" spans="1:8" x14ac:dyDescent="0.25">
      <c r="A4590" s="5"/>
      <c r="B4590" s="6"/>
      <c r="C4590" s="6"/>
      <c r="D4590" s="6"/>
      <c r="E4590" s="6"/>
      <c r="G4590" s="14"/>
      <c r="H4590" s="2"/>
    </row>
    <row r="4591" spans="1:8" x14ac:dyDescent="0.25">
      <c r="A4591" s="5"/>
      <c r="B4591" s="6"/>
      <c r="C4591" s="6"/>
      <c r="D4591" s="6"/>
      <c r="E4591" s="6"/>
    </row>
    <row r="4592" spans="1:8" x14ac:dyDescent="0.25">
      <c r="A4592" s="5"/>
      <c r="B4592" s="6"/>
      <c r="C4592" s="6"/>
      <c r="D4592" s="6"/>
      <c r="E4592" s="6"/>
      <c r="G4592" s="3"/>
      <c r="H4592" s="2"/>
    </row>
    <row r="4593" spans="1:8" x14ac:dyDescent="0.25">
      <c r="A4593" s="5"/>
      <c r="B4593" s="6"/>
      <c r="C4593" s="6"/>
      <c r="D4593" s="6"/>
      <c r="E4593" s="6"/>
      <c r="G4593" s="1"/>
      <c r="H4593" s="2"/>
    </row>
    <row r="4594" spans="1:8" x14ac:dyDescent="0.25">
      <c r="A4594" s="5"/>
      <c r="B4594" s="6"/>
      <c r="C4594" s="6"/>
      <c r="D4594" s="6"/>
      <c r="E4594" s="6"/>
      <c r="G4594" s="3"/>
      <c r="H4594" s="2"/>
    </row>
    <row r="4595" spans="1:8" x14ac:dyDescent="0.25">
      <c r="A4595" s="5"/>
      <c r="B4595" s="6"/>
      <c r="C4595" s="6"/>
      <c r="D4595" s="6"/>
      <c r="E4595" s="6"/>
      <c r="G4595" s="1"/>
      <c r="H4595" s="2"/>
    </row>
    <row r="4596" spans="1:8" x14ac:dyDescent="0.25">
      <c r="A4596" s="5"/>
      <c r="B4596" s="6"/>
      <c r="C4596" s="6"/>
      <c r="D4596" s="6"/>
      <c r="E4596" s="6"/>
      <c r="G4596" s="3"/>
      <c r="H4596" s="2"/>
    </row>
    <row r="4597" spans="1:8" x14ac:dyDescent="0.25">
      <c r="A4597" s="5"/>
      <c r="B4597" s="6"/>
      <c r="C4597" s="6"/>
      <c r="D4597" s="6"/>
      <c r="E4597" s="6"/>
      <c r="G4597" s="1"/>
      <c r="H4597" s="2"/>
    </row>
    <row r="4598" spans="1:8" x14ac:dyDescent="0.25">
      <c r="A4598" s="5"/>
      <c r="B4598" s="6"/>
      <c r="C4598" s="6"/>
      <c r="D4598" s="6"/>
      <c r="E4598" s="6"/>
      <c r="G4598" s="3"/>
      <c r="H4598" s="2"/>
    </row>
    <row r="4599" spans="1:8" x14ac:dyDescent="0.25">
      <c r="A4599" s="5"/>
      <c r="B4599" s="6"/>
      <c r="C4599" s="6"/>
      <c r="D4599" s="6"/>
      <c r="E4599" s="6"/>
      <c r="G4599" s="1"/>
      <c r="H4599" s="2"/>
    </row>
    <row r="4600" spans="1:8" x14ac:dyDescent="0.25">
      <c r="A4600" s="5"/>
      <c r="B4600" s="6"/>
      <c r="C4600" s="6"/>
      <c r="D4600" s="6"/>
      <c r="E4600" s="6"/>
      <c r="G4600" s="3"/>
      <c r="H4600" s="2"/>
    </row>
    <row r="4601" spans="1:8" x14ac:dyDescent="0.25">
      <c r="A4601" s="5"/>
      <c r="B4601" s="6"/>
      <c r="C4601" s="6"/>
      <c r="D4601" s="6"/>
      <c r="E4601" s="6"/>
      <c r="G4601" s="1"/>
      <c r="H4601" s="2"/>
    </row>
    <row r="4602" spans="1:8" x14ac:dyDescent="0.25">
      <c r="A4602" s="5"/>
      <c r="B4602" s="6"/>
      <c r="C4602" s="6"/>
      <c r="D4602" s="6"/>
      <c r="E4602" s="6"/>
      <c r="G4602" s="3"/>
      <c r="H4602" s="2"/>
    </row>
    <row r="4603" spans="1:8" x14ac:dyDescent="0.25">
      <c r="A4603" s="5"/>
      <c r="B4603" s="6"/>
      <c r="C4603" s="6"/>
      <c r="D4603" s="6"/>
      <c r="E4603" s="6"/>
      <c r="G4603" s="1"/>
      <c r="H4603" s="2"/>
    </row>
    <row r="4604" spans="1:8" x14ac:dyDescent="0.25">
      <c r="A4604" s="5"/>
      <c r="B4604" s="6"/>
      <c r="C4604" s="6"/>
      <c r="D4604" s="6"/>
      <c r="E4604" s="6"/>
      <c r="G4604" s="3"/>
      <c r="H4604" s="2"/>
    </row>
    <row r="4605" spans="1:8" x14ac:dyDescent="0.25">
      <c r="A4605" s="5"/>
      <c r="B4605" s="6"/>
      <c r="C4605" s="6"/>
      <c r="D4605" s="6"/>
      <c r="E4605" s="6"/>
      <c r="G4605" s="1"/>
      <c r="H4605" s="2"/>
    </row>
    <row r="4606" spans="1:8" x14ac:dyDescent="0.25">
      <c r="A4606" s="5"/>
      <c r="B4606" s="6"/>
      <c r="C4606" s="6"/>
      <c r="D4606" s="6"/>
      <c r="E4606" s="6"/>
      <c r="G4606" s="3"/>
      <c r="H4606" s="2"/>
    </row>
    <row r="4607" spans="1:8" x14ac:dyDescent="0.25">
      <c r="A4607" s="5"/>
      <c r="B4607" s="6"/>
      <c r="C4607" s="6"/>
      <c r="D4607" s="6"/>
      <c r="E4607" s="6"/>
      <c r="G4607" s="1"/>
      <c r="H4607" s="2"/>
    </row>
    <row r="4608" spans="1:8" x14ac:dyDescent="0.25">
      <c r="A4608" s="5"/>
      <c r="B4608" s="6"/>
      <c r="C4608" s="6"/>
      <c r="D4608" s="6"/>
      <c r="E4608" s="6"/>
      <c r="G4608" s="3"/>
      <c r="H4608" s="2"/>
    </row>
    <row r="4609" spans="1:8" x14ac:dyDescent="0.25">
      <c r="A4609" s="5"/>
      <c r="B4609" s="6"/>
      <c r="C4609" s="6"/>
      <c r="D4609" s="6"/>
      <c r="E4609" s="6"/>
      <c r="G4609" s="1"/>
      <c r="H4609" s="2"/>
    </row>
    <row r="4610" spans="1:8" x14ac:dyDescent="0.25">
      <c r="A4610" s="5"/>
      <c r="B4610" s="6"/>
      <c r="C4610" s="6"/>
      <c r="D4610" s="6"/>
      <c r="E4610" s="6"/>
      <c r="G4610" s="3"/>
      <c r="H4610" s="2"/>
    </row>
    <row r="4611" spans="1:8" x14ac:dyDescent="0.25">
      <c r="A4611" s="5"/>
      <c r="B4611" s="6"/>
      <c r="C4611" s="6"/>
      <c r="D4611" s="6"/>
      <c r="E4611" s="6"/>
      <c r="G4611" s="1"/>
      <c r="H4611" s="2"/>
    </row>
    <row r="4612" spans="1:8" x14ac:dyDescent="0.25">
      <c r="A4612" s="5"/>
      <c r="B4612" s="6"/>
      <c r="C4612" s="6"/>
      <c r="D4612" s="6"/>
      <c r="E4612" s="6"/>
      <c r="G4612" s="3"/>
      <c r="H4612" s="2"/>
    </row>
    <row r="4613" spans="1:8" x14ac:dyDescent="0.25">
      <c r="A4613" s="5"/>
      <c r="B4613" s="6"/>
      <c r="C4613" s="6"/>
      <c r="D4613" s="6"/>
      <c r="E4613" s="6"/>
      <c r="G4613" s="1"/>
      <c r="H4613" s="2"/>
    </row>
    <row r="4614" spans="1:8" x14ac:dyDescent="0.25">
      <c r="A4614" s="5"/>
      <c r="B4614" s="6"/>
      <c r="C4614" s="6"/>
      <c r="D4614" s="6"/>
      <c r="E4614" s="6"/>
      <c r="G4614" s="3"/>
      <c r="H4614" s="2"/>
    </row>
    <row r="4615" spans="1:8" x14ac:dyDescent="0.25">
      <c r="A4615" s="5"/>
      <c r="B4615" s="6"/>
      <c r="C4615" s="6"/>
      <c r="D4615" s="6"/>
      <c r="E4615" s="6"/>
      <c r="G4615" s="1"/>
      <c r="H4615" s="2"/>
    </row>
    <row r="4616" spans="1:8" x14ac:dyDescent="0.25">
      <c r="A4616" s="5"/>
      <c r="B4616" s="6"/>
      <c r="C4616" s="6"/>
      <c r="D4616" s="6"/>
      <c r="E4616" s="6"/>
      <c r="G4616" s="3"/>
      <c r="H4616" s="2"/>
    </row>
    <row r="4617" spans="1:8" x14ac:dyDescent="0.25">
      <c r="A4617" s="5"/>
      <c r="B4617" s="6"/>
      <c r="C4617" s="6"/>
      <c r="D4617" s="6"/>
      <c r="E4617" s="6"/>
      <c r="G4617" s="1"/>
      <c r="H4617" s="2"/>
    </row>
    <row r="4618" spans="1:8" x14ac:dyDescent="0.25">
      <c r="A4618" s="5"/>
      <c r="B4618" s="6"/>
      <c r="C4618" s="6"/>
      <c r="D4618" s="6"/>
      <c r="E4618" s="6"/>
      <c r="G4618" s="3"/>
      <c r="H4618" s="2"/>
    </row>
    <row r="4619" spans="1:8" x14ac:dyDescent="0.25">
      <c r="A4619" s="5"/>
      <c r="B4619" s="6"/>
      <c r="C4619" s="6"/>
      <c r="D4619" s="6"/>
      <c r="E4619" s="6"/>
      <c r="G4619" s="1"/>
      <c r="H4619" s="2"/>
    </row>
    <row r="4620" spans="1:8" x14ac:dyDescent="0.25">
      <c r="A4620" s="5"/>
      <c r="B4620" s="6"/>
      <c r="C4620" s="6"/>
      <c r="D4620" s="6"/>
      <c r="E4620" s="6"/>
      <c r="G4620" s="3"/>
      <c r="H4620" s="2"/>
    </row>
    <row r="4621" spans="1:8" x14ac:dyDescent="0.25">
      <c r="A4621" s="5"/>
      <c r="B4621" s="6"/>
      <c r="C4621" s="6"/>
      <c r="D4621" s="6"/>
      <c r="E4621" s="6"/>
      <c r="G4621" s="1"/>
      <c r="H4621" s="2"/>
    </row>
    <row r="4622" spans="1:8" x14ac:dyDescent="0.25">
      <c r="A4622" s="5"/>
      <c r="B4622" s="6"/>
      <c r="C4622" s="6"/>
      <c r="D4622" s="6"/>
      <c r="E4622" s="6"/>
      <c r="G4622" s="3"/>
      <c r="H4622" s="2"/>
    </row>
    <row r="4623" spans="1:8" x14ac:dyDescent="0.25">
      <c r="A4623" s="5"/>
      <c r="B4623" s="6"/>
      <c r="C4623" s="6"/>
      <c r="D4623" s="6"/>
      <c r="E4623" s="6"/>
      <c r="G4623" s="1"/>
      <c r="H4623" s="2"/>
    </row>
    <row r="4624" spans="1:8" x14ac:dyDescent="0.25">
      <c r="A4624" s="5"/>
      <c r="B4624" s="6"/>
      <c r="C4624" s="6"/>
      <c r="D4624" s="6"/>
      <c r="E4624" s="6"/>
      <c r="G4624" s="3"/>
      <c r="H4624" s="2"/>
    </row>
    <row r="4625" spans="1:8" x14ac:dyDescent="0.25">
      <c r="A4625" s="5"/>
      <c r="B4625" s="6"/>
      <c r="C4625" s="6"/>
      <c r="D4625" s="6"/>
      <c r="E4625" s="6"/>
      <c r="G4625" s="1"/>
      <c r="H4625" s="2"/>
    </row>
    <row r="4626" spans="1:8" x14ac:dyDescent="0.25">
      <c r="A4626" s="5"/>
      <c r="B4626" s="6"/>
      <c r="C4626" s="6"/>
      <c r="D4626" s="6"/>
      <c r="E4626" s="6"/>
      <c r="G4626" s="3"/>
      <c r="H4626" s="2"/>
    </row>
    <row r="4627" spans="1:8" x14ac:dyDescent="0.25">
      <c r="A4627" s="5"/>
      <c r="B4627" s="6"/>
      <c r="C4627" s="6"/>
      <c r="D4627" s="6"/>
      <c r="E4627" s="6"/>
      <c r="G4627" s="1"/>
      <c r="H4627" s="2"/>
    </row>
    <row r="4628" spans="1:8" x14ac:dyDescent="0.25">
      <c r="A4628" s="5"/>
      <c r="B4628" s="6"/>
      <c r="C4628" s="6"/>
      <c r="D4628" s="6"/>
      <c r="E4628" s="6"/>
      <c r="G4628" s="3"/>
      <c r="H4628" s="2"/>
    </row>
    <row r="4629" spans="1:8" x14ac:dyDescent="0.25">
      <c r="A4629" s="5"/>
      <c r="B4629" s="6"/>
      <c r="C4629" s="6"/>
      <c r="D4629" s="6"/>
      <c r="E4629" s="6"/>
      <c r="G4629" s="1"/>
      <c r="H4629" s="2"/>
    </row>
    <row r="4630" spans="1:8" x14ac:dyDescent="0.25">
      <c r="A4630" s="5"/>
      <c r="B4630" s="6"/>
      <c r="C4630" s="6"/>
      <c r="D4630" s="6"/>
      <c r="E4630" s="6"/>
      <c r="G4630" s="3"/>
      <c r="H4630" s="2"/>
    </row>
    <row r="4631" spans="1:8" x14ac:dyDescent="0.25">
      <c r="A4631" s="5"/>
      <c r="B4631" s="6"/>
      <c r="C4631" s="6"/>
      <c r="D4631" s="6"/>
      <c r="E4631" s="6"/>
      <c r="G4631" s="1"/>
      <c r="H4631" s="2"/>
    </row>
    <row r="4632" spans="1:8" x14ac:dyDescent="0.25">
      <c r="A4632" s="5"/>
      <c r="B4632" s="6"/>
      <c r="C4632" s="6"/>
      <c r="D4632" s="6"/>
      <c r="E4632" s="6"/>
      <c r="G4632" s="3"/>
      <c r="H4632" s="2"/>
    </row>
    <row r="4633" spans="1:8" x14ac:dyDescent="0.25">
      <c r="A4633" s="5"/>
      <c r="B4633" s="6"/>
      <c r="C4633" s="6"/>
      <c r="D4633" s="6"/>
      <c r="E4633" s="6"/>
      <c r="G4633" s="1"/>
      <c r="H4633" s="2"/>
    </row>
    <row r="4634" spans="1:8" x14ac:dyDescent="0.25">
      <c r="A4634" s="5"/>
      <c r="B4634" s="6"/>
      <c r="C4634" s="6"/>
      <c r="D4634" s="6"/>
      <c r="E4634" s="6"/>
      <c r="G4634" s="3"/>
      <c r="H4634" s="2"/>
    </row>
    <row r="4635" spans="1:8" x14ac:dyDescent="0.25">
      <c r="A4635" s="5"/>
      <c r="B4635" s="6"/>
      <c r="C4635" s="6"/>
      <c r="D4635" s="6"/>
      <c r="E4635" s="6"/>
      <c r="G4635" s="1"/>
      <c r="H4635" s="2"/>
    </row>
    <row r="4636" spans="1:8" x14ac:dyDescent="0.25">
      <c r="A4636" s="5"/>
      <c r="B4636" s="6"/>
      <c r="C4636" s="6"/>
      <c r="D4636" s="6"/>
      <c r="E4636" s="6"/>
      <c r="G4636" s="3"/>
      <c r="H4636" s="2"/>
    </row>
    <row r="4637" spans="1:8" x14ac:dyDescent="0.25">
      <c r="A4637" s="5"/>
      <c r="B4637" s="6"/>
      <c r="C4637" s="6"/>
      <c r="D4637" s="6"/>
      <c r="E4637" s="6"/>
      <c r="G4637" s="1"/>
      <c r="H4637" s="2"/>
    </row>
    <row r="4638" spans="1:8" x14ac:dyDescent="0.25">
      <c r="A4638" s="5"/>
      <c r="B4638" s="6"/>
      <c r="C4638" s="6"/>
      <c r="D4638" s="6"/>
      <c r="E4638" s="6"/>
      <c r="G4638" s="3"/>
      <c r="H4638" s="2"/>
    </row>
    <row r="4639" spans="1:8" x14ac:dyDescent="0.25">
      <c r="A4639" s="5"/>
      <c r="B4639" s="6"/>
      <c r="C4639" s="6"/>
      <c r="D4639" s="6"/>
      <c r="E4639" s="6"/>
      <c r="G4639" s="1"/>
      <c r="H4639" s="2"/>
    </row>
    <row r="4640" spans="1:8" x14ac:dyDescent="0.25">
      <c r="A4640" s="5"/>
      <c r="B4640" s="6"/>
      <c r="C4640" s="6"/>
      <c r="D4640" s="6"/>
      <c r="E4640" s="6"/>
      <c r="G4640" s="3"/>
      <c r="H4640" s="2"/>
    </row>
    <row r="4641" spans="1:8" x14ac:dyDescent="0.25">
      <c r="A4641" s="5"/>
      <c r="B4641" s="6"/>
      <c r="C4641" s="6"/>
      <c r="D4641" s="6"/>
      <c r="E4641" s="6"/>
      <c r="G4641" s="1"/>
      <c r="H4641" s="2"/>
    </row>
    <row r="4642" spans="1:8" x14ac:dyDescent="0.25">
      <c r="A4642" s="5"/>
      <c r="B4642" s="6"/>
      <c r="C4642" s="6"/>
      <c r="D4642" s="6"/>
      <c r="E4642" s="6"/>
      <c r="G4642" s="3"/>
      <c r="H4642" s="2"/>
    </row>
    <row r="4643" spans="1:8" x14ac:dyDescent="0.25">
      <c r="A4643" s="5"/>
      <c r="B4643" s="6"/>
      <c r="C4643" s="6"/>
      <c r="D4643" s="6"/>
      <c r="E4643" s="6"/>
      <c r="G4643" s="1"/>
      <c r="H4643" s="2"/>
    </row>
    <row r="4644" spans="1:8" x14ac:dyDescent="0.25">
      <c r="A4644" s="5"/>
      <c r="B4644" s="6"/>
      <c r="C4644" s="6"/>
      <c r="D4644" s="6"/>
      <c r="E4644" s="6"/>
      <c r="G4644" s="3"/>
      <c r="H4644" s="2"/>
    </row>
    <row r="4645" spans="1:8" x14ac:dyDescent="0.25">
      <c r="A4645" s="5"/>
      <c r="B4645" s="6"/>
      <c r="C4645" s="6"/>
      <c r="D4645" s="6"/>
      <c r="E4645" s="6"/>
      <c r="G4645" s="1"/>
      <c r="H4645" s="2"/>
    </row>
    <row r="4646" spans="1:8" x14ac:dyDescent="0.25">
      <c r="A4646" s="5"/>
      <c r="B4646" s="6"/>
      <c r="C4646" s="6"/>
      <c r="D4646" s="6"/>
      <c r="E4646" s="6"/>
      <c r="G4646" s="3"/>
      <c r="H4646" s="2"/>
    </row>
    <row r="4647" spans="1:8" x14ac:dyDescent="0.25">
      <c r="A4647" s="5"/>
      <c r="B4647" s="6"/>
      <c r="C4647" s="6"/>
      <c r="D4647" s="6"/>
      <c r="E4647" s="6"/>
      <c r="G4647" s="1"/>
      <c r="H4647" s="2"/>
    </row>
    <row r="4648" spans="1:8" x14ac:dyDescent="0.25">
      <c r="A4648" s="5"/>
      <c r="B4648" s="6"/>
      <c r="C4648" s="6"/>
      <c r="D4648" s="6"/>
      <c r="E4648" s="6"/>
      <c r="G4648" s="3"/>
      <c r="H4648" s="2"/>
    </row>
    <row r="4649" spans="1:8" x14ac:dyDescent="0.25">
      <c r="A4649" s="5"/>
      <c r="B4649" s="6"/>
      <c r="C4649" s="6"/>
      <c r="D4649" s="6"/>
      <c r="E4649" s="6"/>
      <c r="G4649" s="1"/>
      <c r="H4649" s="2"/>
    </row>
    <row r="4650" spans="1:8" x14ac:dyDescent="0.25">
      <c r="A4650" s="5"/>
      <c r="B4650" s="6"/>
      <c r="C4650" s="6"/>
      <c r="D4650" s="6"/>
      <c r="E4650" s="6"/>
      <c r="G4650" s="3"/>
      <c r="H4650" s="2"/>
    </row>
    <row r="4651" spans="1:8" x14ac:dyDescent="0.25">
      <c r="A4651" s="5"/>
      <c r="B4651" s="6"/>
      <c r="C4651" s="6"/>
      <c r="D4651" s="6"/>
      <c r="E4651" s="6"/>
      <c r="G4651" s="1"/>
      <c r="H4651" s="2"/>
    </row>
    <row r="4652" spans="1:8" x14ac:dyDescent="0.25">
      <c r="A4652" s="5"/>
      <c r="B4652" s="6"/>
      <c r="C4652" s="6"/>
      <c r="D4652" s="6"/>
      <c r="E4652" s="6"/>
      <c r="G4652" s="3"/>
      <c r="H4652" s="2"/>
    </row>
    <row r="4653" spans="1:8" x14ac:dyDescent="0.25">
      <c r="A4653" s="5"/>
      <c r="B4653" s="6"/>
      <c r="C4653" s="6"/>
      <c r="D4653" s="6"/>
      <c r="E4653" s="6"/>
      <c r="G4653" s="1"/>
      <c r="H4653" s="2"/>
    </row>
    <row r="4654" spans="1:8" x14ac:dyDescent="0.25">
      <c r="A4654" s="5"/>
      <c r="B4654" s="6"/>
      <c r="C4654" s="6"/>
      <c r="D4654" s="6"/>
      <c r="E4654" s="6"/>
      <c r="G4654" s="3"/>
      <c r="H4654" s="2"/>
    </row>
    <row r="4655" spans="1:8" x14ac:dyDescent="0.25">
      <c r="A4655" s="5"/>
      <c r="B4655" s="6"/>
      <c r="C4655" s="6"/>
      <c r="D4655" s="6"/>
      <c r="E4655" s="6"/>
      <c r="G4655" s="1"/>
      <c r="H4655" s="2"/>
    </row>
    <row r="4656" spans="1:8" x14ac:dyDescent="0.25">
      <c r="A4656" s="5"/>
      <c r="B4656" s="6"/>
      <c r="C4656" s="6"/>
      <c r="D4656" s="6"/>
      <c r="E4656" s="6"/>
      <c r="G4656" s="3"/>
      <c r="H4656" s="2"/>
    </row>
    <row r="4657" spans="1:8" x14ac:dyDescent="0.25">
      <c r="A4657" s="5"/>
      <c r="B4657" s="6"/>
      <c r="C4657" s="6"/>
      <c r="D4657" s="6"/>
      <c r="E4657" s="6"/>
      <c r="G4657" s="1"/>
      <c r="H4657" s="2"/>
    </row>
    <row r="4658" spans="1:8" x14ac:dyDescent="0.25">
      <c r="A4658" s="5"/>
      <c r="B4658" s="6"/>
      <c r="C4658" s="6"/>
      <c r="D4658" s="6"/>
      <c r="E4658" s="6"/>
      <c r="G4658" s="3"/>
      <c r="H4658" s="2"/>
    </row>
    <row r="4659" spans="1:8" x14ac:dyDescent="0.25">
      <c r="A4659" s="5"/>
      <c r="B4659" s="6"/>
      <c r="C4659" s="6"/>
      <c r="D4659" s="6"/>
      <c r="E4659" s="6"/>
      <c r="G4659" s="1"/>
      <c r="H4659" s="2"/>
    </row>
    <row r="4660" spans="1:8" x14ac:dyDescent="0.25">
      <c r="A4660" s="5"/>
      <c r="B4660" s="6"/>
      <c r="C4660" s="6"/>
      <c r="D4660" s="6"/>
      <c r="E4660" s="6"/>
      <c r="G4660" s="3"/>
      <c r="H4660" s="2"/>
    </row>
    <row r="4661" spans="1:8" x14ac:dyDescent="0.25">
      <c r="A4661" s="5"/>
      <c r="B4661" s="6"/>
      <c r="C4661" s="6"/>
      <c r="D4661" s="6"/>
      <c r="E4661" s="6"/>
      <c r="G4661" s="1"/>
      <c r="H4661" s="2"/>
    </row>
    <row r="4662" spans="1:8" x14ac:dyDescent="0.25">
      <c r="A4662" s="5"/>
      <c r="B4662" s="6"/>
      <c r="C4662" s="6"/>
      <c r="D4662" s="6"/>
      <c r="E4662" s="6"/>
      <c r="G4662" s="3"/>
      <c r="H4662" s="2"/>
    </row>
    <row r="4663" spans="1:8" x14ac:dyDescent="0.25">
      <c r="A4663" s="5"/>
      <c r="B4663" s="6"/>
      <c r="C4663" s="6"/>
      <c r="D4663" s="6"/>
      <c r="E4663" s="6"/>
      <c r="G4663" s="1"/>
      <c r="H4663" s="2"/>
    </row>
    <row r="4664" spans="1:8" x14ac:dyDescent="0.25">
      <c r="A4664" s="5"/>
      <c r="B4664" s="6"/>
      <c r="C4664" s="6"/>
      <c r="D4664" s="6"/>
      <c r="E4664" s="6"/>
      <c r="G4664" s="3"/>
      <c r="H4664" s="2"/>
    </row>
    <row r="4665" spans="1:8" x14ac:dyDescent="0.25">
      <c r="A4665" s="5"/>
      <c r="B4665" s="6"/>
      <c r="C4665" s="6"/>
      <c r="D4665" s="6"/>
      <c r="E4665" s="6"/>
      <c r="G4665" s="1"/>
      <c r="H4665" s="2"/>
    </row>
    <row r="4666" spans="1:8" x14ac:dyDescent="0.25">
      <c r="A4666" s="5"/>
      <c r="B4666" s="6"/>
      <c r="C4666" s="6"/>
      <c r="D4666" s="6"/>
      <c r="E4666" s="6"/>
      <c r="G4666" s="3"/>
      <c r="H4666" s="2"/>
    </row>
    <row r="4667" spans="1:8" x14ac:dyDescent="0.25">
      <c r="A4667" s="5"/>
      <c r="B4667" s="6"/>
      <c r="C4667" s="6"/>
      <c r="D4667" s="6"/>
      <c r="E4667" s="6"/>
      <c r="G4667" s="1"/>
      <c r="H4667" s="2"/>
    </row>
    <row r="4668" spans="1:8" x14ac:dyDescent="0.25">
      <c r="A4668" s="5"/>
      <c r="B4668" s="6"/>
      <c r="C4668" s="6"/>
      <c r="D4668" s="6"/>
      <c r="E4668" s="6"/>
      <c r="G4668" s="3"/>
      <c r="H4668" s="2"/>
    </row>
    <row r="4669" spans="1:8" x14ac:dyDescent="0.25">
      <c r="A4669" s="5"/>
      <c r="B4669" s="6"/>
      <c r="C4669" s="6"/>
      <c r="D4669" s="6"/>
      <c r="E4669" s="6"/>
      <c r="G4669" s="1"/>
      <c r="H4669" s="2"/>
    </row>
    <row r="4670" spans="1:8" x14ac:dyDescent="0.25">
      <c r="A4670" s="5"/>
      <c r="B4670" s="6"/>
      <c r="C4670" s="6"/>
      <c r="D4670" s="6"/>
      <c r="E4670" s="6"/>
      <c r="G4670" s="3"/>
      <c r="H4670" s="2"/>
    </row>
    <row r="4671" spans="1:8" x14ac:dyDescent="0.25">
      <c r="A4671" s="5"/>
      <c r="B4671" s="6"/>
      <c r="C4671" s="6"/>
      <c r="D4671" s="6"/>
      <c r="E4671" s="6"/>
      <c r="G4671" s="1"/>
      <c r="H4671" s="2"/>
    </row>
    <row r="4672" spans="1:8" x14ac:dyDescent="0.25">
      <c r="A4672" s="5"/>
      <c r="B4672" s="6"/>
      <c r="C4672" s="6"/>
      <c r="D4672" s="6"/>
      <c r="E4672" s="6"/>
      <c r="G4672" s="3"/>
      <c r="H4672" s="2"/>
    </row>
    <row r="4673" spans="1:8" x14ac:dyDescent="0.25">
      <c r="A4673" s="5"/>
      <c r="B4673" s="6"/>
      <c r="C4673" s="6"/>
      <c r="D4673" s="6"/>
      <c r="E4673" s="6"/>
      <c r="G4673" s="1"/>
      <c r="H4673" s="2"/>
    </row>
    <row r="4674" spans="1:8" x14ac:dyDescent="0.25">
      <c r="A4674" s="5"/>
      <c r="B4674" s="6"/>
      <c r="C4674" s="6"/>
      <c r="D4674" s="6"/>
      <c r="E4674" s="6"/>
      <c r="G4674" s="3"/>
      <c r="H4674" s="2"/>
    </row>
    <row r="4675" spans="1:8" x14ac:dyDescent="0.25">
      <c r="A4675" s="5"/>
      <c r="B4675" s="6"/>
      <c r="C4675" s="6"/>
      <c r="D4675" s="6"/>
      <c r="E4675" s="6"/>
      <c r="G4675" s="1"/>
      <c r="H4675" s="2"/>
    </row>
    <row r="4676" spans="1:8" x14ac:dyDescent="0.25">
      <c r="A4676" s="5"/>
      <c r="B4676" s="6"/>
      <c r="C4676" s="6"/>
      <c r="D4676" s="6"/>
      <c r="E4676" s="6"/>
      <c r="G4676" s="3"/>
      <c r="H4676" s="2"/>
    </row>
    <row r="4677" spans="1:8" x14ac:dyDescent="0.25">
      <c r="A4677" s="5"/>
      <c r="B4677" s="6"/>
      <c r="C4677" s="6"/>
      <c r="D4677" s="6"/>
      <c r="E4677" s="6"/>
      <c r="G4677" s="1"/>
      <c r="H4677" s="2"/>
    </row>
    <row r="4678" spans="1:8" x14ac:dyDescent="0.25">
      <c r="A4678" s="5"/>
      <c r="B4678" s="6"/>
      <c r="C4678" s="6"/>
      <c r="D4678" s="6"/>
      <c r="E4678" s="6"/>
      <c r="G4678" s="3"/>
      <c r="H4678" s="2"/>
    </row>
    <row r="4679" spans="1:8" x14ac:dyDescent="0.25">
      <c r="A4679" s="5"/>
      <c r="B4679" s="6"/>
      <c r="C4679" s="6"/>
      <c r="D4679" s="6"/>
      <c r="E4679" s="6"/>
      <c r="G4679" s="1"/>
      <c r="H4679" s="2"/>
    </row>
    <row r="4680" spans="1:8" x14ac:dyDescent="0.25">
      <c r="A4680" s="5"/>
      <c r="B4680" s="6"/>
      <c r="C4680" s="6"/>
      <c r="D4680" s="6"/>
      <c r="E4680" s="6"/>
      <c r="G4680" s="3"/>
      <c r="H4680" s="2"/>
    </row>
    <row r="4681" spans="1:8" x14ac:dyDescent="0.25">
      <c r="A4681" s="5"/>
      <c r="B4681" s="6"/>
      <c r="C4681" s="6"/>
      <c r="D4681" s="6"/>
      <c r="E4681" s="6"/>
      <c r="G4681" s="1"/>
      <c r="H4681" s="2"/>
    </row>
    <row r="4682" spans="1:8" x14ac:dyDescent="0.25">
      <c r="A4682" s="5"/>
      <c r="B4682" s="6"/>
      <c r="C4682" s="6"/>
      <c r="D4682" s="6"/>
      <c r="E4682" s="6"/>
      <c r="G4682" s="3"/>
      <c r="H4682" s="2"/>
    </row>
    <row r="4683" spans="1:8" x14ac:dyDescent="0.25">
      <c r="A4683" s="5"/>
      <c r="B4683" s="6"/>
      <c r="C4683" s="6"/>
      <c r="D4683" s="6"/>
      <c r="E4683" s="6"/>
      <c r="G4683" s="1"/>
      <c r="H4683" s="2"/>
    </row>
    <row r="4684" spans="1:8" x14ac:dyDescent="0.25">
      <c r="A4684" s="5"/>
      <c r="B4684" s="6"/>
      <c r="C4684" s="6"/>
      <c r="D4684" s="6"/>
      <c r="E4684" s="6"/>
      <c r="G4684" s="3"/>
      <c r="H4684" s="2"/>
    </row>
    <row r="4685" spans="1:8" x14ac:dyDescent="0.25">
      <c r="A4685" s="5"/>
      <c r="B4685" s="6"/>
      <c r="C4685" s="6"/>
      <c r="D4685" s="6"/>
      <c r="E4685" s="6"/>
      <c r="G4685" s="1"/>
      <c r="H4685" s="2"/>
    </row>
    <row r="4686" spans="1:8" x14ac:dyDescent="0.25">
      <c r="A4686" s="5"/>
      <c r="B4686" s="6"/>
      <c r="C4686" s="6"/>
      <c r="D4686" s="6"/>
      <c r="E4686" s="6"/>
      <c r="G4686" s="3"/>
      <c r="H4686" s="2"/>
    </row>
    <row r="4687" spans="1:8" x14ac:dyDescent="0.25">
      <c r="A4687" s="5"/>
      <c r="B4687" s="6"/>
      <c r="C4687" s="6"/>
      <c r="D4687" s="6"/>
      <c r="E4687" s="6"/>
      <c r="G4687" s="1"/>
      <c r="H4687" s="2"/>
    </row>
    <row r="4688" spans="1:8" x14ac:dyDescent="0.25">
      <c r="A4688" s="5"/>
      <c r="B4688" s="6"/>
      <c r="C4688" s="6"/>
      <c r="D4688" s="6"/>
      <c r="E4688" s="6"/>
      <c r="G4688" s="3"/>
      <c r="H4688" s="2"/>
    </row>
    <row r="4689" spans="1:8" x14ac:dyDescent="0.25">
      <c r="A4689" s="5"/>
      <c r="B4689" s="6"/>
      <c r="C4689" s="6"/>
      <c r="D4689" s="6"/>
      <c r="E4689" s="6"/>
      <c r="G4689" s="1"/>
      <c r="H4689" s="2"/>
    </row>
    <row r="4690" spans="1:8" x14ac:dyDescent="0.25">
      <c r="A4690" s="5"/>
      <c r="B4690" s="6"/>
      <c r="C4690" s="6"/>
      <c r="D4690" s="6"/>
      <c r="E4690" s="6"/>
      <c r="G4690" s="3"/>
      <c r="H4690" s="2"/>
    </row>
    <row r="4691" spans="1:8" x14ac:dyDescent="0.25">
      <c r="A4691" s="5"/>
      <c r="B4691" s="6"/>
      <c r="C4691" s="6"/>
      <c r="D4691" s="6"/>
      <c r="E4691" s="6"/>
      <c r="G4691" s="1"/>
      <c r="H4691" s="2"/>
    </row>
    <row r="4692" spans="1:8" x14ac:dyDescent="0.25">
      <c r="A4692" s="5"/>
      <c r="B4692" s="6"/>
      <c r="C4692" s="6"/>
      <c r="D4692" s="6"/>
      <c r="E4692" s="6"/>
      <c r="G4692" s="3"/>
      <c r="H4692" s="2"/>
    </row>
    <row r="4693" spans="1:8" x14ac:dyDescent="0.25">
      <c r="A4693" s="5"/>
      <c r="B4693" s="6"/>
      <c r="C4693" s="6"/>
      <c r="D4693" s="6"/>
      <c r="E4693" s="6"/>
      <c r="G4693" s="1"/>
      <c r="H4693" s="2"/>
    </row>
    <row r="4694" spans="1:8" x14ac:dyDescent="0.25">
      <c r="A4694" s="5"/>
      <c r="B4694" s="6"/>
      <c r="C4694" s="6"/>
      <c r="D4694" s="6"/>
      <c r="E4694" s="6"/>
      <c r="G4694" s="3"/>
      <c r="H4694" s="2"/>
    </row>
    <row r="4695" spans="1:8" x14ac:dyDescent="0.25">
      <c r="A4695" s="5"/>
      <c r="B4695" s="6"/>
      <c r="C4695" s="6"/>
      <c r="D4695" s="6"/>
      <c r="E4695" s="6"/>
      <c r="G4695" s="1"/>
      <c r="H4695" s="2"/>
    </row>
    <row r="4696" spans="1:8" x14ac:dyDescent="0.25">
      <c r="A4696" s="5"/>
      <c r="B4696" s="6"/>
      <c r="C4696" s="6"/>
      <c r="D4696" s="6"/>
      <c r="E4696" s="6"/>
      <c r="G4696" s="3"/>
      <c r="H4696" s="2"/>
    </row>
    <row r="4697" spans="1:8" x14ac:dyDescent="0.25">
      <c r="A4697" s="5"/>
      <c r="B4697" s="6"/>
      <c r="C4697" s="6"/>
      <c r="D4697" s="6"/>
      <c r="E4697" s="6"/>
      <c r="G4697" s="1"/>
      <c r="H4697" s="2"/>
    </row>
    <row r="4698" spans="1:8" x14ac:dyDescent="0.25">
      <c r="A4698" s="5"/>
      <c r="B4698" s="6"/>
      <c r="C4698" s="6"/>
      <c r="D4698" s="6"/>
      <c r="E4698" s="6"/>
      <c r="G4698" s="3"/>
      <c r="H4698" s="2"/>
    </row>
    <row r="4699" spans="1:8" x14ac:dyDescent="0.25">
      <c r="A4699" s="5"/>
      <c r="B4699" s="6"/>
      <c r="C4699" s="6"/>
      <c r="D4699" s="6"/>
      <c r="E4699" s="6"/>
      <c r="G4699" s="1"/>
      <c r="H4699" s="2"/>
    </row>
    <row r="4700" spans="1:8" x14ac:dyDescent="0.25">
      <c r="A4700" s="5"/>
      <c r="B4700" s="6"/>
      <c r="C4700" s="6"/>
      <c r="D4700" s="6"/>
      <c r="E4700" s="6"/>
      <c r="G4700" s="3"/>
      <c r="H4700" s="2"/>
    </row>
    <row r="4701" spans="1:8" x14ac:dyDescent="0.25">
      <c r="A4701" s="5"/>
      <c r="B4701" s="6"/>
      <c r="C4701" s="6"/>
      <c r="D4701" s="6"/>
      <c r="E4701" s="6"/>
      <c r="G4701" s="1"/>
      <c r="H4701" s="2"/>
    </row>
    <row r="4702" spans="1:8" x14ac:dyDescent="0.25">
      <c r="A4702" s="5"/>
      <c r="B4702" s="6"/>
      <c r="C4702" s="6"/>
      <c r="D4702" s="6"/>
      <c r="E4702" s="6"/>
      <c r="G4702" s="3"/>
      <c r="H4702" s="2"/>
    </row>
    <row r="4703" spans="1:8" x14ac:dyDescent="0.25">
      <c r="A4703" s="5"/>
      <c r="B4703" s="6"/>
      <c r="C4703" s="6"/>
      <c r="D4703" s="6"/>
      <c r="E4703" s="6"/>
      <c r="G4703" s="1"/>
      <c r="H4703" s="2"/>
    </row>
    <row r="4704" spans="1:8" x14ac:dyDescent="0.25">
      <c r="A4704" s="5"/>
      <c r="B4704" s="6"/>
      <c r="C4704" s="6"/>
      <c r="D4704" s="6"/>
      <c r="E4704" s="6"/>
      <c r="G4704" s="3"/>
      <c r="H4704" s="2"/>
    </row>
    <row r="4705" spans="1:8" x14ac:dyDescent="0.25">
      <c r="A4705" s="5"/>
      <c r="B4705" s="6"/>
      <c r="C4705" s="6"/>
      <c r="D4705" s="6"/>
      <c r="E4705" s="6"/>
      <c r="G4705" s="1"/>
      <c r="H4705" s="2"/>
    </row>
    <row r="4706" spans="1:8" x14ac:dyDescent="0.25">
      <c r="A4706" s="5"/>
      <c r="B4706" s="6"/>
      <c r="C4706" s="6"/>
      <c r="D4706" s="6"/>
      <c r="E4706" s="6"/>
      <c r="G4706" s="3"/>
      <c r="H4706" s="2"/>
    </row>
    <row r="4707" spans="1:8" x14ac:dyDescent="0.25">
      <c r="A4707" s="5"/>
      <c r="B4707" s="6"/>
      <c r="C4707" s="6"/>
      <c r="D4707" s="6"/>
      <c r="E4707" s="6"/>
      <c r="G4707" s="1"/>
      <c r="H4707" s="2"/>
    </row>
    <row r="4708" spans="1:8" x14ac:dyDescent="0.25">
      <c r="A4708" s="5"/>
      <c r="B4708" s="6"/>
      <c r="C4708" s="6"/>
      <c r="D4708" s="6"/>
      <c r="E4708" s="6"/>
      <c r="G4708" s="3"/>
      <c r="H4708" s="2"/>
    </row>
    <row r="4709" spans="1:8" x14ac:dyDescent="0.25">
      <c r="A4709" s="5"/>
      <c r="B4709" s="6"/>
      <c r="C4709" s="6"/>
      <c r="D4709" s="6"/>
      <c r="E4709" s="6"/>
      <c r="G4709" s="1"/>
      <c r="H4709" s="2"/>
    </row>
    <row r="4710" spans="1:8" x14ac:dyDescent="0.25">
      <c r="A4710" s="5"/>
      <c r="B4710" s="6"/>
      <c r="C4710" s="6"/>
      <c r="D4710" s="6"/>
      <c r="E4710" s="6"/>
      <c r="G4710" s="3"/>
      <c r="H4710" s="2"/>
    </row>
    <row r="4711" spans="1:8" x14ac:dyDescent="0.25">
      <c r="A4711" s="5"/>
      <c r="B4711" s="6"/>
      <c r="C4711" s="6"/>
      <c r="D4711" s="6"/>
      <c r="E4711" s="6"/>
      <c r="G4711" s="1"/>
      <c r="H4711" s="2"/>
    </row>
    <row r="4712" spans="1:8" x14ac:dyDescent="0.25">
      <c r="A4712" s="5"/>
      <c r="B4712" s="6"/>
      <c r="C4712" s="6"/>
      <c r="D4712" s="6"/>
      <c r="E4712" s="6"/>
      <c r="G4712" s="3"/>
      <c r="H4712" s="2"/>
    </row>
    <row r="4713" spans="1:8" x14ac:dyDescent="0.25">
      <c r="A4713" s="5"/>
      <c r="B4713" s="6"/>
      <c r="C4713" s="6"/>
      <c r="D4713" s="6"/>
      <c r="E4713" s="6"/>
      <c r="G4713" s="1"/>
      <c r="H4713" s="2"/>
    </row>
    <row r="4714" spans="1:8" x14ac:dyDescent="0.25">
      <c r="A4714" s="5"/>
      <c r="B4714" s="6"/>
      <c r="C4714" s="6"/>
      <c r="D4714" s="6"/>
      <c r="E4714" s="6"/>
      <c r="G4714" s="3"/>
      <c r="H4714" s="2"/>
    </row>
    <row r="4715" spans="1:8" x14ac:dyDescent="0.25">
      <c r="A4715" s="5"/>
      <c r="B4715" s="6"/>
      <c r="C4715" s="6"/>
      <c r="D4715" s="6"/>
      <c r="E4715" s="6"/>
      <c r="G4715" s="1"/>
      <c r="H4715" s="2"/>
    </row>
    <row r="4716" spans="1:8" x14ac:dyDescent="0.25">
      <c r="A4716" s="5"/>
      <c r="B4716" s="6"/>
      <c r="C4716" s="6"/>
      <c r="D4716" s="6"/>
      <c r="E4716" s="6"/>
      <c r="G4716" s="3"/>
      <c r="H4716" s="2"/>
    </row>
    <row r="4717" spans="1:8" x14ac:dyDescent="0.25">
      <c r="A4717" s="5"/>
      <c r="B4717" s="6"/>
      <c r="C4717" s="6"/>
      <c r="D4717" s="6"/>
      <c r="E4717" s="6"/>
      <c r="G4717" s="1"/>
      <c r="H4717" s="2"/>
    </row>
    <row r="4718" spans="1:8" x14ac:dyDescent="0.25">
      <c r="A4718" s="5"/>
      <c r="B4718" s="6"/>
      <c r="C4718" s="6"/>
      <c r="D4718" s="6"/>
      <c r="E4718" s="6"/>
      <c r="G4718" s="3"/>
      <c r="H4718" s="2"/>
    </row>
    <row r="4719" spans="1:8" x14ac:dyDescent="0.25">
      <c r="A4719" s="5"/>
      <c r="B4719" s="6"/>
      <c r="C4719" s="6"/>
      <c r="D4719" s="6"/>
      <c r="E4719" s="6"/>
      <c r="G4719" s="1"/>
      <c r="H4719" s="2"/>
    </row>
    <row r="4720" spans="1:8" x14ac:dyDescent="0.25">
      <c r="A4720" s="5"/>
      <c r="B4720" s="6"/>
      <c r="C4720" s="6"/>
      <c r="D4720" s="6"/>
      <c r="E4720" s="6"/>
      <c r="G4720" s="3"/>
      <c r="H4720" s="2"/>
    </row>
    <row r="4721" spans="1:8" x14ac:dyDescent="0.25">
      <c r="A4721" s="5"/>
      <c r="B4721" s="6"/>
      <c r="C4721" s="6"/>
      <c r="D4721" s="6"/>
      <c r="E4721" s="6"/>
      <c r="G4721" s="1"/>
      <c r="H4721" s="2"/>
    </row>
    <row r="4722" spans="1:8" x14ac:dyDescent="0.25">
      <c r="A4722" s="5"/>
      <c r="B4722" s="6"/>
      <c r="C4722" s="6"/>
      <c r="D4722" s="6"/>
      <c r="E4722" s="6"/>
      <c r="G4722" s="3"/>
      <c r="H4722" s="2"/>
    </row>
    <row r="4723" spans="1:8" x14ac:dyDescent="0.25">
      <c r="A4723" s="5"/>
      <c r="B4723" s="6"/>
      <c r="C4723" s="6"/>
      <c r="D4723" s="6"/>
      <c r="E4723" s="6"/>
      <c r="G4723" s="1"/>
      <c r="H4723" s="2"/>
    </row>
    <row r="4724" spans="1:8" x14ac:dyDescent="0.25">
      <c r="A4724" s="5"/>
      <c r="B4724" s="6"/>
      <c r="C4724" s="6"/>
      <c r="D4724" s="6"/>
      <c r="E4724" s="6"/>
      <c r="G4724" s="3"/>
      <c r="H4724" s="2"/>
    </row>
    <row r="4725" spans="1:8" x14ac:dyDescent="0.25">
      <c r="A4725" s="5"/>
      <c r="B4725" s="6"/>
      <c r="C4725" s="6"/>
      <c r="D4725" s="6"/>
      <c r="E4725" s="6"/>
      <c r="G4725" s="1"/>
      <c r="H4725" s="2"/>
    </row>
    <row r="4726" spans="1:8" x14ac:dyDescent="0.25">
      <c r="A4726" s="5"/>
      <c r="B4726" s="6"/>
      <c r="C4726" s="6"/>
      <c r="D4726" s="6"/>
      <c r="E4726" s="6"/>
      <c r="G4726" s="3"/>
      <c r="H4726" s="2"/>
    </row>
    <row r="4727" spans="1:8" x14ac:dyDescent="0.25">
      <c r="A4727" s="5"/>
      <c r="B4727" s="6"/>
      <c r="C4727" s="6"/>
      <c r="D4727" s="6"/>
      <c r="E4727" s="6"/>
      <c r="G4727" s="1"/>
      <c r="H4727" s="2"/>
    </row>
    <row r="4728" spans="1:8" x14ac:dyDescent="0.25">
      <c r="A4728" s="5"/>
      <c r="B4728" s="6"/>
      <c r="C4728" s="6"/>
      <c r="D4728" s="6"/>
      <c r="E4728" s="6"/>
      <c r="G4728" s="3"/>
      <c r="H4728" s="2"/>
    </row>
    <row r="4729" spans="1:8" x14ac:dyDescent="0.25">
      <c r="A4729" s="5"/>
      <c r="B4729" s="6"/>
      <c r="C4729" s="6"/>
      <c r="D4729" s="6"/>
      <c r="E4729" s="6"/>
      <c r="G4729" s="1"/>
      <c r="H4729" s="2"/>
    </row>
    <row r="4730" spans="1:8" x14ac:dyDescent="0.25">
      <c r="A4730" s="5"/>
      <c r="B4730" s="6"/>
      <c r="C4730" s="6"/>
      <c r="D4730" s="6"/>
      <c r="E4730" s="6"/>
      <c r="G4730" s="3"/>
      <c r="H4730" s="2"/>
    </row>
    <row r="4731" spans="1:8" x14ac:dyDescent="0.25">
      <c r="A4731" s="5"/>
      <c r="B4731" s="6"/>
      <c r="C4731" s="6"/>
      <c r="D4731" s="6"/>
      <c r="E4731" s="6"/>
      <c r="G4731" s="1"/>
      <c r="H4731" s="2"/>
    </row>
    <row r="4732" spans="1:8" x14ac:dyDescent="0.25">
      <c r="A4732" s="5"/>
      <c r="B4732" s="6"/>
      <c r="C4732" s="6"/>
      <c r="D4732" s="6"/>
      <c r="E4732" s="6"/>
      <c r="G4732" s="3"/>
      <c r="H4732" s="2"/>
    </row>
    <row r="4733" spans="1:8" x14ac:dyDescent="0.25">
      <c r="A4733" s="5"/>
      <c r="B4733" s="6"/>
      <c r="C4733" s="6"/>
      <c r="D4733" s="6"/>
      <c r="E4733" s="6"/>
      <c r="G4733" s="1"/>
      <c r="H4733" s="2"/>
    </row>
    <row r="4734" spans="1:8" x14ac:dyDescent="0.25">
      <c r="A4734" s="5"/>
      <c r="B4734" s="6"/>
      <c r="C4734" s="6"/>
      <c r="D4734" s="6"/>
      <c r="E4734" s="6"/>
      <c r="G4734" s="3"/>
      <c r="H4734" s="2"/>
    </row>
    <row r="4735" spans="1:8" x14ac:dyDescent="0.25">
      <c r="A4735" s="5"/>
      <c r="B4735" s="6"/>
      <c r="C4735" s="6"/>
      <c r="D4735" s="6"/>
      <c r="E4735" s="6"/>
      <c r="G4735" s="1"/>
      <c r="H4735" s="2"/>
    </row>
    <row r="4736" spans="1:8" x14ac:dyDescent="0.25">
      <c r="A4736" s="5"/>
      <c r="B4736" s="6"/>
      <c r="C4736" s="6"/>
      <c r="D4736" s="6"/>
      <c r="E4736" s="6"/>
      <c r="G4736" s="3"/>
      <c r="H4736" s="2"/>
    </row>
    <row r="4737" spans="1:8" x14ac:dyDescent="0.25">
      <c r="A4737" s="5"/>
      <c r="B4737" s="6"/>
      <c r="C4737" s="6"/>
      <c r="D4737" s="6"/>
      <c r="E4737" s="6"/>
      <c r="G4737" s="1"/>
      <c r="H4737" s="2"/>
    </row>
    <row r="4738" spans="1:8" x14ac:dyDescent="0.25">
      <c r="A4738" s="5"/>
      <c r="B4738" s="6"/>
      <c r="C4738" s="6"/>
      <c r="D4738" s="6"/>
      <c r="E4738" s="6"/>
      <c r="G4738" s="3"/>
      <c r="H4738" s="2"/>
    </row>
    <row r="4739" spans="1:8" x14ac:dyDescent="0.25">
      <c r="A4739" s="5"/>
      <c r="B4739" s="6"/>
      <c r="C4739" s="6"/>
      <c r="D4739" s="6"/>
      <c r="E4739" s="6"/>
      <c r="G4739" s="1"/>
      <c r="H4739" s="2"/>
    </row>
    <row r="4740" spans="1:8" x14ac:dyDescent="0.25">
      <c r="A4740" s="5"/>
      <c r="B4740" s="6"/>
      <c r="C4740" s="6"/>
      <c r="D4740" s="6"/>
      <c r="E4740" s="6"/>
      <c r="G4740" s="3"/>
      <c r="H4740" s="2"/>
    </row>
    <row r="4741" spans="1:8" x14ac:dyDescent="0.25">
      <c r="A4741" s="5"/>
      <c r="B4741" s="6"/>
      <c r="C4741" s="6"/>
      <c r="D4741" s="6"/>
      <c r="E4741" s="6"/>
      <c r="G4741" s="1"/>
      <c r="H4741" s="2"/>
    </row>
    <row r="4742" spans="1:8" x14ac:dyDescent="0.25">
      <c r="A4742" s="5"/>
      <c r="B4742" s="6"/>
      <c r="C4742" s="6"/>
      <c r="D4742" s="6"/>
      <c r="E4742" s="6"/>
      <c r="G4742" s="3"/>
      <c r="H4742" s="2"/>
    </row>
    <row r="4743" spans="1:8" x14ac:dyDescent="0.25">
      <c r="A4743" s="5"/>
      <c r="B4743" s="6"/>
      <c r="C4743" s="6"/>
      <c r="D4743" s="6"/>
      <c r="E4743" s="6"/>
      <c r="G4743" s="1"/>
      <c r="H4743" s="2"/>
    </row>
    <row r="4744" spans="1:8" x14ac:dyDescent="0.25">
      <c r="A4744" s="5"/>
      <c r="B4744" s="6"/>
      <c r="C4744" s="6"/>
      <c r="D4744" s="6"/>
      <c r="E4744" s="6"/>
      <c r="G4744" s="3"/>
      <c r="H4744" s="2"/>
    </row>
    <row r="4745" spans="1:8" x14ac:dyDescent="0.25">
      <c r="A4745" s="5"/>
      <c r="B4745" s="6"/>
      <c r="C4745" s="6"/>
      <c r="D4745" s="6"/>
      <c r="E4745" s="6"/>
      <c r="G4745" s="1"/>
      <c r="H4745" s="2"/>
    </row>
    <row r="4746" spans="1:8" x14ac:dyDescent="0.25">
      <c r="A4746" s="5"/>
      <c r="B4746" s="6"/>
      <c r="C4746" s="6"/>
      <c r="D4746" s="6"/>
      <c r="E4746" s="6"/>
      <c r="G4746" s="3"/>
      <c r="H4746" s="2"/>
    </row>
    <row r="4747" spans="1:8" x14ac:dyDescent="0.25">
      <c r="A4747" s="5"/>
      <c r="B4747" s="6"/>
      <c r="C4747" s="6"/>
      <c r="D4747" s="6"/>
      <c r="E4747" s="6"/>
      <c r="G4747" s="1"/>
      <c r="H4747" s="2"/>
    </row>
    <row r="4748" spans="1:8" x14ac:dyDescent="0.25">
      <c r="A4748" s="5"/>
      <c r="B4748" s="6"/>
      <c r="C4748" s="6"/>
      <c r="D4748" s="6"/>
      <c r="E4748" s="6"/>
      <c r="G4748" s="3"/>
      <c r="H4748" s="2"/>
    </row>
    <row r="4749" spans="1:8" x14ac:dyDescent="0.25">
      <c r="A4749" s="5"/>
      <c r="B4749" s="6"/>
      <c r="C4749" s="6"/>
      <c r="D4749" s="6"/>
      <c r="E4749" s="6"/>
      <c r="G4749" s="1"/>
      <c r="H4749" s="2"/>
    </row>
    <row r="4750" spans="1:8" x14ac:dyDescent="0.25">
      <c r="A4750" s="5"/>
      <c r="B4750" s="6"/>
      <c r="C4750" s="6"/>
      <c r="D4750" s="6"/>
      <c r="E4750" s="6"/>
      <c r="G4750" s="3"/>
      <c r="H4750" s="2"/>
    </row>
    <row r="4751" spans="1:8" x14ac:dyDescent="0.25">
      <c r="A4751" s="5"/>
      <c r="B4751" s="6"/>
      <c r="C4751" s="6"/>
      <c r="D4751" s="6"/>
      <c r="E4751" s="6"/>
      <c r="G4751" s="1"/>
      <c r="H4751" s="2"/>
    </row>
    <row r="4752" spans="1:8" x14ac:dyDescent="0.25">
      <c r="A4752" s="5"/>
      <c r="B4752" s="6"/>
      <c r="C4752" s="6"/>
      <c r="D4752" s="6"/>
      <c r="E4752" s="6"/>
      <c r="G4752" s="3"/>
      <c r="H4752" s="2"/>
    </row>
    <row r="4753" spans="1:8" x14ac:dyDescent="0.25">
      <c r="A4753" s="5"/>
      <c r="B4753" s="6"/>
      <c r="C4753" s="6"/>
      <c r="D4753" s="6"/>
      <c r="E4753" s="6"/>
      <c r="G4753" s="1"/>
      <c r="H4753" s="2"/>
    </row>
    <row r="4754" spans="1:8" x14ac:dyDescent="0.25">
      <c r="A4754" s="5"/>
      <c r="B4754" s="6"/>
      <c r="C4754" s="6"/>
      <c r="D4754" s="6"/>
      <c r="E4754" s="6"/>
      <c r="G4754" s="3"/>
      <c r="H4754" s="2"/>
    </row>
    <row r="4755" spans="1:8" x14ac:dyDescent="0.25">
      <c r="A4755" s="5"/>
      <c r="B4755" s="6"/>
      <c r="C4755" s="6"/>
      <c r="D4755" s="6"/>
      <c r="E4755" s="6"/>
      <c r="G4755" s="1"/>
      <c r="H4755" s="2"/>
    </row>
    <row r="4756" spans="1:8" x14ac:dyDescent="0.25">
      <c r="A4756" s="5"/>
      <c r="B4756" s="6"/>
      <c r="C4756" s="6"/>
      <c r="D4756" s="6"/>
      <c r="E4756" s="6"/>
      <c r="G4756" s="3"/>
      <c r="H4756" s="2"/>
    </row>
    <row r="4757" spans="1:8" x14ac:dyDescent="0.25">
      <c r="A4757" s="5"/>
      <c r="B4757" s="6"/>
      <c r="C4757" s="6"/>
      <c r="D4757" s="6"/>
      <c r="E4757" s="6"/>
      <c r="G4757" s="1"/>
      <c r="H4757" s="2"/>
    </row>
    <row r="4758" spans="1:8" x14ac:dyDescent="0.25">
      <c r="A4758" s="5"/>
      <c r="B4758" s="6"/>
      <c r="C4758" s="6"/>
      <c r="D4758" s="6"/>
      <c r="E4758" s="6"/>
      <c r="G4758" s="3"/>
      <c r="H4758" s="2"/>
    </row>
    <row r="4759" spans="1:8" x14ac:dyDescent="0.25">
      <c r="A4759" s="5"/>
      <c r="B4759" s="6"/>
      <c r="C4759" s="6"/>
      <c r="D4759" s="6"/>
      <c r="E4759" s="6"/>
      <c r="G4759" s="1"/>
      <c r="H4759" s="2"/>
    </row>
    <row r="4760" spans="1:8" x14ac:dyDescent="0.25">
      <c r="A4760" s="5"/>
      <c r="B4760" s="6"/>
      <c r="C4760" s="6"/>
      <c r="D4760" s="6"/>
      <c r="E4760" s="6"/>
      <c r="G4760" s="3"/>
      <c r="H4760" s="2"/>
    </row>
    <row r="4761" spans="1:8" x14ac:dyDescent="0.25">
      <c r="A4761" s="5"/>
      <c r="B4761" s="6"/>
      <c r="C4761" s="6"/>
      <c r="D4761" s="6"/>
      <c r="E4761" s="6"/>
      <c r="G4761" s="1"/>
      <c r="H4761" s="2"/>
    </row>
    <row r="4762" spans="1:8" x14ac:dyDescent="0.25">
      <c r="A4762" s="5"/>
      <c r="B4762" s="6"/>
      <c r="C4762" s="6"/>
      <c r="D4762" s="6"/>
      <c r="E4762" s="6"/>
      <c r="G4762" s="3"/>
      <c r="H4762" s="2"/>
    </row>
    <row r="4763" spans="1:8" x14ac:dyDescent="0.25">
      <c r="A4763" s="5"/>
      <c r="B4763" s="6"/>
      <c r="C4763" s="6"/>
      <c r="D4763" s="6"/>
      <c r="E4763" s="6"/>
      <c r="G4763" s="1"/>
      <c r="H4763" s="2"/>
    </row>
    <row r="4764" spans="1:8" x14ac:dyDescent="0.25">
      <c r="A4764" s="5"/>
      <c r="B4764" s="6"/>
      <c r="C4764" s="6"/>
      <c r="D4764" s="6"/>
      <c r="E4764" s="6"/>
      <c r="G4764" s="3"/>
      <c r="H4764" s="2"/>
    </row>
    <row r="4765" spans="1:8" x14ac:dyDescent="0.25">
      <c r="A4765" s="5"/>
      <c r="B4765" s="6"/>
      <c r="C4765" s="6"/>
      <c r="D4765" s="6"/>
      <c r="E4765" s="6"/>
      <c r="G4765" s="1"/>
      <c r="H4765" s="2"/>
    </row>
    <row r="4766" spans="1:8" x14ac:dyDescent="0.25">
      <c r="A4766" s="5"/>
      <c r="B4766" s="6"/>
      <c r="C4766" s="6"/>
      <c r="D4766" s="6"/>
      <c r="E4766" s="6"/>
      <c r="G4766" s="3"/>
      <c r="H4766" s="2"/>
    </row>
    <row r="4767" spans="1:8" x14ac:dyDescent="0.25">
      <c r="A4767" s="5"/>
      <c r="B4767" s="6"/>
      <c r="C4767" s="6"/>
      <c r="D4767" s="6"/>
      <c r="E4767" s="6"/>
      <c r="G4767" s="1"/>
      <c r="H4767" s="2"/>
    </row>
    <row r="4768" spans="1:8" x14ac:dyDescent="0.25">
      <c r="A4768" s="5"/>
      <c r="B4768" s="6"/>
      <c r="C4768" s="6"/>
      <c r="D4768" s="6"/>
      <c r="E4768" s="6"/>
      <c r="G4768" s="3"/>
      <c r="H4768" s="2"/>
    </row>
    <row r="4769" spans="1:8" x14ac:dyDescent="0.25">
      <c r="A4769" s="5"/>
      <c r="B4769" s="6"/>
      <c r="C4769" s="6"/>
      <c r="D4769" s="6"/>
      <c r="E4769" s="6"/>
      <c r="G4769" s="1"/>
      <c r="H4769" s="2"/>
    </row>
    <row r="4770" spans="1:8" x14ac:dyDescent="0.25">
      <c r="A4770" s="5"/>
      <c r="B4770" s="6"/>
      <c r="C4770" s="6"/>
      <c r="D4770" s="6"/>
      <c r="E4770" s="6"/>
      <c r="G4770" s="3"/>
      <c r="H4770" s="2"/>
    </row>
    <row r="4771" spans="1:8" x14ac:dyDescent="0.25">
      <c r="A4771" s="5"/>
      <c r="B4771" s="6"/>
      <c r="C4771" s="6"/>
      <c r="D4771" s="6"/>
      <c r="E4771" s="6"/>
      <c r="G4771" s="1"/>
      <c r="H4771" s="2"/>
    </row>
    <row r="4772" spans="1:8" x14ac:dyDescent="0.25">
      <c r="A4772" s="5"/>
      <c r="B4772" s="6"/>
      <c r="C4772" s="6"/>
      <c r="D4772" s="6"/>
      <c r="E4772" s="6"/>
      <c r="G4772" s="3"/>
      <c r="H4772" s="2"/>
    </row>
    <row r="4773" spans="1:8" x14ac:dyDescent="0.25">
      <c r="A4773" s="5"/>
      <c r="B4773" s="6"/>
      <c r="C4773" s="6"/>
      <c r="D4773" s="6"/>
      <c r="E4773" s="6"/>
      <c r="G4773" s="1"/>
      <c r="H4773" s="2"/>
    </row>
    <row r="4774" spans="1:8" x14ac:dyDescent="0.25">
      <c r="A4774" s="5"/>
      <c r="B4774" s="6"/>
      <c r="C4774" s="6"/>
      <c r="D4774" s="6"/>
      <c r="E4774" s="6"/>
      <c r="G4774" s="3"/>
      <c r="H4774" s="2"/>
    </row>
    <row r="4775" spans="1:8" x14ac:dyDescent="0.25">
      <c r="A4775" s="5"/>
      <c r="B4775" s="6"/>
      <c r="C4775" s="6"/>
      <c r="D4775" s="6"/>
      <c r="E4775" s="6"/>
      <c r="G4775" s="1"/>
      <c r="H4775" s="2"/>
    </row>
    <row r="4776" spans="1:8" x14ac:dyDescent="0.25">
      <c r="A4776" s="5"/>
      <c r="B4776" s="6"/>
      <c r="C4776" s="6"/>
      <c r="D4776" s="6"/>
      <c r="E4776" s="6"/>
      <c r="G4776" s="3"/>
      <c r="H4776" s="2"/>
    </row>
    <row r="4777" spans="1:8" x14ac:dyDescent="0.25">
      <c r="A4777" s="5"/>
      <c r="B4777" s="6"/>
      <c r="C4777" s="6"/>
      <c r="D4777" s="6"/>
      <c r="E4777" s="6"/>
      <c r="G4777" s="1"/>
      <c r="H4777" s="2"/>
    </row>
    <row r="4778" spans="1:8" x14ac:dyDescent="0.25">
      <c r="A4778" s="5"/>
      <c r="B4778" s="6"/>
      <c r="C4778" s="6"/>
      <c r="D4778" s="6"/>
      <c r="E4778" s="6"/>
      <c r="G4778" s="3"/>
      <c r="H4778" s="2"/>
    </row>
    <row r="4779" spans="1:8" x14ac:dyDescent="0.25">
      <c r="A4779" s="5"/>
      <c r="B4779" s="6"/>
      <c r="C4779" s="6"/>
      <c r="D4779" s="6"/>
      <c r="E4779" s="6"/>
      <c r="G4779" s="1"/>
      <c r="H4779" s="2"/>
    </row>
    <row r="4780" spans="1:8" x14ac:dyDescent="0.25">
      <c r="A4780" s="5"/>
      <c r="B4780" s="6"/>
      <c r="C4780" s="6"/>
      <c r="D4780" s="6"/>
      <c r="E4780" s="6"/>
      <c r="G4780" s="3"/>
      <c r="H4780" s="2"/>
    </row>
    <row r="4781" spans="1:8" x14ac:dyDescent="0.25">
      <c r="A4781" s="5"/>
      <c r="B4781" s="6"/>
      <c r="C4781" s="6"/>
      <c r="D4781" s="6"/>
      <c r="E4781" s="6"/>
      <c r="G4781" s="1"/>
      <c r="H4781" s="2"/>
    </row>
    <row r="4782" spans="1:8" x14ac:dyDescent="0.25">
      <c r="A4782" s="5"/>
      <c r="B4782" s="6"/>
      <c r="C4782" s="6"/>
      <c r="D4782" s="6"/>
      <c r="E4782" s="6"/>
      <c r="G4782" s="3"/>
      <c r="H4782" s="2"/>
    </row>
    <row r="4783" spans="1:8" x14ac:dyDescent="0.25">
      <c r="A4783" s="5"/>
      <c r="B4783" s="6"/>
      <c r="C4783" s="6"/>
      <c r="D4783" s="6"/>
      <c r="E4783" s="6"/>
      <c r="G4783" s="1"/>
      <c r="H4783" s="2"/>
    </row>
    <row r="4784" spans="1:8" x14ac:dyDescent="0.25">
      <c r="A4784" s="5"/>
      <c r="B4784" s="6"/>
      <c r="C4784" s="6"/>
      <c r="D4784" s="6"/>
      <c r="E4784" s="6"/>
      <c r="G4784" s="3"/>
      <c r="H4784" s="2"/>
    </row>
    <row r="4785" spans="1:8" x14ac:dyDescent="0.25">
      <c r="A4785" s="5"/>
      <c r="B4785" s="6"/>
      <c r="C4785" s="6"/>
      <c r="D4785" s="6"/>
      <c r="E4785" s="6"/>
      <c r="G4785" s="1"/>
      <c r="H4785" s="2"/>
    </row>
    <row r="4786" spans="1:8" x14ac:dyDescent="0.25">
      <c r="A4786" s="5"/>
      <c r="B4786" s="6"/>
      <c r="C4786" s="6"/>
      <c r="D4786" s="6"/>
      <c r="E4786" s="6"/>
      <c r="G4786" s="3"/>
      <c r="H4786" s="2"/>
    </row>
    <row r="4787" spans="1:8" x14ac:dyDescent="0.25">
      <c r="A4787" s="5"/>
      <c r="B4787" s="6"/>
      <c r="C4787" s="6"/>
      <c r="D4787" s="6"/>
      <c r="E4787" s="6"/>
      <c r="G4787" s="1"/>
      <c r="H4787" s="2"/>
    </row>
    <row r="4788" spans="1:8" x14ac:dyDescent="0.25">
      <c r="A4788" s="5"/>
      <c r="B4788" s="6"/>
      <c r="C4788" s="6"/>
      <c r="D4788" s="6"/>
      <c r="E4788" s="6"/>
      <c r="G4788" s="3"/>
      <c r="H4788" s="2"/>
    </row>
    <row r="4789" spans="1:8" x14ac:dyDescent="0.25">
      <c r="A4789" s="5"/>
      <c r="B4789" s="6"/>
      <c r="C4789" s="6"/>
      <c r="D4789" s="6"/>
      <c r="E4789" s="6"/>
      <c r="G4789" s="1"/>
      <c r="H4789" s="2"/>
    </row>
    <row r="4790" spans="1:8" x14ac:dyDescent="0.25">
      <c r="A4790" s="5"/>
      <c r="B4790" s="6"/>
      <c r="C4790" s="6"/>
      <c r="D4790" s="6"/>
      <c r="E4790" s="6"/>
      <c r="G4790" s="3"/>
      <c r="H4790" s="2"/>
    </row>
    <row r="4791" spans="1:8" x14ac:dyDescent="0.25">
      <c r="A4791" s="5"/>
      <c r="B4791" s="6"/>
      <c r="C4791" s="6"/>
      <c r="D4791" s="6"/>
      <c r="E4791" s="6"/>
      <c r="G4791" s="1"/>
      <c r="H4791" s="2"/>
    </row>
    <row r="4792" spans="1:8" x14ac:dyDescent="0.25">
      <c r="A4792" s="5"/>
      <c r="B4792" s="6"/>
      <c r="C4792" s="6"/>
      <c r="D4792" s="6"/>
      <c r="E4792" s="6"/>
      <c r="G4792" s="3"/>
      <c r="H4792" s="2"/>
    </row>
    <row r="4793" spans="1:8" x14ac:dyDescent="0.25">
      <c r="A4793" s="5"/>
      <c r="B4793" s="6"/>
      <c r="C4793" s="6"/>
      <c r="D4793" s="6"/>
      <c r="E4793" s="6"/>
      <c r="G4793" s="1"/>
      <c r="H4793" s="2"/>
    </row>
    <row r="4794" spans="1:8" x14ac:dyDescent="0.25">
      <c r="A4794" s="5"/>
      <c r="B4794" s="6"/>
      <c r="C4794" s="6"/>
      <c r="D4794" s="6"/>
      <c r="E4794" s="6"/>
      <c r="G4794" s="3"/>
      <c r="H4794" s="2"/>
    </row>
    <row r="4795" spans="1:8" x14ac:dyDescent="0.25">
      <c r="A4795" s="5"/>
      <c r="B4795" s="6"/>
      <c r="C4795" s="6"/>
      <c r="D4795" s="6"/>
      <c r="E4795" s="6"/>
      <c r="G4795" s="1"/>
      <c r="H4795" s="2"/>
    </row>
    <row r="4796" spans="1:8" x14ac:dyDescent="0.25">
      <c r="A4796" s="5"/>
      <c r="B4796" s="6"/>
      <c r="C4796" s="6"/>
      <c r="D4796" s="6"/>
      <c r="E4796" s="6"/>
      <c r="G4796" s="3"/>
      <c r="H4796" s="2"/>
    </row>
    <row r="4797" spans="1:8" x14ac:dyDescent="0.25">
      <c r="A4797" s="5"/>
      <c r="B4797" s="6"/>
      <c r="C4797" s="6"/>
      <c r="D4797" s="6"/>
      <c r="E4797" s="6"/>
      <c r="G4797" s="1"/>
      <c r="H4797" s="2"/>
    </row>
    <row r="4798" spans="1:8" x14ac:dyDescent="0.25">
      <c r="A4798" s="5"/>
      <c r="B4798" s="6"/>
      <c r="C4798" s="6"/>
      <c r="D4798" s="6"/>
      <c r="E4798" s="6"/>
      <c r="G4798" s="3"/>
      <c r="H4798" s="2"/>
    </row>
    <row r="4799" spans="1:8" x14ac:dyDescent="0.25">
      <c r="A4799" s="5"/>
      <c r="B4799" s="6"/>
      <c r="C4799" s="6"/>
      <c r="D4799" s="6"/>
      <c r="E4799" s="6"/>
      <c r="G4799" s="1"/>
      <c r="H4799" s="2"/>
    </row>
    <row r="4800" spans="1:8" x14ac:dyDescent="0.25">
      <c r="A4800" s="5"/>
      <c r="B4800" s="6"/>
      <c r="C4800" s="6"/>
      <c r="D4800" s="6"/>
      <c r="E4800" s="6"/>
      <c r="G4800" s="3"/>
      <c r="H4800" s="2"/>
    </row>
    <row r="4801" spans="1:8" x14ac:dyDescent="0.25">
      <c r="A4801" s="5"/>
      <c r="B4801" s="6"/>
      <c r="C4801" s="6"/>
      <c r="D4801" s="6"/>
      <c r="E4801" s="6"/>
      <c r="G4801" s="1"/>
      <c r="H4801" s="2"/>
    </row>
    <row r="4802" spans="1:8" x14ac:dyDescent="0.25">
      <c r="A4802" s="5"/>
      <c r="B4802" s="6"/>
      <c r="C4802" s="6"/>
      <c r="D4802" s="6"/>
      <c r="E4802" s="6"/>
      <c r="G4802" s="3"/>
      <c r="H4802" s="2"/>
    </row>
    <row r="4803" spans="1:8" x14ac:dyDescent="0.25">
      <c r="A4803" s="5"/>
      <c r="B4803" s="6"/>
      <c r="C4803" s="6"/>
      <c r="D4803" s="6"/>
      <c r="E4803" s="6"/>
      <c r="G4803" s="1"/>
      <c r="H4803" s="2"/>
    </row>
    <row r="4804" spans="1:8" x14ac:dyDescent="0.25">
      <c r="A4804" s="5"/>
      <c r="B4804" s="6"/>
      <c r="C4804" s="6"/>
      <c r="D4804" s="6"/>
      <c r="E4804" s="6"/>
      <c r="G4804" s="3"/>
      <c r="H4804" s="2"/>
    </row>
    <row r="4805" spans="1:8" x14ac:dyDescent="0.25">
      <c r="A4805" s="5"/>
      <c r="B4805" s="6"/>
      <c r="C4805" s="6"/>
      <c r="D4805" s="6"/>
      <c r="E4805" s="6"/>
      <c r="G4805" s="1"/>
      <c r="H4805" s="2"/>
    </row>
    <row r="4806" spans="1:8" x14ac:dyDescent="0.25">
      <c r="A4806" s="5"/>
      <c r="B4806" s="6"/>
      <c r="C4806" s="6"/>
      <c r="D4806" s="6"/>
      <c r="E4806" s="6"/>
      <c r="G4806" s="3"/>
      <c r="H4806" s="2"/>
    </row>
    <row r="4807" spans="1:8" x14ac:dyDescent="0.25">
      <c r="A4807" s="5"/>
      <c r="B4807" s="6"/>
      <c r="C4807" s="6"/>
      <c r="D4807" s="6"/>
      <c r="E4807" s="6"/>
      <c r="G4807" s="1"/>
      <c r="H4807" s="2"/>
    </row>
    <row r="4808" spans="1:8" x14ac:dyDescent="0.25">
      <c r="A4808" s="5"/>
      <c r="B4808" s="6"/>
      <c r="C4808" s="6"/>
      <c r="D4808" s="6"/>
      <c r="E4808" s="6"/>
      <c r="G4808" s="3"/>
      <c r="H4808" s="2"/>
    </row>
    <row r="4809" spans="1:8" x14ac:dyDescent="0.25">
      <c r="A4809" s="5"/>
      <c r="B4809" s="6"/>
      <c r="C4809" s="6"/>
      <c r="D4809" s="6"/>
      <c r="E4809" s="6"/>
      <c r="G4809" s="1"/>
      <c r="H4809" s="2"/>
    </row>
    <row r="4810" spans="1:8" x14ac:dyDescent="0.25">
      <c r="A4810" s="5"/>
      <c r="B4810" s="6"/>
      <c r="C4810" s="6"/>
      <c r="D4810" s="6"/>
      <c r="E4810" s="6"/>
      <c r="G4810" s="3"/>
      <c r="H4810" s="2"/>
    </row>
    <row r="4811" spans="1:8" x14ac:dyDescent="0.25">
      <c r="A4811" s="5"/>
      <c r="B4811" s="6"/>
      <c r="C4811" s="6"/>
      <c r="D4811" s="6"/>
      <c r="E4811" s="6"/>
      <c r="G4811" s="1"/>
      <c r="H4811" s="2"/>
    </row>
    <row r="4812" spans="1:8" x14ac:dyDescent="0.25">
      <c r="A4812" s="5"/>
      <c r="B4812" s="6"/>
      <c r="C4812" s="6"/>
      <c r="D4812" s="6"/>
      <c r="E4812" s="6"/>
      <c r="G4812" s="3"/>
      <c r="H4812" s="2"/>
    </row>
    <row r="4813" spans="1:8" x14ac:dyDescent="0.25">
      <c r="A4813" s="5"/>
      <c r="B4813" s="6"/>
      <c r="C4813" s="6"/>
      <c r="D4813" s="6"/>
      <c r="E4813" s="6"/>
      <c r="G4813" s="1"/>
      <c r="H4813" s="2"/>
    </row>
    <row r="4814" spans="1:8" x14ac:dyDescent="0.25">
      <c r="A4814" s="5"/>
      <c r="B4814" s="6"/>
      <c r="C4814" s="6"/>
      <c r="D4814" s="6"/>
      <c r="E4814" s="6"/>
      <c r="G4814" s="3"/>
      <c r="H4814" s="2"/>
    </row>
    <row r="4815" spans="1:8" x14ac:dyDescent="0.25">
      <c r="A4815" s="5"/>
      <c r="B4815" s="6"/>
      <c r="C4815" s="6"/>
      <c r="D4815" s="6"/>
      <c r="E4815" s="6"/>
      <c r="G4815" s="1"/>
      <c r="H4815" s="2"/>
    </row>
    <row r="4816" spans="1:8" x14ac:dyDescent="0.25">
      <c r="A4816" s="5"/>
      <c r="B4816" s="6"/>
      <c r="C4816" s="6"/>
      <c r="D4816" s="6"/>
      <c r="E4816" s="6"/>
      <c r="G4816" s="3"/>
      <c r="H4816" s="2"/>
    </row>
    <row r="4817" spans="1:8" x14ac:dyDescent="0.25">
      <c r="A4817" s="5"/>
      <c r="B4817" s="6"/>
      <c r="C4817" s="6"/>
      <c r="D4817" s="6"/>
      <c r="E4817" s="6"/>
      <c r="G4817" s="1"/>
      <c r="H4817" s="2"/>
    </row>
    <row r="4818" spans="1:8" x14ac:dyDescent="0.25">
      <c r="A4818" s="5"/>
      <c r="B4818" s="6"/>
      <c r="C4818" s="6"/>
      <c r="D4818" s="6"/>
      <c r="E4818" s="6"/>
      <c r="G4818" s="3"/>
      <c r="H4818" s="2"/>
    </row>
    <row r="4819" spans="1:8" x14ac:dyDescent="0.25">
      <c r="A4819" s="5"/>
      <c r="B4819" s="6"/>
      <c r="C4819" s="6"/>
      <c r="D4819" s="6"/>
      <c r="E4819" s="6"/>
      <c r="G4819" s="1"/>
      <c r="H4819" s="2"/>
    </row>
    <row r="4820" spans="1:8" x14ac:dyDescent="0.25">
      <c r="A4820" s="5"/>
      <c r="B4820" s="6"/>
      <c r="C4820" s="6"/>
      <c r="D4820" s="6"/>
      <c r="E4820" s="6"/>
      <c r="G4820" s="3"/>
      <c r="H4820" s="2"/>
    </row>
    <row r="4821" spans="1:8" x14ac:dyDescent="0.25">
      <c r="A4821" s="5"/>
      <c r="B4821" s="6"/>
      <c r="C4821" s="6"/>
      <c r="D4821" s="6"/>
      <c r="E4821" s="6"/>
      <c r="G4821" s="1"/>
      <c r="H4821" s="2"/>
    </row>
    <row r="4822" spans="1:8" x14ac:dyDescent="0.25">
      <c r="A4822" s="5"/>
      <c r="B4822" s="6"/>
      <c r="C4822" s="6"/>
      <c r="D4822" s="6"/>
      <c r="E4822" s="6"/>
      <c r="G4822" s="3"/>
      <c r="H4822" s="2"/>
    </row>
    <row r="4823" spans="1:8" x14ac:dyDescent="0.25">
      <c r="A4823" s="5"/>
      <c r="B4823" s="6"/>
      <c r="C4823" s="6"/>
      <c r="D4823" s="6"/>
      <c r="E4823" s="6"/>
      <c r="G4823" s="1"/>
      <c r="H4823" s="2"/>
    </row>
    <row r="4824" spans="1:8" x14ac:dyDescent="0.25">
      <c r="A4824" s="5"/>
      <c r="B4824" s="6"/>
      <c r="C4824" s="6"/>
      <c r="D4824" s="6"/>
      <c r="E4824" s="6"/>
      <c r="G4824" s="3"/>
      <c r="H4824" s="2"/>
    </row>
    <row r="4825" spans="1:8" x14ac:dyDescent="0.25">
      <c r="A4825" s="5"/>
      <c r="B4825" s="6"/>
      <c r="C4825" s="6"/>
      <c r="D4825" s="6"/>
      <c r="E4825" s="6"/>
      <c r="G4825" s="1"/>
      <c r="H4825" s="2"/>
    </row>
    <row r="4826" spans="1:8" x14ac:dyDescent="0.25">
      <c r="A4826" s="5"/>
      <c r="B4826" s="6"/>
      <c r="C4826" s="6"/>
      <c r="D4826" s="6"/>
      <c r="E4826" s="6"/>
      <c r="G4826" s="3"/>
      <c r="H4826" s="2"/>
    </row>
    <row r="4827" spans="1:8" x14ac:dyDescent="0.25">
      <c r="A4827" s="5"/>
      <c r="B4827" s="6"/>
      <c r="C4827" s="6"/>
      <c r="D4827" s="6"/>
      <c r="E4827" s="6"/>
      <c r="G4827" s="1"/>
      <c r="H4827" s="2"/>
    </row>
    <row r="4828" spans="1:8" x14ac:dyDescent="0.25">
      <c r="A4828" s="5"/>
      <c r="B4828" s="6"/>
      <c r="C4828" s="6"/>
      <c r="D4828" s="6"/>
      <c r="E4828" s="6"/>
      <c r="G4828" s="3"/>
      <c r="H4828" s="2"/>
    </row>
    <row r="4829" spans="1:8" x14ac:dyDescent="0.25">
      <c r="A4829" s="5"/>
      <c r="B4829" s="6"/>
      <c r="C4829" s="6"/>
      <c r="D4829" s="6"/>
      <c r="E4829" s="6"/>
      <c r="G4829" s="1"/>
      <c r="H4829" s="2"/>
    </row>
    <row r="4830" spans="1:8" x14ac:dyDescent="0.25">
      <c r="A4830" s="5"/>
      <c r="B4830" s="6"/>
      <c r="C4830" s="6"/>
      <c r="D4830" s="6"/>
      <c r="E4830" s="6"/>
      <c r="G4830" s="3"/>
      <c r="H4830" s="2"/>
    </row>
    <row r="4831" spans="1:8" x14ac:dyDescent="0.25">
      <c r="A4831" s="5"/>
      <c r="B4831" s="6"/>
      <c r="C4831" s="6"/>
      <c r="D4831" s="6"/>
      <c r="E4831" s="6"/>
      <c r="G4831" s="1"/>
      <c r="H4831" s="2"/>
    </row>
    <row r="4832" spans="1:8" x14ac:dyDescent="0.25">
      <c r="A4832" s="5"/>
      <c r="B4832" s="6"/>
      <c r="C4832" s="6"/>
      <c r="D4832" s="6"/>
      <c r="E4832" s="6"/>
      <c r="G4832" s="3"/>
      <c r="H4832" s="2"/>
    </row>
    <row r="4833" spans="1:8" x14ac:dyDescent="0.25">
      <c r="A4833" s="5"/>
      <c r="B4833" s="6"/>
      <c r="C4833" s="6"/>
      <c r="D4833" s="6"/>
      <c r="E4833" s="6"/>
      <c r="G4833" s="1"/>
      <c r="H4833" s="2"/>
    </row>
    <row r="4834" spans="1:8" x14ac:dyDescent="0.25">
      <c r="A4834" s="5"/>
      <c r="B4834" s="6"/>
      <c r="C4834" s="6"/>
      <c r="D4834" s="6"/>
      <c r="E4834" s="6"/>
      <c r="G4834" s="3"/>
      <c r="H4834" s="2"/>
    </row>
    <row r="4835" spans="1:8" x14ac:dyDescent="0.25">
      <c r="A4835" s="5"/>
      <c r="B4835" s="6"/>
      <c r="C4835" s="6"/>
      <c r="D4835" s="6"/>
      <c r="E4835" s="6"/>
      <c r="G4835" s="1"/>
      <c r="H4835" s="2"/>
    </row>
    <row r="4836" spans="1:8" x14ac:dyDescent="0.25">
      <c r="A4836" s="5"/>
      <c r="B4836" s="6"/>
      <c r="C4836" s="6"/>
      <c r="D4836" s="6"/>
      <c r="E4836" s="6"/>
      <c r="G4836" s="3"/>
      <c r="H4836" s="2"/>
    </row>
    <row r="4837" spans="1:8" x14ac:dyDescent="0.25">
      <c r="A4837" s="5"/>
      <c r="B4837" s="6"/>
      <c r="C4837" s="6"/>
      <c r="D4837" s="6"/>
      <c r="E4837" s="6"/>
      <c r="G4837" s="1"/>
      <c r="H4837" s="2"/>
    </row>
    <row r="4838" spans="1:8" x14ac:dyDescent="0.25">
      <c r="A4838" s="5"/>
      <c r="B4838" s="6"/>
      <c r="C4838" s="6"/>
      <c r="D4838" s="6"/>
      <c r="E4838" s="6"/>
      <c r="G4838" s="3"/>
      <c r="H4838" s="2"/>
    </row>
    <row r="4839" spans="1:8" x14ac:dyDescent="0.25">
      <c r="A4839" s="5"/>
      <c r="B4839" s="6"/>
      <c r="C4839" s="6"/>
      <c r="D4839" s="6"/>
      <c r="E4839" s="6"/>
      <c r="G4839" s="1"/>
      <c r="H4839" s="2"/>
    </row>
    <row r="4840" spans="1:8" x14ac:dyDescent="0.25">
      <c r="A4840" s="5"/>
      <c r="B4840" s="6"/>
      <c r="C4840" s="6"/>
      <c r="D4840" s="6"/>
      <c r="E4840" s="6"/>
      <c r="G4840" s="14"/>
      <c r="H4840" s="2"/>
    </row>
    <row r="4841" spans="1:8" x14ac:dyDescent="0.25">
      <c r="A4841" s="5"/>
      <c r="B4841" s="6"/>
      <c r="C4841" s="6"/>
      <c r="D4841" s="6"/>
      <c r="E4841" s="6"/>
      <c r="G4841" s="14"/>
      <c r="H4841" s="2"/>
    </row>
    <row r="4842" spans="1:8" x14ac:dyDescent="0.25">
      <c r="A4842" s="5"/>
      <c r="B4842" s="6"/>
      <c r="C4842" s="6"/>
      <c r="D4842" s="6"/>
      <c r="E4842" s="6"/>
      <c r="G4842" s="14"/>
      <c r="H4842" s="2"/>
    </row>
    <row r="4843" spans="1:8" x14ac:dyDescent="0.25">
      <c r="A4843" s="5"/>
      <c r="B4843" s="6"/>
      <c r="C4843" s="6"/>
      <c r="D4843" s="6"/>
      <c r="E4843" s="6"/>
      <c r="G4843" s="14"/>
      <c r="H4843" s="2"/>
    </row>
    <row r="4844" spans="1:8" x14ac:dyDescent="0.25">
      <c r="A4844" s="5"/>
      <c r="B4844" s="6"/>
      <c r="C4844" s="6"/>
      <c r="D4844" s="6"/>
      <c r="E4844" s="6"/>
      <c r="G4844" s="14"/>
      <c r="H4844" s="2"/>
    </row>
    <row r="4845" spans="1:8" x14ac:dyDescent="0.25">
      <c r="A4845" s="5"/>
      <c r="B4845" s="6"/>
      <c r="C4845" s="6"/>
      <c r="D4845" s="6"/>
      <c r="E4845" s="6"/>
      <c r="G4845" s="14"/>
      <c r="H4845" s="2"/>
    </row>
    <row r="4846" spans="1:8" x14ac:dyDescent="0.25">
      <c r="A4846" s="5"/>
      <c r="B4846" s="6"/>
      <c r="C4846" s="6"/>
      <c r="D4846" s="6"/>
      <c r="E4846" s="6"/>
    </row>
    <row r="4847" spans="1:8" x14ac:dyDescent="0.25">
      <c r="A4847" s="5"/>
      <c r="B4847" s="6"/>
      <c r="C4847" s="6"/>
      <c r="D4847" s="6"/>
      <c r="E4847" s="6"/>
      <c r="G4847" s="3"/>
      <c r="H4847" s="2"/>
    </row>
    <row r="4848" spans="1:8" x14ac:dyDescent="0.25">
      <c r="A4848" s="5"/>
      <c r="B4848" s="6"/>
      <c r="C4848" s="6"/>
      <c r="D4848" s="6"/>
      <c r="E4848" s="6"/>
      <c r="G4848" s="1"/>
      <c r="H4848" s="2"/>
    </row>
    <row r="4849" spans="1:8" x14ac:dyDescent="0.25">
      <c r="A4849" s="5"/>
      <c r="B4849" s="6"/>
      <c r="C4849" s="6"/>
      <c r="D4849" s="6"/>
      <c r="E4849" s="6"/>
      <c r="G4849" s="3"/>
      <c r="H4849" s="2"/>
    </row>
    <row r="4850" spans="1:8" x14ac:dyDescent="0.25">
      <c r="A4850" s="5"/>
      <c r="B4850" s="6"/>
      <c r="C4850" s="6"/>
      <c r="D4850" s="6"/>
      <c r="E4850" s="6"/>
      <c r="G4850" s="1"/>
      <c r="H4850" s="2"/>
    </row>
    <row r="4851" spans="1:8" x14ac:dyDescent="0.25">
      <c r="A4851" s="5"/>
      <c r="B4851" s="6"/>
      <c r="C4851" s="6"/>
      <c r="D4851" s="6"/>
      <c r="E4851" s="6"/>
      <c r="G4851" s="3"/>
      <c r="H4851" s="2"/>
    </row>
    <row r="4852" spans="1:8" x14ac:dyDescent="0.25">
      <c r="A4852" s="5"/>
      <c r="B4852" s="6"/>
      <c r="C4852" s="6"/>
      <c r="D4852" s="6"/>
      <c r="E4852" s="6"/>
      <c r="G4852" s="1"/>
      <c r="H4852" s="2"/>
    </row>
    <row r="4853" spans="1:8" x14ac:dyDescent="0.25">
      <c r="A4853" s="5"/>
      <c r="B4853" s="6"/>
      <c r="C4853" s="6"/>
      <c r="D4853" s="6"/>
      <c r="E4853" s="6"/>
      <c r="G4853" s="3"/>
      <c r="H4853" s="2"/>
    </row>
    <row r="4854" spans="1:8" x14ac:dyDescent="0.25">
      <c r="A4854" s="5"/>
      <c r="B4854" s="6"/>
      <c r="C4854" s="6"/>
      <c r="D4854" s="6"/>
      <c r="E4854" s="6"/>
      <c r="G4854" s="1"/>
      <c r="H4854" s="2"/>
    </row>
    <row r="4855" spans="1:8" x14ac:dyDescent="0.25">
      <c r="A4855" s="5"/>
      <c r="B4855" s="6"/>
      <c r="C4855" s="6"/>
      <c r="D4855" s="6"/>
      <c r="E4855" s="6"/>
      <c r="G4855" s="3"/>
      <c r="H4855" s="2"/>
    </row>
    <row r="4856" spans="1:8" x14ac:dyDescent="0.25">
      <c r="A4856" s="5"/>
      <c r="B4856" s="6"/>
      <c r="C4856" s="6"/>
      <c r="D4856" s="6"/>
      <c r="E4856" s="6"/>
      <c r="G4856" s="1"/>
      <c r="H4856" s="2"/>
    </row>
    <row r="4857" spans="1:8" x14ac:dyDescent="0.25">
      <c r="A4857" s="5"/>
      <c r="B4857" s="6"/>
      <c r="C4857" s="6"/>
      <c r="D4857" s="6"/>
      <c r="E4857" s="6"/>
      <c r="G4857" s="3"/>
      <c r="H4857" s="2"/>
    </row>
    <row r="4858" spans="1:8" x14ac:dyDescent="0.25">
      <c r="A4858" s="5"/>
      <c r="B4858" s="6"/>
      <c r="C4858" s="6"/>
      <c r="D4858" s="6"/>
      <c r="E4858" s="6"/>
      <c r="G4858" s="1"/>
      <c r="H4858" s="2"/>
    </row>
    <row r="4859" spans="1:8" x14ac:dyDescent="0.25">
      <c r="A4859" s="5"/>
      <c r="B4859" s="6"/>
      <c r="C4859" s="6"/>
      <c r="D4859" s="6"/>
      <c r="E4859" s="6"/>
      <c r="G4859" s="3"/>
      <c r="H4859" s="2"/>
    </row>
    <row r="4860" spans="1:8" x14ac:dyDescent="0.25">
      <c r="A4860" s="5"/>
      <c r="B4860" s="6"/>
      <c r="C4860" s="6"/>
      <c r="D4860" s="6"/>
      <c r="E4860" s="6"/>
      <c r="G4860" s="1"/>
      <c r="H4860" s="2"/>
    </row>
    <row r="4861" spans="1:8" x14ac:dyDescent="0.25">
      <c r="A4861" s="5"/>
      <c r="B4861" s="6"/>
      <c r="C4861" s="6"/>
      <c r="D4861" s="6"/>
      <c r="E4861" s="6"/>
      <c r="G4861" s="3"/>
      <c r="H4861" s="2"/>
    </row>
    <row r="4862" spans="1:8" x14ac:dyDescent="0.25">
      <c r="A4862" s="5"/>
      <c r="B4862" s="6"/>
      <c r="C4862" s="6"/>
      <c r="D4862" s="6"/>
      <c r="E4862" s="6"/>
      <c r="G4862" s="1"/>
      <c r="H4862" s="2"/>
    </row>
    <row r="4863" spans="1:8" x14ac:dyDescent="0.25">
      <c r="A4863" s="5"/>
      <c r="B4863" s="6"/>
      <c r="C4863" s="6"/>
      <c r="D4863" s="6"/>
      <c r="E4863" s="6"/>
      <c r="G4863" s="3"/>
      <c r="H4863" s="2"/>
    </row>
    <row r="4864" spans="1:8" x14ac:dyDescent="0.25">
      <c r="A4864" s="5"/>
      <c r="B4864" s="6"/>
      <c r="C4864" s="6"/>
      <c r="D4864" s="6"/>
      <c r="E4864" s="6"/>
      <c r="G4864" s="1"/>
      <c r="H4864" s="2"/>
    </row>
    <row r="4865" spans="1:8" x14ac:dyDescent="0.25">
      <c r="A4865" s="5"/>
      <c r="B4865" s="6"/>
      <c r="C4865" s="6"/>
      <c r="D4865" s="6"/>
      <c r="E4865" s="6"/>
      <c r="G4865" s="3"/>
      <c r="H4865" s="2"/>
    </row>
    <row r="4866" spans="1:8" x14ac:dyDescent="0.25">
      <c r="A4866" s="5"/>
      <c r="B4866" s="6"/>
      <c r="C4866" s="6"/>
      <c r="D4866" s="6"/>
      <c r="E4866" s="6"/>
      <c r="G4866" s="1"/>
      <c r="H4866" s="2"/>
    </row>
    <row r="4867" spans="1:8" x14ac:dyDescent="0.25">
      <c r="A4867" s="5"/>
      <c r="B4867" s="6"/>
      <c r="C4867" s="6"/>
      <c r="D4867" s="6"/>
      <c r="E4867" s="6"/>
      <c r="G4867" s="3"/>
      <c r="H4867" s="2"/>
    </row>
    <row r="4868" spans="1:8" x14ac:dyDescent="0.25">
      <c r="A4868" s="5"/>
      <c r="B4868" s="6"/>
      <c r="C4868" s="6"/>
      <c r="D4868" s="6"/>
      <c r="E4868" s="6"/>
      <c r="G4868" s="1"/>
      <c r="H4868" s="2"/>
    </row>
    <row r="4869" spans="1:8" x14ac:dyDescent="0.25">
      <c r="A4869" s="5"/>
      <c r="B4869" s="6"/>
      <c r="C4869" s="6"/>
      <c r="D4869" s="6"/>
      <c r="E4869" s="6"/>
      <c r="G4869" s="3"/>
      <c r="H4869" s="2"/>
    </row>
    <row r="4870" spans="1:8" x14ac:dyDescent="0.25">
      <c r="A4870" s="5"/>
      <c r="B4870" s="6"/>
      <c r="C4870" s="6"/>
      <c r="D4870" s="6"/>
      <c r="E4870" s="6"/>
      <c r="G4870" s="1"/>
      <c r="H4870" s="2"/>
    </row>
    <row r="4871" spans="1:8" x14ac:dyDescent="0.25">
      <c r="A4871" s="5"/>
      <c r="B4871" s="6"/>
      <c r="C4871" s="6"/>
      <c r="D4871" s="6"/>
      <c r="E4871" s="6"/>
      <c r="G4871" s="3"/>
      <c r="H4871" s="2"/>
    </row>
    <row r="4872" spans="1:8" x14ac:dyDescent="0.25">
      <c r="A4872" s="5"/>
      <c r="B4872" s="6"/>
      <c r="C4872" s="6"/>
      <c r="D4872" s="6"/>
      <c r="E4872" s="6"/>
      <c r="G4872" s="1"/>
      <c r="H4872" s="2"/>
    </row>
    <row r="4873" spans="1:8" x14ac:dyDescent="0.25">
      <c r="A4873" s="5"/>
      <c r="B4873" s="6"/>
      <c r="C4873" s="6"/>
      <c r="D4873" s="6"/>
      <c r="E4873" s="6"/>
      <c r="G4873" s="3"/>
      <c r="H4873" s="2"/>
    </row>
    <row r="4874" spans="1:8" x14ac:dyDescent="0.25">
      <c r="A4874" s="5"/>
      <c r="B4874" s="6"/>
      <c r="C4874" s="6"/>
      <c r="D4874" s="6"/>
      <c r="E4874" s="6"/>
      <c r="G4874" s="1"/>
      <c r="H4874" s="2"/>
    </row>
    <row r="4875" spans="1:8" x14ac:dyDescent="0.25">
      <c r="A4875" s="5"/>
      <c r="B4875" s="6"/>
      <c r="C4875" s="6"/>
      <c r="D4875" s="6"/>
      <c r="E4875" s="6"/>
      <c r="G4875" s="3"/>
      <c r="H4875" s="2"/>
    </row>
    <row r="4876" spans="1:8" x14ac:dyDescent="0.25">
      <c r="A4876" s="5"/>
      <c r="B4876" s="6"/>
      <c r="C4876" s="6"/>
      <c r="D4876" s="6"/>
      <c r="E4876" s="6"/>
      <c r="G4876" s="1"/>
      <c r="H4876" s="2"/>
    </row>
    <row r="4877" spans="1:8" x14ac:dyDescent="0.25">
      <c r="A4877" s="5"/>
      <c r="B4877" s="6"/>
      <c r="C4877" s="6"/>
      <c r="D4877" s="6"/>
      <c r="E4877" s="6"/>
      <c r="G4877" s="3"/>
      <c r="H4877" s="2"/>
    </row>
    <row r="4878" spans="1:8" x14ac:dyDescent="0.25">
      <c r="A4878" s="5"/>
      <c r="B4878" s="6"/>
      <c r="C4878" s="6"/>
      <c r="D4878" s="6"/>
      <c r="E4878" s="6"/>
      <c r="G4878" s="1"/>
      <c r="H4878" s="2"/>
    </row>
    <row r="4879" spans="1:8" x14ac:dyDescent="0.25">
      <c r="A4879" s="5"/>
      <c r="B4879" s="6"/>
      <c r="C4879" s="6"/>
      <c r="D4879" s="6"/>
      <c r="E4879" s="6"/>
      <c r="G4879" s="3"/>
      <c r="H4879" s="2"/>
    </row>
    <row r="4880" spans="1:8" x14ac:dyDescent="0.25">
      <c r="A4880" s="5"/>
      <c r="B4880" s="6"/>
      <c r="C4880" s="6"/>
      <c r="D4880" s="6"/>
      <c r="E4880" s="6"/>
      <c r="G4880" s="1"/>
      <c r="H4880" s="2"/>
    </row>
    <row r="4881" spans="1:8" x14ac:dyDescent="0.25">
      <c r="A4881" s="5"/>
      <c r="B4881" s="6"/>
      <c r="C4881" s="6"/>
      <c r="D4881" s="6"/>
      <c r="E4881" s="6"/>
      <c r="G4881" s="3"/>
      <c r="H4881" s="2"/>
    </row>
    <row r="4882" spans="1:8" x14ac:dyDescent="0.25">
      <c r="A4882" s="5"/>
      <c r="B4882" s="6"/>
      <c r="C4882" s="6"/>
      <c r="D4882" s="6"/>
      <c r="E4882" s="6"/>
      <c r="G4882" s="1"/>
      <c r="H4882" s="2"/>
    </row>
    <row r="4883" spans="1:8" x14ac:dyDescent="0.25">
      <c r="A4883" s="5"/>
      <c r="B4883" s="6"/>
      <c r="C4883" s="6"/>
      <c r="D4883" s="6"/>
      <c r="E4883" s="6"/>
      <c r="G4883" s="3"/>
      <c r="H4883" s="2"/>
    </row>
    <row r="4884" spans="1:8" x14ac:dyDescent="0.25">
      <c r="A4884" s="5"/>
      <c r="B4884" s="6"/>
      <c r="C4884" s="6"/>
      <c r="D4884" s="6"/>
      <c r="E4884" s="6"/>
      <c r="G4884" s="1"/>
      <c r="H4884" s="2"/>
    </row>
    <row r="4885" spans="1:8" x14ac:dyDescent="0.25">
      <c r="A4885" s="5"/>
      <c r="B4885" s="6"/>
      <c r="C4885" s="6"/>
      <c r="D4885" s="6"/>
      <c r="E4885" s="6"/>
      <c r="G4885" s="3"/>
      <c r="H4885" s="2"/>
    </row>
    <row r="4886" spans="1:8" x14ac:dyDescent="0.25">
      <c r="A4886" s="5"/>
      <c r="B4886" s="6"/>
      <c r="C4886" s="6"/>
      <c r="D4886" s="6"/>
      <c r="E4886" s="6"/>
      <c r="G4886" s="1"/>
      <c r="H4886" s="2"/>
    </row>
    <row r="4887" spans="1:8" x14ac:dyDescent="0.25">
      <c r="A4887" s="5"/>
      <c r="B4887" s="6"/>
      <c r="C4887" s="6"/>
      <c r="D4887" s="6"/>
      <c r="E4887" s="6"/>
      <c r="G4887" s="3"/>
      <c r="H4887" s="2"/>
    </row>
    <row r="4888" spans="1:8" x14ac:dyDescent="0.25">
      <c r="A4888" s="5"/>
      <c r="B4888" s="6"/>
      <c r="C4888" s="6"/>
      <c r="D4888" s="6"/>
      <c r="E4888" s="6"/>
      <c r="G4888" s="1"/>
      <c r="H4888" s="2"/>
    </row>
    <row r="4889" spans="1:8" x14ac:dyDescent="0.25">
      <c r="A4889" s="5"/>
      <c r="B4889" s="6"/>
      <c r="C4889" s="6"/>
      <c r="D4889" s="6"/>
      <c r="E4889" s="6"/>
      <c r="G4889" s="3"/>
      <c r="H4889" s="2"/>
    </row>
    <row r="4890" spans="1:8" x14ac:dyDescent="0.25">
      <c r="A4890" s="5"/>
      <c r="B4890" s="6"/>
      <c r="C4890" s="6"/>
      <c r="D4890" s="6"/>
      <c r="E4890" s="6"/>
      <c r="G4890" s="1"/>
      <c r="H4890" s="2"/>
    </row>
    <row r="4891" spans="1:8" x14ac:dyDescent="0.25">
      <c r="A4891" s="5"/>
      <c r="B4891" s="6"/>
      <c r="C4891" s="6"/>
      <c r="D4891" s="6"/>
      <c r="E4891" s="6"/>
      <c r="G4891" s="3"/>
      <c r="H4891" s="2"/>
    </row>
    <row r="4892" spans="1:8" x14ac:dyDescent="0.25">
      <c r="A4892" s="5"/>
      <c r="B4892" s="6"/>
      <c r="C4892" s="6"/>
      <c r="D4892" s="6"/>
      <c r="E4892" s="6"/>
      <c r="G4892" s="1"/>
      <c r="H4892" s="2"/>
    </row>
    <row r="4893" spans="1:8" x14ac:dyDescent="0.25">
      <c r="A4893" s="5"/>
      <c r="B4893" s="6"/>
      <c r="C4893" s="6"/>
      <c r="D4893" s="6"/>
      <c r="E4893" s="6"/>
      <c r="G4893" s="3"/>
      <c r="H4893" s="2"/>
    </row>
    <row r="4894" spans="1:8" x14ac:dyDescent="0.25">
      <c r="A4894" s="5"/>
      <c r="B4894" s="6"/>
      <c r="C4894" s="6"/>
      <c r="D4894" s="6"/>
      <c r="E4894" s="6"/>
      <c r="G4894" s="1"/>
      <c r="H4894" s="2"/>
    </row>
    <row r="4895" spans="1:8" x14ac:dyDescent="0.25">
      <c r="A4895" s="5"/>
      <c r="B4895" s="6"/>
      <c r="C4895" s="6"/>
      <c r="D4895" s="6"/>
      <c r="E4895" s="6"/>
      <c r="G4895" s="3"/>
      <c r="H4895" s="2"/>
    </row>
    <row r="4896" spans="1:8" x14ac:dyDescent="0.25">
      <c r="A4896" s="5"/>
      <c r="B4896" s="6"/>
      <c r="C4896" s="6"/>
      <c r="D4896" s="6"/>
      <c r="E4896" s="6"/>
      <c r="G4896" s="1"/>
      <c r="H4896" s="2"/>
    </row>
    <row r="4897" spans="1:8" x14ac:dyDescent="0.25">
      <c r="A4897" s="5"/>
      <c r="B4897" s="6"/>
      <c r="C4897" s="6"/>
      <c r="D4897" s="6"/>
      <c r="E4897" s="6"/>
      <c r="G4897" s="3"/>
      <c r="H4897" s="2"/>
    </row>
    <row r="4898" spans="1:8" x14ac:dyDescent="0.25">
      <c r="A4898" s="5"/>
      <c r="B4898" s="6"/>
      <c r="C4898" s="6"/>
      <c r="D4898" s="6"/>
      <c r="E4898" s="6"/>
      <c r="G4898" s="1"/>
      <c r="H4898" s="2"/>
    </row>
    <row r="4899" spans="1:8" x14ac:dyDescent="0.25">
      <c r="A4899" s="5"/>
      <c r="B4899" s="6"/>
      <c r="C4899" s="6"/>
      <c r="D4899" s="6"/>
      <c r="E4899" s="6"/>
      <c r="G4899" s="3"/>
      <c r="H4899" s="2"/>
    </row>
    <row r="4900" spans="1:8" x14ac:dyDescent="0.25">
      <c r="A4900" s="5"/>
      <c r="B4900" s="6"/>
      <c r="C4900" s="6"/>
      <c r="D4900" s="6"/>
      <c r="E4900" s="6"/>
      <c r="G4900" s="1"/>
      <c r="H4900" s="2"/>
    </row>
    <row r="4901" spans="1:8" x14ac:dyDescent="0.25">
      <c r="A4901" s="5"/>
      <c r="B4901" s="6"/>
      <c r="C4901" s="6"/>
      <c r="D4901" s="6"/>
      <c r="E4901" s="6"/>
      <c r="G4901" s="3"/>
      <c r="H4901" s="2"/>
    </row>
    <row r="4902" spans="1:8" x14ac:dyDescent="0.25">
      <c r="A4902" s="5"/>
      <c r="B4902" s="6"/>
      <c r="C4902" s="6"/>
      <c r="D4902" s="6"/>
      <c r="E4902" s="6"/>
      <c r="G4902" s="1"/>
      <c r="H4902" s="2"/>
    </row>
    <row r="4903" spans="1:8" x14ac:dyDescent="0.25">
      <c r="A4903" s="5"/>
      <c r="B4903" s="6"/>
      <c r="C4903" s="6"/>
      <c r="D4903" s="6"/>
      <c r="E4903" s="6"/>
      <c r="G4903" s="3"/>
      <c r="H4903" s="2"/>
    </row>
    <row r="4904" spans="1:8" x14ac:dyDescent="0.25">
      <c r="A4904" s="5"/>
      <c r="B4904" s="6"/>
      <c r="C4904" s="6"/>
      <c r="D4904" s="6"/>
      <c r="E4904" s="6"/>
      <c r="G4904" s="1"/>
      <c r="H4904" s="2"/>
    </row>
    <row r="4905" spans="1:8" x14ac:dyDescent="0.25">
      <c r="A4905" s="5"/>
      <c r="B4905" s="6"/>
      <c r="C4905" s="6"/>
      <c r="D4905" s="6"/>
      <c r="E4905" s="6"/>
      <c r="G4905" s="3"/>
      <c r="H4905" s="2"/>
    </row>
    <row r="4906" spans="1:8" x14ac:dyDescent="0.25">
      <c r="A4906" s="5"/>
      <c r="B4906" s="6"/>
      <c r="C4906" s="6"/>
      <c r="D4906" s="6"/>
      <c r="E4906" s="6"/>
      <c r="G4906" s="1"/>
      <c r="H4906" s="2"/>
    </row>
    <row r="4907" spans="1:8" x14ac:dyDescent="0.25">
      <c r="A4907" s="5"/>
      <c r="B4907" s="6"/>
      <c r="C4907" s="6"/>
      <c r="D4907" s="6"/>
      <c r="E4907" s="6"/>
      <c r="G4907" s="3"/>
      <c r="H4907" s="2"/>
    </row>
    <row r="4908" spans="1:8" x14ac:dyDescent="0.25">
      <c r="A4908" s="5"/>
      <c r="B4908" s="6"/>
      <c r="C4908" s="6"/>
      <c r="D4908" s="6"/>
      <c r="E4908" s="6"/>
      <c r="G4908" s="1"/>
      <c r="H4908" s="2"/>
    </row>
    <row r="4909" spans="1:8" x14ac:dyDescent="0.25">
      <c r="A4909" s="5"/>
      <c r="B4909" s="6"/>
      <c r="C4909" s="6"/>
      <c r="D4909" s="6"/>
      <c r="E4909" s="6"/>
      <c r="G4909" s="3"/>
      <c r="H4909" s="2"/>
    </row>
    <row r="4910" spans="1:8" x14ac:dyDescent="0.25">
      <c r="A4910" s="5"/>
      <c r="B4910" s="6"/>
      <c r="C4910" s="6"/>
      <c r="D4910" s="6"/>
      <c r="E4910" s="6"/>
      <c r="G4910" s="1"/>
      <c r="H4910" s="2"/>
    </row>
    <row r="4911" spans="1:8" x14ac:dyDescent="0.25">
      <c r="A4911" s="5"/>
      <c r="B4911" s="6"/>
      <c r="C4911" s="6"/>
      <c r="D4911" s="6"/>
      <c r="E4911" s="6"/>
      <c r="G4911" s="3"/>
      <c r="H4911" s="2"/>
    </row>
    <row r="4912" spans="1:8" x14ac:dyDescent="0.25">
      <c r="A4912" s="5"/>
      <c r="B4912" s="6"/>
      <c r="C4912" s="6"/>
      <c r="D4912" s="6"/>
      <c r="E4912" s="6"/>
      <c r="G4912" s="1"/>
      <c r="H4912" s="2"/>
    </row>
    <row r="4913" spans="1:8" x14ac:dyDescent="0.25">
      <c r="A4913" s="5"/>
      <c r="B4913" s="6"/>
      <c r="C4913" s="6"/>
      <c r="D4913" s="6"/>
      <c r="E4913" s="6"/>
      <c r="G4913" s="3"/>
      <c r="H4913" s="2"/>
    </row>
    <row r="4914" spans="1:8" x14ac:dyDescent="0.25">
      <c r="A4914" s="5"/>
      <c r="B4914" s="6"/>
      <c r="C4914" s="6"/>
      <c r="D4914" s="6"/>
      <c r="E4914" s="6"/>
      <c r="G4914" s="1"/>
      <c r="H4914" s="2"/>
    </row>
    <row r="4915" spans="1:8" x14ac:dyDescent="0.25">
      <c r="A4915" s="5"/>
      <c r="B4915" s="6"/>
      <c r="C4915" s="6"/>
      <c r="D4915" s="6"/>
      <c r="E4915" s="6"/>
      <c r="G4915" s="3"/>
      <c r="H4915" s="2"/>
    </row>
    <row r="4916" spans="1:8" x14ac:dyDescent="0.25">
      <c r="A4916" s="5"/>
      <c r="B4916" s="6"/>
      <c r="C4916" s="6"/>
      <c r="D4916" s="6"/>
      <c r="E4916" s="6"/>
      <c r="G4916" s="1"/>
      <c r="H4916" s="2"/>
    </row>
    <row r="4917" spans="1:8" x14ac:dyDescent="0.25">
      <c r="A4917" s="5"/>
      <c r="B4917" s="6"/>
      <c r="C4917" s="6"/>
      <c r="D4917" s="6"/>
      <c r="E4917" s="6"/>
      <c r="G4917" s="3"/>
      <c r="H4917" s="2"/>
    </row>
    <row r="4918" spans="1:8" x14ac:dyDescent="0.25">
      <c r="A4918" s="5"/>
      <c r="B4918" s="6"/>
      <c r="C4918" s="6"/>
      <c r="D4918" s="6"/>
      <c r="E4918" s="6"/>
      <c r="G4918" s="1"/>
      <c r="H4918" s="2"/>
    </row>
    <row r="4919" spans="1:8" x14ac:dyDescent="0.25">
      <c r="A4919" s="5"/>
      <c r="B4919" s="6"/>
      <c r="C4919" s="6"/>
      <c r="D4919" s="6"/>
      <c r="E4919" s="6"/>
      <c r="G4919" s="3"/>
      <c r="H4919" s="2"/>
    </row>
    <row r="4920" spans="1:8" x14ac:dyDescent="0.25">
      <c r="A4920" s="5"/>
      <c r="B4920" s="6"/>
      <c r="C4920" s="6"/>
      <c r="D4920" s="6"/>
      <c r="E4920" s="6"/>
      <c r="G4920" s="1"/>
      <c r="H4920" s="2"/>
    </row>
    <row r="4921" spans="1:8" x14ac:dyDescent="0.25">
      <c r="A4921" s="5"/>
      <c r="B4921" s="6"/>
      <c r="C4921" s="6"/>
      <c r="D4921" s="6"/>
      <c r="E4921" s="6"/>
      <c r="G4921" s="3"/>
      <c r="H4921" s="2"/>
    </row>
    <row r="4922" spans="1:8" x14ac:dyDescent="0.25">
      <c r="A4922" s="5"/>
      <c r="B4922" s="6"/>
      <c r="C4922" s="6"/>
      <c r="D4922" s="6"/>
      <c r="E4922" s="6"/>
      <c r="G4922" s="1"/>
      <c r="H4922" s="2"/>
    </row>
    <row r="4923" spans="1:8" x14ac:dyDescent="0.25">
      <c r="A4923" s="5"/>
      <c r="B4923" s="6"/>
      <c r="C4923" s="6"/>
      <c r="D4923" s="6"/>
      <c r="E4923" s="6"/>
      <c r="G4923" s="3"/>
      <c r="H4923" s="2"/>
    </row>
    <row r="4924" spans="1:8" x14ac:dyDescent="0.25">
      <c r="A4924" s="5"/>
      <c r="B4924" s="6"/>
      <c r="C4924" s="6"/>
      <c r="D4924" s="6"/>
      <c r="E4924" s="6"/>
      <c r="G4924" s="1"/>
      <c r="H4924" s="2"/>
    </row>
    <row r="4925" spans="1:8" x14ac:dyDescent="0.25">
      <c r="A4925" s="5"/>
      <c r="B4925" s="6"/>
      <c r="C4925" s="6"/>
      <c r="D4925" s="6"/>
      <c r="E4925" s="6"/>
      <c r="G4925" s="3"/>
      <c r="H4925" s="2"/>
    </row>
    <row r="4926" spans="1:8" x14ac:dyDescent="0.25">
      <c r="A4926" s="5"/>
      <c r="B4926" s="6"/>
      <c r="C4926" s="6"/>
      <c r="D4926" s="6"/>
      <c r="E4926" s="6"/>
      <c r="G4926" s="1"/>
      <c r="H4926" s="2"/>
    </row>
    <row r="4927" spans="1:8" x14ac:dyDescent="0.25">
      <c r="A4927" s="5"/>
      <c r="B4927" s="6"/>
      <c r="C4927" s="6"/>
      <c r="D4927" s="6"/>
      <c r="E4927" s="6"/>
      <c r="G4927" s="3"/>
      <c r="H4927" s="2"/>
    </row>
    <row r="4928" spans="1:8" x14ac:dyDescent="0.25">
      <c r="A4928" s="5"/>
      <c r="B4928" s="6"/>
      <c r="C4928" s="6"/>
      <c r="D4928" s="6"/>
      <c r="E4928" s="6"/>
      <c r="G4928" s="1"/>
      <c r="H4928" s="2"/>
    </row>
    <row r="4929" spans="1:8" x14ac:dyDescent="0.25">
      <c r="A4929" s="5"/>
      <c r="B4929" s="6"/>
      <c r="C4929" s="6"/>
      <c r="D4929" s="6"/>
      <c r="E4929" s="6"/>
      <c r="G4929" s="3"/>
      <c r="H4929" s="2"/>
    </row>
    <row r="4930" spans="1:8" x14ac:dyDescent="0.25">
      <c r="A4930" s="5"/>
      <c r="B4930" s="6"/>
      <c r="C4930" s="6"/>
      <c r="D4930" s="6"/>
      <c r="E4930" s="6"/>
      <c r="G4930" s="1"/>
      <c r="H4930" s="2"/>
    </row>
    <row r="4931" spans="1:8" x14ac:dyDescent="0.25">
      <c r="A4931" s="5"/>
      <c r="B4931" s="6"/>
      <c r="C4931" s="6"/>
      <c r="D4931" s="6"/>
      <c r="E4931" s="6"/>
      <c r="G4931" s="3"/>
      <c r="H4931" s="2"/>
    </row>
    <row r="4932" spans="1:8" x14ac:dyDescent="0.25">
      <c r="A4932" s="5"/>
      <c r="B4932" s="6"/>
      <c r="C4932" s="6"/>
      <c r="D4932" s="6"/>
      <c r="E4932" s="6"/>
      <c r="G4932" s="1"/>
      <c r="H4932" s="2"/>
    </row>
    <row r="4933" spans="1:8" x14ac:dyDescent="0.25">
      <c r="A4933" s="5"/>
      <c r="B4933" s="6"/>
      <c r="C4933" s="6"/>
      <c r="D4933" s="6"/>
      <c r="E4933" s="6"/>
      <c r="G4933" s="3"/>
      <c r="H4933" s="2"/>
    </row>
    <row r="4934" spans="1:8" x14ac:dyDescent="0.25">
      <c r="A4934" s="5"/>
      <c r="B4934" s="6"/>
      <c r="C4934" s="6"/>
      <c r="D4934" s="6"/>
      <c r="E4934" s="6"/>
      <c r="G4934" s="1"/>
      <c r="H4934" s="2"/>
    </row>
    <row r="4935" spans="1:8" x14ac:dyDescent="0.25">
      <c r="A4935" s="5"/>
      <c r="B4935" s="6"/>
      <c r="C4935" s="6"/>
      <c r="D4935" s="6"/>
      <c r="E4935" s="6"/>
      <c r="G4935" s="3"/>
      <c r="H4935" s="2"/>
    </row>
    <row r="4936" spans="1:8" x14ac:dyDescent="0.25">
      <c r="A4936" s="5"/>
      <c r="B4936" s="6"/>
      <c r="C4936" s="6"/>
      <c r="D4936" s="6"/>
      <c r="E4936" s="6"/>
      <c r="G4936" s="1"/>
      <c r="H4936" s="2"/>
    </row>
    <row r="4937" spans="1:8" x14ac:dyDescent="0.25">
      <c r="A4937" s="5"/>
      <c r="B4937" s="6"/>
      <c r="C4937" s="6"/>
      <c r="D4937" s="6"/>
      <c r="E4937" s="6"/>
      <c r="G4937" s="3"/>
      <c r="H4937" s="2"/>
    </row>
    <row r="4938" spans="1:8" x14ac:dyDescent="0.25">
      <c r="A4938" s="5"/>
      <c r="B4938" s="6"/>
      <c r="C4938" s="6"/>
      <c r="D4938" s="6"/>
      <c r="E4938" s="6"/>
      <c r="G4938" s="1"/>
      <c r="H4938" s="2"/>
    </row>
    <row r="4939" spans="1:8" x14ac:dyDescent="0.25">
      <c r="A4939" s="5"/>
      <c r="B4939" s="6"/>
      <c r="C4939" s="6"/>
      <c r="D4939" s="6"/>
      <c r="E4939" s="6"/>
      <c r="G4939" s="3"/>
      <c r="H4939" s="2"/>
    </row>
    <row r="4940" spans="1:8" x14ac:dyDescent="0.25">
      <c r="A4940" s="5"/>
      <c r="B4940" s="6"/>
      <c r="C4940" s="6"/>
      <c r="D4940" s="6"/>
      <c r="E4940" s="6"/>
      <c r="G4940" s="1"/>
      <c r="H4940" s="2"/>
    </row>
    <row r="4941" spans="1:8" x14ac:dyDescent="0.25">
      <c r="A4941" s="5"/>
      <c r="B4941" s="6"/>
      <c r="C4941" s="6"/>
      <c r="D4941" s="6"/>
      <c r="E4941" s="6"/>
      <c r="G4941" s="3"/>
      <c r="H4941" s="2"/>
    </row>
    <row r="4942" spans="1:8" x14ac:dyDescent="0.25">
      <c r="A4942" s="5"/>
      <c r="B4942" s="6"/>
      <c r="C4942" s="6"/>
      <c r="D4942" s="6"/>
      <c r="E4942" s="6"/>
      <c r="G4942" s="1"/>
      <c r="H4942" s="2"/>
    </row>
    <row r="4943" spans="1:8" x14ac:dyDescent="0.25">
      <c r="A4943" s="5"/>
      <c r="B4943" s="6"/>
      <c r="C4943" s="6"/>
      <c r="D4943" s="6"/>
      <c r="E4943" s="6"/>
      <c r="G4943" s="3"/>
      <c r="H4943" s="2"/>
    </row>
    <row r="4944" spans="1:8" x14ac:dyDescent="0.25">
      <c r="A4944" s="5"/>
      <c r="B4944" s="6"/>
      <c r="C4944" s="6"/>
      <c r="D4944" s="6"/>
      <c r="E4944" s="6"/>
      <c r="G4944" s="1"/>
      <c r="H4944" s="2"/>
    </row>
    <row r="4945" spans="1:8" x14ac:dyDescent="0.25">
      <c r="A4945" s="5"/>
      <c r="B4945" s="6"/>
      <c r="C4945" s="6"/>
      <c r="D4945" s="6"/>
      <c r="E4945" s="6"/>
      <c r="G4945" s="3"/>
      <c r="H4945" s="2"/>
    </row>
    <row r="4946" spans="1:8" x14ac:dyDescent="0.25">
      <c r="A4946" s="5"/>
      <c r="B4946" s="6"/>
      <c r="C4946" s="6"/>
      <c r="D4946" s="6"/>
      <c r="E4946" s="6"/>
      <c r="G4946" s="1"/>
      <c r="H4946" s="2"/>
    </row>
    <row r="4947" spans="1:8" x14ac:dyDescent="0.25">
      <c r="A4947" s="5"/>
      <c r="B4947" s="6"/>
      <c r="C4947" s="6"/>
      <c r="D4947" s="6"/>
      <c r="E4947" s="6"/>
      <c r="G4947" s="3"/>
      <c r="H4947" s="2"/>
    </row>
    <row r="4948" spans="1:8" x14ac:dyDescent="0.25">
      <c r="A4948" s="5"/>
      <c r="B4948" s="6"/>
      <c r="C4948" s="6"/>
      <c r="D4948" s="6"/>
      <c r="E4948" s="6"/>
      <c r="G4948" s="1"/>
      <c r="H4948" s="2"/>
    </row>
    <row r="4949" spans="1:8" x14ac:dyDescent="0.25">
      <c r="A4949" s="5"/>
      <c r="B4949" s="6"/>
      <c r="C4949" s="6"/>
      <c r="D4949" s="6"/>
      <c r="E4949" s="6"/>
      <c r="G4949" s="3"/>
      <c r="H4949" s="2"/>
    </row>
    <row r="4950" spans="1:8" x14ac:dyDescent="0.25">
      <c r="A4950" s="5"/>
      <c r="B4950" s="6"/>
      <c r="C4950" s="6"/>
      <c r="D4950" s="6"/>
      <c r="E4950" s="6"/>
      <c r="G4950" s="1"/>
      <c r="H4950" s="2"/>
    </row>
    <row r="4951" spans="1:8" x14ac:dyDescent="0.25">
      <c r="A4951" s="5"/>
      <c r="B4951" s="6"/>
      <c r="C4951" s="6"/>
      <c r="D4951" s="6"/>
      <c r="E4951" s="6"/>
      <c r="G4951" s="3"/>
      <c r="H4951" s="2"/>
    </row>
    <row r="4952" spans="1:8" x14ac:dyDescent="0.25">
      <c r="A4952" s="5"/>
      <c r="B4952" s="6"/>
      <c r="C4952" s="6"/>
      <c r="D4952" s="6"/>
      <c r="E4952" s="6"/>
      <c r="G4952" s="1"/>
      <c r="H4952" s="2"/>
    </row>
    <row r="4953" spans="1:8" x14ac:dyDescent="0.25">
      <c r="A4953" s="5"/>
      <c r="B4953" s="6"/>
      <c r="C4953" s="6"/>
      <c r="D4953" s="6"/>
      <c r="E4953" s="6"/>
      <c r="G4953" s="3"/>
      <c r="H4953" s="2"/>
    </row>
    <row r="4954" spans="1:8" x14ac:dyDescent="0.25">
      <c r="A4954" s="5"/>
      <c r="B4954" s="6"/>
      <c r="C4954" s="6"/>
      <c r="D4954" s="6"/>
      <c r="E4954" s="6"/>
      <c r="G4954" s="1"/>
      <c r="H4954" s="2"/>
    </row>
    <row r="4955" spans="1:8" x14ac:dyDescent="0.25">
      <c r="A4955" s="5"/>
      <c r="B4955" s="6"/>
      <c r="C4955" s="6"/>
      <c r="D4955" s="6"/>
      <c r="E4955" s="6"/>
      <c r="G4955" s="3"/>
      <c r="H4955" s="2"/>
    </row>
    <row r="4956" spans="1:8" x14ac:dyDescent="0.25">
      <c r="A4956" s="5"/>
      <c r="B4956" s="6"/>
      <c r="C4956" s="6"/>
      <c r="D4956" s="6"/>
      <c r="E4956" s="6"/>
      <c r="G4956" s="1"/>
      <c r="H4956" s="2"/>
    </row>
    <row r="4957" spans="1:8" x14ac:dyDescent="0.25">
      <c r="A4957" s="5"/>
      <c r="B4957" s="6"/>
      <c r="C4957" s="6"/>
      <c r="D4957" s="6"/>
      <c r="E4957" s="6"/>
      <c r="G4957" s="3"/>
      <c r="H4957" s="2"/>
    </row>
    <row r="4958" spans="1:8" x14ac:dyDescent="0.25">
      <c r="A4958" s="5"/>
      <c r="B4958" s="6"/>
      <c r="C4958" s="6"/>
      <c r="D4958" s="6"/>
      <c r="E4958" s="6"/>
      <c r="G4958" s="1"/>
      <c r="H4958" s="2"/>
    </row>
    <row r="4959" spans="1:8" x14ac:dyDescent="0.25">
      <c r="A4959" s="5"/>
      <c r="B4959" s="6"/>
      <c r="C4959" s="6"/>
      <c r="D4959" s="6"/>
      <c r="E4959" s="6"/>
      <c r="G4959" s="3"/>
      <c r="H4959" s="2"/>
    </row>
    <row r="4960" spans="1:8" x14ac:dyDescent="0.25">
      <c r="A4960" s="5"/>
      <c r="B4960" s="6"/>
      <c r="C4960" s="6"/>
      <c r="D4960" s="6"/>
      <c r="E4960" s="6"/>
      <c r="G4960" s="1"/>
      <c r="H4960" s="2"/>
    </row>
    <row r="4961" spans="1:8" x14ac:dyDescent="0.25">
      <c r="A4961" s="5"/>
      <c r="B4961" s="6"/>
      <c r="C4961" s="6"/>
      <c r="D4961" s="6"/>
      <c r="E4961" s="6"/>
      <c r="G4961" s="3"/>
      <c r="H4961" s="2"/>
    </row>
    <row r="4962" spans="1:8" x14ac:dyDescent="0.25">
      <c r="A4962" s="5"/>
      <c r="B4962" s="6"/>
      <c r="C4962" s="6"/>
      <c r="D4962" s="6"/>
      <c r="E4962" s="6"/>
      <c r="G4962" s="1"/>
      <c r="H4962" s="2"/>
    </row>
    <row r="4963" spans="1:8" x14ac:dyDescent="0.25">
      <c r="A4963" s="5"/>
      <c r="B4963" s="6"/>
      <c r="C4963" s="6"/>
      <c r="D4963" s="6"/>
      <c r="E4963" s="6"/>
      <c r="G4963" s="3"/>
      <c r="H4963" s="2"/>
    </row>
    <row r="4964" spans="1:8" x14ac:dyDescent="0.25">
      <c r="A4964" s="5"/>
      <c r="B4964" s="6"/>
      <c r="C4964" s="6"/>
      <c r="D4964" s="6"/>
      <c r="E4964" s="6"/>
      <c r="G4964" s="1"/>
      <c r="H4964" s="2"/>
    </row>
    <row r="4965" spans="1:8" x14ac:dyDescent="0.25">
      <c r="A4965" s="5"/>
      <c r="B4965" s="6"/>
      <c r="C4965" s="6"/>
      <c r="D4965" s="6"/>
      <c r="E4965" s="6"/>
      <c r="G4965" s="3"/>
      <c r="H4965" s="2"/>
    </row>
    <row r="4966" spans="1:8" x14ac:dyDescent="0.25">
      <c r="A4966" s="5"/>
      <c r="B4966" s="6"/>
      <c r="C4966" s="6"/>
      <c r="D4966" s="6"/>
      <c r="E4966" s="6"/>
      <c r="G4966" s="1"/>
      <c r="H4966" s="2"/>
    </row>
    <row r="4967" spans="1:8" x14ac:dyDescent="0.25">
      <c r="A4967" s="5"/>
      <c r="B4967" s="6"/>
      <c r="C4967" s="6"/>
      <c r="D4967" s="6"/>
      <c r="E4967" s="6"/>
      <c r="G4967" s="3"/>
      <c r="H4967" s="2"/>
    </row>
    <row r="4968" spans="1:8" x14ac:dyDescent="0.25">
      <c r="A4968" s="5"/>
      <c r="B4968" s="6"/>
      <c r="C4968" s="6"/>
      <c r="D4968" s="6"/>
      <c r="E4968" s="6"/>
      <c r="G4968" s="1"/>
      <c r="H4968" s="2"/>
    </row>
    <row r="4969" spans="1:8" x14ac:dyDescent="0.25">
      <c r="A4969" s="5"/>
      <c r="B4969" s="6"/>
      <c r="C4969" s="6"/>
      <c r="D4969" s="6"/>
      <c r="E4969" s="6"/>
      <c r="G4969" s="3"/>
      <c r="H4969" s="2"/>
    </row>
    <row r="4970" spans="1:8" x14ac:dyDescent="0.25">
      <c r="A4970" s="5"/>
      <c r="B4970" s="6"/>
      <c r="C4970" s="6"/>
      <c r="D4970" s="6"/>
      <c r="E4970" s="6"/>
      <c r="G4970" s="1"/>
      <c r="H4970" s="2"/>
    </row>
    <row r="4971" spans="1:8" x14ac:dyDescent="0.25">
      <c r="A4971" s="5"/>
      <c r="B4971" s="6"/>
      <c r="C4971" s="6"/>
      <c r="D4971" s="6"/>
      <c r="E4971" s="6"/>
      <c r="G4971" s="3"/>
      <c r="H4971" s="2"/>
    </row>
    <row r="4972" spans="1:8" x14ac:dyDescent="0.25">
      <c r="A4972" s="5"/>
      <c r="B4972" s="6"/>
      <c r="C4972" s="6"/>
      <c r="D4972" s="6"/>
      <c r="E4972" s="6"/>
      <c r="G4972" s="1"/>
      <c r="H4972" s="2"/>
    </row>
    <row r="4973" spans="1:8" x14ac:dyDescent="0.25">
      <c r="A4973" s="5"/>
      <c r="B4973" s="6"/>
      <c r="C4973" s="6"/>
      <c r="D4973" s="6"/>
      <c r="E4973" s="6"/>
      <c r="G4973" s="3"/>
      <c r="H4973" s="2"/>
    </row>
    <row r="4974" spans="1:8" x14ac:dyDescent="0.25">
      <c r="A4974" s="5"/>
      <c r="B4974" s="6"/>
      <c r="C4974" s="6"/>
      <c r="D4974" s="6"/>
      <c r="E4974" s="6"/>
      <c r="G4974" s="1"/>
      <c r="H4974" s="2"/>
    </row>
    <row r="4975" spans="1:8" x14ac:dyDescent="0.25">
      <c r="A4975" s="5"/>
      <c r="B4975" s="6"/>
      <c r="C4975" s="6"/>
      <c r="D4975" s="6"/>
      <c r="E4975" s="6"/>
      <c r="G4975" s="3"/>
      <c r="H4975" s="2"/>
    </row>
    <row r="4976" spans="1:8" x14ac:dyDescent="0.25">
      <c r="A4976" s="5"/>
      <c r="B4976" s="6"/>
      <c r="C4976" s="6"/>
      <c r="D4976" s="6"/>
      <c r="E4976" s="6"/>
      <c r="G4976" s="1"/>
      <c r="H4976" s="2"/>
    </row>
    <row r="4977" spans="1:8" x14ac:dyDescent="0.25">
      <c r="A4977" s="5"/>
      <c r="B4977" s="6"/>
      <c r="C4977" s="6"/>
      <c r="D4977" s="6"/>
      <c r="E4977" s="6"/>
      <c r="G4977" s="3"/>
      <c r="H4977" s="2"/>
    </row>
    <row r="4978" spans="1:8" x14ac:dyDescent="0.25">
      <c r="A4978" s="5"/>
      <c r="B4978" s="6"/>
      <c r="C4978" s="6"/>
      <c r="D4978" s="6"/>
      <c r="E4978" s="6"/>
      <c r="G4978" s="1"/>
      <c r="H4978" s="2"/>
    </row>
    <row r="4979" spans="1:8" x14ac:dyDescent="0.25">
      <c r="A4979" s="5"/>
      <c r="B4979" s="6"/>
      <c r="C4979" s="6"/>
      <c r="D4979" s="6"/>
      <c r="E4979" s="6"/>
      <c r="G4979" s="3"/>
      <c r="H4979" s="2"/>
    </row>
    <row r="4980" spans="1:8" x14ac:dyDescent="0.25">
      <c r="A4980" s="5"/>
      <c r="B4980" s="6"/>
      <c r="C4980" s="6"/>
      <c r="D4980" s="6"/>
      <c r="E4980" s="6"/>
      <c r="G4980" s="1"/>
      <c r="H4980" s="2"/>
    </row>
    <row r="4981" spans="1:8" x14ac:dyDescent="0.25">
      <c r="A4981" s="5"/>
      <c r="B4981" s="6"/>
      <c r="C4981" s="6"/>
      <c r="D4981" s="6"/>
      <c r="E4981" s="6"/>
      <c r="G4981" s="3"/>
      <c r="H4981" s="2"/>
    </row>
    <row r="4982" spans="1:8" x14ac:dyDescent="0.25">
      <c r="A4982" s="5"/>
      <c r="B4982" s="6"/>
      <c r="C4982" s="6"/>
      <c r="D4982" s="6"/>
      <c r="E4982" s="6"/>
      <c r="G4982" s="1"/>
      <c r="H4982" s="2"/>
    </row>
    <row r="4983" spans="1:8" x14ac:dyDescent="0.25">
      <c r="A4983" s="5"/>
      <c r="B4983" s="6"/>
      <c r="C4983" s="6"/>
      <c r="D4983" s="6"/>
      <c r="E4983" s="6"/>
      <c r="G4983" s="3"/>
      <c r="H4983" s="2"/>
    </row>
    <row r="4984" spans="1:8" x14ac:dyDescent="0.25">
      <c r="A4984" s="5"/>
      <c r="B4984" s="6"/>
      <c r="C4984" s="6"/>
      <c r="D4984" s="6"/>
      <c r="E4984" s="6"/>
      <c r="G4984" s="1"/>
      <c r="H4984" s="2"/>
    </row>
    <row r="4985" spans="1:8" x14ac:dyDescent="0.25">
      <c r="A4985" s="5"/>
      <c r="B4985" s="6"/>
      <c r="C4985" s="6"/>
      <c r="D4985" s="6"/>
      <c r="E4985" s="6"/>
      <c r="G4985" s="3"/>
      <c r="H4985" s="2"/>
    </row>
    <row r="4986" spans="1:8" x14ac:dyDescent="0.25">
      <c r="A4986" s="5"/>
      <c r="B4986" s="6"/>
      <c r="C4986" s="6"/>
      <c r="D4986" s="6"/>
      <c r="E4986" s="6"/>
      <c r="G4986" s="1"/>
      <c r="H4986" s="2"/>
    </row>
    <row r="4987" spans="1:8" x14ac:dyDescent="0.25">
      <c r="A4987" s="5"/>
      <c r="B4987" s="6"/>
      <c r="C4987" s="6"/>
      <c r="D4987" s="6"/>
      <c r="E4987" s="6"/>
      <c r="G4987" s="3"/>
      <c r="H4987" s="2"/>
    </row>
    <row r="4988" spans="1:8" x14ac:dyDescent="0.25">
      <c r="A4988" s="5"/>
      <c r="B4988" s="6"/>
      <c r="C4988" s="6"/>
      <c r="D4988" s="6"/>
      <c r="E4988" s="6"/>
      <c r="G4988" s="1"/>
      <c r="H4988" s="2"/>
    </row>
    <row r="4989" spans="1:8" x14ac:dyDescent="0.25">
      <c r="A4989" s="5"/>
      <c r="B4989" s="6"/>
      <c r="C4989" s="6"/>
      <c r="D4989" s="6"/>
      <c r="E4989" s="6"/>
      <c r="G4989" s="3"/>
      <c r="H4989" s="2"/>
    </row>
    <row r="4990" spans="1:8" x14ac:dyDescent="0.25">
      <c r="A4990" s="5"/>
      <c r="B4990" s="6"/>
      <c r="C4990" s="6"/>
      <c r="D4990" s="6"/>
      <c r="E4990" s="6"/>
      <c r="G4990" s="1"/>
      <c r="H4990" s="2"/>
    </row>
    <row r="4991" spans="1:8" x14ac:dyDescent="0.25">
      <c r="A4991" s="5"/>
      <c r="B4991" s="6"/>
      <c r="C4991" s="6"/>
      <c r="D4991" s="6"/>
      <c r="E4991" s="6"/>
      <c r="G4991" s="3"/>
      <c r="H4991" s="2"/>
    </row>
    <row r="4992" spans="1:8" x14ac:dyDescent="0.25">
      <c r="A4992" s="5"/>
      <c r="B4992" s="6"/>
      <c r="C4992" s="6"/>
      <c r="D4992" s="6"/>
      <c r="E4992" s="6"/>
      <c r="G4992" s="1"/>
      <c r="H4992" s="2"/>
    </row>
    <row r="4993" spans="1:8" x14ac:dyDescent="0.25">
      <c r="A4993" s="5"/>
      <c r="B4993" s="6"/>
      <c r="C4993" s="6"/>
      <c r="D4993" s="6"/>
      <c r="E4993" s="6"/>
      <c r="G4993" s="3"/>
      <c r="H4993" s="2"/>
    </row>
    <row r="4994" spans="1:8" x14ac:dyDescent="0.25">
      <c r="A4994" s="5"/>
      <c r="B4994" s="6"/>
      <c r="C4994" s="6"/>
      <c r="D4994" s="6"/>
      <c r="E4994" s="6"/>
      <c r="G4994" s="1"/>
      <c r="H4994" s="2"/>
    </row>
    <row r="4995" spans="1:8" x14ac:dyDescent="0.25">
      <c r="A4995" s="5"/>
      <c r="B4995" s="6"/>
      <c r="C4995" s="6"/>
      <c r="D4995" s="6"/>
      <c r="E4995" s="6"/>
      <c r="G4995" s="3"/>
      <c r="H4995" s="2"/>
    </row>
    <row r="4996" spans="1:8" x14ac:dyDescent="0.25">
      <c r="A4996" s="5"/>
      <c r="B4996" s="6"/>
      <c r="C4996" s="6"/>
      <c r="D4996" s="6"/>
      <c r="E4996" s="6"/>
      <c r="G4996" s="1"/>
      <c r="H4996" s="2"/>
    </row>
    <row r="4997" spans="1:8" x14ac:dyDescent="0.25">
      <c r="A4997" s="5"/>
      <c r="B4997" s="6"/>
      <c r="C4997" s="6"/>
      <c r="D4997" s="6"/>
      <c r="E4997" s="6"/>
      <c r="G4997" s="3"/>
      <c r="H4997" s="2"/>
    </row>
    <row r="4998" spans="1:8" x14ac:dyDescent="0.25">
      <c r="A4998" s="5"/>
      <c r="B4998" s="6"/>
      <c r="C4998" s="6"/>
      <c r="D4998" s="6"/>
      <c r="E4998" s="6"/>
      <c r="G4998" s="1"/>
      <c r="H4998" s="2"/>
    </row>
    <row r="4999" spans="1:8" x14ac:dyDescent="0.25">
      <c r="A4999" s="5"/>
      <c r="B4999" s="6"/>
      <c r="C4999" s="6"/>
      <c r="D4999" s="6"/>
      <c r="E4999" s="6"/>
      <c r="G4999" s="3"/>
      <c r="H4999" s="2"/>
    </row>
    <row r="5000" spans="1:8" x14ac:dyDescent="0.25">
      <c r="A5000" s="5"/>
      <c r="B5000" s="6"/>
      <c r="C5000" s="6"/>
      <c r="D5000" s="6"/>
      <c r="E5000" s="6"/>
      <c r="G5000" s="1"/>
      <c r="H5000" s="2"/>
    </row>
    <row r="5001" spans="1:8" x14ac:dyDescent="0.25">
      <c r="A5001" s="5"/>
      <c r="B5001" s="6"/>
      <c r="C5001" s="6"/>
      <c r="D5001" s="6"/>
      <c r="E5001" s="6"/>
      <c r="G5001" s="3"/>
      <c r="H5001" s="2"/>
    </row>
    <row r="5002" spans="1:8" x14ac:dyDescent="0.25">
      <c r="A5002" s="5"/>
      <c r="B5002" s="6"/>
      <c r="C5002" s="6"/>
      <c r="D5002" s="6"/>
      <c r="E5002" s="6"/>
      <c r="G5002" s="1"/>
      <c r="H5002" s="2"/>
    </row>
    <row r="5003" spans="1:8" x14ac:dyDescent="0.25">
      <c r="A5003" s="5"/>
      <c r="B5003" s="6"/>
      <c r="C5003" s="6"/>
      <c r="D5003" s="6"/>
      <c r="E5003" s="6"/>
      <c r="G5003" s="3"/>
      <c r="H5003" s="2"/>
    </row>
    <row r="5004" spans="1:8" x14ac:dyDescent="0.25">
      <c r="A5004" s="5"/>
      <c r="B5004" s="6"/>
      <c r="C5004" s="6"/>
      <c r="D5004" s="6"/>
      <c r="E5004" s="6"/>
      <c r="G5004" s="1"/>
      <c r="H5004" s="2"/>
    </row>
    <row r="5005" spans="1:8" x14ac:dyDescent="0.25">
      <c r="A5005" s="5"/>
      <c r="B5005" s="6"/>
      <c r="C5005" s="6"/>
      <c r="D5005" s="6"/>
      <c r="E5005" s="6"/>
      <c r="G5005" s="3"/>
      <c r="H5005" s="2"/>
    </row>
    <row r="5006" spans="1:8" x14ac:dyDescent="0.25">
      <c r="A5006" s="5"/>
      <c r="B5006" s="6"/>
      <c r="C5006" s="6"/>
      <c r="D5006" s="6"/>
      <c r="E5006" s="6"/>
      <c r="G5006" s="1"/>
      <c r="H5006" s="2"/>
    </row>
    <row r="5007" spans="1:8" x14ac:dyDescent="0.25">
      <c r="A5007" s="5"/>
      <c r="B5007" s="6"/>
      <c r="C5007" s="6"/>
      <c r="D5007" s="6"/>
      <c r="E5007" s="6"/>
      <c r="G5007" s="3"/>
      <c r="H5007" s="2"/>
    </row>
    <row r="5008" spans="1:8" x14ac:dyDescent="0.25">
      <c r="A5008" s="5"/>
      <c r="B5008" s="6"/>
      <c r="C5008" s="6"/>
      <c r="D5008" s="6"/>
      <c r="E5008" s="6"/>
      <c r="G5008" s="1"/>
      <c r="H5008" s="2"/>
    </row>
    <row r="5009" spans="1:8" x14ac:dyDescent="0.25">
      <c r="A5009" s="5"/>
      <c r="B5009" s="6"/>
      <c r="C5009" s="6"/>
      <c r="D5009" s="6"/>
      <c r="E5009" s="6"/>
      <c r="G5009" s="3"/>
      <c r="H5009" s="2"/>
    </row>
    <row r="5010" spans="1:8" x14ac:dyDescent="0.25">
      <c r="A5010" s="5"/>
      <c r="B5010" s="6"/>
      <c r="C5010" s="6"/>
      <c r="D5010" s="6"/>
      <c r="E5010" s="6"/>
      <c r="G5010" s="1"/>
      <c r="H5010" s="2"/>
    </row>
    <row r="5011" spans="1:8" x14ac:dyDescent="0.25">
      <c r="A5011" s="5"/>
      <c r="B5011" s="6"/>
      <c r="C5011" s="6"/>
      <c r="D5011" s="6"/>
      <c r="E5011" s="6"/>
      <c r="G5011" s="3"/>
      <c r="H5011" s="2"/>
    </row>
    <row r="5012" spans="1:8" x14ac:dyDescent="0.25">
      <c r="A5012" s="5"/>
      <c r="B5012" s="6"/>
      <c r="C5012" s="6"/>
      <c r="D5012" s="6"/>
      <c r="E5012" s="6"/>
      <c r="G5012" s="1"/>
      <c r="H5012" s="2"/>
    </row>
    <row r="5013" spans="1:8" x14ac:dyDescent="0.25">
      <c r="A5013" s="5"/>
      <c r="B5013" s="6"/>
      <c r="C5013" s="6"/>
      <c r="D5013" s="6"/>
      <c r="E5013" s="6"/>
      <c r="G5013" s="3"/>
      <c r="H5013" s="2"/>
    </row>
    <row r="5014" spans="1:8" x14ac:dyDescent="0.25">
      <c r="A5014" s="5"/>
      <c r="B5014" s="6"/>
      <c r="C5014" s="6"/>
      <c r="D5014" s="6"/>
      <c r="E5014" s="6"/>
      <c r="G5014" s="1"/>
      <c r="H5014" s="2"/>
    </row>
    <row r="5015" spans="1:8" x14ac:dyDescent="0.25">
      <c r="A5015" s="5"/>
      <c r="B5015" s="6"/>
      <c r="C5015" s="6"/>
      <c r="D5015" s="6"/>
      <c r="E5015" s="6"/>
      <c r="G5015" s="3"/>
      <c r="H5015" s="2"/>
    </row>
    <row r="5016" spans="1:8" x14ac:dyDescent="0.25">
      <c r="A5016" s="5"/>
      <c r="B5016" s="6"/>
      <c r="C5016" s="6"/>
      <c r="D5016" s="6"/>
      <c r="E5016" s="6"/>
      <c r="G5016" s="1"/>
      <c r="H5016" s="2"/>
    </row>
    <row r="5017" spans="1:8" x14ac:dyDescent="0.25">
      <c r="A5017" s="5"/>
      <c r="B5017" s="6"/>
      <c r="C5017" s="6"/>
      <c r="D5017" s="6"/>
      <c r="E5017" s="6"/>
      <c r="G5017" s="3"/>
      <c r="H5017" s="2"/>
    </row>
    <row r="5018" spans="1:8" x14ac:dyDescent="0.25">
      <c r="A5018" s="5"/>
      <c r="B5018" s="6"/>
      <c r="C5018" s="6"/>
      <c r="D5018" s="6"/>
      <c r="E5018" s="6"/>
      <c r="G5018" s="1"/>
      <c r="H5018" s="2"/>
    </row>
    <row r="5019" spans="1:8" x14ac:dyDescent="0.25">
      <c r="A5019" s="5"/>
      <c r="B5019" s="6"/>
      <c r="C5019" s="6"/>
      <c r="D5019" s="6"/>
      <c r="E5019" s="6"/>
      <c r="G5019" s="3"/>
      <c r="H5019" s="2"/>
    </row>
    <row r="5020" spans="1:8" x14ac:dyDescent="0.25">
      <c r="A5020" s="5"/>
      <c r="B5020" s="6"/>
      <c r="C5020" s="6"/>
      <c r="D5020" s="6"/>
      <c r="E5020" s="6"/>
      <c r="G5020" s="1"/>
      <c r="H5020" s="2"/>
    </row>
    <row r="5021" spans="1:8" x14ac:dyDescent="0.25">
      <c r="A5021" s="5"/>
      <c r="B5021" s="6"/>
      <c r="C5021" s="6"/>
      <c r="D5021" s="6"/>
      <c r="E5021" s="6"/>
      <c r="G5021" s="3"/>
      <c r="H5021" s="2"/>
    </row>
    <row r="5022" spans="1:8" x14ac:dyDescent="0.25">
      <c r="A5022" s="5"/>
      <c r="B5022" s="6"/>
      <c r="C5022" s="6"/>
      <c r="D5022" s="6"/>
      <c r="E5022" s="6"/>
      <c r="G5022" s="1"/>
      <c r="H5022" s="2"/>
    </row>
    <row r="5023" spans="1:8" x14ac:dyDescent="0.25">
      <c r="A5023" s="5"/>
      <c r="B5023" s="6"/>
      <c r="C5023" s="6"/>
      <c r="D5023" s="6"/>
      <c r="E5023" s="6"/>
      <c r="G5023" s="3"/>
      <c r="H5023" s="2"/>
    </row>
    <row r="5024" spans="1:8" x14ac:dyDescent="0.25">
      <c r="A5024" s="5"/>
      <c r="B5024" s="6"/>
      <c r="C5024" s="6"/>
      <c r="D5024" s="6"/>
      <c r="E5024" s="6"/>
      <c r="G5024" s="1"/>
      <c r="H5024" s="2"/>
    </row>
    <row r="5025" spans="1:8" x14ac:dyDescent="0.25">
      <c r="A5025" s="5"/>
      <c r="B5025" s="6"/>
      <c r="C5025" s="6"/>
      <c r="D5025" s="6"/>
      <c r="E5025" s="6"/>
      <c r="G5025" s="3"/>
      <c r="H5025" s="2"/>
    </row>
    <row r="5026" spans="1:8" x14ac:dyDescent="0.25">
      <c r="A5026" s="5"/>
      <c r="B5026" s="6"/>
      <c r="C5026" s="6"/>
      <c r="D5026" s="6"/>
      <c r="E5026" s="6"/>
      <c r="G5026" s="1"/>
      <c r="H5026" s="2"/>
    </row>
    <row r="5027" spans="1:8" x14ac:dyDescent="0.25">
      <c r="A5027" s="5"/>
      <c r="B5027" s="6"/>
      <c r="C5027" s="6"/>
      <c r="D5027" s="6"/>
      <c r="E5027" s="6"/>
      <c r="G5027" s="3"/>
      <c r="H5027" s="2"/>
    </row>
    <row r="5028" spans="1:8" x14ac:dyDescent="0.25">
      <c r="A5028" s="5"/>
      <c r="B5028" s="6"/>
      <c r="C5028" s="6"/>
      <c r="D5028" s="6"/>
      <c r="E5028" s="6"/>
      <c r="G5028" s="1"/>
      <c r="H5028" s="2"/>
    </row>
    <row r="5029" spans="1:8" x14ac:dyDescent="0.25">
      <c r="A5029" s="5"/>
      <c r="B5029" s="6"/>
      <c r="C5029" s="6"/>
      <c r="D5029" s="6"/>
      <c r="E5029" s="6"/>
      <c r="G5029" s="3"/>
      <c r="H5029" s="2"/>
    </row>
    <row r="5030" spans="1:8" x14ac:dyDescent="0.25">
      <c r="A5030" s="5"/>
      <c r="B5030" s="6"/>
      <c r="C5030" s="6"/>
      <c r="D5030" s="6"/>
      <c r="E5030" s="6"/>
      <c r="G5030" s="1"/>
      <c r="H5030" s="2"/>
    </row>
    <row r="5031" spans="1:8" x14ac:dyDescent="0.25">
      <c r="A5031" s="5"/>
      <c r="B5031" s="6"/>
      <c r="C5031" s="6"/>
      <c r="D5031" s="6"/>
      <c r="E5031" s="6"/>
      <c r="G5031" s="3"/>
      <c r="H5031" s="2"/>
    </row>
    <row r="5032" spans="1:8" x14ac:dyDescent="0.25">
      <c r="A5032" s="5"/>
      <c r="B5032" s="6"/>
      <c r="C5032" s="6"/>
      <c r="D5032" s="6"/>
      <c r="E5032" s="6"/>
      <c r="G5032" s="1"/>
      <c r="H5032" s="2"/>
    </row>
    <row r="5033" spans="1:8" x14ac:dyDescent="0.25">
      <c r="A5033" s="5"/>
      <c r="B5033" s="6"/>
      <c r="C5033" s="6"/>
      <c r="D5033" s="6"/>
      <c r="E5033" s="6"/>
      <c r="G5033" s="3"/>
      <c r="H5033" s="2"/>
    </row>
    <row r="5034" spans="1:8" x14ac:dyDescent="0.25">
      <c r="A5034" s="5"/>
      <c r="B5034" s="6"/>
      <c r="C5034" s="6"/>
      <c r="D5034" s="6"/>
      <c r="E5034" s="6"/>
      <c r="G5034" s="1"/>
      <c r="H5034" s="2"/>
    </row>
    <row r="5035" spans="1:8" x14ac:dyDescent="0.25">
      <c r="A5035" s="5"/>
      <c r="B5035" s="6"/>
      <c r="C5035" s="6"/>
      <c r="D5035" s="6"/>
      <c r="E5035" s="6"/>
      <c r="G5035" s="3"/>
      <c r="H5035" s="2"/>
    </row>
    <row r="5036" spans="1:8" x14ac:dyDescent="0.25">
      <c r="A5036" s="5"/>
      <c r="B5036" s="6"/>
      <c r="C5036" s="6"/>
      <c r="D5036" s="6"/>
      <c r="E5036" s="6"/>
      <c r="G5036" s="1"/>
      <c r="H5036" s="2"/>
    </row>
    <row r="5037" spans="1:8" x14ac:dyDescent="0.25">
      <c r="A5037" s="5"/>
      <c r="B5037" s="6"/>
      <c r="C5037" s="6"/>
      <c r="D5037" s="6"/>
      <c r="E5037" s="6"/>
      <c r="G5037" s="3"/>
      <c r="H5037" s="2"/>
    </row>
    <row r="5038" spans="1:8" x14ac:dyDescent="0.25">
      <c r="A5038" s="5"/>
      <c r="B5038" s="6"/>
      <c r="C5038" s="6"/>
      <c r="D5038" s="6"/>
      <c r="E5038" s="6"/>
      <c r="G5038" s="1"/>
      <c r="H5038" s="2"/>
    </row>
    <row r="5039" spans="1:8" x14ac:dyDescent="0.25">
      <c r="A5039" s="5"/>
      <c r="B5039" s="6"/>
      <c r="C5039" s="6"/>
      <c r="D5039" s="6"/>
      <c r="E5039" s="6"/>
      <c r="G5039" s="3"/>
      <c r="H5039" s="2"/>
    </row>
    <row r="5040" spans="1:8" x14ac:dyDescent="0.25">
      <c r="A5040" s="5"/>
      <c r="B5040" s="6"/>
      <c r="C5040" s="6"/>
      <c r="D5040" s="6"/>
      <c r="E5040" s="6"/>
      <c r="G5040" s="1"/>
      <c r="H5040" s="2"/>
    </row>
    <row r="5041" spans="1:8" x14ac:dyDescent="0.25">
      <c r="A5041" s="5"/>
      <c r="B5041" s="6"/>
      <c r="C5041" s="6"/>
      <c r="D5041" s="6"/>
      <c r="E5041" s="6"/>
      <c r="G5041" s="3"/>
      <c r="H5041" s="2"/>
    </row>
    <row r="5042" spans="1:8" x14ac:dyDescent="0.25">
      <c r="A5042" s="5"/>
      <c r="B5042" s="6"/>
      <c r="C5042" s="6"/>
      <c r="D5042" s="6"/>
      <c r="E5042" s="6"/>
      <c r="G5042" s="1"/>
      <c r="H5042" s="2"/>
    </row>
    <row r="5043" spans="1:8" x14ac:dyDescent="0.25">
      <c r="A5043" s="5"/>
      <c r="B5043" s="6"/>
      <c r="C5043" s="6"/>
      <c r="D5043" s="6"/>
      <c r="E5043" s="6"/>
      <c r="G5043" s="3"/>
      <c r="H5043" s="2"/>
    </row>
    <row r="5044" spans="1:8" x14ac:dyDescent="0.25">
      <c r="A5044" s="5"/>
      <c r="B5044" s="6"/>
      <c r="C5044" s="6"/>
      <c r="D5044" s="6"/>
      <c r="E5044" s="6"/>
      <c r="G5044" s="1"/>
      <c r="H5044" s="2"/>
    </row>
    <row r="5045" spans="1:8" x14ac:dyDescent="0.25">
      <c r="A5045" s="5"/>
      <c r="B5045" s="6"/>
      <c r="C5045" s="6"/>
      <c r="D5045" s="6"/>
      <c r="E5045" s="6"/>
      <c r="G5045" s="3"/>
      <c r="H5045" s="2"/>
    </row>
    <row r="5046" spans="1:8" x14ac:dyDescent="0.25">
      <c r="A5046" s="5"/>
      <c r="B5046" s="6"/>
      <c r="C5046" s="6"/>
      <c r="D5046" s="6"/>
      <c r="E5046" s="6"/>
      <c r="G5046" s="1"/>
      <c r="H5046" s="2"/>
    </row>
    <row r="5047" spans="1:8" x14ac:dyDescent="0.25">
      <c r="A5047" s="5"/>
      <c r="B5047" s="6"/>
      <c r="C5047" s="6"/>
      <c r="D5047" s="6"/>
      <c r="E5047" s="6"/>
      <c r="G5047" s="3"/>
      <c r="H5047" s="2"/>
    </row>
    <row r="5048" spans="1:8" x14ac:dyDescent="0.25">
      <c r="A5048" s="5"/>
      <c r="B5048" s="6"/>
      <c r="C5048" s="6"/>
      <c r="D5048" s="6"/>
      <c r="E5048" s="6"/>
      <c r="G5048" s="1"/>
      <c r="H5048" s="2"/>
    </row>
    <row r="5049" spans="1:8" x14ac:dyDescent="0.25">
      <c r="A5049" s="5"/>
      <c r="B5049" s="6"/>
      <c r="C5049" s="6"/>
      <c r="D5049" s="6"/>
      <c r="E5049" s="6"/>
      <c r="G5049" s="3"/>
      <c r="H5049" s="2"/>
    </row>
    <row r="5050" spans="1:8" x14ac:dyDescent="0.25">
      <c r="A5050" s="5"/>
      <c r="B5050" s="6"/>
      <c r="C5050" s="6"/>
      <c r="D5050" s="6"/>
      <c r="E5050" s="6"/>
      <c r="G5050" s="1"/>
      <c r="H5050" s="2"/>
    </row>
    <row r="5051" spans="1:8" x14ac:dyDescent="0.25">
      <c r="A5051" s="5"/>
      <c r="B5051" s="6"/>
      <c r="C5051" s="6"/>
      <c r="D5051" s="6"/>
      <c r="E5051" s="6"/>
      <c r="G5051" s="3"/>
      <c r="H5051" s="2"/>
    </row>
    <row r="5052" spans="1:8" x14ac:dyDescent="0.25">
      <c r="A5052" s="5"/>
      <c r="B5052" s="6"/>
      <c r="C5052" s="6"/>
      <c r="D5052" s="6"/>
      <c r="E5052" s="6"/>
      <c r="G5052" s="1"/>
      <c r="H5052" s="2"/>
    </row>
    <row r="5053" spans="1:8" x14ac:dyDescent="0.25">
      <c r="A5053" s="5"/>
      <c r="B5053" s="6"/>
      <c r="C5053" s="6"/>
      <c r="D5053" s="6"/>
      <c r="E5053" s="6"/>
      <c r="G5053" s="3"/>
      <c r="H5053" s="2"/>
    </row>
    <row r="5054" spans="1:8" x14ac:dyDescent="0.25">
      <c r="A5054" s="5"/>
      <c r="B5054" s="6"/>
      <c r="C5054" s="6"/>
      <c r="D5054" s="6"/>
      <c r="E5054" s="6"/>
      <c r="G5054" s="1"/>
      <c r="H5054" s="2"/>
    </row>
    <row r="5055" spans="1:8" x14ac:dyDescent="0.25">
      <c r="A5055" s="5"/>
      <c r="B5055" s="6"/>
      <c r="C5055" s="6"/>
      <c r="D5055" s="6"/>
      <c r="E5055" s="6"/>
      <c r="G5055" s="3"/>
      <c r="H5055" s="2"/>
    </row>
    <row r="5056" spans="1:8" x14ac:dyDescent="0.25">
      <c r="A5056" s="5"/>
      <c r="B5056" s="6"/>
      <c r="C5056" s="6"/>
      <c r="D5056" s="6"/>
      <c r="E5056" s="6"/>
      <c r="G5056" s="1"/>
      <c r="H5056" s="2"/>
    </row>
    <row r="5057" spans="1:8" x14ac:dyDescent="0.25">
      <c r="A5057" s="5"/>
      <c r="B5057" s="6"/>
      <c r="C5057" s="6"/>
      <c r="D5057" s="6"/>
      <c r="E5057" s="6"/>
      <c r="G5057" s="3"/>
      <c r="H5057" s="2"/>
    </row>
    <row r="5058" spans="1:8" x14ac:dyDescent="0.25">
      <c r="A5058" s="5"/>
      <c r="B5058" s="6"/>
      <c r="C5058" s="6"/>
      <c r="D5058" s="6"/>
      <c r="E5058" s="6"/>
      <c r="G5058" s="1"/>
      <c r="H5058" s="2"/>
    </row>
    <row r="5059" spans="1:8" x14ac:dyDescent="0.25">
      <c r="A5059" s="5"/>
      <c r="B5059" s="6"/>
      <c r="C5059" s="6"/>
      <c r="D5059" s="6"/>
      <c r="E5059" s="6"/>
      <c r="G5059" s="3"/>
      <c r="H5059" s="2"/>
    </row>
    <row r="5060" spans="1:8" x14ac:dyDescent="0.25">
      <c r="A5060" s="5"/>
      <c r="B5060" s="6"/>
      <c r="C5060" s="6"/>
      <c r="D5060" s="6"/>
      <c r="E5060" s="6"/>
      <c r="G5060" s="1"/>
      <c r="H5060" s="2"/>
    </row>
    <row r="5061" spans="1:8" x14ac:dyDescent="0.25">
      <c r="A5061" s="5"/>
      <c r="B5061" s="6"/>
      <c r="C5061" s="6"/>
      <c r="D5061" s="6"/>
      <c r="E5061" s="6"/>
      <c r="G5061" s="3"/>
      <c r="H5061" s="2"/>
    </row>
    <row r="5062" spans="1:8" x14ac:dyDescent="0.25">
      <c r="A5062" s="5"/>
      <c r="B5062" s="6"/>
      <c r="C5062" s="6"/>
      <c r="D5062" s="6"/>
      <c r="E5062" s="6"/>
      <c r="G5062" s="1"/>
      <c r="H5062" s="2"/>
    </row>
    <row r="5063" spans="1:8" x14ac:dyDescent="0.25">
      <c r="A5063" s="5"/>
      <c r="B5063" s="6"/>
      <c r="C5063" s="6"/>
      <c r="D5063" s="6"/>
      <c r="E5063" s="6"/>
      <c r="G5063" s="3"/>
      <c r="H5063" s="2"/>
    </row>
    <row r="5064" spans="1:8" x14ac:dyDescent="0.25">
      <c r="A5064" s="5"/>
      <c r="B5064" s="6"/>
      <c r="C5064" s="6"/>
      <c r="D5064" s="6"/>
      <c r="E5064" s="6"/>
      <c r="G5064" s="1"/>
      <c r="H5064" s="2"/>
    </row>
    <row r="5065" spans="1:8" x14ac:dyDescent="0.25">
      <c r="A5065" s="5"/>
      <c r="B5065" s="6"/>
      <c r="C5065" s="6"/>
      <c r="D5065" s="6"/>
      <c r="E5065" s="6"/>
      <c r="G5065" s="3"/>
      <c r="H5065" s="2"/>
    </row>
    <row r="5066" spans="1:8" x14ac:dyDescent="0.25">
      <c r="A5066" s="5"/>
      <c r="B5066" s="6"/>
      <c r="C5066" s="6"/>
      <c r="D5066" s="6"/>
      <c r="E5066" s="6"/>
      <c r="G5066" s="1"/>
      <c r="H5066" s="2"/>
    </row>
    <row r="5067" spans="1:8" x14ac:dyDescent="0.25">
      <c r="A5067" s="5"/>
      <c r="B5067" s="6"/>
      <c r="C5067" s="6"/>
      <c r="D5067" s="6"/>
      <c r="E5067" s="6"/>
      <c r="G5067" s="3"/>
      <c r="H5067" s="2"/>
    </row>
    <row r="5068" spans="1:8" x14ac:dyDescent="0.25">
      <c r="A5068" s="5"/>
      <c r="B5068" s="6"/>
      <c r="C5068" s="6"/>
      <c r="D5068" s="6"/>
      <c r="E5068" s="6"/>
      <c r="G5068" s="1"/>
      <c r="H5068" s="2"/>
    </row>
    <row r="5069" spans="1:8" x14ac:dyDescent="0.25">
      <c r="A5069" s="5"/>
      <c r="B5069" s="6"/>
      <c r="C5069" s="6"/>
      <c r="D5069" s="6"/>
      <c r="E5069" s="6"/>
      <c r="G5069" s="3"/>
      <c r="H5069" s="2"/>
    </row>
    <row r="5070" spans="1:8" x14ac:dyDescent="0.25">
      <c r="A5070" s="5"/>
      <c r="B5070" s="6"/>
      <c r="C5070" s="6"/>
      <c r="D5070" s="6"/>
      <c r="E5070" s="6"/>
      <c r="G5070" s="1"/>
      <c r="H5070" s="2"/>
    </row>
    <row r="5071" spans="1:8" x14ac:dyDescent="0.25">
      <c r="A5071" s="5"/>
      <c r="B5071" s="6"/>
      <c r="C5071" s="6"/>
      <c r="D5071" s="6"/>
      <c r="E5071" s="6"/>
      <c r="G5071" s="3"/>
      <c r="H5071" s="2"/>
    </row>
    <row r="5072" spans="1:8" x14ac:dyDescent="0.25">
      <c r="A5072" s="5"/>
      <c r="B5072" s="6"/>
      <c r="C5072" s="6"/>
      <c r="D5072" s="6"/>
      <c r="E5072" s="6"/>
      <c r="G5072" s="1"/>
      <c r="H5072" s="2"/>
    </row>
    <row r="5073" spans="1:8" x14ac:dyDescent="0.25">
      <c r="A5073" s="5"/>
      <c r="B5073" s="6"/>
      <c r="C5073" s="6"/>
      <c r="D5073" s="6"/>
      <c r="E5073" s="6"/>
      <c r="G5073" s="3"/>
      <c r="H5073" s="2"/>
    </row>
    <row r="5074" spans="1:8" x14ac:dyDescent="0.25">
      <c r="A5074" s="5"/>
      <c r="B5074" s="6"/>
      <c r="C5074" s="6"/>
      <c r="D5074" s="6"/>
      <c r="E5074" s="6"/>
      <c r="G5074" s="1"/>
      <c r="H5074" s="2"/>
    </row>
    <row r="5075" spans="1:8" x14ac:dyDescent="0.25">
      <c r="A5075" s="5"/>
      <c r="B5075" s="6"/>
      <c r="C5075" s="6"/>
      <c r="D5075" s="6"/>
      <c r="E5075" s="6"/>
      <c r="G5075" s="3"/>
      <c r="H5075" s="2"/>
    </row>
    <row r="5076" spans="1:8" x14ac:dyDescent="0.25">
      <c r="A5076" s="5"/>
      <c r="B5076" s="6"/>
      <c r="C5076" s="6"/>
      <c r="D5076" s="6"/>
      <c r="E5076" s="6"/>
      <c r="G5076" s="1"/>
      <c r="H5076" s="2"/>
    </row>
    <row r="5077" spans="1:8" x14ac:dyDescent="0.25">
      <c r="A5077" s="5"/>
      <c r="B5077" s="6"/>
      <c r="C5077" s="6"/>
      <c r="D5077" s="6"/>
      <c r="E5077" s="6"/>
      <c r="G5077" s="3"/>
      <c r="H5077" s="2"/>
    </row>
    <row r="5078" spans="1:8" x14ac:dyDescent="0.25">
      <c r="A5078" s="5"/>
      <c r="B5078" s="6"/>
      <c r="C5078" s="6"/>
      <c r="D5078" s="6"/>
      <c r="E5078" s="6"/>
      <c r="G5078" s="1"/>
      <c r="H5078" s="2"/>
    </row>
    <row r="5079" spans="1:8" x14ac:dyDescent="0.25">
      <c r="A5079" s="5"/>
      <c r="B5079" s="6"/>
      <c r="C5079" s="6"/>
      <c r="D5079" s="6"/>
      <c r="E5079" s="6"/>
      <c r="G5079" s="3"/>
      <c r="H5079" s="2"/>
    </row>
    <row r="5080" spans="1:8" x14ac:dyDescent="0.25">
      <c r="A5080" s="5"/>
      <c r="B5080" s="6"/>
      <c r="C5080" s="6"/>
      <c r="D5080" s="6"/>
      <c r="E5080" s="6"/>
      <c r="G5080" s="1"/>
      <c r="H5080" s="2"/>
    </row>
    <row r="5081" spans="1:8" x14ac:dyDescent="0.25">
      <c r="A5081" s="5"/>
      <c r="B5081" s="6"/>
      <c r="C5081" s="6"/>
      <c r="D5081" s="6"/>
      <c r="E5081" s="6"/>
      <c r="G5081" s="3"/>
      <c r="H5081" s="2"/>
    </row>
    <row r="5082" spans="1:8" x14ac:dyDescent="0.25">
      <c r="A5082" s="5"/>
      <c r="B5082" s="6"/>
      <c r="C5082" s="6"/>
      <c r="D5082" s="6"/>
      <c r="E5082" s="6"/>
      <c r="G5082" s="1"/>
      <c r="H5082" s="2"/>
    </row>
    <row r="5083" spans="1:8" x14ac:dyDescent="0.25">
      <c r="A5083" s="5"/>
      <c r="B5083" s="6"/>
      <c r="C5083" s="6"/>
      <c r="D5083" s="6"/>
      <c r="E5083" s="6"/>
      <c r="G5083" s="3"/>
      <c r="H5083" s="2"/>
    </row>
    <row r="5084" spans="1:8" x14ac:dyDescent="0.25">
      <c r="A5084" s="5"/>
      <c r="B5084" s="6"/>
      <c r="C5084" s="6"/>
      <c r="D5084" s="6"/>
      <c r="E5084" s="6"/>
      <c r="G5084" s="1"/>
      <c r="H5084" s="2"/>
    </row>
    <row r="5085" spans="1:8" x14ac:dyDescent="0.25">
      <c r="A5085" s="5"/>
      <c r="B5085" s="6"/>
      <c r="C5085" s="6"/>
      <c r="D5085" s="6"/>
      <c r="E5085" s="6"/>
      <c r="G5085" s="3"/>
      <c r="H5085" s="2"/>
    </row>
    <row r="5086" spans="1:8" x14ac:dyDescent="0.25">
      <c r="A5086" s="5"/>
      <c r="B5086" s="6"/>
      <c r="C5086" s="6"/>
      <c r="D5086" s="6"/>
      <c r="E5086" s="6"/>
      <c r="G5086" s="1"/>
      <c r="H5086" s="2"/>
    </row>
    <row r="5087" spans="1:8" x14ac:dyDescent="0.25">
      <c r="A5087" s="5"/>
      <c r="B5087" s="6"/>
      <c r="C5087" s="6"/>
      <c r="D5087" s="6"/>
      <c r="E5087" s="6"/>
      <c r="G5087" s="3"/>
      <c r="H5087" s="2"/>
    </row>
    <row r="5088" spans="1:8" x14ac:dyDescent="0.25">
      <c r="A5088" s="5"/>
      <c r="B5088" s="6"/>
      <c r="C5088" s="6"/>
      <c r="D5088" s="6"/>
      <c r="E5088" s="6"/>
      <c r="G5088" s="1"/>
      <c r="H5088" s="2"/>
    </row>
    <row r="5089" spans="1:8" x14ac:dyDescent="0.25">
      <c r="A5089" s="5"/>
      <c r="B5089" s="6"/>
      <c r="C5089" s="6"/>
      <c r="D5089" s="6"/>
      <c r="E5089" s="6"/>
      <c r="G5089" s="3"/>
      <c r="H5089" s="2"/>
    </row>
    <row r="5090" spans="1:8" x14ac:dyDescent="0.25">
      <c r="A5090" s="5"/>
      <c r="B5090" s="6"/>
      <c r="C5090" s="6"/>
      <c r="D5090" s="6"/>
      <c r="E5090" s="6"/>
      <c r="G5090" s="1"/>
      <c r="H5090" s="2"/>
    </row>
    <row r="5091" spans="1:8" x14ac:dyDescent="0.25">
      <c r="A5091" s="5"/>
      <c r="B5091" s="6"/>
      <c r="C5091" s="6"/>
      <c r="D5091" s="6"/>
      <c r="E5091" s="6"/>
      <c r="G5091" s="3"/>
      <c r="H5091" s="2"/>
    </row>
    <row r="5092" spans="1:8" x14ac:dyDescent="0.25">
      <c r="A5092" s="5"/>
      <c r="B5092" s="6"/>
      <c r="C5092" s="6"/>
      <c r="D5092" s="6"/>
      <c r="E5092" s="6"/>
      <c r="G5092" s="1"/>
      <c r="H5092" s="2"/>
    </row>
    <row r="5093" spans="1:8" x14ac:dyDescent="0.25">
      <c r="A5093" s="5"/>
      <c r="B5093" s="6"/>
      <c r="C5093" s="6"/>
      <c r="D5093" s="6"/>
      <c r="E5093" s="6"/>
      <c r="G5093" s="3"/>
      <c r="H5093" s="2"/>
    </row>
    <row r="5094" spans="1:8" x14ac:dyDescent="0.25">
      <c r="A5094" s="5"/>
      <c r="B5094" s="6"/>
      <c r="C5094" s="6"/>
      <c r="D5094" s="6"/>
      <c r="E5094" s="6"/>
      <c r="G5094" s="1"/>
      <c r="H5094" s="2"/>
    </row>
    <row r="5095" spans="1:8" x14ac:dyDescent="0.25">
      <c r="A5095" s="5"/>
      <c r="B5095" s="6"/>
      <c r="C5095" s="6"/>
      <c r="D5095" s="6"/>
      <c r="E5095" s="6"/>
      <c r="G5095" s="14"/>
      <c r="H5095" s="2"/>
    </row>
    <row r="5096" spans="1:8" x14ac:dyDescent="0.25">
      <c r="A5096" s="5"/>
      <c r="B5096" s="6"/>
      <c r="C5096" s="6"/>
      <c r="D5096" s="6"/>
      <c r="E5096" s="6"/>
      <c r="G5096" s="14"/>
      <c r="H5096" s="2"/>
    </row>
    <row r="5097" spans="1:8" x14ac:dyDescent="0.25">
      <c r="A5097" s="5"/>
      <c r="B5097" s="6"/>
      <c r="C5097" s="6"/>
      <c r="D5097" s="6"/>
      <c r="E5097" s="6"/>
      <c r="G5097" s="14"/>
      <c r="H5097" s="2"/>
    </row>
    <row r="5098" spans="1:8" x14ac:dyDescent="0.25">
      <c r="A5098" s="5"/>
      <c r="B5098" s="6"/>
      <c r="C5098" s="6"/>
      <c r="D5098" s="6"/>
      <c r="E5098" s="6"/>
      <c r="G5098" s="14"/>
      <c r="H5098" s="2"/>
    </row>
    <row r="5099" spans="1:8" x14ac:dyDescent="0.25">
      <c r="A5099" s="5"/>
      <c r="B5099" s="6"/>
      <c r="C5099" s="6"/>
      <c r="D5099" s="6"/>
      <c r="E5099" s="6"/>
      <c r="G5099" s="14"/>
      <c r="H5099" s="2"/>
    </row>
    <row r="5100" spans="1:8" x14ac:dyDescent="0.25">
      <c r="A5100" s="5"/>
      <c r="B5100" s="6"/>
      <c r="C5100" s="6"/>
      <c r="D5100" s="6"/>
      <c r="E5100" s="6"/>
      <c r="G5100" s="14"/>
      <c r="H5100" s="2"/>
    </row>
    <row r="5101" spans="1:8" x14ac:dyDescent="0.25">
      <c r="A5101" s="5"/>
      <c r="B5101" s="6"/>
      <c r="C5101" s="6"/>
      <c r="D5101" s="6"/>
      <c r="E5101" s="6"/>
    </row>
    <row r="5102" spans="1:8" x14ac:dyDescent="0.25">
      <c r="A5102" s="5"/>
      <c r="B5102" s="6"/>
      <c r="C5102" s="6"/>
      <c r="D5102" s="6"/>
      <c r="E5102" s="6"/>
      <c r="G5102" s="3"/>
      <c r="H5102" s="2"/>
    </row>
    <row r="5103" spans="1:8" x14ac:dyDescent="0.25">
      <c r="A5103" s="5"/>
      <c r="B5103" s="6"/>
      <c r="C5103" s="6"/>
      <c r="D5103" s="6"/>
      <c r="E5103" s="6"/>
      <c r="G5103" s="1"/>
      <c r="H5103" s="2"/>
    </row>
    <row r="5104" spans="1:8" x14ac:dyDescent="0.25">
      <c r="A5104" s="5"/>
      <c r="B5104" s="6"/>
      <c r="C5104" s="6"/>
      <c r="D5104" s="6"/>
      <c r="E5104" s="6"/>
      <c r="G5104" s="3"/>
      <c r="H5104" s="2"/>
    </row>
    <row r="5105" spans="1:8" x14ac:dyDescent="0.25">
      <c r="A5105" s="5"/>
      <c r="B5105" s="6"/>
      <c r="C5105" s="6"/>
      <c r="D5105" s="6"/>
      <c r="E5105" s="6"/>
      <c r="G5105" s="1"/>
      <c r="H5105" s="2"/>
    </row>
    <row r="5106" spans="1:8" x14ac:dyDescent="0.25">
      <c r="A5106" s="5"/>
      <c r="B5106" s="6"/>
      <c r="C5106" s="6"/>
      <c r="D5106" s="6"/>
      <c r="E5106" s="6"/>
      <c r="G5106" s="3"/>
      <c r="H5106" s="2"/>
    </row>
    <row r="5107" spans="1:8" x14ac:dyDescent="0.25">
      <c r="A5107" s="5"/>
      <c r="B5107" s="6"/>
      <c r="C5107" s="6"/>
      <c r="D5107" s="6"/>
      <c r="E5107" s="6"/>
      <c r="G5107" s="1"/>
      <c r="H5107" s="2"/>
    </row>
    <row r="5108" spans="1:8" x14ac:dyDescent="0.25">
      <c r="A5108" s="5"/>
      <c r="B5108" s="6"/>
      <c r="C5108" s="6"/>
      <c r="D5108" s="6"/>
      <c r="E5108" s="6"/>
      <c r="G5108" s="3"/>
      <c r="H5108" s="2"/>
    </row>
    <row r="5109" spans="1:8" x14ac:dyDescent="0.25">
      <c r="A5109" s="5"/>
      <c r="B5109" s="6"/>
      <c r="C5109" s="6"/>
      <c r="D5109" s="6"/>
      <c r="E5109" s="6"/>
      <c r="G5109" s="1"/>
      <c r="H5109" s="2"/>
    </row>
    <row r="5110" spans="1:8" x14ac:dyDescent="0.25">
      <c r="A5110" s="5"/>
      <c r="B5110" s="6"/>
      <c r="C5110" s="6"/>
      <c r="D5110" s="6"/>
      <c r="E5110" s="6"/>
      <c r="G5110" s="3"/>
      <c r="H5110" s="2"/>
    </row>
    <row r="5111" spans="1:8" x14ac:dyDescent="0.25">
      <c r="A5111" s="5"/>
      <c r="B5111" s="6"/>
      <c r="C5111" s="6"/>
      <c r="D5111" s="6"/>
      <c r="E5111" s="6"/>
      <c r="G5111" s="1"/>
      <c r="H5111" s="2"/>
    </row>
    <row r="5112" spans="1:8" x14ac:dyDescent="0.25">
      <c r="A5112" s="5"/>
      <c r="B5112" s="6"/>
      <c r="C5112" s="6"/>
      <c r="D5112" s="6"/>
      <c r="E5112" s="6"/>
      <c r="G5112" s="3"/>
      <c r="H5112" s="2"/>
    </row>
    <row r="5113" spans="1:8" x14ac:dyDescent="0.25">
      <c r="A5113" s="5"/>
      <c r="B5113" s="6"/>
      <c r="C5113" s="6"/>
      <c r="D5113" s="6"/>
      <c r="E5113" s="6"/>
      <c r="G5113" s="1"/>
      <c r="H5113" s="2"/>
    </row>
    <row r="5114" spans="1:8" x14ac:dyDescent="0.25">
      <c r="A5114" s="5"/>
      <c r="B5114" s="6"/>
      <c r="C5114" s="6"/>
      <c r="D5114" s="6"/>
      <c r="E5114" s="6"/>
      <c r="G5114" s="3"/>
      <c r="H5114" s="2"/>
    </row>
    <row r="5115" spans="1:8" x14ac:dyDescent="0.25">
      <c r="A5115" s="5"/>
      <c r="B5115" s="6"/>
      <c r="C5115" s="6"/>
      <c r="D5115" s="6"/>
      <c r="E5115" s="6"/>
      <c r="G5115" s="1"/>
      <c r="H5115" s="2"/>
    </row>
    <row r="5116" spans="1:8" x14ac:dyDescent="0.25">
      <c r="A5116" s="5"/>
      <c r="B5116" s="6"/>
      <c r="C5116" s="6"/>
      <c r="D5116" s="6"/>
      <c r="E5116" s="6"/>
      <c r="G5116" s="3"/>
      <c r="H5116" s="2"/>
    </row>
    <row r="5117" spans="1:8" x14ac:dyDescent="0.25">
      <c r="A5117" s="5"/>
      <c r="B5117" s="6"/>
      <c r="C5117" s="6"/>
      <c r="D5117" s="6"/>
      <c r="E5117" s="6"/>
      <c r="G5117" s="1"/>
      <c r="H5117" s="2"/>
    </row>
    <row r="5118" spans="1:8" x14ac:dyDescent="0.25">
      <c r="A5118" s="5"/>
      <c r="B5118" s="6"/>
      <c r="C5118" s="6"/>
      <c r="D5118" s="6"/>
      <c r="E5118" s="6"/>
      <c r="G5118" s="3"/>
      <c r="H5118" s="2"/>
    </row>
    <row r="5119" spans="1:8" x14ac:dyDescent="0.25">
      <c r="A5119" s="5"/>
      <c r="B5119" s="6"/>
      <c r="C5119" s="6"/>
      <c r="D5119" s="6"/>
      <c r="E5119" s="6"/>
      <c r="G5119" s="1"/>
      <c r="H5119" s="2"/>
    </row>
    <row r="5120" spans="1:8" x14ac:dyDescent="0.25">
      <c r="A5120" s="5"/>
      <c r="B5120" s="6"/>
      <c r="C5120" s="6"/>
      <c r="D5120" s="6"/>
      <c r="E5120" s="6"/>
      <c r="G5120" s="3"/>
      <c r="H5120" s="2"/>
    </row>
    <row r="5121" spans="1:8" x14ac:dyDescent="0.25">
      <c r="A5121" s="5"/>
      <c r="B5121" s="6"/>
      <c r="C5121" s="6"/>
      <c r="D5121" s="6"/>
      <c r="E5121" s="6"/>
      <c r="G5121" s="1"/>
      <c r="H5121" s="2"/>
    </row>
    <row r="5122" spans="1:8" x14ac:dyDescent="0.25">
      <c r="A5122" s="5"/>
      <c r="B5122" s="6"/>
      <c r="C5122" s="6"/>
      <c r="D5122" s="6"/>
      <c r="E5122" s="6"/>
      <c r="G5122" s="3"/>
      <c r="H5122" s="2"/>
    </row>
    <row r="5123" spans="1:8" x14ac:dyDescent="0.25">
      <c r="A5123" s="5"/>
      <c r="B5123" s="6"/>
      <c r="C5123" s="6"/>
      <c r="D5123" s="6"/>
      <c r="E5123" s="6"/>
      <c r="G5123" s="1"/>
      <c r="H5123" s="2"/>
    </row>
    <row r="5124" spans="1:8" x14ac:dyDescent="0.25">
      <c r="A5124" s="5"/>
      <c r="B5124" s="6"/>
      <c r="C5124" s="6"/>
      <c r="D5124" s="6"/>
      <c r="E5124" s="6"/>
      <c r="G5124" s="3"/>
      <c r="H5124" s="2"/>
    </row>
    <row r="5125" spans="1:8" x14ac:dyDescent="0.25">
      <c r="A5125" s="5"/>
      <c r="B5125" s="6"/>
      <c r="C5125" s="6"/>
      <c r="D5125" s="6"/>
      <c r="E5125" s="6"/>
      <c r="G5125" s="1"/>
      <c r="H5125" s="2"/>
    </row>
    <row r="5126" spans="1:8" x14ac:dyDescent="0.25">
      <c r="A5126" s="5"/>
      <c r="B5126" s="6"/>
      <c r="C5126" s="6"/>
      <c r="D5126" s="6"/>
      <c r="E5126" s="6"/>
      <c r="G5126" s="3"/>
      <c r="H5126" s="2"/>
    </row>
    <row r="5127" spans="1:8" x14ac:dyDescent="0.25">
      <c r="A5127" s="5"/>
      <c r="B5127" s="6"/>
      <c r="C5127" s="6"/>
      <c r="D5127" s="6"/>
      <c r="E5127" s="6"/>
      <c r="G5127" s="1"/>
      <c r="H5127" s="2"/>
    </row>
    <row r="5128" spans="1:8" x14ac:dyDescent="0.25">
      <c r="A5128" s="5"/>
      <c r="B5128" s="6"/>
      <c r="C5128" s="6"/>
      <c r="D5128" s="6"/>
      <c r="E5128" s="6"/>
      <c r="G5128" s="3"/>
      <c r="H5128" s="2"/>
    </row>
    <row r="5129" spans="1:8" x14ac:dyDescent="0.25">
      <c r="A5129" s="5"/>
      <c r="B5129" s="6"/>
      <c r="C5129" s="6"/>
      <c r="D5129" s="6"/>
      <c r="E5129" s="6"/>
      <c r="G5129" s="1"/>
      <c r="H5129" s="2"/>
    </row>
    <row r="5130" spans="1:8" x14ac:dyDescent="0.25">
      <c r="A5130" s="5"/>
      <c r="B5130" s="6"/>
      <c r="C5130" s="6"/>
      <c r="D5130" s="6"/>
      <c r="E5130" s="6"/>
      <c r="G5130" s="3"/>
      <c r="H5130" s="2"/>
    </row>
    <row r="5131" spans="1:8" x14ac:dyDescent="0.25">
      <c r="A5131" s="5"/>
      <c r="B5131" s="6"/>
      <c r="C5131" s="6"/>
      <c r="D5131" s="6"/>
      <c r="E5131" s="6"/>
      <c r="G5131" s="1"/>
      <c r="H5131" s="2"/>
    </row>
    <row r="5132" spans="1:8" x14ac:dyDescent="0.25">
      <c r="A5132" s="5"/>
      <c r="B5132" s="6"/>
      <c r="C5132" s="6"/>
      <c r="D5132" s="6"/>
      <c r="E5132" s="6"/>
      <c r="G5132" s="3"/>
      <c r="H5132" s="2"/>
    </row>
    <row r="5133" spans="1:8" x14ac:dyDescent="0.25">
      <c r="A5133" s="5"/>
      <c r="B5133" s="6"/>
      <c r="C5133" s="6"/>
      <c r="D5133" s="6"/>
      <c r="E5133" s="6"/>
      <c r="G5133" s="1"/>
      <c r="H5133" s="2"/>
    </row>
    <row r="5134" spans="1:8" x14ac:dyDescent="0.25">
      <c r="A5134" s="5"/>
      <c r="B5134" s="6"/>
      <c r="C5134" s="6"/>
      <c r="D5134" s="6"/>
      <c r="E5134" s="6"/>
      <c r="G5134" s="3"/>
      <c r="H5134" s="2"/>
    </row>
    <row r="5135" spans="1:8" x14ac:dyDescent="0.25">
      <c r="A5135" s="5"/>
      <c r="B5135" s="6"/>
      <c r="C5135" s="6"/>
      <c r="D5135" s="6"/>
      <c r="E5135" s="6"/>
      <c r="G5135" s="1"/>
      <c r="H5135" s="2"/>
    </row>
    <row r="5136" spans="1:8" x14ac:dyDescent="0.25">
      <c r="A5136" s="5"/>
      <c r="B5136" s="6"/>
      <c r="C5136" s="6"/>
      <c r="D5136" s="6"/>
      <c r="E5136" s="6"/>
      <c r="G5136" s="3"/>
      <c r="H5136" s="2"/>
    </row>
    <row r="5137" spans="1:8" x14ac:dyDescent="0.25">
      <c r="A5137" s="5"/>
      <c r="B5137" s="6"/>
      <c r="C5137" s="6"/>
      <c r="D5137" s="6"/>
      <c r="E5137" s="6"/>
      <c r="G5137" s="1"/>
      <c r="H5137" s="2"/>
    </row>
    <row r="5138" spans="1:8" x14ac:dyDescent="0.25">
      <c r="A5138" s="5"/>
      <c r="B5138" s="6"/>
      <c r="C5138" s="6"/>
      <c r="D5138" s="6"/>
      <c r="E5138" s="6"/>
      <c r="G5138" s="3"/>
      <c r="H5138" s="2"/>
    </row>
    <row r="5139" spans="1:8" x14ac:dyDescent="0.25">
      <c r="A5139" s="5"/>
      <c r="B5139" s="6"/>
      <c r="C5139" s="6"/>
      <c r="D5139" s="6"/>
      <c r="E5139" s="6"/>
      <c r="G5139" s="1"/>
      <c r="H5139" s="2"/>
    </row>
    <row r="5140" spans="1:8" x14ac:dyDescent="0.25">
      <c r="A5140" s="5"/>
      <c r="B5140" s="6"/>
      <c r="C5140" s="6"/>
      <c r="D5140" s="6"/>
      <c r="E5140" s="6"/>
      <c r="G5140" s="3"/>
      <c r="H5140" s="2"/>
    </row>
    <row r="5141" spans="1:8" x14ac:dyDescent="0.25">
      <c r="A5141" s="5"/>
      <c r="B5141" s="6"/>
      <c r="C5141" s="6"/>
      <c r="D5141" s="6"/>
      <c r="E5141" s="6"/>
      <c r="G5141" s="1"/>
      <c r="H5141" s="2"/>
    </row>
    <row r="5142" spans="1:8" x14ac:dyDescent="0.25">
      <c r="A5142" s="5"/>
      <c r="B5142" s="6"/>
      <c r="C5142" s="6"/>
      <c r="D5142" s="6"/>
      <c r="E5142" s="6"/>
      <c r="G5142" s="3"/>
      <c r="H5142" s="2"/>
    </row>
    <row r="5143" spans="1:8" x14ac:dyDescent="0.25">
      <c r="A5143" s="5"/>
      <c r="B5143" s="6"/>
      <c r="C5143" s="6"/>
      <c r="D5143" s="6"/>
      <c r="E5143" s="6"/>
      <c r="G5143" s="1"/>
      <c r="H5143" s="2"/>
    </row>
    <row r="5144" spans="1:8" x14ac:dyDescent="0.25">
      <c r="A5144" s="5"/>
      <c r="B5144" s="6"/>
      <c r="C5144" s="6"/>
      <c r="D5144" s="6"/>
      <c r="E5144" s="6"/>
      <c r="G5144" s="3"/>
      <c r="H5144" s="2"/>
    </row>
    <row r="5145" spans="1:8" x14ac:dyDescent="0.25">
      <c r="A5145" s="5"/>
      <c r="B5145" s="6"/>
      <c r="C5145" s="6"/>
      <c r="D5145" s="6"/>
      <c r="E5145" s="6"/>
      <c r="G5145" s="1"/>
      <c r="H5145" s="2"/>
    </row>
    <row r="5146" spans="1:8" x14ac:dyDescent="0.25">
      <c r="A5146" s="5"/>
      <c r="B5146" s="6"/>
      <c r="C5146" s="6"/>
      <c r="D5146" s="6"/>
      <c r="E5146" s="6"/>
      <c r="G5146" s="3"/>
      <c r="H5146" s="2"/>
    </row>
    <row r="5147" spans="1:8" x14ac:dyDescent="0.25">
      <c r="A5147" s="5"/>
      <c r="B5147" s="6"/>
      <c r="C5147" s="6"/>
      <c r="D5147" s="6"/>
      <c r="E5147" s="6"/>
      <c r="G5147" s="1"/>
      <c r="H5147" s="2"/>
    </row>
    <row r="5148" spans="1:8" x14ac:dyDescent="0.25">
      <c r="A5148" s="5"/>
      <c r="B5148" s="6"/>
      <c r="C5148" s="6"/>
      <c r="D5148" s="6"/>
      <c r="E5148" s="6"/>
      <c r="G5148" s="3"/>
      <c r="H5148" s="2"/>
    </row>
    <row r="5149" spans="1:8" x14ac:dyDescent="0.25">
      <c r="A5149" s="5"/>
      <c r="B5149" s="6"/>
      <c r="C5149" s="6"/>
      <c r="D5149" s="6"/>
      <c r="E5149" s="6"/>
      <c r="G5149" s="1"/>
      <c r="H5149" s="2"/>
    </row>
    <row r="5150" spans="1:8" x14ac:dyDescent="0.25">
      <c r="A5150" s="5"/>
      <c r="B5150" s="6"/>
      <c r="C5150" s="6"/>
      <c r="D5150" s="6"/>
      <c r="E5150" s="6"/>
      <c r="G5150" s="3"/>
      <c r="H5150" s="2"/>
    </row>
    <row r="5151" spans="1:8" x14ac:dyDescent="0.25">
      <c r="A5151" s="5"/>
      <c r="B5151" s="6"/>
      <c r="C5151" s="6"/>
      <c r="D5151" s="6"/>
      <c r="E5151" s="6"/>
      <c r="G5151" s="1"/>
      <c r="H5151" s="2"/>
    </row>
    <row r="5152" spans="1:8" x14ac:dyDescent="0.25">
      <c r="A5152" s="5"/>
      <c r="B5152" s="6"/>
      <c r="C5152" s="6"/>
      <c r="D5152" s="6"/>
      <c r="E5152" s="6"/>
      <c r="G5152" s="3"/>
      <c r="H5152" s="2"/>
    </row>
    <row r="5153" spans="1:8" x14ac:dyDescent="0.25">
      <c r="A5153" s="5"/>
      <c r="B5153" s="6"/>
      <c r="C5153" s="6"/>
      <c r="D5153" s="6"/>
      <c r="E5153" s="6"/>
      <c r="G5153" s="1"/>
      <c r="H5153" s="2"/>
    </row>
    <row r="5154" spans="1:8" x14ac:dyDescent="0.25">
      <c r="A5154" s="5"/>
      <c r="B5154" s="6"/>
      <c r="C5154" s="6"/>
      <c r="D5154" s="6"/>
      <c r="E5154" s="6"/>
      <c r="G5154" s="3"/>
      <c r="H5154" s="2"/>
    </row>
    <row r="5155" spans="1:8" x14ac:dyDescent="0.25">
      <c r="A5155" s="5"/>
      <c r="B5155" s="6"/>
      <c r="C5155" s="6"/>
      <c r="D5155" s="6"/>
      <c r="E5155" s="6"/>
      <c r="G5155" s="1"/>
      <c r="H5155" s="2"/>
    </row>
    <row r="5156" spans="1:8" x14ac:dyDescent="0.25">
      <c r="A5156" s="5"/>
      <c r="B5156" s="6"/>
      <c r="C5156" s="6"/>
      <c r="D5156" s="6"/>
      <c r="E5156" s="6"/>
      <c r="G5156" s="3"/>
      <c r="H5156" s="2"/>
    </row>
    <row r="5157" spans="1:8" x14ac:dyDescent="0.25">
      <c r="A5157" s="5"/>
      <c r="B5157" s="6"/>
      <c r="C5157" s="6"/>
      <c r="D5157" s="6"/>
      <c r="E5157" s="6"/>
      <c r="G5157" s="1"/>
      <c r="H5157" s="2"/>
    </row>
    <row r="5158" spans="1:8" x14ac:dyDescent="0.25">
      <c r="A5158" s="5"/>
      <c r="B5158" s="6"/>
      <c r="C5158" s="6"/>
      <c r="D5158" s="6"/>
      <c r="E5158" s="6"/>
      <c r="G5158" s="3"/>
      <c r="H5158" s="2"/>
    </row>
    <row r="5159" spans="1:8" x14ac:dyDescent="0.25">
      <c r="A5159" s="5"/>
      <c r="B5159" s="6"/>
      <c r="C5159" s="6"/>
      <c r="D5159" s="6"/>
      <c r="E5159" s="6"/>
      <c r="G5159" s="1"/>
      <c r="H5159" s="2"/>
    </row>
    <row r="5160" spans="1:8" x14ac:dyDescent="0.25">
      <c r="A5160" s="5"/>
      <c r="B5160" s="6"/>
      <c r="C5160" s="6"/>
      <c r="D5160" s="6"/>
      <c r="E5160" s="6"/>
      <c r="G5160" s="3"/>
      <c r="H5160" s="2"/>
    </row>
    <row r="5161" spans="1:8" x14ac:dyDescent="0.25">
      <c r="A5161" s="5"/>
      <c r="B5161" s="6"/>
      <c r="C5161" s="6"/>
      <c r="D5161" s="6"/>
      <c r="E5161" s="6"/>
      <c r="G5161" s="1"/>
      <c r="H5161" s="2"/>
    </row>
    <row r="5162" spans="1:8" x14ac:dyDescent="0.25">
      <c r="A5162" s="5"/>
      <c r="B5162" s="6"/>
      <c r="C5162" s="6"/>
      <c r="D5162" s="6"/>
      <c r="E5162" s="6"/>
      <c r="G5162" s="3"/>
      <c r="H5162" s="2"/>
    </row>
    <row r="5163" spans="1:8" x14ac:dyDescent="0.25">
      <c r="A5163" s="5"/>
      <c r="B5163" s="6"/>
      <c r="C5163" s="6"/>
      <c r="D5163" s="6"/>
      <c r="E5163" s="6"/>
      <c r="G5163" s="1"/>
      <c r="H5163" s="2"/>
    </row>
    <row r="5164" spans="1:8" x14ac:dyDescent="0.25">
      <c r="A5164" s="5"/>
      <c r="B5164" s="6"/>
      <c r="C5164" s="6"/>
      <c r="D5164" s="6"/>
      <c r="E5164" s="6"/>
      <c r="G5164" s="3"/>
      <c r="H5164" s="2"/>
    </row>
    <row r="5165" spans="1:8" x14ac:dyDescent="0.25">
      <c r="A5165" s="5"/>
      <c r="B5165" s="6"/>
      <c r="C5165" s="6"/>
      <c r="D5165" s="6"/>
      <c r="E5165" s="6"/>
      <c r="G5165" s="1"/>
      <c r="H5165" s="2"/>
    </row>
    <row r="5166" spans="1:8" x14ac:dyDescent="0.25">
      <c r="A5166" s="5"/>
      <c r="B5166" s="6"/>
      <c r="C5166" s="6"/>
      <c r="D5166" s="6"/>
      <c r="E5166" s="6"/>
      <c r="G5166" s="3"/>
      <c r="H5166" s="2"/>
    </row>
    <row r="5167" spans="1:8" x14ac:dyDescent="0.25">
      <c r="A5167" s="5"/>
      <c r="B5167" s="6"/>
      <c r="C5167" s="6"/>
      <c r="D5167" s="6"/>
      <c r="E5167" s="6"/>
      <c r="G5167" s="1"/>
      <c r="H5167" s="2"/>
    </row>
    <row r="5168" spans="1:8" x14ac:dyDescent="0.25">
      <c r="A5168" s="5"/>
      <c r="B5168" s="6"/>
      <c r="C5168" s="6"/>
      <c r="D5168" s="6"/>
      <c r="E5168" s="6"/>
      <c r="G5168" s="3"/>
      <c r="H5168" s="2"/>
    </row>
    <row r="5169" spans="1:8" x14ac:dyDescent="0.25">
      <c r="A5169" s="5"/>
      <c r="B5169" s="6"/>
      <c r="C5169" s="6"/>
      <c r="D5169" s="6"/>
      <c r="E5169" s="6"/>
      <c r="G5169" s="1"/>
      <c r="H5169" s="2"/>
    </row>
    <row r="5170" spans="1:8" x14ac:dyDescent="0.25">
      <c r="A5170" s="5"/>
      <c r="B5170" s="6"/>
      <c r="C5170" s="6"/>
      <c r="D5170" s="6"/>
      <c r="E5170" s="6"/>
      <c r="G5170" s="3"/>
      <c r="H5170" s="2"/>
    </row>
    <row r="5171" spans="1:8" x14ac:dyDescent="0.25">
      <c r="A5171" s="5"/>
      <c r="B5171" s="6"/>
      <c r="C5171" s="6"/>
      <c r="D5171" s="6"/>
      <c r="E5171" s="6"/>
      <c r="G5171" s="1"/>
      <c r="H5171" s="2"/>
    </row>
    <row r="5172" spans="1:8" x14ac:dyDescent="0.25">
      <c r="A5172" s="5"/>
      <c r="B5172" s="6"/>
      <c r="C5172" s="6"/>
      <c r="D5172" s="6"/>
      <c r="E5172" s="6"/>
      <c r="G5172" s="3"/>
      <c r="H5172" s="2"/>
    </row>
    <row r="5173" spans="1:8" x14ac:dyDescent="0.25">
      <c r="A5173" s="5"/>
      <c r="B5173" s="6"/>
      <c r="C5173" s="6"/>
      <c r="D5173" s="6"/>
      <c r="E5173" s="6"/>
      <c r="G5173" s="1"/>
      <c r="H5173" s="2"/>
    </row>
    <row r="5174" spans="1:8" x14ac:dyDescent="0.25">
      <c r="A5174" s="5"/>
      <c r="B5174" s="6"/>
      <c r="C5174" s="6"/>
      <c r="D5174" s="6"/>
      <c r="E5174" s="6"/>
      <c r="G5174" s="3"/>
      <c r="H5174" s="2"/>
    </row>
    <row r="5175" spans="1:8" x14ac:dyDescent="0.25">
      <c r="A5175" s="5"/>
      <c r="B5175" s="6"/>
      <c r="C5175" s="6"/>
      <c r="D5175" s="6"/>
      <c r="E5175" s="6"/>
      <c r="G5175" s="1"/>
      <c r="H5175" s="2"/>
    </row>
    <row r="5176" spans="1:8" x14ac:dyDescent="0.25">
      <c r="A5176" s="5"/>
      <c r="B5176" s="6"/>
      <c r="C5176" s="6"/>
      <c r="D5176" s="6"/>
      <c r="E5176" s="6"/>
      <c r="G5176" s="3"/>
      <c r="H5176" s="2"/>
    </row>
    <row r="5177" spans="1:8" x14ac:dyDescent="0.25">
      <c r="A5177" s="5"/>
      <c r="B5177" s="6"/>
      <c r="C5177" s="6"/>
      <c r="D5177" s="6"/>
      <c r="E5177" s="6"/>
      <c r="G5177" s="1"/>
      <c r="H5177" s="2"/>
    </row>
    <row r="5178" spans="1:8" x14ac:dyDescent="0.25">
      <c r="A5178" s="5"/>
      <c r="B5178" s="6"/>
      <c r="C5178" s="6"/>
      <c r="D5178" s="6"/>
      <c r="E5178" s="6"/>
      <c r="G5178" s="3"/>
      <c r="H5178" s="2"/>
    </row>
    <row r="5179" spans="1:8" x14ac:dyDescent="0.25">
      <c r="A5179" s="5"/>
      <c r="B5179" s="6"/>
      <c r="C5179" s="6"/>
      <c r="D5179" s="6"/>
      <c r="E5179" s="6"/>
      <c r="G5179" s="1"/>
      <c r="H5179" s="2"/>
    </row>
    <row r="5180" spans="1:8" x14ac:dyDescent="0.25">
      <c r="A5180" s="5"/>
      <c r="B5180" s="6"/>
      <c r="C5180" s="6"/>
      <c r="D5180" s="6"/>
      <c r="E5180" s="6"/>
      <c r="G5180" s="3"/>
      <c r="H5180" s="2"/>
    </row>
    <row r="5181" spans="1:8" x14ac:dyDescent="0.25">
      <c r="A5181" s="5"/>
      <c r="B5181" s="6"/>
      <c r="C5181" s="6"/>
      <c r="D5181" s="6"/>
      <c r="E5181" s="6"/>
      <c r="G5181" s="1"/>
      <c r="H5181" s="2"/>
    </row>
    <row r="5182" spans="1:8" x14ac:dyDescent="0.25">
      <c r="A5182" s="5"/>
      <c r="B5182" s="6"/>
      <c r="C5182" s="6"/>
      <c r="D5182" s="6"/>
      <c r="E5182" s="6"/>
      <c r="G5182" s="3"/>
      <c r="H5182" s="2"/>
    </row>
    <row r="5183" spans="1:8" x14ac:dyDescent="0.25">
      <c r="A5183" s="5"/>
      <c r="B5183" s="6"/>
      <c r="C5183" s="6"/>
      <c r="D5183" s="6"/>
      <c r="E5183" s="6"/>
      <c r="G5183" s="1"/>
      <c r="H5183" s="2"/>
    </row>
    <row r="5184" spans="1:8" x14ac:dyDescent="0.25">
      <c r="A5184" s="5"/>
      <c r="B5184" s="6"/>
      <c r="C5184" s="6"/>
      <c r="D5184" s="6"/>
      <c r="E5184" s="6"/>
      <c r="G5184" s="3"/>
      <c r="H5184" s="2"/>
    </row>
    <row r="5185" spans="1:8" x14ac:dyDescent="0.25">
      <c r="A5185" s="5"/>
      <c r="B5185" s="6"/>
      <c r="C5185" s="6"/>
      <c r="D5185" s="6"/>
      <c r="E5185" s="6"/>
      <c r="G5185" s="1"/>
      <c r="H5185" s="2"/>
    </row>
    <row r="5186" spans="1:8" x14ac:dyDescent="0.25">
      <c r="A5186" s="5"/>
      <c r="B5186" s="6"/>
      <c r="C5186" s="6"/>
      <c r="D5186" s="6"/>
      <c r="E5186" s="6"/>
      <c r="G5186" s="3"/>
      <c r="H5186" s="2"/>
    </row>
    <row r="5187" spans="1:8" x14ac:dyDescent="0.25">
      <c r="A5187" s="5"/>
      <c r="B5187" s="6"/>
      <c r="C5187" s="6"/>
      <c r="D5187" s="6"/>
      <c r="E5187" s="6"/>
      <c r="G5187" s="1"/>
      <c r="H5187" s="2"/>
    </row>
    <row r="5188" spans="1:8" x14ac:dyDescent="0.25">
      <c r="A5188" s="5"/>
      <c r="B5188" s="6"/>
      <c r="C5188" s="6"/>
      <c r="D5188" s="6"/>
      <c r="E5188" s="6"/>
      <c r="G5188" s="3"/>
      <c r="H5188" s="2"/>
    </row>
    <row r="5189" spans="1:8" x14ac:dyDescent="0.25">
      <c r="A5189" s="5"/>
      <c r="B5189" s="6"/>
      <c r="C5189" s="6"/>
      <c r="D5189" s="6"/>
      <c r="E5189" s="6"/>
      <c r="G5189" s="1"/>
      <c r="H5189" s="2"/>
    </row>
    <row r="5190" spans="1:8" x14ac:dyDescent="0.25">
      <c r="A5190" s="5"/>
      <c r="B5190" s="6"/>
      <c r="C5190" s="6"/>
      <c r="D5190" s="6"/>
      <c r="E5190" s="6"/>
      <c r="G5190" s="3"/>
      <c r="H5190" s="2"/>
    </row>
    <row r="5191" spans="1:8" x14ac:dyDescent="0.25">
      <c r="A5191" s="5"/>
      <c r="B5191" s="6"/>
      <c r="C5191" s="6"/>
      <c r="D5191" s="6"/>
      <c r="E5191" s="6"/>
      <c r="G5191" s="1"/>
      <c r="H5191" s="2"/>
    </row>
    <row r="5192" spans="1:8" x14ac:dyDescent="0.25">
      <c r="A5192" s="5"/>
      <c r="B5192" s="6"/>
      <c r="C5192" s="6"/>
      <c r="D5192" s="6"/>
      <c r="E5192" s="6"/>
      <c r="G5192" s="3"/>
      <c r="H5192" s="2"/>
    </row>
    <row r="5193" spans="1:8" x14ac:dyDescent="0.25">
      <c r="A5193" s="5"/>
      <c r="B5193" s="6"/>
      <c r="C5193" s="6"/>
      <c r="D5193" s="6"/>
      <c r="E5193" s="6"/>
      <c r="G5193" s="1"/>
      <c r="H5193" s="2"/>
    </row>
    <row r="5194" spans="1:8" x14ac:dyDescent="0.25">
      <c r="A5194" s="5"/>
      <c r="B5194" s="6"/>
      <c r="C5194" s="6"/>
      <c r="D5194" s="6"/>
      <c r="E5194" s="6"/>
      <c r="G5194" s="3"/>
      <c r="H5194" s="2"/>
    </row>
    <row r="5195" spans="1:8" x14ac:dyDescent="0.25">
      <c r="A5195" s="5"/>
      <c r="B5195" s="6"/>
      <c r="C5195" s="6"/>
      <c r="D5195" s="6"/>
      <c r="E5195" s="6"/>
      <c r="G5195" s="1"/>
      <c r="H5195" s="2"/>
    </row>
    <row r="5196" spans="1:8" x14ac:dyDescent="0.25">
      <c r="A5196" s="5"/>
      <c r="B5196" s="6"/>
      <c r="C5196" s="6"/>
      <c r="D5196" s="6"/>
      <c r="E5196" s="6"/>
      <c r="G5196" s="3"/>
      <c r="H5196" s="2"/>
    </row>
    <row r="5197" spans="1:8" x14ac:dyDescent="0.25">
      <c r="A5197" s="5"/>
      <c r="B5197" s="6"/>
      <c r="C5197" s="6"/>
      <c r="D5197" s="6"/>
      <c r="E5197" s="6"/>
      <c r="G5197" s="1"/>
      <c r="H5197" s="2"/>
    </row>
    <row r="5198" spans="1:8" x14ac:dyDescent="0.25">
      <c r="A5198" s="5"/>
      <c r="B5198" s="6"/>
      <c r="C5198" s="6"/>
      <c r="D5198" s="6"/>
      <c r="E5198" s="6"/>
      <c r="G5198" s="3"/>
      <c r="H5198" s="2"/>
    </row>
    <row r="5199" spans="1:8" x14ac:dyDescent="0.25">
      <c r="A5199" s="5"/>
      <c r="B5199" s="6"/>
      <c r="C5199" s="6"/>
      <c r="D5199" s="6"/>
      <c r="E5199" s="6"/>
      <c r="G5199" s="1"/>
      <c r="H5199" s="2"/>
    </row>
    <row r="5200" spans="1:8" x14ac:dyDescent="0.25">
      <c r="A5200" s="5"/>
      <c r="B5200" s="6"/>
      <c r="C5200" s="6"/>
      <c r="D5200" s="6"/>
      <c r="E5200" s="6"/>
      <c r="G5200" s="3"/>
      <c r="H5200" s="2"/>
    </row>
    <row r="5201" spans="1:8" x14ac:dyDescent="0.25">
      <c r="A5201" s="5"/>
      <c r="B5201" s="6"/>
      <c r="C5201" s="6"/>
      <c r="D5201" s="6"/>
      <c r="E5201" s="6"/>
      <c r="G5201" s="1"/>
      <c r="H5201" s="2"/>
    </row>
    <row r="5202" spans="1:8" x14ac:dyDescent="0.25">
      <c r="A5202" s="5"/>
      <c r="B5202" s="6"/>
      <c r="C5202" s="6"/>
      <c r="D5202" s="6"/>
      <c r="E5202" s="6"/>
      <c r="G5202" s="3"/>
      <c r="H5202" s="2"/>
    </row>
    <row r="5203" spans="1:8" x14ac:dyDescent="0.25">
      <c r="A5203" s="5"/>
      <c r="B5203" s="6"/>
      <c r="C5203" s="6"/>
      <c r="D5203" s="6"/>
      <c r="E5203" s="6"/>
      <c r="G5203" s="1"/>
      <c r="H5203" s="2"/>
    </row>
    <row r="5204" spans="1:8" x14ac:dyDescent="0.25">
      <c r="A5204" s="5"/>
      <c r="B5204" s="6"/>
      <c r="C5204" s="6"/>
      <c r="D5204" s="6"/>
      <c r="E5204" s="6"/>
      <c r="G5204" s="3"/>
      <c r="H5204" s="2"/>
    </row>
    <row r="5205" spans="1:8" x14ac:dyDescent="0.25">
      <c r="A5205" s="5"/>
      <c r="B5205" s="6"/>
      <c r="C5205" s="6"/>
      <c r="D5205" s="6"/>
      <c r="E5205" s="6"/>
      <c r="G5205" s="1"/>
      <c r="H5205" s="2"/>
    </row>
    <row r="5206" spans="1:8" x14ac:dyDescent="0.25">
      <c r="A5206" s="5"/>
      <c r="B5206" s="6"/>
      <c r="C5206" s="6"/>
      <c r="D5206" s="6"/>
      <c r="E5206" s="6"/>
      <c r="G5206" s="3"/>
      <c r="H5206" s="2"/>
    </row>
    <row r="5207" spans="1:8" x14ac:dyDescent="0.25">
      <c r="A5207" s="5"/>
      <c r="B5207" s="6"/>
      <c r="C5207" s="6"/>
      <c r="D5207" s="6"/>
      <c r="E5207" s="6"/>
      <c r="G5207" s="1"/>
      <c r="H5207" s="2"/>
    </row>
    <row r="5208" spans="1:8" x14ac:dyDescent="0.25">
      <c r="A5208" s="5"/>
      <c r="B5208" s="6"/>
      <c r="C5208" s="6"/>
      <c r="D5208" s="6"/>
      <c r="E5208" s="6"/>
      <c r="G5208" s="3"/>
      <c r="H5208" s="2"/>
    </row>
    <row r="5209" spans="1:8" x14ac:dyDescent="0.25">
      <c r="A5209" s="5"/>
      <c r="B5209" s="6"/>
      <c r="C5209" s="6"/>
      <c r="D5209" s="6"/>
      <c r="E5209" s="6"/>
      <c r="G5209" s="1"/>
      <c r="H5209" s="2"/>
    </row>
    <row r="5210" spans="1:8" x14ac:dyDescent="0.25">
      <c r="A5210" s="5"/>
      <c r="B5210" s="6"/>
      <c r="C5210" s="6"/>
      <c r="D5210" s="6"/>
      <c r="E5210" s="6"/>
      <c r="G5210" s="3"/>
      <c r="H5210" s="2"/>
    </row>
    <row r="5211" spans="1:8" x14ac:dyDescent="0.25">
      <c r="A5211" s="5"/>
      <c r="B5211" s="6"/>
      <c r="C5211" s="6"/>
      <c r="D5211" s="6"/>
      <c r="E5211" s="6"/>
      <c r="G5211" s="1"/>
      <c r="H5211" s="2"/>
    </row>
    <row r="5212" spans="1:8" x14ac:dyDescent="0.25">
      <c r="A5212" s="5"/>
      <c r="B5212" s="6"/>
      <c r="C5212" s="6"/>
      <c r="D5212" s="6"/>
      <c r="E5212" s="6"/>
      <c r="G5212" s="3"/>
      <c r="H5212" s="2"/>
    </row>
    <row r="5213" spans="1:8" x14ac:dyDescent="0.25">
      <c r="A5213" s="5"/>
      <c r="B5213" s="6"/>
      <c r="C5213" s="6"/>
      <c r="D5213" s="6"/>
      <c r="E5213" s="6"/>
      <c r="G5213" s="1"/>
      <c r="H5213" s="2"/>
    </row>
    <row r="5214" spans="1:8" x14ac:dyDescent="0.25">
      <c r="A5214" s="5"/>
      <c r="B5214" s="6"/>
      <c r="C5214" s="6"/>
      <c r="D5214" s="6"/>
      <c r="E5214" s="6"/>
      <c r="G5214" s="3"/>
      <c r="H5214" s="2"/>
    </row>
    <row r="5215" spans="1:8" x14ac:dyDescent="0.25">
      <c r="A5215" s="5"/>
      <c r="B5215" s="6"/>
      <c r="C5215" s="6"/>
      <c r="D5215" s="6"/>
      <c r="E5215" s="6"/>
      <c r="G5215" s="1"/>
      <c r="H5215" s="2"/>
    </row>
    <row r="5216" spans="1:8" x14ac:dyDescent="0.25">
      <c r="A5216" s="5"/>
      <c r="B5216" s="6"/>
      <c r="C5216" s="6"/>
      <c r="D5216" s="6"/>
      <c r="E5216" s="6"/>
      <c r="G5216" s="3"/>
      <c r="H5216" s="2"/>
    </row>
    <row r="5217" spans="1:8" x14ac:dyDescent="0.25">
      <c r="A5217" s="5"/>
      <c r="B5217" s="6"/>
      <c r="C5217" s="6"/>
      <c r="D5217" s="6"/>
      <c r="E5217" s="6"/>
      <c r="G5217" s="1"/>
      <c r="H5217" s="2"/>
    </row>
    <row r="5218" spans="1:8" x14ac:dyDescent="0.25">
      <c r="A5218" s="5"/>
      <c r="B5218" s="6"/>
      <c r="C5218" s="6"/>
      <c r="D5218" s="6"/>
      <c r="E5218" s="6"/>
      <c r="G5218" s="3"/>
      <c r="H5218" s="2"/>
    </row>
    <row r="5219" spans="1:8" x14ac:dyDescent="0.25">
      <c r="A5219" s="5"/>
      <c r="B5219" s="6"/>
      <c r="C5219" s="6"/>
      <c r="D5219" s="6"/>
      <c r="E5219" s="6"/>
      <c r="G5219" s="1"/>
      <c r="H5219" s="2"/>
    </row>
    <row r="5220" spans="1:8" x14ac:dyDescent="0.25">
      <c r="A5220" s="5"/>
      <c r="B5220" s="6"/>
      <c r="C5220" s="6"/>
      <c r="D5220" s="6"/>
      <c r="E5220" s="6"/>
      <c r="G5220" s="3"/>
      <c r="H5220" s="2"/>
    </row>
    <row r="5221" spans="1:8" x14ac:dyDescent="0.25">
      <c r="A5221" s="5"/>
      <c r="B5221" s="6"/>
      <c r="C5221" s="6"/>
      <c r="D5221" s="6"/>
      <c r="E5221" s="6"/>
      <c r="G5221" s="1"/>
      <c r="H5221" s="2"/>
    </row>
    <row r="5222" spans="1:8" x14ac:dyDescent="0.25">
      <c r="A5222" s="5"/>
      <c r="B5222" s="6"/>
      <c r="C5222" s="6"/>
      <c r="D5222" s="6"/>
      <c r="E5222" s="6"/>
      <c r="G5222" s="3"/>
      <c r="H5222" s="2"/>
    </row>
    <row r="5223" spans="1:8" x14ac:dyDescent="0.25">
      <c r="A5223" s="5"/>
      <c r="B5223" s="6"/>
      <c r="C5223" s="6"/>
      <c r="D5223" s="6"/>
      <c r="E5223" s="6"/>
      <c r="G5223" s="1"/>
      <c r="H5223" s="2"/>
    </row>
    <row r="5224" spans="1:8" x14ac:dyDescent="0.25">
      <c r="A5224" s="5"/>
      <c r="B5224" s="6"/>
      <c r="C5224" s="6"/>
      <c r="D5224" s="6"/>
      <c r="E5224" s="6"/>
      <c r="G5224" s="3"/>
      <c r="H5224" s="2"/>
    </row>
    <row r="5225" spans="1:8" x14ac:dyDescent="0.25">
      <c r="A5225" s="5"/>
      <c r="B5225" s="6"/>
      <c r="C5225" s="6"/>
      <c r="D5225" s="6"/>
      <c r="E5225" s="6"/>
      <c r="G5225" s="1"/>
      <c r="H5225" s="2"/>
    </row>
    <row r="5226" spans="1:8" x14ac:dyDescent="0.25">
      <c r="A5226" s="5"/>
      <c r="B5226" s="6"/>
      <c r="C5226" s="6"/>
      <c r="D5226" s="6"/>
      <c r="E5226" s="6"/>
      <c r="G5226" s="3"/>
      <c r="H5226" s="2"/>
    </row>
    <row r="5227" spans="1:8" x14ac:dyDescent="0.25">
      <c r="A5227" s="5"/>
      <c r="B5227" s="6"/>
      <c r="C5227" s="6"/>
      <c r="D5227" s="6"/>
      <c r="E5227" s="6"/>
      <c r="G5227" s="1"/>
      <c r="H5227" s="2"/>
    </row>
    <row r="5228" spans="1:8" x14ac:dyDescent="0.25">
      <c r="A5228" s="5"/>
      <c r="B5228" s="6"/>
      <c r="C5228" s="6"/>
      <c r="D5228" s="6"/>
      <c r="E5228" s="6"/>
      <c r="G5228" s="3"/>
      <c r="H5228" s="2"/>
    </row>
    <row r="5229" spans="1:8" x14ac:dyDescent="0.25">
      <c r="A5229" s="5"/>
      <c r="B5229" s="6"/>
      <c r="C5229" s="6"/>
      <c r="D5229" s="6"/>
      <c r="E5229" s="6"/>
      <c r="G5229" s="1"/>
      <c r="H5229" s="2"/>
    </row>
    <row r="5230" spans="1:8" x14ac:dyDescent="0.25">
      <c r="A5230" s="5"/>
      <c r="B5230" s="6"/>
      <c r="C5230" s="6"/>
      <c r="D5230" s="6"/>
      <c r="E5230" s="6"/>
      <c r="G5230" s="3"/>
      <c r="H5230" s="2"/>
    </row>
    <row r="5231" spans="1:8" x14ac:dyDescent="0.25">
      <c r="A5231" s="5"/>
      <c r="B5231" s="6"/>
      <c r="C5231" s="6"/>
      <c r="D5231" s="6"/>
      <c r="E5231" s="6"/>
      <c r="G5231" s="1"/>
      <c r="H5231" s="2"/>
    </row>
    <row r="5232" spans="1:8" x14ac:dyDescent="0.25">
      <c r="A5232" s="5"/>
      <c r="B5232" s="6"/>
      <c r="C5232" s="6"/>
      <c r="D5232" s="6"/>
      <c r="E5232" s="6"/>
      <c r="G5232" s="3"/>
      <c r="H5232" s="2"/>
    </row>
    <row r="5233" spans="1:8" x14ac:dyDescent="0.25">
      <c r="A5233" s="5"/>
      <c r="B5233" s="6"/>
      <c r="C5233" s="6"/>
      <c r="D5233" s="6"/>
      <c r="E5233" s="6"/>
      <c r="G5233" s="1"/>
      <c r="H5233" s="2"/>
    </row>
    <row r="5234" spans="1:8" x14ac:dyDescent="0.25">
      <c r="A5234" s="5"/>
      <c r="B5234" s="6"/>
      <c r="C5234" s="6"/>
      <c r="D5234" s="6"/>
      <c r="E5234" s="6"/>
      <c r="G5234" s="3"/>
      <c r="H5234" s="2"/>
    </row>
    <row r="5235" spans="1:8" x14ac:dyDescent="0.25">
      <c r="A5235" s="5"/>
      <c r="B5235" s="6"/>
      <c r="C5235" s="6"/>
      <c r="D5235" s="6"/>
      <c r="E5235" s="6"/>
      <c r="G5235" s="1"/>
      <c r="H5235" s="2"/>
    </row>
    <row r="5236" spans="1:8" x14ac:dyDescent="0.25">
      <c r="A5236" s="5"/>
      <c r="B5236" s="6"/>
      <c r="C5236" s="6"/>
      <c r="D5236" s="6"/>
      <c r="E5236" s="6"/>
      <c r="G5236" s="3"/>
      <c r="H5236" s="2"/>
    </row>
    <row r="5237" spans="1:8" x14ac:dyDescent="0.25">
      <c r="A5237" s="5"/>
      <c r="B5237" s="6"/>
      <c r="C5237" s="6"/>
      <c r="D5237" s="6"/>
      <c r="E5237" s="6"/>
      <c r="G5237" s="1"/>
      <c r="H5237" s="2"/>
    </row>
    <row r="5238" spans="1:8" x14ac:dyDescent="0.25">
      <c r="A5238" s="5"/>
      <c r="B5238" s="6"/>
      <c r="C5238" s="6"/>
      <c r="D5238" s="6"/>
      <c r="E5238" s="6"/>
      <c r="G5238" s="3"/>
      <c r="H5238" s="2"/>
    </row>
    <row r="5239" spans="1:8" x14ac:dyDescent="0.25">
      <c r="A5239" s="5"/>
      <c r="B5239" s="6"/>
      <c r="C5239" s="6"/>
      <c r="D5239" s="6"/>
      <c r="E5239" s="6"/>
      <c r="G5239" s="1"/>
      <c r="H5239" s="2"/>
    </row>
    <row r="5240" spans="1:8" x14ac:dyDescent="0.25">
      <c r="A5240" s="5"/>
      <c r="B5240" s="6"/>
      <c r="C5240" s="6"/>
      <c r="D5240" s="6"/>
      <c r="E5240" s="6"/>
      <c r="G5240" s="3"/>
      <c r="H5240" s="2"/>
    </row>
    <row r="5241" spans="1:8" x14ac:dyDescent="0.25">
      <c r="A5241" s="5"/>
      <c r="B5241" s="6"/>
      <c r="C5241" s="6"/>
      <c r="D5241" s="6"/>
      <c r="E5241" s="6"/>
      <c r="G5241" s="1"/>
      <c r="H5241" s="2"/>
    </row>
    <row r="5242" spans="1:8" x14ac:dyDescent="0.25">
      <c r="A5242" s="5"/>
      <c r="B5242" s="6"/>
      <c r="C5242" s="6"/>
      <c r="D5242" s="6"/>
      <c r="E5242" s="6"/>
      <c r="G5242" s="3"/>
      <c r="H5242" s="2"/>
    </row>
    <row r="5243" spans="1:8" x14ac:dyDescent="0.25">
      <c r="A5243" s="5"/>
      <c r="B5243" s="6"/>
      <c r="C5243" s="6"/>
      <c r="D5243" s="6"/>
      <c r="E5243" s="6"/>
      <c r="G5243" s="1"/>
      <c r="H5243" s="2"/>
    </row>
    <row r="5244" spans="1:8" x14ac:dyDescent="0.25">
      <c r="A5244" s="5"/>
      <c r="B5244" s="6"/>
      <c r="C5244" s="6"/>
      <c r="D5244" s="6"/>
      <c r="E5244" s="6"/>
      <c r="G5244" s="3"/>
      <c r="H5244" s="2"/>
    </row>
    <row r="5245" spans="1:8" x14ac:dyDescent="0.25">
      <c r="A5245" s="5"/>
      <c r="B5245" s="6"/>
      <c r="C5245" s="6"/>
      <c r="D5245" s="6"/>
      <c r="E5245" s="6"/>
      <c r="G5245" s="1"/>
      <c r="H5245" s="2"/>
    </row>
    <row r="5246" spans="1:8" x14ac:dyDescent="0.25">
      <c r="A5246" s="5"/>
      <c r="B5246" s="6"/>
      <c r="C5246" s="6"/>
      <c r="D5246" s="6"/>
      <c r="E5246" s="6"/>
      <c r="G5246" s="3"/>
      <c r="H5246" s="2"/>
    </row>
    <row r="5247" spans="1:8" x14ac:dyDescent="0.25">
      <c r="A5247" s="5"/>
      <c r="B5247" s="6"/>
      <c r="C5247" s="6"/>
      <c r="D5247" s="6"/>
      <c r="E5247" s="6"/>
      <c r="G5247" s="1"/>
      <c r="H5247" s="2"/>
    </row>
    <row r="5248" spans="1:8" x14ac:dyDescent="0.25">
      <c r="A5248" s="5"/>
      <c r="B5248" s="6"/>
      <c r="C5248" s="6"/>
      <c r="D5248" s="6"/>
      <c r="E5248" s="6"/>
      <c r="G5248" s="3"/>
      <c r="H5248" s="2"/>
    </row>
    <row r="5249" spans="1:8" x14ac:dyDescent="0.25">
      <c r="A5249" s="5"/>
      <c r="B5249" s="6"/>
      <c r="C5249" s="6"/>
      <c r="D5249" s="6"/>
      <c r="E5249" s="6"/>
      <c r="G5249" s="1"/>
      <c r="H5249" s="2"/>
    </row>
    <row r="5250" spans="1:8" x14ac:dyDescent="0.25">
      <c r="A5250" s="5"/>
      <c r="B5250" s="6"/>
      <c r="C5250" s="6"/>
      <c r="D5250" s="6"/>
      <c r="E5250" s="6"/>
      <c r="G5250" s="3"/>
      <c r="H5250" s="2"/>
    </row>
    <row r="5251" spans="1:8" x14ac:dyDescent="0.25">
      <c r="A5251" s="5"/>
      <c r="B5251" s="6"/>
      <c r="C5251" s="6"/>
      <c r="D5251" s="6"/>
      <c r="E5251" s="6"/>
      <c r="G5251" s="1"/>
      <c r="H5251" s="2"/>
    </row>
    <row r="5252" spans="1:8" x14ac:dyDescent="0.25">
      <c r="A5252" s="5"/>
      <c r="B5252" s="6"/>
      <c r="C5252" s="6"/>
      <c r="D5252" s="6"/>
      <c r="E5252" s="6"/>
      <c r="G5252" s="3"/>
      <c r="H5252" s="2"/>
    </row>
    <row r="5253" spans="1:8" x14ac:dyDescent="0.25">
      <c r="A5253" s="5"/>
      <c r="B5253" s="6"/>
      <c r="C5253" s="6"/>
      <c r="D5253" s="6"/>
      <c r="E5253" s="6"/>
      <c r="G5253" s="1"/>
      <c r="H5253" s="2"/>
    </row>
    <row r="5254" spans="1:8" x14ac:dyDescent="0.25">
      <c r="A5254" s="5"/>
      <c r="B5254" s="6"/>
      <c r="C5254" s="6"/>
      <c r="D5254" s="6"/>
      <c r="E5254" s="6"/>
      <c r="G5254" s="3"/>
      <c r="H5254" s="2"/>
    </row>
    <row r="5255" spans="1:8" x14ac:dyDescent="0.25">
      <c r="A5255" s="5"/>
      <c r="B5255" s="6"/>
      <c r="C5255" s="6"/>
      <c r="D5255" s="6"/>
      <c r="E5255" s="6"/>
      <c r="G5255" s="1"/>
      <c r="H5255" s="2"/>
    </row>
    <row r="5256" spans="1:8" x14ac:dyDescent="0.25">
      <c r="A5256" s="5"/>
      <c r="B5256" s="6"/>
      <c r="C5256" s="6"/>
      <c r="D5256" s="6"/>
      <c r="E5256" s="6"/>
      <c r="G5256" s="3"/>
      <c r="H5256" s="2"/>
    </row>
    <row r="5257" spans="1:8" x14ac:dyDescent="0.25">
      <c r="A5257" s="5"/>
      <c r="B5257" s="6"/>
      <c r="C5257" s="6"/>
      <c r="D5257" s="6"/>
      <c r="E5257" s="6"/>
      <c r="G5257" s="1"/>
      <c r="H5257" s="2"/>
    </row>
    <row r="5258" spans="1:8" x14ac:dyDescent="0.25">
      <c r="A5258" s="5"/>
      <c r="B5258" s="6"/>
      <c r="C5258" s="6"/>
      <c r="D5258" s="6"/>
      <c r="E5258" s="6"/>
      <c r="G5258" s="3"/>
      <c r="H5258" s="2"/>
    </row>
    <row r="5259" spans="1:8" x14ac:dyDescent="0.25">
      <c r="A5259" s="5"/>
      <c r="B5259" s="6"/>
      <c r="C5259" s="6"/>
      <c r="D5259" s="6"/>
      <c r="E5259" s="6"/>
      <c r="G5259" s="1"/>
      <c r="H5259" s="2"/>
    </row>
    <row r="5260" spans="1:8" x14ac:dyDescent="0.25">
      <c r="A5260" s="5"/>
      <c r="B5260" s="6"/>
      <c r="C5260" s="6"/>
      <c r="D5260" s="6"/>
      <c r="E5260" s="6"/>
      <c r="G5260" s="3"/>
      <c r="H5260" s="2"/>
    </row>
    <row r="5261" spans="1:8" x14ac:dyDescent="0.25">
      <c r="A5261" s="5"/>
      <c r="B5261" s="6"/>
      <c r="C5261" s="6"/>
      <c r="D5261" s="6"/>
      <c r="E5261" s="6"/>
      <c r="G5261" s="1"/>
      <c r="H5261" s="2"/>
    </row>
    <row r="5262" spans="1:8" x14ac:dyDescent="0.25">
      <c r="A5262" s="5"/>
      <c r="B5262" s="6"/>
      <c r="C5262" s="6"/>
      <c r="D5262" s="6"/>
      <c r="E5262" s="6"/>
      <c r="G5262" s="3"/>
      <c r="H5262" s="2"/>
    </row>
    <row r="5263" spans="1:8" x14ac:dyDescent="0.25">
      <c r="A5263" s="5"/>
      <c r="B5263" s="6"/>
      <c r="C5263" s="6"/>
      <c r="D5263" s="6"/>
      <c r="E5263" s="6"/>
      <c r="G5263" s="1"/>
      <c r="H5263" s="2"/>
    </row>
    <row r="5264" spans="1:8" x14ac:dyDescent="0.25">
      <c r="A5264" s="5"/>
      <c r="B5264" s="6"/>
      <c r="C5264" s="6"/>
      <c r="D5264" s="6"/>
      <c r="E5264" s="6"/>
      <c r="G5264" s="3"/>
      <c r="H5264" s="2"/>
    </row>
    <row r="5265" spans="1:8" x14ac:dyDescent="0.25">
      <c r="A5265" s="5"/>
      <c r="B5265" s="6"/>
      <c r="C5265" s="6"/>
      <c r="D5265" s="6"/>
      <c r="E5265" s="6"/>
      <c r="G5265" s="1"/>
      <c r="H5265" s="2"/>
    </row>
    <row r="5266" spans="1:8" x14ac:dyDescent="0.25">
      <c r="A5266" s="5"/>
      <c r="B5266" s="6"/>
      <c r="C5266" s="6"/>
      <c r="D5266" s="6"/>
      <c r="E5266" s="6"/>
      <c r="G5266" s="3"/>
      <c r="H5266" s="2"/>
    </row>
    <row r="5267" spans="1:8" x14ac:dyDescent="0.25">
      <c r="A5267" s="5"/>
      <c r="B5267" s="6"/>
      <c r="C5267" s="6"/>
      <c r="D5267" s="6"/>
      <c r="E5267" s="6"/>
      <c r="G5267" s="1"/>
      <c r="H5267" s="2"/>
    </row>
    <row r="5268" spans="1:8" x14ac:dyDescent="0.25">
      <c r="A5268" s="5"/>
      <c r="B5268" s="6"/>
      <c r="C5268" s="6"/>
      <c r="D5268" s="6"/>
      <c r="E5268" s="6"/>
      <c r="G5268" s="3"/>
      <c r="H5268" s="2"/>
    </row>
    <row r="5269" spans="1:8" x14ac:dyDescent="0.25">
      <c r="A5269" s="5"/>
      <c r="B5269" s="6"/>
      <c r="C5269" s="6"/>
      <c r="D5269" s="6"/>
      <c r="E5269" s="6"/>
      <c r="G5269" s="1"/>
      <c r="H5269" s="2"/>
    </row>
    <row r="5270" spans="1:8" x14ac:dyDescent="0.25">
      <c r="A5270" s="5"/>
      <c r="B5270" s="6"/>
      <c r="C5270" s="6"/>
      <c r="D5270" s="6"/>
      <c r="E5270" s="6"/>
      <c r="G5270" s="3"/>
      <c r="H5270" s="2"/>
    </row>
    <row r="5271" spans="1:8" x14ac:dyDescent="0.25">
      <c r="A5271" s="5"/>
      <c r="B5271" s="6"/>
      <c r="C5271" s="6"/>
      <c r="D5271" s="6"/>
      <c r="E5271" s="6"/>
      <c r="G5271" s="1"/>
      <c r="H5271" s="2"/>
    </row>
    <row r="5272" spans="1:8" x14ac:dyDescent="0.25">
      <c r="A5272" s="5"/>
      <c r="B5272" s="6"/>
      <c r="C5272" s="6"/>
      <c r="D5272" s="6"/>
      <c r="E5272" s="6"/>
      <c r="G5272" s="3"/>
      <c r="H5272" s="2"/>
    </row>
    <row r="5273" spans="1:8" x14ac:dyDescent="0.25">
      <c r="A5273" s="5"/>
      <c r="B5273" s="6"/>
      <c r="C5273" s="6"/>
      <c r="D5273" s="6"/>
      <c r="E5273" s="6"/>
      <c r="G5273" s="1"/>
      <c r="H5273" s="2"/>
    </row>
    <row r="5274" spans="1:8" x14ac:dyDescent="0.25">
      <c r="A5274" s="5"/>
      <c r="B5274" s="6"/>
      <c r="C5274" s="6"/>
      <c r="D5274" s="6"/>
      <c r="E5274" s="6"/>
      <c r="G5274" s="3"/>
      <c r="H5274" s="2"/>
    </row>
    <row r="5275" spans="1:8" x14ac:dyDescent="0.25">
      <c r="A5275" s="5"/>
      <c r="B5275" s="6"/>
      <c r="C5275" s="6"/>
      <c r="D5275" s="6"/>
      <c r="E5275" s="6"/>
      <c r="G5275" s="1"/>
      <c r="H5275" s="2"/>
    </row>
    <row r="5276" spans="1:8" x14ac:dyDescent="0.25">
      <c r="A5276" s="5"/>
      <c r="B5276" s="6"/>
      <c r="C5276" s="6"/>
      <c r="D5276" s="6"/>
      <c r="E5276" s="6"/>
      <c r="G5276" s="3"/>
      <c r="H5276" s="2"/>
    </row>
    <row r="5277" spans="1:8" x14ac:dyDescent="0.25">
      <c r="A5277" s="5"/>
      <c r="B5277" s="6"/>
      <c r="C5277" s="6"/>
      <c r="D5277" s="6"/>
      <c r="E5277" s="6"/>
      <c r="G5277" s="1"/>
      <c r="H5277" s="2"/>
    </row>
    <row r="5278" spans="1:8" x14ac:dyDescent="0.25">
      <c r="A5278" s="5"/>
      <c r="B5278" s="6"/>
      <c r="C5278" s="6"/>
      <c r="D5278" s="6"/>
      <c r="E5278" s="6"/>
      <c r="G5278" s="3"/>
      <c r="H5278" s="2"/>
    </row>
    <row r="5279" spans="1:8" x14ac:dyDescent="0.25">
      <c r="A5279" s="5"/>
      <c r="B5279" s="6"/>
      <c r="C5279" s="6"/>
      <c r="D5279" s="6"/>
      <c r="E5279" s="6"/>
      <c r="G5279" s="1"/>
      <c r="H5279" s="2"/>
    </row>
    <row r="5280" spans="1:8" x14ac:dyDescent="0.25">
      <c r="A5280" s="5"/>
      <c r="B5280" s="6"/>
      <c r="C5280" s="6"/>
      <c r="D5280" s="6"/>
      <c r="E5280" s="6"/>
      <c r="G5280" s="3"/>
      <c r="H5280" s="2"/>
    </row>
    <row r="5281" spans="1:8" x14ac:dyDescent="0.25">
      <c r="A5281" s="5"/>
      <c r="B5281" s="6"/>
      <c r="C5281" s="6"/>
      <c r="D5281" s="6"/>
      <c r="E5281" s="6"/>
      <c r="G5281" s="1"/>
      <c r="H5281" s="2"/>
    </row>
    <row r="5282" spans="1:8" x14ac:dyDescent="0.25">
      <c r="A5282" s="5"/>
      <c r="B5282" s="6"/>
      <c r="C5282" s="6"/>
      <c r="D5282" s="6"/>
      <c r="E5282" s="6"/>
      <c r="G5282" s="3"/>
      <c r="H5282" s="2"/>
    </row>
    <row r="5283" spans="1:8" x14ac:dyDescent="0.25">
      <c r="A5283" s="5"/>
      <c r="B5283" s="6"/>
      <c r="C5283" s="6"/>
      <c r="D5283" s="6"/>
      <c r="E5283" s="6"/>
      <c r="G5283" s="1"/>
      <c r="H5283" s="2"/>
    </row>
    <row r="5284" spans="1:8" x14ac:dyDescent="0.25">
      <c r="A5284" s="5"/>
      <c r="B5284" s="6"/>
      <c r="C5284" s="6"/>
      <c r="D5284" s="6"/>
      <c r="E5284" s="6"/>
      <c r="G5284" s="3"/>
      <c r="H5284" s="2"/>
    </row>
    <row r="5285" spans="1:8" x14ac:dyDescent="0.25">
      <c r="A5285" s="5"/>
      <c r="B5285" s="6"/>
      <c r="C5285" s="6"/>
      <c r="D5285" s="6"/>
      <c r="E5285" s="6"/>
      <c r="G5285" s="1"/>
      <c r="H5285" s="2"/>
    </row>
    <row r="5286" spans="1:8" x14ac:dyDescent="0.25">
      <c r="A5286" s="5"/>
      <c r="B5286" s="6"/>
      <c r="C5286" s="6"/>
      <c r="D5286" s="6"/>
      <c r="E5286" s="6"/>
      <c r="G5286" s="3"/>
      <c r="H5286" s="2"/>
    </row>
    <row r="5287" spans="1:8" x14ac:dyDescent="0.25">
      <c r="A5287" s="5"/>
      <c r="B5287" s="6"/>
      <c r="C5287" s="6"/>
      <c r="D5287" s="6"/>
      <c r="E5287" s="6"/>
      <c r="G5287" s="1"/>
      <c r="H5287" s="2"/>
    </row>
    <row r="5288" spans="1:8" x14ac:dyDescent="0.25">
      <c r="A5288" s="5"/>
      <c r="B5288" s="6"/>
      <c r="C5288" s="6"/>
      <c r="D5288" s="6"/>
      <c r="E5288" s="6"/>
      <c r="G5288" s="3"/>
      <c r="H5288" s="2"/>
    </row>
    <row r="5289" spans="1:8" x14ac:dyDescent="0.25">
      <c r="A5289" s="5"/>
      <c r="B5289" s="6"/>
      <c r="C5289" s="6"/>
      <c r="D5289" s="6"/>
      <c r="E5289" s="6"/>
      <c r="G5289" s="1"/>
      <c r="H5289" s="2"/>
    </row>
    <row r="5290" spans="1:8" x14ac:dyDescent="0.25">
      <c r="A5290" s="5"/>
      <c r="B5290" s="6"/>
      <c r="C5290" s="6"/>
      <c r="D5290" s="6"/>
      <c r="E5290" s="6"/>
      <c r="G5290" s="3"/>
      <c r="H5290" s="2"/>
    </row>
    <row r="5291" spans="1:8" x14ac:dyDescent="0.25">
      <c r="A5291" s="5"/>
      <c r="B5291" s="6"/>
      <c r="C5291" s="6"/>
      <c r="D5291" s="6"/>
      <c r="E5291" s="6"/>
      <c r="G5291" s="1"/>
      <c r="H5291" s="2"/>
    </row>
    <row r="5292" spans="1:8" x14ac:dyDescent="0.25">
      <c r="A5292" s="5"/>
      <c r="B5292" s="6"/>
      <c r="C5292" s="6"/>
      <c r="D5292" s="6"/>
      <c r="E5292" s="6"/>
      <c r="G5292" s="3"/>
      <c r="H5292" s="2"/>
    </row>
    <row r="5293" spans="1:8" x14ac:dyDescent="0.25">
      <c r="A5293" s="5"/>
      <c r="B5293" s="6"/>
      <c r="C5293" s="6"/>
      <c r="D5293" s="6"/>
      <c r="E5293" s="6"/>
      <c r="G5293" s="1"/>
      <c r="H5293" s="2"/>
    </row>
    <row r="5294" spans="1:8" x14ac:dyDescent="0.25">
      <c r="A5294" s="5"/>
      <c r="B5294" s="6"/>
      <c r="C5294" s="6"/>
      <c r="D5294" s="6"/>
      <c r="E5294" s="6"/>
      <c r="G5294" s="3"/>
      <c r="H5294" s="2"/>
    </row>
    <row r="5295" spans="1:8" x14ac:dyDescent="0.25">
      <c r="A5295" s="5"/>
      <c r="B5295" s="6"/>
      <c r="C5295" s="6"/>
      <c r="D5295" s="6"/>
      <c r="E5295" s="6"/>
      <c r="G5295" s="1"/>
      <c r="H5295" s="2"/>
    </row>
    <row r="5296" spans="1:8" x14ac:dyDescent="0.25">
      <c r="A5296" s="5"/>
      <c r="B5296" s="6"/>
      <c r="C5296" s="6"/>
      <c r="D5296" s="6"/>
      <c r="E5296" s="6"/>
      <c r="G5296" s="3"/>
      <c r="H5296" s="2"/>
    </row>
    <row r="5297" spans="1:8" x14ac:dyDescent="0.25">
      <c r="A5297" s="5"/>
      <c r="B5297" s="6"/>
      <c r="C5297" s="6"/>
      <c r="D5297" s="6"/>
      <c r="E5297" s="6"/>
      <c r="G5297" s="1"/>
      <c r="H5297" s="2"/>
    </row>
    <row r="5298" spans="1:8" x14ac:dyDescent="0.25">
      <c r="A5298" s="5"/>
      <c r="B5298" s="6"/>
      <c r="C5298" s="6"/>
      <c r="D5298" s="6"/>
      <c r="E5298" s="6"/>
      <c r="G5298" s="3"/>
      <c r="H5298" s="2"/>
    </row>
    <row r="5299" spans="1:8" x14ac:dyDescent="0.25">
      <c r="A5299" s="5"/>
      <c r="B5299" s="6"/>
      <c r="C5299" s="6"/>
      <c r="D5299" s="6"/>
      <c r="E5299" s="6"/>
      <c r="G5299" s="1"/>
      <c r="H5299" s="2"/>
    </row>
    <row r="5300" spans="1:8" x14ac:dyDescent="0.25">
      <c r="A5300" s="5"/>
      <c r="B5300" s="6"/>
      <c r="C5300" s="6"/>
      <c r="D5300" s="6"/>
      <c r="E5300" s="6"/>
      <c r="G5300" s="3"/>
      <c r="H5300" s="2"/>
    </row>
    <row r="5301" spans="1:8" x14ac:dyDescent="0.25">
      <c r="A5301" s="5"/>
      <c r="B5301" s="6"/>
      <c r="C5301" s="6"/>
      <c r="D5301" s="6"/>
      <c r="E5301" s="6"/>
      <c r="G5301" s="1"/>
      <c r="H5301" s="2"/>
    </row>
    <row r="5302" spans="1:8" x14ac:dyDescent="0.25">
      <c r="A5302" s="5"/>
      <c r="B5302" s="6"/>
      <c r="C5302" s="6"/>
      <c r="D5302" s="6"/>
      <c r="E5302" s="6"/>
      <c r="G5302" s="3"/>
      <c r="H5302" s="2"/>
    </row>
    <row r="5303" spans="1:8" x14ac:dyDescent="0.25">
      <c r="A5303" s="5"/>
      <c r="B5303" s="6"/>
      <c r="C5303" s="6"/>
      <c r="D5303" s="6"/>
      <c r="E5303" s="6"/>
      <c r="G5303" s="1"/>
      <c r="H5303" s="2"/>
    </row>
    <row r="5304" spans="1:8" x14ac:dyDescent="0.25">
      <c r="A5304" s="5"/>
      <c r="B5304" s="6"/>
      <c r="C5304" s="6"/>
      <c r="D5304" s="6"/>
      <c r="E5304" s="6"/>
      <c r="G5304" s="3"/>
      <c r="H5304" s="2"/>
    </row>
    <row r="5305" spans="1:8" x14ac:dyDescent="0.25">
      <c r="A5305" s="5"/>
      <c r="B5305" s="6"/>
      <c r="C5305" s="6"/>
      <c r="D5305" s="6"/>
      <c r="E5305" s="6"/>
      <c r="G5305" s="1"/>
      <c r="H5305" s="2"/>
    </row>
    <row r="5306" spans="1:8" x14ac:dyDescent="0.25">
      <c r="A5306" s="5"/>
      <c r="B5306" s="6"/>
      <c r="C5306" s="6"/>
      <c r="D5306" s="6"/>
      <c r="E5306" s="6"/>
      <c r="G5306" s="3"/>
      <c r="H5306" s="2"/>
    </row>
    <row r="5307" spans="1:8" x14ac:dyDescent="0.25">
      <c r="A5307" s="5"/>
      <c r="B5307" s="6"/>
      <c r="C5307" s="6"/>
      <c r="D5307" s="6"/>
      <c r="E5307" s="6"/>
      <c r="G5307" s="1"/>
      <c r="H5307" s="2"/>
    </row>
    <row r="5308" spans="1:8" x14ac:dyDescent="0.25">
      <c r="A5308" s="5"/>
      <c r="B5308" s="6"/>
      <c r="C5308" s="6"/>
      <c r="D5308" s="6"/>
      <c r="E5308" s="6"/>
      <c r="G5308" s="3"/>
      <c r="H5308" s="2"/>
    </row>
    <row r="5309" spans="1:8" x14ac:dyDescent="0.25">
      <c r="A5309" s="5"/>
      <c r="B5309" s="6"/>
      <c r="C5309" s="6"/>
      <c r="D5309" s="6"/>
      <c r="E5309" s="6"/>
      <c r="G5309" s="1"/>
      <c r="H5309" s="2"/>
    </row>
    <row r="5310" spans="1:8" x14ac:dyDescent="0.25">
      <c r="A5310" s="5"/>
      <c r="B5310" s="6"/>
      <c r="C5310" s="6"/>
      <c r="D5310" s="6"/>
      <c r="E5310" s="6"/>
      <c r="G5310" s="3"/>
      <c r="H5310" s="2"/>
    </row>
    <row r="5311" spans="1:8" x14ac:dyDescent="0.25">
      <c r="A5311" s="5"/>
      <c r="B5311" s="6"/>
      <c r="C5311" s="6"/>
      <c r="D5311" s="6"/>
      <c r="E5311" s="6"/>
      <c r="G5311" s="1"/>
      <c r="H5311" s="2"/>
    </row>
    <row r="5312" spans="1:8" x14ac:dyDescent="0.25">
      <c r="A5312" s="5"/>
      <c r="B5312" s="6"/>
      <c r="C5312" s="6"/>
      <c r="D5312" s="6"/>
      <c r="E5312" s="6"/>
      <c r="G5312" s="3"/>
      <c r="H5312" s="2"/>
    </row>
    <row r="5313" spans="1:8" x14ac:dyDescent="0.25">
      <c r="A5313" s="5"/>
      <c r="B5313" s="6"/>
      <c r="C5313" s="6"/>
      <c r="D5313" s="6"/>
      <c r="E5313" s="6"/>
      <c r="G5313" s="1"/>
      <c r="H5313" s="2"/>
    </row>
    <row r="5314" spans="1:8" x14ac:dyDescent="0.25">
      <c r="A5314" s="5"/>
      <c r="B5314" s="6"/>
      <c r="C5314" s="6"/>
      <c r="D5314" s="6"/>
      <c r="E5314" s="6"/>
      <c r="G5314" s="3"/>
      <c r="H5314" s="2"/>
    </row>
    <row r="5315" spans="1:8" x14ac:dyDescent="0.25">
      <c r="A5315" s="5"/>
      <c r="B5315" s="6"/>
      <c r="C5315" s="6"/>
      <c r="D5315" s="6"/>
      <c r="E5315" s="6"/>
      <c r="G5315" s="1"/>
      <c r="H5315" s="2"/>
    </row>
    <row r="5316" spans="1:8" x14ac:dyDescent="0.25">
      <c r="A5316" s="5"/>
      <c r="B5316" s="6"/>
      <c r="C5316" s="6"/>
      <c r="D5316" s="6"/>
      <c r="E5316" s="6"/>
      <c r="G5316" s="3"/>
      <c r="H5316" s="2"/>
    </row>
    <row r="5317" spans="1:8" x14ac:dyDescent="0.25">
      <c r="A5317" s="5"/>
      <c r="B5317" s="6"/>
      <c r="C5317" s="6"/>
      <c r="D5317" s="6"/>
      <c r="E5317" s="6"/>
      <c r="G5317" s="1"/>
      <c r="H5317" s="2"/>
    </row>
    <row r="5318" spans="1:8" x14ac:dyDescent="0.25">
      <c r="A5318" s="5"/>
      <c r="B5318" s="6"/>
      <c r="C5318" s="6"/>
      <c r="D5318" s="6"/>
      <c r="E5318" s="6"/>
      <c r="G5318" s="3"/>
      <c r="H5318" s="2"/>
    </row>
    <row r="5319" spans="1:8" x14ac:dyDescent="0.25">
      <c r="A5319" s="5"/>
      <c r="B5319" s="6"/>
      <c r="C5319" s="6"/>
      <c r="D5319" s="6"/>
      <c r="E5319" s="6"/>
      <c r="G5319" s="1"/>
      <c r="H5319" s="2"/>
    </row>
    <row r="5320" spans="1:8" x14ac:dyDescent="0.25">
      <c r="A5320" s="5"/>
      <c r="B5320" s="6"/>
      <c r="C5320" s="6"/>
      <c r="D5320" s="6"/>
      <c r="E5320" s="6"/>
      <c r="G5320" s="3"/>
      <c r="H5320" s="2"/>
    </row>
    <row r="5321" spans="1:8" x14ac:dyDescent="0.25">
      <c r="A5321" s="5"/>
      <c r="B5321" s="6"/>
      <c r="C5321" s="6"/>
      <c r="D5321" s="6"/>
      <c r="E5321" s="6"/>
      <c r="G5321" s="1"/>
      <c r="H5321" s="2"/>
    </row>
    <row r="5322" spans="1:8" x14ac:dyDescent="0.25">
      <c r="A5322" s="5"/>
      <c r="B5322" s="6"/>
      <c r="C5322" s="6"/>
      <c r="D5322" s="6"/>
      <c r="E5322" s="6"/>
      <c r="G5322" s="3"/>
      <c r="H5322" s="2"/>
    </row>
    <row r="5323" spans="1:8" x14ac:dyDescent="0.25">
      <c r="A5323" s="5"/>
      <c r="B5323" s="6"/>
      <c r="C5323" s="6"/>
      <c r="D5323" s="6"/>
      <c r="E5323" s="6"/>
      <c r="G5323" s="1"/>
      <c r="H5323" s="2"/>
    </row>
    <row r="5324" spans="1:8" x14ac:dyDescent="0.25">
      <c r="A5324" s="5"/>
      <c r="B5324" s="6"/>
      <c r="C5324" s="6"/>
      <c r="D5324" s="6"/>
      <c r="E5324" s="6"/>
      <c r="G5324" s="3"/>
      <c r="H5324" s="2"/>
    </row>
    <row r="5325" spans="1:8" x14ac:dyDescent="0.25">
      <c r="A5325" s="5"/>
      <c r="B5325" s="6"/>
      <c r="C5325" s="6"/>
      <c r="D5325" s="6"/>
      <c r="E5325" s="6"/>
      <c r="G5325" s="1"/>
      <c r="H5325" s="2"/>
    </row>
    <row r="5326" spans="1:8" x14ac:dyDescent="0.25">
      <c r="A5326" s="5"/>
      <c r="B5326" s="6"/>
      <c r="C5326" s="6"/>
      <c r="D5326" s="6"/>
      <c r="E5326" s="6"/>
      <c r="G5326" s="3"/>
      <c r="H5326" s="2"/>
    </row>
    <row r="5327" spans="1:8" x14ac:dyDescent="0.25">
      <c r="A5327" s="5"/>
      <c r="B5327" s="6"/>
      <c r="C5327" s="6"/>
      <c r="D5327" s="6"/>
      <c r="E5327" s="6"/>
      <c r="G5327" s="1"/>
      <c r="H5327" s="2"/>
    </row>
    <row r="5328" spans="1:8" x14ac:dyDescent="0.25">
      <c r="A5328" s="5"/>
      <c r="B5328" s="6"/>
      <c r="C5328" s="6"/>
      <c r="D5328" s="6"/>
      <c r="E5328" s="6"/>
      <c r="G5328" s="3"/>
      <c r="H5328" s="2"/>
    </row>
    <row r="5329" spans="1:8" x14ac:dyDescent="0.25">
      <c r="A5329" s="5"/>
      <c r="B5329" s="6"/>
      <c r="C5329" s="6"/>
      <c r="D5329" s="6"/>
      <c r="E5329" s="6"/>
      <c r="G5329" s="1"/>
      <c r="H5329" s="2"/>
    </row>
    <row r="5330" spans="1:8" x14ac:dyDescent="0.25">
      <c r="A5330" s="5"/>
      <c r="B5330" s="6"/>
      <c r="C5330" s="6"/>
      <c r="D5330" s="6"/>
      <c r="E5330" s="6"/>
      <c r="G5330" s="3"/>
      <c r="H5330" s="2"/>
    </row>
    <row r="5331" spans="1:8" x14ac:dyDescent="0.25">
      <c r="A5331" s="5"/>
      <c r="B5331" s="6"/>
      <c r="C5331" s="6"/>
      <c r="D5331" s="6"/>
      <c r="E5331" s="6"/>
      <c r="G5331" s="1"/>
      <c r="H5331" s="2"/>
    </row>
    <row r="5332" spans="1:8" x14ac:dyDescent="0.25">
      <c r="A5332" s="5"/>
      <c r="B5332" s="6"/>
      <c r="C5332" s="6"/>
      <c r="D5332" s="6"/>
      <c r="E5332" s="6"/>
      <c r="G5332" s="3"/>
      <c r="H5332" s="2"/>
    </row>
    <row r="5333" spans="1:8" x14ac:dyDescent="0.25">
      <c r="A5333" s="5"/>
      <c r="B5333" s="6"/>
      <c r="C5333" s="6"/>
      <c r="D5333" s="6"/>
      <c r="E5333" s="6"/>
      <c r="G5333" s="1"/>
      <c r="H5333" s="2"/>
    </row>
    <row r="5334" spans="1:8" x14ac:dyDescent="0.25">
      <c r="A5334" s="5"/>
      <c r="B5334" s="6"/>
      <c r="C5334" s="6"/>
      <c r="D5334" s="6"/>
      <c r="E5334" s="6"/>
      <c r="G5334" s="3"/>
      <c r="H5334" s="2"/>
    </row>
    <row r="5335" spans="1:8" x14ac:dyDescent="0.25">
      <c r="A5335" s="5"/>
      <c r="B5335" s="6"/>
      <c r="C5335" s="6"/>
      <c r="D5335" s="6"/>
      <c r="E5335" s="6"/>
      <c r="G5335" s="1"/>
      <c r="H5335" s="2"/>
    </row>
    <row r="5336" spans="1:8" x14ac:dyDescent="0.25">
      <c r="A5336" s="5"/>
      <c r="B5336" s="6"/>
      <c r="C5336" s="6"/>
      <c r="D5336" s="6"/>
      <c r="E5336" s="6"/>
      <c r="G5336" s="3"/>
      <c r="H5336" s="2"/>
    </row>
    <row r="5337" spans="1:8" x14ac:dyDescent="0.25">
      <c r="A5337" s="5"/>
      <c r="B5337" s="6"/>
      <c r="C5337" s="6"/>
      <c r="D5337" s="6"/>
      <c r="E5337" s="6"/>
      <c r="G5337" s="1"/>
      <c r="H5337" s="2"/>
    </row>
    <row r="5338" spans="1:8" x14ac:dyDescent="0.25">
      <c r="A5338" s="5"/>
      <c r="B5338" s="6"/>
      <c r="C5338" s="6"/>
      <c r="D5338" s="6"/>
      <c r="E5338" s="6"/>
      <c r="G5338" s="3"/>
      <c r="H5338" s="2"/>
    </row>
    <row r="5339" spans="1:8" x14ac:dyDescent="0.25">
      <c r="A5339" s="5"/>
      <c r="B5339" s="6"/>
      <c r="C5339" s="6"/>
      <c r="D5339" s="6"/>
      <c r="E5339" s="6"/>
      <c r="G5339" s="1"/>
      <c r="H5339" s="2"/>
    </row>
    <row r="5340" spans="1:8" x14ac:dyDescent="0.25">
      <c r="A5340" s="5"/>
      <c r="B5340" s="6"/>
      <c r="C5340" s="6"/>
      <c r="D5340" s="6"/>
      <c r="E5340" s="6"/>
      <c r="G5340" s="3"/>
      <c r="H5340" s="2"/>
    </row>
    <row r="5341" spans="1:8" x14ac:dyDescent="0.25">
      <c r="A5341" s="5"/>
      <c r="B5341" s="6"/>
      <c r="C5341" s="6"/>
      <c r="D5341" s="6"/>
      <c r="E5341" s="6"/>
      <c r="G5341" s="1"/>
      <c r="H5341" s="2"/>
    </row>
    <row r="5342" spans="1:8" x14ac:dyDescent="0.25">
      <c r="A5342" s="5"/>
      <c r="B5342" s="6"/>
      <c r="C5342" s="6"/>
      <c r="D5342" s="6"/>
      <c r="E5342" s="6"/>
      <c r="G5342" s="3"/>
      <c r="H5342" s="2"/>
    </row>
    <row r="5343" spans="1:8" x14ac:dyDescent="0.25">
      <c r="A5343" s="5"/>
      <c r="B5343" s="6"/>
      <c r="C5343" s="6"/>
      <c r="D5343" s="6"/>
      <c r="E5343" s="6"/>
      <c r="G5343" s="1"/>
      <c r="H5343" s="2"/>
    </row>
    <row r="5344" spans="1:8" x14ac:dyDescent="0.25">
      <c r="A5344" s="5"/>
      <c r="B5344" s="6"/>
      <c r="C5344" s="6"/>
      <c r="D5344" s="6"/>
      <c r="E5344" s="6"/>
      <c r="G5344" s="3"/>
      <c r="H5344" s="2"/>
    </row>
    <row r="5345" spans="1:8" x14ac:dyDescent="0.25">
      <c r="A5345" s="5"/>
      <c r="B5345" s="6"/>
      <c r="C5345" s="6"/>
      <c r="D5345" s="6"/>
      <c r="E5345" s="6"/>
      <c r="G5345" s="1"/>
      <c r="H5345" s="2"/>
    </row>
    <row r="5346" spans="1:8" x14ac:dyDescent="0.25">
      <c r="A5346" s="5"/>
      <c r="B5346" s="6"/>
      <c r="C5346" s="6"/>
      <c r="D5346" s="6"/>
      <c r="E5346" s="6"/>
      <c r="G5346" s="3"/>
      <c r="H5346" s="2"/>
    </row>
    <row r="5347" spans="1:8" x14ac:dyDescent="0.25">
      <c r="A5347" s="5"/>
      <c r="B5347" s="6"/>
      <c r="C5347" s="6"/>
      <c r="D5347" s="6"/>
      <c r="E5347" s="6"/>
      <c r="G5347" s="1"/>
      <c r="H5347" s="2"/>
    </row>
    <row r="5348" spans="1:8" x14ac:dyDescent="0.25">
      <c r="A5348" s="5"/>
      <c r="B5348" s="6"/>
      <c r="C5348" s="6"/>
      <c r="D5348" s="6"/>
      <c r="E5348" s="6"/>
      <c r="G5348" s="3"/>
      <c r="H5348" s="2"/>
    </row>
    <row r="5349" spans="1:8" x14ac:dyDescent="0.25">
      <c r="A5349" s="5"/>
      <c r="B5349" s="6"/>
      <c r="C5349" s="6"/>
      <c r="D5349" s="6"/>
      <c r="E5349" s="6"/>
      <c r="G5349" s="1"/>
      <c r="H5349" s="2"/>
    </row>
    <row r="5350" spans="1:8" x14ac:dyDescent="0.25">
      <c r="A5350" s="5"/>
      <c r="B5350" s="6"/>
      <c r="C5350" s="6"/>
      <c r="D5350" s="6"/>
      <c r="E5350" s="6"/>
      <c r="G5350" s="14"/>
      <c r="H5350" s="2"/>
    </row>
    <row r="5351" spans="1:8" x14ac:dyDescent="0.25">
      <c r="A5351" s="5"/>
      <c r="B5351" s="6"/>
      <c r="C5351" s="6"/>
      <c r="D5351" s="6"/>
      <c r="E5351" s="6"/>
      <c r="G5351" s="14"/>
      <c r="H5351" s="2"/>
    </row>
    <row r="5352" spans="1:8" x14ac:dyDescent="0.25">
      <c r="A5352" s="5"/>
      <c r="B5352" s="6"/>
      <c r="C5352" s="6"/>
      <c r="D5352" s="6"/>
      <c r="E5352" s="6"/>
      <c r="G5352" s="14"/>
      <c r="H5352" s="2"/>
    </row>
    <row r="5353" spans="1:8" x14ac:dyDescent="0.25">
      <c r="A5353" s="5"/>
      <c r="B5353" s="6"/>
      <c r="C5353" s="6"/>
      <c r="D5353" s="6"/>
      <c r="E5353" s="6"/>
      <c r="G5353" s="14"/>
      <c r="H5353" s="2"/>
    </row>
    <row r="5354" spans="1:8" x14ac:dyDescent="0.25">
      <c r="A5354" s="5"/>
      <c r="B5354" s="6"/>
      <c r="C5354" s="6"/>
      <c r="D5354" s="6"/>
      <c r="E5354" s="6"/>
      <c r="G5354" s="14"/>
      <c r="H5354" s="2"/>
    </row>
    <row r="5355" spans="1:8" x14ac:dyDescent="0.25">
      <c r="A5355" s="5"/>
      <c r="B5355" s="6"/>
      <c r="C5355" s="6"/>
      <c r="D5355" s="6"/>
      <c r="E5355" s="6"/>
      <c r="G5355" s="14"/>
      <c r="H5355" s="2"/>
    </row>
    <row r="5356" spans="1:8" x14ac:dyDescent="0.25">
      <c r="A5356" s="5"/>
      <c r="B5356" s="6"/>
      <c r="C5356" s="6"/>
      <c r="D5356" s="6"/>
      <c r="E5356" s="6"/>
    </row>
    <row r="5357" spans="1:8" x14ac:dyDescent="0.25">
      <c r="A5357" s="5"/>
      <c r="B5357" s="6"/>
      <c r="C5357" s="6"/>
      <c r="D5357" s="6"/>
      <c r="E5357" s="6"/>
      <c r="G5357" s="3"/>
      <c r="H5357" s="2"/>
    </row>
    <row r="5358" spans="1:8" x14ac:dyDescent="0.25">
      <c r="A5358" s="5"/>
      <c r="B5358" s="6"/>
      <c r="C5358" s="6"/>
      <c r="D5358" s="6"/>
      <c r="E5358" s="6"/>
      <c r="G5358" s="1"/>
      <c r="H5358" s="2"/>
    </row>
    <row r="5359" spans="1:8" x14ac:dyDescent="0.25">
      <c r="A5359" s="5"/>
      <c r="B5359" s="6"/>
      <c r="C5359" s="6"/>
      <c r="D5359" s="6"/>
      <c r="E5359" s="6"/>
      <c r="G5359" s="3"/>
      <c r="H5359" s="2"/>
    </row>
    <row r="5360" spans="1:8" x14ac:dyDescent="0.25">
      <c r="A5360" s="5"/>
      <c r="B5360" s="6"/>
      <c r="C5360" s="6"/>
      <c r="D5360" s="6"/>
      <c r="E5360" s="6"/>
      <c r="G5360" s="1"/>
      <c r="H5360" s="2"/>
    </row>
    <row r="5361" spans="1:8" x14ac:dyDescent="0.25">
      <c r="A5361" s="5"/>
      <c r="B5361" s="6"/>
      <c r="C5361" s="6"/>
      <c r="D5361" s="6"/>
      <c r="E5361" s="6"/>
      <c r="G5361" s="3"/>
      <c r="H5361" s="2"/>
    </row>
    <row r="5362" spans="1:8" x14ac:dyDescent="0.25">
      <c r="A5362" s="5"/>
      <c r="B5362" s="6"/>
      <c r="C5362" s="6"/>
      <c r="D5362" s="6"/>
      <c r="E5362" s="6"/>
      <c r="G5362" s="1"/>
      <c r="H5362" s="2"/>
    </row>
    <row r="5363" spans="1:8" x14ac:dyDescent="0.25">
      <c r="A5363" s="5"/>
      <c r="B5363" s="6"/>
      <c r="C5363" s="6"/>
      <c r="D5363" s="6"/>
      <c r="E5363" s="6"/>
      <c r="G5363" s="3"/>
      <c r="H5363" s="2"/>
    </row>
    <row r="5364" spans="1:8" x14ac:dyDescent="0.25">
      <c r="A5364" s="5"/>
      <c r="B5364" s="6"/>
      <c r="C5364" s="6"/>
      <c r="D5364" s="6"/>
      <c r="E5364" s="6"/>
      <c r="G5364" s="1"/>
      <c r="H5364" s="2"/>
    </row>
    <row r="5365" spans="1:8" x14ac:dyDescent="0.25">
      <c r="A5365" s="5"/>
      <c r="B5365" s="6"/>
      <c r="C5365" s="6"/>
      <c r="D5365" s="6"/>
      <c r="E5365" s="6"/>
      <c r="G5365" s="3"/>
      <c r="H5365" s="2"/>
    </row>
    <row r="5366" spans="1:8" x14ac:dyDescent="0.25">
      <c r="A5366" s="5"/>
      <c r="B5366" s="6"/>
      <c r="C5366" s="6"/>
      <c r="D5366" s="6"/>
      <c r="E5366" s="6"/>
      <c r="G5366" s="1"/>
      <c r="H5366" s="2"/>
    </row>
    <row r="5367" spans="1:8" x14ac:dyDescent="0.25">
      <c r="A5367" s="5"/>
      <c r="B5367" s="6"/>
      <c r="C5367" s="6"/>
      <c r="D5367" s="6"/>
      <c r="E5367" s="6"/>
      <c r="G5367" s="3"/>
      <c r="H5367" s="2"/>
    </row>
    <row r="5368" spans="1:8" x14ac:dyDescent="0.25">
      <c r="A5368" s="5"/>
      <c r="B5368" s="6"/>
      <c r="C5368" s="6"/>
      <c r="D5368" s="6"/>
      <c r="E5368" s="6"/>
      <c r="G5368" s="1"/>
      <c r="H5368" s="2"/>
    </row>
    <row r="5369" spans="1:8" x14ac:dyDescent="0.25">
      <c r="A5369" s="5"/>
      <c r="B5369" s="6"/>
      <c r="C5369" s="6"/>
      <c r="D5369" s="6"/>
      <c r="E5369" s="6"/>
      <c r="G5369" s="3"/>
      <c r="H5369" s="2"/>
    </row>
    <row r="5370" spans="1:8" x14ac:dyDescent="0.25">
      <c r="A5370" s="5"/>
      <c r="B5370" s="6"/>
      <c r="C5370" s="6"/>
      <c r="D5370" s="6"/>
      <c r="E5370" s="6"/>
      <c r="G5370" s="1"/>
      <c r="H5370" s="2"/>
    </row>
    <row r="5371" spans="1:8" x14ac:dyDescent="0.25">
      <c r="A5371" s="5"/>
      <c r="B5371" s="6"/>
      <c r="C5371" s="6"/>
      <c r="D5371" s="6"/>
      <c r="E5371" s="6"/>
      <c r="G5371" s="3"/>
      <c r="H5371" s="2"/>
    </row>
    <row r="5372" spans="1:8" x14ac:dyDescent="0.25">
      <c r="A5372" s="5"/>
      <c r="B5372" s="6"/>
      <c r="C5372" s="6"/>
      <c r="D5372" s="6"/>
      <c r="E5372" s="6"/>
      <c r="G5372" s="1"/>
      <c r="H5372" s="2"/>
    </row>
    <row r="5373" spans="1:8" x14ac:dyDescent="0.25">
      <c r="A5373" s="5"/>
      <c r="B5373" s="6"/>
      <c r="C5373" s="6"/>
      <c r="D5373" s="6"/>
      <c r="E5373" s="6"/>
      <c r="G5373" s="3"/>
      <c r="H5373" s="2"/>
    </row>
    <row r="5374" spans="1:8" x14ac:dyDescent="0.25">
      <c r="A5374" s="5"/>
      <c r="B5374" s="6"/>
      <c r="C5374" s="6"/>
      <c r="D5374" s="6"/>
      <c r="E5374" s="6"/>
      <c r="G5374" s="1"/>
      <c r="H5374" s="2"/>
    </row>
    <row r="5375" spans="1:8" x14ac:dyDescent="0.25">
      <c r="A5375" s="5"/>
      <c r="B5375" s="6"/>
      <c r="C5375" s="6"/>
      <c r="D5375" s="6"/>
      <c r="E5375" s="6"/>
      <c r="G5375" s="3"/>
      <c r="H5375" s="2"/>
    </row>
    <row r="5376" spans="1:8" x14ac:dyDescent="0.25">
      <c r="A5376" s="5"/>
      <c r="B5376" s="6"/>
      <c r="C5376" s="6"/>
      <c r="D5376" s="6"/>
      <c r="E5376" s="6"/>
      <c r="G5376" s="1"/>
      <c r="H5376" s="2"/>
    </row>
    <row r="5377" spans="1:8" x14ac:dyDescent="0.25">
      <c r="A5377" s="5"/>
      <c r="B5377" s="6"/>
      <c r="C5377" s="6"/>
      <c r="D5377" s="6"/>
      <c r="E5377" s="6"/>
      <c r="G5377" s="3"/>
      <c r="H5377" s="2"/>
    </row>
    <row r="5378" spans="1:8" x14ac:dyDescent="0.25">
      <c r="A5378" s="5"/>
      <c r="B5378" s="6"/>
      <c r="C5378" s="6"/>
      <c r="D5378" s="6"/>
      <c r="E5378" s="6"/>
      <c r="G5378" s="1"/>
      <c r="H5378" s="2"/>
    </row>
    <row r="5379" spans="1:8" x14ac:dyDescent="0.25">
      <c r="A5379" s="5"/>
      <c r="B5379" s="6"/>
      <c r="C5379" s="6"/>
      <c r="D5379" s="6"/>
      <c r="E5379" s="6"/>
      <c r="G5379" s="3"/>
      <c r="H5379" s="2"/>
    </row>
    <row r="5380" spans="1:8" x14ac:dyDescent="0.25">
      <c r="A5380" s="5"/>
      <c r="B5380" s="6"/>
      <c r="C5380" s="6"/>
      <c r="D5380" s="6"/>
      <c r="E5380" s="6"/>
      <c r="G5380" s="1"/>
      <c r="H5380" s="2"/>
    </row>
    <row r="5381" spans="1:8" x14ac:dyDescent="0.25">
      <c r="A5381" s="5"/>
      <c r="B5381" s="6"/>
      <c r="C5381" s="6"/>
      <c r="D5381" s="6"/>
      <c r="E5381" s="6"/>
      <c r="G5381" s="3"/>
      <c r="H5381" s="2"/>
    </row>
    <row r="5382" spans="1:8" x14ac:dyDescent="0.25">
      <c r="A5382" s="5"/>
      <c r="B5382" s="6"/>
      <c r="C5382" s="6"/>
      <c r="D5382" s="6"/>
      <c r="E5382" s="6"/>
      <c r="G5382" s="1"/>
      <c r="H5382" s="2"/>
    </row>
    <row r="5383" spans="1:8" x14ac:dyDescent="0.25">
      <c r="A5383" s="5"/>
      <c r="B5383" s="6"/>
      <c r="C5383" s="6"/>
      <c r="D5383" s="6"/>
      <c r="E5383" s="6"/>
      <c r="G5383" s="3"/>
      <c r="H5383" s="2"/>
    </row>
    <row r="5384" spans="1:8" x14ac:dyDescent="0.25">
      <c r="A5384" s="5"/>
      <c r="B5384" s="6"/>
      <c r="C5384" s="6"/>
      <c r="D5384" s="6"/>
      <c r="E5384" s="6"/>
      <c r="G5384" s="1"/>
      <c r="H5384" s="2"/>
    </row>
    <row r="5385" spans="1:8" x14ac:dyDescent="0.25">
      <c r="A5385" s="5"/>
      <c r="B5385" s="6"/>
      <c r="C5385" s="6"/>
      <c r="D5385" s="6"/>
      <c r="E5385" s="6"/>
      <c r="G5385" s="3"/>
      <c r="H5385" s="2"/>
    </row>
    <row r="5386" spans="1:8" x14ac:dyDescent="0.25">
      <c r="A5386" s="5"/>
      <c r="B5386" s="6"/>
      <c r="C5386" s="6"/>
      <c r="D5386" s="6"/>
      <c r="E5386" s="6"/>
      <c r="G5386" s="1"/>
      <c r="H5386" s="2"/>
    </row>
    <row r="5387" spans="1:8" x14ac:dyDescent="0.25">
      <c r="A5387" s="5"/>
      <c r="B5387" s="6"/>
      <c r="C5387" s="6"/>
      <c r="D5387" s="6"/>
      <c r="E5387" s="6"/>
      <c r="G5387" s="3"/>
      <c r="H5387" s="2"/>
    </row>
    <row r="5388" spans="1:8" x14ac:dyDescent="0.25">
      <c r="A5388" s="5"/>
      <c r="B5388" s="6"/>
      <c r="C5388" s="6"/>
      <c r="D5388" s="6"/>
      <c r="E5388" s="6"/>
      <c r="G5388" s="1"/>
      <c r="H5388" s="2"/>
    </row>
    <row r="5389" spans="1:8" x14ac:dyDescent="0.25">
      <c r="A5389" s="5"/>
      <c r="B5389" s="6"/>
      <c r="C5389" s="6"/>
      <c r="D5389" s="6"/>
      <c r="E5389" s="6"/>
      <c r="G5389" s="3"/>
      <c r="H5389" s="2"/>
    </row>
    <row r="5390" spans="1:8" x14ac:dyDescent="0.25">
      <c r="A5390" s="5"/>
      <c r="B5390" s="6"/>
      <c r="C5390" s="6"/>
      <c r="D5390" s="6"/>
      <c r="E5390" s="6"/>
      <c r="G5390" s="1"/>
      <c r="H5390" s="2"/>
    </row>
    <row r="5391" spans="1:8" x14ac:dyDescent="0.25">
      <c r="A5391" s="5"/>
      <c r="B5391" s="6"/>
      <c r="C5391" s="6"/>
      <c r="D5391" s="6"/>
      <c r="E5391" s="6"/>
      <c r="G5391" s="3"/>
      <c r="H5391" s="2"/>
    </row>
    <row r="5392" spans="1:8" x14ac:dyDescent="0.25">
      <c r="A5392" s="5"/>
      <c r="B5392" s="6"/>
      <c r="C5392" s="6"/>
      <c r="D5392" s="6"/>
      <c r="E5392" s="6"/>
      <c r="G5392" s="1"/>
      <c r="H5392" s="2"/>
    </row>
    <row r="5393" spans="1:8" x14ac:dyDescent="0.25">
      <c r="A5393" s="5"/>
      <c r="B5393" s="6"/>
      <c r="C5393" s="6"/>
      <c r="D5393" s="6"/>
      <c r="E5393" s="6"/>
      <c r="G5393" s="3"/>
      <c r="H5393" s="2"/>
    </row>
    <row r="5394" spans="1:8" x14ac:dyDescent="0.25">
      <c r="A5394" s="5"/>
      <c r="B5394" s="6"/>
      <c r="C5394" s="6"/>
      <c r="D5394" s="6"/>
      <c r="E5394" s="6"/>
      <c r="G5394" s="1"/>
      <c r="H5394" s="2"/>
    </row>
    <row r="5395" spans="1:8" x14ac:dyDescent="0.25">
      <c r="A5395" s="5"/>
      <c r="B5395" s="6"/>
      <c r="C5395" s="6"/>
      <c r="D5395" s="6"/>
      <c r="E5395" s="6"/>
      <c r="G5395" s="3"/>
      <c r="H5395" s="2"/>
    </row>
    <row r="5396" spans="1:8" x14ac:dyDescent="0.25">
      <c r="A5396" s="5"/>
      <c r="B5396" s="6"/>
      <c r="C5396" s="6"/>
      <c r="D5396" s="6"/>
      <c r="E5396" s="6"/>
      <c r="G5396" s="1"/>
      <c r="H5396" s="2"/>
    </row>
    <row r="5397" spans="1:8" x14ac:dyDescent="0.25">
      <c r="A5397" s="5"/>
      <c r="B5397" s="6"/>
      <c r="C5397" s="6"/>
      <c r="D5397" s="6"/>
      <c r="E5397" s="6"/>
      <c r="G5397" s="3"/>
      <c r="H5397" s="2"/>
    </row>
    <row r="5398" spans="1:8" x14ac:dyDescent="0.25">
      <c r="A5398" s="5"/>
      <c r="B5398" s="6"/>
      <c r="C5398" s="6"/>
      <c r="D5398" s="6"/>
      <c r="E5398" s="6"/>
      <c r="G5398" s="1"/>
      <c r="H5398" s="2"/>
    </row>
    <row r="5399" spans="1:8" x14ac:dyDescent="0.25">
      <c r="A5399" s="5"/>
      <c r="B5399" s="6"/>
      <c r="C5399" s="6"/>
      <c r="D5399" s="6"/>
      <c r="E5399" s="6"/>
      <c r="G5399" s="3"/>
      <c r="H5399" s="2"/>
    </row>
    <row r="5400" spans="1:8" x14ac:dyDescent="0.25">
      <c r="A5400" s="5"/>
      <c r="B5400" s="6"/>
      <c r="C5400" s="6"/>
      <c r="D5400" s="6"/>
      <c r="E5400" s="6"/>
      <c r="G5400" s="1"/>
      <c r="H5400" s="2"/>
    </row>
    <row r="5401" spans="1:8" x14ac:dyDescent="0.25">
      <c r="A5401" s="5"/>
      <c r="B5401" s="6"/>
      <c r="C5401" s="6"/>
      <c r="D5401" s="6"/>
      <c r="E5401" s="6"/>
      <c r="G5401" s="3"/>
      <c r="H5401" s="2"/>
    </row>
    <row r="5402" spans="1:8" x14ac:dyDescent="0.25">
      <c r="A5402" s="5"/>
      <c r="B5402" s="6"/>
      <c r="C5402" s="6"/>
      <c r="D5402" s="6"/>
      <c r="E5402" s="6"/>
      <c r="G5402" s="1"/>
      <c r="H5402" s="2"/>
    </row>
    <row r="5403" spans="1:8" x14ac:dyDescent="0.25">
      <c r="A5403" s="5"/>
      <c r="B5403" s="6"/>
      <c r="C5403" s="6"/>
      <c r="D5403" s="6"/>
      <c r="E5403" s="6"/>
      <c r="G5403" s="3"/>
      <c r="H5403" s="2"/>
    </row>
    <row r="5404" spans="1:8" x14ac:dyDescent="0.25">
      <c r="A5404" s="5"/>
      <c r="B5404" s="6"/>
      <c r="C5404" s="6"/>
      <c r="D5404" s="6"/>
      <c r="E5404" s="6"/>
      <c r="G5404" s="1"/>
      <c r="H5404" s="2"/>
    </row>
    <row r="5405" spans="1:8" x14ac:dyDescent="0.25">
      <c r="A5405" s="5"/>
      <c r="B5405" s="6"/>
      <c r="C5405" s="6"/>
      <c r="D5405" s="6"/>
      <c r="E5405" s="6"/>
      <c r="G5405" s="3"/>
      <c r="H5405" s="2"/>
    </row>
    <row r="5406" spans="1:8" x14ac:dyDescent="0.25">
      <c r="A5406" s="5"/>
      <c r="B5406" s="6"/>
      <c r="C5406" s="6"/>
      <c r="D5406" s="6"/>
      <c r="E5406" s="6"/>
      <c r="G5406" s="1"/>
      <c r="H5406" s="2"/>
    </row>
    <row r="5407" spans="1:8" x14ac:dyDescent="0.25">
      <c r="A5407" s="5"/>
      <c r="B5407" s="6"/>
      <c r="C5407" s="6"/>
      <c r="D5407" s="6"/>
      <c r="E5407" s="6"/>
      <c r="G5407" s="3"/>
      <c r="H5407" s="2"/>
    </row>
    <row r="5408" spans="1:8" x14ac:dyDescent="0.25">
      <c r="A5408" s="5"/>
      <c r="B5408" s="6"/>
      <c r="C5408" s="6"/>
      <c r="D5408" s="6"/>
      <c r="E5408" s="6"/>
      <c r="G5408" s="1"/>
      <c r="H5408" s="2"/>
    </row>
    <row r="5409" spans="1:8" x14ac:dyDescent="0.25">
      <c r="A5409" s="5"/>
      <c r="B5409" s="6"/>
      <c r="C5409" s="6"/>
      <c r="D5409" s="6"/>
      <c r="E5409" s="6"/>
      <c r="G5409" s="3"/>
      <c r="H5409" s="2"/>
    </row>
    <row r="5410" spans="1:8" x14ac:dyDescent="0.25">
      <c r="A5410" s="5"/>
      <c r="B5410" s="6"/>
      <c r="C5410" s="6"/>
      <c r="D5410" s="6"/>
      <c r="E5410" s="6"/>
      <c r="G5410" s="1"/>
      <c r="H5410" s="2"/>
    </row>
    <row r="5411" spans="1:8" x14ac:dyDescent="0.25">
      <c r="A5411" s="5"/>
      <c r="B5411" s="6"/>
      <c r="C5411" s="6"/>
      <c r="D5411" s="6"/>
      <c r="E5411" s="6"/>
      <c r="G5411" s="3"/>
      <c r="H5411" s="2"/>
    </row>
    <row r="5412" spans="1:8" x14ac:dyDescent="0.25">
      <c r="A5412" s="5"/>
      <c r="B5412" s="6"/>
      <c r="C5412" s="6"/>
      <c r="D5412" s="6"/>
      <c r="E5412" s="6"/>
      <c r="G5412" s="1"/>
      <c r="H5412" s="2"/>
    </row>
    <row r="5413" spans="1:8" x14ac:dyDescent="0.25">
      <c r="A5413" s="5"/>
      <c r="B5413" s="6"/>
      <c r="C5413" s="6"/>
      <c r="D5413" s="6"/>
      <c r="E5413" s="6"/>
      <c r="G5413" s="3"/>
      <c r="H5413" s="2"/>
    </row>
    <row r="5414" spans="1:8" x14ac:dyDescent="0.25">
      <c r="A5414" s="5"/>
      <c r="B5414" s="6"/>
      <c r="C5414" s="6"/>
      <c r="D5414" s="6"/>
      <c r="E5414" s="6"/>
      <c r="G5414" s="1"/>
      <c r="H5414" s="2"/>
    </row>
    <row r="5415" spans="1:8" x14ac:dyDescent="0.25">
      <c r="A5415" s="5"/>
      <c r="B5415" s="6"/>
      <c r="C5415" s="6"/>
      <c r="D5415" s="6"/>
      <c r="E5415" s="6"/>
      <c r="G5415" s="3"/>
      <c r="H5415" s="2"/>
    </row>
    <row r="5416" spans="1:8" x14ac:dyDescent="0.25">
      <c r="A5416" s="5"/>
      <c r="B5416" s="6"/>
      <c r="C5416" s="6"/>
      <c r="D5416" s="6"/>
      <c r="E5416" s="6"/>
      <c r="G5416" s="1"/>
      <c r="H5416" s="2"/>
    </row>
    <row r="5417" spans="1:8" x14ac:dyDescent="0.25">
      <c r="A5417" s="5"/>
      <c r="B5417" s="6"/>
      <c r="C5417" s="6"/>
      <c r="D5417" s="6"/>
      <c r="E5417" s="6"/>
      <c r="G5417" s="3"/>
      <c r="H5417" s="2"/>
    </row>
    <row r="5418" spans="1:8" x14ac:dyDescent="0.25">
      <c r="A5418" s="5"/>
      <c r="B5418" s="6"/>
      <c r="C5418" s="6"/>
      <c r="D5418" s="6"/>
      <c r="E5418" s="6"/>
      <c r="G5418" s="1"/>
      <c r="H5418" s="2"/>
    </row>
    <row r="5419" spans="1:8" x14ac:dyDescent="0.25">
      <c r="A5419" s="5"/>
      <c r="B5419" s="6"/>
      <c r="C5419" s="6"/>
      <c r="D5419" s="6"/>
      <c r="E5419" s="6"/>
      <c r="G5419" s="3"/>
      <c r="H5419" s="2"/>
    </row>
    <row r="5420" spans="1:8" x14ac:dyDescent="0.25">
      <c r="A5420" s="5"/>
      <c r="B5420" s="6"/>
      <c r="C5420" s="6"/>
      <c r="D5420" s="6"/>
      <c r="E5420" s="6"/>
      <c r="G5420" s="1"/>
      <c r="H5420" s="2"/>
    </row>
    <row r="5421" spans="1:8" x14ac:dyDescent="0.25">
      <c r="A5421" s="5"/>
      <c r="B5421" s="6"/>
      <c r="C5421" s="6"/>
      <c r="D5421" s="6"/>
      <c r="E5421" s="6"/>
      <c r="G5421" s="3"/>
      <c r="H5421" s="2"/>
    </row>
    <row r="5422" spans="1:8" x14ac:dyDescent="0.25">
      <c r="A5422" s="5"/>
      <c r="B5422" s="6"/>
      <c r="C5422" s="6"/>
      <c r="D5422" s="6"/>
      <c r="E5422" s="6"/>
      <c r="G5422" s="1"/>
      <c r="H5422" s="2"/>
    </row>
    <row r="5423" spans="1:8" x14ac:dyDescent="0.25">
      <c r="A5423" s="5"/>
      <c r="B5423" s="6"/>
      <c r="C5423" s="6"/>
      <c r="D5423" s="6"/>
      <c r="E5423" s="6"/>
      <c r="G5423" s="3"/>
      <c r="H5423" s="2"/>
    </row>
    <row r="5424" spans="1:8" x14ac:dyDescent="0.25">
      <c r="A5424" s="5"/>
      <c r="B5424" s="6"/>
      <c r="C5424" s="6"/>
      <c r="D5424" s="6"/>
      <c r="E5424" s="6"/>
      <c r="G5424" s="1"/>
      <c r="H5424" s="2"/>
    </row>
    <row r="5425" spans="1:8" x14ac:dyDescent="0.25">
      <c r="A5425" s="5"/>
      <c r="B5425" s="6"/>
      <c r="C5425" s="6"/>
      <c r="D5425" s="6"/>
      <c r="E5425" s="6"/>
      <c r="G5425" s="3"/>
      <c r="H5425" s="2"/>
    </row>
    <row r="5426" spans="1:8" x14ac:dyDescent="0.25">
      <c r="A5426" s="5"/>
      <c r="B5426" s="6"/>
      <c r="C5426" s="6"/>
      <c r="D5426" s="6"/>
      <c r="E5426" s="6"/>
      <c r="G5426" s="1"/>
      <c r="H5426" s="2"/>
    </row>
    <row r="5427" spans="1:8" x14ac:dyDescent="0.25">
      <c r="A5427" s="5"/>
      <c r="B5427" s="6"/>
      <c r="C5427" s="6"/>
      <c r="D5427" s="6"/>
      <c r="E5427" s="6"/>
      <c r="G5427" s="3"/>
      <c r="H5427" s="2"/>
    </row>
    <row r="5428" spans="1:8" x14ac:dyDescent="0.25">
      <c r="A5428" s="5"/>
      <c r="B5428" s="6"/>
      <c r="C5428" s="6"/>
      <c r="D5428" s="6"/>
      <c r="E5428" s="6"/>
      <c r="G5428" s="1"/>
      <c r="H5428" s="2"/>
    </row>
    <row r="5429" spans="1:8" x14ac:dyDescent="0.25">
      <c r="A5429" s="5"/>
      <c r="B5429" s="6"/>
      <c r="C5429" s="6"/>
      <c r="D5429" s="6"/>
      <c r="E5429" s="6"/>
      <c r="G5429" s="3"/>
      <c r="H5429" s="2"/>
    </row>
    <row r="5430" spans="1:8" x14ac:dyDescent="0.25">
      <c r="A5430" s="5"/>
      <c r="B5430" s="6"/>
      <c r="C5430" s="6"/>
      <c r="D5430" s="6"/>
      <c r="E5430" s="6"/>
      <c r="G5430" s="1"/>
      <c r="H5430" s="2"/>
    </row>
    <row r="5431" spans="1:8" x14ac:dyDescent="0.25">
      <c r="A5431" s="5"/>
      <c r="B5431" s="6"/>
      <c r="C5431" s="6"/>
      <c r="D5431" s="6"/>
      <c r="E5431" s="6"/>
      <c r="G5431" s="3"/>
      <c r="H5431" s="2"/>
    </row>
    <row r="5432" spans="1:8" x14ac:dyDescent="0.25">
      <c r="A5432" s="5"/>
      <c r="B5432" s="6"/>
      <c r="C5432" s="6"/>
      <c r="D5432" s="6"/>
      <c r="E5432" s="6"/>
      <c r="G5432" s="1"/>
      <c r="H5432" s="2"/>
    </row>
    <row r="5433" spans="1:8" x14ac:dyDescent="0.25">
      <c r="A5433" s="5"/>
      <c r="B5433" s="6"/>
      <c r="C5433" s="6"/>
      <c r="D5433" s="6"/>
      <c r="E5433" s="6"/>
      <c r="G5433" s="3"/>
      <c r="H5433" s="2"/>
    </row>
    <row r="5434" spans="1:8" x14ac:dyDescent="0.25">
      <c r="A5434" s="5"/>
      <c r="B5434" s="6"/>
      <c r="C5434" s="6"/>
      <c r="D5434" s="6"/>
      <c r="E5434" s="6"/>
      <c r="G5434" s="1"/>
      <c r="H5434" s="2"/>
    </row>
    <row r="5435" spans="1:8" x14ac:dyDescent="0.25">
      <c r="A5435" s="5"/>
      <c r="B5435" s="6"/>
      <c r="C5435" s="6"/>
      <c r="D5435" s="6"/>
      <c r="E5435" s="6"/>
      <c r="G5435" s="3"/>
      <c r="H5435" s="2"/>
    </row>
    <row r="5436" spans="1:8" x14ac:dyDescent="0.25">
      <c r="A5436" s="5"/>
      <c r="B5436" s="6"/>
      <c r="C5436" s="6"/>
      <c r="D5436" s="6"/>
      <c r="E5436" s="6"/>
      <c r="G5436" s="1"/>
      <c r="H5436" s="2"/>
    </row>
    <row r="5437" spans="1:8" x14ac:dyDescent="0.25">
      <c r="A5437" s="5"/>
      <c r="B5437" s="6"/>
      <c r="C5437" s="6"/>
      <c r="D5437" s="6"/>
      <c r="E5437" s="6"/>
      <c r="G5437" s="3"/>
      <c r="H5437" s="2"/>
    </row>
    <row r="5438" spans="1:8" x14ac:dyDescent="0.25">
      <c r="A5438" s="5"/>
      <c r="B5438" s="6"/>
      <c r="C5438" s="6"/>
      <c r="D5438" s="6"/>
      <c r="E5438" s="6"/>
      <c r="G5438" s="1"/>
      <c r="H5438" s="2"/>
    </row>
    <row r="5439" spans="1:8" x14ac:dyDescent="0.25">
      <c r="A5439" s="5"/>
      <c r="B5439" s="6"/>
      <c r="C5439" s="6"/>
      <c r="D5439" s="6"/>
      <c r="E5439" s="6"/>
      <c r="G5439" s="3"/>
      <c r="H5439" s="2"/>
    </row>
    <row r="5440" spans="1:8" x14ac:dyDescent="0.25">
      <c r="A5440" s="5"/>
      <c r="B5440" s="6"/>
      <c r="C5440" s="6"/>
      <c r="D5440" s="6"/>
      <c r="E5440" s="6"/>
      <c r="G5440" s="1"/>
      <c r="H5440" s="2"/>
    </row>
    <row r="5441" spans="1:8" x14ac:dyDescent="0.25">
      <c r="A5441" s="5"/>
      <c r="B5441" s="6"/>
      <c r="C5441" s="6"/>
      <c r="D5441" s="6"/>
      <c r="E5441" s="6"/>
      <c r="G5441" s="3"/>
      <c r="H5441" s="2"/>
    </row>
    <row r="5442" spans="1:8" x14ac:dyDescent="0.25">
      <c r="A5442" s="5"/>
      <c r="B5442" s="6"/>
      <c r="C5442" s="6"/>
      <c r="D5442" s="6"/>
      <c r="E5442" s="6"/>
      <c r="G5442" s="1"/>
      <c r="H5442" s="2"/>
    </row>
    <row r="5443" spans="1:8" x14ac:dyDescent="0.25">
      <c r="A5443" s="5"/>
      <c r="B5443" s="6"/>
      <c r="C5443" s="6"/>
      <c r="D5443" s="6"/>
      <c r="E5443" s="6"/>
      <c r="G5443" s="3"/>
      <c r="H5443" s="2"/>
    </row>
    <row r="5444" spans="1:8" x14ac:dyDescent="0.25">
      <c r="A5444" s="5"/>
      <c r="B5444" s="6"/>
      <c r="C5444" s="6"/>
      <c r="D5444" s="6"/>
      <c r="E5444" s="6"/>
      <c r="G5444" s="1"/>
      <c r="H5444" s="2"/>
    </row>
    <row r="5445" spans="1:8" x14ac:dyDescent="0.25">
      <c r="A5445" s="5"/>
      <c r="B5445" s="6"/>
      <c r="C5445" s="6"/>
      <c r="D5445" s="6"/>
      <c r="E5445" s="6"/>
      <c r="G5445" s="3"/>
      <c r="H5445" s="2"/>
    </row>
    <row r="5446" spans="1:8" x14ac:dyDescent="0.25">
      <c r="A5446" s="5"/>
      <c r="B5446" s="6"/>
      <c r="C5446" s="6"/>
      <c r="D5446" s="6"/>
      <c r="E5446" s="6"/>
      <c r="G5446" s="1"/>
      <c r="H5446" s="2"/>
    </row>
    <row r="5447" spans="1:8" x14ac:dyDescent="0.25">
      <c r="A5447" s="5"/>
      <c r="B5447" s="6"/>
      <c r="C5447" s="6"/>
      <c r="D5447" s="6"/>
      <c r="E5447" s="6"/>
      <c r="G5447" s="3"/>
      <c r="H5447" s="2"/>
    </row>
    <row r="5448" spans="1:8" x14ac:dyDescent="0.25">
      <c r="A5448" s="5"/>
      <c r="B5448" s="6"/>
      <c r="C5448" s="6"/>
      <c r="D5448" s="6"/>
      <c r="E5448" s="6"/>
      <c r="G5448" s="1"/>
      <c r="H5448" s="2"/>
    </row>
    <row r="5449" spans="1:8" x14ac:dyDescent="0.25">
      <c r="A5449" s="5"/>
      <c r="B5449" s="6"/>
      <c r="C5449" s="6"/>
      <c r="D5449" s="6"/>
      <c r="E5449" s="6"/>
      <c r="G5449" s="3"/>
      <c r="H5449" s="2"/>
    </row>
    <row r="5450" spans="1:8" x14ac:dyDescent="0.25">
      <c r="A5450" s="5"/>
      <c r="B5450" s="6"/>
      <c r="C5450" s="6"/>
      <c r="D5450" s="6"/>
      <c r="E5450" s="6"/>
      <c r="G5450" s="1"/>
      <c r="H5450" s="2"/>
    </row>
    <row r="5451" spans="1:8" x14ac:dyDescent="0.25">
      <c r="A5451" s="5"/>
      <c r="B5451" s="6"/>
      <c r="C5451" s="6"/>
      <c r="D5451" s="6"/>
      <c r="E5451" s="6"/>
      <c r="G5451" s="3"/>
      <c r="H5451" s="2"/>
    </row>
    <row r="5452" spans="1:8" x14ac:dyDescent="0.25">
      <c r="A5452" s="5"/>
      <c r="B5452" s="6"/>
      <c r="C5452" s="6"/>
      <c r="D5452" s="6"/>
      <c r="E5452" s="6"/>
      <c r="G5452" s="1"/>
      <c r="H5452" s="2"/>
    </row>
    <row r="5453" spans="1:8" x14ac:dyDescent="0.25">
      <c r="A5453" s="5"/>
      <c r="B5453" s="6"/>
      <c r="C5453" s="6"/>
      <c r="D5453" s="6"/>
      <c r="E5453" s="6"/>
      <c r="G5453" s="3"/>
      <c r="H5453" s="2"/>
    </row>
    <row r="5454" spans="1:8" x14ac:dyDescent="0.25">
      <c r="A5454" s="5"/>
      <c r="B5454" s="6"/>
      <c r="C5454" s="6"/>
      <c r="D5454" s="6"/>
      <c r="E5454" s="6"/>
      <c r="G5454" s="1"/>
      <c r="H5454" s="2"/>
    </row>
    <row r="5455" spans="1:8" x14ac:dyDescent="0.25">
      <c r="A5455" s="5"/>
      <c r="B5455" s="6"/>
      <c r="C5455" s="6"/>
      <c r="D5455" s="6"/>
      <c r="E5455" s="6"/>
      <c r="G5455" s="3"/>
      <c r="H5455" s="2"/>
    </row>
    <row r="5456" spans="1:8" x14ac:dyDescent="0.25">
      <c r="A5456" s="5"/>
      <c r="B5456" s="6"/>
      <c r="C5456" s="6"/>
      <c r="D5456" s="6"/>
      <c r="E5456" s="6"/>
      <c r="G5456" s="1"/>
      <c r="H5456" s="2"/>
    </row>
    <row r="5457" spans="1:8" x14ac:dyDescent="0.25">
      <c r="A5457" s="5"/>
      <c r="B5457" s="6"/>
      <c r="C5457" s="6"/>
      <c r="D5457" s="6"/>
      <c r="E5457" s="6"/>
      <c r="G5457" s="3"/>
      <c r="H5457" s="2"/>
    </row>
    <row r="5458" spans="1:8" x14ac:dyDescent="0.25">
      <c r="A5458" s="5"/>
      <c r="B5458" s="6"/>
      <c r="C5458" s="6"/>
      <c r="D5458" s="6"/>
      <c r="E5458" s="6"/>
      <c r="G5458" s="1"/>
      <c r="H5458" s="2"/>
    </row>
    <row r="5459" spans="1:8" x14ac:dyDescent="0.25">
      <c r="A5459" s="5"/>
      <c r="B5459" s="6"/>
      <c r="C5459" s="6"/>
      <c r="D5459" s="6"/>
      <c r="E5459" s="6"/>
      <c r="G5459" s="3"/>
      <c r="H5459" s="2"/>
    </row>
    <row r="5460" spans="1:8" x14ac:dyDescent="0.25">
      <c r="A5460" s="5"/>
      <c r="B5460" s="6"/>
      <c r="C5460" s="6"/>
      <c r="D5460" s="6"/>
      <c r="E5460" s="6"/>
      <c r="G5460" s="1"/>
      <c r="H5460" s="2"/>
    </row>
    <row r="5461" spans="1:8" x14ac:dyDescent="0.25">
      <c r="A5461" s="5"/>
      <c r="B5461" s="6"/>
      <c r="C5461" s="6"/>
      <c r="D5461" s="6"/>
      <c r="E5461" s="6"/>
      <c r="G5461" s="3"/>
      <c r="H5461" s="2"/>
    </row>
    <row r="5462" spans="1:8" x14ac:dyDescent="0.25">
      <c r="A5462" s="5"/>
      <c r="B5462" s="6"/>
      <c r="C5462" s="6"/>
      <c r="D5462" s="6"/>
      <c r="E5462" s="6"/>
      <c r="G5462" s="1"/>
      <c r="H5462" s="2"/>
    </row>
    <row r="5463" spans="1:8" x14ac:dyDescent="0.25">
      <c r="A5463" s="5"/>
      <c r="B5463" s="6"/>
      <c r="C5463" s="6"/>
      <c r="D5463" s="6"/>
      <c r="E5463" s="6"/>
      <c r="G5463" s="3"/>
      <c r="H5463" s="2"/>
    </row>
    <row r="5464" spans="1:8" x14ac:dyDescent="0.25">
      <c r="A5464" s="5"/>
      <c r="B5464" s="6"/>
      <c r="C5464" s="6"/>
      <c r="D5464" s="6"/>
      <c r="E5464" s="6"/>
      <c r="G5464" s="1"/>
      <c r="H5464" s="2"/>
    </row>
    <row r="5465" spans="1:8" x14ac:dyDescent="0.25">
      <c r="A5465" s="5"/>
      <c r="B5465" s="6"/>
      <c r="C5465" s="6"/>
      <c r="D5465" s="6"/>
      <c r="E5465" s="6"/>
      <c r="G5465" s="3"/>
      <c r="H5465" s="2"/>
    </row>
    <row r="5466" spans="1:8" x14ac:dyDescent="0.25">
      <c r="A5466" s="5"/>
      <c r="B5466" s="6"/>
      <c r="C5466" s="6"/>
      <c r="D5466" s="6"/>
      <c r="E5466" s="6"/>
      <c r="G5466" s="1"/>
      <c r="H5466" s="2"/>
    </row>
    <row r="5467" spans="1:8" x14ac:dyDescent="0.25">
      <c r="A5467" s="5"/>
      <c r="B5467" s="6"/>
      <c r="C5467" s="6"/>
      <c r="D5467" s="6"/>
      <c r="E5467" s="6"/>
      <c r="G5467" s="3"/>
      <c r="H5467" s="2"/>
    </row>
    <row r="5468" spans="1:8" x14ac:dyDescent="0.25">
      <c r="A5468" s="5"/>
      <c r="B5468" s="6"/>
      <c r="C5468" s="6"/>
      <c r="D5468" s="6"/>
      <c r="E5468" s="6"/>
      <c r="G5468" s="1"/>
      <c r="H5468" s="2"/>
    </row>
    <row r="5469" spans="1:8" x14ac:dyDescent="0.25">
      <c r="A5469" s="5"/>
      <c r="B5469" s="6"/>
      <c r="C5469" s="6"/>
      <c r="D5469" s="6"/>
      <c r="E5469" s="6"/>
      <c r="G5469" s="3"/>
      <c r="H5469" s="2"/>
    </row>
    <row r="5470" spans="1:8" x14ac:dyDescent="0.25">
      <c r="A5470" s="5"/>
      <c r="B5470" s="6"/>
      <c r="C5470" s="6"/>
      <c r="D5470" s="6"/>
      <c r="E5470" s="6"/>
      <c r="G5470" s="1"/>
      <c r="H5470" s="2"/>
    </row>
    <row r="5471" spans="1:8" x14ac:dyDescent="0.25">
      <c r="A5471" s="5"/>
      <c r="B5471" s="6"/>
      <c r="C5471" s="6"/>
      <c r="D5471" s="6"/>
      <c r="E5471" s="6"/>
      <c r="G5471" s="3"/>
      <c r="H5471" s="2"/>
    </row>
    <row r="5472" spans="1:8" x14ac:dyDescent="0.25">
      <c r="A5472" s="5"/>
      <c r="B5472" s="6"/>
      <c r="C5472" s="6"/>
      <c r="D5472" s="6"/>
      <c r="E5472" s="6"/>
      <c r="G5472" s="1"/>
      <c r="H5472" s="2"/>
    </row>
    <row r="5473" spans="1:8" x14ac:dyDescent="0.25">
      <c r="A5473" s="5"/>
      <c r="B5473" s="6"/>
      <c r="C5473" s="6"/>
      <c r="D5473" s="6"/>
      <c r="E5473" s="6"/>
      <c r="G5473" s="3"/>
      <c r="H5473" s="2"/>
    </row>
    <row r="5474" spans="1:8" x14ac:dyDescent="0.25">
      <c r="A5474" s="5"/>
      <c r="B5474" s="6"/>
      <c r="C5474" s="6"/>
      <c r="D5474" s="6"/>
      <c r="E5474" s="6"/>
      <c r="G5474" s="1"/>
      <c r="H5474" s="2"/>
    </row>
    <row r="5475" spans="1:8" x14ac:dyDescent="0.25">
      <c r="A5475" s="5"/>
      <c r="B5475" s="6"/>
      <c r="C5475" s="6"/>
      <c r="D5475" s="6"/>
      <c r="E5475" s="6"/>
      <c r="G5475" s="3"/>
      <c r="H5475" s="2"/>
    </row>
    <row r="5476" spans="1:8" x14ac:dyDescent="0.25">
      <c r="A5476" s="5"/>
      <c r="B5476" s="6"/>
      <c r="C5476" s="6"/>
      <c r="D5476" s="6"/>
      <c r="E5476" s="6"/>
      <c r="G5476" s="1"/>
      <c r="H5476" s="2"/>
    </row>
    <row r="5477" spans="1:8" x14ac:dyDescent="0.25">
      <c r="A5477" s="5"/>
      <c r="B5477" s="6"/>
      <c r="C5477" s="6"/>
      <c r="D5477" s="6"/>
      <c r="E5477" s="6"/>
      <c r="G5477" s="3"/>
      <c r="H5477" s="2"/>
    </row>
    <row r="5478" spans="1:8" x14ac:dyDescent="0.25">
      <c r="A5478" s="5"/>
      <c r="B5478" s="6"/>
      <c r="C5478" s="6"/>
      <c r="D5478" s="6"/>
      <c r="E5478" s="6"/>
      <c r="G5478" s="1"/>
      <c r="H5478" s="2"/>
    </row>
    <row r="5479" spans="1:8" x14ac:dyDescent="0.25">
      <c r="A5479" s="5"/>
      <c r="B5479" s="6"/>
      <c r="C5479" s="6"/>
      <c r="D5479" s="6"/>
      <c r="E5479" s="6"/>
      <c r="G5479" s="3"/>
      <c r="H5479" s="2"/>
    </row>
    <row r="5480" spans="1:8" x14ac:dyDescent="0.25">
      <c r="A5480" s="5"/>
      <c r="B5480" s="6"/>
      <c r="C5480" s="6"/>
      <c r="D5480" s="6"/>
      <c r="E5480" s="6"/>
      <c r="G5480" s="1"/>
      <c r="H5480" s="2"/>
    </row>
    <row r="5481" spans="1:8" x14ac:dyDescent="0.25">
      <c r="A5481" s="5"/>
      <c r="B5481" s="6"/>
      <c r="C5481" s="6"/>
      <c r="D5481" s="6"/>
      <c r="E5481" s="6"/>
      <c r="G5481" s="3"/>
      <c r="H5481" s="2"/>
    </row>
    <row r="5482" spans="1:8" x14ac:dyDescent="0.25">
      <c r="A5482" s="5"/>
      <c r="B5482" s="6"/>
      <c r="C5482" s="6"/>
      <c r="D5482" s="6"/>
      <c r="E5482" s="6"/>
      <c r="G5482" s="1"/>
      <c r="H5482" s="2"/>
    </row>
    <row r="5483" spans="1:8" x14ac:dyDescent="0.25">
      <c r="A5483" s="5"/>
      <c r="B5483" s="6"/>
      <c r="C5483" s="6"/>
      <c r="D5483" s="6"/>
      <c r="E5483" s="6"/>
      <c r="G5483" s="3"/>
      <c r="H5483" s="2"/>
    </row>
    <row r="5484" spans="1:8" x14ac:dyDescent="0.25">
      <c r="A5484" s="5"/>
      <c r="B5484" s="6"/>
      <c r="C5484" s="6"/>
      <c r="D5484" s="6"/>
      <c r="E5484" s="6"/>
      <c r="G5484" s="1"/>
      <c r="H5484" s="2"/>
    </row>
    <row r="5485" spans="1:8" x14ac:dyDescent="0.25">
      <c r="A5485" s="5"/>
      <c r="B5485" s="6"/>
      <c r="C5485" s="6"/>
      <c r="D5485" s="6"/>
      <c r="E5485" s="6"/>
      <c r="G5485" s="3"/>
      <c r="H5485" s="2"/>
    </row>
    <row r="5486" spans="1:8" x14ac:dyDescent="0.25">
      <c r="A5486" s="5"/>
      <c r="B5486" s="6"/>
      <c r="C5486" s="6"/>
      <c r="D5486" s="6"/>
      <c r="E5486" s="6"/>
      <c r="G5486" s="1"/>
      <c r="H5486" s="2"/>
    </row>
    <row r="5487" spans="1:8" x14ac:dyDescent="0.25">
      <c r="A5487" s="5"/>
      <c r="B5487" s="6"/>
      <c r="C5487" s="6"/>
      <c r="D5487" s="6"/>
      <c r="E5487" s="6"/>
      <c r="G5487" s="3"/>
      <c r="H5487" s="2"/>
    </row>
    <row r="5488" spans="1:8" x14ac:dyDescent="0.25">
      <c r="A5488" s="5"/>
      <c r="B5488" s="6"/>
      <c r="C5488" s="6"/>
      <c r="D5488" s="6"/>
      <c r="E5488" s="6"/>
      <c r="G5488" s="1"/>
      <c r="H5488" s="2"/>
    </row>
    <row r="5489" spans="1:8" x14ac:dyDescent="0.25">
      <c r="A5489" s="5"/>
      <c r="B5489" s="6"/>
      <c r="C5489" s="6"/>
      <c r="D5489" s="6"/>
      <c r="E5489" s="6"/>
      <c r="G5489" s="3"/>
      <c r="H5489" s="2"/>
    </row>
    <row r="5490" spans="1:8" x14ac:dyDescent="0.25">
      <c r="A5490" s="5"/>
      <c r="B5490" s="6"/>
      <c r="C5490" s="6"/>
      <c r="D5490" s="6"/>
      <c r="E5490" s="6"/>
      <c r="G5490" s="1"/>
      <c r="H5490" s="2"/>
    </row>
    <row r="5491" spans="1:8" x14ac:dyDescent="0.25">
      <c r="A5491" s="5"/>
      <c r="B5491" s="6"/>
      <c r="C5491" s="6"/>
      <c r="D5491" s="6"/>
      <c r="E5491" s="6"/>
      <c r="G5491" s="3"/>
      <c r="H5491" s="2"/>
    </row>
    <row r="5492" spans="1:8" x14ac:dyDescent="0.25">
      <c r="A5492" s="5"/>
      <c r="B5492" s="6"/>
      <c r="C5492" s="6"/>
      <c r="D5492" s="6"/>
      <c r="E5492" s="6"/>
      <c r="G5492" s="1"/>
      <c r="H5492" s="2"/>
    </row>
    <row r="5493" spans="1:8" x14ac:dyDescent="0.25">
      <c r="A5493" s="5"/>
      <c r="B5493" s="6"/>
      <c r="C5493" s="6"/>
      <c r="D5493" s="6"/>
      <c r="E5493" s="6"/>
      <c r="G5493" s="3"/>
      <c r="H5493" s="2"/>
    </row>
    <row r="5494" spans="1:8" x14ac:dyDescent="0.25">
      <c r="A5494" s="5"/>
      <c r="B5494" s="6"/>
      <c r="C5494" s="6"/>
      <c r="D5494" s="6"/>
      <c r="E5494" s="6"/>
      <c r="G5494" s="1"/>
      <c r="H5494" s="2"/>
    </row>
    <row r="5495" spans="1:8" x14ac:dyDescent="0.25">
      <c r="A5495" s="5"/>
      <c r="B5495" s="6"/>
      <c r="C5495" s="6"/>
      <c r="D5495" s="6"/>
      <c r="E5495" s="6"/>
      <c r="G5495" s="3"/>
      <c r="H5495" s="2"/>
    </row>
    <row r="5496" spans="1:8" x14ac:dyDescent="0.25">
      <c r="A5496" s="5"/>
      <c r="B5496" s="6"/>
      <c r="C5496" s="6"/>
      <c r="D5496" s="6"/>
      <c r="E5496" s="6"/>
      <c r="G5496" s="1"/>
      <c r="H5496" s="2"/>
    </row>
    <row r="5497" spans="1:8" x14ac:dyDescent="0.25">
      <c r="A5497" s="5"/>
      <c r="B5497" s="6"/>
      <c r="C5497" s="6"/>
      <c r="D5497" s="6"/>
      <c r="E5497" s="6"/>
      <c r="G5497" s="3"/>
      <c r="H5497" s="2"/>
    </row>
    <row r="5498" spans="1:8" x14ac:dyDescent="0.25">
      <c r="A5498" s="5"/>
      <c r="B5498" s="6"/>
      <c r="C5498" s="6"/>
      <c r="D5498" s="6"/>
      <c r="E5498" s="6"/>
      <c r="G5498" s="1"/>
      <c r="H5498" s="2"/>
    </row>
    <row r="5499" spans="1:8" x14ac:dyDescent="0.25">
      <c r="A5499" s="5"/>
      <c r="B5499" s="6"/>
      <c r="C5499" s="6"/>
      <c r="D5499" s="6"/>
      <c r="E5499" s="6"/>
      <c r="G5499" s="3"/>
      <c r="H5499" s="2"/>
    </row>
    <row r="5500" spans="1:8" x14ac:dyDescent="0.25">
      <c r="A5500" s="5"/>
      <c r="B5500" s="6"/>
      <c r="C5500" s="6"/>
      <c r="D5500" s="6"/>
      <c r="E5500" s="6"/>
      <c r="G5500" s="1"/>
      <c r="H5500" s="2"/>
    </row>
    <row r="5501" spans="1:8" x14ac:dyDescent="0.25">
      <c r="A5501" s="5"/>
      <c r="B5501" s="6"/>
      <c r="C5501" s="6"/>
      <c r="D5501" s="6"/>
      <c r="E5501" s="6"/>
      <c r="G5501" s="3"/>
      <c r="H5501" s="2"/>
    </row>
    <row r="5502" spans="1:8" x14ac:dyDescent="0.25">
      <c r="A5502" s="5"/>
      <c r="B5502" s="6"/>
      <c r="C5502" s="6"/>
      <c r="D5502" s="6"/>
      <c r="E5502" s="6"/>
      <c r="G5502" s="1"/>
      <c r="H5502" s="2"/>
    </row>
    <row r="5503" spans="1:8" x14ac:dyDescent="0.25">
      <c r="A5503" s="5"/>
      <c r="B5503" s="6"/>
      <c r="C5503" s="6"/>
      <c r="D5503" s="6"/>
      <c r="E5503" s="6"/>
      <c r="G5503" s="3"/>
      <c r="H5503" s="2"/>
    </row>
    <row r="5504" spans="1:8" x14ac:dyDescent="0.25">
      <c r="A5504" s="5"/>
      <c r="B5504" s="6"/>
      <c r="C5504" s="6"/>
      <c r="D5504" s="6"/>
      <c r="E5504" s="6"/>
      <c r="G5504" s="1"/>
      <c r="H5504" s="2"/>
    </row>
    <row r="5505" spans="1:8" x14ac:dyDescent="0.25">
      <c r="A5505" s="5"/>
      <c r="B5505" s="6"/>
      <c r="C5505" s="6"/>
      <c r="D5505" s="6"/>
      <c r="E5505" s="6"/>
      <c r="G5505" s="3"/>
      <c r="H5505" s="2"/>
    </row>
    <row r="5506" spans="1:8" x14ac:dyDescent="0.25">
      <c r="A5506" s="5"/>
      <c r="B5506" s="6"/>
      <c r="C5506" s="6"/>
      <c r="D5506" s="6"/>
      <c r="E5506" s="6"/>
      <c r="G5506" s="1"/>
      <c r="H5506" s="2"/>
    </row>
    <row r="5507" spans="1:8" x14ac:dyDescent="0.25">
      <c r="A5507" s="5"/>
      <c r="B5507" s="6"/>
      <c r="C5507" s="6"/>
      <c r="D5507" s="6"/>
      <c r="E5507" s="6"/>
      <c r="G5507" s="3"/>
      <c r="H5507" s="2"/>
    </row>
    <row r="5508" spans="1:8" x14ac:dyDescent="0.25">
      <c r="A5508" s="5"/>
      <c r="B5508" s="6"/>
      <c r="C5508" s="6"/>
      <c r="D5508" s="6"/>
      <c r="E5508" s="6"/>
      <c r="G5508" s="1"/>
      <c r="H5508" s="2"/>
    </row>
    <row r="5509" spans="1:8" x14ac:dyDescent="0.25">
      <c r="A5509" s="5"/>
      <c r="B5509" s="6"/>
      <c r="C5509" s="6"/>
      <c r="D5509" s="6"/>
      <c r="E5509" s="6"/>
      <c r="G5509" s="3"/>
      <c r="H5509" s="2"/>
    </row>
    <row r="5510" spans="1:8" x14ac:dyDescent="0.25">
      <c r="A5510" s="5"/>
      <c r="B5510" s="6"/>
      <c r="C5510" s="6"/>
      <c r="D5510" s="6"/>
      <c r="E5510" s="6"/>
      <c r="G5510" s="1"/>
      <c r="H5510" s="2"/>
    </row>
    <row r="5511" spans="1:8" x14ac:dyDescent="0.25">
      <c r="A5511" s="5"/>
      <c r="B5511" s="6"/>
      <c r="C5511" s="6"/>
      <c r="D5511" s="6"/>
      <c r="E5511" s="6"/>
      <c r="G5511" s="3"/>
      <c r="H5511" s="2"/>
    </row>
    <row r="5512" spans="1:8" x14ac:dyDescent="0.25">
      <c r="A5512" s="5"/>
      <c r="B5512" s="6"/>
      <c r="C5512" s="6"/>
      <c r="D5512" s="6"/>
      <c r="E5512" s="6"/>
      <c r="G5512" s="1"/>
      <c r="H5512" s="2"/>
    </row>
    <row r="5513" spans="1:8" x14ac:dyDescent="0.25">
      <c r="A5513" s="5"/>
      <c r="B5513" s="6"/>
      <c r="C5513" s="6"/>
      <c r="D5513" s="6"/>
      <c r="E5513" s="6"/>
      <c r="G5513" s="3"/>
      <c r="H5513" s="2"/>
    </row>
    <row r="5514" spans="1:8" x14ac:dyDescent="0.25">
      <c r="A5514" s="5"/>
      <c r="B5514" s="6"/>
      <c r="C5514" s="6"/>
      <c r="D5514" s="6"/>
      <c r="E5514" s="6"/>
      <c r="G5514" s="1"/>
      <c r="H5514" s="2"/>
    </row>
    <row r="5515" spans="1:8" x14ac:dyDescent="0.25">
      <c r="A5515" s="5"/>
      <c r="B5515" s="6"/>
      <c r="C5515" s="6"/>
      <c r="D5515" s="6"/>
      <c r="E5515" s="6"/>
      <c r="G5515" s="3"/>
      <c r="H5515" s="2"/>
    </row>
    <row r="5516" spans="1:8" x14ac:dyDescent="0.25">
      <c r="A5516" s="5"/>
      <c r="B5516" s="6"/>
      <c r="C5516" s="6"/>
      <c r="D5516" s="6"/>
      <c r="E5516" s="6"/>
      <c r="G5516" s="1"/>
      <c r="H5516" s="2"/>
    </row>
    <row r="5517" spans="1:8" x14ac:dyDescent="0.25">
      <c r="A5517" s="5"/>
      <c r="B5517" s="6"/>
      <c r="C5517" s="6"/>
      <c r="D5517" s="6"/>
      <c r="E5517" s="6"/>
      <c r="G5517" s="3"/>
      <c r="H5517" s="2"/>
    </row>
    <row r="5518" spans="1:8" x14ac:dyDescent="0.25">
      <c r="A5518" s="5"/>
      <c r="B5518" s="6"/>
      <c r="C5518" s="6"/>
      <c r="D5518" s="6"/>
      <c r="E5518" s="6"/>
      <c r="G5518" s="1"/>
      <c r="H5518" s="2"/>
    </row>
    <row r="5519" spans="1:8" x14ac:dyDescent="0.25">
      <c r="A5519" s="5"/>
      <c r="B5519" s="6"/>
      <c r="C5519" s="6"/>
      <c r="D5519" s="6"/>
      <c r="E5519" s="6"/>
      <c r="G5519" s="3"/>
      <c r="H5519" s="2"/>
    </row>
    <row r="5520" spans="1:8" x14ac:dyDescent="0.25">
      <c r="A5520" s="5"/>
      <c r="B5520" s="6"/>
      <c r="C5520" s="6"/>
      <c r="D5520" s="6"/>
      <c r="E5520" s="6"/>
      <c r="G5520" s="1"/>
      <c r="H5520" s="2"/>
    </row>
    <row r="5521" spans="1:8" x14ac:dyDescent="0.25">
      <c r="A5521" s="5"/>
      <c r="B5521" s="6"/>
      <c r="C5521" s="6"/>
      <c r="D5521" s="6"/>
      <c r="E5521" s="6"/>
      <c r="G5521" s="3"/>
      <c r="H5521" s="2"/>
    </row>
    <row r="5522" spans="1:8" x14ac:dyDescent="0.25">
      <c r="A5522" s="5"/>
      <c r="B5522" s="6"/>
      <c r="C5522" s="6"/>
      <c r="D5522" s="6"/>
      <c r="E5522" s="6"/>
      <c r="G5522" s="1"/>
      <c r="H5522" s="2"/>
    </row>
    <row r="5523" spans="1:8" x14ac:dyDescent="0.25">
      <c r="A5523" s="5"/>
      <c r="B5523" s="6"/>
      <c r="C5523" s="6"/>
      <c r="D5523" s="6"/>
      <c r="E5523" s="6"/>
      <c r="G5523" s="3"/>
      <c r="H5523" s="2"/>
    </row>
    <row r="5524" spans="1:8" x14ac:dyDescent="0.25">
      <c r="A5524" s="5"/>
      <c r="B5524" s="6"/>
      <c r="C5524" s="6"/>
      <c r="D5524" s="6"/>
      <c r="E5524" s="6"/>
      <c r="G5524" s="1"/>
      <c r="H5524" s="2"/>
    </row>
    <row r="5525" spans="1:8" x14ac:dyDescent="0.25">
      <c r="A5525" s="5"/>
      <c r="B5525" s="6"/>
      <c r="C5525" s="6"/>
      <c r="D5525" s="6"/>
      <c r="E5525" s="6"/>
      <c r="G5525" s="3"/>
      <c r="H5525" s="2"/>
    </row>
    <row r="5526" spans="1:8" x14ac:dyDescent="0.25">
      <c r="A5526" s="5"/>
      <c r="B5526" s="6"/>
      <c r="C5526" s="6"/>
      <c r="D5526" s="6"/>
      <c r="E5526" s="6"/>
      <c r="G5526" s="1"/>
      <c r="H5526" s="2"/>
    </row>
    <row r="5527" spans="1:8" x14ac:dyDescent="0.25">
      <c r="A5527" s="5"/>
      <c r="B5527" s="6"/>
      <c r="C5527" s="6"/>
      <c r="D5527" s="6"/>
      <c r="E5527" s="6"/>
      <c r="G5527" s="3"/>
      <c r="H5527" s="2"/>
    </row>
    <row r="5528" spans="1:8" x14ac:dyDescent="0.25">
      <c r="A5528" s="5"/>
      <c r="B5528" s="6"/>
      <c r="C5528" s="6"/>
      <c r="D5528" s="6"/>
      <c r="E5528" s="6"/>
      <c r="G5528" s="1"/>
      <c r="H5528" s="2"/>
    </row>
    <row r="5529" spans="1:8" x14ac:dyDescent="0.25">
      <c r="A5529" s="5"/>
      <c r="B5529" s="6"/>
      <c r="C5529" s="6"/>
      <c r="D5529" s="6"/>
      <c r="E5529" s="6"/>
      <c r="G5529" s="3"/>
      <c r="H5529" s="2"/>
    </row>
    <row r="5530" spans="1:8" x14ac:dyDescent="0.25">
      <c r="A5530" s="5"/>
      <c r="B5530" s="6"/>
      <c r="C5530" s="6"/>
      <c r="D5530" s="6"/>
      <c r="E5530" s="6"/>
      <c r="G5530" s="1"/>
      <c r="H5530" s="2"/>
    </row>
    <row r="5531" spans="1:8" x14ac:dyDescent="0.25">
      <c r="A5531" s="5"/>
      <c r="B5531" s="6"/>
      <c r="C5531" s="6"/>
      <c r="D5531" s="6"/>
      <c r="E5531" s="6"/>
      <c r="G5531" s="3"/>
      <c r="H5531" s="2"/>
    </row>
    <row r="5532" spans="1:8" x14ac:dyDescent="0.25">
      <c r="A5532" s="5"/>
      <c r="B5532" s="6"/>
      <c r="C5532" s="6"/>
      <c r="D5532" s="6"/>
      <c r="E5532" s="6"/>
      <c r="G5532" s="1"/>
      <c r="H5532" s="2"/>
    </row>
    <row r="5533" spans="1:8" x14ac:dyDescent="0.25">
      <c r="A5533" s="5"/>
      <c r="B5533" s="6"/>
      <c r="C5533" s="6"/>
      <c r="D5533" s="6"/>
      <c r="E5533" s="6"/>
      <c r="G5533" s="3"/>
      <c r="H5533" s="2"/>
    </row>
    <row r="5534" spans="1:8" x14ac:dyDescent="0.25">
      <c r="A5534" s="5"/>
      <c r="B5534" s="6"/>
      <c r="C5534" s="6"/>
      <c r="D5534" s="6"/>
      <c r="E5534" s="6"/>
      <c r="G5534" s="1"/>
      <c r="H5534" s="2"/>
    </row>
    <row r="5535" spans="1:8" x14ac:dyDescent="0.25">
      <c r="A5535" s="5"/>
      <c r="B5535" s="6"/>
      <c r="C5535" s="6"/>
      <c r="D5535" s="6"/>
      <c r="E5535" s="6"/>
      <c r="G5535" s="3"/>
      <c r="H5535" s="2"/>
    </row>
    <row r="5536" spans="1:8" x14ac:dyDescent="0.25">
      <c r="A5536" s="5"/>
      <c r="B5536" s="6"/>
      <c r="C5536" s="6"/>
      <c r="D5536" s="6"/>
      <c r="E5536" s="6"/>
      <c r="G5536" s="1"/>
      <c r="H5536" s="2"/>
    </row>
    <row r="5537" spans="1:8" x14ac:dyDescent="0.25">
      <c r="A5537" s="5"/>
      <c r="B5537" s="6"/>
      <c r="C5537" s="6"/>
      <c r="D5537" s="6"/>
      <c r="E5537" s="6"/>
      <c r="G5537" s="3"/>
      <c r="H5537" s="2"/>
    </row>
    <row r="5538" spans="1:8" x14ac:dyDescent="0.25">
      <c r="A5538" s="5"/>
      <c r="B5538" s="6"/>
      <c r="C5538" s="6"/>
      <c r="D5538" s="6"/>
      <c r="E5538" s="6"/>
      <c r="G5538" s="1"/>
      <c r="H5538" s="2"/>
    </row>
    <row r="5539" spans="1:8" x14ac:dyDescent="0.25">
      <c r="A5539" s="5"/>
      <c r="B5539" s="6"/>
      <c r="C5539" s="6"/>
      <c r="D5539" s="6"/>
      <c r="E5539" s="6"/>
      <c r="G5539" s="3"/>
      <c r="H5539" s="2"/>
    </row>
    <row r="5540" spans="1:8" x14ac:dyDescent="0.25">
      <c r="A5540" s="5"/>
      <c r="B5540" s="6"/>
      <c r="C5540" s="6"/>
      <c r="D5540" s="6"/>
      <c r="E5540" s="6"/>
      <c r="G5540" s="1"/>
      <c r="H5540" s="2"/>
    </row>
    <row r="5541" spans="1:8" x14ac:dyDescent="0.25">
      <c r="A5541" s="5"/>
      <c r="B5541" s="6"/>
      <c r="C5541" s="6"/>
      <c r="D5541" s="6"/>
      <c r="E5541" s="6"/>
      <c r="G5541" s="3"/>
      <c r="H5541" s="2"/>
    </row>
    <row r="5542" spans="1:8" x14ac:dyDescent="0.25">
      <c r="A5542" s="5"/>
      <c r="B5542" s="6"/>
      <c r="C5542" s="6"/>
      <c r="D5542" s="6"/>
      <c r="E5542" s="6"/>
      <c r="G5542" s="1"/>
      <c r="H5542" s="2"/>
    </row>
    <row r="5543" spans="1:8" x14ac:dyDescent="0.25">
      <c r="A5543" s="5"/>
      <c r="B5543" s="6"/>
      <c r="C5543" s="6"/>
      <c r="D5543" s="6"/>
      <c r="E5543" s="6"/>
      <c r="G5543" s="3"/>
      <c r="H5543" s="2"/>
    </row>
    <row r="5544" spans="1:8" x14ac:dyDescent="0.25">
      <c r="A5544" s="5"/>
      <c r="B5544" s="6"/>
      <c r="C5544" s="6"/>
      <c r="D5544" s="6"/>
      <c r="E5544" s="6"/>
      <c r="G5544" s="1"/>
      <c r="H5544" s="2"/>
    </row>
    <row r="5545" spans="1:8" x14ac:dyDescent="0.25">
      <c r="A5545" s="5"/>
      <c r="B5545" s="6"/>
      <c r="C5545" s="6"/>
      <c r="D5545" s="6"/>
      <c r="E5545" s="6"/>
      <c r="G5545" s="3"/>
      <c r="H5545" s="2"/>
    </row>
    <row r="5546" spans="1:8" x14ac:dyDescent="0.25">
      <c r="A5546" s="5"/>
      <c r="B5546" s="6"/>
      <c r="C5546" s="6"/>
      <c r="D5546" s="6"/>
      <c r="E5546" s="6"/>
      <c r="G5546" s="1"/>
      <c r="H5546" s="2"/>
    </row>
    <row r="5547" spans="1:8" x14ac:dyDescent="0.25">
      <c r="A5547" s="5"/>
      <c r="B5547" s="6"/>
      <c r="C5547" s="6"/>
      <c r="D5547" s="6"/>
      <c r="E5547" s="6"/>
      <c r="G5547" s="3"/>
      <c r="H5547" s="2"/>
    </row>
    <row r="5548" spans="1:8" x14ac:dyDescent="0.25">
      <c r="A5548" s="5"/>
      <c r="B5548" s="6"/>
      <c r="C5548" s="6"/>
      <c r="D5548" s="6"/>
      <c r="E5548" s="6"/>
      <c r="G5548" s="1"/>
      <c r="H5548" s="2"/>
    </row>
    <row r="5549" spans="1:8" x14ac:dyDescent="0.25">
      <c r="A5549" s="5"/>
      <c r="B5549" s="6"/>
      <c r="C5549" s="6"/>
      <c r="D5549" s="6"/>
      <c r="E5549" s="6"/>
      <c r="G5549" s="3"/>
      <c r="H5549" s="2"/>
    </row>
    <row r="5550" spans="1:8" x14ac:dyDescent="0.25">
      <c r="A5550" s="5"/>
      <c r="B5550" s="6"/>
      <c r="C5550" s="6"/>
      <c r="D5550" s="6"/>
      <c r="E5550" s="6"/>
      <c r="G5550" s="1"/>
      <c r="H5550" s="2"/>
    </row>
    <row r="5551" spans="1:8" x14ac:dyDescent="0.25">
      <c r="A5551" s="5"/>
      <c r="B5551" s="6"/>
      <c r="C5551" s="6"/>
      <c r="D5551" s="6"/>
      <c r="E5551" s="6"/>
      <c r="G5551" s="3"/>
      <c r="H5551" s="2"/>
    </row>
    <row r="5552" spans="1:8" x14ac:dyDescent="0.25">
      <c r="A5552" s="5"/>
      <c r="B5552" s="6"/>
      <c r="C5552" s="6"/>
      <c r="D5552" s="6"/>
      <c r="E5552" s="6"/>
      <c r="G5552" s="1"/>
      <c r="H5552" s="2"/>
    </row>
    <row r="5553" spans="1:8" x14ac:dyDescent="0.25">
      <c r="A5553" s="5"/>
      <c r="B5553" s="6"/>
      <c r="C5553" s="6"/>
      <c r="D5553" s="6"/>
      <c r="E5553" s="6"/>
      <c r="G5553" s="3"/>
      <c r="H5553" s="2"/>
    </row>
    <row r="5554" spans="1:8" x14ac:dyDescent="0.25">
      <c r="A5554" s="5"/>
      <c r="B5554" s="6"/>
      <c r="C5554" s="6"/>
      <c r="D5554" s="6"/>
      <c r="E5554" s="6"/>
      <c r="G5554" s="1"/>
      <c r="H5554" s="2"/>
    </row>
    <row r="5555" spans="1:8" x14ac:dyDescent="0.25">
      <c r="A5555" s="5"/>
      <c r="B5555" s="6"/>
      <c r="C5555" s="6"/>
      <c r="D5555" s="6"/>
      <c r="E5555" s="6"/>
      <c r="G5555" s="3"/>
      <c r="H5555" s="2"/>
    </row>
    <row r="5556" spans="1:8" x14ac:dyDescent="0.25">
      <c r="A5556" s="5"/>
      <c r="B5556" s="6"/>
      <c r="C5556" s="6"/>
      <c r="D5556" s="6"/>
      <c r="E5556" s="6"/>
      <c r="G5556" s="1"/>
      <c r="H5556" s="2"/>
    </row>
    <row r="5557" spans="1:8" x14ac:dyDescent="0.25">
      <c r="A5557" s="5"/>
      <c r="B5557" s="6"/>
      <c r="C5557" s="6"/>
      <c r="D5557" s="6"/>
      <c r="E5557" s="6"/>
      <c r="G5557" s="3"/>
      <c r="H5557" s="2"/>
    </row>
    <row r="5558" spans="1:8" x14ac:dyDescent="0.25">
      <c r="A5558" s="5"/>
      <c r="B5558" s="6"/>
      <c r="C5558" s="6"/>
      <c r="D5558" s="6"/>
      <c r="E5558" s="6"/>
      <c r="G5558" s="1"/>
      <c r="H5558" s="2"/>
    </row>
    <row r="5559" spans="1:8" x14ac:dyDescent="0.25">
      <c r="A5559" s="5"/>
      <c r="B5559" s="6"/>
      <c r="C5559" s="6"/>
      <c r="D5559" s="6"/>
      <c r="E5559" s="6"/>
      <c r="G5559" s="3"/>
      <c r="H5559" s="2"/>
    </row>
    <row r="5560" spans="1:8" x14ac:dyDescent="0.25">
      <c r="A5560" s="5"/>
      <c r="B5560" s="6"/>
      <c r="C5560" s="6"/>
      <c r="D5560" s="6"/>
      <c r="E5560" s="6"/>
      <c r="G5560" s="1"/>
      <c r="H5560" s="2"/>
    </row>
    <row r="5561" spans="1:8" x14ac:dyDescent="0.25">
      <c r="A5561" s="5"/>
      <c r="B5561" s="6"/>
      <c r="C5561" s="6"/>
      <c r="D5561" s="6"/>
      <c r="E5561" s="6"/>
      <c r="G5561" s="3"/>
      <c r="H5561" s="2"/>
    </row>
    <row r="5562" spans="1:8" x14ac:dyDescent="0.25">
      <c r="A5562" s="5"/>
      <c r="B5562" s="6"/>
      <c r="C5562" s="6"/>
      <c r="D5562" s="6"/>
      <c r="E5562" s="6"/>
      <c r="G5562" s="1"/>
      <c r="H5562" s="2"/>
    </row>
    <row r="5563" spans="1:8" x14ac:dyDescent="0.25">
      <c r="A5563" s="5"/>
      <c r="B5563" s="6"/>
      <c r="C5563" s="6"/>
      <c r="D5563" s="6"/>
      <c r="E5563" s="6"/>
      <c r="G5563" s="3"/>
      <c r="H5563" s="2"/>
    </row>
    <row r="5564" spans="1:8" x14ac:dyDescent="0.25">
      <c r="A5564" s="5"/>
      <c r="B5564" s="6"/>
      <c r="C5564" s="6"/>
      <c r="D5564" s="6"/>
      <c r="E5564" s="6"/>
      <c r="G5564" s="1"/>
      <c r="H5564" s="2"/>
    </row>
    <row r="5565" spans="1:8" x14ac:dyDescent="0.25">
      <c r="A5565" s="5"/>
      <c r="B5565" s="6"/>
      <c r="C5565" s="6"/>
      <c r="D5565" s="6"/>
      <c r="E5565" s="6"/>
      <c r="G5565" s="3"/>
      <c r="H5565" s="2"/>
    </row>
    <row r="5566" spans="1:8" x14ac:dyDescent="0.25">
      <c r="A5566" s="5"/>
      <c r="B5566" s="6"/>
      <c r="C5566" s="6"/>
      <c r="D5566" s="6"/>
      <c r="E5566" s="6"/>
      <c r="G5566" s="1"/>
      <c r="H5566" s="2"/>
    </row>
    <row r="5567" spans="1:8" x14ac:dyDescent="0.25">
      <c r="A5567" s="5"/>
      <c r="B5567" s="6"/>
      <c r="C5567" s="6"/>
      <c r="D5567" s="6"/>
      <c r="E5567" s="6"/>
      <c r="G5567" s="3"/>
      <c r="H5567" s="2"/>
    </row>
    <row r="5568" spans="1:8" x14ac:dyDescent="0.25">
      <c r="A5568" s="5"/>
      <c r="B5568" s="6"/>
      <c r="C5568" s="6"/>
      <c r="D5568" s="6"/>
      <c r="E5568" s="6"/>
      <c r="G5568" s="1"/>
      <c r="H5568" s="2"/>
    </row>
    <row r="5569" spans="1:8" x14ac:dyDescent="0.25">
      <c r="A5569" s="5"/>
      <c r="B5569" s="6"/>
      <c r="C5569" s="6"/>
      <c r="D5569" s="6"/>
      <c r="E5569" s="6"/>
      <c r="G5569" s="3"/>
      <c r="H5569" s="2"/>
    </row>
    <row r="5570" spans="1:8" x14ac:dyDescent="0.25">
      <c r="A5570" s="5"/>
      <c r="B5570" s="6"/>
      <c r="C5570" s="6"/>
      <c r="D5570" s="6"/>
      <c r="E5570" s="6"/>
      <c r="G5570" s="1"/>
      <c r="H5570" s="2"/>
    </row>
    <row r="5571" spans="1:8" x14ac:dyDescent="0.25">
      <c r="A5571" s="5"/>
      <c r="B5571" s="6"/>
      <c r="C5571" s="6"/>
      <c r="D5571" s="6"/>
      <c r="E5571" s="6"/>
      <c r="G5571" s="3"/>
      <c r="H5571" s="2"/>
    </row>
    <row r="5572" spans="1:8" x14ac:dyDescent="0.25">
      <c r="A5572" s="5"/>
      <c r="B5572" s="6"/>
      <c r="C5572" s="6"/>
      <c r="D5572" s="6"/>
      <c r="E5572" s="6"/>
      <c r="G5572" s="1"/>
      <c r="H5572" s="2"/>
    </row>
    <row r="5573" spans="1:8" x14ac:dyDescent="0.25">
      <c r="A5573" s="5"/>
      <c r="B5573" s="6"/>
      <c r="C5573" s="6"/>
      <c r="D5573" s="6"/>
      <c r="E5573" s="6"/>
      <c r="G5573" s="3"/>
      <c r="H5573" s="2"/>
    </row>
    <row r="5574" spans="1:8" x14ac:dyDescent="0.25">
      <c r="A5574" s="5"/>
      <c r="B5574" s="6"/>
      <c r="C5574" s="6"/>
      <c r="D5574" s="6"/>
      <c r="E5574" s="6"/>
      <c r="G5574" s="1"/>
      <c r="H5574" s="2"/>
    </row>
    <row r="5575" spans="1:8" x14ac:dyDescent="0.25">
      <c r="A5575" s="5"/>
      <c r="B5575" s="6"/>
      <c r="C5575" s="6"/>
      <c r="D5575" s="6"/>
      <c r="E5575" s="6"/>
      <c r="G5575" s="3"/>
      <c r="H5575" s="2"/>
    </row>
    <row r="5576" spans="1:8" x14ac:dyDescent="0.25">
      <c r="A5576" s="5"/>
      <c r="B5576" s="6"/>
      <c r="C5576" s="6"/>
      <c r="D5576" s="6"/>
      <c r="E5576" s="6"/>
      <c r="G5576" s="1"/>
      <c r="H5576" s="2"/>
    </row>
    <row r="5577" spans="1:8" x14ac:dyDescent="0.25">
      <c r="A5577" s="5"/>
      <c r="B5577" s="6"/>
      <c r="C5577" s="6"/>
      <c r="D5577" s="6"/>
      <c r="E5577" s="6"/>
      <c r="G5577" s="3"/>
      <c r="H5577" s="2"/>
    </row>
    <row r="5578" spans="1:8" x14ac:dyDescent="0.25">
      <c r="A5578" s="5"/>
      <c r="B5578" s="6"/>
      <c r="C5578" s="6"/>
      <c r="D5578" s="6"/>
      <c r="E5578" s="6"/>
      <c r="G5578" s="1"/>
      <c r="H5578" s="2"/>
    </row>
    <row r="5579" spans="1:8" x14ac:dyDescent="0.25">
      <c r="A5579" s="5"/>
      <c r="B5579" s="6"/>
      <c r="C5579" s="6"/>
      <c r="D5579" s="6"/>
      <c r="E5579" s="6"/>
      <c r="G5579" s="3"/>
      <c r="H5579" s="2"/>
    </row>
    <row r="5580" spans="1:8" x14ac:dyDescent="0.25">
      <c r="A5580" s="5"/>
      <c r="B5580" s="6"/>
      <c r="C5580" s="6"/>
      <c r="D5580" s="6"/>
      <c r="E5580" s="6"/>
      <c r="G5580" s="1"/>
      <c r="H5580" s="2"/>
    </row>
    <row r="5581" spans="1:8" x14ac:dyDescent="0.25">
      <c r="A5581" s="5"/>
      <c r="B5581" s="6"/>
      <c r="C5581" s="6"/>
      <c r="D5581" s="6"/>
      <c r="E5581" s="6"/>
      <c r="G5581" s="3"/>
      <c r="H5581" s="2"/>
    </row>
    <row r="5582" spans="1:8" x14ac:dyDescent="0.25">
      <c r="A5582" s="5"/>
      <c r="B5582" s="6"/>
      <c r="C5582" s="6"/>
      <c r="D5582" s="6"/>
      <c r="E5582" s="6"/>
      <c r="G5582" s="1"/>
      <c r="H5582" s="2"/>
    </row>
    <row r="5583" spans="1:8" x14ac:dyDescent="0.25">
      <c r="A5583" s="5"/>
      <c r="B5583" s="6"/>
      <c r="C5583" s="6"/>
      <c r="D5583" s="6"/>
      <c r="E5583" s="6"/>
      <c r="G5583" s="3"/>
      <c r="H5583" s="2"/>
    </row>
    <row r="5584" spans="1:8" x14ac:dyDescent="0.25">
      <c r="A5584" s="5"/>
      <c r="B5584" s="6"/>
      <c r="C5584" s="6"/>
      <c r="D5584" s="6"/>
      <c r="E5584" s="6"/>
      <c r="G5584" s="1"/>
      <c r="H5584" s="2"/>
    </row>
    <row r="5585" spans="1:8" x14ac:dyDescent="0.25">
      <c r="A5585" s="5"/>
      <c r="B5585" s="6"/>
      <c r="C5585" s="6"/>
      <c r="D5585" s="6"/>
      <c r="E5585" s="6"/>
      <c r="G5585" s="3"/>
      <c r="H5585" s="2"/>
    </row>
    <row r="5586" spans="1:8" x14ac:dyDescent="0.25">
      <c r="A5586" s="5"/>
      <c r="B5586" s="6"/>
      <c r="C5586" s="6"/>
      <c r="D5586" s="6"/>
      <c r="E5586" s="6"/>
      <c r="G5586" s="1"/>
      <c r="H5586" s="2"/>
    </row>
    <row r="5587" spans="1:8" x14ac:dyDescent="0.25">
      <c r="A5587" s="5"/>
      <c r="B5587" s="6"/>
      <c r="C5587" s="6"/>
      <c r="D5587" s="6"/>
      <c r="E5587" s="6"/>
      <c r="G5587" s="3"/>
      <c r="H5587" s="2"/>
    </row>
    <row r="5588" spans="1:8" x14ac:dyDescent="0.25">
      <c r="A5588" s="5"/>
      <c r="B5588" s="6"/>
      <c r="C5588" s="6"/>
      <c r="D5588" s="6"/>
      <c r="E5588" s="6"/>
      <c r="G5588" s="1"/>
      <c r="H5588" s="2"/>
    </row>
    <row r="5589" spans="1:8" x14ac:dyDescent="0.25">
      <c r="A5589" s="5"/>
      <c r="B5589" s="6"/>
      <c r="C5589" s="6"/>
      <c r="D5589" s="6"/>
      <c r="E5589" s="6"/>
      <c r="G5589" s="3"/>
      <c r="H5589" s="2"/>
    </row>
    <row r="5590" spans="1:8" x14ac:dyDescent="0.25">
      <c r="A5590" s="5"/>
      <c r="B5590" s="6"/>
      <c r="C5590" s="6"/>
      <c r="D5590" s="6"/>
      <c r="E5590" s="6"/>
      <c r="G5590" s="1"/>
      <c r="H5590" s="2"/>
    </row>
    <row r="5591" spans="1:8" x14ac:dyDescent="0.25">
      <c r="A5591" s="5"/>
      <c r="B5591" s="6"/>
      <c r="C5591" s="6"/>
      <c r="D5591" s="6"/>
      <c r="E5591" s="6"/>
      <c r="G5591" s="3"/>
      <c r="H5591" s="2"/>
    </row>
    <row r="5592" spans="1:8" x14ac:dyDescent="0.25">
      <c r="A5592" s="5"/>
      <c r="B5592" s="6"/>
      <c r="C5592" s="6"/>
      <c r="D5592" s="6"/>
      <c r="E5592" s="6"/>
      <c r="G5592" s="1"/>
      <c r="H5592" s="2"/>
    </row>
    <row r="5593" spans="1:8" x14ac:dyDescent="0.25">
      <c r="A5593" s="5"/>
      <c r="B5593" s="6"/>
      <c r="C5593" s="6"/>
      <c r="D5593" s="6"/>
      <c r="E5593" s="6"/>
      <c r="G5593" s="3"/>
      <c r="H5593" s="2"/>
    </row>
    <row r="5594" spans="1:8" x14ac:dyDescent="0.25">
      <c r="A5594" s="5"/>
      <c r="B5594" s="6"/>
      <c r="C5594" s="6"/>
      <c r="D5594" s="6"/>
      <c r="E5594" s="6"/>
      <c r="G5594" s="1"/>
      <c r="H5594" s="2"/>
    </row>
    <row r="5595" spans="1:8" x14ac:dyDescent="0.25">
      <c r="A5595" s="5"/>
      <c r="B5595" s="6"/>
      <c r="C5595" s="6"/>
      <c r="D5595" s="6"/>
      <c r="E5595" s="6"/>
      <c r="G5595" s="3"/>
      <c r="H5595" s="2"/>
    </row>
    <row r="5596" spans="1:8" x14ac:dyDescent="0.25">
      <c r="A5596" s="5"/>
      <c r="B5596" s="6"/>
      <c r="C5596" s="6"/>
      <c r="D5596" s="6"/>
      <c r="E5596" s="6"/>
      <c r="G5596" s="1"/>
      <c r="H5596" s="2"/>
    </row>
    <row r="5597" spans="1:8" x14ac:dyDescent="0.25">
      <c r="A5597" s="5"/>
      <c r="B5597" s="6"/>
      <c r="C5597" s="6"/>
      <c r="D5597" s="6"/>
      <c r="E5597" s="6"/>
      <c r="G5597" s="3"/>
      <c r="H5597" s="2"/>
    </row>
    <row r="5598" spans="1:8" x14ac:dyDescent="0.25">
      <c r="A5598" s="5"/>
      <c r="B5598" s="6"/>
      <c r="C5598" s="6"/>
      <c r="D5598" s="6"/>
      <c r="E5598" s="6"/>
      <c r="G5598" s="1"/>
      <c r="H5598" s="2"/>
    </row>
    <row r="5599" spans="1:8" x14ac:dyDescent="0.25">
      <c r="A5599" s="5"/>
      <c r="B5599" s="6"/>
      <c r="C5599" s="6"/>
      <c r="D5599" s="6"/>
      <c r="E5599" s="6"/>
      <c r="G5599" s="3"/>
      <c r="H5599" s="2"/>
    </row>
    <row r="5600" spans="1:8" x14ac:dyDescent="0.25">
      <c r="A5600" s="5"/>
      <c r="B5600" s="6"/>
      <c r="C5600" s="6"/>
      <c r="D5600" s="6"/>
      <c r="E5600" s="6"/>
      <c r="G5600" s="1"/>
      <c r="H5600" s="2"/>
    </row>
    <row r="5601" spans="1:8" x14ac:dyDescent="0.25">
      <c r="A5601" s="5"/>
      <c r="B5601" s="6"/>
      <c r="C5601" s="6"/>
      <c r="D5601" s="6"/>
      <c r="E5601" s="6"/>
      <c r="G5601" s="3"/>
      <c r="H5601" s="2"/>
    </row>
    <row r="5602" spans="1:8" x14ac:dyDescent="0.25">
      <c r="A5602" s="5"/>
      <c r="B5602" s="6"/>
      <c r="C5602" s="6"/>
      <c r="D5602" s="6"/>
      <c r="E5602" s="6"/>
      <c r="G5602" s="1"/>
      <c r="H5602" s="2"/>
    </row>
    <row r="5603" spans="1:8" x14ac:dyDescent="0.25">
      <c r="A5603" s="5"/>
      <c r="B5603" s="6"/>
      <c r="C5603" s="6"/>
      <c r="D5603" s="6"/>
      <c r="E5603" s="6"/>
      <c r="G5603" s="3"/>
      <c r="H5603" s="2"/>
    </row>
    <row r="5604" spans="1:8" x14ac:dyDescent="0.25">
      <c r="A5604" s="5"/>
      <c r="B5604" s="6"/>
      <c r="C5604" s="6"/>
      <c r="D5604" s="6"/>
      <c r="E5604" s="6"/>
      <c r="G5604" s="1"/>
      <c r="H5604" s="2"/>
    </row>
    <row r="5605" spans="1:8" x14ac:dyDescent="0.25">
      <c r="A5605" s="5"/>
      <c r="B5605" s="6"/>
      <c r="C5605" s="6"/>
      <c r="D5605" s="6"/>
      <c r="E5605" s="6"/>
      <c r="G5605" s="14"/>
      <c r="H5605" s="2"/>
    </row>
    <row r="5606" spans="1:8" x14ac:dyDescent="0.25">
      <c r="A5606" s="5"/>
      <c r="B5606" s="6"/>
      <c r="C5606" s="6"/>
      <c r="D5606" s="6"/>
      <c r="E5606" s="6"/>
      <c r="G5606" s="14"/>
      <c r="H5606" s="2"/>
    </row>
    <row r="5607" spans="1:8" x14ac:dyDescent="0.25">
      <c r="A5607" s="5"/>
      <c r="B5607" s="6"/>
      <c r="C5607" s="6"/>
      <c r="D5607" s="6"/>
      <c r="E5607" s="6"/>
      <c r="G5607" s="14"/>
      <c r="H5607" s="2"/>
    </row>
    <row r="5608" spans="1:8" x14ac:dyDescent="0.25">
      <c r="A5608" s="5"/>
      <c r="B5608" s="6"/>
      <c r="C5608" s="6"/>
      <c r="D5608" s="6"/>
      <c r="E5608" s="6"/>
      <c r="G5608" s="14"/>
      <c r="H5608" s="2"/>
    </row>
    <row r="5609" spans="1:8" x14ac:dyDescent="0.25">
      <c r="A5609" s="5"/>
      <c r="B5609" s="6"/>
      <c r="C5609" s="6"/>
      <c r="D5609" s="6"/>
      <c r="E5609" s="6"/>
      <c r="G5609" s="14"/>
      <c r="H5609" s="2"/>
    </row>
    <row r="5610" spans="1:8" x14ac:dyDescent="0.25">
      <c r="A5610" s="5"/>
      <c r="B5610" s="6"/>
      <c r="C5610" s="6"/>
      <c r="D5610" s="6"/>
      <c r="E5610" s="6"/>
      <c r="G5610" s="14"/>
      <c r="H5610" s="2"/>
    </row>
    <row r="5611" spans="1:8" x14ac:dyDescent="0.25">
      <c r="A5611" s="5"/>
      <c r="B5611" s="6"/>
      <c r="C5611" s="6"/>
      <c r="D5611" s="6"/>
      <c r="E5611" s="6"/>
    </row>
    <row r="5612" spans="1:8" x14ac:dyDescent="0.25">
      <c r="A5612" s="5"/>
      <c r="B5612" s="6"/>
      <c r="C5612" s="6"/>
      <c r="D5612" s="6"/>
      <c r="E5612" s="6"/>
      <c r="G5612" s="3"/>
      <c r="H5612" s="2"/>
    </row>
    <row r="5613" spans="1:8" x14ac:dyDescent="0.25">
      <c r="A5613" s="5"/>
      <c r="B5613" s="6"/>
      <c r="C5613" s="6"/>
      <c r="D5613" s="6"/>
      <c r="E5613" s="6"/>
      <c r="G5613" s="1"/>
      <c r="H5613" s="2"/>
    </row>
    <row r="5614" spans="1:8" x14ac:dyDescent="0.25">
      <c r="A5614" s="5"/>
      <c r="B5614" s="6"/>
      <c r="C5614" s="6"/>
      <c r="D5614" s="6"/>
      <c r="E5614" s="6"/>
      <c r="G5614" s="3"/>
      <c r="H5614" s="2"/>
    </row>
    <row r="5615" spans="1:8" x14ac:dyDescent="0.25">
      <c r="A5615" s="5"/>
      <c r="B5615" s="6"/>
      <c r="C5615" s="6"/>
      <c r="D5615" s="6"/>
      <c r="E5615" s="6"/>
      <c r="G5615" s="1"/>
      <c r="H5615" s="2"/>
    </row>
    <row r="5616" spans="1:8" x14ac:dyDescent="0.25">
      <c r="A5616" s="5"/>
      <c r="B5616" s="6"/>
      <c r="C5616" s="6"/>
      <c r="D5616" s="6"/>
      <c r="E5616" s="6"/>
      <c r="G5616" s="3"/>
      <c r="H5616" s="2"/>
    </row>
    <row r="5617" spans="1:8" x14ac:dyDescent="0.25">
      <c r="A5617" s="5"/>
      <c r="B5617" s="6"/>
      <c r="C5617" s="6"/>
      <c r="D5617" s="6"/>
      <c r="E5617" s="6"/>
      <c r="G5617" s="1"/>
      <c r="H5617" s="2"/>
    </row>
    <row r="5618" spans="1:8" x14ac:dyDescent="0.25">
      <c r="A5618" s="5"/>
      <c r="B5618" s="6"/>
      <c r="C5618" s="6"/>
      <c r="D5618" s="6"/>
      <c r="E5618" s="6"/>
      <c r="G5618" s="3"/>
      <c r="H5618" s="2"/>
    </row>
    <row r="5619" spans="1:8" x14ac:dyDescent="0.25">
      <c r="A5619" s="5"/>
      <c r="B5619" s="6"/>
      <c r="C5619" s="6"/>
      <c r="D5619" s="6"/>
      <c r="E5619" s="6"/>
      <c r="G5619" s="1"/>
      <c r="H5619" s="2"/>
    </row>
    <row r="5620" spans="1:8" x14ac:dyDescent="0.25">
      <c r="A5620" s="5"/>
      <c r="B5620" s="6"/>
      <c r="C5620" s="6"/>
      <c r="D5620" s="6"/>
      <c r="E5620" s="6"/>
      <c r="G5620" s="3"/>
      <c r="H5620" s="2"/>
    </row>
    <row r="5621" spans="1:8" x14ac:dyDescent="0.25">
      <c r="A5621" s="5"/>
      <c r="B5621" s="6"/>
      <c r="C5621" s="6"/>
      <c r="D5621" s="6"/>
      <c r="E5621" s="6"/>
      <c r="G5621" s="1"/>
      <c r="H5621" s="2"/>
    </row>
    <row r="5622" spans="1:8" x14ac:dyDescent="0.25">
      <c r="A5622" s="5"/>
      <c r="B5622" s="6"/>
      <c r="C5622" s="6"/>
      <c r="D5622" s="6"/>
      <c r="E5622" s="6"/>
      <c r="G5622" s="3"/>
      <c r="H5622" s="2"/>
    </row>
    <row r="5623" spans="1:8" x14ac:dyDescent="0.25">
      <c r="A5623" s="5"/>
      <c r="B5623" s="6"/>
      <c r="C5623" s="6"/>
      <c r="D5623" s="6"/>
      <c r="E5623" s="6"/>
      <c r="G5623" s="1"/>
      <c r="H5623" s="2"/>
    </row>
    <row r="5624" spans="1:8" x14ac:dyDescent="0.25">
      <c r="A5624" s="5"/>
      <c r="B5624" s="6"/>
      <c r="C5624" s="6"/>
      <c r="D5624" s="6"/>
      <c r="E5624" s="6"/>
      <c r="G5624" s="3"/>
      <c r="H5624" s="2"/>
    </row>
    <row r="5625" spans="1:8" x14ac:dyDescent="0.25">
      <c r="A5625" s="5"/>
      <c r="B5625" s="6"/>
      <c r="C5625" s="6"/>
      <c r="D5625" s="6"/>
      <c r="E5625" s="6"/>
      <c r="G5625" s="1"/>
      <c r="H5625" s="2"/>
    </row>
    <row r="5626" spans="1:8" x14ac:dyDescent="0.25">
      <c r="A5626" s="5"/>
      <c r="B5626" s="6"/>
      <c r="C5626" s="6"/>
      <c r="D5626" s="6"/>
      <c r="E5626" s="6"/>
      <c r="G5626" s="3"/>
      <c r="H5626" s="2"/>
    </row>
    <row r="5627" spans="1:8" x14ac:dyDescent="0.25">
      <c r="A5627" s="5"/>
      <c r="B5627" s="6"/>
      <c r="C5627" s="6"/>
      <c r="D5627" s="6"/>
      <c r="E5627" s="6"/>
      <c r="G5627" s="1"/>
      <c r="H5627" s="2"/>
    </row>
    <row r="5628" spans="1:8" x14ac:dyDescent="0.25">
      <c r="A5628" s="5"/>
      <c r="B5628" s="6"/>
      <c r="C5628" s="6"/>
      <c r="D5628" s="6"/>
      <c r="E5628" s="6"/>
      <c r="G5628" s="3"/>
      <c r="H5628" s="2"/>
    </row>
    <row r="5629" spans="1:8" x14ac:dyDescent="0.25">
      <c r="A5629" s="5"/>
      <c r="B5629" s="6"/>
      <c r="C5629" s="6"/>
      <c r="D5629" s="6"/>
      <c r="E5629" s="6"/>
      <c r="G5629" s="1"/>
      <c r="H5629" s="2"/>
    </row>
    <row r="5630" spans="1:8" x14ac:dyDescent="0.25">
      <c r="A5630" s="5"/>
      <c r="B5630" s="6"/>
      <c r="C5630" s="6"/>
      <c r="D5630" s="6"/>
      <c r="E5630" s="6"/>
      <c r="G5630" s="3"/>
      <c r="H5630" s="2"/>
    </row>
    <row r="5631" spans="1:8" x14ac:dyDescent="0.25">
      <c r="A5631" s="5"/>
      <c r="B5631" s="6"/>
      <c r="C5631" s="6"/>
      <c r="D5631" s="6"/>
      <c r="E5631" s="6"/>
      <c r="G5631" s="1"/>
      <c r="H5631" s="2"/>
    </row>
    <row r="5632" spans="1:8" x14ac:dyDescent="0.25">
      <c r="A5632" s="5"/>
      <c r="B5632" s="6"/>
      <c r="C5632" s="6"/>
      <c r="D5632" s="6"/>
      <c r="E5632" s="6"/>
      <c r="G5632" s="3"/>
      <c r="H5632" s="2"/>
    </row>
    <row r="5633" spans="1:8" x14ac:dyDescent="0.25">
      <c r="A5633" s="5"/>
      <c r="B5633" s="6"/>
      <c r="C5633" s="6"/>
      <c r="D5633" s="6"/>
      <c r="E5633" s="6"/>
      <c r="G5633" s="1"/>
      <c r="H5633" s="2"/>
    </row>
    <row r="5634" spans="1:8" x14ac:dyDescent="0.25">
      <c r="A5634" s="5"/>
      <c r="B5634" s="6"/>
      <c r="C5634" s="6"/>
      <c r="D5634" s="6"/>
      <c r="E5634" s="6"/>
      <c r="G5634" s="3"/>
      <c r="H5634" s="2"/>
    </row>
    <row r="5635" spans="1:8" x14ac:dyDescent="0.25">
      <c r="A5635" s="5"/>
      <c r="B5635" s="6"/>
      <c r="C5635" s="6"/>
      <c r="D5635" s="6"/>
      <c r="E5635" s="6"/>
      <c r="G5635" s="1"/>
      <c r="H5635" s="2"/>
    </row>
    <row r="5636" spans="1:8" x14ac:dyDescent="0.25">
      <c r="A5636" s="5"/>
      <c r="B5636" s="6"/>
      <c r="C5636" s="6"/>
      <c r="D5636" s="6"/>
      <c r="E5636" s="6"/>
      <c r="G5636" s="3"/>
      <c r="H5636" s="2"/>
    </row>
    <row r="5637" spans="1:8" x14ac:dyDescent="0.25">
      <c r="A5637" s="5"/>
      <c r="B5637" s="6"/>
      <c r="C5637" s="6"/>
      <c r="D5637" s="6"/>
      <c r="E5637" s="6"/>
      <c r="G5637" s="1"/>
      <c r="H5637" s="2"/>
    </row>
    <row r="5638" spans="1:8" x14ac:dyDescent="0.25">
      <c r="A5638" s="5"/>
      <c r="B5638" s="6"/>
      <c r="C5638" s="6"/>
      <c r="D5638" s="6"/>
      <c r="E5638" s="6"/>
      <c r="G5638" s="3"/>
      <c r="H5638" s="2"/>
    </row>
    <row r="5639" spans="1:8" x14ac:dyDescent="0.25">
      <c r="A5639" s="5"/>
      <c r="B5639" s="6"/>
      <c r="C5639" s="6"/>
      <c r="D5639" s="6"/>
      <c r="E5639" s="6"/>
      <c r="G5639" s="1"/>
      <c r="H5639" s="2"/>
    </row>
    <row r="5640" spans="1:8" x14ac:dyDescent="0.25">
      <c r="A5640" s="5"/>
      <c r="B5640" s="6"/>
      <c r="C5640" s="6"/>
      <c r="D5640" s="6"/>
      <c r="E5640" s="6"/>
      <c r="G5640" s="3"/>
      <c r="H5640" s="2"/>
    </row>
    <row r="5641" spans="1:8" x14ac:dyDescent="0.25">
      <c r="A5641" s="5"/>
      <c r="B5641" s="6"/>
      <c r="C5641" s="6"/>
      <c r="D5641" s="6"/>
      <c r="E5641" s="6"/>
      <c r="G5641" s="1"/>
      <c r="H5641" s="2"/>
    </row>
    <row r="5642" spans="1:8" x14ac:dyDescent="0.25">
      <c r="A5642" s="5"/>
      <c r="B5642" s="6"/>
      <c r="C5642" s="6"/>
      <c r="D5642" s="6"/>
      <c r="E5642" s="6"/>
      <c r="G5642" s="3"/>
      <c r="H5642" s="2"/>
    </row>
    <row r="5643" spans="1:8" x14ac:dyDescent="0.25">
      <c r="A5643" s="5"/>
      <c r="B5643" s="6"/>
      <c r="C5643" s="6"/>
      <c r="D5643" s="6"/>
      <c r="E5643" s="6"/>
      <c r="G5643" s="1"/>
      <c r="H5643" s="2"/>
    </row>
    <row r="5644" spans="1:8" x14ac:dyDescent="0.25">
      <c r="A5644" s="5"/>
      <c r="B5644" s="6"/>
      <c r="C5644" s="6"/>
      <c r="D5644" s="6"/>
      <c r="E5644" s="6"/>
      <c r="G5644" s="3"/>
      <c r="H5644" s="2"/>
    </row>
    <row r="5645" spans="1:8" x14ac:dyDescent="0.25">
      <c r="A5645" s="5"/>
      <c r="B5645" s="6"/>
      <c r="C5645" s="6"/>
      <c r="D5645" s="6"/>
      <c r="E5645" s="6"/>
      <c r="G5645" s="1"/>
      <c r="H5645" s="2"/>
    </row>
    <row r="5646" spans="1:8" x14ac:dyDescent="0.25">
      <c r="A5646" s="5"/>
      <c r="B5646" s="6"/>
      <c r="C5646" s="6"/>
      <c r="D5646" s="6"/>
      <c r="E5646" s="6"/>
      <c r="G5646" s="3"/>
      <c r="H5646" s="2"/>
    </row>
    <row r="5647" spans="1:8" x14ac:dyDescent="0.25">
      <c r="A5647" s="5"/>
      <c r="B5647" s="6"/>
      <c r="C5647" s="6"/>
      <c r="D5647" s="6"/>
      <c r="E5647" s="6"/>
      <c r="G5647" s="1"/>
      <c r="H5647" s="2"/>
    </row>
    <row r="5648" spans="1:8" x14ac:dyDescent="0.25">
      <c r="A5648" s="5"/>
      <c r="B5648" s="6"/>
      <c r="C5648" s="6"/>
      <c r="D5648" s="6"/>
      <c r="E5648" s="6"/>
      <c r="G5648" s="3"/>
      <c r="H5648" s="2"/>
    </row>
    <row r="5649" spans="1:8" x14ac:dyDescent="0.25">
      <c r="A5649" s="5"/>
      <c r="B5649" s="6"/>
      <c r="C5649" s="6"/>
      <c r="D5649" s="6"/>
      <c r="E5649" s="6"/>
      <c r="G5649" s="1"/>
      <c r="H5649" s="2"/>
    </row>
    <row r="5650" spans="1:8" x14ac:dyDescent="0.25">
      <c r="A5650" s="5"/>
      <c r="B5650" s="6"/>
      <c r="C5650" s="6"/>
      <c r="D5650" s="6"/>
      <c r="E5650" s="6"/>
      <c r="G5650" s="3"/>
      <c r="H5650" s="2"/>
    </row>
    <row r="5651" spans="1:8" x14ac:dyDescent="0.25">
      <c r="A5651" s="5"/>
      <c r="B5651" s="6"/>
      <c r="C5651" s="6"/>
      <c r="D5651" s="6"/>
      <c r="E5651" s="6"/>
      <c r="G5651" s="1"/>
      <c r="H5651" s="2"/>
    </row>
    <row r="5652" spans="1:8" x14ac:dyDescent="0.25">
      <c r="A5652" s="5"/>
      <c r="B5652" s="6"/>
      <c r="C5652" s="6"/>
      <c r="D5652" s="6"/>
      <c r="E5652" s="6"/>
      <c r="G5652" s="3"/>
      <c r="H5652" s="2"/>
    </row>
    <row r="5653" spans="1:8" x14ac:dyDescent="0.25">
      <c r="A5653" s="5"/>
      <c r="B5653" s="6"/>
      <c r="C5653" s="6"/>
      <c r="D5653" s="6"/>
      <c r="E5653" s="6"/>
      <c r="G5653" s="1"/>
      <c r="H5653" s="2"/>
    </row>
    <row r="5654" spans="1:8" x14ac:dyDescent="0.25">
      <c r="A5654" s="5"/>
      <c r="B5654" s="6"/>
      <c r="C5654" s="6"/>
      <c r="D5654" s="6"/>
      <c r="E5654" s="6"/>
      <c r="G5654" s="3"/>
      <c r="H5654" s="2"/>
    </row>
    <row r="5655" spans="1:8" x14ac:dyDescent="0.25">
      <c r="A5655" s="5"/>
      <c r="B5655" s="6"/>
      <c r="C5655" s="6"/>
      <c r="D5655" s="6"/>
      <c r="E5655" s="6"/>
      <c r="G5655" s="1"/>
      <c r="H5655" s="2"/>
    </row>
    <row r="5656" spans="1:8" x14ac:dyDescent="0.25">
      <c r="A5656" s="5"/>
      <c r="B5656" s="6"/>
      <c r="C5656" s="6"/>
      <c r="D5656" s="6"/>
      <c r="E5656" s="6"/>
      <c r="G5656" s="3"/>
      <c r="H5656" s="2"/>
    </row>
    <row r="5657" spans="1:8" x14ac:dyDescent="0.25">
      <c r="A5657" s="5"/>
      <c r="B5657" s="6"/>
      <c r="C5657" s="6"/>
      <c r="D5657" s="6"/>
      <c r="E5657" s="6"/>
      <c r="G5657" s="1"/>
      <c r="H5657" s="2"/>
    </row>
    <row r="5658" spans="1:8" x14ac:dyDescent="0.25">
      <c r="A5658" s="5"/>
      <c r="B5658" s="6"/>
      <c r="C5658" s="6"/>
      <c r="D5658" s="6"/>
      <c r="E5658" s="6"/>
      <c r="G5658" s="3"/>
      <c r="H5658" s="2"/>
    </row>
    <row r="5659" spans="1:8" x14ac:dyDescent="0.25">
      <c r="A5659" s="5"/>
      <c r="B5659" s="6"/>
      <c r="C5659" s="6"/>
      <c r="D5659" s="6"/>
      <c r="E5659" s="6"/>
      <c r="G5659" s="1"/>
      <c r="H5659" s="2"/>
    </row>
    <row r="5660" spans="1:8" x14ac:dyDescent="0.25">
      <c r="A5660" s="5"/>
      <c r="B5660" s="6"/>
      <c r="C5660" s="6"/>
      <c r="D5660" s="6"/>
      <c r="E5660" s="6"/>
      <c r="G5660" s="3"/>
      <c r="H5660" s="2"/>
    </row>
    <row r="5661" spans="1:8" x14ac:dyDescent="0.25">
      <c r="A5661" s="5"/>
      <c r="B5661" s="6"/>
      <c r="C5661" s="6"/>
      <c r="D5661" s="6"/>
      <c r="E5661" s="6"/>
      <c r="G5661" s="1"/>
      <c r="H5661" s="2"/>
    </row>
    <row r="5662" spans="1:8" x14ac:dyDescent="0.25">
      <c r="A5662" s="5"/>
      <c r="B5662" s="6"/>
      <c r="C5662" s="6"/>
      <c r="D5662" s="6"/>
      <c r="E5662" s="6"/>
      <c r="G5662" s="3"/>
      <c r="H5662" s="2"/>
    </row>
    <row r="5663" spans="1:8" x14ac:dyDescent="0.25">
      <c r="A5663" s="5"/>
      <c r="B5663" s="6"/>
      <c r="C5663" s="6"/>
      <c r="D5663" s="6"/>
      <c r="E5663" s="6"/>
      <c r="G5663" s="1"/>
      <c r="H5663" s="2"/>
    </row>
    <row r="5664" spans="1:8" x14ac:dyDescent="0.25">
      <c r="A5664" s="5"/>
      <c r="B5664" s="6"/>
      <c r="C5664" s="6"/>
      <c r="D5664" s="6"/>
      <c r="E5664" s="6"/>
      <c r="G5664" s="3"/>
      <c r="H5664" s="2"/>
    </row>
    <row r="5665" spans="1:8" x14ac:dyDescent="0.25">
      <c r="A5665" s="5"/>
      <c r="B5665" s="6"/>
      <c r="C5665" s="6"/>
      <c r="D5665" s="6"/>
      <c r="E5665" s="6"/>
      <c r="G5665" s="1"/>
      <c r="H5665" s="2"/>
    </row>
    <row r="5666" spans="1:8" x14ac:dyDescent="0.25">
      <c r="A5666" s="5"/>
      <c r="B5666" s="6"/>
      <c r="C5666" s="6"/>
      <c r="D5666" s="6"/>
      <c r="E5666" s="6"/>
      <c r="G5666" s="3"/>
      <c r="H5666" s="2"/>
    </row>
    <row r="5667" spans="1:8" x14ac:dyDescent="0.25">
      <c r="A5667" s="5"/>
      <c r="B5667" s="6"/>
      <c r="C5667" s="6"/>
      <c r="D5667" s="6"/>
      <c r="E5667" s="6"/>
      <c r="G5667" s="1"/>
      <c r="H5667" s="2"/>
    </row>
    <row r="5668" spans="1:8" x14ac:dyDescent="0.25">
      <c r="A5668" s="5"/>
      <c r="B5668" s="6"/>
      <c r="C5668" s="6"/>
      <c r="D5668" s="6"/>
      <c r="E5668" s="6"/>
      <c r="G5668" s="3"/>
      <c r="H5668" s="2"/>
    </row>
    <row r="5669" spans="1:8" x14ac:dyDescent="0.25">
      <c r="A5669" s="5"/>
      <c r="B5669" s="6"/>
      <c r="C5669" s="6"/>
      <c r="D5669" s="6"/>
      <c r="E5669" s="6"/>
      <c r="G5669" s="1"/>
      <c r="H5669" s="2"/>
    </row>
    <row r="5670" spans="1:8" x14ac:dyDescent="0.25">
      <c r="A5670" s="5"/>
      <c r="B5670" s="6"/>
      <c r="C5670" s="6"/>
      <c r="D5670" s="6"/>
      <c r="E5670" s="6"/>
      <c r="G5670" s="3"/>
      <c r="H5670" s="2"/>
    </row>
    <row r="5671" spans="1:8" x14ac:dyDescent="0.25">
      <c r="A5671" s="5"/>
      <c r="B5671" s="6"/>
      <c r="C5671" s="6"/>
      <c r="D5671" s="6"/>
      <c r="E5671" s="6"/>
      <c r="G5671" s="1"/>
      <c r="H5671" s="2"/>
    </row>
    <row r="5672" spans="1:8" x14ac:dyDescent="0.25">
      <c r="A5672" s="5"/>
      <c r="B5672" s="6"/>
      <c r="C5672" s="6"/>
      <c r="D5672" s="6"/>
      <c r="E5672" s="6"/>
      <c r="G5672" s="3"/>
      <c r="H5672" s="2"/>
    </row>
    <row r="5673" spans="1:8" x14ac:dyDescent="0.25">
      <c r="A5673" s="5"/>
      <c r="B5673" s="6"/>
      <c r="C5673" s="6"/>
      <c r="D5673" s="6"/>
      <c r="E5673" s="6"/>
      <c r="G5673" s="1"/>
      <c r="H5673" s="2"/>
    </row>
    <row r="5674" spans="1:8" x14ac:dyDescent="0.25">
      <c r="A5674" s="5"/>
      <c r="B5674" s="6"/>
      <c r="C5674" s="6"/>
      <c r="D5674" s="6"/>
      <c r="E5674" s="6"/>
      <c r="G5674" s="3"/>
      <c r="H5674" s="2"/>
    </row>
    <row r="5675" spans="1:8" x14ac:dyDescent="0.25">
      <c r="A5675" s="5"/>
      <c r="B5675" s="6"/>
      <c r="C5675" s="6"/>
      <c r="D5675" s="6"/>
      <c r="E5675" s="6"/>
      <c r="G5675" s="1"/>
      <c r="H5675" s="2"/>
    </row>
    <row r="5676" spans="1:8" x14ac:dyDescent="0.25">
      <c r="A5676" s="5"/>
      <c r="B5676" s="6"/>
      <c r="C5676" s="6"/>
      <c r="D5676" s="6"/>
      <c r="E5676" s="6"/>
      <c r="G5676" s="3"/>
      <c r="H5676" s="2"/>
    </row>
    <row r="5677" spans="1:8" x14ac:dyDescent="0.25">
      <c r="A5677" s="5"/>
      <c r="B5677" s="6"/>
      <c r="C5677" s="6"/>
      <c r="D5677" s="6"/>
      <c r="E5677" s="6"/>
      <c r="G5677" s="1"/>
      <c r="H5677" s="2"/>
    </row>
    <row r="5678" spans="1:8" x14ac:dyDescent="0.25">
      <c r="A5678" s="5"/>
      <c r="B5678" s="6"/>
      <c r="C5678" s="6"/>
      <c r="D5678" s="6"/>
      <c r="E5678" s="6"/>
      <c r="G5678" s="3"/>
      <c r="H5678" s="2"/>
    </row>
    <row r="5679" spans="1:8" x14ac:dyDescent="0.25">
      <c r="A5679" s="5"/>
      <c r="B5679" s="6"/>
      <c r="C5679" s="6"/>
      <c r="D5679" s="6"/>
      <c r="E5679" s="6"/>
      <c r="G5679" s="1"/>
      <c r="H5679" s="2"/>
    </row>
    <row r="5680" spans="1:8" x14ac:dyDescent="0.25">
      <c r="A5680" s="5"/>
      <c r="B5680" s="6"/>
      <c r="C5680" s="6"/>
      <c r="D5680" s="6"/>
      <c r="E5680" s="6"/>
      <c r="G5680" s="3"/>
      <c r="H5680" s="2"/>
    </row>
    <row r="5681" spans="1:8" x14ac:dyDescent="0.25">
      <c r="A5681" s="5"/>
      <c r="B5681" s="6"/>
      <c r="C5681" s="6"/>
      <c r="D5681" s="6"/>
      <c r="E5681" s="6"/>
      <c r="G5681" s="1"/>
      <c r="H5681" s="2"/>
    </row>
    <row r="5682" spans="1:8" x14ac:dyDescent="0.25">
      <c r="A5682" s="5"/>
      <c r="B5682" s="6"/>
      <c r="C5682" s="6"/>
      <c r="D5682" s="6"/>
      <c r="E5682" s="6"/>
      <c r="G5682" s="3"/>
      <c r="H5682" s="2"/>
    </row>
    <row r="5683" spans="1:8" x14ac:dyDescent="0.25">
      <c r="A5683" s="5"/>
      <c r="B5683" s="6"/>
      <c r="C5683" s="6"/>
      <c r="D5683" s="6"/>
      <c r="E5683" s="6"/>
      <c r="G5683" s="1"/>
      <c r="H5683" s="2"/>
    </row>
    <row r="5684" spans="1:8" x14ac:dyDescent="0.25">
      <c r="A5684" s="5"/>
      <c r="B5684" s="6"/>
      <c r="C5684" s="6"/>
      <c r="D5684" s="6"/>
      <c r="E5684" s="6"/>
      <c r="G5684" s="3"/>
      <c r="H5684" s="2"/>
    </row>
    <row r="5685" spans="1:8" x14ac:dyDescent="0.25">
      <c r="A5685" s="5"/>
      <c r="B5685" s="6"/>
      <c r="C5685" s="6"/>
      <c r="D5685" s="6"/>
      <c r="E5685" s="6"/>
      <c r="G5685" s="1"/>
      <c r="H5685" s="2"/>
    </row>
    <row r="5686" spans="1:8" x14ac:dyDescent="0.25">
      <c r="A5686" s="5"/>
      <c r="B5686" s="6"/>
      <c r="C5686" s="6"/>
      <c r="D5686" s="6"/>
      <c r="E5686" s="6"/>
      <c r="G5686" s="3"/>
      <c r="H5686" s="2"/>
    </row>
    <row r="5687" spans="1:8" x14ac:dyDescent="0.25">
      <c r="A5687" s="5"/>
      <c r="B5687" s="6"/>
      <c r="C5687" s="6"/>
      <c r="D5687" s="6"/>
      <c r="E5687" s="6"/>
      <c r="G5687" s="1"/>
      <c r="H5687" s="2"/>
    </row>
    <row r="5688" spans="1:8" x14ac:dyDescent="0.25">
      <c r="A5688" s="5"/>
      <c r="B5688" s="6"/>
      <c r="C5688" s="6"/>
      <c r="D5688" s="6"/>
      <c r="E5688" s="6"/>
      <c r="G5688" s="3"/>
      <c r="H5688" s="2"/>
    </row>
    <row r="5689" spans="1:8" x14ac:dyDescent="0.25">
      <c r="A5689" s="5"/>
      <c r="B5689" s="6"/>
      <c r="C5689" s="6"/>
      <c r="D5689" s="6"/>
      <c r="E5689" s="6"/>
      <c r="G5689" s="1"/>
      <c r="H5689" s="2"/>
    </row>
    <row r="5690" spans="1:8" x14ac:dyDescent="0.25">
      <c r="A5690" s="5"/>
      <c r="B5690" s="6"/>
      <c r="C5690" s="6"/>
      <c r="D5690" s="6"/>
      <c r="E5690" s="6"/>
      <c r="G5690" s="3"/>
      <c r="H5690" s="2"/>
    </row>
    <row r="5691" spans="1:8" x14ac:dyDescent="0.25">
      <c r="A5691" s="5"/>
      <c r="B5691" s="6"/>
      <c r="C5691" s="6"/>
      <c r="D5691" s="6"/>
      <c r="E5691" s="6"/>
      <c r="G5691" s="1"/>
      <c r="H5691" s="2"/>
    </row>
    <row r="5692" spans="1:8" x14ac:dyDescent="0.25">
      <c r="A5692" s="5"/>
      <c r="B5692" s="6"/>
      <c r="C5692" s="6"/>
      <c r="D5692" s="6"/>
      <c r="E5692" s="6"/>
      <c r="G5692" s="3"/>
      <c r="H5692" s="2"/>
    </row>
    <row r="5693" spans="1:8" x14ac:dyDescent="0.25">
      <c r="A5693" s="5"/>
      <c r="B5693" s="6"/>
      <c r="C5693" s="6"/>
      <c r="D5693" s="6"/>
      <c r="E5693" s="6"/>
      <c r="G5693" s="1"/>
      <c r="H5693" s="2"/>
    </row>
    <row r="5694" spans="1:8" x14ac:dyDescent="0.25">
      <c r="A5694" s="5"/>
      <c r="B5694" s="6"/>
      <c r="C5694" s="6"/>
      <c r="D5694" s="6"/>
      <c r="E5694" s="6"/>
      <c r="G5694" s="3"/>
      <c r="H5694" s="2"/>
    </row>
    <row r="5695" spans="1:8" x14ac:dyDescent="0.25">
      <c r="A5695" s="5"/>
      <c r="B5695" s="6"/>
      <c r="C5695" s="6"/>
      <c r="D5695" s="6"/>
      <c r="E5695" s="6"/>
      <c r="G5695" s="1"/>
      <c r="H5695" s="2"/>
    </row>
    <row r="5696" spans="1:8" x14ac:dyDescent="0.25">
      <c r="A5696" s="5"/>
      <c r="B5696" s="6"/>
      <c r="C5696" s="6"/>
      <c r="D5696" s="6"/>
      <c r="E5696" s="6"/>
      <c r="G5696" s="3"/>
      <c r="H5696" s="2"/>
    </row>
    <row r="5697" spans="1:8" x14ac:dyDescent="0.25">
      <c r="A5697" s="5"/>
      <c r="B5697" s="6"/>
      <c r="C5697" s="6"/>
      <c r="D5697" s="6"/>
      <c r="E5697" s="6"/>
      <c r="G5697" s="1"/>
      <c r="H5697" s="2"/>
    </row>
    <row r="5698" spans="1:8" x14ac:dyDescent="0.25">
      <c r="A5698" s="5"/>
      <c r="B5698" s="6"/>
      <c r="C5698" s="6"/>
      <c r="D5698" s="6"/>
      <c r="E5698" s="6"/>
      <c r="G5698" s="3"/>
      <c r="H5698" s="2"/>
    </row>
    <row r="5699" spans="1:8" x14ac:dyDescent="0.25">
      <c r="A5699" s="5"/>
      <c r="B5699" s="6"/>
      <c r="C5699" s="6"/>
      <c r="D5699" s="6"/>
      <c r="E5699" s="6"/>
      <c r="G5699" s="1"/>
      <c r="H5699" s="2"/>
    </row>
    <row r="5700" spans="1:8" x14ac:dyDescent="0.25">
      <c r="A5700" s="5"/>
      <c r="B5700" s="6"/>
      <c r="C5700" s="6"/>
      <c r="D5700" s="6"/>
      <c r="E5700" s="6"/>
      <c r="G5700" s="3"/>
      <c r="H5700" s="2"/>
    </row>
    <row r="5701" spans="1:8" x14ac:dyDescent="0.25">
      <c r="A5701" s="5"/>
      <c r="B5701" s="6"/>
      <c r="C5701" s="6"/>
      <c r="D5701" s="6"/>
      <c r="E5701" s="6"/>
      <c r="G5701" s="1"/>
      <c r="H5701" s="2"/>
    </row>
    <row r="5702" spans="1:8" x14ac:dyDescent="0.25">
      <c r="A5702" s="5"/>
      <c r="B5702" s="6"/>
      <c r="C5702" s="6"/>
      <c r="D5702" s="6"/>
      <c r="E5702" s="6"/>
      <c r="G5702" s="3"/>
      <c r="H5702" s="2"/>
    </row>
    <row r="5703" spans="1:8" x14ac:dyDescent="0.25">
      <c r="A5703" s="5"/>
      <c r="B5703" s="6"/>
      <c r="C5703" s="6"/>
      <c r="D5703" s="6"/>
      <c r="E5703" s="6"/>
      <c r="G5703" s="1"/>
      <c r="H5703" s="2"/>
    </row>
    <row r="5704" spans="1:8" x14ac:dyDescent="0.25">
      <c r="A5704" s="5"/>
      <c r="B5704" s="6"/>
      <c r="C5704" s="6"/>
      <c r="D5704" s="6"/>
      <c r="E5704" s="6"/>
      <c r="G5704" s="3"/>
      <c r="H5704" s="2"/>
    </row>
    <row r="5705" spans="1:8" x14ac:dyDescent="0.25">
      <c r="A5705" s="5"/>
      <c r="B5705" s="6"/>
      <c r="C5705" s="6"/>
      <c r="D5705" s="6"/>
      <c r="E5705" s="6"/>
      <c r="G5705" s="1"/>
      <c r="H5705" s="2"/>
    </row>
    <row r="5706" spans="1:8" x14ac:dyDescent="0.25">
      <c r="A5706" s="5"/>
      <c r="B5706" s="6"/>
      <c r="C5706" s="6"/>
      <c r="D5706" s="6"/>
      <c r="E5706" s="6"/>
      <c r="G5706" s="3"/>
      <c r="H5706" s="2"/>
    </row>
    <row r="5707" spans="1:8" x14ac:dyDescent="0.25">
      <c r="A5707" s="5"/>
      <c r="B5707" s="6"/>
      <c r="C5707" s="6"/>
      <c r="D5707" s="6"/>
      <c r="E5707" s="6"/>
      <c r="G5707" s="1"/>
      <c r="H5707" s="2"/>
    </row>
    <row r="5708" spans="1:8" x14ac:dyDescent="0.25">
      <c r="A5708" s="5"/>
      <c r="B5708" s="6"/>
      <c r="C5708" s="6"/>
      <c r="D5708" s="6"/>
      <c r="E5708" s="6"/>
      <c r="G5708" s="3"/>
      <c r="H5708" s="2"/>
    </row>
    <row r="5709" spans="1:8" x14ac:dyDescent="0.25">
      <c r="A5709" s="5"/>
      <c r="B5709" s="6"/>
      <c r="C5709" s="6"/>
      <c r="D5709" s="6"/>
      <c r="E5709" s="6"/>
      <c r="G5709" s="1"/>
      <c r="H5709" s="2"/>
    </row>
    <row r="5710" spans="1:8" x14ac:dyDescent="0.25">
      <c r="A5710" s="5"/>
      <c r="B5710" s="6"/>
      <c r="C5710" s="6"/>
      <c r="D5710" s="6"/>
      <c r="E5710" s="6"/>
      <c r="G5710" s="3"/>
      <c r="H5710" s="2"/>
    </row>
    <row r="5711" spans="1:8" x14ac:dyDescent="0.25">
      <c r="A5711" s="5"/>
      <c r="B5711" s="6"/>
      <c r="C5711" s="6"/>
      <c r="D5711" s="6"/>
      <c r="E5711" s="6"/>
      <c r="G5711" s="1"/>
      <c r="H5711" s="2"/>
    </row>
    <row r="5712" spans="1:8" x14ac:dyDescent="0.25">
      <c r="A5712" s="5"/>
      <c r="B5712" s="6"/>
      <c r="C5712" s="6"/>
      <c r="D5712" s="6"/>
      <c r="E5712" s="6"/>
      <c r="G5712" s="3"/>
      <c r="H5712" s="2"/>
    </row>
    <row r="5713" spans="1:8" x14ac:dyDescent="0.25">
      <c r="A5713" s="5"/>
      <c r="B5713" s="6"/>
      <c r="C5713" s="6"/>
      <c r="D5713" s="6"/>
      <c r="E5713" s="6"/>
      <c r="G5713" s="1"/>
      <c r="H5713" s="2"/>
    </row>
    <row r="5714" spans="1:8" x14ac:dyDescent="0.25">
      <c r="A5714" s="5"/>
      <c r="B5714" s="6"/>
      <c r="C5714" s="6"/>
      <c r="D5714" s="6"/>
      <c r="E5714" s="6"/>
      <c r="G5714" s="3"/>
      <c r="H5714" s="2"/>
    </row>
    <row r="5715" spans="1:8" x14ac:dyDescent="0.25">
      <c r="A5715" s="5"/>
      <c r="B5715" s="6"/>
      <c r="C5715" s="6"/>
      <c r="D5715" s="6"/>
      <c r="E5715" s="6"/>
      <c r="G5715" s="1"/>
      <c r="H5715" s="2"/>
    </row>
    <row r="5716" spans="1:8" x14ac:dyDescent="0.25">
      <c r="A5716" s="5"/>
      <c r="B5716" s="6"/>
      <c r="C5716" s="6"/>
      <c r="D5716" s="6"/>
      <c r="E5716" s="6"/>
      <c r="G5716" s="3"/>
      <c r="H5716" s="2"/>
    </row>
    <row r="5717" spans="1:8" x14ac:dyDescent="0.25">
      <c r="A5717" s="5"/>
      <c r="B5717" s="6"/>
      <c r="C5717" s="6"/>
      <c r="D5717" s="6"/>
      <c r="E5717" s="6"/>
      <c r="G5717" s="1"/>
      <c r="H5717" s="2"/>
    </row>
    <row r="5718" spans="1:8" x14ac:dyDescent="0.25">
      <c r="A5718" s="5"/>
      <c r="B5718" s="6"/>
      <c r="C5718" s="6"/>
      <c r="D5718" s="6"/>
      <c r="E5718" s="6"/>
      <c r="G5718" s="3"/>
      <c r="H5718" s="2"/>
    </row>
    <row r="5719" spans="1:8" x14ac:dyDescent="0.25">
      <c r="A5719" s="5"/>
      <c r="B5719" s="6"/>
      <c r="C5719" s="6"/>
      <c r="D5719" s="6"/>
      <c r="E5719" s="6"/>
      <c r="G5719" s="1"/>
      <c r="H5719" s="2"/>
    </row>
    <row r="5720" spans="1:8" x14ac:dyDescent="0.25">
      <c r="A5720" s="5"/>
      <c r="B5720" s="6"/>
      <c r="C5720" s="6"/>
      <c r="D5720" s="6"/>
      <c r="E5720" s="6"/>
      <c r="G5720" s="3"/>
      <c r="H5720" s="2"/>
    </row>
    <row r="5721" spans="1:8" x14ac:dyDescent="0.25">
      <c r="A5721" s="5"/>
      <c r="B5721" s="6"/>
      <c r="C5721" s="6"/>
      <c r="D5721" s="6"/>
      <c r="E5721" s="6"/>
      <c r="G5721" s="1"/>
      <c r="H5721" s="2"/>
    </row>
    <row r="5722" spans="1:8" x14ac:dyDescent="0.25">
      <c r="A5722" s="5"/>
      <c r="B5722" s="6"/>
      <c r="C5722" s="6"/>
      <c r="D5722" s="6"/>
      <c r="E5722" s="6"/>
      <c r="G5722" s="3"/>
      <c r="H5722" s="2"/>
    </row>
    <row r="5723" spans="1:8" x14ac:dyDescent="0.25">
      <c r="A5723" s="5"/>
      <c r="B5723" s="6"/>
      <c r="C5723" s="6"/>
      <c r="D5723" s="6"/>
      <c r="E5723" s="6"/>
      <c r="G5723" s="1"/>
      <c r="H5723" s="2"/>
    </row>
    <row r="5724" spans="1:8" x14ac:dyDescent="0.25">
      <c r="A5724" s="5"/>
      <c r="B5724" s="6"/>
      <c r="C5724" s="6"/>
      <c r="D5724" s="6"/>
      <c r="E5724" s="6"/>
      <c r="G5724" s="3"/>
      <c r="H5724" s="2"/>
    </row>
    <row r="5725" spans="1:8" x14ac:dyDescent="0.25">
      <c r="A5725" s="5"/>
      <c r="B5725" s="6"/>
      <c r="C5725" s="6"/>
      <c r="D5725" s="6"/>
      <c r="E5725" s="6"/>
      <c r="G5725" s="1"/>
      <c r="H5725" s="2"/>
    </row>
    <row r="5726" spans="1:8" x14ac:dyDescent="0.25">
      <c r="A5726" s="5"/>
      <c r="B5726" s="6"/>
      <c r="C5726" s="6"/>
      <c r="D5726" s="6"/>
      <c r="E5726" s="6"/>
      <c r="G5726" s="3"/>
      <c r="H5726" s="2"/>
    </row>
    <row r="5727" spans="1:8" x14ac:dyDescent="0.25">
      <c r="A5727" s="5"/>
      <c r="B5727" s="6"/>
      <c r="C5727" s="6"/>
      <c r="D5727" s="6"/>
      <c r="E5727" s="6"/>
      <c r="G5727" s="1"/>
      <c r="H5727" s="2"/>
    </row>
    <row r="5728" spans="1:8" x14ac:dyDescent="0.25">
      <c r="A5728" s="5"/>
      <c r="B5728" s="6"/>
      <c r="C5728" s="6"/>
      <c r="D5728" s="6"/>
      <c r="E5728" s="6"/>
      <c r="G5728" s="3"/>
      <c r="H5728" s="2"/>
    </row>
    <row r="5729" spans="1:8" x14ac:dyDescent="0.25">
      <c r="A5729" s="5"/>
      <c r="B5729" s="6"/>
      <c r="C5729" s="6"/>
      <c r="D5729" s="6"/>
      <c r="E5729" s="6"/>
      <c r="G5729" s="1"/>
      <c r="H5729" s="2"/>
    </row>
    <row r="5730" spans="1:8" x14ac:dyDescent="0.25">
      <c r="A5730" s="5"/>
      <c r="B5730" s="6"/>
      <c r="C5730" s="6"/>
      <c r="D5730" s="6"/>
      <c r="E5730" s="6"/>
      <c r="G5730" s="3"/>
      <c r="H5730" s="2"/>
    </row>
    <row r="5731" spans="1:8" x14ac:dyDescent="0.25">
      <c r="A5731" s="5"/>
      <c r="B5731" s="6"/>
      <c r="C5731" s="6"/>
      <c r="D5731" s="6"/>
      <c r="E5731" s="6"/>
      <c r="G5731" s="1"/>
      <c r="H5731" s="2"/>
    </row>
    <row r="5732" spans="1:8" x14ac:dyDescent="0.25">
      <c r="A5732" s="5"/>
      <c r="B5732" s="6"/>
      <c r="C5732" s="6"/>
      <c r="D5732" s="6"/>
      <c r="E5732" s="6"/>
      <c r="G5732" s="3"/>
      <c r="H5732" s="2"/>
    </row>
    <row r="5733" spans="1:8" x14ac:dyDescent="0.25">
      <c r="A5733" s="5"/>
      <c r="B5733" s="6"/>
      <c r="C5733" s="6"/>
      <c r="D5733" s="6"/>
      <c r="E5733" s="6"/>
      <c r="G5733" s="1"/>
      <c r="H5733" s="2"/>
    </row>
    <row r="5734" spans="1:8" x14ac:dyDescent="0.25">
      <c r="A5734" s="5"/>
      <c r="B5734" s="6"/>
      <c r="C5734" s="6"/>
      <c r="D5734" s="6"/>
      <c r="E5734" s="6"/>
      <c r="G5734" s="3"/>
      <c r="H5734" s="2"/>
    </row>
    <row r="5735" spans="1:8" x14ac:dyDescent="0.25">
      <c r="A5735" s="5"/>
      <c r="B5735" s="6"/>
      <c r="C5735" s="6"/>
      <c r="D5735" s="6"/>
      <c r="E5735" s="6"/>
      <c r="G5735" s="1"/>
      <c r="H5735" s="2"/>
    </row>
    <row r="5736" spans="1:8" x14ac:dyDescent="0.25">
      <c r="A5736" s="5"/>
      <c r="B5736" s="6"/>
      <c r="C5736" s="6"/>
      <c r="D5736" s="6"/>
      <c r="E5736" s="6"/>
      <c r="G5736" s="3"/>
      <c r="H5736" s="2"/>
    </row>
    <row r="5737" spans="1:8" x14ac:dyDescent="0.25">
      <c r="A5737" s="5"/>
      <c r="B5737" s="6"/>
      <c r="C5737" s="6"/>
      <c r="D5737" s="6"/>
      <c r="E5737" s="6"/>
      <c r="G5737" s="1"/>
      <c r="H5737" s="2"/>
    </row>
    <row r="5738" spans="1:8" x14ac:dyDescent="0.25">
      <c r="A5738" s="5"/>
      <c r="B5738" s="6"/>
      <c r="C5738" s="6"/>
      <c r="D5738" s="6"/>
      <c r="E5738" s="6"/>
      <c r="G5738" s="3"/>
      <c r="H5738" s="2"/>
    </row>
    <row r="5739" spans="1:8" x14ac:dyDescent="0.25">
      <c r="A5739" s="5"/>
      <c r="B5739" s="6"/>
      <c r="C5739" s="6"/>
      <c r="D5739" s="6"/>
      <c r="E5739" s="6"/>
      <c r="G5739" s="1"/>
      <c r="H5739" s="2"/>
    </row>
    <row r="5740" spans="1:8" x14ac:dyDescent="0.25">
      <c r="A5740" s="5"/>
      <c r="B5740" s="6"/>
      <c r="C5740" s="6"/>
      <c r="D5740" s="6"/>
      <c r="E5740" s="6"/>
      <c r="G5740" s="3"/>
      <c r="H5740" s="2"/>
    </row>
    <row r="5741" spans="1:8" x14ac:dyDescent="0.25">
      <c r="A5741" s="5"/>
      <c r="B5741" s="6"/>
      <c r="C5741" s="6"/>
      <c r="D5741" s="6"/>
      <c r="E5741" s="6"/>
      <c r="G5741" s="1"/>
      <c r="H5741" s="2"/>
    </row>
    <row r="5742" spans="1:8" x14ac:dyDescent="0.25">
      <c r="A5742" s="5"/>
      <c r="B5742" s="6"/>
      <c r="C5742" s="6"/>
      <c r="D5742" s="6"/>
      <c r="E5742" s="6"/>
      <c r="G5742" s="3"/>
      <c r="H5742" s="2"/>
    </row>
    <row r="5743" spans="1:8" x14ac:dyDescent="0.25">
      <c r="A5743" s="5"/>
      <c r="B5743" s="6"/>
      <c r="C5743" s="6"/>
      <c r="D5743" s="6"/>
      <c r="E5743" s="6"/>
      <c r="G5743" s="1"/>
      <c r="H5743" s="2"/>
    </row>
    <row r="5744" spans="1:8" x14ac:dyDescent="0.25">
      <c r="A5744" s="5"/>
      <c r="B5744" s="6"/>
      <c r="C5744" s="6"/>
      <c r="D5744" s="6"/>
      <c r="E5744" s="6"/>
      <c r="G5744" s="3"/>
      <c r="H5744" s="2"/>
    </row>
    <row r="5745" spans="1:8" x14ac:dyDescent="0.25">
      <c r="A5745" s="5"/>
      <c r="B5745" s="6"/>
      <c r="C5745" s="6"/>
      <c r="D5745" s="6"/>
      <c r="E5745" s="6"/>
      <c r="G5745" s="1"/>
      <c r="H5745" s="2"/>
    </row>
    <row r="5746" spans="1:8" x14ac:dyDescent="0.25">
      <c r="A5746" s="5"/>
      <c r="B5746" s="6"/>
      <c r="C5746" s="6"/>
      <c r="D5746" s="6"/>
      <c r="E5746" s="6"/>
      <c r="G5746" s="3"/>
      <c r="H5746" s="2"/>
    </row>
    <row r="5747" spans="1:8" x14ac:dyDescent="0.25">
      <c r="A5747" s="5"/>
      <c r="B5747" s="6"/>
      <c r="C5747" s="6"/>
      <c r="D5747" s="6"/>
      <c r="E5747" s="6"/>
      <c r="G5747" s="1"/>
      <c r="H5747" s="2"/>
    </row>
    <row r="5748" spans="1:8" x14ac:dyDescent="0.25">
      <c r="A5748" s="5"/>
      <c r="B5748" s="6"/>
      <c r="C5748" s="6"/>
      <c r="D5748" s="6"/>
      <c r="E5748" s="6"/>
      <c r="G5748" s="3"/>
      <c r="H5748" s="2"/>
    </row>
    <row r="5749" spans="1:8" x14ac:dyDescent="0.25">
      <c r="A5749" s="5"/>
      <c r="B5749" s="6"/>
      <c r="C5749" s="6"/>
      <c r="D5749" s="6"/>
      <c r="E5749" s="6"/>
      <c r="G5749" s="1"/>
      <c r="H5749" s="2"/>
    </row>
    <row r="5750" spans="1:8" x14ac:dyDescent="0.25">
      <c r="A5750" s="5"/>
      <c r="B5750" s="6"/>
      <c r="C5750" s="6"/>
      <c r="D5750" s="6"/>
      <c r="E5750" s="6"/>
      <c r="G5750" s="3"/>
      <c r="H5750" s="2"/>
    </row>
    <row r="5751" spans="1:8" x14ac:dyDescent="0.25">
      <c r="A5751" s="5"/>
      <c r="B5751" s="6"/>
      <c r="C5751" s="6"/>
      <c r="D5751" s="6"/>
      <c r="E5751" s="6"/>
      <c r="G5751" s="1"/>
      <c r="H5751" s="2"/>
    </row>
    <row r="5752" spans="1:8" x14ac:dyDescent="0.25">
      <c r="A5752" s="5"/>
      <c r="B5752" s="6"/>
      <c r="C5752" s="6"/>
      <c r="D5752" s="6"/>
      <c r="E5752" s="6"/>
      <c r="G5752" s="3"/>
      <c r="H5752" s="2"/>
    </row>
    <row r="5753" spans="1:8" x14ac:dyDescent="0.25">
      <c r="A5753" s="5"/>
      <c r="B5753" s="6"/>
      <c r="C5753" s="6"/>
      <c r="D5753" s="6"/>
      <c r="E5753" s="6"/>
      <c r="G5753" s="1"/>
      <c r="H5753" s="2"/>
    </row>
    <row r="5754" spans="1:8" x14ac:dyDescent="0.25">
      <c r="A5754" s="5"/>
      <c r="B5754" s="6"/>
      <c r="C5754" s="6"/>
      <c r="D5754" s="6"/>
      <c r="E5754" s="6"/>
      <c r="G5754" s="3"/>
      <c r="H5754" s="2"/>
    </row>
    <row r="5755" spans="1:8" x14ac:dyDescent="0.25">
      <c r="A5755" s="5"/>
      <c r="B5755" s="6"/>
      <c r="C5755" s="6"/>
      <c r="D5755" s="6"/>
      <c r="E5755" s="6"/>
      <c r="G5755" s="1"/>
      <c r="H5755" s="2"/>
    </row>
    <row r="5756" spans="1:8" x14ac:dyDescent="0.25">
      <c r="A5756" s="5"/>
      <c r="B5756" s="6"/>
      <c r="C5756" s="6"/>
      <c r="D5756" s="6"/>
      <c r="E5756" s="6"/>
      <c r="G5756" s="3"/>
      <c r="H5756" s="2"/>
    </row>
    <row r="5757" spans="1:8" x14ac:dyDescent="0.25">
      <c r="A5757" s="5"/>
      <c r="B5757" s="6"/>
      <c r="C5757" s="6"/>
      <c r="D5757" s="6"/>
      <c r="E5757" s="6"/>
      <c r="G5757" s="1"/>
      <c r="H5757" s="2"/>
    </row>
    <row r="5758" spans="1:8" x14ac:dyDescent="0.25">
      <c r="A5758" s="5"/>
      <c r="B5758" s="6"/>
      <c r="C5758" s="6"/>
      <c r="D5758" s="6"/>
      <c r="E5758" s="6"/>
      <c r="G5758" s="3"/>
      <c r="H5758" s="2"/>
    </row>
    <row r="5759" spans="1:8" x14ac:dyDescent="0.25">
      <c r="A5759" s="5"/>
      <c r="B5759" s="6"/>
      <c r="C5759" s="6"/>
      <c r="D5759" s="6"/>
      <c r="E5759" s="6"/>
      <c r="G5759" s="1"/>
      <c r="H5759" s="2"/>
    </row>
    <row r="5760" spans="1:8" x14ac:dyDescent="0.25">
      <c r="A5760" s="5"/>
      <c r="B5760" s="6"/>
      <c r="C5760" s="6"/>
      <c r="D5760" s="6"/>
      <c r="E5760" s="6"/>
      <c r="G5760" s="3"/>
      <c r="H5760" s="2"/>
    </row>
    <row r="5761" spans="1:8" x14ac:dyDescent="0.25">
      <c r="A5761" s="5"/>
      <c r="B5761" s="6"/>
      <c r="C5761" s="6"/>
      <c r="D5761" s="6"/>
      <c r="E5761" s="6"/>
      <c r="G5761" s="1"/>
      <c r="H5761" s="2"/>
    </row>
    <row r="5762" spans="1:8" x14ac:dyDescent="0.25">
      <c r="A5762" s="5"/>
      <c r="B5762" s="6"/>
      <c r="C5762" s="6"/>
      <c r="D5762" s="6"/>
      <c r="E5762" s="6"/>
      <c r="G5762" s="3"/>
      <c r="H5762" s="2"/>
    </row>
    <row r="5763" spans="1:8" x14ac:dyDescent="0.25">
      <c r="A5763" s="5"/>
      <c r="B5763" s="6"/>
      <c r="C5763" s="6"/>
      <c r="D5763" s="6"/>
      <c r="E5763" s="6"/>
      <c r="G5763" s="1"/>
      <c r="H5763" s="2"/>
    </row>
    <row r="5764" spans="1:8" x14ac:dyDescent="0.25">
      <c r="A5764" s="5"/>
      <c r="B5764" s="6"/>
      <c r="C5764" s="6"/>
      <c r="D5764" s="6"/>
      <c r="E5764" s="6"/>
      <c r="G5764" s="3"/>
      <c r="H5764" s="2"/>
    </row>
    <row r="5765" spans="1:8" x14ac:dyDescent="0.25">
      <c r="A5765" s="5"/>
      <c r="B5765" s="6"/>
      <c r="C5765" s="6"/>
      <c r="D5765" s="6"/>
      <c r="E5765" s="6"/>
      <c r="G5765" s="1"/>
      <c r="H5765" s="2"/>
    </row>
    <row r="5766" spans="1:8" x14ac:dyDescent="0.25">
      <c r="A5766" s="5"/>
      <c r="B5766" s="6"/>
      <c r="C5766" s="6"/>
      <c r="D5766" s="6"/>
      <c r="E5766" s="6"/>
      <c r="G5766" s="3"/>
      <c r="H5766" s="2"/>
    </row>
    <row r="5767" spans="1:8" x14ac:dyDescent="0.25">
      <c r="A5767" s="5"/>
      <c r="B5767" s="6"/>
      <c r="C5767" s="6"/>
      <c r="D5767" s="6"/>
      <c r="E5767" s="6"/>
      <c r="G5767" s="1"/>
      <c r="H5767" s="2"/>
    </row>
    <row r="5768" spans="1:8" x14ac:dyDescent="0.25">
      <c r="A5768" s="5"/>
      <c r="B5768" s="6"/>
      <c r="C5768" s="6"/>
      <c r="D5768" s="6"/>
      <c r="E5768" s="6"/>
      <c r="G5768" s="3"/>
      <c r="H5768" s="2"/>
    </row>
    <row r="5769" spans="1:8" x14ac:dyDescent="0.25">
      <c r="A5769" s="5"/>
      <c r="B5769" s="6"/>
      <c r="C5769" s="6"/>
      <c r="D5769" s="6"/>
      <c r="E5769" s="6"/>
      <c r="G5769" s="1"/>
      <c r="H5769" s="2"/>
    </row>
    <row r="5770" spans="1:8" x14ac:dyDescent="0.25">
      <c r="A5770" s="5"/>
      <c r="B5770" s="6"/>
      <c r="C5770" s="6"/>
      <c r="D5770" s="6"/>
      <c r="E5770" s="6"/>
      <c r="G5770" s="3"/>
      <c r="H5770" s="2"/>
    </row>
    <row r="5771" spans="1:8" x14ac:dyDescent="0.25">
      <c r="A5771" s="5"/>
      <c r="B5771" s="6"/>
      <c r="C5771" s="6"/>
      <c r="D5771" s="6"/>
      <c r="E5771" s="6"/>
      <c r="G5771" s="1"/>
      <c r="H5771" s="2"/>
    </row>
    <row r="5772" spans="1:8" x14ac:dyDescent="0.25">
      <c r="A5772" s="5"/>
      <c r="B5772" s="6"/>
      <c r="C5772" s="6"/>
      <c r="D5772" s="6"/>
      <c r="E5772" s="6"/>
      <c r="G5772" s="3"/>
      <c r="H5772" s="2"/>
    </row>
    <row r="5773" spans="1:8" x14ac:dyDescent="0.25">
      <c r="A5773" s="5"/>
      <c r="B5773" s="6"/>
      <c r="C5773" s="6"/>
      <c r="D5773" s="6"/>
      <c r="E5773" s="6"/>
      <c r="G5773" s="1"/>
      <c r="H5773" s="2"/>
    </row>
    <row r="5774" spans="1:8" x14ac:dyDescent="0.25">
      <c r="A5774" s="5"/>
      <c r="B5774" s="6"/>
      <c r="C5774" s="6"/>
      <c r="D5774" s="6"/>
      <c r="E5774" s="6"/>
      <c r="G5774" s="3"/>
      <c r="H5774" s="2"/>
    </row>
    <row r="5775" spans="1:8" x14ac:dyDescent="0.25">
      <c r="A5775" s="5"/>
      <c r="B5775" s="6"/>
      <c r="C5775" s="6"/>
      <c r="D5775" s="6"/>
      <c r="E5775" s="6"/>
      <c r="G5775" s="1"/>
      <c r="H5775" s="2"/>
    </row>
    <row r="5776" spans="1:8" x14ac:dyDescent="0.25">
      <c r="A5776" s="5"/>
      <c r="B5776" s="6"/>
      <c r="C5776" s="6"/>
      <c r="D5776" s="6"/>
      <c r="E5776" s="6"/>
      <c r="G5776" s="3"/>
      <c r="H5776" s="2"/>
    </row>
    <row r="5777" spans="1:8" x14ac:dyDescent="0.25">
      <c r="A5777" s="5"/>
      <c r="B5777" s="6"/>
      <c r="C5777" s="6"/>
      <c r="D5777" s="6"/>
      <c r="E5777" s="6"/>
      <c r="G5777" s="1"/>
      <c r="H5777" s="2"/>
    </row>
    <row r="5778" spans="1:8" x14ac:dyDescent="0.25">
      <c r="A5778" s="5"/>
      <c r="B5778" s="6"/>
      <c r="C5778" s="6"/>
      <c r="D5778" s="6"/>
      <c r="E5778" s="6"/>
      <c r="G5778" s="3"/>
      <c r="H5778" s="2"/>
    </row>
    <row r="5779" spans="1:8" x14ac:dyDescent="0.25">
      <c r="A5779" s="5"/>
      <c r="B5779" s="6"/>
      <c r="C5779" s="6"/>
      <c r="D5779" s="6"/>
      <c r="E5779" s="6"/>
      <c r="G5779" s="1"/>
      <c r="H5779" s="2"/>
    </row>
    <row r="5780" spans="1:8" x14ac:dyDescent="0.25">
      <c r="A5780" s="5"/>
      <c r="B5780" s="6"/>
      <c r="C5780" s="6"/>
      <c r="D5780" s="6"/>
      <c r="E5780" s="6"/>
      <c r="G5780" s="3"/>
      <c r="H5780" s="2"/>
    </row>
    <row r="5781" spans="1:8" x14ac:dyDescent="0.25">
      <c r="A5781" s="5"/>
      <c r="B5781" s="6"/>
      <c r="C5781" s="6"/>
      <c r="D5781" s="6"/>
      <c r="E5781" s="6"/>
      <c r="G5781" s="1"/>
      <c r="H5781" s="2"/>
    </row>
    <row r="5782" spans="1:8" x14ac:dyDescent="0.25">
      <c r="A5782" s="5"/>
      <c r="B5782" s="6"/>
      <c r="C5782" s="6"/>
      <c r="D5782" s="6"/>
      <c r="E5782" s="6"/>
      <c r="G5782" s="3"/>
      <c r="H5782" s="2"/>
    </row>
    <row r="5783" spans="1:8" x14ac:dyDescent="0.25">
      <c r="A5783" s="5"/>
      <c r="B5783" s="6"/>
      <c r="C5783" s="6"/>
      <c r="D5783" s="6"/>
      <c r="E5783" s="6"/>
      <c r="G5783" s="1"/>
      <c r="H5783" s="2"/>
    </row>
    <row r="5784" spans="1:8" x14ac:dyDescent="0.25">
      <c r="A5784" s="5"/>
      <c r="B5784" s="6"/>
      <c r="C5784" s="6"/>
      <c r="D5784" s="6"/>
      <c r="E5784" s="6"/>
      <c r="G5784" s="3"/>
      <c r="H5784" s="2"/>
    </row>
    <row r="5785" spans="1:8" x14ac:dyDescent="0.25">
      <c r="A5785" s="5"/>
      <c r="B5785" s="6"/>
      <c r="C5785" s="6"/>
      <c r="D5785" s="6"/>
      <c r="E5785" s="6"/>
      <c r="G5785" s="1"/>
      <c r="H5785" s="2"/>
    </row>
    <row r="5786" spans="1:8" x14ac:dyDescent="0.25">
      <c r="A5786" s="5"/>
      <c r="B5786" s="6"/>
      <c r="C5786" s="6"/>
      <c r="D5786" s="6"/>
      <c r="E5786" s="6"/>
      <c r="G5786" s="3"/>
      <c r="H5786" s="2"/>
    </row>
    <row r="5787" spans="1:8" x14ac:dyDescent="0.25">
      <c r="A5787" s="5"/>
      <c r="B5787" s="6"/>
      <c r="C5787" s="6"/>
      <c r="D5787" s="6"/>
      <c r="E5787" s="6"/>
      <c r="G5787" s="1"/>
      <c r="H5787" s="2"/>
    </row>
    <row r="5788" spans="1:8" x14ac:dyDescent="0.25">
      <c r="A5788" s="5"/>
      <c r="B5788" s="6"/>
      <c r="C5788" s="6"/>
      <c r="D5788" s="6"/>
      <c r="E5788" s="6"/>
      <c r="G5788" s="3"/>
      <c r="H5788" s="2"/>
    </row>
    <row r="5789" spans="1:8" x14ac:dyDescent="0.25">
      <c r="A5789" s="5"/>
      <c r="B5789" s="6"/>
      <c r="C5789" s="6"/>
      <c r="D5789" s="6"/>
      <c r="E5789" s="6"/>
      <c r="G5789" s="1"/>
      <c r="H5789" s="2"/>
    </row>
    <row r="5790" spans="1:8" x14ac:dyDescent="0.25">
      <c r="A5790" s="5"/>
      <c r="B5790" s="6"/>
      <c r="C5790" s="6"/>
      <c r="D5790" s="6"/>
      <c r="E5790" s="6"/>
      <c r="G5790" s="3"/>
      <c r="H5790" s="2"/>
    </row>
    <row r="5791" spans="1:8" x14ac:dyDescent="0.25">
      <c r="A5791" s="5"/>
      <c r="B5791" s="6"/>
      <c r="C5791" s="6"/>
      <c r="D5791" s="6"/>
      <c r="E5791" s="6"/>
      <c r="G5791" s="1"/>
      <c r="H5791" s="2"/>
    </row>
    <row r="5792" spans="1:8" x14ac:dyDescent="0.25">
      <c r="A5792" s="5"/>
      <c r="B5792" s="6"/>
      <c r="C5792" s="6"/>
      <c r="D5792" s="6"/>
      <c r="E5792" s="6"/>
      <c r="G5792" s="3"/>
      <c r="H5792" s="2"/>
    </row>
    <row r="5793" spans="1:8" x14ac:dyDescent="0.25">
      <c r="A5793" s="5"/>
      <c r="B5793" s="6"/>
      <c r="C5793" s="6"/>
      <c r="D5793" s="6"/>
      <c r="E5793" s="6"/>
      <c r="G5793" s="1"/>
      <c r="H5793" s="2"/>
    </row>
    <row r="5794" spans="1:8" x14ac:dyDescent="0.25">
      <c r="A5794" s="5"/>
      <c r="B5794" s="6"/>
      <c r="C5794" s="6"/>
      <c r="D5794" s="6"/>
      <c r="E5794" s="6"/>
      <c r="G5794" s="3"/>
      <c r="H5794" s="2"/>
    </row>
    <row r="5795" spans="1:8" x14ac:dyDescent="0.25">
      <c r="A5795" s="5"/>
      <c r="B5795" s="6"/>
      <c r="C5795" s="6"/>
      <c r="D5795" s="6"/>
      <c r="E5795" s="6"/>
      <c r="G5795" s="1"/>
      <c r="H5795" s="2"/>
    </row>
    <row r="5796" spans="1:8" x14ac:dyDescent="0.25">
      <c r="A5796" s="5"/>
      <c r="B5796" s="6"/>
      <c r="C5796" s="6"/>
      <c r="D5796" s="6"/>
      <c r="E5796" s="6"/>
      <c r="G5796" s="3"/>
      <c r="H5796" s="2"/>
    </row>
    <row r="5797" spans="1:8" x14ac:dyDescent="0.25">
      <c r="A5797" s="5"/>
      <c r="B5797" s="6"/>
      <c r="C5797" s="6"/>
      <c r="D5797" s="6"/>
      <c r="E5797" s="6"/>
      <c r="G5797" s="1"/>
      <c r="H5797" s="2"/>
    </row>
    <row r="5798" spans="1:8" x14ac:dyDescent="0.25">
      <c r="A5798" s="5"/>
      <c r="B5798" s="6"/>
      <c r="C5798" s="6"/>
      <c r="D5798" s="6"/>
      <c r="E5798" s="6"/>
      <c r="G5798" s="3"/>
      <c r="H5798" s="2"/>
    </row>
    <row r="5799" spans="1:8" x14ac:dyDescent="0.25">
      <c r="A5799" s="5"/>
      <c r="B5799" s="6"/>
      <c r="C5799" s="6"/>
      <c r="D5799" s="6"/>
      <c r="E5799" s="6"/>
      <c r="G5799" s="1"/>
      <c r="H5799" s="2"/>
    </row>
    <row r="5800" spans="1:8" x14ac:dyDescent="0.25">
      <c r="A5800" s="5"/>
      <c r="B5800" s="6"/>
      <c r="C5800" s="6"/>
      <c r="D5800" s="6"/>
      <c r="E5800" s="6"/>
      <c r="G5800" s="3"/>
      <c r="H5800" s="2"/>
    </row>
    <row r="5801" spans="1:8" x14ac:dyDescent="0.25">
      <c r="A5801" s="5"/>
      <c r="B5801" s="6"/>
      <c r="C5801" s="6"/>
      <c r="D5801" s="6"/>
      <c r="E5801" s="6"/>
      <c r="G5801" s="1"/>
      <c r="H5801" s="2"/>
    </row>
    <row r="5802" spans="1:8" x14ac:dyDescent="0.25">
      <c r="A5802" s="5"/>
      <c r="B5802" s="6"/>
      <c r="C5802" s="6"/>
      <c r="D5802" s="6"/>
      <c r="E5802" s="6"/>
      <c r="G5802" s="3"/>
      <c r="H5802" s="2"/>
    </row>
    <row r="5803" spans="1:8" x14ac:dyDescent="0.25">
      <c r="A5803" s="5"/>
      <c r="B5803" s="6"/>
      <c r="C5803" s="6"/>
      <c r="D5803" s="6"/>
      <c r="E5803" s="6"/>
      <c r="G5803" s="1"/>
      <c r="H5803" s="2"/>
    </row>
    <row r="5804" spans="1:8" x14ac:dyDescent="0.25">
      <c r="A5804" s="5"/>
      <c r="B5804" s="6"/>
      <c r="C5804" s="6"/>
      <c r="D5804" s="6"/>
      <c r="E5804" s="6"/>
      <c r="G5804" s="3"/>
      <c r="H5804" s="2"/>
    </row>
    <row r="5805" spans="1:8" x14ac:dyDescent="0.25">
      <c r="A5805" s="5"/>
      <c r="B5805" s="6"/>
      <c r="C5805" s="6"/>
      <c r="D5805" s="6"/>
      <c r="E5805" s="6"/>
      <c r="G5805" s="1"/>
      <c r="H5805" s="2"/>
    </row>
    <row r="5806" spans="1:8" x14ac:dyDescent="0.25">
      <c r="A5806" s="5"/>
      <c r="B5806" s="6"/>
      <c r="C5806" s="6"/>
      <c r="D5806" s="6"/>
      <c r="E5806" s="6"/>
      <c r="G5806" s="3"/>
      <c r="H5806" s="2"/>
    </row>
    <row r="5807" spans="1:8" x14ac:dyDescent="0.25">
      <c r="A5807" s="5"/>
      <c r="B5807" s="6"/>
      <c r="C5807" s="6"/>
      <c r="D5807" s="6"/>
      <c r="E5807" s="6"/>
      <c r="G5807" s="1"/>
      <c r="H5807" s="2"/>
    </row>
    <row r="5808" spans="1:8" x14ac:dyDescent="0.25">
      <c r="A5808" s="5"/>
      <c r="B5808" s="6"/>
      <c r="C5808" s="6"/>
      <c r="D5808" s="6"/>
      <c r="E5808" s="6"/>
      <c r="G5808" s="3"/>
      <c r="H5808" s="2"/>
    </row>
    <row r="5809" spans="1:8" x14ac:dyDescent="0.25">
      <c r="A5809" s="5"/>
      <c r="B5809" s="6"/>
      <c r="C5809" s="6"/>
      <c r="D5809" s="6"/>
      <c r="E5809" s="6"/>
      <c r="G5809" s="1"/>
      <c r="H5809" s="2"/>
    </row>
    <row r="5810" spans="1:8" x14ac:dyDescent="0.25">
      <c r="A5810" s="5"/>
      <c r="B5810" s="6"/>
      <c r="C5810" s="6"/>
      <c r="D5810" s="6"/>
      <c r="E5810" s="6"/>
      <c r="G5810" s="3"/>
      <c r="H5810" s="2"/>
    </row>
    <row r="5811" spans="1:8" x14ac:dyDescent="0.25">
      <c r="A5811" s="5"/>
      <c r="B5811" s="6"/>
      <c r="C5811" s="6"/>
      <c r="D5811" s="6"/>
      <c r="E5811" s="6"/>
      <c r="G5811" s="1"/>
      <c r="H5811" s="2"/>
    </row>
    <row r="5812" spans="1:8" x14ac:dyDescent="0.25">
      <c r="A5812" s="5"/>
      <c r="B5812" s="6"/>
      <c r="C5812" s="6"/>
      <c r="D5812" s="6"/>
      <c r="E5812" s="6"/>
      <c r="G5812" s="3"/>
      <c r="H5812" s="2"/>
    </row>
    <row r="5813" spans="1:8" x14ac:dyDescent="0.25">
      <c r="A5813" s="5"/>
      <c r="B5813" s="6"/>
      <c r="C5813" s="6"/>
      <c r="D5813" s="6"/>
      <c r="E5813" s="6"/>
      <c r="G5813" s="1"/>
      <c r="H5813" s="2"/>
    </row>
    <row r="5814" spans="1:8" x14ac:dyDescent="0.25">
      <c r="A5814" s="5"/>
      <c r="B5814" s="6"/>
      <c r="C5814" s="6"/>
      <c r="D5814" s="6"/>
      <c r="E5814" s="6"/>
      <c r="G5814" s="3"/>
      <c r="H5814" s="2"/>
    </row>
    <row r="5815" spans="1:8" x14ac:dyDescent="0.25">
      <c r="A5815" s="5"/>
      <c r="B5815" s="6"/>
      <c r="C5815" s="6"/>
      <c r="D5815" s="6"/>
      <c r="E5815" s="6"/>
      <c r="G5815" s="1"/>
      <c r="H5815" s="2"/>
    </row>
    <row r="5816" spans="1:8" x14ac:dyDescent="0.25">
      <c r="A5816" s="5"/>
      <c r="B5816" s="6"/>
      <c r="C5816" s="6"/>
      <c r="D5816" s="6"/>
      <c r="E5816" s="6"/>
      <c r="G5816" s="3"/>
      <c r="H5816" s="2"/>
    </row>
    <row r="5817" spans="1:8" x14ac:dyDescent="0.25">
      <c r="A5817" s="5"/>
      <c r="B5817" s="6"/>
      <c r="C5817" s="6"/>
      <c r="D5817" s="6"/>
      <c r="E5817" s="6"/>
      <c r="G5817" s="1"/>
      <c r="H5817" s="2"/>
    </row>
    <row r="5818" spans="1:8" x14ac:dyDescent="0.25">
      <c r="A5818" s="5"/>
      <c r="B5818" s="6"/>
      <c r="C5818" s="6"/>
      <c r="D5818" s="6"/>
      <c r="E5818" s="6"/>
      <c r="G5818" s="3"/>
      <c r="H5818" s="2"/>
    </row>
    <row r="5819" spans="1:8" x14ac:dyDescent="0.25">
      <c r="A5819" s="5"/>
      <c r="B5819" s="6"/>
      <c r="C5819" s="6"/>
      <c r="D5819" s="6"/>
      <c r="E5819" s="6"/>
      <c r="G5819" s="1"/>
      <c r="H5819" s="2"/>
    </row>
    <row r="5820" spans="1:8" x14ac:dyDescent="0.25">
      <c r="A5820" s="5"/>
      <c r="B5820" s="6"/>
      <c r="C5820" s="6"/>
      <c r="D5820" s="6"/>
      <c r="E5820" s="6"/>
      <c r="G5820" s="3"/>
      <c r="H5820" s="2"/>
    </row>
    <row r="5821" spans="1:8" x14ac:dyDescent="0.25">
      <c r="A5821" s="5"/>
      <c r="B5821" s="6"/>
      <c r="C5821" s="6"/>
      <c r="D5821" s="6"/>
      <c r="E5821" s="6"/>
      <c r="G5821" s="1"/>
      <c r="H5821" s="2"/>
    </row>
    <row r="5822" spans="1:8" x14ac:dyDescent="0.25">
      <c r="A5822" s="5"/>
      <c r="B5822" s="6"/>
      <c r="C5822" s="6"/>
      <c r="D5822" s="6"/>
      <c r="E5822" s="6"/>
      <c r="G5822" s="3"/>
      <c r="H5822" s="2"/>
    </row>
    <row r="5823" spans="1:8" x14ac:dyDescent="0.25">
      <c r="A5823" s="5"/>
      <c r="B5823" s="6"/>
      <c r="C5823" s="6"/>
      <c r="D5823" s="6"/>
      <c r="E5823" s="6"/>
      <c r="G5823" s="1"/>
      <c r="H5823" s="2"/>
    </row>
    <row r="5824" spans="1:8" x14ac:dyDescent="0.25">
      <c r="A5824" s="5"/>
      <c r="B5824" s="6"/>
      <c r="C5824" s="6"/>
      <c r="D5824" s="6"/>
      <c r="E5824" s="6"/>
      <c r="G5824" s="3"/>
      <c r="H5824" s="2"/>
    </row>
    <row r="5825" spans="1:8" x14ac:dyDescent="0.25">
      <c r="A5825" s="5"/>
      <c r="B5825" s="6"/>
      <c r="C5825" s="6"/>
      <c r="D5825" s="6"/>
      <c r="E5825" s="6"/>
      <c r="G5825" s="1"/>
      <c r="H5825" s="2"/>
    </row>
    <row r="5826" spans="1:8" x14ac:dyDescent="0.25">
      <c r="A5826" s="5"/>
      <c r="B5826" s="6"/>
      <c r="C5826" s="6"/>
      <c r="D5826" s="6"/>
      <c r="E5826" s="6"/>
      <c r="G5826" s="3"/>
      <c r="H5826" s="2"/>
    </row>
    <row r="5827" spans="1:8" x14ac:dyDescent="0.25">
      <c r="A5827" s="5"/>
      <c r="B5827" s="6"/>
      <c r="C5827" s="6"/>
      <c r="D5827" s="6"/>
      <c r="E5827" s="6"/>
      <c r="G5827" s="1"/>
      <c r="H5827" s="2"/>
    </row>
    <row r="5828" spans="1:8" x14ac:dyDescent="0.25">
      <c r="A5828" s="5"/>
      <c r="B5828" s="6"/>
      <c r="C5828" s="6"/>
      <c r="D5828" s="6"/>
      <c r="E5828" s="6"/>
      <c r="G5828" s="3"/>
      <c r="H5828" s="2"/>
    </row>
    <row r="5829" spans="1:8" x14ac:dyDescent="0.25">
      <c r="A5829" s="5"/>
      <c r="B5829" s="6"/>
      <c r="C5829" s="6"/>
      <c r="D5829" s="6"/>
      <c r="E5829" s="6"/>
      <c r="G5829" s="1"/>
      <c r="H5829" s="2"/>
    </row>
    <row r="5830" spans="1:8" x14ac:dyDescent="0.25">
      <c r="A5830" s="5"/>
      <c r="B5830" s="6"/>
      <c r="C5830" s="6"/>
      <c r="D5830" s="6"/>
      <c r="E5830" s="6"/>
      <c r="G5830" s="3"/>
      <c r="H5830" s="2"/>
    </row>
    <row r="5831" spans="1:8" x14ac:dyDescent="0.25">
      <c r="A5831" s="5"/>
      <c r="B5831" s="6"/>
      <c r="C5831" s="6"/>
      <c r="D5831" s="6"/>
      <c r="E5831" s="6"/>
      <c r="G5831" s="1"/>
      <c r="H5831" s="2"/>
    </row>
    <row r="5832" spans="1:8" x14ac:dyDescent="0.25">
      <c r="A5832" s="5"/>
      <c r="B5832" s="6"/>
      <c r="C5832" s="6"/>
      <c r="D5832" s="6"/>
      <c r="E5832" s="6"/>
      <c r="G5832" s="3"/>
      <c r="H5832" s="2"/>
    </row>
    <row r="5833" spans="1:8" x14ac:dyDescent="0.25">
      <c r="A5833" s="5"/>
      <c r="B5833" s="6"/>
      <c r="C5833" s="6"/>
      <c r="D5833" s="6"/>
      <c r="E5833" s="6"/>
      <c r="G5833" s="1"/>
      <c r="H5833" s="2"/>
    </row>
    <row r="5834" spans="1:8" x14ac:dyDescent="0.25">
      <c r="A5834" s="5"/>
      <c r="B5834" s="6"/>
      <c r="C5834" s="6"/>
      <c r="D5834" s="6"/>
      <c r="E5834" s="6"/>
      <c r="G5834" s="3"/>
      <c r="H5834" s="2"/>
    </row>
    <row r="5835" spans="1:8" x14ac:dyDescent="0.25">
      <c r="A5835" s="5"/>
      <c r="B5835" s="6"/>
      <c r="C5835" s="6"/>
      <c r="D5835" s="6"/>
      <c r="E5835" s="6"/>
      <c r="G5835" s="1"/>
      <c r="H5835" s="2"/>
    </row>
    <row r="5836" spans="1:8" x14ac:dyDescent="0.25">
      <c r="A5836" s="5"/>
      <c r="B5836" s="6"/>
      <c r="C5836" s="6"/>
      <c r="D5836" s="6"/>
      <c r="E5836" s="6"/>
      <c r="G5836" s="3"/>
      <c r="H5836" s="2"/>
    </row>
    <row r="5837" spans="1:8" x14ac:dyDescent="0.25">
      <c r="A5837" s="5"/>
      <c r="B5837" s="6"/>
      <c r="C5837" s="6"/>
      <c r="D5837" s="6"/>
      <c r="E5837" s="6"/>
      <c r="G5837" s="1"/>
      <c r="H5837" s="2"/>
    </row>
    <row r="5838" spans="1:8" x14ac:dyDescent="0.25">
      <c r="A5838" s="5"/>
      <c r="B5838" s="6"/>
      <c r="C5838" s="6"/>
      <c r="D5838" s="6"/>
      <c r="E5838" s="6"/>
      <c r="G5838" s="3"/>
      <c r="H5838" s="2"/>
    </row>
    <row r="5839" spans="1:8" x14ac:dyDescent="0.25">
      <c r="A5839" s="5"/>
      <c r="B5839" s="6"/>
      <c r="C5839" s="6"/>
      <c r="D5839" s="6"/>
      <c r="E5839" s="6"/>
      <c r="G5839" s="1"/>
      <c r="H5839" s="2"/>
    </row>
    <row r="5840" spans="1:8" x14ac:dyDescent="0.25">
      <c r="A5840" s="5"/>
      <c r="B5840" s="6"/>
      <c r="C5840" s="6"/>
      <c r="D5840" s="6"/>
      <c r="E5840" s="6"/>
      <c r="G5840" s="3"/>
      <c r="H5840" s="2"/>
    </row>
    <row r="5841" spans="1:8" x14ac:dyDescent="0.25">
      <c r="A5841" s="5"/>
      <c r="B5841" s="6"/>
      <c r="C5841" s="6"/>
      <c r="D5841" s="6"/>
      <c r="E5841" s="6"/>
      <c r="G5841" s="1"/>
      <c r="H5841" s="2"/>
    </row>
    <row r="5842" spans="1:8" x14ac:dyDescent="0.25">
      <c r="A5842" s="5"/>
      <c r="B5842" s="6"/>
      <c r="C5842" s="6"/>
      <c r="D5842" s="6"/>
      <c r="E5842" s="6"/>
      <c r="G5842" s="3"/>
      <c r="H5842" s="2"/>
    </row>
    <row r="5843" spans="1:8" x14ac:dyDescent="0.25">
      <c r="A5843" s="5"/>
      <c r="B5843" s="6"/>
      <c r="C5843" s="6"/>
      <c r="D5843" s="6"/>
      <c r="E5843" s="6"/>
      <c r="G5843" s="1"/>
      <c r="H5843" s="2"/>
    </row>
    <row r="5844" spans="1:8" x14ac:dyDescent="0.25">
      <c r="A5844" s="5"/>
      <c r="B5844" s="6"/>
      <c r="C5844" s="6"/>
      <c r="D5844" s="6"/>
      <c r="E5844" s="6"/>
      <c r="G5844" s="3"/>
      <c r="H5844" s="2"/>
    </row>
    <row r="5845" spans="1:8" x14ac:dyDescent="0.25">
      <c r="A5845" s="5"/>
      <c r="B5845" s="6"/>
      <c r="C5845" s="6"/>
      <c r="D5845" s="6"/>
      <c r="E5845" s="6"/>
      <c r="G5845" s="1"/>
      <c r="H5845" s="2"/>
    </row>
    <row r="5846" spans="1:8" x14ac:dyDescent="0.25">
      <c r="A5846" s="5"/>
      <c r="B5846" s="6"/>
      <c r="C5846" s="6"/>
      <c r="D5846" s="6"/>
      <c r="E5846" s="6"/>
      <c r="G5846" s="3"/>
      <c r="H5846" s="2"/>
    </row>
    <row r="5847" spans="1:8" x14ac:dyDescent="0.25">
      <c r="A5847" s="5"/>
      <c r="B5847" s="6"/>
      <c r="C5847" s="6"/>
      <c r="D5847" s="6"/>
      <c r="E5847" s="6"/>
      <c r="G5847" s="1"/>
      <c r="H5847" s="2"/>
    </row>
    <row r="5848" spans="1:8" x14ac:dyDescent="0.25">
      <c r="A5848" s="5"/>
      <c r="B5848" s="6"/>
      <c r="C5848" s="6"/>
      <c r="D5848" s="6"/>
      <c r="E5848" s="6"/>
      <c r="G5848" s="3"/>
      <c r="H5848" s="2"/>
    </row>
    <row r="5849" spans="1:8" x14ac:dyDescent="0.25">
      <c r="A5849" s="5"/>
      <c r="B5849" s="6"/>
      <c r="C5849" s="6"/>
      <c r="D5849" s="6"/>
      <c r="E5849" s="6"/>
      <c r="G5849" s="1"/>
      <c r="H5849" s="2"/>
    </row>
    <row r="5850" spans="1:8" x14ac:dyDescent="0.25">
      <c r="A5850" s="5"/>
      <c r="B5850" s="6"/>
      <c r="C5850" s="6"/>
      <c r="D5850" s="6"/>
      <c r="E5850" s="6"/>
      <c r="G5850" s="3"/>
      <c r="H5850" s="2"/>
    </row>
    <row r="5851" spans="1:8" x14ac:dyDescent="0.25">
      <c r="A5851" s="5"/>
      <c r="B5851" s="6"/>
      <c r="C5851" s="6"/>
      <c r="D5851" s="6"/>
      <c r="E5851" s="6"/>
      <c r="G5851" s="1"/>
      <c r="H5851" s="2"/>
    </row>
    <row r="5852" spans="1:8" x14ac:dyDescent="0.25">
      <c r="A5852" s="5"/>
      <c r="B5852" s="6"/>
      <c r="C5852" s="6"/>
      <c r="D5852" s="6"/>
      <c r="E5852" s="6"/>
      <c r="G5852" s="3"/>
      <c r="H5852" s="2"/>
    </row>
    <row r="5853" spans="1:8" x14ac:dyDescent="0.25">
      <c r="A5853" s="5"/>
      <c r="B5853" s="6"/>
      <c r="C5853" s="6"/>
      <c r="D5853" s="6"/>
      <c r="E5853" s="6"/>
      <c r="G5853" s="1"/>
      <c r="H5853" s="2"/>
    </row>
    <row r="5854" spans="1:8" x14ac:dyDescent="0.25">
      <c r="A5854" s="5"/>
      <c r="B5854" s="6"/>
      <c r="C5854" s="6"/>
      <c r="D5854" s="6"/>
      <c r="E5854" s="6"/>
      <c r="G5854" s="3"/>
      <c r="H5854" s="2"/>
    </row>
    <row r="5855" spans="1:8" x14ac:dyDescent="0.25">
      <c r="A5855" s="5"/>
      <c r="B5855" s="6"/>
      <c r="C5855" s="6"/>
      <c r="D5855" s="6"/>
      <c r="E5855" s="6"/>
      <c r="G5855" s="1"/>
      <c r="H5855" s="2"/>
    </row>
    <row r="5856" spans="1:8" x14ac:dyDescent="0.25">
      <c r="A5856" s="5"/>
      <c r="B5856" s="6"/>
      <c r="C5856" s="6"/>
      <c r="D5856" s="6"/>
      <c r="E5856" s="6"/>
      <c r="G5856" s="3"/>
      <c r="H5856" s="2"/>
    </row>
    <row r="5857" spans="1:8" x14ac:dyDescent="0.25">
      <c r="A5857" s="5"/>
      <c r="B5857" s="6"/>
      <c r="C5857" s="6"/>
      <c r="D5857" s="6"/>
      <c r="E5857" s="6"/>
      <c r="G5857" s="1"/>
      <c r="H5857" s="2"/>
    </row>
    <row r="5858" spans="1:8" x14ac:dyDescent="0.25">
      <c r="A5858" s="5"/>
      <c r="B5858" s="6"/>
      <c r="C5858" s="6"/>
      <c r="D5858" s="6"/>
      <c r="E5858" s="6"/>
      <c r="G5858" s="3"/>
      <c r="H5858" s="2"/>
    </row>
    <row r="5859" spans="1:8" x14ac:dyDescent="0.25">
      <c r="A5859" s="5"/>
      <c r="B5859" s="6"/>
      <c r="C5859" s="6"/>
      <c r="D5859" s="6"/>
      <c r="E5859" s="6"/>
      <c r="G5859" s="1"/>
      <c r="H5859" s="2"/>
    </row>
    <row r="5860" spans="1:8" x14ac:dyDescent="0.25">
      <c r="A5860" s="5"/>
      <c r="B5860" s="6"/>
      <c r="C5860" s="6"/>
      <c r="D5860" s="6"/>
      <c r="E5860" s="6"/>
      <c r="G5860" s="14"/>
      <c r="H5860" s="2"/>
    </row>
    <row r="5861" spans="1:8" x14ac:dyDescent="0.25">
      <c r="A5861" s="5"/>
      <c r="B5861" s="6"/>
      <c r="C5861" s="6"/>
      <c r="D5861" s="6"/>
      <c r="E5861" s="6"/>
      <c r="G5861" s="14"/>
      <c r="H5861" s="2"/>
    </row>
    <row r="5862" spans="1:8" x14ac:dyDescent="0.25">
      <c r="A5862" s="5"/>
      <c r="B5862" s="6"/>
      <c r="C5862" s="6"/>
      <c r="D5862" s="6"/>
      <c r="E5862" s="6"/>
      <c r="G5862" s="14"/>
      <c r="H5862" s="2"/>
    </row>
    <row r="5863" spans="1:8" x14ac:dyDescent="0.25">
      <c r="A5863" s="5"/>
      <c r="B5863" s="6"/>
      <c r="C5863" s="6"/>
      <c r="D5863" s="6"/>
      <c r="E5863" s="6"/>
      <c r="G5863" s="14"/>
      <c r="H5863" s="2"/>
    </row>
    <row r="5864" spans="1:8" x14ac:dyDescent="0.25">
      <c r="A5864" s="5"/>
      <c r="B5864" s="6"/>
      <c r="C5864" s="6"/>
      <c r="D5864" s="6"/>
      <c r="E5864" s="6"/>
      <c r="G5864" s="14"/>
      <c r="H5864" s="2"/>
    </row>
    <row r="5865" spans="1:8" x14ac:dyDescent="0.25">
      <c r="A5865" s="5"/>
      <c r="B5865" s="6"/>
      <c r="C5865" s="6"/>
      <c r="D5865" s="6"/>
      <c r="E5865" s="6"/>
      <c r="G5865" s="14"/>
      <c r="H5865" s="2"/>
    </row>
    <row r="5866" spans="1:8" x14ac:dyDescent="0.25">
      <c r="A5866" s="5"/>
      <c r="B5866" s="6"/>
      <c r="C5866" s="6"/>
      <c r="D5866" s="6"/>
      <c r="E5866" s="6"/>
    </row>
    <row r="5867" spans="1:8" x14ac:dyDescent="0.25">
      <c r="A5867" s="5"/>
      <c r="B5867" s="6"/>
      <c r="C5867" s="6"/>
      <c r="D5867" s="6"/>
      <c r="E5867" s="6"/>
      <c r="G5867" s="3"/>
      <c r="H5867" s="2"/>
    </row>
    <row r="5868" spans="1:8" x14ac:dyDescent="0.25">
      <c r="A5868" s="5"/>
      <c r="B5868" s="6"/>
      <c r="C5868" s="6"/>
      <c r="D5868" s="6"/>
      <c r="E5868" s="6"/>
      <c r="G5868" s="1"/>
      <c r="H5868" s="2"/>
    </row>
    <row r="5869" spans="1:8" x14ac:dyDescent="0.25">
      <c r="A5869" s="5"/>
      <c r="B5869" s="6"/>
      <c r="C5869" s="6"/>
      <c r="D5869" s="6"/>
      <c r="E5869" s="6"/>
      <c r="G5869" s="3"/>
      <c r="H5869" s="2"/>
    </row>
    <row r="5870" spans="1:8" x14ac:dyDescent="0.25">
      <c r="A5870" s="5"/>
      <c r="B5870" s="6"/>
      <c r="C5870" s="6"/>
      <c r="D5870" s="6"/>
      <c r="E5870" s="6"/>
      <c r="G5870" s="1"/>
      <c r="H5870" s="2"/>
    </row>
    <row r="5871" spans="1:8" x14ac:dyDescent="0.25">
      <c r="A5871" s="5"/>
      <c r="B5871" s="6"/>
      <c r="C5871" s="6"/>
      <c r="D5871" s="6"/>
      <c r="E5871" s="6"/>
      <c r="G5871" s="3"/>
      <c r="H5871" s="2"/>
    </row>
    <row r="5872" spans="1:8" x14ac:dyDescent="0.25">
      <c r="A5872" s="5"/>
      <c r="B5872" s="6"/>
      <c r="C5872" s="6"/>
      <c r="D5872" s="6"/>
      <c r="E5872" s="6"/>
      <c r="G5872" s="1"/>
      <c r="H5872" s="2"/>
    </row>
    <row r="5873" spans="1:8" x14ac:dyDescent="0.25">
      <c r="A5873" s="5"/>
      <c r="B5873" s="6"/>
      <c r="C5873" s="6"/>
      <c r="D5873" s="6"/>
      <c r="E5873" s="6"/>
      <c r="G5873" s="3"/>
      <c r="H5873" s="2"/>
    </row>
    <row r="5874" spans="1:8" x14ac:dyDescent="0.25">
      <c r="A5874" s="5"/>
      <c r="B5874" s="6"/>
      <c r="C5874" s="6"/>
      <c r="D5874" s="6"/>
      <c r="E5874" s="6"/>
      <c r="G5874" s="1"/>
      <c r="H5874" s="2"/>
    </row>
    <row r="5875" spans="1:8" x14ac:dyDescent="0.25">
      <c r="A5875" s="5"/>
      <c r="B5875" s="6"/>
      <c r="C5875" s="6"/>
      <c r="D5875" s="6"/>
      <c r="E5875" s="6"/>
      <c r="G5875" s="3"/>
      <c r="H5875" s="2"/>
    </row>
    <row r="5876" spans="1:8" x14ac:dyDescent="0.25">
      <c r="A5876" s="5"/>
      <c r="B5876" s="6"/>
      <c r="C5876" s="6"/>
      <c r="D5876" s="6"/>
      <c r="E5876" s="6"/>
      <c r="G5876" s="1"/>
      <c r="H5876" s="2"/>
    </row>
    <row r="5877" spans="1:8" x14ac:dyDescent="0.25">
      <c r="A5877" s="5"/>
      <c r="B5877" s="6"/>
      <c r="C5877" s="6"/>
      <c r="D5877" s="6"/>
      <c r="E5877" s="6"/>
      <c r="G5877" s="3"/>
      <c r="H5877" s="2"/>
    </row>
    <row r="5878" spans="1:8" x14ac:dyDescent="0.25">
      <c r="A5878" s="5"/>
      <c r="B5878" s="6"/>
      <c r="C5878" s="6"/>
      <c r="D5878" s="6"/>
      <c r="E5878" s="6"/>
      <c r="G5878" s="1"/>
      <c r="H5878" s="2"/>
    </row>
    <row r="5879" spans="1:8" x14ac:dyDescent="0.25">
      <c r="A5879" s="5"/>
      <c r="B5879" s="6"/>
      <c r="C5879" s="6"/>
      <c r="D5879" s="6"/>
      <c r="E5879" s="6"/>
      <c r="G5879" s="3"/>
      <c r="H5879" s="2"/>
    </row>
    <row r="5880" spans="1:8" x14ac:dyDescent="0.25">
      <c r="A5880" s="5"/>
      <c r="B5880" s="6"/>
      <c r="C5880" s="6"/>
      <c r="D5880" s="6"/>
      <c r="E5880" s="6"/>
      <c r="G5880" s="1"/>
      <c r="H5880" s="2"/>
    </row>
    <row r="5881" spans="1:8" x14ac:dyDescent="0.25">
      <c r="A5881" s="5"/>
      <c r="B5881" s="6"/>
      <c r="C5881" s="6"/>
      <c r="D5881" s="6"/>
      <c r="E5881" s="6"/>
      <c r="G5881" s="3"/>
      <c r="H5881" s="2"/>
    </row>
    <row r="5882" spans="1:8" x14ac:dyDescent="0.25">
      <c r="A5882" s="5"/>
      <c r="B5882" s="6"/>
      <c r="C5882" s="6"/>
      <c r="D5882" s="6"/>
      <c r="E5882" s="6"/>
      <c r="G5882" s="1"/>
      <c r="H5882" s="2"/>
    </row>
    <row r="5883" spans="1:8" x14ac:dyDescent="0.25">
      <c r="A5883" s="5"/>
      <c r="B5883" s="6"/>
      <c r="C5883" s="6"/>
      <c r="D5883" s="6"/>
      <c r="E5883" s="6"/>
      <c r="G5883" s="3"/>
      <c r="H5883" s="2"/>
    </row>
    <row r="5884" spans="1:8" x14ac:dyDescent="0.25">
      <c r="A5884" s="5"/>
      <c r="B5884" s="6"/>
      <c r="C5884" s="6"/>
      <c r="D5884" s="6"/>
      <c r="E5884" s="6"/>
      <c r="G5884" s="1"/>
      <c r="H5884" s="2"/>
    </row>
    <row r="5885" spans="1:8" x14ac:dyDescent="0.25">
      <c r="A5885" s="5"/>
      <c r="B5885" s="6"/>
      <c r="C5885" s="6"/>
      <c r="D5885" s="6"/>
      <c r="E5885" s="6"/>
      <c r="G5885" s="3"/>
      <c r="H5885" s="2"/>
    </row>
    <row r="5886" spans="1:8" x14ac:dyDescent="0.25">
      <c r="A5886" s="5"/>
      <c r="B5886" s="6"/>
      <c r="C5886" s="6"/>
      <c r="D5886" s="6"/>
      <c r="E5886" s="6"/>
      <c r="G5886" s="1"/>
      <c r="H5886" s="2"/>
    </row>
    <row r="5887" spans="1:8" x14ac:dyDescent="0.25">
      <c r="A5887" s="5"/>
      <c r="B5887" s="6"/>
      <c r="C5887" s="6"/>
      <c r="D5887" s="6"/>
      <c r="E5887" s="6"/>
      <c r="G5887" s="3"/>
      <c r="H5887" s="2"/>
    </row>
    <row r="5888" spans="1:8" x14ac:dyDescent="0.25">
      <c r="A5888" s="5"/>
      <c r="B5888" s="6"/>
      <c r="C5888" s="6"/>
      <c r="D5888" s="6"/>
      <c r="E5888" s="6"/>
      <c r="G5888" s="1"/>
      <c r="H5888" s="2"/>
    </row>
    <row r="5889" spans="1:8" x14ac:dyDescent="0.25">
      <c r="A5889" s="5"/>
      <c r="B5889" s="6"/>
      <c r="C5889" s="6"/>
      <c r="D5889" s="6"/>
      <c r="E5889" s="6"/>
      <c r="G5889" s="3"/>
      <c r="H5889" s="2"/>
    </row>
    <row r="5890" spans="1:8" x14ac:dyDescent="0.25">
      <c r="A5890" s="5"/>
      <c r="B5890" s="6"/>
      <c r="C5890" s="6"/>
      <c r="D5890" s="6"/>
      <c r="E5890" s="6"/>
      <c r="G5890" s="1"/>
      <c r="H5890" s="2"/>
    </row>
    <row r="5891" spans="1:8" x14ac:dyDescent="0.25">
      <c r="A5891" s="5"/>
      <c r="B5891" s="6"/>
      <c r="C5891" s="6"/>
      <c r="D5891" s="6"/>
      <c r="E5891" s="6"/>
      <c r="G5891" s="3"/>
      <c r="H5891" s="2"/>
    </row>
    <row r="5892" spans="1:8" x14ac:dyDescent="0.25">
      <c r="A5892" s="5"/>
      <c r="B5892" s="6"/>
      <c r="C5892" s="6"/>
      <c r="D5892" s="6"/>
      <c r="E5892" s="6"/>
      <c r="G5892" s="1"/>
      <c r="H5892" s="2"/>
    </row>
    <row r="5893" spans="1:8" x14ac:dyDescent="0.25">
      <c r="A5893" s="5"/>
      <c r="B5893" s="6"/>
      <c r="C5893" s="6"/>
      <c r="D5893" s="6"/>
      <c r="E5893" s="6"/>
      <c r="G5893" s="3"/>
      <c r="H5893" s="2"/>
    </row>
    <row r="5894" spans="1:8" x14ac:dyDescent="0.25">
      <c r="A5894" s="5"/>
      <c r="B5894" s="6"/>
      <c r="C5894" s="6"/>
      <c r="D5894" s="6"/>
      <c r="E5894" s="6"/>
      <c r="G5894" s="1"/>
      <c r="H5894" s="2"/>
    </row>
    <row r="5895" spans="1:8" x14ac:dyDescent="0.25">
      <c r="A5895" s="5"/>
      <c r="B5895" s="6"/>
      <c r="C5895" s="6"/>
      <c r="D5895" s="6"/>
      <c r="E5895" s="6"/>
      <c r="G5895" s="3"/>
      <c r="H5895" s="2"/>
    </row>
    <row r="5896" spans="1:8" x14ac:dyDescent="0.25">
      <c r="A5896" s="5"/>
      <c r="B5896" s="6"/>
      <c r="C5896" s="6"/>
      <c r="D5896" s="6"/>
      <c r="E5896" s="6"/>
      <c r="G5896" s="1"/>
      <c r="H5896" s="2"/>
    </row>
    <row r="5897" spans="1:8" x14ac:dyDescent="0.25">
      <c r="A5897" s="5"/>
      <c r="B5897" s="6"/>
      <c r="C5897" s="6"/>
      <c r="D5897" s="6"/>
      <c r="E5897" s="6"/>
      <c r="G5897" s="3"/>
      <c r="H5897" s="2"/>
    </row>
    <row r="5898" spans="1:8" x14ac:dyDescent="0.25">
      <c r="A5898" s="5"/>
      <c r="B5898" s="6"/>
      <c r="C5898" s="6"/>
      <c r="D5898" s="6"/>
      <c r="E5898" s="6"/>
      <c r="G5898" s="1"/>
      <c r="H5898" s="2"/>
    </row>
    <row r="5899" spans="1:8" x14ac:dyDescent="0.25">
      <c r="A5899" s="5"/>
      <c r="B5899" s="6"/>
      <c r="C5899" s="6"/>
      <c r="D5899" s="6"/>
      <c r="E5899" s="6"/>
      <c r="G5899" s="3"/>
      <c r="H5899" s="2"/>
    </row>
    <row r="5900" spans="1:8" x14ac:dyDescent="0.25">
      <c r="A5900" s="5"/>
      <c r="B5900" s="6"/>
      <c r="C5900" s="6"/>
      <c r="D5900" s="6"/>
      <c r="E5900" s="6"/>
      <c r="G5900" s="1"/>
      <c r="H5900" s="2"/>
    </row>
    <row r="5901" spans="1:8" x14ac:dyDescent="0.25">
      <c r="A5901" s="5"/>
      <c r="B5901" s="6"/>
      <c r="C5901" s="6"/>
      <c r="D5901" s="6"/>
      <c r="E5901" s="6"/>
      <c r="G5901" s="3"/>
      <c r="H5901" s="2"/>
    </row>
    <row r="5902" spans="1:8" x14ac:dyDescent="0.25">
      <c r="A5902" s="5"/>
      <c r="B5902" s="6"/>
      <c r="C5902" s="6"/>
      <c r="D5902" s="6"/>
      <c r="E5902" s="6"/>
      <c r="G5902" s="1"/>
      <c r="H5902" s="2"/>
    </row>
    <row r="5903" spans="1:8" x14ac:dyDescent="0.25">
      <c r="A5903" s="5"/>
      <c r="B5903" s="6"/>
      <c r="C5903" s="6"/>
      <c r="D5903" s="6"/>
      <c r="E5903" s="6"/>
      <c r="G5903" s="3"/>
      <c r="H5903" s="2"/>
    </row>
    <row r="5904" spans="1:8" x14ac:dyDescent="0.25">
      <c r="A5904" s="5"/>
      <c r="B5904" s="6"/>
      <c r="C5904" s="6"/>
      <c r="D5904" s="6"/>
      <c r="E5904" s="6"/>
      <c r="G5904" s="1"/>
      <c r="H5904" s="2"/>
    </row>
    <row r="5905" spans="1:8" x14ac:dyDescent="0.25">
      <c r="A5905" s="5"/>
      <c r="B5905" s="6"/>
      <c r="C5905" s="6"/>
      <c r="D5905" s="6"/>
      <c r="E5905" s="6"/>
      <c r="G5905" s="3"/>
      <c r="H5905" s="2"/>
    </row>
    <row r="5906" spans="1:8" x14ac:dyDescent="0.25">
      <c r="A5906" s="5"/>
      <c r="B5906" s="6"/>
      <c r="C5906" s="6"/>
      <c r="D5906" s="6"/>
      <c r="E5906" s="6"/>
      <c r="G5906" s="1"/>
      <c r="H5906" s="2"/>
    </row>
    <row r="5907" spans="1:8" x14ac:dyDescent="0.25">
      <c r="A5907" s="5"/>
      <c r="B5907" s="6"/>
      <c r="C5907" s="6"/>
      <c r="D5907" s="6"/>
      <c r="E5907" s="6"/>
      <c r="G5907" s="3"/>
      <c r="H5907" s="2"/>
    </row>
    <row r="5908" spans="1:8" x14ac:dyDescent="0.25">
      <c r="A5908" s="5"/>
      <c r="B5908" s="6"/>
      <c r="C5908" s="6"/>
      <c r="D5908" s="6"/>
      <c r="E5908" s="6"/>
      <c r="G5908" s="1"/>
      <c r="H5908" s="2"/>
    </row>
    <row r="5909" spans="1:8" x14ac:dyDescent="0.25">
      <c r="A5909" s="5"/>
      <c r="B5909" s="6"/>
      <c r="C5909" s="6"/>
      <c r="D5909" s="6"/>
      <c r="E5909" s="6"/>
      <c r="G5909" s="3"/>
      <c r="H5909" s="2"/>
    </row>
    <row r="5910" spans="1:8" x14ac:dyDescent="0.25">
      <c r="A5910" s="5"/>
      <c r="B5910" s="6"/>
      <c r="C5910" s="6"/>
      <c r="D5910" s="6"/>
      <c r="E5910" s="6"/>
      <c r="G5910" s="1"/>
      <c r="H5910" s="2"/>
    </row>
    <row r="5911" spans="1:8" x14ac:dyDescent="0.25">
      <c r="A5911" s="5"/>
      <c r="B5911" s="6"/>
      <c r="C5911" s="6"/>
      <c r="D5911" s="6"/>
      <c r="E5911" s="6"/>
      <c r="G5911" s="3"/>
      <c r="H5911" s="2"/>
    </row>
    <row r="5912" spans="1:8" x14ac:dyDescent="0.25">
      <c r="A5912" s="5"/>
      <c r="B5912" s="6"/>
      <c r="C5912" s="6"/>
      <c r="D5912" s="6"/>
      <c r="E5912" s="6"/>
      <c r="G5912" s="1"/>
      <c r="H5912" s="2"/>
    </row>
    <row r="5913" spans="1:8" x14ac:dyDescent="0.25">
      <c r="A5913" s="5"/>
      <c r="B5913" s="6"/>
      <c r="C5913" s="6"/>
      <c r="D5913" s="6"/>
      <c r="E5913" s="6"/>
      <c r="G5913" s="3"/>
      <c r="H5913" s="2"/>
    </row>
    <row r="5914" spans="1:8" x14ac:dyDescent="0.25">
      <c r="A5914" s="5"/>
      <c r="B5914" s="6"/>
      <c r="C5914" s="6"/>
      <c r="D5914" s="6"/>
      <c r="E5914" s="6"/>
      <c r="G5914" s="1"/>
      <c r="H5914" s="2"/>
    </row>
    <row r="5915" spans="1:8" x14ac:dyDescent="0.25">
      <c r="A5915" s="5"/>
      <c r="B5915" s="6"/>
      <c r="C5915" s="6"/>
      <c r="D5915" s="6"/>
      <c r="E5915" s="6"/>
      <c r="G5915" s="3"/>
      <c r="H5915" s="2"/>
    </row>
    <row r="5916" spans="1:8" x14ac:dyDescent="0.25">
      <c r="A5916" s="5"/>
      <c r="B5916" s="6"/>
      <c r="C5916" s="6"/>
      <c r="D5916" s="6"/>
      <c r="E5916" s="6"/>
      <c r="G5916" s="1"/>
      <c r="H5916" s="2"/>
    </row>
    <row r="5917" spans="1:8" x14ac:dyDescent="0.25">
      <c r="A5917" s="5"/>
      <c r="B5917" s="6"/>
      <c r="C5917" s="6"/>
      <c r="D5917" s="6"/>
      <c r="E5917" s="6"/>
      <c r="G5917" s="3"/>
      <c r="H5917" s="2"/>
    </row>
    <row r="5918" spans="1:8" x14ac:dyDescent="0.25">
      <c r="A5918" s="5"/>
      <c r="B5918" s="6"/>
      <c r="C5918" s="6"/>
      <c r="D5918" s="6"/>
      <c r="E5918" s="6"/>
      <c r="G5918" s="1"/>
      <c r="H5918" s="2"/>
    </row>
    <row r="5919" spans="1:8" x14ac:dyDescent="0.25">
      <c r="A5919" s="5"/>
      <c r="B5919" s="6"/>
      <c r="C5919" s="6"/>
      <c r="D5919" s="6"/>
      <c r="E5919" s="6"/>
      <c r="G5919" s="3"/>
      <c r="H5919" s="2"/>
    </row>
    <row r="5920" spans="1:8" x14ac:dyDescent="0.25">
      <c r="A5920" s="5"/>
      <c r="B5920" s="6"/>
      <c r="C5920" s="6"/>
      <c r="D5920" s="6"/>
      <c r="E5920" s="6"/>
      <c r="G5920" s="1"/>
      <c r="H5920" s="2"/>
    </row>
    <row r="5921" spans="1:8" x14ac:dyDescent="0.25">
      <c r="A5921" s="5"/>
      <c r="B5921" s="6"/>
      <c r="C5921" s="6"/>
      <c r="D5921" s="6"/>
      <c r="E5921" s="6"/>
      <c r="G5921" s="3"/>
      <c r="H5921" s="2"/>
    </row>
    <row r="5922" spans="1:8" x14ac:dyDescent="0.25">
      <c r="A5922" s="5"/>
      <c r="B5922" s="6"/>
      <c r="C5922" s="6"/>
      <c r="D5922" s="6"/>
      <c r="E5922" s="6"/>
      <c r="G5922" s="1"/>
      <c r="H5922" s="2"/>
    </row>
    <row r="5923" spans="1:8" x14ac:dyDescent="0.25">
      <c r="A5923" s="5"/>
      <c r="B5923" s="6"/>
      <c r="C5923" s="6"/>
      <c r="D5923" s="6"/>
      <c r="E5923" s="6"/>
      <c r="G5923" s="3"/>
      <c r="H5923" s="2"/>
    </row>
    <row r="5924" spans="1:8" x14ac:dyDescent="0.25">
      <c r="A5924" s="5"/>
      <c r="B5924" s="6"/>
      <c r="C5924" s="6"/>
      <c r="D5924" s="6"/>
      <c r="E5924" s="6"/>
      <c r="G5924" s="1"/>
      <c r="H5924" s="2"/>
    </row>
    <row r="5925" spans="1:8" x14ac:dyDescent="0.25">
      <c r="A5925" s="5"/>
      <c r="B5925" s="6"/>
      <c r="C5925" s="6"/>
      <c r="D5925" s="6"/>
      <c r="E5925" s="6"/>
      <c r="G5925" s="3"/>
      <c r="H5925" s="2"/>
    </row>
    <row r="5926" spans="1:8" x14ac:dyDescent="0.25">
      <c r="A5926" s="5"/>
      <c r="B5926" s="6"/>
      <c r="C5926" s="6"/>
      <c r="D5926" s="6"/>
      <c r="E5926" s="6"/>
      <c r="G5926" s="1"/>
      <c r="H5926" s="2"/>
    </row>
    <row r="5927" spans="1:8" x14ac:dyDescent="0.25">
      <c r="A5927" s="5"/>
      <c r="B5927" s="6"/>
      <c r="C5927" s="6"/>
      <c r="D5927" s="6"/>
      <c r="E5927" s="6"/>
      <c r="G5927" s="3"/>
      <c r="H5927" s="2"/>
    </row>
    <row r="5928" spans="1:8" x14ac:dyDescent="0.25">
      <c r="A5928" s="5"/>
      <c r="B5928" s="6"/>
      <c r="C5928" s="6"/>
      <c r="D5928" s="6"/>
      <c r="E5928" s="6"/>
      <c r="G5928" s="1"/>
      <c r="H5928" s="2"/>
    </row>
    <row r="5929" spans="1:8" x14ac:dyDescent="0.25">
      <c r="A5929" s="5"/>
      <c r="B5929" s="6"/>
      <c r="C5929" s="6"/>
      <c r="D5929" s="6"/>
      <c r="E5929" s="6"/>
      <c r="G5929" s="3"/>
      <c r="H5929" s="2"/>
    </row>
    <row r="5930" spans="1:8" x14ac:dyDescent="0.25">
      <c r="A5930" s="5"/>
      <c r="B5930" s="6"/>
      <c r="C5930" s="6"/>
      <c r="D5930" s="6"/>
      <c r="E5930" s="6"/>
      <c r="G5930" s="1"/>
      <c r="H5930" s="2"/>
    </row>
    <row r="5931" spans="1:8" x14ac:dyDescent="0.25">
      <c r="A5931" s="5"/>
      <c r="B5931" s="6"/>
      <c r="C5931" s="6"/>
      <c r="D5931" s="6"/>
      <c r="E5931" s="6"/>
      <c r="G5931" s="3"/>
      <c r="H5931" s="2"/>
    </row>
    <row r="5932" spans="1:8" x14ac:dyDescent="0.25">
      <c r="A5932" s="5"/>
      <c r="B5932" s="6"/>
      <c r="C5932" s="6"/>
      <c r="D5932" s="6"/>
      <c r="E5932" s="6"/>
      <c r="G5932" s="1"/>
      <c r="H5932" s="2"/>
    </row>
    <row r="5933" spans="1:8" x14ac:dyDescent="0.25">
      <c r="A5933" s="5"/>
      <c r="B5933" s="6"/>
      <c r="C5933" s="6"/>
      <c r="D5933" s="6"/>
      <c r="E5933" s="6"/>
      <c r="G5933" s="3"/>
      <c r="H5933" s="2"/>
    </row>
    <row r="5934" spans="1:8" x14ac:dyDescent="0.25">
      <c r="A5934" s="5"/>
      <c r="B5934" s="6"/>
      <c r="C5934" s="6"/>
      <c r="D5934" s="6"/>
      <c r="E5934" s="6"/>
      <c r="G5934" s="1"/>
      <c r="H5934" s="2"/>
    </row>
    <row r="5935" spans="1:8" x14ac:dyDescent="0.25">
      <c r="A5935" s="5"/>
      <c r="B5935" s="6"/>
      <c r="C5935" s="6"/>
      <c r="D5935" s="6"/>
      <c r="E5935" s="6"/>
      <c r="G5935" s="3"/>
      <c r="H5935" s="2"/>
    </row>
    <row r="5936" spans="1:8" x14ac:dyDescent="0.25">
      <c r="A5936" s="5"/>
      <c r="B5936" s="6"/>
      <c r="C5936" s="6"/>
      <c r="D5936" s="6"/>
      <c r="E5936" s="6"/>
      <c r="G5936" s="1"/>
      <c r="H5936" s="2"/>
    </row>
    <row r="5937" spans="1:8" x14ac:dyDescent="0.25">
      <c r="A5937" s="5"/>
      <c r="B5937" s="6"/>
      <c r="C5937" s="6"/>
      <c r="D5937" s="6"/>
      <c r="E5937" s="6"/>
      <c r="G5937" s="3"/>
      <c r="H5937" s="2"/>
    </row>
    <row r="5938" spans="1:8" x14ac:dyDescent="0.25">
      <c r="A5938" s="5"/>
      <c r="B5938" s="6"/>
      <c r="C5938" s="6"/>
      <c r="D5938" s="6"/>
      <c r="E5938" s="6"/>
      <c r="G5938" s="1"/>
      <c r="H5938" s="2"/>
    </row>
    <row r="5939" spans="1:8" x14ac:dyDescent="0.25">
      <c r="A5939" s="5"/>
      <c r="B5939" s="6"/>
      <c r="C5939" s="6"/>
      <c r="D5939" s="6"/>
      <c r="E5939" s="6"/>
      <c r="G5939" s="3"/>
      <c r="H5939" s="2"/>
    </row>
    <row r="5940" spans="1:8" x14ac:dyDescent="0.25">
      <c r="A5940" s="5"/>
      <c r="B5940" s="6"/>
      <c r="C5940" s="6"/>
      <c r="D5940" s="6"/>
      <c r="E5940" s="6"/>
      <c r="G5940" s="1"/>
      <c r="H5940" s="2"/>
    </row>
    <row r="5941" spans="1:8" x14ac:dyDescent="0.25">
      <c r="A5941" s="5"/>
      <c r="B5941" s="6"/>
      <c r="C5941" s="6"/>
      <c r="D5941" s="6"/>
      <c r="E5941" s="6"/>
      <c r="G5941" s="3"/>
      <c r="H5941" s="2"/>
    </row>
    <row r="5942" spans="1:8" x14ac:dyDescent="0.25">
      <c r="A5942" s="5"/>
      <c r="B5942" s="6"/>
      <c r="C5942" s="6"/>
      <c r="D5942" s="6"/>
      <c r="E5942" s="6"/>
      <c r="G5942" s="1"/>
      <c r="H5942" s="2"/>
    </row>
    <row r="5943" spans="1:8" x14ac:dyDescent="0.25">
      <c r="A5943" s="5"/>
      <c r="B5943" s="6"/>
      <c r="C5943" s="6"/>
      <c r="D5943" s="6"/>
      <c r="E5943" s="6"/>
      <c r="G5943" s="3"/>
      <c r="H5943" s="2"/>
    </row>
    <row r="5944" spans="1:8" x14ac:dyDescent="0.25">
      <c r="A5944" s="5"/>
      <c r="B5944" s="6"/>
      <c r="C5944" s="6"/>
      <c r="D5944" s="6"/>
      <c r="E5944" s="6"/>
      <c r="G5944" s="1"/>
      <c r="H5944" s="2"/>
    </row>
    <row r="5945" spans="1:8" x14ac:dyDescent="0.25">
      <c r="A5945" s="5"/>
      <c r="B5945" s="6"/>
      <c r="C5945" s="6"/>
      <c r="D5945" s="6"/>
      <c r="E5945" s="6"/>
      <c r="G5945" s="3"/>
      <c r="H5945" s="2"/>
    </row>
    <row r="5946" spans="1:8" x14ac:dyDescent="0.25">
      <c r="A5946" s="5"/>
      <c r="B5946" s="6"/>
      <c r="C5946" s="6"/>
      <c r="D5946" s="6"/>
      <c r="E5946" s="6"/>
      <c r="G5946" s="1"/>
      <c r="H5946" s="2"/>
    </row>
    <row r="5947" spans="1:8" x14ac:dyDescent="0.25">
      <c r="A5947" s="5"/>
      <c r="B5947" s="6"/>
      <c r="C5947" s="6"/>
      <c r="D5947" s="6"/>
      <c r="E5947" s="6"/>
      <c r="G5947" s="3"/>
      <c r="H5947" s="2"/>
    </row>
    <row r="5948" spans="1:8" x14ac:dyDescent="0.25">
      <c r="A5948" s="5"/>
      <c r="B5948" s="6"/>
      <c r="C5948" s="6"/>
      <c r="D5948" s="6"/>
      <c r="E5948" s="6"/>
      <c r="G5948" s="1"/>
      <c r="H5948" s="2"/>
    </row>
    <row r="5949" spans="1:8" x14ac:dyDescent="0.25">
      <c r="A5949" s="5"/>
      <c r="B5949" s="6"/>
      <c r="C5949" s="6"/>
      <c r="D5949" s="6"/>
      <c r="E5949" s="6"/>
      <c r="G5949" s="3"/>
      <c r="H5949" s="2"/>
    </row>
    <row r="5950" spans="1:8" x14ac:dyDescent="0.25">
      <c r="A5950" s="5"/>
      <c r="B5950" s="6"/>
      <c r="C5950" s="6"/>
      <c r="D5950" s="6"/>
      <c r="E5950" s="6"/>
      <c r="G5950" s="1"/>
      <c r="H5950" s="2"/>
    </row>
    <row r="5951" spans="1:8" x14ac:dyDescent="0.25">
      <c r="A5951" s="5"/>
      <c r="B5951" s="6"/>
      <c r="C5951" s="6"/>
      <c r="D5951" s="6"/>
      <c r="E5951" s="6"/>
      <c r="G5951" s="3"/>
      <c r="H5951" s="2"/>
    </row>
    <row r="5952" spans="1:8" x14ac:dyDescent="0.25">
      <c r="A5952" s="5"/>
      <c r="B5952" s="6"/>
      <c r="C5952" s="6"/>
      <c r="D5952" s="6"/>
      <c r="E5952" s="6"/>
      <c r="G5952" s="1"/>
      <c r="H5952" s="2"/>
    </row>
    <row r="5953" spans="1:8" x14ac:dyDescent="0.25">
      <c r="A5953" s="5"/>
      <c r="B5953" s="6"/>
      <c r="C5953" s="6"/>
      <c r="D5953" s="6"/>
      <c r="E5953" s="6"/>
      <c r="G5953" s="3"/>
      <c r="H5953" s="2"/>
    </row>
    <row r="5954" spans="1:8" x14ac:dyDescent="0.25">
      <c r="A5954" s="5"/>
      <c r="B5954" s="6"/>
      <c r="C5954" s="6"/>
      <c r="D5954" s="6"/>
      <c r="E5954" s="6"/>
      <c r="G5954" s="1"/>
      <c r="H5954" s="2"/>
    </row>
    <row r="5955" spans="1:8" x14ac:dyDescent="0.25">
      <c r="A5955" s="5"/>
      <c r="B5955" s="6"/>
      <c r="C5955" s="6"/>
      <c r="D5955" s="6"/>
      <c r="E5955" s="6"/>
      <c r="G5955" s="3"/>
      <c r="H5955" s="2"/>
    </row>
    <row r="5956" spans="1:8" x14ac:dyDescent="0.25">
      <c r="A5956" s="5"/>
      <c r="B5956" s="6"/>
      <c r="C5956" s="6"/>
      <c r="D5956" s="6"/>
      <c r="E5956" s="6"/>
      <c r="G5956" s="1"/>
      <c r="H5956" s="2"/>
    </row>
    <row r="5957" spans="1:8" x14ac:dyDescent="0.25">
      <c r="A5957" s="5"/>
      <c r="B5957" s="6"/>
      <c r="C5957" s="6"/>
      <c r="D5957" s="6"/>
      <c r="E5957" s="6"/>
      <c r="G5957" s="3"/>
      <c r="H5957" s="2"/>
    </row>
    <row r="5958" spans="1:8" x14ac:dyDescent="0.25">
      <c r="A5958" s="5"/>
      <c r="B5958" s="6"/>
      <c r="C5958" s="6"/>
      <c r="D5958" s="6"/>
      <c r="E5958" s="6"/>
      <c r="G5958" s="1"/>
      <c r="H5958" s="2"/>
    </row>
    <row r="5959" spans="1:8" x14ac:dyDescent="0.25">
      <c r="A5959" s="5"/>
      <c r="B5959" s="6"/>
      <c r="C5959" s="6"/>
      <c r="D5959" s="6"/>
      <c r="E5959" s="6"/>
      <c r="G5959" s="3"/>
      <c r="H5959" s="2"/>
    </row>
    <row r="5960" spans="1:8" x14ac:dyDescent="0.25">
      <c r="A5960" s="5"/>
      <c r="B5960" s="6"/>
      <c r="C5960" s="6"/>
      <c r="D5960" s="6"/>
      <c r="E5960" s="6"/>
      <c r="G5960" s="1"/>
      <c r="H5960" s="2"/>
    </row>
    <row r="5961" spans="1:8" x14ac:dyDescent="0.25">
      <c r="A5961" s="5"/>
      <c r="B5961" s="6"/>
      <c r="C5961" s="6"/>
      <c r="D5961" s="6"/>
      <c r="E5961" s="6"/>
      <c r="G5961" s="3"/>
      <c r="H5961" s="2"/>
    </row>
    <row r="5962" spans="1:8" x14ac:dyDescent="0.25">
      <c r="A5962" s="5"/>
      <c r="B5962" s="6"/>
      <c r="C5962" s="6"/>
      <c r="D5962" s="6"/>
      <c r="E5962" s="6"/>
      <c r="G5962" s="1"/>
      <c r="H5962" s="2"/>
    </row>
    <row r="5963" spans="1:8" x14ac:dyDescent="0.25">
      <c r="A5963" s="5"/>
      <c r="B5963" s="6"/>
      <c r="C5963" s="6"/>
      <c r="D5963" s="6"/>
      <c r="E5963" s="6"/>
      <c r="G5963" s="3"/>
      <c r="H5963" s="2"/>
    </row>
    <row r="5964" spans="1:8" x14ac:dyDescent="0.25">
      <c r="A5964" s="5"/>
      <c r="B5964" s="6"/>
      <c r="C5964" s="6"/>
      <c r="D5964" s="6"/>
      <c r="E5964" s="6"/>
      <c r="G5964" s="1"/>
      <c r="H5964" s="2"/>
    </row>
    <row r="5965" spans="1:8" x14ac:dyDescent="0.25">
      <c r="A5965" s="5"/>
      <c r="B5965" s="6"/>
      <c r="C5965" s="6"/>
      <c r="D5965" s="6"/>
      <c r="E5965" s="6"/>
      <c r="G5965" s="3"/>
      <c r="H5965" s="2"/>
    </row>
    <row r="5966" spans="1:8" x14ac:dyDescent="0.25">
      <c r="A5966" s="5"/>
      <c r="B5966" s="6"/>
      <c r="C5966" s="6"/>
      <c r="D5966" s="6"/>
      <c r="E5966" s="6"/>
      <c r="G5966" s="1"/>
      <c r="H5966" s="2"/>
    </row>
    <row r="5967" spans="1:8" x14ac:dyDescent="0.25">
      <c r="A5967" s="5"/>
      <c r="B5967" s="6"/>
      <c r="C5967" s="6"/>
      <c r="D5967" s="6"/>
      <c r="E5967" s="6"/>
      <c r="G5967" s="3"/>
      <c r="H5967" s="2"/>
    </row>
    <row r="5968" spans="1:8" x14ac:dyDescent="0.25">
      <c r="A5968" s="5"/>
      <c r="B5968" s="6"/>
      <c r="C5968" s="6"/>
      <c r="D5968" s="6"/>
      <c r="E5968" s="6"/>
      <c r="G5968" s="1"/>
      <c r="H5968" s="2"/>
    </row>
    <row r="5969" spans="1:8" x14ac:dyDescent="0.25">
      <c r="A5969" s="5"/>
      <c r="B5969" s="6"/>
      <c r="C5969" s="6"/>
      <c r="D5969" s="6"/>
      <c r="E5969" s="6"/>
      <c r="G5969" s="3"/>
      <c r="H5969" s="2"/>
    </row>
    <row r="5970" spans="1:8" x14ac:dyDescent="0.25">
      <c r="A5970" s="5"/>
      <c r="B5970" s="6"/>
      <c r="C5970" s="6"/>
      <c r="D5970" s="6"/>
      <c r="E5970" s="6"/>
      <c r="G5970" s="1"/>
      <c r="H5970" s="2"/>
    </row>
    <row r="5971" spans="1:8" x14ac:dyDescent="0.25">
      <c r="A5971" s="5"/>
      <c r="B5971" s="6"/>
      <c r="C5971" s="6"/>
      <c r="D5971" s="6"/>
      <c r="E5971" s="6"/>
      <c r="G5971" s="3"/>
      <c r="H5971" s="2"/>
    </row>
    <row r="5972" spans="1:8" x14ac:dyDescent="0.25">
      <c r="A5972" s="5"/>
      <c r="B5972" s="6"/>
      <c r="C5972" s="6"/>
      <c r="D5972" s="6"/>
      <c r="E5972" s="6"/>
      <c r="G5972" s="1"/>
      <c r="H5972" s="2"/>
    </row>
    <row r="5973" spans="1:8" x14ac:dyDescent="0.25">
      <c r="A5973" s="5"/>
      <c r="B5973" s="6"/>
      <c r="C5973" s="6"/>
      <c r="D5973" s="6"/>
      <c r="E5973" s="6"/>
      <c r="G5973" s="3"/>
      <c r="H5973" s="2"/>
    </row>
    <row r="5974" spans="1:8" x14ac:dyDescent="0.25">
      <c r="A5974" s="5"/>
      <c r="B5974" s="6"/>
      <c r="C5974" s="6"/>
      <c r="D5974" s="6"/>
      <c r="E5974" s="6"/>
      <c r="G5974" s="1"/>
      <c r="H5974" s="2"/>
    </row>
    <row r="5975" spans="1:8" x14ac:dyDescent="0.25">
      <c r="A5975" s="5"/>
      <c r="B5975" s="6"/>
      <c r="C5975" s="6"/>
      <c r="D5975" s="6"/>
      <c r="E5975" s="6"/>
      <c r="G5975" s="3"/>
      <c r="H5975" s="2"/>
    </row>
    <row r="5976" spans="1:8" x14ac:dyDescent="0.25">
      <c r="A5976" s="5"/>
      <c r="B5976" s="6"/>
      <c r="C5976" s="6"/>
      <c r="D5976" s="6"/>
      <c r="E5976" s="6"/>
      <c r="G5976" s="1"/>
      <c r="H5976" s="2"/>
    </row>
    <row r="5977" spans="1:8" x14ac:dyDescent="0.25">
      <c r="A5977" s="5"/>
      <c r="B5977" s="6"/>
      <c r="C5977" s="6"/>
      <c r="D5977" s="6"/>
      <c r="E5977" s="6"/>
      <c r="G5977" s="3"/>
      <c r="H5977" s="2"/>
    </row>
    <row r="5978" spans="1:8" x14ac:dyDescent="0.25">
      <c r="A5978" s="5"/>
      <c r="B5978" s="6"/>
      <c r="C5978" s="6"/>
      <c r="D5978" s="6"/>
      <c r="E5978" s="6"/>
      <c r="G5978" s="1"/>
      <c r="H5978" s="2"/>
    </row>
    <row r="5979" spans="1:8" x14ac:dyDescent="0.25">
      <c r="A5979" s="5"/>
      <c r="B5979" s="6"/>
      <c r="C5979" s="6"/>
      <c r="D5979" s="6"/>
      <c r="E5979" s="6"/>
      <c r="G5979" s="3"/>
      <c r="H5979" s="2"/>
    </row>
    <row r="5980" spans="1:8" x14ac:dyDescent="0.25">
      <c r="A5980" s="5"/>
      <c r="B5980" s="6"/>
      <c r="C5980" s="6"/>
      <c r="D5980" s="6"/>
      <c r="E5980" s="6"/>
      <c r="G5980" s="1"/>
      <c r="H5980" s="2"/>
    </row>
    <row r="5981" spans="1:8" x14ac:dyDescent="0.25">
      <c r="A5981" s="5"/>
      <c r="B5981" s="6"/>
      <c r="C5981" s="6"/>
      <c r="D5981" s="6"/>
      <c r="E5981" s="6"/>
      <c r="G5981" s="3"/>
      <c r="H5981" s="2"/>
    </row>
    <row r="5982" spans="1:8" x14ac:dyDescent="0.25">
      <c r="A5982" s="5"/>
      <c r="B5982" s="6"/>
      <c r="C5982" s="6"/>
      <c r="D5982" s="6"/>
      <c r="E5982" s="6"/>
      <c r="G5982" s="1"/>
      <c r="H5982" s="2"/>
    </row>
    <row r="5983" spans="1:8" x14ac:dyDescent="0.25">
      <c r="A5983" s="5"/>
      <c r="B5983" s="6"/>
      <c r="C5983" s="6"/>
      <c r="D5983" s="6"/>
      <c r="E5983" s="6"/>
      <c r="G5983" s="3"/>
      <c r="H5983" s="2"/>
    </row>
    <row r="5984" spans="1:8" x14ac:dyDescent="0.25">
      <c r="A5984" s="5"/>
      <c r="B5984" s="6"/>
      <c r="C5984" s="6"/>
      <c r="D5984" s="6"/>
      <c r="E5984" s="6"/>
      <c r="G5984" s="1"/>
      <c r="H5984" s="2"/>
    </row>
    <row r="5985" spans="1:8" x14ac:dyDescent="0.25">
      <c r="A5985" s="5"/>
      <c r="B5985" s="6"/>
      <c r="C5985" s="6"/>
      <c r="D5985" s="6"/>
      <c r="E5985" s="6"/>
      <c r="G5985" s="3"/>
      <c r="H5985" s="2"/>
    </row>
    <row r="5986" spans="1:8" x14ac:dyDescent="0.25">
      <c r="A5986" s="5"/>
      <c r="B5986" s="6"/>
      <c r="C5986" s="6"/>
      <c r="D5986" s="6"/>
      <c r="E5986" s="6"/>
      <c r="G5986" s="1"/>
      <c r="H5986" s="2"/>
    </row>
    <row r="5987" spans="1:8" x14ac:dyDescent="0.25">
      <c r="A5987" s="5"/>
      <c r="B5987" s="6"/>
      <c r="C5987" s="6"/>
      <c r="D5987" s="6"/>
      <c r="E5987" s="6"/>
      <c r="G5987" s="3"/>
      <c r="H5987" s="2"/>
    </row>
    <row r="5988" spans="1:8" x14ac:dyDescent="0.25">
      <c r="A5988" s="5"/>
      <c r="B5988" s="6"/>
      <c r="C5988" s="6"/>
      <c r="D5988" s="6"/>
      <c r="E5988" s="6"/>
      <c r="G5988" s="1"/>
      <c r="H5988" s="2"/>
    </row>
    <row r="5989" spans="1:8" x14ac:dyDescent="0.25">
      <c r="A5989" s="5"/>
      <c r="B5989" s="6"/>
      <c r="C5989" s="6"/>
      <c r="D5989" s="6"/>
      <c r="E5989" s="6"/>
      <c r="G5989" s="3"/>
      <c r="H5989" s="2"/>
    </row>
    <row r="5990" spans="1:8" x14ac:dyDescent="0.25">
      <c r="A5990" s="5"/>
      <c r="B5990" s="6"/>
      <c r="C5990" s="6"/>
      <c r="D5990" s="6"/>
      <c r="E5990" s="6"/>
      <c r="G5990" s="1"/>
      <c r="H5990" s="2"/>
    </row>
    <row r="5991" spans="1:8" x14ac:dyDescent="0.25">
      <c r="A5991" s="5"/>
      <c r="B5991" s="6"/>
      <c r="C5991" s="6"/>
      <c r="D5991" s="6"/>
      <c r="E5991" s="6"/>
      <c r="G5991" s="3"/>
      <c r="H5991" s="2"/>
    </row>
    <row r="5992" spans="1:8" x14ac:dyDescent="0.25">
      <c r="A5992" s="5"/>
      <c r="B5992" s="6"/>
      <c r="C5992" s="6"/>
      <c r="D5992" s="6"/>
      <c r="E5992" s="6"/>
      <c r="G5992" s="1"/>
      <c r="H5992" s="2"/>
    </row>
    <row r="5993" spans="1:8" x14ac:dyDescent="0.25">
      <c r="A5993" s="5"/>
      <c r="B5993" s="6"/>
      <c r="C5993" s="6"/>
      <c r="D5993" s="6"/>
      <c r="E5993" s="6"/>
      <c r="G5993" s="3"/>
      <c r="H5993" s="2"/>
    </row>
    <row r="5994" spans="1:8" x14ac:dyDescent="0.25">
      <c r="A5994" s="5"/>
      <c r="B5994" s="6"/>
      <c r="C5994" s="6"/>
      <c r="D5994" s="6"/>
      <c r="E5994" s="6"/>
      <c r="G5994" s="1"/>
      <c r="H5994" s="2"/>
    </row>
    <row r="5995" spans="1:8" x14ac:dyDescent="0.25">
      <c r="A5995" s="5"/>
      <c r="B5995" s="6"/>
      <c r="C5995" s="6"/>
      <c r="D5995" s="6"/>
      <c r="E5995" s="6"/>
      <c r="G5995" s="3"/>
      <c r="H5995" s="2"/>
    </row>
    <row r="5996" spans="1:8" x14ac:dyDescent="0.25">
      <c r="A5996" s="5"/>
      <c r="B5996" s="6"/>
      <c r="C5996" s="6"/>
      <c r="D5996" s="6"/>
      <c r="E5996" s="6"/>
      <c r="G5996" s="1"/>
      <c r="H5996" s="2"/>
    </row>
    <row r="5997" spans="1:8" x14ac:dyDescent="0.25">
      <c r="A5997" s="5"/>
      <c r="B5997" s="6"/>
      <c r="C5997" s="6"/>
      <c r="D5997" s="6"/>
      <c r="E5997" s="6"/>
      <c r="G5997" s="3"/>
      <c r="H5997" s="2"/>
    </row>
    <row r="5998" spans="1:8" x14ac:dyDescent="0.25">
      <c r="A5998" s="5"/>
      <c r="B5998" s="6"/>
      <c r="C5998" s="6"/>
      <c r="D5998" s="6"/>
      <c r="E5998" s="6"/>
      <c r="G5998" s="1"/>
      <c r="H5998" s="2"/>
    </row>
    <row r="5999" spans="1:8" x14ac:dyDescent="0.25">
      <c r="A5999" s="5"/>
      <c r="B5999" s="6"/>
      <c r="C5999" s="6"/>
      <c r="D5999" s="6"/>
      <c r="E5999" s="6"/>
      <c r="G5999" s="3"/>
      <c r="H5999" s="2"/>
    </row>
    <row r="6000" spans="1:8" x14ac:dyDescent="0.25">
      <c r="A6000" s="5"/>
      <c r="B6000" s="6"/>
      <c r="C6000" s="6"/>
      <c r="D6000" s="6"/>
      <c r="E6000" s="6"/>
      <c r="G6000" s="1"/>
      <c r="H6000" s="2"/>
    </row>
    <row r="6001" spans="1:8" x14ac:dyDescent="0.25">
      <c r="A6001" s="5"/>
      <c r="B6001" s="6"/>
      <c r="C6001" s="6"/>
      <c r="D6001" s="6"/>
      <c r="E6001" s="6"/>
      <c r="G6001" s="3"/>
      <c r="H6001" s="2"/>
    </row>
    <row r="6002" spans="1:8" x14ac:dyDescent="0.25">
      <c r="A6002" s="5"/>
      <c r="B6002" s="6"/>
      <c r="C6002" s="6"/>
      <c r="D6002" s="6"/>
      <c r="E6002" s="6"/>
      <c r="G6002" s="1"/>
      <c r="H6002" s="2"/>
    </row>
    <row r="6003" spans="1:8" x14ac:dyDescent="0.25">
      <c r="A6003" s="5"/>
      <c r="B6003" s="6"/>
      <c r="C6003" s="6"/>
      <c r="D6003" s="6"/>
      <c r="E6003" s="6"/>
      <c r="G6003" s="3"/>
      <c r="H6003" s="2"/>
    </row>
    <row r="6004" spans="1:8" x14ac:dyDescent="0.25">
      <c r="A6004" s="5"/>
      <c r="B6004" s="6"/>
      <c r="C6004" s="6"/>
      <c r="D6004" s="6"/>
      <c r="E6004" s="6"/>
      <c r="G6004" s="1"/>
      <c r="H6004" s="2"/>
    </row>
    <row r="6005" spans="1:8" x14ac:dyDescent="0.25">
      <c r="A6005" s="5"/>
      <c r="B6005" s="6"/>
      <c r="C6005" s="6"/>
      <c r="D6005" s="6"/>
      <c r="E6005" s="6"/>
      <c r="G6005" s="3"/>
      <c r="H6005" s="2"/>
    </row>
    <row r="6006" spans="1:8" x14ac:dyDescent="0.25">
      <c r="A6006" s="5"/>
      <c r="B6006" s="6"/>
      <c r="C6006" s="6"/>
      <c r="D6006" s="6"/>
      <c r="E6006" s="6"/>
      <c r="G6006" s="1"/>
      <c r="H6006" s="2"/>
    </row>
    <row r="6007" spans="1:8" x14ac:dyDescent="0.25">
      <c r="A6007" s="5"/>
      <c r="B6007" s="6"/>
      <c r="C6007" s="6"/>
      <c r="D6007" s="6"/>
      <c r="E6007" s="6"/>
      <c r="G6007" s="3"/>
      <c r="H6007" s="2"/>
    </row>
    <row r="6008" spans="1:8" x14ac:dyDescent="0.25">
      <c r="A6008" s="5"/>
      <c r="B6008" s="6"/>
      <c r="C6008" s="6"/>
      <c r="D6008" s="6"/>
      <c r="E6008" s="6"/>
      <c r="G6008" s="1"/>
      <c r="H6008" s="2"/>
    </row>
    <row r="6009" spans="1:8" x14ac:dyDescent="0.25">
      <c r="A6009" s="5"/>
      <c r="B6009" s="6"/>
      <c r="C6009" s="6"/>
      <c r="D6009" s="6"/>
      <c r="E6009" s="6"/>
      <c r="G6009" s="3"/>
      <c r="H6009" s="2"/>
    </row>
    <row r="6010" spans="1:8" x14ac:dyDescent="0.25">
      <c r="A6010" s="5"/>
      <c r="B6010" s="6"/>
      <c r="C6010" s="6"/>
      <c r="D6010" s="6"/>
      <c r="E6010" s="6"/>
      <c r="G6010" s="1"/>
      <c r="H6010" s="2"/>
    </row>
    <row r="6011" spans="1:8" x14ac:dyDescent="0.25">
      <c r="A6011" s="5"/>
      <c r="B6011" s="6"/>
      <c r="C6011" s="6"/>
      <c r="D6011" s="6"/>
      <c r="E6011" s="6"/>
      <c r="G6011" s="3"/>
      <c r="H6011" s="2"/>
    </row>
    <row r="6012" spans="1:8" x14ac:dyDescent="0.25">
      <c r="A6012" s="5"/>
      <c r="B6012" s="6"/>
      <c r="C6012" s="6"/>
      <c r="D6012" s="6"/>
      <c r="E6012" s="6"/>
      <c r="G6012" s="1"/>
      <c r="H6012" s="2"/>
    </row>
    <row r="6013" spans="1:8" x14ac:dyDescent="0.25">
      <c r="A6013" s="5"/>
      <c r="B6013" s="6"/>
      <c r="C6013" s="6"/>
      <c r="D6013" s="6"/>
      <c r="E6013" s="6"/>
      <c r="G6013" s="3"/>
      <c r="H6013" s="2"/>
    </row>
    <row r="6014" spans="1:8" x14ac:dyDescent="0.25">
      <c r="A6014" s="5"/>
      <c r="B6014" s="6"/>
      <c r="C6014" s="6"/>
      <c r="D6014" s="6"/>
      <c r="E6014" s="6"/>
      <c r="G6014" s="1"/>
      <c r="H6014" s="2"/>
    </row>
    <row r="6015" spans="1:8" x14ac:dyDescent="0.25">
      <c r="A6015" s="5"/>
      <c r="B6015" s="6"/>
      <c r="C6015" s="6"/>
      <c r="D6015" s="6"/>
      <c r="E6015" s="6"/>
      <c r="G6015" s="3"/>
      <c r="H6015" s="2"/>
    </row>
    <row r="6016" spans="1:8" x14ac:dyDescent="0.25">
      <c r="A6016" s="5"/>
      <c r="B6016" s="6"/>
      <c r="C6016" s="6"/>
      <c r="D6016" s="6"/>
      <c r="E6016" s="6"/>
      <c r="G6016" s="1"/>
      <c r="H6016" s="2"/>
    </row>
    <row r="6017" spans="1:8" x14ac:dyDescent="0.25">
      <c r="A6017" s="5"/>
      <c r="B6017" s="6"/>
      <c r="C6017" s="6"/>
      <c r="D6017" s="6"/>
      <c r="E6017" s="6"/>
      <c r="G6017" s="3"/>
      <c r="H6017" s="2"/>
    </row>
    <row r="6018" spans="1:8" x14ac:dyDescent="0.25">
      <c r="A6018" s="5"/>
      <c r="B6018" s="6"/>
      <c r="C6018" s="6"/>
      <c r="D6018" s="6"/>
      <c r="E6018" s="6"/>
      <c r="G6018" s="1"/>
      <c r="H6018" s="2"/>
    </row>
    <row r="6019" spans="1:8" x14ac:dyDescent="0.25">
      <c r="A6019" s="5"/>
      <c r="B6019" s="6"/>
      <c r="C6019" s="6"/>
      <c r="D6019" s="6"/>
      <c r="E6019" s="6"/>
      <c r="G6019" s="3"/>
      <c r="H6019" s="2"/>
    </row>
    <row r="6020" spans="1:8" x14ac:dyDescent="0.25">
      <c r="A6020" s="5"/>
      <c r="B6020" s="6"/>
      <c r="C6020" s="6"/>
      <c r="D6020" s="6"/>
      <c r="E6020" s="6"/>
      <c r="G6020" s="1"/>
      <c r="H6020" s="2"/>
    </row>
    <row r="6021" spans="1:8" x14ac:dyDescent="0.25">
      <c r="A6021" s="5"/>
      <c r="B6021" s="6"/>
      <c r="C6021" s="6"/>
      <c r="D6021" s="6"/>
      <c r="E6021" s="6"/>
      <c r="G6021" s="3"/>
      <c r="H6021" s="2"/>
    </row>
    <row r="6022" spans="1:8" x14ac:dyDescent="0.25">
      <c r="A6022" s="5"/>
      <c r="B6022" s="6"/>
      <c r="C6022" s="6"/>
      <c r="D6022" s="6"/>
      <c r="E6022" s="6"/>
      <c r="G6022" s="1"/>
      <c r="H6022" s="2"/>
    </row>
    <row r="6023" spans="1:8" x14ac:dyDescent="0.25">
      <c r="A6023" s="5"/>
      <c r="B6023" s="6"/>
      <c r="C6023" s="6"/>
      <c r="D6023" s="6"/>
      <c r="E6023" s="6"/>
      <c r="G6023" s="3"/>
      <c r="H6023" s="2"/>
    </row>
    <row r="6024" spans="1:8" x14ac:dyDescent="0.25">
      <c r="A6024" s="5"/>
      <c r="B6024" s="6"/>
      <c r="C6024" s="6"/>
      <c r="D6024" s="6"/>
      <c r="E6024" s="6"/>
      <c r="G6024" s="1"/>
      <c r="H6024" s="2"/>
    </row>
    <row r="6025" spans="1:8" x14ac:dyDescent="0.25">
      <c r="A6025" s="5"/>
      <c r="B6025" s="6"/>
      <c r="C6025" s="6"/>
      <c r="D6025" s="6"/>
      <c r="E6025" s="6"/>
      <c r="G6025" s="3"/>
      <c r="H6025" s="2"/>
    </row>
    <row r="6026" spans="1:8" x14ac:dyDescent="0.25">
      <c r="A6026" s="5"/>
      <c r="B6026" s="6"/>
      <c r="C6026" s="6"/>
      <c r="D6026" s="6"/>
      <c r="E6026" s="6"/>
      <c r="G6026" s="1"/>
      <c r="H6026" s="2"/>
    </row>
    <row r="6027" spans="1:8" x14ac:dyDescent="0.25">
      <c r="A6027" s="5"/>
      <c r="B6027" s="6"/>
      <c r="C6027" s="6"/>
      <c r="D6027" s="6"/>
      <c r="E6027" s="6"/>
      <c r="G6027" s="3"/>
      <c r="H6027" s="2"/>
    </row>
    <row r="6028" spans="1:8" x14ac:dyDescent="0.25">
      <c r="A6028" s="5"/>
      <c r="B6028" s="6"/>
      <c r="C6028" s="6"/>
      <c r="D6028" s="6"/>
      <c r="E6028" s="6"/>
      <c r="G6028" s="1"/>
      <c r="H6028" s="2"/>
    </row>
    <row r="6029" spans="1:8" x14ac:dyDescent="0.25">
      <c r="A6029" s="5"/>
      <c r="B6029" s="6"/>
      <c r="C6029" s="6"/>
      <c r="D6029" s="6"/>
      <c r="E6029" s="6"/>
      <c r="G6029" s="3"/>
      <c r="H6029" s="2"/>
    </row>
    <row r="6030" spans="1:8" x14ac:dyDescent="0.25">
      <c r="A6030" s="5"/>
      <c r="B6030" s="6"/>
      <c r="C6030" s="6"/>
      <c r="D6030" s="6"/>
      <c r="E6030" s="6"/>
      <c r="G6030" s="1"/>
      <c r="H6030" s="2"/>
    </row>
    <row r="6031" spans="1:8" x14ac:dyDescent="0.25">
      <c r="A6031" s="5"/>
      <c r="B6031" s="6"/>
      <c r="C6031" s="6"/>
      <c r="D6031" s="6"/>
      <c r="E6031" s="6"/>
      <c r="G6031" s="3"/>
      <c r="H6031" s="2"/>
    </row>
    <row r="6032" spans="1:8" x14ac:dyDescent="0.25">
      <c r="A6032" s="5"/>
      <c r="B6032" s="6"/>
      <c r="C6032" s="6"/>
      <c r="D6032" s="6"/>
      <c r="E6032" s="6"/>
      <c r="G6032" s="1"/>
      <c r="H6032" s="2"/>
    </row>
    <row r="6033" spans="1:8" x14ac:dyDescent="0.25">
      <c r="A6033" s="5"/>
      <c r="B6033" s="6"/>
      <c r="C6033" s="6"/>
      <c r="D6033" s="6"/>
      <c r="E6033" s="6"/>
      <c r="G6033" s="3"/>
      <c r="H6033" s="2"/>
    </row>
    <row r="6034" spans="1:8" x14ac:dyDescent="0.25">
      <c r="A6034" s="5"/>
      <c r="B6034" s="6"/>
      <c r="C6034" s="6"/>
      <c r="D6034" s="6"/>
      <c r="E6034" s="6"/>
      <c r="G6034" s="1"/>
      <c r="H6034" s="2"/>
    </row>
    <row r="6035" spans="1:8" x14ac:dyDescent="0.25">
      <c r="A6035" s="5"/>
      <c r="B6035" s="6"/>
      <c r="C6035" s="6"/>
      <c r="D6035" s="6"/>
      <c r="E6035" s="6"/>
      <c r="G6035" s="3"/>
      <c r="H6035" s="2"/>
    </row>
    <row r="6036" spans="1:8" x14ac:dyDescent="0.25">
      <c r="A6036" s="5"/>
      <c r="B6036" s="6"/>
      <c r="C6036" s="6"/>
      <c r="D6036" s="6"/>
      <c r="E6036" s="6"/>
      <c r="G6036" s="1"/>
      <c r="H6036" s="2"/>
    </row>
    <row r="6037" spans="1:8" x14ac:dyDescent="0.25">
      <c r="A6037" s="5"/>
      <c r="B6037" s="6"/>
      <c r="C6037" s="6"/>
      <c r="D6037" s="6"/>
      <c r="E6037" s="6"/>
      <c r="G6037" s="3"/>
      <c r="H6037" s="2"/>
    </row>
    <row r="6038" spans="1:8" x14ac:dyDescent="0.25">
      <c r="A6038" s="5"/>
      <c r="B6038" s="6"/>
      <c r="C6038" s="6"/>
      <c r="D6038" s="6"/>
      <c r="E6038" s="6"/>
      <c r="G6038" s="1"/>
      <c r="H6038" s="2"/>
    </row>
    <row r="6039" spans="1:8" x14ac:dyDescent="0.25">
      <c r="A6039" s="5"/>
      <c r="B6039" s="6"/>
      <c r="C6039" s="6"/>
      <c r="D6039" s="6"/>
      <c r="E6039" s="6"/>
      <c r="G6039" s="3"/>
      <c r="H6039" s="2"/>
    </row>
    <row r="6040" spans="1:8" x14ac:dyDescent="0.25">
      <c r="A6040" s="5"/>
      <c r="B6040" s="6"/>
      <c r="C6040" s="6"/>
      <c r="D6040" s="6"/>
      <c r="E6040" s="6"/>
      <c r="G6040" s="1"/>
      <c r="H6040" s="2"/>
    </row>
    <row r="6041" spans="1:8" x14ac:dyDescent="0.25">
      <c r="A6041" s="5"/>
      <c r="B6041" s="6"/>
      <c r="C6041" s="6"/>
      <c r="D6041" s="6"/>
      <c r="E6041" s="6"/>
      <c r="G6041" s="3"/>
      <c r="H6041" s="2"/>
    </row>
    <row r="6042" spans="1:8" x14ac:dyDescent="0.25">
      <c r="A6042" s="5"/>
      <c r="B6042" s="6"/>
      <c r="C6042" s="6"/>
      <c r="D6042" s="6"/>
      <c r="E6042" s="6"/>
      <c r="G6042" s="1"/>
      <c r="H6042" s="2"/>
    </row>
    <row r="6043" spans="1:8" x14ac:dyDescent="0.25">
      <c r="A6043" s="5"/>
      <c r="B6043" s="6"/>
      <c r="C6043" s="6"/>
      <c r="D6043" s="6"/>
      <c r="E6043" s="6"/>
      <c r="G6043" s="3"/>
      <c r="H6043" s="2"/>
    </row>
    <row r="6044" spans="1:8" x14ac:dyDescent="0.25">
      <c r="A6044" s="5"/>
      <c r="B6044" s="6"/>
      <c r="C6044" s="6"/>
      <c r="D6044" s="6"/>
      <c r="E6044" s="6"/>
      <c r="G6044" s="1"/>
      <c r="H6044" s="2"/>
    </row>
    <row r="6045" spans="1:8" x14ac:dyDescent="0.25">
      <c r="A6045" s="5"/>
      <c r="B6045" s="6"/>
      <c r="C6045" s="6"/>
      <c r="D6045" s="6"/>
      <c r="E6045" s="6"/>
      <c r="G6045" s="3"/>
      <c r="H6045" s="2"/>
    </row>
    <row r="6046" spans="1:8" x14ac:dyDescent="0.25">
      <c r="A6046" s="5"/>
      <c r="B6046" s="6"/>
      <c r="C6046" s="6"/>
      <c r="D6046" s="6"/>
      <c r="E6046" s="6"/>
      <c r="G6046" s="1"/>
      <c r="H6046" s="2"/>
    </row>
    <row r="6047" spans="1:8" x14ac:dyDescent="0.25">
      <c r="A6047" s="5"/>
      <c r="B6047" s="6"/>
      <c r="C6047" s="6"/>
      <c r="D6047" s="6"/>
      <c r="E6047" s="6"/>
      <c r="G6047" s="3"/>
      <c r="H6047" s="2"/>
    </row>
    <row r="6048" spans="1:8" x14ac:dyDescent="0.25">
      <c r="A6048" s="5"/>
      <c r="B6048" s="6"/>
      <c r="C6048" s="6"/>
      <c r="D6048" s="6"/>
      <c r="E6048" s="6"/>
      <c r="G6048" s="1"/>
      <c r="H6048" s="2"/>
    </row>
    <row r="6049" spans="1:8" x14ac:dyDescent="0.25">
      <c r="A6049" s="5"/>
      <c r="B6049" s="6"/>
      <c r="C6049" s="6"/>
      <c r="D6049" s="6"/>
      <c r="E6049" s="6"/>
      <c r="G6049" s="3"/>
      <c r="H6049" s="2"/>
    </row>
    <row r="6050" spans="1:8" x14ac:dyDescent="0.25">
      <c r="A6050" s="5"/>
      <c r="B6050" s="6"/>
      <c r="C6050" s="6"/>
      <c r="D6050" s="6"/>
      <c r="E6050" s="6"/>
      <c r="G6050" s="1"/>
      <c r="H6050" s="2"/>
    </row>
    <row r="6051" spans="1:8" x14ac:dyDescent="0.25">
      <c r="A6051" s="5"/>
      <c r="B6051" s="6"/>
      <c r="C6051" s="6"/>
      <c r="D6051" s="6"/>
      <c r="E6051" s="6"/>
      <c r="G6051" s="3"/>
      <c r="H6051" s="2"/>
    </row>
    <row r="6052" spans="1:8" x14ac:dyDescent="0.25">
      <c r="A6052" s="5"/>
      <c r="B6052" s="6"/>
      <c r="C6052" s="6"/>
      <c r="D6052" s="6"/>
      <c r="E6052" s="6"/>
      <c r="G6052" s="1"/>
      <c r="H6052" s="2"/>
    </row>
    <row r="6053" spans="1:8" x14ac:dyDescent="0.25">
      <c r="A6053" s="5"/>
      <c r="B6053" s="6"/>
      <c r="C6053" s="6"/>
      <c r="D6053" s="6"/>
      <c r="E6053" s="6"/>
      <c r="G6053" s="3"/>
      <c r="H6053" s="2"/>
    </row>
    <row r="6054" spans="1:8" x14ac:dyDescent="0.25">
      <c r="A6054" s="5"/>
      <c r="B6054" s="6"/>
      <c r="C6054" s="6"/>
      <c r="D6054" s="6"/>
      <c r="E6054" s="6"/>
      <c r="G6054" s="1"/>
      <c r="H6054" s="2"/>
    </row>
    <row r="6055" spans="1:8" x14ac:dyDescent="0.25">
      <c r="A6055" s="5"/>
      <c r="B6055" s="6"/>
      <c r="C6055" s="6"/>
      <c r="D6055" s="6"/>
      <c r="E6055" s="6"/>
      <c r="G6055" s="3"/>
      <c r="H6055" s="2"/>
    </row>
    <row r="6056" spans="1:8" x14ac:dyDescent="0.25">
      <c r="A6056" s="5"/>
      <c r="B6056" s="6"/>
      <c r="C6056" s="6"/>
      <c r="D6056" s="6"/>
      <c r="E6056" s="6"/>
      <c r="G6056" s="1"/>
      <c r="H6056" s="2"/>
    </row>
    <row r="6057" spans="1:8" x14ac:dyDescent="0.25">
      <c r="A6057" s="5"/>
      <c r="B6057" s="6"/>
      <c r="C6057" s="6"/>
      <c r="D6057" s="6"/>
      <c r="E6057" s="6"/>
      <c r="G6057" s="3"/>
      <c r="H6057" s="2"/>
    </row>
    <row r="6058" spans="1:8" x14ac:dyDescent="0.25">
      <c r="A6058" s="5"/>
      <c r="B6058" s="6"/>
      <c r="C6058" s="6"/>
      <c r="D6058" s="6"/>
      <c r="E6058" s="6"/>
      <c r="G6058" s="1"/>
      <c r="H6058" s="2"/>
    </row>
    <row r="6059" spans="1:8" x14ac:dyDescent="0.25">
      <c r="A6059" s="5"/>
      <c r="B6059" s="6"/>
      <c r="C6059" s="6"/>
      <c r="D6059" s="6"/>
      <c r="E6059" s="6"/>
      <c r="G6059" s="3"/>
      <c r="H6059" s="2"/>
    </row>
    <row r="6060" spans="1:8" x14ac:dyDescent="0.25">
      <c r="A6060" s="5"/>
      <c r="B6060" s="6"/>
      <c r="C6060" s="6"/>
      <c r="D6060" s="6"/>
      <c r="E6060" s="6"/>
      <c r="G6060" s="1"/>
      <c r="H6060" s="2"/>
    </row>
    <row r="6061" spans="1:8" x14ac:dyDescent="0.25">
      <c r="A6061" s="5"/>
      <c r="B6061" s="6"/>
      <c r="C6061" s="6"/>
      <c r="D6061" s="6"/>
      <c r="E6061" s="6"/>
      <c r="G6061" s="3"/>
      <c r="H6061" s="2"/>
    </row>
    <row r="6062" spans="1:8" x14ac:dyDescent="0.25">
      <c r="A6062" s="5"/>
      <c r="B6062" s="6"/>
      <c r="C6062" s="6"/>
      <c r="D6062" s="6"/>
      <c r="E6062" s="6"/>
      <c r="G6062" s="1"/>
      <c r="H6062" s="2"/>
    </row>
    <row r="6063" spans="1:8" x14ac:dyDescent="0.25">
      <c r="A6063" s="5"/>
      <c r="B6063" s="6"/>
      <c r="C6063" s="6"/>
      <c r="D6063" s="6"/>
      <c r="E6063" s="6"/>
      <c r="G6063" s="3"/>
      <c r="H6063" s="2"/>
    </row>
    <row r="6064" spans="1:8" x14ac:dyDescent="0.25">
      <c r="A6064" s="5"/>
      <c r="B6064" s="6"/>
      <c r="C6064" s="6"/>
      <c r="D6064" s="6"/>
      <c r="E6064" s="6"/>
      <c r="G6064" s="1"/>
      <c r="H6064" s="2"/>
    </row>
    <row r="6065" spans="1:8" x14ac:dyDescent="0.25">
      <c r="A6065" s="5"/>
      <c r="B6065" s="6"/>
      <c r="C6065" s="6"/>
      <c r="D6065" s="6"/>
      <c r="E6065" s="6"/>
      <c r="G6065" s="3"/>
      <c r="H6065" s="2"/>
    </row>
    <row r="6066" spans="1:8" x14ac:dyDescent="0.25">
      <c r="A6066" s="5"/>
      <c r="B6066" s="6"/>
      <c r="C6066" s="6"/>
      <c r="D6066" s="6"/>
      <c r="E6066" s="6"/>
      <c r="G6066" s="1"/>
      <c r="H6066" s="2"/>
    </row>
    <row r="6067" spans="1:8" x14ac:dyDescent="0.25">
      <c r="A6067" s="5"/>
      <c r="B6067" s="6"/>
      <c r="C6067" s="6"/>
      <c r="D6067" s="6"/>
      <c r="E6067" s="6"/>
      <c r="G6067" s="3"/>
      <c r="H6067" s="2"/>
    </row>
    <row r="6068" spans="1:8" x14ac:dyDescent="0.25">
      <c r="A6068" s="5"/>
      <c r="B6068" s="6"/>
      <c r="C6068" s="6"/>
      <c r="D6068" s="6"/>
      <c r="E6068" s="6"/>
      <c r="G6068" s="1"/>
      <c r="H6068" s="2"/>
    </row>
    <row r="6069" spans="1:8" x14ac:dyDescent="0.25">
      <c r="A6069" s="5"/>
      <c r="B6069" s="6"/>
      <c r="C6069" s="6"/>
      <c r="D6069" s="6"/>
      <c r="E6069" s="6"/>
      <c r="G6069" s="3"/>
      <c r="H6069" s="2"/>
    </row>
    <row r="6070" spans="1:8" x14ac:dyDescent="0.25">
      <c r="A6070" s="5"/>
      <c r="B6070" s="6"/>
      <c r="C6070" s="6"/>
      <c r="D6070" s="6"/>
      <c r="E6070" s="6"/>
      <c r="G6070" s="1"/>
      <c r="H6070" s="2"/>
    </row>
    <row r="6071" spans="1:8" x14ac:dyDescent="0.25">
      <c r="A6071" s="5"/>
      <c r="B6071" s="6"/>
      <c r="C6071" s="6"/>
      <c r="D6071" s="6"/>
      <c r="E6071" s="6"/>
      <c r="G6071" s="3"/>
      <c r="H6071" s="2"/>
    </row>
    <row r="6072" spans="1:8" x14ac:dyDescent="0.25">
      <c r="A6072" s="5"/>
      <c r="B6072" s="6"/>
      <c r="C6072" s="6"/>
      <c r="D6072" s="6"/>
      <c r="E6072" s="6"/>
      <c r="G6072" s="1"/>
      <c r="H6072" s="2"/>
    </row>
    <row r="6073" spans="1:8" x14ac:dyDescent="0.25">
      <c r="A6073" s="5"/>
      <c r="B6073" s="6"/>
      <c r="C6073" s="6"/>
      <c r="D6073" s="6"/>
      <c r="E6073" s="6"/>
      <c r="G6073" s="3"/>
      <c r="H6073" s="2"/>
    </row>
    <row r="6074" spans="1:8" x14ac:dyDescent="0.25">
      <c r="A6074" s="5"/>
      <c r="B6074" s="6"/>
      <c r="C6074" s="6"/>
      <c r="D6074" s="6"/>
      <c r="E6074" s="6"/>
      <c r="G6074" s="1"/>
      <c r="H6074" s="2"/>
    </row>
    <row r="6075" spans="1:8" x14ac:dyDescent="0.25">
      <c r="A6075" s="5"/>
      <c r="B6075" s="6"/>
      <c r="C6075" s="6"/>
      <c r="D6075" s="6"/>
      <c r="E6075" s="6"/>
      <c r="G6075" s="3"/>
      <c r="H6075" s="2"/>
    </row>
    <row r="6076" spans="1:8" x14ac:dyDescent="0.25">
      <c r="A6076" s="5"/>
      <c r="B6076" s="6"/>
      <c r="C6076" s="6"/>
      <c r="D6076" s="6"/>
      <c r="E6076" s="6"/>
      <c r="G6076" s="1"/>
      <c r="H6076" s="2"/>
    </row>
    <row r="6077" spans="1:8" x14ac:dyDescent="0.25">
      <c r="A6077" s="5"/>
      <c r="B6077" s="6"/>
      <c r="C6077" s="6"/>
      <c r="D6077" s="6"/>
      <c r="E6077" s="6"/>
      <c r="G6077" s="3"/>
      <c r="H6077" s="2"/>
    </row>
    <row r="6078" spans="1:8" x14ac:dyDescent="0.25">
      <c r="A6078" s="5"/>
      <c r="B6078" s="6"/>
      <c r="C6078" s="6"/>
      <c r="D6078" s="6"/>
      <c r="E6078" s="6"/>
      <c r="G6078" s="1"/>
      <c r="H6078" s="2"/>
    </row>
    <row r="6079" spans="1:8" x14ac:dyDescent="0.25">
      <c r="A6079" s="5"/>
      <c r="B6079" s="6"/>
      <c r="C6079" s="6"/>
      <c r="D6079" s="6"/>
      <c r="E6079" s="6"/>
      <c r="G6079" s="3"/>
      <c r="H6079" s="2"/>
    </row>
    <row r="6080" spans="1:8" x14ac:dyDescent="0.25">
      <c r="A6080" s="5"/>
      <c r="B6080" s="6"/>
      <c r="C6080" s="6"/>
      <c r="D6080" s="6"/>
      <c r="E6080" s="6"/>
      <c r="G6080" s="1"/>
      <c r="H6080" s="2"/>
    </row>
    <row r="6081" spans="1:8" x14ac:dyDescent="0.25">
      <c r="A6081" s="5"/>
      <c r="B6081" s="6"/>
      <c r="C6081" s="6"/>
      <c r="D6081" s="6"/>
      <c r="E6081" s="6"/>
      <c r="G6081" s="3"/>
      <c r="H6081" s="2"/>
    </row>
    <row r="6082" spans="1:8" x14ac:dyDescent="0.25">
      <c r="A6082" s="5"/>
      <c r="B6082" s="6"/>
      <c r="C6082" s="6"/>
      <c r="D6082" s="6"/>
      <c r="E6082" s="6"/>
      <c r="G6082" s="1"/>
      <c r="H6082" s="2"/>
    </row>
    <row r="6083" spans="1:8" x14ac:dyDescent="0.25">
      <c r="A6083" s="5"/>
      <c r="B6083" s="6"/>
      <c r="C6083" s="6"/>
      <c r="D6083" s="6"/>
      <c r="E6083" s="6"/>
      <c r="G6083" s="3"/>
      <c r="H6083" s="2"/>
    </row>
    <row r="6084" spans="1:8" x14ac:dyDescent="0.25">
      <c r="A6084" s="5"/>
      <c r="B6084" s="6"/>
      <c r="C6084" s="6"/>
      <c r="D6084" s="6"/>
      <c r="E6084" s="6"/>
      <c r="G6084" s="1"/>
      <c r="H6084" s="2"/>
    </row>
    <row r="6085" spans="1:8" x14ac:dyDescent="0.25">
      <c r="A6085" s="5"/>
      <c r="B6085" s="6"/>
      <c r="C6085" s="6"/>
      <c r="D6085" s="6"/>
      <c r="E6085" s="6"/>
      <c r="G6085" s="3"/>
      <c r="H6085" s="2"/>
    </row>
    <row r="6086" spans="1:8" x14ac:dyDescent="0.25">
      <c r="A6086" s="5"/>
      <c r="B6086" s="6"/>
      <c r="C6086" s="6"/>
      <c r="D6086" s="6"/>
      <c r="E6086" s="6"/>
      <c r="G6086" s="1"/>
      <c r="H6086" s="2"/>
    </row>
    <row r="6087" spans="1:8" x14ac:dyDescent="0.25">
      <c r="A6087" s="5"/>
      <c r="B6087" s="6"/>
      <c r="C6087" s="6"/>
      <c r="D6087" s="6"/>
      <c r="E6087" s="6"/>
      <c r="G6087" s="3"/>
      <c r="H6087" s="2"/>
    </row>
    <row r="6088" spans="1:8" x14ac:dyDescent="0.25">
      <c r="A6088" s="5"/>
      <c r="B6088" s="6"/>
      <c r="C6088" s="6"/>
      <c r="D6088" s="6"/>
      <c r="E6088" s="6"/>
      <c r="G6088" s="1"/>
      <c r="H6088" s="2"/>
    </row>
    <row r="6089" spans="1:8" x14ac:dyDescent="0.25">
      <c r="A6089" s="5"/>
      <c r="B6089" s="6"/>
      <c r="C6089" s="6"/>
      <c r="D6089" s="6"/>
      <c r="E6089" s="6"/>
      <c r="G6089" s="3"/>
      <c r="H6089" s="2"/>
    </row>
    <row r="6090" spans="1:8" x14ac:dyDescent="0.25">
      <c r="A6090" s="5"/>
      <c r="B6090" s="6"/>
      <c r="C6090" s="6"/>
      <c r="D6090" s="6"/>
      <c r="E6090" s="6"/>
      <c r="G6090" s="1"/>
      <c r="H6090" s="2"/>
    </row>
    <row r="6091" spans="1:8" x14ac:dyDescent="0.25">
      <c r="A6091" s="5"/>
      <c r="B6091" s="6"/>
      <c r="C6091" s="6"/>
      <c r="D6091" s="6"/>
      <c r="E6091" s="6"/>
      <c r="G6091" s="3"/>
      <c r="H6091" s="2"/>
    </row>
    <row r="6092" spans="1:8" x14ac:dyDescent="0.25">
      <c r="A6092" s="5"/>
      <c r="B6092" s="6"/>
      <c r="C6092" s="6"/>
      <c r="D6092" s="6"/>
      <c r="E6092" s="6"/>
      <c r="G6092" s="1"/>
      <c r="H6092" s="2"/>
    </row>
    <row r="6093" spans="1:8" x14ac:dyDescent="0.25">
      <c r="A6093" s="5"/>
      <c r="B6093" s="6"/>
      <c r="C6093" s="6"/>
      <c r="D6093" s="6"/>
      <c r="E6093" s="6"/>
      <c r="G6093" s="3"/>
      <c r="H6093" s="2"/>
    </row>
    <row r="6094" spans="1:8" x14ac:dyDescent="0.25">
      <c r="A6094" s="5"/>
      <c r="B6094" s="6"/>
      <c r="C6094" s="6"/>
      <c r="D6094" s="6"/>
      <c r="E6094" s="6"/>
      <c r="G6094" s="1"/>
      <c r="H6094" s="2"/>
    </row>
    <row r="6095" spans="1:8" x14ac:dyDescent="0.25">
      <c r="A6095" s="5"/>
      <c r="B6095" s="6"/>
      <c r="C6095" s="6"/>
      <c r="D6095" s="6"/>
      <c r="E6095" s="6"/>
      <c r="G6095" s="3"/>
      <c r="H6095" s="2"/>
    </row>
    <row r="6096" spans="1:8" x14ac:dyDescent="0.25">
      <c r="A6096" s="5"/>
      <c r="B6096" s="6"/>
      <c r="C6096" s="6"/>
      <c r="D6096" s="6"/>
      <c r="E6096" s="6"/>
      <c r="G6096" s="1"/>
      <c r="H6096" s="2"/>
    </row>
    <row r="6097" spans="1:8" x14ac:dyDescent="0.25">
      <c r="A6097" s="5"/>
      <c r="B6097" s="6"/>
      <c r="C6097" s="6"/>
      <c r="D6097" s="6"/>
      <c r="E6097" s="6"/>
      <c r="G6097" s="3"/>
      <c r="H6097" s="2"/>
    </row>
    <row r="6098" spans="1:8" x14ac:dyDescent="0.25">
      <c r="A6098" s="5"/>
      <c r="B6098" s="6"/>
      <c r="C6098" s="6"/>
      <c r="D6098" s="6"/>
      <c r="E6098" s="6"/>
      <c r="G6098" s="1"/>
      <c r="H6098" s="2"/>
    </row>
    <row r="6099" spans="1:8" x14ac:dyDescent="0.25">
      <c r="A6099" s="5"/>
      <c r="B6099" s="6"/>
      <c r="C6099" s="6"/>
      <c r="D6099" s="6"/>
      <c r="E6099" s="6"/>
      <c r="G6099" s="3"/>
      <c r="H6099" s="2"/>
    </row>
    <row r="6100" spans="1:8" x14ac:dyDescent="0.25">
      <c r="A6100" s="5"/>
      <c r="B6100" s="6"/>
      <c r="C6100" s="6"/>
      <c r="D6100" s="6"/>
      <c r="E6100" s="6"/>
      <c r="G6100" s="1"/>
      <c r="H6100" s="2"/>
    </row>
    <row r="6101" spans="1:8" x14ac:dyDescent="0.25">
      <c r="A6101" s="5"/>
      <c r="B6101" s="6"/>
      <c r="C6101" s="6"/>
      <c r="D6101" s="6"/>
      <c r="E6101" s="6"/>
      <c r="G6101" s="3"/>
      <c r="H6101" s="2"/>
    </row>
    <row r="6102" spans="1:8" x14ac:dyDescent="0.25">
      <c r="A6102" s="5"/>
      <c r="B6102" s="6"/>
      <c r="C6102" s="6"/>
      <c r="D6102" s="6"/>
      <c r="E6102" s="6"/>
      <c r="G6102" s="1"/>
      <c r="H6102" s="2"/>
    </row>
    <row r="6103" spans="1:8" x14ac:dyDescent="0.25">
      <c r="A6103" s="5"/>
      <c r="B6103" s="6"/>
      <c r="C6103" s="6"/>
      <c r="D6103" s="6"/>
      <c r="E6103" s="6"/>
      <c r="G6103" s="3"/>
      <c r="H6103" s="2"/>
    </row>
    <row r="6104" spans="1:8" x14ac:dyDescent="0.25">
      <c r="A6104" s="5"/>
      <c r="B6104" s="6"/>
      <c r="C6104" s="6"/>
      <c r="D6104" s="6"/>
      <c r="E6104" s="6"/>
      <c r="G6104" s="1"/>
      <c r="H6104" s="2"/>
    </row>
    <row r="6105" spans="1:8" x14ac:dyDescent="0.25">
      <c r="A6105" s="5"/>
      <c r="B6105" s="6"/>
      <c r="C6105" s="6"/>
      <c r="D6105" s="6"/>
      <c r="E6105" s="6"/>
      <c r="G6105" s="3"/>
      <c r="H6105" s="2"/>
    </row>
    <row r="6106" spans="1:8" x14ac:dyDescent="0.25">
      <c r="A6106" s="5"/>
      <c r="B6106" s="6"/>
      <c r="C6106" s="6"/>
      <c r="D6106" s="6"/>
      <c r="E6106" s="6"/>
      <c r="G6106" s="1"/>
      <c r="H6106" s="2"/>
    </row>
    <row r="6107" spans="1:8" x14ac:dyDescent="0.25">
      <c r="A6107" s="5"/>
      <c r="B6107" s="6"/>
      <c r="C6107" s="6"/>
      <c r="D6107" s="6"/>
      <c r="E6107" s="6"/>
      <c r="G6107" s="3"/>
      <c r="H6107" s="2"/>
    </row>
    <row r="6108" spans="1:8" x14ac:dyDescent="0.25">
      <c r="A6108" s="5"/>
      <c r="B6108" s="6"/>
      <c r="C6108" s="6"/>
      <c r="D6108" s="6"/>
      <c r="E6108" s="6"/>
      <c r="G6108" s="1"/>
      <c r="H6108" s="2"/>
    </row>
    <row r="6109" spans="1:8" x14ac:dyDescent="0.25">
      <c r="A6109" s="5"/>
      <c r="B6109" s="6"/>
      <c r="C6109" s="6"/>
      <c r="D6109" s="6"/>
      <c r="E6109" s="6"/>
      <c r="G6109" s="3"/>
      <c r="H6109" s="2"/>
    </row>
    <row r="6110" spans="1:8" x14ac:dyDescent="0.25">
      <c r="A6110" s="5"/>
      <c r="B6110" s="6"/>
      <c r="C6110" s="6"/>
      <c r="D6110" s="6"/>
      <c r="E6110" s="6"/>
      <c r="G6110" s="1"/>
      <c r="H6110" s="2"/>
    </row>
    <row r="6111" spans="1:8" x14ac:dyDescent="0.25">
      <c r="A6111" s="5"/>
      <c r="B6111" s="6"/>
      <c r="C6111" s="6"/>
      <c r="D6111" s="6"/>
      <c r="E6111" s="6"/>
      <c r="G6111" s="3"/>
      <c r="H6111" s="2"/>
    </row>
    <row r="6112" spans="1:8" x14ac:dyDescent="0.25">
      <c r="A6112" s="5"/>
      <c r="B6112" s="6"/>
      <c r="C6112" s="6"/>
      <c r="D6112" s="6"/>
      <c r="E6112" s="6"/>
      <c r="G6112" s="1"/>
      <c r="H6112" s="2"/>
    </row>
    <row r="6113" spans="1:8" x14ac:dyDescent="0.25">
      <c r="A6113" s="5"/>
      <c r="B6113" s="6"/>
      <c r="C6113" s="6"/>
      <c r="D6113" s="6"/>
      <c r="E6113" s="6"/>
      <c r="G6113" s="3"/>
      <c r="H6113" s="2"/>
    </row>
    <row r="6114" spans="1:8" x14ac:dyDescent="0.25">
      <c r="A6114" s="5"/>
      <c r="B6114" s="6"/>
      <c r="C6114" s="6"/>
      <c r="D6114" s="6"/>
      <c r="E6114" s="6"/>
      <c r="G6114" s="1"/>
      <c r="H6114" s="2"/>
    </row>
    <row r="6115" spans="1:8" x14ac:dyDescent="0.25">
      <c r="A6115" s="5"/>
      <c r="B6115" s="6"/>
      <c r="C6115" s="6"/>
      <c r="D6115" s="6"/>
      <c r="E6115" s="6"/>
      <c r="G6115" s="14"/>
      <c r="H6115" s="2"/>
    </row>
    <row r="6116" spans="1:8" x14ac:dyDescent="0.25">
      <c r="A6116" s="5"/>
      <c r="B6116" s="6"/>
      <c r="C6116" s="6"/>
      <c r="D6116" s="6"/>
      <c r="E6116" s="6"/>
      <c r="G6116" s="14"/>
      <c r="H6116" s="2"/>
    </row>
    <row r="6117" spans="1:8" x14ac:dyDescent="0.25">
      <c r="A6117" s="5"/>
      <c r="B6117" s="6"/>
      <c r="C6117" s="6"/>
      <c r="D6117" s="6"/>
      <c r="E6117" s="6"/>
      <c r="G6117" s="14"/>
      <c r="H6117" s="2"/>
    </row>
    <row r="6118" spans="1:8" x14ac:dyDescent="0.25">
      <c r="A6118" s="5"/>
      <c r="B6118" s="6"/>
      <c r="C6118" s="6"/>
      <c r="D6118" s="6"/>
      <c r="E6118" s="6"/>
      <c r="G6118" s="14"/>
      <c r="H6118" s="2"/>
    </row>
    <row r="6119" spans="1:8" x14ac:dyDescent="0.25">
      <c r="A6119" s="5"/>
      <c r="B6119" s="6"/>
      <c r="C6119" s="6"/>
      <c r="D6119" s="6"/>
      <c r="E6119" s="6"/>
      <c r="G6119" s="14"/>
      <c r="H6119" s="2"/>
    </row>
    <row r="6120" spans="1:8" x14ac:dyDescent="0.25">
      <c r="A6120" s="5"/>
      <c r="B6120" s="6"/>
      <c r="C6120" s="6"/>
      <c r="D6120" s="6"/>
      <c r="E6120" s="6"/>
      <c r="G6120" s="14"/>
      <c r="H6120" s="2"/>
    </row>
    <row r="6121" spans="1:8" x14ac:dyDescent="0.25">
      <c r="A6121" s="5"/>
      <c r="B6121" s="6"/>
      <c r="C6121" s="6"/>
      <c r="D6121" s="6"/>
      <c r="E6121" s="6"/>
    </row>
    <row r="6122" spans="1:8" x14ac:dyDescent="0.25">
      <c r="A6122" s="5"/>
      <c r="B6122" s="6"/>
      <c r="C6122" s="6"/>
      <c r="D6122" s="6"/>
      <c r="E6122" s="6"/>
      <c r="G6122" s="3"/>
      <c r="H6122" s="2"/>
    </row>
    <row r="6123" spans="1:8" x14ac:dyDescent="0.25">
      <c r="A6123" s="5"/>
      <c r="B6123" s="6"/>
      <c r="C6123" s="6"/>
      <c r="D6123" s="6"/>
      <c r="E6123" s="6"/>
      <c r="G6123" s="1"/>
      <c r="H6123" s="2"/>
    </row>
    <row r="6124" spans="1:8" x14ac:dyDescent="0.25">
      <c r="A6124" s="5"/>
      <c r="B6124" s="6"/>
      <c r="C6124" s="6"/>
      <c r="D6124" s="6"/>
      <c r="E6124" s="6"/>
      <c r="G6124" s="3"/>
      <c r="H6124" s="2"/>
    </row>
    <row r="6125" spans="1:8" x14ac:dyDescent="0.25">
      <c r="A6125" s="5"/>
      <c r="B6125" s="6"/>
      <c r="C6125" s="6"/>
      <c r="D6125" s="6"/>
      <c r="E6125" s="6"/>
      <c r="G6125" s="1"/>
      <c r="H6125" s="2"/>
    </row>
    <row r="6126" spans="1:8" x14ac:dyDescent="0.25">
      <c r="A6126" s="5"/>
      <c r="B6126" s="6"/>
      <c r="C6126" s="6"/>
      <c r="D6126" s="6"/>
      <c r="E6126" s="6"/>
      <c r="G6126" s="3"/>
      <c r="H6126" s="2"/>
    </row>
    <row r="6127" spans="1:8" x14ac:dyDescent="0.25">
      <c r="A6127" s="5"/>
      <c r="B6127" s="6"/>
      <c r="C6127" s="6"/>
      <c r="D6127" s="6"/>
      <c r="E6127" s="6"/>
      <c r="G6127" s="1"/>
      <c r="H6127" s="2"/>
    </row>
    <row r="6128" spans="1:8" x14ac:dyDescent="0.25">
      <c r="A6128" s="5"/>
      <c r="B6128" s="6"/>
      <c r="C6128" s="6"/>
      <c r="D6128" s="6"/>
      <c r="E6128" s="6"/>
      <c r="G6128" s="3"/>
      <c r="H6128" s="2"/>
    </row>
    <row r="6129" spans="1:8" x14ac:dyDescent="0.25">
      <c r="A6129" s="5"/>
      <c r="B6129" s="6"/>
      <c r="C6129" s="6"/>
      <c r="D6129" s="6"/>
      <c r="E6129" s="6"/>
      <c r="G6129" s="1"/>
      <c r="H6129" s="2"/>
    </row>
    <row r="6130" spans="1:8" x14ac:dyDescent="0.25">
      <c r="A6130" s="5"/>
      <c r="B6130" s="6"/>
      <c r="C6130" s="6"/>
      <c r="D6130" s="6"/>
      <c r="E6130" s="6"/>
      <c r="G6130" s="3"/>
      <c r="H6130" s="2"/>
    </row>
    <row r="6131" spans="1:8" x14ac:dyDescent="0.25">
      <c r="A6131" s="5"/>
      <c r="B6131" s="6"/>
      <c r="C6131" s="6"/>
      <c r="D6131" s="6"/>
      <c r="E6131" s="6"/>
      <c r="G6131" s="1"/>
      <c r="H6131" s="2"/>
    </row>
    <row r="6132" spans="1:8" x14ac:dyDescent="0.25">
      <c r="A6132" s="5"/>
      <c r="B6132" s="6"/>
      <c r="C6132" s="6"/>
      <c r="D6132" s="6"/>
      <c r="E6132" s="6"/>
      <c r="G6132" s="3"/>
      <c r="H6132" s="2"/>
    </row>
    <row r="6133" spans="1:8" x14ac:dyDescent="0.25">
      <c r="A6133" s="5"/>
      <c r="B6133" s="6"/>
      <c r="C6133" s="6"/>
      <c r="D6133" s="6"/>
      <c r="E6133" s="6"/>
      <c r="G6133" s="1"/>
      <c r="H6133" s="2"/>
    </row>
    <row r="6134" spans="1:8" x14ac:dyDescent="0.25">
      <c r="A6134" s="5"/>
      <c r="B6134" s="6"/>
      <c r="C6134" s="6"/>
      <c r="D6134" s="6"/>
      <c r="E6134" s="6"/>
      <c r="G6134" s="3"/>
      <c r="H6134" s="2"/>
    </row>
    <row r="6135" spans="1:8" x14ac:dyDescent="0.25">
      <c r="A6135" s="5"/>
      <c r="B6135" s="6"/>
      <c r="C6135" s="6"/>
      <c r="D6135" s="6"/>
      <c r="E6135" s="6"/>
      <c r="G6135" s="1"/>
      <c r="H6135" s="2"/>
    </row>
    <row r="6136" spans="1:8" x14ac:dyDescent="0.25">
      <c r="A6136" s="5"/>
      <c r="B6136" s="6"/>
      <c r="C6136" s="6"/>
      <c r="D6136" s="6"/>
      <c r="E6136" s="6"/>
      <c r="G6136" s="3"/>
      <c r="H6136" s="2"/>
    </row>
    <row r="6137" spans="1:8" x14ac:dyDescent="0.25">
      <c r="A6137" s="5"/>
      <c r="B6137" s="6"/>
      <c r="C6137" s="6"/>
      <c r="D6137" s="6"/>
      <c r="E6137" s="6"/>
      <c r="G6137" s="1"/>
      <c r="H6137" s="2"/>
    </row>
    <row r="6138" spans="1:8" x14ac:dyDescent="0.25">
      <c r="A6138" s="5"/>
      <c r="B6138" s="6"/>
      <c r="C6138" s="6"/>
      <c r="D6138" s="6"/>
      <c r="E6138" s="6"/>
      <c r="G6138" s="3"/>
      <c r="H6138" s="2"/>
    </row>
    <row r="6139" spans="1:8" x14ac:dyDescent="0.25">
      <c r="A6139" s="5"/>
      <c r="B6139" s="6"/>
      <c r="C6139" s="6"/>
      <c r="D6139" s="6"/>
      <c r="E6139" s="6"/>
      <c r="G6139" s="1"/>
      <c r="H6139" s="2"/>
    </row>
    <row r="6140" spans="1:8" x14ac:dyDescent="0.25">
      <c r="A6140" s="5"/>
      <c r="B6140" s="6"/>
      <c r="C6140" s="6"/>
      <c r="D6140" s="6"/>
      <c r="E6140" s="6"/>
      <c r="G6140" s="3"/>
      <c r="H6140" s="2"/>
    </row>
    <row r="6141" spans="1:8" x14ac:dyDescent="0.25">
      <c r="A6141" s="5"/>
      <c r="B6141" s="6"/>
      <c r="C6141" s="6"/>
      <c r="D6141" s="6"/>
      <c r="E6141" s="6"/>
      <c r="G6141" s="1"/>
      <c r="H6141" s="2"/>
    </row>
    <row r="6142" spans="1:8" x14ac:dyDescent="0.25">
      <c r="A6142" s="5"/>
      <c r="B6142" s="6"/>
      <c r="C6142" s="6"/>
      <c r="D6142" s="6"/>
      <c r="E6142" s="6"/>
      <c r="G6142" s="3"/>
      <c r="H6142" s="2"/>
    </row>
    <row r="6143" spans="1:8" x14ac:dyDescent="0.25">
      <c r="A6143" s="5"/>
      <c r="B6143" s="6"/>
      <c r="C6143" s="6"/>
      <c r="D6143" s="6"/>
      <c r="E6143" s="6"/>
      <c r="G6143" s="1"/>
      <c r="H6143" s="2"/>
    </row>
    <row r="6144" spans="1:8" x14ac:dyDescent="0.25">
      <c r="A6144" s="5"/>
      <c r="B6144" s="6"/>
      <c r="C6144" s="6"/>
      <c r="D6144" s="6"/>
      <c r="E6144" s="6"/>
      <c r="G6144" s="3"/>
      <c r="H6144" s="2"/>
    </row>
    <row r="6145" spans="1:8" x14ac:dyDescent="0.25">
      <c r="A6145" s="5"/>
      <c r="B6145" s="6"/>
      <c r="C6145" s="6"/>
      <c r="D6145" s="6"/>
      <c r="E6145" s="6"/>
      <c r="G6145" s="1"/>
      <c r="H6145" s="2"/>
    </row>
    <row r="6146" spans="1:8" x14ac:dyDescent="0.25">
      <c r="A6146" s="5"/>
      <c r="B6146" s="6"/>
      <c r="C6146" s="6"/>
      <c r="D6146" s="6"/>
      <c r="E6146" s="6"/>
      <c r="G6146" s="3"/>
      <c r="H6146" s="2"/>
    </row>
    <row r="6147" spans="1:8" x14ac:dyDescent="0.25">
      <c r="A6147" s="5"/>
      <c r="B6147" s="6"/>
      <c r="C6147" s="6"/>
      <c r="D6147" s="6"/>
      <c r="E6147" s="6"/>
      <c r="G6147" s="1"/>
      <c r="H6147" s="2"/>
    </row>
    <row r="6148" spans="1:8" x14ac:dyDescent="0.25">
      <c r="A6148" s="5"/>
      <c r="B6148" s="6"/>
      <c r="C6148" s="6"/>
      <c r="D6148" s="6"/>
      <c r="E6148" s="6"/>
      <c r="G6148" s="3"/>
      <c r="H6148" s="2"/>
    </row>
    <row r="6149" spans="1:8" x14ac:dyDescent="0.25">
      <c r="A6149" s="5"/>
      <c r="B6149" s="6"/>
      <c r="C6149" s="6"/>
      <c r="D6149" s="6"/>
      <c r="E6149" s="6"/>
      <c r="G6149" s="1"/>
      <c r="H6149" s="2"/>
    </row>
    <row r="6150" spans="1:8" x14ac:dyDescent="0.25">
      <c r="A6150" s="5"/>
      <c r="B6150" s="6"/>
      <c r="C6150" s="6"/>
      <c r="D6150" s="6"/>
      <c r="E6150" s="6"/>
      <c r="G6150" s="3"/>
      <c r="H6150" s="2"/>
    </row>
    <row r="6151" spans="1:8" x14ac:dyDescent="0.25">
      <c r="A6151" s="5"/>
      <c r="B6151" s="6"/>
      <c r="C6151" s="6"/>
      <c r="D6151" s="6"/>
      <c r="E6151" s="6"/>
      <c r="G6151" s="1"/>
      <c r="H6151" s="2"/>
    </row>
    <row r="6152" spans="1:8" x14ac:dyDescent="0.25">
      <c r="A6152" s="5"/>
      <c r="B6152" s="6"/>
      <c r="C6152" s="6"/>
      <c r="D6152" s="6"/>
      <c r="E6152" s="6"/>
      <c r="G6152" s="3"/>
      <c r="H6152" s="2"/>
    </row>
    <row r="6153" spans="1:8" x14ac:dyDescent="0.25">
      <c r="A6153" s="5"/>
      <c r="B6153" s="6"/>
      <c r="C6153" s="6"/>
      <c r="D6153" s="6"/>
      <c r="E6153" s="6"/>
      <c r="G6153" s="1"/>
      <c r="H6153" s="2"/>
    </row>
    <row r="6154" spans="1:8" x14ac:dyDescent="0.25">
      <c r="A6154" s="5"/>
      <c r="B6154" s="6"/>
      <c r="C6154" s="6"/>
      <c r="D6154" s="6"/>
      <c r="E6154" s="6"/>
      <c r="G6154" s="3"/>
      <c r="H6154" s="2"/>
    </row>
    <row r="6155" spans="1:8" x14ac:dyDescent="0.25">
      <c r="A6155" s="5"/>
      <c r="B6155" s="6"/>
      <c r="C6155" s="6"/>
      <c r="D6155" s="6"/>
      <c r="E6155" s="6"/>
      <c r="G6155" s="1"/>
      <c r="H6155" s="2"/>
    </row>
    <row r="6156" spans="1:8" x14ac:dyDescent="0.25">
      <c r="A6156" s="5"/>
      <c r="B6156" s="6"/>
      <c r="C6156" s="6"/>
      <c r="D6156" s="6"/>
      <c r="E6156" s="6"/>
      <c r="G6156" s="3"/>
      <c r="H6156" s="2"/>
    </row>
    <row r="6157" spans="1:8" x14ac:dyDescent="0.25">
      <c r="A6157" s="5"/>
      <c r="B6157" s="6"/>
      <c r="C6157" s="6"/>
      <c r="D6157" s="6"/>
      <c r="E6157" s="6"/>
      <c r="G6157" s="1"/>
      <c r="H6157" s="2"/>
    </row>
    <row r="6158" spans="1:8" x14ac:dyDescent="0.25">
      <c r="A6158" s="5"/>
      <c r="B6158" s="6"/>
      <c r="C6158" s="6"/>
      <c r="D6158" s="6"/>
      <c r="E6158" s="6"/>
      <c r="G6158" s="3"/>
      <c r="H6158" s="2"/>
    </row>
    <row r="6159" spans="1:8" x14ac:dyDescent="0.25">
      <c r="A6159" s="5"/>
      <c r="B6159" s="6"/>
      <c r="C6159" s="6"/>
      <c r="D6159" s="6"/>
      <c r="E6159" s="6"/>
      <c r="G6159" s="1"/>
      <c r="H6159" s="2"/>
    </row>
    <row r="6160" spans="1:8" x14ac:dyDescent="0.25">
      <c r="A6160" s="5"/>
      <c r="B6160" s="6"/>
      <c r="C6160" s="6"/>
      <c r="D6160" s="6"/>
      <c r="E6160" s="6"/>
      <c r="G6160" s="3"/>
      <c r="H6160" s="2"/>
    </row>
    <row r="6161" spans="1:8" x14ac:dyDescent="0.25">
      <c r="A6161" s="5"/>
      <c r="B6161" s="6"/>
      <c r="C6161" s="6"/>
      <c r="D6161" s="6"/>
      <c r="E6161" s="6"/>
      <c r="G6161" s="1"/>
      <c r="H6161" s="2"/>
    </row>
    <row r="6162" spans="1:8" x14ac:dyDescent="0.25">
      <c r="A6162" s="5"/>
      <c r="B6162" s="6"/>
      <c r="C6162" s="6"/>
      <c r="D6162" s="6"/>
      <c r="E6162" s="6"/>
      <c r="G6162" s="3"/>
      <c r="H6162" s="2"/>
    </row>
    <row r="6163" spans="1:8" x14ac:dyDescent="0.25">
      <c r="A6163" s="5"/>
      <c r="B6163" s="6"/>
      <c r="C6163" s="6"/>
      <c r="D6163" s="6"/>
      <c r="E6163" s="6"/>
      <c r="G6163" s="1"/>
      <c r="H6163" s="2"/>
    </row>
    <row r="6164" spans="1:8" x14ac:dyDescent="0.25">
      <c r="A6164" s="5"/>
      <c r="B6164" s="6"/>
      <c r="C6164" s="6"/>
      <c r="D6164" s="6"/>
      <c r="E6164" s="6"/>
      <c r="G6164" s="3"/>
      <c r="H6164" s="2"/>
    </row>
    <row r="6165" spans="1:8" x14ac:dyDescent="0.25">
      <c r="A6165" s="5"/>
      <c r="B6165" s="6"/>
      <c r="C6165" s="6"/>
      <c r="D6165" s="6"/>
      <c r="E6165" s="6"/>
      <c r="G6165" s="1"/>
      <c r="H6165" s="2"/>
    </row>
    <row r="6166" spans="1:8" x14ac:dyDescent="0.25">
      <c r="A6166" s="5"/>
      <c r="B6166" s="6"/>
      <c r="C6166" s="6"/>
      <c r="D6166" s="6"/>
      <c r="E6166" s="6"/>
      <c r="G6166" s="3"/>
      <c r="H6166" s="2"/>
    </row>
    <row r="6167" spans="1:8" x14ac:dyDescent="0.25">
      <c r="A6167" s="5"/>
      <c r="B6167" s="6"/>
      <c r="C6167" s="6"/>
      <c r="D6167" s="6"/>
      <c r="E6167" s="6"/>
      <c r="G6167" s="1"/>
      <c r="H6167" s="2"/>
    </row>
    <row r="6168" spans="1:8" x14ac:dyDescent="0.25">
      <c r="A6168" s="5"/>
      <c r="B6168" s="6"/>
      <c r="C6168" s="6"/>
      <c r="D6168" s="6"/>
      <c r="E6168" s="6"/>
      <c r="G6168" s="3"/>
      <c r="H6168" s="2"/>
    </row>
    <row r="6169" spans="1:8" x14ac:dyDescent="0.25">
      <c r="A6169" s="5"/>
      <c r="B6169" s="6"/>
      <c r="C6169" s="6"/>
      <c r="D6169" s="6"/>
      <c r="E6169" s="6"/>
      <c r="G6169" s="1"/>
      <c r="H6169" s="2"/>
    </row>
    <row r="6170" spans="1:8" x14ac:dyDescent="0.25">
      <c r="A6170" s="5"/>
      <c r="B6170" s="6"/>
      <c r="C6170" s="6"/>
      <c r="D6170" s="6"/>
      <c r="E6170" s="6"/>
      <c r="G6170" s="3"/>
      <c r="H6170" s="2"/>
    </row>
    <row r="6171" spans="1:8" x14ac:dyDescent="0.25">
      <c r="A6171" s="5"/>
      <c r="B6171" s="6"/>
      <c r="C6171" s="6"/>
      <c r="D6171" s="6"/>
      <c r="E6171" s="6"/>
      <c r="G6171" s="1"/>
      <c r="H6171" s="2"/>
    </row>
    <row r="6172" spans="1:8" x14ac:dyDescent="0.25">
      <c r="A6172" s="5"/>
      <c r="B6172" s="6"/>
      <c r="C6172" s="6"/>
      <c r="D6172" s="6"/>
      <c r="E6172" s="6"/>
      <c r="G6172" s="3"/>
      <c r="H6172" s="2"/>
    </row>
    <row r="6173" spans="1:8" x14ac:dyDescent="0.25">
      <c r="A6173" s="5"/>
      <c r="B6173" s="6"/>
      <c r="C6173" s="6"/>
      <c r="D6173" s="6"/>
      <c r="E6173" s="6"/>
      <c r="G6173" s="1"/>
      <c r="H6173" s="2"/>
    </row>
    <row r="6174" spans="1:8" x14ac:dyDescent="0.25">
      <c r="A6174" s="5"/>
      <c r="B6174" s="6"/>
      <c r="C6174" s="6"/>
      <c r="D6174" s="6"/>
      <c r="E6174" s="6"/>
      <c r="G6174" s="3"/>
      <c r="H6174" s="2"/>
    </row>
    <row r="6175" spans="1:8" x14ac:dyDescent="0.25">
      <c r="A6175" s="5"/>
      <c r="B6175" s="6"/>
      <c r="C6175" s="6"/>
      <c r="D6175" s="6"/>
      <c r="E6175" s="6"/>
      <c r="G6175" s="1"/>
      <c r="H6175" s="2"/>
    </row>
    <row r="6176" spans="1:8" x14ac:dyDescent="0.25">
      <c r="A6176" s="5"/>
      <c r="B6176" s="6"/>
      <c r="C6176" s="6"/>
      <c r="D6176" s="6"/>
      <c r="E6176" s="6"/>
      <c r="G6176" s="3"/>
      <c r="H6176" s="2"/>
    </row>
    <row r="6177" spans="1:8" x14ac:dyDescent="0.25">
      <c r="A6177" s="5"/>
      <c r="B6177" s="6"/>
      <c r="C6177" s="6"/>
      <c r="D6177" s="6"/>
      <c r="E6177" s="6"/>
      <c r="G6177" s="1"/>
      <c r="H6177" s="2"/>
    </row>
    <row r="6178" spans="1:8" x14ac:dyDescent="0.25">
      <c r="A6178" s="5"/>
      <c r="B6178" s="6"/>
      <c r="C6178" s="6"/>
      <c r="D6178" s="6"/>
      <c r="E6178" s="6"/>
      <c r="G6178" s="3"/>
      <c r="H6178" s="2"/>
    </row>
    <row r="6179" spans="1:8" x14ac:dyDescent="0.25">
      <c r="A6179" s="5"/>
      <c r="B6179" s="6"/>
      <c r="C6179" s="6"/>
      <c r="D6179" s="6"/>
      <c r="E6179" s="6"/>
      <c r="G6179" s="1"/>
      <c r="H6179" s="2"/>
    </row>
    <row r="6180" spans="1:8" x14ac:dyDescent="0.25">
      <c r="A6180" s="5"/>
      <c r="B6180" s="6"/>
      <c r="C6180" s="6"/>
      <c r="D6180" s="6"/>
      <c r="E6180" s="6"/>
      <c r="G6180" s="3"/>
      <c r="H6180" s="2"/>
    </row>
    <row r="6181" spans="1:8" x14ac:dyDescent="0.25">
      <c r="A6181" s="5"/>
      <c r="B6181" s="6"/>
      <c r="C6181" s="6"/>
      <c r="D6181" s="6"/>
      <c r="E6181" s="6"/>
      <c r="G6181" s="1"/>
      <c r="H6181" s="2"/>
    </row>
    <row r="6182" spans="1:8" x14ac:dyDescent="0.25">
      <c r="A6182" s="5"/>
      <c r="B6182" s="6"/>
      <c r="C6182" s="6"/>
      <c r="D6182" s="6"/>
      <c r="E6182" s="6"/>
      <c r="G6182" s="3"/>
      <c r="H6182" s="2"/>
    </row>
    <row r="6183" spans="1:8" x14ac:dyDescent="0.25">
      <c r="A6183" s="5"/>
      <c r="B6183" s="6"/>
      <c r="C6183" s="6"/>
      <c r="D6183" s="6"/>
      <c r="E6183" s="6"/>
      <c r="G6183" s="1"/>
      <c r="H6183" s="2"/>
    </row>
    <row r="6184" spans="1:8" x14ac:dyDescent="0.25">
      <c r="A6184" s="5"/>
      <c r="B6184" s="6"/>
      <c r="C6184" s="6"/>
      <c r="D6184" s="6"/>
      <c r="E6184" s="6"/>
      <c r="G6184" s="3"/>
      <c r="H6184" s="2"/>
    </row>
    <row r="6185" spans="1:8" x14ac:dyDescent="0.25">
      <c r="A6185" s="5"/>
      <c r="B6185" s="6"/>
      <c r="C6185" s="6"/>
      <c r="D6185" s="6"/>
      <c r="E6185" s="6"/>
      <c r="G6185" s="1"/>
      <c r="H6185" s="2"/>
    </row>
    <row r="6186" spans="1:8" x14ac:dyDescent="0.25">
      <c r="A6186" s="5"/>
      <c r="B6186" s="6"/>
      <c r="C6186" s="6"/>
      <c r="D6186" s="6"/>
      <c r="E6186" s="6"/>
      <c r="G6186" s="3"/>
      <c r="H6186" s="2"/>
    </row>
    <row r="6187" spans="1:8" x14ac:dyDescent="0.25">
      <c r="A6187" s="5"/>
      <c r="B6187" s="6"/>
      <c r="C6187" s="6"/>
      <c r="D6187" s="6"/>
      <c r="E6187" s="6"/>
      <c r="G6187" s="1"/>
      <c r="H6187" s="2"/>
    </row>
    <row r="6188" spans="1:8" x14ac:dyDescent="0.25">
      <c r="A6188" s="5"/>
      <c r="B6188" s="6"/>
      <c r="C6188" s="6"/>
      <c r="D6188" s="6"/>
      <c r="E6188" s="6"/>
      <c r="G6188" s="3"/>
      <c r="H6188" s="2"/>
    </row>
    <row r="6189" spans="1:8" x14ac:dyDescent="0.25">
      <c r="A6189" s="5"/>
      <c r="B6189" s="6"/>
      <c r="C6189" s="6"/>
      <c r="D6189" s="6"/>
      <c r="E6189" s="6"/>
      <c r="G6189" s="1"/>
      <c r="H6189" s="2"/>
    </row>
    <row r="6190" spans="1:8" x14ac:dyDescent="0.25">
      <c r="A6190" s="5"/>
      <c r="B6190" s="6"/>
      <c r="C6190" s="6"/>
      <c r="D6190" s="6"/>
      <c r="E6190" s="6"/>
      <c r="G6190" s="3"/>
      <c r="H6190" s="2"/>
    </row>
    <row r="6191" spans="1:8" x14ac:dyDescent="0.25">
      <c r="A6191" s="5"/>
      <c r="B6191" s="6"/>
      <c r="C6191" s="6"/>
      <c r="D6191" s="6"/>
      <c r="E6191" s="6"/>
      <c r="G6191" s="1"/>
      <c r="H6191" s="2"/>
    </row>
    <row r="6192" spans="1:8" x14ac:dyDescent="0.25">
      <c r="A6192" s="5"/>
      <c r="B6192" s="6"/>
      <c r="C6192" s="6"/>
      <c r="D6192" s="6"/>
      <c r="E6192" s="6"/>
      <c r="G6192" s="3"/>
      <c r="H6192" s="2"/>
    </row>
    <row r="6193" spans="1:8" x14ac:dyDescent="0.25">
      <c r="A6193" s="5"/>
      <c r="B6193" s="6"/>
      <c r="C6193" s="6"/>
      <c r="D6193" s="6"/>
      <c r="E6193" s="6"/>
      <c r="G6193" s="1"/>
      <c r="H6193" s="2"/>
    </row>
    <row r="6194" spans="1:8" x14ac:dyDescent="0.25">
      <c r="A6194" s="5"/>
      <c r="B6194" s="6"/>
      <c r="C6194" s="6"/>
      <c r="D6194" s="6"/>
      <c r="E6194" s="6"/>
      <c r="G6194" s="3"/>
      <c r="H6194" s="2"/>
    </row>
    <row r="6195" spans="1:8" x14ac:dyDescent="0.25">
      <c r="A6195" s="5"/>
      <c r="B6195" s="6"/>
      <c r="C6195" s="6"/>
      <c r="D6195" s="6"/>
      <c r="E6195" s="6"/>
      <c r="G6195" s="1"/>
      <c r="H6195" s="2"/>
    </row>
    <row r="6196" spans="1:8" x14ac:dyDescent="0.25">
      <c r="A6196" s="5"/>
      <c r="B6196" s="6"/>
      <c r="C6196" s="6"/>
      <c r="D6196" s="6"/>
      <c r="E6196" s="6"/>
      <c r="G6196" s="3"/>
      <c r="H6196" s="2"/>
    </row>
    <row r="6197" spans="1:8" x14ac:dyDescent="0.25">
      <c r="A6197" s="5"/>
      <c r="B6197" s="6"/>
      <c r="C6197" s="6"/>
      <c r="D6197" s="6"/>
      <c r="E6197" s="6"/>
      <c r="G6197" s="1"/>
      <c r="H6197" s="2"/>
    </row>
    <row r="6198" spans="1:8" x14ac:dyDescent="0.25">
      <c r="A6198" s="5"/>
      <c r="B6198" s="6"/>
      <c r="C6198" s="6"/>
      <c r="D6198" s="6"/>
      <c r="E6198" s="6"/>
      <c r="G6198" s="3"/>
      <c r="H6198" s="2"/>
    </row>
    <row r="6199" spans="1:8" x14ac:dyDescent="0.25">
      <c r="A6199" s="5"/>
      <c r="B6199" s="6"/>
      <c r="C6199" s="6"/>
      <c r="D6199" s="6"/>
      <c r="E6199" s="6"/>
      <c r="G6199" s="1"/>
      <c r="H6199" s="2"/>
    </row>
    <row r="6200" spans="1:8" x14ac:dyDescent="0.25">
      <c r="A6200" s="5"/>
      <c r="B6200" s="6"/>
      <c r="C6200" s="6"/>
      <c r="D6200" s="6"/>
      <c r="E6200" s="6"/>
      <c r="G6200" s="3"/>
      <c r="H6200" s="2"/>
    </row>
    <row r="6201" spans="1:8" x14ac:dyDescent="0.25">
      <c r="A6201" s="5"/>
      <c r="B6201" s="6"/>
      <c r="C6201" s="6"/>
      <c r="D6201" s="6"/>
      <c r="E6201" s="6"/>
      <c r="G6201" s="1"/>
      <c r="H6201" s="2"/>
    </row>
    <row r="6202" spans="1:8" x14ac:dyDescent="0.25">
      <c r="A6202" s="5"/>
      <c r="B6202" s="6"/>
      <c r="C6202" s="6"/>
      <c r="D6202" s="6"/>
      <c r="E6202" s="6"/>
      <c r="G6202" s="3"/>
      <c r="H6202" s="2"/>
    </row>
    <row r="6203" spans="1:8" x14ac:dyDescent="0.25">
      <c r="A6203" s="5"/>
      <c r="B6203" s="6"/>
      <c r="C6203" s="6"/>
      <c r="D6203" s="6"/>
      <c r="E6203" s="6"/>
      <c r="G6203" s="1"/>
      <c r="H6203" s="2"/>
    </row>
    <row r="6204" spans="1:8" x14ac:dyDescent="0.25">
      <c r="A6204" s="5"/>
      <c r="B6204" s="6"/>
      <c r="C6204" s="6"/>
      <c r="D6204" s="6"/>
      <c r="E6204" s="6"/>
      <c r="G6204" s="3"/>
      <c r="H6204" s="2"/>
    </row>
    <row r="6205" spans="1:8" x14ac:dyDescent="0.25">
      <c r="A6205" s="5"/>
      <c r="B6205" s="6"/>
      <c r="C6205" s="6"/>
      <c r="D6205" s="6"/>
      <c r="E6205" s="6"/>
      <c r="G6205" s="1"/>
      <c r="H6205" s="2"/>
    </row>
    <row r="6206" spans="1:8" x14ac:dyDescent="0.25">
      <c r="A6206" s="5"/>
      <c r="B6206" s="6"/>
      <c r="C6206" s="6"/>
      <c r="D6206" s="6"/>
      <c r="E6206" s="6"/>
      <c r="G6206" s="3"/>
      <c r="H6206" s="2"/>
    </row>
    <row r="6207" spans="1:8" x14ac:dyDescent="0.25">
      <c r="A6207" s="5"/>
      <c r="B6207" s="6"/>
      <c r="C6207" s="6"/>
      <c r="D6207" s="6"/>
      <c r="E6207" s="6"/>
      <c r="G6207" s="1"/>
      <c r="H6207" s="2"/>
    </row>
    <row r="6208" spans="1:8" x14ac:dyDescent="0.25">
      <c r="A6208" s="5"/>
      <c r="B6208" s="6"/>
      <c r="C6208" s="6"/>
      <c r="D6208" s="6"/>
      <c r="E6208" s="6"/>
      <c r="G6208" s="3"/>
      <c r="H6208" s="2"/>
    </row>
    <row r="6209" spans="1:8" x14ac:dyDescent="0.25">
      <c r="A6209" s="5"/>
      <c r="B6209" s="6"/>
      <c r="C6209" s="6"/>
      <c r="D6209" s="6"/>
      <c r="E6209" s="6"/>
      <c r="G6209" s="1"/>
      <c r="H6209" s="2"/>
    </row>
    <row r="6210" spans="1:8" x14ac:dyDescent="0.25">
      <c r="A6210" s="5"/>
      <c r="B6210" s="6"/>
      <c r="C6210" s="6"/>
      <c r="D6210" s="6"/>
      <c r="E6210" s="6"/>
      <c r="G6210" s="3"/>
      <c r="H6210" s="2"/>
    </row>
    <row r="6211" spans="1:8" x14ac:dyDescent="0.25">
      <c r="A6211" s="5"/>
      <c r="B6211" s="6"/>
      <c r="C6211" s="6"/>
      <c r="D6211" s="6"/>
      <c r="E6211" s="6"/>
      <c r="G6211" s="1"/>
      <c r="H6211" s="2"/>
    </row>
    <row r="6212" spans="1:8" x14ac:dyDescent="0.25">
      <c r="A6212" s="5"/>
      <c r="B6212" s="6"/>
      <c r="C6212" s="6"/>
      <c r="D6212" s="6"/>
      <c r="E6212" s="6"/>
      <c r="G6212" s="3"/>
      <c r="H6212" s="2"/>
    </row>
    <row r="6213" spans="1:8" x14ac:dyDescent="0.25">
      <c r="A6213" s="5"/>
      <c r="B6213" s="6"/>
      <c r="C6213" s="6"/>
      <c r="D6213" s="6"/>
      <c r="E6213" s="6"/>
      <c r="G6213" s="1"/>
      <c r="H6213" s="2"/>
    </row>
    <row r="6214" spans="1:8" x14ac:dyDescent="0.25">
      <c r="A6214" s="5"/>
      <c r="B6214" s="6"/>
      <c r="C6214" s="6"/>
      <c r="D6214" s="6"/>
      <c r="E6214" s="6"/>
      <c r="G6214" s="3"/>
      <c r="H6214" s="2"/>
    </row>
    <row r="6215" spans="1:8" x14ac:dyDescent="0.25">
      <c r="A6215" s="5"/>
      <c r="B6215" s="6"/>
      <c r="C6215" s="6"/>
      <c r="D6215" s="6"/>
      <c r="E6215" s="6"/>
      <c r="G6215" s="1"/>
      <c r="H6215" s="2"/>
    </row>
    <row r="6216" spans="1:8" x14ac:dyDescent="0.25">
      <c r="A6216" s="5"/>
      <c r="B6216" s="6"/>
      <c r="C6216" s="6"/>
      <c r="D6216" s="6"/>
      <c r="E6216" s="6"/>
      <c r="G6216" s="3"/>
      <c r="H6216" s="2"/>
    </row>
    <row r="6217" spans="1:8" x14ac:dyDescent="0.25">
      <c r="A6217" s="5"/>
      <c r="B6217" s="6"/>
      <c r="C6217" s="6"/>
      <c r="D6217" s="6"/>
      <c r="E6217" s="6"/>
      <c r="G6217" s="1"/>
      <c r="H6217" s="2"/>
    </row>
    <row r="6218" spans="1:8" x14ac:dyDescent="0.25">
      <c r="A6218" s="5"/>
      <c r="B6218" s="6"/>
      <c r="C6218" s="6"/>
      <c r="D6218" s="6"/>
      <c r="E6218" s="6"/>
      <c r="G6218" s="3"/>
      <c r="H6218" s="2"/>
    </row>
    <row r="6219" spans="1:8" x14ac:dyDescent="0.25">
      <c r="A6219" s="5"/>
      <c r="B6219" s="6"/>
      <c r="C6219" s="6"/>
      <c r="D6219" s="6"/>
      <c r="E6219" s="6"/>
      <c r="G6219" s="1"/>
      <c r="H6219" s="2"/>
    </row>
    <row r="6220" spans="1:8" x14ac:dyDescent="0.25">
      <c r="A6220" s="5"/>
      <c r="B6220" s="6"/>
      <c r="C6220" s="6"/>
      <c r="D6220" s="6"/>
      <c r="E6220" s="6"/>
      <c r="G6220" s="3"/>
      <c r="H6220" s="2"/>
    </row>
    <row r="6221" spans="1:8" x14ac:dyDescent="0.25">
      <c r="A6221" s="5"/>
      <c r="B6221" s="6"/>
      <c r="C6221" s="6"/>
      <c r="D6221" s="6"/>
      <c r="E6221" s="6"/>
      <c r="G6221" s="1"/>
      <c r="H6221" s="2"/>
    </row>
    <row r="6222" spans="1:8" x14ac:dyDescent="0.25">
      <c r="A6222" s="5"/>
      <c r="B6222" s="6"/>
      <c r="C6222" s="6"/>
      <c r="D6222" s="6"/>
      <c r="E6222" s="6"/>
      <c r="G6222" s="3"/>
      <c r="H6222" s="2"/>
    </row>
    <row r="6223" spans="1:8" x14ac:dyDescent="0.25">
      <c r="A6223" s="5"/>
      <c r="B6223" s="6"/>
      <c r="C6223" s="6"/>
      <c r="D6223" s="6"/>
      <c r="E6223" s="6"/>
      <c r="G6223" s="1"/>
      <c r="H6223" s="2"/>
    </row>
    <row r="6224" spans="1:8" x14ac:dyDescent="0.25">
      <c r="A6224" s="5"/>
      <c r="B6224" s="6"/>
      <c r="C6224" s="6"/>
      <c r="D6224" s="6"/>
      <c r="E6224" s="6"/>
      <c r="G6224" s="3"/>
      <c r="H6224" s="2"/>
    </row>
    <row r="6225" spans="1:8" x14ac:dyDescent="0.25">
      <c r="A6225" s="5"/>
      <c r="B6225" s="6"/>
      <c r="C6225" s="6"/>
      <c r="D6225" s="6"/>
      <c r="E6225" s="6"/>
      <c r="G6225" s="1"/>
      <c r="H6225" s="2"/>
    </row>
    <row r="6226" spans="1:8" x14ac:dyDescent="0.25">
      <c r="A6226" s="5"/>
      <c r="B6226" s="6"/>
      <c r="C6226" s="6"/>
      <c r="D6226" s="6"/>
      <c r="E6226" s="6"/>
      <c r="G6226" s="3"/>
      <c r="H6226" s="2"/>
    </row>
    <row r="6227" spans="1:8" x14ac:dyDescent="0.25">
      <c r="A6227" s="5"/>
      <c r="B6227" s="6"/>
      <c r="C6227" s="6"/>
      <c r="D6227" s="6"/>
      <c r="E6227" s="6"/>
      <c r="G6227" s="1"/>
      <c r="H6227" s="2"/>
    </row>
    <row r="6228" spans="1:8" x14ac:dyDescent="0.25">
      <c r="A6228" s="5"/>
      <c r="B6228" s="6"/>
      <c r="C6228" s="6"/>
      <c r="D6228" s="6"/>
      <c r="E6228" s="6"/>
      <c r="G6228" s="3"/>
      <c r="H6228" s="2"/>
    </row>
    <row r="6229" spans="1:8" x14ac:dyDescent="0.25">
      <c r="A6229" s="5"/>
      <c r="B6229" s="6"/>
      <c r="C6229" s="6"/>
      <c r="D6229" s="6"/>
      <c r="E6229" s="6"/>
      <c r="G6229" s="1"/>
      <c r="H6229" s="2"/>
    </row>
    <row r="6230" spans="1:8" x14ac:dyDescent="0.25">
      <c r="A6230" s="5"/>
      <c r="B6230" s="6"/>
      <c r="C6230" s="6"/>
      <c r="D6230" s="6"/>
      <c r="E6230" s="6"/>
      <c r="G6230" s="3"/>
      <c r="H6230" s="2"/>
    </row>
    <row r="6231" spans="1:8" x14ac:dyDescent="0.25">
      <c r="A6231" s="5"/>
      <c r="B6231" s="6"/>
      <c r="C6231" s="6"/>
      <c r="D6231" s="6"/>
      <c r="E6231" s="6"/>
      <c r="G6231" s="1"/>
      <c r="H6231" s="2"/>
    </row>
    <row r="6232" spans="1:8" x14ac:dyDescent="0.25">
      <c r="A6232" s="5"/>
      <c r="B6232" s="6"/>
      <c r="C6232" s="6"/>
      <c r="D6232" s="6"/>
      <c r="E6232" s="6"/>
      <c r="G6232" s="3"/>
      <c r="H6232" s="2"/>
    </row>
    <row r="6233" spans="1:8" x14ac:dyDescent="0.25">
      <c r="A6233" s="5"/>
      <c r="B6233" s="6"/>
      <c r="C6233" s="6"/>
      <c r="D6233" s="6"/>
      <c r="E6233" s="6"/>
      <c r="G6233" s="1"/>
      <c r="H6233" s="2"/>
    </row>
    <row r="6234" spans="1:8" x14ac:dyDescent="0.25">
      <c r="A6234" s="5"/>
      <c r="B6234" s="6"/>
      <c r="C6234" s="6"/>
      <c r="D6234" s="6"/>
      <c r="E6234" s="6"/>
      <c r="G6234" s="3"/>
      <c r="H6234" s="2"/>
    </row>
    <row r="6235" spans="1:8" x14ac:dyDescent="0.25">
      <c r="A6235" s="5"/>
      <c r="B6235" s="6"/>
      <c r="C6235" s="6"/>
      <c r="D6235" s="6"/>
      <c r="E6235" s="6"/>
      <c r="G6235" s="1"/>
      <c r="H6235" s="2"/>
    </row>
    <row r="6236" spans="1:8" x14ac:dyDescent="0.25">
      <c r="A6236" s="5"/>
      <c r="B6236" s="6"/>
      <c r="C6236" s="6"/>
      <c r="D6236" s="6"/>
      <c r="E6236" s="6"/>
      <c r="G6236" s="3"/>
      <c r="H6236" s="2"/>
    </row>
    <row r="6237" spans="1:8" x14ac:dyDescent="0.25">
      <c r="A6237" s="5"/>
      <c r="B6237" s="6"/>
      <c r="C6237" s="6"/>
      <c r="D6237" s="6"/>
      <c r="E6237" s="6"/>
      <c r="G6237" s="1"/>
      <c r="H6237" s="2"/>
    </row>
    <row r="6238" spans="1:8" x14ac:dyDescent="0.25">
      <c r="A6238" s="5"/>
      <c r="B6238" s="6"/>
      <c r="C6238" s="6"/>
      <c r="D6238" s="6"/>
      <c r="E6238" s="6"/>
      <c r="G6238" s="3"/>
      <c r="H6238" s="2"/>
    </row>
    <row r="6239" spans="1:8" x14ac:dyDescent="0.25">
      <c r="A6239" s="5"/>
      <c r="B6239" s="6"/>
      <c r="C6239" s="6"/>
      <c r="D6239" s="6"/>
      <c r="E6239" s="6"/>
      <c r="G6239" s="1"/>
      <c r="H6239" s="2"/>
    </row>
    <row r="6240" spans="1:8" x14ac:dyDescent="0.25">
      <c r="A6240" s="5"/>
      <c r="B6240" s="6"/>
      <c r="C6240" s="6"/>
      <c r="D6240" s="6"/>
      <c r="E6240" s="6"/>
      <c r="G6240" s="3"/>
      <c r="H6240" s="2"/>
    </row>
    <row r="6241" spans="1:8" x14ac:dyDescent="0.25">
      <c r="A6241" s="5"/>
      <c r="B6241" s="6"/>
      <c r="C6241" s="6"/>
      <c r="D6241" s="6"/>
      <c r="E6241" s="6"/>
      <c r="G6241" s="1"/>
      <c r="H6241" s="2"/>
    </row>
    <row r="6242" spans="1:8" x14ac:dyDescent="0.25">
      <c r="A6242" s="5"/>
      <c r="B6242" s="6"/>
      <c r="C6242" s="6"/>
      <c r="D6242" s="6"/>
      <c r="E6242" s="6"/>
      <c r="G6242" s="3"/>
      <c r="H6242" s="2"/>
    </row>
    <row r="6243" spans="1:8" x14ac:dyDescent="0.25">
      <c r="A6243" s="5"/>
      <c r="B6243" s="6"/>
      <c r="C6243" s="6"/>
      <c r="D6243" s="6"/>
      <c r="E6243" s="6"/>
      <c r="G6243" s="1"/>
      <c r="H6243" s="2"/>
    </row>
    <row r="6244" spans="1:8" x14ac:dyDescent="0.25">
      <c r="A6244" s="5"/>
      <c r="B6244" s="6"/>
      <c r="C6244" s="6"/>
      <c r="D6244" s="6"/>
      <c r="E6244" s="6"/>
      <c r="G6244" s="3"/>
      <c r="H6244" s="2"/>
    </row>
    <row r="6245" spans="1:8" x14ac:dyDescent="0.25">
      <c r="A6245" s="5"/>
      <c r="B6245" s="6"/>
      <c r="C6245" s="6"/>
      <c r="D6245" s="6"/>
      <c r="E6245" s="6"/>
      <c r="G6245" s="1"/>
      <c r="H6245" s="2"/>
    </row>
    <row r="6246" spans="1:8" x14ac:dyDescent="0.25">
      <c r="A6246" s="5"/>
      <c r="B6246" s="6"/>
      <c r="C6246" s="6"/>
      <c r="D6246" s="6"/>
      <c r="E6246" s="6"/>
      <c r="G6246" s="3"/>
      <c r="H6246" s="2"/>
    </row>
    <row r="6247" spans="1:8" x14ac:dyDescent="0.25">
      <c r="A6247" s="5"/>
      <c r="B6247" s="6"/>
      <c r="C6247" s="6"/>
      <c r="D6247" s="6"/>
      <c r="E6247" s="6"/>
      <c r="G6247" s="1"/>
      <c r="H6247" s="2"/>
    </row>
    <row r="6248" spans="1:8" x14ac:dyDescent="0.25">
      <c r="A6248" s="5"/>
      <c r="B6248" s="6"/>
      <c r="C6248" s="6"/>
      <c r="D6248" s="6"/>
      <c r="E6248" s="6"/>
      <c r="G6248" s="3"/>
      <c r="H6248" s="2"/>
    </row>
    <row r="6249" spans="1:8" x14ac:dyDescent="0.25">
      <c r="A6249" s="5"/>
      <c r="B6249" s="6"/>
      <c r="C6249" s="6"/>
      <c r="D6249" s="6"/>
      <c r="E6249" s="6"/>
      <c r="G6249" s="1"/>
      <c r="H6249" s="2"/>
    </row>
    <row r="6250" spans="1:8" x14ac:dyDescent="0.25">
      <c r="A6250" s="5"/>
      <c r="B6250" s="6"/>
      <c r="C6250" s="6"/>
      <c r="D6250" s="6"/>
      <c r="E6250" s="6"/>
      <c r="G6250" s="3"/>
      <c r="H6250" s="2"/>
    </row>
    <row r="6251" spans="1:8" x14ac:dyDescent="0.25">
      <c r="A6251" s="5"/>
      <c r="B6251" s="6"/>
      <c r="C6251" s="6"/>
      <c r="D6251" s="6"/>
      <c r="E6251" s="6"/>
      <c r="G6251" s="1"/>
      <c r="H6251" s="2"/>
    </row>
    <row r="6252" spans="1:8" x14ac:dyDescent="0.25">
      <c r="A6252" s="5"/>
      <c r="B6252" s="6"/>
      <c r="C6252" s="6"/>
      <c r="D6252" s="6"/>
      <c r="E6252" s="6"/>
      <c r="G6252" s="3"/>
      <c r="H6252" s="2"/>
    </row>
    <row r="6253" spans="1:8" x14ac:dyDescent="0.25">
      <c r="A6253" s="5"/>
      <c r="B6253" s="6"/>
      <c r="C6253" s="6"/>
      <c r="D6253" s="6"/>
      <c r="E6253" s="6"/>
      <c r="G6253" s="1"/>
      <c r="H6253" s="2"/>
    </row>
    <row r="6254" spans="1:8" x14ac:dyDescent="0.25">
      <c r="A6254" s="5"/>
      <c r="B6254" s="6"/>
      <c r="C6254" s="6"/>
      <c r="D6254" s="6"/>
      <c r="E6254" s="6"/>
      <c r="G6254" s="3"/>
      <c r="H6254" s="2"/>
    </row>
    <row r="6255" spans="1:8" x14ac:dyDescent="0.25">
      <c r="A6255" s="5"/>
      <c r="B6255" s="6"/>
      <c r="C6255" s="6"/>
      <c r="D6255" s="6"/>
      <c r="E6255" s="6"/>
      <c r="G6255" s="1"/>
      <c r="H6255" s="2"/>
    </row>
    <row r="6256" spans="1:8" x14ac:dyDescent="0.25">
      <c r="A6256" s="5"/>
      <c r="B6256" s="6"/>
      <c r="C6256" s="6"/>
      <c r="D6256" s="6"/>
      <c r="E6256" s="6"/>
      <c r="G6256" s="3"/>
      <c r="H6256" s="2"/>
    </row>
    <row r="6257" spans="1:8" x14ac:dyDescent="0.25">
      <c r="A6257" s="5"/>
      <c r="B6257" s="6"/>
      <c r="C6257" s="6"/>
      <c r="D6257" s="6"/>
      <c r="E6257" s="6"/>
      <c r="G6257" s="1"/>
      <c r="H6257" s="2"/>
    </row>
    <row r="6258" spans="1:8" x14ac:dyDescent="0.25">
      <c r="A6258" s="5"/>
      <c r="B6258" s="6"/>
      <c r="C6258" s="6"/>
      <c r="D6258" s="6"/>
      <c r="E6258" s="6"/>
      <c r="G6258" s="3"/>
      <c r="H6258" s="2"/>
    </row>
    <row r="6259" spans="1:8" x14ac:dyDescent="0.25">
      <c r="A6259" s="5"/>
      <c r="B6259" s="6"/>
      <c r="C6259" s="6"/>
      <c r="D6259" s="6"/>
      <c r="E6259" s="6"/>
      <c r="G6259" s="1"/>
      <c r="H6259" s="2"/>
    </row>
    <row r="6260" spans="1:8" x14ac:dyDescent="0.25">
      <c r="A6260" s="5"/>
      <c r="B6260" s="6"/>
      <c r="C6260" s="6"/>
      <c r="D6260" s="6"/>
      <c r="E6260" s="6"/>
      <c r="G6260" s="3"/>
      <c r="H6260" s="2"/>
    </row>
    <row r="6261" spans="1:8" x14ac:dyDescent="0.25">
      <c r="A6261" s="5"/>
      <c r="B6261" s="6"/>
      <c r="C6261" s="6"/>
      <c r="D6261" s="6"/>
      <c r="E6261" s="6"/>
      <c r="G6261" s="1"/>
      <c r="H6261" s="2"/>
    </row>
    <row r="6262" spans="1:8" x14ac:dyDescent="0.25">
      <c r="A6262" s="5"/>
      <c r="B6262" s="6"/>
      <c r="C6262" s="6"/>
      <c r="D6262" s="6"/>
      <c r="E6262" s="6"/>
      <c r="G6262" s="3"/>
      <c r="H6262" s="2"/>
    </row>
    <row r="6263" spans="1:8" x14ac:dyDescent="0.25">
      <c r="A6263" s="5"/>
      <c r="B6263" s="6"/>
      <c r="C6263" s="6"/>
      <c r="D6263" s="6"/>
      <c r="E6263" s="6"/>
      <c r="G6263" s="1"/>
      <c r="H6263" s="2"/>
    </row>
    <row r="6264" spans="1:8" x14ac:dyDescent="0.25">
      <c r="A6264" s="5"/>
      <c r="B6264" s="6"/>
      <c r="C6264" s="6"/>
      <c r="D6264" s="6"/>
      <c r="E6264" s="6"/>
      <c r="G6264" s="3"/>
      <c r="H6264" s="2"/>
    </row>
    <row r="6265" spans="1:8" x14ac:dyDescent="0.25">
      <c r="A6265" s="5"/>
      <c r="B6265" s="6"/>
      <c r="C6265" s="6"/>
      <c r="D6265" s="6"/>
      <c r="E6265" s="6"/>
      <c r="G6265" s="1"/>
      <c r="H6265" s="2"/>
    </row>
    <row r="6266" spans="1:8" x14ac:dyDescent="0.25">
      <c r="A6266" s="5"/>
      <c r="B6266" s="6"/>
      <c r="C6266" s="6"/>
      <c r="D6266" s="6"/>
      <c r="E6266" s="6"/>
      <c r="G6266" s="3"/>
      <c r="H6266" s="2"/>
    </row>
    <row r="6267" spans="1:8" x14ac:dyDescent="0.25">
      <c r="A6267" s="5"/>
      <c r="B6267" s="6"/>
      <c r="C6267" s="6"/>
      <c r="D6267" s="6"/>
      <c r="E6267" s="6"/>
      <c r="G6267" s="1"/>
      <c r="H6267" s="2"/>
    </row>
    <row r="6268" spans="1:8" x14ac:dyDescent="0.25">
      <c r="A6268" s="5"/>
      <c r="B6268" s="6"/>
      <c r="C6268" s="6"/>
      <c r="D6268" s="6"/>
      <c r="E6268" s="6"/>
      <c r="G6268" s="3"/>
      <c r="H6268" s="2"/>
    </row>
    <row r="6269" spans="1:8" x14ac:dyDescent="0.25">
      <c r="A6269" s="5"/>
      <c r="B6269" s="6"/>
      <c r="C6269" s="6"/>
      <c r="D6269" s="6"/>
      <c r="E6269" s="6"/>
      <c r="G6269" s="1"/>
      <c r="H6269" s="2"/>
    </row>
    <row r="6270" spans="1:8" x14ac:dyDescent="0.25">
      <c r="A6270" s="5"/>
      <c r="B6270" s="6"/>
      <c r="C6270" s="6"/>
      <c r="D6270" s="6"/>
      <c r="E6270" s="6"/>
      <c r="G6270" s="3"/>
      <c r="H6270" s="2"/>
    </row>
    <row r="6271" spans="1:8" x14ac:dyDescent="0.25">
      <c r="A6271" s="5"/>
      <c r="B6271" s="6"/>
      <c r="C6271" s="6"/>
      <c r="D6271" s="6"/>
      <c r="E6271" s="6"/>
      <c r="G6271" s="1"/>
      <c r="H6271" s="2"/>
    </row>
    <row r="6272" spans="1:8" x14ac:dyDescent="0.25">
      <c r="A6272" s="5"/>
      <c r="B6272" s="6"/>
      <c r="C6272" s="6"/>
      <c r="D6272" s="6"/>
      <c r="E6272" s="6"/>
      <c r="G6272" s="3"/>
      <c r="H6272" s="2"/>
    </row>
    <row r="6273" spans="1:8" x14ac:dyDescent="0.25">
      <c r="A6273" s="5"/>
      <c r="B6273" s="6"/>
      <c r="C6273" s="6"/>
      <c r="D6273" s="6"/>
      <c r="E6273" s="6"/>
      <c r="G6273" s="1"/>
      <c r="H6273" s="2"/>
    </row>
    <row r="6274" spans="1:8" x14ac:dyDescent="0.25">
      <c r="A6274" s="5"/>
      <c r="B6274" s="6"/>
      <c r="C6274" s="6"/>
      <c r="D6274" s="6"/>
      <c r="E6274" s="6"/>
      <c r="G6274" s="3"/>
      <c r="H6274" s="2"/>
    </row>
    <row r="6275" spans="1:8" x14ac:dyDescent="0.25">
      <c r="A6275" s="5"/>
      <c r="B6275" s="6"/>
      <c r="C6275" s="6"/>
      <c r="D6275" s="6"/>
      <c r="E6275" s="6"/>
      <c r="G6275" s="1"/>
      <c r="H6275" s="2"/>
    </row>
    <row r="6276" spans="1:8" x14ac:dyDescent="0.25">
      <c r="A6276" s="5"/>
      <c r="B6276" s="6"/>
      <c r="C6276" s="6"/>
      <c r="D6276" s="6"/>
      <c r="E6276" s="6"/>
      <c r="G6276" s="3"/>
      <c r="H6276" s="2"/>
    </row>
    <row r="6277" spans="1:8" x14ac:dyDescent="0.25">
      <c r="A6277" s="5"/>
      <c r="B6277" s="6"/>
      <c r="C6277" s="6"/>
      <c r="D6277" s="6"/>
      <c r="E6277" s="6"/>
      <c r="G6277" s="1"/>
      <c r="H6277" s="2"/>
    </row>
    <row r="6278" spans="1:8" x14ac:dyDescent="0.25">
      <c r="A6278" s="5"/>
      <c r="B6278" s="6"/>
      <c r="C6278" s="6"/>
      <c r="D6278" s="6"/>
      <c r="E6278" s="6"/>
      <c r="G6278" s="3"/>
      <c r="H6278" s="2"/>
    </row>
    <row r="6279" spans="1:8" x14ac:dyDescent="0.25">
      <c r="A6279" s="5"/>
      <c r="B6279" s="6"/>
      <c r="C6279" s="6"/>
      <c r="D6279" s="6"/>
      <c r="E6279" s="6"/>
      <c r="G6279" s="1"/>
      <c r="H6279" s="2"/>
    </row>
    <row r="6280" spans="1:8" x14ac:dyDescent="0.25">
      <c r="A6280" s="5"/>
      <c r="B6280" s="6"/>
      <c r="C6280" s="6"/>
      <c r="D6280" s="6"/>
      <c r="E6280" s="6"/>
      <c r="G6280" s="3"/>
      <c r="H6280" s="2"/>
    </row>
    <row r="6281" spans="1:8" x14ac:dyDescent="0.25">
      <c r="A6281" s="5"/>
      <c r="B6281" s="6"/>
      <c r="C6281" s="6"/>
      <c r="D6281" s="6"/>
      <c r="E6281" s="6"/>
      <c r="G6281" s="1"/>
      <c r="H6281" s="2"/>
    </row>
    <row r="6282" spans="1:8" x14ac:dyDescent="0.25">
      <c r="A6282" s="5"/>
      <c r="B6282" s="6"/>
      <c r="C6282" s="6"/>
      <c r="D6282" s="6"/>
      <c r="E6282" s="6"/>
      <c r="G6282" s="3"/>
      <c r="H6282" s="2"/>
    </row>
    <row r="6283" spans="1:8" x14ac:dyDescent="0.25">
      <c r="A6283" s="5"/>
      <c r="B6283" s="6"/>
      <c r="C6283" s="6"/>
      <c r="D6283" s="6"/>
      <c r="E6283" s="6"/>
      <c r="G6283" s="1"/>
      <c r="H6283" s="2"/>
    </row>
    <row r="6284" spans="1:8" x14ac:dyDescent="0.25">
      <c r="A6284" s="5"/>
      <c r="B6284" s="6"/>
      <c r="C6284" s="6"/>
      <c r="D6284" s="6"/>
      <c r="E6284" s="6"/>
      <c r="G6284" s="3"/>
      <c r="H6284" s="2"/>
    </row>
    <row r="6285" spans="1:8" x14ac:dyDescent="0.25">
      <c r="A6285" s="5"/>
      <c r="B6285" s="6"/>
      <c r="C6285" s="6"/>
      <c r="D6285" s="6"/>
      <c r="E6285" s="6"/>
      <c r="G6285" s="1"/>
      <c r="H6285" s="2"/>
    </row>
    <row r="6286" spans="1:8" x14ac:dyDescent="0.25">
      <c r="A6286" s="5"/>
      <c r="B6286" s="6"/>
      <c r="C6286" s="6"/>
      <c r="D6286" s="6"/>
      <c r="E6286" s="6"/>
      <c r="G6286" s="3"/>
      <c r="H6286" s="2"/>
    </row>
    <row r="6287" spans="1:8" x14ac:dyDescent="0.25">
      <c r="A6287" s="5"/>
      <c r="B6287" s="6"/>
      <c r="C6287" s="6"/>
      <c r="D6287" s="6"/>
      <c r="E6287" s="6"/>
      <c r="G6287" s="1"/>
      <c r="H6287" s="2"/>
    </row>
    <row r="6288" spans="1:8" x14ac:dyDescent="0.25">
      <c r="A6288" s="5"/>
      <c r="B6288" s="6"/>
      <c r="C6288" s="6"/>
      <c r="D6288" s="6"/>
      <c r="E6288" s="6"/>
      <c r="G6288" s="3"/>
      <c r="H6288" s="2"/>
    </row>
    <row r="6289" spans="1:8" x14ac:dyDescent="0.25">
      <c r="A6289" s="5"/>
      <c r="B6289" s="6"/>
      <c r="C6289" s="6"/>
      <c r="D6289" s="6"/>
      <c r="E6289" s="6"/>
      <c r="G6289" s="1"/>
      <c r="H6289" s="2"/>
    </row>
    <row r="6290" spans="1:8" x14ac:dyDescent="0.25">
      <c r="A6290" s="5"/>
      <c r="B6290" s="6"/>
      <c r="C6290" s="6"/>
      <c r="D6290" s="6"/>
      <c r="E6290" s="6"/>
      <c r="G6290" s="3"/>
      <c r="H6290" s="2"/>
    </row>
    <row r="6291" spans="1:8" x14ac:dyDescent="0.25">
      <c r="A6291" s="5"/>
      <c r="B6291" s="6"/>
      <c r="C6291" s="6"/>
      <c r="D6291" s="6"/>
      <c r="E6291" s="6"/>
      <c r="G6291" s="1"/>
      <c r="H6291" s="2"/>
    </row>
    <row r="6292" spans="1:8" x14ac:dyDescent="0.25">
      <c r="A6292" s="5"/>
      <c r="B6292" s="6"/>
      <c r="C6292" s="6"/>
      <c r="D6292" s="6"/>
      <c r="E6292" s="6"/>
      <c r="G6292" s="3"/>
      <c r="H6292" s="2"/>
    </row>
    <row r="6293" spans="1:8" x14ac:dyDescent="0.25">
      <c r="A6293" s="5"/>
      <c r="B6293" s="6"/>
      <c r="C6293" s="6"/>
      <c r="D6293" s="6"/>
      <c r="E6293" s="6"/>
      <c r="G6293" s="1"/>
      <c r="H6293" s="2"/>
    </row>
    <row r="6294" spans="1:8" x14ac:dyDescent="0.25">
      <c r="A6294" s="5"/>
      <c r="B6294" s="6"/>
      <c r="C6294" s="6"/>
      <c r="D6294" s="6"/>
      <c r="E6294" s="6"/>
      <c r="G6294" s="3"/>
      <c r="H6294" s="2"/>
    </row>
    <row r="6295" spans="1:8" x14ac:dyDescent="0.25">
      <c r="A6295" s="5"/>
      <c r="B6295" s="6"/>
      <c r="C6295" s="6"/>
      <c r="D6295" s="6"/>
      <c r="E6295" s="6"/>
      <c r="G6295" s="1"/>
      <c r="H6295" s="2"/>
    </row>
    <row r="6296" spans="1:8" x14ac:dyDescent="0.25">
      <c r="A6296" s="5"/>
      <c r="B6296" s="6"/>
      <c r="C6296" s="6"/>
      <c r="D6296" s="6"/>
      <c r="E6296" s="6"/>
      <c r="G6296" s="3"/>
      <c r="H6296" s="2"/>
    </row>
    <row r="6297" spans="1:8" x14ac:dyDescent="0.25">
      <c r="A6297" s="5"/>
      <c r="B6297" s="6"/>
      <c r="C6297" s="6"/>
      <c r="D6297" s="6"/>
      <c r="E6297" s="6"/>
      <c r="G6297" s="1"/>
      <c r="H6297" s="2"/>
    </row>
    <row r="6298" spans="1:8" x14ac:dyDescent="0.25">
      <c r="A6298" s="5"/>
      <c r="B6298" s="6"/>
      <c r="C6298" s="6"/>
      <c r="D6298" s="6"/>
      <c r="E6298" s="6"/>
      <c r="G6298" s="3"/>
      <c r="H6298" s="2"/>
    </row>
    <row r="6299" spans="1:8" x14ac:dyDescent="0.25">
      <c r="A6299" s="5"/>
      <c r="B6299" s="6"/>
      <c r="C6299" s="6"/>
      <c r="D6299" s="6"/>
      <c r="E6299" s="6"/>
      <c r="G6299" s="1"/>
      <c r="H6299" s="2"/>
    </row>
    <row r="6300" spans="1:8" x14ac:dyDescent="0.25">
      <c r="A6300" s="5"/>
      <c r="B6300" s="6"/>
      <c r="C6300" s="6"/>
      <c r="D6300" s="6"/>
      <c r="E6300" s="6"/>
      <c r="G6300" s="3"/>
      <c r="H6300" s="2"/>
    </row>
    <row r="6301" spans="1:8" x14ac:dyDescent="0.25">
      <c r="A6301" s="5"/>
      <c r="B6301" s="6"/>
      <c r="C6301" s="6"/>
      <c r="D6301" s="6"/>
      <c r="E6301" s="6"/>
      <c r="G6301" s="1"/>
      <c r="H6301" s="2"/>
    </row>
    <row r="6302" spans="1:8" x14ac:dyDescent="0.25">
      <c r="A6302" s="5"/>
      <c r="B6302" s="6"/>
      <c r="C6302" s="6"/>
      <c r="D6302" s="6"/>
      <c r="E6302" s="6"/>
      <c r="G6302" s="3"/>
      <c r="H6302" s="2"/>
    </row>
    <row r="6303" spans="1:8" x14ac:dyDescent="0.25">
      <c r="A6303" s="5"/>
      <c r="B6303" s="6"/>
      <c r="C6303" s="6"/>
      <c r="D6303" s="6"/>
      <c r="E6303" s="6"/>
      <c r="G6303" s="1"/>
      <c r="H6303" s="2"/>
    </row>
    <row r="6304" spans="1:8" x14ac:dyDescent="0.25">
      <c r="A6304" s="5"/>
      <c r="B6304" s="6"/>
      <c r="C6304" s="6"/>
      <c r="D6304" s="6"/>
      <c r="E6304" s="6"/>
      <c r="G6304" s="3"/>
      <c r="H6304" s="2"/>
    </row>
    <row r="6305" spans="1:8" x14ac:dyDescent="0.25">
      <c r="A6305" s="5"/>
      <c r="B6305" s="6"/>
      <c r="C6305" s="6"/>
      <c r="D6305" s="6"/>
      <c r="E6305" s="6"/>
      <c r="G6305" s="1"/>
      <c r="H6305" s="2"/>
    </row>
    <row r="6306" spans="1:8" x14ac:dyDescent="0.25">
      <c r="A6306" s="5"/>
      <c r="B6306" s="6"/>
      <c r="C6306" s="6"/>
      <c r="D6306" s="6"/>
      <c r="E6306" s="6"/>
      <c r="G6306" s="3"/>
      <c r="H6306" s="2"/>
    </row>
    <row r="6307" spans="1:8" x14ac:dyDescent="0.25">
      <c r="A6307" s="5"/>
      <c r="B6307" s="6"/>
      <c r="C6307" s="6"/>
      <c r="D6307" s="6"/>
      <c r="E6307" s="6"/>
      <c r="G6307" s="1"/>
      <c r="H6307" s="2"/>
    </row>
    <row r="6308" spans="1:8" x14ac:dyDescent="0.25">
      <c r="A6308" s="5"/>
      <c r="B6308" s="6"/>
      <c r="C6308" s="6"/>
      <c r="D6308" s="6"/>
      <c r="E6308" s="6"/>
      <c r="G6308" s="3"/>
      <c r="H6308" s="2"/>
    </row>
    <row r="6309" spans="1:8" x14ac:dyDescent="0.25">
      <c r="A6309" s="5"/>
      <c r="B6309" s="6"/>
      <c r="C6309" s="6"/>
      <c r="D6309" s="6"/>
      <c r="E6309" s="6"/>
      <c r="G6309" s="1"/>
      <c r="H6309" s="2"/>
    </row>
    <row r="6310" spans="1:8" x14ac:dyDescent="0.25">
      <c r="A6310" s="5"/>
      <c r="B6310" s="6"/>
      <c r="C6310" s="6"/>
      <c r="D6310" s="6"/>
      <c r="E6310" s="6"/>
      <c r="G6310" s="3"/>
      <c r="H6310" s="2"/>
    </row>
    <row r="6311" spans="1:8" x14ac:dyDescent="0.25">
      <c r="A6311" s="5"/>
      <c r="B6311" s="6"/>
      <c r="C6311" s="6"/>
      <c r="D6311" s="6"/>
      <c r="E6311" s="6"/>
      <c r="G6311" s="1"/>
      <c r="H6311" s="2"/>
    </row>
    <row r="6312" spans="1:8" x14ac:dyDescent="0.25">
      <c r="A6312" s="5"/>
      <c r="B6312" s="6"/>
      <c r="C6312" s="6"/>
      <c r="D6312" s="6"/>
      <c r="E6312" s="6"/>
      <c r="G6312" s="3"/>
      <c r="H6312" s="2"/>
    </row>
    <row r="6313" spans="1:8" x14ac:dyDescent="0.25">
      <c r="A6313" s="5"/>
      <c r="B6313" s="6"/>
      <c r="C6313" s="6"/>
      <c r="D6313" s="6"/>
      <c r="E6313" s="6"/>
      <c r="G6313" s="1"/>
      <c r="H6313" s="2"/>
    </row>
    <row r="6314" spans="1:8" x14ac:dyDescent="0.25">
      <c r="A6314" s="5"/>
      <c r="B6314" s="6"/>
      <c r="C6314" s="6"/>
      <c r="D6314" s="6"/>
      <c r="E6314" s="6"/>
      <c r="G6314" s="3"/>
      <c r="H6314" s="2"/>
    </row>
    <row r="6315" spans="1:8" x14ac:dyDescent="0.25">
      <c r="A6315" s="5"/>
      <c r="B6315" s="6"/>
      <c r="C6315" s="6"/>
      <c r="D6315" s="6"/>
      <c r="E6315" s="6"/>
      <c r="G6315" s="1"/>
      <c r="H6315" s="2"/>
    </row>
    <row r="6316" spans="1:8" x14ac:dyDescent="0.25">
      <c r="A6316" s="5"/>
      <c r="B6316" s="6"/>
      <c r="C6316" s="6"/>
      <c r="D6316" s="6"/>
      <c r="E6316" s="6"/>
      <c r="G6316" s="3"/>
      <c r="H6316" s="2"/>
    </row>
    <row r="6317" spans="1:8" x14ac:dyDescent="0.25">
      <c r="A6317" s="5"/>
      <c r="B6317" s="6"/>
      <c r="C6317" s="6"/>
      <c r="D6317" s="6"/>
      <c r="E6317" s="6"/>
      <c r="G6317" s="1"/>
      <c r="H6317" s="2"/>
    </row>
    <row r="6318" spans="1:8" x14ac:dyDescent="0.25">
      <c r="A6318" s="5"/>
      <c r="B6318" s="6"/>
      <c r="C6318" s="6"/>
      <c r="D6318" s="6"/>
      <c r="E6318" s="6"/>
      <c r="G6318" s="3"/>
      <c r="H6318" s="2"/>
    </row>
    <row r="6319" spans="1:8" x14ac:dyDescent="0.25">
      <c r="A6319" s="5"/>
      <c r="B6319" s="6"/>
      <c r="C6319" s="6"/>
      <c r="D6319" s="6"/>
      <c r="E6319" s="6"/>
      <c r="G6319" s="1"/>
      <c r="H6319" s="2"/>
    </row>
    <row r="6320" spans="1:8" x14ac:dyDescent="0.25">
      <c r="A6320" s="5"/>
      <c r="B6320" s="6"/>
      <c r="C6320" s="6"/>
      <c r="D6320" s="6"/>
      <c r="E6320" s="6"/>
      <c r="G6320" s="3"/>
      <c r="H6320" s="2"/>
    </row>
    <row r="6321" spans="1:8" x14ac:dyDescent="0.25">
      <c r="A6321" s="5"/>
      <c r="B6321" s="6"/>
      <c r="C6321" s="6"/>
      <c r="D6321" s="6"/>
      <c r="E6321" s="6"/>
      <c r="G6321" s="1"/>
      <c r="H6321" s="2"/>
    </row>
    <row r="6322" spans="1:8" x14ac:dyDescent="0.25">
      <c r="A6322" s="5"/>
      <c r="B6322" s="6"/>
      <c r="C6322" s="6"/>
      <c r="D6322" s="6"/>
      <c r="E6322" s="6"/>
      <c r="G6322" s="3"/>
      <c r="H6322" s="2"/>
    </row>
    <row r="6323" spans="1:8" x14ac:dyDescent="0.25">
      <c r="A6323" s="5"/>
      <c r="B6323" s="6"/>
      <c r="C6323" s="6"/>
      <c r="D6323" s="6"/>
      <c r="E6323" s="6"/>
      <c r="G6323" s="1"/>
      <c r="H6323" s="2"/>
    </row>
    <row r="6324" spans="1:8" x14ac:dyDescent="0.25">
      <c r="A6324" s="5"/>
      <c r="B6324" s="6"/>
      <c r="C6324" s="6"/>
      <c r="D6324" s="6"/>
      <c r="E6324" s="6"/>
      <c r="G6324" s="3"/>
      <c r="H6324" s="2"/>
    </row>
    <row r="6325" spans="1:8" x14ac:dyDescent="0.25">
      <c r="A6325" s="5"/>
      <c r="B6325" s="6"/>
      <c r="C6325" s="6"/>
      <c r="D6325" s="6"/>
      <c r="E6325" s="6"/>
      <c r="G6325" s="1"/>
      <c r="H6325" s="2"/>
    </row>
    <row r="6326" spans="1:8" x14ac:dyDescent="0.25">
      <c r="A6326" s="5"/>
      <c r="B6326" s="6"/>
      <c r="C6326" s="6"/>
      <c r="D6326" s="6"/>
      <c r="E6326" s="6"/>
      <c r="G6326" s="3"/>
      <c r="H6326" s="2"/>
    </row>
    <row r="6327" spans="1:8" x14ac:dyDescent="0.25">
      <c r="A6327" s="5"/>
      <c r="B6327" s="6"/>
      <c r="C6327" s="6"/>
      <c r="D6327" s="6"/>
      <c r="E6327" s="6"/>
      <c r="G6327" s="1"/>
      <c r="H6327" s="2"/>
    </row>
    <row r="6328" spans="1:8" x14ac:dyDescent="0.25">
      <c r="A6328" s="5"/>
      <c r="B6328" s="6"/>
      <c r="C6328" s="6"/>
      <c r="D6328" s="6"/>
      <c r="E6328" s="6"/>
      <c r="G6328" s="3"/>
      <c r="H6328" s="2"/>
    </row>
    <row r="6329" spans="1:8" x14ac:dyDescent="0.25">
      <c r="A6329" s="5"/>
      <c r="B6329" s="6"/>
      <c r="C6329" s="6"/>
      <c r="D6329" s="6"/>
      <c r="E6329" s="6"/>
      <c r="G6329" s="1"/>
      <c r="H6329" s="2"/>
    </row>
    <row r="6330" spans="1:8" x14ac:dyDescent="0.25">
      <c r="A6330" s="5"/>
      <c r="B6330" s="6"/>
      <c r="C6330" s="6"/>
      <c r="D6330" s="6"/>
      <c r="E6330" s="6"/>
      <c r="G6330" s="3"/>
      <c r="H6330" s="2"/>
    </row>
    <row r="6331" spans="1:8" x14ac:dyDescent="0.25">
      <c r="A6331" s="5"/>
      <c r="B6331" s="6"/>
      <c r="C6331" s="6"/>
      <c r="D6331" s="6"/>
      <c r="E6331" s="6"/>
      <c r="G6331" s="1"/>
      <c r="H6331" s="2"/>
    </row>
    <row r="6332" spans="1:8" x14ac:dyDescent="0.25">
      <c r="A6332" s="5"/>
      <c r="B6332" s="6"/>
      <c r="C6332" s="6"/>
      <c r="D6332" s="6"/>
      <c r="E6332" s="6"/>
      <c r="G6332" s="3"/>
      <c r="H6332" s="2"/>
    </row>
    <row r="6333" spans="1:8" x14ac:dyDescent="0.25">
      <c r="A6333" s="5"/>
      <c r="B6333" s="6"/>
      <c r="C6333" s="6"/>
      <c r="D6333" s="6"/>
      <c r="E6333" s="6"/>
      <c r="G6333" s="1"/>
      <c r="H6333" s="2"/>
    </row>
    <row r="6334" spans="1:8" x14ac:dyDescent="0.25">
      <c r="A6334" s="5"/>
      <c r="B6334" s="6"/>
      <c r="C6334" s="6"/>
      <c r="D6334" s="6"/>
      <c r="E6334" s="6"/>
      <c r="G6334" s="3"/>
      <c r="H6334" s="2"/>
    </row>
    <row r="6335" spans="1:8" x14ac:dyDescent="0.25">
      <c r="A6335" s="5"/>
      <c r="B6335" s="6"/>
      <c r="C6335" s="6"/>
      <c r="D6335" s="6"/>
      <c r="E6335" s="6"/>
      <c r="G6335" s="1"/>
      <c r="H6335" s="2"/>
    </row>
    <row r="6336" spans="1:8" x14ac:dyDescent="0.25">
      <c r="A6336" s="5"/>
      <c r="B6336" s="6"/>
      <c r="C6336" s="6"/>
      <c r="D6336" s="6"/>
      <c r="E6336" s="6"/>
      <c r="G6336" s="3"/>
      <c r="H6336" s="2"/>
    </row>
    <row r="6337" spans="1:8" x14ac:dyDescent="0.25">
      <c r="A6337" s="5"/>
      <c r="B6337" s="6"/>
      <c r="C6337" s="6"/>
      <c r="D6337" s="6"/>
      <c r="E6337" s="6"/>
      <c r="G6337" s="1"/>
      <c r="H6337" s="2"/>
    </row>
    <row r="6338" spans="1:8" x14ac:dyDescent="0.25">
      <c r="A6338" s="5"/>
      <c r="B6338" s="6"/>
      <c r="C6338" s="6"/>
      <c r="D6338" s="6"/>
      <c r="E6338" s="6"/>
      <c r="G6338" s="3"/>
      <c r="H6338" s="2"/>
    </row>
    <row r="6339" spans="1:8" x14ac:dyDescent="0.25">
      <c r="A6339" s="5"/>
      <c r="B6339" s="6"/>
      <c r="C6339" s="6"/>
      <c r="D6339" s="6"/>
      <c r="E6339" s="6"/>
      <c r="G6339" s="1"/>
      <c r="H6339" s="2"/>
    </row>
    <row r="6340" spans="1:8" x14ac:dyDescent="0.25">
      <c r="A6340" s="5"/>
      <c r="B6340" s="6"/>
      <c r="C6340" s="6"/>
      <c r="D6340" s="6"/>
      <c r="E6340" s="6"/>
      <c r="G6340" s="3"/>
      <c r="H6340" s="2"/>
    </row>
    <row r="6341" spans="1:8" x14ac:dyDescent="0.25">
      <c r="A6341" s="5"/>
      <c r="B6341" s="6"/>
      <c r="C6341" s="6"/>
      <c r="D6341" s="6"/>
      <c r="E6341" s="6"/>
      <c r="G6341" s="1"/>
      <c r="H6341" s="2"/>
    </row>
    <row r="6342" spans="1:8" x14ac:dyDescent="0.25">
      <c r="A6342" s="5"/>
      <c r="B6342" s="6"/>
      <c r="C6342" s="6"/>
      <c r="D6342" s="6"/>
      <c r="E6342" s="6"/>
      <c r="G6342" s="3"/>
      <c r="H6342" s="2"/>
    </row>
    <row r="6343" spans="1:8" x14ac:dyDescent="0.25">
      <c r="A6343" s="5"/>
      <c r="B6343" s="6"/>
      <c r="C6343" s="6"/>
      <c r="D6343" s="6"/>
      <c r="E6343" s="6"/>
      <c r="G6343" s="1"/>
      <c r="H6343" s="2"/>
    </row>
    <row r="6344" spans="1:8" x14ac:dyDescent="0.25">
      <c r="A6344" s="5"/>
      <c r="B6344" s="6"/>
      <c r="C6344" s="6"/>
      <c r="D6344" s="6"/>
      <c r="E6344" s="6"/>
      <c r="G6344" s="3"/>
      <c r="H6344" s="2"/>
    </row>
    <row r="6345" spans="1:8" x14ac:dyDescent="0.25">
      <c r="A6345" s="5"/>
      <c r="B6345" s="6"/>
      <c r="C6345" s="6"/>
      <c r="D6345" s="6"/>
      <c r="E6345" s="6"/>
      <c r="G6345" s="1"/>
      <c r="H6345" s="2"/>
    </row>
    <row r="6346" spans="1:8" x14ac:dyDescent="0.25">
      <c r="A6346" s="5"/>
      <c r="B6346" s="6"/>
      <c r="C6346" s="6"/>
      <c r="D6346" s="6"/>
      <c r="E6346" s="6"/>
      <c r="G6346" s="3"/>
      <c r="H6346" s="2"/>
    </row>
    <row r="6347" spans="1:8" x14ac:dyDescent="0.25">
      <c r="A6347" s="5"/>
      <c r="B6347" s="6"/>
      <c r="C6347" s="6"/>
      <c r="D6347" s="6"/>
      <c r="E6347" s="6"/>
      <c r="G6347" s="1"/>
      <c r="H6347" s="2"/>
    </row>
    <row r="6348" spans="1:8" x14ac:dyDescent="0.25">
      <c r="A6348" s="5"/>
      <c r="B6348" s="6"/>
      <c r="C6348" s="6"/>
      <c r="D6348" s="6"/>
      <c r="E6348" s="6"/>
      <c r="G6348" s="3"/>
      <c r="H6348" s="2"/>
    </row>
    <row r="6349" spans="1:8" x14ac:dyDescent="0.25">
      <c r="A6349" s="5"/>
      <c r="B6349" s="6"/>
      <c r="C6349" s="6"/>
      <c r="D6349" s="6"/>
      <c r="E6349" s="6"/>
      <c r="G6349" s="1"/>
      <c r="H6349" s="2"/>
    </row>
    <row r="6350" spans="1:8" x14ac:dyDescent="0.25">
      <c r="A6350" s="5"/>
      <c r="B6350" s="6"/>
      <c r="C6350" s="6"/>
      <c r="D6350" s="6"/>
      <c r="E6350" s="6"/>
      <c r="G6350" s="3"/>
      <c r="H6350" s="2"/>
    </row>
    <row r="6351" spans="1:8" x14ac:dyDescent="0.25">
      <c r="A6351" s="5"/>
      <c r="B6351" s="6"/>
      <c r="C6351" s="6"/>
      <c r="D6351" s="6"/>
      <c r="E6351" s="6"/>
      <c r="G6351" s="1"/>
      <c r="H6351" s="2"/>
    </row>
    <row r="6352" spans="1:8" x14ac:dyDescent="0.25">
      <c r="A6352" s="5"/>
      <c r="B6352" s="6"/>
      <c r="C6352" s="6"/>
      <c r="D6352" s="6"/>
      <c r="E6352" s="6"/>
      <c r="G6352" s="3"/>
      <c r="H6352" s="2"/>
    </row>
    <row r="6353" spans="1:8" x14ac:dyDescent="0.25">
      <c r="A6353" s="5"/>
      <c r="B6353" s="6"/>
      <c r="C6353" s="6"/>
      <c r="D6353" s="6"/>
      <c r="E6353" s="6"/>
      <c r="G6353" s="1"/>
      <c r="H6353" s="2"/>
    </row>
    <row r="6354" spans="1:8" x14ac:dyDescent="0.25">
      <c r="A6354" s="5"/>
      <c r="B6354" s="6"/>
      <c r="C6354" s="6"/>
      <c r="D6354" s="6"/>
      <c r="E6354" s="6"/>
      <c r="G6354" s="3"/>
      <c r="H6354" s="2"/>
    </row>
    <row r="6355" spans="1:8" x14ac:dyDescent="0.25">
      <c r="A6355" s="5"/>
      <c r="B6355" s="6"/>
      <c r="C6355" s="6"/>
      <c r="D6355" s="6"/>
      <c r="E6355" s="6"/>
      <c r="G6355" s="1"/>
      <c r="H6355" s="2"/>
    </row>
    <row r="6356" spans="1:8" x14ac:dyDescent="0.25">
      <c r="A6356" s="5"/>
      <c r="B6356" s="6"/>
      <c r="C6356" s="6"/>
      <c r="D6356" s="6"/>
      <c r="E6356" s="6"/>
      <c r="G6356" s="3"/>
      <c r="H6356" s="2"/>
    </row>
    <row r="6357" spans="1:8" x14ac:dyDescent="0.25">
      <c r="A6357" s="5"/>
      <c r="B6357" s="6"/>
      <c r="C6357" s="6"/>
      <c r="D6357" s="6"/>
      <c r="E6357" s="6"/>
      <c r="G6357" s="1"/>
      <c r="H6357" s="2"/>
    </row>
    <row r="6358" spans="1:8" x14ac:dyDescent="0.25">
      <c r="A6358" s="5"/>
      <c r="B6358" s="6"/>
      <c r="C6358" s="6"/>
      <c r="D6358" s="6"/>
      <c r="E6358" s="6"/>
      <c r="G6358" s="3"/>
      <c r="H6358" s="2"/>
    </row>
    <row r="6359" spans="1:8" x14ac:dyDescent="0.25">
      <c r="A6359" s="5"/>
      <c r="B6359" s="6"/>
      <c r="C6359" s="6"/>
      <c r="D6359" s="6"/>
      <c r="E6359" s="6"/>
      <c r="G6359" s="1"/>
      <c r="H6359" s="2"/>
    </row>
    <row r="6360" spans="1:8" x14ac:dyDescent="0.25">
      <c r="A6360" s="5"/>
      <c r="B6360" s="6"/>
      <c r="C6360" s="6"/>
      <c r="D6360" s="6"/>
      <c r="E6360" s="6"/>
      <c r="G6360" s="3"/>
      <c r="H6360" s="2"/>
    </row>
    <row r="6361" spans="1:8" x14ac:dyDescent="0.25">
      <c r="A6361" s="5"/>
      <c r="B6361" s="6"/>
      <c r="C6361" s="6"/>
      <c r="D6361" s="6"/>
      <c r="E6361" s="6"/>
      <c r="G6361" s="1"/>
      <c r="H6361" s="2"/>
    </row>
    <row r="6362" spans="1:8" x14ac:dyDescent="0.25">
      <c r="A6362" s="5"/>
      <c r="B6362" s="6"/>
      <c r="C6362" s="6"/>
      <c r="D6362" s="6"/>
      <c r="E6362" s="6"/>
      <c r="G6362" s="3"/>
      <c r="H6362" s="2"/>
    </row>
    <row r="6363" spans="1:8" x14ac:dyDescent="0.25">
      <c r="A6363" s="5"/>
      <c r="B6363" s="6"/>
      <c r="C6363" s="6"/>
      <c r="D6363" s="6"/>
      <c r="E6363" s="6"/>
      <c r="G6363" s="1"/>
      <c r="H6363" s="2"/>
    </row>
    <row r="6364" spans="1:8" x14ac:dyDescent="0.25">
      <c r="A6364" s="5"/>
      <c r="B6364" s="6"/>
      <c r="C6364" s="6"/>
      <c r="D6364" s="6"/>
      <c r="E6364" s="6"/>
      <c r="G6364" s="3"/>
      <c r="H6364" s="2"/>
    </row>
    <row r="6365" spans="1:8" x14ac:dyDescent="0.25">
      <c r="A6365" s="5"/>
      <c r="B6365" s="6"/>
      <c r="C6365" s="6"/>
      <c r="D6365" s="6"/>
      <c r="E6365" s="6"/>
      <c r="G6365" s="1"/>
      <c r="H6365" s="2"/>
    </row>
    <row r="6366" spans="1:8" x14ac:dyDescent="0.25">
      <c r="A6366" s="5"/>
      <c r="B6366" s="6"/>
      <c r="C6366" s="6"/>
      <c r="D6366" s="6"/>
      <c r="E6366" s="6"/>
      <c r="G6366" s="3"/>
      <c r="H6366" s="2"/>
    </row>
    <row r="6367" spans="1:8" x14ac:dyDescent="0.25">
      <c r="A6367" s="5"/>
      <c r="B6367" s="6"/>
      <c r="C6367" s="6"/>
      <c r="D6367" s="6"/>
      <c r="E6367" s="6"/>
      <c r="G6367" s="1"/>
      <c r="H6367" s="2"/>
    </row>
    <row r="6368" spans="1:8" x14ac:dyDescent="0.25">
      <c r="A6368" s="5"/>
      <c r="B6368" s="6"/>
      <c r="C6368" s="6"/>
      <c r="D6368" s="6"/>
      <c r="E6368" s="6"/>
      <c r="G6368" s="3"/>
      <c r="H6368" s="2"/>
    </row>
    <row r="6369" spans="1:8" x14ac:dyDescent="0.25">
      <c r="A6369" s="5"/>
      <c r="B6369" s="6"/>
      <c r="C6369" s="6"/>
      <c r="D6369" s="6"/>
      <c r="E6369" s="6"/>
      <c r="G6369" s="1"/>
      <c r="H6369" s="2"/>
    </row>
    <row r="6370" spans="1:8" x14ac:dyDescent="0.25">
      <c r="A6370" s="5"/>
      <c r="B6370" s="6"/>
      <c r="C6370" s="6"/>
      <c r="D6370" s="6"/>
      <c r="E6370" s="6"/>
      <c r="G6370" s="14"/>
      <c r="H6370" s="2"/>
    </row>
    <row r="6371" spans="1:8" x14ac:dyDescent="0.25">
      <c r="A6371" s="5"/>
      <c r="B6371" s="6"/>
      <c r="C6371" s="6"/>
      <c r="D6371" s="6"/>
      <c r="E6371" s="6"/>
      <c r="G6371" s="14"/>
      <c r="H6371" s="2"/>
    </row>
    <row r="6372" spans="1:8" x14ac:dyDescent="0.25">
      <c r="A6372" s="5"/>
      <c r="B6372" s="6"/>
      <c r="C6372" s="6"/>
      <c r="D6372" s="6"/>
      <c r="E6372" s="6"/>
      <c r="G6372" s="14"/>
      <c r="H6372" s="2"/>
    </row>
    <row r="6373" spans="1:8" x14ac:dyDescent="0.25">
      <c r="A6373" s="5"/>
      <c r="B6373" s="6"/>
      <c r="C6373" s="6"/>
      <c r="D6373" s="6"/>
      <c r="E6373" s="6"/>
      <c r="G6373" s="14"/>
      <c r="H6373" s="2"/>
    </row>
    <row r="6374" spans="1:8" x14ac:dyDescent="0.25">
      <c r="A6374" s="5"/>
      <c r="B6374" s="6"/>
      <c r="C6374" s="6"/>
      <c r="D6374" s="6"/>
      <c r="E6374" s="6"/>
      <c r="G6374" s="14"/>
      <c r="H6374" s="2"/>
    </row>
    <row r="6375" spans="1:8" x14ac:dyDescent="0.25">
      <c r="A6375" s="5"/>
      <c r="B6375" s="6"/>
      <c r="C6375" s="6"/>
      <c r="D6375" s="6"/>
      <c r="E6375" s="6"/>
      <c r="G6375" s="14"/>
      <c r="H6375" s="2"/>
    </row>
    <row r="6376" spans="1:8" x14ac:dyDescent="0.25">
      <c r="A6376" s="5"/>
      <c r="B6376" s="6"/>
      <c r="C6376" s="6"/>
      <c r="D6376" s="6"/>
      <c r="E6376" s="6"/>
    </row>
    <row r="6377" spans="1:8" x14ac:dyDescent="0.25">
      <c r="A6377" s="5"/>
      <c r="B6377" s="6"/>
      <c r="C6377" s="6"/>
      <c r="D6377" s="6"/>
      <c r="E6377" s="6"/>
      <c r="G6377" s="3"/>
      <c r="H6377" s="2"/>
    </row>
    <row r="6378" spans="1:8" x14ac:dyDescent="0.25">
      <c r="A6378" s="5"/>
      <c r="B6378" s="6"/>
      <c r="C6378" s="6"/>
      <c r="D6378" s="6"/>
      <c r="E6378" s="6"/>
      <c r="G6378" s="1"/>
      <c r="H6378" s="2"/>
    </row>
    <row r="6379" spans="1:8" x14ac:dyDescent="0.25">
      <c r="A6379" s="5"/>
      <c r="B6379" s="6"/>
      <c r="C6379" s="6"/>
      <c r="D6379" s="6"/>
      <c r="E6379" s="6"/>
      <c r="G6379" s="3"/>
      <c r="H6379" s="2"/>
    </row>
    <row r="6380" spans="1:8" x14ac:dyDescent="0.25">
      <c r="A6380" s="5"/>
      <c r="B6380" s="6"/>
      <c r="C6380" s="6"/>
      <c r="D6380" s="6"/>
      <c r="E6380" s="6"/>
      <c r="G6380" s="1"/>
      <c r="H6380" s="2"/>
    </row>
    <row r="6381" spans="1:8" x14ac:dyDescent="0.25">
      <c r="A6381" s="5"/>
      <c r="B6381" s="6"/>
      <c r="C6381" s="6"/>
      <c r="D6381" s="6"/>
      <c r="E6381" s="6"/>
      <c r="G6381" s="3"/>
      <c r="H6381" s="2"/>
    </row>
    <row r="6382" spans="1:8" x14ac:dyDescent="0.25">
      <c r="A6382" s="5"/>
      <c r="B6382" s="6"/>
      <c r="C6382" s="6"/>
      <c r="D6382" s="6"/>
      <c r="E6382" s="6"/>
      <c r="G6382" s="1"/>
      <c r="H6382" s="2"/>
    </row>
    <row r="6383" spans="1:8" x14ac:dyDescent="0.25">
      <c r="A6383" s="5"/>
      <c r="B6383" s="6"/>
      <c r="C6383" s="6"/>
      <c r="D6383" s="6"/>
      <c r="E6383" s="6"/>
      <c r="G6383" s="3"/>
      <c r="H6383" s="2"/>
    </row>
    <row r="6384" spans="1:8" x14ac:dyDescent="0.25">
      <c r="A6384" s="5"/>
      <c r="B6384" s="6"/>
      <c r="C6384" s="6"/>
      <c r="D6384" s="6"/>
      <c r="E6384" s="6"/>
      <c r="G6384" s="1"/>
      <c r="H6384" s="2"/>
    </row>
    <row r="6385" spans="1:8" x14ac:dyDescent="0.25">
      <c r="A6385" s="5"/>
      <c r="B6385" s="6"/>
      <c r="C6385" s="6"/>
      <c r="D6385" s="6"/>
      <c r="E6385" s="6"/>
      <c r="G6385" s="3"/>
      <c r="H6385" s="2"/>
    </row>
    <row r="6386" spans="1:8" x14ac:dyDescent="0.25">
      <c r="A6386" s="5"/>
      <c r="B6386" s="6"/>
      <c r="C6386" s="6"/>
      <c r="D6386" s="6"/>
      <c r="E6386" s="6"/>
      <c r="G6386" s="1"/>
      <c r="H6386" s="2"/>
    </row>
    <row r="6387" spans="1:8" x14ac:dyDescent="0.25">
      <c r="A6387" s="5"/>
      <c r="B6387" s="6"/>
      <c r="C6387" s="6"/>
      <c r="D6387" s="6"/>
      <c r="E6387" s="6"/>
      <c r="G6387" s="3"/>
      <c r="H6387" s="2"/>
    </row>
    <row r="6388" spans="1:8" x14ac:dyDescent="0.25">
      <c r="A6388" s="5"/>
      <c r="B6388" s="6"/>
      <c r="C6388" s="6"/>
      <c r="D6388" s="6"/>
      <c r="E6388" s="6"/>
      <c r="G6388" s="1"/>
      <c r="H6388" s="2"/>
    </row>
    <row r="6389" spans="1:8" x14ac:dyDescent="0.25">
      <c r="A6389" s="5"/>
      <c r="B6389" s="6"/>
      <c r="C6389" s="6"/>
      <c r="D6389" s="6"/>
      <c r="E6389" s="6"/>
      <c r="G6389" s="3"/>
      <c r="H6389" s="2"/>
    </row>
    <row r="6390" spans="1:8" x14ac:dyDescent="0.25">
      <c r="A6390" s="5"/>
      <c r="B6390" s="6"/>
      <c r="C6390" s="6"/>
      <c r="D6390" s="6"/>
      <c r="E6390" s="6"/>
      <c r="G6390" s="1"/>
      <c r="H6390" s="2"/>
    </row>
    <row r="6391" spans="1:8" x14ac:dyDescent="0.25">
      <c r="A6391" s="5"/>
      <c r="B6391" s="6"/>
      <c r="C6391" s="6"/>
      <c r="D6391" s="6"/>
      <c r="E6391" s="6"/>
      <c r="G6391" s="3"/>
      <c r="H6391" s="2"/>
    </row>
    <row r="6392" spans="1:8" x14ac:dyDescent="0.25">
      <c r="A6392" s="5"/>
      <c r="B6392" s="6"/>
      <c r="C6392" s="6"/>
      <c r="D6392" s="6"/>
      <c r="E6392" s="6"/>
      <c r="G6392" s="1"/>
      <c r="H6392" s="2"/>
    </row>
    <row r="6393" spans="1:8" x14ac:dyDescent="0.25">
      <c r="A6393" s="5"/>
      <c r="B6393" s="6"/>
      <c r="C6393" s="6"/>
      <c r="D6393" s="6"/>
      <c r="E6393" s="6"/>
      <c r="G6393" s="3"/>
      <c r="H6393" s="2"/>
    </row>
    <row r="6394" spans="1:8" x14ac:dyDescent="0.25">
      <c r="A6394" s="5"/>
      <c r="B6394" s="6"/>
      <c r="C6394" s="6"/>
      <c r="D6394" s="6"/>
      <c r="E6394" s="6"/>
      <c r="G6394" s="1"/>
      <c r="H6394" s="2"/>
    </row>
    <row r="6395" spans="1:8" x14ac:dyDescent="0.25">
      <c r="A6395" s="5"/>
      <c r="B6395" s="6"/>
      <c r="C6395" s="6"/>
      <c r="D6395" s="6"/>
      <c r="E6395" s="6"/>
      <c r="G6395" s="3"/>
      <c r="H6395" s="2"/>
    </row>
    <row r="6396" spans="1:8" x14ac:dyDescent="0.25">
      <c r="A6396" s="5"/>
      <c r="B6396" s="6"/>
      <c r="C6396" s="6"/>
      <c r="D6396" s="6"/>
      <c r="E6396" s="6"/>
      <c r="G6396" s="1"/>
      <c r="H6396" s="2"/>
    </row>
    <row r="6397" spans="1:8" x14ac:dyDescent="0.25">
      <c r="A6397" s="5"/>
      <c r="B6397" s="6"/>
      <c r="C6397" s="6"/>
      <c r="D6397" s="6"/>
      <c r="E6397" s="6"/>
      <c r="G6397" s="3"/>
      <c r="H6397" s="2"/>
    </row>
    <row r="6398" spans="1:8" x14ac:dyDescent="0.25">
      <c r="A6398" s="5"/>
      <c r="B6398" s="6"/>
      <c r="C6398" s="6"/>
      <c r="D6398" s="6"/>
      <c r="E6398" s="6"/>
      <c r="G6398" s="1"/>
      <c r="H6398" s="2"/>
    </row>
    <row r="6399" spans="1:8" x14ac:dyDescent="0.25">
      <c r="A6399" s="5"/>
      <c r="B6399" s="6"/>
      <c r="C6399" s="6"/>
      <c r="D6399" s="6"/>
      <c r="E6399" s="6"/>
      <c r="G6399" s="3"/>
      <c r="H6399" s="2"/>
    </row>
    <row r="6400" spans="1:8" x14ac:dyDescent="0.25">
      <c r="A6400" s="5"/>
      <c r="B6400" s="6"/>
      <c r="C6400" s="6"/>
      <c r="D6400" s="6"/>
      <c r="E6400" s="6"/>
      <c r="G6400" s="1"/>
      <c r="H6400" s="2"/>
    </row>
    <row r="6401" spans="1:8" x14ac:dyDescent="0.25">
      <c r="A6401" s="5"/>
      <c r="B6401" s="6"/>
      <c r="C6401" s="6"/>
      <c r="D6401" s="6"/>
      <c r="E6401" s="6"/>
      <c r="G6401" s="3"/>
      <c r="H6401" s="2"/>
    </row>
    <row r="6402" spans="1:8" x14ac:dyDescent="0.25">
      <c r="A6402" s="5"/>
      <c r="B6402" s="6"/>
      <c r="C6402" s="6"/>
      <c r="D6402" s="6"/>
      <c r="E6402" s="6"/>
      <c r="G6402" s="1"/>
      <c r="H6402" s="2"/>
    </row>
    <row r="6403" spans="1:8" x14ac:dyDescent="0.25">
      <c r="A6403" s="5"/>
      <c r="B6403" s="6"/>
      <c r="C6403" s="6"/>
      <c r="D6403" s="6"/>
      <c r="E6403" s="6"/>
      <c r="G6403" s="3"/>
      <c r="H6403" s="2"/>
    </row>
    <row r="6404" spans="1:8" x14ac:dyDescent="0.25">
      <c r="A6404" s="5"/>
      <c r="B6404" s="6"/>
      <c r="C6404" s="6"/>
      <c r="D6404" s="6"/>
      <c r="E6404" s="6"/>
      <c r="G6404" s="1"/>
      <c r="H6404" s="2"/>
    </row>
    <row r="6405" spans="1:8" x14ac:dyDescent="0.25">
      <c r="A6405" s="5"/>
      <c r="B6405" s="6"/>
      <c r="C6405" s="6"/>
      <c r="D6405" s="6"/>
      <c r="E6405" s="6"/>
      <c r="G6405" s="3"/>
      <c r="H6405" s="2"/>
    </row>
    <row r="6406" spans="1:8" x14ac:dyDescent="0.25">
      <c r="A6406" s="5"/>
      <c r="B6406" s="6"/>
      <c r="C6406" s="6"/>
      <c r="D6406" s="6"/>
      <c r="E6406" s="6"/>
      <c r="G6406" s="1"/>
      <c r="H6406" s="2"/>
    </row>
    <row r="6407" spans="1:8" x14ac:dyDescent="0.25">
      <c r="A6407" s="5"/>
      <c r="B6407" s="6"/>
      <c r="C6407" s="6"/>
      <c r="D6407" s="6"/>
      <c r="E6407" s="6"/>
      <c r="G6407" s="3"/>
      <c r="H6407" s="2"/>
    </row>
    <row r="6408" spans="1:8" x14ac:dyDescent="0.25">
      <c r="A6408" s="5"/>
      <c r="B6408" s="6"/>
      <c r="C6408" s="6"/>
      <c r="D6408" s="6"/>
      <c r="E6408" s="6"/>
      <c r="G6408" s="1"/>
      <c r="H6408" s="2"/>
    </row>
    <row r="6409" spans="1:8" x14ac:dyDescent="0.25">
      <c r="A6409" s="5"/>
      <c r="B6409" s="6"/>
      <c r="C6409" s="6"/>
      <c r="D6409" s="6"/>
      <c r="E6409" s="6"/>
      <c r="G6409" s="3"/>
      <c r="H6409" s="2"/>
    </row>
    <row r="6410" spans="1:8" x14ac:dyDescent="0.25">
      <c r="A6410" s="5"/>
      <c r="B6410" s="6"/>
      <c r="C6410" s="6"/>
      <c r="D6410" s="6"/>
      <c r="E6410" s="6"/>
      <c r="G6410" s="1"/>
      <c r="H6410" s="2"/>
    </row>
    <row r="6411" spans="1:8" x14ac:dyDescent="0.25">
      <c r="A6411" s="5"/>
      <c r="B6411" s="6"/>
      <c r="C6411" s="6"/>
      <c r="D6411" s="6"/>
      <c r="E6411" s="6"/>
      <c r="G6411" s="3"/>
      <c r="H6411" s="2"/>
    </row>
    <row r="6412" spans="1:8" x14ac:dyDescent="0.25">
      <c r="A6412" s="5"/>
      <c r="B6412" s="6"/>
      <c r="C6412" s="6"/>
      <c r="D6412" s="6"/>
      <c r="E6412" s="6"/>
      <c r="G6412" s="1"/>
      <c r="H6412" s="2"/>
    </row>
    <row r="6413" spans="1:8" x14ac:dyDescent="0.25">
      <c r="A6413" s="5"/>
      <c r="B6413" s="6"/>
      <c r="C6413" s="6"/>
      <c r="D6413" s="6"/>
      <c r="E6413" s="6"/>
      <c r="G6413" s="3"/>
      <c r="H6413" s="2"/>
    </row>
    <row r="6414" spans="1:8" x14ac:dyDescent="0.25">
      <c r="A6414" s="5"/>
      <c r="B6414" s="6"/>
      <c r="C6414" s="6"/>
      <c r="D6414" s="6"/>
      <c r="E6414" s="6"/>
      <c r="G6414" s="1"/>
      <c r="H6414" s="2"/>
    </row>
    <row r="6415" spans="1:8" x14ac:dyDescent="0.25">
      <c r="A6415" s="5"/>
      <c r="B6415" s="6"/>
      <c r="C6415" s="6"/>
      <c r="D6415" s="6"/>
      <c r="E6415" s="6"/>
      <c r="G6415" s="3"/>
      <c r="H6415" s="2"/>
    </row>
    <row r="6416" spans="1:8" x14ac:dyDescent="0.25">
      <c r="A6416" s="5"/>
      <c r="B6416" s="6"/>
      <c r="C6416" s="6"/>
      <c r="D6416" s="6"/>
      <c r="E6416" s="6"/>
      <c r="G6416" s="1"/>
      <c r="H6416" s="2"/>
    </row>
    <row r="6417" spans="1:8" x14ac:dyDescent="0.25">
      <c r="A6417" s="5"/>
      <c r="B6417" s="6"/>
      <c r="C6417" s="6"/>
      <c r="D6417" s="6"/>
      <c r="E6417" s="6"/>
      <c r="G6417" s="3"/>
      <c r="H6417" s="2"/>
    </row>
    <row r="6418" spans="1:8" x14ac:dyDescent="0.25">
      <c r="A6418" s="5"/>
      <c r="B6418" s="6"/>
      <c r="C6418" s="6"/>
      <c r="D6418" s="6"/>
      <c r="E6418" s="6"/>
      <c r="G6418" s="1"/>
      <c r="H6418" s="2"/>
    </row>
    <row r="6419" spans="1:8" x14ac:dyDescent="0.25">
      <c r="A6419" s="5"/>
      <c r="B6419" s="6"/>
      <c r="C6419" s="6"/>
      <c r="D6419" s="6"/>
      <c r="E6419" s="6"/>
      <c r="G6419" s="3"/>
      <c r="H6419" s="2"/>
    </row>
    <row r="6420" spans="1:8" x14ac:dyDescent="0.25">
      <c r="A6420" s="5"/>
      <c r="B6420" s="6"/>
      <c r="C6420" s="6"/>
      <c r="D6420" s="6"/>
      <c r="E6420" s="6"/>
      <c r="G6420" s="1"/>
      <c r="H6420" s="2"/>
    </row>
    <row r="6421" spans="1:8" x14ac:dyDescent="0.25">
      <c r="A6421" s="5"/>
      <c r="B6421" s="6"/>
      <c r="C6421" s="6"/>
      <c r="D6421" s="6"/>
      <c r="E6421" s="6"/>
      <c r="G6421" s="3"/>
      <c r="H6421" s="2"/>
    </row>
    <row r="6422" spans="1:8" x14ac:dyDescent="0.25">
      <c r="A6422" s="5"/>
      <c r="B6422" s="6"/>
      <c r="C6422" s="6"/>
      <c r="D6422" s="6"/>
      <c r="E6422" s="6"/>
      <c r="G6422" s="1"/>
      <c r="H6422" s="2"/>
    </row>
    <row r="6423" spans="1:8" x14ac:dyDescent="0.25">
      <c r="A6423" s="5"/>
      <c r="B6423" s="6"/>
      <c r="C6423" s="6"/>
      <c r="D6423" s="6"/>
      <c r="E6423" s="6"/>
      <c r="G6423" s="3"/>
      <c r="H6423" s="2"/>
    </row>
    <row r="6424" spans="1:8" x14ac:dyDescent="0.25">
      <c r="A6424" s="5"/>
      <c r="B6424" s="6"/>
      <c r="C6424" s="6"/>
      <c r="D6424" s="6"/>
      <c r="E6424" s="6"/>
      <c r="G6424" s="1"/>
      <c r="H6424" s="2"/>
    </row>
    <row r="6425" spans="1:8" x14ac:dyDescent="0.25">
      <c r="A6425" s="5"/>
      <c r="B6425" s="6"/>
      <c r="C6425" s="6"/>
      <c r="D6425" s="6"/>
      <c r="E6425" s="6"/>
      <c r="G6425" s="3"/>
      <c r="H6425" s="2"/>
    </row>
    <row r="6426" spans="1:8" x14ac:dyDescent="0.25">
      <c r="A6426" s="5"/>
      <c r="B6426" s="6"/>
      <c r="C6426" s="6"/>
      <c r="D6426" s="6"/>
      <c r="E6426" s="6"/>
      <c r="G6426" s="1"/>
      <c r="H6426" s="2"/>
    </row>
    <row r="6427" spans="1:8" x14ac:dyDescent="0.25">
      <c r="A6427" s="5"/>
      <c r="B6427" s="6"/>
      <c r="C6427" s="6"/>
      <c r="D6427" s="6"/>
      <c r="E6427" s="6"/>
      <c r="G6427" s="3"/>
      <c r="H6427" s="2"/>
    </row>
    <row r="6428" spans="1:8" x14ac:dyDescent="0.25">
      <c r="A6428" s="5"/>
      <c r="B6428" s="6"/>
      <c r="C6428" s="6"/>
      <c r="D6428" s="6"/>
      <c r="E6428" s="6"/>
      <c r="G6428" s="1"/>
      <c r="H6428" s="2"/>
    </row>
    <row r="6429" spans="1:8" x14ac:dyDescent="0.25">
      <c r="A6429" s="5"/>
      <c r="B6429" s="6"/>
      <c r="C6429" s="6"/>
      <c r="D6429" s="6"/>
      <c r="E6429" s="6"/>
      <c r="G6429" s="3"/>
      <c r="H6429" s="2"/>
    </row>
    <row r="6430" spans="1:8" x14ac:dyDescent="0.25">
      <c r="A6430" s="5"/>
      <c r="B6430" s="6"/>
      <c r="C6430" s="6"/>
      <c r="D6430" s="6"/>
      <c r="E6430" s="6"/>
      <c r="G6430" s="1"/>
      <c r="H6430" s="2"/>
    </row>
    <row r="6431" spans="1:8" x14ac:dyDescent="0.25">
      <c r="A6431" s="5"/>
      <c r="B6431" s="6"/>
      <c r="C6431" s="6"/>
      <c r="D6431" s="6"/>
      <c r="E6431" s="6"/>
      <c r="G6431" s="3"/>
      <c r="H6431" s="2"/>
    </row>
    <row r="6432" spans="1:8" x14ac:dyDescent="0.25">
      <c r="A6432" s="5"/>
      <c r="B6432" s="6"/>
      <c r="C6432" s="6"/>
      <c r="D6432" s="6"/>
      <c r="E6432" s="6"/>
      <c r="G6432" s="1"/>
      <c r="H6432" s="2"/>
    </row>
    <row r="6433" spans="1:8" x14ac:dyDescent="0.25">
      <c r="A6433" s="5"/>
      <c r="B6433" s="6"/>
      <c r="C6433" s="6"/>
      <c r="D6433" s="6"/>
      <c r="E6433" s="6"/>
      <c r="G6433" s="3"/>
      <c r="H6433" s="2"/>
    </row>
    <row r="6434" spans="1:8" x14ac:dyDescent="0.25">
      <c r="A6434" s="5"/>
      <c r="B6434" s="6"/>
      <c r="C6434" s="6"/>
      <c r="D6434" s="6"/>
      <c r="E6434" s="6"/>
      <c r="G6434" s="1"/>
      <c r="H6434" s="2"/>
    </row>
    <row r="6435" spans="1:8" x14ac:dyDescent="0.25">
      <c r="A6435" s="5"/>
      <c r="B6435" s="6"/>
      <c r="C6435" s="6"/>
      <c r="D6435" s="6"/>
      <c r="E6435" s="6"/>
      <c r="G6435" s="3"/>
      <c r="H6435" s="2"/>
    </row>
    <row r="6436" spans="1:8" x14ac:dyDescent="0.25">
      <c r="A6436" s="5"/>
      <c r="B6436" s="6"/>
      <c r="C6436" s="6"/>
      <c r="D6436" s="6"/>
      <c r="E6436" s="6"/>
      <c r="G6436" s="1"/>
      <c r="H6436" s="2"/>
    </row>
    <row r="6437" spans="1:8" x14ac:dyDescent="0.25">
      <c r="A6437" s="5"/>
      <c r="B6437" s="6"/>
      <c r="C6437" s="6"/>
      <c r="D6437" s="6"/>
      <c r="E6437" s="6"/>
      <c r="G6437" s="3"/>
      <c r="H6437" s="2"/>
    </row>
    <row r="6438" spans="1:8" x14ac:dyDescent="0.25">
      <c r="A6438" s="5"/>
      <c r="B6438" s="6"/>
      <c r="C6438" s="6"/>
      <c r="D6438" s="6"/>
      <c r="E6438" s="6"/>
      <c r="G6438" s="1"/>
      <c r="H6438" s="2"/>
    </row>
    <row r="6439" spans="1:8" x14ac:dyDescent="0.25">
      <c r="A6439" s="5"/>
      <c r="B6439" s="6"/>
      <c r="C6439" s="6"/>
      <c r="D6439" s="6"/>
      <c r="E6439" s="6"/>
      <c r="G6439" s="3"/>
      <c r="H6439" s="2"/>
    </row>
    <row r="6440" spans="1:8" x14ac:dyDescent="0.25">
      <c r="A6440" s="5"/>
      <c r="B6440" s="6"/>
      <c r="C6440" s="6"/>
      <c r="D6440" s="6"/>
      <c r="E6440" s="6"/>
      <c r="G6440" s="1"/>
      <c r="H6440" s="2"/>
    </row>
    <row r="6441" spans="1:8" x14ac:dyDescent="0.25">
      <c r="A6441" s="5"/>
      <c r="B6441" s="6"/>
      <c r="C6441" s="6"/>
      <c r="D6441" s="6"/>
      <c r="E6441" s="6"/>
      <c r="G6441" s="3"/>
      <c r="H6441" s="2"/>
    </row>
    <row r="6442" spans="1:8" x14ac:dyDescent="0.25">
      <c r="A6442" s="5"/>
      <c r="B6442" s="6"/>
      <c r="C6442" s="6"/>
      <c r="D6442" s="6"/>
      <c r="E6442" s="6"/>
      <c r="G6442" s="1"/>
      <c r="H6442" s="2"/>
    </row>
    <row r="6443" spans="1:8" x14ac:dyDescent="0.25">
      <c r="A6443" s="5"/>
      <c r="B6443" s="6"/>
      <c r="C6443" s="6"/>
      <c r="D6443" s="6"/>
      <c r="E6443" s="6"/>
      <c r="G6443" s="3"/>
      <c r="H6443" s="2"/>
    </row>
    <row r="6444" spans="1:8" x14ac:dyDescent="0.25">
      <c r="A6444" s="5"/>
      <c r="B6444" s="6"/>
      <c r="C6444" s="6"/>
      <c r="D6444" s="6"/>
      <c r="E6444" s="6"/>
      <c r="G6444" s="1"/>
      <c r="H6444" s="2"/>
    </row>
    <row r="6445" spans="1:8" x14ac:dyDescent="0.25">
      <c r="A6445" s="5"/>
      <c r="B6445" s="6"/>
      <c r="C6445" s="6"/>
      <c r="D6445" s="6"/>
      <c r="E6445" s="6"/>
      <c r="G6445" s="3"/>
      <c r="H6445" s="2"/>
    </row>
    <row r="6446" spans="1:8" x14ac:dyDescent="0.25">
      <c r="A6446" s="5"/>
      <c r="B6446" s="6"/>
      <c r="C6446" s="6"/>
      <c r="D6446" s="6"/>
      <c r="E6446" s="6"/>
      <c r="G6446" s="1"/>
      <c r="H6446" s="2"/>
    </row>
    <row r="6447" spans="1:8" x14ac:dyDescent="0.25">
      <c r="A6447" s="5"/>
      <c r="B6447" s="6"/>
      <c r="C6447" s="6"/>
      <c r="D6447" s="6"/>
      <c r="E6447" s="6"/>
      <c r="G6447" s="3"/>
      <c r="H6447" s="2"/>
    </row>
    <row r="6448" spans="1:8" x14ac:dyDescent="0.25">
      <c r="A6448" s="5"/>
      <c r="B6448" s="6"/>
      <c r="C6448" s="6"/>
      <c r="D6448" s="6"/>
      <c r="E6448" s="6"/>
      <c r="G6448" s="1"/>
      <c r="H6448" s="2"/>
    </row>
    <row r="6449" spans="1:8" x14ac:dyDescent="0.25">
      <c r="A6449" s="5"/>
      <c r="B6449" s="6"/>
      <c r="C6449" s="6"/>
      <c r="D6449" s="6"/>
      <c r="E6449" s="6"/>
      <c r="G6449" s="3"/>
      <c r="H6449" s="2"/>
    </row>
    <row r="6450" spans="1:8" x14ac:dyDescent="0.25">
      <c r="A6450" s="5"/>
      <c r="B6450" s="6"/>
      <c r="C6450" s="6"/>
      <c r="D6450" s="6"/>
      <c r="E6450" s="6"/>
      <c r="G6450" s="1"/>
      <c r="H6450" s="2"/>
    </row>
    <row r="6451" spans="1:8" x14ac:dyDescent="0.25">
      <c r="A6451" s="5"/>
      <c r="B6451" s="6"/>
      <c r="C6451" s="6"/>
      <c r="D6451" s="6"/>
      <c r="E6451" s="6"/>
      <c r="G6451" s="3"/>
      <c r="H6451" s="2"/>
    </row>
    <row r="6452" spans="1:8" x14ac:dyDescent="0.25">
      <c r="A6452" s="5"/>
      <c r="B6452" s="6"/>
      <c r="C6452" s="6"/>
      <c r="D6452" s="6"/>
      <c r="E6452" s="6"/>
      <c r="G6452" s="1"/>
      <c r="H6452" s="2"/>
    </row>
    <row r="6453" spans="1:8" x14ac:dyDescent="0.25">
      <c r="A6453" s="5"/>
      <c r="B6453" s="6"/>
      <c r="C6453" s="6"/>
      <c r="D6453" s="6"/>
      <c r="E6453" s="6"/>
      <c r="G6453" s="3"/>
      <c r="H6453" s="2"/>
    </row>
    <row r="6454" spans="1:8" x14ac:dyDescent="0.25">
      <c r="A6454" s="5"/>
      <c r="B6454" s="6"/>
      <c r="C6454" s="6"/>
      <c r="D6454" s="6"/>
      <c r="E6454" s="6"/>
      <c r="G6454" s="1"/>
      <c r="H6454" s="2"/>
    </row>
    <row r="6455" spans="1:8" x14ac:dyDescent="0.25">
      <c r="A6455" s="5"/>
      <c r="B6455" s="6"/>
      <c r="C6455" s="6"/>
      <c r="D6455" s="6"/>
      <c r="E6455" s="6"/>
      <c r="G6455" s="3"/>
      <c r="H6455" s="2"/>
    </row>
    <row r="6456" spans="1:8" x14ac:dyDescent="0.25">
      <c r="A6456" s="5"/>
      <c r="B6456" s="6"/>
      <c r="C6456" s="6"/>
      <c r="D6456" s="6"/>
      <c r="E6456" s="6"/>
      <c r="G6456" s="1"/>
      <c r="H6456" s="2"/>
    </row>
    <row r="6457" spans="1:8" x14ac:dyDescent="0.25">
      <c r="A6457" s="5"/>
      <c r="B6457" s="6"/>
      <c r="C6457" s="6"/>
      <c r="D6457" s="6"/>
      <c r="E6457" s="6"/>
      <c r="G6457" s="3"/>
      <c r="H6457" s="2"/>
    </row>
    <row r="6458" spans="1:8" x14ac:dyDescent="0.25">
      <c r="A6458" s="5"/>
      <c r="B6458" s="6"/>
      <c r="C6458" s="6"/>
      <c r="D6458" s="6"/>
      <c r="E6458" s="6"/>
      <c r="G6458" s="1"/>
      <c r="H6458" s="2"/>
    </row>
    <row r="6459" spans="1:8" x14ac:dyDescent="0.25">
      <c r="A6459" s="5"/>
      <c r="B6459" s="6"/>
      <c r="C6459" s="6"/>
      <c r="D6459" s="6"/>
      <c r="E6459" s="6"/>
      <c r="G6459" s="3"/>
      <c r="H6459" s="2"/>
    </row>
    <row r="6460" spans="1:8" x14ac:dyDescent="0.25">
      <c r="A6460" s="5"/>
      <c r="B6460" s="6"/>
      <c r="C6460" s="6"/>
      <c r="D6460" s="6"/>
      <c r="E6460" s="6"/>
      <c r="G6460" s="1"/>
      <c r="H6460" s="2"/>
    </row>
    <row r="6461" spans="1:8" x14ac:dyDescent="0.25">
      <c r="A6461" s="5"/>
      <c r="B6461" s="6"/>
      <c r="C6461" s="6"/>
      <c r="D6461" s="6"/>
      <c r="E6461" s="6"/>
      <c r="G6461" s="3"/>
      <c r="H6461" s="2"/>
    </row>
    <row r="6462" spans="1:8" x14ac:dyDescent="0.25">
      <c r="A6462" s="5"/>
      <c r="B6462" s="6"/>
      <c r="C6462" s="6"/>
      <c r="D6462" s="6"/>
      <c r="E6462" s="6"/>
      <c r="G6462" s="1"/>
      <c r="H6462" s="2"/>
    </row>
    <row r="6463" spans="1:8" x14ac:dyDescent="0.25">
      <c r="A6463" s="5"/>
      <c r="B6463" s="6"/>
      <c r="C6463" s="6"/>
      <c r="D6463" s="6"/>
      <c r="E6463" s="6"/>
      <c r="G6463" s="3"/>
      <c r="H6463" s="2"/>
    </row>
    <row r="6464" spans="1:8" x14ac:dyDescent="0.25">
      <c r="A6464" s="5"/>
      <c r="B6464" s="6"/>
      <c r="C6464" s="6"/>
      <c r="D6464" s="6"/>
      <c r="E6464" s="6"/>
      <c r="G6464" s="1"/>
      <c r="H6464" s="2"/>
    </row>
    <row r="6465" spans="1:8" x14ac:dyDescent="0.25">
      <c r="A6465" s="5"/>
      <c r="B6465" s="6"/>
      <c r="C6465" s="6"/>
      <c r="D6465" s="6"/>
      <c r="E6465" s="6"/>
      <c r="G6465" s="3"/>
      <c r="H6465" s="2"/>
    </row>
    <row r="6466" spans="1:8" x14ac:dyDescent="0.25">
      <c r="A6466" s="5"/>
      <c r="B6466" s="6"/>
      <c r="C6466" s="6"/>
      <c r="D6466" s="6"/>
      <c r="E6466" s="6"/>
      <c r="G6466" s="1"/>
      <c r="H6466" s="2"/>
    </row>
    <row r="6467" spans="1:8" x14ac:dyDescent="0.25">
      <c r="A6467" s="5"/>
      <c r="B6467" s="6"/>
      <c r="C6467" s="6"/>
      <c r="D6467" s="6"/>
      <c r="E6467" s="6"/>
      <c r="G6467" s="3"/>
      <c r="H6467" s="2"/>
    </row>
    <row r="6468" spans="1:8" x14ac:dyDescent="0.25">
      <c r="A6468" s="5"/>
      <c r="B6468" s="6"/>
      <c r="C6468" s="6"/>
      <c r="D6468" s="6"/>
      <c r="E6468" s="6"/>
      <c r="G6468" s="1"/>
      <c r="H6468" s="2"/>
    </row>
    <row r="6469" spans="1:8" x14ac:dyDescent="0.25">
      <c r="A6469" s="5"/>
      <c r="B6469" s="6"/>
      <c r="C6469" s="6"/>
      <c r="D6469" s="6"/>
      <c r="E6469" s="6"/>
      <c r="G6469" s="3"/>
      <c r="H6469" s="2"/>
    </row>
    <row r="6470" spans="1:8" x14ac:dyDescent="0.25">
      <c r="A6470" s="5"/>
      <c r="B6470" s="6"/>
      <c r="C6470" s="6"/>
      <c r="D6470" s="6"/>
      <c r="E6470" s="6"/>
      <c r="G6470" s="1"/>
      <c r="H6470" s="2"/>
    </row>
    <row r="6471" spans="1:8" x14ac:dyDescent="0.25">
      <c r="A6471" s="5"/>
      <c r="B6471" s="6"/>
      <c r="C6471" s="6"/>
      <c r="D6471" s="6"/>
      <c r="E6471" s="6"/>
      <c r="G6471" s="3"/>
      <c r="H6471" s="2"/>
    </row>
    <row r="6472" spans="1:8" x14ac:dyDescent="0.25">
      <c r="A6472" s="5"/>
      <c r="B6472" s="6"/>
      <c r="C6472" s="6"/>
      <c r="D6472" s="6"/>
      <c r="E6472" s="6"/>
      <c r="G6472" s="1"/>
      <c r="H6472" s="2"/>
    </row>
    <row r="6473" spans="1:8" x14ac:dyDescent="0.25">
      <c r="A6473" s="5"/>
      <c r="B6473" s="6"/>
      <c r="C6473" s="6"/>
      <c r="D6473" s="6"/>
      <c r="E6473" s="6"/>
      <c r="G6473" s="3"/>
      <c r="H6473" s="2"/>
    </row>
    <row r="6474" spans="1:8" x14ac:dyDescent="0.25">
      <c r="A6474" s="5"/>
      <c r="B6474" s="6"/>
      <c r="C6474" s="6"/>
      <c r="D6474" s="6"/>
      <c r="E6474" s="6"/>
      <c r="G6474" s="1"/>
      <c r="H6474" s="2"/>
    </row>
    <row r="6475" spans="1:8" x14ac:dyDescent="0.25">
      <c r="A6475" s="5"/>
      <c r="B6475" s="6"/>
      <c r="C6475" s="6"/>
      <c r="D6475" s="6"/>
      <c r="E6475" s="6"/>
      <c r="G6475" s="3"/>
      <c r="H6475" s="2"/>
    </row>
    <row r="6476" spans="1:8" x14ac:dyDescent="0.25">
      <c r="A6476" s="5"/>
      <c r="B6476" s="6"/>
      <c r="C6476" s="6"/>
      <c r="D6476" s="6"/>
      <c r="E6476" s="6"/>
      <c r="G6476" s="1"/>
      <c r="H6476" s="2"/>
    </row>
    <row r="6477" spans="1:8" x14ac:dyDescent="0.25">
      <c r="A6477" s="5"/>
      <c r="B6477" s="6"/>
      <c r="C6477" s="6"/>
      <c r="D6477" s="6"/>
      <c r="E6477" s="6"/>
      <c r="G6477" s="3"/>
      <c r="H6477" s="2"/>
    </row>
    <row r="6478" spans="1:8" x14ac:dyDescent="0.25">
      <c r="A6478" s="5"/>
      <c r="B6478" s="6"/>
      <c r="C6478" s="6"/>
      <c r="D6478" s="6"/>
      <c r="E6478" s="6"/>
      <c r="G6478" s="1"/>
      <c r="H6478" s="2"/>
    </row>
    <row r="6479" spans="1:8" x14ac:dyDescent="0.25">
      <c r="A6479" s="5"/>
      <c r="B6479" s="6"/>
      <c r="C6479" s="6"/>
      <c r="D6479" s="6"/>
      <c r="E6479" s="6"/>
      <c r="G6479" s="3"/>
      <c r="H6479" s="2"/>
    </row>
    <row r="6480" spans="1:8" x14ac:dyDescent="0.25">
      <c r="A6480" s="5"/>
      <c r="B6480" s="6"/>
      <c r="C6480" s="6"/>
      <c r="D6480" s="6"/>
      <c r="E6480" s="6"/>
      <c r="G6480" s="1"/>
      <c r="H6480" s="2"/>
    </row>
    <row r="6481" spans="1:8" x14ac:dyDescent="0.25">
      <c r="A6481" s="5"/>
      <c r="B6481" s="6"/>
      <c r="C6481" s="6"/>
      <c r="D6481" s="6"/>
      <c r="E6481" s="6"/>
      <c r="G6481" s="3"/>
      <c r="H6481" s="2"/>
    </row>
    <row r="6482" spans="1:8" x14ac:dyDescent="0.25">
      <c r="A6482" s="5"/>
      <c r="B6482" s="6"/>
      <c r="C6482" s="6"/>
      <c r="D6482" s="6"/>
      <c r="E6482" s="6"/>
      <c r="G6482" s="1"/>
      <c r="H6482" s="2"/>
    </row>
    <row r="6483" spans="1:8" x14ac:dyDescent="0.25">
      <c r="A6483" s="5"/>
      <c r="B6483" s="6"/>
      <c r="C6483" s="6"/>
      <c r="D6483" s="6"/>
      <c r="E6483" s="6"/>
      <c r="G6483" s="3"/>
      <c r="H6483" s="2"/>
    </row>
    <row r="6484" spans="1:8" x14ac:dyDescent="0.25">
      <c r="A6484" s="5"/>
      <c r="B6484" s="6"/>
      <c r="C6484" s="6"/>
      <c r="D6484" s="6"/>
      <c r="E6484" s="6"/>
      <c r="G6484" s="1"/>
      <c r="H6484" s="2"/>
    </row>
    <row r="6485" spans="1:8" x14ac:dyDescent="0.25">
      <c r="A6485" s="5"/>
      <c r="B6485" s="6"/>
      <c r="C6485" s="6"/>
      <c r="D6485" s="6"/>
      <c r="E6485" s="6"/>
      <c r="G6485" s="3"/>
      <c r="H6485" s="2"/>
    </row>
    <row r="6486" spans="1:8" x14ac:dyDescent="0.25">
      <c r="A6486" s="5"/>
      <c r="B6486" s="6"/>
      <c r="C6486" s="6"/>
      <c r="D6486" s="6"/>
      <c r="E6486" s="6"/>
      <c r="G6486" s="1"/>
      <c r="H6486" s="2"/>
    </row>
    <row r="6487" spans="1:8" x14ac:dyDescent="0.25">
      <c r="A6487" s="5"/>
      <c r="B6487" s="6"/>
      <c r="C6487" s="6"/>
      <c r="D6487" s="6"/>
      <c r="E6487" s="6"/>
      <c r="G6487" s="3"/>
      <c r="H6487" s="2"/>
    </row>
    <row r="6488" spans="1:8" x14ac:dyDescent="0.25">
      <c r="A6488" s="5"/>
      <c r="B6488" s="6"/>
      <c r="C6488" s="6"/>
      <c r="D6488" s="6"/>
      <c r="E6488" s="6"/>
      <c r="G6488" s="1"/>
      <c r="H6488" s="2"/>
    </row>
    <row r="6489" spans="1:8" x14ac:dyDescent="0.25">
      <c r="A6489" s="5"/>
      <c r="B6489" s="6"/>
      <c r="C6489" s="6"/>
      <c r="D6489" s="6"/>
      <c r="E6489" s="6"/>
      <c r="G6489" s="3"/>
      <c r="H6489" s="2"/>
    </row>
    <row r="6490" spans="1:8" x14ac:dyDescent="0.25">
      <c r="A6490" s="5"/>
      <c r="B6490" s="6"/>
      <c r="C6490" s="6"/>
      <c r="D6490" s="6"/>
      <c r="E6490" s="6"/>
      <c r="G6490" s="1"/>
      <c r="H6490" s="2"/>
    </row>
    <row r="6491" spans="1:8" x14ac:dyDescent="0.25">
      <c r="A6491" s="5"/>
      <c r="B6491" s="6"/>
      <c r="C6491" s="6"/>
      <c r="D6491" s="6"/>
      <c r="E6491" s="6"/>
      <c r="G6491" s="3"/>
      <c r="H6491" s="2"/>
    </row>
    <row r="6492" spans="1:8" x14ac:dyDescent="0.25">
      <c r="A6492" s="5"/>
      <c r="B6492" s="6"/>
      <c r="C6492" s="6"/>
      <c r="D6492" s="6"/>
      <c r="E6492" s="6"/>
      <c r="G6492" s="1"/>
      <c r="H6492" s="2"/>
    </row>
    <row r="6493" spans="1:8" x14ac:dyDescent="0.25">
      <c r="A6493" s="5"/>
      <c r="B6493" s="6"/>
      <c r="C6493" s="6"/>
      <c r="D6493" s="6"/>
      <c r="E6493" s="6"/>
      <c r="G6493" s="3"/>
      <c r="H6493" s="2"/>
    </row>
    <row r="6494" spans="1:8" x14ac:dyDescent="0.25">
      <c r="A6494" s="5"/>
      <c r="B6494" s="6"/>
      <c r="C6494" s="6"/>
      <c r="D6494" s="6"/>
      <c r="E6494" s="6"/>
      <c r="G6494" s="1"/>
      <c r="H6494" s="2"/>
    </row>
    <row r="6495" spans="1:8" x14ac:dyDescent="0.25">
      <c r="A6495" s="5"/>
      <c r="B6495" s="6"/>
      <c r="C6495" s="6"/>
      <c r="D6495" s="6"/>
      <c r="E6495" s="6"/>
      <c r="G6495" s="3"/>
      <c r="H6495" s="2"/>
    </row>
    <row r="6496" spans="1:8" x14ac:dyDescent="0.25">
      <c r="A6496" s="5"/>
      <c r="B6496" s="6"/>
      <c r="C6496" s="6"/>
      <c r="D6496" s="6"/>
      <c r="E6496" s="6"/>
      <c r="G6496" s="1"/>
      <c r="H6496" s="2"/>
    </row>
    <row r="6497" spans="1:8" x14ac:dyDescent="0.25">
      <c r="A6497" s="5"/>
      <c r="B6497" s="6"/>
      <c r="C6497" s="6"/>
      <c r="D6497" s="6"/>
      <c r="E6497" s="6"/>
      <c r="G6497" s="3"/>
      <c r="H6497" s="2"/>
    </row>
    <row r="6498" spans="1:8" x14ac:dyDescent="0.25">
      <c r="A6498" s="5"/>
      <c r="B6498" s="6"/>
      <c r="C6498" s="6"/>
      <c r="D6498" s="6"/>
      <c r="E6498" s="6"/>
      <c r="G6498" s="1"/>
      <c r="H6498" s="2"/>
    </row>
    <row r="6499" spans="1:8" x14ac:dyDescent="0.25">
      <c r="A6499" s="5"/>
      <c r="B6499" s="6"/>
      <c r="C6499" s="6"/>
      <c r="D6499" s="6"/>
      <c r="E6499" s="6"/>
      <c r="G6499" s="3"/>
      <c r="H6499" s="2"/>
    </row>
    <row r="6500" spans="1:8" x14ac:dyDescent="0.25">
      <c r="A6500" s="5"/>
      <c r="B6500" s="6"/>
      <c r="C6500" s="6"/>
      <c r="D6500" s="6"/>
      <c r="E6500" s="6"/>
      <c r="G6500" s="1"/>
      <c r="H6500" s="2"/>
    </row>
    <row r="6501" spans="1:8" x14ac:dyDescent="0.25">
      <c r="A6501" s="5"/>
      <c r="B6501" s="6"/>
      <c r="C6501" s="6"/>
      <c r="D6501" s="6"/>
      <c r="E6501" s="6"/>
      <c r="G6501" s="3"/>
      <c r="H6501" s="2"/>
    </row>
    <row r="6502" spans="1:8" x14ac:dyDescent="0.25">
      <c r="A6502" s="5"/>
      <c r="B6502" s="6"/>
      <c r="C6502" s="6"/>
      <c r="D6502" s="6"/>
      <c r="E6502" s="6"/>
      <c r="G6502" s="1"/>
      <c r="H6502" s="2"/>
    </row>
    <row r="6503" spans="1:8" x14ac:dyDescent="0.25">
      <c r="A6503" s="5"/>
      <c r="B6503" s="6"/>
      <c r="C6503" s="6"/>
      <c r="D6503" s="6"/>
      <c r="E6503" s="6"/>
      <c r="G6503" s="3"/>
      <c r="H6503" s="2"/>
    </row>
    <row r="6504" spans="1:8" x14ac:dyDescent="0.25">
      <c r="A6504" s="5"/>
      <c r="B6504" s="6"/>
      <c r="C6504" s="6"/>
      <c r="D6504" s="6"/>
      <c r="E6504" s="6"/>
      <c r="G6504" s="1"/>
      <c r="H6504" s="2"/>
    </row>
    <row r="6505" spans="1:8" x14ac:dyDescent="0.25">
      <c r="A6505" s="5"/>
      <c r="B6505" s="6"/>
      <c r="C6505" s="6"/>
      <c r="D6505" s="6"/>
      <c r="E6505" s="6"/>
      <c r="G6505" s="3"/>
      <c r="H6505" s="2"/>
    </row>
    <row r="6506" spans="1:8" x14ac:dyDescent="0.25">
      <c r="A6506" s="5"/>
      <c r="B6506" s="6"/>
      <c r="C6506" s="6"/>
      <c r="D6506" s="6"/>
      <c r="E6506" s="6"/>
      <c r="G6506" s="1"/>
      <c r="H6506" s="2"/>
    </row>
    <row r="6507" spans="1:8" x14ac:dyDescent="0.25">
      <c r="A6507" s="5"/>
      <c r="B6507" s="6"/>
      <c r="C6507" s="6"/>
      <c r="D6507" s="6"/>
      <c r="E6507" s="6"/>
      <c r="G6507" s="3"/>
      <c r="H6507" s="2"/>
    </row>
    <row r="6508" spans="1:8" x14ac:dyDescent="0.25">
      <c r="A6508" s="5"/>
      <c r="B6508" s="6"/>
      <c r="C6508" s="6"/>
      <c r="D6508" s="6"/>
      <c r="E6508" s="6"/>
      <c r="G6508" s="1"/>
      <c r="H6508" s="2"/>
    </row>
    <row r="6509" spans="1:8" x14ac:dyDescent="0.25">
      <c r="A6509" s="5"/>
      <c r="B6509" s="6"/>
      <c r="C6509" s="6"/>
      <c r="D6509" s="6"/>
      <c r="E6509" s="6"/>
      <c r="G6509" s="3"/>
      <c r="H6509" s="2"/>
    </row>
    <row r="6510" spans="1:8" x14ac:dyDescent="0.25">
      <c r="A6510" s="5"/>
      <c r="B6510" s="6"/>
      <c r="C6510" s="6"/>
      <c r="D6510" s="6"/>
      <c r="E6510" s="6"/>
      <c r="G6510" s="1"/>
      <c r="H6510" s="2"/>
    </row>
    <row r="6511" spans="1:8" x14ac:dyDescent="0.25">
      <c r="A6511" s="5"/>
      <c r="B6511" s="6"/>
      <c r="C6511" s="6"/>
      <c r="D6511" s="6"/>
      <c r="E6511" s="6"/>
      <c r="G6511" s="3"/>
      <c r="H6511" s="2"/>
    </row>
    <row r="6512" spans="1:8" x14ac:dyDescent="0.25">
      <c r="A6512" s="5"/>
      <c r="B6512" s="6"/>
      <c r="C6512" s="6"/>
      <c r="D6512" s="6"/>
      <c r="E6512" s="6"/>
      <c r="G6512" s="1"/>
      <c r="H6512" s="2"/>
    </row>
    <row r="6513" spans="1:8" x14ac:dyDescent="0.25">
      <c r="A6513" s="5"/>
      <c r="B6513" s="6"/>
      <c r="C6513" s="6"/>
      <c r="D6513" s="6"/>
      <c r="E6513" s="6"/>
      <c r="G6513" s="3"/>
      <c r="H6513" s="2"/>
    </row>
    <row r="6514" spans="1:8" x14ac:dyDescent="0.25">
      <c r="A6514" s="5"/>
      <c r="B6514" s="6"/>
      <c r="C6514" s="6"/>
      <c r="D6514" s="6"/>
      <c r="E6514" s="6"/>
      <c r="G6514" s="1"/>
      <c r="H6514" s="2"/>
    </row>
    <row r="6515" spans="1:8" x14ac:dyDescent="0.25">
      <c r="A6515" s="5"/>
      <c r="B6515" s="6"/>
      <c r="C6515" s="6"/>
      <c r="D6515" s="6"/>
      <c r="E6515" s="6"/>
      <c r="G6515" s="3"/>
      <c r="H6515" s="2"/>
    </row>
    <row r="6516" spans="1:8" x14ac:dyDescent="0.25">
      <c r="A6516" s="5"/>
      <c r="B6516" s="6"/>
      <c r="C6516" s="6"/>
      <c r="D6516" s="6"/>
      <c r="E6516" s="6"/>
      <c r="G6516" s="1"/>
      <c r="H6516" s="2"/>
    </row>
    <row r="6517" spans="1:8" x14ac:dyDescent="0.25">
      <c r="A6517" s="5"/>
      <c r="B6517" s="6"/>
      <c r="C6517" s="6"/>
      <c r="D6517" s="6"/>
      <c r="E6517" s="6"/>
      <c r="G6517" s="3"/>
      <c r="H6517" s="2"/>
    </row>
    <row r="6518" spans="1:8" x14ac:dyDescent="0.25">
      <c r="A6518" s="5"/>
      <c r="B6518" s="6"/>
      <c r="C6518" s="6"/>
      <c r="D6518" s="6"/>
      <c r="E6518" s="6"/>
      <c r="G6518" s="1"/>
      <c r="H6518" s="2"/>
    </row>
    <row r="6519" spans="1:8" x14ac:dyDescent="0.25">
      <c r="A6519" s="5"/>
      <c r="B6519" s="6"/>
      <c r="C6519" s="6"/>
      <c r="D6519" s="6"/>
      <c r="E6519" s="6"/>
      <c r="G6519" s="3"/>
      <c r="H6519" s="2"/>
    </row>
    <row r="6520" spans="1:8" x14ac:dyDescent="0.25">
      <c r="A6520" s="5"/>
      <c r="B6520" s="6"/>
      <c r="C6520" s="6"/>
      <c r="D6520" s="6"/>
      <c r="E6520" s="6"/>
      <c r="G6520" s="1"/>
      <c r="H6520" s="2"/>
    </row>
    <row r="6521" spans="1:8" x14ac:dyDescent="0.25">
      <c r="A6521" s="5"/>
      <c r="B6521" s="6"/>
      <c r="C6521" s="6"/>
      <c r="D6521" s="6"/>
      <c r="E6521" s="6"/>
      <c r="G6521" s="3"/>
      <c r="H6521" s="2"/>
    </row>
    <row r="6522" spans="1:8" x14ac:dyDescent="0.25">
      <c r="A6522" s="5"/>
      <c r="B6522" s="6"/>
      <c r="C6522" s="6"/>
      <c r="D6522" s="6"/>
      <c r="E6522" s="6"/>
      <c r="G6522" s="1"/>
      <c r="H6522" s="2"/>
    </row>
    <row r="6523" spans="1:8" x14ac:dyDescent="0.25">
      <c r="A6523" s="5"/>
      <c r="B6523" s="6"/>
      <c r="C6523" s="6"/>
      <c r="D6523" s="6"/>
      <c r="E6523" s="6"/>
      <c r="G6523" s="3"/>
      <c r="H6523" s="2"/>
    </row>
    <row r="6524" spans="1:8" x14ac:dyDescent="0.25">
      <c r="A6524" s="5"/>
      <c r="B6524" s="6"/>
      <c r="C6524" s="6"/>
      <c r="D6524" s="6"/>
      <c r="E6524" s="6"/>
      <c r="G6524" s="1"/>
      <c r="H6524" s="2"/>
    </row>
    <row r="6525" spans="1:8" x14ac:dyDescent="0.25">
      <c r="A6525" s="5"/>
      <c r="B6525" s="6"/>
      <c r="C6525" s="6"/>
      <c r="D6525" s="6"/>
      <c r="E6525" s="6"/>
      <c r="G6525" s="3"/>
      <c r="H6525" s="2"/>
    </row>
    <row r="6526" spans="1:8" x14ac:dyDescent="0.25">
      <c r="A6526" s="5"/>
      <c r="B6526" s="6"/>
      <c r="C6526" s="6"/>
      <c r="D6526" s="6"/>
      <c r="E6526" s="6"/>
      <c r="G6526" s="1"/>
      <c r="H6526" s="2"/>
    </row>
    <row r="6527" spans="1:8" x14ac:dyDescent="0.25">
      <c r="A6527" s="5"/>
      <c r="B6527" s="6"/>
      <c r="C6527" s="6"/>
      <c r="D6527" s="6"/>
      <c r="E6527" s="6"/>
      <c r="G6527" s="3"/>
      <c r="H6527" s="2"/>
    </row>
    <row r="6528" spans="1:8" x14ac:dyDescent="0.25">
      <c r="A6528" s="5"/>
      <c r="B6528" s="6"/>
      <c r="C6528" s="6"/>
      <c r="D6528" s="6"/>
      <c r="E6528" s="6"/>
      <c r="G6528" s="1"/>
      <c r="H6528" s="2"/>
    </row>
    <row r="6529" spans="1:8" x14ac:dyDescent="0.25">
      <c r="A6529" s="5"/>
      <c r="B6529" s="6"/>
      <c r="C6529" s="6"/>
      <c r="D6529" s="6"/>
      <c r="E6529" s="6"/>
      <c r="G6529" s="3"/>
      <c r="H6529" s="2"/>
    </row>
    <row r="6530" spans="1:8" x14ac:dyDescent="0.25">
      <c r="A6530" s="5"/>
      <c r="B6530" s="6"/>
      <c r="C6530" s="6"/>
      <c r="D6530" s="6"/>
      <c r="E6530" s="6"/>
      <c r="G6530" s="1"/>
      <c r="H6530" s="2"/>
    </row>
    <row r="6531" spans="1:8" x14ac:dyDescent="0.25">
      <c r="A6531" s="5"/>
      <c r="B6531" s="6"/>
      <c r="C6531" s="6"/>
      <c r="D6531" s="6"/>
      <c r="E6531" s="6"/>
      <c r="G6531" s="3"/>
      <c r="H6531" s="2"/>
    </row>
    <row r="6532" spans="1:8" x14ac:dyDescent="0.25">
      <c r="A6532" s="5"/>
      <c r="B6532" s="6"/>
      <c r="C6532" s="6"/>
      <c r="D6532" s="6"/>
      <c r="E6532" s="6"/>
      <c r="G6532" s="1"/>
      <c r="H6532" s="2"/>
    </row>
    <row r="6533" spans="1:8" x14ac:dyDescent="0.25">
      <c r="A6533" s="5"/>
      <c r="B6533" s="6"/>
      <c r="C6533" s="6"/>
      <c r="D6533" s="6"/>
      <c r="E6533" s="6"/>
      <c r="G6533" s="3"/>
      <c r="H6533" s="2"/>
    </row>
    <row r="6534" spans="1:8" x14ac:dyDescent="0.25">
      <c r="A6534" s="5"/>
      <c r="B6534" s="6"/>
      <c r="C6534" s="6"/>
      <c r="D6534" s="6"/>
      <c r="E6534" s="6"/>
      <c r="G6534" s="1"/>
      <c r="H6534" s="2"/>
    </row>
    <row r="6535" spans="1:8" x14ac:dyDescent="0.25">
      <c r="A6535" s="5"/>
      <c r="B6535" s="6"/>
      <c r="C6535" s="6"/>
      <c r="D6535" s="6"/>
      <c r="E6535" s="6"/>
      <c r="G6535" s="3"/>
      <c r="H6535" s="2"/>
    </row>
    <row r="6536" spans="1:8" x14ac:dyDescent="0.25">
      <c r="A6536" s="5"/>
      <c r="B6536" s="6"/>
      <c r="C6536" s="6"/>
      <c r="D6536" s="6"/>
      <c r="E6536" s="6"/>
      <c r="G6536" s="1"/>
      <c r="H6536" s="2"/>
    </row>
    <row r="6537" spans="1:8" x14ac:dyDescent="0.25">
      <c r="A6537" s="5"/>
      <c r="B6537" s="6"/>
      <c r="C6537" s="6"/>
      <c r="D6537" s="6"/>
      <c r="E6537" s="6"/>
      <c r="G6537" s="3"/>
      <c r="H6537" s="2"/>
    </row>
    <row r="6538" spans="1:8" x14ac:dyDescent="0.25">
      <c r="A6538" s="5"/>
      <c r="B6538" s="6"/>
      <c r="C6538" s="6"/>
      <c r="D6538" s="6"/>
      <c r="E6538" s="6"/>
      <c r="G6538" s="1"/>
      <c r="H6538" s="2"/>
    </row>
    <row r="6539" spans="1:8" x14ac:dyDescent="0.25">
      <c r="A6539" s="5"/>
      <c r="B6539" s="6"/>
      <c r="C6539" s="6"/>
      <c r="D6539" s="6"/>
      <c r="E6539" s="6"/>
      <c r="G6539" s="3"/>
      <c r="H6539" s="2"/>
    </row>
    <row r="6540" spans="1:8" x14ac:dyDescent="0.25">
      <c r="A6540" s="5"/>
      <c r="B6540" s="6"/>
      <c r="C6540" s="6"/>
      <c r="D6540" s="6"/>
      <c r="E6540" s="6"/>
      <c r="G6540" s="1"/>
      <c r="H6540" s="2"/>
    </row>
    <row r="6541" spans="1:8" x14ac:dyDescent="0.25">
      <c r="A6541" s="5"/>
      <c r="B6541" s="6"/>
      <c r="C6541" s="6"/>
      <c r="D6541" s="6"/>
      <c r="E6541" s="6"/>
      <c r="G6541" s="3"/>
      <c r="H6541" s="2"/>
    </row>
    <row r="6542" spans="1:8" x14ac:dyDescent="0.25">
      <c r="A6542" s="5"/>
      <c r="B6542" s="6"/>
      <c r="C6542" s="6"/>
      <c r="D6542" s="6"/>
      <c r="E6542" s="6"/>
      <c r="G6542" s="1"/>
      <c r="H6542" s="2"/>
    </row>
    <row r="6543" spans="1:8" x14ac:dyDescent="0.25">
      <c r="A6543" s="5"/>
      <c r="B6543" s="6"/>
      <c r="C6543" s="6"/>
      <c r="D6543" s="6"/>
      <c r="E6543" s="6"/>
      <c r="G6543" s="3"/>
      <c r="H6543" s="2"/>
    </row>
    <row r="6544" spans="1:8" x14ac:dyDescent="0.25">
      <c r="A6544" s="5"/>
      <c r="B6544" s="6"/>
      <c r="C6544" s="6"/>
      <c r="D6544" s="6"/>
      <c r="E6544" s="6"/>
      <c r="G6544" s="1"/>
      <c r="H6544" s="2"/>
    </row>
    <row r="6545" spans="1:8" x14ac:dyDescent="0.25">
      <c r="A6545" s="5"/>
      <c r="B6545" s="6"/>
      <c r="C6545" s="6"/>
      <c r="D6545" s="6"/>
      <c r="E6545" s="6"/>
      <c r="G6545" s="3"/>
      <c r="H6545" s="2"/>
    </row>
    <row r="6546" spans="1:8" x14ac:dyDescent="0.25">
      <c r="A6546" s="5"/>
      <c r="B6546" s="6"/>
      <c r="C6546" s="6"/>
      <c r="D6546" s="6"/>
      <c r="E6546" s="6"/>
      <c r="G6546" s="1"/>
      <c r="H6546" s="2"/>
    </row>
    <row r="6547" spans="1:8" x14ac:dyDescent="0.25">
      <c r="A6547" s="5"/>
      <c r="B6547" s="6"/>
      <c r="C6547" s="6"/>
      <c r="D6547" s="6"/>
      <c r="E6547" s="6"/>
      <c r="G6547" s="3"/>
      <c r="H6547" s="2"/>
    </row>
    <row r="6548" spans="1:8" x14ac:dyDescent="0.25">
      <c r="A6548" s="5"/>
      <c r="B6548" s="6"/>
      <c r="C6548" s="6"/>
      <c r="D6548" s="6"/>
      <c r="E6548" s="6"/>
      <c r="G6548" s="1"/>
      <c r="H6548" s="2"/>
    </row>
    <row r="6549" spans="1:8" x14ac:dyDescent="0.25">
      <c r="A6549" s="5"/>
      <c r="B6549" s="6"/>
      <c r="C6549" s="6"/>
      <c r="D6549" s="6"/>
      <c r="E6549" s="6"/>
      <c r="G6549" s="3"/>
      <c r="H6549" s="2"/>
    </row>
    <row r="6550" spans="1:8" x14ac:dyDescent="0.25">
      <c r="A6550" s="5"/>
      <c r="B6550" s="6"/>
      <c r="C6550" s="6"/>
      <c r="D6550" s="6"/>
      <c r="E6550" s="6"/>
      <c r="G6550" s="1"/>
      <c r="H6550" s="2"/>
    </row>
    <row r="6551" spans="1:8" x14ac:dyDescent="0.25">
      <c r="A6551" s="5"/>
      <c r="B6551" s="6"/>
      <c r="C6551" s="6"/>
      <c r="D6551" s="6"/>
      <c r="E6551" s="6"/>
      <c r="G6551" s="3"/>
      <c r="H6551" s="2"/>
    </row>
    <row r="6552" spans="1:8" x14ac:dyDescent="0.25">
      <c r="A6552" s="5"/>
      <c r="B6552" s="6"/>
      <c r="C6552" s="6"/>
      <c r="D6552" s="6"/>
      <c r="E6552" s="6"/>
      <c r="G6552" s="1"/>
      <c r="H6552" s="2"/>
    </row>
    <row r="6553" spans="1:8" x14ac:dyDescent="0.25">
      <c r="A6553" s="5"/>
      <c r="B6553" s="6"/>
      <c r="C6553" s="6"/>
      <c r="D6553" s="6"/>
      <c r="E6553" s="6"/>
      <c r="G6553" s="3"/>
      <c r="H6553" s="2"/>
    </row>
    <row r="6554" spans="1:8" x14ac:dyDescent="0.25">
      <c r="A6554" s="5"/>
      <c r="B6554" s="6"/>
      <c r="C6554" s="6"/>
      <c r="D6554" s="6"/>
      <c r="E6554" s="6"/>
      <c r="G6554" s="1"/>
      <c r="H6554" s="2"/>
    </row>
    <row r="6555" spans="1:8" x14ac:dyDescent="0.25">
      <c r="A6555" s="5"/>
      <c r="B6555" s="6"/>
      <c r="C6555" s="6"/>
      <c r="D6555" s="6"/>
      <c r="E6555" s="6"/>
      <c r="G6555" s="3"/>
      <c r="H6555" s="2"/>
    </row>
    <row r="6556" spans="1:8" x14ac:dyDescent="0.25">
      <c r="A6556" s="5"/>
      <c r="B6556" s="6"/>
      <c r="C6556" s="6"/>
      <c r="D6556" s="6"/>
      <c r="E6556" s="6"/>
      <c r="G6556" s="1"/>
      <c r="H6556" s="2"/>
    </row>
    <row r="6557" spans="1:8" x14ac:dyDescent="0.25">
      <c r="A6557" s="5"/>
      <c r="B6557" s="6"/>
      <c r="C6557" s="6"/>
      <c r="D6557" s="6"/>
      <c r="E6557" s="6"/>
      <c r="G6557" s="3"/>
      <c r="H6557" s="2"/>
    </row>
    <row r="6558" spans="1:8" x14ac:dyDescent="0.25">
      <c r="A6558" s="5"/>
      <c r="B6558" s="6"/>
      <c r="C6558" s="6"/>
      <c r="D6558" s="6"/>
      <c r="E6558" s="6"/>
      <c r="G6558" s="1"/>
      <c r="H6558" s="2"/>
    </row>
    <row r="6559" spans="1:8" x14ac:dyDescent="0.25">
      <c r="A6559" s="5"/>
      <c r="B6559" s="6"/>
      <c r="C6559" s="6"/>
      <c r="D6559" s="6"/>
      <c r="E6559" s="6"/>
      <c r="G6559" s="3"/>
      <c r="H6559" s="2"/>
    </row>
    <row r="6560" spans="1:8" x14ac:dyDescent="0.25">
      <c r="A6560" s="5"/>
      <c r="B6560" s="6"/>
      <c r="C6560" s="6"/>
      <c r="D6560" s="6"/>
      <c r="E6560" s="6"/>
      <c r="G6560" s="1"/>
      <c r="H6560" s="2"/>
    </row>
    <row r="6561" spans="1:8" x14ac:dyDescent="0.25">
      <c r="A6561" s="5"/>
      <c r="B6561" s="6"/>
      <c r="C6561" s="6"/>
      <c r="D6561" s="6"/>
      <c r="E6561" s="6"/>
      <c r="G6561" s="3"/>
      <c r="H6561" s="2"/>
    </row>
    <row r="6562" spans="1:8" x14ac:dyDescent="0.25">
      <c r="A6562" s="5"/>
      <c r="B6562" s="6"/>
      <c r="C6562" s="6"/>
      <c r="D6562" s="6"/>
      <c r="E6562" s="6"/>
      <c r="G6562" s="1"/>
      <c r="H6562" s="2"/>
    </row>
    <row r="6563" spans="1:8" x14ac:dyDescent="0.25">
      <c r="A6563" s="5"/>
      <c r="B6563" s="6"/>
      <c r="C6563" s="6"/>
      <c r="D6563" s="6"/>
      <c r="E6563" s="6"/>
      <c r="G6563" s="3"/>
      <c r="H6563" s="2"/>
    </row>
    <row r="6564" spans="1:8" x14ac:dyDescent="0.25">
      <c r="A6564" s="5"/>
      <c r="B6564" s="6"/>
      <c r="C6564" s="6"/>
      <c r="D6564" s="6"/>
      <c r="E6564" s="6"/>
      <c r="G6564" s="1"/>
      <c r="H6564" s="2"/>
    </row>
    <row r="6565" spans="1:8" x14ac:dyDescent="0.25">
      <c r="A6565" s="5"/>
      <c r="B6565" s="6"/>
      <c r="C6565" s="6"/>
      <c r="D6565" s="6"/>
      <c r="E6565" s="6"/>
      <c r="G6565" s="3"/>
      <c r="H6565" s="2"/>
    </row>
    <row r="6566" spans="1:8" x14ac:dyDescent="0.25">
      <c r="A6566" s="5"/>
      <c r="B6566" s="6"/>
      <c r="C6566" s="6"/>
      <c r="D6566" s="6"/>
      <c r="E6566" s="6"/>
      <c r="G6566" s="1"/>
      <c r="H6566" s="2"/>
    </row>
    <row r="6567" spans="1:8" x14ac:dyDescent="0.25">
      <c r="A6567" s="5"/>
      <c r="B6567" s="6"/>
      <c r="C6567" s="6"/>
      <c r="D6567" s="6"/>
      <c r="E6567" s="6"/>
      <c r="G6567" s="3"/>
      <c r="H6567" s="2"/>
    </row>
    <row r="6568" spans="1:8" x14ac:dyDescent="0.25">
      <c r="A6568" s="5"/>
      <c r="B6568" s="6"/>
      <c r="C6568" s="6"/>
      <c r="D6568" s="6"/>
      <c r="E6568" s="6"/>
      <c r="G6568" s="1"/>
      <c r="H6568" s="2"/>
    </row>
    <row r="6569" spans="1:8" x14ac:dyDescent="0.25">
      <c r="A6569" s="5"/>
      <c r="B6569" s="6"/>
      <c r="C6569" s="6"/>
      <c r="D6569" s="6"/>
      <c r="E6569" s="6"/>
      <c r="G6569" s="3"/>
      <c r="H6569" s="2"/>
    </row>
    <row r="6570" spans="1:8" x14ac:dyDescent="0.25">
      <c r="A6570" s="5"/>
      <c r="B6570" s="6"/>
      <c r="C6570" s="6"/>
      <c r="D6570" s="6"/>
      <c r="E6570" s="6"/>
      <c r="G6570" s="1"/>
      <c r="H6570" s="2"/>
    </row>
    <row r="6571" spans="1:8" x14ac:dyDescent="0.25">
      <c r="A6571" s="5"/>
      <c r="B6571" s="6"/>
      <c r="C6571" s="6"/>
      <c r="D6571" s="6"/>
      <c r="E6571" s="6"/>
      <c r="G6571" s="3"/>
      <c r="H6571" s="2"/>
    </row>
    <row r="6572" spans="1:8" x14ac:dyDescent="0.25">
      <c r="A6572" s="5"/>
      <c r="B6572" s="6"/>
      <c r="C6572" s="6"/>
      <c r="D6572" s="6"/>
      <c r="E6572" s="6"/>
      <c r="G6572" s="1"/>
      <c r="H6572" s="2"/>
    </row>
    <row r="6573" spans="1:8" x14ac:dyDescent="0.25">
      <c r="A6573" s="5"/>
      <c r="B6573" s="6"/>
      <c r="C6573" s="6"/>
      <c r="D6573" s="6"/>
      <c r="E6573" s="6"/>
      <c r="G6573" s="3"/>
      <c r="H6573" s="2"/>
    </row>
    <row r="6574" spans="1:8" x14ac:dyDescent="0.25">
      <c r="A6574" s="5"/>
      <c r="B6574" s="6"/>
      <c r="C6574" s="6"/>
      <c r="D6574" s="6"/>
      <c r="E6574" s="6"/>
      <c r="G6574" s="1"/>
      <c r="H6574" s="2"/>
    </row>
    <row r="6575" spans="1:8" x14ac:dyDescent="0.25">
      <c r="A6575" s="5"/>
      <c r="B6575" s="6"/>
      <c r="C6575" s="6"/>
      <c r="D6575" s="6"/>
      <c r="E6575" s="6"/>
      <c r="G6575" s="3"/>
      <c r="H6575" s="2"/>
    </row>
    <row r="6576" spans="1:8" x14ac:dyDescent="0.25">
      <c r="A6576" s="5"/>
      <c r="B6576" s="6"/>
      <c r="C6576" s="6"/>
      <c r="D6576" s="6"/>
      <c r="E6576" s="6"/>
      <c r="G6576" s="1"/>
      <c r="H6576" s="2"/>
    </row>
    <row r="6577" spans="1:8" x14ac:dyDescent="0.25">
      <c r="A6577" s="5"/>
      <c r="B6577" s="6"/>
      <c r="C6577" s="6"/>
      <c r="D6577" s="6"/>
      <c r="E6577" s="6"/>
      <c r="G6577" s="3"/>
      <c r="H6577" s="2"/>
    </row>
    <row r="6578" spans="1:8" x14ac:dyDescent="0.25">
      <c r="A6578" s="5"/>
      <c r="B6578" s="6"/>
      <c r="C6578" s="6"/>
      <c r="D6578" s="6"/>
      <c r="E6578" s="6"/>
      <c r="G6578" s="1"/>
      <c r="H6578" s="2"/>
    </row>
    <row r="6579" spans="1:8" x14ac:dyDescent="0.25">
      <c r="A6579" s="5"/>
      <c r="B6579" s="6"/>
      <c r="C6579" s="6"/>
      <c r="D6579" s="6"/>
      <c r="E6579" s="6"/>
      <c r="G6579" s="3"/>
      <c r="H6579" s="2"/>
    </row>
    <row r="6580" spans="1:8" x14ac:dyDescent="0.25">
      <c r="A6580" s="5"/>
      <c r="B6580" s="6"/>
      <c r="C6580" s="6"/>
      <c r="D6580" s="6"/>
      <c r="E6580" s="6"/>
      <c r="G6580" s="1"/>
      <c r="H6580" s="2"/>
    </row>
    <row r="6581" spans="1:8" x14ac:dyDescent="0.25">
      <c r="A6581" s="5"/>
      <c r="B6581" s="6"/>
      <c r="C6581" s="6"/>
      <c r="D6581" s="6"/>
      <c r="E6581" s="6"/>
      <c r="G6581" s="3"/>
      <c r="H6581" s="2"/>
    </row>
    <row r="6582" spans="1:8" x14ac:dyDescent="0.25">
      <c r="A6582" s="5"/>
      <c r="B6582" s="6"/>
      <c r="C6582" s="6"/>
      <c r="D6582" s="6"/>
      <c r="E6582" s="6"/>
      <c r="G6582" s="1"/>
      <c r="H6582" s="2"/>
    </row>
    <row r="6583" spans="1:8" x14ac:dyDescent="0.25">
      <c r="A6583" s="5"/>
      <c r="B6583" s="6"/>
      <c r="C6583" s="6"/>
      <c r="D6583" s="6"/>
      <c r="E6583" s="6"/>
      <c r="G6583" s="3"/>
      <c r="H6583" s="2"/>
    </row>
    <row r="6584" spans="1:8" x14ac:dyDescent="0.25">
      <c r="A6584" s="5"/>
      <c r="B6584" s="6"/>
      <c r="C6584" s="6"/>
      <c r="D6584" s="6"/>
      <c r="E6584" s="6"/>
      <c r="G6584" s="1"/>
      <c r="H6584" s="2"/>
    </row>
    <row r="6585" spans="1:8" x14ac:dyDescent="0.25">
      <c r="A6585" s="5"/>
      <c r="B6585" s="6"/>
      <c r="C6585" s="6"/>
      <c r="D6585" s="6"/>
      <c r="E6585" s="6"/>
      <c r="G6585" s="3"/>
      <c r="H6585" s="2"/>
    </row>
    <row r="6586" spans="1:8" x14ac:dyDescent="0.25">
      <c r="A6586" s="5"/>
      <c r="B6586" s="6"/>
      <c r="C6586" s="6"/>
      <c r="D6586" s="6"/>
      <c r="E6586" s="6"/>
      <c r="G6586" s="1"/>
      <c r="H6586" s="2"/>
    </row>
    <row r="6587" spans="1:8" x14ac:dyDescent="0.25">
      <c r="A6587" s="5"/>
      <c r="B6587" s="6"/>
      <c r="C6587" s="6"/>
      <c r="D6587" s="6"/>
      <c r="E6587" s="6"/>
      <c r="G6587" s="3"/>
      <c r="H6587" s="2"/>
    </row>
    <row r="6588" spans="1:8" x14ac:dyDescent="0.25">
      <c r="A6588" s="5"/>
      <c r="B6588" s="6"/>
      <c r="C6588" s="6"/>
      <c r="D6588" s="6"/>
      <c r="E6588" s="6"/>
      <c r="G6588" s="1"/>
      <c r="H6588" s="2"/>
    </row>
    <row r="6589" spans="1:8" x14ac:dyDescent="0.25">
      <c r="A6589" s="5"/>
      <c r="B6589" s="6"/>
      <c r="C6589" s="6"/>
      <c r="D6589" s="6"/>
      <c r="E6589" s="6"/>
      <c r="G6589" s="3"/>
      <c r="H6589" s="2"/>
    </row>
    <row r="6590" spans="1:8" x14ac:dyDescent="0.25">
      <c r="A6590" s="5"/>
      <c r="B6590" s="6"/>
      <c r="C6590" s="6"/>
      <c r="D6590" s="6"/>
      <c r="E6590" s="6"/>
      <c r="G6590" s="1"/>
      <c r="H6590" s="2"/>
    </row>
    <row r="6591" spans="1:8" x14ac:dyDescent="0.25">
      <c r="A6591" s="5"/>
      <c r="B6591" s="6"/>
      <c r="C6591" s="6"/>
      <c r="D6591" s="6"/>
      <c r="E6591" s="6"/>
      <c r="G6591" s="3"/>
      <c r="H6591" s="2"/>
    </row>
    <row r="6592" spans="1:8" x14ac:dyDescent="0.25">
      <c r="A6592" s="5"/>
      <c r="B6592" s="6"/>
      <c r="C6592" s="6"/>
      <c r="D6592" s="6"/>
      <c r="E6592" s="6"/>
      <c r="G6592" s="1"/>
      <c r="H6592" s="2"/>
    </row>
    <row r="6593" spans="1:8" x14ac:dyDescent="0.25">
      <c r="A6593" s="5"/>
      <c r="B6593" s="6"/>
      <c r="C6593" s="6"/>
      <c r="D6593" s="6"/>
      <c r="E6593" s="6"/>
      <c r="G6593" s="3"/>
      <c r="H6593" s="2"/>
    </row>
    <row r="6594" spans="1:8" x14ac:dyDescent="0.25">
      <c r="A6594" s="5"/>
      <c r="B6594" s="6"/>
      <c r="C6594" s="6"/>
      <c r="D6594" s="6"/>
      <c r="E6594" s="6"/>
      <c r="G6594" s="1"/>
      <c r="H6594" s="2"/>
    </row>
    <row r="6595" spans="1:8" x14ac:dyDescent="0.25">
      <c r="A6595" s="5"/>
      <c r="B6595" s="6"/>
      <c r="C6595" s="6"/>
      <c r="D6595" s="6"/>
      <c r="E6595" s="6"/>
      <c r="G6595" s="3"/>
      <c r="H6595" s="2"/>
    </row>
    <row r="6596" spans="1:8" x14ac:dyDescent="0.25">
      <c r="A6596" s="5"/>
      <c r="B6596" s="6"/>
      <c r="C6596" s="6"/>
      <c r="D6596" s="6"/>
      <c r="E6596" s="6"/>
      <c r="G6596" s="1"/>
      <c r="H6596" s="2"/>
    </row>
    <row r="6597" spans="1:8" x14ac:dyDescent="0.25">
      <c r="A6597" s="5"/>
      <c r="B6597" s="6"/>
      <c r="C6597" s="6"/>
      <c r="D6597" s="6"/>
      <c r="E6597" s="6"/>
      <c r="G6597" s="3"/>
      <c r="H6597" s="2"/>
    </row>
    <row r="6598" spans="1:8" x14ac:dyDescent="0.25">
      <c r="A6598" s="5"/>
      <c r="B6598" s="6"/>
      <c r="C6598" s="6"/>
      <c r="D6598" s="6"/>
      <c r="E6598" s="6"/>
      <c r="G6598" s="1"/>
      <c r="H6598" s="2"/>
    </row>
    <row r="6599" spans="1:8" x14ac:dyDescent="0.25">
      <c r="A6599" s="5"/>
      <c r="B6599" s="6"/>
      <c r="C6599" s="6"/>
      <c r="D6599" s="6"/>
      <c r="E6599" s="6"/>
      <c r="G6599" s="3"/>
      <c r="H6599" s="2"/>
    </row>
    <row r="6600" spans="1:8" x14ac:dyDescent="0.25">
      <c r="A6600" s="5"/>
      <c r="B6600" s="6"/>
      <c r="C6600" s="6"/>
      <c r="D6600" s="6"/>
      <c r="E6600" s="6"/>
      <c r="G6600" s="1"/>
      <c r="H6600" s="2"/>
    </row>
    <row r="6601" spans="1:8" x14ac:dyDescent="0.25">
      <c r="A6601" s="5"/>
      <c r="B6601" s="6"/>
      <c r="C6601" s="6"/>
      <c r="D6601" s="6"/>
      <c r="E6601" s="6"/>
      <c r="G6601" s="3"/>
      <c r="H6601" s="2"/>
    </row>
    <row r="6602" spans="1:8" x14ac:dyDescent="0.25">
      <c r="A6602" s="5"/>
      <c r="B6602" s="6"/>
      <c r="C6602" s="6"/>
      <c r="D6602" s="6"/>
      <c r="E6602" s="6"/>
      <c r="G6602" s="1"/>
      <c r="H6602" s="2"/>
    </row>
    <row r="6603" spans="1:8" x14ac:dyDescent="0.25">
      <c r="A6603" s="5"/>
      <c r="B6603" s="6"/>
      <c r="C6603" s="6"/>
      <c r="D6603" s="6"/>
      <c r="E6603" s="6"/>
      <c r="G6603" s="3"/>
      <c r="H6603" s="2"/>
    </row>
    <row r="6604" spans="1:8" x14ac:dyDescent="0.25">
      <c r="A6604" s="5"/>
      <c r="B6604" s="6"/>
      <c r="C6604" s="6"/>
      <c r="D6604" s="6"/>
      <c r="E6604" s="6"/>
      <c r="G6604" s="1"/>
      <c r="H6604" s="2"/>
    </row>
    <row r="6605" spans="1:8" x14ac:dyDescent="0.25">
      <c r="A6605" s="5"/>
      <c r="B6605" s="6"/>
      <c r="C6605" s="6"/>
      <c r="D6605" s="6"/>
      <c r="E6605" s="6"/>
      <c r="G6605" s="3"/>
      <c r="H6605" s="2"/>
    </row>
    <row r="6606" spans="1:8" x14ac:dyDescent="0.25">
      <c r="A6606" s="5"/>
      <c r="B6606" s="6"/>
      <c r="C6606" s="6"/>
      <c r="D6606" s="6"/>
      <c r="E6606" s="6"/>
      <c r="G6606" s="1"/>
      <c r="H6606" s="2"/>
    </row>
    <row r="6607" spans="1:8" x14ac:dyDescent="0.25">
      <c r="A6607" s="5"/>
      <c r="B6607" s="6"/>
      <c r="C6607" s="6"/>
      <c r="D6607" s="6"/>
      <c r="E6607" s="6"/>
      <c r="G6607" s="3"/>
      <c r="H6607" s="2"/>
    </row>
    <row r="6608" spans="1:8" x14ac:dyDescent="0.25">
      <c r="A6608" s="5"/>
      <c r="B6608" s="6"/>
      <c r="C6608" s="6"/>
      <c r="D6608" s="6"/>
      <c r="E6608" s="6"/>
      <c r="G6608" s="1"/>
      <c r="H6608" s="2"/>
    </row>
    <row r="6609" spans="1:8" x14ac:dyDescent="0.25">
      <c r="A6609" s="5"/>
      <c r="B6609" s="6"/>
      <c r="C6609" s="6"/>
      <c r="D6609" s="6"/>
      <c r="E6609" s="6"/>
      <c r="G6609" s="3"/>
      <c r="H6609" s="2"/>
    </row>
    <row r="6610" spans="1:8" x14ac:dyDescent="0.25">
      <c r="A6610" s="5"/>
      <c r="B6610" s="6"/>
      <c r="C6610" s="6"/>
      <c r="D6610" s="6"/>
      <c r="E6610" s="6"/>
      <c r="G6610" s="1"/>
      <c r="H6610" s="2"/>
    </row>
    <row r="6611" spans="1:8" x14ac:dyDescent="0.25">
      <c r="A6611" s="5"/>
      <c r="B6611" s="6"/>
      <c r="C6611" s="6"/>
      <c r="D6611" s="6"/>
      <c r="E6611" s="6"/>
      <c r="G6611" s="3"/>
      <c r="H6611" s="2"/>
    </row>
    <row r="6612" spans="1:8" x14ac:dyDescent="0.25">
      <c r="A6612" s="5"/>
      <c r="B6612" s="6"/>
      <c r="C6612" s="6"/>
      <c r="D6612" s="6"/>
      <c r="E6612" s="6"/>
      <c r="G6612" s="1"/>
      <c r="H6612" s="2"/>
    </row>
    <row r="6613" spans="1:8" x14ac:dyDescent="0.25">
      <c r="A6613" s="5"/>
      <c r="B6613" s="6"/>
      <c r="C6613" s="6"/>
      <c r="D6613" s="6"/>
      <c r="E6613" s="6"/>
      <c r="G6613" s="3"/>
      <c r="H6613" s="2"/>
    </row>
    <row r="6614" spans="1:8" x14ac:dyDescent="0.25">
      <c r="A6614" s="5"/>
      <c r="B6614" s="6"/>
      <c r="C6614" s="6"/>
      <c r="D6614" s="6"/>
      <c r="E6614" s="6"/>
      <c r="G6614" s="1"/>
      <c r="H6614" s="2"/>
    </row>
    <row r="6615" spans="1:8" x14ac:dyDescent="0.25">
      <c r="A6615" s="5"/>
      <c r="B6615" s="6"/>
      <c r="C6615" s="6"/>
      <c r="D6615" s="6"/>
      <c r="E6615" s="6"/>
      <c r="G6615" s="3"/>
      <c r="H6615" s="2"/>
    </row>
    <row r="6616" spans="1:8" x14ac:dyDescent="0.25">
      <c r="A6616" s="5"/>
      <c r="B6616" s="6"/>
      <c r="C6616" s="6"/>
      <c r="D6616" s="6"/>
      <c r="E6616" s="6"/>
      <c r="G6616" s="1"/>
      <c r="H6616" s="2"/>
    </row>
    <row r="6617" spans="1:8" x14ac:dyDescent="0.25">
      <c r="A6617" s="5"/>
      <c r="B6617" s="6"/>
      <c r="C6617" s="6"/>
      <c r="D6617" s="6"/>
      <c r="E6617" s="6"/>
      <c r="G6617" s="3"/>
      <c r="H6617" s="2"/>
    </row>
    <row r="6618" spans="1:8" x14ac:dyDescent="0.25">
      <c r="A6618" s="5"/>
      <c r="B6618" s="6"/>
      <c r="C6618" s="6"/>
      <c r="D6618" s="6"/>
      <c r="E6618" s="6"/>
      <c r="G6618" s="1"/>
      <c r="H6618" s="2"/>
    </row>
    <row r="6619" spans="1:8" x14ac:dyDescent="0.25">
      <c r="A6619" s="5"/>
      <c r="B6619" s="6"/>
      <c r="C6619" s="6"/>
      <c r="D6619" s="6"/>
      <c r="E6619" s="6"/>
      <c r="G6619" s="3"/>
      <c r="H6619" s="2"/>
    </row>
    <row r="6620" spans="1:8" x14ac:dyDescent="0.25">
      <c r="A6620" s="5"/>
      <c r="B6620" s="6"/>
      <c r="C6620" s="6"/>
      <c r="D6620" s="6"/>
      <c r="E6620" s="6"/>
      <c r="G6620" s="1"/>
      <c r="H6620" s="2"/>
    </row>
    <row r="6621" spans="1:8" x14ac:dyDescent="0.25">
      <c r="A6621" s="5"/>
      <c r="B6621" s="6"/>
      <c r="C6621" s="6"/>
      <c r="D6621" s="6"/>
      <c r="E6621" s="6"/>
      <c r="G6621" s="3"/>
      <c r="H6621" s="2"/>
    </row>
    <row r="6622" spans="1:8" x14ac:dyDescent="0.25">
      <c r="A6622" s="5"/>
      <c r="B6622" s="6"/>
      <c r="C6622" s="6"/>
      <c r="D6622" s="6"/>
      <c r="E6622" s="6"/>
      <c r="G6622" s="1"/>
      <c r="H6622" s="2"/>
    </row>
    <row r="6623" spans="1:8" x14ac:dyDescent="0.25">
      <c r="A6623" s="5"/>
      <c r="B6623" s="6"/>
      <c r="C6623" s="6"/>
      <c r="D6623" s="6"/>
      <c r="E6623" s="6"/>
      <c r="G6623" s="3"/>
      <c r="H6623" s="2"/>
    </row>
    <row r="6624" spans="1:8" x14ac:dyDescent="0.25">
      <c r="A6624" s="5"/>
      <c r="B6624" s="6"/>
      <c r="C6624" s="6"/>
      <c r="D6624" s="6"/>
      <c r="E6624" s="6"/>
      <c r="G6624" s="1"/>
      <c r="H6624" s="2"/>
    </row>
    <row r="6625" spans="1:8" x14ac:dyDescent="0.25">
      <c r="A6625" s="5"/>
      <c r="B6625" s="6"/>
      <c r="C6625" s="6"/>
      <c r="D6625" s="6"/>
      <c r="E6625" s="6"/>
      <c r="G6625" s="14"/>
      <c r="H6625" s="2"/>
    </row>
    <row r="6626" spans="1:8" x14ac:dyDescent="0.25">
      <c r="A6626" s="5"/>
      <c r="B6626" s="6"/>
      <c r="C6626" s="6"/>
      <c r="D6626" s="6"/>
      <c r="E6626" s="6"/>
      <c r="G6626" s="14"/>
      <c r="H6626" s="2"/>
    </row>
    <row r="6627" spans="1:8" x14ac:dyDescent="0.25">
      <c r="A6627" s="5"/>
      <c r="B6627" s="6"/>
      <c r="C6627" s="6"/>
      <c r="D6627" s="6"/>
      <c r="E6627" s="6"/>
      <c r="G6627" s="14"/>
      <c r="H6627" s="2"/>
    </row>
    <row r="6628" spans="1:8" x14ac:dyDescent="0.25">
      <c r="A6628" s="5"/>
      <c r="B6628" s="6"/>
      <c r="C6628" s="6"/>
      <c r="D6628" s="6"/>
      <c r="E6628" s="6"/>
      <c r="G6628" s="14"/>
      <c r="H6628" s="2"/>
    </row>
    <row r="6629" spans="1:8" x14ac:dyDescent="0.25">
      <c r="A6629" s="5"/>
      <c r="B6629" s="6"/>
      <c r="C6629" s="6"/>
      <c r="D6629" s="6"/>
      <c r="E6629" s="6"/>
      <c r="G6629" s="14"/>
      <c r="H6629" s="2"/>
    </row>
    <row r="6630" spans="1:8" x14ac:dyDescent="0.25">
      <c r="A6630" s="5"/>
      <c r="B6630" s="6"/>
      <c r="C6630" s="6"/>
      <c r="D6630" s="6"/>
      <c r="E6630" s="6"/>
      <c r="G6630" s="14"/>
      <c r="H6630" s="2"/>
    </row>
    <row r="6631" spans="1:8" x14ac:dyDescent="0.25">
      <c r="A6631" s="5"/>
      <c r="B6631" s="6"/>
      <c r="C6631" s="6"/>
      <c r="D6631" s="6"/>
      <c r="E6631" s="6"/>
    </row>
    <row r="6632" spans="1:8" x14ac:dyDescent="0.25">
      <c r="A6632" s="5"/>
      <c r="B6632" s="6"/>
      <c r="C6632" s="6"/>
      <c r="D6632" s="6"/>
      <c r="E6632" s="6"/>
      <c r="G6632" s="3"/>
      <c r="H6632" s="2"/>
    </row>
    <row r="6633" spans="1:8" x14ac:dyDescent="0.25">
      <c r="A6633" s="5"/>
      <c r="B6633" s="6"/>
      <c r="C6633" s="6"/>
      <c r="D6633" s="6"/>
      <c r="E6633" s="6"/>
      <c r="G6633" s="1"/>
      <c r="H6633" s="2"/>
    </row>
    <row r="6634" spans="1:8" x14ac:dyDescent="0.25">
      <c r="A6634" s="5"/>
      <c r="B6634" s="6"/>
      <c r="C6634" s="6"/>
      <c r="D6634" s="6"/>
      <c r="E6634" s="6"/>
      <c r="G6634" s="3"/>
      <c r="H6634" s="2"/>
    </row>
    <row r="6635" spans="1:8" x14ac:dyDescent="0.25">
      <c r="A6635" s="5"/>
      <c r="B6635" s="6"/>
      <c r="C6635" s="6"/>
      <c r="D6635" s="6"/>
      <c r="E6635" s="6"/>
      <c r="G6635" s="1"/>
      <c r="H6635" s="2"/>
    </row>
    <row r="6636" spans="1:8" x14ac:dyDescent="0.25">
      <c r="A6636" s="5"/>
      <c r="B6636" s="6"/>
      <c r="C6636" s="6"/>
      <c r="D6636" s="6"/>
      <c r="E6636" s="6"/>
      <c r="G6636" s="3"/>
      <c r="H6636" s="2"/>
    </row>
    <row r="6637" spans="1:8" x14ac:dyDescent="0.25">
      <c r="A6637" s="5"/>
      <c r="B6637" s="6"/>
      <c r="C6637" s="6"/>
      <c r="D6637" s="6"/>
      <c r="E6637" s="6"/>
      <c r="G6637" s="1"/>
      <c r="H6637" s="2"/>
    </row>
    <row r="6638" spans="1:8" x14ac:dyDescent="0.25">
      <c r="A6638" s="5"/>
      <c r="B6638" s="6"/>
      <c r="C6638" s="6"/>
      <c r="D6638" s="6"/>
      <c r="E6638" s="6"/>
      <c r="G6638" s="3"/>
      <c r="H6638" s="2"/>
    </row>
    <row r="6639" spans="1:8" x14ac:dyDescent="0.25">
      <c r="A6639" s="5"/>
      <c r="B6639" s="6"/>
      <c r="C6639" s="6"/>
      <c r="D6639" s="6"/>
      <c r="E6639" s="6"/>
      <c r="G6639" s="1"/>
      <c r="H6639" s="2"/>
    </row>
    <row r="6640" spans="1:8" x14ac:dyDescent="0.25">
      <c r="A6640" s="5"/>
      <c r="B6640" s="6"/>
      <c r="C6640" s="6"/>
      <c r="D6640" s="6"/>
      <c r="E6640" s="6"/>
      <c r="G6640" s="3"/>
      <c r="H6640" s="2"/>
    </row>
    <row r="6641" spans="1:8" x14ac:dyDescent="0.25">
      <c r="A6641" s="5"/>
      <c r="B6641" s="6"/>
      <c r="C6641" s="6"/>
      <c r="D6641" s="6"/>
      <c r="E6641" s="6"/>
      <c r="G6641" s="1"/>
      <c r="H6641" s="2"/>
    </row>
    <row r="6642" spans="1:8" x14ac:dyDescent="0.25">
      <c r="A6642" s="5"/>
      <c r="B6642" s="6"/>
      <c r="C6642" s="6"/>
      <c r="D6642" s="6"/>
      <c r="E6642" s="6"/>
      <c r="G6642" s="3"/>
      <c r="H6642" s="2"/>
    </row>
    <row r="6643" spans="1:8" x14ac:dyDescent="0.25">
      <c r="A6643" s="5"/>
      <c r="B6643" s="6"/>
      <c r="C6643" s="6"/>
      <c r="D6643" s="6"/>
      <c r="E6643" s="6"/>
      <c r="G6643" s="1"/>
      <c r="H6643" s="2"/>
    </row>
    <row r="6644" spans="1:8" x14ac:dyDescent="0.25">
      <c r="A6644" s="5"/>
      <c r="B6644" s="6"/>
      <c r="C6644" s="6"/>
      <c r="D6644" s="6"/>
      <c r="E6644" s="6"/>
      <c r="G6644" s="3"/>
      <c r="H6644" s="2"/>
    </row>
    <row r="6645" spans="1:8" x14ac:dyDescent="0.25">
      <c r="A6645" s="5"/>
      <c r="B6645" s="6"/>
      <c r="C6645" s="6"/>
      <c r="D6645" s="6"/>
      <c r="E6645" s="6"/>
      <c r="G6645" s="1"/>
      <c r="H6645" s="2"/>
    </row>
    <row r="6646" spans="1:8" x14ac:dyDescent="0.25">
      <c r="A6646" s="5"/>
      <c r="B6646" s="6"/>
      <c r="C6646" s="6"/>
      <c r="D6646" s="6"/>
      <c r="E6646" s="6"/>
      <c r="G6646" s="3"/>
      <c r="H6646" s="2"/>
    </row>
    <row r="6647" spans="1:8" x14ac:dyDescent="0.25">
      <c r="A6647" s="5"/>
      <c r="B6647" s="6"/>
      <c r="C6647" s="6"/>
      <c r="D6647" s="6"/>
      <c r="E6647" s="6"/>
      <c r="G6647" s="1"/>
      <c r="H6647" s="2"/>
    </row>
    <row r="6648" spans="1:8" x14ac:dyDescent="0.25">
      <c r="A6648" s="5"/>
      <c r="B6648" s="6"/>
      <c r="C6648" s="6"/>
      <c r="D6648" s="6"/>
      <c r="E6648" s="6"/>
      <c r="G6648" s="3"/>
      <c r="H6648" s="2"/>
    </row>
    <row r="6649" spans="1:8" x14ac:dyDescent="0.25">
      <c r="A6649" s="5"/>
      <c r="B6649" s="6"/>
      <c r="C6649" s="6"/>
      <c r="D6649" s="6"/>
      <c r="E6649" s="6"/>
      <c r="G6649" s="1"/>
      <c r="H6649" s="2"/>
    </row>
    <row r="6650" spans="1:8" x14ac:dyDescent="0.25">
      <c r="A6650" s="5"/>
      <c r="B6650" s="6"/>
      <c r="C6650" s="6"/>
      <c r="D6650" s="6"/>
      <c r="E6650" s="6"/>
      <c r="G6650" s="3"/>
      <c r="H6650" s="2"/>
    </row>
    <row r="6651" spans="1:8" x14ac:dyDescent="0.25">
      <c r="A6651" s="5"/>
      <c r="B6651" s="6"/>
      <c r="C6651" s="6"/>
      <c r="D6651" s="6"/>
      <c r="E6651" s="6"/>
      <c r="G6651" s="1"/>
      <c r="H6651" s="2"/>
    </row>
    <row r="6652" spans="1:8" x14ac:dyDescent="0.25">
      <c r="A6652" s="5"/>
      <c r="B6652" s="6"/>
      <c r="C6652" s="6"/>
      <c r="D6652" s="6"/>
      <c r="E6652" s="6"/>
      <c r="G6652" s="3"/>
      <c r="H6652" s="2"/>
    </row>
    <row r="6653" spans="1:8" x14ac:dyDescent="0.25">
      <c r="A6653" s="5"/>
      <c r="B6653" s="6"/>
      <c r="C6653" s="6"/>
      <c r="D6653" s="6"/>
      <c r="E6653" s="6"/>
      <c r="G6653" s="1"/>
      <c r="H6653" s="2"/>
    </row>
    <row r="6654" spans="1:8" x14ac:dyDescent="0.25">
      <c r="A6654" s="5"/>
      <c r="B6654" s="6"/>
      <c r="C6654" s="6"/>
      <c r="D6654" s="6"/>
      <c r="E6654" s="6"/>
      <c r="G6654" s="3"/>
      <c r="H6654" s="2"/>
    </row>
    <row r="6655" spans="1:8" x14ac:dyDescent="0.25">
      <c r="A6655" s="5"/>
      <c r="B6655" s="6"/>
      <c r="C6655" s="6"/>
      <c r="D6655" s="6"/>
      <c r="E6655" s="6"/>
      <c r="G6655" s="1"/>
      <c r="H6655" s="2"/>
    </row>
    <row r="6656" spans="1:8" x14ac:dyDescent="0.25">
      <c r="A6656" s="5"/>
      <c r="B6656" s="6"/>
      <c r="C6656" s="6"/>
      <c r="D6656" s="6"/>
      <c r="E6656" s="6"/>
      <c r="G6656" s="3"/>
      <c r="H6656" s="2"/>
    </row>
    <row r="6657" spans="1:8" x14ac:dyDescent="0.25">
      <c r="A6657" s="5"/>
      <c r="B6657" s="6"/>
      <c r="C6657" s="6"/>
      <c r="D6657" s="6"/>
      <c r="E6657" s="6"/>
      <c r="G6657" s="1"/>
      <c r="H6657" s="2"/>
    </row>
    <row r="6658" spans="1:8" x14ac:dyDescent="0.25">
      <c r="A6658" s="5"/>
      <c r="B6658" s="6"/>
      <c r="C6658" s="6"/>
      <c r="D6658" s="6"/>
      <c r="E6658" s="6"/>
      <c r="G6658" s="3"/>
      <c r="H6658" s="2"/>
    </row>
    <row r="6659" spans="1:8" x14ac:dyDescent="0.25">
      <c r="A6659" s="5"/>
      <c r="B6659" s="6"/>
      <c r="C6659" s="6"/>
      <c r="D6659" s="6"/>
      <c r="E6659" s="6"/>
      <c r="G6659" s="1"/>
      <c r="H6659" s="2"/>
    </row>
    <row r="6660" spans="1:8" x14ac:dyDescent="0.25">
      <c r="A6660" s="5"/>
      <c r="B6660" s="6"/>
      <c r="C6660" s="6"/>
      <c r="D6660" s="6"/>
      <c r="E6660" s="6"/>
      <c r="G6660" s="3"/>
      <c r="H6660" s="2"/>
    </row>
    <row r="6661" spans="1:8" x14ac:dyDescent="0.25">
      <c r="A6661" s="5"/>
      <c r="B6661" s="6"/>
      <c r="C6661" s="6"/>
      <c r="D6661" s="6"/>
      <c r="E6661" s="6"/>
      <c r="G6661" s="1"/>
      <c r="H6661" s="2"/>
    </row>
    <row r="6662" spans="1:8" x14ac:dyDescent="0.25">
      <c r="A6662" s="5"/>
      <c r="B6662" s="6"/>
      <c r="C6662" s="6"/>
      <c r="D6662" s="6"/>
      <c r="E6662" s="6"/>
      <c r="G6662" s="3"/>
      <c r="H6662" s="2"/>
    </row>
    <row r="6663" spans="1:8" x14ac:dyDescent="0.25">
      <c r="A6663" s="5"/>
      <c r="B6663" s="6"/>
      <c r="C6663" s="6"/>
      <c r="D6663" s="6"/>
      <c r="E6663" s="6"/>
      <c r="G6663" s="1"/>
      <c r="H6663" s="2"/>
    </row>
    <row r="6664" spans="1:8" x14ac:dyDescent="0.25">
      <c r="A6664" s="5"/>
      <c r="B6664" s="6"/>
      <c r="C6664" s="6"/>
      <c r="D6664" s="6"/>
      <c r="E6664" s="6"/>
      <c r="G6664" s="3"/>
      <c r="H6664" s="2"/>
    </row>
    <row r="6665" spans="1:8" x14ac:dyDescent="0.25">
      <c r="A6665" s="5"/>
      <c r="B6665" s="6"/>
      <c r="C6665" s="6"/>
      <c r="D6665" s="6"/>
      <c r="E6665" s="6"/>
      <c r="G6665" s="1"/>
      <c r="H6665" s="2"/>
    </row>
    <row r="6666" spans="1:8" x14ac:dyDescent="0.25">
      <c r="A6666" s="5"/>
      <c r="B6666" s="6"/>
      <c r="C6666" s="6"/>
      <c r="D6666" s="6"/>
      <c r="E6666" s="6"/>
      <c r="G6666" s="3"/>
      <c r="H6666" s="2"/>
    </row>
    <row r="6667" spans="1:8" x14ac:dyDescent="0.25">
      <c r="A6667" s="5"/>
      <c r="B6667" s="6"/>
      <c r="C6667" s="6"/>
      <c r="D6667" s="6"/>
      <c r="E6667" s="6"/>
      <c r="G6667" s="1"/>
      <c r="H6667" s="2"/>
    </row>
    <row r="6668" spans="1:8" x14ac:dyDescent="0.25">
      <c r="A6668" s="5"/>
      <c r="B6668" s="6"/>
      <c r="C6668" s="6"/>
      <c r="D6668" s="6"/>
      <c r="E6668" s="6"/>
      <c r="G6668" s="3"/>
      <c r="H6668" s="2"/>
    </row>
    <row r="6669" spans="1:8" x14ac:dyDescent="0.25">
      <c r="A6669" s="5"/>
      <c r="B6669" s="6"/>
      <c r="C6669" s="6"/>
      <c r="D6669" s="6"/>
      <c r="E6669" s="6"/>
      <c r="G6669" s="1"/>
      <c r="H6669" s="2"/>
    </row>
    <row r="6670" spans="1:8" x14ac:dyDescent="0.25">
      <c r="A6670" s="5"/>
      <c r="B6670" s="6"/>
      <c r="C6670" s="6"/>
      <c r="D6670" s="6"/>
      <c r="E6670" s="6"/>
      <c r="G6670" s="3"/>
      <c r="H6670" s="2"/>
    </row>
    <row r="6671" spans="1:8" x14ac:dyDescent="0.25">
      <c r="A6671" s="5"/>
      <c r="B6671" s="6"/>
      <c r="C6671" s="6"/>
      <c r="D6671" s="6"/>
      <c r="E6671" s="6"/>
      <c r="G6671" s="1"/>
      <c r="H6671" s="2"/>
    </row>
    <row r="6672" spans="1:8" x14ac:dyDescent="0.25">
      <c r="A6672" s="5"/>
      <c r="B6672" s="6"/>
      <c r="C6672" s="6"/>
      <c r="D6672" s="6"/>
      <c r="E6672" s="6"/>
      <c r="G6672" s="3"/>
      <c r="H6672" s="2"/>
    </row>
    <row r="6673" spans="1:8" x14ac:dyDescent="0.25">
      <c r="A6673" s="5"/>
      <c r="B6673" s="6"/>
      <c r="C6673" s="6"/>
      <c r="D6673" s="6"/>
      <c r="E6673" s="6"/>
      <c r="G6673" s="1"/>
      <c r="H6673" s="2"/>
    </row>
    <row r="6674" spans="1:8" x14ac:dyDescent="0.25">
      <c r="A6674" s="5"/>
      <c r="B6674" s="6"/>
      <c r="C6674" s="6"/>
      <c r="D6674" s="6"/>
      <c r="E6674" s="6"/>
      <c r="G6674" s="3"/>
      <c r="H6674" s="2"/>
    </row>
    <row r="6675" spans="1:8" x14ac:dyDescent="0.25">
      <c r="A6675" s="5"/>
      <c r="B6675" s="6"/>
      <c r="C6675" s="6"/>
      <c r="D6675" s="6"/>
      <c r="E6675" s="6"/>
      <c r="G6675" s="1"/>
      <c r="H6675" s="2"/>
    </row>
    <row r="6676" spans="1:8" x14ac:dyDescent="0.25">
      <c r="A6676" s="5"/>
      <c r="B6676" s="6"/>
      <c r="C6676" s="6"/>
      <c r="D6676" s="6"/>
      <c r="E6676" s="6"/>
      <c r="G6676" s="3"/>
      <c r="H6676" s="2"/>
    </row>
    <row r="6677" spans="1:8" x14ac:dyDescent="0.25">
      <c r="A6677" s="5"/>
      <c r="B6677" s="6"/>
      <c r="C6677" s="6"/>
      <c r="D6677" s="6"/>
      <c r="E6677" s="6"/>
      <c r="G6677" s="1"/>
      <c r="H6677" s="2"/>
    </row>
    <row r="6678" spans="1:8" x14ac:dyDescent="0.25">
      <c r="A6678" s="5"/>
      <c r="B6678" s="6"/>
      <c r="C6678" s="6"/>
      <c r="D6678" s="6"/>
      <c r="E6678" s="6"/>
      <c r="G6678" s="3"/>
      <c r="H6678" s="2"/>
    </row>
    <row r="6679" spans="1:8" x14ac:dyDescent="0.25">
      <c r="A6679" s="5"/>
      <c r="B6679" s="6"/>
      <c r="C6679" s="6"/>
      <c r="D6679" s="6"/>
      <c r="E6679" s="6"/>
      <c r="G6679" s="1"/>
      <c r="H6679" s="2"/>
    </row>
    <row r="6680" spans="1:8" x14ac:dyDescent="0.25">
      <c r="A6680" s="5"/>
      <c r="B6680" s="6"/>
      <c r="C6680" s="6"/>
      <c r="D6680" s="6"/>
      <c r="E6680" s="6"/>
      <c r="G6680" s="3"/>
      <c r="H6680" s="2"/>
    </row>
    <row r="6681" spans="1:8" x14ac:dyDescent="0.25">
      <c r="A6681" s="5"/>
      <c r="B6681" s="6"/>
      <c r="C6681" s="6"/>
      <c r="D6681" s="6"/>
      <c r="E6681" s="6"/>
      <c r="G6681" s="1"/>
      <c r="H6681" s="2"/>
    </row>
    <row r="6682" spans="1:8" x14ac:dyDescent="0.25">
      <c r="A6682" s="5"/>
      <c r="B6682" s="6"/>
      <c r="C6682" s="6"/>
      <c r="D6682" s="6"/>
      <c r="E6682" s="6"/>
      <c r="G6682" s="3"/>
      <c r="H6682" s="2"/>
    </row>
    <row r="6683" spans="1:8" x14ac:dyDescent="0.25">
      <c r="A6683" s="5"/>
      <c r="B6683" s="6"/>
      <c r="C6683" s="6"/>
      <c r="D6683" s="6"/>
      <c r="E6683" s="6"/>
      <c r="G6683" s="1"/>
      <c r="H6683" s="2"/>
    </row>
    <row r="6684" spans="1:8" x14ac:dyDescent="0.25">
      <c r="A6684" s="5"/>
      <c r="B6684" s="6"/>
      <c r="C6684" s="6"/>
      <c r="D6684" s="6"/>
      <c r="E6684" s="6"/>
      <c r="G6684" s="3"/>
      <c r="H6684" s="2"/>
    </row>
    <row r="6685" spans="1:8" x14ac:dyDescent="0.25">
      <c r="A6685" s="5"/>
      <c r="B6685" s="6"/>
      <c r="C6685" s="6"/>
      <c r="D6685" s="6"/>
      <c r="E6685" s="6"/>
      <c r="G6685" s="1"/>
      <c r="H6685" s="2"/>
    </row>
    <row r="6686" spans="1:8" x14ac:dyDescent="0.25">
      <c r="A6686" s="5"/>
      <c r="B6686" s="6"/>
      <c r="C6686" s="6"/>
      <c r="D6686" s="6"/>
      <c r="E6686" s="6"/>
      <c r="G6686" s="3"/>
      <c r="H6686" s="2"/>
    </row>
    <row r="6687" spans="1:8" x14ac:dyDescent="0.25">
      <c r="A6687" s="5"/>
      <c r="B6687" s="6"/>
      <c r="C6687" s="6"/>
      <c r="D6687" s="6"/>
      <c r="E6687" s="6"/>
      <c r="G6687" s="1"/>
      <c r="H6687" s="2"/>
    </row>
    <row r="6688" spans="1:8" x14ac:dyDescent="0.25">
      <c r="A6688" s="5"/>
      <c r="B6688" s="6"/>
      <c r="C6688" s="6"/>
      <c r="D6688" s="6"/>
      <c r="E6688" s="6"/>
      <c r="G6688" s="3"/>
      <c r="H6688" s="2"/>
    </row>
    <row r="6689" spans="1:8" x14ac:dyDescent="0.25">
      <c r="A6689" s="5"/>
      <c r="B6689" s="6"/>
      <c r="C6689" s="6"/>
      <c r="D6689" s="6"/>
      <c r="E6689" s="6"/>
      <c r="G6689" s="1"/>
      <c r="H6689" s="2"/>
    </row>
    <row r="6690" spans="1:8" x14ac:dyDescent="0.25">
      <c r="A6690" s="5"/>
      <c r="B6690" s="6"/>
      <c r="C6690" s="6"/>
      <c r="D6690" s="6"/>
      <c r="E6690" s="6"/>
      <c r="G6690" s="3"/>
      <c r="H6690" s="2"/>
    </row>
    <row r="6691" spans="1:8" x14ac:dyDescent="0.25">
      <c r="A6691" s="5"/>
      <c r="B6691" s="6"/>
      <c r="C6691" s="6"/>
      <c r="D6691" s="6"/>
      <c r="E6691" s="6"/>
      <c r="G6691" s="1"/>
      <c r="H6691" s="2"/>
    </row>
    <row r="6692" spans="1:8" x14ac:dyDescent="0.25">
      <c r="A6692" s="5"/>
      <c r="B6692" s="6"/>
      <c r="C6692" s="6"/>
      <c r="D6692" s="6"/>
      <c r="E6692" s="6"/>
      <c r="G6692" s="3"/>
      <c r="H6692" s="2"/>
    </row>
    <row r="6693" spans="1:8" x14ac:dyDescent="0.25">
      <c r="A6693" s="5"/>
      <c r="B6693" s="6"/>
      <c r="C6693" s="6"/>
      <c r="D6693" s="6"/>
      <c r="E6693" s="6"/>
      <c r="G6693" s="1"/>
      <c r="H6693" s="2"/>
    </row>
    <row r="6694" spans="1:8" x14ac:dyDescent="0.25">
      <c r="A6694" s="5"/>
      <c r="B6694" s="6"/>
      <c r="C6694" s="6"/>
      <c r="D6694" s="6"/>
      <c r="E6694" s="6"/>
      <c r="G6694" s="3"/>
      <c r="H6694" s="2"/>
    </row>
    <row r="6695" spans="1:8" x14ac:dyDescent="0.25">
      <c r="A6695" s="5"/>
      <c r="B6695" s="6"/>
      <c r="C6695" s="6"/>
      <c r="D6695" s="6"/>
      <c r="E6695" s="6"/>
      <c r="G6695" s="1"/>
      <c r="H6695" s="2"/>
    </row>
    <row r="6696" spans="1:8" x14ac:dyDescent="0.25">
      <c r="A6696" s="5"/>
      <c r="B6696" s="6"/>
      <c r="C6696" s="6"/>
      <c r="D6696" s="6"/>
      <c r="E6696" s="6"/>
      <c r="G6696" s="3"/>
      <c r="H6696" s="2"/>
    </row>
    <row r="6697" spans="1:8" x14ac:dyDescent="0.25">
      <c r="A6697" s="5"/>
      <c r="B6697" s="6"/>
      <c r="C6697" s="6"/>
      <c r="D6697" s="6"/>
      <c r="E6697" s="6"/>
      <c r="G6697" s="1"/>
      <c r="H6697" s="2"/>
    </row>
    <row r="6698" spans="1:8" x14ac:dyDescent="0.25">
      <c r="A6698" s="5"/>
      <c r="B6698" s="6"/>
      <c r="C6698" s="6"/>
      <c r="D6698" s="6"/>
      <c r="E6698" s="6"/>
      <c r="G6698" s="3"/>
      <c r="H6698" s="2"/>
    </row>
    <row r="6699" spans="1:8" x14ac:dyDescent="0.25">
      <c r="A6699" s="5"/>
      <c r="B6699" s="6"/>
      <c r="C6699" s="6"/>
      <c r="D6699" s="6"/>
      <c r="E6699" s="6"/>
      <c r="G6699" s="1"/>
      <c r="H6699" s="2"/>
    </row>
    <row r="6700" spans="1:8" x14ac:dyDescent="0.25">
      <c r="A6700" s="5"/>
      <c r="B6700" s="6"/>
      <c r="C6700" s="6"/>
      <c r="D6700" s="6"/>
      <c r="E6700" s="6"/>
      <c r="G6700" s="3"/>
      <c r="H6700" s="2"/>
    </row>
    <row r="6701" spans="1:8" x14ac:dyDescent="0.25">
      <c r="A6701" s="5"/>
      <c r="B6701" s="6"/>
      <c r="C6701" s="6"/>
      <c r="D6701" s="6"/>
      <c r="E6701" s="6"/>
      <c r="G6701" s="1"/>
      <c r="H6701" s="2"/>
    </row>
    <row r="6702" spans="1:8" x14ac:dyDescent="0.25">
      <c r="A6702" s="5"/>
      <c r="B6702" s="6"/>
      <c r="C6702" s="6"/>
      <c r="D6702" s="6"/>
      <c r="E6702" s="6"/>
      <c r="G6702" s="3"/>
      <c r="H6702" s="2"/>
    </row>
    <row r="6703" spans="1:8" x14ac:dyDescent="0.25">
      <c r="A6703" s="5"/>
      <c r="B6703" s="6"/>
      <c r="C6703" s="6"/>
      <c r="D6703" s="6"/>
      <c r="E6703" s="6"/>
      <c r="G6703" s="1"/>
      <c r="H6703" s="2"/>
    </row>
    <row r="6704" spans="1:8" x14ac:dyDescent="0.25">
      <c r="A6704" s="5"/>
      <c r="B6704" s="6"/>
      <c r="C6704" s="6"/>
      <c r="D6704" s="6"/>
      <c r="E6704" s="6"/>
      <c r="G6704" s="3"/>
      <c r="H6704" s="2"/>
    </row>
    <row r="6705" spans="1:8" x14ac:dyDescent="0.25">
      <c r="A6705" s="5"/>
      <c r="B6705" s="6"/>
      <c r="C6705" s="6"/>
      <c r="D6705" s="6"/>
      <c r="E6705" s="6"/>
      <c r="G6705" s="1"/>
      <c r="H6705" s="2"/>
    </row>
    <row r="6706" spans="1:8" x14ac:dyDescent="0.25">
      <c r="A6706" s="5"/>
      <c r="B6706" s="6"/>
      <c r="C6706" s="6"/>
      <c r="D6706" s="6"/>
      <c r="E6706" s="6"/>
      <c r="G6706" s="3"/>
      <c r="H6706" s="2"/>
    </row>
    <row r="6707" spans="1:8" x14ac:dyDescent="0.25">
      <c r="A6707" s="5"/>
      <c r="B6707" s="6"/>
      <c r="C6707" s="6"/>
      <c r="D6707" s="6"/>
      <c r="E6707" s="6"/>
      <c r="G6707" s="1"/>
      <c r="H6707" s="2"/>
    </row>
    <row r="6708" spans="1:8" x14ac:dyDescent="0.25">
      <c r="A6708" s="5"/>
      <c r="B6708" s="6"/>
      <c r="C6708" s="6"/>
      <c r="D6708" s="6"/>
      <c r="E6708" s="6"/>
      <c r="G6708" s="3"/>
      <c r="H6708" s="2"/>
    </row>
    <row r="6709" spans="1:8" x14ac:dyDescent="0.25">
      <c r="A6709" s="5"/>
      <c r="B6709" s="6"/>
      <c r="C6709" s="6"/>
      <c r="D6709" s="6"/>
      <c r="E6709" s="6"/>
      <c r="G6709" s="1"/>
      <c r="H6709" s="2"/>
    </row>
    <row r="6710" spans="1:8" x14ac:dyDescent="0.25">
      <c r="A6710" s="5"/>
      <c r="B6710" s="6"/>
      <c r="C6710" s="6"/>
      <c r="D6710" s="6"/>
      <c r="E6710" s="6"/>
      <c r="G6710" s="3"/>
      <c r="H6710" s="2"/>
    </row>
    <row r="6711" spans="1:8" x14ac:dyDescent="0.25">
      <c r="A6711" s="5"/>
      <c r="B6711" s="6"/>
      <c r="C6711" s="6"/>
      <c r="D6711" s="6"/>
      <c r="E6711" s="6"/>
      <c r="G6711" s="1"/>
      <c r="H6711" s="2"/>
    </row>
    <row r="6712" spans="1:8" x14ac:dyDescent="0.25">
      <c r="A6712" s="5"/>
      <c r="B6712" s="6"/>
      <c r="C6712" s="6"/>
      <c r="D6712" s="6"/>
      <c r="E6712" s="6"/>
      <c r="G6712" s="3"/>
      <c r="H6712" s="2"/>
    </row>
    <row r="6713" spans="1:8" x14ac:dyDescent="0.25">
      <c r="A6713" s="5"/>
      <c r="B6713" s="6"/>
      <c r="C6713" s="6"/>
      <c r="D6713" s="6"/>
      <c r="E6713" s="6"/>
      <c r="G6713" s="1"/>
      <c r="H6713" s="2"/>
    </row>
    <row r="6714" spans="1:8" x14ac:dyDescent="0.25">
      <c r="A6714" s="5"/>
      <c r="B6714" s="6"/>
      <c r="C6714" s="6"/>
      <c r="D6714" s="6"/>
      <c r="E6714" s="6"/>
      <c r="G6714" s="3"/>
      <c r="H6714" s="2"/>
    </row>
    <row r="6715" spans="1:8" x14ac:dyDescent="0.25">
      <c r="A6715" s="5"/>
      <c r="B6715" s="6"/>
      <c r="C6715" s="6"/>
      <c r="D6715" s="6"/>
      <c r="E6715" s="6"/>
      <c r="G6715" s="1"/>
      <c r="H6715" s="2"/>
    </row>
    <row r="6716" spans="1:8" x14ac:dyDescent="0.25">
      <c r="A6716" s="5"/>
      <c r="B6716" s="6"/>
      <c r="C6716" s="6"/>
      <c r="D6716" s="6"/>
      <c r="E6716" s="6"/>
      <c r="G6716" s="3"/>
      <c r="H6716" s="2"/>
    </row>
    <row r="6717" spans="1:8" x14ac:dyDescent="0.25">
      <c r="A6717" s="5"/>
      <c r="B6717" s="6"/>
      <c r="C6717" s="6"/>
      <c r="D6717" s="6"/>
      <c r="E6717" s="6"/>
      <c r="G6717" s="1"/>
      <c r="H6717" s="2"/>
    </row>
    <row r="6718" spans="1:8" x14ac:dyDescent="0.25">
      <c r="A6718" s="5"/>
      <c r="B6718" s="6"/>
      <c r="C6718" s="6"/>
      <c r="D6718" s="6"/>
      <c r="E6718" s="6"/>
      <c r="G6718" s="3"/>
      <c r="H6718" s="2"/>
    </row>
    <row r="6719" spans="1:8" x14ac:dyDescent="0.25">
      <c r="A6719" s="5"/>
      <c r="B6719" s="6"/>
      <c r="C6719" s="6"/>
      <c r="D6719" s="6"/>
      <c r="E6719" s="6"/>
      <c r="G6719" s="1"/>
      <c r="H6719" s="2"/>
    </row>
    <row r="6720" spans="1:8" x14ac:dyDescent="0.25">
      <c r="A6720" s="5"/>
      <c r="B6720" s="6"/>
      <c r="C6720" s="6"/>
      <c r="D6720" s="6"/>
      <c r="E6720" s="6"/>
      <c r="G6720" s="3"/>
      <c r="H6720" s="2"/>
    </row>
    <row r="6721" spans="1:8" x14ac:dyDescent="0.25">
      <c r="A6721" s="5"/>
      <c r="B6721" s="6"/>
      <c r="C6721" s="6"/>
      <c r="D6721" s="6"/>
      <c r="E6721" s="6"/>
      <c r="G6721" s="1"/>
      <c r="H6721" s="2"/>
    </row>
    <row r="6722" spans="1:8" x14ac:dyDescent="0.25">
      <c r="A6722" s="5"/>
      <c r="B6722" s="6"/>
      <c r="C6722" s="6"/>
      <c r="D6722" s="6"/>
      <c r="E6722" s="6"/>
      <c r="G6722" s="3"/>
      <c r="H6722" s="2"/>
    </row>
    <row r="6723" spans="1:8" x14ac:dyDescent="0.25">
      <c r="A6723" s="5"/>
      <c r="B6723" s="6"/>
      <c r="C6723" s="6"/>
      <c r="D6723" s="6"/>
      <c r="E6723" s="6"/>
      <c r="G6723" s="1"/>
      <c r="H6723" s="2"/>
    </row>
    <row r="6724" spans="1:8" x14ac:dyDescent="0.25">
      <c r="A6724" s="5"/>
      <c r="B6724" s="6"/>
      <c r="C6724" s="6"/>
      <c r="D6724" s="6"/>
      <c r="E6724" s="6"/>
      <c r="G6724" s="3"/>
      <c r="H6724" s="2"/>
    </row>
    <row r="6725" spans="1:8" x14ac:dyDescent="0.25">
      <c r="A6725" s="5"/>
      <c r="B6725" s="6"/>
      <c r="C6725" s="6"/>
      <c r="D6725" s="6"/>
      <c r="E6725" s="6"/>
      <c r="G6725" s="1"/>
      <c r="H6725" s="2"/>
    </row>
    <row r="6726" spans="1:8" x14ac:dyDescent="0.25">
      <c r="A6726" s="5"/>
      <c r="B6726" s="6"/>
      <c r="C6726" s="6"/>
      <c r="D6726" s="6"/>
      <c r="E6726" s="6"/>
      <c r="G6726" s="3"/>
      <c r="H6726" s="2"/>
    </row>
    <row r="6727" spans="1:8" x14ac:dyDescent="0.25">
      <c r="A6727" s="5"/>
      <c r="B6727" s="6"/>
      <c r="C6727" s="6"/>
      <c r="D6727" s="6"/>
      <c r="E6727" s="6"/>
      <c r="G6727" s="1"/>
      <c r="H6727" s="2"/>
    </row>
    <row r="6728" spans="1:8" x14ac:dyDescent="0.25">
      <c r="A6728" s="5"/>
      <c r="B6728" s="6"/>
      <c r="C6728" s="6"/>
      <c r="D6728" s="6"/>
      <c r="E6728" s="6"/>
      <c r="G6728" s="3"/>
      <c r="H6728" s="2"/>
    </row>
    <row r="6729" spans="1:8" x14ac:dyDescent="0.25">
      <c r="A6729" s="5"/>
      <c r="B6729" s="6"/>
      <c r="C6729" s="6"/>
      <c r="D6729" s="6"/>
      <c r="E6729" s="6"/>
      <c r="G6729" s="1"/>
      <c r="H6729" s="2"/>
    </row>
    <row r="6730" spans="1:8" x14ac:dyDescent="0.25">
      <c r="A6730" s="5"/>
      <c r="B6730" s="6"/>
      <c r="C6730" s="6"/>
      <c r="D6730" s="6"/>
      <c r="E6730" s="6"/>
      <c r="G6730" s="3"/>
      <c r="H6730" s="2"/>
    </row>
    <row r="6731" spans="1:8" x14ac:dyDescent="0.25">
      <c r="A6731" s="5"/>
      <c r="B6731" s="6"/>
      <c r="C6731" s="6"/>
      <c r="D6731" s="6"/>
      <c r="E6731" s="6"/>
      <c r="G6731" s="1"/>
      <c r="H6731" s="2"/>
    </row>
    <row r="6732" spans="1:8" x14ac:dyDescent="0.25">
      <c r="A6732" s="5"/>
      <c r="B6732" s="6"/>
      <c r="C6732" s="6"/>
      <c r="D6732" s="6"/>
      <c r="E6732" s="6"/>
      <c r="G6732" s="3"/>
      <c r="H6732" s="2"/>
    </row>
    <row r="6733" spans="1:8" x14ac:dyDescent="0.25">
      <c r="A6733" s="5"/>
      <c r="B6733" s="6"/>
      <c r="C6733" s="6"/>
      <c r="D6733" s="6"/>
      <c r="E6733" s="6"/>
      <c r="G6733" s="1"/>
      <c r="H6733" s="2"/>
    </row>
    <row r="6734" spans="1:8" x14ac:dyDescent="0.25">
      <c r="A6734" s="5"/>
      <c r="B6734" s="6"/>
      <c r="C6734" s="6"/>
      <c r="D6734" s="6"/>
      <c r="E6734" s="6"/>
      <c r="G6734" s="3"/>
      <c r="H6734" s="2"/>
    </row>
    <row r="6735" spans="1:8" x14ac:dyDescent="0.25">
      <c r="A6735" s="5"/>
      <c r="B6735" s="6"/>
      <c r="C6735" s="6"/>
      <c r="D6735" s="6"/>
      <c r="E6735" s="6"/>
      <c r="G6735" s="1"/>
      <c r="H6735" s="2"/>
    </row>
    <row r="6736" spans="1:8" x14ac:dyDescent="0.25">
      <c r="A6736" s="5"/>
      <c r="B6736" s="6"/>
      <c r="C6736" s="6"/>
      <c r="D6736" s="6"/>
      <c r="E6736" s="6"/>
      <c r="G6736" s="3"/>
      <c r="H6736" s="2"/>
    </row>
    <row r="6737" spans="1:8" x14ac:dyDescent="0.25">
      <c r="A6737" s="5"/>
      <c r="B6737" s="6"/>
      <c r="C6737" s="6"/>
      <c r="D6737" s="6"/>
      <c r="E6737" s="6"/>
      <c r="G6737" s="1"/>
      <c r="H6737" s="2"/>
    </row>
    <row r="6738" spans="1:8" x14ac:dyDescent="0.25">
      <c r="A6738" s="5"/>
      <c r="B6738" s="6"/>
      <c r="C6738" s="6"/>
      <c r="D6738" s="6"/>
      <c r="E6738" s="6"/>
      <c r="G6738" s="3"/>
      <c r="H6738" s="2"/>
    </row>
    <row r="6739" spans="1:8" x14ac:dyDescent="0.25">
      <c r="A6739" s="5"/>
      <c r="B6739" s="6"/>
      <c r="C6739" s="6"/>
      <c r="D6739" s="6"/>
      <c r="E6739" s="6"/>
      <c r="G6739" s="1"/>
      <c r="H6739" s="2"/>
    </row>
    <row r="6740" spans="1:8" x14ac:dyDescent="0.25">
      <c r="A6740" s="5"/>
      <c r="B6740" s="6"/>
      <c r="C6740" s="6"/>
      <c r="D6740" s="6"/>
      <c r="E6740" s="6"/>
      <c r="G6740" s="3"/>
      <c r="H6740" s="2"/>
    </row>
    <row r="6741" spans="1:8" x14ac:dyDescent="0.25">
      <c r="A6741" s="5"/>
      <c r="B6741" s="6"/>
      <c r="C6741" s="6"/>
      <c r="D6741" s="6"/>
      <c r="E6741" s="6"/>
      <c r="G6741" s="1"/>
      <c r="H6741" s="2"/>
    </row>
    <row r="6742" spans="1:8" x14ac:dyDescent="0.25">
      <c r="A6742" s="5"/>
      <c r="B6742" s="6"/>
      <c r="C6742" s="6"/>
      <c r="D6742" s="6"/>
      <c r="E6742" s="6"/>
      <c r="G6742" s="3"/>
      <c r="H6742" s="2"/>
    </row>
    <row r="6743" spans="1:8" x14ac:dyDescent="0.25">
      <c r="A6743" s="5"/>
      <c r="B6743" s="6"/>
      <c r="C6743" s="6"/>
      <c r="D6743" s="6"/>
      <c r="E6743" s="6"/>
      <c r="G6743" s="1"/>
      <c r="H6743" s="2"/>
    </row>
    <row r="6744" spans="1:8" x14ac:dyDescent="0.25">
      <c r="A6744" s="5"/>
      <c r="B6744" s="6"/>
      <c r="C6744" s="6"/>
      <c r="D6744" s="6"/>
      <c r="E6744" s="6"/>
      <c r="G6744" s="3"/>
      <c r="H6744" s="2"/>
    </row>
    <row r="6745" spans="1:8" x14ac:dyDescent="0.25">
      <c r="A6745" s="5"/>
      <c r="B6745" s="6"/>
      <c r="C6745" s="6"/>
      <c r="D6745" s="6"/>
      <c r="E6745" s="6"/>
      <c r="G6745" s="1"/>
      <c r="H6745" s="2"/>
    </row>
    <row r="6746" spans="1:8" x14ac:dyDescent="0.25">
      <c r="A6746" s="5"/>
      <c r="B6746" s="6"/>
      <c r="C6746" s="6"/>
      <c r="D6746" s="6"/>
      <c r="E6746" s="6"/>
      <c r="G6746" s="3"/>
      <c r="H6746" s="2"/>
    </row>
    <row r="6747" spans="1:8" x14ac:dyDescent="0.25">
      <c r="A6747" s="5"/>
      <c r="B6747" s="6"/>
      <c r="C6747" s="6"/>
      <c r="D6747" s="6"/>
      <c r="E6747" s="6"/>
      <c r="G6747" s="1"/>
      <c r="H6747" s="2"/>
    </row>
    <row r="6748" spans="1:8" x14ac:dyDescent="0.25">
      <c r="A6748" s="5"/>
      <c r="B6748" s="6"/>
      <c r="C6748" s="6"/>
      <c r="D6748" s="6"/>
      <c r="E6748" s="6"/>
      <c r="G6748" s="3"/>
      <c r="H6748" s="2"/>
    </row>
    <row r="6749" spans="1:8" x14ac:dyDescent="0.25">
      <c r="A6749" s="5"/>
      <c r="B6749" s="6"/>
      <c r="C6749" s="6"/>
      <c r="D6749" s="6"/>
      <c r="E6749" s="6"/>
      <c r="G6749" s="1"/>
      <c r="H6749" s="2"/>
    </row>
    <row r="6750" spans="1:8" x14ac:dyDescent="0.25">
      <c r="A6750" s="5"/>
      <c r="B6750" s="6"/>
      <c r="C6750" s="6"/>
      <c r="D6750" s="6"/>
      <c r="E6750" s="6"/>
      <c r="G6750" s="3"/>
      <c r="H6750" s="2"/>
    </row>
    <row r="6751" spans="1:8" x14ac:dyDescent="0.25">
      <c r="A6751" s="5"/>
      <c r="B6751" s="6"/>
      <c r="C6751" s="6"/>
      <c r="D6751" s="6"/>
      <c r="E6751" s="6"/>
      <c r="G6751" s="1"/>
      <c r="H6751" s="2"/>
    </row>
    <row r="6752" spans="1:8" x14ac:dyDescent="0.25">
      <c r="A6752" s="5"/>
      <c r="B6752" s="6"/>
      <c r="C6752" s="6"/>
      <c r="D6752" s="6"/>
      <c r="E6752" s="6"/>
      <c r="G6752" s="3"/>
      <c r="H6752" s="2"/>
    </row>
    <row r="6753" spans="1:8" x14ac:dyDescent="0.25">
      <c r="A6753" s="5"/>
      <c r="B6753" s="6"/>
      <c r="C6753" s="6"/>
      <c r="D6753" s="6"/>
      <c r="E6753" s="6"/>
      <c r="G6753" s="1"/>
      <c r="H6753" s="2"/>
    </row>
    <row r="6754" spans="1:8" x14ac:dyDescent="0.25">
      <c r="A6754" s="5"/>
      <c r="B6754" s="6"/>
      <c r="C6754" s="6"/>
      <c r="D6754" s="6"/>
      <c r="E6754" s="6"/>
      <c r="G6754" s="3"/>
      <c r="H6754" s="2"/>
    </row>
    <row r="6755" spans="1:8" x14ac:dyDescent="0.25">
      <c r="A6755" s="5"/>
      <c r="B6755" s="6"/>
      <c r="C6755" s="6"/>
      <c r="D6755" s="6"/>
      <c r="E6755" s="6"/>
      <c r="G6755" s="1"/>
      <c r="H6755" s="2"/>
    </row>
    <row r="6756" spans="1:8" x14ac:dyDescent="0.25">
      <c r="A6756" s="5"/>
      <c r="B6756" s="6"/>
      <c r="C6756" s="6"/>
      <c r="D6756" s="6"/>
      <c r="E6756" s="6"/>
      <c r="G6756" s="3"/>
      <c r="H6756" s="2"/>
    </row>
    <row r="6757" spans="1:8" x14ac:dyDescent="0.25">
      <c r="A6757" s="5"/>
      <c r="B6757" s="6"/>
      <c r="C6757" s="6"/>
      <c r="D6757" s="6"/>
      <c r="E6757" s="6"/>
      <c r="G6757" s="1"/>
      <c r="H6757" s="2"/>
    </row>
    <row r="6758" spans="1:8" x14ac:dyDescent="0.25">
      <c r="A6758" s="5"/>
      <c r="B6758" s="6"/>
      <c r="C6758" s="6"/>
      <c r="D6758" s="6"/>
      <c r="E6758" s="6"/>
      <c r="G6758" s="3"/>
      <c r="H6758" s="2"/>
    </row>
    <row r="6759" spans="1:8" x14ac:dyDescent="0.25">
      <c r="A6759" s="5"/>
      <c r="B6759" s="6"/>
      <c r="C6759" s="6"/>
      <c r="D6759" s="6"/>
      <c r="E6759" s="6"/>
      <c r="G6759" s="1"/>
      <c r="H6759" s="2"/>
    </row>
    <row r="6760" spans="1:8" x14ac:dyDescent="0.25">
      <c r="A6760" s="5"/>
      <c r="B6760" s="6"/>
      <c r="C6760" s="6"/>
      <c r="D6760" s="6"/>
      <c r="E6760" s="6"/>
      <c r="G6760" s="3"/>
      <c r="H6760" s="2"/>
    </row>
    <row r="6761" spans="1:8" x14ac:dyDescent="0.25">
      <c r="A6761" s="5"/>
      <c r="B6761" s="6"/>
      <c r="C6761" s="6"/>
      <c r="D6761" s="6"/>
      <c r="E6761" s="6"/>
      <c r="G6761" s="1"/>
      <c r="H6761" s="2"/>
    </row>
    <row r="6762" spans="1:8" x14ac:dyDescent="0.25">
      <c r="A6762" s="5"/>
      <c r="B6762" s="6"/>
      <c r="C6762" s="6"/>
      <c r="D6762" s="6"/>
      <c r="E6762" s="6"/>
      <c r="G6762" s="3"/>
      <c r="H6762" s="2"/>
    </row>
    <row r="6763" spans="1:8" x14ac:dyDescent="0.25">
      <c r="A6763" s="5"/>
      <c r="B6763" s="6"/>
      <c r="C6763" s="6"/>
      <c r="D6763" s="6"/>
      <c r="E6763" s="6"/>
      <c r="G6763" s="1"/>
      <c r="H6763" s="2"/>
    </row>
    <row r="6764" spans="1:8" x14ac:dyDescent="0.25">
      <c r="A6764" s="5"/>
      <c r="B6764" s="6"/>
      <c r="C6764" s="6"/>
      <c r="D6764" s="6"/>
      <c r="E6764" s="6"/>
      <c r="G6764" s="3"/>
      <c r="H6764" s="2"/>
    </row>
    <row r="6765" spans="1:8" x14ac:dyDescent="0.25">
      <c r="A6765" s="5"/>
      <c r="B6765" s="6"/>
      <c r="C6765" s="6"/>
      <c r="D6765" s="6"/>
      <c r="E6765" s="6"/>
      <c r="G6765" s="1"/>
      <c r="H6765" s="2"/>
    </row>
    <row r="6766" spans="1:8" x14ac:dyDescent="0.25">
      <c r="A6766" s="5"/>
      <c r="B6766" s="6"/>
      <c r="C6766" s="6"/>
      <c r="D6766" s="6"/>
      <c r="E6766" s="6"/>
      <c r="G6766" s="3"/>
      <c r="H6766" s="2"/>
    </row>
    <row r="6767" spans="1:8" x14ac:dyDescent="0.25">
      <c r="A6767" s="5"/>
      <c r="B6767" s="6"/>
      <c r="C6767" s="6"/>
      <c r="D6767" s="6"/>
      <c r="E6767" s="6"/>
      <c r="G6767" s="1"/>
      <c r="H6767" s="2"/>
    </row>
    <row r="6768" spans="1:8" x14ac:dyDescent="0.25">
      <c r="A6768" s="5"/>
      <c r="B6768" s="6"/>
      <c r="C6768" s="6"/>
      <c r="D6768" s="6"/>
      <c r="E6768" s="6"/>
      <c r="G6768" s="3"/>
      <c r="H6768" s="2"/>
    </row>
    <row r="6769" spans="1:8" x14ac:dyDescent="0.25">
      <c r="A6769" s="5"/>
      <c r="B6769" s="6"/>
      <c r="C6769" s="6"/>
      <c r="D6769" s="6"/>
      <c r="E6769" s="6"/>
      <c r="G6769" s="1"/>
      <c r="H6769" s="2"/>
    </row>
    <row r="6770" spans="1:8" x14ac:dyDescent="0.25">
      <c r="A6770" s="5"/>
      <c r="B6770" s="6"/>
      <c r="C6770" s="6"/>
      <c r="D6770" s="6"/>
      <c r="E6770" s="6"/>
      <c r="G6770" s="3"/>
      <c r="H6770" s="2"/>
    </row>
    <row r="6771" spans="1:8" x14ac:dyDescent="0.25">
      <c r="A6771" s="5"/>
      <c r="B6771" s="6"/>
      <c r="C6771" s="6"/>
      <c r="D6771" s="6"/>
      <c r="E6771" s="6"/>
      <c r="G6771" s="1"/>
      <c r="H6771" s="2"/>
    </row>
    <row r="6772" spans="1:8" x14ac:dyDescent="0.25">
      <c r="A6772" s="5"/>
      <c r="B6772" s="6"/>
      <c r="C6772" s="6"/>
      <c r="D6772" s="6"/>
      <c r="E6772" s="6"/>
      <c r="G6772" s="3"/>
      <c r="H6772" s="2"/>
    </row>
    <row r="6773" spans="1:8" x14ac:dyDescent="0.25">
      <c r="A6773" s="5"/>
      <c r="B6773" s="6"/>
      <c r="C6773" s="6"/>
      <c r="D6773" s="6"/>
      <c r="E6773" s="6"/>
      <c r="G6773" s="1"/>
      <c r="H6773" s="2"/>
    </row>
    <row r="6774" spans="1:8" x14ac:dyDescent="0.25">
      <c r="A6774" s="5"/>
      <c r="B6774" s="6"/>
      <c r="C6774" s="6"/>
      <c r="D6774" s="6"/>
      <c r="E6774" s="6"/>
      <c r="G6774" s="3"/>
      <c r="H6774" s="2"/>
    </row>
    <row r="6775" spans="1:8" x14ac:dyDescent="0.25">
      <c r="A6775" s="5"/>
      <c r="B6775" s="6"/>
      <c r="C6775" s="6"/>
      <c r="D6775" s="6"/>
      <c r="E6775" s="6"/>
      <c r="G6775" s="1"/>
      <c r="H6775" s="2"/>
    </row>
    <row r="6776" spans="1:8" x14ac:dyDescent="0.25">
      <c r="A6776" s="5"/>
      <c r="B6776" s="6"/>
      <c r="C6776" s="6"/>
      <c r="D6776" s="6"/>
      <c r="E6776" s="6"/>
      <c r="G6776" s="3"/>
      <c r="H6776" s="2"/>
    </row>
    <row r="6777" spans="1:8" x14ac:dyDescent="0.25">
      <c r="A6777" s="5"/>
      <c r="B6777" s="6"/>
      <c r="C6777" s="6"/>
      <c r="D6777" s="6"/>
      <c r="E6777" s="6"/>
      <c r="G6777" s="1"/>
      <c r="H6777" s="2"/>
    </row>
    <row r="6778" spans="1:8" x14ac:dyDescent="0.25">
      <c r="A6778" s="5"/>
      <c r="B6778" s="6"/>
      <c r="C6778" s="6"/>
      <c r="D6778" s="6"/>
      <c r="E6778" s="6"/>
      <c r="G6778" s="3"/>
      <c r="H6778" s="2"/>
    </row>
    <row r="6779" spans="1:8" x14ac:dyDescent="0.25">
      <c r="A6779" s="5"/>
      <c r="B6779" s="6"/>
      <c r="C6779" s="6"/>
      <c r="D6779" s="6"/>
      <c r="E6779" s="6"/>
      <c r="G6779" s="1"/>
      <c r="H6779" s="2"/>
    </row>
    <row r="6780" spans="1:8" x14ac:dyDescent="0.25">
      <c r="A6780" s="5"/>
      <c r="B6780" s="6"/>
      <c r="C6780" s="6"/>
      <c r="D6780" s="6"/>
      <c r="E6780" s="6"/>
      <c r="G6780" s="3"/>
      <c r="H6780" s="2"/>
    </row>
    <row r="6781" spans="1:8" x14ac:dyDescent="0.25">
      <c r="A6781" s="5"/>
      <c r="B6781" s="6"/>
      <c r="C6781" s="6"/>
      <c r="D6781" s="6"/>
      <c r="E6781" s="6"/>
      <c r="G6781" s="1"/>
      <c r="H6781" s="2"/>
    </row>
    <row r="6782" spans="1:8" x14ac:dyDescent="0.25">
      <c r="A6782" s="5"/>
      <c r="B6782" s="6"/>
      <c r="C6782" s="6"/>
      <c r="D6782" s="6"/>
      <c r="E6782" s="6"/>
      <c r="G6782" s="3"/>
      <c r="H6782" s="2"/>
    </row>
    <row r="6783" spans="1:8" x14ac:dyDescent="0.25">
      <c r="A6783" s="5"/>
      <c r="B6783" s="6"/>
      <c r="C6783" s="6"/>
      <c r="D6783" s="6"/>
      <c r="E6783" s="6"/>
      <c r="G6783" s="1"/>
      <c r="H6783" s="2"/>
    </row>
    <row r="6784" spans="1:8" x14ac:dyDescent="0.25">
      <c r="A6784" s="5"/>
      <c r="B6784" s="6"/>
      <c r="C6784" s="6"/>
      <c r="D6784" s="6"/>
      <c r="E6784" s="6"/>
      <c r="G6784" s="3"/>
      <c r="H6784" s="2"/>
    </row>
    <row r="6785" spans="1:8" x14ac:dyDescent="0.25">
      <c r="A6785" s="5"/>
      <c r="B6785" s="6"/>
      <c r="C6785" s="6"/>
      <c r="D6785" s="6"/>
      <c r="E6785" s="6"/>
      <c r="G6785" s="1"/>
      <c r="H6785" s="2"/>
    </row>
    <row r="6786" spans="1:8" x14ac:dyDescent="0.25">
      <c r="A6786" s="5"/>
      <c r="B6786" s="6"/>
      <c r="C6786" s="6"/>
      <c r="D6786" s="6"/>
      <c r="E6786" s="6"/>
      <c r="G6786" s="3"/>
      <c r="H6786" s="2"/>
    </row>
    <row r="6787" spans="1:8" x14ac:dyDescent="0.25">
      <c r="A6787" s="5"/>
      <c r="B6787" s="6"/>
      <c r="C6787" s="6"/>
      <c r="D6787" s="6"/>
      <c r="E6787" s="6"/>
      <c r="G6787" s="1"/>
      <c r="H6787" s="2"/>
    </row>
    <row r="6788" spans="1:8" x14ac:dyDescent="0.25">
      <c r="A6788" s="5"/>
      <c r="B6788" s="6"/>
      <c r="C6788" s="6"/>
      <c r="D6788" s="6"/>
      <c r="E6788" s="6"/>
      <c r="G6788" s="3"/>
      <c r="H6788" s="2"/>
    </row>
    <row r="6789" spans="1:8" x14ac:dyDescent="0.25">
      <c r="A6789" s="5"/>
      <c r="B6789" s="6"/>
      <c r="C6789" s="6"/>
      <c r="D6789" s="6"/>
      <c r="E6789" s="6"/>
      <c r="G6789" s="1"/>
      <c r="H6789" s="2"/>
    </row>
    <row r="6790" spans="1:8" x14ac:dyDescent="0.25">
      <c r="A6790" s="5"/>
      <c r="B6790" s="6"/>
      <c r="C6790" s="6"/>
      <c r="D6790" s="6"/>
      <c r="E6790" s="6"/>
      <c r="G6790" s="3"/>
      <c r="H6790" s="2"/>
    </row>
    <row r="6791" spans="1:8" x14ac:dyDescent="0.25">
      <c r="A6791" s="5"/>
      <c r="B6791" s="6"/>
      <c r="C6791" s="6"/>
      <c r="D6791" s="6"/>
      <c r="E6791" s="6"/>
      <c r="G6791" s="1"/>
      <c r="H6791" s="2"/>
    </row>
    <row r="6792" spans="1:8" x14ac:dyDescent="0.25">
      <c r="A6792" s="5"/>
      <c r="B6792" s="6"/>
      <c r="C6792" s="6"/>
      <c r="D6792" s="6"/>
      <c r="E6792" s="6"/>
      <c r="G6792" s="3"/>
      <c r="H6792" s="2"/>
    </row>
    <row r="6793" spans="1:8" x14ac:dyDescent="0.25">
      <c r="A6793" s="5"/>
      <c r="B6793" s="6"/>
      <c r="C6793" s="6"/>
      <c r="D6793" s="6"/>
      <c r="E6793" s="6"/>
      <c r="G6793" s="1"/>
      <c r="H6793" s="2"/>
    </row>
    <row r="6794" spans="1:8" x14ac:dyDescent="0.25">
      <c r="A6794" s="5"/>
      <c r="B6794" s="6"/>
      <c r="C6794" s="6"/>
      <c r="D6794" s="6"/>
      <c r="E6794" s="6"/>
      <c r="G6794" s="3"/>
      <c r="H6794" s="2"/>
    </row>
    <row r="6795" spans="1:8" x14ac:dyDescent="0.25">
      <c r="A6795" s="5"/>
      <c r="B6795" s="6"/>
      <c r="C6795" s="6"/>
      <c r="D6795" s="6"/>
      <c r="E6795" s="6"/>
      <c r="G6795" s="1"/>
      <c r="H6795" s="2"/>
    </row>
    <row r="6796" spans="1:8" x14ac:dyDescent="0.25">
      <c r="A6796" s="5"/>
      <c r="B6796" s="6"/>
      <c r="C6796" s="6"/>
      <c r="D6796" s="6"/>
      <c r="E6796" s="6"/>
      <c r="G6796" s="3"/>
      <c r="H6796" s="2"/>
    </row>
    <row r="6797" spans="1:8" x14ac:dyDescent="0.25">
      <c r="A6797" s="5"/>
      <c r="B6797" s="6"/>
      <c r="C6797" s="6"/>
      <c r="D6797" s="6"/>
      <c r="E6797" s="6"/>
      <c r="G6797" s="1"/>
      <c r="H6797" s="2"/>
    </row>
    <row r="6798" spans="1:8" x14ac:dyDescent="0.25">
      <c r="A6798" s="5"/>
      <c r="B6798" s="6"/>
      <c r="C6798" s="6"/>
      <c r="D6798" s="6"/>
      <c r="E6798" s="6"/>
      <c r="G6798" s="3"/>
      <c r="H6798" s="2"/>
    </row>
    <row r="6799" spans="1:8" x14ac:dyDescent="0.25">
      <c r="A6799" s="5"/>
      <c r="B6799" s="6"/>
      <c r="C6799" s="6"/>
      <c r="D6799" s="6"/>
      <c r="E6799" s="6"/>
      <c r="G6799" s="1"/>
      <c r="H6799" s="2"/>
    </row>
    <row r="6800" spans="1:8" x14ac:dyDescent="0.25">
      <c r="A6800" s="5"/>
      <c r="B6800" s="6"/>
      <c r="C6800" s="6"/>
      <c r="D6800" s="6"/>
      <c r="E6800" s="6"/>
      <c r="G6800" s="3"/>
      <c r="H6800" s="2"/>
    </row>
    <row r="6801" spans="1:8" x14ac:dyDescent="0.25">
      <c r="A6801" s="5"/>
      <c r="B6801" s="6"/>
      <c r="C6801" s="6"/>
      <c r="D6801" s="6"/>
      <c r="E6801" s="6"/>
      <c r="G6801" s="1"/>
      <c r="H6801" s="2"/>
    </row>
    <row r="6802" spans="1:8" x14ac:dyDescent="0.25">
      <c r="A6802" s="5"/>
      <c r="B6802" s="6"/>
      <c r="C6802" s="6"/>
      <c r="D6802" s="6"/>
      <c r="E6802" s="6"/>
      <c r="G6802" s="3"/>
      <c r="H6802" s="2"/>
    </row>
    <row r="6803" spans="1:8" x14ac:dyDescent="0.25">
      <c r="A6803" s="5"/>
      <c r="B6803" s="6"/>
      <c r="C6803" s="6"/>
      <c r="D6803" s="6"/>
      <c r="E6803" s="6"/>
      <c r="G6803" s="1"/>
      <c r="H6803" s="2"/>
    </row>
    <row r="6804" spans="1:8" x14ac:dyDescent="0.25">
      <c r="A6804" s="5"/>
      <c r="B6804" s="6"/>
      <c r="C6804" s="6"/>
      <c r="D6804" s="6"/>
      <c r="E6804" s="6"/>
      <c r="G6804" s="3"/>
      <c r="H6804" s="2"/>
    </row>
    <row r="6805" spans="1:8" x14ac:dyDescent="0.25">
      <c r="A6805" s="5"/>
      <c r="B6805" s="6"/>
      <c r="C6805" s="6"/>
      <c r="D6805" s="6"/>
      <c r="E6805" s="6"/>
      <c r="G6805" s="1"/>
      <c r="H6805" s="2"/>
    </row>
    <row r="6806" spans="1:8" x14ac:dyDescent="0.25">
      <c r="A6806" s="5"/>
      <c r="B6806" s="6"/>
      <c r="C6806" s="6"/>
      <c r="D6806" s="6"/>
      <c r="E6806" s="6"/>
      <c r="G6806" s="3"/>
      <c r="H6806" s="2"/>
    </row>
    <row r="6807" spans="1:8" x14ac:dyDescent="0.25">
      <c r="A6807" s="5"/>
      <c r="B6807" s="6"/>
      <c r="C6807" s="6"/>
      <c r="D6807" s="6"/>
      <c r="E6807" s="6"/>
      <c r="G6807" s="1"/>
      <c r="H6807" s="2"/>
    </row>
    <row r="6808" spans="1:8" x14ac:dyDescent="0.25">
      <c r="A6808" s="5"/>
      <c r="B6808" s="6"/>
      <c r="C6808" s="6"/>
      <c r="D6808" s="6"/>
      <c r="E6808" s="6"/>
      <c r="G6808" s="3"/>
      <c r="H6808" s="2"/>
    </row>
    <row r="6809" spans="1:8" x14ac:dyDescent="0.25">
      <c r="A6809" s="5"/>
      <c r="B6809" s="6"/>
      <c r="C6809" s="6"/>
      <c r="D6809" s="6"/>
      <c r="E6809" s="6"/>
      <c r="G6809" s="1"/>
      <c r="H6809" s="2"/>
    </row>
    <row r="6810" spans="1:8" x14ac:dyDescent="0.25">
      <c r="A6810" s="5"/>
      <c r="B6810" s="6"/>
      <c r="C6810" s="6"/>
      <c r="D6810" s="6"/>
      <c r="E6810" s="6"/>
      <c r="G6810" s="3"/>
      <c r="H6810" s="2"/>
    </row>
    <row r="6811" spans="1:8" x14ac:dyDescent="0.25">
      <c r="A6811" s="5"/>
      <c r="B6811" s="6"/>
      <c r="C6811" s="6"/>
      <c r="D6811" s="6"/>
      <c r="E6811" s="6"/>
      <c r="G6811" s="1"/>
      <c r="H6811" s="2"/>
    </row>
    <row r="6812" spans="1:8" x14ac:dyDescent="0.25">
      <c r="A6812" s="5"/>
      <c r="B6812" s="6"/>
      <c r="C6812" s="6"/>
      <c r="D6812" s="6"/>
      <c r="E6812" s="6"/>
      <c r="G6812" s="3"/>
      <c r="H6812" s="2"/>
    </row>
    <row r="6813" spans="1:8" x14ac:dyDescent="0.25">
      <c r="A6813" s="5"/>
      <c r="B6813" s="6"/>
      <c r="C6813" s="6"/>
      <c r="D6813" s="6"/>
      <c r="E6813" s="6"/>
      <c r="G6813" s="1"/>
      <c r="H6813" s="2"/>
    </row>
    <row r="6814" spans="1:8" x14ac:dyDescent="0.25">
      <c r="A6814" s="5"/>
      <c r="B6814" s="6"/>
      <c r="C6814" s="6"/>
      <c r="D6814" s="6"/>
      <c r="E6814" s="6"/>
      <c r="G6814" s="3"/>
      <c r="H6814" s="2"/>
    </row>
    <row r="6815" spans="1:8" x14ac:dyDescent="0.25">
      <c r="A6815" s="5"/>
      <c r="B6815" s="6"/>
      <c r="C6815" s="6"/>
      <c r="D6815" s="6"/>
      <c r="E6815" s="6"/>
      <c r="G6815" s="1"/>
      <c r="H6815" s="2"/>
    </row>
    <row r="6816" spans="1:8" x14ac:dyDescent="0.25">
      <c r="A6816" s="5"/>
      <c r="B6816" s="6"/>
      <c r="C6816" s="6"/>
      <c r="D6816" s="6"/>
      <c r="E6816" s="6"/>
      <c r="G6816" s="3"/>
      <c r="H6816" s="2"/>
    </row>
    <row r="6817" spans="1:8" x14ac:dyDescent="0.25">
      <c r="A6817" s="5"/>
      <c r="B6817" s="6"/>
      <c r="C6817" s="6"/>
      <c r="D6817" s="6"/>
      <c r="E6817" s="6"/>
      <c r="G6817" s="1"/>
      <c r="H6817" s="2"/>
    </row>
    <row r="6818" spans="1:8" x14ac:dyDescent="0.25">
      <c r="A6818" s="5"/>
      <c r="B6818" s="6"/>
      <c r="C6818" s="6"/>
      <c r="D6818" s="6"/>
      <c r="E6818" s="6"/>
      <c r="G6818" s="3"/>
      <c r="H6818" s="2"/>
    </row>
    <row r="6819" spans="1:8" x14ac:dyDescent="0.25">
      <c r="A6819" s="5"/>
      <c r="B6819" s="6"/>
      <c r="C6819" s="6"/>
      <c r="D6819" s="6"/>
      <c r="E6819" s="6"/>
      <c r="G6819" s="1"/>
      <c r="H6819" s="2"/>
    </row>
    <row r="6820" spans="1:8" x14ac:dyDescent="0.25">
      <c r="A6820" s="5"/>
      <c r="B6820" s="6"/>
      <c r="C6820" s="6"/>
      <c r="D6820" s="6"/>
      <c r="E6820" s="6"/>
      <c r="G6820" s="3"/>
      <c r="H6820" s="2"/>
    </row>
    <row r="6821" spans="1:8" x14ac:dyDescent="0.25">
      <c r="A6821" s="5"/>
      <c r="B6821" s="6"/>
      <c r="C6821" s="6"/>
      <c r="D6821" s="6"/>
      <c r="E6821" s="6"/>
      <c r="G6821" s="1"/>
      <c r="H6821" s="2"/>
    </row>
    <row r="6822" spans="1:8" x14ac:dyDescent="0.25">
      <c r="A6822" s="5"/>
      <c r="B6822" s="6"/>
      <c r="C6822" s="6"/>
      <c r="D6822" s="6"/>
      <c r="E6822" s="6"/>
      <c r="G6822" s="3"/>
      <c r="H6822" s="2"/>
    </row>
    <row r="6823" spans="1:8" x14ac:dyDescent="0.25">
      <c r="A6823" s="5"/>
      <c r="B6823" s="6"/>
      <c r="C6823" s="6"/>
      <c r="D6823" s="6"/>
      <c r="E6823" s="6"/>
      <c r="G6823" s="1"/>
      <c r="H6823" s="2"/>
    </row>
    <row r="6824" spans="1:8" x14ac:dyDescent="0.25">
      <c r="A6824" s="5"/>
      <c r="B6824" s="6"/>
      <c r="C6824" s="6"/>
      <c r="D6824" s="6"/>
      <c r="E6824" s="6"/>
      <c r="G6824" s="3"/>
      <c r="H6824" s="2"/>
    </row>
    <row r="6825" spans="1:8" x14ac:dyDescent="0.25">
      <c r="A6825" s="5"/>
      <c r="B6825" s="6"/>
      <c r="C6825" s="6"/>
      <c r="D6825" s="6"/>
      <c r="E6825" s="6"/>
      <c r="G6825" s="1"/>
      <c r="H6825" s="2"/>
    </row>
    <row r="6826" spans="1:8" x14ac:dyDescent="0.25">
      <c r="A6826" s="5"/>
      <c r="B6826" s="6"/>
      <c r="C6826" s="6"/>
      <c r="D6826" s="6"/>
      <c r="E6826" s="6"/>
      <c r="G6826" s="3"/>
      <c r="H6826" s="2"/>
    </row>
    <row r="6827" spans="1:8" x14ac:dyDescent="0.25">
      <c r="A6827" s="5"/>
      <c r="B6827" s="6"/>
      <c r="C6827" s="6"/>
      <c r="D6827" s="6"/>
      <c r="E6827" s="6"/>
      <c r="G6827" s="1"/>
      <c r="H6827" s="2"/>
    </row>
    <row r="6828" spans="1:8" x14ac:dyDescent="0.25">
      <c r="A6828" s="5"/>
      <c r="B6828" s="6"/>
      <c r="C6828" s="6"/>
      <c r="D6828" s="6"/>
      <c r="E6828" s="6"/>
      <c r="G6828" s="3"/>
      <c r="H6828" s="2"/>
    </row>
    <row r="6829" spans="1:8" x14ac:dyDescent="0.25">
      <c r="A6829" s="5"/>
      <c r="B6829" s="6"/>
      <c r="C6829" s="6"/>
      <c r="D6829" s="6"/>
      <c r="E6829" s="6"/>
      <c r="G6829" s="1"/>
      <c r="H6829" s="2"/>
    </row>
    <row r="6830" spans="1:8" x14ac:dyDescent="0.25">
      <c r="A6830" s="5"/>
      <c r="B6830" s="6"/>
      <c r="C6830" s="6"/>
      <c r="D6830" s="6"/>
      <c r="E6830" s="6"/>
      <c r="G6830" s="3"/>
      <c r="H6830" s="2"/>
    </row>
    <row r="6831" spans="1:8" x14ac:dyDescent="0.25">
      <c r="A6831" s="5"/>
      <c r="B6831" s="6"/>
      <c r="C6831" s="6"/>
      <c r="D6831" s="6"/>
      <c r="E6831" s="6"/>
      <c r="G6831" s="1"/>
      <c r="H6831" s="2"/>
    </row>
    <row r="6832" spans="1:8" x14ac:dyDescent="0.25">
      <c r="A6832" s="5"/>
      <c r="B6832" s="6"/>
      <c r="C6832" s="6"/>
      <c r="D6832" s="6"/>
      <c r="E6832" s="6"/>
      <c r="G6832" s="3"/>
      <c r="H6832" s="2"/>
    </row>
    <row r="6833" spans="1:8" x14ac:dyDescent="0.25">
      <c r="A6833" s="5"/>
      <c r="B6833" s="6"/>
      <c r="C6833" s="6"/>
      <c r="D6833" s="6"/>
      <c r="E6833" s="6"/>
      <c r="G6833" s="1"/>
      <c r="H6833" s="2"/>
    </row>
    <row r="6834" spans="1:8" x14ac:dyDescent="0.25">
      <c r="A6834" s="5"/>
      <c r="B6834" s="6"/>
      <c r="C6834" s="6"/>
      <c r="D6834" s="6"/>
      <c r="E6834" s="6"/>
      <c r="G6834" s="3"/>
      <c r="H6834" s="2"/>
    </row>
    <row r="6835" spans="1:8" x14ac:dyDescent="0.25">
      <c r="A6835" s="5"/>
      <c r="B6835" s="6"/>
      <c r="C6835" s="6"/>
      <c r="D6835" s="6"/>
      <c r="E6835" s="6"/>
      <c r="G6835" s="1"/>
      <c r="H6835" s="2"/>
    </row>
    <row r="6836" spans="1:8" x14ac:dyDescent="0.25">
      <c r="A6836" s="5"/>
      <c r="B6836" s="6"/>
      <c r="C6836" s="6"/>
      <c r="D6836" s="6"/>
      <c r="E6836" s="6"/>
      <c r="G6836" s="3"/>
      <c r="H6836" s="2"/>
    </row>
    <row r="6837" spans="1:8" x14ac:dyDescent="0.25">
      <c r="A6837" s="5"/>
      <c r="B6837" s="6"/>
      <c r="C6837" s="6"/>
      <c r="D6837" s="6"/>
      <c r="E6837" s="6"/>
      <c r="G6837" s="1"/>
      <c r="H6837" s="2"/>
    </row>
    <row r="6838" spans="1:8" x14ac:dyDescent="0.25">
      <c r="A6838" s="5"/>
      <c r="B6838" s="6"/>
      <c r="C6838" s="6"/>
      <c r="D6838" s="6"/>
      <c r="E6838" s="6"/>
      <c r="G6838" s="3"/>
      <c r="H6838" s="2"/>
    </row>
    <row r="6839" spans="1:8" x14ac:dyDescent="0.25">
      <c r="A6839" s="5"/>
      <c r="B6839" s="6"/>
      <c r="C6839" s="6"/>
      <c r="D6839" s="6"/>
      <c r="E6839" s="6"/>
      <c r="G6839" s="1"/>
      <c r="H6839" s="2"/>
    </row>
    <row r="6840" spans="1:8" x14ac:dyDescent="0.25">
      <c r="A6840" s="5"/>
      <c r="B6840" s="6"/>
      <c r="C6840" s="6"/>
      <c r="D6840" s="6"/>
      <c r="E6840" s="6"/>
      <c r="G6840" s="3"/>
      <c r="H6840" s="2"/>
    </row>
    <row r="6841" spans="1:8" x14ac:dyDescent="0.25">
      <c r="A6841" s="5"/>
      <c r="B6841" s="6"/>
      <c r="C6841" s="6"/>
      <c r="D6841" s="6"/>
      <c r="E6841" s="6"/>
      <c r="G6841" s="1"/>
      <c r="H6841" s="2"/>
    </row>
    <row r="6842" spans="1:8" x14ac:dyDescent="0.25">
      <c r="A6842" s="5"/>
      <c r="B6842" s="6"/>
      <c r="C6842" s="6"/>
      <c r="D6842" s="6"/>
      <c r="E6842" s="6"/>
      <c r="G6842" s="3"/>
      <c r="H6842" s="2"/>
    </row>
    <row r="6843" spans="1:8" x14ac:dyDescent="0.25">
      <c r="A6843" s="5"/>
      <c r="B6843" s="6"/>
      <c r="C6843" s="6"/>
      <c r="D6843" s="6"/>
      <c r="E6843" s="6"/>
      <c r="G6843" s="1"/>
      <c r="H6843" s="2"/>
    </row>
    <row r="6844" spans="1:8" x14ac:dyDescent="0.25">
      <c r="A6844" s="5"/>
      <c r="B6844" s="6"/>
      <c r="C6844" s="6"/>
      <c r="D6844" s="6"/>
      <c r="E6844" s="6"/>
      <c r="G6844" s="3"/>
      <c r="H6844" s="2"/>
    </row>
    <row r="6845" spans="1:8" x14ac:dyDescent="0.25">
      <c r="A6845" s="5"/>
      <c r="B6845" s="6"/>
      <c r="C6845" s="6"/>
      <c r="D6845" s="6"/>
      <c r="E6845" s="6"/>
      <c r="G6845" s="1"/>
      <c r="H6845" s="2"/>
    </row>
    <row r="6846" spans="1:8" x14ac:dyDescent="0.25">
      <c r="A6846" s="5"/>
      <c r="B6846" s="6"/>
      <c r="C6846" s="6"/>
      <c r="D6846" s="6"/>
      <c r="E6846" s="6"/>
      <c r="G6846" s="3"/>
      <c r="H6846" s="2"/>
    </row>
    <row r="6847" spans="1:8" x14ac:dyDescent="0.25">
      <c r="A6847" s="5"/>
      <c r="B6847" s="6"/>
      <c r="C6847" s="6"/>
      <c r="D6847" s="6"/>
      <c r="E6847" s="6"/>
      <c r="G6847" s="1"/>
      <c r="H6847" s="2"/>
    </row>
    <row r="6848" spans="1:8" x14ac:dyDescent="0.25">
      <c r="A6848" s="5"/>
      <c r="B6848" s="6"/>
      <c r="C6848" s="6"/>
      <c r="D6848" s="6"/>
      <c r="E6848" s="6"/>
      <c r="G6848" s="3"/>
      <c r="H6848" s="2"/>
    </row>
    <row r="6849" spans="1:8" x14ac:dyDescent="0.25">
      <c r="A6849" s="5"/>
      <c r="B6849" s="6"/>
      <c r="C6849" s="6"/>
      <c r="D6849" s="6"/>
      <c r="E6849" s="6"/>
      <c r="G6849" s="1"/>
      <c r="H6849" s="2"/>
    </row>
    <row r="6850" spans="1:8" x14ac:dyDescent="0.25">
      <c r="A6850" s="5"/>
      <c r="B6850" s="6"/>
      <c r="C6850" s="6"/>
      <c r="D6850" s="6"/>
      <c r="E6850" s="6"/>
      <c r="G6850" s="3"/>
      <c r="H6850" s="2"/>
    </row>
    <row r="6851" spans="1:8" x14ac:dyDescent="0.25">
      <c r="A6851" s="5"/>
      <c r="B6851" s="6"/>
      <c r="C6851" s="6"/>
      <c r="D6851" s="6"/>
      <c r="E6851" s="6"/>
      <c r="G6851" s="1"/>
      <c r="H6851" s="2"/>
    </row>
    <row r="6852" spans="1:8" x14ac:dyDescent="0.25">
      <c r="A6852" s="5"/>
      <c r="B6852" s="6"/>
      <c r="C6852" s="6"/>
      <c r="D6852" s="6"/>
      <c r="E6852" s="6"/>
      <c r="G6852" s="3"/>
      <c r="H6852" s="2"/>
    </row>
    <row r="6853" spans="1:8" x14ac:dyDescent="0.25">
      <c r="A6853" s="5"/>
      <c r="B6853" s="6"/>
      <c r="C6853" s="6"/>
      <c r="D6853" s="6"/>
      <c r="E6853" s="6"/>
      <c r="G6853" s="1"/>
      <c r="H6853" s="2"/>
    </row>
    <row r="6854" spans="1:8" x14ac:dyDescent="0.25">
      <c r="A6854" s="5"/>
      <c r="B6854" s="6"/>
      <c r="C6854" s="6"/>
      <c r="D6854" s="6"/>
      <c r="E6854" s="6"/>
      <c r="G6854" s="3"/>
      <c r="H6854" s="2"/>
    </row>
    <row r="6855" spans="1:8" x14ac:dyDescent="0.25">
      <c r="A6855" s="5"/>
      <c r="B6855" s="6"/>
      <c r="C6855" s="6"/>
      <c r="D6855" s="6"/>
      <c r="E6855" s="6"/>
      <c r="G6855" s="1"/>
      <c r="H6855" s="2"/>
    </row>
    <row r="6856" spans="1:8" x14ac:dyDescent="0.25">
      <c r="A6856" s="5"/>
      <c r="B6856" s="6"/>
      <c r="C6856" s="6"/>
      <c r="D6856" s="6"/>
      <c r="E6856" s="6"/>
      <c r="G6856" s="3"/>
      <c r="H6856" s="2"/>
    </row>
    <row r="6857" spans="1:8" x14ac:dyDescent="0.25">
      <c r="A6857" s="5"/>
      <c r="B6857" s="6"/>
      <c r="C6857" s="6"/>
      <c r="D6857" s="6"/>
      <c r="E6857" s="6"/>
      <c r="G6857" s="1"/>
      <c r="H6857" s="2"/>
    </row>
    <row r="6858" spans="1:8" x14ac:dyDescent="0.25">
      <c r="A6858" s="5"/>
      <c r="B6858" s="6"/>
      <c r="C6858" s="6"/>
      <c r="D6858" s="6"/>
      <c r="E6858" s="6"/>
      <c r="G6858" s="3"/>
      <c r="H6858" s="2"/>
    </row>
    <row r="6859" spans="1:8" x14ac:dyDescent="0.25">
      <c r="A6859" s="5"/>
      <c r="B6859" s="6"/>
      <c r="C6859" s="6"/>
      <c r="D6859" s="6"/>
      <c r="E6859" s="6"/>
      <c r="G6859" s="1"/>
      <c r="H6859" s="2"/>
    </row>
    <row r="6860" spans="1:8" x14ac:dyDescent="0.25">
      <c r="A6860" s="5"/>
      <c r="B6860" s="6"/>
      <c r="C6860" s="6"/>
      <c r="D6860" s="6"/>
      <c r="E6860" s="6"/>
      <c r="G6860" s="3"/>
      <c r="H6860" s="2"/>
    </row>
    <row r="6861" spans="1:8" x14ac:dyDescent="0.25">
      <c r="A6861" s="5"/>
      <c r="B6861" s="6"/>
      <c r="C6861" s="6"/>
      <c r="D6861" s="6"/>
      <c r="E6861" s="6"/>
      <c r="G6861" s="1"/>
      <c r="H6861" s="2"/>
    </row>
    <row r="6862" spans="1:8" x14ac:dyDescent="0.25">
      <c r="A6862" s="5"/>
      <c r="B6862" s="6"/>
      <c r="C6862" s="6"/>
      <c r="D6862" s="6"/>
      <c r="E6862" s="6"/>
      <c r="G6862" s="3"/>
      <c r="H6862" s="2"/>
    </row>
    <row r="6863" spans="1:8" x14ac:dyDescent="0.25">
      <c r="A6863" s="5"/>
      <c r="B6863" s="6"/>
      <c r="C6863" s="6"/>
      <c r="D6863" s="6"/>
      <c r="E6863" s="6"/>
      <c r="G6863" s="1"/>
      <c r="H6863" s="2"/>
    </row>
    <row r="6864" spans="1:8" x14ac:dyDescent="0.25">
      <c r="A6864" s="5"/>
      <c r="B6864" s="6"/>
      <c r="C6864" s="6"/>
      <c r="D6864" s="6"/>
      <c r="E6864" s="6"/>
      <c r="G6864" s="3"/>
      <c r="H6864" s="2"/>
    </row>
    <row r="6865" spans="1:8" x14ac:dyDescent="0.25">
      <c r="A6865" s="5"/>
      <c r="B6865" s="6"/>
      <c r="C6865" s="6"/>
      <c r="D6865" s="6"/>
      <c r="E6865" s="6"/>
      <c r="G6865" s="1"/>
      <c r="H6865" s="2"/>
    </row>
    <row r="6866" spans="1:8" x14ac:dyDescent="0.25">
      <c r="A6866" s="5"/>
      <c r="B6866" s="6"/>
      <c r="C6866" s="6"/>
      <c r="D6866" s="6"/>
      <c r="E6866" s="6"/>
      <c r="G6866" s="3"/>
      <c r="H6866" s="2"/>
    </row>
    <row r="6867" spans="1:8" x14ac:dyDescent="0.25">
      <c r="A6867" s="5"/>
      <c r="B6867" s="6"/>
      <c r="C6867" s="6"/>
      <c r="D6867" s="6"/>
      <c r="E6867" s="6"/>
      <c r="G6867" s="1"/>
      <c r="H6867" s="2"/>
    </row>
    <row r="6868" spans="1:8" x14ac:dyDescent="0.25">
      <c r="A6868" s="5"/>
      <c r="B6868" s="6"/>
      <c r="C6868" s="6"/>
      <c r="D6868" s="6"/>
      <c r="E6868" s="6"/>
      <c r="G6868" s="3"/>
      <c r="H6868" s="2"/>
    </row>
    <row r="6869" spans="1:8" x14ac:dyDescent="0.25">
      <c r="A6869" s="5"/>
      <c r="B6869" s="6"/>
      <c r="C6869" s="6"/>
      <c r="D6869" s="6"/>
      <c r="E6869" s="6"/>
      <c r="G6869" s="1"/>
      <c r="H6869" s="2"/>
    </row>
    <row r="6870" spans="1:8" x14ac:dyDescent="0.25">
      <c r="A6870" s="5"/>
      <c r="B6870" s="6"/>
      <c r="C6870" s="6"/>
      <c r="D6870" s="6"/>
      <c r="E6870" s="6"/>
      <c r="G6870" s="3"/>
      <c r="H6870" s="2"/>
    </row>
    <row r="6871" spans="1:8" x14ac:dyDescent="0.25">
      <c r="A6871" s="5"/>
      <c r="B6871" s="6"/>
      <c r="C6871" s="6"/>
      <c r="D6871" s="6"/>
      <c r="E6871" s="6"/>
      <c r="G6871" s="1"/>
      <c r="H6871" s="2"/>
    </row>
    <row r="6872" spans="1:8" x14ac:dyDescent="0.25">
      <c r="A6872" s="5"/>
      <c r="B6872" s="6"/>
      <c r="C6872" s="6"/>
      <c r="D6872" s="6"/>
      <c r="E6872" s="6"/>
      <c r="G6872" s="3"/>
      <c r="H6872" s="2"/>
    </row>
    <row r="6873" spans="1:8" x14ac:dyDescent="0.25">
      <c r="A6873" s="5"/>
      <c r="B6873" s="6"/>
      <c r="C6873" s="6"/>
      <c r="D6873" s="6"/>
      <c r="E6873" s="6"/>
      <c r="G6873" s="1"/>
      <c r="H6873" s="2"/>
    </row>
    <row r="6874" spans="1:8" x14ac:dyDescent="0.25">
      <c r="A6874" s="5"/>
      <c r="B6874" s="6"/>
      <c r="C6874" s="6"/>
      <c r="D6874" s="6"/>
      <c r="E6874" s="6"/>
      <c r="G6874" s="3"/>
      <c r="H6874" s="2"/>
    </row>
    <row r="6875" spans="1:8" x14ac:dyDescent="0.25">
      <c r="A6875" s="5"/>
      <c r="B6875" s="6"/>
      <c r="C6875" s="6"/>
      <c r="D6875" s="6"/>
      <c r="E6875" s="6"/>
      <c r="G6875" s="1"/>
      <c r="H6875" s="2"/>
    </row>
    <row r="6876" spans="1:8" x14ac:dyDescent="0.25">
      <c r="A6876" s="5"/>
      <c r="B6876" s="6"/>
      <c r="C6876" s="6"/>
      <c r="D6876" s="6"/>
      <c r="E6876" s="6"/>
      <c r="G6876" s="3"/>
      <c r="H6876" s="2"/>
    </row>
    <row r="6877" spans="1:8" x14ac:dyDescent="0.25">
      <c r="A6877" s="5"/>
      <c r="B6877" s="6"/>
      <c r="C6877" s="6"/>
      <c r="D6877" s="6"/>
      <c r="E6877" s="6"/>
      <c r="G6877" s="1"/>
      <c r="H6877" s="2"/>
    </row>
    <row r="6878" spans="1:8" x14ac:dyDescent="0.25">
      <c r="A6878" s="5"/>
      <c r="B6878" s="6"/>
      <c r="C6878" s="6"/>
      <c r="D6878" s="6"/>
      <c r="E6878" s="6"/>
      <c r="G6878" s="3"/>
      <c r="H6878" s="2"/>
    </row>
    <row r="6879" spans="1:8" x14ac:dyDescent="0.25">
      <c r="A6879" s="5"/>
      <c r="B6879" s="6"/>
      <c r="C6879" s="6"/>
      <c r="D6879" s="6"/>
      <c r="E6879" s="6"/>
      <c r="G6879" s="1"/>
      <c r="H6879" s="2"/>
    </row>
    <row r="6880" spans="1:8" x14ac:dyDescent="0.25">
      <c r="A6880" s="5"/>
      <c r="B6880" s="6"/>
      <c r="C6880" s="6"/>
      <c r="D6880" s="6"/>
      <c r="E6880" s="6"/>
      <c r="G6880" s="14"/>
      <c r="H6880" s="2"/>
    </row>
    <row r="6881" spans="1:8" x14ac:dyDescent="0.25">
      <c r="A6881" s="5"/>
      <c r="B6881" s="6"/>
      <c r="C6881" s="6"/>
      <c r="D6881" s="6"/>
      <c r="E6881" s="6"/>
      <c r="G6881" s="14"/>
      <c r="H6881" s="2"/>
    </row>
    <row r="6882" spans="1:8" x14ac:dyDescent="0.25">
      <c r="A6882" s="5"/>
      <c r="B6882" s="6"/>
      <c r="C6882" s="6"/>
      <c r="D6882" s="6"/>
      <c r="E6882" s="6"/>
      <c r="G6882" s="14"/>
      <c r="H6882" s="2"/>
    </row>
    <row r="6883" spans="1:8" x14ac:dyDescent="0.25">
      <c r="A6883" s="5"/>
      <c r="B6883" s="6"/>
      <c r="C6883" s="6"/>
      <c r="D6883" s="6"/>
      <c r="E6883" s="6"/>
      <c r="G6883" s="14"/>
      <c r="H6883" s="2"/>
    </row>
    <row r="6884" spans="1:8" x14ac:dyDescent="0.25">
      <c r="A6884" s="5"/>
      <c r="B6884" s="6"/>
      <c r="C6884" s="6"/>
      <c r="D6884" s="6"/>
      <c r="E6884" s="6"/>
      <c r="G6884" s="14"/>
      <c r="H6884" s="2"/>
    </row>
    <row r="6885" spans="1:8" x14ac:dyDescent="0.25">
      <c r="A6885" s="5"/>
      <c r="B6885" s="6"/>
      <c r="C6885" s="6"/>
      <c r="D6885" s="6"/>
      <c r="E6885" s="6"/>
      <c r="G6885" s="14"/>
      <c r="H6885" s="2"/>
    </row>
    <row r="6886" spans="1:8" x14ac:dyDescent="0.25">
      <c r="A6886" s="5"/>
      <c r="B6886" s="6"/>
      <c r="C6886" s="6"/>
      <c r="D6886" s="6"/>
      <c r="E6886" s="6"/>
    </row>
    <row r="6887" spans="1:8" x14ac:dyDescent="0.25">
      <c r="A6887" s="5"/>
      <c r="B6887" s="6"/>
      <c r="C6887" s="6"/>
      <c r="D6887" s="6"/>
      <c r="E6887" s="6"/>
      <c r="G6887" s="3"/>
      <c r="H6887" s="2"/>
    </row>
    <row r="6888" spans="1:8" x14ac:dyDescent="0.25">
      <c r="A6888" s="5"/>
      <c r="B6888" s="6"/>
      <c r="C6888" s="6"/>
      <c r="D6888" s="6"/>
      <c r="E6888" s="6"/>
      <c r="G6888" s="1"/>
      <c r="H6888" s="2"/>
    </row>
    <row r="6889" spans="1:8" x14ac:dyDescent="0.25">
      <c r="A6889" s="5"/>
      <c r="B6889" s="6"/>
      <c r="C6889" s="6"/>
      <c r="D6889" s="6"/>
      <c r="E6889" s="6"/>
      <c r="G6889" s="3"/>
      <c r="H6889" s="2"/>
    </row>
    <row r="6890" spans="1:8" x14ac:dyDescent="0.25">
      <c r="A6890" s="5"/>
      <c r="B6890" s="6"/>
      <c r="C6890" s="6"/>
      <c r="D6890" s="6"/>
      <c r="E6890" s="6"/>
      <c r="G6890" s="1"/>
      <c r="H6890" s="2"/>
    </row>
    <row r="6891" spans="1:8" x14ac:dyDescent="0.25">
      <c r="A6891" s="5"/>
      <c r="B6891" s="6"/>
      <c r="C6891" s="6"/>
      <c r="D6891" s="6"/>
      <c r="E6891" s="6"/>
      <c r="G6891" s="3"/>
      <c r="H6891" s="2"/>
    </row>
    <row r="6892" spans="1:8" x14ac:dyDescent="0.25">
      <c r="A6892" s="5"/>
      <c r="B6892" s="6"/>
      <c r="C6892" s="6"/>
      <c r="D6892" s="6"/>
      <c r="E6892" s="6"/>
      <c r="G6892" s="1"/>
      <c r="H6892" s="2"/>
    </row>
    <row r="6893" spans="1:8" x14ac:dyDescent="0.25">
      <c r="A6893" s="5"/>
      <c r="B6893" s="6"/>
      <c r="C6893" s="6"/>
      <c r="D6893" s="6"/>
      <c r="E6893" s="6"/>
      <c r="G6893" s="3"/>
      <c r="H6893" s="2"/>
    </row>
    <row r="6894" spans="1:8" x14ac:dyDescent="0.25">
      <c r="A6894" s="5"/>
      <c r="B6894" s="6"/>
      <c r="C6894" s="6"/>
      <c r="D6894" s="6"/>
      <c r="E6894" s="6"/>
      <c r="G6894" s="1"/>
      <c r="H6894" s="2"/>
    </row>
    <row r="6895" spans="1:8" x14ac:dyDescent="0.25">
      <c r="A6895" s="5"/>
      <c r="B6895" s="6"/>
      <c r="C6895" s="6"/>
      <c r="D6895" s="6"/>
      <c r="E6895" s="6"/>
      <c r="G6895" s="3"/>
      <c r="H6895" s="2"/>
    </row>
    <row r="6896" spans="1:8" x14ac:dyDescent="0.25">
      <c r="A6896" s="5"/>
      <c r="B6896" s="6"/>
      <c r="C6896" s="6"/>
      <c r="D6896" s="6"/>
      <c r="E6896" s="6"/>
      <c r="G6896" s="1"/>
      <c r="H6896" s="2"/>
    </row>
    <row r="6897" spans="1:8" x14ac:dyDescent="0.25">
      <c r="A6897" s="5"/>
      <c r="B6897" s="6"/>
      <c r="C6897" s="6"/>
      <c r="D6897" s="6"/>
      <c r="E6897" s="6"/>
      <c r="G6897" s="3"/>
      <c r="H6897" s="2"/>
    </row>
    <row r="6898" spans="1:8" x14ac:dyDescent="0.25">
      <c r="A6898" s="5"/>
      <c r="B6898" s="6"/>
      <c r="C6898" s="6"/>
      <c r="D6898" s="6"/>
      <c r="E6898" s="6"/>
      <c r="G6898" s="1"/>
      <c r="H6898" s="2"/>
    </row>
    <row r="6899" spans="1:8" x14ac:dyDescent="0.25">
      <c r="A6899" s="5"/>
      <c r="B6899" s="6"/>
      <c r="C6899" s="6"/>
      <c r="D6899" s="6"/>
      <c r="E6899" s="6"/>
      <c r="G6899" s="3"/>
      <c r="H6899" s="2"/>
    </row>
    <row r="6900" spans="1:8" x14ac:dyDescent="0.25">
      <c r="A6900" s="5"/>
      <c r="B6900" s="6"/>
      <c r="C6900" s="6"/>
      <c r="D6900" s="6"/>
      <c r="E6900" s="6"/>
      <c r="G6900" s="1"/>
      <c r="H6900" s="2"/>
    </row>
    <row r="6901" spans="1:8" x14ac:dyDescent="0.25">
      <c r="A6901" s="5"/>
      <c r="B6901" s="6"/>
      <c r="C6901" s="6"/>
      <c r="D6901" s="6"/>
      <c r="E6901" s="6"/>
      <c r="G6901" s="3"/>
      <c r="H6901" s="2"/>
    </row>
    <row r="6902" spans="1:8" x14ac:dyDescent="0.25">
      <c r="A6902" s="5"/>
      <c r="B6902" s="6"/>
      <c r="C6902" s="6"/>
      <c r="D6902" s="6"/>
      <c r="E6902" s="6"/>
      <c r="G6902" s="1"/>
      <c r="H6902" s="2"/>
    </row>
    <row r="6903" spans="1:8" x14ac:dyDescent="0.25">
      <c r="A6903" s="5"/>
      <c r="B6903" s="6"/>
      <c r="C6903" s="6"/>
      <c r="D6903" s="6"/>
      <c r="E6903" s="6"/>
      <c r="G6903" s="3"/>
      <c r="H6903" s="2"/>
    </row>
    <row r="6904" spans="1:8" x14ac:dyDescent="0.25">
      <c r="A6904" s="5"/>
      <c r="B6904" s="6"/>
      <c r="C6904" s="6"/>
      <c r="D6904" s="6"/>
      <c r="E6904" s="6"/>
      <c r="G6904" s="1"/>
      <c r="H6904" s="2"/>
    </row>
    <row r="6905" spans="1:8" x14ac:dyDescent="0.25">
      <c r="A6905" s="5"/>
      <c r="B6905" s="6"/>
      <c r="C6905" s="6"/>
      <c r="D6905" s="6"/>
      <c r="E6905" s="6"/>
      <c r="G6905" s="3"/>
      <c r="H6905" s="2"/>
    </row>
    <row r="6906" spans="1:8" x14ac:dyDescent="0.25">
      <c r="A6906" s="5"/>
      <c r="B6906" s="6"/>
      <c r="C6906" s="6"/>
      <c r="D6906" s="6"/>
      <c r="E6906" s="6"/>
      <c r="G6906" s="1"/>
      <c r="H6906" s="2"/>
    </row>
    <row r="6907" spans="1:8" x14ac:dyDescent="0.25">
      <c r="A6907" s="5"/>
      <c r="B6907" s="6"/>
      <c r="C6907" s="6"/>
      <c r="D6907" s="6"/>
      <c r="E6907" s="6"/>
      <c r="G6907" s="3"/>
      <c r="H6907" s="2"/>
    </row>
    <row r="6908" spans="1:8" x14ac:dyDescent="0.25">
      <c r="A6908" s="5"/>
      <c r="B6908" s="6"/>
      <c r="C6908" s="6"/>
      <c r="D6908" s="6"/>
      <c r="E6908" s="6"/>
      <c r="G6908" s="1"/>
      <c r="H6908" s="2"/>
    </row>
    <row r="6909" spans="1:8" x14ac:dyDescent="0.25">
      <c r="A6909" s="5"/>
      <c r="B6909" s="6"/>
      <c r="C6909" s="6"/>
      <c r="D6909" s="6"/>
      <c r="E6909" s="6"/>
      <c r="G6909" s="3"/>
      <c r="H6909" s="2"/>
    </row>
    <row r="6910" spans="1:8" x14ac:dyDescent="0.25">
      <c r="A6910" s="5"/>
      <c r="B6910" s="6"/>
      <c r="C6910" s="6"/>
      <c r="D6910" s="6"/>
      <c r="E6910" s="6"/>
      <c r="G6910" s="1"/>
      <c r="H6910" s="2"/>
    </row>
    <row r="6911" spans="1:8" x14ac:dyDescent="0.25">
      <c r="A6911" s="5"/>
      <c r="B6911" s="6"/>
      <c r="C6911" s="6"/>
      <c r="D6911" s="6"/>
      <c r="E6911" s="6"/>
      <c r="G6911" s="3"/>
      <c r="H6911" s="2"/>
    </row>
    <row r="6912" spans="1:8" x14ac:dyDescent="0.25">
      <c r="A6912" s="5"/>
      <c r="B6912" s="6"/>
      <c r="C6912" s="6"/>
      <c r="D6912" s="6"/>
      <c r="E6912" s="6"/>
      <c r="G6912" s="1"/>
      <c r="H6912" s="2"/>
    </row>
    <row r="6913" spans="1:8" x14ac:dyDescent="0.25">
      <c r="A6913" s="5"/>
      <c r="B6913" s="6"/>
      <c r="C6913" s="6"/>
      <c r="D6913" s="6"/>
      <c r="E6913" s="6"/>
      <c r="G6913" s="3"/>
      <c r="H6913" s="2"/>
    </row>
    <row r="6914" spans="1:8" x14ac:dyDescent="0.25">
      <c r="A6914" s="5"/>
      <c r="B6914" s="6"/>
      <c r="C6914" s="6"/>
      <c r="D6914" s="6"/>
      <c r="E6914" s="6"/>
      <c r="G6914" s="1"/>
      <c r="H6914" s="2"/>
    </row>
    <row r="6915" spans="1:8" x14ac:dyDescent="0.25">
      <c r="A6915" s="5"/>
      <c r="B6915" s="6"/>
      <c r="C6915" s="6"/>
      <c r="D6915" s="6"/>
      <c r="E6915" s="6"/>
      <c r="G6915" s="3"/>
      <c r="H6915" s="2"/>
    </row>
    <row r="6916" spans="1:8" x14ac:dyDescent="0.25">
      <c r="A6916" s="5"/>
      <c r="B6916" s="6"/>
      <c r="C6916" s="6"/>
      <c r="D6916" s="6"/>
      <c r="E6916" s="6"/>
      <c r="G6916" s="1"/>
      <c r="H6916" s="2"/>
    </row>
    <row r="6917" spans="1:8" x14ac:dyDescent="0.25">
      <c r="A6917" s="5"/>
      <c r="B6917" s="6"/>
      <c r="C6917" s="6"/>
      <c r="D6917" s="6"/>
      <c r="E6917" s="6"/>
      <c r="G6917" s="3"/>
      <c r="H6917" s="2"/>
    </row>
    <row r="6918" spans="1:8" x14ac:dyDescent="0.25">
      <c r="A6918" s="5"/>
      <c r="B6918" s="6"/>
      <c r="C6918" s="6"/>
      <c r="D6918" s="6"/>
      <c r="E6918" s="6"/>
      <c r="G6918" s="1"/>
      <c r="H6918" s="2"/>
    </row>
    <row r="6919" spans="1:8" x14ac:dyDescent="0.25">
      <c r="A6919" s="5"/>
      <c r="B6919" s="6"/>
      <c r="C6919" s="6"/>
      <c r="D6919" s="6"/>
      <c r="E6919" s="6"/>
      <c r="G6919" s="3"/>
      <c r="H6919" s="2"/>
    </row>
    <row r="6920" spans="1:8" x14ac:dyDescent="0.25">
      <c r="A6920" s="5"/>
      <c r="B6920" s="6"/>
      <c r="C6920" s="6"/>
      <c r="D6920" s="6"/>
      <c r="E6920" s="6"/>
      <c r="G6920" s="1"/>
      <c r="H6920" s="2"/>
    </row>
    <row r="6921" spans="1:8" x14ac:dyDescent="0.25">
      <c r="A6921" s="5"/>
      <c r="B6921" s="6"/>
      <c r="C6921" s="6"/>
      <c r="D6921" s="6"/>
      <c r="E6921" s="6"/>
      <c r="G6921" s="3"/>
      <c r="H6921" s="2"/>
    </row>
    <row r="6922" spans="1:8" x14ac:dyDescent="0.25">
      <c r="A6922" s="5"/>
      <c r="B6922" s="6"/>
      <c r="C6922" s="6"/>
      <c r="D6922" s="6"/>
      <c r="E6922" s="6"/>
      <c r="G6922" s="1"/>
      <c r="H6922" s="2"/>
    </row>
    <row r="6923" spans="1:8" x14ac:dyDescent="0.25">
      <c r="A6923" s="5"/>
      <c r="B6923" s="6"/>
      <c r="C6923" s="6"/>
      <c r="D6923" s="6"/>
      <c r="E6923" s="6"/>
      <c r="G6923" s="3"/>
      <c r="H6923" s="2"/>
    </row>
    <row r="6924" spans="1:8" x14ac:dyDescent="0.25">
      <c r="A6924" s="5"/>
      <c r="B6924" s="6"/>
      <c r="C6924" s="6"/>
      <c r="D6924" s="6"/>
      <c r="E6924" s="6"/>
      <c r="G6924" s="1"/>
      <c r="H6924" s="2"/>
    </row>
    <row r="6925" spans="1:8" x14ac:dyDescent="0.25">
      <c r="A6925" s="5"/>
      <c r="B6925" s="6"/>
      <c r="C6925" s="6"/>
      <c r="D6925" s="6"/>
      <c r="E6925" s="6"/>
      <c r="G6925" s="3"/>
      <c r="H6925" s="2"/>
    </row>
    <row r="6926" spans="1:8" x14ac:dyDescent="0.25">
      <c r="A6926" s="5"/>
      <c r="B6926" s="6"/>
      <c r="C6926" s="6"/>
      <c r="D6926" s="6"/>
      <c r="E6926" s="6"/>
      <c r="G6926" s="1"/>
      <c r="H6926" s="2"/>
    </row>
    <row r="6927" spans="1:8" x14ac:dyDescent="0.25">
      <c r="A6927" s="5"/>
      <c r="B6927" s="6"/>
      <c r="C6927" s="6"/>
      <c r="D6927" s="6"/>
      <c r="E6927" s="6"/>
      <c r="G6927" s="3"/>
      <c r="H6927" s="2"/>
    </row>
    <row r="6928" spans="1:8" x14ac:dyDescent="0.25">
      <c r="A6928" s="5"/>
      <c r="B6928" s="6"/>
      <c r="C6928" s="6"/>
      <c r="D6928" s="6"/>
      <c r="E6928" s="6"/>
      <c r="G6928" s="1"/>
      <c r="H6928" s="2"/>
    </row>
    <row r="6929" spans="1:8" x14ac:dyDescent="0.25">
      <c r="A6929" s="5"/>
      <c r="B6929" s="6"/>
      <c r="C6929" s="6"/>
      <c r="D6929" s="6"/>
      <c r="E6929" s="6"/>
      <c r="G6929" s="3"/>
      <c r="H6929" s="2"/>
    </row>
    <row r="6930" spans="1:8" x14ac:dyDescent="0.25">
      <c r="A6930" s="5"/>
      <c r="B6930" s="6"/>
      <c r="C6930" s="6"/>
      <c r="D6930" s="6"/>
      <c r="E6930" s="6"/>
      <c r="G6930" s="1"/>
      <c r="H6930" s="2"/>
    </row>
    <row r="6931" spans="1:8" x14ac:dyDescent="0.25">
      <c r="A6931" s="5"/>
      <c r="B6931" s="6"/>
      <c r="C6931" s="6"/>
      <c r="D6931" s="6"/>
      <c r="E6931" s="6"/>
      <c r="G6931" s="3"/>
      <c r="H6931" s="2"/>
    </row>
    <row r="6932" spans="1:8" x14ac:dyDescent="0.25">
      <c r="A6932" s="5"/>
      <c r="B6932" s="6"/>
      <c r="C6932" s="6"/>
      <c r="D6932" s="6"/>
      <c r="E6932" s="6"/>
      <c r="G6932" s="1"/>
      <c r="H6932" s="2"/>
    </row>
    <row r="6933" spans="1:8" x14ac:dyDescent="0.25">
      <c r="A6933" s="5"/>
      <c r="B6933" s="6"/>
      <c r="C6933" s="6"/>
      <c r="D6933" s="6"/>
      <c r="E6933" s="6"/>
      <c r="G6933" s="3"/>
      <c r="H6933" s="2"/>
    </row>
    <row r="6934" spans="1:8" x14ac:dyDescent="0.25">
      <c r="A6934" s="5"/>
      <c r="B6934" s="6"/>
      <c r="C6934" s="6"/>
      <c r="D6934" s="6"/>
      <c r="E6934" s="6"/>
      <c r="G6934" s="1"/>
      <c r="H6934" s="2"/>
    </row>
    <row r="6935" spans="1:8" x14ac:dyDescent="0.25">
      <c r="A6935" s="5"/>
      <c r="B6935" s="6"/>
      <c r="C6935" s="6"/>
      <c r="D6935" s="6"/>
      <c r="E6935" s="6"/>
      <c r="G6935" s="3"/>
      <c r="H6935" s="2"/>
    </row>
    <row r="6936" spans="1:8" x14ac:dyDescent="0.25">
      <c r="A6936" s="5"/>
      <c r="B6936" s="6"/>
      <c r="C6936" s="6"/>
      <c r="D6936" s="6"/>
      <c r="E6936" s="6"/>
      <c r="G6936" s="1"/>
      <c r="H6936" s="2"/>
    </row>
    <row r="6937" spans="1:8" x14ac:dyDescent="0.25">
      <c r="A6937" s="5"/>
      <c r="B6937" s="6"/>
      <c r="C6937" s="6"/>
      <c r="D6937" s="6"/>
      <c r="E6937" s="6"/>
      <c r="G6937" s="3"/>
      <c r="H6937" s="2"/>
    </row>
    <row r="6938" spans="1:8" x14ac:dyDescent="0.25">
      <c r="A6938" s="5"/>
      <c r="B6938" s="6"/>
      <c r="C6938" s="6"/>
      <c r="D6938" s="6"/>
      <c r="E6938" s="6"/>
      <c r="G6938" s="1"/>
      <c r="H6938" s="2"/>
    </row>
    <row r="6939" spans="1:8" x14ac:dyDescent="0.25">
      <c r="A6939" s="5"/>
      <c r="B6939" s="6"/>
      <c r="C6939" s="6"/>
      <c r="D6939" s="6"/>
      <c r="E6939" s="6"/>
      <c r="G6939" s="3"/>
      <c r="H6939" s="2"/>
    </row>
    <row r="6940" spans="1:8" x14ac:dyDescent="0.25">
      <c r="A6940" s="5"/>
      <c r="B6940" s="6"/>
      <c r="C6940" s="6"/>
      <c r="D6940" s="6"/>
      <c r="E6940" s="6"/>
      <c r="G6940" s="1"/>
      <c r="H6940" s="2"/>
    </row>
    <row r="6941" spans="1:8" x14ac:dyDescent="0.25">
      <c r="A6941" s="5"/>
      <c r="B6941" s="6"/>
      <c r="C6941" s="6"/>
      <c r="D6941" s="6"/>
      <c r="E6941" s="6"/>
      <c r="G6941" s="3"/>
      <c r="H6941" s="2"/>
    </row>
    <row r="6942" spans="1:8" x14ac:dyDescent="0.25">
      <c r="A6942" s="5"/>
      <c r="B6942" s="6"/>
      <c r="C6942" s="6"/>
      <c r="D6942" s="6"/>
      <c r="E6942" s="6"/>
      <c r="G6942" s="1"/>
      <c r="H6942" s="2"/>
    </row>
    <row r="6943" spans="1:8" x14ac:dyDescent="0.25">
      <c r="A6943" s="5"/>
      <c r="B6943" s="6"/>
      <c r="C6943" s="6"/>
      <c r="D6943" s="6"/>
      <c r="E6943" s="6"/>
      <c r="G6943" s="3"/>
      <c r="H6943" s="2"/>
    </row>
    <row r="6944" spans="1:8" x14ac:dyDescent="0.25">
      <c r="A6944" s="5"/>
      <c r="B6944" s="6"/>
      <c r="C6944" s="6"/>
      <c r="D6944" s="6"/>
      <c r="E6944" s="6"/>
      <c r="G6944" s="1"/>
      <c r="H6944" s="2"/>
    </row>
    <row r="6945" spans="1:8" x14ac:dyDescent="0.25">
      <c r="A6945" s="5"/>
      <c r="B6945" s="6"/>
      <c r="C6945" s="6"/>
      <c r="D6945" s="6"/>
      <c r="E6945" s="6"/>
      <c r="G6945" s="3"/>
      <c r="H6945" s="2"/>
    </row>
    <row r="6946" spans="1:8" x14ac:dyDescent="0.25">
      <c r="A6946" s="5"/>
      <c r="B6946" s="6"/>
      <c r="C6946" s="6"/>
      <c r="D6946" s="6"/>
      <c r="E6946" s="6"/>
      <c r="G6946" s="1"/>
      <c r="H6946" s="2"/>
    </row>
    <row r="6947" spans="1:8" x14ac:dyDescent="0.25">
      <c r="A6947" s="5"/>
      <c r="B6947" s="6"/>
      <c r="C6947" s="6"/>
      <c r="D6947" s="6"/>
      <c r="E6947" s="6"/>
      <c r="G6947" s="3"/>
      <c r="H6947" s="2"/>
    </row>
    <row r="6948" spans="1:8" x14ac:dyDescent="0.25">
      <c r="A6948" s="5"/>
      <c r="B6948" s="6"/>
      <c r="C6948" s="6"/>
      <c r="D6948" s="6"/>
      <c r="E6948" s="6"/>
      <c r="G6948" s="1"/>
      <c r="H6948" s="2"/>
    </row>
    <row r="6949" spans="1:8" x14ac:dyDescent="0.25">
      <c r="A6949" s="5"/>
      <c r="B6949" s="6"/>
      <c r="C6949" s="6"/>
      <c r="D6949" s="6"/>
      <c r="E6949" s="6"/>
      <c r="G6949" s="3"/>
      <c r="H6949" s="2"/>
    </row>
    <row r="6950" spans="1:8" x14ac:dyDescent="0.25">
      <c r="A6950" s="5"/>
      <c r="B6950" s="6"/>
      <c r="C6950" s="6"/>
      <c r="D6950" s="6"/>
      <c r="E6950" s="6"/>
      <c r="G6950" s="1"/>
      <c r="H6950" s="2"/>
    </row>
    <row r="6951" spans="1:8" x14ac:dyDescent="0.25">
      <c r="A6951" s="5"/>
      <c r="B6951" s="6"/>
      <c r="C6951" s="6"/>
      <c r="D6951" s="6"/>
      <c r="E6951" s="6"/>
      <c r="G6951" s="3"/>
      <c r="H6951" s="2"/>
    </row>
    <row r="6952" spans="1:8" x14ac:dyDescent="0.25">
      <c r="A6952" s="5"/>
      <c r="B6952" s="6"/>
      <c r="C6952" s="6"/>
      <c r="D6952" s="6"/>
      <c r="E6952" s="6"/>
      <c r="G6952" s="1"/>
      <c r="H6952" s="2"/>
    </row>
    <row r="6953" spans="1:8" x14ac:dyDescent="0.25">
      <c r="A6953" s="5"/>
      <c r="B6953" s="6"/>
      <c r="C6953" s="6"/>
      <c r="D6953" s="6"/>
      <c r="E6953" s="6"/>
      <c r="G6953" s="3"/>
      <c r="H6953" s="2"/>
    </row>
    <row r="6954" spans="1:8" x14ac:dyDescent="0.25">
      <c r="A6954" s="5"/>
      <c r="B6954" s="6"/>
      <c r="C6954" s="6"/>
      <c r="D6954" s="6"/>
      <c r="E6954" s="6"/>
      <c r="G6954" s="1"/>
      <c r="H6954" s="2"/>
    </row>
    <row r="6955" spans="1:8" x14ac:dyDescent="0.25">
      <c r="A6955" s="5"/>
      <c r="B6955" s="6"/>
      <c r="C6955" s="6"/>
      <c r="D6955" s="6"/>
      <c r="E6955" s="6"/>
      <c r="G6955" s="3"/>
      <c r="H6955" s="2"/>
    </row>
    <row r="6956" spans="1:8" x14ac:dyDescent="0.25">
      <c r="A6956" s="5"/>
      <c r="B6956" s="6"/>
      <c r="C6956" s="6"/>
      <c r="D6956" s="6"/>
      <c r="E6956" s="6"/>
      <c r="G6956" s="1"/>
      <c r="H6956" s="2"/>
    </row>
    <row r="6957" spans="1:8" x14ac:dyDescent="0.25">
      <c r="A6957" s="5"/>
      <c r="B6957" s="6"/>
      <c r="C6957" s="6"/>
      <c r="D6957" s="6"/>
      <c r="E6957" s="6"/>
      <c r="G6957" s="3"/>
      <c r="H6957" s="2"/>
    </row>
    <row r="6958" spans="1:8" x14ac:dyDescent="0.25">
      <c r="A6958" s="5"/>
      <c r="B6958" s="6"/>
      <c r="C6958" s="6"/>
      <c r="D6958" s="6"/>
      <c r="E6958" s="6"/>
      <c r="G6958" s="1"/>
      <c r="H6958" s="2"/>
    </row>
    <row r="6959" spans="1:8" x14ac:dyDescent="0.25">
      <c r="A6959" s="5"/>
      <c r="B6959" s="6"/>
      <c r="C6959" s="6"/>
      <c r="D6959" s="6"/>
      <c r="E6959" s="6"/>
      <c r="G6959" s="3"/>
      <c r="H6959" s="2"/>
    </row>
    <row r="6960" spans="1:8" x14ac:dyDescent="0.25">
      <c r="A6960" s="5"/>
      <c r="B6960" s="6"/>
      <c r="C6960" s="6"/>
      <c r="D6960" s="6"/>
      <c r="E6960" s="6"/>
      <c r="G6960" s="1"/>
      <c r="H6960" s="2"/>
    </row>
    <row r="6961" spans="1:8" x14ac:dyDescent="0.25">
      <c r="A6961" s="5"/>
      <c r="B6961" s="6"/>
      <c r="C6961" s="6"/>
      <c r="D6961" s="6"/>
      <c r="E6961" s="6"/>
      <c r="G6961" s="3"/>
      <c r="H6961" s="2"/>
    </row>
    <row r="6962" spans="1:8" x14ac:dyDescent="0.25">
      <c r="A6962" s="5"/>
      <c r="B6962" s="6"/>
      <c r="C6962" s="6"/>
      <c r="D6962" s="6"/>
      <c r="E6962" s="6"/>
      <c r="G6962" s="1"/>
      <c r="H6962" s="2"/>
    </row>
    <row r="6963" spans="1:8" x14ac:dyDescent="0.25">
      <c r="A6963" s="5"/>
      <c r="B6963" s="6"/>
      <c r="C6963" s="6"/>
      <c r="D6963" s="6"/>
      <c r="E6963" s="6"/>
      <c r="G6963" s="3"/>
      <c r="H6963" s="2"/>
    </row>
    <row r="6964" spans="1:8" x14ac:dyDescent="0.25">
      <c r="A6964" s="5"/>
      <c r="B6964" s="6"/>
      <c r="C6964" s="6"/>
      <c r="D6964" s="6"/>
      <c r="E6964" s="6"/>
      <c r="G6964" s="1"/>
      <c r="H6964" s="2"/>
    </row>
    <row r="6965" spans="1:8" x14ac:dyDescent="0.25">
      <c r="A6965" s="5"/>
      <c r="B6965" s="6"/>
      <c r="C6965" s="6"/>
      <c r="D6965" s="6"/>
      <c r="E6965" s="6"/>
      <c r="G6965" s="3"/>
      <c r="H6965" s="2"/>
    </row>
    <row r="6966" spans="1:8" x14ac:dyDescent="0.25">
      <c r="A6966" s="5"/>
      <c r="B6966" s="6"/>
      <c r="C6966" s="6"/>
      <c r="D6966" s="6"/>
      <c r="E6966" s="6"/>
      <c r="G6966" s="1"/>
      <c r="H6966" s="2"/>
    </row>
    <row r="6967" spans="1:8" x14ac:dyDescent="0.25">
      <c r="A6967" s="5"/>
      <c r="B6967" s="6"/>
      <c r="C6967" s="6"/>
      <c r="D6967" s="6"/>
      <c r="E6967" s="6"/>
      <c r="G6967" s="3"/>
      <c r="H6967" s="2"/>
    </row>
    <row r="6968" spans="1:8" x14ac:dyDescent="0.25">
      <c r="A6968" s="5"/>
      <c r="B6968" s="6"/>
      <c r="C6968" s="6"/>
      <c r="D6968" s="6"/>
      <c r="E6968" s="6"/>
      <c r="G6968" s="1"/>
      <c r="H6968" s="2"/>
    </row>
    <row r="6969" spans="1:8" x14ac:dyDescent="0.25">
      <c r="A6969" s="5"/>
      <c r="B6969" s="6"/>
      <c r="C6969" s="6"/>
      <c r="D6969" s="6"/>
      <c r="E6969" s="6"/>
      <c r="G6969" s="3"/>
      <c r="H6969" s="2"/>
    </row>
    <row r="6970" spans="1:8" x14ac:dyDescent="0.25">
      <c r="A6970" s="5"/>
      <c r="B6970" s="6"/>
      <c r="C6970" s="6"/>
      <c r="D6970" s="6"/>
      <c r="E6970" s="6"/>
      <c r="G6970" s="1"/>
      <c r="H6970" s="2"/>
    </row>
    <row r="6971" spans="1:8" x14ac:dyDescent="0.25">
      <c r="A6971" s="5"/>
      <c r="B6971" s="6"/>
      <c r="C6971" s="6"/>
      <c r="D6971" s="6"/>
      <c r="E6971" s="6"/>
      <c r="G6971" s="3"/>
      <c r="H6971" s="2"/>
    </row>
    <row r="6972" spans="1:8" x14ac:dyDescent="0.25">
      <c r="A6972" s="5"/>
      <c r="B6972" s="6"/>
      <c r="C6972" s="6"/>
      <c r="D6972" s="6"/>
      <c r="E6972" s="6"/>
      <c r="G6972" s="1"/>
      <c r="H6972" s="2"/>
    </row>
    <row r="6973" spans="1:8" x14ac:dyDescent="0.25">
      <c r="A6973" s="5"/>
      <c r="B6973" s="6"/>
      <c r="C6973" s="6"/>
      <c r="D6973" s="6"/>
      <c r="E6973" s="6"/>
      <c r="G6973" s="3"/>
      <c r="H6973" s="2"/>
    </row>
    <row r="6974" spans="1:8" x14ac:dyDescent="0.25">
      <c r="A6974" s="5"/>
      <c r="B6974" s="6"/>
      <c r="C6974" s="6"/>
      <c r="D6974" s="6"/>
      <c r="E6974" s="6"/>
      <c r="G6974" s="1"/>
      <c r="H6974" s="2"/>
    </row>
    <row r="6975" spans="1:8" x14ac:dyDescent="0.25">
      <c r="A6975" s="5"/>
      <c r="B6975" s="6"/>
      <c r="C6975" s="6"/>
      <c r="D6975" s="6"/>
      <c r="E6975" s="6"/>
      <c r="G6975" s="3"/>
      <c r="H6975" s="2"/>
    </row>
    <row r="6976" spans="1:8" x14ac:dyDescent="0.25">
      <c r="A6976" s="5"/>
      <c r="B6976" s="6"/>
      <c r="C6976" s="6"/>
      <c r="D6976" s="6"/>
      <c r="E6976" s="6"/>
      <c r="G6976" s="1"/>
      <c r="H6976" s="2"/>
    </row>
    <row r="6977" spans="1:8" x14ac:dyDescent="0.25">
      <c r="A6977" s="5"/>
      <c r="B6977" s="6"/>
      <c r="C6977" s="6"/>
      <c r="D6977" s="6"/>
      <c r="E6977" s="6"/>
      <c r="G6977" s="3"/>
      <c r="H6977" s="2"/>
    </row>
    <row r="6978" spans="1:8" x14ac:dyDescent="0.25">
      <c r="A6978" s="5"/>
      <c r="B6978" s="6"/>
      <c r="C6978" s="6"/>
      <c r="D6978" s="6"/>
      <c r="E6978" s="6"/>
      <c r="G6978" s="1"/>
      <c r="H6978" s="2"/>
    </row>
    <row r="6979" spans="1:8" x14ac:dyDescent="0.25">
      <c r="A6979" s="5"/>
      <c r="B6979" s="6"/>
      <c r="C6979" s="6"/>
      <c r="D6979" s="6"/>
      <c r="E6979" s="6"/>
      <c r="G6979" s="3"/>
      <c r="H6979" s="2"/>
    </row>
    <row r="6980" spans="1:8" x14ac:dyDescent="0.25">
      <c r="A6980" s="5"/>
      <c r="B6980" s="6"/>
      <c r="C6980" s="6"/>
      <c r="D6980" s="6"/>
      <c r="E6980" s="6"/>
      <c r="G6980" s="1"/>
      <c r="H6980" s="2"/>
    </row>
    <row r="6981" spans="1:8" x14ac:dyDescent="0.25">
      <c r="A6981" s="5"/>
      <c r="B6981" s="6"/>
      <c r="C6981" s="6"/>
      <c r="D6981" s="6"/>
      <c r="E6981" s="6"/>
      <c r="G6981" s="3"/>
      <c r="H6981" s="2"/>
    </row>
    <row r="6982" spans="1:8" x14ac:dyDescent="0.25">
      <c r="A6982" s="5"/>
      <c r="B6982" s="6"/>
      <c r="C6982" s="6"/>
      <c r="D6982" s="6"/>
      <c r="E6982" s="6"/>
      <c r="G6982" s="1"/>
      <c r="H6982" s="2"/>
    </row>
    <row r="6983" spans="1:8" x14ac:dyDescent="0.25">
      <c r="A6983" s="5"/>
      <c r="B6983" s="6"/>
      <c r="C6983" s="6"/>
      <c r="D6983" s="6"/>
      <c r="E6983" s="6"/>
      <c r="G6983" s="3"/>
      <c r="H6983" s="2"/>
    </row>
    <row r="6984" spans="1:8" x14ac:dyDescent="0.25">
      <c r="A6984" s="5"/>
      <c r="B6984" s="6"/>
      <c r="C6984" s="6"/>
      <c r="D6984" s="6"/>
      <c r="E6984" s="6"/>
      <c r="G6984" s="1"/>
      <c r="H6984" s="2"/>
    </row>
    <row r="6985" spans="1:8" x14ac:dyDescent="0.25">
      <c r="A6985" s="5"/>
      <c r="B6985" s="6"/>
      <c r="C6985" s="6"/>
      <c r="D6985" s="6"/>
      <c r="E6985" s="6"/>
      <c r="G6985" s="3"/>
      <c r="H6985" s="2"/>
    </row>
    <row r="6986" spans="1:8" x14ac:dyDescent="0.25">
      <c r="A6986" s="5"/>
      <c r="B6986" s="6"/>
      <c r="C6986" s="6"/>
      <c r="D6986" s="6"/>
      <c r="E6986" s="6"/>
      <c r="G6986" s="1"/>
      <c r="H6986" s="2"/>
    </row>
    <row r="6987" spans="1:8" x14ac:dyDescent="0.25">
      <c r="A6987" s="5"/>
      <c r="B6987" s="6"/>
      <c r="C6987" s="6"/>
      <c r="D6987" s="6"/>
      <c r="E6987" s="6"/>
      <c r="G6987" s="3"/>
      <c r="H6987" s="2"/>
    </row>
    <row r="6988" spans="1:8" x14ac:dyDescent="0.25">
      <c r="A6988" s="5"/>
      <c r="B6988" s="6"/>
      <c r="C6988" s="6"/>
      <c r="D6988" s="6"/>
      <c r="E6988" s="6"/>
      <c r="G6988" s="1"/>
      <c r="H6988" s="2"/>
    </row>
    <row r="6989" spans="1:8" x14ac:dyDescent="0.25">
      <c r="A6989" s="5"/>
      <c r="B6989" s="6"/>
      <c r="C6989" s="6"/>
      <c r="D6989" s="6"/>
      <c r="E6989" s="6"/>
      <c r="G6989" s="3"/>
      <c r="H6989" s="2"/>
    </row>
    <row r="6990" spans="1:8" x14ac:dyDescent="0.25">
      <c r="A6990" s="5"/>
      <c r="B6990" s="6"/>
      <c r="C6990" s="6"/>
      <c r="D6990" s="6"/>
      <c r="E6990" s="6"/>
      <c r="G6990" s="1"/>
      <c r="H6990" s="2"/>
    </row>
    <row r="6991" spans="1:8" x14ac:dyDescent="0.25">
      <c r="A6991" s="5"/>
      <c r="B6991" s="6"/>
      <c r="C6991" s="6"/>
      <c r="D6991" s="6"/>
      <c r="E6991" s="6"/>
      <c r="G6991" s="3"/>
      <c r="H6991" s="2"/>
    </row>
    <row r="6992" spans="1:8" x14ac:dyDescent="0.25">
      <c r="A6992" s="5"/>
      <c r="B6992" s="6"/>
      <c r="C6992" s="6"/>
      <c r="D6992" s="6"/>
      <c r="E6992" s="6"/>
      <c r="G6992" s="1"/>
      <c r="H6992" s="2"/>
    </row>
    <row r="6993" spans="1:8" x14ac:dyDescent="0.25">
      <c r="A6993" s="5"/>
      <c r="B6993" s="6"/>
      <c r="C6993" s="6"/>
      <c r="D6993" s="6"/>
      <c r="E6993" s="6"/>
      <c r="G6993" s="3"/>
      <c r="H6993" s="2"/>
    </row>
    <row r="6994" spans="1:8" x14ac:dyDescent="0.25">
      <c r="A6994" s="5"/>
      <c r="B6994" s="6"/>
      <c r="C6994" s="6"/>
      <c r="D6994" s="6"/>
      <c r="E6994" s="6"/>
      <c r="G6994" s="1"/>
      <c r="H6994" s="2"/>
    </row>
    <row r="6995" spans="1:8" x14ac:dyDescent="0.25">
      <c r="A6995" s="5"/>
      <c r="B6995" s="6"/>
      <c r="C6995" s="6"/>
      <c r="D6995" s="6"/>
      <c r="E6995" s="6"/>
      <c r="G6995" s="3"/>
      <c r="H6995" s="2"/>
    </row>
    <row r="6996" spans="1:8" x14ac:dyDescent="0.25">
      <c r="A6996" s="5"/>
      <c r="B6996" s="6"/>
      <c r="C6996" s="6"/>
      <c r="D6996" s="6"/>
      <c r="E6996" s="6"/>
      <c r="G6996" s="1"/>
      <c r="H6996" s="2"/>
    </row>
    <row r="6997" spans="1:8" x14ac:dyDescent="0.25">
      <c r="A6997" s="5"/>
      <c r="B6997" s="6"/>
      <c r="C6997" s="6"/>
      <c r="D6997" s="6"/>
      <c r="E6997" s="6"/>
      <c r="G6997" s="3"/>
      <c r="H6997" s="2"/>
    </row>
    <row r="6998" spans="1:8" x14ac:dyDescent="0.25">
      <c r="A6998" s="5"/>
      <c r="B6998" s="6"/>
      <c r="C6998" s="6"/>
      <c r="D6998" s="6"/>
      <c r="E6998" s="6"/>
      <c r="G6998" s="1"/>
      <c r="H6998" s="2"/>
    </row>
    <row r="6999" spans="1:8" x14ac:dyDescent="0.25">
      <c r="A6999" s="5"/>
      <c r="B6999" s="6"/>
      <c r="C6999" s="6"/>
      <c r="D6999" s="6"/>
      <c r="E6999" s="6"/>
      <c r="G6999" s="3"/>
      <c r="H6999" s="2"/>
    </row>
    <row r="7000" spans="1:8" x14ac:dyDescent="0.25">
      <c r="A7000" s="5"/>
      <c r="B7000" s="6"/>
      <c r="C7000" s="6"/>
      <c r="D7000" s="6"/>
      <c r="E7000" s="6"/>
      <c r="G7000" s="1"/>
      <c r="H7000" s="2"/>
    </row>
    <row r="7001" spans="1:8" x14ac:dyDescent="0.25">
      <c r="A7001" s="5"/>
      <c r="B7001" s="6"/>
      <c r="C7001" s="6"/>
      <c r="D7001" s="6"/>
      <c r="E7001" s="6"/>
      <c r="G7001" s="3"/>
      <c r="H7001" s="2"/>
    </row>
    <row r="7002" spans="1:8" x14ac:dyDescent="0.25">
      <c r="A7002" s="5"/>
      <c r="B7002" s="6"/>
      <c r="C7002" s="6"/>
      <c r="D7002" s="6"/>
      <c r="E7002" s="6"/>
      <c r="G7002" s="1"/>
      <c r="H7002" s="2"/>
    </row>
    <row r="7003" spans="1:8" x14ac:dyDescent="0.25">
      <c r="A7003" s="5"/>
      <c r="B7003" s="6"/>
      <c r="C7003" s="6"/>
      <c r="D7003" s="6"/>
      <c r="E7003" s="6"/>
      <c r="G7003" s="3"/>
      <c r="H7003" s="2"/>
    </row>
    <row r="7004" spans="1:8" x14ac:dyDescent="0.25">
      <c r="A7004" s="5"/>
      <c r="B7004" s="6"/>
      <c r="C7004" s="6"/>
      <c r="D7004" s="6"/>
      <c r="E7004" s="6"/>
      <c r="G7004" s="1"/>
      <c r="H7004" s="2"/>
    </row>
    <row r="7005" spans="1:8" x14ac:dyDescent="0.25">
      <c r="A7005" s="5"/>
      <c r="B7005" s="6"/>
      <c r="C7005" s="6"/>
      <c r="D7005" s="6"/>
      <c r="E7005" s="6"/>
      <c r="G7005" s="3"/>
      <c r="H7005" s="2"/>
    </row>
    <row r="7006" spans="1:8" x14ac:dyDescent="0.25">
      <c r="A7006" s="5"/>
      <c r="B7006" s="6"/>
      <c r="C7006" s="6"/>
      <c r="D7006" s="6"/>
      <c r="E7006" s="6"/>
      <c r="G7006" s="1"/>
      <c r="H7006" s="2"/>
    </row>
    <row r="7007" spans="1:8" x14ac:dyDescent="0.25">
      <c r="A7007" s="5"/>
      <c r="B7007" s="6"/>
      <c r="C7007" s="6"/>
      <c r="D7007" s="6"/>
      <c r="E7007" s="6"/>
      <c r="G7007" s="3"/>
      <c r="H7007" s="2"/>
    </row>
    <row r="7008" spans="1:8" x14ac:dyDescent="0.25">
      <c r="A7008" s="5"/>
      <c r="B7008" s="6"/>
      <c r="C7008" s="6"/>
      <c r="D7008" s="6"/>
      <c r="E7008" s="6"/>
      <c r="G7008" s="1"/>
      <c r="H7008" s="2"/>
    </row>
    <row r="7009" spans="1:8" x14ac:dyDescent="0.25">
      <c r="A7009" s="5"/>
      <c r="B7009" s="6"/>
      <c r="C7009" s="6"/>
      <c r="D7009" s="6"/>
      <c r="E7009" s="6"/>
      <c r="G7009" s="3"/>
      <c r="H7009" s="2"/>
    </row>
    <row r="7010" spans="1:8" x14ac:dyDescent="0.25">
      <c r="A7010" s="5"/>
      <c r="B7010" s="6"/>
      <c r="C7010" s="6"/>
      <c r="D7010" s="6"/>
      <c r="E7010" s="6"/>
      <c r="G7010" s="1"/>
      <c r="H7010" s="2"/>
    </row>
    <row r="7011" spans="1:8" x14ac:dyDescent="0.25">
      <c r="A7011" s="5"/>
      <c r="B7011" s="6"/>
      <c r="C7011" s="6"/>
      <c r="D7011" s="6"/>
      <c r="E7011" s="6"/>
      <c r="G7011" s="3"/>
      <c r="H7011" s="2"/>
    </row>
    <row r="7012" spans="1:8" x14ac:dyDescent="0.25">
      <c r="A7012" s="5"/>
      <c r="B7012" s="6"/>
      <c r="C7012" s="6"/>
      <c r="D7012" s="6"/>
      <c r="E7012" s="6"/>
      <c r="G7012" s="1"/>
      <c r="H7012" s="2"/>
    </row>
    <row r="7013" spans="1:8" x14ac:dyDescent="0.25">
      <c r="A7013" s="5"/>
      <c r="B7013" s="6"/>
      <c r="C7013" s="6"/>
      <c r="D7013" s="6"/>
      <c r="E7013" s="6"/>
      <c r="G7013" s="3"/>
      <c r="H7013" s="2"/>
    </row>
    <row r="7014" spans="1:8" x14ac:dyDescent="0.25">
      <c r="A7014" s="5"/>
      <c r="B7014" s="6"/>
      <c r="C7014" s="6"/>
      <c r="D7014" s="6"/>
      <c r="E7014" s="6"/>
      <c r="G7014" s="1"/>
      <c r="H7014" s="2"/>
    </row>
    <row r="7015" spans="1:8" x14ac:dyDescent="0.25">
      <c r="A7015" s="5"/>
      <c r="B7015" s="6"/>
      <c r="C7015" s="6"/>
      <c r="D7015" s="6"/>
      <c r="E7015" s="6"/>
      <c r="G7015" s="3"/>
      <c r="H7015" s="2"/>
    </row>
    <row r="7016" spans="1:8" x14ac:dyDescent="0.25">
      <c r="A7016" s="5"/>
      <c r="B7016" s="6"/>
      <c r="C7016" s="6"/>
      <c r="D7016" s="6"/>
      <c r="E7016" s="6"/>
      <c r="G7016" s="1"/>
      <c r="H7016" s="2"/>
    </row>
    <row r="7017" spans="1:8" x14ac:dyDescent="0.25">
      <c r="A7017" s="5"/>
      <c r="B7017" s="6"/>
      <c r="C7017" s="6"/>
      <c r="D7017" s="6"/>
      <c r="E7017" s="6"/>
      <c r="G7017" s="3"/>
      <c r="H7017" s="2"/>
    </row>
    <row r="7018" spans="1:8" x14ac:dyDescent="0.25">
      <c r="A7018" s="5"/>
      <c r="B7018" s="6"/>
      <c r="C7018" s="6"/>
      <c r="D7018" s="6"/>
      <c r="E7018" s="6"/>
      <c r="G7018" s="1"/>
      <c r="H7018" s="2"/>
    </row>
    <row r="7019" spans="1:8" x14ac:dyDescent="0.25">
      <c r="A7019" s="5"/>
      <c r="B7019" s="6"/>
      <c r="C7019" s="6"/>
      <c r="D7019" s="6"/>
      <c r="E7019" s="6"/>
      <c r="G7019" s="3"/>
      <c r="H7019" s="2"/>
    </row>
    <row r="7020" spans="1:8" x14ac:dyDescent="0.25">
      <c r="A7020" s="5"/>
      <c r="B7020" s="6"/>
      <c r="C7020" s="6"/>
      <c r="D7020" s="6"/>
      <c r="E7020" s="6"/>
      <c r="G7020" s="1"/>
      <c r="H7020" s="2"/>
    </row>
    <row r="7021" spans="1:8" x14ac:dyDescent="0.25">
      <c r="A7021" s="5"/>
      <c r="B7021" s="6"/>
      <c r="C7021" s="6"/>
      <c r="D7021" s="6"/>
      <c r="E7021" s="6"/>
      <c r="G7021" s="3"/>
      <c r="H7021" s="2"/>
    </row>
    <row r="7022" spans="1:8" x14ac:dyDescent="0.25">
      <c r="A7022" s="5"/>
      <c r="B7022" s="6"/>
      <c r="C7022" s="6"/>
      <c r="D7022" s="6"/>
      <c r="E7022" s="6"/>
      <c r="G7022" s="1"/>
      <c r="H7022" s="2"/>
    </row>
    <row r="7023" spans="1:8" x14ac:dyDescent="0.25">
      <c r="A7023" s="5"/>
      <c r="B7023" s="6"/>
      <c r="C7023" s="6"/>
      <c r="D7023" s="6"/>
      <c r="E7023" s="6"/>
      <c r="G7023" s="3"/>
      <c r="H7023" s="2"/>
    </row>
    <row r="7024" spans="1:8" x14ac:dyDescent="0.25">
      <c r="A7024" s="5"/>
      <c r="B7024" s="6"/>
      <c r="C7024" s="6"/>
      <c r="D7024" s="6"/>
      <c r="E7024" s="6"/>
      <c r="G7024" s="1"/>
      <c r="H7024" s="2"/>
    </row>
    <row r="7025" spans="1:8" x14ac:dyDescent="0.25">
      <c r="A7025" s="5"/>
      <c r="B7025" s="6"/>
      <c r="C7025" s="6"/>
      <c r="D7025" s="6"/>
      <c r="E7025" s="6"/>
      <c r="G7025" s="3"/>
      <c r="H7025" s="2"/>
    </row>
    <row r="7026" spans="1:8" x14ac:dyDescent="0.25">
      <c r="A7026" s="5"/>
      <c r="B7026" s="6"/>
      <c r="C7026" s="6"/>
      <c r="D7026" s="6"/>
      <c r="E7026" s="6"/>
      <c r="G7026" s="1"/>
      <c r="H7026" s="2"/>
    </row>
    <row r="7027" spans="1:8" x14ac:dyDescent="0.25">
      <c r="A7027" s="5"/>
      <c r="B7027" s="6"/>
      <c r="C7027" s="6"/>
      <c r="D7027" s="6"/>
      <c r="E7027" s="6"/>
      <c r="G7027" s="3"/>
      <c r="H7027" s="2"/>
    </row>
    <row r="7028" spans="1:8" x14ac:dyDescent="0.25">
      <c r="A7028" s="5"/>
      <c r="B7028" s="6"/>
      <c r="C7028" s="6"/>
      <c r="D7028" s="6"/>
      <c r="E7028" s="6"/>
      <c r="G7028" s="1"/>
      <c r="H7028" s="2"/>
    </row>
    <row r="7029" spans="1:8" x14ac:dyDescent="0.25">
      <c r="A7029" s="5"/>
      <c r="B7029" s="6"/>
      <c r="C7029" s="6"/>
      <c r="D7029" s="6"/>
      <c r="E7029" s="6"/>
      <c r="G7029" s="3"/>
      <c r="H7029" s="2"/>
    </row>
    <row r="7030" spans="1:8" x14ac:dyDescent="0.25">
      <c r="A7030" s="5"/>
      <c r="B7030" s="6"/>
      <c r="C7030" s="6"/>
      <c r="D7030" s="6"/>
      <c r="E7030" s="6"/>
      <c r="G7030" s="1"/>
      <c r="H7030" s="2"/>
    </row>
    <row r="7031" spans="1:8" x14ac:dyDescent="0.25">
      <c r="A7031" s="5"/>
      <c r="B7031" s="6"/>
      <c r="C7031" s="6"/>
      <c r="D7031" s="6"/>
      <c r="E7031" s="6"/>
      <c r="G7031" s="3"/>
      <c r="H7031" s="2"/>
    </row>
    <row r="7032" spans="1:8" x14ac:dyDescent="0.25">
      <c r="A7032" s="5"/>
      <c r="B7032" s="6"/>
      <c r="C7032" s="6"/>
      <c r="D7032" s="6"/>
      <c r="E7032" s="6"/>
      <c r="G7032" s="1"/>
      <c r="H7032" s="2"/>
    </row>
    <row r="7033" spans="1:8" x14ac:dyDescent="0.25">
      <c r="A7033" s="5"/>
      <c r="B7033" s="6"/>
      <c r="C7033" s="6"/>
      <c r="D7033" s="6"/>
      <c r="E7033" s="6"/>
      <c r="G7033" s="3"/>
      <c r="H7033" s="2"/>
    </row>
    <row r="7034" spans="1:8" x14ac:dyDescent="0.25">
      <c r="A7034" s="5"/>
      <c r="B7034" s="6"/>
      <c r="C7034" s="6"/>
      <c r="D7034" s="6"/>
      <c r="E7034" s="6"/>
      <c r="G7034" s="1"/>
      <c r="H7034" s="2"/>
    </row>
    <row r="7035" spans="1:8" x14ac:dyDescent="0.25">
      <c r="A7035" s="5"/>
      <c r="B7035" s="6"/>
      <c r="C7035" s="6"/>
      <c r="D7035" s="6"/>
      <c r="E7035" s="6"/>
      <c r="G7035" s="3"/>
      <c r="H7035" s="2"/>
    </row>
    <row r="7036" spans="1:8" x14ac:dyDescent="0.25">
      <c r="A7036" s="5"/>
      <c r="B7036" s="6"/>
      <c r="C7036" s="6"/>
      <c r="D7036" s="6"/>
      <c r="E7036" s="6"/>
      <c r="G7036" s="1"/>
      <c r="H7036" s="2"/>
    </row>
    <row r="7037" spans="1:8" x14ac:dyDescent="0.25">
      <c r="A7037" s="5"/>
      <c r="B7037" s="6"/>
      <c r="C7037" s="6"/>
      <c r="D7037" s="6"/>
      <c r="E7037" s="6"/>
      <c r="G7037" s="3"/>
      <c r="H7037" s="2"/>
    </row>
    <row r="7038" spans="1:8" x14ac:dyDescent="0.25">
      <c r="A7038" s="5"/>
      <c r="B7038" s="6"/>
      <c r="C7038" s="6"/>
      <c r="D7038" s="6"/>
      <c r="E7038" s="6"/>
      <c r="G7038" s="1"/>
      <c r="H7038" s="2"/>
    </row>
    <row r="7039" spans="1:8" x14ac:dyDescent="0.25">
      <c r="A7039" s="5"/>
      <c r="B7039" s="6"/>
      <c r="C7039" s="6"/>
      <c r="D7039" s="6"/>
      <c r="E7039" s="6"/>
      <c r="G7039" s="3"/>
      <c r="H7039" s="2"/>
    </row>
    <row r="7040" spans="1:8" x14ac:dyDescent="0.25">
      <c r="A7040" s="5"/>
      <c r="B7040" s="6"/>
      <c r="C7040" s="6"/>
      <c r="D7040" s="6"/>
      <c r="E7040" s="6"/>
      <c r="G7040" s="1"/>
      <c r="H7040" s="2"/>
    </row>
    <row r="7041" spans="1:8" x14ac:dyDescent="0.25">
      <c r="A7041" s="5"/>
      <c r="B7041" s="6"/>
      <c r="C7041" s="6"/>
      <c r="D7041" s="6"/>
      <c r="E7041" s="6"/>
      <c r="G7041" s="3"/>
      <c r="H7041" s="2"/>
    </row>
    <row r="7042" spans="1:8" x14ac:dyDescent="0.25">
      <c r="A7042" s="5"/>
      <c r="B7042" s="6"/>
      <c r="C7042" s="6"/>
      <c r="D7042" s="6"/>
      <c r="E7042" s="6"/>
      <c r="G7042" s="1"/>
      <c r="H7042" s="2"/>
    </row>
    <row r="7043" spans="1:8" x14ac:dyDescent="0.25">
      <c r="A7043" s="5"/>
      <c r="B7043" s="6"/>
      <c r="C7043" s="6"/>
      <c r="D7043" s="6"/>
      <c r="E7043" s="6"/>
      <c r="G7043" s="3"/>
      <c r="H7043" s="2"/>
    </row>
    <row r="7044" spans="1:8" x14ac:dyDescent="0.25">
      <c r="A7044" s="5"/>
      <c r="B7044" s="6"/>
      <c r="C7044" s="6"/>
      <c r="D7044" s="6"/>
      <c r="E7044" s="6"/>
      <c r="G7044" s="1"/>
      <c r="H7044" s="2"/>
    </row>
    <row r="7045" spans="1:8" x14ac:dyDescent="0.25">
      <c r="A7045" s="5"/>
      <c r="B7045" s="6"/>
      <c r="C7045" s="6"/>
      <c r="D7045" s="6"/>
      <c r="E7045" s="6"/>
      <c r="G7045" s="3"/>
      <c r="H7045" s="2"/>
    </row>
    <row r="7046" spans="1:8" x14ac:dyDescent="0.25">
      <c r="A7046" s="5"/>
      <c r="B7046" s="6"/>
      <c r="C7046" s="6"/>
      <c r="D7046" s="6"/>
      <c r="E7046" s="6"/>
      <c r="G7046" s="1"/>
      <c r="H7046" s="2"/>
    </row>
    <row r="7047" spans="1:8" x14ac:dyDescent="0.25">
      <c r="A7047" s="5"/>
      <c r="B7047" s="6"/>
      <c r="C7047" s="6"/>
      <c r="D7047" s="6"/>
      <c r="E7047" s="6"/>
      <c r="G7047" s="3"/>
      <c r="H7047" s="2"/>
    </row>
    <row r="7048" spans="1:8" x14ac:dyDescent="0.25">
      <c r="A7048" s="5"/>
      <c r="B7048" s="6"/>
      <c r="C7048" s="6"/>
      <c r="D7048" s="6"/>
      <c r="E7048" s="6"/>
      <c r="G7048" s="1"/>
      <c r="H7048" s="2"/>
    </row>
    <row r="7049" spans="1:8" x14ac:dyDescent="0.25">
      <c r="A7049" s="5"/>
      <c r="B7049" s="6"/>
      <c r="C7049" s="6"/>
      <c r="D7049" s="6"/>
      <c r="E7049" s="6"/>
      <c r="G7049" s="3"/>
      <c r="H7049" s="2"/>
    </row>
    <row r="7050" spans="1:8" x14ac:dyDescent="0.25">
      <c r="A7050" s="5"/>
      <c r="B7050" s="6"/>
      <c r="C7050" s="6"/>
      <c r="D7050" s="6"/>
      <c r="E7050" s="6"/>
      <c r="G7050" s="1"/>
      <c r="H7050" s="2"/>
    </row>
    <row r="7051" spans="1:8" x14ac:dyDescent="0.25">
      <c r="A7051" s="5"/>
      <c r="B7051" s="6"/>
      <c r="C7051" s="6"/>
      <c r="D7051" s="6"/>
      <c r="E7051" s="6"/>
      <c r="G7051" s="3"/>
      <c r="H7051" s="2"/>
    </row>
    <row r="7052" spans="1:8" x14ac:dyDescent="0.25">
      <c r="A7052" s="5"/>
      <c r="B7052" s="6"/>
      <c r="C7052" s="6"/>
      <c r="D7052" s="6"/>
      <c r="E7052" s="6"/>
      <c r="G7052" s="1"/>
      <c r="H7052" s="2"/>
    </row>
    <row r="7053" spans="1:8" x14ac:dyDescent="0.25">
      <c r="A7053" s="5"/>
      <c r="B7053" s="6"/>
      <c r="C7053" s="6"/>
      <c r="D7053" s="6"/>
      <c r="E7053" s="6"/>
      <c r="G7053" s="3"/>
      <c r="H7053" s="2"/>
    </row>
    <row r="7054" spans="1:8" x14ac:dyDescent="0.25">
      <c r="A7054" s="5"/>
      <c r="B7054" s="6"/>
      <c r="C7054" s="6"/>
      <c r="D7054" s="6"/>
      <c r="E7054" s="6"/>
      <c r="G7054" s="1"/>
      <c r="H7054" s="2"/>
    </row>
    <row r="7055" spans="1:8" x14ac:dyDescent="0.25">
      <c r="A7055" s="5"/>
      <c r="B7055" s="6"/>
      <c r="C7055" s="6"/>
      <c r="D7055" s="6"/>
      <c r="E7055" s="6"/>
      <c r="G7055" s="3"/>
      <c r="H7055" s="2"/>
    </row>
    <row r="7056" spans="1:8" x14ac:dyDescent="0.25">
      <c r="A7056" s="5"/>
      <c r="B7056" s="6"/>
      <c r="C7056" s="6"/>
      <c r="D7056" s="6"/>
      <c r="E7056" s="6"/>
      <c r="G7056" s="1"/>
      <c r="H7056" s="2"/>
    </row>
    <row r="7057" spans="1:8" x14ac:dyDescent="0.25">
      <c r="A7057" s="5"/>
      <c r="B7057" s="6"/>
      <c r="C7057" s="6"/>
      <c r="D7057" s="6"/>
      <c r="E7057" s="6"/>
      <c r="G7057" s="3"/>
      <c r="H7057" s="2"/>
    </row>
    <row r="7058" spans="1:8" x14ac:dyDescent="0.25">
      <c r="A7058" s="5"/>
      <c r="B7058" s="6"/>
      <c r="C7058" s="6"/>
      <c r="D7058" s="6"/>
      <c r="E7058" s="6"/>
      <c r="G7058" s="1"/>
      <c r="H7058" s="2"/>
    </row>
    <row r="7059" spans="1:8" x14ac:dyDescent="0.25">
      <c r="A7059" s="5"/>
      <c r="B7059" s="6"/>
      <c r="C7059" s="6"/>
      <c r="D7059" s="6"/>
      <c r="E7059" s="6"/>
      <c r="G7059" s="3"/>
      <c r="H7059" s="2"/>
    </row>
    <row r="7060" spans="1:8" x14ac:dyDescent="0.25">
      <c r="A7060" s="5"/>
      <c r="B7060" s="6"/>
      <c r="C7060" s="6"/>
      <c r="D7060" s="6"/>
      <c r="E7060" s="6"/>
      <c r="G7060" s="1"/>
      <c r="H7060" s="2"/>
    </row>
    <row r="7061" spans="1:8" x14ac:dyDescent="0.25">
      <c r="A7061" s="5"/>
      <c r="B7061" s="6"/>
      <c r="C7061" s="6"/>
      <c r="D7061" s="6"/>
      <c r="E7061" s="6"/>
      <c r="G7061" s="3"/>
      <c r="H7061" s="2"/>
    </row>
    <row r="7062" spans="1:8" x14ac:dyDescent="0.25">
      <c r="A7062" s="5"/>
      <c r="B7062" s="6"/>
      <c r="C7062" s="6"/>
      <c r="D7062" s="6"/>
      <c r="E7062" s="6"/>
      <c r="G7062" s="1"/>
      <c r="H7062" s="2"/>
    </row>
    <row r="7063" spans="1:8" x14ac:dyDescent="0.25">
      <c r="A7063" s="5"/>
      <c r="B7063" s="6"/>
      <c r="C7063" s="6"/>
      <c r="D7063" s="6"/>
      <c r="E7063" s="6"/>
      <c r="G7063" s="3"/>
      <c r="H7063" s="2"/>
    </row>
    <row r="7064" spans="1:8" x14ac:dyDescent="0.25">
      <c r="A7064" s="5"/>
      <c r="B7064" s="6"/>
      <c r="C7064" s="6"/>
      <c r="D7064" s="6"/>
      <c r="E7064" s="6"/>
      <c r="G7064" s="1"/>
      <c r="H7064" s="2"/>
    </row>
    <row r="7065" spans="1:8" x14ac:dyDescent="0.25">
      <c r="A7065" s="5"/>
      <c r="B7065" s="6"/>
      <c r="C7065" s="6"/>
      <c r="D7065" s="6"/>
      <c r="E7065" s="6"/>
      <c r="G7065" s="3"/>
      <c r="H7065" s="2"/>
    </row>
    <row r="7066" spans="1:8" x14ac:dyDescent="0.25">
      <c r="A7066" s="5"/>
      <c r="B7066" s="6"/>
      <c r="C7066" s="6"/>
      <c r="D7066" s="6"/>
      <c r="E7066" s="6"/>
      <c r="G7066" s="1"/>
      <c r="H7066" s="2"/>
    </row>
    <row r="7067" spans="1:8" x14ac:dyDescent="0.25">
      <c r="A7067" s="5"/>
      <c r="B7067" s="6"/>
      <c r="C7067" s="6"/>
      <c r="D7067" s="6"/>
      <c r="E7067" s="6"/>
      <c r="G7067" s="3"/>
      <c r="H7067" s="2"/>
    </row>
    <row r="7068" spans="1:8" x14ac:dyDescent="0.25">
      <c r="A7068" s="5"/>
      <c r="B7068" s="6"/>
      <c r="C7068" s="6"/>
      <c r="D7068" s="6"/>
      <c r="E7068" s="6"/>
      <c r="G7068" s="1"/>
      <c r="H7068" s="2"/>
    </row>
    <row r="7069" spans="1:8" x14ac:dyDescent="0.25">
      <c r="A7069" s="5"/>
      <c r="B7069" s="6"/>
      <c r="C7069" s="6"/>
      <c r="D7069" s="6"/>
      <c r="E7069" s="6"/>
      <c r="G7069" s="3"/>
      <c r="H7069" s="2"/>
    </row>
    <row r="7070" spans="1:8" x14ac:dyDescent="0.25">
      <c r="A7070" s="5"/>
      <c r="B7070" s="6"/>
      <c r="C7070" s="6"/>
      <c r="D7070" s="6"/>
      <c r="E7070" s="6"/>
      <c r="G7070" s="1"/>
      <c r="H7070" s="2"/>
    </row>
    <row r="7071" spans="1:8" x14ac:dyDescent="0.25">
      <c r="A7071" s="5"/>
      <c r="B7071" s="6"/>
      <c r="C7071" s="6"/>
      <c r="D7071" s="6"/>
      <c r="E7071" s="6"/>
      <c r="G7071" s="3"/>
      <c r="H7071" s="2"/>
    </row>
    <row r="7072" spans="1:8" x14ac:dyDescent="0.25">
      <c r="A7072" s="5"/>
      <c r="B7072" s="6"/>
      <c r="C7072" s="6"/>
      <c r="D7072" s="6"/>
      <c r="E7072" s="6"/>
      <c r="G7072" s="1"/>
      <c r="H7072" s="2"/>
    </row>
    <row r="7073" spans="1:8" x14ac:dyDescent="0.25">
      <c r="A7073" s="5"/>
      <c r="B7073" s="6"/>
      <c r="C7073" s="6"/>
      <c r="D7073" s="6"/>
      <c r="E7073" s="6"/>
      <c r="G7073" s="3"/>
      <c r="H7073" s="2"/>
    </row>
    <row r="7074" spans="1:8" x14ac:dyDescent="0.25">
      <c r="A7074" s="5"/>
      <c r="B7074" s="6"/>
      <c r="C7074" s="6"/>
      <c r="D7074" s="6"/>
      <c r="E7074" s="6"/>
      <c r="G7074" s="1"/>
      <c r="H7074" s="2"/>
    </row>
    <row r="7075" spans="1:8" x14ac:dyDescent="0.25">
      <c r="A7075" s="5"/>
      <c r="B7075" s="6"/>
      <c r="C7075" s="6"/>
      <c r="D7075" s="6"/>
      <c r="E7075" s="6"/>
      <c r="G7075" s="3"/>
      <c r="H7075" s="2"/>
    </row>
    <row r="7076" spans="1:8" x14ac:dyDescent="0.25">
      <c r="A7076" s="5"/>
      <c r="B7076" s="6"/>
      <c r="C7076" s="6"/>
      <c r="D7076" s="6"/>
      <c r="E7076" s="6"/>
      <c r="G7076" s="1"/>
      <c r="H7076" s="2"/>
    </row>
    <row r="7077" spans="1:8" x14ac:dyDescent="0.25">
      <c r="A7077" s="5"/>
      <c r="B7077" s="6"/>
      <c r="C7077" s="6"/>
      <c r="D7077" s="6"/>
      <c r="E7077" s="6"/>
      <c r="G7077" s="3"/>
      <c r="H7077" s="2"/>
    </row>
    <row r="7078" spans="1:8" x14ac:dyDescent="0.25">
      <c r="A7078" s="5"/>
      <c r="B7078" s="6"/>
      <c r="C7078" s="6"/>
      <c r="D7078" s="6"/>
      <c r="E7078" s="6"/>
      <c r="G7078" s="1"/>
      <c r="H7078" s="2"/>
    </row>
    <row r="7079" spans="1:8" x14ac:dyDescent="0.25">
      <c r="A7079" s="5"/>
      <c r="B7079" s="6"/>
      <c r="C7079" s="6"/>
      <c r="D7079" s="6"/>
      <c r="E7079" s="6"/>
      <c r="G7079" s="3"/>
      <c r="H7079" s="2"/>
    </row>
    <row r="7080" spans="1:8" x14ac:dyDescent="0.25">
      <c r="A7080" s="5"/>
      <c r="B7080" s="6"/>
      <c r="C7080" s="6"/>
      <c r="D7080" s="6"/>
      <c r="E7080" s="6"/>
      <c r="G7080" s="1"/>
      <c r="H7080" s="2"/>
    </row>
    <row r="7081" spans="1:8" x14ac:dyDescent="0.25">
      <c r="A7081" s="5"/>
      <c r="B7081" s="6"/>
      <c r="C7081" s="6"/>
      <c r="D7081" s="6"/>
      <c r="E7081" s="6"/>
      <c r="G7081" s="3"/>
      <c r="H7081" s="2"/>
    </row>
    <row r="7082" spans="1:8" x14ac:dyDescent="0.25">
      <c r="A7082" s="5"/>
      <c r="B7082" s="6"/>
      <c r="C7082" s="6"/>
      <c r="D7082" s="6"/>
      <c r="E7082" s="6"/>
      <c r="G7082" s="1"/>
      <c r="H7082" s="2"/>
    </row>
    <row r="7083" spans="1:8" x14ac:dyDescent="0.25">
      <c r="A7083" s="5"/>
      <c r="B7083" s="6"/>
      <c r="C7083" s="6"/>
      <c r="D7083" s="6"/>
      <c r="E7083" s="6"/>
      <c r="G7083" s="3"/>
      <c r="H7083" s="2"/>
    </row>
    <row r="7084" spans="1:8" x14ac:dyDescent="0.25">
      <c r="A7084" s="5"/>
      <c r="B7084" s="6"/>
      <c r="C7084" s="6"/>
      <c r="D7084" s="6"/>
      <c r="E7084" s="6"/>
      <c r="G7084" s="1"/>
      <c r="H7084" s="2"/>
    </row>
    <row r="7085" spans="1:8" x14ac:dyDescent="0.25">
      <c r="A7085" s="5"/>
      <c r="B7085" s="6"/>
      <c r="C7085" s="6"/>
      <c r="D7085" s="6"/>
      <c r="E7085" s="6"/>
      <c r="G7085" s="3"/>
      <c r="H7085" s="2"/>
    </row>
    <row r="7086" spans="1:8" x14ac:dyDescent="0.25">
      <c r="A7086" s="5"/>
      <c r="B7086" s="6"/>
      <c r="C7086" s="6"/>
      <c r="D7086" s="6"/>
      <c r="E7086" s="6"/>
      <c r="G7086" s="1"/>
      <c r="H7086" s="2"/>
    </row>
    <row r="7087" spans="1:8" x14ac:dyDescent="0.25">
      <c r="A7087" s="5"/>
      <c r="B7087" s="6"/>
      <c r="C7087" s="6"/>
      <c r="D7087" s="6"/>
      <c r="E7087" s="6"/>
      <c r="G7087" s="3"/>
      <c r="H7087" s="2"/>
    </row>
    <row r="7088" spans="1:8" x14ac:dyDescent="0.25">
      <c r="A7088" s="5"/>
      <c r="B7088" s="6"/>
      <c r="C7088" s="6"/>
      <c r="D7088" s="6"/>
      <c r="E7088" s="6"/>
      <c r="G7088" s="1"/>
      <c r="H7088" s="2"/>
    </row>
    <row r="7089" spans="1:8" x14ac:dyDescent="0.25">
      <c r="A7089" s="5"/>
      <c r="B7089" s="6"/>
      <c r="C7089" s="6"/>
      <c r="D7089" s="6"/>
      <c r="E7089" s="6"/>
      <c r="G7089" s="3"/>
      <c r="H7089" s="2"/>
    </row>
    <row r="7090" spans="1:8" x14ac:dyDescent="0.25">
      <c r="A7090" s="5"/>
      <c r="B7090" s="6"/>
      <c r="C7090" s="6"/>
      <c r="D7090" s="6"/>
      <c r="E7090" s="6"/>
      <c r="G7090" s="1"/>
      <c r="H7090" s="2"/>
    </row>
    <row r="7091" spans="1:8" x14ac:dyDescent="0.25">
      <c r="A7091" s="5"/>
      <c r="B7091" s="6"/>
      <c r="C7091" s="6"/>
      <c r="D7091" s="6"/>
      <c r="E7091" s="6"/>
      <c r="G7091" s="3"/>
      <c r="H7091" s="2"/>
    </row>
    <row r="7092" spans="1:8" x14ac:dyDescent="0.25">
      <c r="A7092" s="5"/>
      <c r="B7092" s="6"/>
      <c r="C7092" s="6"/>
      <c r="D7092" s="6"/>
      <c r="E7092" s="6"/>
      <c r="G7092" s="1"/>
      <c r="H7092" s="2"/>
    </row>
    <row r="7093" spans="1:8" x14ac:dyDescent="0.25">
      <c r="A7093" s="5"/>
      <c r="B7093" s="6"/>
      <c r="C7093" s="6"/>
      <c r="D7093" s="6"/>
      <c r="E7093" s="6"/>
      <c r="G7093" s="3"/>
      <c r="H7093" s="2"/>
    </row>
    <row r="7094" spans="1:8" x14ac:dyDescent="0.25">
      <c r="A7094" s="5"/>
      <c r="B7094" s="6"/>
      <c r="C7094" s="6"/>
      <c r="D7094" s="6"/>
      <c r="E7094" s="6"/>
      <c r="G7094" s="1"/>
      <c r="H7094" s="2"/>
    </row>
    <row r="7095" spans="1:8" x14ac:dyDescent="0.25">
      <c r="A7095" s="5"/>
      <c r="B7095" s="6"/>
      <c r="C7095" s="6"/>
      <c r="D7095" s="6"/>
      <c r="E7095" s="6"/>
      <c r="G7095" s="3"/>
      <c r="H7095" s="2"/>
    </row>
    <row r="7096" spans="1:8" x14ac:dyDescent="0.25">
      <c r="A7096" s="5"/>
      <c r="B7096" s="6"/>
      <c r="C7096" s="6"/>
      <c r="D7096" s="6"/>
      <c r="E7096" s="6"/>
      <c r="G7096" s="1"/>
      <c r="H7096" s="2"/>
    </row>
    <row r="7097" spans="1:8" x14ac:dyDescent="0.25">
      <c r="A7097" s="5"/>
      <c r="B7097" s="6"/>
      <c r="C7097" s="6"/>
      <c r="D7097" s="6"/>
      <c r="E7097" s="6"/>
      <c r="G7097" s="3"/>
      <c r="H7097" s="2"/>
    </row>
    <row r="7098" spans="1:8" x14ac:dyDescent="0.25">
      <c r="A7098" s="5"/>
      <c r="B7098" s="6"/>
      <c r="C7098" s="6"/>
      <c r="D7098" s="6"/>
      <c r="E7098" s="6"/>
      <c r="G7098" s="1"/>
      <c r="H7098" s="2"/>
    </row>
    <row r="7099" spans="1:8" x14ac:dyDescent="0.25">
      <c r="A7099" s="5"/>
      <c r="B7099" s="6"/>
      <c r="C7099" s="6"/>
      <c r="D7099" s="6"/>
      <c r="E7099" s="6"/>
      <c r="G7099" s="3"/>
      <c r="H7099" s="2"/>
    </row>
    <row r="7100" spans="1:8" x14ac:dyDescent="0.25">
      <c r="A7100" s="5"/>
      <c r="B7100" s="6"/>
      <c r="C7100" s="6"/>
      <c r="D7100" s="6"/>
      <c r="E7100" s="6"/>
      <c r="G7100" s="1"/>
      <c r="H7100" s="2"/>
    </row>
    <row r="7101" spans="1:8" x14ac:dyDescent="0.25">
      <c r="A7101" s="5"/>
      <c r="B7101" s="6"/>
      <c r="C7101" s="6"/>
      <c r="D7101" s="6"/>
      <c r="E7101" s="6"/>
      <c r="G7101" s="3"/>
      <c r="H7101" s="2"/>
    </row>
    <row r="7102" spans="1:8" x14ac:dyDescent="0.25">
      <c r="A7102" s="5"/>
      <c r="B7102" s="6"/>
      <c r="C7102" s="6"/>
      <c r="D7102" s="6"/>
      <c r="E7102" s="6"/>
      <c r="G7102" s="1"/>
      <c r="H7102" s="2"/>
    </row>
    <row r="7103" spans="1:8" x14ac:dyDescent="0.25">
      <c r="A7103" s="5"/>
      <c r="B7103" s="6"/>
      <c r="C7103" s="6"/>
      <c r="D7103" s="6"/>
      <c r="E7103" s="6"/>
      <c r="G7103" s="3"/>
      <c r="H7103" s="2"/>
    </row>
    <row r="7104" spans="1:8" x14ac:dyDescent="0.25">
      <c r="A7104" s="5"/>
      <c r="B7104" s="6"/>
      <c r="C7104" s="6"/>
      <c r="D7104" s="6"/>
      <c r="E7104" s="6"/>
      <c r="G7104" s="1"/>
      <c r="H7104" s="2"/>
    </row>
    <row r="7105" spans="1:8" x14ac:dyDescent="0.25">
      <c r="A7105" s="5"/>
      <c r="B7105" s="6"/>
      <c r="C7105" s="6"/>
      <c r="D7105" s="6"/>
      <c r="E7105" s="6"/>
      <c r="G7105" s="3"/>
      <c r="H7105" s="2"/>
    </row>
    <row r="7106" spans="1:8" x14ac:dyDescent="0.25">
      <c r="A7106" s="5"/>
      <c r="B7106" s="6"/>
      <c r="C7106" s="6"/>
      <c r="D7106" s="6"/>
      <c r="E7106" s="6"/>
      <c r="G7106" s="1"/>
      <c r="H7106" s="2"/>
    </row>
    <row r="7107" spans="1:8" x14ac:dyDescent="0.25">
      <c r="A7107" s="5"/>
      <c r="B7107" s="6"/>
      <c r="C7107" s="6"/>
      <c r="D7107" s="6"/>
      <c r="E7107" s="6"/>
      <c r="G7107" s="3"/>
      <c r="H7107" s="2"/>
    </row>
    <row r="7108" spans="1:8" x14ac:dyDescent="0.25">
      <c r="A7108" s="5"/>
      <c r="B7108" s="6"/>
      <c r="C7108" s="6"/>
      <c r="D7108" s="6"/>
      <c r="E7108" s="6"/>
      <c r="G7108" s="1"/>
      <c r="H7108" s="2"/>
    </row>
    <row r="7109" spans="1:8" x14ac:dyDescent="0.25">
      <c r="A7109" s="5"/>
      <c r="B7109" s="6"/>
      <c r="C7109" s="6"/>
      <c r="D7109" s="6"/>
      <c r="E7109" s="6"/>
      <c r="G7109" s="3"/>
      <c r="H7109" s="2"/>
    </row>
    <row r="7110" spans="1:8" x14ac:dyDescent="0.25">
      <c r="A7110" s="5"/>
      <c r="B7110" s="6"/>
      <c r="C7110" s="6"/>
      <c r="D7110" s="6"/>
      <c r="E7110" s="6"/>
      <c r="G7110" s="1"/>
      <c r="H7110" s="2"/>
    </row>
    <row r="7111" spans="1:8" x14ac:dyDescent="0.25">
      <c r="A7111" s="5"/>
      <c r="B7111" s="6"/>
      <c r="C7111" s="6"/>
      <c r="D7111" s="6"/>
      <c r="E7111" s="6"/>
      <c r="G7111" s="3"/>
      <c r="H7111" s="2"/>
    </row>
    <row r="7112" spans="1:8" x14ac:dyDescent="0.25">
      <c r="A7112" s="5"/>
      <c r="B7112" s="6"/>
      <c r="C7112" s="6"/>
      <c r="D7112" s="6"/>
      <c r="E7112" s="6"/>
      <c r="G7112" s="1"/>
      <c r="H7112" s="2"/>
    </row>
    <row r="7113" spans="1:8" x14ac:dyDescent="0.25">
      <c r="A7113" s="5"/>
      <c r="B7113" s="6"/>
      <c r="C7113" s="6"/>
      <c r="D7113" s="6"/>
      <c r="E7113" s="6"/>
      <c r="G7113" s="3"/>
      <c r="H7113" s="2"/>
    </row>
    <row r="7114" spans="1:8" x14ac:dyDescent="0.25">
      <c r="A7114" s="5"/>
      <c r="B7114" s="6"/>
      <c r="C7114" s="6"/>
      <c r="D7114" s="6"/>
      <c r="E7114" s="6"/>
      <c r="G7114" s="1"/>
      <c r="H7114" s="2"/>
    </row>
    <row r="7115" spans="1:8" x14ac:dyDescent="0.25">
      <c r="A7115" s="5"/>
      <c r="B7115" s="6"/>
      <c r="C7115" s="6"/>
      <c r="D7115" s="6"/>
      <c r="E7115" s="6"/>
      <c r="G7115" s="3"/>
      <c r="H7115" s="2"/>
    </row>
    <row r="7116" spans="1:8" x14ac:dyDescent="0.25">
      <c r="A7116" s="5"/>
      <c r="B7116" s="6"/>
      <c r="C7116" s="6"/>
      <c r="D7116" s="6"/>
      <c r="E7116" s="6"/>
      <c r="G7116" s="1"/>
      <c r="H7116" s="2"/>
    </row>
    <row r="7117" spans="1:8" x14ac:dyDescent="0.25">
      <c r="A7117" s="5"/>
      <c r="B7117" s="6"/>
      <c r="C7117" s="6"/>
      <c r="D7117" s="6"/>
      <c r="E7117" s="6"/>
      <c r="G7117" s="3"/>
      <c r="H7117" s="2"/>
    </row>
    <row r="7118" spans="1:8" x14ac:dyDescent="0.25">
      <c r="A7118" s="5"/>
      <c r="B7118" s="6"/>
      <c r="C7118" s="6"/>
      <c r="D7118" s="6"/>
      <c r="E7118" s="6"/>
      <c r="G7118" s="1"/>
      <c r="H7118" s="2"/>
    </row>
    <row r="7119" spans="1:8" x14ac:dyDescent="0.25">
      <c r="A7119" s="5"/>
      <c r="B7119" s="6"/>
      <c r="C7119" s="6"/>
      <c r="D7119" s="6"/>
      <c r="E7119" s="6"/>
      <c r="G7119" s="3"/>
      <c r="H7119" s="2"/>
    </row>
    <row r="7120" spans="1:8" x14ac:dyDescent="0.25">
      <c r="A7120" s="5"/>
      <c r="B7120" s="6"/>
      <c r="C7120" s="6"/>
      <c r="D7120" s="6"/>
      <c r="E7120" s="6"/>
      <c r="G7120" s="1"/>
      <c r="H7120" s="2"/>
    </row>
    <row r="7121" spans="1:8" x14ac:dyDescent="0.25">
      <c r="A7121" s="5"/>
      <c r="B7121" s="6"/>
      <c r="C7121" s="6"/>
      <c r="D7121" s="6"/>
      <c r="E7121" s="6"/>
      <c r="G7121" s="3"/>
      <c r="H7121" s="2"/>
    </row>
    <row r="7122" spans="1:8" x14ac:dyDescent="0.25">
      <c r="A7122" s="5"/>
      <c r="B7122" s="6"/>
      <c r="C7122" s="6"/>
      <c r="D7122" s="6"/>
      <c r="E7122" s="6"/>
      <c r="G7122" s="1"/>
      <c r="H7122" s="2"/>
    </row>
    <row r="7123" spans="1:8" x14ac:dyDescent="0.25">
      <c r="A7123" s="5"/>
      <c r="B7123" s="6"/>
      <c r="C7123" s="6"/>
      <c r="D7123" s="6"/>
      <c r="E7123" s="6"/>
      <c r="G7123" s="3"/>
      <c r="H7123" s="2"/>
    </row>
    <row r="7124" spans="1:8" x14ac:dyDescent="0.25">
      <c r="A7124" s="5"/>
      <c r="B7124" s="6"/>
      <c r="C7124" s="6"/>
      <c r="D7124" s="6"/>
      <c r="E7124" s="6"/>
      <c r="G7124" s="1"/>
      <c r="H7124" s="2"/>
    </row>
    <row r="7125" spans="1:8" x14ac:dyDescent="0.25">
      <c r="A7125" s="5"/>
      <c r="B7125" s="6"/>
      <c r="C7125" s="6"/>
      <c r="D7125" s="6"/>
      <c r="E7125" s="6"/>
      <c r="G7125" s="3"/>
      <c r="H7125" s="2"/>
    </row>
    <row r="7126" spans="1:8" x14ac:dyDescent="0.25">
      <c r="A7126" s="5"/>
      <c r="B7126" s="6"/>
      <c r="C7126" s="6"/>
      <c r="D7126" s="6"/>
      <c r="E7126" s="6"/>
      <c r="G7126" s="1"/>
      <c r="H7126" s="2"/>
    </row>
    <row r="7127" spans="1:8" x14ac:dyDescent="0.25">
      <c r="A7127" s="5"/>
      <c r="B7127" s="6"/>
      <c r="C7127" s="6"/>
      <c r="D7127" s="6"/>
      <c r="E7127" s="6"/>
      <c r="G7127" s="3"/>
      <c r="H7127" s="2"/>
    </row>
    <row r="7128" spans="1:8" x14ac:dyDescent="0.25">
      <c r="A7128" s="5"/>
      <c r="B7128" s="6"/>
      <c r="C7128" s="6"/>
      <c r="D7128" s="6"/>
      <c r="E7128" s="6"/>
      <c r="G7128" s="1"/>
      <c r="H7128" s="2"/>
    </row>
    <row r="7129" spans="1:8" x14ac:dyDescent="0.25">
      <c r="A7129" s="5"/>
      <c r="B7129" s="6"/>
      <c r="C7129" s="6"/>
      <c r="D7129" s="6"/>
      <c r="E7129" s="6"/>
      <c r="G7129" s="3"/>
      <c r="H7129" s="2"/>
    </row>
    <row r="7130" spans="1:8" x14ac:dyDescent="0.25">
      <c r="A7130" s="5"/>
      <c r="B7130" s="6"/>
      <c r="C7130" s="6"/>
      <c r="D7130" s="6"/>
      <c r="E7130" s="6"/>
      <c r="G7130" s="1"/>
      <c r="H7130" s="2"/>
    </row>
    <row r="7131" spans="1:8" x14ac:dyDescent="0.25">
      <c r="A7131" s="5"/>
      <c r="B7131" s="6"/>
      <c r="C7131" s="6"/>
      <c r="D7131" s="6"/>
      <c r="E7131" s="6"/>
      <c r="G7131" s="3"/>
      <c r="H7131" s="2"/>
    </row>
    <row r="7132" spans="1:8" x14ac:dyDescent="0.25">
      <c r="A7132" s="5"/>
      <c r="B7132" s="6"/>
      <c r="C7132" s="6"/>
      <c r="D7132" s="6"/>
      <c r="E7132" s="6"/>
      <c r="G7132" s="1"/>
      <c r="H7132" s="2"/>
    </row>
    <row r="7133" spans="1:8" x14ac:dyDescent="0.25">
      <c r="A7133" s="5"/>
      <c r="B7133" s="6"/>
      <c r="C7133" s="6"/>
      <c r="D7133" s="6"/>
      <c r="E7133" s="6"/>
      <c r="G7133" s="3"/>
      <c r="H7133" s="2"/>
    </row>
    <row r="7134" spans="1:8" x14ac:dyDescent="0.25">
      <c r="A7134" s="5"/>
      <c r="B7134" s="6"/>
      <c r="C7134" s="6"/>
      <c r="D7134" s="6"/>
      <c r="E7134" s="6"/>
      <c r="G7134" s="1"/>
      <c r="H7134" s="2"/>
    </row>
    <row r="7135" spans="1:8" x14ac:dyDescent="0.25">
      <c r="A7135" s="5"/>
      <c r="B7135" s="6"/>
      <c r="C7135" s="6"/>
      <c r="D7135" s="6"/>
      <c r="E7135" s="6"/>
      <c r="G7135" s="14"/>
      <c r="H7135" s="2"/>
    </row>
    <row r="7136" spans="1:8" x14ac:dyDescent="0.25">
      <c r="A7136" s="5"/>
      <c r="B7136" s="6"/>
      <c r="C7136" s="6"/>
      <c r="D7136" s="6"/>
      <c r="E7136" s="6"/>
      <c r="G7136" s="14"/>
      <c r="H7136" s="2"/>
    </row>
    <row r="7137" spans="1:8" x14ac:dyDescent="0.25">
      <c r="A7137" s="5"/>
      <c r="B7137" s="6"/>
      <c r="C7137" s="6"/>
      <c r="D7137" s="6"/>
      <c r="E7137" s="6"/>
      <c r="G7137" s="14"/>
      <c r="H7137" s="2"/>
    </row>
    <row r="7138" spans="1:8" x14ac:dyDescent="0.25">
      <c r="A7138" s="5"/>
      <c r="B7138" s="6"/>
      <c r="C7138" s="6"/>
      <c r="D7138" s="6"/>
      <c r="E7138" s="6"/>
      <c r="G7138" s="14"/>
      <c r="H7138" s="2"/>
    </row>
    <row r="7139" spans="1:8" x14ac:dyDescent="0.25">
      <c r="A7139" s="5"/>
      <c r="B7139" s="6"/>
      <c r="C7139" s="6"/>
      <c r="D7139" s="6"/>
      <c r="E7139" s="6"/>
      <c r="G7139" s="14"/>
      <c r="H7139" s="2"/>
    </row>
    <row r="7140" spans="1:8" x14ac:dyDescent="0.25">
      <c r="A7140" s="5"/>
      <c r="B7140" s="6"/>
      <c r="C7140" s="6"/>
      <c r="D7140" s="6"/>
      <c r="E7140" s="6"/>
      <c r="G7140" s="14"/>
      <c r="H7140" s="2"/>
    </row>
    <row r="7141" spans="1:8" x14ac:dyDescent="0.25">
      <c r="A7141" s="5"/>
      <c r="B7141" s="6"/>
      <c r="C7141" s="6"/>
      <c r="D7141" s="6"/>
      <c r="E7141" s="6"/>
    </row>
    <row r="7142" spans="1:8" x14ac:dyDescent="0.25">
      <c r="A7142" s="5"/>
      <c r="B7142" s="6"/>
      <c r="C7142" s="6"/>
      <c r="D7142" s="6"/>
      <c r="E7142" s="6"/>
      <c r="G7142" s="3"/>
      <c r="H7142" s="2"/>
    </row>
    <row r="7143" spans="1:8" x14ac:dyDescent="0.25">
      <c r="A7143" s="5"/>
      <c r="B7143" s="6"/>
      <c r="C7143" s="6"/>
      <c r="D7143" s="6"/>
      <c r="E7143" s="6"/>
      <c r="G7143" s="1"/>
      <c r="H7143" s="2"/>
    </row>
    <row r="7144" spans="1:8" x14ac:dyDescent="0.25">
      <c r="A7144" s="5"/>
      <c r="B7144" s="6"/>
      <c r="C7144" s="6"/>
      <c r="D7144" s="6"/>
      <c r="E7144" s="6"/>
      <c r="G7144" s="3"/>
      <c r="H7144" s="2"/>
    </row>
    <row r="7145" spans="1:8" x14ac:dyDescent="0.25">
      <c r="A7145" s="5"/>
      <c r="B7145" s="6"/>
      <c r="C7145" s="6"/>
      <c r="D7145" s="6"/>
      <c r="E7145" s="6"/>
      <c r="G7145" s="1"/>
      <c r="H7145" s="2"/>
    </row>
    <row r="7146" spans="1:8" x14ac:dyDescent="0.25">
      <c r="A7146" s="5"/>
      <c r="B7146" s="6"/>
      <c r="C7146" s="6"/>
      <c r="D7146" s="6"/>
      <c r="E7146" s="6"/>
      <c r="G7146" s="3"/>
      <c r="H7146" s="2"/>
    </row>
    <row r="7147" spans="1:8" x14ac:dyDescent="0.25">
      <c r="A7147" s="5"/>
      <c r="B7147" s="6"/>
      <c r="C7147" s="6"/>
      <c r="D7147" s="6"/>
      <c r="E7147" s="6"/>
      <c r="G7147" s="1"/>
      <c r="H7147" s="2"/>
    </row>
    <row r="7148" spans="1:8" x14ac:dyDescent="0.25">
      <c r="A7148" s="5"/>
      <c r="B7148" s="6"/>
      <c r="C7148" s="6"/>
      <c r="D7148" s="6"/>
      <c r="E7148" s="6"/>
      <c r="G7148" s="3"/>
      <c r="H7148" s="2"/>
    </row>
    <row r="7149" spans="1:8" x14ac:dyDescent="0.25">
      <c r="A7149" s="5"/>
      <c r="B7149" s="6"/>
      <c r="C7149" s="6"/>
      <c r="D7149" s="6"/>
      <c r="E7149" s="6"/>
      <c r="G7149" s="1"/>
      <c r="H7149" s="2"/>
    </row>
    <row r="7150" spans="1:8" x14ac:dyDescent="0.25">
      <c r="A7150" s="5"/>
      <c r="B7150" s="6"/>
      <c r="C7150" s="6"/>
      <c r="D7150" s="6"/>
      <c r="E7150" s="6"/>
      <c r="G7150" s="3"/>
      <c r="H7150" s="2"/>
    </row>
    <row r="7151" spans="1:8" x14ac:dyDescent="0.25">
      <c r="A7151" s="5"/>
      <c r="B7151" s="6"/>
      <c r="C7151" s="6"/>
      <c r="D7151" s="6"/>
      <c r="E7151" s="6"/>
      <c r="G7151" s="1"/>
      <c r="H7151" s="2"/>
    </row>
    <row r="7152" spans="1:8" x14ac:dyDescent="0.25">
      <c r="A7152" s="5"/>
      <c r="B7152" s="6"/>
      <c r="C7152" s="6"/>
      <c r="D7152" s="6"/>
      <c r="E7152" s="6"/>
      <c r="G7152" s="3"/>
      <c r="H7152" s="2"/>
    </row>
    <row r="7153" spans="1:8" x14ac:dyDescent="0.25">
      <c r="A7153" s="5"/>
      <c r="B7153" s="6"/>
      <c r="C7153" s="6"/>
      <c r="D7153" s="6"/>
      <c r="E7153" s="6"/>
      <c r="G7153" s="1"/>
      <c r="H7153" s="2"/>
    </row>
    <row r="7154" spans="1:8" x14ac:dyDescent="0.25">
      <c r="A7154" s="5"/>
      <c r="B7154" s="6"/>
      <c r="C7154" s="6"/>
      <c r="D7154" s="6"/>
      <c r="E7154" s="6"/>
      <c r="G7154" s="3"/>
      <c r="H7154" s="2"/>
    </row>
    <row r="7155" spans="1:8" x14ac:dyDescent="0.25">
      <c r="A7155" s="5"/>
      <c r="B7155" s="6"/>
      <c r="C7155" s="6"/>
      <c r="D7155" s="6"/>
      <c r="E7155" s="6"/>
      <c r="G7155" s="1"/>
      <c r="H7155" s="2"/>
    </row>
    <row r="7156" spans="1:8" x14ac:dyDescent="0.25">
      <c r="A7156" s="5"/>
      <c r="B7156" s="6"/>
      <c r="C7156" s="6"/>
      <c r="D7156" s="6"/>
      <c r="E7156" s="6"/>
      <c r="G7156" s="3"/>
      <c r="H7156" s="2"/>
    </row>
    <row r="7157" spans="1:8" x14ac:dyDescent="0.25">
      <c r="A7157" s="5"/>
      <c r="B7157" s="6"/>
      <c r="C7157" s="6"/>
      <c r="D7157" s="6"/>
      <c r="E7157" s="6"/>
      <c r="G7157" s="1"/>
      <c r="H7157" s="2"/>
    </row>
    <row r="7158" spans="1:8" x14ac:dyDescent="0.25">
      <c r="A7158" s="5"/>
      <c r="B7158" s="6"/>
      <c r="C7158" s="6"/>
      <c r="D7158" s="6"/>
      <c r="E7158" s="6"/>
      <c r="G7158" s="3"/>
      <c r="H7158" s="2"/>
    </row>
    <row r="7159" spans="1:8" x14ac:dyDescent="0.25">
      <c r="A7159" s="5"/>
      <c r="B7159" s="6"/>
      <c r="C7159" s="6"/>
      <c r="D7159" s="6"/>
      <c r="E7159" s="6"/>
      <c r="G7159" s="1"/>
      <c r="H7159" s="2"/>
    </row>
    <row r="7160" spans="1:8" x14ac:dyDescent="0.25">
      <c r="A7160" s="5"/>
      <c r="B7160" s="6"/>
      <c r="C7160" s="6"/>
      <c r="D7160" s="6"/>
      <c r="E7160" s="6"/>
      <c r="G7160" s="3"/>
      <c r="H7160" s="2"/>
    </row>
    <row r="7161" spans="1:8" x14ac:dyDescent="0.25">
      <c r="A7161" s="5"/>
      <c r="B7161" s="6"/>
      <c r="C7161" s="6"/>
      <c r="D7161" s="6"/>
      <c r="E7161" s="6"/>
      <c r="G7161" s="1"/>
      <c r="H7161" s="2"/>
    </row>
    <row r="7162" spans="1:8" x14ac:dyDescent="0.25">
      <c r="A7162" s="5"/>
      <c r="B7162" s="6"/>
      <c r="C7162" s="6"/>
      <c r="D7162" s="6"/>
      <c r="E7162" s="6"/>
      <c r="G7162" s="3"/>
      <c r="H7162" s="2"/>
    </row>
    <row r="7163" spans="1:8" x14ac:dyDescent="0.25">
      <c r="A7163" s="5"/>
      <c r="B7163" s="6"/>
      <c r="C7163" s="6"/>
      <c r="D7163" s="6"/>
      <c r="E7163" s="6"/>
      <c r="G7163" s="1"/>
      <c r="H7163" s="2"/>
    </row>
    <row r="7164" spans="1:8" x14ac:dyDescent="0.25">
      <c r="A7164" s="5"/>
      <c r="B7164" s="6"/>
      <c r="C7164" s="6"/>
      <c r="D7164" s="6"/>
      <c r="E7164" s="6"/>
      <c r="G7164" s="3"/>
      <c r="H7164" s="2"/>
    </row>
    <row r="7165" spans="1:8" x14ac:dyDescent="0.25">
      <c r="A7165" s="5"/>
      <c r="B7165" s="6"/>
      <c r="C7165" s="6"/>
      <c r="D7165" s="6"/>
      <c r="E7165" s="6"/>
      <c r="G7165" s="1"/>
      <c r="H7165" s="2"/>
    </row>
    <row r="7166" spans="1:8" x14ac:dyDescent="0.25">
      <c r="A7166" s="5"/>
      <c r="B7166" s="6"/>
      <c r="C7166" s="6"/>
      <c r="D7166" s="6"/>
      <c r="E7166" s="6"/>
      <c r="G7166" s="3"/>
      <c r="H7166" s="2"/>
    </row>
    <row r="7167" spans="1:8" x14ac:dyDescent="0.25">
      <c r="A7167" s="5"/>
      <c r="B7167" s="6"/>
      <c r="C7167" s="6"/>
      <c r="D7167" s="6"/>
      <c r="E7167" s="6"/>
      <c r="G7167" s="1"/>
      <c r="H7167" s="2"/>
    </row>
    <row r="7168" spans="1:8" x14ac:dyDescent="0.25">
      <c r="A7168" s="5"/>
      <c r="B7168" s="6"/>
      <c r="C7168" s="6"/>
      <c r="D7168" s="6"/>
      <c r="E7168" s="6"/>
      <c r="G7168" s="3"/>
      <c r="H7168" s="2"/>
    </row>
    <row r="7169" spans="1:8" x14ac:dyDescent="0.25">
      <c r="A7169" s="5"/>
      <c r="B7169" s="6"/>
      <c r="C7169" s="6"/>
      <c r="D7169" s="6"/>
      <c r="E7169" s="6"/>
      <c r="G7169" s="1"/>
      <c r="H7169" s="2"/>
    </row>
    <row r="7170" spans="1:8" x14ac:dyDescent="0.25">
      <c r="A7170" s="5"/>
      <c r="B7170" s="6"/>
      <c r="C7170" s="6"/>
      <c r="D7170" s="6"/>
      <c r="E7170" s="6"/>
      <c r="G7170" s="3"/>
      <c r="H7170" s="2"/>
    </row>
    <row r="7171" spans="1:8" x14ac:dyDescent="0.25">
      <c r="A7171" s="5"/>
      <c r="B7171" s="6"/>
      <c r="C7171" s="6"/>
      <c r="D7171" s="6"/>
      <c r="E7171" s="6"/>
      <c r="G7171" s="1"/>
      <c r="H7171" s="2"/>
    </row>
    <row r="7172" spans="1:8" x14ac:dyDescent="0.25">
      <c r="A7172" s="5"/>
      <c r="B7172" s="6"/>
      <c r="C7172" s="6"/>
      <c r="D7172" s="6"/>
      <c r="E7172" s="6"/>
      <c r="G7172" s="3"/>
      <c r="H7172" s="2"/>
    </row>
    <row r="7173" spans="1:8" x14ac:dyDescent="0.25">
      <c r="A7173" s="5"/>
      <c r="B7173" s="6"/>
      <c r="C7173" s="6"/>
      <c r="D7173" s="6"/>
      <c r="E7173" s="6"/>
      <c r="G7173" s="1"/>
      <c r="H7173" s="2"/>
    </row>
    <row r="7174" spans="1:8" x14ac:dyDescent="0.25">
      <c r="A7174" s="5"/>
      <c r="B7174" s="6"/>
      <c r="C7174" s="6"/>
      <c r="D7174" s="6"/>
      <c r="E7174" s="6"/>
      <c r="G7174" s="3"/>
      <c r="H7174" s="2"/>
    </row>
    <row r="7175" spans="1:8" x14ac:dyDescent="0.25">
      <c r="A7175" s="5"/>
      <c r="B7175" s="6"/>
      <c r="C7175" s="6"/>
      <c r="D7175" s="6"/>
      <c r="E7175" s="6"/>
      <c r="G7175" s="1"/>
      <c r="H7175" s="2"/>
    </row>
    <row r="7176" spans="1:8" x14ac:dyDescent="0.25">
      <c r="A7176" s="5"/>
      <c r="B7176" s="6"/>
      <c r="C7176" s="6"/>
      <c r="D7176" s="6"/>
      <c r="E7176" s="6"/>
      <c r="G7176" s="3"/>
      <c r="H7176" s="2"/>
    </row>
    <row r="7177" spans="1:8" x14ac:dyDescent="0.25">
      <c r="A7177" s="5"/>
      <c r="B7177" s="6"/>
      <c r="C7177" s="6"/>
      <c r="D7177" s="6"/>
      <c r="E7177" s="6"/>
      <c r="G7177" s="1"/>
      <c r="H7177" s="2"/>
    </row>
    <row r="7178" spans="1:8" x14ac:dyDescent="0.25">
      <c r="A7178" s="5"/>
      <c r="B7178" s="6"/>
      <c r="C7178" s="6"/>
      <c r="D7178" s="6"/>
      <c r="E7178" s="6"/>
      <c r="G7178" s="3"/>
      <c r="H7178" s="2"/>
    </row>
    <row r="7179" spans="1:8" x14ac:dyDescent="0.25">
      <c r="A7179" s="5"/>
      <c r="B7179" s="6"/>
      <c r="C7179" s="6"/>
      <c r="D7179" s="6"/>
      <c r="E7179" s="6"/>
      <c r="G7179" s="1"/>
      <c r="H7179" s="2"/>
    </row>
    <row r="7180" spans="1:8" x14ac:dyDescent="0.25">
      <c r="A7180" s="5"/>
      <c r="B7180" s="6"/>
      <c r="C7180" s="6"/>
      <c r="D7180" s="6"/>
      <c r="E7180" s="6"/>
      <c r="G7180" s="3"/>
      <c r="H7180" s="2"/>
    </row>
    <row r="7181" spans="1:8" x14ac:dyDescent="0.25">
      <c r="A7181" s="5"/>
      <c r="B7181" s="6"/>
      <c r="C7181" s="6"/>
      <c r="D7181" s="6"/>
      <c r="E7181" s="6"/>
      <c r="G7181" s="1"/>
      <c r="H7181" s="2"/>
    </row>
    <row r="7182" spans="1:8" x14ac:dyDescent="0.25">
      <c r="A7182" s="5"/>
      <c r="B7182" s="6"/>
      <c r="C7182" s="6"/>
      <c r="D7182" s="6"/>
      <c r="E7182" s="6"/>
      <c r="G7182" s="3"/>
      <c r="H7182" s="2"/>
    </row>
    <row r="7183" spans="1:8" x14ac:dyDescent="0.25">
      <c r="A7183" s="5"/>
      <c r="B7183" s="6"/>
      <c r="C7183" s="6"/>
      <c r="D7183" s="6"/>
      <c r="E7183" s="6"/>
      <c r="G7183" s="1"/>
      <c r="H7183" s="2"/>
    </row>
    <row r="7184" spans="1:8" x14ac:dyDescent="0.25">
      <c r="A7184" s="5"/>
      <c r="B7184" s="6"/>
      <c r="C7184" s="6"/>
      <c r="D7184" s="6"/>
      <c r="E7184" s="6"/>
      <c r="G7184" s="3"/>
      <c r="H7184" s="2"/>
    </row>
    <row r="7185" spans="1:8" x14ac:dyDescent="0.25">
      <c r="A7185" s="5"/>
      <c r="B7185" s="6"/>
      <c r="C7185" s="6"/>
      <c r="D7185" s="6"/>
      <c r="E7185" s="6"/>
      <c r="G7185" s="1"/>
      <c r="H7185" s="2"/>
    </row>
    <row r="7186" spans="1:8" x14ac:dyDescent="0.25">
      <c r="A7186" s="5"/>
      <c r="B7186" s="6"/>
      <c r="C7186" s="6"/>
      <c r="D7186" s="6"/>
      <c r="E7186" s="6"/>
      <c r="G7186" s="3"/>
      <c r="H7186" s="2"/>
    </row>
    <row r="7187" spans="1:8" x14ac:dyDescent="0.25">
      <c r="A7187" s="5"/>
      <c r="B7187" s="6"/>
      <c r="C7187" s="6"/>
      <c r="D7187" s="6"/>
      <c r="E7187" s="6"/>
      <c r="G7187" s="1"/>
      <c r="H7187" s="2"/>
    </row>
    <row r="7188" spans="1:8" x14ac:dyDescent="0.25">
      <c r="A7188" s="5"/>
      <c r="B7188" s="6"/>
      <c r="C7188" s="6"/>
      <c r="D7188" s="6"/>
      <c r="E7188" s="6"/>
      <c r="G7188" s="3"/>
      <c r="H7188" s="2"/>
    </row>
    <row r="7189" spans="1:8" x14ac:dyDescent="0.25">
      <c r="A7189" s="5"/>
      <c r="B7189" s="6"/>
      <c r="C7189" s="6"/>
      <c r="D7189" s="6"/>
      <c r="E7189" s="6"/>
      <c r="G7189" s="1"/>
      <c r="H7189" s="2"/>
    </row>
    <row r="7190" spans="1:8" x14ac:dyDescent="0.25">
      <c r="A7190" s="5"/>
      <c r="B7190" s="6"/>
      <c r="C7190" s="6"/>
      <c r="D7190" s="6"/>
      <c r="E7190" s="6"/>
      <c r="G7190" s="3"/>
      <c r="H7190" s="2"/>
    </row>
    <row r="7191" spans="1:8" x14ac:dyDescent="0.25">
      <c r="A7191" s="5"/>
      <c r="B7191" s="6"/>
      <c r="C7191" s="6"/>
      <c r="D7191" s="6"/>
      <c r="E7191" s="6"/>
      <c r="G7191" s="1"/>
      <c r="H7191" s="2"/>
    </row>
    <row r="7192" spans="1:8" x14ac:dyDescent="0.25">
      <c r="A7192" s="5"/>
      <c r="B7192" s="6"/>
      <c r="C7192" s="6"/>
      <c r="D7192" s="6"/>
      <c r="E7192" s="6"/>
      <c r="G7192" s="3"/>
      <c r="H7192" s="2"/>
    </row>
    <row r="7193" spans="1:8" x14ac:dyDescent="0.25">
      <c r="A7193" s="5"/>
      <c r="B7193" s="6"/>
      <c r="C7193" s="6"/>
      <c r="D7193" s="6"/>
      <c r="E7193" s="6"/>
      <c r="G7193" s="1"/>
      <c r="H7193" s="2"/>
    </row>
    <row r="7194" spans="1:8" x14ac:dyDescent="0.25">
      <c r="A7194" s="5"/>
      <c r="B7194" s="6"/>
      <c r="C7194" s="6"/>
      <c r="D7194" s="6"/>
      <c r="E7194" s="6"/>
      <c r="G7194" s="3"/>
      <c r="H7194" s="2"/>
    </row>
    <row r="7195" spans="1:8" x14ac:dyDescent="0.25">
      <c r="A7195" s="5"/>
      <c r="B7195" s="6"/>
      <c r="C7195" s="6"/>
      <c r="D7195" s="6"/>
      <c r="E7195" s="6"/>
      <c r="G7195" s="1"/>
      <c r="H7195" s="2"/>
    </row>
    <row r="7196" spans="1:8" x14ac:dyDescent="0.25">
      <c r="A7196" s="5"/>
      <c r="B7196" s="6"/>
      <c r="C7196" s="6"/>
      <c r="D7196" s="6"/>
      <c r="E7196" s="6"/>
      <c r="G7196" s="3"/>
      <c r="H7196" s="2"/>
    </row>
    <row r="7197" spans="1:8" x14ac:dyDescent="0.25">
      <c r="A7197" s="5"/>
      <c r="B7197" s="6"/>
      <c r="C7197" s="6"/>
      <c r="D7197" s="6"/>
      <c r="E7197" s="6"/>
      <c r="G7197" s="1"/>
      <c r="H7197" s="2"/>
    </row>
    <row r="7198" spans="1:8" x14ac:dyDescent="0.25">
      <c r="A7198" s="5"/>
      <c r="B7198" s="6"/>
      <c r="C7198" s="6"/>
      <c r="D7198" s="6"/>
      <c r="E7198" s="6"/>
      <c r="G7198" s="3"/>
      <c r="H7198" s="2"/>
    </row>
    <row r="7199" spans="1:8" x14ac:dyDescent="0.25">
      <c r="A7199" s="5"/>
      <c r="B7199" s="6"/>
      <c r="C7199" s="6"/>
      <c r="D7199" s="6"/>
      <c r="E7199" s="6"/>
      <c r="G7199" s="1"/>
      <c r="H7199" s="2"/>
    </row>
    <row r="7200" spans="1:8" x14ac:dyDescent="0.25">
      <c r="A7200" s="5"/>
      <c r="B7200" s="6"/>
      <c r="C7200" s="6"/>
      <c r="D7200" s="6"/>
      <c r="E7200" s="6"/>
      <c r="G7200" s="3"/>
      <c r="H7200" s="2"/>
    </row>
    <row r="7201" spans="1:8" x14ac:dyDescent="0.25">
      <c r="A7201" s="5"/>
      <c r="B7201" s="6"/>
      <c r="C7201" s="6"/>
      <c r="D7201" s="6"/>
      <c r="E7201" s="6"/>
      <c r="G7201" s="1"/>
      <c r="H7201" s="2"/>
    </row>
    <row r="7202" spans="1:8" x14ac:dyDescent="0.25">
      <c r="A7202" s="5"/>
      <c r="B7202" s="6"/>
      <c r="C7202" s="6"/>
      <c r="D7202" s="6"/>
      <c r="E7202" s="6"/>
      <c r="G7202" s="3"/>
      <c r="H7202" s="2"/>
    </row>
    <row r="7203" spans="1:8" x14ac:dyDescent="0.25">
      <c r="A7203" s="5"/>
      <c r="B7203" s="6"/>
      <c r="C7203" s="6"/>
      <c r="D7203" s="6"/>
      <c r="E7203" s="6"/>
      <c r="G7203" s="1"/>
      <c r="H7203" s="2"/>
    </row>
    <row r="7204" spans="1:8" x14ac:dyDescent="0.25">
      <c r="A7204" s="5"/>
      <c r="B7204" s="6"/>
      <c r="C7204" s="6"/>
      <c r="D7204" s="6"/>
      <c r="E7204" s="6"/>
      <c r="G7204" s="3"/>
      <c r="H7204" s="2"/>
    </row>
    <row r="7205" spans="1:8" x14ac:dyDescent="0.25">
      <c r="A7205" s="5"/>
      <c r="B7205" s="6"/>
      <c r="C7205" s="6"/>
      <c r="D7205" s="6"/>
      <c r="E7205" s="6"/>
      <c r="G7205" s="1"/>
      <c r="H7205" s="2"/>
    </row>
    <row r="7206" spans="1:8" x14ac:dyDescent="0.25">
      <c r="A7206" s="5"/>
      <c r="B7206" s="6"/>
      <c r="C7206" s="6"/>
      <c r="D7206" s="6"/>
      <c r="E7206" s="6"/>
      <c r="G7206" s="3"/>
      <c r="H7206" s="2"/>
    </row>
    <row r="7207" spans="1:8" x14ac:dyDescent="0.25">
      <c r="A7207" s="5"/>
      <c r="B7207" s="6"/>
      <c r="C7207" s="6"/>
      <c r="D7207" s="6"/>
      <c r="E7207" s="6"/>
      <c r="G7207" s="1"/>
      <c r="H7207" s="2"/>
    </row>
    <row r="7208" spans="1:8" x14ac:dyDescent="0.25">
      <c r="A7208" s="5"/>
      <c r="B7208" s="6"/>
      <c r="C7208" s="6"/>
      <c r="D7208" s="6"/>
      <c r="E7208" s="6"/>
      <c r="G7208" s="3"/>
      <c r="H7208" s="2"/>
    </row>
    <row r="7209" spans="1:8" x14ac:dyDescent="0.25">
      <c r="A7209" s="5"/>
      <c r="B7209" s="6"/>
      <c r="C7209" s="6"/>
      <c r="D7209" s="6"/>
      <c r="E7209" s="6"/>
      <c r="G7209" s="1"/>
      <c r="H7209" s="2"/>
    </row>
    <row r="7210" spans="1:8" x14ac:dyDescent="0.25">
      <c r="A7210" s="5"/>
      <c r="B7210" s="6"/>
      <c r="C7210" s="6"/>
      <c r="D7210" s="6"/>
      <c r="E7210" s="6"/>
      <c r="G7210" s="3"/>
      <c r="H7210" s="2"/>
    </row>
    <row r="7211" spans="1:8" x14ac:dyDescent="0.25">
      <c r="A7211" s="5"/>
      <c r="B7211" s="6"/>
      <c r="C7211" s="6"/>
      <c r="D7211" s="6"/>
      <c r="E7211" s="6"/>
      <c r="G7211" s="1"/>
      <c r="H7211" s="2"/>
    </row>
    <row r="7212" spans="1:8" x14ac:dyDescent="0.25">
      <c r="A7212" s="5"/>
      <c r="B7212" s="6"/>
      <c r="C7212" s="6"/>
      <c r="D7212" s="6"/>
      <c r="E7212" s="6"/>
      <c r="G7212" s="3"/>
      <c r="H7212" s="2"/>
    </row>
    <row r="7213" spans="1:8" x14ac:dyDescent="0.25">
      <c r="A7213" s="5"/>
      <c r="B7213" s="6"/>
      <c r="C7213" s="6"/>
      <c r="D7213" s="6"/>
      <c r="E7213" s="6"/>
      <c r="G7213" s="1"/>
      <c r="H7213" s="2"/>
    </row>
    <row r="7214" spans="1:8" x14ac:dyDescent="0.25">
      <c r="A7214" s="5"/>
      <c r="B7214" s="6"/>
      <c r="C7214" s="6"/>
      <c r="D7214" s="6"/>
      <c r="E7214" s="6"/>
      <c r="G7214" s="3"/>
      <c r="H7214" s="2"/>
    </row>
    <row r="7215" spans="1:8" x14ac:dyDescent="0.25">
      <c r="A7215" s="5"/>
      <c r="B7215" s="6"/>
      <c r="C7215" s="6"/>
      <c r="D7215" s="6"/>
      <c r="E7215" s="6"/>
      <c r="G7215" s="1"/>
      <c r="H7215" s="2"/>
    </row>
    <row r="7216" spans="1:8" x14ac:dyDescent="0.25">
      <c r="A7216" s="5"/>
      <c r="B7216" s="6"/>
      <c r="C7216" s="6"/>
      <c r="D7216" s="6"/>
      <c r="E7216" s="6"/>
      <c r="G7216" s="3"/>
      <c r="H7216" s="2"/>
    </row>
    <row r="7217" spans="1:8" x14ac:dyDescent="0.25">
      <c r="A7217" s="5"/>
      <c r="B7217" s="6"/>
      <c r="C7217" s="6"/>
      <c r="D7217" s="6"/>
      <c r="E7217" s="6"/>
      <c r="G7217" s="1"/>
      <c r="H7217" s="2"/>
    </row>
    <row r="7218" spans="1:8" x14ac:dyDescent="0.25">
      <c r="A7218" s="5"/>
      <c r="B7218" s="6"/>
      <c r="C7218" s="6"/>
      <c r="D7218" s="6"/>
      <c r="E7218" s="6"/>
      <c r="G7218" s="3"/>
      <c r="H7218" s="2"/>
    </row>
    <row r="7219" spans="1:8" x14ac:dyDescent="0.25">
      <c r="A7219" s="5"/>
      <c r="B7219" s="6"/>
      <c r="C7219" s="6"/>
      <c r="D7219" s="6"/>
      <c r="E7219" s="6"/>
      <c r="G7219" s="1"/>
      <c r="H7219" s="2"/>
    </row>
    <row r="7220" spans="1:8" x14ac:dyDescent="0.25">
      <c r="A7220" s="5"/>
      <c r="B7220" s="6"/>
      <c r="C7220" s="6"/>
      <c r="D7220" s="6"/>
      <c r="E7220" s="6"/>
      <c r="G7220" s="3"/>
      <c r="H7220" s="2"/>
    </row>
    <row r="7221" spans="1:8" x14ac:dyDescent="0.25">
      <c r="A7221" s="5"/>
      <c r="B7221" s="6"/>
      <c r="C7221" s="6"/>
      <c r="D7221" s="6"/>
      <c r="E7221" s="6"/>
      <c r="G7221" s="1"/>
      <c r="H7221" s="2"/>
    </row>
    <row r="7222" spans="1:8" x14ac:dyDescent="0.25">
      <c r="A7222" s="5"/>
      <c r="B7222" s="6"/>
      <c r="C7222" s="6"/>
      <c r="D7222" s="6"/>
      <c r="E7222" s="6"/>
      <c r="G7222" s="3"/>
      <c r="H7222" s="2"/>
    </row>
    <row r="7223" spans="1:8" x14ac:dyDescent="0.25">
      <c r="A7223" s="5"/>
      <c r="B7223" s="6"/>
      <c r="C7223" s="6"/>
      <c r="D7223" s="6"/>
      <c r="E7223" s="6"/>
      <c r="G7223" s="1"/>
      <c r="H7223" s="2"/>
    </row>
    <row r="7224" spans="1:8" x14ac:dyDescent="0.25">
      <c r="A7224" s="5"/>
      <c r="B7224" s="6"/>
      <c r="C7224" s="6"/>
      <c r="D7224" s="6"/>
      <c r="E7224" s="6"/>
      <c r="G7224" s="3"/>
      <c r="H7224" s="2"/>
    </row>
    <row r="7225" spans="1:8" x14ac:dyDescent="0.25">
      <c r="A7225" s="5"/>
      <c r="B7225" s="6"/>
      <c r="C7225" s="6"/>
      <c r="D7225" s="6"/>
      <c r="E7225" s="6"/>
      <c r="G7225" s="1"/>
      <c r="H7225" s="2"/>
    </row>
    <row r="7226" spans="1:8" x14ac:dyDescent="0.25">
      <c r="A7226" s="5"/>
      <c r="B7226" s="6"/>
      <c r="C7226" s="6"/>
      <c r="D7226" s="6"/>
      <c r="E7226" s="6"/>
      <c r="G7226" s="3"/>
      <c r="H7226" s="2"/>
    </row>
    <row r="7227" spans="1:8" x14ac:dyDescent="0.25">
      <c r="A7227" s="5"/>
      <c r="B7227" s="6"/>
      <c r="C7227" s="6"/>
      <c r="D7227" s="6"/>
      <c r="E7227" s="6"/>
      <c r="G7227" s="1"/>
      <c r="H7227" s="2"/>
    </row>
    <row r="7228" spans="1:8" x14ac:dyDescent="0.25">
      <c r="A7228" s="5"/>
      <c r="B7228" s="6"/>
      <c r="C7228" s="6"/>
      <c r="D7228" s="6"/>
      <c r="E7228" s="6"/>
      <c r="G7228" s="3"/>
      <c r="H7228" s="2"/>
    </row>
    <row r="7229" spans="1:8" x14ac:dyDescent="0.25">
      <c r="A7229" s="5"/>
      <c r="B7229" s="6"/>
      <c r="C7229" s="6"/>
      <c r="D7229" s="6"/>
      <c r="E7229" s="6"/>
      <c r="G7229" s="1"/>
      <c r="H7229" s="2"/>
    </row>
    <row r="7230" spans="1:8" x14ac:dyDescent="0.25">
      <c r="A7230" s="5"/>
      <c r="B7230" s="6"/>
      <c r="C7230" s="6"/>
      <c r="D7230" s="6"/>
      <c r="E7230" s="6"/>
      <c r="G7230" s="3"/>
      <c r="H7230" s="2"/>
    </row>
    <row r="7231" spans="1:8" x14ac:dyDescent="0.25">
      <c r="A7231" s="5"/>
      <c r="B7231" s="6"/>
      <c r="C7231" s="6"/>
      <c r="D7231" s="6"/>
      <c r="E7231" s="6"/>
      <c r="G7231" s="1"/>
      <c r="H7231" s="2"/>
    </row>
    <row r="7232" spans="1:8" x14ac:dyDescent="0.25">
      <c r="A7232" s="5"/>
      <c r="B7232" s="6"/>
      <c r="C7232" s="6"/>
      <c r="D7232" s="6"/>
      <c r="E7232" s="6"/>
      <c r="G7232" s="3"/>
      <c r="H7232" s="2"/>
    </row>
    <row r="7233" spans="1:8" x14ac:dyDescent="0.25">
      <c r="A7233" s="5"/>
      <c r="B7233" s="6"/>
      <c r="C7233" s="6"/>
      <c r="D7233" s="6"/>
      <c r="E7233" s="6"/>
      <c r="G7233" s="1"/>
      <c r="H7233" s="2"/>
    </row>
    <row r="7234" spans="1:8" x14ac:dyDescent="0.25">
      <c r="A7234" s="5"/>
      <c r="B7234" s="6"/>
      <c r="C7234" s="6"/>
      <c r="D7234" s="6"/>
      <c r="E7234" s="6"/>
      <c r="G7234" s="3"/>
      <c r="H7234" s="2"/>
    </row>
    <row r="7235" spans="1:8" x14ac:dyDescent="0.25">
      <c r="A7235" s="5"/>
      <c r="B7235" s="6"/>
      <c r="C7235" s="6"/>
      <c r="D7235" s="6"/>
      <c r="E7235" s="6"/>
      <c r="G7235" s="1"/>
      <c r="H7235" s="2"/>
    </row>
    <row r="7236" spans="1:8" x14ac:dyDescent="0.25">
      <c r="A7236" s="5"/>
      <c r="B7236" s="6"/>
      <c r="C7236" s="6"/>
      <c r="D7236" s="6"/>
      <c r="E7236" s="6"/>
      <c r="G7236" s="3"/>
      <c r="H7236" s="2"/>
    </row>
    <row r="7237" spans="1:8" x14ac:dyDescent="0.25">
      <c r="A7237" s="5"/>
      <c r="B7237" s="6"/>
      <c r="C7237" s="6"/>
      <c r="D7237" s="6"/>
      <c r="E7237" s="6"/>
      <c r="G7237" s="1"/>
      <c r="H7237" s="2"/>
    </row>
    <row r="7238" spans="1:8" x14ac:dyDescent="0.25">
      <c r="A7238" s="5"/>
      <c r="B7238" s="6"/>
      <c r="C7238" s="6"/>
      <c r="D7238" s="6"/>
      <c r="E7238" s="6"/>
      <c r="G7238" s="3"/>
      <c r="H7238" s="2"/>
    </row>
    <row r="7239" spans="1:8" x14ac:dyDescent="0.25">
      <c r="A7239" s="5"/>
      <c r="B7239" s="6"/>
      <c r="C7239" s="6"/>
      <c r="D7239" s="6"/>
      <c r="E7239" s="6"/>
      <c r="G7239" s="1"/>
      <c r="H7239" s="2"/>
    </row>
    <row r="7240" spans="1:8" x14ac:dyDescent="0.25">
      <c r="A7240" s="5"/>
      <c r="B7240" s="6"/>
      <c r="C7240" s="6"/>
      <c r="D7240" s="6"/>
      <c r="E7240" s="6"/>
      <c r="G7240" s="3"/>
      <c r="H7240" s="2"/>
    </row>
    <row r="7241" spans="1:8" x14ac:dyDescent="0.25">
      <c r="A7241" s="5"/>
      <c r="B7241" s="6"/>
      <c r="C7241" s="6"/>
      <c r="D7241" s="6"/>
      <c r="E7241" s="6"/>
      <c r="G7241" s="1"/>
      <c r="H7241" s="2"/>
    </row>
    <row r="7242" spans="1:8" x14ac:dyDescent="0.25">
      <c r="A7242" s="5"/>
      <c r="B7242" s="6"/>
      <c r="C7242" s="6"/>
      <c r="D7242" s="6"/>
      <c r="E7242" s="6"/>
      <c r="G7242" s="3"/>
      <c r="H7242" s="2"/>
    </row>
    <row r="7243" spans="1:8" x14ac:dyDescent="0.25">
      <c r="A7243" s="5"/>
      <c r="B7243" s="6"/>
      <c r="C7243" s="6"/>
      <c r="D7243" s="6"/>
      <c r="E7243" s="6"/>
      <c r="G7243" s="1"/>
      <c r="H7243" s="2"/>
    </row>
    <row r="7244" spans="1:8" x14ac:dyDescent="0.25">
      <c r="A7244" s="5"/>
      <c r="B7244" s="6"/>
      <c r="C7244" s="6"/>
      <c r="D7244" s="6"/>
      <c r="E7244" s="6"/>
      <c r="G7244" s="3"/>
      <c r="H7244" s="2"/>
    </row>
    <row r="7245" spans="1:8" x14ac:dyDescent="0.25">
      <c r="A7245" s="5"/>
      <c r="B7245" s="6"/>
      <c r="C7245" s="6"/>
      <c r="D7245" s="6"/>
      <c r="E7245" s="6"/>
      <c r="G7245" s="1"/>
      <c r="H7245" s="2"/>
    </row>
    <row r="7246" spans="1:8" x14ac:dyDescent="0.25">
      <c r="A7246" s="5"/>
      <c r="B7246" s="6"/>
      <c r="C7246" s="6"/>
      <c r="D7246" s="6"/>
      <c r="E7246" s="6"/>
      <c r="G7246" s="3"/>
      <c r="H7246" s="2"/>
    </row>
    <row r="7247" spans="1:8" x14ac:dyDescent="0.25">
      <c r="A7247" s="5"/>
      <c r="B7247" s="6"/>
      <c r="C7247" s="6"/>
      <c r="D7247" s="6"/>
      <c r="E7247" s="6"/>
      <c r="G7247" s="1"/>
      <c r="H7247" s="2"/>
    </row>
    <row r="7248" spans="1:8" x14ac:dyDescent="0.25">
      <c r="A7248" s="5"/>
      <c r="B7248" s="6"/>
      <c r="C7248" s="6"/>
      <c r="D7248" s="6"/>
      <c r="E7248" s="6"/>
      <c r="G7248" s="3"/>
      <c r="H7248" s="2"/>
    </row>
    <row r="7249" spans="1:8" x14ac:dyDescent="0.25">
      <c r="A7249" s="5"/>
      <c r="B7249" s="6"/>
      <c r="C7249" s="6"/>
      <c r="D7249" s="6"/>
      <c r="E7249" s="6"/>
      <c r="G7249" s="1"/>
      <c r="H7249" s="2"/>
    </row>
    <row r="7250" spans="1:8" x14ac:dyDescent="0.25">
      <c r="A7250" s="5"/>
      <c r="B7250" s="6"/>
      <c r="C7250" s="6"/>
      <c r="D7250" s="6"/>
      <c r="E7250" s="6"/>
      <c r="G7250" s="3"/>
      <c r="H7250" s="2"/>
    </row>
    <row r="7251" spans="1:8" x14ac:dyDescent="0.25">
      <c r="A7251" s="5"/>
      <c r="B7251" s="6"/>
      <c r="C7251" s="6"/>
      <c r="D7251" s="6"/>
      <c r="E7251" s="6"/>
      <c r="G7251" s="1"/>
      <c r="H7251" s="2"/>
    </row>
    <row r="7252" spans="1:8" x14ac:dyDescent="0.25">
      <c r="A7252" s="5"/>
      <c r="B7252" s="6"/>
      <c r="C7252" s="6"/>
      <c r="D7252" s="6"/>
      <c r="E7252" s="6"/>
      <c r="G7252" s="3"/>
      <c r="H7252" s="2"/>
    </row>
    <row r="7253" spans="1:8" x14ac:dyDescent="0.25">
      <c r="A7253" s="5"/>
      <c r="B7253" s="6"/>
      <c r="C7253" s="6"/>
      <c r="D7253" s="6"/>
      <c r="E7253" s="6"/>
      <c r="G7253" s="1"/>
      <c r="H7253" s="2"/>
    </row>
    <row r="7254" spans="1:8" x14ac:dyDescent="0.25">
      <c r="A7254" s="5"/>
      <c r="B7254" s="6"/>
      <c r="C7254" s="6"/>
      <c r="D7254" s="6"/>
      <c r="E7254" s="6"/>
      <c r="G7254" s="3"/>
      <c r="H7254" s="2"/>
    </row>
    <row r="7255" spans="1:8" x14ac:dyDescent="0.25">
      <c r="A7255" s="5"/>
      <c r="B7255" s="6"/>
      <c r="C7255" s="6"/>
      <c r="D7255" s="6"/>
      <c r="E7255" s="6"/>
      <c r="G7255" s="1"/>
      <c r="H7255" s="2"/>
    </row>
    <row r="7256" spans="1:8" x14ac:dyDescent="0.25">
      <c r="A7256" s="5"/>
      <c r="B7256" s="6"/>
      <c r="C7256" s="6"/>
      <c r="D7256" s="6"/>
      <c r="E7256" s="6"/>
      <c r="G7256" s="3"/>
      <c r="H7256" s="2"/>
    </row>
    <row r="7257" spans="1:8" x14ac:dyDescent="0.25">
      <c r="A7257" s="5"/>
      <c r="B7257" s="6"/>
      <c r="C7257" s="6"/>
      <c r="D7257" s="6"/>
      <c r="E7257" s="6"/>
      <c r="G7257" s="1"/>
      <c r="H7257" s="2"/>
    </row>
    <row r="7258" spans="1:8" x14ac:dyDescent="0.25">
      <c r="A7258" s="5"/>
      <c r="B7258" s="6"/>
      <c r="C7258" s="6"/>
      <c r="D7258" s="6"/>
      <c r="E7258" s="6"/>
      <c r="G7258" s="3"/>
      <c r="H7258" s="2"/>
    </row>
    <row r="7259" spans="1:8" x14ac:dyDescent="0.25">
      <c r="A7259" s="5"/>
      <c r="B7259" s="6"/>
      <c r="C7259" s="6"/>
      <c r="D7259" s="6"/>
      <c r="E7259" s="6"/>
      <c r="G7259" s="1"/>
      <c r="H7259" s="2"/>
    </row>
    <row r="7260" spans="1:8" x14ac:dyDescent="0.25">
      <c r="A7260" s="5"/>
      <c r="B7260" s="6"/>
      <c r="C7260" s="6"/>
      <c r="D7260" s="6"/>
      <c r="E7260" s="6"/>
      <c r="G7260" s="3"/>
      <c r="H7260" s="2"/>
    </row>
    <row r="7261" spans="1:8" x14ac:dyDescent="0.25">
      <c r="A7261" s="5"/>
      <c r="B7261" s="6"/>
      <c r="C7261" s="6"/>
      <c r="D7261" s="6"/>
      <c r="E7261" s="6"/>
      <c r="G7261" s="1"/>
      <c r="H7261" s="2"/>
    </row>
    <row r="7262" spans="1:8" x14ac:dyDescent="0.25">
      <c r="A7262" s="5"/>
      <c r="B7262" s="6"/>
      <c r="C7262" s="6"/>
      <c r="D7262" s="6"/>
      <c r="E7262" s="6"/>
      <c r="G7262" s="3"/>
      <c r="H7262" s="2"/>
    </row>
    <row r="7263" spans="1:8" x14ac:dyDescent="0.25">
      <c r="A7263" s="5"/>
      <c r="B7263" s="6"/>
      <c r="C7263" s="6"/>
      <c r="D7263" s="6"/>
      <c r="E7263" s="6"/>
      <c r="G7263" s="1"/>
      <c r="H7263" s="2"/>
    </row>
    <row r="7264" spans="1:8" x14ac:dyDescent="0.25">
      <c r="A7264" s="5"/>
      <c r="B7264" s="6"/>
      <c r="C7264" s="6"/>
      <c r="D7264" s="6"/>
      <c r="E7264" s="6"/>
      <c r="G7264" s="3"/>
      <c r="H7264" s="2"/>
    </row>
    <row r="7265" spans="1:8" x14ac:dyDescent="0.25">
      <c r="A7265" s="5"/>
      <c r="B7265" s="6"/>
      <c r="C7265" s="6"/>
      <c r="D7265" s="6"/>
      <c r="E7265" s="6"/>
      <c r="G7265" s="1"/>
      <c r="H7265" s="2"/>
    </row>
    <row r="7266" spans="1:8" x14ac:dyDescent="0.25">
      <c r="A7266" s="5"/>
      <c r="B7266" s="6"/>
      <c r="C7266" s="6"/>
      <c r="D7266" s="6"/>
      <c r="E7266" s="6"/>
      <c r="G7266" s="3"/>
      <c r="H7266" s="2"/>
    </row>
    <row r="7267" spans="1:8" x14ac:dyDescent="0.25">
      <c r="A7267" s="5"/>
      <c r="B7267" s="6"/>
      <c r="C7267" s="6"/>
      <c r="D7267" s="6"/>
      <c r="E7267" s="6"/>
      <c r="G7267" s="1"/>
      <c r="H7267" s="2"/>
    </row>
    <row r="7268" spans="1:8" x14ac:dyDescent="0.25">
      <c r="A7268" s="5"/>
      <c r="B7268" s="6"/>
      <c r="C7268" s="6"/>
      <c r="D7268" s="6"/>
      <c r="E7268" s="6"/>
      <c r="G7268" s="3"/>
      <c r="H7268" s="2"/>
    </row>
    <row r="7269" spans="1:8" x14ac:dyDescent="0.25">
      <c r="A7269" s="5"/>
      <c r="B7269" s="6"/>
      <c r="C7269" s="6"/>
      <c r="D7269" s="6"/>
      <c r="E7269" s="6"/>
      <c r="G7269" s="1"/>
      <c r="H7269" s="2"/>
    </row>
    <row r="7270" spans="1:8" x14ac:dyDescent="0.25">
      <c r="A7270" s="5"/>
      <c r="B7270" s="6"/>
      <c r="C7270" s="6"/>
      <c r="D7270" s="6"/>
      <c r="E7270" s="6"/>
      <c r="G7270" s="3"/>
      <c r="H7270" s="2"/>
    </row>
    <row r="7271" spans="1:8" x14ac:dyDescent="0.25">
      <c r="A7271" s="5"/>
      <c r="B7271" s="6"/>
      <c r="C7271" s="6"/>
      <c r="D7271" s="6"/>
      <c r="E7271" s="6"/>
      <c r="G7271" s="1"/>
      <c r="H7271" s="2"/>
    </row>
    <row r="7272" spans="1:8" x14ac:dyDescent="0.25">
      <c r="A7272" s="5"/>
      <c r="B7272" s="6"/>
      <c r="C7272" s="6"/>
      <c r="D7272" s="6"/>
      <c r="E7272" s="6"/>
      <c r="G7272" s="3"/>
      <c r="H7272" s="2"/>
    </row>
    <row r="7273" spans="1:8" x14ac:dyDescent="0.25">
      <c r="A7273" s="5"/>
      <c r="B7273" s="6"/>
      <c r="C7273" s="6"/>
      <c r="D7273" s="6"/>
      <c r="E7273" s="6"/>
      <c r="G7273" s="1"/>
      <c r="H7273" s="2"/>
    </row>
    <row r="7274" spans="1:8" x14ac:dyDescent="0.25">
      <c r="A7274" s="5"/>
      <c r="B7274" s="6"/>
      <c r="C7274" s="6"/>
      <c r="D7274" s="6"/>
      <c r="E7274" s="6"/>
      <c r="G7274" s="3"/>
      <c r="H7274" s="2"/>
    </row>
    <row r="7275" spans="1:8" x14ac:dyDescent="0.25">
      <c r="A7275" s="5"/>
      <c r="B7275" s="6"/>
      <c r="C7275" s="6"/>
      <c r="D7275" s="6"/>
      <c r="E7275" s="6"/>
      <c r="G7275" s="1"/>
      <c r="H7275" s="2"/>
    </row>
    <row r="7276" spans="1:8" x14ac:dyDescent="0.25">
      <c r="A7276" s="5"/>
      <c r="B7276" s="6"/>
      <c r="C7276" s="6"/>
      <c r="D7276" s="6"/>
      <c r="E7276" s="6"/>
      <c r="G7276" s="3"/>
      <c r="H7276" s="2"/>
    </row>
    <row r="7277" spans="1:8" x14ac:dyDescent="0.25">
      <c r="A7277" s="5"/>
      <c r="B7277" s="6"/>
      <c r="C7277" s="6"/>
      <c r="D7277" s="6"/>
      <c r="E7277" s="6"/>
      <c r="G7277" s="1"/>
      <c r="H7277" s="2"/>
    </row>
    <row r="7278" spans="1:8" x14ac:dyDescent="0.25">
      <c r="A7278" s="5"/>
      <c r="B7278" s="6"/>
      <c r="C7278" s="6"/>
      <c r="D7278" s="6"/>
      <c r="E7278" s="6"/>
      <c r="G7278" s="3"/>
      <c r="H7278" s="2"/>
    </row>
    <row r="7279" spans="1:8" x14ac:dyDescent="0.25">
      <c r="A7279" s="5"/>
      <c r="B7279" s="6"/>
      <c r="C7279" s="6"/>
      <c r="D7279" s="6"/>
      <c r="E7279" s="6"/>
      <c r="G7279" s="1"/>
      <c r="H7279" s="2"/>
    </row>
    <row r="7280" spans="1:8" x14ac:dyDescent="0.25">
      <c r="A7280" s="5"/>
      <c r="B7280" s="6"/>
      <c r="C7280" s="6"/>
      <c r="D7280" s="6"/>
      <c r="E7280" s="6"/>
      <c r="G7280" s="3"/>
      <c r="H7280" s="2"/>
    </row>
    <row r="7281" spans="1:8" x14ac:dyDescent="0.25">
      <c r="A7281" s="5"/>
      <c r="B7281" s="6"/>
      <c r="C7281" s="6"/>
      <c r="D7281" s="6"/>
      <c r="E7281" s="6"/>
      <c r="G7281" s="1"/>
      <c r="H7281" s="2"/>
    </row>
    <row r="7282" spans="1:8" x14ac:dyDescent="0.25">
      <c r="A7282" s="5"/>
      <c r="B7282" s="6"/>
      <c r="C7282" s="6"/>
      <c r="D7282" s="6"/>
      <c r="E7282" s="6"/>
      <c r="G7282" s="3"/>
      <c r="H7282" s="2"/>
    </row>
    <row r="7283" spans="1:8" x14ac:dyDescent="0.25">
      <c r="A7283" s="5"/>
      <c r="B7283" s="6"/>
      <c r="C7283" s="6"/>
      <c r="D7283" s="6"/>
      <c r="E7283" s="6"/>
      <c r="G7283" s="1"/>
      <c r="H7283" s="2"/>
    </row>
    <row r="7284" spans="1:8" x14ac:dyDescent="0.25">
      <c r="A7284" s="5"/>
      <c r="B7284" s="6"/>
      <c r="C7284" s="6"/>
      <c r="D7284" s="6"/>
      <c r="E7284" s="6"/>
      <c r="G7284" s="3"/>
      <c r="H7284" s="2"/>
    </row>
    <row r="7285" spans="1:8" x14ac:dyDescent="0.25">
      <c r="A7285" s="5"/>
      <c r="B7285" s="6"/>
      <c r="C7285" s="6"/>
      <c r="D7285" s="6"/>
      <c r="E7285" s="6"/>
      <c r="G7285" s="1"/>
      <c r="H7285" s="2"/>
    </row>
    <row r="7286" spans="1:8" x14ac:dyDescent="0.25">
      <c r="A7286" s="5"/>
      <c r="B7286" s="6"/>
      <c r="C7286" s="6"/>
      <c r="D7286" s="6"/>
      <c r="E7286" s="6"/>
      <c r="G7286" s="3"/>
      <c r="H7286" s="2"/>
    </row>
    <row r="7287" spans="1:8" x14ac:dyDescent="0.25">
      <c r="A7287" s="5"/>
      <c r="B7287" s="6"/>
      <c r="C7287" s="6"/>
      <c r="D7287" s="6"/>
      <c r="E7287" s="6"/>
      <c r="G7287" s="1"/>
      <c r="H7287" s="2"/>
    </row>
    <row r="7288" spans="1:8" x14ac:dyDescent="0.25">
      <c r="A7288" s="5"/>
      <c r="B7288" s="6"/>
      <c r="C7288" s="6"/>
      <c r="D7288" s="6"/>
      <c r="E7288" s="6"/>
      <c r="G7288" s="3"/>
      <c r="H7288" s="2"/>
    </row>
    <row r="7289" spans="1:8" x14ac:dyDescent="0.25">
      <c r="A7289" s="5"/>
      <c r="B7289" s="6"/>
      <c r="C7289" s="6"/>
      <c r="D7289" s="6"/>
      <c r="E7289" s="6"/>
      <c r="G7289" s="1"/>
      <c r="H7289" s="2"/>
    </row>
    <row r="7290" spans="1:8" x14ac:dyDescent="0.25">
      <c r="A7290" s="5"/>
      <c r="B7290" s="6"/>
      <c r="C7290" s="6"/>
      <c r="D7290" s="6"/>
      <c r="E7290" s="6"/>
      <c r="G7290" s="3"/>
      <c r="H7290" s="2"/>
    </row>
    <row r="7291" spans="1:8" x14ac:dyDescent="0.25">
      <c r="A7291" s="5"/>
      <c r="B7291" s="6"/>
      <c r="C7291" s="6"/>
      <c r="D7291" s="6"/>
      <c r="E7291" s="6"/>
      <c r="G7291" s="1"/>
      <c r="H7291" s="2"/>
    </row>
    <row r="7292" spans="1:8" x14ac:dyDescent="0.25">
      <c r="A7292" s="5"/>
      <c r="B7292" s="6"/>
      <c r="C7292" s="6"/>
      <c r="D7292" s="6"/>
      <c r="E7292" s="6"/>
      <c r="G7292" s="3"/>
      <c r="H7292" s="2"/>
    </row>
    <row r="7293" spans="1:8" x14ac:dyDescent="0.25">
      <c r="A7293" s="5"/>
      <c r="B7293" s="6"/>
      <c r="C7293" s="6"/>
      <c r="D7293" s="6"/>
      <c r="E7293" s="6"/>
      <c r="G7293" s="1"/>
      <c r="H7293" s="2"/>
    </row>
    <row r="7294" spans="1:8" x14ac:dyDescent="0.25">
      <c r="A7294" s="5"/>
      <c r="B7294" s="6"/>
      <c r="C7294" s="6"/>
      <c r="D7294" s="6"/>
      <c r="E7294" s="6"/>
      <c r="G7294" s="3"/>
      <c r="H7294" s="2"/>
    </row>
    <row r="7295" spans="1:8" x14ac:dyDescent="0.25">
      <c r="A7295" s="5"/>
      <c r="B7295" s="6"/>
      <c r="C7295" s="6"/>
      <c r="D7295" s="6"/>
      <c r="E7295" s="6"/>
      <c r="G7295" s="1"/>
      <c r="H7295" s="2"/>
    </row>
    <row r="7296" spans="1:8" x14ac:dyDescent="0.25">
      <c r="A7296" s="5"/>
      <c r="B7296" s="6"/>
      <c r="C7296" s="6"/>
      <c r="D7296" s="6"/>
      <c r="E7296" s="6"/>
      <c r="G7296" s="3"/>
      <c r="H7296" s="2"/>
    </row>
    <row r="7297" spans="1:8" x14ac:dyDescent="0.25">
      <c r="A7297" s="5"/>
      <c r="B7297" s="6"/>
      <c r="C7297" s="6"/>
      <c r="D7297" s="6"/>
      <c r="E7297" s="6"/>
      <c r="G7297" s="1"/>
      <c r="H7297" s="2"/>
    </row>
    <row r="7298" spans="1:8" x14ac:dyDescent="0.25">
      <c r="A7298" s="5"/>
      <c r="B7298" s="6"/>
      <c r="C7298" s="6"/>
      <c r="D7298" s="6"/>
      <c r="E7298" s="6"/>
      <c r="G7298" s="3"/>
      <c r="H7298" s="2"/>
    </row>
    <row r="7299" spans="1:8" x14ac:dyDescent="0.25">
      <c r="A7299" s="5"/>
      <c r="B7299" s="6"/>
      <c r="C7299" s="6"/>
      <c r="D7299" s="6"/>
      <c r="E7299" s="6"/>
      <c r="G7299" s="1"/>
      <c r="H7299" s="2"/>
    </row>
    <row r="7300" spans="1:8" x14ac:dyDescent="0.25">
      <c r="A7300" s="5"/>
      <c r="B7300" s="6"/>
      <c r="C7300" s="6"/>
      <c r="D7300" s="6"/>
      <c r="E7300" s="6"/>
      <c r="G7300" s="3"/>
      <c r="H7300" s="2"/>
    </row>
    <row r="7301" spans="1:8" x14ac:dyDescent="0.25">
      <c r="A7301" s="5"/>
      <c r="B7301" s="6"/>
      <c r="C7301" s="6"/>
      <c r="D7301" s="6"/>
      <c r="E7301" s="6"/>
      <c r="G7301" s="1"/>
      <c r="H7301" s="2"/>
    </row>
    <row r="7302" spans="1:8" x14ac:dyDescent="0.25">
      <c r="A7302" s="5"/>
      <c r="B7302" s="6"/>
      <c r="C7302" s="6"/>
      <c r="D7302" s="6"/>
      <c r="E7302" s="6"/>
      <c r="G7302" s="3"/>
      <c r="H7302" s="2"/>
    </row>
    <row r="7303" spans="1:8" x14ac:dyDescent="0.25">
      <c r="A7303" s="5"/>
      <c r="B7303" s="6"/>
      <c r="C7303" s="6"/>
      <c r="D7303" s="6"/>
      <c r="E7303" s="6"/>
      <c r="G7303" s="1"/>
      <c r="H7303" s="2"/>
    </row>
    <row r="7304" spans="1:8" x14ac:dyDescent="0.25">
      <c r="A7304" s="5"/>
      <c r="B7304" s="6"/>
      <c r="C7304" s="6"/>
      <c r="D7304" s="6"/>
      <c r="E7304" s="6"/>
      <c r="G7304" s="3"/>
      <c r="H7304" s="2"/>
    </row>
    <row r="7305" spans="1:8" x14ac:dyDescent="0.25">
      <c r="A7305" s="5"/>
      <c r="B7305" s="6"/>
      <c r="C7305" s="6"/>
      <c r="D7305" s="6"/>
      <c r="E7305" s="6"/>
      <c r="G7305" s="1"/>
      <c r="H7305" s="2"/>
    </row>
    <row r="7306" spans="1:8" x14ac:dyDescent="0.25">
      <c r="A7306" s="5"/>
      <c r="B7306" s="6"/>
      <c r="C7306" s="6"/>
      <c r="D7306" s="6"/>
      <c r="E7306" s="6"/>
      <c r="G7306" s="3"/>
      <c r="H7306" s="2"/>
    </row>
    <row r="7307" spans="1:8" x14ac:dyDescent="0.25">
      <c r="A7307" s="5"/>
      <c r="B7307" s="6"/>
      <c r="C7307" s="6"/>
      <c r="D7307" s="6"/>
      <c r="E7307" s="6"/>
      <c r="G7307" s="1"/>
      <c r="H7307" s="2"/>
    </row>
    <row r="7308" spans="1:8" x14ac:dyDescent="0.25">
      <c r="A7308" s="5"/>
      <c r="B7308" s="6"/>
      <c r="C7308" s="6"/>
      <c r="D7308" s="6"/>
      <c r="E7308" s="6"/>
      <c r="G7308" s="3"/>
      <c r="H7308" s="2"/>
    </row>
    <row r="7309" spans="1:8" x14ac:dyDescent="0.25">
      <c r="A7309" s="5"/>
      <c r="B7309" s="6"/>
      <c r="C7309" s="6"/>
      <c r="D7309" s="6"/>
      <c r="E7309" s="6"/>
      <c r="G7309" s="1"/>
      <c r="H7309" s="2"/>
    </row>
    <row r="7310" spans="1:8" x14ac:dyDescent="0.25">
      <c r="A7310" s="5"/>
      <c r="B7310" s="6"/>
      <c r="C7310" s="6"/>
      <c r="D7310" s="6"/>
      <c r="E7310" s="6"/>
      <c r="G7310" s="3"/>
      <c r="H7310" s="2"/>
    </row>
    <row r="7311" spans="1:8" x14ac:dyDescent="0.25">
      <c r="A7311" s="5"/>
      <c r="B7311" s="6"/>
      <c r="C7311" s="6"/>
      <c r="D7311" s="6"/>
      <c r="E7311" s="6"/>
      <c r="G7311" s="1"/>
      <c r="H7311" s="2"/>
    </row>
    <row r="7312" spans="1:8" x14ac:dyDescent="0.25">
      <c r="A7312" s="5"/>
      <c r="B7312" s="6"/>
      <c r="C7312" s="6"/>
      <c r="D7312" s="6"/>
      <c r="E7312" s="6"/>
      <c r="G7312" s="3"/>
      <c r="H7312" s="2"/>
    </row>
    <row r="7313" spans="1:8" x14ac:dyDescent="0.25">
      <c r="A7313" s="5"/>
      <c r="B7313" s="6"/>
      <c r="C7313" s="6"/>
      <c r="D7313" s="6"/>
      <c r="E7313" s="6"/>
      <c r="G7313" s="1"/>
      <c r="H7313" s="2"/>
    </row>
    <row r="7314" spans="1:8" x14ac:dyDescent="0.25">
      <c r="A7314" s="5"/>
      <c r="B7314" s="6"/>
      <c r="C7314" s="6"/>
      <c r="D7314" s="6"/>
      <c r="E7314" s="6"/>
      <c r="G7314" s="3"/>
      <c r="H7314" s="2"/>
    </row>
    <row r="7315" spans="1:8" x14ac:dyDescent="0.25">
      <c r="A7315" s="5"/>
      <c r="B7315" s="6"/>
      <c r="C7315" s="6"/>
      <c r="D7315" s="6"/>
      <c r="E7315" s="6"/>
      <c r="G7315" s="1"/>
      <c r="H7315" s="2"/>
    </row>
    <row r="7316" spans="1:8" x14ac:dyDescent="0.25">
      <c r="A7316" s="5"/>
      <c r="B7316" s="6"/>
      <c r="C7316" s="6"/>
      <c r="D7316" s="6"/>
      <c r="E7316" s="6"/>
      <c r="G7316" s="3"/>
      <c r="H7316" s="2"/>
    </row>
    <row r="7317" spans="1:8" x14ac:dyDescent="0.25">
      <c r="A7317" s="5"/>
      <c r="B7317" s="6"/>
      <c r="C7317" s="6"/>
      <c r="D7317" s="6"/>
      <c r="E7317" s="6"/>
      <c r="G7317" s="1"/>
      <c r="H7317" s="2"/>
    </row>
    <row r="7318" spans="1:8" x14ac:dyDescent="0.25">
      <c r="A7318" s="5"/>
      <c r="B7318" s="6"/>
      <c r="C7318" s="6"/>
      <c r="D7318" s="6"/>
      <c r="E7318" s="6"/>
      <c r="G7318" s="3"/>
      <c r="H7318" s="2"/>
    </row>
    <row r="7319" spans="1:8" x14ac:dyDescent="0.25">
      <c r="A7319" s="5"/>
      <c r="B7319" s="6"/>
      <c r="C7319" s="6"/>
      <c r="D7319" s="6"/>
      <c r="E7319" s="6"/>
      <c r="G7319" s="1"/>
      <c r="H7319" s="2"/>
    </row>
    <row r="7320" spans="1:8" x14ac:dyDescent="0.25">
      <c r="A7320" s="5"/>
      <c r="B7320" s="6"/>
      <c r="C7320" s="6"/>
      <c r="D7320" s="6"/>
      <c r="E7320" s="6"/>
      <c r="G7320" s="3"/>
      <c r="H7320" s="2"/>
    </row>
    <row r="7321" spans="1:8" x14ac:dyDescent="0.25">
      <c r="A7321" s="5"/>
      <c r="B7321" s="6"/>
      <c r="C7321" s="6"/>
      <c r="D7321" s="6"/>
      <c r="E7321" s="6"/>
      <c r="G7321" s="1"/>
      <c r="H7321" s="2"/>
    </row>
    <row r="7322" spans="1:8" x14ac:dyDescent="0.25">
      <c r="A7322" s="5"/>
      <c r="B7322" s="6"/>
      <c r="C7322" s="6"/>
      <c r="D7322" s="6"/>
      <c r="E7322" s="6"/>
      <c r="G7322" s="3"/>
      <c r="H7322" s="2"/>
    </row>
    <row r="7323" spans="1:8" x14ac:dyDescent="0.25">
      <c r="A7323" s="5"/>
      <c r="B7323" s="6"/>
      <c r="C7323" s="6"/>
      <c r="D7323" s="6"/>
      <c r="E7323" s="6"/>
      <c r="G7323" s="1"/>
      <c r="H7323" s="2"/>
    </row>
    <row r="7324" spans="1:8" x14ac:dyDescent="0.25">
      <c r="A7324" s="5"/>
      <c r="B7324" s="6"/>
      <c r="C7324" s="6"/>
      <c r="D7324" s="6"/>
      <c r="E7324" s="6"/>
      <c r="G7324" s="3"/>
      <c r="H7324" s="2"/>
    </row>
    <row r="7325" spans="1:8" x14ac:dyDescent="0.25">
      <c r="A7325" s="5"/>
      <c r="B7325" s="6"/>
      <c r="C7325" s="6"/>
      <c r="D7325" s="6"/>
      <c r="E7325" s="6"/>
      <c r="G7325" s="1"/>
      <c r="H7325" s="2"/>
    </row>
    <row r="7326" spans="1:8" x14ac:dyDescent="0.25">
      <c r="A7326" s="5"/>
      <c r="B7326" s="6"/>
      <c r="C7326" s="6"/>
      <c r="D7326" s="6"/>
      <c r="E7326" s="6"/>
      <c r="G7326" s="3"/>
      <c r="H7326" s="2"/>
    </row>
    <row r="7327" spans="1:8" x14ac:dyDescent="0.25">
      <c r="A7327" s="5"/>
      <c r="B7327" s="6"/>
      <c r="C7327" s="6"/>
      <c r="D7327" s="6"/>
      <c r="E7327" s="6"/>
      <c r="G7327" s="1"/>
      <c r="H7327" s="2"/>
    </row>
    <row r="7328" spans="1:8" x14ac:dyDescent="0.25">
      <c r="A7328" s="5"/>
      <c r="B7328" s="6"/>
      <c r="C7328" s="6"/>
      <c r="D7328" s="6"/>
      <c r="E7328" s="6"/>
      <c r="G7328" s="3"/>
      <c r="H7328" s="2"/>
    </row>
    <row r="7329" spans="1:8" x14ac:dyDescent="0.25">
      <c r="A7329" s="5"/>
      <c r="B7329" s="6"/>
      <c r="C7329" s="6"/>
      <c r="D7329" s="6"/>
      <c r="E7329" s="6"/>
      <c r="G7329" s="1"/>
      <c r="H7329" s="2"/>
    </row>
    <row r="7330" spans="1:8" x14ac:dyDescent="0.25">
      <c r="A7330" s="5"/>
      <c r="B7330" s="6"/>
      <c r="C7330" s="6"/>
      <c r="D7330" s="6"/>
      <c r="E7330" s="6"/>
      <c r="G7330" s="3"/>
      <c r="H7330" s="2"/>
    </row>
    <row r="7331" spans="1:8" x14ac:dyDescent="0.25">
      <c r="A7331" s="5"/>
      <c r="B7331" s="6"/>
      <c r="C7331" s="6"/>
      <c r="D7331" s="6"/>
      <c r="E7331" s="6"/>
      <c r="G7331" s="1"/>
      <c r="H7331" s="2"/>
    </row>
    <row r="7332" spans="1:8" x14ac:dyDescent="0.25">
      <c r="A7332" s="5"/>
      <c r="B7332" s="6"/>
      <c r="C7332" s="6"/>
      <c r="D7332" s="6"/>
      <c r="E7332" s="6"/>
      <c r="G7332" s="3"/>
      <c r="H7332" s="2"/>
    </row>
    <row r="7333" spans="1:8" x14ac:dyDescent="0.25">
      <c r="A7333" s="5"/>
      <c r="B7333" s="6"/>
      <c r="C7333" s="6"/>
      <c r="D7333" s="6"/>
      <c r="E7333" s="6"/>
      <c r="G7333" s="1"/>
      <c r="H7333" s="2"/>
    </row>
    <row r="7334" spans="1:8" x14ac:dyDescent="0.25">
      <c r="A7334" s="5"/>
      <c r="B7334" s="6"/>
      <c r="C7334" s="6"/>
      <c r="D7334" s="6"/>
      <c r="E7334" s="6"/>
      <c r="G7334" s="3"/>
      <c r="H7334" s="2"/>
    </row>
    <row r="7335" spans="1:8" x14ac:dyDescent="0.25">
      <c r="A7335" s="5"/>
      <c r="B7335" s="6"/>
      <c r="C7335" s="6"/>
      <c r="D7335" s="6"/>
      <c r="E7335" s="6"/>
      <c r="G7335" s="1"/>
      <c r="H7335" s="2"/>
    </row>
    <row r="7336" spans="1:8" x14ac:dyDescent="0.25">
      <c r="A7336" s="5"/>
      <c r="B7336" s="6"/>
      <c r="C7336" s="6"/>
      <c r="D7336" s="6"/>
      <c r="E7336" s="6"/>
      <c r="G7336" s="3"/>
      <c r="H7336" s="2"/>
    </row>
    <row r="7337" spans="1:8" x14ac:dyDescent="0.25">
      <c r="A7337" s="5"/>
      <c r="B7337" s="6"/>
      <c r="C7337" s="6"/>
      <c r="D7337" s="6"/>
      <c r="E7337" s="6"/>
      <c r="G7337" s="1"/>
      <c r="H7337" s="2"/>
    </row>
    <row r="7338" spans="1:8" x14ac:dyDescent="0.25">
      <c r="A7338" s="5"/>
      <c r="B7338" s="6"/>
      <c r="C7338" s="6"/>
      <c r="D7338" s="6"/>
      <c r="E7338" s="6"/>
      <c r="G7338" s="3"/>
      <c r="H7338" s="2"/>
    </row>
    <row r="7339" spans="1:8" x14ac:dyDescent="0.25">
      <c r="A7339" s="5"/>
      <c r="B7339" s="6"/>
      <c r="C7339" s="6"/>
      <c r="D7339" s="6"/>
      <c r="E7339" s="6"/>
      <c r="G7339" s="1"/>
      <c r="H7339" s="2"/>
    </row>
    <row r="7340" spans="1:8" x14ac:dyDescent="0.25">
      <c r="A7340" s="5"/>
      <c r="B7340" s="6"/>
      <c r="C7340" s="6"/>
      <c r="D7340" s="6"/>
      <c r="E7340" s="6"/>
      <c r="G7340" s="3"/>
      <c r="H7340" s="2"/>
    </row>
    <row r="7341" spans="1:8" x14ac:dyDescent="0.25">
      <c r="A7341" s="5"/>
      <c r="B7341" s="6"/>
      <c r="C7341" s="6"/>
      <c r="D7341" s="6"/>
      <c r="E7341" s="6"/>
      <c r="G7341" s="1"/>
      <c r="H7341" s="2"/>
    </row>
    <row r="7342" spans="1:8" x14ac:dyDescent="0.25">
      <c r="A7342" s="5"/>
      <c r="B7342" s="6"/>
      <c r="C7342" s="6"/>
      <c r="D7342" s="6"/>
      <c r="E7342" s="6"/>
      <c r="G7342" s="3"/>
      <c r="H7342" s="2"/>
    </row>
    <row r="7343" spans="1:8" x14ac:dyDescent="0.25">
      <c r="A7343" s="5"/>
      <c r="B7343" s="6"/>
      <c r="C7343" s="6"/>
      <c r="D7343" s="6"/>
      <c r="E7343" s="6"/>
      <c r="G7343" s="1"/>
      <c r="H7343" s="2"/>
    </row>
    <row r="7344" spans="1:8" x14ac:dyDescent="0.25">
      <c r="A7344" s="5"/>
      <c r="B7344" s="6"/>
      <c r="C7344" s="6"/>
      <c r="D7344" s="6"/>
      <c r="E7344" s="6"/>
      <c r="G7344" s="3"/>
      <c r="H7344" s="2"/>
    </row>
    <row r="7345" spans="1:8" x14ac:dyDescent="0.25">
      <c r="A7345" s="5"/>
      <c r="B7345" s="6"/>
      <c r="C7345" s="6"/>
      <c r="D7345" s="6"/>
      <c r="E7345" s="6"/>
      <c r="G7345" s="1"/>
      <c r="H7345" s="2"/>
    </row>
    <row r="7346" spans="1:8" x14ac:dyDescent="0.25">
      <c r="A7346" s="5"/>
      <c r="B7346" s="6"/>
      <c r="C7346" s="6"/>
      <c r="D7346" s="6"/>
      <c r="E7346" s="6"/>
      <c r="G7346" s="3"/>
      <c r="H7346" s="2"/>
    </row>
    <row r="7347" spans="1:8" x14ac:dyDescent="0.25">
      <c r="A7347" s="5"/>
      <c r="B7347" s="6"/>
      <c r="C7347" s="6"/>
      <c r="D7347" s="6"/>
      <c r="E7347" s="6"/>
      <c r="G7347" s="1"/>
      <c r="H7347" s="2"/>
    </row>
    <row r="7348" spans="1:8" x14ac:dyDescent="0.25">
      <c r="A7348" s="5"/>
      <c r="B7348" s="6"/>
      <c r="C7348" s="6"/>
      <c r="D7348" s="6"/>
      <c r="E7348" s="6"/>
      <c r="G7348" s="3"/>
      <c r="H7348" s="2"/>
    </row>
    <row r="7349" spans="1:8" x14ac:dyDescent="0.25">
      <c r="A7349" s="5"/>
      <c r="B7349" s="6"/>
      <c r="C7349" s="6"/>
      <c r="D7349" s="6"/>
      <c r="E7349" s="6"/>
      <c r="G7349" s="1"/>
      <c r="H7349" s="2"/>
    </row>
    <row r="7350" spans="1:8" x14ac:dyDescent="0.25">
      <c r="A7350" s="5"/>
      <c r="B7350" s="6"/>
      <c r="C7350" s="6"/>
      <c r="D7350" s="6"/>
      <c r="E7350" s="6"/>
      <c r="G7350" s="3"/>
      <c r="H7350" s="2"/>
    </row>
    <row r="7351" spans="1:8" x14ac:dyDescent="0.25">
      <c r="A7351" s="5"/>
      <c r="B7351" s="6"/>
      <c r="C7351" s="6"/>
      <c r="D7351" s="6"/>
      <c r="E7351" s="6"/>
      <c r="G7351" s="1"/>
      <c r="H7351" s="2"/>
    </row>
    <row r="7352" spans="1:8" x14ac:dyDescent="0.25">
      <c r="A7352" s="5"/>
      <c r="B7352" s="6"/>
      <c r="C7352" s="6"/>
      <c r="D7352" s="6"/>
      <c r="E7352" s="6"/>
      <c r="G7352" s="3"/>
      <c r="H7352" s="2"/>
    </row>
    <row r="7353" spans="1:8" x14ac:dyDescent="0.25">
      <c r="A7353" s="5"/>
      <c r="B7353" s="6"/>
      <c r="C7353" s="6"/>
      <c r="D7353" s="6"/>
      <c r="E7353" s="6"/>
      <c r="G7353" s="1"/>
      <c r="H7353" s="2"/>
    </row>
    <row r="7354" spans="1:8" x14ac:dyDescent="0.25">
      <c r="A7354" s="5"/>
      <c r="B7354" s="6"/>
      <c r="C7354" s="6"/>
      <c r="D7354" s="6"/>
      <c r="E7354" s="6"/>
      <c r="G7354" s="3"/>
      <c r="H7354" s="2"/>
    </row>
    <row r="7355" spans="1:8" x14ac:dyDescent="0.25">
      <c r="A7355" s="5"/>
      <c r="B7355" s="6"/>
      <c r="C7355" s="6"/>
      <c r="D7355" s="6"/>
      <c r="E7355" s="6"/>
      <c r="G7355" s="1"/>
      <c r="H7355" s="2"/>
    </row>
    <row r="7356" spans="1:8" x14ac:dyDescent="0.25">
      <c r="A7356" s="5"/>
      <c r="B7356" s="6"/>
      <c r="C7356" s="6"/>
      <c r="D7356" s="6"/>
      <c r="E7356" s="6"/>
      <c r="G7356" s="3"/>
      <c r="H7356" s="2"/>
    </row>
    <row r="7357" spans="1:8" x14ac:dyDescent="0.25">
      <c r="A7357" s="5"/>
      <c r="B7357" s="6"/>
      <c r="C7357" s="6"/>
      <c r="D7357" s="6"/>
      <c r="E7357" s="6"/>
      <c r="G7357" s="1"/>
      <c r="H7357" s="2"/>
    </row>
    <row r="7358" spans="1:8" x14ac:dyDescent="0.25">
      <c r="A7358" s="5"/>
      <c r="B7358" s="6"/>
      <c r="C7358" s="6"/>
      <c r="D7358" s="6"/>
      <c r="E7358" s="6"/>
      <c r="G7358" s="3"/>
      <c r="H7358" s="2"/>
    </row>
    <row r="7359" spans="1:8" x14ac:dyDescent="0.25">
      <c r="A7359" s="5"/>
      <c r="B7359" s="6"/>
      <c r="C7359" s="6"/>
      <c r="D7359" s="6"/>
      <c r="E7359" s="6"/>
      <c r="G7359" s="1"/>
      <c r="H7359" s="2"/>
    </row>
    <row r="7360" spans="1:8" x14ac:dyDescent="0.25">
      <c r="A7360" s="5"/>
      <c r="B7360" s="6"/>
      <c r="C7360" s="6"/>
      <c r="D7360" s="6"/>
      <c r="E7360" s="6"/>
      <c r="G7360" s="3"/>
      <c r="H7360" s="2"/>
    </row>
    <row r="7361" spans="1:8" x14ac:dyDescent="0.25">
      <c r="A7361" s="5"/>
      <c r="B7361" s="6"/>
      <c r="C7361" s="6"/>
      <c r="D7361" s="6"/>
      <c r="E7361" s="6"/>
      <c r="G7361" s="1"/>
      <c r="H7361" s="2"/>
    </row>
    <row r="7362" spans="1:8" x14ac:dyDescent="0.25">
      <c r="A7362" s="5"/>
      <c r="B7362" s="6"/>
      <c r="C7362" s="6"/>
      <c r="D7362" s="6"/>
      <c r="E7362" s="6"/>
      <c r="G7362" s="3"/>
      <c r="H7362" s="2"/>
    </row>
    <row r="7363" spans="1:8" x14ac:dyDescent="0.25">
      <c r="A7363" s="5"/>
      <c r="B7363" s="6"/>
      <c r="C7363" s="6"/>
      <c r="D7363" s="6"/>
      <c r="E7363" s="6"/>
      <c r="G7363" s="1"/>
      <c r="H7363" s="2"/>
    </row>
    <row r="7364" spans="1:8" x14ac:dyDescent="0.25">
      <c r="A7364" s="5"/>
      <c r="B7364" s="6"/>
      <c r="C7364" s="6"/>
      <c r="D7364" s="6"/>
      <c r="E7364" s="6"/>
      <c r="G7364" s="3"/>
      <c r="H7364" s="2"/>
    </row>
    <row r="7365" spans="1:8" x14ac:dyDescent="0.25">
      <c r="A7365" s="5"/>
      <c r="B7365" s="6"/>
      <c r="C7365" s="6"/>
      <c r="D7365" s="6"/>
      <c r="E7365" s="6"/>
      <c r="G7365" s="1"/>
      <c r="H7365" s="2"/>
    </row>
    <row r="7366" spans="1:8" x14ac:dyDescent="0.25">
      <c r="A7366" s="5"/>
      <c r="B7366" s="6"/>
      <c r="C7366" s="6"/>
      <c r="D7366" s="6"/>
      <c r="E7366" s="6"/>
      <c r="G7366" s="3"/>
      <c r="H7366" s="2"/>
    </row>
    <row r="7367" spans="1:8" x14ac:dyDescent="0.25">
      <c r="A7367" s="5"/>
      <c r="B7367" s="6"/>
      <c r="C7367" s="6"/>
      <c r="D7367" s="6"/>
      <c r="E7367" s="6"/>
      <c r="G7367" s="1"/>
      <c r="H7367" s="2"/>
    </row>
    <row r="7368" spans="1:8" x14ac:dyDescent="0.25">
      <c r="A7368" s="5"/>
      <c r="B7368" s="6"/>
      <c r="C7368" s="6"/>
      <c r="D7368" s="6"/>
      <c r="E7368" s="6"/>
      <c r="G7368" s="3"/>
      <c r="H7368" s="2"/>
    </row>
    <row r="7369" spans="1:8" x14ac:dyDescent="0.25">
      <c r="A7369" s="5"/>
      <c r="B7369" s="6"/>
      <c r="C7369" s="6"/>
      <c r="D7369" s="6"/>
      <c r="E7369" s="6"/>
      <c r="G7369" s="1"/>
      <c r="H7369" s="2"/>
    </row>
    <row r="7370" spans="1:8" x14ac:dyDescent="0.25">
      <c r="A7370" s="5"/>
      <c r="B7370" s="6"/>
      <c r="C7370" s="6"/>
      <c r="D7370" s="6"/>
      <c r="E7370" s="6"/>
      <c r="G7370" s="3"/>
      <c r="H7370" s="2"/>
    </row>
    <row r="7371" spans="1:8" x14ac:dyDescent="0.25">
      <c r="A7371" s="5"/>
      <c r="B7371" s="6"/>
      <c r="C7371" s="6"/>
      <c r="D7371" s="6"/>
      <c r="E7371" s="6"/>
      <c r="G7371" s="1"/>
      <c r="H7371" s="2"/>
    </row>
    <row r="7372" spans="1:8" x14ac:dyDescent="0.25">
      <c r="A7372" s="5"/>
      <c r="B7372" s="6"/>
      <c r="C7372" s="6"/>
      <c r="D7372" s="6"/>
      <c r="E7372" s="6"/>
      <c r="G7372" s="3"/>
      <c r="H7372" s="2"/>
    </row>
    <row r="7373" spans="1:8" x14ac:dyDescent="0.25">
      <c r="A7373" s="5"/>
      <c r="B7373" s="6"/>
      <c r="C7373" s="6"/>
      <c r="D7373" s="6"/>
      <c r="E7373" s="6"/>
      <c r="G7373" s="1"/>
      <c r="H7373" s="2"/>
    </row>
    <row r="7374" spans="1:8" x14ac:dyDescent="0.25">
      <c r="A7374" s="5"/>
      <c r="B7374" s="6"/>
      <c r="C7374" s="6"/>
      <c r="D7374" s="6"/>
      <c r="E7374" s="6"/>
      <c r="G7374" s="3"/>
      <c r="H7374" s="2"/>
    </row>
    <row r="7375" spans="1:8" x14ac:dyDescent="0.25">
      <c r="A7375" s="5"/>
      <c r="B7375" s="6"/>
      <c r="C7375" s="6"/>
      <c r="D7375" s="6"/>
      <c r="E7375" s="6"/>
      <c r="G7375" s="1"/>
      <c r="H7375" s="2"/>
    </row>
    <row r="7376" spans="1:8" x14ac:dyDescent="0.25">
      <c r="A7376" s="5"/>
      <c r="B7376" s="6"/>
      <c r="C7376" s="6"/>
      <c r="D7376" s="6"/>
      <c r="E7376" s="6"/>
      <c r="G7376" s="3"/>
      <c r="H7376" s="2"/>
    </row>
    <row r="7377" spans="1:8" x14ac:dyDescent="0.25">
      <c r="A7377" s="5"/>
      <c r="B7377" s="6"/>
      <c r="C7377" s="6"/>
      <c r="D7377" s="6"/>
      <c r="E7377" s="6"/>
      <c r="G7377" s="1"/>
      <c r="H7377" s="2"/>
    </row>
    <row r="7378" spans="1:8" x14ac:dyDescent="0.25">
      <c r="A7378" s="5"/>
      <c r="B7378" s="6"/>
      <c r="C7378" s="6"/>
      <c r="D7378" s="6"/>
      <c r="E7378" s="6"/>
      <c r="G7378" s="3"/>
      <c r="H7378" s="2"/>
    </row>
    <row r="7379" spans="1:8" x14ac:dyDescent="0.25">
      <c r="A7379" s="5"/>
      <c r="B7379" s="6"/>
      <c r="C7379" s="6"/>
      <c r="D7379" s="6"/>
      <c r="E7379" s="6"/>
      <c r="G7379" s="1"/>
      <c r="H7379" s="2"/>
    </row>
    <row r="7380" spans="1:8" x14ac:dyDescent="0.25">
      <c r="A7380" s="5"/>
      <c r="B7380" s="6"/>
      <c r="C7380" s="6"/>
      <c r="D7380" s="6"/>
      <c r="E7380" s="6"/>
      <c r="G7380" s="3"/>
      <c r="H7380" s="2"/>
    </row>
    <row r="7381" spans="1:8" x14ac:dyDescent="0.25">
      <c r="A7381" s="5"/>
      <c r="B7381" s="6"/>
      <c r="C7381" s="6"/>
      <c r="D7381" s="6"/>
      <c r="E7381" s="6"/>
      <c r="G7381" s="1"/>
      <c r="H7381" s="2"/>
    </row>
    <row r="7382" spans="1:8" x14ac:dyDescent="0.25">
      <c r="A7382" s="5"/>
      <c r="B7382" s="6"/>
      <c r="C7382" s="6"/>
      <c r="D7382" s="6"/>
      <c r="E7382" s="6"/>
      <c r="G7382" s="3"/>
      <c r="H7382" s="2"/>
    </row>
    <row r="7383" spans="1:8" x14ac:dyDescent="0.25">
      <c r="A7383" s="5"/>
      <c r="B7383" s="6"/>
      <c r="C7383" s="6"/>
      <c r="D7383" s="6"/>
      <c r="E7383" s="6"/>
      <c r="G7383" s="1"/>
      <c r="H7383" s="2"/>
    </row>
    <row r="7384" spans="1:8" x14ac:dyDescent="0.25">
      <c r="A7384" s="5"/>
      <c r="B7384" s="6"/>
      <c r="C7384" s="6"/>
      <c r="D7384" s="6"/>
      <c r="E7384" s="6"/>
      <c r="G7384" s="3"/>
      <c r="H7384" s="2"/>
    </row>
    <row r="7385" spans="1:8" x14ac:dyDescent="0.25">
      <c r="A7385" s="5"/>
      <c r="B7385" s="6"/>
      <c r="C7385" s="6"/>
      <c r="D7385" s="6"/>
      <c r="E7385" s="6"/>
      <c r="G7385" s="1"/>
      <c r="H7385" s="2"/>
    </row>
    <row r="7386" spans="1:8" x14ac:dyDescent="0.25">
      <c r="A7386" s="5"/>
      <c r="B7386" s="6"/>
      <c r="C7386" s="6"/>
      <c r="D7386" s="6"/>
      <c r="E7386" s="6"/>
      <c r="G7386" s="3"/>
      <c r="H7386" s="2"/>
    </row>
    <row r="7387" spans="1:8" x14ac:dyDescent="0.25">
      <c r="A7387" s="5"/>
      <c r="B7387" s="6"/>
      <c r="C7387" s="6"/>
      <c r="D7387" s="6"/>
      <c r="E7387" s="6"/>
      <c r="G7387" s="1"/>
      <c r="H7387" s="2"/>
    </row>
    <row r="7388" spans="1:8" x14ac:dyDescent="0.25">
      <c r="A7388" s="5"/>
      <c r="B7388" s="6"/>
      <c r="C7388" s="6"/>
      <c r="D7388" s="6"/>
      <c r="E7388" s="6"/>
      <c r="G7388" s="3"/>
      <c r="H7388" s="2"/>
    </row>
    <row r="7389" spans="1:8" x14ac:dyDescent="0.25">
      <c r="A7389" s="5"/>
      <c r="B7389" s="6"/>
      <c r="C7389" s="6"/>
      <c r="D7389" s="6"/>
      <c r="E7389" s="6"/>
      <c r="G7389" s="1"/>
      <c r="H7389" s="2"/>
    </row>
    <row r="7390" spans="1:8" x14ac:dyDescent="0.25">
      <c r="A7390" s="5"/>
      <c r="B7390" s="6"/>
      <c r="C7390" s="6"/>
      <c r="D7390" s="6"/>
      <c r="E7390" s="6"/>
      <c r="G7390" s="14"/>
      <c r="H7390" s="2"/>
    </row>
    <row r="7391" spans="1:8" x14ac:dyDescent="0.25">
      <c r="A7391" s="5"/>
      <c r="B7391" s="6"/>
      <c r="C7391" s="6"/>
      <c r="D7391" s="6"/>
      <c r="E7391" s="6"/>
      <c r="G7391" s="14"/>
      <c r="H7391" s="2"/>
    </row>
    <row r="7392" spans="1:8" x14ac:dyDescent="0.25">
      <c r="A7392" s="5"/>
      <c r="B7392" s="6"/>
      <c r="C7392" s="6"/>
      <c r="D7392" s="6"/>
      <c r="E7392" s="6"/>
      <c r="G7392" s="14"/>
      <c r="H7392" s="2"/>
    </row>
    <row r="7393" spans="1:8" x14ac:dyDescent="0.25">
      <c r="A7393" s="5"/>
      <c r="B7393" s="6"/>
      <c r="C7393" s="6"/>
      <c r="D7393" s="6"/>
      <c r="E7393" s="6"/>
      <c r="G7393" s="14"/>
      <c r="H7393" s="2"/>
    </row>
    <row r="7394" spans="1:8" x14ac:dyDescent="0.25">
      <c r="A7394" s="5"/>
      <c r="B7394" s="6"/>
      <c r="C7394" s="6"/>
      <c r="D7394" s="6"/>
      <c r="E7394" s="6"/>
      <c r="G7394" s="14"/>
      <c r="H7394" s="2"/>
    </row>
    <row r="7395" spans="1:8" x14ac:dyDescent="0.25">
      <c r="A7395" s="5"/>
      <c r="B7395" s="6"/>
      <c r="C7395" s="6"/>
      <c r="D7395" s="6"/>
      <c r="E7395" s="6"/>
      <c r="G7395" s="14"/>
      <c r="H7395" s="2"/>
    </row>
    <row r="7396" spans="1:8" x14ac:dyDescent="0.25">
      <c r="A7396" s="5"/>
      <c r="B7396" s="6"/>
      <c r="C7396" s="6"/>
      <c r="D7396" s="6"/>
      <c r="E7396" s="6"/>
    </row>
    <row r="7397" spans="1:8" x14ac:dyDescent="0.25">
      <c r="A7397" s="5"/>
      <c r="B7397" s="6"/>
      <c r="C7397" s="6"/>
      <c r="D7397" s="6"/>
      <c r="E7397" s="6"/>
      <c r="G7397" s="3"/>
      <c r="H7397" s="2"/>
    </row>
    <row r="7398" spans="1:8" x14ac:dyDescent="0.25">
      <c r="A7398" s="5"/>
      <c r="B7398" s="6"/>
      <c r="C7398" s="6"/>
      <c r="D7398" s="6"/>
      <c r="E7398" s="6"/>
      <c r="G7398" s="1"/>
      <c r="H7398" s="2"/>
    </row>
    <row r="7399" spans="1:8" x14ac:dyDescent="0.25">
      <c r="A7399" s="5"/>
      <c r="B7399" s="6"/>
      <c r="C7399" s="6"/>
      <c r="D7399" s="6"/>
      <c r="E7399" s="6"/>
      <c r="G7399" s="3"/>
      <c r="H7399" s="2"/>
    </row>
    <row r="7400" spans="1:8" x14ac:dyDescent="0.25">
      <c r="A7400" s="5"/>
      <c r="B7400" s="6"/>
      <c r="C7400" s="6"/>
      <c r="D7400" s="6"/>
      <c r="E7400" s="6"/>
      <c r="G7400" s="1"/>
      <c r="H7400" s="2"/>
    </row>
    <row r="7401" spans="1:8" x14ac:dyDescent="0.25">
      <c r="A7401" s="5"/>
      <c r="B7401" s="6"/>
      <c r="C7401" s="6"/>
      <c r="D7401" s="6"/>
      <c r="E7401" s="6"/>
      <c r="G7401" s="3"/>
      <c r="H7401" s="2"/>
    </row>
    <row r="7402" spans="1:8" x14ac:dyDescent="0.25">
      <c r="A7402" s="5"/>
      <c r="B7402" s="6"/>
      <c r="C7402" s="6"/>
      <c r="D7402" s="6"/>
      <c r="E7402" s="6"/>
      <c r="G7402" s="1"/>
      <c r="H7402" s="2"/>
    </row>
    <row r="7403" spans="1:8" x14ac:dyDescent="0.25">
      <c r="A7403" s="5"/>
      <c r="B7403" s="6"/>
      <c r="C7403" s="6"/>
      <c r="D7403" s="6"/>
      <c r="E7403" s="6"/>
      <c r="G7403" s="3"/>
      <c r="H7403" s="2"/>
    </row>
    <row r="7404" spans="1:8" x14ac:dyDescent="0.25">
      <c r="A7404" s="5"/>
      <c r="B7404" s="6"/>
      <c r="C7404" s="6"/>
      <c r="D7404" s="6"/>
      <c r="E7404" s="6"/>
      <c r="G7404" s="1"/>
      <c r="H7404" s="2"/>
    </row>
    <row r="7405" spans="1:8" x14ac:dyDescent="0.25">
      <c r="A7405" s="5"/>
      <c r="B7405" s="6"/>
      <c r="C7405" s="6"/>
      <c r="D7405" s="6"/>
      <c r="E7405" s="6"/>
      <c r="G7405" s="3"/>
      <c r="H7405" s="2"/>
    </row>
    <row r="7406" spans="1:8" x14ac:dyDescent="0.25">
      <c r="A7406" s="5"/>
      <c r="B7406" s="6"/>
      <c r="C7406" s="6"/>
      <c r="D7406" s="6"/>
      <c r="E7406" s="6"/>
      <c r="G7406" s="1"/>
      <c r="H7406" s="2"/>
    </row>
    <row r="7407" spans="1:8" x14ac:dyDescent="0.25">
      <c r="A7407" s="5"/>
      <c r="B7407" s="6"/>
      <c r="C7407" s="6"/>
      <c r="D7407" s="6"/>
      <c r="E7407" s="6"/>
      <c r="G7407" s="3"/>
      <c r="H7407" s="2"/>
    </row>
    <row r="7408" spans="1:8" x14ac:dyDescent="0.25">
      <c r="A7408" s="5"/>
      <c r="B7408" s="6"/>
      <c r="C7408" s="6"/>
      <c r="D7408" s="6"/>
      <c r="E7408" s="6"/>
      <c r="G7408" s="1"/>
      <c r="H7408" s="2"/>
    </row>
    <row r="7409" spans="1:8" x14ac:dyDescent="0.25">
      <c r="A7409" s="5"/>
      <c r="B7409" s="6"/>
      <c r="C7409" s="6"/>
      <c r="D7409" s="6"/>
      <c r="E7409" s="6"/>
      <c r="G7409" s="3"/>
      <c r="H7409" s="2"/>
    </row>
    <row r="7410" spans="1:8" x14ac:dyDescent="0.25">
      <c r="A7410" s="5"/>
      <c r="B7410" s="6"/>
      <c r="C7410" s="6"/>
      <c r="D7410" s="6"/>
      <c r="E7410" s="6"/>
      <c r="G7410" s="1"/>
      <c r="H7410" s="2"/>
    </row>
    <row r="7411" spans="1:8" x14ac:dyDescent="0.25">
      <c r="A7411" s="5"/>
      <c r="B7411" s="6"/>
      <c r="C7411" s="6"/>
      <c r="D7411" s="6"/>
      <c r="E7411" s="6"/>
      <c r="G7411" s="3"/>
      <c r="H7411" s="2"/>
    </row>
    <row r="7412" spans="1:8" x14ac:dyDescent="0.25">
      <c r="A7412" s="5"/>
      <c r="B7412" s="6"/>
      <c r="C7412" s="6"/>
      <c r="D7412" s="6"/>
      <c r="E7412" s="6"/>
      <c r="G7412" s="1"/>
      <c r="H7412" s="2"/>
    </row>
    <row r="7413" spans="1:8" x14ac:dyDescent="0.25">
      <c r="A7413" s="5"/>
      <c r="B7413" s="6"/>
      <c r="C7413" s="6"/>
      <c r="D7413" s="6"/>
      <c r="E7413" s="6"/>
      <c r="G7413" s="3"/>
      <c r="H7413" s="2"/>
    </row>
    <row r="7414" spans="1:8" x14ac:dyDescent="0.25">
      <c r="A7414" s="5"/>
      <c r="B7414" s="6"/>
      <c r="C7414" s="6"/>
      <c r="D7414" s="6"/>
      <c r="E7414" s="6"/>
      <c r="G7414" s="1"/>
      <c r="H7414" s="2"/>
    </row>
    <row r="7415" spans="1:8" x14ac:dyDescent="0.25">
      <c r="A7415" s="5"/>
      <c r="B7415" s="6"/>
      <c r="C7415" s="6"/>
      <c r="D7415" s="6"/>
      <c r="E7415" s="6"/>
      <c r="G7415" s="3"/>
      <c r="H7415" s="2"/>
    </row>
    <row r="7416" spans="1:8" x14ac:dyDescent="0.25">
      <c r="A7416" s="5"/>
      <c r="B7416" s="6"/>
      <c r="C7416" s="6"/>
      <c r="D7416" s="6"/>
      <c r="E7416" s="6"/>
      <c r="G7416" s="1"/>
      <c r="H7416" s="2"/>
    </row>
    <row r="7417" spans="1:8" x14ac:dyDescent="0.25">
      <c r="A7417" s="5"/>
      <c r="B7417" s="6"/>
      <c r="C7417" s="6"/>
      <c r="D7417" s="6"/>
      <c r="E7417" s="6"/>
      <c r="G7417" s="3"/>
      <c r="H7417" s="2"/>
    </row>
    <row r="7418" spans="1:8" x14ac:dyDescent="0.25">
      <c r="A7418" s="5"/>
      <c r="B7418" s="6"/>
      <c r="C7418" s="6"/>
      <c r="D7418" s="6"/>
      <c r="E7418" s="6"/>
      <c r="G7418" s="1"/>
      <c r="H7418" s="2"/>
    </row>
    <row r="7419" spans="1:8" x14ac:dyDescent="0.25">
      <c r="A7419" s="5"/>
      <c r="B7419" s="6"/>
      <c r="C7419" s="6"/>
      <c r="D7419" s="6"/>
      <c r="E7419" s="6"/>
      <c r="G7419" s="3"/>
      <c r="H7419" s="2"/>
    </row>
    <row r="7420" spans="1:8" x14ac:dyDescent="0.25">
      <c r="A7420" s="5"/>
      <c r="B7420" s="6"/>
      <c r="C7420" s="6"/>
      <c r="D7420" s="6"/>
      <c r="E7420" s="6"/>
      <c r="G7420" s="1"/>
      <c r="H7420" s="2"/>
    </row>
    <row r="7421" spans="1:8" x14ac:dyDescent="0.25">
      <c r="A7421" s="5"/>
      <c r="B7421" s="6"/>
      <c r="C7421" s="6"/>
      <c r="D7421" s="6"/>
      <c r="E7421" s="6"/>
      <c r="G7421" s="3"/>
      <c r="H7421" s="2"/>
    </row>
    <row r="7422" spans="1:8" x14ac:dyDescent="0.25">
      <c r="A7422" s="5"/>
      <c r="B7422" s="6"/>
      <c r="C7422" s="6"/>
      <c r="D7422" s="6"/>
      <c r="E7422" s="6"/>
      <c r="G7422" s="1"/>
      <c r="H7422" s="2"/>
    </row>
    <row r="7423" spans="1:8" x14ac:dyDescent="0.25">
      <c r="A7423" s="5"/>
      <c r="B7423" s="6"/>
      <c r="C7423" s="6"/>
      <c r="D7423" s="6"/>
      <c r="E7423" s="6"/>
      <c r="G7423" s="3"/>
      <c r="H7423" s="2"/>
    </row>
    <row r="7424" spans="1:8" x14ac:dyDescent="0.25">
      <c r="A7424" s="5"/>
      <c r="B7424" s="6"/>
      <c r="C7424" s="6"/>
      <c r="D7424" s="6"/>
      <c r="E7424" s="6"/>
      <c r="G7424" s="1"/>
      <c r="H7424" s="2"/>
    </row>
    <row r="7425" spans="1:8" x14ac:dyDescent="0.25">
      <c r="A7425" s="5"/>
      <c r="B7425" s="6"/>
      <c r="C7425" s="6"/>
      <c r="D7425" s="6"/>
      <c r="E7425" s="6"/>
      <c r="G7425" s="3"/>
      <c r="H7425" s="2"/>
    </row>
    <row r="7426" spans="1:8" x14ac:dyDescent="0.25">
      <c r="A7426" s="5"/>
      <c r="B7426" s="6"/>
      <c r="C7426" s="6"/>
      <c r="D7426" s="6"/>
      <c r="E7426" s="6"/>
      <c r="G7426" s="1"/>
      <c r="H7426" s="2"/>
    </row>
    <row r="7427" spans="1:8" x14ac:dyDescent="0.25">
      <c r="A7427" s="5"/>
      <c r="B7427" s="6"/>
      <c r="C7427" s="6"/>
      <c r="D7427" s="6"/>
      <c r="E7427" s="6"/>
      <c r="G7427" s="3"/>
      <c r="H7427" s="2"/>
    </row>
    <row r="7428" spans="1:8" x14ac:dyDescent="0.25">
      <c r="A7428" s="5"/>
      <c r="B7428" s="6"/>
      <c r="C7428" s="6"/>
      <c r="D7428" s="6"/>
      <c r="E7428" s="6"/>
      <c r="G7428" s="1"/>
      <c r="H7428" s="2"/>
    </row>
    <row r="7429" spans="1:8" x14ac:dyDescent="0.25">
      <c r="A7429" s="5"/>
      <c r="B7429" s="6"/>
      <c r="C7429" s="6"/>
      <c r="D7429" s="6"/>
      <c r="E7429" s="6"/>
      <c r="G7429" s="3"/>
      <c r="H7429" s="2"/>
    </row>
    <row r="7430" spans="1:8" x14ac:dyDescent="0.25">
      <c r="A7430" s="5"/>
      <c r="B7430" s="6"/>
      <c r="C7430" s="6"/>
      <c r="D7430" s="6"/>
      <c r="E7430" s="6"/>
      <c r="G7430" s="1"/>
      <c r="H7430" s="2"/>
    </row>
    <row r="7431" spans="1:8" x14ac:dyDescent="0.25">
      <c r="A7431" s="5"/>
      <c r="B7431" s="6"/>
      <c r="C7431" s="6"/>
      <c r="D7431" s="6"/>
      <c r="E7431" s="6"/>
      <c r="G7431" s="3"/>
      <c r="H7431" s="2"/>
    </row>
    <row r="7432" spans="1:8" x14ac:dyDescent="0.25">
      <c r="A7432" s="5"/>
      <c r="B7432" s="6"/>
      <c r="C7432" s="6"/>
      <c r="D7432" s="6"/>
      <c r="E7432" s="6"/>
      <c r="G7432" s="1"/>
      <c r="H7432" s="2"/>
    </row>
    <row r="7433" spans="1:8" x14ac:dyDescent="0.25">
      <c r="A7433" s="5"/>
      <c r="B7433" s="6"/>
      <c r="C7433" s="6"/>
      <c r="D7433" s="6"/>
      <c r="E7433" s="6"/>
      <c r="G7433" s="3"/>
      <c r="H7433" s="2"/>
    </row>
    <row r="7434" spans="1:8" x14ac:dyDescent="0.25">
      <c r="A7434" s="5"/>
      <c r="B7434" s="6"/>
      <c r="C7434" s="6"/>
      <c r="D7434" s="6"/>
      <c r="E7434" s="6"/>
      <c r="G7434" s="1"/>
      <c r="H7434" s="2"/>
    </row>
    <row r="7435" spans="1:8" x14ac:dyDescent="0.25">
      <c r="A7435" s="5"/>
      <c r="B7435" s="6"/>
      <c r="C7435" s="6"/>
      <c r="D7435" s="6"/>
      <c r="E7435" s="6"/>
      <c r="G7435" s="3"/>
      <c r="H7435" s="2"/>
    </row>
    <row r="7436" spans="1:8" x14ac:dyDescent="0.25">
      <c r="A7436" s="5"/>
      <c r="B7436" s="6"/>
      <c r="C7436" s="6"/>
      <c r="D7436" s="6"/>
      <c r="E7436" s="6"/>
      <c r="G7436" s="1"/>
      <c r="H7436" s="2"/>
    </row>
    <row r="7437" spans="1:8" x14ac:dyDescent="0.25">
      <c r="A7437" s="5"/>
      <c r="B7437" s="6"/>
      <c r="C7437" s="6"/>
      <c r="D7437" s="6"/>
      <c r="E7437" s="6"/>
      <c r="G7437" s="3"/>
      <c r="H7437" s="2"/>
    </row>
    <row r="7438" spans="1:8" x14ac:dyDescent="0.25">
      <c r="A7438" s="5"/>
      <c r="B7438" s="6"/>
      <c r="C7438" s="6"/>
      <c r="D7438" s="6"/>
      <c r="E7438" s="6"/>
      <c r="G7438" s="1"/>
      <c r="H7438" s="2"/>
    </row>
    <row r="7439" spans="1:8" x14ac:dyDescent="0.25">
      <c r="A7439" s="5"/>
      <c r="B7439" s="6"/>
      <c r="C7439" s="6"/>
      <c r="D7439" s="6"/>
      <c r="E7439" s="6"/>
      <c r="G7439" s="3"/>
      <c r="H7439" s="2"/>
    </row>
    <row r="7440" spans="1:8" x14ac:dyDescent="0.25">
      <c r="A7440" s="5"/>
      <c r="B7440" s="6"/>
      <c r="C7440" s="6"/>
      <c r="D7440" s="6"/>
      <c r="E7440" s="6"/>
      <c r="G7440" s="1"/>
      <c r="H7440" s="2"/>
    </row>
    <row r="7441" spans="1:8" x14ac:dyDescent="0.25">
      <c r="A7441" s="5"/>
      <c r="B7441" s="6"/>
      <c r="C7441" s="6"/>
      <c r="D7441" s="6"/>
      <c r="E7441" s="6"/>
      <c r="G7441" s="3"/>
      <c r="H7441" s="2"/>
    </row>
    <row r="7442" spans="1:8" x14ac:dyDescent="0.25">
      <c r="A7442" s="5"/>
      <c r="B7442" s="6"/>
      <c r="C7442" s="6"/>
      <c r="D7442" s="6"/>
      <c r="E7442" s="6"/>
      <c r="G7442" s="1"/>
      <c r="H7442" s="2"/>
    </row>
    <row r="7443" spans="1:8" x14ac:dyDescent="0.25">
      <c r="A7443" s="5"/>
      <c r="B7443" s="6"/>
      <c r="C7443" s="6"/>
      <c r="D7443" s="6"/>
      <c r="E7443" s="6"/>
      <c r="G7443" s="3"/>
      <c r="H7443" s="2"/>
    </row>
    <row r="7444" spans="1:8" x14ac:dyDescent="0.25">
      <c r="A7444" s="5"/>
      <c r="B7444" s="6"/>
      <c r="C7444" s="6"/>
      <c r="D7444" s="6"/>
      <c r="E7444" s="6"/>
      <c r="G7444" s="1"/>
      <c r="H7444" s="2"/>
    </row>
    <row r="7445" spans="1:8" x14ac:dyDescent="0.25">
      <c r="A7445" s="5"/>
      <c r="B7445" s="6"/>
      <c r="C7445" s="6"/>
      <c r="D7445" s="6"/>
      <c r="E7445" s="6"/>
      <c r="G7445" s="3"/>
      <c r="H7445" s="2"/>
    </row>
    <row r="7446" spans="1:8" x14ac:dyDescent="0.25">
      <c r="A7446" s="5"/>
      <c r="B7446" s="6"/>
      <c r="C7446" s="6"/>
      <c r="D7446" s="6"/>
      <c r="E7446" s="6"/>
      <c r="G7446" s="1"/>
      <c r="H7446" s="2"/>
    </row>
    <row r="7447" spans="1:8" x14ac:dyDescent="0.25">
      <c r="A7447" s="5"/>
      <c r="B7447" s="6"/>
      <c r="C7447" s="6"/>
      <c r="D7447" s="6"/>
      <c r="E7447" s="6"/>
      <c r="G7447" s="3"/>
      <c r="H7447" s="2"/>
    </row>
    <row r="7448" spans="1:8" x14ac:dyDescent="0.25">
      <c r="A7448" s="5"/>
      <c r="B7448" s="6"/>
      <c r="C7448" s="6"/>
      <c r="D7448" s="6"/>
      <c r="E7448" s="6"/>
      <c r="G7448" s="1"/>
      <c r="H7448" s="2"/>
    </row>
    <row r="7449" spans="1:8" x14ac:dyDescent="0.25">
      <c r="A7449" s="5"/>
      <c r="B7449" s="6"/>
      <c r="C7449" s="6"/>
      <c r="D7449" s="6"/>
      <c r="E7449" s="6"/>
      <c r="G7449" s="3"/>
      <c r="H7449" s="2"/>
    </row>
    <row r="7450" spans="1:8" x14ac:dyDescent="0.25">
      <c r="A7450" s="5"/>
      <c r="B7450" s="6"/>
      <c r="C7450" s="6"/>
      <c r="D7450" s="6"/>
      <c r="E7450" s="6"/>
      <c r="G7450" s="1"/>
      <c r="H7450" s="2"/>
    </row>
    <row r="7451" spans="1:8" x14ac:dyDescent="0.25">
      <c r="A7451" s="5"/>
      <c r="B7451" s="6"/>
      <c r="C7451" s="6"/>
      <c r="D7451" s="6"/>
      <c r="E7451" s="6"/>
      <c r="G7451" s="3"/>
      <c r="H7451" s="2"/>
    </row>
    <row r="7452" spans="1:8" x14ac:dyDescent="0.25">
      <c r="A7452" s="5"/>
      <c r="B7452" s="6"/>
      <c r="C7452" s="6"/>
      <c r="D7452" s="6"/>
      <c r="E7452" s="6"/>
      <c r="G7452" s="1"/>
      <c r="H7452" s="2"/>
    </row>
    <row r="7453" spans="1:8" x14ac:dyDescent="0.25">
      <c r="A7453" s="5"/>
      <c r="B7453" s="6"/>
      <c r="C7453" s="6"/>
      <c r="D7453" s="6"/>
      <c r="E7453" s="6"/>
      <c r="G7453" s="3"/>
      <c r="H7453" s="2"/>
    </row>
    <row r="7454" spans="1:8" x14ac:dyDescent="0.25">
      <c r="A7454" s="5"/>
      <c r="B7454" s="6"/>
      <c r="C7454" s="6"/>
      <c r="D7454" s="6"/>
      <c r="E7454" s="6"/>
      <c r="G7454" s="1"/>
      <c r="H7454" s="2"/>
    </row>
    <row r="7455" spans="1:8" x14ac:dyDescent="0.25">
      <c r="A7455" s="5"/>
      <c r="B7455" s="6"/>
      <c r="C7455" s="6"/>
      <c r="D7455" s="6"/>
      <c r="E7455" s="6"/>
      <c r="G7455" s="3"/>
      <c r="H7455" s="2"/>
    </row>
    <row r="7456" spans="1:8" x14ac:dyDescent="0.25">
      <c r="A7456" s="5"/>
      <c r="B7456" s="6"/>
      <c r="C7456" s="6"/>
      <c r="D7456" s="6"/>
      <c r="E7456" s="6"/>
      <c r="G7456" s="1"/>
      <c r="H7456" s="2"/>
    </row>
    <row r="7457" spans="1:8" x14ac:dyDescent="0.25">
      <c r="A7457" s="5"/>
      <c r="B7457" s="6"/>
      <c r="C7457" s="6"/>
      <c r="D7457" s="6"/>
      <c r="E7457" s="6"/>
      <c r="G7457" s="3"/>
      <c r="H7457" s="2"/>
    </row>
    <row r="7458" spans="1:8" x14ac:dyDescent="0.25">
      <c r="A7458" s="5"/>
      <c r="B7458" s="6"/>
      <c r="C7458" s="6"/>
      <c r="D7458" s="6"/>
      <c r="E7458" s="6"/>
      <c r="G7458" s="1"/>
      <c r="H7458" s="2"/>
    </row>
    <row r="7459" spans="1:8" x14ac:dyDescent="0.25">
      <c r="A7459" s="5"/>
      <c r="B7459" s="6"/>
      <c r="C7459" s="6"/>
      <c r="D7459" s="6"/>
      <c r="E7459" s="6"/>
      <c r="G7459" s="3"/>
      <c r="H7459" s="2"/>
    </row>
    <row r="7460" spans="1:8" x14ac:dyDescent="0.25">
      <c r="A7460" s="5"/>
      <c r="B7460" s="6"/>
      <c r="C7460" s="6"/>
      <c r="D7460" s="6"/>
      <c r="E7460" s="6"/>
      <c r="G7460" s="1"/>
      <c r="H7460" s="2"/>
    </row>
    <row r="7461" spans="1:8" x14ac:dyDescent="0.25">
      <c r="A7461" s="5"/>
      <c r="B7461" s="6"/>
      <c r="C7461" s="6"/>
      <c r="D7461" s="6"/>
      <c r="E7461" s="6"/>
      <c r="G7461" s="3"/>
      <c r="H7461" s="2"/>
    </row>
    <row r="7462" spans="1:8" x14ac:dyDescent="0.25">
      <c r="A7462" s="5"/>
      <c r="B7462" s="6"/>
      <c r="C7462" s="6"/>
      <c r="D7462" s="6"/>
      <c r="E7462" s="6"/>
      <c r="G7462" s="1"/>
      <c r="H7462" s="2"/>
    </row>
    <row r="7463" spans="1:8" x14ac:dyDescent="0.25">
      <c r="A7463" s="5"/>
      <c r="B7463" s="6"/>
      <c r="C7463" s="6"/>
      <c r="D7463" s="6"/>
      <c r="E7463" s="6"/>
      <c r="G7463" s="3"/>
      <c r="H7463" s="2"/>
    </row>
    <row r="7464" spans="1:8" x14ac:dyDescent="0.25">
      <c r="A7464" s="5"/>
      <c r="B7464" s="6"/>
      <c r="C7464" s="6"/>
      <c r="D7464" s="6"/>
      <c r="E7464" s="6"/>
      <c r="G7464" s="1"/>
      <c r="H7464" s="2"/>
    </row>
    <row r="7465" spans="1:8" x14ac:dyDescent="0.25">
      <c r="A7465" s="5"/>
      <c r="B7465" s="6"/>
      <c r="C7465" s="6"/>
      <c r="D7465" s="6"/>
      <c r="E7465" s="6"/>
      <c r="G7465" s="3"/>
      <c r="H7465" s="2"/>
    </row>
    <row r="7466" spans="1:8" x14ac:dyDescent="0.25">
      <c r="A7466" s="5"/>
      <c r="B7466" s="6"/>
      <c r="C7466" s="6"/>
      <c r="D7466" s="6"/>
      <c r="E7466" s="6"/>
      <c r="G7466" s="1"/>
      <c r="H7466" s="2"/>
    </row>
    <row r="7467" spans="1:8" x14ac:dyDescent="0.25">
      <c r="A7467" s="5"/>
      <c r="B7467" s="6"/>
      <c r="C7467" s="6"/>
      <c r="D7467" s="6"/>
      <c r="E7467" s="6"/>
      <c r="G7467" s="3"/>
      <c r="H7467" s="2"/>
    </row>
    <row r="7468" spans="1:8" x14ac:dyDescent="0.25">
      <c r="A7468" s="5"/>
      <c r="B7468" s="6"/>
      <c r="C7468" s="6"/>
      <c r="D7468" s="6"/>
      <c r="E7468" s="6"/>
      <c r="G7468" s="1"/>
      <c r="H7468" s="2"/>
    </row>
    <row r="7469" spans="1:8" x14ac:dyDescent="0.25">
      <c r="A7469" s="5"/>
      <c r="B7469" s="6"/>
      <c r="C7469" s="6"/>
      <c r="D7469" s="6"/>
      <c r="E7469" s="6"/>
      <c r="G7469" s="3"/>
      <c r="H7469" s="2"/>
    </row>
    <row r="7470" spans="1:8" x14ac:dyDescent="0.25">
      <c r="A7470" s="5"/>
      <c r="B7470" s="6"/>
      <c r="C7470" s="6"/>
      <c r="D7470" s="6"/>
      <c r="E7470" s="6"/>
      <c r="G7470" s="1"/>
      <c r="H7470" s="2"/>
    </row>
    <row r="7471" spans="1:8" x14ac:dyDescent="0.25">
      <c r="A7471" s="5"/>
      <c r="B7471" s="6"/>
      <c r="C7471" s="6"/>
      <c r="D7471" s="6"/>
      <c r="E7471" s="6"/>
      <c r="G7471" s="3"/>
      <c r="H7471" s="2"/>
    </row>
    <row r="7472" spans="1:8" x14ac:dyDescent="0.25">
      <c r="A7472" s="5"/>
      <c r="B7472" s="6"/>
      <c r="C7472" s="6"/>
      <c r="D7472" s="6"/>
      <c r="E7472" s="6"/>
      <c r="G7472" s="1"/>
      <c r="H7472" s="2"/>
    </row>
    <row r="7473" spans="1:8" x14ac:dyDescent="0.25">
      <c r="A7473" s="5"/>
      <c r="B7473" s="6"/>
      <c r="C7473" s="6"/>
      <c r="D7473" s="6"/>
      <c r="E7473" s="6"/>
      <c r="G7473" s="3"/>
      <c r="H7473" s="2"/>
    </row>
    <row r="7474" spans="1:8" x14ac:dyDescent="0.25">
      <c r="A7474" s="5"/>
      <c r="B7474" s="6"/>
      <c r="C7474" s="6"/>
      <c r="D7474" s="6"/>
      <c r="E7474" s="6"/>
      <c r="G7474" s="1"/>
      <c r="H7474" s="2"/>
    </row>
    <row r="7475" spans="1:8" x14ac:dyDescent="0.25">
      <c r="A7475" s="5"/>
      <c r="B7475" s="6"/>
      <c r="C7475" s="6"/>
      <c r="D7475" s="6"/>
      <c r="E7475" s="6"/>
      <c r="G7475" s="3"/>
      <c r="H7475" s="2"/>
    </row>
    <row r="7476" spans="1:8" x14ac:dyDescent="0.25">
      <c r="A7476" s="5"/>
      <c r="B7476" s="6"/>
      <c r="C7476" s="6"/>
      <c r="D7476" s="6"/>
      <c r="E7476" s="6"/>
      <c r="G7476" s="1"/>
      <c r="H7476" s="2"/>
    </row>
    <row r="7477" spans="1:8" x14ac:dyDescent="0.25">
      <c r="A7477" s="5"/>
      <c r="B7477" s="6"/>
      <c r="C7477" s="6"/>
      <c r="D7477" s="6"/>
      <c r="E7477" s="6"/>
      <c r="G7477" s="3"/>
      <c r="H7477" s="2"/>
    </row>
    <row r="7478" spans="1:8" x14ac:dyDescent="0.25">
      <c r="A7478" s="5"/>
      <c r="B7478" s="6"/>
      <c r="C7478" s="6"/>
      <c r="D7478" s="6"/>
      <c r="E7478" s="6"/>
      <c r="G7478" s="1"/>
      <c r="H7478" s="2"/>
    </row>
    <row r="7479" spans="1:8" x14ac:dyDescent="0.25">
      <c r="A7479" s="5"/>
      <c r="B7479" s="6"/>
      <c r="C7479" s="6"/>
      <c r="D7479" s="6"/>
      <c r="E7479" s="6"/>
      <c r="G7479" s="3"/>
      <c r="H7479" s="2"/>
    </row>
    <row r="7480" spans="1:8" x14ac:dyDescent="0.25">
      <c r="A7480" s="5"/>
      <c r="B7480" s="6"/>
      <c r="C7480" s="6"/>
      <c r="D7480" s="6"/>
      <c r="E7480" s="6"/>
      <c r="G7480" s="1"/>
      <c r="H7480" s="2"/>
    </row>
    <row r="7481" spans="1:8" x14ac:dyDescent="0.25">
      <c r="A7481" s="5"/>
      <c r="B7481" s="6"/>
      <c r="C7481" s="6"/>
      <c r="D7481" s="6"/>
      <c r="E7481" s="6"/>
      <c r="G7481" s="3"/>
      <c r="H7481" s="2"/>
    </row>
    <row r="7482" spans="1:8" x14ac:dyDescent="0.25">
      <c r="A7482" s="5"/>
      <c r="B7482" s="6"/>
      <c r="C7482" s="6"/>
      <c r="D7482" s="6"/>
      <c r="E7482" s="6"/>
      <c r="G7482" s="1"/>
      <c r="H7482" s="2"/>
    </row>
    <row r="7483" spans="1:8" x14ac:dyDescent="0.25">
      <c r="A7483" s="5"/>
      <c r="B7483" s="6"/>
      <c r="C7483" s="6"/>
      <c r="D7483" s="6"/>
      <c r="E7483" s="6"/>
      <c r="G7483" s="3"/>
      <c r="H7483" s="2"/>
    </row>
    <row r="7484" spans="1:8" x14ac:dyDescent="0.25">
      <c r="A7484" s="5"/>
      <c r="B7484" s="6"/>
      <c r="C7484" s="6"/>
      <c r="D7484" s="6"/>
      <c r="E7484" s="6"/>
      <c r="G7484" s="1"/>
      <c r="H7484" s="2"/>
    </row>
    <row r="7485" spans="1:8" x14ac:dyDescent="0.25">
      <c r="A7485" s="5"/>
      <c r="B7485" s="6"/>
      <c r="C7485" s="6"/>
      <c r="D7485" s="6"/>
      <c r="E7485" s="6"/>
      <c r="G7485" s="3"/>
      <c r="H7485" s="2"/>
    </row>
    <row r="7486" spans="1:8" x14ac:dyDescent="0.25">
      <c r="A7486" s="5"/>
      <c r="B7486" s="6"/>
      <c r="C7486" s="6"/>
      <c r="D7486" s="6"/>
      <c r="E7486" s="6"/>
      <c r="G7486" s="1"/>
      <c r="H7486" s="2"/>
    </row>
    <row r="7487" spans="1:8" x14ac:dyDescent="0.25">
      <c r="A7487" s="5"/>
      <c r="B7487" s="6"/>
      <c r="C7487" s="6"/>
      <c r="D7487" s="6"/>
      <c r="E7487" s="6"/>
      <c r="G7487" s="3"/>
      <c r="H7487" s="2"/>
    </row>
    <row r="7488" spans="1:8" x14ac:dyDescent="0.25">
      <c r="A7488" s="5"/>
      <c r="B7488" s="6"/>
      <c r="C7488" s="6"/>
      <c r="D7488" s="6"/>
      <c r="E7488" s="6"/>
      <c r="G7488" s="1"/>
      <c r="H7488" s="2"/>
    </row>
    <row r="7489" spans="1:8" x14ac:dyDescent="0.25">
      <c r="A7489" s="5"/>
      <c r="B7489" s="6"/>
      <c r="C7489" s="6"/>
      <c r="D7489" s="6"/>
      <c r="E7489" s="6"/>
      <c r="G7489" s="3"/>
      <c r="H7489" s="2"/>
    </row>
    <row r="7490" spans="1:8" x14ac:dyDescent="0.25">
      <c r="A7490" s="5"/>
      <c r="B7490" s="6"/>
      <c r="C7490" s="6"/>
      <c r="D7490" s="6"/>
      <c r="E7490" s="6"/>
      <c r="G7490" s="1"/>
      <c r="H7490" s="2"/>
    </row>
    <row r="7491" spans="1:8" x14ac:dyDescent="0.25">
      <c r="A7491" s="5"/>
      <c r="B7491" s="6"/>
      <c r="C7491" s="6"/>
      <c r="D7491" s="6"/>
      <c r="E7491" s="6"/>
      <c r="G7491" s="3"/>
      <c r="H7491" s="2"/>
    </row>
    <row r="7492" spans="1:8" x14ac:dyDescent="0.25">
      <c r="A7492" s="5"/>
      <c r="B7492" s="6"/>
      <c r="C7492" s="6"/>
      <c r="D7492" s="6"/>
      <c r="E7492" s="6"/>
      <c r="G7492" s="1"/>
      <c r="H7492" s="2"/>
    </row>
    <row r="7493" spans="1:8" x14ac:dyDescent="0.25">
      <c r="A7493" s="5"/>
      <c r="B7493" s="6"/>
      <c r="C7493" s="6"/>
      <c r="D7493" s="6"/>
      <c r="E7493" s="6"/>
      <c r="G7493" s="3"/>
      <c r="H7493" s="2"/>
    </row>
    <row r="7494" spans="1:8" x14ac:dyDescent="0.25">
      <c r="A7494" s="5"/>
      <c r="B7494" s="6"/>
      <c r="C7494" s="6"/>
      <c r="D7494" s="6"/>
      <c r="E7494" s="6"/>
      <c r="G7494" s="1"/>
      <c r="H7494" s="2"/>
    </row>
    <row r="7495" spans="1:8" x14ac:dyDescent="0.25">
      <c r="A7495" s="5"/>
      <c r="B7495" s="6"/>
      <c r="C7495" s="6"/>
      <c r="D7495" s="6"/>
      <c r="E7495" s="6"/>
      <c r="G7495" s="3"/>
      <c r="H7495" s="2"/>
    </row>
    <row r="7496" spans="1:8" x14ac:dyDescent="0.25">
      <c r="A7496" s="5"/>
      <c r="B7496" s="6"/>
      <c r="C7496" s="6"/>
      <c r="D7496" s="6"/>
      <c r="E7496" s="6"/>
      <c r="G7496" s="1"/>
      <c r="H7496" s="2"/>
    </row>
    <row r="7497" spans="1:8" x14ac:dyDescent="0.25">
      <c r="A7497" s="5"/>
      <c r="B7497" s="6"/>
      <c r="C7497" s="6"/>
      <c r="D7497" s="6"/>
      <c r="E7497" s="6"/>
      <c r="G7497" s="3"/>
      <c r="H7497" s="2"/>
    </row>
    <row r="7498" spans="1:8" x14ac:dyDescent="0.25">
      <c r="A7498" s="5"/>
      <c r="B7498" s="6"/>
      <c r="C7498" s="6"/>
      <c r="D7498" s="6"/>
      <c r="E7498" s="6"/>
      <c r="G7498" s="1"/>
      <c r="H7498" s="2"/>
    </row>
    <row r="7499" spans="1:8" x14ac:dyDescent="0.25">
      <c r="A7499" s="5"/>
      <c r="B7499" s="6"/>
      <c r="C7499" s="6"/>
      <c r="D7499" s="6"/>
      <c r="E7499" s="6"/>
      <c r="G7499" s="3"/>
      <c r="H7499" s="2"/>
    </row>
    <row r="7500" spans="1:8" x14ac:dyDescent="0.25">
      <c r="A7500" s="5"/>
      <c r="B7500" s="6"/>
      <c r="C7500" s="6"/>
      <c r="D7500" s="6"/>
      <c r="E7500" s="6"/>
      <c r="G7500" s="1"/>
      <c r="H7500" s="2"/>
    </row>
    <row r="7501" spans="1:8" x14ac:dyDescent="0.25">
      <c r="A7501" s="5"/>
      <c r="B7501" s="6"/>
      <c r="C7501" s="6"/>
      <c r="D7501" s="6"/>
      <c r="E7501" s="6"/>
      <c r="G7501" s="3"/>
      <c r="H7501" s="2"/>
    </row>
    <row r="7502" spans="1:8" x14ac:dyDescent="0.25">
      <c r="A7502" s="5"/>
      <c r="B7502" s="6"/>
      <c r="C7502" s="6"/>
      <c r="D7502" s="6"/>
      <c r="E7502" s="6"/>
      <c r="G7502" s="1"/>
      <c r="H7502" s="2"/>
    </row>
    <row r="7503" spans="1:8" x14ac:dyDescent="0.25">
      <c r="A7503" s="5"/>
      <c r="B7503" s="6"/>
      <c r="C7503" s="6"/>
      <c r="D7503" s="6"/>
      <c r="E7503" s="6"/>
      <c r="G7503" s="3"/>
      <c r="H7503" s="2"/>
    </row>
    <row r="7504" spans="1:8" x14ac:dyDescent="0.25">
      <c r="A7504" s="5"/>
      <c r="B7504" s="6"/>
      <c r="C7504" s="6"/>
      <c r="D7504" s="6"/>
      <c r="E7504" s="6"/>
      <c r="G7504" s="1"/>
      <c r="H7504" s="2"/>
    </row>
    <row r="7505" spans="1:8" x14ac:dyDescent="0.25">
      <c r="A7505" s="5"/>
      <c r="B7505" s="6"/>
      <c r="C7505" s="6"/>
      <c r="D7505" s="6"/>
      <c r="E7505" s="6"/>
      <c r="G7505" s="3"/>
      <c r="H7505" s="2"/>
    </row>
    <row r="7506" spans="1:8" x14ac:dyDescent="0.25">
      <c r="A7506" s="5"/>
      <c r="B7506" s="6"/>
      <c r="C7506" s="6"/>
      <c r="D7506" s="6"/>
      <c r="E7506" s="6"/>
      <c r="G7506" s="1"/>
      <c r="H7506" s="2"/>
    </row>
    <row r="7507" spans="1:8" x14ac:dyDescent="0.25">
      <c r="A7507" s="5"/>
      <c r="B7507" s="6"/>
      <c r="C7507" s="6"/>
      <c r="D7507" s="6"/>
      <c r="E7507" s="6"/>
      <c r="G7507" s="3"/>
      <c r="H7507" s="2"/>
    </row>
    <row r="7508" spans="1:8" x14ac:dyDescent="0.25">
      <c r="A7508" s="5"/>
      <c r="B7508" s="6"/>
      <c r="C7508" s="6"/>
      <c r="D7508" s="6"/>
      <c r="E7508" s="6"/>
      <c r="G7508" s="1"/>
      <c r="H7508" s="2"/>
    </row>
    <row r="7509" spans="1:8" x14ac:dyDescent="0.25">
      <c r="A7509" s="5"/>
      <c r="B7509" s="6"/>
      <c r="C7509" s="6"/>
      <c r="D7509" s="6"/>
      <c r="E7509" s="6"/>
      <c r="G7509" s="3"/>
      <c r="H7509" s="2"/>
    </row>
    <row r="7510" spans="1:8" x14ac:dyDescent="0.25">
      <c r="A7510" s="5"/>
      <c r="B7510" s="6"/>
      <c r="C7510" s="6"/>
      <c r="D7510" s="6"/>
      <c r="E7510" s="6"/>
      <c r="G7510" s="1"/>
      <c r="H7510" s="2"/>
    </row>
    <row r="7511" spans="1:8" x14ac:dyDescent="0.25">
      <c r="A7511" s="5"/>
      <c r="B7511" s="6"/>
      <c r="C7511" s="6"/>
      <c r="D7511" s="6"/>
      <c r="E7511" s="6"/>
      <c r="G7511" s="3"/>
      <c r="H7511" s="2"/>
    </row>
    <row r="7512" spans="1:8" x14ac:dyDescent="0.25">
      <c r="A7512" s="5"/>
      <c r="B7512" s="6"/>
      <c r="C7512" s="6"/>
      <c r="D7512" s="6"/>
      <c r="E7512" s="6"/>
      <c r="G7512" s="1"/>
      <c r="H7512" s="2"/>
    </row>
    <row r="7513" spans="1:8" x14ac:dyDescent="0.25">
      <c r="A7513" s="5"/>
      <c r="B7513" s="6"/>
      <c r="C7513" s="6"/>
      <c r="D7513" s="6"/>
      <c r="E7513" s="6"/>
      <c r="G7513" s="3"/>
      <c r="H7513" s="2"/>
    </row>
    <row r="7514" spans="1:8" x14ac:dyDescent="0.25">
      <c r="A7514" s="5"/>
      <c r="B7514" s="6"/>
      <c r="C7514" s="6"/>
      <c r="D7514" s="6"/>
      <c r="E7514" s="6"/>
      <c r="G7514" s="1"/>
      <c r="H7514" s="2"/>
    </row>
    <row r="7515" spans="1:8" x14ac:dyDescent="0.25">
      <c r="A7515" s="5"/>
      <c r="B7515" s="6"/>
      <c r="C7515" s="6"/>
      <c r="D7515" s="6"/>
      <c r="E7515" s="6"/>
      <c r="G7515" s="3"/>
      <c r="H7515" s="2"/>
    </row>
    <row r="7516" spans="1:8" x14ac:dyDescent="0.25">
      <c r="A7516" s="5"/>
      <c r="B7516" s="6"/>
      <c r="C7516" s="6"/>
      <c r="D7516" s="6"/>
      <c r="E7516" s="6"/>
      <c r="G7516" s="1"/>
      <c r="H7516" s="2"/>
    </row>
    <row r="7517" spans="1:8" x14ac:dyDescent="0.25">
      <c r="A7517" s="5"/>
      <c r="B7517" s="6"/>
      <c r="C7517" s="6"/>
      <c r="D7517" s="6"/>
      <c r="E7517" s="6"/>
      <c r="G7517" s="3"/>
      <c r="H7517" s="2"/>
    </row>
    <row r="7518" spans="1:8" x14ac:dyDescent="0.25">
      <c r="A7518" s="5"/>
      <c r="B7518" s="6"/>
      <c r="C7518" s="6"/>
      <c r="D7518" s="6"/>
      <c r="E7518" s="6"/>
      <c r="G7518" s="1"/>
      <c r="H7518" s="2"/>
    </row>
    <row r="7519" spans="1:8" x14ac:dyDescent="0.25">
      <c r="A7519" s="5"/>
      <c r="B7519" s="6"/>
      <c r="C7519" s="6"/>
      <c r="D7519" s="6"/>
      <c r="E7519" s="6"/>
      <c r="G7519" s="3"/>
      <c r="H7519" s="2"/>
    </row>
    <row r="7520" spans="1:8" x14ac:dyDescent="0.25">
      <c r="A7520" s="5"/>
      <c r="B7520" s="6"/>
      <c r="C7520" s="6"/>
      <c r="D7520" s="6"/>
      <c r="E7520" s="6"/>
      <c r="G7520" s="1"/>
      <c r="H7520" s="2"/>
    </row>
    <row r="7521" spans="1:8" x14ac:dyDescent="0.25">
      <c r="A7521" s="5"/>
      <c r="B7521" s="6"/>
      <c r="C7521" s="6"/>
      <c r="D7521" s="6"/>
      <c r="E7521" s="6"/>
      <c r="G7521" s="3"/>
      <c r="H7521" s="2"/>
    </row>
    <row r="7522" spans="1:8" x14ac:dyDescent="0.25">
      <c r="A7522" s="5"/>
      <c r="B7522" s="6"/>
      <c r="C7522" s="6"/>
      <c r="D7522" s="6"/>
      <c r="E7522" s="6"/>
      <c r="G7522" s="1"/>
      <c r="H7522" s="2"/>
    </row>
    <row r="7523" spans="1:8" x14ac:dyDescent="0.25">
      <c r="A7523" s="5"/>
      <c r="B7523" s="6"/>
      <c r="C7523" s="6"/>
      <c r="D7523" s="6"/>
      <c r="E7523" s="6"/>
      <c r="G7523" s="3"/>
      <c r="H7523" s="2"/>
    </row>
    <row r="7524" spans="1:8" x14ac:dyDescent="0.25">
      <c r="A7524" s="5"/>
      <c r="B7524" s="6"/>
      <c r="C7524" s="6"/>
      <c r="D7524" s="6"/>
      <c r="E7524" s="6"/>
      <c r="G7524" s="1"/>
      <c r="H7524" s="2"/>
    </row>
    <row r="7525" spans="1:8" x14ac:dyDescent="0.25">
      <c r="A7525" s="5"/>
      <c r="B7525" s="6"/>
      <c r="C7525" s="6"/>
      <c r="D7525" s="6"/>
      <c r="E7525" s="6"/>
      <c r="G7525" s="3"/>
      <c r="H7525" s="2"/>
    </row>
    <row r="7526" spans="1:8" x14ac:dyDescent="0.25">
      <c r="A7526" s="5"/>
      <c r="B7526" s="6"/>
      <c r="C7526" s="6"/>
      <c r="D7526" s="6"/>
      <c r="E7526" s="6"/>
      <c r="G7526" s="1"/>
      <c r="H7526" s="2"/>
    </row>
    <row r="7527" spans="1:8" x14ac:dyDescent="0.25">
      <c r="A7527" s="5"/>
      <c r="B7527" s="6"/>
      <c r="C7527" s="6"/>
      <c r="D7527" s="6"/>
      <c r="E7527" s="6"/>
      <c r="G7527" s="3"/>
      <c r="H7527" s="2"/>
    </row>
    <row r="7528" spans="1:8" x14ac:dyDescent="0.25">
      <c r="A7528" s="5"/>
      <c r="B7528" s="6"/>
      <c r="C7528" s="6"/>
      <c r="D7528" s="6"/>
      <c r="E7528" s="6"/>
      <c r="G7528" s="1"/>
      <c r="H7528" s="2"/>
    </row>
    <row r="7529" spans="1:8" x14ac:dyDescent="0.25">
      <c r="A7529" s="5"/>
      <c r="B7529" s="6"/>
      <c r="C7529" s="6"/>
      <c r="D7529" s="6"/>
      <c r="E7529" s="6"/>
      <c r="G7529" s="3"/>
      <c r="H7529" s="2"/>
    </row>
    <row r="7530" spans="1:8" x14ac:dyDescent="0.25">
      <c r="A7530" s="5"/>
      <c r="B7530" s="6"/>
      <c r="C7530" s="6"/>
      <c r="D7530" s="6"/>
      <c r="E7530" s="6"/>
      <c r="G7530" s="1"/>
      <c r="H7530" s="2"/>
    </row>
    <row r="7531" spans="1:8" x14ac:dyDescent="0.25">
      <c r="A7531" s="5"/>
      <c r="B7531" s="6"/>
      <c r="C7531" s="6"/>
      <c r="D7531" s="6"/>
      <c r="E7531" s="6"/>
      <c r="G7531" s="3"/>
      <c r="H7531" s="2"/>
    </row>
    <row r="7532" spans="1:8" x14ac:dyDescent="0.25">
      <c r="A7532" s="5"/>
      <c r="B7532" s="6"/>
      <c r="C7532" s="6"/>
      <c r="D7532" s="6"/>
      <c r="E7532" s="6"/>
      <c r="G7532" s="1"/>
      <c r="H7532" s="2"/>
    </row>
    <row r="7533" spans="1:8" x14ac:dyDescent="0.25">
      <c r="A7533" s="5"/>
      <c r="B7533" s="6"/>
      <c r="C7533" s="6"/>
      <c r="D7533" s="6"/>
      <c r="E7533" s="6"/>
      <c r="G7533" s="3"/>
      <c r="H7533" s="2"/>
    </row>
    <row r="7534" spans="1:8" x14ac:dyDescent="0.25">
      <c r="A7534" s="5"/>
      <c r="B7534" s="6"/>
      <c r="C7534" s="6"/>
      <c r="D7534" s="6"/>
      <c r="E7534" s="6"/>
      <c r="G7534" s="1"/>
      <c r="H7534" s="2"/>
    </row>
    <row r="7535" spans="1:8" x14ac:dyDescent="0.25">
      <c r="A7535" s="5"/>
      <c r="B7535" s="6"/>
      <c r="C7535" s="6"/>
      <c r="D7535" s="6"/>
      <c r="E7535" s="6"/>
      <c r="G7535" s="3"/>
      <c r="H7535" s="2"/>
    </row>
    <row r="7536" spans="1:8" x14ac:dyDescent="0.25">
      <c r="A7536" s="5"/>
      <c r="B7536" s="6"/>
      <c r="C7536" s="6"/>
      <c r="D7536" s="6"/>
      <c r="E7536" s="6"/>
      <c r="G7536" s="1"/>
      <c r="H7536" s="2"/>
    </row>
    <row r="7537" spans="1:8" x14ac:dyDescent="0.25">
      <c r="A7537" s="5"/>
      <c r="B7537" s="6"/>
      <c r="C7537" s="6"/>
      <c r="D7537" s="6"/>
      <c r="E7537" s="6"/>
      <c r="G7537" s="3"/>
      <c r="H7537" s="2"/>
    </row>
    <row r="7538" spans="1:8" x14ac:dyDescent="0.25">
      <c r="A7538" s="5"/>
      <c r="B7538" s="6"/>
      <c r="C7538" s="6"/>
      <c r="D7538" s="6"/>
      <c r="E7538" s="6"/>
      <c r="G7538" s="1"/>
      <c r="H7538" s="2"/>
    </row>
    <row r="7539" spans="1:8" x14ac:dyDescent="0.25">
      <c r="A7539" s="5"/>
      <c r="B7539" s="6"/>
      <c r="C7539" s="6"/>
      <c r="D7539" s="6"/>
      <c r="E7539" s="6"/>
      <c r="G7539" s="3"/>
      <c r="H7539" s="2"/>
    </row>
    <row r="7540" spans="1:8" x14ac:dyDescent="0.25">
      <c r="A7540" s="5"/>
      <c r="B7540" s="6"/>
      <c r="C7540" s="6"/>
      <c r="D7540" s="6"/>
      <c r="E7540" s="6"/>
      <c r="G7540" s="1"/>
      <c r="H7540" s="2"/>
    </row>
    <row r="7541" spans="1:8" x14ac:dyDescent="0.25">
      <c r="A7541" s="5"/>
      <c r="B7541" s="6"/>
      <c r="C7541" s="6"/>
      <c r="D7541" s="6"/>
      <c r="E7541" s="6"/>
      <c r="G7541" s="3"/>
      <c r="H7541" s="2"/>
    </row>
    <row r="7542" spans="1:8" x14ac:dyDescent="0.25">
      <c r="A7542" s="5"/>
      <c r="B7542" s="6"/>
      <c r="C7542" s="6"/>
      <c r="D7542" s="6"/>
      <c r="E7542" s="6"/>
      <c r="G7542" s="1"/>
      <c r="H7542" s="2"/>
    </row>
    <row r="7543" spans="1:8" x14ac:dyDescent="0.25">
      <c r="A7543" s="5"/>
      <c r="B7543" s="6"/>
      <c r="C7543" s="6"/>
      <c r="D7543" s="6"/>
      <c r="E7543" s="6"/>
      <c r="G7543" s="3"/>
      <c r="H7543" s="2"/>
    </row>
    <row r="7544" spans="1:8" x14ac:dyDescent="0.25">
      <c r="A7544" s="5"/>
      <c r="B7544" s="6"/>
      <c r="C7544" s="6"/>
      <c r="D7544" s="6"/>
      <c r="E7544" s="6"/>
      <c r="G7544" s="1"/>
      <c r="H7544" s="2"/>
    </row>
    <row r="7545" spans="1:8" x14ac:dyDescent="0.25">
      <c r="A7545" s="5"/>
      <c r="B7545" s="6"/>
      <c r="C7545" s="6"/>
      <c r="D7545" s="6"/>
      <c r="E7545" s="6"/>
      <c r="G7545" s="3"/>
      <c r="H7545" s="2"/>
    </row>
    <row r="7546" spans="1:8" x14ac:dyDescent="0.25">
      <c r="A7546" s="5"/>
      <c r="B7546" s="6"/>
      <c r="C7546" s="6"/>
      <c r="D7546" s="6"/>
      <c r="E7546" s="6"/>
      <c r="G7546" s="1"/>
      <c r="H7546" s="2"/>
    </row>
    <row r="7547" spans="1:8" x14ac:dyDescent="0.25">
      <c r="A7547" s="5"/>
      <c r="B7547" s="6"/>
      <c r="C7547" s="6"/>
      <c r="D7547" s="6"/>
      <c r="E7547" s="6"/>
      <c r="G7547" s="3"/>
      <c r="H7547" s="2"/>
    </row>
    <row r="7548" spans="1:8" x14ac:dyDescent="0.25">
      <c r="A7548" s="5"/>
      <c r="B7548" s="6"/>
      <c r="C7548" s="6"/>
      <c r="D7548" s="6"/>
      <c r="E7548" s="6"/>
      <c r="G7548" s="1"/>
      <c r="H7548" s="2"/>
    </row>
    <row r="7549" spans="1:8" x14ac:dyDescent="0.25">
      <c r="A7549" s="5"/>
      <c r="B7549" s="6"/>
      <c r="C7549" s="6"/>
      <c r="D7549" s="6"/>
      <c r="E7549" s="6"/>
      <c r="G7549" s="3"/>
      <c r="H7549" s="2"/>
    </row>
    <row r="7550" spans="1:8" x14ac:dyDescent="0.25">
      <c r="A7550" s="5"/>
      <c r="B7550" s="6"/>
      <c r="C7550" s="6"/>
      <c r="D7550" s="6"/>
      <c r="E7550" s="6"/>
      <c r="G7550" s="1"/>
      <c r="H7550" s="2"/>
    </row>
    <row r="7551" spans="1:8" x14ac:dyDescent="0.25">
      <c r="A7551" s="5"/>
      <c r="B7551" s="6"/>
      <c r="C7551" s="6"/>
      <c r="D7551" s="6"/>
      <c r="E7551" s="6"/>
      <c r="G7551" s="3"/>
      <c r="H7551" s="2"/>
    </row>
    <row r="7552" spans="1:8" x14ac:dyDescent="0.25">
      <c r="A7552" s="5"/>
      <c r="B7552" s="6"/>
      <c r="C7552" s="6"/>
      <c r="D7552" s="6"/>
      <c r="E7552" s="6"/>
      <c r="G7552" s="1"/>
      <c r="H7552" s="2"/>
    </row>
    <row r="7553" spans="1:8" x14ac:dyDescent="0.25">
      <c r="A7553" s="5"/>
      <c r="B7553" s="6"/>
      <c r="C7553" s="6"/>
      <c r="D7553" s="6"/>
      <c r="E7553" s="6"/>
      <c r="G7553" s="3"/>
      <c r="H7553" s="2"/>
    </row>
    <row r="7554" spans="1:8" x14ac:dyDescent="0.25">
      <c r="A7554" s="5"/>
      <c r="B7554" s="6"/>
      <c r="C7554" s="6"/>
      <c r="D7554" s="6"/>
      <c r="E7554" s="6"/>
      <c r="G7554" s="1"/>
      <c r="H7554" s="2"/>
    </row>
    <row r="7555" spans="1:8" x14ac:dyDescent="0.25">
      <c r="A7555" s="5"/>
      <c r="B7555" s="6"/>
      <c r="C7555" s="6"/>
      <c r="D7555" s="6"/>
      <c r="E7555" s="6"/>
      <c r="G7555" s="3"/>
      <c r="H7555" s="2"/>
    </row>
    <row r="7556" spans="1:8" x14ac:dyDescent="0.25">
      <c r="A7556" s="5"/>
      <c r="B7556" s="6"/>
      <c r="C7556" s="6"/>
      <c r="D7556" s="6"/>
      <c r="E7556" s="6"/>
      <c r="G7556" s="1"/>
      <c r="H7556" s="2"/>
    </row>
    <row r="7557" spans="1:8" x14ac:dyDescent="0.25">
      <c r="A7557" s="5"/>
      <c r="B7557" s="6"/>
      <c r="C7557" s="6"/>
      <c r="D7557" s="6"/>
      <c r="E7557" s="6"/>
      <c r="G7557" s="3"/>
      <c r="H7557" s="2"/>
    </row>
    <row r="7558" spans="1:8" x14ac:dyDescent="0.25">
      <c r="A7558" s="5"/>
      <c r="B7558" s="6"/>
      <c r="C7558" s="6"/>
      <c r="D7558" s="6"/>
      <c r="E7558" s="6"/>
      <c r="G7558" s="1"/>
      <c r="H7558" s="2"/>
    </row>
    <row r="7559" spans="1:8" x14ac:dyDescent="0.25">
      <c r="A7559" s="5"/>
      <c r="B7559" s="6"/>
      <c r="C7559" s="6"/>
      <c r="D7559" s="6"/>
      <c r="E7559" s="6"/>
      <c r="G7559" s="3"/>
      <c r="H7559" s="2"/>
    </row>
    <row r="7560" spans="1:8" x14ac:dyDescent="0.25">
      <c r="A7560" s="5"/>
      <c r="B7560" s="6"/>
      <c r="C7560" s="6"/>
      <c r="D7560" s="6"/>
      <c r="E7560" s="6"/>
      <c r="G7560" s="1"/>
      <c r="H7560" s="2"/>
    </row>
    <row r="7561" spans="1:8" x14ac:dyDescent="0.25">
      <c r="A7561" s="5"/>
      <c r="B7561" s="6"/>
      <c r="C7561" s="6"/>
      <c r="D7561" s="6"/>
      <c r="E7561" s="6"/>
      <c r="G7561" s="3"/>
      <c r="H7561" s="2"/>
    </row>
    <row r="7562" spans="1:8" x14ac:dyDescent="0.25">
      <c r="A7562" s="5"/>
      <c r="B7562" s="6"/>
      <c r="C7562" s="6"/>
      <c r="D7562" s="6"/>
      <c r="E7562" s="6"/>
      <c r="G7562" s="1"/>
      <c r="H7562" s="2"/>
    </row>
    <row r="7563" spans="1:8" x14ac:dyDescent="0.25">
      <c r="A7563" s="5"/>
      <c r="B7563" s="6"/>
      <c r="C7563" s="6"/>
      <c r="D7563" s="6"/>
      <c r="E7563" s="6"/>
      <c r="G7563" s="3"/>
      <c r="H7563" s="2"/>
    </row>
    <row r="7564" spans="1:8" x14ac:dyDescent="0.25">
      <c r="A7564" s="5"/>
      <c r="B7564" s="6"/>
      <c r="C7564" s="6"/>
      <c r="D7564" s="6"/>
      <c r="E7564" s="6"/>
      <c r="G7564" s="1"/>
      <c r="H7564" s="2"/>
    </row>
    <row r="7565" spans="1:8" x14ac:dyDescent="0.25">
      <c r="A7565" s="5"/>
      <c r="B7565" s="6"/>
      <c r="C7565" s="6"/>
      <c r="D7565" s="6"/>
      <c r="E7565" s="6"/>
      <c r="G7565" s="3"/>
      <c r="H7565" s="2"/>
    </row>
    <row r="7566" spans="1:8" x14ac:dyDescent="0.25">
      <c r="A7566" s="5"/>
      <c r="B7566" s="6"/>
      <c r="C7566" s="6"/>
      <c r="D7566" s="6"/>
      <c r="E7566" s="6"/>
      <c r="G7566" s="1"/>
      <c r="H7566" s="2"/>
    </row>
    <row r="7567" spans="1:8" x14ac:dyDescent="0.25">
      <c r="A7567" s="5"/>
      <c r="B7567" s="6"/>
      <c r="C7567" s="6"/>
      <c r="D7567" s="6"/>
      <c r="E7567" s="6"/>
      <c r="G7567" s="3"/>
      <c r="H7567" s="2"/>
    </row>
    <row r="7568" spans="1:8" x14ac:dyDescent="0.25">
      <c r="A7568" s="5"/>
      <c r="B7568" s="6"/>
      <c r="C7568" s="6"/>
      <c r="D7568" s="6"/>
      <c r="E7568" s="6"/>
      <c r="G7568" s="1"/>
      <c r="H7568" s="2"/>
    </row>
    <row r="7569" spans="1:8" x14ac:dyDescent="0.25">
      <c r="A7569" s="5"/>
      <c r="B7569" s="6"/>
      <c r="C7569" s="6"/>
      <c r="D7569" s="6"/>
      <c r="E7569" s="6"/>
      <c r="G7569" s="3"/>
      <c r="H7569" s="2"/>
    </row>
    <row r="7570" spans="1:8" x14ac:dyDescent="0.25">
      <c r="A7570" s="5"/>
      <c r="B7570" s="6"/>
      <c r="C7570" s="6"/>
      <c r="D7570" s="6"/>
      <c r="E7570" s="6"/>
      <c r="G7570" s="1"/>
      <c r="H7570" s="2"/>
    </row>
    <row r="7571" spans="1:8" x14ac:dyDescent="0.25">
      <c r="A7571" s="5"/>
      <c r="B7571" s="6"/>
      <c r="C7571" s="6"/>
      <c r="D7571" s="6"/>
      <c r="E7571" s="6"/>
      <c r="G7571" s="3"/>
      <c r="H7571" s="2"/>
    </row>
    <row r="7572" spans="1:8" x14ac:dyDescent="0.25">
      <c r="A7572" s="5"/>
      <c r="B7572" s="6"/>
      <c r="C7572" s="6"/>
      <c r="D7572" s="6"/>
      <c r="E7572" s="6"/>
      <c r="G7572" s="1"/>
      <c r="H7572" s="2"/>
    </row>
    <row r="7573" spans="1:8" x14ac:dyDescent="0.25">
      <c r="A7573" s="5"/>
      <c r="B7573" s="6"/>
      <c r="C7573" s="6"/>
      <c r="D7573" s="6"/>
      <c r="E7573" s="6"/>
      <c r="G7573" s="3"/>
      <c r="H7573" s="2"/>
    </row>
    <row r="7574" spans="1:8" x14ac:dyDescent="0.25">
      <c r="A7574" s="5"/>
      <c r="B7574" s="6"/>
      <c r="C7574" s="6"/>
      <c r="D7574" s="6"/>
      <c r="E7574" s="6"/>
      <c r="G7574" s="1"/>
      <c r="H7574" s="2"/>
    </row>
    <row r="7575" spans="1:8" x14ac:dyDescent="0.25">
      <c r="A7575" s="5"/>
      <c r="B7575" s="6"/>
      <c r="C7575" s="6"/>
      <c r="D7575" s="6"/>
      <c r="E7575" s="6"/>
      <c r="G7575" s="3"/>
      <c r="H7575" s="2"/>
    </row>
    <row r="7576" spans="1:8" x14ac:dyDescent="0.25">
      <c r="A7576" s="5"/>
      <c r="B7576" s="6"/>
      <c r="C7576" s="6"/>
      <c r="D7576" s="6"/>
      <c r="E7576" s="6"/>
      <c r="G7576" s="1"/>
      <c r="H7576" s="2"/>
    </row>
    <row r="7577" spans="1:8" x14ac:dyDescent="0.25">
      <c r="A7577" s="5"/>
      <c r="B7577" s="6"/>
      <c r="C7577" s="6"/>
      <c r="D7577" s="6"/>
      <c r="E7577" s="6"/>
      <c r="G7577" s="3"/>
      <c r="H7577" s="2"/>
    </row>
    <row r="7578" spans="1:8" x14ac:dyDescent="0.25">
      <c r="A7578" s="5"/>
      <c r="B7578" s="6"/>
      <c r="C7578" s="6"/>
      <c r="D7578" s="6"/>
      <c r="E7578" s="6"/>
      <c r="G7578" s="1"/>
      <c r="H7578" s="2"/>
    </row>
    <row r="7579" spans="1:8" x14ac:dyDescent="0.25">
      <c r="A7579" s="5"/>
      <c r="B7579" s="6"/>
      <c r="C7579" s="6"/>
      <c r="D7579" s="6"/>
      <c r="E7579" s="6"/>
      <c r="G7579" s="3"/>
      <c r="H7579" s="2"/>
    </row>
    <row r="7580" spans="1:8" x14ac:dyDescent="0.25">
      <c r="A7580" s="5"/>
      <c r="B7580" s="6"/>
      <c r="C7580" s="6"/>
      <c r="D7580" s="6"/>
      <c r="E7580" s="6"/>
      <c r="G7580" s="1"/>
      <c r="H7580" s="2"/>
    </row>
    <row r="7581" spans="1:8" x14ac:dyDescent="0.25">
      <c r="A7581" s="5"/>
      <c r="B7581" s="6"/>
      <c r="C7581" s="6"/>
      <c r="D7581" s="6"/>
      <c r="E7581" s="6"/>
      <c r="G7581" s="3"/>
      <c r="H7581" s="2"/>
    </row>
    <row r="7582" spans="1:8" x14ac:dyDescent="0.25">
      <c r="A7582" s="5"/>
      <c r="B7582" s="6"/>
      <c r="C7582" s="6"/>
      <c r="D7582" s="6"/>
      <c r="E7582" s="6"/>
      <c r="G7582" s="1"/>
      <c r="H7582" s="2"/>
    </row>
    <row r="7583" spans="1:8" x14ac:dyDescent="0.25">
      <c r="A7583" s="5"/>
      <c r="B7583" s="6"/>
      <c r="C7583" s="6"/>
      <c r="D7583" s="6"/>
      <c r="E7583" s="6"/>
      <c r="G7583" s="3"/>
      <c r="H7583" s="2"/>
    </row>
    <row r="7584" spans="1:8" x14ac:dyDescent="0.25">
      <c r="A7584" s="5"/>
      <c r="B7584" s="6"/>
      <c r="C7584" s="6"/>
      <c r="D7584" s="6"/>
      <c r="E7584" s="6"/>
      <c r="G7584" s="1"/>
      <c r="H7584" s="2"/>
    </row>
    <row r="7585" spans="1:8" x14ac:dyDescent="0.25">
      <c r="A7585" s="5"/>
      <c r="B7585" s="6"/>
      <c r="C7585" s="6"/>
      <c r="D7585" s="6"/>
      <c r="E7585" s="6"/>
      <c r="G7585" s="3"/>
      <c r="H7585" s="2"/>
    </row>
    <row r="7586" spans="1:8" x14ac:dyDescent="0.25">
      <c r="A7586" s="5"/>
      <c r="B7586" s="6"/>
      <c r="C7586" s="6"/>
      <c r="D7586" s="6"/>
      <c r="E7586" s="6"/>
      <c r="G7586" s="1"/>
      <c r="H7586" s="2"/>
    </row>
    <row r="7587" spans="1:8" x14ac:dyDescent="0.25">
      <c r="A7587" s="5"/>
      <c r="B7587" s="6"/>
      <c r="C7587" s="6"/>
      <c r="D7587" s="6"/>
      <c r="E7587" s="6"/>
      <c r="G7587" s="3"/>
      <c r="H7587" s="2"/>
    </row>
    <row r="7588" spans="1:8" x14ac:dyDescent="0.25">
      <c r="A7588" s="5"/>
      <c r="B7588" s="6"/>
      <c r="C7588" s="6"/>
      <c r="D7588" s="6"/>
      <c r="E7588" s="6"/>
      <c r="G7588" s="1"/>
      <c r="H7588" s="2"/>
    </row>
    <row r="7589" spans="1:8" x14ac:dyDescent="0.25">
      <c r="A7589" s="5"/>
      <c r="B7589" s="6"/>
      <c r="C7589" s="6"/>
      <c r="D7589" s="6"/>
      <c r="E7589" s="6"/>
      <c r="G7589" s="3"/>
      <c r="H7589" s="2"/>
    </row>
    <row r="7590" spans="1:8" x14ac:dyDescent="0.25">
      <c r="A7590" s="5"/>
      <c r="B7590" s="6"/>
      <c r="C7590" s="6"/>
      <c r="D7590" s="6"/>
      <c r="E7590" s="6"/>
      <c r="G7590" s="1"/>
      <c r="H7590" s="2"/>
    </row>
    <row r="7591" spans="1:8" x14ac:dyDescent="0.25">
      <c r="A7591" s="5"/>
      <c r="B7591" s="6"/>
      <c r="C7591" s="6"/>
      <c r="D7591" s="6"/>
      <c r="E7591" s="6"/>
      <c r="G7591" s="3"/>
      <c r="H7591" s="2"/>
    </row>
    <row r="7592" spans="1:8" x14ac:dyDescent="0.25">
      <c r="A7592" s="5"/>
      <c r="B7592" s="6"/>
      <c r="C7592" s="6"/>
      <c r="D7592" s="6"/>
      <c r="E7592" s="6"/>
      <c r="G7592" s="1"/>
      <c r="H7592" s="2"/>
    </row>
    <row r="7593" spans="1:8" x14ac:dyDescent="0.25">
      <c r="A7593" s="5"/>
      <c r="B7593" s="6"/>
      <c r="C7593" s="6"/>
      <c r="D7593" s="6"/>
      <c r="E7593" s="6"/>
      <c r="G7593" s="3"/>
      <c r="H7593" s="2"/>
    </row>
    <row r="7594" spans="1:8" x14ac:dyDescent="0.25">
      <c r="A7594" s="5"/>
      <c r="B7594" s="6"/>
      <c r="C7594" s="6"/>
      <c r="D7594" s="6"/>
      <c r="E7594" s="6"/>
      <c r="G7594" s="1"/>
      <c r="H7594" s="2"/>
    </row>
    <row r="7595" spans="1:8" x14ac:dyDescent="0.25">
      <c r="A7595" s="5"/>
      <c r="B7595" s="6"/>
      <c r="C7595" s="6"/>
      <c r="D7595" s="6"/>
      <c r="E7595" s="6"/>
      <c r="G7595" s="3"/>
      <c r="H7595" s="2"/>
    </row>
    <row r="7596" spans="1:8" x14ac:dyDescent="0.25">
      <c r="A7596" s="5"/>
      <c r="B7596" s="6"/>
      <c r="C7596" s="6"/>
      <c r="D7596" s="6"/>
      <c r="E7596" s="6"/>
      <c r="G7596" s="1"/>
      <c r="H7596" s="2"/>
    </row>
    <row r="7597" spans="1:8" x14ac:dyDescent="0.25">
      <c r="A7597" s="5"/>
      <c r="B7597" s="6"/>
      <c r="C7597" s="6"/>
      <c r="D7597" s="6"/>
      <c r="E7597" s="6"/>
      <c r="G7597" s="3"/>
      <c r="H7597" s="2"/>
    </row>
    <row r="7598" spans="1:8" x14ac:dyDescent="0.25">
      <c r="A7598" s="5"/>
      <c r="B7598" s="6"/>
      <c r="C7598" s="6"/>
      <c r="D7598" s="6"/>
      <c r="E7598" s="6"/>
      <c r="G7598" s="1"/>
      <c r="H7598" s="2"/>
    </row>
    <row r="7599" spans="1:8" x14ac:dyDescent="0.25">
      <c r="A7599" s="5"/>
      <c r="B7599" s="6"/>
      <c r="C7599" s="6"/>
      <c r="D7599" s="6"/>
      <c r="E7599" s="6"/>
      <c r="G7599" s="3"/>
      <c r="H7599" s="2"/>
    </row>
    <row r="7600" spans="1:8" x14ac:dyDescent="0.25">
      <c r="A7600" s="5"/>
      <c r="B7600" s="6"/>
      <c r="C7600" s="6"/>
      <c r="D7600" s="6"/>
      <c r="E7600" s="6"/>
      <c r="G7600" s="1"/>
      <c r="H7600" s="2"/>
    </row>
    <row r="7601" spans="1:8" x14ac:dyDescent="0.25">
      <c r="A7601" s="5"/>
      <c r="B7601" s="6"/>
      <c r="C7601" s="6"/>
      <c r="D7601" s="6"/>
      <c r="E7601" s="6"/>
      <c r="G7601" s="3"/>
      <c r="H7601" s="2"/>
    </row>
    <row r="7602" spans="1:8" x14ac:dyDescent="0.25">
      <c r="A7602" s="5"/>
      <c r="B7602" s="6"/>
      <c r="C7602" s="6"/>
      <c r="D7602" s="6"/>
      <c r="E7602" s="6"/>
      <c r="G7602" s="1"/>
      <c r="H7602" s="2"/>
    </row>
    <row r="7603" spans="1:8" x14ac:dyDescent="0.25">
      <c r="A7603" s="5"/>
      <c r="B7603" s="6"/>
      <c r="C7603" s="6"/>
      <c r="D7603" s="6"/>
      <c r="E7603" s="6"/>
      <c r="G7603" s="3"/>
      <c r="H7603" s="2"/>
    </row>
    <row r="7604" spans="1:8" x14ac:dyDescent="0.25">
      <c r="A7604" s="5"/>
      <c r="B7604" s="6"/>
      <c r="C7604" s="6"/>
      <c r="D7604" s="6"/>
      <c r="E7604" s="6"/>
      <c r="G7604" s="1"/>
      <c r="H7604" s="2"/>
    </row>
    <row r="7605" spans="1:8" x14ac:dyDescent="0.25">
      <c r="A7605" s="5"/>
      <c r="B7605" s="6"/>
      <c r="C7605" s="6"/>
      <c r="D7605" s="6"/>
      <c r="E7605" s="6"/>
      <c r="G7605" s="3"/>
      <c r="H7605" s="2"/>
    </row>
    <row r="7606" spans="1:8" x14ac:dyDescent="0.25">
      <c r="A7606" s="5"/>
      <c r="B7606" s="6"/>
      <c r="C7606" s="6"/>
      <c r="D7606" s="6"/>
      <c r="E7606" s="6"/>
      <c r="G7606" s="1"/>
      <c r="H7606" s="2"/>
    </row>
    <row r="7607" spans="1:8" x14ac:dyDescent="0.25">
      <c r="A7607" s="5"/>
      <c r="B7607" s="6"/>
      <c r="C7607" s="6"/>
      <c r="D7607" s="6"/>
      <c r="E7607" s="6"/>
      <c r="G7607" s="3"/>
      <c r="H7607" s="2"/>
    </row>
    <row r="7608" spans="1:8" x14ac:dyDescent="0.25">
      <c r="A7608" s="5"/>
      <c r="B7608" s="6"/>
      <c r="C7608" s="6"/>
      <c r="D7608" s="6"/>
      <c r="E7608" s="6"/>
      <c r="G7608" s="1"/>
      <c r="H7608" s="2"/>
    </row>
    <row r="7609" spans="1:8" x14ac:dyDescent="0.25">
      <c r="A7609" s="5"/>
      <c r="B7609" s="6"/>
      <c r="C7609" s="6"/>
      <c r="D7609" s="6"/>
      <c r="E7609" s="6"/>
      <c r="G7609" s="3"/>
      <c r="H7609" s="2"/>
    </row>
    <row r="7610" spans="1:8" x14ac:dyDescent="0.25">
      <c r="A7610" s="5"/>
      <c r="B7610" s="6"/>
      <c r="C7610" s="6"/>
      <c r="D7610" s="6"/>
      <c r="E7610" s="6"/>
      <c r="G7610" s="1"/>
      <c r="H7610" s="2"/>
    </row>
    <row r="7611" spans="1:8" x14ac:dyDescent="0.25">
      <c r="A7611" s="5"/>
      <c r="B7611" s="6"/>
      <c r="C7611" s="6"/>
      <c r="D7611" s="6"/>
      <c r="E7611" s="6"/>
      <c r="G7611" s="3"/>
      <c r="H7611" s="2"/>
    </row>
    <row r="7612" spans="1:8" x14ac:dyDescent="0.25">
      <c r="A7612" s="5"/>
      <c r="B7612" s="6"/>
      <c r="C7612" s="6"/>
      <c r="D7612" s="6"/>
      <c r="E7612" s="6"/>
      <c r="G7612" s="1"/>
      <c r="H7612" s="2"/>
    </row>
    <row r="7613" spans="1:8" x14ac:dyDescent="0.25">
      <c r="A7613" s="5"/>
      <c r="B7613" s="6"/>
      <c r="C7613" s="6"/>
      <c r="D7613" s="6"/>
      <c r="E7613" s="6"/>
      <c r="G7613" s="3"/>
      <c r="H7613" s="2"/>
    </row>
    <row r="7614" spans="1:8" x14ac:dyDescent="0.25">
      <c r="A7614" s="5"/>
      <c r="B7614" s="6"/>
      <c r="C7614" s="6"/>
      <c r="D7614" s="6"/>
      <c r="E7614" s="6"/>
      <c r="G7614" s="1"/>
      <c r="H7614" s="2"/>
    </row>
    <row r="7615" spans="1:8" x14ac:dyDescent="0.25">
      <c r="A7615" s="5"/>
      <c r="B7615" s="6"/>
      <c r="C7615" s="6"/>
      <c r="D7615" s="6"/>
      <c r="E7615" s="6"/>
      <c r="G7615" s="3"/>
      <c r="H7615" s="2"/>
    </row>
    <row r="7616" spans="1:8" x14ac:dyDescent="0.25">
      <c r="A7616" s="5"/>
      <c r="B7616" s="6"/>
      <c r="C7616" s="6"/>
      <c r="D7616" s="6"/>
      <c r="E7616" s="6"/>
      <c r="G7616" s="1"/>
      <c r="H7616" s="2"/>
    </row>
    <row r="7617" spans="1:8" x14ac:dyDescent="0.25">
      <c r="A7617" s="5"/>
      <c r="B7617" s="6"/>
      <c r="C7617" s="6"/>
      <c r="D7617" s="6"/>
      <c r="E7617" s="6"/>
      <c r="G7617" s="3"/>
      <c r="H7617" s="2"/>
    </row>
    <row r="7618" spans="1:8" x14ac:dyDescent="0.25">
      <c r="A7618" s="5"/>
      <c r="B7618" s="6"/>
      <c r="C7618" s="6"/>
      <c r="D7618" s="6"/>
      <c r="E7618" s="6"/>
      <c r="G7618" s="1"/>
      <c r="H7618" s="2"/>
    </row>
    <row r="7619" spans="1:8" x14ac:dyDescent="0.25">
      <c r="A7619" s="5"/>
      <c r="B7619" s="6"/>
      <c r="C7619" s="6"/>
      <c r="D7619" s="6"/>
      <c r="E7619" s="6"/>
      <c r="G7619" s="3"/>
      <c r="H7619" s="2"/>
    </row>
    <row r="7620" spans="1:8" x14ac:dyDescent="0.25">
      <c r="A7620" s="5"/>
      <c r="B7620" s="6"/>
      <c r="C7620" s="6"/>
      <c r="D7620" s="6"/>
      <c r="E7620" s="6"/>
      <c r="G7620" s="1"/>
      <c r="H7620" s="2"/>
    </row>
    <row r="7621" spans="1:8" x14ac:dyDescent="0.25">
      <c r="A7621" s="5"/>
      <c r="B7621" s="6"/>
      <c r="C7621" s="6"/>
      <c r="D7621" s="6"/>
      <c r="E7621" s="6"/>
      <c r="G7621" s="3"/>
      <c r="H7621" s="2"/>
    </row>
    <row r="7622" spans="1:8" x14ac:dyDescent="0.25">
      <c r="A7622" s="5"/>
      <c r="B7622" s="6"/>
      <c r="C7622" s="6"/>
      <c r="D7622" s="6"/>
      <c r="E7622" s="6"/>
      <c r="G7622" s="1"/>
      <c r="H7622" s="2"/>
    </row>
    <row r="7623" spans="1:8" x14ac:dyDescent="0.25">
      <c r="A7623" s="5"/>
      <c r="B7623" s="6"/>
      <c r="C7623" s="6"/>
      <c r="D7623" s="6"/>
      <c r="E7623" s="6"/>
      <c r="G7623" s="3"/>
      <c r="H7623" s="2"/>
    </row>
    <row r="7624" spans="1:8" x14ac:dyDescent="0.25">
      <c r="A7624" s="5"/>
      <c r="B7624" s="6"/>
      <c r="C7624" s="6"/>
      <c r="D7624" s="6"/>
      <c r="E7624" s="6"/>
      <c r="G7624" s="1"/>
      <c r="H7624" s="2"/>
    </row>
    <row r="7625" spans="1:8" x14ac:dyDescent="0.25">
      <c r="A7625" s="5"/>
      <c r="B7625" s="6"/>
      <c r="C7625" s="6"/>
      <c r="D7625" s="6"/>
      <c r="E7625" s="6"/>
      <c r="G7625" s="3"/>
      <c r="H7625" s="2"/>
    </row>
    <row r="7626" spans="1:8" x14ac:dyDescent="0.25">
      <c r="A7626" s="5"/>
      <c r="B7626" s="6"/>
      <c r="C7626" s="6"/>
      <c r="D7626" s="6"/>
      <c r="E7626" s="6"/>
      <c r="G7626" s="1"/>
      <c r="H7626" s="2"/>
    </row>
    <row r="7627" spans="1:8" x14ac:dyDescent="0.25">
      <c r="A7627" s="5"/>
      <c r="B7627" s="6"/>
      <c r="C7627" s="6"/>
      <c r="D7627" s="6"/>
      <c r="E7627" s="6"/>
      <c r="G7627" s="3"/>
      <c r="H7627" s="2"/>
    </row>
    <row r="7628" spans="1:8" x14ac:dyDescent="0.25">
      <c r="A7628" s="5"/>
      <c r="B7628" s="6"/>
      <c r="C7628" s="6"/>
      <c r="D7628" s="6"/>
      <c r="E7628" s="6"/>
      <c r="G7628" s="1"/>
      <c r="H7628" s="2"/>
    </row>
    <row r="7629" spans="1:8" x14ac:dyDescent="0.25">
      <c r="A7629" s="5"/>
      <c r="B7629" s="6"/>
      <c r="C7629" s="6"/>
      <c r="D7629" s="6"/>
      <c r="E7629" s="6"/>
      <c r="G7629" s="3"/>
      <c r="H7629" s="2"/>
    </row>
    <row r="7630" spans="1:8" x14ac:dyDescent="0.25">
      <c r="A7630" s="5"/>
      <c r="B7630" s="6"/>
      <c r="C7630" s="6"/>
      <c r="D7630" s="6"/>
      <c r="E7630" s="6"/>
      <c r="G7630" s="1"/>
      <c r="H7630" s="2"/>
    </row>
    <row r="7631" spans="1:8" x14ac:dyDescent="0.25">
      <c r="A7631" s="5"/>
      <c r="B7631" s="6"/>
      <c r="C7631" s="6"/>
      <c r="D7631" s="6"/>
      <c r="E7631" s="6"/>
      <c r="G7631" s="3"/>
      <c r="H7631" s="2"/>
    </row>
    <row r="7632" spans="1:8" x14ac:dyDescent="0.25">
      <c r="A7632" s="5"/>
      <c r="B7632" s="6"/>
      <c r="C7632" s="6"/>
      <c r="D7632" s="6"/>
      <c r="E7632" s="6"/>
      <c r="G7632" s="1"/>
      <c r="H7632" s="2"/>
    </row>
    <row r="7633" spans="1:8" x14ac:dyDescent="0.25">
      <c r="A7633" s="5"/>
      <c r="B7633" s="6"/>
      <c r="C7633" s="6"/>
      <c r="D7633" s="6"/>
      <c r="E7633" s="6"/>
      <c r="G7633" s="3"/>
      <c r="H7633" s="2"/>
    </row>
    <row r="7634" spans="1:8" x14ac:dyDescent="0.25">
      <c r="A7634" s="5"/>
      <c r="B7634" s="6"/>
      <c r="C7634" s="6"/>
      <c r="D7634" s="6"/>
      <c r="E7634" s="6"/>
      <c r="G7634" s="1"/>
      <c r="H7634" s="2"/>
    </row>
    <row r="7635" spans="1:8" x14ac:dyDescent="0.25">
      <c r="A7635" s="5"/>
      <c r="B7635" s="6"/>
      <c r="C7635" s="6"/>
      <c r="D7635" s="6"/>
      <c r="E7635" s="6"/>
      <c r="G7635" s="3"/>
      <c r="H7635" s="2"/>
    </row>
    <row r="7636" spans="1:8" x14ac:dyDescent="0.25">
      <c r="A7636" s="5"/>
      <c r="B7636" s="6"/>
      <c r="C7636" s="6"/>
      <c r="D7636" s="6"/>
      <c r="E7636" s="6"/>
      <c r="G7636" s="1"/>
      <c r="H7636" s="2"/>
    </row>
    <row r="7637" spans="1:8" x14ac:dyDescent="0.25">
      <c r="A7637" s="5"/>
      <c r="B7637" s="6"/>
      <c r="C7637" s="6"/>
      <c r="D7637" s="6"/>
      <c r="E7637" s="6"/>
      <c r="G7637" s="3"/>
      <c r="H7637" s="2"/>
    </row>
    <row r="7638" spans="1:8" x14ac:dyDescent="0.25">
      <c r="A7638" s="5"/>
      <c r="B7638" s="6"/>
      <c r="C7638" s="6"/>
      <c r="D7638" s="6"/>
      <c r="E7638" s="6"/>
      <c r="G7638" s="1"/>
      <c r="H7638" s="2"/>
    </row>
    <row r="7639" spans="1:8" x14ac:dyDescent="0.25">
      <c r="A7639" s="5"/>
      <c r="B7639" s="6"/>
      <c r="C7639" s="6"/>
      <c r="D7639" s="6"/>
      <c r="E7639" s="6"/>
      <c r="G7639" s="3"/>
      <c r="H7639" s="2"/>
    </row>
    <row r="7640" spans="1:8" x14ac:dyDescent="0.25">
      <c r="A7640" s="5"/>
      <c r="B7640" s="6"/>
      <c r="C7640" s="6"/>
      <c r="D7640" s="6"/>
      <c r="E7640" s="6"/>
      <c r="G7640" s="1"/>
      <c r="H7640" s="2"/>
    </row>
    <row r="7641" spans="1:8" x14ac:dyDescent="0.25">
      <c r="A7641" s="5"/>
      <c r="B7641" s="6"/>
      <c r="C7641" s="6"/>
      <c r="D7641" s="6"/>
      <c r="E7641" s="6"/>
      <c r="G7641" s="3"/>
      <c r="H7641" s="2"/>
    </row>
    <row r="7642" spans="1:8" x14ac:dyDescent="0.25">
      <c r="A7642" s="5"/>
      <c r="B7642" s="6"/>
      <c r="C7642" s="6"/>
      <c r="D7642" s="6"/>
      <c r="E7642" s="6"/>
      <c r="G7642" s="1"/>
      <c r="H7642" s="2"/>
    </row>
    <row r="7643" spans="1:8" x14ac:dyDescent="0.25">
      <c r="A7643" s="5"/>
      <c r="B7643" s="6"/>
      <c r="C7643" s="6"/>
      <c r="D7643" s="6"/>
      <c r="E7643" s="6"/>
      <c r="G7643" s="3"/>
      <c r="H7643" s="2"/>
    </row>
    <row r="7644" spans="1:8" x14ac:dyDescent="0.25">
      <c r="A7644" s="5"/>
      <c r="B7644" s="6"/>
      <c r="C7644" s="6"/>
      <c r="D7644" s="6"/>
      <c r="E7644" s="6"/>
      <c r="G7644" s="1"/>
      <c r="H7644" s="2"/>
    </row>
    <row r="7645" spans="1:8" x14ac:dyDescent="0.25">
      <c r="A7645" s="5"/>
      <c r="B7645" s="6"/>
      <c r="C7645" s="6"/>
      <c r="D7645" s="6"/>
      <c r="E7645" s="6"/>
      <c r="G7645" s="14"/>
      <c r="H7645" s="2"/>
    </row>
    <row r="7646" spans="1:8" x14ac:dyDescent="0.25">
      <c r="A7646" s="5"/>
      <c r="B7646" s="6"/>
      <c r="C7646" s="6"/>
      <c r="D7646" s="6"/>
      <c r="E7646" s="6"/>
      <c r="G7646" s="14"/>
      <c r="H7646" s="2"/>
    </row>
    <row r="7647" spans="1:8" x14ac:dyDescent="0.25">
      <c r="A7647" s="5"/>
      <c r="B7647" s="6"/>
      <c r="C7647" s="6"/>
      <c r="D7647" s="6"/>
      <c r="E7647" s="6"/>
      <c r="G7647" s="14"/>
      <c r="H7647" s="2"/>
    </row>
    <row r="7648" spans="1:8" x14ac:dyDescent="0.25">
      <c r="A7648" s="5"/>
      <c r="B7648" s="6"/>
      <c r="C7648" s="6"/>
      <c r="D7648" s="6"/>
      <c r="E7648" s="6"/>
      <c r="G7648" s="14"/>
      <c r="H7648" s="2"/>
    </row>
    <row r="7649" spans="1:8" x14ac:dyDescent="0.25">
      <c r="A7649" s="5"/>
      <c r="B7649" s="6"/>
      <c r="C7649" s="6"/>
      <c r="D7649" s="6"/>
      <c r="E7649" s="6"/>
      <c r="G7649" s="14"/>
      <c r="H7649" s="2"/>
    </row>
    <row r="7650" spans="1:8" x14ac:dyDescent="0.25">
      <c r="A7650" s="5"/>
      <c r="B7650" s="6"/>
      <c r="C7650" s="6"/>
      <c r="D7650" s="6"/>
      <c r="E7650" s="6"/>
      <c r="G7650" s="14"/>
      <c r="H7650" s="2"/>
    </row>
    <row r="7651" spans="1:8" x14ac:dyDescent="0.25">
      <c r="A7651" s="5"/>
      <c r="B7651" s="6"/>
      <c r="C7651" s="6"/>
      <c r="D7651" s="6"/>
      <c r="E7651" s="6"/>
    </row>
    <row r="7652" spans="1:8" x14ac:dyDescent="0.25">
      <c r="A7652" s="5"/>
      <c r="B7652" s="6"/>
      <c r="C7652" s="6"/>
      <c r="D7652" s="6"/>
      <c r="E7652" s="6"/>
      <c r="G7652" s="3"/>
      <c r="H7652" s="2"/>
    </row>
    <row r="7653" spans="1:8" x14ac:dyDescent="0.25">
      <c r="A7653" s="5"/>
      <c r="B7653" s="6"/>
      <c r="C7653" s="6"/>
      <c r="D7653" s="6"/>
      <c r="E7653" s="6"/>
      <c r="G7653" s="1"/>
      <c r="H7653" s="2"/>
    </row>
    <row r="7654" spans="1:8" x14ac:dyDescent="0.25">
      <c r="A7654" s="5"/>
      <c r="B7654" s="6"/>
      <c r="C7654" s="6"/>
      <c r="D7654" s="6"/>
      <c r="E7654" s="6"/>
      <c r="G7654" s="3"/>
      <c r="H7654" s="2"/>
    </row>
    <row r="7655" spans="1:8" x14ac:dyDescent="0.25">
      <c r="A7655" s="5"/>
      <c r="B7655" s="6"/>
      <c r="C7655" s="6"/>
      <c r="D7655" s="6"/>
      <c r="E7655" s="6"/>
      <c r="G7655" s="1"/>
      <c r="H7655" s="2"/>
    </row>
    <row r="7656" spans="1:8" x14ac:dyDescent="0.25">
      <c r="A7656" s="5"/>
      <c r="B7656" s="6"/>
      <c r="C7656" s="6"/>
      <c r="D7656" s="6"/>
      <c r="E7656" s="6"/>
      <c r="G7656" s="3"/>
      <c r="H7656" s="2"/>
    </row>
    <row r="7657" spans="1:8" x14ac:dyDescent="0.25">
      <c r="A7657" s="5"/>
      <c r="B7657" s="6"/>
      <c r="C7657" s="6"/>
      <c r="D7657" s="6"/>
      <c r="E7657" s="6"/>
      <c r="G7657" s="1"/>
      <c r="H7657" s="2"/>
    </row>
    <row r="7658" spans="1:8" x14ac:dyDescent="0.25">
      <c r="A7658" s="5"/>
      <c r="B7658" s="6"/>
      <c r="C7658" s="6"/>
      <c r="D7658" s="6"/>
      <c r="E7658" s="6"/>
      <c r="G7658" s="3"/>
      <c r="H7658" s="2"/>
    </row>
    <row r="7659" spans="1:8" x14ac:dyDescent="0.25">
      <c r="A7659" s="5"/>
      <c r="B7659" s="6"/>
      <c r="C7659" s="6"/>
      <c r="D7659" s="6"/>
      <c r="E7659" s="6"/>
      <c r="G7659" s="1"/>
      <c r="H7659" s="2"/>
    </row>
    <row r="7660" spans="1:8" x14ac:dyDescent="0.25">
      <c r="A7660" s="5"/>
      <c r="B7660" s="6"/>
      <c r="C7660" s="6"/>
      <c r="D7660" s="6"/>
      <c r="E7660" s="6"/>
      <c r="G7660" s="3"/>
      <c r="H7660" s="2"/>
    </row>
    <row r="7661" spans="1:8" x14ac:dyDescent="0.25">
      <c r="A7661" s="5"/>
      <c r="B7661" s="6"/>
      <c r="C7661" s="6"/>
      <c r="D7661" s="6"/>
      <c r="E7661" s="6"/>
      <c r="G7661" s="1"/>
      <c r="H7661" s="2"/>
    </row>
    <row r="7662" spans="1:8" x14ac:dyDescent="0.25">
      <c r="A7662" s="5"/>
      <c r="B7662" s="6"/>
      <c r="C7662" s="6"/>
      <c r="D7662" s="6"/>
      <c r="E7662" s="6"/>
      <c r="G7662" s="3"/>
      <c r="H7662" s="2"/>
    </row>
    <row r="7663" spans="1:8" x14ac:dyDescent="0.25">
      <c r="A7663" s="5"/>
      <c r="B7663" s="6"/>
      <c r="C7663" s="6"/>
      <c r="D7663" s="6"/>
      <c r="E7663" s="6"/>
      <c r="G7663" s="1"/>
      <c r="H7663" s="2"/>
    </row>
    <row r="7664" spans="1:8" x14ac:dyDescent="0.25">
      <c r="A7664" s="5"/>
      <c r="B7664" s="6"/>
      <c r="C7664" s="6"/>
      <c r="D7664" s="6"/>
      <c r="E7664" s="6"/>
      <c r="G7664" s="3"/>
      <c r="H7664" s="2"/>
    </row>
    <row r="7665" spans="1:8" x14ac:dyDescent="0.25">
      <c r="A7665" s="5"/>
      <c r="B7665" s="6"/>
      <c r="C7665" s="6"/>
      <c r="D7665" s="6"/>
      <c r="E7665" s="6"/>
      <c r="G7665" s="1"/>
      <c r="H7665" s="2"/>
    </row>
    <row r="7666" spans="1:8" x14ac:dyDescent="0.25">
      <c r="A7666" s="5"/>
      <c r="B7666" s="6"/>
      <c r="C7666" s="6"/>
      <c r="D7666" s="6"/>
      <c r="E7666" s="6"/>
      <c r="G7666" s="3"/>
      <c r="H7666" s="2"/>
    </row>
    <row r="7667" spans="1:8" x14ac:dyDescent="0.25">
      <c r="A7667" s="5"/>
      <c r="B7667" s="6"/>
      <c r="C7667" s="6"/>
      <c r="D7667" s="6"/>
      <c r="E7667" s="6"/>
      <c r="G7667" s="1"/>
      <c r="H7667" s="2"/>
    </row>
    <row r="7668" spans="1:8" x14ac:dyDescent="0.25">
      <c r="A7668" s="5"/>
      <c r="B7668" s="6"/>
      <c r="C7668" s="6"/>
      <c r="D7668" s="6"/>
      <c r="E7668" s="6"/>
      <c r="G7668" s="3"/>
      <c r="H7668" s="2"/>
    </row>
    <row r="7669" spans="1:8" x14ac:dyDescent="0.25">
      <c r="A7669" s="5"/>
      <c r="B7669" s="6"/>
      <c r="C7669" s="6"/>
      <c r="D7669" s="6"/>
      <c r="E7669" s="6"/>
      <c r="G7669" s="1"/>
      <c r="H7669" s="2"/>
    </row>
    <row r="7670" spans="1:8" x14ac:dyDescent="0.25">
      <c r="A7670" s="5"/>
      <c r="B7670" s="6"/>
      <c r="C7670" s="6"/>
      <c r="D7670" s="6"/>
      <c r="E7670" s="6"/>
      <c r="G7670" s="3"/>
      <c r="H7670" s="2"/>
    </row>
    <row r="7671" spans="1:8" x14ac:dyDescent="0.25">
      <c r="A7671" s="5"/>
      <c r="B7671" s="6"/>
      <c r="C7671" s="6"/>
      <c r="D7671" s="6"/>
      <c r="E7671" s="6"/>
      <c r="G7671" s="1"/>
      <c r="H7671" s="2"/>
    </row>
    <row r="7672" spans="1:8" x14ac:dyDescent="0.25">
      <c r="A7672" s="5"/>
      <c r="B7672" s="6"/>
      <c r="C7672" s="6"/>
      <c r="D7672" s="6"/>
      <c r="E7672" s="6"/>
      <c r="G7672" s="3"/>
      <c r="H7672" s="2"/>
    </row>
    <row r="7673" spans="1:8" x14ac:dyDescent="0.25">
      <c r="A7673" s="5"/>
      <c r="B7673" s="6"/>
      <c r="C7673" s="6"/>
      <c r="D7673" s="6"/>
      <c r="E7673" s="6"/>
      <c r="G7673" s="1"/>
      <c r="H7673" s="2"/>
    </row>
    <row r="7674" spans="1:8" x14ac:dyDescent="0.25">
      <c r="A7674" s="5"/>
      <c r="B7674" s="6"/>
      <c r="C7674" s="6"/>
      <c r="D7674" s="6"/>
      <c r="E7674" s="6"/>
      <c r="G7674" s="3"/>
      <c r="H7674" s="2"/>
    </row>
    <row r="7675" spans="1:8" x14ac:dyDescent="0.25">
      <c r="A7675" s="5"/>
      <c r="B7675" s="6"/>
      <c r="C7675" s="6"/>
      <c r="D7675" s="6"/>
      <c r="E7675" s="6"/>
      <c r="G7675" s="1"/>
      <c r="H7675" s="2"/>
    </row>
    <row r="7676" spans="1:8" x14ac:dyDescent="0.25">
      <c r="A7676" s="5"/>
      <c r="B7676" s="6"/>
      <c r="C7676" s="6"/>
      <c r="D7676" s="6"/>
      <c r="E7676" s="6"/>
      <c r="G7676" s="3"/>
      <c r="H7676" s="2"/>
    </row>
    <row r="7677" spans="1:8" x14ac:dyDescent="0.25">
      <c r="A7677" s="5"/>
      <c r="B7677" s="6"/>
      <c r="C7677" s="6"/>
      <c r="D7677" s="6"/>
      <c r="E7677" s="6"/>
      <c r="G7677" s="1"/>
      <c r="H7677" s="2"/>
    </row>
    <row r="7678" spans="1:8" x14ac:dyDescent="0.25">
      <c r="A7678" s="5"/>
      <c r="B7678" s="6"/>
      <c r="C7678" s="6"/>
      <c r="D7678" s="6"/>
      <c r="E7678" s="6"/>
      <c r="G7678" s="3"/>
      <c r="H7678" s="2"/>
    </row>
    <row r="7679" spans="1:8" x14ac:dyDescent="0.25">
      <c r="A7679" s="5"/>
      <c r="B7679" s="6"/>
      <c r="C7679" s="6"/>
      <c r="D7679" s="6"/>
      <c r="E7679" s="6"/>
      <c r="G7679" s="1"/>
      <c r="H7679" s="2"/>
    </row>
    <row r="7680" spans="1:8" x14ac:dyDescent="0.25">
      <c r="A7680" s="5"/>
      <c r="B7680" s="6"/>
      <c r="C7680" s="6"/>
      <c r="D7680" s="6"/>
      <c r="E7680" s="6"/>
      <c r="G7680" s="3"/>
      <c r="H7680" s="2"/>
    </row>
    <row r="7681" spans="1:8" x14ac:dyDescent="0.25">
      <c r="A7681" s="5"/>
      <c r="B7681" s="6"/>
      <c r="C7681" s="6"/>
      <c r="D7681" s="6"/>
      <c r="E7681" s="6"/>
      <c r="G7681" s="1"/>
      <c r="H7681" s="2"/>
    </row>
    <row r="7682" spans="1:8" x14ac:dyDescent="0.25">
      <c r="A7682" s="5"/>
      <c r="B7682" s="6"/>
      <c r="C7682" s="6"/>
      <c r="D7682" s="6"/>
      <c r="E7682" s="6"/>
      <c r="G7682" s="3"/>
      <c r="H7682" s="2"/>
    </row>
    <row r="7683" spans="1:8" x14ac:dyDescent="0.25">
      <c r="A7683" s="5"/>
      <c r="B7683" s="6"/>
      <c r="C7683" s="6"/>
      <c r="D7683" s="6"/>
      <c r="E7683" s="6"/>
      <c r="G7683" s="1"/>
      <c r="H7683" s="2"/>
    </row>
    <row r="7684" spans="1:8" x14ac:dyDescent="0.25">
      <c r="A7684" s="5"/>
      <c r="B7684" s="6"/>
      <c r="C7684" s="6"/>
      <c r="D7684" s="6"/>
      <c r="E7684" s="6"/>
      <c r="G7684" s="3"/>
      <c r="H7684" s="2"/>
    </row>
    <row r="7685" spans="1:8" x14ac:dyDescent="0.25">
      <c r="A7685" s="5"/>
      <c r="B7685" s="6"/>
      <c r="C7685" s="6"/>
      <c r="D7685" s="6"/>
      <c r="E7685" s="6"/>
      <c r="G7685" s="1"/>
      <c r="H7685" s="2"/>
    </row>
    <row r="7686" spans="1:8" x14ac:dyDescent="0.25">
      <c r="A7686" s="5"/>
      <c r="B7686" s="6"/>
      <c r="C7686" s="6"/>
      <c r="D7686" s="6"/>
      <c r="E7686" s="6"/>
      <c r="G7686" s="3"/>
      <c r="H7686" s="2"/>
    </row>
    <row r="7687" spans="1:8" x14ac:dyDescent="0.25">
      <c r="A7687" s="5"/>
      <c r="B7687" s="6"/>
      <c r="C7687" s="6"/>
      <c r="D7687" s="6"/>
      <c r="E7687" s="6"/>
      <c r="G7687" s="1"/>
      <c r="H7687" s="2"/>
    </row>
    <row r="7688" spans="1:8" x14ac:dyDescent="0.25">
      <c r="A7688" s="5"/>
      <c r="B7688" s="6"/>
      <c r="C7688" s="6"/>
      <c r="D7688" s="6"/>
      <c r="E7688" s="6"/>
      <c r="G7688" s="3"/>
      <c r="H7688" s="2"/>
    </row>
    <row r="7689" spans="1:8" x14ac:dyDescent="0.25">
      <c r="A7689" s="5"/>
      <c r="B7689" s="6"/>
      <c r="C7689" s="6"/>
      <c r="D7689" s="6"/>
      <c r="E7689" s="6"/>
      <c r="G7689" s="1"/>
      <c r="H7689" s="2"/>
    </row>
    <row r="7690" spans="1:8" x14ac:dyDescent="0.25">
      <c r="A7690" s="5"/>
      <c r="B7690" s="6"/>
      <c r="C7690" s="6"/>
      <c r="D7690" s="6"/>
      <c r="E7690" s="6"/>
      <c r="G7690" s="3"/>
      <c r="H7690" s="2"/>
    </row>
    <row r="7691" spans="1:8" x14ac:dyDescent="0.25">
      <c r="A7691" s="5"/>
      <c r="B7691" s="6"/>
      <c r="C7691" s="6"/>
      <c r="D7691" s="6"/>
      <c r="E7691" s="6"/>
      <c r="G7691" s="1"/>
      <c r="H7691" s="2"/>
    </row>
    <row r="7692" spans="1:8" x14ac:dyDescent="0.25">
      <c r="A7692" s="5"/>
      <c r="B7692" s="6"/>
      <c r="C7692" s="6"/>
      <c r="D7692" s="6"/>
      <c r="E7692" s="6"/>
      <c r="G7692" s="3"/>
      <c r="H7692" s="2"/>
    </row>
    <row r="7693" spans="1:8" x14ac:dyDescent="0.25">
      <c r="A7693" s="5"/>
      <c r="B7693" s="6"/>
      <c r="C7693" s="6"/>
      <c r="D7693" s="6"/>
      <c r="E7693" s="6"/>
      <c r="G7693" s="1"/>
      <c r="H7693" s="2"/>
    </row>
    <row r="7694" spans="1:8" x14ac:dyDescent="0.25">
      <c r="A7694" s="5"/>
      <c r="B7694" s="6"/>
      <c r="C7694" s="6"/>
      <c r="D7694" s="6"/>
      <c r="E7694" s="6"/>
      <c r="G7694" s="3"/>
      <c r="H7694" s="2"/>
    </row>
    <row r="7695" spans="1:8" x14ac:dyDescent="0.25">
      <c r="A7695" s="5"/>
      <c r="B7695" s="6"/>
      <c r="C7695" s="6"/>
      <c r="D7695" s="6"/>
      <c r="E7695" s="6"/>
      <c r="G7695" s="1"/>
      <c r="H7695" s="2"/>
    </row>
    <row r="7696" spans="1:8" x14ac:dyDescent="0.25">
      <c r="A7696" s="5"/>
      <c r="B7696" s="6"/>
      <c r="C7696" s="6"/>
      <c r="D7696" s="6"/>
      <c r="E7696" s="6"/>
      <c r="G7696" s="3"/>
      <c r="H7696" s="2"/>
    </row>
    <row r="7697" spans="1:8" x14ac:dyDescent="0.25">
      <c r="A7697" s="5"/>
      <c r="B7697" s="6"/>
      <c r="C7697" s="6"/>
      <c r="D7697" s="6"/>
      <c r="E7697" s="6"/>
      <c r="G7697" s="1"/>
      <c r="H7697" s="2"/>
    </row>
    <row r="7698" spans="1:8" x14ac:dyDescent="0.25">
      <c r="A7698" s="5"/>
      <c r="B7698" s="6"/>
      <c r="C7698" s="6"/>
      <c r="D7698" s="6"/>
      <c r="E7698" s="6"/>
      <c r="G7698" s="3"/>
      <c r="H7698" s="2"/>
    </row>
    <row r="7699" spans="1:8" x14ac:dyDescent="0.25">
      <c r="A7699" s="5"/>
      <c r="B7699" s="6"/>
      <c r="C7699" s="6"/>
      <c r="D7699" s="6"/>
      <c r="E7699" s="6"/>
      <c r="G7699" s="1"/>
      <c r="H7699" s="2"/>
    </row>
    <row r="7700" spans="1:8" x14ac:dyDescent="0.25">
      <c r="A7700" s="5"/>
      <c r="B7700" s="6"/>
      <c r="C7700" s="6"/>
      <c r="D7700" s="6"/>
      <c r="E7700" s="6"/>
      <c r="G7700" s="3"/>
      <c r="H7700" s="2"/>
    </row>
    <row r="7701" spans="1:8" x14ac:dyDescent="0.25">
      <c r="A7701" s="5"/>
      <c r="B7701" s="6"/>
      <c r="C7701" s="6"/>
      <c r="D7701" s="6"/>
      <c r="E7701" s="6"/>
      <c r="G7701" s="1"/>
      <c r="H7701" s="2"/>
    </row>
    <row r="7702" spans="1:8" x14ac:dyDescent="0.25">
      <c r="A7702" s="5"/>
      <c r="B7702" s="6"/>
      <c r="C7702" s="6"/>
      <c r="D7702" s="6"/>
      <c r="E7702" s="6"/>
      <c r="G7702" s="3"/>
      <c r="H7702" s="2"/>
    </row>
    <row r="7703" spans="1:8" x14ac:dyDescent="0.25">
      <c r="A7703" s="5"/>
      <c r="B7703" s="6"/>
      <c r="C7703" s="6"/>
      <c r="D7703" s="6"/>
      <c r="E7703" s="6"/>
      <c r="G7703" s="1"/>
      <c r="H7703" s="2"/>
    </row>
    <row r="7704" spans="1:8" x14ac:dyDescent="0.25">
      <c r="A7704" s="5"/>
      <c r="B7704" s="6"/>
      <c r="C7704" s="6"/>
      <c r="D7704" s="6"/>
      <c r="E7704" s="6"/>
      <c r="G7704" s="3"/>
      <c r="H7704" s="2"/>
    </row>
    <row r="7705" spans="1:8" x14ac:dyDescent="0.25">
      <c r="A7705" s="5"/>
      <c r="B7705" s="6"/>
      <c r="C7705" s="6"/>
      <c r="D7705" s="6"/>
      <c r="E7705" s="6"/>
      <c r="G7705" s="1"/>
      <c r="H7705" s="2"/>
    </row>
    <row r="7706" spans="1:8" x14ac:dyDescent="0.25">
      <c r="A7706" s="5"/>
      <c r="B7706" s="6"/>
      <c r="C7706" s="6"/>
      <c r="D7706" s="6"/>
      <c r="E7706" s="6"/>
      <c r="G7706" s="3"/>
      <c r="H7706" s="2"/>
    </row>
    <row r="7707" spans="1:8" x14ac:dyDescent="0.25">
      <c r="A7707" s="5"/>
      <c r="B7707" s="6"/>
      <c r="C7707" s="6"/>
      <c r="D7707" s="6"/>
      <c r="E7707" s="6"/>
      <c r="G7707" s="1"/>
      <c r="H7707" s="2"/>
    </row>
    <row r="7708" spans="1:8" x14ac:dyDescent="0.25">
      <c r="A7708" s="5"/>
      <c r="B7708" s="6"/>
      <c r="C7708" s="6"/>
      <c r="D7708" s="6"/>
      <c r="E7708" s="6"/>
      <c r="G7708" s="3"/>
      <c r="H7708" s="2"/>
    </row>
    <row r="7709" spans="1:8" x14ac:dyDescent="0.25">
      <c r="A7709" s="5"/>
      <c r="B7709" s="6"/>
      <c r="C7709" s="6"/>
      <c r="D7709" s="6"/>
      <c r="E7709" s="6"/>
      <c r="G7709" s="1"/>
      <c r="H7709" s="2"/>
    </row>
    <row r="7710" spans="1:8" x14ac:dyDescent="0.25">
      <c r="A7710" s="5"/>
      <c r="B7710" s="6"/>
      <c r="C7710" s="6"/>
      <c r="D7710" s="6"/>
      <c r="E7710" s="6"/>
      <c r="G7710" s="3"/>
      <c r="H7710" s="2"/>
    </row>
    <row r="7711" spans="1:8" x14ac:dyDescent="0.25">
      <c r="A7711" s="5"/>
      <c r="B7711" s="6"/>
      <c r="C7711" s="6"/>
      <c r="D7711" s="6"/>
      <c r="E7711" s="6"/>
      <c r="G7711" s="1"/>
      <c r="H7711" s="2"/>
    </row>
    <row r="7712" spans="1:8" x14ac:dyDescent="0.25">
      <c r="A7712" s="5"/>
      <c r="B7712" s="6"/>
      <c r="C7712" s="6"/>
      <c r="D7712" s="6"/>
      <c r="E7712" s="6"/>
      <c r="G7712" s="3"/>
      <c r="H7712" s="2"/>
    </row>
    <row r="7713" spans="1:8" x14ac:dyDescent="0.25">
      <c r="A7713" s="5"/>
      <c r="B7713" s="6"/>
      <c r="C7713" s="6"/>
      <c r="D7713" s="6"/>
      <c r="E7713" s="6"/>
      <c r="G7713" s="1"/>
      <c r="H7713" s="2"/>
    </row>
    <row r="7714" spans="1:8" x14ac:dyDescent="0.25">
      <c r="A7714" s="5"/>
      <c r="B7714" s="6"/>
      <c r="C7714" s="6"/>
      <c r="D7714" s="6"/>
      <c r="E7714" s="6"/>
      <c r="G7714" s="3"/>
      <c r="H7714" s="2"/>
    </row>
    <row r="7715" spans="1:8" x14ac:dyDescent="0.25">
      <c r="A7715" s="5"/>
      <c r="B7715" s="6"/>
      <c r="C7715" s="6"/>
      <c r="D7715" s="6"/>
      <c r="E7715" s="6"/>
      <c r="G7715" s="1"/>
      <c r="H7715" s="2"/>
    </row>
    <row r="7716" spans="1:8" x14ac:dyDescent="0.25">
      <c r="A7716" s="5"/>
      <c r="B7716" s="6"/>
      <c r="C7716" s="6"/>
      <c r="D7716" s="6"/>
      <c r="E7716" s="6"/>
      <c r="G7716" s="3"/>
      <c r="H7716" s="2"/>
    </row>
    <row r="7717" spans="1:8" x14ac:dyDescent="0.25">
      <c r="A7717" s="5"/>
      <c r="B7717" s="6"/>
      <c r="C7717" s="6"/>
      <c r="D7717" s="6"/>
      <c r="E7717" s="6"/>
      <c r="G7717" s="1"/>
      <c r="H7717" s="2"/>
    </row>
    <row r="7718" spans="1:8" x14ac:dyDescent="0.25">
      <c r="A7718" s="5"/>
      <c r="B7718" s="6"/>
      <c r="C7718" s="6"/>
      <c r="D7718" s="6"/>
      <c r="E7718" s="6"/>
      <c r="G7718" s="3"/>
      <c r="H7718" s="2"/>
    </row>
    <row r="7719" spans="1:8" x14ac:dyDescent="0.25">
      <c r="A7719" s="5"/>
      <c r="B7719" s="6"/>
      <c r="C7719" s="6"/>
      <c r="D7719" s="6"/>
      <c r="E7719" s="6"/>
      <c r="G7719" s="1"/>
      <c r="H7719" s="2"/>
    </row>
    <row r="7720" spans="1:8" x14ac:dyDescent="0.25">
      <c r="A7720" s="5"/>
      <c r="B7720" s="6"/>
      <c r="C7720" s="6"/>
      <c r="D7720" s="6"/>
      <c r="E7720" s="6"/>
      <c r="G7720" s="3"/>
      <c r="H7720" s="2"/>
    </row>
    <row r="7721" spans="1:8" x14ac:dyDescent="0.25">
      <c r="A7721" s="5"/>
      <c r="B7721" s="6"/>
      <c r="C7721" s="6"/>
      <c r="D7721" s="6"/>
      <c r="E7721" s="6"/>
      <c r="G7721" s="1"/>
      <c r="H7721" s="2"/>
    </row>
    <row r="7722" spans="1:8" x14ac:dyDescent="0.25">
      <c r="A7722" s="5"/>
      <c r="B7722" s="6"/>
      <c r="C7722" s="6"/>
      <c r="D7722" s="6"/>
      <c r="E7722" s="6"/>
      <c r="G7722" s="3"/>
      <c r="H7722" s="2"/>
    </row>
    <row r="7723" spans="1:8" x14ac:dyDescent="0.25">
      <c r="A7723" s="5"/>
      <c r="B7723" s="6"/>
      <c r="C7723" s="6"/>
      <c r="D7723" s="6"/>
      <c r="E7723" s="6"/>
      <c r="G7723" s="1"/>
      <c r="H7723" s="2"/>
    </row>
    <row r="7724" spans="1:8" x14ac:dyDescent="0.25">
      <c r="A7724" s="5"/>
      <c r="B7724" s="6"/>
      <c r="C7724" s="6"/>
      <c r="D7724" s="6"/>
      <c r="E7724" s="6"/>
      <c r="G7724" s="3"/>
      <c r="H7724" s="2"/>
    </row>
    <row r="7725" spans="1:8" x14ac:dyDescent="0.25">
      <c r="A7725" s="5"/>
      <c r="B7725" s="6"/>
      <c r="C7725" s="6"/>
      <c r="D7725" s="6"/>
      <c r="E7725" s="6"/>
      <c r="G7725" s="1"/>
      <c r="H7725" s="2"/>
    </row>
    <row r="7726" spans="1:8" x14ac:dyDescent="0.25">
      <c r="A7726" s="5"/>
      <c r="B7726" s="6"/>
      <c r="C7726" s="6"/>
      <c r="D7726" s="6"/>
      <c r="E7726" s="6"/>
      <c r="G7726" s="3"/>
      <c r="H7726" s="2"/>
    </row>
    <row r="7727" spans="1:8" x14ac:dyDescent="0.25">
      <c r="A7727" s="5"/>
      <c r="B7727" s="6"/>
      <c r="C7727" s="6"/>
      <c r="D7727" s="6"/>
      <c r="E7727" s="6"/>
      <c r="G7727" s="1"/>
      <c r="H7727" s="2"/>
    </row>
    <row r="7728" spans="1:8" x14ac:dyDescent="0.25">
      <c r="A7728" s="5"/>
      <c r="B7728" s="6"/>
      <c r="C7728" s="6"/>
      <c r="D7728" s="6"/>
      <c r="E7728" s="6"/>
      <c r="G7728" s="3"/>
      <c r="H7728" s="2"/>
    </row>
    <row r="7729" spans="1:8" x14ac:dyDescent="0.25">
      <c r="A7729" s="5"/>
      <c r="B7729" s="6"/>
      <c r="C7729" s="6"/>
      <c r="D7729" s="6"/>
      <c r="E7729" s="6"/>
      <c r="G7729" s="1"/>
      <c r="H7729" s="2"/>
    </row>
    <row r="7730" spans="1:8" x14ac:dyDescent="0.25">
      <c r="A7730" s="5"/>
      <c r="B7730" s="6"/>
      <c r="C7730" s="6"/>
      <c r="D7730" s="6"/>
      <c r="E7730" s="6"/>
      <c r="G7730" s="3"/>
      <c r="H7730" s="2"/>
    </row>
    <row r="7731" spans="1:8" x14ac:dyDescent="0.25">
      <c r="A7731" s="5"/>
      <c r="B7731" s="6"/>
      <c r="C7731" s="6"/>
      <c r="D7731" s="6"/>
      <c r="E7731" s="6"/>
      <c r="G7731" s="1"/>
      <c r="H7731" s="2"/>
    </row>
    <row r="7732" spans="1:8" x14ac:dyDescent="0.25">
      <c r="A7732" s="5"/>
      <c r="B7732" s="6"/>
      <c r="C7732" s="6"/>
      <c r="D7732" s="6"/>
      <c r="E7732" s="6"/>
      <c r="G7732" s="3"/>
      <c r="H7732" s="2"/>
    </row>
    <row r="7733" spans="1:8" x14ac:dyDescent="0.25">
      <c r="A7733" s="5"/>
      <c r="B7733" s="6"/>
      <c r="C7733" s="6"/>
      <c r="D7733" s="6"/>
      <c r="E7733" s="6"/>
      <c r="G7733" s="1"/>
      <c r="H7733" s="2"/>
    </row>
    <row r="7734" spans="1:8" x14ac:dyDescent="0.25">
      <c r="A7734" s="5"/>
      <c r="B7734" s="6"/>
      <c r="C7734" s="6"/>
      <c r="D7734" s="6"/>
      <c r="E7734" s="6"/>
      <c r="G7734" s="3"/>
      <c r="H7734" s="2"/>
    </row>
    <row r="7735" spans="1:8" x14ac:dyDescent="0.25">
      <c r="A7735" s="5"/>
      <c r="B7735" s="6"/>
      <c r="C7735" s="6"/>
      <c r="D7735" s="6"/>
      <c r="E7735" s="6"/>
      <c r="G7735" s="1"/>
      <c r="H7735" s="2"/>
    </row>
    <row r="7736" spans="1:8" x14ac:dyDescent="0.25">
      <c r="A7736" s="5"/>
      <c r="B7736" s="6"/>
      <c r="C7736" s="6"/>
      <c r="D7736" s="6"/>
      <c r="E7736" s="6"/>
      <c r="G7736" s="3"/>
      <c r="H7736" s="2"/>
    </row>
    <row r="7737" spans="1:8" x14ac:dyDescent="0.25">
      <c r="A7737" s="5"/>
      <c r="B7737" s="6"/>
      <c r="C7737" s="6"/>
      <c r="D7737" s="6"/>
      <c r="E7737" s="6"/>
      <c r="G7737" s="1"/>
      <c r="H7737" s="2"/>
    </row>
    <row r="7738" spans="1:8" x14ac:dyDescent="0.25">
      <c r="A7738" s="5"/>
      <c r="B7738" s="6"/>
      <c r="C7738" s="6"/>
      <c r="D7738" s="6"/>
      <c r="E7738" s="6"/>
      <c r="G7738" s="3"/>
      <c r="H7738" s="2"/>
    </row>
    <row r="7739" spans="1:8" x14ac:dyDescent="0.25">
      <c r="A7739" s="5"/>
      <c r="B7739" s="6"/>
      <c r="C7739" s="6"/>
      <c r="D7739" s="6"/>
      <c r="E7739" s="6"/>
      <c r="G7739" s="1"/>
      <c r="H7739" s="2"/>
    </row>
    <row r="7740" spans="1:8" x14ac:dyDescent="0.25">
      <c r="A7740" s="5"/>
      <c r="B7740" s="6"/>
      <c r="C7740" s="6"/>
      <c r="D7740" s="6"/>
      <c r="E7740" s="6"/>
      <c r="G7740" s="3"/>
      <c r="H7740" s="2"/>
    </row>
    <row r="7741" spans="1:8" x14ac:dyDescent="0.25">
      <c r="A7741" s="5"/>
      <c r="B7741" s="6"/>
      <c r="C7741" s="6"/>
      <c r="D7741" s="6"/>
      <c r="E7741" s="6"/>
      <c r="G7741" s="1"/>
      <c r="H7741" s="2"/>
    </row>
    <row r="7742" spans="1:8" x14ac:dyDescent="0.25">
      <c r="A7742" s="5"/>
      <c r="B7742" s="6"/>
      <c r="C7742" s="6"/>
      <c r="D7742" s="6"/>
      <c r="E7742" s="6"/>
      <c r="G7742" s="3"/>
      <c r="H7742" s="2"/>
    </row>
    <row r="7743" spans="1:8" x14ac:dyDescent="0.25">
      <c r="A7743" s="5"/>
      <c r="B7743" s="6"/>
      <c r="C7743" s="6"/>
      <c r="D7743" s="6"/>
      <c r="E7743" s="6"/>
      <c r="G7743" s="1"/>
      <c r="H7743" s="2"/>
    </row>
    <row r="7744" spans="1:8" x14ac:dyDescent="0.25">
      <c r="A7744" s="5"/>
      <c r="B7744" s="6"/>
      <c r="C7744" s="6"/>
      <c r="D7744" s="6"/>
      <c r="E7744" s="6"/>
      <c r="G7744" s="3"/>
      <c r="H7744" s="2"/>
    </row>
    <row r="7745" spans="1:8" x14ac:dyDescent="0.25">
      <c r="A7745" s="5"/>
      <c r="B7745" s="6"/>
      <c r="C7745" s="6"/>
      <c r="D7745" s="6"/>
      <c r="E7745" s="6"/>
      <c r="G7745" s="1"/>
      <c r="H7745" s="2"/>
    </row>
    <row r="7746" spans="1:8" x14ac:dyDescent="0.25">
      <c r="A7746" s="5"/>
      <c r="B7746" s="6"/>
      <c r="C7746" s="6"/>
      <c r="D7746" s="6"/>
      <c r="E7746" s="6"/>
      <c r="G7746" s="3"/>
      <c r="H7746" s="2"/>
    </row>
    <row r="7747" spans="1:8" x14ac:dyDescent="0.25">
      <c r="A7747" s="5"/>
      <c r="B7747" s="6"/>
      <c r="C7747" s="6"/>
      <c r="D7747" s="6"/>
      <c r="E7747" s="6"/>
      <c r="G7747" s="1"/>
      <c r="H7747" s="2"/>
    </row>
    <row r="7748" spans="1:8" x14ac:dyDescent="0.25">
      <c r="A7748" s="5"/>
      <c r="B7748" s="6"/>
      <c r="C7748" s="6"/>
      <c r="D7748" s="6"/>
      <c r="E7748" s="6"/>
      <c r="G7748" s="3"/>
      <c r="H7748" s="2"/>
    </row>
    <row r="7749" spans="1:8" x14ac:dyDescent="0.25">
      <c r="A7749" s="5"/>
      <c r="B7749" s="6"/>
      <c r="C7749" s="6"/>
      <c r="D7749" s="6"/>
      <c r="E7749" s="6"/>
      <c r="G7749" s="1"/>
      <c r="H7749" s="2"/>
    </row>
    <row r="7750" spans="1:8" x14ac:dyDescent="0.25">
      <c r="A7750" s="5"/>
      <c r="B7750" s="6"/>
      <c r="C7750" s="6"/>
      <c r="D7750" s="6"/>
      <c r="E7750" s="6"/>
      <c r="G7750" s="3"/>
      <c r="H7750" s="2"/>
    </row>
    <row r="7751" spans="1:8" x14ac:dyDescent="0.25">
      <c r="A7751" s="5"/>
      <c r="B7751" s="6"/>
      <c r="C7751" s="6"/>
      <c r="D7751" s="6"/>
      <c r="E7751" s="6"/>
      <c r="G7751" s="1"/>
      <c r="H7751" s="2"/>
    </row>
    <row r="7752" spans="1:8" x14ac:dyDescent="0.25">
      <c r="A7752" s="5"/>
      <c r="B7752" s="6"/>
      <c r="C7752" s="6"/>
      <c r="D7752" s="6"/>
      <c r="E7752" s="6"/>
      <c r="G7752" s="3"/>
      <c r="H7752" s="2"/>
    </row>
    <row r="7753" spans="1:8" x14ac:dyDescent="0.25">
      <c r="A7753" s="5"/>
      <c r="B7753" s="6"/>
      <c r="C7753" s="6"/>
      <c r="D7753" s="6"/>
      <c r="E7753" s="6"/>
      <c r="G7753" s="1"/>
      <c r="H7753" s="2"/>
    </row>
    <row r="7754" spans="1:8" x14ac:dyDescent="0.25">
      <c r="A7754" s="5"/>
      <c r="B7754" s="6"/>
      <c r="C7754" s="6"/>
      <c r="D7754" s="6"/>
      <c r="E7754" s="6"/>
      <c r="G7754" s="3"/>
      <c r="H7754" s="2"/>
    </row>
    <row r="7755" spans="1:8" x14ac:dyDescent="0.25">
      <c r="A7755" s="5"/>
      <c r="B7755" s="6"/>
      <c r="C7755" s="6"/>
      <c r="D7755" s="6"/>
      <c r="E7755" s="6"/>
      <c r="G7755" s="1"/>
      <c r="H7755" s="2"/>
    </row>
    <row r="7756" spans="1:8" x14ac:dyDescent="0.25">
      <c r="A7756" s="5"/>
      <c r="B7756" s="6"/>
      <c r="C7756" s="6"/>
      <c r="D7756" s="6"/>
      <c r="E7756" s="6"/>
      <c r="G7756" s="3"/>
      <c r="H7756" s="2"/>
    </row>
    <row r="7757" spans="1:8" x14ac:dyDescent="0.25">
      <c r="A7757" s="5"/>
      <c r="B7757" s="6"/>
      <c r="C7757" s="6"/>
      <c r="D7757" s="6"/>
      <c r="E7757" s="6"/>
      <c r="G7757" s="1"/>
      <c r="H7757" s="2"/>
    </row>
    <row r="7758" spans="1:8" x14ac:dyDescent="0.25">
      <c r="A7758" s="5"/>
      <c r="B7758" s="6"/>
      <c r="C7758" s="6"/>
      <c r="D7758" s="6"/>
      <c r="E7758" s="6"/>
      <c r="G7758" s="3"/>
      <c r="H7758" s="2"/>
    </row>
    <row r="7759" spans="1:8" x14ac:dyDescent="0.25">
      <c r="A7759" s="5"/>
      <c r="B7759" s="6"/>
      <c r="C7759" s="6"/>
      <c r="D7759" s="6"/>
      <c r="E7759" s="6"/>
      <c r="G7759" s="1"/>
      <c r="H7759" s="2"/>
    </row>
    <row r="7760" spans="1:8" x14ac:dyDescent="0.25">
      <c r="A7760" s="5"/>
      <c r="B7760" s="6"/>
      <c r="C7760" s="6"/>
      <c r="D7760" s="6"/>
      <c r="E7760" s="6"/>
      <c r="G7760" s="3"/>
      <c r="H7760" s="2"/>
    </row>
    <row r="7761" spans="1:8" x14ac:dyDescent="0.25">
      <c r="A7761" s="5"/>
      <c r="B7761" s="6"/>
      <c r="C7761" s="6"/>
      <c r="D7761" s="6"/>
      <c r="E7761" s="6"/>
      <c r="G7761" s="1"/>
      <c r="H7761" s="2"/>
    </row>
    <row r="7762" spans="1:8" x14ac:dyDescent="0.25">
      <c r="A7762" s="5"/>
      <c r="B7762" s="6"/>
      <c r="C7762" s="6"/>
      <c r="D7762" s="6"/>
      <c r="E7762" s="6"/>
      <c r="G7762" s="3"/>
      <c r="H7762" s="2"/>
    </row>
    <row r="7763" spans="1:8" x14ac:dyDescent="0.25">
      <c r="A7763" s="5"/>
      <c r="B7763" s="6"/>
      <c r="C7763" s="6"/>
      <c r="D7763" s="6"/>
      <c r="E7763" s="6"/>
      <c r="G7763" s="1"/>
      <c r="H7763" s="2"/>
    </row>
    <row r="7764" spans="1:8" x14ac:dyDescent="0.25">
      <c r="A7764" s="5"/>
      <c r="B7764" s="6"/>
      <c r="C7764" s="6"/>
      <c r="D7764" s="6"/>
      <c r="E7764" s="6"/>
      <c r="G7764" s="3"/>
      <c r="H7764" s="2"/>
    </row>
    <row r="7765" spans="1:8" x14ac:dyDescent="0.25">
      <c r="A7765" s="5"/>
      <c r="B7765" s="6"/>
      <c r="C7765" s="6"/>
      <c r="D7765" s="6"/>
      <c r="E7765" s="6"/>
      <c r="G7765" s="1"/>
      <c r="H7765" s="2"/>
    </row>
    <row r="7766" spans="1:8" x14ac:dyDescent="0.25">
      <c r="A7766" s="5"/>
      <c r="B7766" s="6"/>
      <c r="C7766" s="6"/>
      <c r="D7766" s="6"/>
      <c r="E7766" s="6"/>
      <c r="G7766" s="3"/>
      <c r="H7766" s="2"/>
    </row>
    <row r="7767" spans="1:8" x14ac:dyDescent="0.25">
      <c r="A7767" s="5"/>
      <c r="B7767" s="6"/>
      <c r="C7767" s="6"/>
      <c r="D7767" s="6"/>
      <c r="E7767" s="6"/>
      <c r="G7767" s="1"/>
      <c r="H7767" s="2"/>
    </row>
    <row r="7768" spans="1:8" x14ac:dyDescent="0.25">
      <c r="A7768" s="5"/>
      <c r="B7768" s="6"/>
      <c r="C7768" s="6"/>
      <c r="D7768" s="6"/>
      <c r="E7768" s="6"/>
      <c r="G7768" s="3"/>
      <c r="H7768" s="2"/>
    </row>
    <row r="7769" spans="1:8" x14ac:dyDescent="0.25">
      <c r="A7769" s="5"/>
      <c r="B7769" s="6"/>
      <c r="C7769" s="6"/>
      <c r="D7769" s="6"/>
      <c r="E7769" s="6"/>
      <c r="G7769" s="1"/>
      <c r="H7769" s="2"/>
    </row>
    <row r="7770" spans="1:8" x14ac:dyDescent="0.25">
      <c r="A7770" s="5"/>
      <c r="B7770" s="6"/>
      <c r="C7770" s="6"/>
      <c r="D7770" s="6"/>
      <c r="E7770" s="6"/>
      <c r="G7770" s="3"/>
      <c r="H7770" s="2"/>
    </row>
    <row r="7771" spans="1:8" x14ac:dyDescent="0.25">
      <c r="A7771" s="5"/>
      <c r="B7771" s="6"/>
      <c r="C7771" s="6"/>
      <c r="D7771" s="6"/>
      <c r="E7771" s="6"/>
      <c r="G7771" s="1"/>
      <c r="H7771" s="2"/>
    </row>
    <row r="7772" spans="1:8" x14ac:dyDescent="0.25">
      <c r="A7772" s="5"/>
      <c r="B7772" s="6"/>
      <c r="C7772" s="6"/>
      <c r="D7772" s="6"/>
      <c r="E7772" s="6"/>
      <c r="G7772" s="3"/>
      <c r="H7772" s="2"/>
    </row>
    <row r="7773" spans="1:8" x14ac:dyDescent="0.25">
      <c r="A7773" s="5"/>
      <c r="B7773" s="6"/>
      <c r="C7773" s="6"/>
      <c r="D7773" s="6"/>
      <c r="E7773" s="6"/>
      <c r="G7773" s="1"/>
      <c r="H7773" s="2"/>
    </row>
    <row r="7774" spans="1:8" x14ac:dyDescent="0.25">
      <c r="A7774" s="5"/>
      <c r="B7774" s="6"/>
      <c r="C7774" s="6"/>
      <c r="D7774" s="6"/>
      <c r="E7774" s="6"/>
      <c r="G7774" s="3"/>
      <c r="H7774" s="2"/>
    </row>
    <row r="7775" spans="1:8" x14ac:dyDescent="0.25">
      <c r="A7775" s="5"/>
      <c r="B7775" s="6"/>
      <c r="C7775" s="6"/>
      <c r="D7775" s="6"/>
      <c r="E7775" s="6"/>
      <c r="G7775" s="1"/>
      <c r="H7775" s="2"/>
    </row>
    <row r="7776" spans="1:8" x14ac:dyDescent="0.25">
      <c r="A7776" s="5"/>
      <c r="B7776" s="6"/>
      <c r="C7776" s="6"/>
      <c r="D7776" s="6"/>
      <c r="E7776" s="6"/>
      <c r="G7776" s="3"/>
      <c r="H7776" s="2"/>
    </row>
    <row r="7777" spans="1:8" x14ac:dyDescent="0.25">
      <c r="A7777" s="5"/>
      <c r="B7777" s="6"/>
      <c r="C7777" s="6"/>
      <c r="D7777" s="6"/>
      <c r="E7777" s="6"/>
      <c r="G7777" s="1"/>
      <c r="H7777" s="2"/>
    </row>
    <row r="7778" spans="1:8" x14ac:dyDescent="0.25">
      <c r="A7778" s="5"/>
      <c r="B7778" s="6"/>
      <c r="C7778" s="6"/>
      <c r="D7778" s="6"/>
      <c r="E7778" s="6"/>
      <c r="G7778" s="3"/>
      <c r="H7778" s="2"/>
    </row>
    <row r="7779" spans="1:8" x14ac:dyDescent="0.25">
      <c r="A7779" s="5"/>
      <c r="B7779" s="6"/>
      <c r="C7779" s="6"/>
      <c r="D7779" s="6"/>
      <c r="E7779" s="6"/>
      <c r="G7779" s="1"/>
      <c r="H7779" s="2"/>
    </row>
    <row r="7780" spans="1:8" x14ac:dyDescent="0.25">
      <c r="A7780" s="5"/>
      <c r="B7780" s="6"/>
      <c r="C7780" s="6"/>
      <c r="D7780" s="6"/>
      <c r="E7780" s="6"/>
      <c r="G7780" s="3"/>
      <c r="H7780" s="2"/>
    </row>
    <row r="7781" spans="1:8" x14ac:dyDescent="0.25">
      <c r="A7781" s="5"/>
      <c r="B7781" s="6"/>
      <c r="C7781" s="6"/>
      <c r="D7781" s="6"/>
      <c r="E7781" s="6"/>
      <c r="G7781" s="1"/>
      <c r="H7781" s="2"/>
    </row>
    <row r="7782" spans="1:8" x14ac:dyDescent="0.25">
      <c r="A7782" s="5"/>
      <c r="B7782" s="6"/>
      <c r="C7782" s="6"/>
      <c r="D7782" s="6"/>
      <c r="E7782" s="6"/>
      <c r="G7782" s="3"/>
      <c r="H7782" s="2"/>
    </row>
    <row r="7783" spans="1:8" x14ac:dyDescent="0.25">
      <c r="A7783" s="5"/>
      <c r="B7783" s="6"/>
      <c r="C7783" s="6"/>
      <c r="D7783" s="6"/>
      <c r="E7783" s="6"/>
      <c r="G7783" s="1"/>
      <c r="H7783" s="2"/>
    </row>
    <row r="7784" spans="1:8" x14ac:dyDescent="0.25">
      <c r="A7784" s="5"/>
      <c r="B7784" s="6"/>
      <c r="C7784" s="6"/>
      <c r="D7784" s="6"/>
      <c r="E7784" s="6"/>
      <c r="G7784" s="3"/>
      <c r="H7784" s="2"/>
    </row>
    <row r="7785" spans="1:8" x14ac:dyDescent="0.25">
      <c r="A7785" s="5"/>
      <c r="B7785" s="6"/>
      <c r="C7785" s="6"/>
      <c r="D7785" s="6"/>
      <c r="E7785" s="6"/>
      <c r="G7785" s="1"/>
      <c r="H7785" s="2"/>
    </row>
    <row r="7786" spans="1:8" x14ac:dyDescent="0.25">
      <c r="A7786" s="5"/>
      <c r="B7786" s="6"/>
      <c r="C7786" s="6"/>
      <c r="D7786" s="6"/>
      <c r="E7786" s="6"/>
      <c r="G7786" s="3"/>
      <c r="H7786" s="2"/>
    </row>
    <row r="7787" spans="1:8" x14ac:dyDescent="0.25">
      <c r="A7787" s="5"/>
      <c r="B7787" s="6"/>
      <c r="C7787" s="6"/>
      <c r="D7787" s="6"/>
      <c r="E7787" s="6"/>
      <c r="G7787" s="1"/>
      <c r="H7787" s="2"/>
    </row>
    <row r="7788" spans="1:8" x14ac:dyDescent="0.25">
      <c r="A7788" s="5"/>
      <c r="B7788" s="6"/>
      <c r="C7788" s="6"/>
      <c r="D7788" s="6"/>
      <c r="E7788" s="6"/>
      <c r="G7788" s="3"/>
      <c r="H7788" s="2"/>
    </row>
    <row r="7789" spans="1:8" x14ac:dyDescent="0.25">
      <c r="A7789" s="5"/>
      <c r="B7789" s="6"/>
      <c r="C7789" s="6"/>
      <c r="D7789" s="6"/>
      <c r="E7789" s="6"/>
      <c r="G7789" s="1"/>
      <c r="H7789" s="2"/>
    </row>
    <row r="7790" spans="1:8" x14ac:dyDescent="0.25">
      <c r="A7790" s="5"/>
      <c r="B7790" s="6"/>
      <c r="C7790" s="6"/>
      <c r="D7790" s="6"/>
      <c r="E7790" s="6"/>
      <c r="G7790" s="3"/>
      <c r="H7790" s="2"/>
    </row>
    <row r="7791" spans="1:8" x14ac:dyDescent="0.25">
      <c r="A7791" s="5"/>
      <c r="B7791" s="6"/>
      <c r="C7791" s="6"/>
      <c r="D7791" s="6"/>
      <c r="E7791" s="6"/>
      <c r="G7791" s="1"/>
      <c r="H7791" s="2"/>
    </row>
    <row r="7792" spans="1:8" x14ac:dyDescent="0.25">
      <c r="A7792" s="5"/>
      <c r="B7792" s="6"/>
      <c r="C7792" s="6"/>
      <c r="D7792" s="6"/>
      <c r="E7792" s="6"/>
      <c r="G7792" s="3"/>
      <c r="H7792" s="2"/>
    </row>
    <row r="7793" spans="1:8" x14ac:dyDescent="0.25">
      <c r="A7793" s="5"/>
      <c r="B7793" s="6"/>
      <c r="C7793" s="6"/>
      <c r="D7793" s="6"/>
      <c r="E7793" s="6"/>
      <c r="G7793" s="1"/>
      <c r="H7793" s="2"/>
    </row>
    <row r="7794" spans="1:8" x14ac:dyDescent="0.25">
      <c r="A7794" s="5"/>
      <c r="B7794" s="6"/>
      <c r="C7794" s="6"/>
      <c r="D7794" s="6"/>
      <c r="E7794" s="6"/>
      <c r="G7794" s="3"/>
      <c r="H7794" s="2"/>
    </row>
    <row r="7795" spans="1:8" x14ac:dyDescent="0.25">
      <c r="A7795" s="5"/>
      <c r="B7795" s="6"/>
      <c r="C7795" s="6"/>
      <c r="D7795" s="6"/>
      <c r="E7795" s="6"/>
      <c r="G7795" s="1"/>
      <c r="H7795" s="2"/>
    </row>
    <row r="7796" spans="1:8" x14ac:dyDescent="0.25">
      <c r="A7796" s="5"/>
      <c r="B7796" s="6"/>
      <c r="C7796" s="6"/>
      <c r="D7796" s="6"/>
      <c r="E7796" s="6"/>
      <c r="G7796" s="3"/>
      <c r="H7796" s="2"/>
    </row>
    <row r="7797" spans="1:8" x14ac:dyDescent="0.25">
      <c r="A7797" s="5"/>
      <c r="B7797" s="6"/>
      <c r="C7797" s="6"/>
      <c r="D7797" s="6"/>
      <c r="E7797" s="6"/>
      <c r="G7797" s="1"/>
      <c r="H7797" s="2"/>
    </row>
    <row r="7798" spans="1:8" x14ac:dyDescent="0.25">
      <c r="A7798" s="5"/>
      <c r="B7798" s="6"/>
      <c r="C7798" s="6"/>
      <c r="D7798" s="6"/>
      <c r="E7798" s="6"/>
      <c r="G7798" s="3"/>
      <c r="H7798" s="2"/>
    </row>
    <row r="7799" spans="1:8" x14ac:dyDescent="0.25">
      <c r="A7799" s="5"/>
      <c r="B7799" s="6"/>
      <c r="C7799" s="6"/>
      <c r="D7799" s="6"/>
      <c r="E7799" s="6"/>
      <c r="G7799" s="1"/>
      <c r="H7799" s="2"/>
    </row>
    <row r="7800" spans="1:8" x14ac:dyDescent="0.25">
      <c r="A7800" s="5"/>
      <c r="B7800" s="6"/>
      <c r="C7800" s="6"/>
      <c r="D7800" s="6"/>
      <c r="E7800" s="6"/>
      <c r="G7800" s="3"/>
      <c r="H7800" s="2"/>
    </row>
    <row r="7801" spans="1:8" x14ac:dyDescent="0.25">
      <c r="A7801" s="5"/>
      <c r="B7801" s="6"/>
      <c r="C7801" s="6"/>
      <c r="D7801" s="6"/>
      <c r="E7801" s="6"/>
      <c r="G7801" s="1"/>
      <c r="H7801" s="2"/>
    </row>
    <row r="7802" spans="1:8" x14ac:dyDescent="0.25">
      <c r="A7802" s="5"/>
      <c r="B7802" s="6"/>
      <c r="C7802" s="6"/>
      <c r="D7802" s="6"/>
      <c r="E7802" s="6"/>
      <c r="G7802" s="3"/>
      <c r="H7802" s="2"/>
    </row>
    <row r="7803" spans="1:8" x14ac:dyDescent="0.25">
      <c r="A7803" s="5"/>
      <c r="B7803" s="6"/>
      <c r="C7803" s="6"/>
      <c r="D7803" s="6"/>
      <c r="E7803" s="6"/>
      <c r="G7803" s="1"/>
      <c r="H7803" s="2"/>
    </row>
    <row r="7804" spans="1:8" x14ac:dyDescent="0.25">
      <c r="A7804" s="5"/>
      <c r="B7804" s="6"/>
      <c r="C7804" s="6"/>
      <c r="D7804" s="6"/>
      <c r="E7804" s="6"/>
      <c r="G7804" s="3"/>
      <c r="H7804" s="2"/>
    </row>
    <row r="7805" spans="1:8" x14ac:dyDescent="0.25">
      <c r="A7805" s="5"/>
      <c r="B7805" s="6"/>
      <c r="C7805" s="6"/>
      <c r="D7805" s="6"/>
      <c r="E7805" s="6"/>
      <c r="G7805" s="1"/>
      <c r="H7805" s="2"/>
    </row>
    <row r="7806" spans="1:8" x14ac:dyDescent="0.25">
      <c r="A7806" s="5"/>
      <c r="B7806" s="6"/>
      <c r="C7806" s="6"/>
      <c r="D7806" s="6"/>
      <c r="E7806" s="6"/>
      <c r="G7806" s="3"/>
      <c r="H7806" s="2"/>
    </row>
    <row r="7807" spans="1:8" x14ac:dyDescent="0.25">
      <c r="A7807" s="5"/>
      <c r="B7807" s="6"/>
      <c r="C7807" s="6"/>
      <c r="D7807" s="6"/>
      <c r="E7807" s="6"/>
      <c r="G7807" s="1"/>
      <c r="H7807" s="2"/>
    </row>
    <row r="7808" spans="1:8" x14ac:dyDescent="0.25">
      <c r="A7808" s="5"/>
      <c r="B7808" s="6"/>
      <c r="C7808" s="6"/>
      <c r="D7808" s="6"/>
      <c r="E7808" s="6"/>
      <c r="G7808" s="3"/>
      <c r="H7808" s="2"/>
    </row>
    <row r="7809" spans="1:8" x14ac:dyDescent="0.25">
      <c r="A7809" s="5"/>
      <c r="B7809" s="6"/>
      <c r="C7809" s="6"/>
      <c r="D7809" s="6"/>
      <c r="E7809" s="6"/>
      <c r="G7809" s="1"/>
      <c r="H7809" s="2"/>
    </row>
    <row r="7810" spans="1:8" x14ac:dyDescent="0.25">
      <c r="A7810" s="5"/>
      <c r="B7810" s="6"/>
      <c r="C7810" s="6"/>
      <c r="D7810" s="6"/>
      <c r="E7810" s="6"/>
      <c r="G7810" s="3"/>
      <c r="H7810" s="2"/>
    </row>
    <row r="7811" spans="1:8" x14ac:dyDescent="0.25">
      <c r="A7811" s="5"/>
      <c r="B7811" s="6"/>
      <c r="C7811" s="6"/>
      <c r="D7811" s="6"/>
      <c r="E7811" s="6"/>
      <c r="G7811" s="1"/>
      <c r="H7811" s="2"/>
    </row>
    <row r="7812" spans="1:8" x14ac:dyDescent="0.25">
      <c r="A7812" s="5"/>
      <c r="B7812" s="6"/>
      <c r="C7812" s="6"/>
      <c r="D7812" s="6"/>
      <c r="E7812" s="6"/>
      <c r="G7812" s="3"/>
      <c r="H7812" s="2"/>
    </row>
    <row r="7813" spans="1:8" x14ac:dyDescent="0.25">
      <c r="A7813" s="5"/>
      <c r="B7813" s="6"/>
      <c r="C7813" s="6"/>
      <c r="D7813" s="6"/>
      <c r="E7813" s="6"/>
      <c r="G7813" s="1"/>
      <c r="H7813" s="2"/>
    </row>
    <row r="7814" spans="1:8" x14ac:dyDescent="0.25">
      <c r="A7814" s="5"/>
      <c r="B7814" s="6"/>
      <c r="C7814" s="6"/>
      <c r="D7814" s="6"/>
      <c r="E7814" s="6"/>
      <c r="G7814" s="3"/>
      <c r="H7814" s="2"/>
    </row>
    <row r="7815" spans="1:8" x14ac:dyDescent="0.25">
      <c r="A7815" s="5"/>
      <c r="B7815" s="6"/>
      <c r="C7815" s="6"/>
      <c r="D7815" s="6"/>
      <c r="E7815" s="6"/>
      <c r="G7815" s="1"/>
      <c r="H7815" s="2"/>
    </row>
    <row r="7816" spans="1:8" x14ac:dyDescent="0.25">
      <c r="A7816" s="5"/>
      <c r="B7816" s="6"/>
      <c r="C7816" s="6"/>
      <c r="D7816" s="6"/>
      <c r="E7816" s="6"/>
      <c r="G7816" s="3"/>
      <c r="H7816" s="2"/>
    </row>
    <row r="7817" spans="1:8" x14ac:dyDescent="0.25">
      <c r="A7817" s="5"/>
      <c r="B7817" s="6"/>
      <c r="C7817" s="6"/>
      <c r="D7817" s="6"/>
      <c r="E7817" s="6"/>
      <c r="G7817" s="1"/>
      <c r="H7817" s="2"/>
    </row>
    <row r="7818" spans="1:8" x14ac:dyDescent="0.25">
      <c r="A7818" s="5"/>
      <c r="B7818" s="6"/>
      <c r="C7818" s="6"/>
      <c r="D7818" s="6"/>
      <c r="E7818" s="6"/>
      <c r="G7818" s="3"/>
      <c r="H7818" s="2"/>
    </row>
    <row r="7819" spans="1:8" x14ac:dyDescent="0.25">
      <c r="A7819" s="5"/>
      <c r="B7819" s="6"/>
      <c r="C7819" s="6"/>
      <c r="D7819" s="6"/>
      <c r="E7819" s="6"/>
      <c r="G7819" s="1"/>
      <c r="H7819" s="2"/>
    </row>
    <row r="7820" spans="1:8" x14ac:dyDescent="0.25">
      <c r="A7820" s="5"/>
      <c r="B7820" s="6"/>
      <c r="C7820" s="6"/>
      <c r="D7820" s="6"/>
      <c r="E7820" s="6"/>
      <c r="G7820" s="3"/>
      <c r="H7820" s="2"/>
    </row>
    <row r="7821" spans="1:8" x14ac:dyDescent="0.25">
      <c r="A7821" s="5"/>
      <c r="B7821" s="6"/>
      <c r="C7821" s="6"/>
      <c r="D7821" s="6"/>
      <c r="E7821" s="6"/>
      <c r="G7821" s="1"/>
      <c r="H7821" s="2"/>
    </row>
    <row r="7822" spans="1:8" x14ac:dyDescent="0.25">
      <c r="A7822" s="5"/>
      <c r="B7822" s="6"/>
      <c r="C7822" s="6"/>
      <c r="D7822" s="6"/>
      <c r="E7822" s="6"/>
      <c r="G7822" s="3"/>
      <c r="H7822" s="2"/>
    </row>
    <row r="7823" spans="1:8" x14ac:dyDescent="0.25">
      <c r="A7823" s="5"/>
      <c r="B7823" s="6"/>
      <c r="C7823" s="6"/>
      <c r="D7823" s="6"/>
      <c r="E7823" s="6"/>
      <c r="G7823" s="1"/>
      <c r="H7823" s="2"/>
    </row>
    <row r="7824" spans="1:8" x14ac:dyDescent="0.25">
      <c r="A7824" s="5"/>
      <c r="B7824" s="6"/>
      <c r="C7824" s="6"/>
      <c r="D7824" s="6"/>
      <c r="E7824" s="6"/>
      <c r="G7824" s="3"/>
      <c r="H7824" s="2"/>
    </row>
    <row r="7825" spans="1:8" x14ac:dyDescent="0.25">
      <c r="A7825" s="5"/>
      <c r="B7825" s="6"/>
      <c r="C7825" s="6"/>
      <c r="D7825" s="6"/>
      <c r="E7825" s="6"/>
      <c r="G7825" s="1"/>
      <c r="H7825" s="2"/>
    </row>
    <row r="7826" spans="1:8" x14ac:dyDescent="0.25">
      <c r="A7826" s="5"/>
      <c r="B7826" s="6"/>
      <c r="C7826" s="6"/>
      <c r="D7826" s="6"/>
      <c r="E7826" s="6"/>
      <c r="G7826" s="3"/>
      <c r="H7826" s="2"/>
    </row>
    <row r="7827" spans="1:8" x14ac:dyDescent="0.25">
      <c r="A7827" s="5"/>
      <c r="B7827" s="6"/>
      <c r="C7827" s="6"/>
      <c r="D7827" s="6"/>
      <c r="E7827" s="6"/>
      <c r="G7827" s="1"/>
      <c r="H7827" s="2"/>
    </row>
    <row r="7828" spans="1:8" x14ac:dyDescent="0.25">
      <c r="A7828" s="5"/>
      <c r="B7828" s="6"/>
      <c r="C7828" s="6"/>
      <c r="D7828" s="6"/>
      <c r="E7828" s="6"/>
      <c r="G7828" s="3"/>
      <c r="H7828" s="2"/>
    </row>
    <row r="7829" spans="1:8" x14ac:dyDescent="0.25">
      <c r="A7829" s="5"/>
      <c r="B7829" s="6"/>
      <c r="C7829" s="6"/>
      <c r="D7829" s="6"/>
      <c r="E7829" s="6"/>
      <c r="G7829" s="1"/>
      <c r="H7829" s="2"/>
    </row>
    <row r="7830" spans="1:8" x14ac:dyDescent="0.25">
      <c r="A7830" s="5"/>
      <c r="B7830" s="6"/>
      <c r="C7830" s="6"/>
      <c r="D7830" s="6"/>
      <c r="E7830" s="6"/>
      <c r="G7830" s="3"/>
      <c r="H7830" s="2"/>
    </row>
    <row r="7831" spans="1:8" x14ac:dyDescent="0.25">
      <c r="A7831" s="5"/>
      <c r="B7831" s="6"/>
      <c r="C7831" s="6"/>
      <c r="D7831" s="6"/>
      <c r="E7831" s="6"/>
      <c r="G7831" s="1"/>
      <c r="H7831" s="2"/>
    </row>
    <row r="7832" spans="1:8" x14ac:dyDescent="0.25">
      <c r="A7832" s="5"/>
      <c r="B7832" s="6"/>
      <c r="C7832" s="6"/>
      <c r="D7832" s="6"/>
      <c r="E7832" s="6"/>
      <c r="G7832" s="3"/>
      <c r="H7832" s="2"/>
    </row>
    <row r="7833" spans="1:8" x14ac:dyDescent="0.25">
      <c r="A7833" s="5"/>
      <c r="B7833" s="6"/>
      <c r="C7833" s="6"/>
      <c r="D7833" s="6"/>
      <c r="E7833" s="6"/>
      <c r="G7833" s="1"/>
      <c r="H7833" s="2"/>
    </row>
    <row r="7834" spans="1:8" x14ac:dyDescent="0.25">
      <c r="A7834" s="5"/>
      <c r="B7834" s="6"/>
      <c r="C7834" s="6"/>
      <c r="D7834" s="6"/>
      <c r="E7834" s="6"/>
      <c r="G7834" s="3"/>
      <c r="H7834" s="2"/>
    </row>
    <row r="7835" spans="1:8" x14ac:dyDescent="0.25">
      <c r="A7835" s="5"/>
      <c r="B7835" s="6"/>
      <c r="C7835" s="6"/>
      <c r="D7835" s="6"/>
      <c r="E7835" s="6"/>
      <c r="G7835" s="1"/>
      <c r="H7835" s="2"/>
    </row>
    <row r="7836" spans="1:8" x14ac:dyDescent="0.25">
      <c r="A7836" s="5"/>
      <c r="B7836" s="6"/>
      <c r="C7836" s="6"/>
      <c r="D7836" s="6"/>
      <c r="E7836" s="6"/>
      <c r="G7836" s="3"/>
      <c r="H7836" s="2"/>
    </row>
    <row r="7837" spans="1:8" x14ac:dyDescent="0.25">
      <c r="A7837" s="5"/>
      <c r="B7837" s="6"/>
      <c r="C7837" s="6"/>
      <c r="D7837" s="6"/>
      <c r="E7837" s="6"/>
      <c r="G7837" s="1"/>
      <c r="H7837" s="2"/>
    </row>
    <row r="7838" spans="1:8" x14ac:dyDescent="0.25">
      <c r="A7838" s="5"/>
      <c r="B7838" s="6"/>
      <c r="C7838" s="6"/>
      <c r="D7838" s="6"/>
      <c r="E7838" s="6"/>
      <c r="G7838" s="3"/>
      <c r="H7838" s="2"/>
    </row>
    <row r="7839" spans="1:8" x14ac:dyDescent="0.25">
      <c r="A7839" s="5"/>
      <c r="B7839" s="6"/>
      <c r="C7839" s="6"/>
      <c r="D7839" s="6"/>
      <c r="E7839" s="6"/>
      <c r="G7839" s="1"/>
      <c r="H7839" s="2"/>
    </row>
    <row r="7840" spans="1:8" x14ac:dyDescent="0.25">
      <c r="A7840" s="5"/>
      <c r="B7840" s="6"/>
      <c r="C7840" s="6"/>
      <c r="D7840" s="6"/>
      <c r="E7840" s="6"/>
      <c r="G7840" s="3"/>
      <c r="H7840" s="2"/>
    </row>
    <row r="7841" spans="1:8" x14ac:dyDescent="0.25">
      <c r="A7841" s="5"/>
      <c r="B7841" s="6"/>
      <c r="C7841" s="6"/>
      <c r="D7841" s="6"/>
      <c r="E7841" s="6"/>
      <c r="G7841" s="1"/>
      <c r="H7841" s="2"/>
    </row>
    <row r="7842" spans="1:8" x14ac:dyDescent="0.25">
      <c r="A7842" s="5"/>
      <c r="B7842" s="6"/>
      <c r="C7842" s="6"/>
      <c r="D7842" s="6"/>
      <c r="E7842" s="6"/>
      <c r="G7842" s="3"/>
      <c r="H7842" s="2"/>
    </row>
    <row r="7843" spans="1:8" x14ac:dyDescent="0.25">
      <c r="A7843" s="5"/>
      <c r="B7843" s="6"/>
      <c r="C7843" s="6"/>
      <c r="D7843" s="6"/>
      <c r="E7843" s="6"/>
      <c r="G7843" s="1"/>
      <c r="H7843" s="2"/>
    </row>
    <row r="7844" spans="1:8" x14ac:dyDescent="0.25">
      <c r="A7844" s="5"/>
      <c r="B7844" s="6"/>
      <c r="C7844" s="6"/>
      <c r="D7844" s="6"/>
      <c r="E7844" s="6"/>
      <c r="G7844" s="3"/>
      <c r="H7844" s="2"/>
    </row>
    <row r="7845" spans="1:8" x14ac:dyDescent="0.25">
      <c r="A7845" s="5"/>
      <c r="B7845" s="6"/>
      <c r="C7845" s="6"/>
      <c r="D7845" s="6"/>
      <c r="E7845" s="6"/>
      <c r="G7845" s="1"/>
      <c r="H7845" s="2"/>
    </row>
    <row r="7846" spans="1:8" x14ac:dyDescent="0.25">
      <c r="A7846" s="5"/>
      <c r="B7846" s="6"/>
      <c r="C7846" s="6"/>
      <c r="D7846" s="6"/>
      <c r="E7846" s="6"/>
      <c r="G7846" s="3"/>
      <c r="H7846" s="2"/>
    </row>
    <row r="7847" spans="1:8" x14ac:dyDescent="0.25">
      <c r="A7847" s="5"/>
      <c r="B7847" s="6"/>
      <c r="C7847" s="6"/>
      <c r="D7847" s="6"/>
      <c r="E7847" s="6"/>
      <c r="G7847" s="1"/>
      <c r="H7847" s="2"/>
    </row>
    <row r="7848" spans="1:8" x14ac:dyDescent="0.25">
      <c r="A7848" s="5"/>
      <c r="B7848" s="6"/>
      <c r="C7848" s="6"/>
      <c r="D7848" s="6"/>
      <c r="E7848" s="6"/>
      <c r="G7848" s="3"/>
      <c r="H7848" s="2"/>
    </row>
    <row r="7849" spans="1:8" x14ac:dyDescent="0.25">
      <c r="A7849" s="5"/>
      <c r="B7849" s="6"/>
      <c r="C7849" s="6"/>
      <c r="D7849" s="6"/>
      <c r="E7849" s="6"/>
      <c r="G7849" s="1"/>
      <c r="H7849" s="2"/>
    </row>
    <row r="7850" spans="1:8" x14ac:dyDescent="0.25">
      <c r="A7850" s="5"/>
      <c r="B7850" s="6"/>
      <c r="C7850" s="6"/>
      <c r="D7850" s="6"/>
      <c r="E7850" s="6"/>
      <c r="G7850" s="3"/>
      <c r="H7850" s="2"/>
    </row>
    <row r="7851" spans="1:8" x14ac:dyDescent="0.25">
      <c r="A7851" s="5"/>
      <c r="B7851" s="6"/>
      <c r="C7851" s="6"/>
      <c r="D7851" s="6"/>
      <c r="E7851" s="6"/>
      <c r="G7851" s="1"/>
      <c r="H7851" s="2"/>
    </row>
    <row r="7852" spans="1:8" x14ac:dyDescent="0.25">
      <c r="A7852" s="5"/>
      <c r="B7852" s="6"/>
      <c r="C7852" s="6"/>
      <c r="D7852" s="6"/>
      <c r="E7852" s="6"/>
      <c r="G7852" s="3"/>
      <c r="H7852" s="2"/>
    </row>
    <row r="7853" spans="1:8" x14ac:dyDescent="0.25">
      <c r="A7853" s="5"/>
      <c r="B7853" s="6"/>
      <c r="C7853" s="6"/>
      <c r="D7853" s="6"/>
      <c r="E7853" s="6"/>
      <c r="G7853" s="1"/>
      <c r="H7853" s="2"/>
    </row>
    <row r="7854" spans="1:8" x14ac:dyDescent="0.25">
      <c r="A7854" s="5"/>
      <c r="B7854" s="6"/>
      <c r="C7854" s="6"/>
      <c r="D7854" s="6"/>
      <c r="E7854" s="6"/>
      <c r="G7854" s="3"/>
      <c r="H7854" s="2"/>
    </row>
    <row r="7855" spans="1:8" x14ac:dyDescent="0.25">
      <c r="A7855" s="5"/>
      <c r="B7855" s="6"/>
      <c r="C7855" s="6"/>
      <c r="D7855" s="6"/>
      <c r="E7855" s="6"/>
      <c r="G7855" s="1"/>
      <c r="H7855" s="2"/>
    </row>
    <row r="7856" spans="1:8" x14ac:dyDescent="0.25">
      <c r="A7856" s="5"/>
      <c r="B7856" s="6"/>
      <c r="C7856" s="6"/>
      <c r="D7856" s="6"/>
      <c r="E7856" s="6"/>
      <c r="G7856" s="3"/>
      <c r="H7856" s="2"/>
    </row>
    <row r="7857" spans="1:8" x14ac:dyDescent="0.25">
      <c r="A7857" s="5"/>
      <c r="B7857" s="6"/>
      <c r="C7857" s="6"/>
      <c r="D7857" s="6"/>
      <c r="E7857" s="6"/>
      <c r="G7857" s="1"/>
      <c r="H7857" s="2"/>
    </row>
    <row r="7858" spans="1:8" x14ac:dyDescent="0.25">
      <c r="A7858" s="5"/>
      <c r="B7858" s="6"/>
      <c r="C7858" s="6"/>
      <c r="D7858" s="6"/>
      <c r="E7858" s="6"/>
      <c r="G7858" s="3"/>
      <c r="H7858" s="2"/>
    </row>
    <row r="7859" spans="1:8" x14ac:dyDescent="0.25">
      <c r="A7859" s="5"/>
      <c r="B7859" s="6"/>
      <c r="C7859" s="6"/>
      <c r="D7859" s="6"/>
      <c r="E7859" s="6"/>
      <c r="G7859" s="1"/>
      <c r="H7859" s="2"/>
    </row>
    <row r="7860" spans="1:8" x14ac:dyDescent="0.25">
      <c r="A7860" s="5"/>
      <c r="B7860" s="6"/>
      <c r="C7860" s="6"/>
      <c r="D7860" s="6"/>
      <c r="E7860" s="6"/>
      <c r="G7860" s="3"/>
      <c r="H7860" s="2"/>
    </row>
    <row r="7861" spans="1:8" x14ac:dyDescent="0.25">
      <c r="A7861" s="5"/>
      <c r="B7861" s="6"/>
      <c r="C7861" s="6"/>
      <c r="D7861" s="6"/>
      <c r="E7861" s="6"/>
      <c r="G7861" s="1"/>
      <c r="H7861" s="2"/>
    </row>
    <row r="7862" spans="1:8" x14ac:dyDescent="0.25">
      <c r="A7862" s="5"/>
      <c r="B7862" s="6"/>
      <c r="C7862" s="6"/>
      <c r="D7862" s="6"/>
      <c r="E7862" s="6"/>
      <c r="G7862" s="3"/>
      <c r="H7862" s="2"/>
    </row>
    <row r="7863" spans="1:8" x14ac:dyDescent="0.25">
      <c r="A7863" s="5"/>
      <c r="B7863" s="6"/>
      <c r="C7863" s="6"/>
      <c r="D7863" s="6"/>
      <c r="E7863" s="6"/>
      <c r="G7863" s="1"/>
      <c r="H7863" s="2"/>
    </row>
    <row r="7864" spans="1:8" x14ac:dyDescent="0.25">
      <c r="A7864" s="5"/>
      <c r="B7864" s="6"/>
      <c r="C7864" s="6"/>
      <c r="D7864" s="6"/>
      <c r="E7864" s="6"/>
      <c r="G7864" s="3"/>
      <c r="H7864" s="2"/>
    </row>
    <row r="7865" spans="1:8" x14ac:dyDescent="0.25">
      <c r="A7865" s="5"/>
      <c r="B7865" s="6"/>
      <c r="C7865" s="6"/>
      <c r="D7865" s="6"/>
      <c r="E7865" s="6"/>
      <c r="G7865" s="1"/>
      <c r="H7865" s="2"/>
    </row>
    <row r="7866" spans="1:8" x14ac:dyDescent="0.25">
      <c r="A7866" s="5"/>
      <c r="B7866" s="6"/>
      <c r="C7866" s="6"/>
      <c r="D7866" s="6"/>
      <c r="E7866" s="6"/>
      <c r="G7866" s="3"/>
      <c r="H7866" s="2"/>
    </row>
    <row r="7867" spans="1:8" x14ac:dyDescent="0.25">
      <c r="A7867" s="5"/>
      <c r="B7867" s="6"/>
      <c r="C7867" s="6"/>
      <c r="D7867" s="6"/>
      <c r="E7867" s="6"/>
      <c r="G7867" s="1"/>
      <c r="H7867" s="2"/>
    </row>
    <row r="7868" spans="1:8" x14ac:dyDescent="0.25">
      <c r="A7868" s="5"/>
      <c r="B7868" s="6"/>
      <c r="C7868" s="6"/>
      <c r="D7868" s="6"/>
      <c r="E7868" s="6"/>
      <c r="G7868" s="3"/>
      <c r="H7868" s="2"/>
    </row>
    <row r="7869" spans="1:8" x14ac:dyDescent="0.25">
      <c r="A7869" s="5"/>
      <c r="B7869" s="6"/>
      <c r="C7869" s="6"/>
      <c r="D7869" s="6"/>
      <c r="E7869" s="6"/>
      <c r="G7869" s="1"/>
      <c r="H7869" s="2"/>
    </row>
    <row r="7870" spans="1:8" x14ac:dyDescent="0.25">
      <c r="A7870" s="5"/>
      <c r="B7870" s="6"/>
      <c r="C7870" s="6"/>
      <c r="D7870" s="6"/>
      <c r="E7870" s="6"/>
      <c r="G7870" s="3"/>
      <c r="H7870" s="2"/>
    </row>
    <row r="7871" spans="1:8" x14ac:dyDescent="0.25">
      <c r="A7871" s="5"/>
      <c r="B7871" s="6"/>
      <c r="C7871" s="6"/>
      <c r="D7871" s="6"/>
      <c r="E7871" s="6"/>
      <c r="G7871" s="1"/>
      <c r="H7871" s="2"/>
    </row>
    <row r="7872" spans="1:8" x14ac:dyDescent="0.25">
      <c r="A7872" s="5"/>
      <c r="B7872" s="6"/>
      <c r="C7872" s="6"/>
      <c r="D7872" s="6"/>
      <c r="E7872" s="6"/>
      <c r="G7872" s="3"/>
      <c r="H7872" s="2"/>
    </row>
    <row r="7873" spans="1:8" x14ac:dyDescent="0.25">
      <c r="A7873" s="5"/>
      <c r="B7873" s="6"/>
      <c r="C7873" s="6"/>
      <c r="D7873" s="6"/>
      <c r="E7873" s="6"/>
      <c r="G7873" s="1"/>
      <c r="H7873" s="2"/>
    </row>
    <row r="7874" spans="1:8" x14ac:dyDescent="0.25">
      <c r="A7874" s="5"/>
      <c r="B7874" s="6"/>
      <c r="C7874" s="6"/>
      <c r="D7874" s="6"/>
      <c r="E7874" s="6"/>
      <c r="G7874" s="3"/>
      <c r="H7874" s="2"/>
    </row>
    <row r="7875" spans="1:8" x14ac:dyDescent="0.25">
      <c r="A7875" s="5"/>
      <c r="B7875" s="6"/>
      <c r="C7875" s="6"/>
      <c r="D7875" s="6"/>
      <c r="E7875" s="6"/>
      <c r="G7875" s="1"/>
      <c r="H7875" s="2"/>
    </row>
    <row r="7876" spans="1:8" x14ac:dyDescent="0.25">
      <c r="A7876" s="5"/>
      <c r="B7876" s="6"/>
      <c r="C7876" s="6"/>
      <c r="D7876" s="6"/>
      <c r="E7876" s="6"/>
      <c r="G7876" s="3"/>
      <c r="H7876" s="2"/>
    </row>
    <row r="7877" spans="1:8" x14ac:dyDescent="0.25">
      <c r="A7877" s="5"/>
      <c r="B7877" s="6"/>
      <c r="C7877" s="6"/>
      <c r="D7877" s="6"/>
      <c r="E7877" s="6"/>
      <c r="G7877" s="1"/>
      <c r="H7877" s="2"/>
    </row>
    <row r="7878" spans="1:8" x14ac:dyDescent="0.25">
      <c r="A7878" s="5"/>
      <c r="B7878" s="6"/>
      <c r="C7878" s="6"/>
      <c r="D7878" s="6"/>
      <c r="E7878" s="6"/>
      <c r="G7878" s="3"/>
      <c r="H7878" s="2"/>
    </row>
    <row r="7879" spans="1:8" x14ac:dyDescent="0.25">
      <c r="A7879" s="5"/>
      <c r="B7879" s="6"/>
      <c r="C7879" s="6"/>
      <c r="D7879" s="6"/>
      <c r="E7879" s="6"/>
      <c r="G7879" s="1"/>
      <c r="H7879" s="2"/>
    </row>
    <row r="7880" spans="1:8" x14ac:dyDescent="0.25">
      <c r="A7880" s="5"/>
      <c r="B7880" s="6"/>
      <c r="C7880" s="6"/>
      <c r="D7880" s="6"/>
      <c r="E7880" s="6"/>
      <c r="G7880" s="3"/>
      <c r="H7880" s="2"/>
    </row>
    <row r="7881" spans="1:8" x14ac:dyDescent="0.25">
      <c r="A7881" s="5"/>
      <c r="B7881" s="6"/>
      <c r="C7881" s="6"/>
      <c r="D7881" s="6"/>
      <c r="E7881" s="6"/>
      <c r="G7881" s="1"/>
      <c r="H7881" s="2"/>
    </row>
    <row r="7882" spans="1:8" x14ac:dyDescent="0.25">
      <c r="A7882" s="5"/>
      <c r="B7882" s="6"/>
      <c r="C7882" s="6"/>
      <c r="D7882" s="6"/>
      <c r="E7882" s="6"/>
      <c r="G7882" s="3"/>
      <c r="H7882" s="2"/>
    </row>
    <row r="7883" spans="1:8" x14ac:dyDescent="0.25">
      <c r="A7883" s="5"/>
      <c r="B7883" s="6"/>
      <c r="C7883" s="6"/>
      <c r="D7883" s="6"/>
      <c r="E7883" s="6"/>
      <c r="G7883" s="1"/>
      <c r="H7883" s="2"/>
    </row>
    <row r="7884" spans="1:8" x14ac:dyDescent="0.25">
      <c r="A7884" s="5"/>
      <c r="B7884" s="6"/>
      <c r="C7884" s="6"/>
      <c r="D7884" s="6"/>
      <c r="E7884" s="6"/>
      <c r="G7884" s="3"/>
      <c r="H7884" s="2"/>
    </row>
    <row r="7885" spans="1:8" x14ac:dyDescent="0.25">
      <c r="A7885" s="5"/>
      <c r="B7885" s="6"/>
      <c r="C7885" s="6"/>
      <c r="D7885" s="6"/>
      <c r="E7885" s="6"/>
      <c r="G7885" s="1"/>
      <c r="H7885" s="2"/>
    </row>
    <row r="7886" spans="1:8" x14ac:dyDescent="0.25">
      <c r="A7886" s="5"/>
      <c r="B7886" s="6"/>
      <c r="C7886" s="6"/>
      <c r="D7886" s="6"/>
      <c r="E7886" s="6"/>
      <c r="G7886" s="3"/>
      <c r="H7886" s="2"/>
    </row>
    <row r="7887" spans="1:8" x14ac:dyDescent="0.25">
      <c r="A7887" s="5"/>
      <c r="B7887" s="6"/>
      <c r="C7887" s="6"/>
      <c r="D7887" s="6"/>
      <c r="E7887" s="6"/>
      <c r="G7887" s="1"/>
      <c r="H7887" s="2"/>
    </row>
    <row r="7888" spans="1:8" x14ac:dyDescent="0.25">
      <c r="A7888" s="5"/>
      <c r="B7888" s="6"/>
      <c r="C7888" s="6"/>
      <c r="D7888" s="6"/>
      <c r="E7888" s="6"/>
      <c r="G7888" s="3"/>
      <c r="H7888" s="2"/>
    </row>
    <row r="7889" spans="1:8" x14ac:dyDescent="0.25">
      <c r="A7889" s="5"/>
      <c r="B7889" s="6"/>
      <c r="C7889" s="6"/>
      <c r="D7889" s="6"/>
      <c r="E7889" s="6"/>
      <c r="G7889" s="1"/>
      <c r="H7889" s="2"/>
    </row>
    <row r="7890" spans="1:8" x14ac:dyDescent="0.25">
      <c r="A7890" s="5"/>
      <c r="B7890" s="6"/>
      <c r="C7890" s="6"/>
      <c r="D7890" s="6"/>
      <c r="E7890" s="6"/>
      <c r="G7890" s="3"/>
      <c r="H7890" s="2"/>
    </row>
    <row r="7891" spans="1:8" x14ac:dyDescent="0.25">
      <c r="A7891" s="5"/>
      <c r="B7891" s="6"/>
      <c r="C7891" s="6"/>
      <c r="D7891" s="6"/>
      <c r="E7891" s="6"/>
      <c r="G7891" s="1"/>
      <c r="H7891" s="2"/>
    </row>
    <row r="7892" spans="1:8" x14ac:dyDescent="0.25">
      <c r="A7892" s="5"/>
      <c r="B7892" s="6"/>
      <c r="C7892" s="6"/>
      <c r="D7892" s="6"/>
      <c r="E7892" s="6"/>
      <c r="G7892" s="3"/>
      <c r="H7892" s="2"/>
    </row>
    <row r="7893" spans="1:8" x14ac:dyDescent="0.25">
      <c r="A7893" s="5"/>
      <c r="B7893" s="6"/>
      <c r="C7893" s="6"/>
      <c r="D7893" s="6"/>
      <c r="E7893" s="6"/>
      <c r="G7893" s="1"/>
      <c r="H7893" s="2"/>
    </row>
    <row r="7894" spans="1:8" x14ac:dyDescent="0.25">
      <c r="A7894" s="5"/>
      <c r="B7894" s="6"/>
      <c r="C7894" s="6"/>
      <c r="D7894" s="6"/>
      <c r="E7894" s="6"/>
      <c r="G7894" s="3"/>
      <c r="H7894" s="2"/>
    </row>
    <row r="7895" spans="1:8" x14ac:dyDescent="0.25">
      <c r="A7895" s="5"/>
      <c r="B7895" s="6"/>
      <c r="C7895" s="6"/>
      <c r="D7895" s="6"/>
      <c r="E7895" s="6"/>
      <c r="G7895" s="1"/>
      <c r="H7895" s="2"/>
    </row>
    <row r="7896" spans="1:8" x14ac:dyDescent="0.25">
      <c r="A7896" s="5"/>
      <c r="B7896" s="6"/>
      <c r="C7896" s="6"/>
      <c r="D7896" s="6"/>
      <c r="E7896" s="6"/>
      <c r="G7896" s="3"/>
      <c r="H7896" s="2"/>
    </row>
    <row r="7897" spans="1:8" x14ac:dyDescent="0.25">
      <c r="A7897" s="5"/>
      <c r="B7897" s="6"/>
      <c r="C7897" s="6"/>
      <c r="D7897" s="6"/>
      <c r="E7897" s="6"/>
      <c r="G7897" s="1"/>
      <c r="H7897" s="2"/>
    </row>
    <row r="7898" spans="1:8" x14ac:dyDescent="0.25">
      <c r="A7898" s="5"/>
      <c r="B7898" s="6"/>
      <c r="C7898" s="6"/>
      <c r="D7898" s="6"/>
      <c r="E7898" s="6"/>
      <c r="G7898" s="3"/>
      <c r="H7898" s="2"/>
    </row>
    <row r="7899" spans="1:8" x14ac:dyDescent="0.25">
      <c r="A7899" s="5"/>
      <c r="B7899" s="6"/>
      <c r="C7899" s="6"/>
      <c r="D7899" s="6"/>
      <c r="E7899" s="6"/>
      <c r="G7899" s="1"/>
      <c r="H7899" s="2"/>
    </row>
    <row r="7900" spans="1:8" x14ac:dyDescent="0.25">
      <c r="A7900" s="5"/>
      <c r="B7900" s="6"/>
      <c r="C7900" s="6"/>
      <c r="D7900" s="6"/>
      <c r="E7900" s="6"/>
      <c r="G7900" s="14"/>
      <c r="H7900" s="2"/>
    </row>
    <row r="7901" spans="1:8" x14ac:dyDescent="0.25">
      <c r="A7901" s="5"/>
      <c r="B7901" s="6"/>
      <c r="C7901" s="6"/>
      <c r="D7901" s="6"/>
      <c r="E7901" s="6"/>
      <c r="G7901" s="14"/>
      <c r="H7901" s="2"/>
    </row>
    <row r="7902" spans="1:8" x14ac:dyDescent="0.25">
      <c r="A7902" s="5"/>
      <c r="B7902" s="6"/>
      <c r="C7902" s="6"/>
      <c r="D7902" s="6"/>
      <c r="E7902" s="6"/>
      <c r="G7902" s="14"/>
      <c r="H7902" s="2"/>
    </row>
    <row r="7903" spans="1:8" x14ac:dyDescent="0.25">
      <c r="A7903" s="5"/>
      <c r="B7903" s="6"/>
      <c r="C7903" s="6"/>
      <c r="D7903" s="6"/>
      <c r="E7903" s="6"/>
      <c r="G7903" s="14"/>
      <c r="H7903" s="2"/>
    </row>
    <row r="7904" spans="1:8" x14ac:dyDescent="0.25">
      <c r="A7904" s="5"/>
      <c r="B7904" s="6"/>
      <c r="C7904" s="6"/>
      <c r="D7904" s="6"/>
      <c r="E7904" s="6"/>
      <c r="G7904" s="14"/>
      <c r="H7904" s="2"/>
    </row>
    <row r="7905" spans="1:8" x14ac:dyDescent="0.25">
      <c r="A7905" s="5"/>
      <c r="B7905" s="6"/>
      <c r="C7905" s="6"/>
      <c r="D7905" s="6"/>
      <c r="E7905" s="6"/>
      <c r="G7905" s="14"/>
      <c r="H7905" s="2"/>
    </row>
  </sheetData>
  <phoneticPr fontId="5" type="noConversion"/>
  <conditionalFormatting sqref="R7708:R7711 R7651:S7651 R7453:R7456 R7396:S7396 R7198:R7201 R7141:S7141 R6943:R6946 R6886:S6886 R6688:R6691 R6631:S6631 R6433:R6436 R6376:S6376 R6178:R6181 R6121:S6121 R5923:R5926 R5866:S5866 R5668:R5671 R5611:S5611 R5413:R5416 R5356:S5356 R5158:R5161 R5101:S5101 R4903:R4906 R4846:S4846 R4648:R4651 R4591:S4591 R4393:R4396 R4336:S4336 R4138:R4141 R4081:S4081 R3883:R3886 R3826:S3826 R3628:R3631 R3571:S3571 R3373:R3376 R3316:S3316 R3118:R3121 R3061:S3061 R2863:R2866 R2806:S2806 R2608:R2611 R2551:S2551 R2353:R2356 R2296:S2296 R2098:R2101 R2041:S2041 R1843:R1846 R1786:S1786 R1588:R1591 R1531:S1531 R1333:R1336 R1276:S1276 R1078:R1081 R1021:S1021 R823:R826 R766:S766 R568:R571 R511:S511 R313:R316 R256:S256 R58:R61 R1:S1">
    <cfRule type="containsText" dxfId="743" priority="989" operator="containsText" text="NEUTRAL">
      <formula>NOT(ISERROR(SEARCH("NEUTRAL",R1)))</formula>
    </cfRule>
    <cfRule type="containsText" dxfId="742" priority="990" operator="containsText" text="BULLISH">
      <formula>NOT(ISERROR(SEARCH("BULLISH",R1)))</formula>
    </cfRule>
    <cfRule type="containsText" dxfId="741" priority="991" operator="containsText" text="BEARISH">
      <formula>NOT(ISERROR(SEARCH("BEARISH",R1)))</formula>
    </cfRule>
  </conditionalFormatting>
  <conditionalFormatting sqref="P58:P61 P7708:P7711 P7651 P7453:P7456 P7396 P7198:P7201 P7141 P6943:P6946 P6886 P6688:P6691 P6631 P6433:P6436 P6376 P6178:P6181 P6121 P5923:P5926 P5866 P5668:P5671 P5611 P5413:P5416 P5356 P5158:P5161 P5101 P4903:P4906 P4846 P4648:P4651 P4591 P4393:P4396 P4336 P4138:P4141 P4081 P3883:P3886 P3826 P3628:P3631 P3571 P3373:P3376 P3316 P3118:P3121 P3061 P2863:P2866 P2806 P2608:P2611 P2551 P2353:P2356 P2296 P2098:P2101 P2041 P1843:P1846 P1786 P1588:P1591 P1531 P1333:P1336 P1276 P1078:P1081 P1021 P823:P826 P766 P568:P571 P511 P313:P316 P256 P1">
    <cfRule type="dataBar" priority="992">
      <dataBar>
        <cfvo type="min"/>
        <cfvo type="max"/>
        <color rgb="FF638EC6"/>
      </dataBar>
      <extLst>
        <ext xmlns:x14="http://schemas.microsoft.com/office/spreadsheetml/2009/9/main" uri="{B025F937-C7B1-47D3-B67F-A62EFF666E3E}">
          <x14:id>{22A2FBFC-2FC0-4A20-9E68-26201653B389}</x14:id>
        </ext>
      </extLst>
    </cfRule>
  </conditionalFormatting>
  <conditionalFormatting sqref="R7652:R7655 R7397:R7400 R7142:R7145 R6887:R6890 R6632:R6635 R6377:R6380 R6122:R6125 R5867:R5870 R5612:R5615 R5357:R5360 R5102:R5105 R4847:R4850 R4592:R4595 R4337:R4340 R4082:R4085 R3827:R3830 R3572:R3575 R3317:R3320 R3062:R3065 R2807:R2810 R2552:R2555 R2297:R2300 R2042:R2045 R1787:R1790 R1532:R1535 R1277:R1280 R1022:R1025 R767:R770 R512:R515 R257:R260 R2:R5">
    <cfRule type="containsText" dxfId="740" priority="986" operator="containsText" text="NEUTRAL">
      <formula>NOT(ISERROR(SEARCH("NEUTRAL",R2)))</formula>
    </cfRule>
    <cfRule type="containsText" dxfId="739" priority="987" operator="containsText" text="BULLISH">
      <formula>NOT(ISERROR(SEARCH("BULLISH",R2)))</formula>
    </cfRule>
    <cfRule type="containsText" dxfId="738" priority="988" operator="containsText" text="BEARISH">
      <formula>NOT(ISERROR(SEARCH("BEARISH",R2)))</formula>
    </cfRule>
  </conditionalFormatting>
  <conditionalFormatting sqref="P2:P5 P7652:P7655 P7397:P7400 P7142:P7145 P6887:P6890 P6632:P6635 P6377:P6380 P6122:P6125 P5867:P5870 P5612:P5615 P5357:P5360 P5102:P5105 P4847:P4850 P4592:P4595 P4337:P4340 P4082:P4085 P3827:P3830 P3572:P3575 P3317:P3320 P3062:P3065 P2807:P2810 P2552:P2555 P2297:P2300 P2042:P2045 P1787:P1790 P1532:P1535 P1277:P1280 P1022:P1025 P767:P770 P512:P515 P257:P260">
    <cfRule type="dataBar" priority="985">
      <dataBar>
        <cfvo type="min"/>
        <cfvo type="max"/>
        <color rgb="FF638EC6"/>
      </dataBar>
      <extLst>
        <ext xmlns:x14="http://schemas.microsoft.com/office/spreadsheetml/2009/9/main" uri="{B025F937-C7B1-47D3-B67F-A62EFF666E3E}">
          <x14:id>{7E1C789B-204E-4AB1-A673-4FB5ABCCB3F4}</x14:id>
        </ext>
      </extLst>
    </cfRule>
  </conditionalFormatting>
  <conditionalFormatting sqref="R7656 R7401 R7146 R6891 R6636 R6381 R6126 R5871 R5616 R5361 R5106 R4851 R4596 R4341 R4086 R3831 R3576 R3321 R3066 R2811 R2556 R2301 R2046 R1791 R1536 R1281 R1026 R771 R516 R261 R6">
    <cfRule type="containsText" dxfId="737" priority="982" operator="containsText" text="NEUTRAL">
      <formula>NOT(ISERROR(SEARCH("NEUTRAL",R6)))</formula>
    </cfRule>
    <cfRule type="containsText" dxfId="736" priority="983" operator="containsText" text="BULLISH">
      <formula>NOT(ISERROR(SEARCH("BULLISH",R6)))</formula>
    </cfRule>
    <cfRule type="containsText" dxfId="735" priority="984" operator="containsText" text="BEARISH">
      <formula>NOT(ISERROR(SEARCH("BEARISH",R6)))</formula>
    </cfRule>
  </conditionalFormatting>
  <conditionalFormatting sqref="P6 P7656 P7401 P7146 P6891 P6636 P6381 P6126 P5871 P5616 P5361 P5106 P4851 P4596 P4341 P4086 P3831 P3576 P3321 P3066 P2811 P2556 P2301 P2046 P1791 P1536 P1281 P1026 P771 P516 P261">
    <cfRule type="dataBar" priority="981">
      <dataBar>
        <cfvo type="min"/>
        <cfvo type="max"/>
        <color rgb="FF638EC6"/>
      </dataBar>
      <extLst>
        <ext xmlns:x14="http://schemas.microsoft.com/office/spreadsheetml/2009/9/main" uri="{B025F937-C7B1-47D3-B67F-A62EFF666E3E}">
          <x14:id>{15A05277-C083-415D-893F-20AEC62BCDB2}</x14:id>
        </ext>
      </extLst>
    </cfRule>
  </conditionalFormatting>
  <conditionalFormatting sqref="R7657 R7402 R7147 R6892 R6637 R6382 R6127 R5872 R5617 R5362 R5107 R4852 R4597 R4342 R4087 R3832 R3577 R3322 R3067 R2812 R2557 R2302 R2047 R1792 R1537 R1282 R1027 R772 R517 R262 R7">
    <cfRule type="containsText" dxfId="734" priority="978" operator="containsText" text="NEUTRAL">
      <formula>NOT(ISERROR(SEARCH("NEUTRAL",R7)))</formula>
    </cfRule>
    <cfRule type="containsText" dxfId="733" priority="979" operator="containsText" text="BULLISH">
      <formula>NOT(ISERROR(SEARCH("BULLISH",R7)))</formula>
    </cfRule>
    <cfRule type="containsText" dxfId="732" priority="980" operator="containsText" text="BEARISH">
      <formula>NOT(ISERROR(SEARCH("BEARISH",R7)))</formula>
    </cfRule>
  </conditionalFormatting>
  <conditionalFormatting sqref="P7 P7657 P7402 P7147 P6892 P6637 P6382 P6127 P5872 P5617 P5362 P5107 P4852 P4597 P4342 P4087 P3832 P3577 P3322 P3067 P2812 P2557 P2302 P2047 P1792 P1537 P1282 P1027 P772 P517 P262">
    <cfRule type="dataBar" priority="977">
      <dataBar>
        <cfvo type="min"/>
        <cfvo type="max"/>
        <color rgb="FF638EC6"/>
      </dataBar>
      <extLst>
        <ext xmlns:x14="http://schemas.microsoft.com/office/spreadsheetml/2009/9/main" uri="{B025F937-C7B1-47D3-B67F-A62EFF666E3E}">
          <x14:id>{4BE13222-0AF1-42E9-9BBF-940E55A65830}</x14:id>
        </ext>
      </extLst>
    </cfRule>
  </conditionalFormatting>
  <conditionalFormatting sqref="R7658 R7403 R7148 R6893 R6638 R6383 R6128 R5873 R5618 R5363 R5108 R4853 R4598 R4343 R4088 R3833 R3578 R3323 R3068 R2813 R2558 R2303 R2048 R1793 R1538 R1283 R1028 R773 R518 R263 R8">
    <cfRule type="containsText" dxfId="731" priority="974" operator="containsText" text="NEUTRAL">
      <formula>NOT(ISERROR(SEARCH("NEUTRAL",R8)))</formula>
    </cfRule>
    <cfRule type="containsText" dxfId="730" priority="975" operator="containsText" text="BULLISH">
      <formula>NOT(ISERROR(SEARCH("BULLISH",R8)))</formula>
    </cfRule>
    <cfRule type="containsText" dxfId="729" priority="976" operator="containsText" text="BEARISH">
      <formula>NOT(ISERROR(SEARCH("BEARISH",R8)))</formula>
    </cfRule>
  </conditionalFormatting>
  <conditionalFormatting sqref="P8 P7658 P7403 P7148 P6893 P6638 P6383 P6128 P5873 P5618 P5363 P5108 P4853 P4598 P4343 P4088 P3833 P3578 P3323 P3068 P2813 P2558 P2303 P2048 P1793 P1538 P1283 P1028 P773 P518 P263">
    <cfRule type="dataBar" priority="973">
      <dataBar>
        <cfvo type="min"/>
        <cfvo type="max"/>
        <color rgb="FF638EC6"/>
      </dataBar>
      <extLst>
        <ext xmlns:x14="http://schemas.microsoft.com/office/spreadsheetml/2009/9/main" uri="{B025F937-C7B1-47D3-B67F-A62EFF666E3E}">
          <x14:id>{20B6FD15-7B5F-4A8F-ABB7-A70ACF1E9E17}</x14:id>
        </ext>
      </extLst>
    </cfRule>
  </conditionalFormatting>
  <conditionalFormatting sqref="R7659 R7404 R7149 R6894 R6639 R6384 R6129 R5874 R5619 R5364 R5109 R4854 R4599 R4344 R4089 R3834 R3579 R3324 R3069 R2814 R2559 R2304 R2049 R1794 R1539 R1284 R1029 R774 R519 R264 R9">
    <cfRule type="containsText" dxfId="728" priority="970" operator="containsText" text="NEUTRAL">
      <formula>NOT(ISERROR(SEARCH("NEUTRAL",R9)))</formula>
    </cfRule>
    <cfRule type="containsText" dxfId="727" priority="971" operator="containsText" text="BULLISH">
      <formula>NOT(ISERROR(SEARCH("BULLISH",R9)))</formula>
    </cfRule>
    <cfRule type="containsText" dxfId="726" priority="972" operator="containsText" text="BEARISH">
      <formula>NOT(ISERROR(SEARCH("BEARISH",R9)))</formula>
    </cfRule>
  </conditionalFormatting>
  <conditionalFormatting sqref="P9 P7659 P7404 P7149 P6894 P6639 P6384 P6129 P5874 P5619 P5364 P5109 P4854 P4599 P4344 P4089 P3834 P3579 P3324 P3069 P2814 P2559 P2304 P2049 P1794 P1539 P1284 P1029 P774 P519 P264">
    <cfRule type="dataBar" priority="969">
      <dataBar>
        <cfvo type="min"/>
        <cfvo type="max"/>
        <color rgb="FF638EC6"/>
      </dataBar>
      <extLst>
        <ext xmlns:x14="http://schemas.microsoft.com/office/spreadsheetml/2009/9/main" uri="{B025F937-C7B1-47D3-B67F-A62EFF666E3E}">
          <x14:id>{7DAE4FAA-9A65-46CD-9C8D-8420BBEEEA24}</x14:id>
        </ext>
      </extLst>
    </cfRule>
  </conditionalFormatting>
  <conditionalFormatting sqref="R7660 R7405 R7150 R6895 R6640 R6385 R6130 R5875 R5620 R5365 R5110 R4855 R4600 R4345 R4090 R3835 R3580 R3325 R3070 R2815 R2560 R2305 R2050 R1795 R1540 R1285 R1030 R775 R520 R265 R10">
    <cfRule type="containsText" dxfId="725" priority="966" operator="containsText" text="NEUTRAL">
      <formula>NOT(ISERROR(SEARCH("NEUTRAL",R10)))</formula>
    </cfRule>
    <cfRule type="containsText" dxfId="724" priority="967" operator="containsText" text="BULLISH">
      <formula>NOT(ISERROR(SEARCH("BULLISH",R10)))</formula>
    </cfRule>
    <cfRule type="containsText" dxfId="723" priority="968" operator="containsText" text="BEARISH">
      <formula>NOT(ISERROR(SEARCH("BEARISH",R10)))</formula>
    </cfRule>
  </conditionalFormatting>
  <conditionalFormatting sqref="P10 P7660 P7405 P7150 P6895 P6640 P6385 P6130 P5875 P5620 P5365 P5110 P4855 P4600 P4345 P4090 P3835 P3580 P3325 P3070 P2815 P2560 P2305 P2050 P1795 P1540 P1285 P1030 P775 P520 P265">
    <cfRule type="dataBar" priority="965">
      <dataBar>
        <cfvo type="min"/>
        <cfvo type="max"/>
        <color rgb="FF638EC6"/>
      </dataBar>
      <extLst>
        <ext xmlns:x14="http://schemas.microsoft.com/office/spreadsheetml/2009/9/main" uri="{B025F937-C7B1-47D3-B67F-A62EFF666E3E}">
          <x14:id>{2C0CB90F-BAEC-4477-95C4-6953CE4606E4}</x14:id>
        </ext>
      </extLst>
    </cfRule>
  </conditionalFormatting>
  <conditionalFormatting sqref="R7661 R7406 R7151 R6896 R6641 R6386 R6131 R5876 R5621 R5366 R5111 R4856 R4601 R4346 R4091 R3836 R3581 R3326 R3071 R2816 R2561 R2306 R2051 R1796 R1541 R1286 R1031 R776 R521 R266 R11">
    <cfRule type="containsText" dxfId="722" priority="962" operator="containsText" text="NEUTRAL">
      <formula>NOT(ISERROR(SEARCH("NEUTRAL",R11)))</formula>
    </cfRule>
    <cfRule type="containsText" dxfId="721" priority="963" operator="containsText" text="BULLISH">
      <formula>NOT(ISERROR(SEARCH("BULLISH",R11)))</formula>
    </cfRule>
    <cfRule type="containsText" dxfId="720" priority="964" operator="containsText" text="BEARISH">
      <formula>NOT(ISERROR(SEARCH("BEARISH",R11)))</formula>
    </cfRule>
  </conditionalFormatting>
  <conditionalFormatting sqref="P11 P7661 P7406 P7151 P6896 P6641 P6386 P6131 P5876 P5621 P5366 P5111 P4856 P4601 P4346 P4091 P3836 P3581 P3326 P3071 P2816 P2561 P2306 P2051 P1796 P1541 P1286 P1031 P776 P521 P266">
    <cfRule type="dataBar" priority="961">
      <dataBar>
        <cfvo type="min"/>
        <cfvo type="max"/>
        <color rgb="FF638EC6"/>
      </dataBar>
      <extLst>
        <ext xmlns:x14="http://schemas.microsoft.com/office/spreadsheetml/2009/9/main" uri="{B025F937-C7B1-47D3-B67F-A62EFF666E3E}">
          <x14:id>{9F6A640B-65E1-41D8-99C3-FCDBD3732FE3}</x14:id>
        </ext>
      </extLst>
    </cfRule>
  </conditionalFormatting>
  <conditionalFormatting sqref="R7662 R7407 R7152 R6897 R6642 R6387 R6132 R5877 R5622 R5367 R5112 R4857 R4602 R4347 R4092 R3837 R3582 R3327 R3072 R2817 R2562 R2307 R2052 R1797 R1542 R1287 R1032 R777 R522 R267 R12">
    <cfRule type="containsText" dxfId="719" priority="958" operator="containsText" text="NEUTRAL">
      <formula>NOT(ISERROR(SEARCH("NEUTRAL",R12)))</formula>
    </cfRule>
    <cfRule type="containsText" dxfId="718" priority="959" operator="containsText" text="BULLISH">
      <formula>NOT(ISERROR(SEARCH("BULLISH",R12)))</formula>
    </cfRule>
    <cfRule type="containsText" dxfId="717" priority="960" operator="containsText" text="BEARISH">
      <formula>NOT(ISERROR(SEARCH("BEARISH",R12)))</formula>
    </cfRule>
  </conditionalFormatting>
  <conditionalFormatting sqref="P12 P7662 P7407 P7152 P6897 P6642 P6387 P6132 P5877 P5622 P5367 P5112 P4857 P4602 P4347 P4092 P3837 P3582 P3327 P3072 P2817 P2562 P2307 P2052 P1797 P1542 P1287 P1032 P777 P522 P267">
    <cfRule type="dataBar" priority="957">
      <dataBar>
        <cfvo type="min"/>
        <cfvo type="max"/>
        <color rgb="FF638EC6"/>
      </dataBar>
      <extLst>
        <ext xmlns:x14="http://schemas.microsoft.com/office/spreadsheetml/2009/9/main" uri="{B025F937-C7B1-47D3-B67F-A62EFF666E3E}">
          <x14:id>{0BE17E2E-1EBF-43AD-AC98-7AC394E4CE55}</x14:id>
        </ext>
      </extLst>
    </cfRule>
  </conditionalFormatting>
  <conditionalFormatting sqref="R7663 R7408 R7153 R6898 R6643 R6388 R6133 R5878 R5623 R5368 R5113 R4858 R4603 R4348 R4093 R3838 R3583 R3328 R3073 R2818 R2563 R2308 R2053 R1798 R1543 R1288 R1033 R778 R523 R268 R13">
    <cfRule type="containsText" dxfId="716" priority="954" operator="containsText" text="NEUTRAL">
      <formula>NOT(ISERROR(SEARCH("NEUTRAL",R13)))</formula>
    </cfRule>
    <cfRule type="containsText" dxfId="715" priority="955" operator="containsText" text="BULLISH">
      <formula>NOT(ISERROR(SEARCH("BULLISH",R13)))</formula>
    </cfRule>
    <cfRule type="containsText" dxfId="714" priority="956" operator="containsText" text="BEARISH">
      <formula>NOT(ISERROR(SEARCH("BEARISH",R13)))</formula>
    </cfRule>
  </conditionalFormatting>
  <conditionalFormatting sqref="P13 P7663 P7408 P7153 P6898 P6643 P6388 P6133 P5878 P5623 P5368 P5113 P4858 P4603 P4348 P4093 P3838 P3583 P3328 P3073 P2818 P2563 P2308 P2053 P1798 P1543 P1288 P1033 P778 P523 P268">
    <cfRule type="dataBar" priority="953">
      <dataBar>
        <cfvo type="min"/>
        <cfvo type="max"/>
        <color rgb="FF638EC6"/>
      </dataBar>
      <extLst>
        <ext xmlns:x14="http://schemas.microsoft.com/office/spreadsheetml/2009/9/main" uri="{B025F937-C7B1-47D3-B67F-A62EFF666E3E}">
          <x14:id>{4DE70874-318B-457B-A2F2-F839E8AE93F0}</x14:id>
        </ext>
      </extLst>
    </cfRule>
  </conditionalFormatting>
  <conditionalFormatting sqref="R7664 R7409 R7154 R6899 R6644 R6389 R6134 R5879 R5624 R5369 R5114 R4859 R4604 R4349 R4094 R3839 R3584 R3329 R3074 R2819 R2564 R2309 R2054 R1799 R1544 R1289 R1034 R779 R524 R269 R14">
    <cfRule type="containsText" dxfId="713" priority="950" operator="containsText" text="NEUTRAL">
      <formula>NOT(ISERROR(SEARCH("NEUTRAL",R14)))</formula>
    </cfRule>
    <cfRule type="containsText" dxfId="712" priority="951" operator="containsText" text="BULLISH">
      <formula>NOT(ISERROR(SEARCH("BULLISH",R14)))</formula>
    </cfRule>
    <cfRule type="containsText" dxfId="711" priority="952" operator="containsText" text="BEARISH">
      <formula>NOT(ISERROR(SEARCH("BEARISH",R14)))</formula>
    </cfRule>
  </conditionalFormatting>
  <conditionalFormatting sqref="P14 P7664 P7409 P7154 P6899 P6644 P6389 P6134 P5879 P5624 P5369 P5114 P4859 P4604 P4349 P4094 P3839 P3584 P3329 P3074 P2819 P2564 P2309 P2054 P1799 P1544 P1289 P1034 P779 P524 P269">
    <cfRule type="dataBar" priority="949">
      <dataBar>
        <cfvo type="min"/>
        <cfvo type="max"/>
        <color rgb="FF638EC6"/>
      </dataBar>
      <extLst>
        <ext xmlns:x14="http://schemas.microsoft.com/office/spreadsheetml/2009/9/main" uri="{B025F937-C7B1-47D3-B67F-A62EFF666E3E}">
          <x14:id>{0FA0FED3-2BC5-4592-826D-170856E1F693}</x14:id>
        </ext>
      </extLst>
    </cfRule>
  </conditionalFormatting>
  <conditionalFormatting sqref="R7665 R7410 R7155 R6900 R6645 R6390 R6135 R5880 R5625 R5370 R5115 R4860 R4605 R4350 R4095 R3840 R3585 R3330 R3075 R2820 R2565 R2310 R2055 R1800 R1545 R1290 R1035 R780 R525 R270 R15">
    <cfRule type="containsText" dxfId="710" priority="946" operator="containsText" text="NEUTRAL">
      <formula>NOT(ISERROR(SEARCH("NEUTRAL",R15)))</formula>
    </cfRule>
    <cfRule type="containsText" dxfId="709" priority="947" operator="containsText" text="BULLISH">
      <formula>NOT(ISERROR(SEARCH("BULLISH",R15)))</formula>
    </cfRule>
    <cfRule type="containsText" dxfId="708" priority="948" operator="containsText" text="BEARISH">
      <formula>NOT(ISERROR(SEARCH("BEARISH",R15)))</formula>
    </cfRule>
  </conditionalFormatting>
  <conditionalFormatting sqref="P15 P7665 P7410 P7155 P6900 P6645 P6390 P6135 P5880 P5625 P5370 P5115 P4860 P4605 P4350 P4095 P3840 P3585 P3330 P3075 P2820 P2565 P2310 P2055 P1800 P1545 P1290 P1035 P780 P525 P270">
    <cfRule type="dataBar" priority="945">
      <dataBar>
        <cfvo type="min"/>
        <cfvo type="max"/>
        <color rgb="FF638EC6"/>
      </dataBar>
      <extLst>
        <ext xmlns:x14="http://schemas.microsoft.com/office/spreadsheetml/2009/9/main" uri="{B025F937-C7B1-47D3-B67F-A62EFF666E3E}">
          <x14:id>{AE60F7AC-FF6E-4A60-B0CE-B8EC788B712B}</x14:id>
        </ext>
      </extLst>
    </cfRule>
  </conditionalFormatting>
  <conditionalFormatting sqref="R7666 R7411 R7156 R6901 R6646 R6391 R6136 R5881 R5626 R5371 R5116 R4861 R4606 R4351 R4096 R3841 R3586 R3331 R3076 R2821 R2566 R2311 R2056 R1801 R1546 R1291 R1036 R781 R526 R271 R16">
    <cfRule type="containsText" dxfId="707" priority="942" operator="containsText" text="NEUTRAL">
      <formula>NOT(ISERROR(SEARCH("NEUTRAL",R16)))</formula>
    </cfRule>
    <cfRule type="containsText" dxfId="706" priority="943" operator="containsText" text="BULLISH">
      <formula>NOT(ISERROR(SEARCH("BULLISH",R16)))</formula>
    </cfRule>
    <cfRule type="containsText" dxfId="705" priority="944" operator="containsText" text="BEARISH">
      <formula>NOT(ISERROR(SEARCH("BEARISH",R16)))</formula>
    </cfRule>
  </conditionalFormatting>
  <conditionalFormatting sqref="P16 P7666 P7411 P7156 P6901 P6646 P6391 P6136 P5881 P5626 P5371 P5116 P4861 P4606 P4351 P4096 P3841 P3586 P3331 P3076 P2821 P2566 P2311 P2056 P1801 P1546 P1291 P1036 P781 P526 P271">
    <cfRule type="dataBar" priority="941">
      <dataBar>
        <cfvo type="min"/>
        <cfvo type="max"/>
        <color rgb="FF638EC6"/>
      </dataBar>
      <extLst>
        <ext xmlns:x14="http://schemas.microsoft.com/office/spreadsheetml/2009/9/main" uri="{B025F937-C7B1-47D3-B67F-A62EFF666E3E}">
          <x14:id>{84F6D087-F3D6-445B-94C3-809214E7FD05}</x14:id>
        </ext>
      </extLst>
    </cfRule>
  </conditionalFormatting>
  <conditionalFormatting sqref="R7667 R7412 R7157 R6902 R6647 R6392 R6137 R5882 R5627 R5372 R5117 R4862 R4607 R4352 R4097 R3842 R3587 R3332 R3077 R2822 R2567 R2312 R2057 R1802 R1547 R1292 R1037 R782 R527 R272 R17">
    <cfRule type="containsText" dxfId="704" priority="938" operator="containsText" text="NEUTRAL">
      <formula>NOT(ISERROR(SEARCH("NEUTRAL",R17)))</formula>
    </cfRule>
    <cfRule type="containsText" dxfId="703" priority="939" operator="containsText" text="BULLISH">
      <formula>NOT(ISERROR(SEARCH("BULLISH",R17)))</formula>
    </cfRule>
    <cfRule type="containsText" dxfId="702" priority="940" operator="containsText" text="BEARISH">
      <formula>NOT(ISERROR(SEARCH("BEARISH",R17)))</formula>
    </cfRule>
  </conditionalFormatting>
  <conditionalFormatting sqref="P17 P7667 P7412 P7157 P6902 P6647 P6392 P6137 P5882 P5627 P5372 P5117 P4862 P4607 P4352 P4097 P3842 P3587 P3332 P3077 P2822 P2567 P2312 P2057 P1802 P1547 P1292 P1037 P782 P527 P272">
    <cfRule type="dataBar" priority="937">
      <dataBar>
        <cfvo type="min"/>
        <cfvo type="max"/>
        <color rgb="FF638EC6"/>
      </dataBar>
      <extLst>
        <ext xmlns:x14="http://schemas.microsoft.com/office/spreadsheetml/2009/9/main" uri="{B025F937-C7B1-47D3-B67F-A62EFF666E3E}">
          <x14:id>{F8019E84-C940-4F79-B3F8-8BA7F0DE96F2}</x14:id>
        </ext>
      </extLst>
    </cfRule>
  </conditionalFormatting>
  <conditionalFormatting sqref="R7668 R7413 R7158 R6903 R6648 R6393 R6138 R5883 R5628 R5373 R5118 R4863 R4608 R4353 R4098 R3843 R3588 R3333 R3078 R2823 R2568 R2313 R2058 R1803 R1548 R1293 R1038 R783 R528 R273 R18">
    <cfRule type="containsText" dxfId="701" priority="934" operator="containsText" text="NEUTRAL">
      <formula>NOT(ISERROR(SEARCH("NEUTRAL",R18)))</formula>
    </cfRule>
    <cfRule type="containsText" dxfId="700" priority="935" operator="containsText" text="BULLISH">
      <formula>NOT(ISERROR(SEARCH("BULLISH",R18)))</formula>
    </cfRule>
    <cfRule type="containsText" dxfId="699" priority="936" operator="containsText" text="BEARISH">
      <formula>NOT(ISERROR(SEARCH("BEARISH",R18)))</formula>
    </cfRule>
  </conditionalFormatting>
  <conditionalFormatting sqref="P18 P7668 P7413 P7158 P6903 P6648 P6393 P6138 P5883 P5628 P5373 P5118 P4863 P4608 P4353 P4098 P3843 P3588 P3333 P3078 P2823 P2568 P2313 P2058 P1803 P1548 P1293 P1038 P783 P528 P273">
    <cfRule type="dataBar" priority="933">
      <dataBar>
        <cfvo type="min"/>
        <cfvo type="max"/>
        <color rgb="FF638EC6"/>
      </dataBar>
      <extLst>
        <ext xmlns:x14="http://schemas.microsoft.com/office/spreadsheetml/2009/9/main" uri="{B025F937-C7B1-47D3-B67F-A62EFF666E3E}">
          <x14:id>{54F3A0CD-6F2B-49C7-9BC6-BEB74D282249}</x14:id>
        </ext>
      </extLst>
    </cfRule>
  </conditionalFormatting>
  <conditionalFormatting sqref="R7669 R7414 R7159 R6904 R6649 R6394 R6139 R5884 R5629 R5374 R5119 R4864 R4609 R4354 R4099 R3844 R3589 R3334 R3079 R2824 R2569 R2314 R2059 R1804 R1549 R1294 R1039 R784 R529 R274 R19">
    <cfRule type="containsText" dxfId="698" priority="930" operator="containsText" text="NEUTRAL">
      <formula>NOT(ISERROR(SEARCH("NEUTRAL",R19)))</formula>
    </cfRule>
    <cfRule type="containsText" dxfId="697" priority="931" operator="containsText" text="BULLISH">
      <formula>NOT(ISERROR(SEARCH("BULLISH",R19)))</formula>
    </cfRule>
    <cfRule type="containsText" dxfId="696" priority="932" operator="containsText" text="BEARISH">
      <formula>NOT(ISERROR(SEARCH("BEARISH",R19)))</formula>
    </cfRule>
  </conditionalFormatting>
  <conditionalFormatting sqref="P19 P7669 P7414 P7159 P6904 P6649 P6394 P6139 P5884 P5629 P5374 P5119 P4864 P4609 P4354 P4099 P3844 P3589 P3334 P3079 P2824 P2569 P2314 P2059 P1804 P1549 P1294 P1039 P784 P529 P274">
    <cfRule type="dataBar" priority="929">
      <dataBar>
        <cfvo type="min"/>
        <cfvo type="max"/>
        <color rgb="FF638EC6"/>
      </dataBar>
      <extLst>
        <ext xmlns:x14="http://schemas.microsoft.com/office/spreadsheetml/2009/9/main" uri="{B025F937-C7B1-47D3-B67F-A62EFF666E3E}">
          <x14:id>{523C177F-46C1-4DC4-91FB-1456F973F6FF}</x14:id>
        </ext>
      </extLst>
    </cfRule>
  </conditionalFormatting>
  <conditionalFormatting sqref="R7670 R7415 R7160 R6905 R6650 R6395 R6140 R5885 R5630 R5375 R5120 R4865 R4610 R4355 R4100 R3845 R3590 R3335 R3080 R2825 R2570 R2315 R2060 R1805 R1550 R1295 R1040 R785 R530 R275 R20">
    <cfRule type="containsText" dxfId="695" priority="926" operator="containsText" text="NEUTRAL">
      <formula>NOT(ISERROR(SEARCH("NEUTRAL",R20)))</formula>
    </cfRule>
    <cfRule type="containsText" dxfId="694" priority="927" operator="containsText" text="BULLISH">
      <formula>NOT(ISERROR(SEARCH("BULLISH",R20)))</formula>
    </cfRule>
    <cfRule type="containsText" dxfId="693" priority="928" operator="containsText" text="BEARISH">
      <formula>NOT(ISERROR(SEARCH("BEARISH",R20)))</formula>
    </cfRule>
  </conditionalFormatting>
  <conditionalFormatting sqref="P20 P7670 P7415 P7160 P6905 P6650 P6395 P6140 P5885 P5630 P5375 P5120 P4865 P4610 P4355 P4100 P3845 P3590 P3335 P3080 P2825 P2570 P2315 P2060 P1805 P1550 P1295 P1040 P785 P530 P275">
    <cfRule type="dataBar" priority="925">
      <dataBar>
        <cfvo type="min"/>
        <cfvo type="max"/>
        <color rgb="FF638EC6"/>
      </dataBar>
      <extLst>
        <ext xmlns:x14="http://schemas.microsoft.com/office/spreadsheetml/2009/9/main" uri="{B025F937-C7B1-47D3-B67F-A62EFF666E3E}">
          <x14:id>{DCA601A1-70CA-4AF2-8883-FFD946A71A78}</x14:id>
        </ext>
      </extLst>
    </cfRule>
  </conditionalFormatting>
  <conditionalFormatting sqref="R7671 R7416 R7161 R6906 R6651 R6396 R6141 R5886 R5631 R5376 R5121 R4866 R4611 R4356 R4101 R3846 R3591 R3336 R3081 R2826 R2571 R2316 R2061 R1806 R1551 R1296 R1041 R786 R531 R276 R21">
    <cfRule type="containsText" dxfId="692" priority="922" operator="containsText" text="NEUTRAL">
      <formula>NOT(ISERROR(SEARCH("NEUTRAL",R21)))</formula>
    </cfRule>
    <cfRule type="containsText" dxfId="691" priority="923" operator="containsText" text="BULLISH">
      <formula>NOT(ISERROR(SEARCH("BULLISH",R21)))</formula>
    </cfRule>
    <cfRule type="containsText" dxfId="690" priority="924" operator="containsText" text="BEARISH">
      <formula>NOT(ISERROR(SEARCH("BEARISH",R21)))</formula>
    </cfRule>
  </conditionalFormatting>
  <conditionalFormatting sqref="P21 P7671 P7416 P7161 P6906 P6651 P6396 P6141 P5886 P5631 P5376 P5121 P4866 P4611 P4356 P4101 P3846 P3591 P3336 P3081 P2826 P2571 P2316 P2061 P1806 P1551 P1296 P1041 P786 P531 P276">
    <cfRule type="dataBar" priority="921">
      <dataBar>
        <cfvo type="min"/>
        <cfvo type="max"/>
        <color rgb="FF638EC6"/>
      </dataBar>
      <extLst>
        <ext xmlns:x14="http://schemas.microsoft.com/office/spreadsheetml/2009/9/main" uri="{B025F937-C7B1-47D3-B67F-A62EFF666E3E}">
          <x14:id>{23E127F7-AD91-441A-AA86-3FACB4DF9443}</x14:id>
        </ext>
      </extLst>
    </cfRule>
  </conditionalFormatting>
  <conditionalFormatting sqref="R7672 R7417 R7162 R6907 R6652 R6397 R6142 R5887 R5632 R5377 R5122 R4867 R4612 R4357 R4102 R3847 R3592 R3337 R3082 R2827 R2572 R2317 R2062 R1807 R1552 R1297 R1042 R787 R532 R277 R22">
    <cfRule type="containsText" dxfId="689" priority="918" operator="containsText" text="NEUTRAL">
      <formula>NOT(ISERROR(SEARCH("NEUTRAL",R22)))</formula>
    </cfRule>
    <cfRule type="containsText" dxfId="688" priority="919" operator="containsText" text="BULLISH">
      <formula>NOT(ISERROR(SEARCH("BULLISH",R22)))</formula>
    </cfRule>
    <cfRule type="containsText" dxfId="687" priority="920" operator="containsText" text="BEARISH">
      <formula>NOT(ISERROR(SEARCH("BEARISH",R22)))</formula>
    </cfRule>
  </conditionalFormatting>
  <conditionalFormatting sqref="P22 P7672 P7417 P7162 P6907 P6652 P6397 P6142 P5887 P5632 P5377 P5122 P4867 P4612 P4357 P4102 P3847 P3592 P3337 P3082 P2827 P2572 P2317 P2062 P1807 P1552 P1297 P1042 P787 P532 P277">
    <cfRule type="dataBar" priority="917">
      <dataBar>
        <cfvo type="min"/>
        <cfvo type="max"/>
        <color rgb="FF638EC6"/>
      </dataBar>
      <extLst>
        <ext xmlns:x14="http://schemas.microsoft.com/office/spreadsheetml/2009/9/main" uri="{B025F937-C7B1-47D3-B67F-A62EFF666E3E}">
          <x14:id>{C16413DD-9EDA-497E-911B-B763877022AA}</x14:id>
        </ext>
      </extLst>
    </cfRule>
  </conditionalFormatting>
  <conditionalFormatting sqref="R7673 R7418 R7163 R6908 R6653 R6398 R6143 R5888 R5633 R5378 R5123 R4868 R4613 R4358 R4103 R3848 R3593 R3338 R3083 R2828 R2573 R2318 R2063 R1808 R1553 R1298 R1043 R788 R533 R278 R23">
    <cfRule type="containsText" dxfId="686" priority="914" operator="containsText" text="NEUTRAL">
      <formula>NOT(ISERROR(SEARCH("NEUTRAL",R23)))</formula>
    </cfRule>
    <cfRule type="containsText" dxfId="685" priority="915" operator="containsText" text="BULLISH">
      <formula>NOT(ISERROR(SEARCH("BULLISH",R23)))</formula>
    </cfRule>
    <cfRule type="containsText" dxfId="684" priority="916" operator="containsText" text="BEARISH">
      <formula>NOT(ISERROR(SEARCH("BEARISH",R23)))</formula>
    </cfRule>
  </conditionalFormatting>
  <conditionalFormatting sqref="P23 P7673 P7418 P7163 P6908 P6653 P6398 P6143 P5888 P5633 P5378 P5123 P4868 P4613 P4358 P4103 P3848 P3593 P3338 P3083 P2828 P2573 P2318 P2063 P1808 P1553 P1298 P1043 P788 P533 P278">
    <cfRule type="dataBar" priority="913">
      <dataBar>
        <cfvo type="min"/>
        <cfvo type="max"/>
        <color rgb="FF638EC6"/>
      </dataBar>
      <extLst>
        <ext xmlns:x14="http://schemas.microsoft.com/office/spreadsheetml/2009/9/main" uri="{B025F937-C7B1-47D3-B67F-A62EFF666E3E}">
          <x14:id>{0C915CD3-3ACF-44F9-98A5-0BFDFA94E103}</x14:id>
        </ext>
      </extLst>
    </cfRule>
  </conditionalFormatting>
  <conditionalFormatting sqref="R7674 R7419 R7164 R6909 R6654 R6399 R6144 R5889 R5634 R5379 R5124 R4869 R4614 R4359 R4104 R3849 R3594 R3339 R3084 R2829 R2574 R2319 R2064 R1809 R1554 R1299 R1044 R789 R534 R279 R24">
    <cfRule type="containsText" dxfId="683" priority="910" operator="containsText" text="NEUTRAL">
      <formula>NOT(ISERROR(SEARCH("NEUTRAL",R24)))</formula>
    </cfRule>
    <cfRule type="containsText" dxfId="682" priority="911" operator="containsText" text="BULLISH">
      <formula>NOT(ISERROR(SEARCH("BULLISH",R24)))</formula>
    </cfRule>
    <cfRule type="containsText" dxfId="681" priority="912" operator="containsText" text="BEARISH">
      <formula>NOT(ISERROR(SEARCH("BEARISH",R24)))</formula>
    </cfRule>
  </conditionalFormatting>
  <conditionalFormatting sqref="P24 P7674 P7419 P7164 P6909 P6654 P6399 P6144 P5889 P5634 P5379 P5124 P4869 P4614 P4359 P4104 P3849 P3594 P3339 P3084 P2829 P2574 P2319 P2064 P1809 P1554 P1299 P1044 P789 P534 P279">
    <cfRule type="dataBar" priority="909">
      <dataBar>
        <cfvo type="min"/>
        <cfvo type="max"/>
        <color rgb="FF638EC6"/>
      </dataBar>
      <extLst>
        <ext xmlns:x14="http://schemas.microsoft.com/office/spreadsheetml/2009/9/main" uri="{B025F937-C7B1-47D3-B67F-A62EFF666E3E}">
          <x14:id>{7557DB68-20CD-43A5-B43D-947ACC192631}</x14:id>
        </ext>
      </extLst>
    </cfRule>
  </conditionalFormatting>
  <conditionalFormatting sqref="R7675 R7420 R7165 R6910 R6655 R6400 R6145 R5890 R5635 R5380 R5125 R4870 R4615 R4360 R4105 R3850 R3595 R3340 R3085 R2830 R2575 R2320 R2065 R1810 R1555 R1300 R1045 R790 R535 R280 R25">
    <cfRule type="containsText" dxfId="680" priority="906" operator="containsText" text="NEUTRAL">
      <formula>NOT(ISERROR(SEARCH("NEUTRAL",R25)))</formula>
    </cfRule>
    <cfRule type="containsText" dxfId="679" priority="907" operator="containsText" text="BULLISH">
      <formula>NOT(ISERROR(SEARCH("BULLISH",R25)))</formula>
    </cfRule>
    <cfRule type="containsText" dxfId="678" priority="908" operator="containsText" text="BEARISH">
      <formula>NOT(ISERROR(SEARCH("BEARISH",R25)))</formula>
    </cfRule>
  </conditionalFormatting>
  <conditionalFormatting sqref="P25 P7675 P7420 P7165 P6910 P6655 P6400 P6145 P5890 P5635 P5380 P5125 P4870 P4615 P4360 P4105 P3850 P3595 P3340 P3085 P2830 P2575 P2320 P2065 P1810 P1555 P1300 P1045 P790 P535 P280">
    <cfRule type="dataBar" priority="905">
      <dataBar>
        <cfvo type="min"/>
        <cfvo type="max"/>
        <color rgb="FF638EC6"/>
      </dataBar>
      <extLst>
        <ext xmlns:x14="http://schemas.microsoft.com/office/spreadsheetml/2009/9/main" uri="{B025F937-C7B1-47D3-B67F-A62EFF666E3E}">
          <x14:id>{6C1FDFCA-26C6-468A-BCED-DF803FBDC3D7}</x14:id>
        </ext>
      </extLst>
    </cfRule>
  </conditionalFormatting>
  <conditionalFormatting sqref="R7676 R7421 R7166 R6911 R6656 R6401 R6146 R5891 R5636 R5381 R5126 R4871 R4616 R4361 R4106 R3851 R3596 R3341 R3086 R2831 R2576 R2321 R2066 R1811 R1556 R1301 R1046 R791 R536 R281 R26">
    <cfRule type="containsText" dxfId="677" priority="902" operator="containsText" text="NEUTRAL">
      <formula>NOT(ISERROR(SEARCH("NEUTRAL",R26)))</formula>
    </cfRule>
    <cfRule type="containsText" dxfId="676" priority="903" operator="containsText" text="BULLISH">
      <formula>NOT(ISERROR(SEARCH("BULLISH",R26)))</formula>
    </cfRule>
    <cfRule type="containsText" dxfId="675" priority="904" operator="containsText" text="BEARISH">
      <formula>NOT(ISERROR(SEARCH("BEARISH",R26)))</formula>
    </cfRule>
  </conditionalFormatting>
  <conditionalFormatting sqref="P26 P7676 P7421 P7166 P6911 P6656 P6401 P6146 P5891 P5636 P5381 P5126 P4871 P4616 P4361 P4106 P3851 P3596 P3341 P3086 P2831 P2576 P2321 P2066 P1811 P1556 P1301 P1046 P791 P536 P281">
    <cfRule type="dataBar" priority="901">
      <dataBar>
        <cfvo type="min"/>
        <cfvo type="max"/>
        <color rgb="FF638EC6"/>
      </dataBar>
      <extLst>
        <ext xmlns:x14="http://schemas.microsoft.com/office/spreadsheetml/2009/9/main" uri="{B025F937-C7B1-47D3-B67F-A62EFF666E3E}">
          <x14:id>{A16D7C9C-7981-40E2-BE0C-8CC24E1A2A76}</x14:id>
        </ext>
      </extLst>
    </cfRule>
  </conditionalFormatting>
  <conditionalFormatting sqref="R7677 R7422 R7167 R6912 R6657 R6402 R6147 R5892 R5637 R5382 R5127 R4872 R4617 R4362 R4107 R3852 R3597 R3342 R3087 R2832 R2577 R2322 R2067 R1812 R1557 R1302 R1047 R792 R537 R282 R27">
    <cfRule type="containsText" dxfId="674" priority="898" operator="containsText" text="NEUTRAL">
      <formula>NOT(ISERROR(SEARCH("NEUTRAL",R27)))</formula>
    </cfRule>
    <cfRule type="containsText" dxfId="673" priority="899" operator="containsText" text="BULLISH">
      <formula>NOT(ISERROR(SEARCH("BULLISH",R27)))</formula>
    </cfRule>
    <cfRule type="containsText" dxfId="672" priority="900" operator="containsText" text="BEARISH">
      <formula>NOT(ISERROR(SEARCH("BEARISH",R27)))</formula>
    </cfRule>
  </conditionalFormatting>
  <conditionalFormatting sqref="P27 P7677 P7422 P7167 P6912 P6657 P6402 P6147 P5892 P5637 P5382 P5127 P4872 P4617 P4362 P4107 P3852 P3597 P3342 P3087 P2832 P2577 P2322 P2067 P1812 P1557 P1302 P1047 P792 P537 P282">
    <cfRule type="dataBar" priority="897">
      <dataBar>
        <cfvo type="min"/>
        <cfvo type="max"/>
        <color rgb="FF638EC6"/>
      </dataBar>
      <extLst>
        <ext xmlns:x14="http://schemas.microsoft.com/office/spreadsheetml/2009/9/main" uri="{B025F937-C7B1-47D3-B67F-A62EFF666E3E}">
          <x14:id>{41D5BE8B-CD32-4DC4-9650-7222018DA22D}</x14:id>
        </ext>
      </extLst>
    </cfRule>
  </conditionalFormatting>
  <conditionalFormatting sqref="R7678 R7423 R7168 R6913 R6658 R6403 R6148 R5893 R5638 R5383 R5128 R4873 R4618 R4363 R4108 R3853 R3598 R3343 R3088 R2833 R2578 R2323 R2068 R1813 R1558 R1303 R1048 R793 R538 R283 R28">
    <cfRule type="containsText" dxfId="671" priority="894" operator="containsText" text="NEUTRAL">
      <formula>NOT(ISERROR(SEARCH("NEUTRAL",R28)))</formula>
    </cfRule>
    <cfRule type="containsText" dxfId="670" priority="895" operator="containsText" text="BULLISH">
      <formula>NOT(ISERROR(SEARCH("BULLISH",R28)))</formula>
    </cfRule>
    <cfRule type="containsText" dxfId="669" priority="896" operator="containsText" text="BEARISH">
      <formula>NOT(ISERROR(SEARCH("BEARISH",R28)))</formula>
    </cfRule>
  </conditionalFormatting>
  <conditionalFormatting sqref="P28 P7678 P7423 P7168 P6913 P6658 P6403 P6148 P5893 P5638 P5383 P5128 P4873 P4618 P4363 P4108 P3853 P3598 P3343 P3088 P2833 P2578 P2323 P2068 P1813 P1558 P1303 P1048 P793 P538 P283">
    <cfRule type="dataBar" priority="893">
      <dataBar>
        <cfvo type="min"/>
        <cfvo type="max"/>
        <color rgb="FF638EC6"/>
      </dataBar>
      <extLst>
        <ext xmlns:x14="http://schemas.microsoft.com/office/spreadsheetml/2009/9/main" uri="{B025F937-C7B1-47D3-B67F-A62EFF666E3E}">
          <x14:id>{8AECAA98-CF72-4044-9A5B-8AEAB836A1A2}</x14:id>
        </ext>
      </extLst>
    </cfRule>
  </conditionalFormatting>
  <conditionalFormatting sqref="R7679 R7424 R7169 R6914 R6659 R6404 R6149 R5894 R5639 R5384 R5129 R4874 R4619 R4364 R4109 R3854 R3599 R3344 R3089 R2834 R2579 R2324 R2069 R1814 R1559 R1304 R1049 R794 R539 R284 R29">
    <cfRule type="containsText" dxfId="668" priority="890" operator="containsText" text="NEUTRAL">
      <formula>NOT(ISERROR(SEARCH("NEUTRAL",R29)))</formula>
    </cfRule>
    <cfRule type="containsText" dxfId="667" priority="891" operator="containsText" text="BULLISH">
      <formula>NOT(ISERROR(SEARCH("BULLISH",R29)))</formula>
    </cfRule>
    <cfRule type="containsText" dxfId="666" priority="892" operator="containsText" text="BEARISH">
      <formula>NOT(ISERROR(SEARCH("BEARISH",R29)))</formula>
    </cfRule>
  </conditionalFormatting>
  <conditionalFormatting sqref="P29 P7679 P7424 P7169 P6914 P6659 P6404 P6149 P5894 P5639 P5384 P5129 P4874 P4619 P4364 P4109 P3854 P3599 P3344 P3089 P2834 P2579 P2324 P2069 P1814 P1559 P1304 P1049 P794 P539 P284">
    <cfRule type="dataBar" priority="889">
      <dataBar>
        <cfvo type="min"/>
        <cfvo type="max"/>
        <color rgb="FF638EC6"/>
      </dataBar>
      <extLst>
        <ext xmlns:x14="http://schemas.microsoft.com/office/spreadsheetml/2009/9/main" uri="{B025F937-C7B1-47D3-B67F-A62EFF666E3E}">
          <x14:id>{D537CF7F-8049-493F-AB77-5A9B56D131CE}</x14:id>
        </ext>
      </extLst>
    </cfRule>
  </conditionalFormatting>
  <conditionalFormatting sqref="R7680 R7425 R7170 R6915 R6660 R6405 R6150 R5895 R5640 R5385 R5130 R4875 R4620 R4365 R4110 R3855 R3600 R3345 R3090 R2835 R2580 R2325 R2070 R1815 R1560 R1305 R1050 R795 R540 R285 R30">
    <cfRule type="containsText" dxfId="665" priority="886" operator="containsText" text="NEUTRAL">
      <formula>NOT(ISERROR(SEARCH("NEUTRAL",R30)))</formula>
    </cfRule>
    <cfRule type="containsText" dxfId="664" priority="887" operator="containsText" text="BULLISH">
      <formula>NOT(ISERROR(SEARCH("BULLISH",R30)))</formula>
    </cfRule>
    <cfRule type="containsText" dxfId="663" priority="888" operator="containsText" text="BEARISH">
      <formula>NOT(ISERROR(SEARCH("BEARISH",R30)))</formula>
    </cfRule>
  </conditionalFormatting>
  <conditionalFormatting sqref="P30 P7680 P7425 P7170 P6915 P6660 P6405 P6150 P5895 P5640 P5385 P5130 P4875 P4620 P4365 P4110 P3855 P3600 P3345 P3090 P2835 P2580 P2325 P2070 P1815 P1560 P1305 P1050 P795 P540 P285">
    <cfRule type="dataBar" priority="885">
      <dataBar>
        <cfvo type="min"/>
        <cfvo type="max"/>
        <color rgb="FF638EC6"/>
      </dataBar>
      <extLst>
        <ext xmlns:x14="http://schemas.microsoft.com/office/spreadsheetml/2009/9/main" uri="{B025F937-C7B1-47D3-B67F-A62EFF666E3E}">
          <x14:id>{DA06210C-30D4-430C-BE9A-1E50FF6E9EDF}</x14:id>
        </ext>
      </extLst>
    </cfRule>
  </conditionalFormatting>
  <conditionalFormatting sqref="R7681 R7426 R7171 R6916 R6661 R6406 R6151 R5896 R5641 R5386 R5131 R4876 R4621 R4366 R4111 R3856 R3601 R3346 R3091 R2836 R2581 R2326 R2071 R1816 R1561 R1306 R1051 R796 R541 R286 R31">
    <cfRule type="containsText" dxfId="662" priority="882" operator="containsText" text="NEUTRAL">
      <formula>NOT(ISERROR(SEARCH("NEUTRAL",R31)))</formula>
    </cfRule>
    <cfRule type="containsText" dxfId="661" priority="883" operator="containsText" text="BULLISH">
      <formula>NOT(ISERROR(SEARCH("BULLISH",R31)))</formula>
    </cfRule>
    <cfRule type="containsText" dxfId="660" priority="884" operator="containsText" text="BEARISH">
      <formula>NOT(ISERROR(SEARCH("BEARISH",R31)))</formula>
    </cfRule>
  </conditionalFormatting>
  <conditionalFormatting sqref="P31 P7681 P7426 P7171 P6916 P6661 P6406 P6151 P5896 P5641 P5386 P5131 P4876 P4621 P4366 P4111 P3856 P3601 P3346 P3091 P2836 P2581 P2326 P2071 P1816 P1561 P1306 P1051 P796 P541 P286">
    <cfRule type="dataBar" priority="881">
      <dataBar>
        <cfvo type="min"/>
        <cfvo type="max"/>
        <color rgb="FF638EC6"/>
      </dataBar>
      <extLst>
        <ext xmlns:x14="http://schemas.microsoft.com/office/spreadsheetml/2009/9/main" uri="{B025F937-C7B1-47D3-B67F-A62EFF666E3E}">
          <x14:id>{0CED65B2-4EED-4BE8-BBA8-61453794164C}</x14:id>
        </ext>
      </extLst>
    </cfRule>
  </conditionalFormatting>
  <conditionalFormatting sqref="R7682 R7427 R7172 R6917 R6662 R6407 R6152 R5897 R5642 R5387 R5132 R4877 R4622 R4367 R4112 R3857 R3602 R3347 R3092 R2837 R2582 R2327 R2072 R1817 R1562 R1307 R1052 R797 R542 R287 R32">
    <cfRule type="containsText" dxfId="659" priority="878" operator="containsText" text="NEUTRAL">
      <formula>NOT(ISERROR(SEARCH("NEUTRAL",R32)))</formula>
    </cfRule>
    <cfRule type="containsText" dxfId="658" priority="879" operator="containsText" text="BULLISH">
      <formula>NOT(ISERROR(SEARCH("BULLISH",R32)))</formula>
    </cfRule>
    <cfRule type="containsText" dxfId="657" priority="880" operator="containsText" text="BEARISH">
      <formula>NOT(ISERROR(SEARCH("BEARISH",R32)))</formula>
    </cfRule>
  </conditionalFormatting>
  <conditionalFormatting sqref="P32 P7682 P7427 P7172 P6917 P6662 P6407 P6152 P5897 P5642 P5387 P5132 P4877 P4622 P4367 P4112 P3857 P3602 P3347 P3092 P2837 P2582 P2327 P2072 P1817 P1562 P1307 P1052 P797 P542 P287">
    <cfRule type="dataBar" priority="877">
      <dataBar>
        <cfvo type="min"/>
        <cfvo type="max"/>
        <color rgb="FF638EC6"/>
      </dataBar>
      <extLst>
        <ext xmlns:x14="http://schemas.microsoft.com/office/spreadsheetml/2009/9/main" uri="{B025F937-C7B1-47D3-B67F-A62EFF666E3E}">
          <x14:id>{04C40078-AF82-4E81-8E9E-E1276C43C954}</x14:id>
        </ext>
      </extLst>
    </cfRule>
  </conditionalFormatting>
  <conditionalFormatting sqref="R7683 R7428 R7173 R6918 R6663 R6408 R6153 R5898 R5643 R5388 R5133 R4878 R4623 R4368 R4113 R3858 R3603 R3348 R3093 R2838 R2583 R2328 R2073 R1818 R1563 R1308 R1053 R798 R543 R288 R33">
    <cfRule type="containsText" dxfId="656" priority="874" operator="containsText" text="NEUTRAL">
      <formula>NOT(ISERROR(SEARCH("NEUTRAL",R33)))</formula>
    </cfRule>
    <cfRule type="containsText" dxfId="655" priority="875" operator="containsText" text="BULLISH">
      <formula>NOT(ISERROR(SEARCH("BULLISH",R33)))</formula>
    </cfRule>
    <cfRule type="containsText" dxfId="654" priority="876" operator="containsText" text="BEARISH">
      <formula>NOT(ISERROR(SEARCH("BEARISH",R33)))</formula>
    </cfRule>
  </conditionalFormatting>
  <conditionalFormatting sqref="P33 P7683 P7428 P7173 P6918 P6663 P6408 P6153 P5898 P5643 P5388 P5133 P4878 P4623 P4368 P4113 P3858 P3603 P3348 P3093 P2838 P2583 P2328 P2073 P1818 P1563 P1308 P1053 P798 P543 P288">
    <cfRule type="dataBar" priority="873">
      <dataBar>
        <cfvo type="min"/>
        <cfvo type="max"/>
        <color rgb="FF638EC6"/>
      </dataBar>
      <extLst>
        <ext xmlns:x14="http://schemas.microsoft.com/office/spreadsheetml/2009/9/main" uri="{B025F937-C7B1-47D3-B67F-A62EFF666E3E}">
          <x14:id>{896DA638-9B77-4B07-9468-32C89DBDC0CE}</x14:id>
        </ext>
      </extLst>
    </cfRule>
  </conditionalFormatting>
  <conditionalFormatting sqref="R7684 R7429 R7174 R6919 R6664 R6409 R6154 R5899 R5644 R5389 R5134 R4879 R4624 R4369 R4114 R3859 R3604 R3349 R3094 R2839 R2584 R2329 R2074 R1819 R1564 R1309 R1054 R799 R544 R289 R34">
    <cfRule type="containsText" dxfId="653" priority="870" operator="containsText" text="NEUTRAL">
      <formula>NOT(ISERROR(SEARCH("NEUTRAL",R34)))</formula>
    </cfRule>
    <cfRule type="containsText" dxfId="652" priority="871" operator="containsText" text="BULLISH">
      <formula>NOT(ISERROR(SEARCH("BULLISH",R34)))</formula>
    </cfRule>
    <cfRule type="containsText" dxfId="651" priority="872" operator="containsText" text="BEARISH">
      <formula>NOT(ISERROR(SEARCH("BEARISH",R34)))</formula>
    </cfRule>
  </conditionalFormatting>
  <conditionalFormatting sqref="P34 P7684 P7429 P7174 P6919 P6664 P6409 P6154 P5899 P5644 P5389 P5134 P4879 P4624 P4369 P4114 P3859 P3604 P3349 P3094 P2839 P2584 P2329 P2074 P1819 P1564 P1309 P1054 P799 P544 P289">
    <cfRule type="dataBar" priority="869">
      <dataBar>
        <cfvo type="min"/>
        <cfvo type="max"/>
        <color rgb="FF638EC6"/>
      </dataBar>
      <extLst>
        <ext xmlns:x14="http://schemas.microsoft.com/office/spreadsheetml/2009/9/main" uri="{B025F937-C7B1-47D3-B67F-A62EFF666E3E}">
          <x14:id>{CB9F78ED-8F1D-4B46-ABDC-2E3CFC81D2E4}</x14:id>
        </ext>
      </extLst>
    </cfRule>
  </conditionalFormatting>
  <conditionalFormatting sqref="R7685 R7430 R7175 R6920 R6665 R6410 R6155 R5900 R5645 R5390 R5135 R4880 R4625 R4370 R4115 R3860 R3605 R3350 R3095 R2840 R2585 R2330 R2075 R1820 R1565 R1310 R1055 R800 R545 R290 R35">
    <cfRule type="containsText" dxfId="650" priority="866" operator="containsText" text="NEUTRAL">
      <formula>NOT(ISERROR(SEARCH("NEUTRAL",R35)))</formula>
    </cfRule>
    <cfRule type="containsText" dxfId="649" priority="867" operator="containsText" text="BULLISH">
      <formula>NOT(ISERROR(SEARCH("BULLISH",R35)))</formula>
    </cfRule>
    <cfRule type="containsText" dxfId="648" priority="868" operator="containsText" text="BEARISH">
      <formula>NOT(ISERROR(SEARCH("BEARISH",R35)))</formula>
    </cfRule>
  </conditionalFormatting>
  <conditionalFormatting sqref="P35 P7685 P7430 P7175 P6920 P6665 P6410 P6155 P5900 P5645 P5390 P5135 P4880 P4625 P4370 P4115 P3860 P3605 P3350 P3095 P2840 P2585 P2330 P2075 P1820 P1565 P1310 P1055 P800 P545 P290">
    <cfRule type="dataBar" priority="865">
      <dataBar>
        <cfvo type="min"/>
        <cfvo type="max"/>
        <color rgb="FF638EC6"/>
      </dataBar>
      <extLst>
        <ext xmlns:x14="http://schemas.microsoft.com/office/spreadsheetml/2009/9/main" uri="{B025F937-C7B1-47D3-B67F-A62EFF666E3E}">
          <x14:id>{396A8326-82E5-4D29-8909-67DBD8F70BCE}</x14:id>
        </ext>
      </extLst>
    </cfRule>
  </conditionalFormatting>
  <conditionalFormatting sqref="R7686 R7431 R7176 R6921 R6666 R6411 R6156 R5901 R5646 R5391 R5136 R4881 R4626 R4371 R4116 R3861 R3606 R3351 R3096 R2841 R2586 R2331 R2076 R1821 R1566 R1311 R1056 R801 R546 R291 R36">
    <cfRule type="containsText" dxfId="647" priority="862" operator="containsText" text="NEUTRAL">
      <formula>NOT(ISERROR(SEARCH("NEUTRAL",R36)))</formula>
    </cfRule>
    <cfRule type="containsText" dxfId="646" priority="863" operator="containsText" text="BULLISH">
      <formula>NOT(ISERROR(SEARCH("BULLISH",R36)))</formula>
    </cfRule>
    <cfRule type="containsText" dxfId="645" priority="864" operator="containsText" text="BEARISH">
      <formula>NOT(ISERROR(SEARCH("BEARISH",R36)))</formula>
    </cfRule>
  </conditionalFormatting>
  <conditionalFormatting sqref="P36 P7686 P7431 P7176 P6921 P6666 P6411 P6156 P5901 P5646 P5391 P5136 P4881 P4626 P4371 P4116 P3861 P3606 P3351 P3096 P2841 P2586 P2331 P2076 P1821 P1566 P1311 P1056 P801 P546 P291">
    <cfRule type="dataBar" priority="861">
      <dataBar>
        <cfvo type="min"/>
        <cfvo type="max"/>
        <color rgb="FF638EC6"/>
      </dataBar>
      <extLst>
        <ext xmlns:x14="http://schemas.microsoft.com/office/spreadsheetml/2009/9/main" uri="{B025F937-C7B1-47D3-B67F-A62EFF666E3E}">
          <x14:id>{D958708B-5CB6-46EF-A251-44657CB5E0C9}</x14:id>
        </ext>
      </extLst>
    </cfRule>
  </conditionalFormatting>
  <conditionalFormatting sqref="R7687 R7432 R7177 R6922 R6667 R6412 R6157 R5902 R5647 R5392 R5137 R4882 R4627 R4372 R4117 R3862 R3607 R3352 R3097 R2842 R2587 R2332 R2077 R1822 R1567 R1312 R1057 R802 R547 R292 R37">
    <cfRule type="containsText" dxfId="644" priority="858" operator="containsText" text="NEUTRAL">
      <formula>NOT(ISERROR(SEARCH("NEUTRAL",R37)))</formula>
    </cfRule>
    <cfRule type="containsText" dxfId="643" priority="859" operator="containsText" text="BULLISH">
      <formula>NOT(ISERROR(SEARCH("BULLISH",R37)))</formula>
    </cfRule>
    <cfRule type="containsText" dxfId="642" priority="860" operator="containsText" text="BEARISH">
      <formula>NOT(ISERROR(SEARCH("BEARISH",R37)))</formula>
    </cfRule>
  </conditionalFormatting>
  <conditionalFormatting sqref="P37 P7687 P7432 P7177 P6922 P6667 P6412 P6157 P5902 P5647 P5392 P5137 P4882 P4627 P4372 P4117 P3862 P3607 P3352 P3097 P2842 P2587 P2332 P2077 P1822 P1567 P1312 P1057 P802 P547 P292">
    <cfRule type="dataBar" priority="857">
      <dataBar>
        <cfvo type="min"/>
        <cfvo type="max"/>
        <color rgb="FF638EC6"/>
      </dataBar>
      <extLst>
        <ext xmlns:x14="http://schemas.microsoft.com/office/spreadsheetml/2009/9/main" uri="{B025F937-C7B1-47D3-B67F-A62EFF666E3E}">
          <x14:id>{1B842ACE-C90A-4387-BA5A-D66C4FD8854F}</x14:id>
        </ext>
      </extLst>
    </cfRule>
  </conditionalFormatting>
  <conditionalFormatting sqref="R7688 R7433 R7178 R6923 R6668 R6413 R6158 R5903 R5648 R5393 R5138 R4883 R4628 R4373 R4118 R3863 R3608 R3353 R3098 R2843 R2588 R2333 R2078 R1823 R1568 R1313 R1058 R803 R548 R293 R38">
    <cfRule type="containsText" dxfId="641" priority="854" operator="containsText" text="NEUTRAL">
      <formula>NOT(ISERROR(SEARCH("NEUTRAL",R38)))</formula>
    </cfRule>
    <cfRule type="containsText" dxfId="640" priority="855" operator="containsText" text="BULLISH">
      <formula>NOT(ISERROR(SEARCH("BULLISH",R38)))</formula>
    </cfRule>
    <cfRule type="containsText" dxfId="639" priority="856" operator="containsText" text="BEARISH">
      <formula>NOT(ISERROR(SEARCH("BEARISH",R38)))</formula>
    </cfRule>
  </conditionalFormatting>
  <conditionalFormatting sqref="P38 P7688 P7433 P7178 P6923 P6668 P6413 P6158 P5903 P5648 P5393 P5138 P4883 P4628 P4373 P4118 P3863 P3608 P3353 P3098 P2843 P2588 P2333 P2078 P1823 P1568 P1313 P1058 P803 P548 P293">
    <cfRule type="dataBar" priority="853">
      <dataBar>
        <cfvo type="min"/>
        <cfvo type="max"/>
        <color rgb="FF638EC6"/>
      </dataBar>
      <extLst>
        <ext xmlns:x14="http://schemas.microsoft.com/office/spreadsheetml/2009/9/main" uri="{B025F937-C7B1-47D3-B67F-A62EFF666E3E}">
          <x14:id>{A10A8F36-83C4-4CC8-BBB2-C865E5512D84}</x14:id>
        </ext>
      </extLst>
    </cfRule>
  </conditionalFormatting>
  <conditionalFormatting sqref="R7689 R7434 R7179 R6924 R6669 R6414 R6159 R5904 R5649 R5394 R5139 R4884 R4629 R4374 R4119 R3864 R3609 R3354 R3099 R2844 R2589 R2334 R2079 R1824 R1569 R1314 R1059 R804 R549 R294 R39">
    <cfRule type="containsText" dxfId="638" priority="850" operator="containsText" text="NEUTRAL">
      <formula>NOT(ISERROR(SEARCH("NEUTRAL",R39)))</formula>
    </cfRule>
    <cfRule type="containsText" dxfId="637" priority="851" operator="containsText" text="BULLISH">
      <formula>NOT(ISERROR(SEARCH("BULLISH",R39)))</formula>
    </cfRule>
    <cfRule type="containsText" dxfId="636" priority="852" operator="containsText" text="BEARISH">
      <formula>NOT(ISERROR(SEARCH("BEARISH",R39)))</formula>
    </cfRule>
  </conditionalFormatting>
  <conditionalFormatting sqref="P39 P7689 P7434 P7179 P6924 P6669 P6414 P6159 P5904 P5649 P5394 P5139 P4884 P4629 P4374 P4119 P3864 P3609 P3354 P3099 P2844 P2589 P2334 P2079 P1824 P1569 P1314 P1059 P804 P549 P294">
    <cfRule type="dataBar" priority="849">
      <dataBar>
        <cfvo type="min"/>
        <cfvo type="max"/>
        <color rgb="FF638EC6"/>
      </dataBar>
      <extLst>
        <ext xmlns:x14="http://schemas.microsoft.com/office/spreadsheetml/2009/9/main" uri="{B025F937-C7B1-47D3-B67F-A62EFF666E3E}">
          <x14:id>{79AD2E1A-19B9-447B-AC62-730084CA42D2}</x14:id>
        </ext>
      </extLst>
    </cfRule>
  </conditionalFormatting>
  <conditionalFormatting sqref="R7690 R7435 R7180 R6925 R6670 R6415 R6160 R5905 R5650 R5395 R5140 R4885 R4630 R4375 R4120 R3865 R3610 R3355 R3100 R2845 R2590 R2335 R2080 R1825 R1570 R1315 R1060 R805 R550 R295 R40">
    <cfRule type="containsText" dxfId="635" priority="846" operator="containsText" text="NEUTRAL">
      <formula>NOT(ISERROR(SEARCH("NEUTRAL",R40)))</formula>
    </cfRule>
    <cfRule type="containsText" dxfId="634" priority="847" operator="containsText" text="BULLISH">
      <formula>NOT(ISERROR(SEARCH("BULLISH",R40)))</formula>
    </cfRule>
    <cfRule type="containsText" dxfId="633" priority="848" operator="containsText" text="BEARISH">
      <formula>NOT(ISERROR(SEARCH("BEARISH",R40)))</formula>
    </cfRule>
  </conditionalFormatting>
  <conditionalFormatting sqref="P40 P7690 P7435 P7180 P6925 P6670 P6415 P6160 P5905 P5650 P5395 P5140 P4885 P4630 P4375 P4120 P3865 P3610 P3355 P3100 P2845 P2590 P2335 P2080 P1825 P1570 P1315 P1060 P805 P550 P295">
    <cfRule type="dataBar" priority="845">
      <dataBar>
        <cfvo type="min"/>
        <cfvo type="max"/>
        <color rgb="FF638EC6"/>
      </dataBar>
      <extLst>
        <ext xmlns:x14="http://schemas.microsoft.com/office/spreadsheetml/2009/9/main" uri="{B025F937-C7B1-47D3-B67F-A62EFF666E3E}">
          <x14:id>{A2DC1D25-F7C9-48F8-BF8D-9766322BB1FE}</x14:id>
        </ext>
      </extLst>
    </cfRule>
  </conditionalFormatting>
  <conditionalFormatting sqref="R7691 R7436 R7181 R6926 R6671 R6416 R6161 R5906 R5651 R5396 R5141 R4886 R4631 R4376 R4121 R3866 R3611 R3356 R3101 R2846 R2591 R2336 R2081 R1826 R1571 R1316 R1061 R806 R551 R296 R41">
    <cfRule type="containsText" dxfId="632" priority="842" operator="containsText" text="NEUTRAL">
      <formula>NOT(ISERROR(SEARCH("NEUTRAL",R41)))</formula>
    </cfRule>
    <cfRule type="containsText" dxfId="631" priority="843" operator="containsText" text="BULLISH">
      <formula>NOT(ISERROR(SEARCH("BULLISH",R41)))</formula>
    </cfRule>
    <cfRule type="containsText" dxfId="630" priority="844" operator="containsText" text="BEARISH">
      <formula>NOT(ISERROR(SEARCH("BEARISH",R41)))</formula>
    </cfRule>
  </conditionalFormatting>
  <conditionalFormatting sqref="P41 P7691 P7436 P7181 P6926 P6671 P6416 P6161 P5906 P5651 P5396 P5141 P4886 P4631 P4376 P4121 P3866 P3611 P3356 P3101 P2846 P2591 P2336 P2081 P1826 P1571 P1316 P1061 P806 P551 P296">
    <cfRule type="dataBar" priority="841">
      <dataBar>
        <cfvo type="min"/>
        <cfvo type="max"/>
        <color rgb="FF638EC6"/>
      </dataBar>
      <extLst>
        <ext xmlns:x14="http://schemas.microsoft.com/office/spreadsheetml/2009/9/main" uri="{B025F937-C7B1-47D3-B67F-A62EFF666E3E}">
          <x14:id>{B9CAFDA4-17BD-476B-9FB8-3A3FD9153204}</x14:id>
        </ext>
      </extLst>
    </cfRule>
  </conditionalFormatting>
  <conditionalFormatting sqref="R7692 R7437 R7182 R6927 R6672 R6417 R6162 R5907 R5652 R5397 R5142 R4887 R4632 R4377 R4122 R3867 R3612 R3357 R3102 R2847 R2592 R2337 R2082 R1827 R1572 R1317 R1062 R807 R552 R297 R42">
    <cfRule type="containsText" dxfId="629" priority="838" operator="containsText" text="NEUTRAL">
      <formula>NOT(ISERROR(SEARCH("NEUTRAL",R42)))</formula>
    </cfRule>
    <cfRule type="containsText" dxfId="628" priority="839" operator="containsText" text="BULLISH">
      <formula>NOT(ISERROR(SEARCH("BULLISH",R42)))</formula>
    </cfRule>
    <cfRule type="containsText" dxfId="627" priority="840" operator="containsText" text="BEARISH">
      <formula>NOT(ISERROR(SEARCH("BEARISH",R42)))</formula>
    </cfRule>
  </conditionalFormatting>
  <conditionalFormatting sqref="P42 P7692 P7437 P7182 P6927 P6672 P6417 P6162 P5907 P5652 P5397 P5142 P4887 P4632 P4377 P4122 P3867 P3612 P3357 P3102 P2847 P2592 P2337 P2082 P1827 P1572 P1317 P1062 P807 P552 P297">
    <cfRule type="dataBar" priority="837">
      <dataBar>
        <cfvo type="min"/>
        <cfvo type="max"/>
        <color rgb="FF638EC6"/>
      </dataBar>
      <extLst>
        <ext xmlns:x14="http://schemas.microsoft.com/office/spreadsheetml/2009/9/main" uri="{B025F937-C7B1-47D3-B67F-A62EFF666E3E}">
          <x14:id>{33CB3C8C-C52A-44A0-8E0A-467B8C25615D}</x14:id>
        </ext>
      </extLst>
    </cfRule>
  </conditionalFormatting>
  <conditionalFormatting sqref="R7693 R7438 R7183 R6928 R6673 R6418 R6163 R5908 R5653 R5398 R5143 R4888 R4633 R4378 R4123 R3868 R3613 R3358 R3103 R2848 R2593 R2338 R2083 R1828 R1573 R1318 R1063 R808 R553 R298 R43">
    <cfRule type="containsText" dxfId="626" priority="834" operator="containsText" text="NEUTRAL">
      <formula>NOT(ISERROR(SEARCH("NEUTRAL",R43)))</formula>
    </cfRule>
    <cfRule type="containsText" dxfId="625" priority="835" operator="containsText" text="BULLISH">
      <formula>NOT(ISERROR(SEARCH("BULLISH",R43)))</formula>
    </cfRule>
    <cfRule type="containsText" dxfId="624" priority="836" operator="containsText" text="BEARISH">
      <formula>NOT(ISERROR(SEARCH("BEARISH",R43)))</formula>
    </cfRule>
  </conditionalFormatting>
  <conditionalFormatting sqref="P43 P7693 P7438 P7183 P6928 P6673 P6418 P6163 P5908 P5653 P5398 P5143 P4888 P4633 P4378 P4123 P3868 P3613 P3358 P3103 P2848 P2593 P2338 P2083 P1828 P1573 P1318 P1063 P808 P553 P298">
    <cfRule type="dataBar" priority="833">
      <dataBar>
        <cfvo type="min"/>
        <cfvo type="max"/>
        <color rgb="FF638EC6"/>
      </dataBar>
      <extLst>
        <ext xmlns:x14="http://schemas.microsoft.com/office/spreadsheetml/2009/9/main" uri="{B025F937-C7B1-47D3-B67F-A62EFF666E3E}">
          <x14:id>{84F9BBE2-95F8-4B12-B292-E3DCA3751174}</x14:id>
        </ext>
      </extLst>
    </cfRule>
  </conditionalFormatting>
  <conditionalFormatting sqref="R7694 R7439 R7184 R6929 R6674 R6419 R6164 R5909 R5654 R5399 R5144 R4889 R4634 R4379 R4124 R3869 R3614 R3359 R3104 R2849 R2594 R2339 R2084 R1829 R1574 R1319 R1064 R809 R554 R299 R44">
    <cfRule type="containsText" dxfId="623" priority="830" operator="containsText" text="NEUTRAL">
      <formula>NOT(ISERROR(SEARCH("NEUTRAL",R44)))</formula>
    </cfRule>
    <cfRule type="containsText" dxfId="622" priority="831" operator="containsText" text="BULLISH">
      <formula>NOT(ISERROR(SEARCH("BULLISH",R44)))</formula>
    </cfRule>
    <cfRule type="containsText" dxfId="621" priority="832" operator="containsText" text="BEARISH">
      <formula>NOT(ISERROR(SEARCH("BEARISH",R44)))</formula>
    </cfRule>
  </conditionalFormatting>
  <conditionalFormatting sqref="P44 P7694 P7439 P7184 P6929 P6674 P6419 P6164 P5909 P5654 P5399 P5144 P4889 P4634 P4379 P4124 P3869 P3614 P3359 P3104 P2849 P2594 P2339 P2084 P1829 P1574 P1319 P1064 P809 P554 P299">
    <cfRule type="dataBar" priority="829">
      <dataBar>
        <cfvo type="min"/>
        <cfvo type="max"/>
        <color rgb="FF638EC6"/>
      </dataBar>
      <extLst>
        <ext xmlns:x14="http://schemas.microsoft.com/office/spreadsheetml/2009/9/main" uri="{B025F937-C7B1-47D3-B67F-A62EFF666E3E}">
          <x14:id>{B9D845F7-00FD-4DA9-B103-1CD90C6DEEBC}</x14:id>
        </ext>
      </extLst>
    </cfRule>
  </conditionalFormatting>
  <conditionalFormatting sqref="R7695 R7440 R7185 R6930 R6675 R6420 R6165 R5910 R5655 R5400 R5145 R4890 R4635 R4380 R4125 R3870 R3615 R3360 R3105 R2850 R2595 R2340 R2085 R1830 R1575 R1320 R1065 R810 R555 R300 R45">
    <cfRule type="containsText" dxfId="620" priority="826" operator="containsText" text="NEUTRAL">
      <formula>NOT(ISERROR(SEARCH("NEUTRAL",R45)))</formula>
    </cfRule>
    <cfRule type="containsText" dxfId="619" priority="827" operator="containsText" text="BULLISH">
      <formula>NOT(ISERROR(SEARCH("BULLISH",R45)))</formula>
    </cfRule>
    <cfRule type="containsText" dxfId="618" priority="828" operator="containsText" text="BEARISH">
      <formula>NOT(ISERROR(SEARCH("BEARISH",R45)))</formula>
    </cfRule>
  </conditionalFormatting>
  <conditionalFormatting sqref="P45 P7695 P7440 P7185 P6930 P6675 P6420 P6165 P5910 P5655 P5400 P5145 P4890 P4635 P4380 P4125 P3870 P3615 P3360 P3105 P2850 P2595 P2340 P2085 P1830 P1575 P1320 P1065 P810 P555 P300">
    <cfRule type="dataBar" priority="825">
      <dataBar>
        <cfvo type="min"/>
        <cfvo type="max"/>
        <color rgb="FF638EC6"/>
      </dataBar>
      <extLst>
        <ext xmlns:x14="http://schemas.microsoft.com/office/spreadsheetml/2009/9/main" uri="{B025F937-C7B1-47D3-B67F-A62EFF666E3E}">
          <x14:id>{24B40495-F227-4730-A750-D031880AD184}</x14:id>
        </ext>
      </extLst>
    </cfRule>
  </conditionalFormatting>
  <conditionalFormatting sqref="R7696 R7441 R7186 R6931 R6676 R6421 R6166 R5911 R5656 R5401 R5146 R4891 R4636 R4381 R4126 R3871 R3616 R3361 R3106 R2851 R2596 R2341 R2086 R1831 R1576 R1321 R1066 R811 R556 R301 R46">
    <cfRule type="containsText" dxfId="617" priority="822" operator="containsText" text="NEUTRAL">
      <formula>NOT(ISERROR(SEARCH("NEUTRAL",R46)))</formula>
    </cfRule>
    <cfRule type="containsText" dxfId="616" priority="823" operator="containsText" text="BULLISH">
      <formula>NOT(ISERROR(SEARCH("BULLISH",R46)))</formula>
    </cfRule>
    <cfRule type="containsText" dxfId="615" priority="824" operator="containsText" text="BEARISH">
      <formula>NOT(ISERROR(SEARCH("BEARISH",R46)))</formula>
    </cfRule>
  </conditionalFormatting>
  <conditionalFormatting sqref="P46 P7696 P7441 P7186 P6931 P6676 P6421 P6166 P5911 P5656 P5401 P5146 P4891 P4636 P4381 P4126 P3871 P3616 P3361 P3106 P2851 P2596 P2341 P2086 P1831 P1576 P1321 P1066 P811 P556 P301">
    <cfRule type="dataBar" priority="821">
      <dataBar>
        <cfvo type="min"/>
        <cfvo type="max"/>
        <color rgb="FF638EC6"/>
      </dataBar>
      <extLst>
        <ext xmlns:x14="http://schemas.microsoft.com/office/spreadsheetml/2009/9/main" uri="{B025F937-C7B1-47D3-B67F-A62EFF666E3E}">
          <x14:id>{9BF34FBE-FA5A-4F03-91DF-43C9692F9ABD}</x14:id>
        </ext>
      </extLst>
    </cfRule>
  </conditionalFormatting>
  <conditionalFormatting sqref="R7697 R7442 R7187 R6932 R6677 R6422 R6167 R5912 R5657 R5402 R5147 R4892 R4637 R4382 R4127 R3872 R3617 R3362 R3107 R2852 R2597 R2342 R2087 R1832 R1577 R1322 R1067 R812 R557 R302 R47">
    <cfRule type="containsText" dxfId="614" priority="818" operator="containsText" text="NEUTRAL">
      <formula>NOT(ISERROR(SEARCH("NEUTRAL",R47)))</formula>
    </cfRule>
    <cfRule type="containsText" dxfId="613" priority="819" operator="containsText" text="BULLISH">
      <formula>NOT(ISERROR(SEARCH("BULLISH",R47)))</formula>
    </cfRule>
    <cfRule type="containsText" dxfId="612" priority="820" operator="containsText" text="BEARISH">
      <formula>NOT(ISERROR(SEARCH("BEARISH",R47)))</formula>
    </cfRule>
  </conditionalFormatting>
  <conditionalFormatting sqref="P47 P7697 P7442 P7187 P6932 P6677 P6422 P6167 P5912 P5657 P5402 P5147 P4892 P4637 P4382 P4127 P3872 P3617 P3362 P3107 P2852 P2597 P2342 P2087 P1832 P1577 P1322 P1067 P812 P557 P302">
    <cfRule type="dataBar" priority="817">
      <dataBar>
        <cfvo type="min"/>
        <cfvo type="max"/>
        <color rgb="FF638EC6"/>
      </dataBar>
      <extLst>
        <ext xmlns:x14="http://schemas.microsoft.com/office/spreadsheetml/2009/9/main" uri="{B025F937-C7B1-47D3-B67F-A62EFF666E3E}">
          <x14:id>{077C2C14-7F9B-4678-A866-1FA4366BFD6B}</x14:id>
        </ext>
      </extLst>
    </cfRule>
  </conditionalFormatting>
  <conditionalFormatting sqref="R7698 R7443 R7188 R6933 R6678 R6423 R6168 R5913 R5658 R5403 R5148 R4893 R4638 R4383 R4128 R3873 R3618 R3363 R3108 R2853 R2598 R2343 R2088 R1833 R1578 R1323 R1068 R813 R558 R303 R48">
    <cfRule type="containsText" dxfId="611" priority="814" operator="containsText" text="NEUTRAL">
      <formula>NOT(ISERROR(SEARCH("NEUTRAL",R48)))</formula>
    </cfRule>
    <cfRule type="containsText" dxfId="610" priority="815" operator="containsText" text="BULLISH">
      <formula>NOT(ISERROR(SEARCH("BULLISH",R48)))</formula>
    </cfRule>
    <cfRule type="containsText" dxfId="609" priority="816" operator="containsText" text="BEARISH">
      <formula>NOT(ISERROR(SEARCH("BEARISH",R48)))</formula>
    </cfRule>
  </conditionalFormatting>
  <conditionalFormatting sqref="P48 P7698 P7443 P7188 P6933 P6678 P6423 P6168 P5913 P5658 P5403 P5148 P4893 P4638 P4383 P4128 P3873 P3618 P3363 P3108 P2853 P2598 P2343 P2088 P1833 P1578 P1323 P1068 P813 P558 P303">
    <cfRule type="dataBar" priority="813">
      <dataBar>
        <cfvo type="min"/>
        <cfvo type="max"/>
        <color rgb="FF638EC6"/>
      </dataBar>
      <extLst>
        <ext xmlns:x14="http://schemas.microsoft.com/office/spreadsheetml/2009/9/main" uri="{B025F937-C7B1-47D3-B67F-A62EFF666E3E}">
          <x14:id>{850325E4-0D3B-4CDD-B60E-F9C9B1D0AA9C}</x14:id>
        </ext>
      </extLst>
    </cfRule>
  </conditionalFormatting>
  <conditionalFormatting sqref="R7699 R7444 R7189 R6934 R6679 R6424 R6169 R5914 R5659 R5404 R5149 R4894 R4639 R4384 R4129 R3874 R3619 R3364 R3109 R2854 R2599 R2344 R2089 R1834 R1579 R1324 R1069 R814 R559 R304 R49">
    <cfRule type="containsText" dxfId="608" priority="810" operator="containsText" text="NEUTRAL">
      <formula>NOT(ISERROR(SEARCH("NEUTRAL",R49)))</formula>
    </cfRule>
    <cfRule type="containsText" dxfId="607" priority="811" operator="containsText" text="BULLISH">
      <formula>NOT(ISERROR(SEARCH("BULLISH",R49)))</formula>
    </cfRule>
    <cfRule type="containsText" dxfId="606" priority="812" operator="containsText" text="BEARISH">
      <formula>NOT(ISERROR(SEARCH("BEARISH",R49)))</formula>
    </cfRule>
  </conditionalFormatting>
  <conditionalFormatting sqref="P49 P7699 P7444 P7189 P6934 P6679 P6424 P6169 P5914 P5659 P5404 P5149 P4894 P4639 P4384 P4129 P3874 P3619 P3364 P3109 P2854 P2599 P2344 P2089 P1834 P1579 P1324 P1069 P814 P559 P304">
    <cfRule type="dataBar" priority="809">
      <dataBar>
        <cfvo type="min"/>
        <cfvo type="max"/>
        <color rgb="FF638EC6"/>
      </dataBar>
      <extLst>
        <ext xmlns:x14="http://schemas.microsoft.com/office/spreadsheetml/2009/9/main" uri="{B025F937-C7B1-47D3-B67F-A62EFF666E3E}">
          <x14:id>{681272BD-3965-442C-BA93-295C90254BCB}</x14:id>
        </ext>
      </extLst>
    </cfRule>
  </conditionalFormatting>
  <conditionalFormatting sqref="R7700 R7445 R7190 R6935 R6680 R6425 R6170 R5915 R5660 R5405 R5150 R4895 R4640 R4385 R4130 R3875 R3620 R3365 R3110 R2855 R2600 R2345 R2090 R1835 R1580 R1325 R1070 R815 R560 R305 R50">
    <cfRule type="containsText" dxfId="605" priority="806" operator="containsText" text="NEUTRAL">
      <formula>NOT(ISERROR(SEARCH("NEUTRAL",R50)))</formula>
    </cfRule>
    <cfRule type="containsText" dxfId="604" priority="807" operator="containsText" text="BULLISH">
      <formula>NOT(ISERROR(SEARCH("BULLISH",R50)))</formula>
    </cfRule>
    <cfRule type="containsText" dxfId="603" priority="808" operator="containsText" text="BEARISH">
      <formula>NOT(ISERROR(SEARCH("BEARISH",R50)))</formula>
    </cfRule>
  </conditionalFormatting>
  <conditionalFormatting sqref="P50 P7700 P7445 P7190 P6935 P6680 P6425 P6170 P5915 P5660 P5405 P5150 P4895 P4640 P4385 P4130 P3875 P3620 P3365 P3110 P2855 P2600 P2345 P2090 P1835 P1580 P1325 P1070 P815 P560 P305">
    <cfRule type="dataBar" priority="805">
      <dataBar>
        <cfvo type="min"/>
        <cfvo type="max"/>
        <color rgb="FF638EC6"/>
      </dataBar>
      <extLst>
        <ext xmlns:x14="http://schemas.microsoft.com/office/spreadsheetml/2009/9/main" uri="{B025F937-C7B1-47D3-B67F-A62EFF666E3E}">
          <x14:id>{772E61DE-6622-4A9D-A042-01DAEAEA4BBB}</x14:id>
        </ext>
      </extLst>
    </cfRule>
  </conditionalFormatting>
  <conditionalFormatting sqref="R7701 R7446 R7191 R6936 R6681 R6426 R6171 R5916 R5661 R5406 R5151 R4896 R4641 R4386 R4131 R3876 R3621 R3366 R3111 R2856 R2601 R2346 R2091 R1836 R1581 R1326 R1071 R816 R561 R306 R51">
    <cfRule type="containsText" dxfId="602" priority="802" operator="containsText" text="NEUTRAL">
      <formula>NOT(ISERROR(SEARCH("NEUTRAL",R51)))</formula>
    </cfRule>
    <cfRule type="containsText" dxfId="601" priority="803" operator="containsText" text="BULLISH">
      <formula>NOT(ISERROR(SEARCH("BULLISH",R51)))</formula>
    </cfRule>
    <cfRule type="containsText" dxfId="600" priority="804" operator="containsText" text="BEARISH">
      <formula>NOT(ISERROR(SEARCH("BEARISH",R51)))</formula>
    </cfRule>
  </conditionalFormatting>
  <conditionalFormatting sqref="P51 P7701 P7446 P7191 P6936 P6681 P6426 P6171 P5916 P5661 P5406 P5151 P4896 P4641 P4386 P4131 P3876 P3621 P3366 P3111 P2856 P2601 P2346 P2091 P1836 P1581 P1326 P1071 P816 P561 P306">
    <cfRule type="dataBar" priority="801">
      <dataBar>
        <cfvo type="min"/>
        <cfvo type="max"/>
        <color rgb="FF638EC6"/>
      </dataBar>
      <extLst>
        <ext xmlns:x14="http://schemas.microsoft.com/office/spreadsheetml/2009/9/main" uri="{B025F937-C7B1-47D3-B67F-A62EFF666E3E}">
          <x14:id>{FDB6DEFD-42D2-4829-98B0-B36E14F7E6A5}</x14:id>
        </ext>
      </extLst>
    </cfRule>
  </conditionalFormatting>
  <conditionalFormatting sqref="R7702 R7447 R7192 R6937 R6682 R6427 R6172 R5917 R5662 R5407 R5152 R4897 R4642 R4387 R4132 R3877 R3622 R3367 R3112 R2857 R2602 R2347 R2092 R1837 R1582 R1327 R1072 R817 R562 R307 R52">
    <cfRule type="containsText" dxfId="599" priority="798" operator="containsText" text="NEUTRAL">
      <formula>NOT(ISERROR(SEARCH("NEUTRAL",R52)))</formula>
    </cfRule>
    <cfRule type="containsText" dxfId="598" priority="799" operator="containsText" text="BULLISH">
      <formula>NOT(ISERROR(SEARCH("BULLISH",R52)))</formula>
    </cfRule>
    <cfRule type="containsText" dxfId="597" priority="800" operator="containsText" text="BEARISH">
      <formula>NOT(ISERROR(SEARCH("BEARISH",R52)))</formula>
    </cfRule>
  </conditionalFormatting>
  <conditionalFormatting sqref="P52 P7702 P7447 P7192 P6937 P6682 P6427 P6172 P5917 P5662 P5407 P5152 P4897 P4642 P4387 P4132 P3877 P3622 P3367 P3112 P2857 P2602 P2347 P2092 P1837 P1582 P1327 P1072 P817 P562 P307">
    <cfRule type="dataBar" priority="797">
      <dataBar>
        <cfvo type="min"/>
        <cfvo type="max"/>
        <color rgb="FF638EC6"/>
      </dataBar>
      <extLst>
        <ext xmlns:x14="http://schemas.microsoft.com/office/spreadsheetml/2009/9/main" uri="{B025F937-C7B1-47D3-B67F-A62EFF666E3E}">
          <x14:id>{C050FE6D-D894-49A2-B9EE-1488BFDF9076}</x14:id>
        </ext>
      </extLst>
    </cfRule>
  </conditionalFormatting>
  <conditionalFormatting sqref="R7703 R7448 R7193 R6938 R6683 R6428 R6173 R5918 R5663 R5408 R5153 R4898 R4643 R4388 R4133 R3878 R3623 R3368 R3113 R2858 R2603 R2348 R2093 R1838 R1583 R1328 R1073 R818 R563 R308 R53">
    <cfRule type="containsText" dxfId="596" priority="794" operator="containsText" text="NEUTRAL">
      <formula>NOT(ISERROR(SEARCH("NEUTRAL",R53)))</formula>
    </cfRule>
    <cfRule type="containsText" dxfId="595" priority="795" operator="containsText" text="BULLISH">
      <formula>NOT(ISERROR(SEARCH("BULLISH",R53)))</formula>
    </cfRule>
    <cfRule type="containsText" dxfId="594" priority="796" operator="containsText" text="BEARISH">
      <formula>NOT(ISERROR(SEARCH("BEARISH",R53)))</formula>
    </cfRule>
  </conditionalFormatting>
  <conditionalFormatting sqref="P53 P7703 P7448 P7193 P6938 P6683 P6428 P6173 P5918 P5663 P5408 P5153 P4898 P4643 P4388 P4133 P3878 P3623 P3368 P3113 P2858 P2603 P2348 P2093 P1838 P1583 P1328 P1073 P818 P563 P308">
    <cfRule type="dataBar" priority="793">
      <dataBar>
        <cfvo type="min"/>
        <cfvo type="max"/>
        <color rgb="FF638EC6"/>
      </dataBar>
      <extLst>
        <ext xmlns:x14="http://schemas.microsoft.com/office/spreadsheetml/2009/9/main" uri="{B025F937-C7B1-47D3-B67F-A62EFF666E3E}">
          <x14:id>{4A0C8FC0-C170-429B-819E-21449AEED354}</x14:id>
        </ext>
      </extLst>
    </cfRule>
  </conditionalFormatting>
  <conditionalFormatting sqref="R7704 R7449 R7194 R6939 R6684 R6429 R6174 R5919 R5664 R5409 R5154 R4899 R4644 R4389 R4134 R3879 R3624 R3369 R3114 R2859 R2604 R2349 R2094 R1839 R1584 R1329 R1074 R819 R564 R309 R54">
    <cfRule type="containsText" dxfId="593" priority="790" operator="containsText" text="NEUTRAL">
      <formula>NOT(ISERROR(SEARCH("NEUTRAL",R54)))</formula>
    </cfRule>
    <cfRule type="containsText" dxfId="592" priority="791" operator="containsText" text="BULLISH">
      <formula>NOT(ISERROR(SEARCH("BULLISH",R54)))</formula>
    </cfRule>
    <cfRule type="containsText" dxfId="591" priority="792" operator="containsText" text="BEARISH">
      <formula>NOT(ISERROR(SEARCH("BEARISH",R54)))</formula>
    </cfRule>
  </conditionalFormatting>
  <conditionalFormatting sqref="P54 P7704 P7449 P7194 P6939 P6684 P6429 P6174 P5919 P5664 P5409 P5154 P4899 P4644 P4389 P4134 P3879 P3624 P3369 P3114 P2859 P2604 P2349 P2094 P1839 P1584 P1329 P1074 P819 P564 P309">
    <cfRule type="dataBar" priority="789">
      <dataBar>
        <cfvo type="min"/>
        <cfvo type="max"/>
        <color rgb="FF638EC6"/>
      </dataBar>
      <extLst>
        <ext xmlns:x14="http://schemas.microsoft.com/office/spreadsheetml/2009/9/main" uri="{B025F937-C7B1-47D3-B67F-A62EFF666E3E}">
          <x14:id>{35B8C93A-FC3F-4C7D-BDBC-D4D43B40750E}</x14:id>
        </ext>
      </extLst>
    </cfRule>
  </conditionalFormatting>
  <conditionalFormatting sqref="R7705 R7450 R7195 R6940 R6685 R6430 R6175 R5920 R5665 R5410 R5155 R4900 R4645 R4390 R4135 R3880 R3625 R3370 R3115 R2860 R2605 R2350 R2095 R1840 R1585 R1330 R1075 R820 R565 R310 R55">
    <cfRule type="containsText" dxfId="590" priority="786" operator="containsText" text="NEUTRAL">
      <formula>NOT(ISERROR(SEARCH("NEUTRAL",R55)))</formula>
    </cfRule>
    <cfRule type="containsText" dxfId="589" priority="787" operator="containsText" text="BULLISH">
      <formula>NOT(ISERROR(SEARCH("BULLISH",R55)))</formula>
    </cfRule>
    <cfRule type="containsText" dxfId="588" priority="788" operator="containsText" text="BEARISH">
      <formula>NOT(ISERROR(SEARCH("BEARISH",R55)))</formula>
    </cfRule>
  </conditionalFormatting>
  <conditionalFormatting sqref="P55 P7705 P7450 P7195 P6940 P6685 P6430 P6175 P5920 P5665 P5410 P5155 P4900 P4645 P4390 P4135 P3880 P3625 P3370 P3115 P2860 P2605 P2350 P2095 P1840 P1585 P1330 P1075 P820 P565 P310">
    <cfRule type="dataBar" priority="785">
      <dataBar>
        <cfvo type="min"/>
        <cfvo type="max"/>
        <color rgb="FF638EC6"/>
      </dataBar>
      <extLst>
        <ext xmlns:x14="http://schemas.microsoft.com/office/spreadsheetml/2009/9/main" uri="{B025F937-C7B1-47D3-B67F-A62EFF666E3E}">
          <x14:id>{B2D695B2-438F-4438-91DF-B4968D5DAA28}</x14:id>
        </ext>
      </extLst>
    </cfRule>
  </conditionalFormatting>
  <conditionalFormatting sqref="R7706 R7451 R7196 R6941 R6686 R6431 R6176 R5921 R5666 R5411 R5156 R4901 R4646 R4391 R4136 R3881 R3626 R3371 R3116 R2861 R2606 R2351 R2096 R1841 R1586 R1331 R1076 R821 R566 R311 R56">
    <cfRule type="containsText" dxfId="587" priority="782" operator="containsText" text="NEUTRAL">
      <formula>NOT(ISERROR(SEARCH("NEUTRAL",R56)))</formula>
    </cfRule>
    <cfRule type="containsText" dxfId="586" priority="783" operator="containsText" text="BULLISH">
      <formula>NOT(ISERROR(SEARCH("BULLISH",R56)))</formula>
    </cfRule>
    <cfRule type="containsText" dxfId="585" priority="784" operator="containsText" text="BEARISH">
      <formula>NOT(ISERROR(SEARCH("BEARISH",R56)))</formula>
    </cfRule>
  </conditionalFormatting>
  <conditionalFormatting sqref="P56 P7706 P7451 P7196 P6941 P6686 P6431 P6176 P5921 P5666 P5411 P5156 P4901 P4646 P4391 P4136 P3881 P3626 P3371 P3116 P2861 P2606 P2351 P2096 P1841 P1586 P1331 P1076 P821 P566 P311">
    <cfRule type="dataBar" priority="781">
      <dataBar>
        <cfvo type="min"/>
        <cfvo type="max"/>
        <color rgb="FF638EC6"/>
      </dataBar>
      <extLst>
        <ext xmlns:x14="http://schemas.microsoft.com/office/spreadsheetml/2009/9/main" uri="{B025F937-C7B1-47D3-B67F-A62EFF666E3E}">
          <x14:id>{D78A0B96-5AE1-44BB-8ADD-1C5A4AA71987}</x14:id>
        </ext>
      </extLst>
    </cfRule>
  </conditionalFormatting>
  <conditionalFormatting sqref="R7707 R7452 R7197 R6942 R6687 R6432 R6177 R5922 R5667 R5412 R5157 R4902 R4647 R4392 R4137 R3882 R3627 R3372 R3117 R2862 R2607 R2352 R2097 R1842 R1587 R1332 R1077 R822 R567 R312 R57">
    <cfRule type="containsText" dxfId="584" priority="778" operator="containsText" text="NEUTRAL">
      <formula>NOT(ISERROR(SEARCH("NEUTRAL",R57)))</formula>
    </cfRule>
    <cfRule type="containsText" dxfId="583" priority="779" operator="containsText" text="BULLISH">
      <formula>NOT(ISERROR(SEARCH("BULLISH",R57)))</formula>
    </cfRule>
    <cfRule type="containsText" dxfId="582" priority="780" operator="containsText" text="BEARISH">
      <formula>NOT(ISERROR(SEARCH("BEARISH",R57)))</formula>
    </cfRule>
  </conditionalFormatting>
  <conditionalFormatting sqref="P57 P7707 P7452 P7197 P6942 P6687 P6432 P6177 P5922 P5667 P5412 P5157 P4902 P4647 P4392 P4137 P3882 P3627 P3372 P3117 P2862 P2607 P2352 P2097 P1842 P1587 P1332 P1077 P822 P567 P312">
    <cfRule type="dataBar" priority="777">
      <dataBar>
        <cfvo type="min"/>
        <cfvo type="max"/>
        <color rgb="FF638EC6"/>
      </dataBar>
      <extLst>
        <ext xmlns:x14="http://schemas.microsoft.com/office/spreadsheetml/2009/9/main" uri="{B025F937-C7B1-47D3-B67F-A62EFF666E3E}">
          <x14:id>{D3A44C1E-0194-425C-84C9-4CAEF5988741}</x14:id>
        </ext>
      </extLst>
    </cfRule>
  </conditionalFormatting>
  <conditionalFormatting sqref="R7712 R7457 R7202 R6947 R6692 R6437 R6182 R5927 R5672 R5417 R5162 R4907 R4652 R4397 R4142 R3887 R3632 R3377 R3122 R2867 R2612 R2357 R2102 R1847 R1592 R1337 R1082 R827 R572 R317 R62">
    <cfRule type="containsText" dxfId="581" priority="774" operator="containsText" text="NEUTRAL">
      <formula>NOT(ISERROR(SEARCH("NEUTRAL",R62)))</formula>
    </cfRule>
    <cfRule type="containsText" dxfId="580" priority="775" operator="containsText" text="BULLISH">
      <formula>NOT(ISERROR(SEARCH("BULLISH",R62)))</formula>
    </cfRule>
    <cfRule type="containsText" dxfId="579" priority="776" operator="containsText" text="BEARISH">
      <formula>NOT(ISERROR(SEARCH("BEARISH",R62)))</formula>
    </cfRule>
  </conditionalFormatting>
  <conditionalFormatting sqref="P62 P7712 P7457 P7202 P6947 P6692 P6437 P6182 P5927 P5672 P5417 P5162 P4907 P4652 P4397 P4142 P3887 P3632 P3377 P3122 P2867 P2612 P2357 P2102 P1847 P1592 P1337 P1082 P827 P572 P317">
    <cfRule type="dataBar" priority="773">
      <dataBar>
        <cfvo type="min"/>
        <cfvo type="max"/>
        <color rgb="FF638EC6"/>
      </dataBar>
      <extLst>
        <ext xmlns:x14="http://schemas.microsoft.com/office/spreadsheetml/2009/9/main" uri="{B025F937-C7B1-47D3-B67F-A62EFF666E3E}">
          <x14:id>{2DED0269-892F-44C6-97ED-57140C423E60}</x14:id>
        </ext>
      </extLst>
    </cfRule>
  </conditionalFormatting>
  <conditionalFormatting sqref="R7713 R7458 R7203 R6948 R6693 R6438 R6183 R5928 R5673 R5418 R5163 R4908 R4653 R4398 R4143 R3888 R3633 R3378 R3123 R2868 R2613 R2358 R2103 R1848 R1593 R1338 R1083 R828 R573 R318 R63">
    <cfRule type="containsText" dxfId="578" priority="770" operator="containsText" text="NEUTRAL">
      <formula>NOT(ISERROR(SEARCH("NEUTRAL",R63)))</formula>
    </cfRule>
    <cfRule type="containsText" dxfId="577" priority="771" operator="containsText" text="BULLISH">
      <formula>NOT(ISERROR(SEARCH("BULLISH",R63)))</formula>
    </cfRule>
    <cfRule type="containsText" dxfId="576" priority="772" operator="containsText" text="BEARISH">
      <formula>NOT(ISERROR(SEARCH("BEARISH",R63)))</formula>
    </cfRule>
  </conditionalFormatting>
  <conditionalFormatting sqref="P63 P7713 P7458 P7203 P6948 P6693 P6438 P6183 P5928 P5673 P5418 P5163 P4908 P4653 P4398 P4143 P3888 P3633 P3378 P3123 P2868 P2613 P2358 P2103 P1848 P1593 P1338 P1083 P828 P573 P318">
    <cfRule type="dataBar" priority="769">
      <dataBar>
        <cfvo type="min"/>
        <cfvo type="max"/>
        <color rgb="FF638EC6"/>
      </dataBar>
      <extLst>
        <ext xmlns:x14="http://schemas.microsoft.com/office/spreadsheetml/2009/9/main" uri="{B025F937-C7B1-47D3-B67F-A62EFF666E3E}">
          <x14:id>{0F5C3DDA-CA45-40B2-B5B6-DBCE4BE79FC7}</x14:id>
        </ext>
      </extLst>
    </cfRule>
  </conditionalFormatting>
  <conditionalFormatting sqref="R7714 R7459 R7204 R6949 R6694 R6439 R6184 R5929 R5674 R5419 R5164 R4909 R4654 R4399 R4144 R3889 R3634 R3379 R3124 R2869 R2614 R2359 R2104 R1849 R1594 R1339 R1084 R829 R574 R319 R64">
    <cfRule type="containsText" dxfId="575" priority="766" operator="containsText" text="NEUTRAL">
      <formula>NOT(ISERROR(SEARCH("NEUTRAL",R64)))</formula>
    </cfRule>
    <cfRule type="containsText" dxfId="574" priority="767" operator="containsText" text="BULLISH">
      <formula>NOT(ISERROR(SEARCH("BULLISH",R64)))</formula>
    </cfRule>
    <cfRule type="containsText" dxfId="573" priority="768" operator="containsText" text="BEARISH">
      <formula>NOT(ISERROR(SEARCH("BEARISH",R64)))</formula>
    </cfRule>
  </conditionalFormatting>
  <conditionalFormatting sqref="P64 P7714 P7459 P7204 P6949 P6694 P6439 P6184 P5929 P5674 P5419 P5164 P4909 P4654 P4399 P4144 P3889 P3634 P3379 P3124 P2869 P2614 P2359 P2104 P1849 P1594 P1339 P1084 P829 P574 P319">
    <cfRule type="dataBar" priority="765">
      <dataBar>
        <cfvo type="min"/>
        <cfvo type="max"/>
        <color rgb="FF638EC6"/>
      </dataBar>
      <extLst>
        <ext xmlns:x14="http://schemas.microsoft.com/office/spreadsheetml/2009/9/main" uri="{B025F937-C7B1-47D3-B67F-A62EFF666E3E}">
          <x14:id>{C896E289-4277-42DD-A9DE-F8A53D138CF7}</x14:id>
        </ext>
      </extLst>
    </cfRule>
  </conditionalFormatting>
  <conditionalFormatting sqref="R7715 R7460 R7205 R6950 R6695 R6440 R6185 R5930 R5675 R5420 R5165 R4910 R4655 R4400 R4145 R3890 R3635 R3380 R3125 R2870 R2615 R2360 R2105 R1850 R1595 R1340 R1085 R830 R575 R320 R65">
    <cfRule type="containsText" dxfId="572" priority="762" operator="containsText" text="NEUTRAL">
      <formula>NOT(ISERROR(SEARCH("NEUTRAL",R65)))</formula>
    </cfRule>
    <cfRule type="containsText" dxfId="571" priority="763" operator="containsText" text="BULLISH">
      <formula>NOT(ISERROR(SEARCH("BULLISH",R65)))</formula>
    </cfRule>
    <cfRule type="containsText" dxfId="570" priority="764" operator="containsText" text="BEARISH">
      <formula>NOT(ISERROR(SEARCH("BEARISH",R65)))</formula>
    </cfRule>
  </conditionalFormatting>
  <conditionalFormatting sqref="P65 P7715 P7460 P7205 P6950 P6695 P6440 P6185 P5930 P5675 P5420 P5165 P4910 P4655 P4400 P4145 P3890 P3635 P3380 P3125 P2870 P2615 P2360 P2105 P1850 P1595 P1340 P1085 P830 P575 P320">
    <cfRule type="dataBar" priority="761">
      <dataBar>
        <cfvo type="min"/>
        <cfvo type="max"/>
        <color rgb="FF638EC6"/>
      </dataBar>
      <extLst>
        <ext xmlns:x14="http://schemas.microsoft.com/office/spreadsheetml/2009/9/main" uri="{B025F937-C7B1-47D3-B67F-A62EFF666E3E}">
          <x14:id>{E470A47D-02CF-4165-BACC-4ABACF0D7B22}</x14:id>
        </ext>
      </extLst>
    </cfRule>
  </conditionalFormatting>
  <conditionalFormatting sqref="R7716 R7461 R7206 R6951 R6696 R6441 R6186 R5931 R5676 R5421 R5166 R4911 R4656 R4401 R4146 R3891 R3636 R3381 R3126 R2871 R2616 R2361 R2106 R1851 R1596 R1341 R1086 R831 R576 R321 R66">
    <cfRule type="containsText" dxfId="569" priority="758" operator="containsText" text="NEUTRAL">
      <formula>NOT(ISERROR(SEARCH("NEUTRAL",R66)))</formula>
    </cfRule>
    <cfRule type="containsText" dxfId="568" priority="759" operator="containsText" text="BULLISH">
      <formula>NOT(ISERROR(SEARCH("BULLISH",R66)))</formula>
    </cfRule>
    <cfRule type="containsText" dxfId="567" priority="760" operator="containsText" text="BEARISH">
      <formula>NOT(ISERROR(SEARCH("BEARISH",R66)))</formula>
    </cfRule>
  </conditionalFormatting>
  <conditionalFormatting sqref="P66 P7716 P7461 P7206 P6951 P6696 P6441 P6186 P5931 P5676 P5421 P5166 P4911 P4656 P4401 P4146 P3891 P3636 P3381 P3126 P2871 P2616 P2361 P2106 P1851 P1596 P1341 P1086 P831 P576 P321">
    <cfRule type="dataBar" priority="757">
      <dataBar>
        <cfvo type="min"/>
        <cfvo type="max"/>
        <color rgb="FF638EC6"/>
      </dataBar>
      <extLst>
        <ext xmlns:x14="http://schemas.microsoft.com/office/spreadsheetml/2009/9/main" uri="{B025F937-C7B1-47D3-B67F-A62EFF666E3E}">
          <x14:id>{FF7BAD83-0B24-475F-96E8-7E9475B689DF}</x14:id>
        </ext>
      </extLst>
    </cfRule>
  </conditionalFormatting>
  <conditionalFormatting sqref="R7717 R7462 R7207 R6952 R6697 R6442 R6187 R5932 R5677 R5422 R5167 R4912 R4657 R4402 R4147 R3892 R3637 R3382 R3127 R2872 R2617 R2362 R2107 R1852 R1597 R1342 R1087 R832 R577 R322 R67">
    <cfRule type="containsText" dxfId="566" priority="754" operator="containsText" text="NEUTRAL">
      <formula>NOT(ISERROR(SEARCH("NEUTRAL",R67)))</formula>
    </cfRule>
    <cfRule type="containsText" dxfId="565" priority="755" operator="containsText" text="BULLISH">
      <formula>NOT(ISERROR(SEARCH("BULLISH",R67)))</formula>
    </cfRule>
    <cfRule type="containsText" dxfId="564" priority="756" operator="containsText" text="BEARISH">
      <formula>NOT(ISERROR(SEARCH("BEARISH",R67)))</formula>
    </cfRule>
  </conditionalFormatting>
  <conditionalFormatting sqref="P67 P7717 P7462 P7207 P6952 P6697 P6442 P6187 P5932 P5677 P5422 P5167 P4912 P4657 P4402 P4147 P3892 P3637 P3382 P3127 P2872 P2617 P2362 P2107 P1852 P1597 P1342 P1087 P832 P577 P322">
    <cfRule type="dataBar" priority="753">
      <dataBar>
        <cfvo type="min"/>
        <cfvo type="max"/>
        <color rgb="FF638EC6"/>
      </dataBar>
      <extLst>
        <ext xmlns:x14="http://schemas.microsoft.com/office/spreadsheetml/2009/9/main" uri="{B025F937-C7B1-47D3-B67F-A62EFF666E3E}">
          <x14:id>{2AE405D2-4950-4E76-BAD5-9DB231732AA0}</x14:id>
        </ext>
      </extLst>
    </cfRule>
  </conditionalFormatting>
  <conditionalFormatting sqref="R7718 R7463 R7208 R6953 R6698 R6443 R6188 R5933 R5678 R5423 R5168 R4913 R4658 R4403 R4148 R3893 R3638 R3383 R3128 R2873 R2618 R2363 R2108 R1853 R1598 R1343 R1088 R833 R578 R323 R68">
    <cfRule type="containsText" dxfId="563" priority="750" operator="containsText" text="NEUTRAL">
      <formula>NOT(ISERROR(SEARCH("NEUTRAL",R68)))</formula>
    </cfRule>
    <cfRule type="containsText" dxfId="562" priority="751" operator="containsText" text="BULLISH">
      <formula>NOT(ISERROR(SEARCH("BULLISH",R68)))</formula>
    </cfRule>
    <cfRule type="containsText" dxfId="561" priority="752" operator="containsText" text="BEARISH">
      <formula>NOT(ISERROR(SEARCH("BEARISH",R68)))</formula>
    </cfRule>
  </conditionalFormatting>
  <conditionalFormatting sqref="P68 P7718 P7463 P7208 P6953 P6698 P6443 P6188 P5933 P5678 P5423 P5168 P4913 P4658 P4403 P4148 P3893 P3638 P3383 P3128 P2873 P2618 P2363 P2108 P1853 P1598 P1343 P1088 P833 P578 P323">
    <cfRule type="dataBar" priority="749">
      <dataBar>
        <cfvo type="min"/>
        <cfvo type="max"/>
        <color rgb="FF638EC6"/>
      </dataBar>
      <extLst>
        <ext xmlns:x14="http://schemas.microsoft.com/office/spreadsheetml/2009/9/main" uri="{B025F937-C7B1-47D3-B67F-A62EFF666E3E}">
          <x14:id>{5163040E-58C2-4041-9CD7-E9E5A7A6554B}</x14:id>
        </ext>
      </extLst>
    </cfRule>
  </conditionalFormatting>
  <conditionalFormatting sqref="R7719 R7464 R7209 R6954 R6699 R6444 R6189 R5934 R5679 R5424 R5169 R4914 R4659 R4404 R4149 R3894 R3639 R3384 R3129 R2874 R2619 R2364 R2109 R1854 R1599 R1344 R1089 R834 R579 R324 R69">
    <cfRule type="containsText" dxfId="560" priority="746" operator="containsText" text="NEUTRAL">
      <formula>NOT(ISERROR(SEARCH("NEUTRAL",R69)))</formula>
    </cfRule>
    <cfRule type="containsText" dxfId="559" priority="747" operator="containsText" text="BULLISH">
      <formula>NOT(ISERROR(SEARCH("BULLISH",R69)))</formula>
    </cfRule>
    <cfRule type="containsText" dxfId="558" priority="748" operator="containsText" text="BEARISH">
      <formula>NOT(ISERROR(SEARCH("BEARISH",R69)))</formula>
    </cfRule>
  </conditionalFormatting>
  <conditionalFormatting sqref="P69 P7719 P7464 P7209 P6954 P6699 P6444 P6189 P5934 P5679 P5424 P5169 P4914 P4659 P4404 P4149 P3894 P3639 P3384 P3129 P2874 P2619 P2364 P2109 P1854 P1599 P1344 P1089 P834 P579 P324">
    <cfRule type="dataBar" priority="745">
      <dataBar>
        <cfvo type="min"/>
        <cfvo type="max"/>
        <color rgb="FF638EC6"/>
      </dataBar>
      <extLst>
        <ext xmlns:x14="http://schemas.microsoft.com/office/spreadsheetml/2009/9/main" uri="{B025F937-C7B1-47D3-B67F-A62EFF666E3E}">
          <x14:id>{C913FF0A-D5AD-4E8C-BE13-E16509BDC695}</x14:id>
        </ext>
      </extLst>
    </cfRule>
  </conditionalFormatting>
  <conditionalFormatting sqref="R7720 R7465 R7210 R6955 R6700 R6445 R6190 R5935 R5680 R5425 R5170 R4915 R4660 R4405 R4150 R3895 R3640 R3385 R3130 R2875 R2620 R2365 R2110 R1855 R1600 R1345 R1090 R835 R580 R325 R70">
    <cfRule type="containsText" dxfId="557" priority="742" operator="containsText" text="NEUTRAL">
      <formula>NOT(ISERROR(SEARCH("NEUTRAL",R70)))</formula>
    </cfRule>
    <cfRule type="containsText" dxfId="556" priority="743" operator="containsText" text="BULLISH">
      <formula>NOT(ISERROR(SEARCH("BULLISH",R70)))</formula>
    </cfRule>
    <cfRule type="containsText" dxfId="555" priority="744" operator="containsText" text="BEARISH">
      <formula>NOT(ISERROR(SEARCH("BEARISH",R70)))</formula>
    </cfRule>
  </conditionalFormatting>
  <conditionalFormatting sqref="P70 P7720 P7465 P7210 P6955 P6700 P6445 P6190 P5935 P5680 P5425 P5170 P4915 P4660 P4405 P4150 P3895 P3640 P3385 P3130 P2875 P2620 P2365 P2110 P1855 P1600 P1345 P1090 P835 P580 P325">
    <cfRule type="dataBar" priority="741">
      <dataBar>
        <cfvo type="min"/>
        <cfvo type="max"/>
        <color rgb="FF638EC6"/>
      </dataBar>
      <extLst>
        <ext xmlns:x14="http://schemas.microsoft.com/office/spreadsheetml/2009/9/main" uri="{B025F937-C7B1-47D3-B67F-A62EFF666E3E}">
          <x14:id>{D6501DBF-D217-453E-A36B-3E2500FCC2DE}</x14:id>
        </ext>
      </extLst>
    </cfRule>
  </conditionalFormatting>
  <conditionalFormatting sqref="R7721 R7466 R7211 R6956 R6701 R6446 R6191 R5936 R5681 R5426 R5171 R4916 R4661 R4406 R4151 R3896 R3641 R3386 R3131 R2876 R2621 R2366 R2111 R1856 R1601 R1346 R1091 R836 R581 R326 R71">
    <cfRule type="containsText" dxfId="554" priority="738" operator="containsText" text="NEUTRAL">
      <formula>NOT(ISERROR(SEARCH("NEUTRAL",R71)))</formula>
    </cfRule>
    <cfRule type="containsText" dxfId="553" priority="739" operator="containsText" text="BULLISH">
      <formula>NOT(ISERROR(SEARCH("BULLISH",R71)))</formula>
    </cfRule>
    <cfRule type="containsText" dxfId="552" priority="740" operator="containsText" text="BEARISH">
      <formula>NOT(ISERROR(SEARCH("BEARISH",R71)))</formula>
    </cfRule>
  </conditionalFormatting>
  <conditionalFormatting sqref="P71 P7721 P7466 P7211 P6956 P6701 P6446 P6191 P5936 P5681 P5426 P5171 P4916 P4661 P4406 P4151 P3896 P3641 P3386 P3131 P2876 P2621 P2366 P2111 P1856 P1601 P1346 P1091 P836 P581 P326">
    <cfRule type="dataBar" priority="737">
      <dataBar>
        <cfvo type="min"/>
        <cfvo type="max"/>
        <color rgb="FF638EC6"/>
      </dataBar>
      <extLst>
        <ext xmlns:x14="http://schemas.microsoft.com/office/spreadsheetml/2009/9/main" uri="{B025F937-C7B1-47D3-B67F-A62EFF666E3E}">
          <x14:id>{9F914A30-E505-41B3-B9B1-0643F5168BBB}</x14:id>
        </ext>
      </extLst>
    </cfRule>
  </conditionalFormatting>
  <conditionalFormatting sqref="R7722 R7467 R7212 R6957 R6702 R6447 R6192 R5937 R5682 R5427 R5172 R4917 R4662 R4407 R4152 R3897 R3642 R3387 R3132 R2877 R2622 R2367 R2112 R1857 R1602 R1347 R1092 R837 R582 R327 R72">
    <cfRule type="containsText" dxfId="551" priority="734" operator="containsText" text="NEUTRAL">
      <formula>NOT(ISERROR(SEARCH("NEUTRAL",R72)))</formula>
    </cfRule>
    <cfRule type="containsText" dxfId="550" priority="735" operator="containsText" text="BULLISH">
      <formula>NOT(ISERROR(SEARCH("BULLISH",R72)))</formula>
    </cfRule>
    <cfRule type="containsText" dxfId="549" priority="736" operator="containsText" text="BEARISH">
      <formula>NOT(ISERROR(SEARCH("BEARISH",R72)))</formula>
    </cfRule>
  </conditionalFormatting>
  <conditionalFormatting sqref="P72 P7722 P7467 P7212 P6957 P6702 P6447 P6192 P5937 P5682 P5427 P5172 P4917 P4662 P4407 P4152 P3897 P3642 P3387 P3132 P2877 P2622 P2367 P2112 P1857 P1602 P1347 P1092 P837 P582 P327">
    <cfRule type="dataBar" priority="733">
      <dataBar>
        <cfvo type="min"/>
        <cfvo type="max"/>
        <color rgb="FF638EC6"/>
      </dataBar>
      <extLst>
        <ext xmlns:x14="http://schemas.microsoft.com/office/spreadsheetml/2009/9/main" uri="{B025F937-C7B1-47D3-B67F-A62EFF666E3E}">
          <x14:id>{79DD245C-E0BD-40B2-860D-64F8CA325E64}</x14:id>
        </ext>
      </extLst>
    </cfRule>
  </conditionalFormatting>
  <conditionalFormatting sqref="R7723 R7468 R7213 R6958 R6703 R6448 R6193 R5938 R5683 R5428 R5173 R4918 R4663 R4408 R4153 R3898 R3643 R3388 R3133 R2878 R2623 R2368 R2113 R1858 R1603 R1348 R1093 R838 R583 R328 R73">
    <cfRule type="containsText" dxfId="548" priority="730" operator="containsText" text="NEUTRAL">
      <formula>NOT(ISERROR(SEARCH("NEUTRAL",R73)))</formula>
    </cfRule>
    <cfRule type="containsText" dxfId="547" priority="731" operator="containsText" text="BULLISH">
      <formula>NOT(ISERROR(SEARCH("BULLISH",R73)))</formula>
    </cfRule>
    <cfRule type="containsText" dxfId="546" priority="732" operator="containsText" text="BEARISH">
      <formula>NOT(ISERROR(SEARCH("BEARISH",R73)))</formula>
    </cfRule>
  </conditionalFormatting>
  <conditionalFormatting sqref="P73 P7723 P7468 P7213 P6958 P6703 P6448 P6193 P5938 P5683 P5428 P5173 P4918 P4663 P4408 P4153 P3898 P3643 P3388 P3133 P2878 P2623 P2368 P2113 P1858 P1603 P1348 P1093 P838 P583 P328">
    <cfRule type="dataBar" priority="729">
      <dataBar>
        <cfvo type="min"/>
        <cfvo type="max"/>
        <color rgb="FF638EC6"/>
      </dataBar>
      <extLst>
        <ext xmlns:x14="http://schemas.microsoft.com/office/spreadsheetml/2009/9/main" uri="{B025F937-C7B1-47D3-B67F-A62EFF666E3E}">
          <x14:id>{20DBE604-A300-4555-B177-368FCDD8B9EF}</x14:id>
        </ext>
      </extLst>
    </cfRule>
  </conditionalFormatting>
  <conditionalFormatting sqref="R7724 R7469 R7214 R6959 R6704 R6449 R6194 R5939 R5684 R5429 R5174 R4919 R4664 R4409 R4154 R3899 R3644 R3389 R3134 R2879 R2624 R2369 R2114 R1859 R1604 R1349 R1094 R839 R584 R329 R74">
    <cfRule type="containsText" dxfId="545" priority="726" operator="containsText" text="NEUTRAL">
      <formula>NOT(ISERROR(SEARCH("NEUTRAL",R74)))</formula>
    </cfRule>
    <cfRule type="containsText" dxfId="544" priority="727" operator="containsText" text="BULLISH">
      <formula>NOT(ISERROR(SEARCH("BULLISH",R74)))</formula>
    </cfRule>
    <cfRule type="containsText" dxfId="543" priority="728" operator="containsText" text="BEARISH">
      <formula>NOT(ISERROR(SEARCH("BEARISH",R74)))</formula>
    </cfRule>
  </conditionalFormatting>
  <conditionalFormatting sqref="P74 P7724 P7469 P7214 P6959 P6704 P6449 P6194 P5939 P5684 P5429 P5174 P4919 P4664 P4409 P4154 P3899 P3644 P3389 P3134 P2879 P2624 P2369 P2114 P1859 P1604 P1349 P1094 P839 P584 P329">
    <cfRule type="dataBar" priority="725">
      <dataBar>
        <cfvo type="min"/>
        <cfvo type="max"/>
        <color rgb="FF638EC6"/>
      </dataBar>
      <extLst>
        <ext xmlns:x14="http://schemas.microsoft.com/office/spreadsheetml/2009/9/main" uri="{B025F937-C7B1-47D3-B67F-A62EFF666E3E}">
          <x14:id>{C722AEED-33ED-48DA-A590-E40C698B4DD4}</x14:id>
        </ext>
      </extLst>
    </cfRule>
  </conditionalFormatting>
  <conditionalFormatting sqref="R7725 R7470 R7215 R6960 R6705 R6450 R6195 R5940 R5685 R5430 R5175 R4920 R4665 R4410 R4155 R3900 R3645 R3390 R3135 R2880 R2625 R2370 R2115 R1860 R1605 R1350 R1095 R840 R585 R330 R75">
    <cfRule type="containsText" dxfId="542" priority="722" operator="containsText" text="NEUTRAL">
      <formula>NOT(ISERROR(SEARCH("NEUTRAL",R75)))</formula>
    </cfRule>
    <cfRule type="containsText" dxfId="541" priority="723" operator="containsText" text="BULLISH">
      <formula>NOT(ISERROR(SEARCH("BULLISH",R75)))</formula>
    </cfRule>
    <cfRule type="containsText" dxfId="540" priority="724" operator="containsText" text="BEARISH">
      <formula>NOT(ISERROR(SEARCH("BEARISH",R75)))</formula>
    </cfRule>
  </conditionalFormatting>
  <conditionalFormatting sqref="P75 P7725 P7470 P7215 P6960 P6705 P6450 P6195 P5940 P5685 P5430 P5175 P4920 P4665 P4410 P4155 P3900 P3645 P3390 P3135 P2880 P2625 P2370 P2115 P1860 P1605 P1350 P1095 P840 P585 P330">
    <cfRule type="dataBar" priority="721">
      <dataBar>
        <cfvo type="min"/>
        <cfvo type="max"/>
        <color rgb="FF638EC6"/>
      </dataBar>
      <extLst>
        <ext xmlns:x14="http://schemas.microsoft.com/office/spreadsheetml/2009/9/main" uri="{B025F937-C7B1-47D3-B67F-A62EFF666E3E}">
          <x14:id>{356499B2-4E24-478F-A85D-C98972D26DEC}</x14:id>
        </ext>
      </extLst>
    </cfRule>
  </conditionalFormatting>
  <conditionalFormatting sqref="R7726 R7471 R7216 R6961 R6706 R6451 R6196 R5941 R5686 R5431 R5176 R4921 R4666 R4411 R4156 R3901 R3646 R3391 R3136 R2881 R2626 R2371 R2116 R1861 R1606 R1351 R1096 R841 R586 R331 R76">
    <cfRule type="containsText" dxfId="539" priority="718" operator="containsText" text="NEUTRAL">
      <formula>NOT(ISERROR(SEARCH("NEUTRAL",R76)))</formula>
    </cfRule>
    <cfRule type="containsText" dxfId="538" priority="719" operator="containsText" text="BULLISH">
      <formula>NOT(ISERROR(SEARCH("BULLISH",R76)))</formula>
    </cfRule>
    <cfRule type="containsText" dxfId="537" priority="720" operator="containsText" text="BEARISH">
      <formula>NOT(ISERROR(SEARCH("BEARISH",R76)))</formula>
    </cfRule>
  </conditionalFormatting>
  <conditionalFormatting sqref="P76 P7726 P7471 P7216 P6961 P6706 P6451 P6196 P5941 P5686 P5431 P5176 P4921 P4666 P4411 P4156 P3901 P3646 P3391 P3136 P2881 P2626 P2371 P2116 P1861 P1606 P1351 P1096 P841 P586 P331">
    <cfRule type="dataBar" priority="717">
      <dataBar>
        <cfvo type="min"/>
        <cfvo type="max"/>
        <color rgb="FF638EC6"/>
      </dataBar>
      <extLst>
        <ext xmlns:x14="http://schemas.microsoft.com/office/spreadsheetml/2009/9/main" uri="{B025F937-C7B1-47D3-B67F-A62EFF666E3E}">
          <x14:id>{D97D11A8-1D5B-426A-A36F-EA4904591BD9}</x14:id>
        </ext>
      </extLst>
    </cfRule>
  </conditionalFormatting>
  <conditionalFormatting sqref="R7727 R7472 R7217 R6962 R6707 R6452 R6197 R5942 R5687 R5432 R5177 R4922 R4667 R4412 R4157 R3902 R3647 R3392 R3137 R2882 R2627 R2372 R2117 R1862 R1607 R1352 R1097 R842 R587 R332 R77">
    <cfRule type="containsText" dxfId="536" priority="714" operator="containsText" text="NEUTRAL">
      <formula>NOT(ISERROR(SEARCH("NEUTRAL",R77)))</formula>
    </cfRule>
    <cfRule type="containsText" dxfId="535" priority="715" operator="containsText" text="BULLISH">
      <formula>NOT(ISERROR(SEARCH("BULLISH",R77)))</formula>
    </cfRule>
    <cfRule type="containsText" dxfId="534" priority="716" operator="containsText" text="BEARISH">
      <formula>NOT(ISERROR(SEARCH("BEARISH",R77)))</formula>
    </cfRule>
  </conditionalFormatting>
  <conditionalFormatting sqref="P77 P7727 P7472 P7217 P6962 P6707 P6452 P6197 P5942 P5687 P5432 P5177 P4922 P4667 P4412 P4157 P3902 P3647 P3392 P3137 P2882 P2627 P2372 P2117 P1862 P1607 P1352 P1097 P842 P587 P332">
    <cfRule type="dataBar" priority="713">
      <dataBar>
        <cfvo type="min"/>
        <cfvo type="max"/>
        <color rgb="FF638EC6"/>
      </dataBar>
      <extLst>
        <ext xmlns:x14="http://schemas.microsoft.com/office/spreadsheetml/2009/9/main" uri="{B025F937-C7B1-47D3-B67F-A62EFF666E3E}">
          <x14:id>{73F4BBB9-C1CE-4548-9302-C243E4C42760}</x14:id>
        </ext>
      </extLst>
    </cfRule>
  </conditionalFormatting>
  <conditionalFormatting sqref="R7728 R7473 R7218 R6963 R6708 R6453 R6198 R5943 R5688 R5433 R5178 R4923 R4668 R4413 R4158 R3903 R3648 R3393 R3138 R2883 R2628 R2373 R2118 R1863 R1608 R1353 R1098 R843 R588 R333 R78">
    <cfRule type="containsText" dxfId="533" priority="710" operator="containsText" text="NEUTRAL">
      <formula>NOT(ISERROR(SEARCH("NEUTRAL",R78)))</formula>
    </cfRule>
    <cfRule type="containsText" dxfId="532" priority="711" operator="containsText" text="BULLISH">
      <formula>NOT(ISERROR(SEARCH("BULLISH",R78)))</formula>
    </cfRule>
    <cfRule type="containsText" dxfId="531" priority="712" operator="containsText" text="BEARISH">
      <formula>NOT(ISERROR(SEARCH("BEARISH",R78)))</formula>
    </cfRule>
  </conditionalFormatting>
  <conditionalFormatting sqref="P78 P7728 P7473 P7218 P6963 P6708 P6453 P6198 P5943 P5688 P5433 P5178 P4923 P4668 P4413 P4158 P3903 P3648 P3393 P3138 P2883 P2628 P2373 P2118 P1863 P1608 P1353 P1098 P843 P588 P333">
    <cfRule type="dataBar" priority="709">
      <dataBar>
        <cfvo type="min"/>
        <cfvo type="max"/>
        <color rgb="FF638EC6"/>
      </dataBar>
      <extLst>
        <ext xmlns:x14="http://schemas.microsoft.com/office/spreadsheetml/2009/9/main" uri="{B025F937-C7B1-47D3-B67F-A62EFF666E3E}">
          <x14:id>{CA114BEB-E21B-4950-BBD3-0D12F4364543}</x14:id>
        </ext>
      </extLst>
    </cfRule>
  </conditionalFormatting>
  <conditionalFormatting sqref="R7729 R7474 R7219 R6964 R6709 R6454 R6199 R5944 R5689 R5434 R5179 R4924 R4669 R4414 R4159 R3904 R3649 R3394 R3139 R2884 R2629 R2374 R2119 R1864 R1609 R1354 R1099 R844 R589 R334 R79">
    <cfRule type="containsText" dxfId="530" priority="706" operator="containsText" text="NEUTRAL">
      <formula>NOT(ISERROR(SEARCH("NEUTRAL",R79)))</formula>
    </cfRule>
    <cfRule type="containsText" dxfId="529" priority="707" operator="containsText" text="BULLISH">
      <formula>NOT(ISERROR(SEARCH("BULLISH",R79)))</formula>
    </cfRule>
    <cfRule type="containsText" dxfId="528" priority="708" operator="containsText" text="BEARISH">
      <formula>NOT(ISERROR(SEARCH("BEARISH",R79)))</formula>
    </cfRule>
  </conditionalFormatting>
  <conditionalFormatting sqref="P79 P7729 P7474 P7219 P6964 P6709 P6454 P6199 P5944 P5689 P5434 P5179 P4924 P4669 P4414 P4159 P3904 P3649 P3394 P3139 P2884 P2629 P2374 P2119 P1864 P1609 P1354 P1099 P844 P589 P334">
    <cfRule type="dataBar" priority="705">
      <dataBar>
        <cfvo type="min"/>
        <cfvo type="max"/>
        <color rgb="FF638EC6"/>
      </dataBar>
      <extLst>
        <ext xmlns:x14="http://schemas.microsoft.com/office/spreadsheetml/2009/9/main" uri="{B025F937-C7B1-47D3-B67F-A62EFF666E3E}">
          <x14:id>{FCA9169D-A06C-4F32-8D22-72BA82F5E955}</x14:id>
        </ext>
      </extLst>
    </cfRule>
  </conditionalFormatting>
  <conditionalFormatting sqref="R7730 R7475 R7220 R6965 R6710 R6455 R6200 R5945 R5690 R5435 R5180 R4925 R4670 R4415 R4160 R3905 R3650 R3395 R3140 R2885 R2630 R2375 R2120 R1865 R1610 R1355 R1100 R845 R590 R335 R80">
    <cfRule type="containsText" dxfId="527" priority="702" operator="containsText" text="NEUTRAL">
      <formula>NOT(ISERROR(SEARCH("NEUTRAL",R80)))</formula>
    </cfRule>
    <cfRule type="containsText" dxfId="526" priority="703" operator="containsText" text="BULLISH">
      <formula>NOT(ISERROR(SEARCH("BULLISH",R80)))</formula>
    </cfRule>
    <cfRule type="containsText" dxfId="525" priority="704" operator="containsText" text="BEARISH">
      <formula>NOT(ISERROR(SEARCH("BEARISH",R80)))</formula>
    </cfRule>
  </conditionalFormatting>
  <conditionalFormatting sqref="P80 P7730 P7475 P7220 P6965 P6710 P6455 P6200 P5945 P5690 P5435 P5180 P4925 P4670 P4415 P4160 P3905 P3650 P3395 P3140 P2885 P2630 P2375 P2120 P1865 P1610 P1355 P1100 P845 P590 P335">
    <cfRule type="dataBar" priority="701">
      <dataBar>
        <cfvo type="min"/>
        <cfvo type="max"/>
        <color rgb="FF638EC6"/>
      </dataBar>
      <extLst>
        <ext xmlns:x14="http://schemas.microsoft.com/office/spreadsheetml/2009/9/main" uri="{B025F937-C7B1-47D3-B67F-A62EFF666E3E}">
          <x14:id>{C4740326-C9F2-4B14-ACFE-1B99ACB4D91F}</x14:id>
        </ext>
      </extLst>
    </cfRule>
  </conditionalFormatting>
  <conditionalFormatting sqref="R7731 R7476 R7221 R6966 R6711 R6456 R6201 R5946 R5691 R5436 R5181 R4926 R4671 R4416 R4161 R3906 R3651 R3396 R3141 R2886 R2631 R2376 R2121 R1866 R1611 R1356 R1101 R846 R591 R336 R81">
    <cfRule type="containsText" dxfId="524" priority="698" operator="containsText" text="NEUTRAL">
      <formula>NOT(ISERROR(SEARCH("NEUTRAL",R81)))</formula>
    </cfRule>
    <cfRule type="containsText" dxfId="523" priority="699" operator="containsText" text="BULLISH">
      <formula>NOT(ISERROR(SEARCH("BULLISH",R81)))</formula>
    </cfRule>
    <cfRule type="containsText" dxfId="522" priority="700" operator="containsText" text="BEARISH">
      <formula>NOT(ISERROR(SEARCH("BEARISH",R81)))</formula>
    </cfRule>
  </conditionalFormatting>
  <conditionalFormatting sqref="P81 P7731 P7476 P7221 P6966 P6711 P6456 P6201 P5946 P5691 P5436 P5181 P4926 P4671 P4416 P4161 P3906 P3651 P3396 P3141 P2886 P2631 P2376 P2121 P1866 P1611 P1356 P1101 P846 P591 P336">
    <cfRule type="dataBar" priority="697">
      <dataBar>
        <cfvo type="min"/>
        <cfvo type="max"/>
        <color rgb="FF638EC6"/>
      </dataBar>
      <extLst>
        <ext xmlns:x14="http://schemas.microsoft.com/office/spreadsheetml/2009/9/main" uri="{B025F937-C7B1-47D3-B67F-A62EFF666E3E}">
          <x14:id>{2084F6C1-497F-43B5-ABD9-167FAC2F339B}</x14:id>
        </ext>
      </extLst>
    </cfRule>
  </conditionalFormatting>
  <conditionalFormatting sqref="R7732 R7477 R7222 R6967 R6712 R6457 R6202 R5947 R5692 R5437 R5182 R4927 R4672 R4417 R4162 R3907 R3652 R3397 R3142 R2887 R2632 R2377 R2122 R1867 R1612 R1357 R1102 R847 R592 R337 R82">
    <cfRule type="containsText" dxfId="521" priority="694" operator="containsText" text="NEUTRAL">
      <formula>NOT(ISERROR(SEARCH("NEUTRAL",R82)))</formula>
    </cfRule>
    <cfRule type="containsText" dxfId="520" priority="695" operator="containsText" text="BULLISH">
      <formula>NOT(ISERROR(SEARCH("BULLISH",R82)))</formula>
    </cfRule>
    <cfRule type="containsText" dxfId="519" priority="696" operator="containsText" text="BEARISH">
      <formula>NOT(ISERROR(SEARCH("BEARISH",R82)))</formula>
    </cfRule>
  </conditionalFormatting>
  <conditionalFormatting sqref="P82 P7732 P7477 P7222 P6967 P6712 P6457 P6202 P5947 P5692 P5437 P5182 P4927 P4672 P4417 P4162 P3907 P3652 P3397 P3142 P2887 P2632 P2377 P2122 P1867 P1612 P1357 P1102 P847 P592 P337">
    <cfRule type="dataBar" priority="693">
      <dataBar>
        <cfvo type="min"/>
        <cfvo type="max"/>
        <color rgb="FF638EC6"/>
      </dataBar>
      <extLst>
        <ext xmlns:x14="http://schemas.microsoft.com/office/spreadsheetml/2009/9/main" uri="{B025F937-C7B1-47D3-B67F-A62EFF666E3E}">
          <x14:id>{41C4BA2A-C9C0-4C6A-8ADB-745377709761}</x14:id>
        </ext>
      </extLst>
    </cfRule>
  </conditionalFormatting>
  <conditionalFormatting sqref="R7733 R7478 R7223 R6968 R6713 R6458 R6203 R5948 R5693 R5438 R5183 R4928 R4673 R4418 R4163 R3908 R3653 R3398 R3143 R2888 R2633 R2378 R2123 R1868 R1613 R1358 R1103 R848 R593 R338 R83">
    <cfRule type="containsText" dxfId="518" priority="690" operator="containsText" text="NEUTRAL">
      <formula>NOT(ISERROR(SEARCH("NEUTRAL",R83)))</formula>
    </cfRule>
    <cfRule type="containsText" dxfId="517" priority="691" operator="containsText" text="BULLISH">
      <formula>NOT(ISERROR(SEARCH("BULLISH",R83)))</formula>
    </cfRule>
    <cfRule type="containsText" dxfId="516" priority="692" operator="containsText" text="BEARISH">
      <formula>NOT(ISERROR(SEARCH("BEARISH",R83)))</formula>
    </cfRule>
  </conditionalFormatting>
  <conditionalFormatting sqref="P83 P7733 P7478 P7223 P6968 P6713 P6458 P6203 P5948 P5693 P5438 P5183 P4928 P4673 P4418 P4163 P3908 P3653 P3398 P3143 P2888 P2633 P2378 P2123 P1868 P1613 P1358 P1103 P848 P593 P338">
    <cfRule type="dataBar" priority="689">
      <dataBar>
        <cfvo type="min"/>
        <cfvo type="max"/>
        <color rgb="FF638EC6"/>
      </dataBar>
      <extLst>
        <ext xmlns:x14="http://schemas.microsoft.com/office/spreadsheetml/2009/9/main" uri="{B025F937-C7B1-47D3-B67F-A62EFF666E3E}">
          <x14:id>{EC638FF9-57E8-4D49-AB00-F53439E0C39D}</x14:id>
        </ext>
      </extLst>
    </cfRule>
  </conditionalFormatting>
  <conditionalFormatting sqref="R7734 R7479 R7224 R6969 R6714 R6459 R6204 R5949 R5694 R5439 R5184 R4929 R4674 R4419 R4164 R3909 R3654 R3399 R3144 R2889 R2634 R2379 R2124 R1869 R1614 R1359 R1104 R849 R594 R339 R84">
    <cfRule type="containsText" dxfId="515" priority="686" operator="containsText" text="NEUTRAL">
      <formula>NOT(ISERROR(SEARCH("NEUTRAL",R84)))</formula>
    </cfRule>
    <cfRule type="containsText" dxfId="514" priority="687" operator="containsText" text="BULLISH">
      <formula>NOT(ISERROR(SEARCH("BULLISH",R84)))</formula>
    </cfRule>
    <cfRule type="containsText" dxfId="513" priority="688" operator="containsText" text="BEARISH">
      <formula>NOT(ISERROR(SEARCH("BEARISH",R84)))</formula>
    </cfRule>
  </conditionalFormatting>
  <conditionalFormatting sqref="P84 P7734 P7479 P7224 P6969 P6714 P6459 P6204 P5949 P5694 P5439 P5184 P4929 P4674 P4419 P4164 P3909 P3654 P3399 P3144 P2889 P2634 P2379 P2124 P1869 P1614 P1359 P1104 P849 P594 P339">
    <cfRule type="dataBar" priority="685">
      <dataBar>
        <cfvo type="min"/>
        <cfvo type="max"/>
        <color rgb="FF638EC6"/>
      </dataBar>
      <extLst>
        <ext xmlns:x14="http://schemas.microsoft.com/office/spreadsheetml/2009/9/main" uri="{B025F937-C7B1-47D3-B67F-A62EFF666E3E}">
          <x14:id>{30BF8DF9-278C-48B7-8A5F-E6A549FF9EB6}</x14:id>
        </ext>
      </extLst>
    </cfRule>
  </conditionalFormatting>
  <conditionalFormatting sqref="R7735 R7480 R7225 R6970 R6715 R6460 R6205 R5950 R5695 R5440 R5185 R4930 R4675 R4420 R4165 R3910 R3655 R3400 R3145 R2890 R2635 R2380 R2125 R1870 R1615 R1360 R1105 R850 R595 R340 R85">
    <cfRule type="containsText" dxfId="512" priority="682" operator="containsText" text="NEUTRAL">
      <formula>NOT(ISERROR(SEARCH("NEUTRAL",R85)))</formula>
    </cfRule>
    <cfRule type="containsText" dxfId="511" priority="683" operator="containsText" text="BULLISH">
      <formula>NOT(ISERROR(SEARCH("BULLISH",R85)))</formula>
    </cfRule>
    <cfRule type="containsText" dxfId="510" priority="684" operator="containsText" text="BEARISH">
      <formula>NOT(ISERROR(SEARCH("BEARISH",R85)))</formula>
    </cfRule>
  </conditionalFormatting>
  <conditionalFormatting sqref="P85 P7735 P7480 P7225 P6970 P6715 P6460 P6205 P5950 P5695 P5440 P5185 P4930 P4675 P4420 P4165 P3910 P3655 P3400 P3145 P2890 P2635 P2380 P2125 P1870 P1615 P1360 P1105 P850 P595 P340">
    <cfRule type="dataBar" priority="681">
      <dataBar>
        <cfvo type="min"/>
        <cfvo type="max"/>
        <color rgb="FF638EC6"/>
      </dataBar>
      <extLst>
        <ext xmlns:x14="http://schemas.microsoft.com/office/spreadsheetml/2009/9/main" uri="{B025F937-C7B1-47D3-B67F-A62EFF666E3E}">
          <x14:id>{8EAC2C4A-EA78-4392-9D78-4B05D550C597}</x14:id>
        </ext>
      </extLst>
    </cfRule>
  </conditionalFormatting>
  <conditionalFormatting sqref="R7736 R7481 R7226 R6971 R6716 R6461 R6206 R5951 R5696 R5441 R5186 R4931 R4676 R4421 R4166 R3911 R3656 R3401 R3146 R2891 R2636 R2381 R2126 R1871 R1616 R1361 R1106 R851 R596 R341 R86">
    <cfRule type="containsText" dxfId="509" priority="678" operator="containsText" text="NEUTRAL">
      <formula>NOT(ISERROR(SEARCH("NEUTRAL",R86)))</formula>
    </cfRule>
    <cfRule type="containsText" dxfId="508" priority="679" operator="containsText" text="BULLISH">
      <formula>NOT(ISERROR(SEARCH("BULLISH",R86)))</formula>
    </cfRule>
    <cfRule type="containsText" dxfId="507" priority="680" operator="containsText" text="BEARISH">
      <formula>NOT(ISERROR(SEARCH("BEARISH",R86)))</formula>
    </cfRule>
  </conditionalFormatting>
  <conditionalFormatting sqref="P86 P7736 P7481 P7226 P6971 P6716 P6461 P6206 P5951 P5696 P5441 P5186 P4931 P4676 P4421 P4166 P3911 P3656 P3401 P3146 P2891 P2636 P2381 P2126 P1871 P1616 P1361 P1106 P851 P596 P341">
    <cfRule type="dataBar" priority="677">
      <dataBar>
        <cfvo type="min"/>
        <cfvo type="max"/>
        <color rgb="FF638EC6"/>
      </dataBar>
      <extLst>
        <ext xmlns:x14="http://schemas.microsoft.com/office/spreadsheetml/2009/9/main" uri="{B025F937-C7B1-47D3-B67F-A62EFF666E3E}">
          <x14:id>{E019F090-74EC-436B-ADB6-781B1C3FA487}</x14:id>
        </ext>
      </extLst>
    </cfRule>
  </conditionalFormatting>
  <conditionalFormatting sqref="R7737 R7482 R7227 R6972 R6717 R6462 R6207 R5952 R5697 R5442 R5187 R4932 R4677 R4422 R4167 R3912 R3657 R3402 R3147 R2892 R2637 R2382 R2127 R1872 R1617 R1362 R1107 R852 R597 R342 R87">
    <cfRule type="containsText" dxfId="506" priority="674" operator="containsText" text="NEUTRAL">
      <formula>NOT(ISERROR(SEARCH("NEUTRAL",R87)))</formula>
    </cfRule>
    <cfRule type="containsText" dxfId="505" priority="675" operator="containsText" text="BULLISH">
      <formula>NOT(ISERROR(SEARCH("BULLISH",R87)))</formula>
    </cfRule>
    <cfRule type="containsText" dxfId="504" priority="676" operator="containsText" text="BEARISH">
      <formula>NOT(ISERROR(SEARCH("BEARISH",R87)))</formula>
    </cfRule>
  </conditionalFormatting>
  <conditionalFormatting sqref="P87 P7737 P7482 P7227 P6972 P6717 P6462 P6207 P5952 P5697 P5442 P5187 P4932 P4677 P4422 P4167 P3912 P3657 P3402 P3147 P2892 P2637 P2382 P2127 P1872 P1617 P1362 P1107 P852 P597 P342">
    <cfRule type="dataBar" priority="673">
      <dataBar>
        <cfvo type="min"/>
        <cfvo type="max"/>
        <color rgb="FF638EC6"/>
      </dataBar>
      <extLst>
        <ext xmlns:x14="http://schemas.microsoft.com/office/spreadsheetml/2009/9/main" uri="{B025F937-C7B1-47D3-B67F-A62EFF666E3E}">
          <x14:id>{C5013CF9-58DB-4831-AD1B-832638758F99}</x14:id>
        </ext>
      </extLst>
    </cfRule>
  </conditionalFormatting>
  <conditionalFormatting sqref="R7738 R7483 R7228 R6973 R6718 R6463 R6208 R5953 R5698 R5443 R5188 R4933 R4678 R4423 R4168 R3913 R3658 R3403 R3148 R2893 R2638 R2383 R2128 R1873 R1618 R1363 R1108 R853 R598 R343 R88">
    <cfRule type="containsText" dxfId="503" priority="670" operator="containsText" text="NEUTRAL">
      <formula>NOT(ISERROR(SEARCH("NEUTRAL",R88)))</formula>
    </cfRule>
    <cfRule type="containsText" dxfId="502" priority="671" operator="containsText" text="BULLISH">
      <formula>NOT(ISERROR(SEARCH("BULLISH",R88)))</formula>
    </cfRule>
    <cfRule type="containsText" dxfId="501" priority="672" operator="containsText" text="BEARISH">
      <formula>NOT(ISERROR(SEARCH("BEARISH",R88)))</formula>
    </cfRule>
  </conditionalFormatting>
  <conditionalFormatting sqref="P88 P7738 P7483 P7228 P6973 P6718 P6463 P6208 P5953 P5698 P5443 P5188 P4933 P4678 P4423 P4168 P3913 P3658 P3403 P3148 P2893 P2638 P2383 P2128 P1873 P1618 P1363 P1108 P853 P598 P343">
    <cfRule type="dataBar" priority="669">
      <dataBar>
        <cfvo type="min"/>
        <cfvo type="max"/>
        <color rgb="FF638EC6"/>
      </dataBar>
      <extLst>
        <ext xmlns:x14="http://schemas.microsoft.com/office/spreadsheetml/2009/9/main" uri="{B025F937-C7B1-47D3-B67F-A62EFF666E3E}">
          <x14:id>{F26A2F81-C5D8-457D-9062-14DDC3407BEB}</x14:id>
        </ext>
      </extLst>
    </cfRule>
  </conditionalFormatting>
  <conditionalFormatting sqref="R7739 R7484 R7229 R6974 R6719 R6464 R6209 R5954 R5699 R5444 R5189 R4934 R4679 R4424 R4169 R3914 R3659 R3404 R3149 R2894 R2639 R2384 R2129 R1874 R1619 R1364 R1109 R854 R599 R344 R89">
    <cfRule type="containsText" dxfId="500" priority="666" operator="containsText" text="NEUTRAL">
      <formula>NOT(ISERROR(SEARCH("NEUTRAL",R89)))</formula>
    </cfRule>
    <cfRule type="containsText" dxfId="499" priority="667" operator="containsText" text="BULLISH">
      <formula>NOT(ISERROR(SEARCH("BULLISH",R89)))</formula>
    </cfRule>
    <cfRule type="containsText" dxfId="498" priority="668" operator="containsText" text="BEARISH">
      <formula>NOT(ISERROR(SEARCH("BEARISH",R89)))</formula>
    </cfRule>
  </conditionalFormatting>
  <conditionalFormatting sqref="P89 P7739 P7484 P7229 P6974 P6719 P6464 P6209 P5954 P5699 P5444 P5189 P4934 P4679 P4424 P4169 P3914 P3659 P3404 P3149 P2894 P2639 P2384 P2129 P1874 P1619 P1364 P1109 P854 P599 P344">
    <cfRule type="dataBar" priority="665">
      <dataBar>
        <cfvo type="min"/>
        <cfvo type="max"/>
        <color rgb="FF638EC6"/>
      </dataBar>
      <extLst>
        <ext xmlns:x14="http://schemas.microsoft.com/office/spreadsheetml/2009/9/main" uri="{B025F937-C7B1-47D3-B67F-A62EFF666E3E}">
          <x14:id>{4E3F4942-6385-42F8-8786-B27E02B82D71}</x14:id>
        </ext>
      </extLst>
    </cfRule>
  </conditionalFormatting>
  <conditionalFormatting sqref="R7740 R7485 R7230 R6975 R6720 R6465 R6210 R5955 R5700 R5445 R5190 R4935 R4680 R4425 R4170 R3915 R3660 R3405 R3150 R2895 R2640 R2385 R2130 R1875 R1620 R1365 R1110 R855 R600 R345 R90">
    <cfRule type="containsText" dxfId="497" priority="662" operator="containsText" text="NEUTRAL">
      <formula>NOT(ISERROR(SEARCH("NEUTRAL",R90)))</formula>
    </cfRule>
    <cfRule type="containsText" dxfId="496" priority="663" operator="containsText" text="BULLISH">
      <formula>NOT(ISERROR(SEARCH("BULLISH",R90)))</formula>
    </cfRule>
    <cfRule type="containsText" dxfId="495" priority="664" operator="containsText" text="BEARISH">
      <formula>NOT(ISERROR(SEARCH("BEARISH",R90)))</formula>
    </cfRule>
  </conditionalFormatting>
  <conditionalFormatting sqref="P90 P7740 P7485 P7230 P6975 P6720 P6465 P6210 P5955 P5700 P5445 P5190 P4935 P4680 P4425 P4170 P3915 P3660 P3405 P3150 P2895 P2640 P2385 P2130 P1875 P1620 P1365 P1110 P855 P600 P345">
    <cfRule type="dataBar" priority="661">
      <dataBar>
        <cfvo type="min"/>
        <cfvo type="max"/>
        <color rgb="FF638EC6"/>
      </dataBar>
      <extLst>
        <ext xmlns:x14="http://schemas.microsoft.com/office/spreadsheetml/2009/9/main" uri="{B025F937-C7B1-47D3-B67F-A62EFF666E3E}">
          <x14:id>{499B221E-45FE-4555-8B2D-47170E306F07}</x14:id>
        </ext>
      </extLst>
    </cfRule>
  </conditionalFormatting>
  <conditionalFormatting sqref="R7741 R7486 R7231 R6976 R6721 R6466 R6211 R5956 R5701 R5446 R5191 R4936 R4681 R4426 R4171 R3916 R3661 R3406 R3151 R2896 R2641 R2386 R2131 R1876 R1621 R1366 R1111 R856 R601 R346 R91">
    <cfRule type="containsText" dxfId="494" priority="658" operator="containsText" text="NEUTRAL">
      <formula>NOT(ISERROR(SEARCH("NEUTRAL",R91)))</formula>
    </cfRule>
    <cfRule type="containsText" dxfId="493" priority="659" operator="containsText" text="BULLISH">
      <formula>NOT(ISERROR(SEARCH("BULLISH",R91)))</formula>
    </cfRule>
    <cfRule type="containsText" dxfId="492" priority="660" operator="containsText" text="BEARISH">
      <formula>NOT(ISERROR(SEARCH("BEARISH",R91)))</formula>
    </cfRule>
  </conditionalFormatting>
  <conditionalFormatting sqref="P91 P7741 P7486 P7231 P6976 P6721 P6466 P6211 P5956 P5701 P5446 P5191 P4936 P4681 P4426 P4171 P3916 P3661 P3406 P3151 P2896 P2641 P2386 P2131 P1876 P1621 P1366 P1111 P856 P601 P346">
    <cfRule type="dataBar" priority="657">
      <dataBar>
        <cfvo type="min"/>
        <cfvo type="max"/>
        <color rgb="FF638EC6"/>
      </dataBar>
      <extLst>
        <ext xmlns:x14="http://schemas.microsoft.com/office/spreadsheetml/2009/9/main" uri="{B025F937-C7B1-47D3-B67F-A62EFF666E3E}">
          <x14:id>{F9EA64B4-0D29-49EE-8D4A-7C0BF75FE271}</x14:id>
        </ext>
      </extLst>
    </cfRule>
  </conditionalFormatting>
  <conditionalFormatting sqref="R7742 R7487 R7232 R6977 R6722 R6467 R6212 R5957 R5702 R5447 R5192 R4937 R4682 R4427 R4172 R3917 R3662 R3407 R3152 R2897 R2642 R2387 R2132 R1877 R1622 R1367 R1112 R857 R602 R347 R92">
    <cfRule type="containsText" dxfId="491" priority="654" operator="containsText" text="NEUTRAL">
      <formula>NOT(ISERROR(SEARCH("NEUTRAL",R92)))</formula>
    </cfRule>
    <cfRule type="containsText" dxfId="490" priority="655" operator="containsText" text="BULLISH">
      <formula>NOT(ISERROR(SEARCH("BULLISH",R92)))</formula>
    </cfRule>
    <cfRule type="containsText" dxfId="489" priority="656" operator="containsText" text="BEARISH">
      <formula>NOT(ISERROR(SEARCH("BEARISH",R92)))</formula>
    </cfRule>
  </conditionalFormatting>
  <conditionalFormatting sqref="P92 P7742 P7487 P7232 P6977 P6722 P6467 P6212 P5957 P5702 P5447 P5192 P4937 P4682 P4427 P4172 P3917 P3662 P3407 P3152 P2897 P2642 P2387 P2132 P1877 P1622 P1367 P1112 P857 P602 P347">
    <cfRule type="dataBar" priority="653">
      <dataBar>
        <cfvo type="min"/>
        <cfvo type="max"/>
        <color rgb="FF638EC6"/>
      </dataBar>
      <extLst>
        <ext xmlns:x14="http://schemas.microsoft.com/office/spreadsheetml/2009/9/main" uri="{B025F937-C7B1-47D3-B67F-A62EFF666E3E}">
          <x14:id>{0C45DB01-4DAC-4D3C-B082-7B4E3F80C541}</x14:id>
        </ext>
      </extLst>
    </cfRule>
  </conditionalFormatting>
  <conditionalFormatting sqref="R7743 R7488 R7233 R6978 R6723 R6468 R6213 R5958 R5703 R5448 R5193 R4938 R4683 R4428 R4173 R3918 R3663 R3408 R3153 R2898 R2643 R2388 R2133 R1878 R1623 R1368 R1113 R858 R603 R348 R93">
    <cfRule type="containsText" dxfId="488" priority="650" operator="containsText" text="NEUTRAL">
      <formula>NOT(ISERROR(SEARCH("NEUTRAL",R93)))</formula>
    </cfRule>
    <cfRule type="containsText" dxfId="487" priority="651" operator="containsText" text="BULLISH">
      <formula>NOT(ISERROR(SEARCH("BULLISH",R93)))</formula>
    </cfRule>
    <cfRule type="containsText" dxfId="486" priority="652" operator="containsText" text="BEARISH">
      <formula>NOT(ISERROR(SEARCH("BEARISH",R93)))</formula>
    </cfRule>
  </conditionalFormatting>
  <conditionalFormatting sqref="P93 P7743 P7488 P7233 P6978 P6723 P6468 P6213 P5958 P5703 P5448 P5193 P4938 P4683 P4428 P4173 P3918 P3663 P3408 P3153 P2898 P2643 P2388 P2133 P1878 P1623 P1368 P1113 P858 P603 P348">
    <cfRule type="dataBar" priority="649">
      <dataBar>
        <cfvo type="min"/>
        <cfvo type="max"/>
        <color rgb="FF638EC6"/>
      </dataBar>
      <extLst>
        <ext xmlns:x14="http://schemas.microsoft.com/office/spreadsheetml/2009/9/main" uri="{B025F937-C7B1-47D3-B67F-A62EFF666E3E}">
          <x14:id>{144D9E84-2D04-49C9-8D62-A25A953C7C4E}</x14:id>
        </ext>
      </extLst>
    </cfRule>
  </conditionalFormatting>
  <conditionalFormatting sqref="R7744 R7489 R7234 R6979 R6724 R6469 R6214 R5959 R5704 R5449 R5194 R4939 R4684 R4429 R4174 R3919 R3664 R3409 R3154 R2899 R2644 R2389 R2134 R1879 R1624 R1369 R1114 R859 R604 R349 R94">
    <cfRule type="containsText" dxfId="485" priority="646" operator="containsText" text="NEUTRAL">
      <formula>NOT(ISERROR(SEARCH("NEUTRAL",R94)))</formula>
    </cfRule>
    <cfRule type="containsText" dxfId="484" priority="647" operator="containsText" text="BULLISH">
      <formula>NOT(ISERROR(SEARCH("BULLISH",R94)))</formula>
    </cfRule>
    <cfRule type="containsText" dxfId="483" priority="648" operator="containsText" text="BEARISH">
      <formula>NOT(ISERROR(SEARCH("BEARISH",R94)))</formula>
    </cfRule>
  </conditionalFormatting>
  <conditionalFormatting sqref="P94 P7744 P7489 P7234 P6979 P6724 P6469 P6214 P5959 P5704 P5449 P5194 P4939 P4684 P4429 P4174 P3919 P3664 P3409 P3154 P2899 P2644 P2389 P2134 P1879 P1624 P1369 P1114 P859 P604 P349">
    <cfRule type="dataBar" priority="645">
      <dataBar>
        <cfvo type="min"/>
        <cfvo type="max"/>
        <color rgb="FF638EC6"/>
      </dataBar>
      <extLst>
        <ext xmlns:x14="http://schemas.microsoft.com/office/spreadsheetml/2009/9/main" uri="{B025F937-C7B1-47D3-B67F-A62EFF666E3E}">
          <x14:id>{B9B5F8C0-B423-44AC-A222-2006B6312C6A}</x14:id>
        </ext>
      </extLst>
    </cfRule>
  </conditionalFormatting>
  <conditionalFormatting sqref="R7745 R7490 R7235 R6980 R6725 R6470 R6215 R5960 R5705 R5450 R5195 R4940 R4685 R4430 R4175 R3920 R3665 R3410 R3155 R2900 R2645 R2390 R2135 R1880 R1625 R1370 R1115 R860 R605 R350 R95">
    <cfRule type="containsText" dxfId="482" priority="642" operator="containsText" text="NEUTRAL">
      <formula>NOT(ISERROR(SEARCH("NEUTRAL",R95)))</formula>
    </cfRule>
    <cfRule type="containsText" dxfId="481" priority="643" operator="containsText" text="BULLISH">
      <formula>NOT(ISERROR(SEARCH("BULLISH",R95)))</formula>
    </cfRule>
    <cfRule type="containsText" dxfId="480" priority="644" operator="containsText" text="BEARISH">
      <formula>NOT(ISERROR(SEARCH("BEARISH",R95)))</formula>
    </cfRule>
  </conditionalFormatting>
  <conditionalFormatting sqref="P95 P7745 P7490 P7235 P6980 P6725 P6470 P6215 P5960 P5705 P5450 P5195 P4940 P4685 P4430 P4175 P3920 P3665 P3410 P3155 P2900 P2645 P2390 P2135 P1880 P1625 P1370 P1115 P860 P605 P350">
    <cfRule type="dataBar" priority="641">
      <dataBar>
        <cfvo type="min"/>
        <cfvo type="max"/>
        <color rgb="FF638EC6"/>
      </dataBar>
      <extLst>
        <ext xmlns:x14="http://schemas.microsoft.com/office/spreadsheetml/2009/9/main" uri="{B025F937-C7B1-47D3-B67F-A62EFF666E3E}">
          <x14:id>{287751E8-1159-49CB-BC77-92351EE4E96F}</x14:id>
        </ext>
      </extLst>
    </cfRule>
  </conditionalFormatting>
  <conditionalFormatting sqref="R7746 R7491 R7236 R6981 R6726 R6471 R6216 R5961 R5706 R5451 R5196 R4941 R4686 R4431 R4176 R3921 R3666 R3411 R3156 R2901 R2646 R2391 R2136 R1881 R1626 R1371 R1116 R861 R606 R351 R96">
    <cfRule type="containsText" dxfId="479" priority="638" operator="containsText" text="NEUTRAL">
      <formula>NOT(ISERROR(SEARCH("NEUTRAL",R96)))</formula>
    </cfRule>
    <cfRule type="containsText" dxfId="478" priority="639" operator="containsText" text="BULLISH">
      <formula>NOT(ISERROR(SEARCH("BULLISH",R96)))</formula>
    </cfRule>
    <cfRule type="containsText" dxfId="477" priority="640" operator="containsText" text="BEARISH">
      <formula>NOT(ISERROR(SEARCH("BEARISH",R96)))</formula>
    </cfRule>
  </conditionalFormatting>
  <conditionalFormatting sqref="P96 P7746 P7491 P7236 P6981 P6726 P6471 P6216 P5961 P5706 P5451 P5196 P4941 P4686 P4431 P4176 P3921 P3666 P3411 P3156 P2901 P2646 P2391 P2136 P1881 P1626 P1371 P1116 P861 P606 P351">
    <cfRule type="dataBar" priority="637">
      <dataBar>
        <cfvo type="min"/>
        <cfvo type="max"/>
        <color rgb="FF638EC6"/>
      </dataBar>
      <extLst>
        <ext xmlns:x14="http://schemas.microsoft.com/office/spreadsheetml/2009/9/main" uri="{B025F937-C7B1-47D3-B67F-A62EFF666E3E}">
          <x14:id>{454E018B-32F0-43C9-99A9-927C9F863CBE}</x14:id>
        </ext>
      </extLst>
    </cfRule>
  </conditionalFormatting>
  <conditionalFormatting sqref="R7747 R7492 R7237 R6982 R6727 R6472 R6217 R5962 R5707 R5452 R5197 R4942 R4687 R4432 R4177 R3922 R3667 R3412 R3157 R2902 R2647 R2392 R2137 R1882 R1627 R1372 R1117 R862 R607 R352 R97">
    <cfRule type="containsText" dxfId="476" priority="634" operator="containsText" text="NEUTRAL">
      <formula>NOT(ISERROR(SEARCH("NEUTRAL",R97)))</formula>
    </cfRule>
    <cfRule type="containsText" dxfId="475" priority="635" operator="containsText" text="BULLISH">
      <formula>NOT(ISERROR(SEARCH("BULLISH",R97)))</formula>
    </cfRule>
    <cfRule type="containsText" dxfId="474" priority="636" operator="containsText" text="BEARISH">
      <formula>NOT(ISERROR(SEARCH("BEARISH",R97)))</formula>
    </cfRule>
  </conditionalFormatting>
  <conditionalFormatting sqref="P97 P7747 P7492 P7237 P6982 P6727 P6472 P6217 P5962 P5707 P5452 P5197 P4942 P4687 P4432 P4177 P3922 P3667 P3412 P3157 P2902 P2647 P2392 P2137 P1882 P1627 P1372 P1117 P862 P607 P352">
    <cfRule type="dataBar" priority="633">
      <dataBar>
        <cfvo type="min"/>
        <cfvo type="max"/>
        <color rgb="FF638EC6"/>
      </dataBar>
      <extLst>
        <ext xmlns:x14="http://schemas.microsoft.com/office/spreadsheetml/2009/9/main" uri="{B025F937-C7B1-47D3-B67F-A62EFF666E3E}">
          <x14:id>{4C943630-07C8-4F77-AC70-F42233C91972}</x14:id>
        </ext>
      </extLst>
    </cfRule>
  </conditionalFormatting>
  <conditionalFormatting sqref="R7748 R7493 R7238 R6983 R6728 R6473 R6218 R5963 R5708 R5453 R5198 R4943 R4688 R4433 R4178 R3923 R3668 R3413 R3158 R2903 R2648 R2393 R2138 R1883 R1628 R1373 R1118 R863 R608 R353 R98">
    <cfRule type="containsText" dxfId="473" priority="630" operator="containsText" text="NEUTRAL">
      <formula>NOT(ISERROR(SEARCH("NEUTRAL",R98)))</formula>
    </cfRule>
    <cfRule type="containsText" dxfId="472" priority="631" operator="containsText" text="BULLISH">
      <formula>NOT(ISERROR(SEARCH("BULLISH",R98)))</formula>
    </cfRule>
    <cfRule type="containsText" dxfId="471" priority="632" operator="containsText" text="BEARISH">
      <formula>NOT(ISERROR(SEARCH("BEARISH",R98)))</formula>
    </cfRule>
  </conditionalFormatting>
  <conditionalFormatting sqref="P98 P7748 P7493 P7238 P6983 P6728 P6473 P6218 P5963 P5708 P5453 P5198 P4943 P4688 P4433 P4178 P3923 P3668 P3413 P3158 P2903 P2648 P2393 P2138 P1883 P1628 P1373 P1118 P863 P608 P353">
    <cfRule type="dataBar" priority="629">
      <dataBar>
        <cfvo type="min"/>
        <cfvo type="max"/>
        <color rgb="FF638EC6"/>
      </dataBar>
      <extLst>
        <ext xmlns:x14="http://schemas.microsoft.com/office/spreadsheetml/2009/9/main" uri="{B025F937-C7B1-47D3-B67F-A62EFF666E3E}">
          <x14:id>{7BDD5726-2E7E-4704-831A-B5417AFA2390}</x14:id>
        </ext>
      </extLst>
    </cfRule>
  </conditionalFormatting>
  <conditionalFormatting sqref="R7749 R7494 R7239 R6984 R6729 R6474 R6219 R5964 R5709 R5454 R5199 R4944 R4689 R4434 R4179 R3924 R3669 R3414 R3159 R2904 R2649 R2394 R2139 R1884 R1629 R1374 R1119 R864 R609 R354 R99">
    <cfRule type="containsText" dxfId="470" priority="626" operator="containsText" text="NEUTRAL">
      <formula>NOT(ISERROR(SEARCH("NEUTRAL",R99)))</formula>
    </cfRule>
    <cfRule type="containsText" dxfId="469" priority="627" operator="containsText" text="BULLISH">
      <formula>NOT(ISERROR(SEARCH("BULLISH",R99)))</formula>
    </cfRule>
    <cfRule type="containsText" dxfId="468" priority="628" operator="containsText" text="BEARISH">
      <formula>NOT(ISERROR(SEARCH("BEARISH",R99)))</formula>
    </cfRule>
  </conditionalFormatting>
  <conditionalFormatting sqref="P99 P7749 P7494 P7239 P6984 P6729 P6474 P6219 P5964 P5709 P5454 P5199 P4944 P4689 P4434 P4179 P3924 P3669 P3414 P3159 P2904 P2649 P2394 P2139 P1884 P1629 P1374 P1119 P864 P609 P354">
    <cfRule type="dataBar" priority="625">
      <dataBar>
        <cfvo type="min"/>
        <cfvo type="max"/>
        <color rgb="FF638EC6"/>
      </dataBar>
      <extLst>
        <ext xmlns:x14="http://schemas.microsoft.com/office/spreadsheetml/2009/9/main" uri="{B025F937-C7B1-47D3-B67F-A62EFF666E3E}">
          <x14:id>{8D49BEA9-F032-4E33-989C-F01DCFC814C3}</x14:id>
        </ext>
      </extLst>
    </cfRule>
  </conditionalFormatting>
  <conditionalFormatting sqref="R7750 R7495 R7240 R6985 R6730 R6475 R6220 R5965 R5710 R5455 R5200 R4945 R4690 R4435 R4180 R3925 R3670 R3415 R3160 R2905 R2650 R2395 R2140 R1885 R1630 R1375 R1120 R865 R610 R355 R100">
    <cfRule type="containsText" dxfId="467" priority="622" operator="containsText" text="NEUTRAL">
      <formula>NOT(ISERROR(SEARCH("NEUTRAL",R100)))</formula>
    </cfRule>
    <cfRule type="containsText" dxfId="466" priority="623" operator="containsText" text="BULLISH">
      <formula>NOT(ISERROR(SEARCH("BULLISH",R100)))</formula>
    </cfRule>
    <cfRule type="containsText" dxfId="465" priority="624" operator="containsText" text="BEARISH">
      <formula>NOT(ISERROR(SEARCH("BEARISH",R100)))</formula>
    </cfRule>
  </conditionalFormatting>
  <conditionalFormatting sqref="P100 P7750 P7495 P7240 P6985 P6730 P6475 P6220 P5965 P5710 P5455 P5200 P4945 P4690 P4435 P4180 P3925 P3670 P3415 P3160 P2905 P2650 P2395 P2140 P1885 P1630 P1375 P1120 P865 P610 P355">
    <cfRule type="dataBar" priority="621">
      <dataBar>
        <cfvo type="min"/>
        <cfvo type="max"/>
        <color rgb="FF638EC6"/>
      </dataBar>
      <extLst>
        <ext xmlns:x14="http://schemas.microsoft.com/office/spreadsheetml/2009/9/main" uri="{B025F937-C7B1-47D3-B67F-A62EFF666E3E}">
          <x14:id>{71E81BCE-FD22-48B1-B3AC-1AFE9F21B2AF}</x14:id>
        </ext>
      </extLst>
    </cfRule>
  </conditionalFormatting>
  <conditionalFormatting sqref="R7751 R7496 R7241 R6986 R6731 R6476 R6221 R5966 R5711 R5456 R5201 R4946 R4691 R4436 R4181 R3926 R3671 R3416 R3161 R2906 R2651 R2396 R2141 R1886 R1631 R1376 R1121 R866 R611 R356 R101">
    <cfRule type="containsText" dxfId="464" priority="618" operator="containsText" text="NEUTRAL">
      <formula>NOT(ISERROR(SEARCH("NEUTRAL",R101)))</formula>
    </cfRule>
    <cfRule type="containsText" dxfId="463" priority="619" operator="containsText" text="BULLISH">
      <formula>NOT(ISERROR(SEARCH("BULLISH",R101)))</formula>
    </cfRule>
    <cfRule type="containsText" dxfId="462" priority="620" operator="containsText" text="BEARISH">
      <formula>NOT(ISERROR(SEARCH("BEARISH",R101)))</formula>
    </cfRule>
  </conditionalFormatting>
  <conditionalFormatting sqref="P101 P7751 P7496 P7241 P6986 P6731 P6476 P6221 P5966 P5711 P5456 P5201 P4946 P4691 P4436 P4181 P3926 P3671 P3416 P3161 P2906 P2651 P2396 P2141 P1886 P1631 P1376 P1121 P866 P611 P356">
    <cfRule type="dataBar" priority="617">
      <dataBar>
        <cfvo type="min"/>
        <cfvo type="max"/>
        <color rgb="FF638EC6"/>
      </dataBar>
      <extLst>
        <ext xmlns:x14="http://schemas.microsoft.com/office/spreadsheetml/2009/9/main" uri="{B025F937-C7B1-47D3-B67F-A62EFF666E3E}">
          <x14:id>{F7005AC9-F356-45DA-857B-F0765359333D}</x14:id>
        </ext>
      </extLst>
    </cfRule>
  </conditionalFormatting>
  <conditionalFormatting sqref="R7752 R7497 R7242 R6987 R6732 R6477 R6222 R5967 R5712 R5457 R5202 R4947 R4692 R4437 R4182 R3927 R3672 R3417 R3162 R2907 R2652 R2397 R2142 R1887 R1632 R1377 R1122 R867 R612 R357 R102">
    <cfRule type="containsText" dxfId="461" priority="614" operator="containsText" text="NEUTRAL">
      <formula>NOT(ISERROR(SEARCH("NEUTRAL",R102)))</formula>
    </cfRule>
    <cfRule type="containsText" dxfId="460" priority="615" operator="containsText" text="BULLISH">
      <formula>NOT(ISERROR(SEARCH("BULLISH",R102)))</formula>
    </cfRule>
    <cfRule type="containsText" dxfId="459" priority="616" operator="containsText" text="BEARISH">
      <formula>NOT(ISERROR(SEARCH("BEARISH",R102)))</formula>
    </cfRule>
  </conditionalFormatting>
  <conditionalFormatting sqref="P102 P7752 P7497 P7242 P6987 P6732 P6477 P6222 P5967 P5712 P5457 P5202 P4947 P4692 P4437 P4182 P3927 P3672 P3417 P3162 P2907 P2652 P2397 P2142 P1887 P1632 P1377 P1122 P867 P612 P357">
    <cfRule type="dataBar" priority="613">
      <dataBar>
        <cfvo type="min"/>
        <cfvo type="max"/>
        <color rgb="FF638EC6"/>
      </dataBar>
      <extLst>
        <ext xmlns:x14="http://schemas.microsoft.com/office/spreadsheetml/2009/9/main" uri="{B025F937-C7B1-47D3-B67F-A62EFF666E3E}">
          <x14:id>{6F41171A-80BF-497F-90FB-5131C8A888B8}</x14:id>
        </ext>
      </extLst>
    </cfRule>
  </conditionalFormatting>
  <conditionalFormatting sqref="R7753 R7498 R7243 R6988 R6733 R6478 R6223 R5968 R5713 R5458 R5203 R4948 R4693 R4438 R4183 R3928 R3673 R3418 R3163 R2908 R2653 R2398 R2143 R1888 R1633 R1378 R1123 R868 R613 R358 R103">
    <cfRule type="containsText" dxfId="458" priority="610" operator="containsText" text="NEUTRAL">
      <formula>NOT(ISERROR(SEARCH("NEUTRAL",R103)))</formula>
    </cfRule>
    <cfRule type="containsText" dxfId="457" priority="611" operator="containsText" text="BULLISH">
      <formula>NOT(ISERROR(SEARCH("BULLISH",R103)))</formula>
    </cfRule>
    <cfRule type="containsText" dxfId="456" priority="612" operator="containsText" text="BEARISH">
      <formula>NOT(ISERROR(SEARCH("BEARISH",R103)))</formula>
    </cfRule>
  </conditionalFormatting>
  <conditionalFormatting sqref="P103 P7753 P7498 P7243 P6988 P6733 P6478 P6223 P5968 P5713 P5458 P5203 P4948 P4693 P4438 P4183 P3928 P3673 P3418 P3163 P2908 P2653 P2398 P2143 P1888 P1633 P1378 P1123 P868 P613 P358">
    <cfRule type="dataBar" priority="609">
      <dataBar>
        <cfvo type="min"/>
        <cfvo type="max"/>
        <color rgb="FF638EC6"/>
      </dataBar>
      <extLst>
        <ext xmlns:x14="http://schemas.microsoft.com/office/spreadsheetml/2009/9/main" uri="{B025F937-C7B1-47D3-B67F-A62EFF666E3E}">
          <x14:id>{CD772641-9A32-434E-9A0C-39E28F7EBE2F}</x14:id>
        </ext>
      </extLst>
    </cfRule>
  </conditionalFormatting>
  <conditionalFormatting sqref="R7754 R7499 R7244 R6989 R6734 R6479 R6224 R5969 R5714 R5459 R5204 R4949 R4694 R4439 R4184 R3929 R3674 R3419 R3164 R2909 R2654 R2399 R2144 R1889 R1634 R1379 R1124 R869 R614 R359 R104">
    <cfRule type="containsText" dxfId="455" priority="606" operator="containsText" text="NEUTRAL">
      <formula>NOT(ISERROR(SEARCH("NEUTRAL",R104)))</formula>
    </cfRule>
    <cfRule type="containsText" dxfId="454" priority="607" operator="containsText" text="BULLISH">
      <formula>NOT(ISERROR(SEARCH("BULLISH",R104)))</formula>
    </cfRule>
    <cfRule type="containsText" dxfId="453" priority="608" operator="containsText" text="BEARISH">
      <formula>NOT(ISERROR(SEARCH("BEARISH",R104)))</formula>
    </cfRule>
  </conditionalFormatting>
  <conditionalFormatting sqref="P104 P7754 P7499 P7244 P6989 P6734 P6479 P6224 P5969 P5714 P5459 P5204 P4949 P4694 P4439 P4184 P3929 P3674 P3419 P3164 P2909 P2654 P2399 P2144 P1889 P1634 P1379 P1124 P869 P614 P359">
    <cfRule type="dataBar" priority="605">
      <dataBar>
        <cfvo type="min"/>
        <cfvo type="max"/>
        <color rgb="FF638EC6"/>
      </dataBar>
      <extLst>
        <ext xmlns:x14="http://schemas.microsoft.com/office/spreadsheetml/2009/9/main" uri="{B025F937-C7B1-47D3-B67F-A62EFF666E3E}">
          <x14:id>{5CC1F7E2-ECF5-4E95-8CEC-1FEEED8F5A38}</x14:id>
        </ext>
      </extLst>
    </cfRule>
  </conditionalFormatting>
  <conditionalFormatting sqref="R7755 R7500 R7245 R6990 R6735 R6480 R6225 R5970 R5715 R5460 R5205 R4950 R4695 R4440 R4185 R3930 R3675 R3420 R3165 R2910 R2655 R2400 R2145 R1890 R1635 R1380 R1125 R870 R615 R360 R105">
    <cfRule type="containsText" dxfId="452" priority="602" operator="containsText" text="NEUTRAL">
      <formula>NOT(ISERROR(SEARCH("NEUTRAL",R105)))</formula>
    </cfRule>
    <cfRule type="containsText" dxfId="451" priority="603" operator="containsText" text="BULLISH">
      <formula>NOT(ISERROR(SEARCH("BULLISH",R105)))</formula>
    </cfRule>
    <cfRule type="containsText" dxfId="450" priority="604" operator="containsText" text="BEARISH">
      <formula>NOT(ISERROR(SEARCH("BEARISH",R105)))</formula>
    </cfRule>
  </conditionalFormatting>
  <conditionalFormatting sqref="P105 P7755 P7500 P7245 P6990 P6735 P6480 P6225 P5970 P5715 P5460 P5205 P4950 P4695 P4440 P4185 P3930 P3675 P3420 P3165 P2910 P2655 P2400 P2145 P1890 P1635 P1380 P1125 P870 P615 P360">
    <cfRule type="dataBar" priority="601">
      <dataBar>
        <cfvo type="min"/>
        <cfvo type="max"/>
        <color rgb="FF638EC6"/>
      </dataBar>
      <extLst>
        <ext xmlns:x14="http://schemas.microsoft.com/office/spreadsheetml/2009/9/main" uri="{B025F937-C7B1-47D3-B67F-A62EFF666E3E}">
          <x14:id>{2B75A5EF-2FAE-4840-B1A2-1B1F488176CE}</x14:id>
        </ext>
      </extLst>
    </cfRule>
  </conditionalFormatting>
  <conditionalFormatting sqref="R7756 R7501 R7246 R6991 R6736 R6481 R6226 R5971 R5716 R5461 R5206 R4951 R4696 R4441 R4186 R3931 R3676 R3421 R3166 R2911 R2656 R2401 R2146 R1891 R1636 R1381 R1126 R871 R616 R361 R106">
    <cfRule type="containsText" dxfId="449" priority="598" operator="containsText" text="NEUTRAL">
      <formula>NOT(ISERROR(SEARCH("NEUTRAL",R106)))</formula>
    </cfRule>
    <cfRule type="containsText" dxfId="448" priority="599" operator="containsText" text="BULLISH">
      <formula>NOT(ISERROR(SEARCH("BULLISH",R106)))</formula>
    </cfRule>
    <cfRule type="containsText" dxfId="447" priority="600" operator="containsText" text="BEARISH">
      <formula>NOT(ISERROR(SEARCH("BEARISH",R106)))</formula>
    </cfRule>
  </conditionalFormatting>
  <conditionalFormatting sqref="P106 P7756 P7501 P7246 P6991 P6736 P6481 P6226 P5971 P5716 P5461 P5206 P4951 P4696 P4441 P4186 P3931 P3676 P3421 P3166 P2911 P2656 P2401 P2146 P1891 P1636 P1381 P1126 P871 P616 P361">
    <cfRule type="dataBar" priority="597">
      <dataBar>
        <cfvo type="min"/>
        <cfvo type="max"/>
        <color rgb="FF638EC6"/>
      </dataBar>
      <extLst>
        <ext xmlns:x14="http://schemas.microsoft.com/office/spreadsheetml/2009/9/main" uri="{B025F937-C7B1-47D3-B67F-A62EFF666E3E}">
          <x14:id>{324E6985-4094-46FC-B7C7-F31F58A0EB29}</x14:id>
        </ext>
      </extLst>
    </cfRule>
  </conditionalFormatting>
  <conditionalFormatting sqref="R7757 R7502 R7247 R6992 R6737 R6482 R6227 R5972 R5717 R5462 R5207 R4952 R4697 R4442 R4187 R3932 R3677 R3422 R3167 R2912 R2657 R2402 R2147 R1892 R1637 R1382 R1127 R872 R617 R362 R107">
    <cfRule type="containsText" dxfId="446" priority="594" operator="containsText" text="NEUTRAL">
      <formula>NOT(ISERROR(SEARCH("NEUTRAL",R107)))</formula>
    </cfRule>
    <cfRule type="containsText" dxfId="445" priority="595" operator="containsText" text="BULLISH">
      <formula>NOT(ISERROR(SEARCH("BULLISH",R107)))</formula>
    </cfRule>
    <cfRule type="containsText" dxfId="444" priority="596" operator="containsText" text="BEARISH">
      <formula>NOT(ISERROR(SEARCH("BEARISH",R107)))</formula>
    </cfRule>
  </conditionalFormatting>
  <conditionalFormatting sqref="P107 P7757 P7502 P7247 P6992 P6737 P6482 P6227 P5972 P5717 P5462 P5207 P4952 P4697 P4442 P4187 P3932 P3677 P3422 P3167 P2912 P2657 P2402 P2147 P1892 P1637 P1382 P1127 P872 P617 P362">
    <cfRule type="dataBar" priority="593">
      <dataBar>
        <cfvo type="min"/>
        <cfvo type="max"/>
        <color rgb="FF638EC6"/>
      </dataBar>
      <extLst>
        <ext xmlns:x14="http://schemas.microsoft.com/office/spreadsheetml/2009/9/main" uri="{B025F937-C7B1-47D3-B67F-A62EFF666E3E}">
          <x14:id>{829A40EE-7708-4F97-B401-46BFA743D4E6}</x14:id>
        </ext>
      </extLst>
    </cfRule>
  </conditionalFormatting>
  <conditionalFormatting sqref="R7758 R7503 R7248 R6993 R6738 R6483 R6228 R5973 R5718 R5463 R5208 R4953 R4698 R4443 R4188 R3933 R3678 R3423 R3168 R2913 R2658 R2403 R2148 R1893 R1638 R1383 R1128 R873 R618 R363 R108">
    <cfRule type="containsText" dxfId="443" priority="590" operator="containsText" text="NEUTRAL">
      <formula>NOT(ISERROR(SEARCH("NEUTRAL",R108)))</formula>
    </cfRule>
    <cfRule type="containsText" dxfId="442" priority="591" operator="containsText" text="BULLISH">
      <formula>NOT(ISERROR(SEARCH("BULLISH",R108)))</formula>
    </cfRule>
    <cfRule type="containsText" dxfId="441" priority="592" operator="containsText" text="BEARISH">
      <formula>NOT(ISERROR(SEARCH("BEARISH",R108)))</formula>
    </cfRule>
  </conditionalFormatting>
  <conditionalFormatting sqref="P108 P7758 P7503 P7248 P6993 P6738 P6483 P6228 P5973 P5718 P5463 P5208 P4953 P4698 P4443 P4188 P3933 P3678 P3423 P3168 P2913 P2658 P2403 P2148 P1893 P1638 P1383 P1128 P873 P618 P363">
    <cfRule type="dataBar" priority="589">
      <dataBar>
        <cfvo type="min"/>
        <cfvo type="max"/>
        <color rgb="FF638EC6"/>
      </dataBar>
      <extLst>
        <ext xmlns:x14="http://schemas.microsoft.com/office/spreadsheetml/2009/9/main" uri="{B025F937-C7B1-47D3-B67F-A62EFF666E3E}">
          <x14:id>{C8FFD06A-8A38-45B9-A1DE-4119D08E7129}</x14:id>
        </ext>
      </extLst>
    </cfRule>
  </conditionalFormatting>
  <conditionalFormatting sqref="R7759 R7504 R7249 R6994 R6739 R6484 R6229 R5974 R5719 R5464 R5209 R4954 R4699 R4444 R4189 R3934 R3679 R3424 R3169 R2914 R2659 R2404 R2149 R1894 R1639 R1384 R1129 R874 R619 R364 R109">
    <cfRule type="containsText" dxfId="440" priority="586" operator="containsText" text="NEUTRAL">
      <formula>NOT(ISERROR(SEARCH("NEUTRAL",R109)))</formula>
    </cfRule>
    <cfRule type="containsText" dxfId="439" priority="587" operator="containsText" text="BULLISH">
      <formula>NOT(ISERROR(SEARCH("BULLISH",R109)))</formula>
    </cfRule>
    <cfRule type="containsText" dxfId="438" priority="588" operator="containsText" text="BEARISH">
      <formula>NOT(ISERROR(SEARCH("BEARISH",R109)))</formula>
    </cfRule>
  </conditionalFormatting>
  <conditionalFormatting sqref="P109 P7759 P7504 P7249 P6994 P6739 P6484 P6229 P5974 P5719 P5464 P5209 P4954 P4699 P4444 P4189 P3934 P3679 P3424 P3169 P2914 P2659 P2404 P2149 P1894 P1639 P1384 P1129 P874 P619 P364">
    <cfRule type="dataBar" priority="585">
      <dataBar>
        <cfvo type="min"/>
        <cfvo type="max"/>
        <color rgb="FF638EC6"/>
      </dataBar>
      <extLst>
        <ext xmlns:x14="http://schemas.microsoft.com/office/spreadsheetml/2009/9/main" uri="{B025F937-C7B1-47D3-B67F-A62EFF666E3E}">
          <x14:id>{51F421CD-C5F2-4912-801E-B1EEF403A76D}</x14:id>
        </ext>
      </extLst>
    </cfRule>
  </conditionalFormatting>
  <conditionalFormatting sqref="R7760 R7505 R7250 R6995 R6740 R6485 R6230 R5975 R5720 R5465 R5210 R4955 R4700 R4445 R4190 R3935 R3680 R3425 R3170 R2915 R2660 R2405 R2150 R1895 R1640 R1385 R1130 R875 R620 R365 R110">
    <cfRule type="containsText" dxfId="437" priority="582" operator="containsText" text="NEUTRAL">
      <formula>NOT(ISERROR(SEARCH("NEUTRAL",R110)))</formula>
    </cfRule>
    <cfRule type="containsText" dxfId="436" priority="583" operator="containsText" text="BULLISH">
      <formula>NOT(ISERROR(SEARCH("BULLISH",R110)))</formula>
    </cfRule>
    <cfRule type="containsText" dxfId="435" priority="584" operator="containsText" text="BEARISH">
      <formula>NOT(ISERROR(SEARCH("BEARISH",R110)))</formula>
    </cfRule>
  </conditionalFormatting>
  <conditionalFormatting sqref="P110 P7760 P7505 P7250 P6995 P6740 P6485 P6230 P5975 P5720 P5465 P5210 P4955 P4700 P4445 P4190 P3935 P3680 P3425 P3170 P2915 P2660 P2405 P2150 P1895 P1640 P1385 P1130 P875 P620 P365">
    <cfRule type="dataBar" priority="581">
      <dataBar>
        <cfvo type="min"/>
        <cfvo type="max"/>
        <color rgb="FF638EC6"/>
      </dataBar>
      <extLst>
        <ext xmlns:x14="http://schemas.microsoft.com/office/spreadsheetml/2009/9/main" uri="{B025F937-C7B1-47D3-B67F-A62EFF666E3E}">
          <x14:id>{EEE87D6A-BFC3-4D60-835B-4348274F53DA}</x14:id>
        </ext>
      </extLst>
    </cfRule>
  </conditionalFormatting>
  <conditionalFormatting sqref="R7761 R7506 R7251 R6996 R6741 R6486 R6231 R5976 R5721 R5466 R5211 R4956 R4701 R4446 R4191 R3936 R3681 R3426 R3171 R2916 R2661 R2406 R2151 R1896 R1641 R1386 R1131 R876 R621 R366 R111">
    <cfRule type="containsText" dxfId="434" priority="578" operator="containsText" text="NEUTRAL">
      <formula>NOT(ISERROR(SEARCH("NEUTRAL",R111)))</formula>
    </cfRule>
    <cfRule type="containsText" dxfId="433" priority="579" operator="containsText" text="BULLISH">
      <formula>NOT(ISERROR(SEARCH("BULLISH",R111)))</formula>
    </cfRule>
    <cfRule type="containsText" dxfId="432" priority="580" operator="containsText" text="BEARISH">
      <formula>NOT(ISERROR(SEARCH("BEARISH",R111)))</formula>
    </cfRule>
  </conditionalFormatting>
  <conditionalFormatting sqref="P111 P7761 P7506 P7251 P6996 P6741 P6486 P6231 P5976 P5721 P5466 P5211 P4956 P4701 P4446 P4191 P3936 P3681 P3426 P3171 P2916 P2661 P2406 P2151 P1896 P1641 P1386 P1131 P876 P621 P366">
    <cfRule type="dataBar" priority="577">
      <dataBar>
        <cfvo type="min"/>
        <cfvo type="max"/>
        <color rgb="FF638EC6"/>
      </dataBar>
      <extLst>
        <ext xmlns:x14="http://schemas.microsoft.com/office/spreadsheetml/2009/9/main" uri="{B025F937-C7B1-47D3-B67F-A62EFF666E3E}">
          <x14:id>{847C6A13-072C-460E-A010-55AE4F06F2B7}</x14:id>
        </ext>
      </extLst>
    </cfRule>
  </conditionalFormatting>
  <conditionalFormatting sqref="R7762 R7507 R7252 R6997 R6742 R6487 R6232 R5977 R5722 R5467 R5212 R4957 R4702 R4447 R4192 R3937 R3682 R3427 R3172 R2917 R2662 R2407 R2152 R1897 R1642 R1387 R1132 R877 R622 R367 R112">
    <cfRule type="containsText" dxfId="431" priority="574" operator="containsText" text="NEUTRAL">
      <formula>NOT(ISERROR(SEARCH("NEUTRAL",R112)))</formula>
    </cfRule>
    <cfRule type="containsText" dxfId="430" priority="575" operator="containsText" text="BULLISH">
      <formula>NOT(ISERROR(SEARCH("BULLISH",R112)))</formula>
    </cfRule>
    <cfRule type="containsText" dxfId="429" priority="576" operator="containsText" text="BEARISH">
      <formula>NOT(ISERROR(SEARCH("BEARISH",R112)))</formula>
    </cfRule>
  </conditionalFormatting>
  <conditionalFormatting sqref="P112 P7762 P7507 P7252 P6997 P6742 P6487 P6232 P5977 P5722 P5467 P5212 P4957 P4702 P4447 P4192 P3937 P3682 P3427 P3172 P2917 P2662 P2407 P2152 P1897 P1642 P1387 P1132 P877 P622 P367">
    <cfRule type="dataBar" priority="573">
      <dataBar>
        <cfvo type="min"/>
        <cfvo type="max"/>
        <color rgb="FF638EC6"/>
      </dataBar>
      <extLst>
        <ext xmlns:x14="http://schemas.microsoft.com/office/spreadsheetml/2009/9/main" uri="{B025F937-C7B1-47D3-B67F-A62EFF666E3E}">
          <x14:id>{95A50ACB-16E4-44E5-8CC3-BA35DD82A273}</x14:id>
        </ext>
      </extLst>
    </cfRule>
  </conditionalFormatting>
  <conditionalFormatting sqref="R7763 R7508 R7253 R6998 R6743 R6488 R6233 R5978 R5723 R5468 R5213 R4958 R4703 R4448 R4193 R3938 R3683 R3428 R3173 R2918 R2663 R2408 R2153 R1898 R1643 R1388 R1133 R878 R623 R368 R113">
    <cfRule type="containsText" dxfId="428" priority="570" operator="containsText" text="NEUTRAL">
      <formula>NOT(ISERROR(SEARCH("NEUTRAL",R113)))</formula>
    </cfRule>
    <cfRule type="containsText" dxfId="427" priority="571" operator="containsText" text="BULLISH">
      <formula>NOT(ISERROR(SEARCH("BULLISH",R113)))</formula>
    </cfRule>
    <cfRule type="containsText" dxfId="426" priority="572" operator="containsText" text="BEARISH">
      <formula>NOT(ISERROR(SEARCH("BEARISH",R113)))</formula>
    </cfRule>
  </conditionalFormatting>
  <conditionalFormatting sqref="P113 P7763 P7508 P7253 P6998 P6743 P6488 P6233 P5978 P5723 P5468 P5213 P4958 P4703 P4448 P4193 P3938 P3683 P3428 P3173 P2918 P2663 P2408 P2153 P1898 P1643 P1388 P1133 P878 P623 P368">
    <cfRule type="dataBar" priority="569">
      <dataBar>
        <cfvo type="min"/>
        <cfvo type="max"/>
        <color rgb="FF638EC6"/>
      </dataBar>
      <extLst>
        <ext xmlns:x14="http://schemas.microsoft.com/office/spreadsheetml/2009/9/main" uri="{B025F937-C7B1-47D3-B67F-A62EFF666E3E}">
          <x14:id>{90CEDE3B-B51D-454E-BC54-99A92AC2157F}</x14:id>
        </ext>
      </extLst>
    </cfRule>
  </conditionalFormatting>
  <conditionalFormatting sqref="R7764 R7509 R7254 R6999 R6744 R6489 R6234 R5979 R5724 R5469 R5214 R4959 R4704 R4449 R4194 R3939 R3684 R3429 R3174 R2919 R2664 R2409 R2154 R1899 R1644 R1389 R1134 R879 R624 R369 R114">
    <cfRule type="containsText" dxfId="425" priority="566" operator="containsText" text="NEUTRAL">
      <formula>NOT(ISERROR(SEARCH("NEUTRAL",R114)))</formula>
    </cfRule>
    <cfRule type="containsText" dxfId="424" priority="567" operator="containsText" text="BULLISH">
      <formula>NOT(ISERROR(SEARCH("BULLISH",R114)))</formula>
    </cfRule>
    <cfRule type="containsText" dxfId="423" priority="568" operator="containsText" text="BEARISH">
      <formula>NOT(ISERROR(SEARCH("BEARISH",R114)))</formula>
    </cfRule>
  </conditionalFormatting>
  <conditionalFormatting sqref="P114 P7764 P7509 P7254 P6999 P6744 P6489 P6234 P5979 P5724 P5469 P5214 P4959 P4704 P4449 P4194 P3939 P3684 P3429 P3174 P2919 P2664 P2409 P2154 P1899 P1644 P1389 P1134 P879 P624 P369">
    <cfRule type="dataBar" priority="565">
      <dataBar>
        <cfvo type="min"/>
        <cfvo type="max"/>
        <color rgb="FF638EC6"/>
      </dataBar>
      <extLst>
        <ext xmlns:x14="http://schemas.microsoft.com/office/spreadsheetml/2009/9/main" uri="{B025F937-C7B1-47D3-B67F-A62EFF666E3E}">
          <x14:id>{2570B638-A10E-4C5D-AE3F-63190F4BC196}</x14:id>
        </ext>
      </extLst>
    </cfRule>
  </conditionalFormatting>
  <conditionalFormatting sqref="R7765 R7510 R7255 R7000 R6745 R6490 R6235 R5980 R5725 R5470 R5215 R4960 R4705 R4450 R4195 R3940 R3685 R3430 R3175 R2920 R2665 R2410 R2155 R1900 R1645 R1390 R1135 R880 R625 R370 R115">
    <cfRule type="containsText" dxfId="422" priority="562" operator="containsText" text="NEUTRAL">
      <formula>NOT(ISERROR(SEARCH("NEUTRAL",R115)))</formula>
    </cfRule>
    <cfRule type="containsText" dxfId="421" priority="563" operator="containsText" text="BULLISH">
      <formula>NOT(ISERROR(SEARCH("BULLISH",R115)))</formula>
    </cfRule>
    <cfRule type="containsText" dxfId="420" priority="564" operator="containsText" text="BEARISH">
      <formula>NOT(ISERROR(SEARCH("BEARISH",R115)))</formula>
    </cfRule>
  </conditionalFormatting>
  <conditionalFormatting sqref="P115 P7765 P7510 P7255 P7000 P6745 P6490 P6235 P5980 P5725 P5470 P5215 P4960 P4705 P4450 P4195 P3940 P3685 P3430 P3175 P2920 P2665 P2410 P2155 P1900 P1645 P1390 P1135 P880 P625 P370">
    <cfRule type="dataBar" priority="561">
      <dataBar>
        <cfvo type="min"/>
        <cfvo type="max"/>
        <color rgb="FF638EC6"/>
      </dataBar>
      <extLst>
        <ext xmlns:x14="http://schemas.microsoft.com/office/spreadsheetml/2009/9/main" uri="{B025F937-C7B1-47D3-B67F-A62EFF666E3E}">
          <x14:id>{4373D690-7936-4DF0-89F9-5773A7E032FA}</x14:id>
        </ext>
      </extLst>
    </cfRule>
  </conditionalFormatting>
  <conditionalFormatting sqref="R7766 R7511 R7256 R7001 R6746 R6491 R6236 R5981 R5726 R5471 R5216 R4961 R4706 R4451 R4196 R3941 R3686 R3431 R3176 R2921 R2666 R2411 R2156 R1901 R1646 R1391 R1136 R881 R626 R371 R116">
    <cfRule type="containsText" dxfId="419" priority="558" operator="containsText" text="NEUTRAL">
      <formula>NOT(ISERROR(SEARCH("NEUTRAL",R116)))</formula>
    </cfRule>
    <cfRule type="containsText" dxfId="418" priority="559" operator="containsText" text="BULLISH">
      <formula>NOT(ISERROR(SEARCH("BULLISH",R116)))</formula>
    </cfRule>
    <cfRule type="containsText" dxfId="417" priority="560" operator="containsText" text="BEARISH">
      <formula>NOT(ISERROR(SEARCH("BEARISH",R116)))</formula>
    </cfRule>
  </conditionalFormatting>
  <conditionalFormatting sqref="P116 P7766 P7511 P7256 P7001 P6746 P6491 P6236 P5981 P5726 P5471 P5216 P4961 P4706 P4451 P4196 P3941 P3686 P3431 P3176 P2921 P2666 P2411 P2156 P1901 P1646 P1391 P1136 P881 P626 P371">
    <cfRule type="dataBar" priority="557">
      <dataBar>
        <cfvo type="min"/>
        <cfvo type="max"/>
        <color rgb="FF638EC6"/>
      </dataBar>
      <extLst>
        <ext xmlns:x14="http://schemas.microsoft.com/office/spreadsheetml/2009/9/main" uri="{B025F937-C7B1-47D3-B67F-A62EFF666E3E}">
          <x14:id>{2D8ACFD9-A2E3-4B91-A473-E679E5CF9BE3}</x14:id>
        </ext>
      </extLst>
    </cfRule>
  </conditionalFormatting>
  <conditionalFormatting sqref="R7767 R7512 R7257 R7002 R6747 R6492 R6237 R5982 R5727 R5472 R5217 R4962 R4707 R4452 R4197 R3942 R3687 R3432 R3177 R2922 R2667 R2412 R2157 R1902 R1647 R1392 R1137 R882 R627 R372 R117">
    <cfRule type="containsText" dxfId="416" priority="554" operator="containsText" text="NEUTRAL">
      <formula>NOT(ISERROR(SEARCH("NEUTRAL",R117)))</formula>
    </cfRule>
    <cfRule type="containsText" dxfId="415" priority="555" operator="containsText" text="BULLISH">
      <formula>NOT(ISERROR(SEARCH("BULLISH",R117)))</formula>
    </cfRule>
    <cfRule type="containsText" dxfId="414" priority="556" operator="containsText" text="BEARISH">
      <formula>NOT(ISERROR(SEARCH("BEARISH",R117)))</formula>
    </cfRule>
  </conditionalFormatting>
  <conditionalFormatting sqref="P117 P7767 P7512 P7257 P7002 P6747 P6492 P6237 P5982 P5727 P5472 P5217 P4962 P4707 P4452 P4197 P3942 P3687 P3432 P3177 P2922 P2667 P2412 P2157 P1902 P1647 P1392 P1137 P882 P627 P372">
    <cfRule type="dataBar" priority="553">
      <dataBar>
        <cfvo type="min"/>
        <cfvo type="max"/>
        <color rgb="FF638EC6"/>
      </dataBar>
      <extLst>
        <ext xmlns:x14="http://schemas.microsoft.com/office/spreadsheetml/2009/9/main" uri="{B025F937-C7B1-47D3-B67F-A62EFF666E3E}">
          <x14:id>{78D6F0CB-7ABB-4B33-B716-225617967AAD}</x14:id>
        </ext>
      </extLst>
    </cfRule>
  </conditionalFormatting>
  <conditionalFormatting sqref="R7768 R7513 R7258 R7003 R6748 R6493 R6238 R5983 R5728 R5473 R5218 R4963 R4708 R4453 R4198 R3943 R3688 R3433 R3178 R2923 R2668 R2413 R2158 R1903 R1648 R1393 R1138 R883 R628 R373 R118">
    <cfRule type="containsText" dxfId="413" priority="550" operator="containsText" text="NEUTRAL">
      <formula>NOT(ISERROR(SEARCH("NEUTRAL",R118)))</formula>
    </cfRule>
    <cfRule type="containsText" dxfId="412" priority="551" operator="containsText" text="BULLISH">
      <formula>NOT(ISERROR(SEARCH("BULLISH",R118)))</formula>
    </cfRule>
    <cfRule type="containsText" dxfId="411" priority="552" operator="containsText" text="BEARISH">
      <formula>NOT(ISERROR(SEARCH("BEARISH",R118)))</formula>
    </cfRule>
  </conditionalFormatting>
  <conditionalFormatting sqref="P118 P7768 P7513 P7258 P7003 P6748 P6493 P6238 P5983 P5728 P5473 P5218 P4963 P4708 P4453 P4198 P3943 P3688 P3433 P3178 P2923 P2668 P2413 P2158 P1903 P1648 P1393 P1138 P883 P628 P373">
    <cfRule type="dataBar" priority="549">
      <dataBar>
        <cfvo type="min"/>
        <cfvo type="max"/>
        <color rgb="FF638EC6"/>
      </dataBar>
      <extLst>
        <ext xmlns:x14="http://schemas.microsoft.com/office/spreadsheetml/2009/9/main" uri="{B025F937-C7B1-47D3-B67F-A62EFF666E3E}">
          <x14:id>{ED527C93-D884-44E2-81C7-DAE1A6A6438B}</x14:id>
        </ext>
      </extLst>
    </cfRule>
  </conditionalFormatting>
  <conditionalFormatting sqref="R7769 R7514 R7259 R7004 R6749 R6494 R6239 R5984 R5729 R5474 R5219 R4964 R4709 R4454 R4199 R3944 R3689 R3434 R3179 R2924 R2669 R2414 R2159 R1904 R1649 R1394 R1139 R884 R629 R374 R119">
    <cfRule type="containsText" dxfId="410" priority="546" operator="containsText" text="NEUTRAL">
      <formula>NOT(ISERROR(SEARCH("NEUTRAL",R119)))</formula>
    </cfRule>
    <cfRule type="containsText" dxfId="409" priority="547" operator="containsText" text="BULLISH">
      <formula>NOT(ISERROR(SEARCH("BULLISH",R119)))</formula>
    </cfRule>
    <cfRule type="containsText" dxfId="408" priority="548" operator="containsText" text="BEARISH">
      <formula>NOT(ISERROR(SEARCH("BEARISH",R119)))</formula>
    </cfRule>
  </conditionalFormatting>
  <conditionalFormatting sqref="P119 P7769 P7514 P7259 P7004 P6749 P6494 P6239 P5984 P5729 P5474 P5219 P4964 P4709 P4454 P4199 P3944 P3689 P3434 P3179 P2924 P2669 P2414 P2159 P1904 P1649 P1394 P1139 P884 P629 P374">
    <cfRule type="dataBar" priority="545">
      <dataBar>
        <cfvo type="min"/>
        <cfvo type="max"/>
        <color rgb="FF638EC6"/>
      </dataBar>
      <extLst>
        <ext xmlns:x14="http://schemas.microsoft.com/office/spreadsheetml/2009/9/main" uri="{B025F937-C7B1-47D3-B67F-A62EFF666E3E}">
          <x14:id>{F89B1702-4CBF-464D-B0C7-2005B29A2DF6}</x14:id>
        </ext>
      </extLst>
    </cfRule>
  </conditionalFormatting>
  <conditionalFormatting sqref="R7770 R7515 R7260 R7005 R6750 R6495 R6240 R5985 R5730 R5475 R5220 R4965 R4710 R4455 R4200 R3945 R3690 R3435 R3180 R2925 R2670 R2415 R2160 R1905 R1650 R1395 R1140 R885 R630 R375 R120">
    <cfRule type="containsText" dxfId="407" priority="542" operator="containsText" text="NEUTRAL">
      <formula>NOT(ISERROR(SEARCH("NEUTRAL",R120)))</formula>
    </cfRule>
    <cfRule type="containsText" dxfId="406" priority="543" operator="containsText" text="BULLISH">
      <formula>NOT(ISERROR(SEARCH("BULLISH",R120)))</formula>
    </cfRule>
    <cfRule type="containsText" dxfId="405" priority="544" operator="containsText" text="BEARISH">
      <formula>NOT(ISERROR(SEARCH("BEARISH",R120)))</formula>
    </cfRule>
  </conditionalFormatting>
  <conditionalFormatting sqref="P120 P7770 P7515 P7260 P7005 P6750 P6495 P6240 P5985 P5730 P5475 P5220 P4965 P4710 P4455 P4200 P3945 P3690 P3435 P3180 P2925 P2670 P2415 P2160 P1905 P1650 P1395 P1140 P885 P630 P375">
    <cfRule type="dataBar" priority="541">
      <dataBar>
        <cfvo type="min"/>
        <cfvo type="max"/>
        <color rgb="FF638EC6"/>
      </dataBar>
      <extLst>
        <ext xmlns:x14="http://schemas.microsoft.com/office/spreadsheetml/2009/9/main" uri="{B025F937-C7B1-47D3-B67F-A62EFF666E3E}">
          <x14:id>{EAB8AEFF-0E05-4CB4-AC2A-8E96892E0DF4}</x14:id>
        </ext>
      </extLst>
    </cfRule>
  </conditionalFormatting>
  <conditionalFormatting sqref="R7771 R7516 R7261 R7006 R6751 R6496 R6241 R5986 R5731 R5476 R5221 R4966 R4711 R4456 R4201 R3946 R3691 R3436 R3181 R2926 R2671 R2416 R2161 R1906 R1651 R1396 R1141 R886 R631 R376 R121">
    <cfRule type="containsText" dxfId="404" priority="538" operator="containsText" text="NEUTRAL">
      <formula>NOT(ISERROR(SEARCH("NEUTRAL",R121)))</formula>
    </cfRule>
    <cfRule type="containsText" dxfId="403" priority="539" operator="containsText" text="BULLISH">
      <formula>NOT(ISERROR(SEARCH("BULLISH",R121)))</formula>
    </cfRule>
    <cfRule type="containsText" dxfId="402" priority="540" operator="containsText" text="BEARISH">
      <formula>NOT(ISERROR(SEARCH("BEARISH",R121)))</formula>
    </cfRule>
  </conditionalFormatting>
  <conditionalFormatting sqref="P121 P7771 P7516 P7261 P7006 P6751 P6496 P6241 P5986 P5731 P5476 P5221 P4966 P4711 P4456 P4201 P3946 P3691 P3436 P3181 P2926 P2671 P2416 P2161 P1906 P1651 P1396 P1141 P886 P631 P376">
    <cfRule type="dataBar" priority="537">
      <dataBar>
        <cfvo type="min"/>
        <cfvo type="max"/>
        <color rgb="FF638EC6"/>
      </dataBar>
      <extLst>
        <ext xmlns:x14="http://schemas.microsoft.com/office/spreadsheetml/2009/9/main" uri="{B025F937-C7B1-47D3-B67F-A62EFF666E3E}">
          <x14:id>{A4759771-1514-48AC-896F-12BD650E0DF1}</x14:id>
        </ext>
      </extLst>
    </cfRule>
  </conditionalFormatting>
  <conditionalFormatting sqref="R7772 R7517 R7262 R7007 R6752 R6497 R6242 R5987 R5732 R5477 R5222 R4967 R4712 R4457 R4202 R3947 R3692 R3437 R3182 R2927 R2672 R2417 R2162 R1907 R1652 R1397 R1142 R887 R632 R377 R122">
    <cfRule type="containsText" dxfId="401" priority="534" operator="containsText" text="NEUTRAL">
      <formula>NOT(ISERROR(SEARCH("NEUTRAL",R122)))</formula>
    </cfRule>
    <cfRule type="containsText" dxfId="400" priority="535" operator="containsText" text="BULLISH">
      <formula>NOT(ISERROR(SEARCH("BULLISH",R122)))</formula>
    </cfRule>
    <cfRule type="containsText" dxfId="399" priority="536" operator="containsText" text="BEARISH">
      <formula>NOT(ISERROR(SEARCH("BEARISH",R122)))</formula>
    </cfRule>
  </conditionalFormatting>
  <conditionalFormatting sqref="P122 P7772 P7517 P7262 P7007 P6752 P6497 P6242 P5987 P5732 P5477 P5222 P4967 P4712 P4457 P4202 P3947 P3692 P3437 P3182 P2927 P2672 P2417 P2162 P1907 P1652 P1397 P1142 P887 P632 P377">
    <cfRule type="dataBar" priority="533">
      <dataBar>
        <cfvo type="min"/>
        <cfvo type="max"/>
        <color rgb="FF638EC6"/>
      </dataBar>
      <extLst>
        <ext xmlns:x14="http://schemas.microsoft.com/office/spreadsheetml/2009/9/main" uri="{B025F937-C7B1-47D3-B67F-A62EFF666E3E}">
          <x14:id>{6897A058-9A13-4B72-814E-0CBD473B8731}</x14:id>
        </ext>
      </extLst>
    </cfRule>
  </conditionalFormatting>
  <conditionalFormatting sqref="R7773 R7518 R7263 R7008 R6753 R6498 R6243 R5988 R5733 R5478 R5223 R4968 R4713 R4458 R4203 R3948 R3693 R3438 R3183 R2928 R2673 R2418 R2163 R1908 R1653 R1398 R1143 R888 R633 R378 R123">
    <cfRule type="containsText" dxfId="398" priority="530" operator="containsText" text="NEUTRAL">
      <formula>NOT(ISERROR(SEARCH("NEUTRAL",R123)))</formula>
    </cfRule>
    <cfRule type="containsText" dxfId="397" priority="531" operator="containsText" text="BULLISH">
      <formula>NOT(ISERROR(SEARCH("BULLISH",R123)))</formula>
    </cfRule>
    <cfRule type="containsText" dxfId="396" priority="532" operator="containsText" text="BEARISH">
      <formula>NOT(ISERROR(SEARCH("BEARISH",R123)))</formula>
    </cfRule>
  </conditionalFormatting>
  <conditionalFormatting sqref="P123 P7773 P7518 P7263 P7008 P6753 P6498 P6243 P5988 P5733 P5478 P5223 P4968 P4713 P4458 P4203 P3948 P3693 P3438 P3183 P2928 P2673 P2418 P2163 P1908 P1653 P1398 P1143 P888 P633 P378">
    <cfRule type="dataBar" priority="529">
      <dataBar>
        <cfvo type="min"/>
        <cfvo type="max"/>
        <color rgb="FF638EC6"/>
      </dataBar>
      <extLst>
        <ext xmlns:x14="http://schemas.microsoft.com/office/spreadsheetml/2009/9/main" uri="{B025F937-C7B1-47D3-B67F-A62EFF666E3E}">
          <x14:id>{B9787C51-F4E8-4E1C-8663-E772F36239B3}</x14:id>
        </ext>
      </extLst>
    </cfRule>
  </conditionalFormatting>
  <conditionalFormatting sqref="R7774 R7519 R7264 R7009 R6754 R6499 R6244 R5989 R5734 R5479 R5224 R4969 R4714 R4459 R4204 R3949 R3694 R3439 R3184 R2929 R2674 R2419 R2164 R1909 R1654 R1399 R1144 R889 R634 R379 R124">
    <cfRule type="containsText" dxfId="395" priority="526" operator="containsText" text="NEUTRAL">
      <formula>NOT(ISERROR(SEARCH("NEUTRAL",R124)))</formula>
    </cfRule>
    <cfRule type="containsText" dxfId="394" priority="527" operator="containsText" text="BULLISH">
      <formula>NOT(ISERROR(SEARCH("BULLISH",R124)))</formula>
    </cfRule>
    <cfRule type="containsText" dxfId="393" priority="528" operator="containsText" text="BEARISH">
      <formula>NOT(ISERROR(SEARCH("BEARISH",R124)))</formula>
    </cfRule>
  </conditionalFormatting>
  <conditionalFormatting sqref="P124 P7774 P7519 P7264 P7009 P6754 P6499 P6244 P5989 P5734 P5479 P5224 P4969 P4714 P4459 P4204 P3949 P3694 P3439 P3184 P2929 P2674 P2419 P2164 P1909 P1654 P1399 P1144 P889 P634 P379">
    <cfRule type="dataBar" priority="525">
      <dataBar>
        <cfvo type="min"/>
        <cfvo type="max"/>
        <color rgb="FF638EC6"/>
      </dataBar>
      <extLst>
        <ext xmlns:x14="http://schemas.microsoft.com/office/spreadsheetml/2009/9/main" uri="{B025F937-C7B1-47D3-B67F-A62EFF666E3E}">
          <x14:id>{70621D85-33BA-49FC-8D74-3C2CAA152EB1}</x14:id>
        </ext>
      </extLst>
    </cfRule>
  </conditionalFormatting>
  <conditionalFormatting sqref="R7775 R7520 R7265 R7010 R6755 R6500 R6245 R5990 R5735 R5480 R5225 R4970 R4715 R4460 R4205 R3950 R3695 R3440 R3185 R2930 R2675 R2420 R2165 R1910 R1655 R1400 R1145 R890 R635 R380 R125">
    <cfRule type="containsText" dxfId="392" priority="522" operator="containsText" text="NEUTRAL">
      <formula>NOT(ISERROR(SEARCH("NEUTRAL",R125)))</formula>
    </cfRule>
    <cfRule type="containsText" dxfId="391" priority="523" operator="containsText" text="BULLISH">
      <formula>NOT(ISERROR(SEARCH("BULLISH",R125)))</formula>
    </cfRule>
    <cfRule type="containsText" dxfId="390" priority="524" operator="containsText" text="BEARISH">
      <formula>NOT(ISERROR(SEARCH("BEARISH",R125)))</formula>
    </cfRule>
  </conditionalFormatting>
  <conditionalFormatting sqref="P125 P7775 P7520 P7265 P7010 P6755 P6500 P6245 P5990 P5735 P5480 P5225 P4970 P4715 P4460 P4205 P3950 P3695 P3440 P3185 P2930 P2675 P2420 P2165 P1910 P1655 P1400 P1145 P890 P635 P380">
    <cfRule type="dataBar" priority="521">
      <dataBar>
        <cfvo type="min"/>
        <cfvo type="max"/>
        <color rgb="FF638EC6"/>
      </dataBar>
      <extLst>
        <ext xmlns:x14="http://schemas.microsoft.com/office/spreadsheetml/2009/9/main" uri="{B025F937-C7B1-47D3-B67F-A62EFF666E3E}">
          <x14:id>{8F4B5247-E275-449C-9FDF-29452933F619}</x14:id>
        </ext>
      </extLst>
    </cfRule>
  </conditionalFormatting>
  <conditionalFormatting sqref="R7776 R7521 R7266 R7011 R6756 R6501 R6246 R5991 R5736 R5481 R5226 R4971 R4716 R4461 R4206 R3951 R3696 R3441 R3186 R2931 R2676 R2421 R2166 R1911 R1656 R1401 R1146 R891 R636 R381 R126">
    <cfRule type="containsText" dxfId="389" priority="518" operator="containsText" text="NEUTRAL">
      <formula>NOT(ISERROR(SEARCH("NEUTRAL",R126)))</formula>
    </cfRule>
    <cfRule type="containsText" dxfId="388" priority="519" operator="containsText" text="BULLISH">
      <formula>NOT(ISERROR(SEARCH("BULLISH",R126)))</formula>
    </cfRule>
    <cfRule type="containsText" dxfId="387" priority="520" operator="containsText" text="BEARISH">
      <formula>NOT(ISERROR(SEARCH("BEARISH",R126)))</formula>
    </cfRule>
  </conditionalFormatting>
  <conditionalFormatting sqref="P126 P7776 P7521 P7266 P7011 P6756 P6501 P6246 P5991 P5736 P5481 P5226 P4971 P4716 P4461 P4206 P3951 P3696 P3441 P3186 P2931 P2676 P2421 P2166 P1911 P1656 P1401 P1146 P891 P636 P381">
    <cfRule type="dataBar" priority="517">
      <dataBar>
        <cfvo type="min"/>
        <cfvo type="max"/>
        <color rgb="FF638EC6"/>
      </dataBar>
      <extLst>
        <ext xmlns:x14="http://schemas.microsoft.com/office/spreadsheetml/2009/9/main" uri="{B025F937-C7B1-47D3-B67F-A62EFF666E3E}">
          <x14:id>{7DFEC45D-2C81-4F71-9314-EE2D49C6EC67}</x14:id>
        </ext>
      </extLst>
    </cfRule>
  </conditionalFormatting>
  <conditionalFormatting sqref="R7777 R7522 R7267 R7012 R6757 R6502 R6247 R5992 R5737 R5482 R5227 R4972 R4717 R4462 R4207 R3952 R3697 R3442 R3187 R2932 R2677 R2422 R2167 R1912 R1657 R1402 R1147 R892 R637 R382 R127">
    <cfRule type="containsText" dxfId="386" priority="514" operator="containsText" text="NEUTRAL">
      <formula>NOT(ISERROR(SEARCH("NEUTRAL",R127)))</formula>
    </cfRule>
    <cfRule type="containsText" dxfId="385" priority="515" operator="containsText" text="BULLISH">
      <formula>NOT(ISERROR(SEARCH("BULLISH",R127)))</formula>
    </cfRule>
    <cfRule type="containsText" dxfId="384" priority="516" operator="containsText" text="BEARISH">
      <formula>NOT(ISERROR(SEARCH("BEARISH",R127)))</formula>
    </cfRule>
  </conditionalFormatting>
  <conditionalFormatting sqref="P127 P7777 P7522 P7267 P7012 P6757 P6502 P6247 P5992 P5737 P5482 P5227 P4972 P4717 P4462 P4207 P3952 P3697 P3442 P3187 P2932 P2677 P2422 P2167 P1912 P1657 P1402 P1147 P892 P637 P382">
    <cfRule type="dataBar" priority="513">
      <dataBar>
        <cfvo type="min"/>
        <cfvo type="max"/>
        <color rgb="FF638EC6"/>
      </dataBar>
      <extLst>
        <ext xmlns:x14="http://schemas.microsoft.com/office/spreadsheetml/2009/9/main" uri="{B025F937-C7B1-47D3-B67F-A62EFF666E3E}">
          <x14:id>{414A9A75-7534-447A-9179-C2832D03BC17}</x14:id>
        </ext>
      </extLst>
    </cfRule>
  </conditionalFormatting>
  <conditionalFormatting sqref="R7778 R7523 R7268 R7013 R6758 R6503 R6248 R5993 R5738 R5483 R5228 R4973 R4718 R4463 R4208 R3953 R3698 R3443 R3188 R2933 R2678 R2423 R2168 R1913 R1658 R1403 R1148 R893 R638 R383 R128">
    <cfRule type="containsText" dxfId="383" priority="510" operator="containsText" text="NEUTRAL">
      <formula>NOT(ISERROR(SEARCH("NEUTRAL",R128)))</formula>
    </cfRule>
    <cfRule type="containsText" dxfId="382" priority="511" operator="containsText" text="BULLISH">
      <formula>NOT(ISERROR(SEARCH("BULLISH",R128)))</formula>
    </cfRule>
    <cfRule type="containsText" dxfId="381" priority="512" operator="containsText" text="BEARISH">
      <formula>NOT(ISERROR(SEARCH("BEARISH",R128)))</formula>
    </cfRule>
  </conditionalFormatting>
  <conditionalFormatting sqref="P128 P7778 P7523 P7268 P7013 P6758 P6503 P6248 P5993 P5738 P5483 P5228 P4973 P4718 P4463 P4208 P3953 P3698 P3443 P3188 P2933 P2678 P2423 P2168 P1913 P1658 P1403 P1148 P893 P638 P383">
    <cfRule type="dataBar" priority="509">
      <dataBar>
        <cfvo type="min"/>
        <cfvo type="max"/>
        <color rgb="FF638EC6"/>
      </dataBar>
      <extLst>
        <ext xmlns:x14="http://schemas.microsoft.com/office/spreadsheetml/2009/9/main" uri="{B025F937-C7B1-47D3-B67F-A62EFF666E3E}">
          <x14:id>{7B576B1B-7329-483F-87CA-E944BA999050}</x14:id>
        </ext>
      </extLst>
    </cfRule>
  </conditionalFormatting>
  <conditionalFormatting sqref="R7779 R7524 R7269 R7014 R6759 R6504 R6249 R5994 R5739 R5484 R5229 R4974 R4719 R4464 R4209 R3954 R3699 R3444 R3189 R2934 R2679 R2424 R2169 R1914 R1659 R1404 R1149 R894 R639 R384 R129">
    <cfRule type="containsText" dxfId="380" priority="506" operator="containsText" text="NEUTRAL">
      <formula>NOT(ISERROR(SEARCH("NEUTRAL",R129)))</formula>
    </cfRule>
    <cfRule type="containsText" dxfId="379" priority="507" operator="containsText" text="BULLISH">
      <formula>NOT(ISERROR(SEARCH("BULLISH",R129)))</formula>
    </cfRule>
    <cfRule type="containsText" dxfId="378" priority="508" operator="containsText" text="BEARISH">
      <formula>NOT(ISERROR(SEARCH("BEARISH",R129)))</formula>
    </cfRule>
  </conditionalFormatting>
  <conditionalFormatting sqref="P129 P7779 P7524 P7269 P7014 P6759 P6504 P6249 P5994 P5739 P5484 P5229 P4974 P4719 P4464 P4209 P3954 P3699 P3444 P3189 P2934 P2679 P2424 P2169 P1914 P1659 P1404 P1149 P894 P639 P384">
    <cfRule type="dataBar" priority="505">
      <dataBar>
        <cfvo type="min"/>
        <cfvo type="max"/>
        <color rgb="FF638EC6"/>
      </dataBar>
      <extLst>
        <ext xmlns:x14="http://schemas.microsoft.com/office/spreadsheetml/2009/9/main" uri="{B025F937-C7B1-47D3-B67F-A62EFF666E3E}">
          <x14:id>{7AB7A8C5-07E6-4600-9292-8333B968DF32}</x14:id>
        </ext>
      </extLst>
    </cfRule>
  </conditionalFormatting>
  <conditionalFormatting sqref="R7780 R7525 R7270 R7015 R6760 R6505 R6250 R5995 R5740 R5485 R5230 R4975 R4720 R4465 R4210 R3955 R3700 R3445 R3190 R2935 R2680 R2425 R2170 R1915 R1660 R1405 R1150 R895 R640 R385 R130">
    <cfRule type="containsText" dxfId="377" priority="502" operator="containsText" text="NEUTRAL">
      <formula>NOT(ISERROR(SEARCH("NEUTRAL",R130)))</formula>
    </cfRule>
    <cfRule type="containsText" dxfId="376" priority="503" operator="containsText" text="BULLISH">
      <formula>NOT(ISERROR(SEARCH("BULLISH",R130)))</formula>
    </cfRule>
    <cfRule type="containsText" dxfId="375" priority="504" operator="containsText" text="BEARISH">
      <formula>NOT(ISERROR(SEARCH("BEARISH",R130)))</formula>
    </cfRule>
  </conditionalFormatting>
  <conditionalFormatting sqref="P130 P7780 P7525 P7270 P7015 P6760 P6505 P6250 P5995 P5740 P5485 P5230 P4975 P4720 P4465 P4210 P3955 P3700 P3445 P3190 P2935 P2680 P2425 P2170 P1915 P1660 P1405 P1150 P895 P640 P385">
    <cfRule type="dataBar" priority="501">
      <dataBar>
        <cfvo type="min"/>
        <cfvo type="max"/>
        <color rgb="FF638EC6"/>
      </dataBar>
      <extLst>
        <ext xmlns:x14="http://schemas.microsoft.com/office/spreadsheetml/2009/9/main" uri="{B025F937-C7B1-47D3-B67F-A62EFF666E3E}">
          <x14:id>{4F36BDB4-2D70-4E2E-BD2E-0AD24AF8C3A5}</x14:id>
        </ext>
      </extLst>
    </cfRule>
  </conditionalFormatting>
  <conditionalFormatting sqref="R7781 R7526 R7271 R7016 R6761 R6506 R6251 R5996 R5741 R5486 R5231 R4976 R4721 R4466 R4211 R3956 R3701 R3446 R3191 R2936 R2681 R2426 R2171 R1916 R1661 R1406 R1151 R896 R641 R386 R131">
    <cfRule type="containsText" dxfId="374" priority="498" operator="containsText" text="NEUTRAL">
      <formula>NOT(ISERROR(SEARCH("NEUTRAL",R131)))</formula>
    </cfRule>
    <cfRule type="containsText" dxfId="373" priority="499" operator="containsText" text="BULLISH">
      <formula>NOT(ISERROR(SEARCH("BULLISH",R131)))</formula>
    </cfRule>
    <cfRule type="containsText" dxfId="372" priority="500" operator="containsText" text="BEARISH">
      <formula>NOT(ISERROR(SEARCH("BEARISH",R131)))</formula>
    </cfRule>
  </conditionalFormatting>
  <conditionalFormatting sqref="P131 P7781 P7526 P7271 P7016 P6761 P6506 P6251 P5996 P5741 P5486 P5231 P4976 P4721 P4466 P4211 P3956 P3701 P3446 P3191 P2936 P2681 P2426 P2171 P1916 P1661 P1406 P1151 P896 P641 P386">
    <cfRule type="dataBar" priority="497">
      <dataBar>
        <cfvo type="min"/>
        <cfvo type="max"/>
        <color rgb="FF638EC6"/>
      </dataBar>
      <extLst>
        <ext xmlns:x14="http://schemas.microsoft.com/office/spreadsheetml/2009/9/main" uri="{B025F937-C7B1-47D3-B67F-A62EFF666E3E}">
          <x14:id>{4CD90329-9F51-4B75-B48D-325B24C055CE}</x14:id>
        </ext>
      </extLst>
    </cfRule>
  </conditionalFormatting>
  <conditionalFormatting sqref="R7782 R7527 R7272 R7017 R6762 R6507 R6252 R5997 R5742 R5487 R5232 R4977 R4722 R4467 R4212 R3957 R3702 R3447 R3192 R2937 R2682 R2427 R2172 R1917 R1662 R1407 R1152 R897 R642 R387 R132">
    <cfRule type="containsText" dxfId="371" priority="494" operator="containsText" text="NEUTRAL">
      <formula>NOT(ISERROR(SEARCH("NEUTRAL",R132)))</formula>
    </cfRule>
    <cfRule type="containsText" dxfId="370" priority="495" operator="containsText" text="BULLISH">
      <formula>NOT(ISERROR(SEARCH("BULLISH",R132)))</formula>
    </cfRule>
    <cfRule type="containsText" dxfId="369" priority="496" operator="containsText" text="BEARISH">
      <formula>NOT(ISERROR(SEARCH("BEARISH",R132)))</formula>
    </cfRule>
  </conditionalFormatting>
  <conditionalFormatting sqref="P132 P7782 P7527 P7272 P7017 P6762 P6507 P6252 P5997 P5742 P5487 P5232 P4977 P4722 P4467 P4212 P3957 P3702 P3447 P3192 P2937 P2682 P2427 P2172 P1917 P1662 P1407 P1152 P897 P642 P387">
    <cfRule type="dataBar" priority="493">
      <dataBar>
        <cfvo type="min"/>
        <cfvo type="max"/>
        <color rgb="FF638EC6"/>
      </dataBar>
      <extLst>
        <ext xmlns:x14="http://schemas.microsoft.com/office/spreadsheetml/2009/9/main" uri="{B025F937-C7B1-47D3-B67F-A62EFF666E3E}">
          <x14:id>{8EE16DEB-8E75-4DCD-89F9-339AA88F2188}</x14:id>
        </ext>
      </extLst>
    </cfRule>
  </conditionalFormatting>
  <conditionalFormatting sqref="R7783 R7528 R7273 R7018 R6763 R6508 R6253 R5998 R5743 R5488 R5233 R4978 R4723 R4468 R4213 R3958 R3703 R3448 R3193 R2938 R2683 R2428 R2173 R1918 R1663 R1408 R1153 R898 R643 R388 R133">
    <cfRule type="containsText" dxfId="368" priority="490" operator="containsText" text="NEUTRAL">
      <formula>NOT(ISERROR(SEARCH("NEUTRAL",R133)))</formula>
    </cfRule>
    <cfRule type="containsText" dxfId="367" priority="491" operator="containsText" text="BULLISH">
      <formula>NOT(ISERROR(SEARCH("BULLISH",R133)))</formula>
    </cfRule>
    <cfRule type="containsText" dxfId="366" priority="492" operator="containsText" text="BEARISH">
      <formula>NOT(ISERROR(SEARCH("BEARISH",R133)))</formula>
    </cfRule>
  </conditionalFormatting>
  <conditionalFormatting sqref="P133 P7783 P7528 P7273 P7018 P6763 P6508 P6253 P5998 P5743 P5488 P5233 P4978 P4723 P4468 P4213 P3958 P3703 P3448 P3193 P2938 P2683 P2428 P2173 P1918 P1663 P1408 P1153 P898 P643 P388">
    <cfRule type="dataBar" priority="489">
      <dataBar>
        <cfvo type="min"/>
        <cfvo type="max"/>
        <color rgb="FF638EC6"/>
      </dataBar>
      <extLst>
        <ext xmlns:x14="http://schemas.microsoft.com/office/spreadsheetml/2009/9/main" uri="{B025F937-C7B1-47D3-B67F-A62EFF666E3E}">
          <x14:id>{9637238D-23DB-4232-84ED-72E8919C6CFF}</x14:id>
        </ext>
      </extLst>
    </cfRule>
  </conditionalFormatting>
  <conditionalFormatting sqref="R7784 R7529 R7274 R7019 R6764 R6509 R6254 R5999 R5744 R5489 R5234 R4979 R4724 R4469 R4214 R3959 R3704 R3449 R3194 R2939 R2684 R2429 R2174 R1919 R1664 R1409 R1154 R899 R644 R389 R134">
    <cfRule type="containsText" dxfId="365" priority="486" operator="containsText" text="NEUTRAL">
      <formula>NOT(ISERROR(SEARCH("NEUTRAL",R134)))</formula>
    </cfRule>
    <cfRule type="containsText" dxfId="364" priority="487" operator="containsText" text="BULLISH">
      <formula>NOT(ISERROR(SEARCH("BULLISH",R134)))</formula>
    </cfRule>
    <cfRule type="containsText" dxfId="363" priority="488" operator="containsText" text="BEARISH">
      <formula>NOT(ISERROR(SEARCH("BEARISH",R134)))</formula>
    </cfRule>
  </conditionalFormatting>
  <conditionalFormatting sqref="P134 P7784 P7529 P7274 P7019 P6764 P6509 P6254 P5999 P5744 P5489 P5234 P4979 P4724 P4469 P4214 P3959 P3704 P3449 P3194 P2939 P2684 P2429 P2174 P1919 P1664 P1409 P1154 P899 P644 P389">
    <cfRule type="dataBar" priority="485">
      <dataBar>
        <cfvo type="min"/>
        <cfvo type="max"/>
        <color rgb="FF638EC6"/>
      </dataBar>
      <extLst>
        <ext xmlns:x14="http://schemas.microsoft.com/office/spreadsheetml/2009/9/main" uri="{B025F937-C7B1-47D3-B67F-A62EFF666E3E}">
          <x14:id>{065253D8-EBF7-411A-A5F2-5EE4391DFC05}</x14:id>
        </ext>
      </extLst>
    </cfRule>
  </conditionalFormatting>
  <conditionalFormatting sqref="R7785 R7530 R7275 R7020 R6765 R6510 R6255 R6000 R5745 R5490 R5235 R4980 R4725 R4470 R4215 R3960 R3705 R3450 R3195 R2940 R2685 R2430 R2175 R1920 R1665 R1410 R1155 R900 R645 R390 R135">
    <cfRule type="containsText" dxfId="362" priority="482" operator="containsText" text="NEUTRAL">
      <formula>NOT(ISERROR(SEARCH("NEUTRAL",R135)))</formula>
    </cfRule>
    <cfRule type="containsText" dxfId="361" priority="483" operator="containsText" text="BULLISH">
      <formula>NOT(ISERROR(SEARCH("BULLISH",R135)))</formula>
    </cfRule>
    <cfRule type="containsText" dxfId="360" priority="484" operator="containsText" text="BEARISH">
      <formula>NOT(ISERROR(SEARCH("BEARISH",R135)))</formula>
    </cfRule>
  </conditionalFormatting>
  <conditionalFormatting sqref="P135 P7785 P7530 P7275 P7020 P6765 P6510 P6255 P6000 P5745 P5490 P5235 P4980 P4725 P4470 P4215 P3960 P3705 P3450 P3195 P2940 P2685 P2430 P2175 P1920 P1665 P1410 P1155 P900 P645 P390">
    <cfRule type="dataBar" priority="481">
      <dataBar>
        <cfvo type="min"/>
        <cfvo type="max"/>
        <color rgb="FF638EC6"/>
      </dataBar>
      <extLst>
        <ext xmlns:x14="http://schemas.microsoft.com/office/spreadsheetml/2009/9/main" uri="{B025F937-C7B1-47D3-B67F-A62EFF666E3E}">
          <x14:id>{05BD6F07-4FE6-4182-B269-A4BB8DAEA8D2}</x14:id>
        </ext>
      </extLst>
    </cfRule>
  </conditionalFormatting>
  <conditionalFormatting sqref="R7786 R7531 R7276 R7021 R6766 R6511 R6256 R6001 R5746 R5491 R5236 R4981 R4726 R4471 R4216 R3961 R3706 R3451 R3196 R2941 R2686 R2431 R2176 R1921 R1666 R1411 R1156 R901 R646 R391 R136">
    <cfRule type="containsText" dxfId="359" priority="478" operator="containsText" text="NEUTRAL">
      <formula>NOT(ISERROR(SEARCH("NEUTRAL",R136)))</formula>
    </cfRule>
    <cfRule type="containsText" dxfId="358" priority="479" operator="containsText" text="BULLISH">
      <formula>NOT(ISERROR(SEARCH("BULLISH",R136)))</formula>
    </cfRule>
    <cfRule type="containsText" dxfId="357" priority="480" operator="containsText" text="BEARISH">
      <formula>NOT(ISERROR(SEARCH("BEARISH",R136)))</formula>
    </cfRule>
  </conditionalFormatting>
  <conditionalFormatting sqref="P136 P7786 P7531 P7276 P7021 P6766 P6511 P6256 P6001 P5746 P5491 P5236 P4981 P4726 P4471 P4216 P3961 P3706 P3451 P3196 P2941 P2686 P2431 P2176 P1921 P1666 P1411 P1156 P901 P646 P391">
    <cfRule type="dataBar" priority="477">
      <dataBar>
        <cfvo type="min"/>
        <cfvo type="max"/>
        <color rgb="FF638EC6"/>
      </dataBar>
      <extLst>
        <ext xmlns:x14="http://schemas.microsoft.com/office/spreadsheetml/2009/9/main" uri="{B025F937-C7B1-47D3-B67F-A62EFF666E3E}">
          <x14:id>{D70D3FE9-8730-412E-8DBD-41DE8CDF5547}</x14:id>
        </ext>
      </extLst>
    </cfRule>
  </conditionalFormatting>
  <conditionalFormatting sqref="R7787 R7532 R7277 R7022 R6767 R6512 R6257 R6002 R5747 R5492 R5237 R4982 R4727 R4472 R4217 R3962 R3707 R3452 R3197 R2942 R2687 R2432 R2177 R1922 R1667 R1412 R1157 R902 R647 R392 R137">
    <cfRule type="containsText" dxfId="356" priority="474" operator="containsText" text="NEUTRAL">
      <formula>NOT(ISERROR(SEARCH("NEUTRAL",R137)))</formula>
    </cfRule>
    <cfRule type="containsText" dxfId="355" priority="475" operator="containsText" text="BULLISH">
      <formula>NOT(ISERROR(SEARCH("BULLISH",R137)))</formula>
    </cfRule>
    <cfRule type="containsText" dxfId="354" priority="476" operator="containsText" text="BEARISH">
      <formula>NOT(ISERROR(SEARCH("BEARISH",R137)))</formula>
    </cfRule>
  </conditionalFormatting>
  <conditionalFormatting sqref="P137 P7787 P7532 P7277 P7022 P6767 P6512 P6257 P6002 P5747 P5492 P5237 P4982 P4727 P4472 P4217 P3962 P3707 P3452 P3197 P2942 P2687 P2432 P2177 P1922 P1667 P1412 P1157 P902 P647 P392">
    <cfRule type="dataBar" priority="473">
      <dataBar>
        <cfvo type="min"/>
        <cfvo type="max"/>
        <color rgb="FF638EC6"/>
      </dataBar>
      <extLst>
        <ext xmlns:x14="http://schemas.microsoft.com/office/spreadsheetml/2009/9/main" uri="{B025F937-C7B1-47D3-B67F-A62EFF666E3E}">
          <x14:id>{BECC4279-3EEB-44A0-8F0C-626ADA649235}</x14:id>
        </ext>
      </extLst>
    </cfRule>
  </conditionalFormatting>
  <conditionalFormatting sqref="R7788 R7533 R7278 R7023 R6768 R6513 R6258 R6003 R5748 R5493 R5238 R4983 R4728 R4473 R4218 R3963 R3708 R3453 R3198 R2943 R2688 R2433 R2178 R1923 R1668 R1413 R1158 R903 R648 R393 R138">
    <cfRule type="containsText" dxfId="353" priority="470" operator="containsText" text="NEUTRAL">
      <formula>NOT(ISERROR(SEARCH("NEUTRAL",R138)))</formula>
    </cfRule>
    <cfRule type="containsText" dxfId="352" priority="471" operator="containsText" text="BULLISH">
      <formula>NOT(ISERROR(SEARCH("BULLISH",R138)))</formula>
    </cfRule>
    <cfRule type="containsText" dxfId="351" priority="472" operator="containsText" text="BEARISH">
      <formula>NOT(ISERROR(SEARCH("BEARISH",R138)))</formula>
    </cfRule>
  </conditionalFormatting>
  <conditionalFormatting sqref="P138 P7788 P7533 P7278 P7023 P6768 P6513 P6258 P6003 P5748 P5493 P5238 P4983 P4728 P4473 P4218 P3963 P3708 P3453 P3198 P2943 P2688 P2433 P2178 P1923 P1668 P1413 P1158 P903 P648 P393">
    <cfRule type="dataBar" priority="469">
      <dataBar>
        <cfvo type="min"/>
        <cfvo type="max"/>
        <color rgb="FF638EC6"/>
      </dataBar>
      <extLst>
        <ext xmlns:x14="http://schemas.microsoft.com/office/spreadsheetml/2009/9/main" uri="{B025F937-C7B1-47D3-B67F-A62EFF666E3E}">
          <x14:id>{1CA14DB6-09F3-48F5-86E0-B8DF00577C96}</x14:id>
        </ext>
      </extLst>
    </cfRule>
  </conditionalFormatting>
  <conditionalFormatting sqref="R7789 R7534 R7279 R7024 R6769 R6514 R6259 R6004 R5749 R5494 R5239 R4984 R4729 R4474 R4219 R3964 R3709 R3454 R3199 R2944 R2689 R2434 R2179 R1924 R1669 R1414 R1159 R904 R649 R394 R139">
    <cfRule type="containsText" dxfId="350" priority="466" operator="containsText" text="NEUTRAL">
      <formula>NOT(ISERROR(SEARCH("NEUTRAL",R139)))</formula>
    </cfRule>
    <cfRule type="containsText" dxfId="349" priority="467" operator="containsText" text="BULLISH">
      <formula>NOT(ISERROR(SEARCH("BULLISH",R139)))</formula>
    </cfRule>
    <cfRule type="containsText" dxfId="348" priority="468" operator="containsText" text="BEARISH">
      <formula>NOT(ISERROR(SEARCH("BEARISH",R139)))</formula>
    </cfRule>
  </conditionalFormatting>
  <conditionalFormatting sqref="P139 P7789 P7534 P7279 P7024 P6769 P6514 P6259 P6004 P5749 P5494 P5239 P4984 P4729 P4474 P4219 P3964 P3709 P3454 P3199 P2944 P2689 P2434 P2179 P1924 P1669 P1414 P1159 P904 P649 P394">
    <cfRule type="dataBar" priority="465">
      <dataBar>
        <cfvo type="min"/>
        <cfvo type="max"/>
        <color rgb="FF638EC6"/>
      </dataBar>
      <extLst>
        <ext xmlns:x14="http://schemas.microsoft.com/office/spreadsheetml/2009/9/main" uri="{B025F937-C7B1-47D3-B67F-A62EFF666E3E}">
          <x14:id>{6C527BDC-61A0-4999-84ED-4127B0A26048}</x14:id>
        </ext>
      </extLst>
    </cfRule>
  </conditionalFormatting>
  <conditionalFormatting sqref="R7790 R7535 R7280 R7025 R6770 R6515 R6260 R6005 R5750 R5495 R5240 R4985 R4730 R4475 R4220 R3965 R3710 R3455 R3200 R2945 R2690 R2435 R2180 R1925 R1670 R1415 R1160 R905 R650 R395 R140">
    <cfRule type="containsText" dxfId="347" priority="462" operator="containsText" text="NEUTRAL">
      <formula>NOT(ISERROR(SEARCH("NEUTRAL",R140)))</formula>
    </cfRule>
    <cfRule type="containsText" dxfId="346" priority="463" operator="containsText" text="BULLISH">
      <formula>NOT(ISERROR(SEARCH("BULLISH",R140)))</formula>
    </cfRule>
    <cfRule type="containsText" dxfId="345" priority="464" operator="containsText" text="BEARISH">
      <formula>NOT(ISERROR(SEARCH("BEARISH",R140)))</formula>
    </cfRule>
  </conditionalFormatting>
  <conditionalFormatting sqref="P140 P7790 P7535 P7280 P7025 P6770 P6515 P6260 P6005 P5750 P5495 P5240 P4985 P4730 P4475 P4220 P3965 P3710 P3455 P3200 P2945 P2690 P2435 P2180 P1925 P1670 P1415 P1160 P905 P650 P395">
    <cfRule type="dataBar" priority="461">
      <dataBar>
        <cfvo type="min"/>
        <cfvo type="max"/>
        <color rgb="FF638EC6"/>
      </dataBar>
      <extLst>
        <ext xmlns:x14="http://schemas.microsoft.com/office/spreadsheetml/2009/9/main" uri="{B025F937-C7B1-47D3-B67F-A62EFF666E3E}">
          <x14:id>{2399473D-74CF-46F8-B0A2-93360BF95CBD}</x14:id>
        </ext>
      </extLst>
    </cfRule>
  </conditionalFormatting>
  <conditionalFormatting sqref="R7791 R7536 R7281 R7026 R6771 R6516 R6261 R6006 R5751 R5496 R5241 R4986 R4731 R4476 R4221 R3966 R3711 R3456 R3201 R2946 R2691 R2436 R2181 R1926 R1671 R1416 R1161 R906 R651 R396 R141">
    <cfRule type="containsText" dxfId="344" priority="458" operator="containsText" text="NEUTRAL">
      <formula>NOT(ISERROR(SEARCH("NEUTRAL",R141)))</formula>
    </cfRule>
    <cfRule type="containsText" dxfId="343" priority="459" operator="containsText" text="BULLISH">
      <formula>NOT(ISERROR(SEARCH("BULLISH",R141)))</formula>
    </cfRule>
    <cfRule type="containsText" dxfId="342" priority="460" operator="containsText" text="BEARISH">
      <formula>NOT(ISERROR(SEARCH("BEARISH",R141)))</formula>
    </cfRule>
  </conditionalFormatting>
  <conditionalFormatting sqref="P141 P7791 P7536 P7281 P7026 P6771 P6516 P6261 P6006 P5751 P5496 P5241 P4986 P4731 P4476 P4221 P3966 P3711 P3456 P3201 P2946 P2691 P2436 P2181 P1926 P1671 P1416 P1161 P906 P651 P396">
    <cfRule type="dataBar" priority="457">
      <dataBar>
        <cfvo type="min"/>
        <cfvo type="max"/>
        <color rgb="FF638EC6"/>
      </dataBar>
      <extLst>
        <ext xmlns:x14="http://schemas.microsoft.com/office/spreadsheetml/2009/9/main" uri="{B025F937-C7B1-47D3-B67F-A62EFF666E3E}">
          <x14:id>{902640D4-FE63-4ED1-8BE2-876B8CFFB5BA}</x14:id>
        </ext>
      </extLst>
    </cfRule>
  </conditionalFormatting>
  <conditionalFormatting sqref="R7792 R7537 R7282 R7027 R6772 R6517 R6262 R6007 R5752 R5497 R5242 R4987 R4732 R4477 R4222 R3967 R3712 R3457 R3202 R2947 R2692 R2437 R2182 R1927 R1672 R1417 R1162 R907 R652 R397 R142">
    <cfRule type="containsText" dxfId="341" priority="454" operator="containsText" text="NEUTRAL">
      <formula>NOT(ISERROR(SEARCH("NEUTRAL",R142)))</formula>
    </cfRule>
    <cfRule type="containsText" dxfId="340" priority="455" operator="containsText" text="BULLISH">
      <formula>NOT(ISERROR(SEARCH("BULLISH",R142)))</formula>
    </cfRule>
    <cfRule type="containsText" dxfId="339" priority="456" operator="containsText" text="BEARISH">
      <formula>NOT(ISERROR(SEARCH("BEARISH",R142)))</formula>
    </cfRule>
  </conditionalFormatting>
  <conditionalFormatting sqref="P142 P7792 P7537 P7282 P7027 P6772 P6517 P6262 P6007 P5752 P5497 P5242 P4987 P4732 P4477 P4222 P3967 P3712 P3457 P3202 P2947 P2692 P2437 P2182 P1927 P1672 P1417 P1162 P907 P652 P397">
    <cfRule type="dataBar" priority="453">
      <dataBar>
        <cfvo type="min"/>
        <cfvo type="max"/>
        <color rgb="FF638EC6"/>
      </dataBar>
      <extLst>
        <ext xmlns:x14="http://schemas.microsoft.com/office/spreadsheetml/2009/9/main" uri="{B025F937-C7B1-47D3-B67F-A62EFF666E3E}">
          <x14:id>{7B151F48-15D2-4E8E-9C4C-C31EA3FE8BF5}</x14:id>
        </ext>
      </extLst>
    </cfRule>
  </conditionalFormatting>
  <conditionalFormatting sqref="R7793 R7538 R7283 R7028 R6773 R6518 R6263 R6008 R5753 R5498 R5243 R4988 R4733 R4478 R4223 R3968 R3713 R3458 R3203 R2948 R2693 R2438 R2183 R1928 R1673 R1418 R1163 R908 R653 R398 R143">
    <cfRule type="containsText" dxfId="338" priority="450" operator="containsText" text="NEUTRAL">
      <formula>NOT(ISERROR(SEARCH("NEUTRAL",R143)))</formula>
    </cfRule>
    <cfRule type="containsText" dxfId="337" priority="451" operator="containsText" text="BULLISH">
      <formula>NOT(ISERROR(SEARCH("BULLISH",R143)))</formula>
    </cfRule>
    <cfRule type="containsText" dxfId="336" priority="452" operator="containsText" text="BEARISH">
      <formula>NOT(ISERROR(SEARCH("BEARISH",R143)))</formula>
    </cfRule>
  </conditionalFormatting>
  <conditionalFormatting sqref="P143 P7793 P7538 P7283 P7028 P6773 P6518 P6263 P6008 P5753 P5498 P5243 P4988 P4733 P4478 P4223 P3968 P3713 P3458 P3203 P2948 P2693 P2438 P2183 P1928 P1673 P1418 P1163 P908 P653 P398">
    <cfRule type="dataBar" priority="449">
      <dataBar>
        <cfvo type="min"/>
        <cfvo type="max"/>
        <color rgb="FF638EC6"/>
      </dataBar>
      <extLst>
        <ext xmlns:x14="http://schemas.microsoft.com/office/spreadsheetml/2009/9/main" uri="{B025F937-C7B1-47D3-B67F-A62EFF666E3E}">
          <x14:id>{2A8D3CD1-334A-438B-97D0-A50EA28E7B13}</x14:id>
        </ext>
      </extLst>
    </cfRule>
  </conditionalFormatting>
  <conditionalFormatting sqref="R7794 R7539 R7284 R7029 R6774 R6519 R6264 R6009 R5754 R5499 R5244 R4989 R4734 R4479 R4224 R3969 R3714 R3459 R3204 R2949 R2694 R2439 R2184 R1929 R1674 R1419 R1164 R909 R654 R399 R144">
    <cfRule type="containsText" dxfId="335" priority="446" operator="containsText" text="NEUTRAL">
      <formula>NOT(ISERROR(SEARCH("NEUTRAL",R144)))</formula>
    </cfRule>
    <cfRule type="containsText" dxfId="334" priority="447" operator="containsText" text="BULLISH">
      <formula>NOT(ISERROR(SEARCH("BULLISH",R144)))</formula>
    </cfRule>
    <cfRule type="containsText" dxfId="333" priority="448" operator="containsText" text="BEARISH">
      <formula>NOT(ISERROR(SEARCH("BEARISH",R144)))</formula>
    </cfRule>
  </conditionalFormatting>
  <conditionalFormatting sqref="P144 P7794 P7539 P7284 P7029 P6774 P6519 P6264 P6009 P5754 P5499 P5244 P4989 P4734 P4479 P4224 P3969 P3714 P3459 P3204 P2949 P2694 P2439 P2184 P1929 P1674 P1419 P1164 P909 P654 P399">
    <cfRule type="dataBar" priority="445">
      <dataBar>
        <cfvo type="min"/>
        <cfvo type="max"/>
        <color rgb="FF638EC6"/>
      </dataBar>
      <extLst>
        <ext xmlns:x14="http://schemas.microsoft.com/office/spreadsheetml/2009/9/main" uri="{B025F937-C7B1-47D3-B67F-A62EFF666E3E}">
          <x14:id>{3EE92B87-C0F1-4457-9F06-E06BAD65A59A}</x14:id>
        </ext>
      </extLst>
    </cfRule>
  </conditionalFormatting>
  <conditionalFormatting sqref="R7795 R7540 R7285 R7030 R6775 R6520 R6265 R6010 R5755 R5500 R5245 R4990 R4735 R4480 R4225 R3970 R3715 R3460 R3205 R2950 R2695 R2440 R2185 R1930 R1675 R1420 R1165 R910 R655 R400 R145">
    <cfRule type="containsText" dxfId="332" priority="442" operator="containsText" text="NEUTRAL">
      <formula>NOT(ISERROR(SEARCH("NEUTRAL",R145)))</formula>
    </cfRule>
    <cfRule type="containsText" dxfId="331" priority="443" operator="containsText" text="BULLISH">
      <formula>NOT(ISERROR(SEARCH("BULLISH",R145)))</formula>
    </cfRule>
    <cfRule type="containsText" dxfId="330" priority="444" operator="containsText" text="BEARISH">
      <formula>NOT(ISERROR(SEARCH("BEARISH",R145)))</formula>
    </cfRule>
  </conditionalFormatting>
  <conditionalFormatting sqref="P145 P7795 P7540 P7285 P7030 P6775 P6520 P6265 P6010 P5755 P5500 P5245 P4990 P4735 P4480 P4225 P3970 P3715 P3460 P3205 P2950 P2695 P2440 P2185 P1930 P1675 P1420 P1165 P910 P655 P400">
    <cfRule type="dataBar" priority="441">
      <dataBar>
        <cfvo type="min"/>
        <cfvo type="max"/>
        <color rgb="FF638EC6"/>
      </dataBar>
      <extLst>
        <ext xmlns:x14="http://schemas.microsoft.com/office/spreadsheetml/2009/9/main" uri="{B025F937-C7B1-47D3-B67F-A62EFF666E3E}">
          <x14:id>{4E77469D-2583-48B7-8F1C-45952160D7CF}</x14:id>
        </ext>
      </extLst>
    </cfRule>
  </conditionalFormatting>
  <conditionalFormatting sqref="R7796 R7541 R7286 R7031 R6776 R6521 R6266 R6011 R5756 R5501 R5246 R4991 R4736 R4481 R4226 R3971 R3716 R3461 R3206 R2951 R2696 R2441 R2186 R1931 R1676 R1421 R1166 R911 R656 R401 R146">
    <cfRule type="containsText" dxfId="329" priority="438" operator="containsText" text="NEUTRAL">
      <formula>NOT(ISERROR(SEARCH("NEUTRAL",R146)))</formula>
    </cfRule>
    <cfRule type="containsText" dxfId="328" priority="439" operator="containsText" text="BULLISH">
      <formula>NOT(ISERROR(SEARCH("BULLISH",R146)))</formula>
    </cfRule>
    <cfRule type="containsText" dxfId="327" priority="440" operator="containsText" text="BEARISH">
      <formula>NOT(ISERROR(SEARCH("BEARISH",R146)))</formula>
    </cfRule>
  </conditionalFormatting>
  <conditionalFormatting sqref="P146 P7796 P7541 P7286 P7031 P6776 P6521 P6266 P6011 P5756 P5501 P5246 P4991 P4736 P4481 P4226 P3971 P3716 P3461 P3206 P2951 P2696 P2441 P2186 P1931 P1676 P1421 P1166 P911 P656 P401">
    <cfRule type="dataBar" priority="437">
      <dataBar>
        <cfvo type="min"/>
        <cfvo type="max"/>
        <color rgb="FF638EC6"/>
      </dataBar>
      <extLst>
        <ext xmlns:x14="http://schemas.microsoft.com/office/spreadsheetml/2009/9/main" uri="{B025F937-C7B1-47D3-B67F-A62EFF666E3E}">
          <x14:id>{D9F29BC6-D455-4C24-BFBA-16374A4FAD39}</x14:id>
        </ext>
      </extLst>
    </cfRule>
  </conditionalFormatting>
  <conditionalFormatting sqref="R7797 R7542 R7287 R7032 R6777 R6522 R6267 R6012 R5757 R5502 R5247 R4992 R4737 R4482 R4227 R3972 R3717 R3462 R3207 R2952 R2697 R2442 R2187 R1932 R1677 R1422 R1167 R912 R657 R402 R147">
    <cfRule type="containsText" dxfId="326" priority="434" operator="containsText" text="NEUTRAL">
      <formula>NOT(ISERROR(SEARCH("NEUTRAL",R147)))</formula>
    </cfRule>
    <cfRule type="containsText" dxfId="325" priority="435" operator="containsText" text="BULLISH">
      <formula>NOT(ISERROR(SEARCH("BULLISH",R147)))</formula>
    </cfRule>
    <cfRule type="containsText" dxfId="324" priority="436" operator="containsText" text="BEARISH">
      <formula>NOT(ISERROR(SEARCH("BEARISH",R147)))</formula>
    </cfRule>
  </conditionalFormatting>
  <conditionalFormatting sqref="P147 P7797 P7542 P7287 P7032 P6777 P6522 P6267 P6012 P5757 P5502 P5247 P4992 P4737 P4482 P4227 P3972 P3717 P3462 P3207 P2952 P2697 P2442 P2187 P1932 P1677 P1422 P1167 P912 P657 P402">
    <cfRule type="dataBar" priority="433">
      <dataBar>
        <cfvo type="min"/>
        <cfvo type="max"/>
        <color rgb="FF638EC6"/>
      </dataBar>
      <extLst>
        <ext xmlns:x14="http://schemas.microsoft.com/office/spreadsheetml/2009/9/main" uri="{B025F937-C7B1-47D3-B67F-A62EFF666E3E}">
          <x14:id>{03AB1536-269B-42C6-8E6A-699E53DAC698}</x14:id>
        </ext>
      </extLst>
    </cfRule>
  </conditionalFormatting>
  <conditionalFormatting sqref="R7798 R7543 R7288 R7033 R6778 R6523 R6268 R6013 R5758 R5503 R5248 R4993 R4738 R4483 R4228 R3973 R3718 R3463 R3208 R2953 R2698 R2443 R2188 R1933 R1678 R1423 R1168 R913 R658 R403 R148">
    <cfRule type="containsText" dxfId="323" priority="430" operator="containsText" text="NEUTRAL">
      <formula>NOT(ISERROR(SEARCH("NEUTRAL",R148)))</formula>
    </cfRule>
    <cfRule type="containsText" dxfId="322" priority="431" operator="containsText" text="BULLISH">
      <formula>NOT(ISERROR(SEARCH("BULLISH",R148)))</formula>
    </cfRule>
    <cfRule type="containsText" dxfId="321" priority="432" operator="containsText" text="BEARISH">
      <formula>NOT(ISERROR(SEARCH("BEARISH",R148)))</formula>
    </cfRule>
  </conditionalFormatting>
  <conditionalFormatting sqref="P148 P7798 P7543 P7288 P7033 P6778 P6523 P6268 P6013 P5758 P5503 P5248 P4993 P4738 P4483 P4228 P3973 P3718 P3463 P3208 P2953 P2698 P2443 P2188 P1933 P1678 P1423 P1168 P913 P658 P403">
    <cfRule type="dataBar" priority="429">
      <dataBar>
        <cfvo type="min"/>
        <cfvo type="max"/>
        <color rgb="FF638EC6"/>
      </dataBar>
      <extLst>
        <ext xmlns:x14="http://schemas.microsoft.com/office/spreadsheetml/2009/9/main" uri="{B025F937-C7B1-47D3-B67F-A62EFF666E3E}">
          <x14:id>{5470E172-6667-45F0-803F-0104B957179A}</x14:id>
        </ext>
      </extLst>
    </cfRule>
  </conditionalFormatting>
  <conditionalFormatting sqref="R7799 R7544 R7289 R7034 R6779 R6524 R6269 R6014 R5759 R5504 R5249 R4994 R4739 R4484 R4229 R3974 R3719 R3464 R3209 R2954 R2699 R2444 R2189 R1934 R1679 R1424 R1169 R914 R659 R404 R149">
    <cfRule type="containsText" dxfId="320" priority="426" operator="containsText" text="NEUTRAL">
      <formula>NOT(ISERROR(SEARCH("NEUTRAL",R149)))</formula>
    </cfRule>
    <cfRule type="containsText" dxfId="319" priority="427" operator="containsText" text="BULLISH">
      <formula>NOT(ISERROR(SEARCH("BULLISH",R149)))</formula>
    </cfRule>
    <cfRule type="containsText" dxfId="318" priority="428" operator="containsText" text="BEARISH">
      <formula>NOT(ISERROR(SEARCH("BEARISH",R149)))</formula>
    </cfRule>
  </conditionalFormatting>
  <conditionalFormatting sqref="P149 P7799 P7544 P7289 P7034 P6779 P6524 P6269 P6014 P5759 P5504 P5249 P4994 P4739 P4484 P4229 P3974 P3719 P3464 P3209 P2954 P2699 P2444 P2189 P1934 P1679 P1424 P1169 P914 P659 P404">
    <cfRule type="dataBar" priority="425">
      <dataBar>
        <cfvo type="min"/>
        <cfvo type="max"/>
        <color rgb="FF638EC6"/>
      </dataBar>
      <extLst>
        <ext xmlns:x14="http://schemas.microsoft.com/office/spreadsheetml/2009/9/main" uri="{B025F937-C7B1-47D3-B67F-A62EFF666E3E}">
          <x14:id>{944D5E17-5C2B-4649-A3AC-323D48A8FE35}</x14:id>
        </ext>
      </extLst>
    </cfRule>
  </conditionalFormatting>
  <conditionalFormatting sqref="R7800 R7545 R7290 R7035 R6780 R6525 R6270 R6015 R5760 R5505 R5250 R4995 R4740 R4485 R4230 R3975 R3720 R3465 R3210 R2955 R2700 R2445 R2190 R1935 R1680 R1425 R1170 R915 R660 R405 R150">
    <cfRule type="containsText" dxfId="317" priority="422" operator="containsText" text="NEUTRAL">
      <formula>NOT(ISERROR(SEARCH("NEUTRAL",R150)))</formula>
    </cfRule>
    <cfRule type="containsText" dxfId="316" priority="423" operator="containsText" text="BULLISH">
      <formula>NOT(ISERROR(SEARCH("BULLISH",R150)))</formula>
    </cfRule>
    <cfRule type="containsText" dxfId="315" priority="424" operator="containsText" text="BEARISH">
      <formula>NOT(ISERROR(SEARCH("BEARISH",R150)))</formula>
    </cfRule>
  </conditionalFormatting>
  <conditionalFormatting sqref="P150 P7800 P7545 P7290 P7035 P6780 P6525 P6270 P6015 P5760 P5505 P5250 P4995 P4740 P4485 P4230 P3975 P3720 P3465 P3210 P2955 P2700 P2445 P2190 P1935 P1680 P1425 P1170 P915 P660 P405">
    <cfRule type="dataBar" priority="421">
      <dataBar>
        <cfvo type="min"/>
        <cfvo type="max"/>
        <color rgb="FF638EC6"/>
      </dataBar>
      <extLst>
        <ext xmlns:x14="http://schemas.microsoft.com/office/spreadsheetml/2009/9/main" uri="{B025F937-C7B1-47D3-B67F-A62EFF666E3E}">
          <x14:id>{D9F5B07D-B1AE-4283-9E4C-EF3ADEB09C65}</x14:id>
        </ext>
      </extLst>
    </cfRule>
  </conditionalFormatting>
  <conditionalFormatting sqref="R7801 R7546 R7291 R7036 R6781 R6526 R6271 R6016 R5761 R5506 R5251 R4996 R4741 R4486 R4231 R3976 R3721 R3466 R3211 R2956 R2701 R2446 R2191 R1936 R1681 R1426 R1171 R916 R661 R406 R151">
    <cfRule type="containsText" dxfId="314" priority="418" operator="containsText" text="NEUTRAL">
      <formula>NOT(ISERROR(SEARCH("NEUTRAL",R151)))</formula>
    </cfRule>
    <cfRule type="containsText" dxfId="313" priority="419" operator="containsText" text="BULLISH">
      <formula>NOT(ISERROR(SEARCH("BULLISH",R151)))</formula>
    </cfRule>
    <cfRule type="containsText" dxfId="312" priority="420" operator="containsText" text="BEARISH">
      <formula>NOT(ISERROR(SEARCH("BEARISH",R151)))</formula>
    </cfRule>
  </conditionalFormatting>
  <conditionalFormatting sqref="P151 P7801 P7546 P7291 P7036 P6781 P6526 P6271 P6016 P5761 P5506 P5251 P4996 P4741 P4486 P4231 P3976 P3721 P3466 P3211 P2956 P2701 P2446 P2191 P1936 P1681 P1426 P1171 P916 P661 P406">
    <cfRule type="dataBar" priority="417">
      <dataBar>
        <cfvo type="min"/>
        <cfvo type="max"/>
        <color rgb="FF638EC6"/>
      </dataBar>
      <extLst>
        <ext xmlns:x14="http://schemas.microsoft.com/office/spreadsheetml/2009/9/main" uri="{B025F937-C7B1-47D3-B67F-A62EFF666E3E}">
          <x14:id>{1AED3AF9-1CC1-4498-9784-E40625055075}</x14:id>
        </ext>
      </extLst>
    </cfRule>
  </conditionalFormatting>
  <conditionalFormatting sqref="R7802 R7547 R7292 R7037 R6782 R6527 R6272 R6017 R5762 R5507 R5252 R4997 R4742 R4487 R4232 R3977 R3722 R3467 R3212 R2957 R2702 R2447 R2192 R1937 R1682 R1427 R1172 R917 R662 R407 R152">
    <cfRule type="containsText" dxfId="311" priority="414" operator="containsText" text="NEUTRAL">
      <formula>NOT(ISERROR(SEARCH("NEUTRAL",R152)))</formula>
    </cfRule>
    <cfRule type="containsText" dxfId="310" priority="415" operator="containsText" text="BULLISH">
      <formula>NOT(ISERROR(SEARCH("BULLISH",R152)))</formula>
    </cfRule>
    <cfRule type="containsText" dxfId="309" priority="416" operator="containsText" text="BEARISH">
      <formula>NOT(ISERROR(SEARCH("BEARISH",R152)))</formula>
    </cfRule>
  </conditionalFormatting>
  <conditionalFormatting sqref="P152 P7802 P7547 P7292 P7037 P6782 P6527 P6272 P6017 P5762 P5507 P5252 P4997 P4742 P4487 P4232 P3977 P3722 P3467 P3212 P2957 P2702 P2447 P2192 P1937 P1682 P1427 P1172 P917 P662 P407">
    <cfRule type="dataBar" priority="413">
      <dataBar>
        <cfvo type="min"/>
        <cfvo type="max"/>
        <color rgb="FF638EC6"/>
      </dataBar>
      <extLst>
        <ext xmlns:x14="http://schemas.microsoft.com/office/spreadsheetml/2009/9/main" uri="{B025F937-C7B1-47D3-B67F-A62EFF666E3E}">
          <x14:id>{421ADE3E-37F2-470F-89DD-A7FA8C0AFAB8}</x14:id>
        </ext>
      </extLst>
    </cfRule>
  </conditionalFormatting>
  <conditionalFormatting sqref="R7803 R7548 R7293 R7038 R6783 R6528 R6273 R6018 R5763 R5508 R5253 R4998 R4743 R4488 R4233 R3978 R3723 R3468 R3213 R2958 R2703 R2448 R2193 R1938 R1683 R1428 R1173 R918 R663 R408 R153">
    <cfRule type="containsText" dxfId="308" priority="410" operator="containsText" text="NEUTRAL">
      <formula>NOT(ISERROR(SEARCH("NEUTRAL",R153)))</formula>
    </cfRule>
    <cfRule type="containsText" dxfId="307" priority="411" operator="containsText" text="BULLISH">
      <formula>NOT(ISERROR(SEARCH("BULLISH",R153)))</formula>
    </cfRule>
    <cfRule type="containsText" dxfId="306" priority="412" operator="containsText" text="BEARISH">
      <formula>NOT(ISERROR(SEARCH("BEARISH",R153)))</formula>
    </cfRule>
  </conditionalFormatting>
  <conditionalFormatting sqref="P153 P7803 P7548 P7293 P7038 P6783 P6528 P6273 P6018 P5763 P5508 P5253 P4998 P4743 P4488 P4233 P3978 P3723 P3468 P3213 P2958 P2703 P2448 P2193 P1938 P1683 P1428 P1173 P918 P663 P408">
    <cfRule type="dataBar" priority="409">
      <dataBar>
        <cfvo type="min"/>
        <cfvo type="max"/>
        <color rgb="FF638EC6"/>
      </dataBar>
      <extLst>
        <ext xmlns:x14="http://schemas.microsoft.com/office/spreadsheetml/2009/9/main" uri="{B025F937-C7B1-47D3-B67F-A62EFF666E3E}">
          <x14:id>{33C74FEB-993C-4C68-9D97-7CCE8949619B}</x14:id>
        </ext>
      </extLst>
    </cfRule>
  </conditionalFormatting>
  <conditionalFormatting sqref="R7804 R7549 R7294 R7039 R6784 R6529 R6274 R6019 R5764 R5509 R5254 R4999 R4744 R4489 R4234 R3979 R3724 R3469 R3214 R2959 R2704 R2449 R2194 R1939 R1684 R1429 R1174 R919 R664 R409 R154">
    <cfRule type="containsText" dxfId="305" priority="406" operator="containsText" text="NEUTRAL">
      <formula>NOT(ISERROR(SEARCH("NEUTRAL",R154)))</formula>
    </cfRule>
    <cfRule type="containsText" dxfId="304" priority="407" operator="containsText" text="BULLISH">
      <formula>NOT(ISERROR(SEARCH("BULLISH",R154)))</formula>
    </cfRule>
    <cfRule type="containsText" dxfId="303" priority="408" operator="containsText" text="BEARISH">
      <formula>NOT(ISERROR(SEARCH("BEARISH",R154)))</formula>
    </cfRule>
  </conditionalFormatting>
  <conditionalFormatting sqref="P154 P7804 P7549 P7294 P7039 P6784 P6529 P6274 P6019 P5764 P5509 P5254 P4999 P4744 P4489 P4234 P3979 P3724 P3469 P3214 P2959 P2704 P2449 P2194 P1939 P1684 P1429 P1174 P919 P664 P409">
    <cfRule type="dataBar" priority="405">
      <dataBar>
        <cfvo type="min"/>
        <cfvo type="max"/>
        <color rgb="FF638EC6"/>
      </dataBar>
      <extLst>
        <ext xmlns:x14="http://schemas.microsoft.com/office/spreadsheetml/2009/9/main" uri="{B025F937-C7B1-47D3-B67F-A62EFF666E3E}">
          <x14:id>{572871C3-D114-4D50-BF9F-CBA64593D523}</x14:id>
        </ext>
      </extLst>
    </cfRule>
  </conditionalFormatting>
  <conditionalFormatting sqref="R7805 R7550 R7295 R7040 R6785 R6530 R6275 R6020 R5765 R5510 R5255 R5000 R4745 R4490 R4235 R3980 R3725 R3470 R3215 R2960 R2705 R2450 R2195 R1940 R1685 R1430 R1175 R920 R665 R410 R155">
    <cfRule type="containsText" dxfId="302" priority="402" operator="containsText" text="NEUTRAL">
      <formula>NOT(ISERROR(SEARCH("NEUTRAL",R155)))</formula>
    </cfRule>
    <cfRule type="containsText" dxfId="301" priority="403" operator="containsText" text="BULLISH">
      <formula>NOT(ISERROR(SEARCH("BULLISH",R155)))</formula>
    </cfRule>
    <cfRule type="containsText" dxfId="300" priority="404" operator="containsText" text="BEARISH">
      <formula>NOT(ISERROR(SEARCH("BEARISH",R155)))</formula>
    </cfRule>
  </conditionalFormatting>
  <conditionalFormatting sqref="P155 P7805 P7550 P7295 P7040 P6785 P6530 P6275 P6020 P5765 P5510 P5255 P5000 P4745 P4490 P4235 P3980 P3725 P3470 P3215 P2960 P2705 P2450 P2195 P1940 P1685 P1430 P1175 P920 P665 P410">
    <cfRule type="dataBar" priority="401">
      <dataBar>
        <cfvo type="min"/>
        <cfvo type="max"/>
        <color rgb="FF638EC6"/>
      </dataBar>
      <extLst>
        <ext xmlns:x14="http://schemas.microsoft.com/office/spreadsheetml/2009/9/main" uri="{B025F937-C7B1-47D3-B67F-A62EFF666E3E}">
          <x14:id>{6AED6F72-38A9-4C29-996B-14FF6452AFFB}</x14:id>
        </ext>
      </extLst>
    </cfRule>
  </conditionalFormatting>
  <conditionalFormatting sqref="R7806 R7551 R7296 R7041 R6786 R6531 R6276 R6021 R5766 R5511 R5256 R5001 R4746 R4491 R4236 R3981 R3726 R3471 R3216 R2961 R2706 R2451 R2196 R1941 R1686 R1431 R1176 R921 R666 R411 R156">
    <cfRule type="containsText" dxfId="299" priority="398" operator="containsText" text="NEUTRAL">
      <formula>NOT(ISERROR(SEARCH("NEUTRAL",R156)))</formula>
    </cfRule>
    <cfRule type="containsText" dxfId="298" priority="399" operator="containsText" text="BULLISH">
      <formula>NOT(ISERROR(SEARCH("BULLISH",R156)))</formula>
    </cfRule>
    <cfRule type="containsText" dxfId="297" priority="400" operator="containsText" text="BEARISH">
      <formula>NOT(ISERROR(SEARCH("BEARISH",R156)))</formula>
    </cfRule>
  </conditionalFormatting>
  <conditionalFormatting sqref="P156 P7806 P7551 P7296 P7041 P6786 P6531 P6276 P6021 P5766 P5511 P5256 P5001 P4746 P4491 P4236 P3981 P3726 P3471 P3216 P2961 P2706 P2451 P2196 P1941 P1686 P1431 P1176 P921 P666 P411">
    <cfRule type="dataBar" priority="397">
      <dataBar>
        <cfvo type="min"/>
        <cfvo type="max"/>
        <color rgb="FF638EC6"/>
      </dataBar>
      <extLst>
        <ext xmlns:x14="http://schemas.microsoft.com/office/spreadsheetml/2009/9/main" uri="{B025F937-C7B1-47D3-B67F-A62EFF666E3E}">
          <x14:id>{D03DCC60-624C-4742-9FC2-0ECC791752A9}</x14:id>
        </ext>
      </extLst>
    </cfRule>
  </conditionalFormatting>
  <conditionalFormatting sqref="R7807 R7552 R7297 R7042 R6787 R6532 R6277 R6022 R5767 R5512 R5257 R5002 R4747 R4492 R4237 R3982 R3727 R3472 R3217 R2962 R2707 R2452 R2197 R1942 R1687 R1432 R1177 R922 R667 R412 R157">
    <cfRule type="containsText" dxfId="296" priority="394" operator="containsText" text="NEUTRAL">
      <formula>NOT(ISERROR(SEARCH("NEUTRAL",R157)))</formula>
    </cfRule>
    <cfRule type="containsText" dxfId="295" priority="395" operator="containsText" text="BULLISH">
      <formula>NOT(ISERROR(SEARCH("BULLISH",R157)))</formula>
    </cfRule>
    <cfRule type="containsText" dxfId="294" priority="396" operator="containsText" text="BEARISH">
      <formula>NOT(ISERROR(SEARCH("BEARISH",R157)))</formula>
    </cfRule>
  </conditionalFormatting>
  <conditionalFormatting sqref="P157 P7807 P7552 P7297 P7042 P6787 P6532 P6277 P6022 P5767 P5512 P5257 P5002 P4747 P4492 P4237 P3982 P3727 P3472 P3217 P2962 P2707 P2452 P2197 P1942 P1687 P1432 P1177 P922 P667 P412">
    <cfRule type="dataBar" priority="393">
      <dataBar>
        <cfvo type="min"/>
        <cfvo type="max"/>
        <color rgb="FF638EC6"/>
      </dataBar>
      <extLst>
        <ext xmlns:x14="http://schemas.microsoft.com/office/spreadsheetml/2009/9/main" uri="{B025F937-C7B1-47D3-B67F-A62EFF666E3E}">
          <x14:id>{23B6131A-6B13-4185-951A-36BD247792A7}</x14:id>
        </ext>
      </extLst>
    </cfRule>
  </conditionalFormatting>
  <conditionalFormatting sqref="R7808 R7553 R7298 R7043 R6788 R6533 R6278 R6023 R5768 R5513 R5258 R5003 R4748 R4493 R4238 R3983 R3728 R3473 R3218 R2963 R2708 R2453 R2198 R1943 R1688 R1433 R1178 R923 R668 R413 R158">
    <cfRule type="containsText" dxfId="293" priority="390" operator="containsText" text="NEUTRAL">
      <formula>NOT(ISERROR(SEARCH("NEUTRAL",R158)))</formula>
    </cfRule>
    <cfRule type="containsText" dxfId="292" priority="391" operator="containsText" text="BULLISH">
      <formula>NOT(ISERROR(SEARCH("BULLISH",R158)))</formula>
    </cfRule>
    <cfRule type="containsText" dxfId="291" priority="392" operator="containsText" text="BEARISH">
      <formula>NOT(ISERROR(SEARCH("BEARISH",R158)))</formula>
    </cfRule>
  </conditionalFormatting>
  <conditionalFormatting sqref="P158 P7808 P7553 P7298 P7043 P6788 P6533 P6278 P6023 P5768 P5513 P5258 P5003 P4748 P4493 P4238 P3983 P3728 P3473 P3218 P2963 P2708 P2453 P2198 P1943 P1688 P1433 P1178 P923 P668 P413">
    <cfRule type="dataBar" priority="389">
      <dataBar>
        <cfvo type="min"/>
        <cfvo type="max"/>
        <color rgb="FF638EC6"/>
      </dataBar>
      <extLst>
        <ext xmlns:x14="http://schemas.microsoft.com/office/spreadsheetml/2009/9/main" uri="{B025F937-C7B1-47D3-B67F-A62EFF666E3E}">
          <x14:id>{B32034C1-9DA5-42E1-8258-E3B258BDC9BA}</x14:id>
        </ext>
      </extLst>
    </cfRule>
  </conditionalFormatting>
  <conditionalFormatting sqref="R7809 R7554 R7299 R7044 R6789 R6534 R6279 R6024 R5769 R5514 R5259 R5004 R4749 R4494 R4239 R3984 R3729 R3474 R3219 R2964 R2709 R2454 R2199 R1944 R1689 R1434 R1179 R924 R669 R414 R159">
    <cfRule type="containsText" dxfId="290" priority="386" operator="containsText" text="NEUTRAL">
      <formula>NOT(ISERROR(SEARCH("NEUTRAL",R159)))</formula>
    </cfRule>
    <cfRule type="containsText" dxfId="289" priority="387" operator="containsText" text="BULLISH">
      <formula>NOT(ISERROR(SEARCH("BULLISH",R159)))</formula>
    </cfRule>
    <cfRule type="containsText" dxfId="288" priority="388" operator="containsText" text="BEARISH">
      <formula>NOT(ISERROR(SEARCH("BEARISH",R159)))</formula>
    </cfRule>
  </conditionalFormatting>
  <conditionalFormatting sqref="P159 P7809 P7554 P7299 P7044 P6789 P6534 P6279 P6024 P5769 P5514 P5259 P5004 P4749 P4494 P4239 P3984 P3729 P3474 P3219 P2964 P2709 P2454 P2199 P1944 P1689 P1434 P1179 P924 P669 P414">
    <cfRule type="dataBar" priority="385">
      <dataBar>
        <cfvo type="min"/>
        <cfvo type="max"/>
        <color rgb="FF638EC6"/>
      </dataBar>
      <extLst>
        <ext xmlns:x14="http://schemas.microsoft.com/office/spreadsheetml/2009/9/main" uri="{B025F937-C7B1-47D3-B67F-A62EFF666E3E}">
          <x14:id>{5E69AD94-D78A-40AB-988E-CAC696034728}</x14:id>
        </ext>
      </extLst>
    </cfRule>
  </conditionalFormatting>
  <conditionalFormatting sqref="R7810 R7555 R7300 R7045 R6790 R6535 R6280 R6025 R5770 R5515 R5260 R5005 R4750 R4495 R4240 R3985 R3730 R3475 R3220 R2965 R2710 R2455 R2200 R1945 R1690 R1435 R1180 R925 R670 R415 R160">
    <cfRule type="containsText" dxfId="287" priority="382" operator="containsText" text="NEUTRAL">
      <formula>NOT(ISERROR(SEARCH("NEUTRAL",R160)))</formula>
    </cfRule>
    <cfRule type="containsText" dxfId="286" priority="383" operator="containsText" text="BULLISH">
      <formula>NOT(ISERROR(SEARCH("BULLISH",R160)))</formula>
    </cfRule>
    <cfRule type="containsText" dxfId="285" priority="384" operator="containsText" text="BEARISH">
      <formula>NOT(ISERROR(SEARCH("BEARISH",R160)))</formula>
    </cfRule>
  </conditionalFormatting>
  <conditionalFormatting sqref="P160 P7810 P7555 P7300 P7045 P6790 P6535 P6280 P6025 P5770 P5515 P5260 P5005 P4750 P4495 P4240 P3985 P3730 P3475 P3220 P2965 P2710 P2455 P2200 P1945 P1690 P1435 P1180 P925 P670 P415">
    <cfRule type="dataBar" priority="381">
      <dataBar>
        <cfvo type="min"/>
        <cfvo type="max"/>
        <color rgb="FF638EC6"/>
      </dataBar>
      <extLst>
        <ext xmlns:x14="http://schemas.microsoft.com/office/spreadsheetml/2009/9/main" uri="{B025F937-C7B1-47D3-B67F-A62EFF666E3E}">
          <x14:id>{BDC3F081-C1F2-4633-B4A1-886F6DB8B48A}</x14:id>
        </ext>
      </extLst>
    </cfRule>
  </conditionalFormatting>
  <conditionalFormatting sqref="R7811 R7556 R7301 R7046 R6791 R6536 R6281 R6026 R5771 R5516 R5261 R5006 R4751 R4496 R4241 R3986 R3731 R3476 R3221 R2966 R2711 R2456 R2201 R1946 R1691 R1436 R1181 R926 R671 R416 R161">
    <cfRule type="containsText" dxfId="284" priority="378" operator="containsText" text="NEUTRAL">
      <formula>NOT(ISERROR(SEARCH("NEUTRAL",R161)))</formula>
    </cfRule>
    <cfRule type="containsText" dxfId="283" priority="379" operator="containsText" text="BULLISH">
      <formula>NOT(ISERROR(SEARCH("BULLISH",R161)))</formula>
    </cfRule>
    <cfRule type="containsText" dxfId="282" priority="380" operator="containsText" text="BEARISH">
      <formula>NOT(ISERROR(SEARCH("BEARISH",R161)))</formula>
    </cfRule>
  </conditionalFormatting>
  <conditionalFormatting sqref="P161 P7811 P7556 P7301 P7046 P6791 P6536 P6281 P6026 P5771 P5516 P5261 P5006 P4751 P4496 P4241 P3986 P3731 P3476 P3221 P2966 P2711 P2456 P2201 P1946 P1691 P1436 P1181 P926 P671 P416">
    <cfRule type="dataBar" priority="377">
      <dataBar>
        <cfvo type="min"/>
        <cfvo type="max"/>
        <color rgb="FF638EC6"/>
      </dataBar>
      <extLst>
        <ext xmlns:x14="http://schemas.microsoft.com/office/spreadsheetml/2009/9/main" uri="{B025F937-C7B1-47D3-B67F-A62EFF666E3E}">
          <x14:id>{3DF9D639-16A9-4DC8-A774-7FE8B7FF2B33}</x14:id>
        </ext>
      </extLst>
    </cfRule>
  </conditionalFormatting>
  <conditionalFormatting sqref="R7812 R7557 R7302 R7047 R6792 R6537 R6282 R6027 R5772 R5517 R5262 R5007 R4752 R4497 R4242 R3987 R3732 R3477 R3222 R2967 R2712 R2457 R2202 R1947 R1692 R1437 R1182 R927 R672 R417 R162">
    <cfRule type="containsText" dxfId="281" priority="374" operator="containsText" text="NEUTRAL">
      <formula>NOT(ISERROR(SEARCH("NEUTRAL",R162)))</formula>
    </cfRule>
    <cfRule type="containsText" dxfId="280" priority="375" operator="containsText" text="BULLISH">
      <formula>NOT(ISERROR(SEARCH("BULLISH",R162)))</formula>
    </cfRule>
    <cfRule type="containsText" dxfId="279" priority="376" operator="containsText" text="BEARISH">
      <formula>NOT(ISERROR(SEARCH("BEARISH",R162)))</formula>
    </cfRule>
  </conditionalFormatting>
  <conditionalFormatting sqref="P162 P7812 P7557 P7302 P7047 P6792 P6537 P6282 P6027 P5772 P5517 P5262 P5007 P4752 P4497 P4242 P3987 P3732 P3477 P3222 P2967 P2712 P2457 P2202 P1947 P1692 P1437 P1182 P927 P672 P417">
    <cfRule type="dataBar" priority="373">
      <dataBar>
        <cfvo type="min"/>
        <cfvo type="max"/>
        <color rgb="FF638EC6"/>
      </dataBar>
      <extLst>
        <ext xmlns:x14="http://schemas.microsoft.com/office/spreadsheetml/2009/9/main" uri="{B025F937-C7B1-47D3-B67F-A62EFF666E3E}">
          <x14:id>{D4046DDC-5B86-41FB-97AB-B3AB03C2352F}</x14:id>
        </ext>
      </extLst>
    </cfRule>
  </conditionalFormatting>
  <conditionalFormatting sqref="R7813 R7558 R7303 R7048 R6793 R6538 R6283 R6028 R5773 R5518 R5263 R5008 R4753 R4498 R4243 R3988 R3733 R3478 R3223 R2968 R2713 R2458 R2203 R1948 R1693 R1438 R1183 R928 R673 R418 R163">
    <cfRule type="containsText" dxfId="278" priority="370" operator="containsText" text="NEUTRAL">
      <formula>NOT(ISERROR(SEARCH("NEUTRAL",R163)))</formula>
    </cfRule>
    <cfRule type="containsText" dxfId="277" priority="371" operator="containsText" text="BULLISH">
      <formula>NOT(ISERROR(SEARCH("BULLISH",R163)))</formula>
    </cfRule>
    <cfRule type="containsText" dxfId="276" priority="372" operator="containsText" text="BEARISH">
      <formula>NOT(ISERROR(SEARCH("BEARISH",R163)))</formula>
    </cfRule>
  </conditionalFormatting>
  <conditionalFormatting sqref="P163 P7813 P7558 P7303 P7048 P6793 P6538 P6283 P6028 P5773 P5518 P5263 P5008 P4753 P4498 P4243 P3988 P3733 P3478 P3223 P2968 P2713 P2458 P2203 P1948 P1693 P1438 P1183 P928 P673 P418">
    <cfRule type="dataBar" priority="369">
      <dataBar>
        <cfvo type="min"/>
        <cfvo type="max"/>
        <color rgb="FF638EC6"/>
      </dataBar>
      <extLst>
        <ext xmlns:x14="http://schemas.microsoft.com/office/spreadsheetml/2009/9/main" uri="{B025F937-C7B1-47D3-B67F-A62EFF666E3E}">
          <x14:id>{11C9E950-90DD-46D7-9AA6-C6504A5A931B}</x14:id>
        </ext>
      </extLst>
    </cfRule>
  </conditionalFormatting>
  <conditionalFormatting sqref="R7814 R7559 R7304 R7049 R6794 R6539 R6284 R6029 R5774 R5519 R5264 R5009 R4754 R4499 R4244 R3989 R3734 R3479 R3224 R2969 R2714 R2459 R2204 R1949 R1694 R1439 R1184 R929 R674 R419 R164">
    <cfRule type="containsText" dxfId="275" priority="366" operator="containsText" text="NEUTRAL">
      <formula>NOT(ISERROR(SEARCH("NEUTRAL",R164)))</formula>
    </cfRule>
    <cfRule type="containsText" dxfId="274" priority="367" operator="containsText" text="BULLISH">
      <formula>NOT(ISERROR(SEARCH("BULLISH",R164)))</formula>
    </cfRule>
    <cfRule type="containsText" dxfId="273" priority="368" operator="containsText" text="BEARISH">
      <formula>NOT(ISERROR(SEARCH("BEARISH",R164)))</formula>
    </cfRule>
  </conditionalFormatting>
  <conditionalFormatting sqref="P164 P7814 P7559 P7304 P7049 P6794 P6539 P6284 P6029 P5774 P5519 P5264 P5009 P4754 P4499 P4244 P3989 P3734 P3479 P3224 P2969 P2714 P2459 P2204 P1949 P1694 P1439 P1184 P929 P674 P419">
    <cfRule type="dataBar" priority="365">
      <dataBar>
        <cfvo type="min"/>
        <cfvo type="max"/>
        <color rgb="FF638EC6"/>
      </dataBar>
      <extLst>
        <ext xmlns:x14="http://schemas.microsoft.com/office/spreadsheetml/2009/9/main" uri="{B025F937-C7B1-47D3-B67F-A62EFF666E3E}">
          <x14:id>{2EE07D3D-D286-44A4-9752-5CE0F7F4E998}</x14:id>
        </ext>
      </extLst>
    </cfRule>
  </conditionalFormatting>
  <conditionalFormatting sqref="R7815 R7560 R7305 R7050 R6795 R6540 R6285 R6030 R5775 R5520 R5265 R5010 R4755 R4500 R4245 R3990 R3735 R3480 R3225 R2970 R2715 R2460 R2205 R1950 R1695 R1440 R1185 R930 R675 R420 R165">
    <cfRule type="containsText" dxfId="272" priority="362" operator="containsText" text="NEUTRAL">
      <formula>NOT(ISERROR(SEARCH("NEUTRAL",R165)))</formula>
    </cfRule>
    <cfRule type="containsText" dxfId="271" priority="363" operator="containsText" text="BULLISH">
      <formula>NOT(ISERROR(SEARCH("BULLISH",R165)))</formula>
    </cfRule>
    <cfRule type="containsText" dxfId="270" priority="364" operator="containsText" text="BEARISH">
      <formula>NOT(ISERROR(SEARCH("BEARISH",R165)))</formula>
    </cfRule>
  </conditionalFormatting>
  <conditionalFormatting sqref="P165 P7815 P7560 P7305 P7050 P6795 P6540 P6285 P6030 P5775 P5520 P5265 P5010 P4755 P4500 P4245 P3990 P3735 P3480 P3225 P2970 P2715 P2460 P2205 P1950 P1695 P1440 P1185 P930 P675 P420">
    <cfRule type="dataBar" priority="361">
      <dataBar>
        <cfvo type="min"/>
        <cfvo type="max"/>
        <color rgb="FF638EC6"/>
      </dataBar>
      <extLst>
        <ext xmlns:x14="http://schemas.microsoft.com/office/spreadsheetml/2009/9/main" uri="{B025F937-C7B1-47D3-B67F-A62EFF666E3E}">
          <x14:id>{E5334B9F-BF83-4FA8-88BF-F5D3DF6B414A}</x14:id>
        </ext>
      </extLst>
    </cfRule>
  </conditionalFormatting>
  <conditionalFormatting sqref="R7816 R7561 R7306 R7051 R6796 R6541 R6286 R6031 R5776 R5521 R5266 R5011 R4756 R4501 R4246 R3991 R3736 R3481 R3226 R2971 R2716 R2461 R2206 R1951 R1696 R1441 R1186 R931 R676 R421 R166">
    <cfRule type="containsText" dxfId="269" priority="358" operator="containsText" text="NEUTRAL">
      <formula>NOT(ISERROR(SEARCH("NEUTRAL",R166)))</formula>
    </cfRule>
    <cfRule type="containsText" dxfId="268" priority="359" operator="containsText" text="BULLISH">
      <formula>NOT(ISERROR(SEARCH("BULLISH",R166)))</formula>
    </cfRule>
    <cfRule type="containsText" dxfId="267" priority="360" operator="containsText" text="BEARISH">
      <formula>NOT(ISERROR(SEARCH("BEARISH",R166)))</formula>
    </cfRule>
  </conditionalFormatting>
  <conditionalFormatting sqref="P166 P7816 P7561 P7306 P7051 P6796 P6541 P6286 P6031 P5776 P5521 P5266 P5011 P4756 P4501 P4246 P3991 P3736 P3481 P3226 P2971 P2716 P2461 P2206 P1951 P1696 P1441 P1186 P931 P676 P421">
    <cfRule type="dataBar" priority="357">
      <dataBar>
        <cfvo type="min"/>
        <cfvo type="max"/>
        <color rgb="FF638EC6"/>
      </dataBar>
      <extLst>
        <ext xmlns:x14="http://schemas.microsoft.com/office/spreadsheetml/2009/9/main" uri="{B025F937-C7B1-47D3-B67F-A62EFF666E3E}">
          <x14:id>{FD74435D-9EDC-43A2-9015-E3FF3DB654D2}</x14:id>
        </ext>
      </extLst>
    </cfRule>
  </conditionalFormatting>
  <conditionalFormatting sqref="R7817 R7562 R7307 R7052 R6797 R6542 R6287 R6032 R5777 R5522 R5267 R5012 R4757 R4502 R4247 R3992 R3737 R3482 R3227 R2972 R2717 R2462 R2207 R1952 R1697 R1442 R1187 R932 R677 R422 R167">
    <cfRule type="containsText" dxfId="266" priority="354" operator="containsText" text="NEUTRAL">
      <formula>NOT(ISERROR(SEARCH("NEUTRAL",R167)))</formula>
    </cfRule>
    <cfRule type="containsText" dxfId="265" priority="355" operator="containsText" text="BULLISH">
      <formula>NOT(ISERROR(SEARCH("BULLISH",R167)))</formula>
    </cfRule>
    <cfRule type="containsText" dxfId="264" priority="356" operator="containsText" text="BEARISH">
      <formula>NOT(ISERROR(SEARCH("BEARISH",R167)))</formula>
    </cfRule>
  </conditionalFormatting>
  <conditionalFormatting sqref="P167 P7817 P7562 P7307 P7052 P6797 P6542 P6287 P6032 P5777 P5522 P5267 P5012 P4757 P4502 P4247 P3992 P3737 P3482 P3227 P2972 P2717 P2462 P2207 P1952 P1697 P1442 P1187 P932 P677 P422">
    <cfRule type="dataBar" priority="353">
      <dataBar>
        <cfvo type="min"/>
        <cfvo type="max"/>
        <color rgb="FF638EC6"/>
      </dataBar>
      <extLst>
        <ext xmlns:x14="http://schemas.microsoft.com/office/spreadsheetml/2009/9/main" uri="{B025F937-C7B1-47D3-B67F-A62EFF666E3E}">
          <x14:id>{00BB51F3-A56E-44D5-8E1A-793F22820DCB}</x14:id>
        </ext>
      </extLst>
    </cfRule>
  </conditionalFormatting>
  <conditionalFormatting sqref="R7818 R7563 R7308 R7053 R6798 R6543 R6288 R6033 R5778 R5523 R5268 R5013 R4758 R4503 R4248 R3993 R3738 R3483 R3228 R2973 R2718 R2463 R2208 R1953 R1698 R1443 R1188 R933 R678 R423 R168">
    <cfRule type="containsText" dxfId="263" priority="350" operator="containsText" text="NEUTRAL">
      <formula>NOT(ISERROR(SEARCH("NEUTRAL",R168)))</formula>
    </cfRule>
    <cfRule type="containsText" dxfId="262" priority="351" operator="containsText" text="BULLISH">
      <formula>NOT(ISERROR(SEARCH("BULLISH",R168)))</formula>
    </cfRule>
    <cfRule type="containsText" dxfId="261" priority="352" operator="containsText" text="BEARISH">
      <formula>NOT(ISERROR(SEARCH("BEARISH",R168)))</formula>
    </cfRule>
  </conditionalFormatting>
  <conditionalFormatting sqref="P168 P7818 P7563 P7308 P7053 P6798 P6543 P6288 P6033 P5778 P5523 P5268 P5013 P4758 P4503 P4248 P3993 P3738 P3483 P3228 P2973 P2718 P2463 P2208 P1953 P1698 P1443 P1188 P933 P678 P423">
    <cfRule type="dataBar" priority="349">
      <dataBar>
        <cfvo type="min"/>
        <cfvo type="max"/>
        <color rgb="FF638EC6"/>
      </dataBar>
      <extLst>
        <ext xmlns:x14="http://schemas.microsoft.com/office/spreadsheetml/2009/9/main" uri="{B025F937-C7B1-47D3-B67F-A62EFF666E3E}">
          <x14:id>{E7E7BAAA-2DC6-4552-9DEA-33B803459AC7}</x14:id>
        </ext>
      </extLst>
    </cfRule>
  </conditionalFormatting>
  <conditionalFormatting sqref="R7819 R7564 R7309 R7054 R6799 R6544 R6289 R6034 R5779 R5524 R5269 R5014 R4759 R4504 R4249 R3994 R3739 R3484 R3229 R2974 R2719 R2464 R2209 R1954 R1699 R1444 R1189 R934 R679 R424 R169">
    <cfRule type="containsText" dxfId="260" priority="346" operator="containsText" text="NEUTRAL">
      <formula>NOT(ISERROR(SEARCH("NEUTRAL",R169)))</formula>
    </cfRule>
    <cfRule type="containsText" dxfId="259" priority="347" operator="containsText" text="BULLISH">
      <formula>NOT(ISERROR(SEARCH("BULLISH",R169)))</formula>
    </cfRule>
    <cfRule type="containsText" dxfId="258" priority="348" operator="containsText" text="BEARISH">
      <formula>NOT(ISERROR(SEARCH("BEARISH",R169)))</formula>
    </cfRule>
  </conditionalFormatting>
  <conditionalFormatting sqref="P169 P7819 P7564 P7309 P7054 P6799 P6544 P6289 P6034 P5779 P5524 P5269 P5014 P4759 P4504 P4249 P3994 P3739 P3484 P3229 P2974 P2719 P2464 P2209 P1954 P1699 P1444 P1189 P934 P679 P424">
    <cfRule type="dataBar" priority="345">
      <dataBar>
        <cfvo type="min"/>
        <cfvo type="max"/>
        <color rgb="FF638EC6"/>
      </dataBar>
      <extLst>
        <ext xmlns:x14="http://schemas.microsoft.com/office/spreadsheetml/2009/9/main" uri="{B025F937-C7B1-47D3-B67F-A62EFF666E3E}">
          <x14:id>{224C6EA5-EFD7-4613-ACA9-9147A1DE147A}</x14:id>
        </ext>
      </extLst>
    </cfRule>
  </conditionalFormatting>
  <conditionalFormatting sqref="R7820 R7565 R7310 R7055 R6800 R6545 R6290 R6035 R5780 R5525 R5270 R5015 R4760 R4505 R4250 R3995 R3740 R3485 R3230 R2975 R2720 R2465 R2210 R1955 R1700 R1445 R1190 R935 R680 R425 R170">
    <cfRule type="containsText" dxfId="257" priority="342" operator="containsText" text="NEUTRAL">
      <formula>NOT(ISERROR(SEARCH("NEUTRAL",R170)))</formula>
    </cfRule>
    <cfRule type="containsText" dxfId="256" priority="343" operator="containsText" text="BULLISH">
      <formula>NOT(ISERROR(SEARCH("BULLISH",R170)))</formula>
    </cfRule>
    <cfRule type="containsText" dxfId="255" priority="344" operator="containsText" text="BEARISH">
      <formula>NOT(ISERROR(SEARCH("BEARISH",R170)))</formula>
    </cfRule>
  </conditionalFormatting>
  <conditionalFormatting sqref="P170 P7820 P7565 P7310 P7055 P6800 P6545 P6290 P6035 P5780 P5525 P5270 P5015 P4760 P4505 P4250 P3995 P3740 P3485 P3230 P2975 P2720 P2465 P2210 P1955 P1700 P1445 P1190 P935 P680 P425">
    <cfRule type="dataBar" priority="341">
      <dataBar>
        <cfvo type="min"/>
        <cfvo type="max"/>
        <color rgb="FF638EC6"/>
      </dataBar>
      <extLst>
        <ext xmlns:x14="http://schemas.microsoft.com/office/spreadsheetml/2009/9/main" uri="{B025F937-C7B1-47D3-B67F-A62EFF666E3E}">
          <x14:id>{DCB01A91-BE8A-461C-A952-5E60BED97B7D}</x14:id>
        </ext>
      </extLst>
    </cfRule>
  </conditionalFormatting>
  <conditionalFormatting sqref="R7821 R7566 R7311 R7056 R6801 R6546 R6291 R6036 R5781 R5526 R5271 R5016 R4761 R4506 R4251 R3996 R3741 R3486 R3231 R2976 R2721 R2466 R2211 R1956 R1701 R1446 R1191 R936 R681 R426 R171">
    <cfRule type="containsText" dxfId="254" priority="338" operator="containsText" text="NEUTRAL">
      <formula>NOT(ISERROR(SEARCH("NEUTRAL",R171)))</formula>
    </cfRule>
    <cfRule type="containsText" dxfId="253" priority="339" operator="containsText" text="BULLISH">
      <formula>NOT(ISERROR(SEARCH("BULLISH",R171)))</formula>
    </cfRule>
    <cfRule type="containsText" dxfId="252" priority="340" operator="containsText" text="BEARISH">
      <formula>NOT(ISERROR(SEARCH("BEARISH",R171)))</formula>
    </cfRule>
  </conditionalFormatting>
  <conditionalFormatting sqref="P171 P7821 P7566 P7311 P7056 P6801 P6546 P6291 P6036 P5781 P5526 P5271 P5016 P4761 P4506 P4251 P3996 P3741 P3486 P3231 P2976 P2721 P2466 P2211 P1956 P1701 P1446 P1191 P936 P681 P426">
    <cfRule type="dataBar" priority="337">
      <dataBar>
        <cfvo type="min"/>
        <cfvo type="max"/>
        <color rgb="FF638EC6"/>
      </dataBar>
      <extLst>
        <ext xmlns:x14="http://schemas.microsoft.com/office/spreadsheetml/2009/9/main" uri="{B025F937-C7B1-47D3-B67F-A62EFF666E3E}">
          <x14:id>{11208A89-AD00-4B8D-A2CD-9EF71F200356}</x14:id>
        </ext>
      </extLst>
    </cfRule>
  </conditionalFormatting>
  <conditionalFormatting sqref="R7822 R7567 R7312 R7057 R6802 R6547 R6292 R6037 R5782 R5527 R5272 R5017 R4762 R4507 R4252 R3997 R3742 R3487 R3232 R2977 R2722 R2467 R2212 R1957 R1702 R1447 R1192 R937 R682 R427 R172">
    <cfRule type="containsText" dxfId="251" priority="334" operator="containsText" text="NEUTRAL">
      <formula>NOT(ISERROR(SEARCH("NEUTRAL",R172)))</formula>
    </cfRule>
    <cfRule type="containsText" dxfId="250" priority="335" operator="containsText" text="BULLISH">
      <formula>NOT(ISERROR(SEARCH("BULLISH",R172)))</formula>
    </cfRule>
    <cfRule type="containsText" dxfId="249" priority="336" operator="containsText" text="BEARISH">
      <formula>NOT(ISERROR(SEARCH("BEARISH",R172)))</formula>
    </cfRule>
  </conditionalFormatting>
  <conditionalFormatting sqref="P172 P7822 P7567 P7312 P7057 P6802 P6547 P6292 P6037 P5782 P5527 P5272 P5017 P4762 P4507 P4252 P3997 P3742 P3487 P3232 P2977 P2722 P2467 P2212 P1957 P1702 P1447 P1192 P937 P682 P427">
    <cfRule type="dataBar" priority="333">
      <dataBar>
        <cfvo type="min"/>
        <cfvo type="max"/>
        <color rgb="FF638EC6"/>
      </dataBar>
      <extLst>
        <ext xmlns:x14="http://schemas.microsoft.com/office/spreadsheetml/2009/9/main" uri="{B025F937-C7B1-47D3-B67F-A62EFF666E3E}">
          <x14:id>{C814A248-5C2B-458D-84E8-E0B995BF3ACE}</x14:id>
        </ext>
      </extLst>
    </cfRule>
  </conditionalFormatting>
  <conditionalFormatting sqref="R7823 R7568 R7313 R7058 R6803 R6548 R6293 R6038 R5783 R5528 R5273 R5018 R4763 R4508 R4253 R3998 R3743 R3488 R3233 R2978 R2723 R2468 R2213 R1958 R1703 R1448 R1193 R938 R683 R428 R173">
    <cfRule type="containsText" dxfId="248" priority="330" operator="containsText" text="NEUTRAL">
      <formula>NOT(ISERROR(SEARCH("NEUTRAL",R173)))</formula>
    </cfRule>
    <cfRule type="containsText" dxfId="247" priority="331" operator="containsText" text="BULLISH">
      <formula>NOT(ISERROR(SEARCH("BULLISH",R173)))</formula>
    </cfRule>
    <cfRule type="containsText" dxfId="246" priority="332" operator="containsText" text="BEARISH">
      <formula>NOT(ISERROR(SEARCH("BEARISH",R173)))</formula>
    </cfRule>
  </conditionalFormatting>
  <conditionalFormatting sqref="P173 P7823 P7568 P7313 P7058 P6803 P6548 P6293 P6038 P5783 P5528 P5273 P5018 P4763 P4508 P4253 P3998 P3743 P3488 P3233 P2978 P2723 P2468 P2213 P1958 P1703 P1448 P1193 P938 P683 P428">
    <cfRule type="dataBar" priority="329">
      <dataBar>
        <cfvo type="min"/>
        <cfvo type="max"/>
        <color rgb="FF638EC6"/>
      </dataBar>
      <extLst>
        <ext xmlns:x14="http://schemas.microsoft.com/office/spreadsheetml/2009/9/main" uri="{B025F937-C7B1-47D3-B67F-A62EFF666E3E}">
          <x14:id>{7CE9CD80-5218-48CA-95D1-8DD28D4DDA67}</x14:id>
        </ext>
      </extLst>
    </cfRule>
  </conditionalFormatting>
  <conditionalFormatting sqref="R7824 R7569 R7314 R7059 R6804 R6549 R6294 R6039 R5784 R5529 R5274 R5019 R4764 R4509 R4254 R3999 R3744 R3489 R3234 R2979 R2724 R2469 R2214 R1959 R1704 R1449 R1194 R939 R684 R429 R174">
    <cfRule type="containsText" dxfId="245" priority="326" operator="containsText" text="NEUTRAL">
      <formula>NOT(ISERROR(SEARCH("NEUTRAL",R174)))</formula>
    </cfRule>
    <cfRule type="containsText" dxfId="244" priority="327" operator="containsText" text="BULLISH">
      <formula>NOT(ISERROR(SEARCH("BULLISH",R174)))</formula>
    </cfRule>
    <cfRule type="containsText" dxfId="243" priority="328" operator="containsText" text="BEARISH">
      <formula>NOT(ISERROR(SEARCH("BEARISH",R174)))</formula>
    </cfRule>
  </conditionalFormatting>
  <conditionalFormatting sqref="P174 P7824 P7569 P7314 P7059 P6804 P6549 P6294 P6039 P5784 P5529 P5274 P5019 P4764 P4509 P4254 P3999 P3744 P3489 P3234 P2979 P2724 P2469 P2214 P1959 P1704 P1449 P1194 P939 P684 P429">
    <cfRule type="dataBar" priority="325">
      <dataBar>
        <cfvo type="min"/>
        <cfvo type="max"/>
        <color rgb="FF638EC6"/>
      </dataBar>
      <extLst>
        <ext xmlns:x14="http://schemas.microsoft.com/office/spreadsheetml/2009/9/main" uri="{B025F937-C7B1-47D3-B67F-A62EFF666E3E}">
          <x14:id>{D0297081-0542-4E92-AD65-FB8936DE1FA1}</x14:id>
        </ext>
      </extLst>
    </cfRule>
  </conditionalFormatting>
  <conditionalFormatting sqref="R7825 R7570 R7315 R7060 R6805 R6550 R6295 R6040 R5785 R5530 R5275 R5020 R4765 R4510 R4255 R4000 R3745 R3490 R3235 R2980 R2725 R2470 R2215 R1960 R1705 R1450 R1195 R940 R685 R430 R175">
    <cfRule type="containsText" dxfId="242" priority="322" operator="containsText" text="NEUTRAL">
      <formula>NOT(ISERROR(SEARCH("NEUTRAL",R175)))</formula>
    </cfRule>
    <cfRule type="containsText" dxfId="241" priority="323" operator="containsText" text="BULLISH">
      <formula>NOT(ISERROR(SEARCH("BULLISH",R175)))</formula>
    </cfRule>
    <cfRule type="containsText" dxfId="240" priority="324" operator="containsText" text="BEARISH">
      <formula>NOT(ISERROR(SEARCH("BEARISH",R175)))</formula>
    </cfRule>
  </conditionalFormatting>
  <conditionalFormatting sqref="P175 P7825 P7570 P7315 P7060 P6805 P6550 P6295 P6040 P5785 P5530 P5275 P5020 P4765 P4510 P4255 P4000 P3745 P3490 P3235 P2980 P2725 P2470 P2215 P1960 P1705 P1450 P1195 P940 P685 P430">
    <cfRule type="dataBar" priority="321">
      <dataBar>
        <cfvo type="min"/>
        <cfvo type="max"/>
        <color rgb="FF638EC6"/>
      </dataBar>
      <extLst>
        <ext xmlns:x14="http://schemas.microsoft.com/office/spreadsheetml/2009/9/main" uri="{B025F937-C7B1-47D3-B67F-A62EFF666E3E}">
          <x14:id>{96B085C6-B760-443C-8F31-210325B12AAB}</x14:id>
        </ext>
      </extLst>
    </cfRule>
  </conditionalFormatting>
  <conditionalFormatting sqref="R7826 R7571 R7316 R7061 R6806 R6551 R6296 R6041 R5786 R5531 R5276 R5021 R4766 R4511 R4256 R4001 R3746 R3491 R3236 R2981 R2726 R2471 R2216 R1961 R1706 R1451 R1196 R941 R686 R431 R176">
    <cfRule type="containsText" dxfId="239" priority="318" operator="containsText" text="NEUTRAL">
      <formula>NOT(ISERROR(SEARCH("NEUTRAL",R176)))</formula>
    </cfRule>
    <cfRule type="containsText" dxfId="238" priority="319" operator="containsText" text="BULLISH">
      <formula>NOT(ISERROR(SEARCH("BULLISH",R176)))</formula>
    </cfRule>
    <cfRule type="containsText" dxfId="237" priority="320" operator="containsText" text="BEARISH">
      <formula>NOT(ISERROR(SEARCH("BEARISH",R176)))</formula>
    </cfRule>
  </conditionalFormatting>
  <conditionalFormatting sqref="P176 P7826 P7571 P7316 P7061 P6806 P6551 P6296 P6041 P5786 P5531 P5276 P5021 P4766 P4511 P4256 P4001 P3746 P3491 P3236 P2981 P2726 P2471 P2216 P1961 P1706 P1451 P1196 P941 P686 P431">
    <cfRule type="dataBar" priority="317">
      <dataBar>
        <cfvo type="min"/>
        <cfvo type="max"/>
        <color rgb="FF638EC6"/>
      </dataBar>
      <extLst>
        <ext xmlns:x14="http://schemas.microsoft.com/office/spreadsheetml/2009/9/main" uri="{B025F937-C7B1-47D3-B67F-A62EFF666E3E}">
          <x14:id>{ABA6338D-7074-488C-A02F-1257895BAF9A}</x14:id>
        </ext>
      </extLst>
    </cfRule>
  </conditionalFormatting>
  <conditionalFormatting sqref="R7827 R7572 R7317 R7062 R6807 R6552 R6297 R6042 R5787 R5532 R5277 R5022 R4767 R4512 R4257 R4002 R3747 R3492 R3237 R2982 R2727 R2472 R2217 R1962 R1707 R1452 R1197 R942 R687 R432 R177">
    <cfRule type="containsText" dxfId="236" priority="314" operator="containsText" text="NEUTRAL">
      <formula>NOT(ISERROR(SEARCH("NEUTRAL",R177)))</formula>
    </cfRule>
    <cfRule type="containsText" dxfId="235" priority="315" operator="containsText" text="BULLISH">
      <formula>NOT(ISERROR(SEARCH("BULLISH",R177)))</formula>
    </cfRule>
    <cfRule type="containsText" dxfId="234" priority="316" operator="containsText" text="BEARISH">
      <formula>NOT(ISERROR(SEARCH("BEARISH",R177)))</formula>
    </cfRule>
  </conditionalFormatting>
  <conditionalFormatting sqref="P177 P7827 P7572 P7317 P7062 P6807 P6552 P6297 P6042 P5787 P5532 P5277 P5022 P4767 P4512 P4257 P4002 P3747 P3492 P3237 P2982 P2727 P2472 P2217 P1962 P1707 P1452 P1197 P942 P687 P432">
    <cfRule type="dataBar" priority="313">
      <dataBar>
        <cfvo type="min"/>
        <cfvo type="max"/>
        <color rgb="FF638EC6"/>
      </dataBar>
      <extLst>
        <ext xmlns:x14="http://schemas.microsoft.com/office/spreadsheetml/2009/9/main" uri="{B025F937-C7B1-47D3-B67F-A62EFF666E3E}">
          <x14:id>{004342CB-B739-4537-B3C6-332D2E03CFA1}</x14:id>
        </ext>
      </extLst>
    </cfRule>
  </conditionalFormatting>
  <conditionalFormatting sqref="R7828 R7573 R7318 R7063 R6808 R6553 R6298 R6043 R5788 R5533 R5278 R5023 R4768 R4513 R4258 R4003 R3748 R3493 R3238 R2983 R2728 R2473 R2218 R1963 R1708 R1453 R1198 R943 R688 R433 R178">
    <cfRule type="containsText" dxfId="233" priority="310" operator="containsText" text="NEUTRAL">
      <formula>NOT(ISERROR(SEARCH("NEUTRAL",R178)))</formula>
    </cfRule>
    <cfRule type="containsText" dxfId="232" priority="311" operator="containsText" text="BULLISH">
      <formula>NOT(ISERROR(SEARCH("BULLISH",R178)))</formula>
    </cfRule>
    <cfRule type="containsText" dxfId="231" priority="312" operator="containsText" text="BEARISH">
      <formula>NOT(ISERROR(SEARCH("BEARISH",R178)))</formula>
    </cfRule>
  </conditionalFormatting>
  <conditionalFormatting sqref="P178 P7828 P7573 P7318 P7063 P6808 P6553 P6298 P6043 P5788 P5533 P5278 P5023 P4768 P4513 P4258 P4003 P3748 P3493 P3238 P2983 P2728 P2473 P2218 P1963 P1708 P1453 P1198 P943 P688 P433">
    <cfRule type="dataBar" priority="309">
      <dataBar>
        <cfvo type="min"/>
        <cfvo type="max"/>
        <color rgb="FF638EC6"/>
      </dataBar>
      <extLst>
        <ext xmlns:x14="http://schemas.microsoft.com/office/spreadsheetml/2009/9/main" uri="{B025F937-C7B1-47D3-B67F-A62EFF666E3E}">
          <x14:id>{150CE0DA-B541-4227-9FF1-D10B12DFF5FB}</x14:id>
        </ext>
      </extLst>
    </cfRule>
  </conditionalFormatting>
  <conditionalFormatting sqref="R7829 R7574 R7319 R7064 R6809 R6554 R6299 R6044 R5789 R5534 R5279 R5024 R4769 R4514 R4259 R4004 R3749 R3494 R3239 R2984 R2729 R2474 R2219 R1964 R1709 R1454 R1199 R944 R689 R434 R179">
    <cfRule type="containsText" dxfId="230" priority="306" operator="containsText" text="NEUTRAL">
      <formula>NOT(ISERROR(SEARCH("NEUTRAL",R179)))</formula>
    </cfRule>
    <cfRule type="containsText" dxfId="229" priority="307" operator="containsText" text="BULLISH">
      <formula>NOT(ISERROR(SEARCH("BULLISH",R179)))</formula>
    </cfRule>
    <cfRule type="containsText" dxfId="228" priority="308" operator="containsText" text="BEARISH">
      <formula>NOT(ISERROR(SEARCH("BEARISH",R179)))</formula>
    </cfRule>
  </conditionalFormatting>
  <conditionalFormatting sqref="P179 P7829 P7574 P7319 P7064 P6809 P6554 P6299 P6044 P5789 P5534 P5279 P5024 P4769 P4514 P4259 P4004 P3749 P3494 P3239 P2984 P2729 P2474 P2219 P1964 P1709 P1454 P1199 P944 P689 P434">
    <cfRule type="dataBar" priority="305">
      <dataBar>
        <cfvo type="min"/>
        <cfvo type="max"/>
        <color rgb="FF638EC6"/>
      </dataBar>
      <extLst>
        <ext xmlns:x14="http://schemas.microsoft.com/office/spreadsheetml/2009/9/main" uri="{B025F937-C7B1-47D3-B67F-A62EFF666E3E}">
          <x14:id>{74987226-D700-4885-A152-FB7785643071}</x14:id>
        </ext>
      </extLst>
    </cfRule>
  </conditionalFormatting>
  <conditionalFormatting sqref="R7830 R7575 R7320 R7065 R6810 R6555 R6300 R6045 R5790 R5535 R5280 R5025 R4770 R4515 R4260 R4005 R3750 R3495 R3240 R2985 R2730 R2475 R2220 R1965 R1710 R1455 R1200 R945 R690 R435 R180">
    <cfRule type="containsText" dxfId="227" priority="302" operator="containsText" text="NEUTRAL">
      <formula>NOT(ISERROR(SEARCH("NEUTRAL",R180)))</formula>
    </cfRule>
    <cfRule type="containsText" dxfId="226" priority="303" operator="containsText" text="BULLISH">
      <formula>NOT(ISERROR(SEARCH("BULLISH",R180)))</formula>
    </cfRule>
    <cfRule type="containsText" dxfId="225" priority="304" operator="containsText" text="BEARISH">
      <formula>NOT(ISERROR(SEARCH("BEARISH",R180)))</formula>
    </cfRule>
  </conditionalFormatting>
  <conditionalFormatting sqref="P180 P7830 P7575 P7320 P7065 P6810 P6555 P6300 P6045 P5790 P5535 P5280 P5025 P4770 P4515 P4260 P4005 P3750 P3495 P3240 P2985 P2730 P2475 P2220 P1965 P1710 P1455 P1200 P945 P690 P435">
    <cfRule type="dataBar" priority="301">
      <dataBar>
        <cfvo type="min"/>
        <cfvo type="max"/>
        <color rgb="FF638EC6"/>
      </dataBar>
      <extLst>
        <ext xmlns:x14="http://schemas.microsoft.com/office/spreadsheetml/2009/9/main" uri="{B025F937-C7B1-47D3-B67F-A62EFF666E3E}">
          <x14:id>{793615D9-8FA0-4BD8-AADF-D18CDAC4B00A}</x14:id>
        </ext>
      </extLst>
    </cfRule>
  </conditionalFormatting>
  <conditionalFormatting sqref="R7831 R7576 R7321 R7066 R6811 R6556 R6301 R6046 R5791 R5536 R5281 R5026 R4771 R4516 R4261 R4006 R3751 R3496 R3241 R2986 R2731 R2476 R2221 R1966 R1711 R1456 R1201 R946 R691 R436 R181">
    <cfRule type="containsText" dxfId="224" priority="298" operator="containsText" text="NEUTRAL">
      <formula>NOT(ISERROR(SEARCH("NEUTRAL",R181)))</formula>
    </cfRule>
    <cfRule type="containsText" dxfId="223" priority="299" operator="containsText" text="BULLISH">
      <formula>NOT(ISERROR(SEARCH("BULLISH",R181)))</formula>
    </cfRule>
    <cfRule type="containsText" dxfId="222" priority="300" operator="containsText" text="BEARISH">
      <formula>NOT(ISERROR(SEARCH("BEARISH",R181)))</formula>
    </cfRule>
  </conditionalFormatting>
  <conditionalFormatting sqref="P181 P7831 P7576 P7321 P7066 P6811 P6556 P6301 P6046 P5791 P5536 P5281 P5026 P4771 P4516 P4261 P4006 P3751 P3496 P3241 P2986 P2731 P2476 P2221 P1966 P1711 P1456 P1201 P946 P691 P436">
    <cfRule type="dataBar" priority="297">
      <dataBar>
        <cfvo type="min"/>
        <cfvo type="max"/>
        <color rgb="FF638EC6"/>
      </dataBar>
      <extLst>
        <ext xmlns:x14="http://schemas.microsoft.com/office/spreadsheetml/2009/9/main" uri="{B025F937-C7B1-47D3-B67F-A62EFF666E3E}">
          <x14:id>{0E75585D-2233-4C22-B075-18D5EFA6CAC5}</x14:id>
        </ext>
      </extLst>
    </cfRule>
  </conditionalFormatting>
  <conditionalFormatting sqref="R7832 R7577 R7322 R7067 R6812 R6557 R6302 R6047 R5792 R5537 R5282 R5027 R4772 R4517 R4262 R4007 R3752 R3497 R3242 R2987 R2732 R2477 R2222 R1967 R1712 R1457 R1202 R947 R692 R437 R182">
    <cfRule type="containsText" dxfId="221" priority="294" operator="containsText" text="NEUTRAL">
      <formula>NOT(ISERROR(SEARCH("NEUTRAL",R182)))</formula>
    </cfRule>
    <cfRule type="containsText" dxfId="220" priority="295" operator="containsText" text="BULLISH">
      <formula>NOT(ISERROR(SEARCH("BULLISH",R182)))</formula>
    </cfRule>
    <cfRule type="containsText" dxfId="219" priority="296" operator="containsText" text="BEARISH">
      <formula>NOT(ISERROR(SEARCH("BEARISH",R182)))</formula>
    </cfRule>
  </conditionalFormatting>
  <conditionalFormatting sqref="P182 P7832 P7577 P7322 P7067 P6812 P6557 P6302 P6047 P5792 P5537 P5282 P5027 P4772 P4517 P4262 P4007 P3752 P3497 P3242 P2987 P2732 P2477 P2222 P1967 P1712 P1457 P1202 P947 P692 P437">
    <cfRule type="dataBar" priority="293">
      <dataBar>
        <cfvo type="min"/>
        <cfvo type="max"/>
        <color rgb="FF638EC6"/>
      </dataBar>
      <extLst>
        <ext xmlns:x14="http://schemas.microsoft.com/office/spreadsheetml/2009/9/main" uri="{B025F937-C7B1-47D3-B67F-A62EFF666E3E}">
          <x14:id>{55FBB3F2-C156-4840-BB9E-3491719BA422}</x14:id>
        </ext>
      </extLst>
    </cfRule>
  </conditionalFormatting>
  <conditionalFormatting sqref="R7833 R7578 R7323 R7068 R6813 R6558 R6303 R6048 R5793 R5538 R5283 R5028 R4773 R4518 R4263 R4008 R3753 R3498 R3243 R2988 R2733 R2478 R2223 R1968 R1713 R1458 R1203 R948 R693 R438 R183">
    <cfRule type="containsText" dxfId="218" priority="290" operator="containsText" text="NEUTRAL">
      <formula>NOT(ISERROR(SEARCH("NEUTRAL",R183)))</formula>
    </cfRule>
    <cfRule type="containsText" dxfId="217" priority="291" operator="containsText" text="BULLISH">
      <formula>NOT(ISERROR(SEARCH("BULLISH",R183)))</formula>
    </cfRule>
    <cfRule type="containsText" dxfId="216" priority="292" operator="containsText" text="BEARISH">
      <formula>NOT(ISERROR(SEARCH("BEARISH",R183)))</formula>
    </cfRule>
  </conditionalFormatting>
  <conditionalFormatting sqref="P183 P7833 P7578 P7323 P7068 P6813 P6558 P6303 P6048 P5793 P5538 P5283 P5028 P4773 P4518 P4263 P4008 P3753 P3498 P3243 P2988 P2733 P2478 P2223 P1968 P1713 P1458 P1203 P948 P693 P438">
    <cfRule type="dataBar" priority="289">
      <dataBar>
        <cfvo type="min"/>
        <cfvo type="max"/>
        <color rgb="FF638EC6"/>
      </dataBar>
      <extLst>
        <ext xmlns:x14="http://schemas.microsoft.com/office/spreadsheetml/2009/9/main" uri="{B025F937-C7B1-47D3-B67F-A62EFF666E3E}">
          <x14:id>{BA7BC72D-CC6E-4B46-85A5-BFFFDF017084}</x14:id>
        </ext>
      </extLst>
    </cfRule>
  </conditionalFormatting>
  <conditionalFormatting sqref="R7834 R7579 R7324 R7069 R6814 R6559 R6304 R6049 R5794 R5539 R5284 R5029 R4774 R4519 R4264 R4009 R3754 R3499 R3244 R2989 R2734 R2479 R2224 R1969 R1714 R1459 R1204 R949 R694 R439 R184">
    <cfRule type="containsText" dxfId="215" priority="286" operator="containsText" text="NEUTRAL">
      <formula>NOT(ISERROR(SEARCH("NEUTRAL",R184)))</formula>
    </cfRule>
    <cfRule type="containsText" dxfId="214" priority="287" operator="containsText" text="BULLISH">
      <formula>NOT(ISERROR(SEARCH("BULLISH",R184)))</formula>
    </cfRule>
    <cfRule type="containsText" dxfId="213" priority="288" operator="containsText" text="BEARISH">
      <formula>NOT(ISERROR(SEARCH("BEARISH",R184)))</formula>
    </cfRule>
  </conditionalFormatting>
  <conditionalFormatting sqref="P184 P7834 P7579 P7324 P7069 P6814 P6559 P6304 P6049 P5794 P5539 P5284 P5029 P4774 P4519 P4264 P4009 P3754 P3499 P3244 P2989 P2734 P2479 P2224 P1969 P1714 P1459 P1204 P949 P694 P439">
    <cfRule type="dataBar" priority="285">
      <dataBar>
        <cfvo type="min"/>
        <cfvo type="max"/>
        <color rgb="FF638EC6"/>
      </dataBar>
      <extLst>
        <ext xmlns:x14="http://schemas.microsoft.com/office/spreadsheetml/2009/9/main" uri="{B025F937-C7B1-47D3-B67F-A62EFF666E3E}">
          <x14:id>{F9787418-6DB5-497E-9AF7-6B644F060F67}</x14:id>
        </ext>
      </extLst>
    </cfRule>
  </conditionalFormatting>
  <conditionalFormatting sqref="R7835 R7580 R7325 R7070 R6815 R6560 R6305 R6050 R5795 R5540 R5285 R5030 R4775 R4520 R4265 R4010 R3755 R3500 R3245 R2990 R2735 R2480 R2225 R1970 R1715 R1460 R1205 R950 R695 R440 R185">
    <cfRule type="containsText" dxfId="212" priority="282" operator="containsText" text="NEUTRAL">
      <formula>NOT(ISERROR(SEARCH("NEUTRAL",R185)))</formula>
    </cfRule>
    <cfRule type="containsText" dxfId="211" priority="283" operator="containsText" text="BULLISH">
      <formula>NOT(ISERROR(SEARCH("BULLISH",R185)))</formula>
    </cfRule>
    <cfRule type="containsText" dxfId="210" priority="284" operator="containsText" text="BEARISH">
      <formula>NOT(ISERROR(SEARCH("BEARISH",R185)))</formula>
    </cfRule>
  </conditionalFormatting>
  <conditionalFormatting sqref="P185 P7835 P7580 P7325 P7070 P6815 P6560 P6305 P6050 P5795 P5540 P5285 P5030 P4775 P4520 P4265 P4010 P3755 P3500 P3245 P2990 P2735 P2480 P2225 P1970 P1715 P1460 P1205 P950 P695 P440">
    <cfRule type="dataBar" priority="281">
      <dataBar>
        <cfvo type="min"/>
        <cfvo type="max"/>
        <color rgb="FF638EC6"/>
      </dataBar>
      <extLst>
        <ext xmlns:x14="http://schemas.microsoft.com/office/spreadsheetml/2009/9/main" uri="{B025F937-C7B1-47D3-B67F-A62EFF666E3E}">
          <x14:id>{722A1D2B-F0F5-4BFB-9978-77A57D6CB465}</x14:id>
        </ext>
      </extLst>
    </cfRule>
  </conditionalFormatting>
  <conditionalFormatting sqref="R7836 R7581 R7326 R7071 R6816 R6561 R6306 R6051 R5796 R5541 R5286 R5031 R4776 R4521 R4266 R4011 R3756 R3501 R3246 R2991 R2736 R2481 R2226 R1971 R1716 R1461 R1206 R951 R696 R441 R186">
    <cfRule type="containsText" dxfId="209" priority="278" operator="containsText" text="NEUTRAL">
      <formula>NOT(ISERROR(SEARCH("NEUTRAL",R186)))</formula>
    </cfRule>
    <cfRule type="containsText" dxfId="208" priority="279" operator="containsText" text="BULLISH">
      <formula>NOT(ISERROR(SEARCH("BULLISH",R186)))</formula>
    </cfRule>
    <cfRule type="containsText" dxfId="207" priority="280" operator="containsText" text="BEARISH">
      <formula>NOT(ISERROR(SEARCH("BEARISH",R186)))</formula>
    </cfRule>
  </conditionalFormatting>
  <conditionalFormatting sqref="P186 P7836 P7581 P7326 P7071 P6816 P6561 P6306 P6051 P5796 P5541 P5286 P5031 P4776 P4521 P4266 P4011 P3756 P3501 P3246 P2991 P2736 P2481 P2226 P1971 P1716 P1461 P1206 P951 P696 P441">
    <cfRule type="dataBar" priority="277">
      <dataBar>
        <cfvo type="min"/>
        <cfvo type="max"/>
        <color rgb="FF638EC6"/>
      </dataBar>
      <extLst>
        <ext xmlns:x14="http://schemas.microsoft.com/office/spreadsheetml/2009/9/main" uri="{B025F937-C7B1-47D3-B67F-A62EFF666E3E}">
          <x14:id>{B2973DDE-DC07-4AA5-8F38-71E5CAF637FF}</x14:id>
        </ext>
      </extLst>
    </cfRule>
  </conditionalFormatting>
  <conditionalFormatting sqref="R7837 R7582 R7327 R7072 R6817 R6562 R6307 R6052 R5797 R5542 R5287 R5032 R4777 R4522 R4267 R4012 R3757 R3502 R3247 R2992 R2737 R2482 R2227 R1972 R1717 R1462 R1207 R952 R697 R442 R187">
    <cfRule type="containsText" dxfId="206" priority="274" operator="containsText" text="NEUTRAL">
      <formula>NOT(ISERROR(SEARCH("NEUTRAL",R187)))</formula>
    </cfRule>
    <cfRule type="containsText" dxfId="205" priority="275" operator="containsText" text="BULLISH">
      <formula>NOT(ISERROR(SEARCH("BULLISH",R187)))</formula>
    </cfRule>
    <cfRule type="containsText" dxfId="204" priority="276" operator="containsText" text="BEARISH">
      <formula>NOT(ISERROR(SEARCH("BEARISH",R187)))</formula>
    </cfRule>
  </conditionalFormatting>
  <conditionalFormatting sqref="P187 P7837 P7582 P7327 P7072 P6817 P6562 P6307 P6052 P5797 P5542 P5287 P5032 P4777 P4522 P4267 P4012 P3757 P3502 P3247 P2992 P2737 P2482 P2227 P1972 P1717 P1462 P1207 P952 P697 P442">
    <cfRule type="dataBar" priority="273">
      <dataBar>
        <cfvo type="min"/>
        <cfvo type="max"/>
        <color rgb="FF638EC6"/>
      </dataBar>
      <extLst>
        <ext xmlns:x14="http://schemas.microsoft.com/office/spreadsheetml/2009/9/main" uri="{B025F937-C7B1-47D3-B67F-A62EFF666E3E}">
          <x14:id>{D6AD7460-3BD2-4F45-BBC2-D87933EF1D36}</x14:id>
        </ext>
      </extLst>
    </cfRule>
  </conditionalFormatting>
  <conditionalFormatting sqref="R7838 R7583 R7328 R7073 R6818 R6563 R6308 R6053 R5798 R5543 R5288 R5033 R4778 R4523 R4268 R4013 R3758 R3503 R3248 R2993 R2738 R2483 R2228 R1973 R1718 R1463 R1208 R953 R698 R443 R188">
    <cfRule type="containsText" dxfId="203" priority="270" operator="containsText" text="NEUTRAL">
      <formula>NOT(ISERROR(SEARCH("NEUTRAL",R188)))</formula>
    </cfRule>
    <cfRule type="containsText" dxfId="202" priority="271" operator="containsText" text="BULLISH">
      <formula>NOT(ISERROR(SEARCH("BULLISH",R188)))</formula>
    </cfRule>
    <cfRule type="containsText" dxfId="201" priority="272" operator="containsText" text="BEARISH">
      <formula>NOT(ISERROR(SEARCH("BEARISH",R188)))</formula>
    </cfRule>
  </conditionalFormatting>
  <conditionalFormatting sqref="P188 P7838 P7583 P7328 P7073 P6818 P6563 P6308 P6053 P5798 P5543 P5288 P5033 P4778 P4523 P4268 P4013 P3758 P3503 P3248 P2993 P2738 P2483 P2228 P1973 P1718 P1463 P1208 P953 P698 P443">
    <cfRule type="dataBar" priority="269">
      <dataBar>
        <cfvo type="min"/>
        <cfvo type="max"/>
        <color rgb="FF638EC6"/>
      </dataBar>
      <extLst>
        <ext xmlns:x14="http://schemas.microsoft.com/office/spreadsheetml/2009/9/main" uri="{B025F937-C7B1-47D3-B67F-A62EFF666E3E}">
          <x14:id>{1EB8ABC8-0565-4420-99F3-089CCF973267}</x14:id>
        </ext>
      </extLst>
    </cfRule>
  </conditionalFormatting>
  <conditionalFormatting sqref="R7839 R7584 R7329 R7074 R6819 R6564 R6309 R6054 R5799 R5544 R5289 R5034 R4779 R4524 R4269 R4014 R3759 R3504 R3249 R2994 R2739 R2484 R2229 R1974 R1719 R1464 R1209 R954 R699 R444 R189">
    <cfRule type="containsText" dxfId="200" priority="266" operator="containsText" text="NEUTRAL">
      <formula>NOT(ISERROR(SEARCH("NEUTRAL",R189)))</formula>
    </cfRule>
    <cfRule type="containsText" dxfId="199" priority="267" operator="containsText" text="BULLISH">
      <formula>NOT(ISERROR(SEARCH("BULLISH",R189)))</formula>
    </cfRule>
    <cfRule type="containsText" dxfId="198" priority="268" operator="containsText" text="BEARISH">
      <formula>NOT(ISERROR(SEARCH("BEARISH",R189)))</formula>
    </cfRule>
  </conditionalFormatting>
  <conditionalFormatting sqref="P189 P7839 P7584 P7329 P7074 P6819 P6564 P6309 P6054 P5799 P5544 P5289 P5034 P4779 P4524 P4269 P4014 P3759 P3504 P3249 P2994 P2739 P2484 P2229 P1974 P1719 P1464 P1209 P954 P699 P444">
    <cfRule type="dataBar" priority="265">
      <dataBar>
        <cfvo type="min"/>
        <cfvo type="max"/>
        <color rgb="FF638EC6"/>
      </dataBar>
      <extLst>
        <ext xmlns:x14="http://schemas.microsoft.com/office/spreadsheetml/2009/9/main" uri="{B025F937-C7B1-47D3-B67F-A62EFF666E3E}">
          <x14:id>{638B4B54-8757-4C7C-9A9E-30C08BF803F8}</x14:id>
        </ext>
      </extLst>
    </cfRule>
  </conditionalFormatting>
  <conditionalFormatting sqref="R7840 R7585 R7330 R7075 R6820 R6565 R6310 R6055 R5800 R5545 R5290 R5035 R4780 R4525 R4270 R4015 R3760 R3505 R3250 R2995 R2740 R2485 R2230 R1975 R1720 R1465 R1210 R955 R700 R445 R190">
    <cfRule type="containsText" dxfId="197" priority="262" operator="containsText" text="NEUTRAL">
      <formula>NOT(ISERROR(SEARCH("NEUTRAL",R190)))</formula>
    </cfRule>
    <cfRule type="containsText" dxfId="196" priority="263" operator="containsText" text="BULLISH">
      <formula>NOT(ISERROR(SEARCH("BULLISH",R190)))</formula>
    </cfRule>
    <cfRule type="containsText" dxfId="195" priority="264" operator="containsText" text="BEARISH">
      <formula>NOT(ISERROR(SEARCH("BEARISH",R190)))</formula>
    </cfRule>
  </conditionalFormatting>
  <conditionalFormatting sqref="P190 P7840 P7585 P7330 P7075 P6820 P6565 P6310 P6055 P5800 P5545 P5290 P5035 P4780 P4525 P4270 P4015 P3760 P3505 P3250 P2995 P2740 P2485 P2230 P1975 P1720 P1465 P1210 P955 P700 P445">
    <cfRule type="dataBar" priority="261">
      <dataBar>
        <cfvo type="min"/>
        <cfvo type="max"/>
        <color rgb="FF638EC6"/>
      </dataBar>
      <extLst>
        <ext xmlns:x14="http://schemas.microsoft.com/office/spreadsheetml/2009/9/main" uri="{B025F937-C7B1-47D3-B67F-A62EFF666E3E}">
          <x14:id>{477527EB-8D02-49D3-8BF6-C2B243651951}</x14:id>
        </ext>
      </extLst>
    </cfRule>
  </conditionalFormatting>
  <conditionalFormatting sqref="R7841 R7586 R7331 R7076 R6821 R6566 R6311 R6056 R5801 R5546 R5291 R5036 R4781 R4526 R4271 R4016 R3761 R3506 R3251 R2996 R2741 R2486 R2231 R1976 R1721 R1466 R1211 R956 R701 R446 R191">
    <cfRule type="containsText" dxfId="194" priority="258" operator="containsText" text="NEUTRAL">
      <formula>NOT(ISERROR(SEARCH("NEUTRAL",R191)))</formula>
    </cfRule>
    <cfRule type="containsText" dxfId="193" priority="259" operator="containsText" text="BULLISH">
      <formula>NOT(ISERROR(SEARCH("BULLISH",R191)))</formula>
    </cfRule>
    <cfRule type="containsText" dxfId="192" priority="260" operator="containsText" text="BEARISH">
      <formula>NOT(ISERROR(SEARCH("BEARISH",R191)))</formula>
    </cfRule>
  </conditionalFormatting>
  <conditionalFormatting sqref="P191 P7841 P7586 P7331 P7076 P6821 P6566 P6311 P6056 P5801 P5546 P5291 P5036 P4781 P4526 P4271 P4016 P3761 P3506 P3251 P2996 P2741 P2486 P2231 P1976 P1721 P1466 P1211 P956 P701 P446">
    <cfRule type="dataBar" priority="257">
      <dataBar>
        <cfvo type="min"/>
        <cfvo type="max"/>
        <color rgb="FF638EC6"/>
      </dataBar>
      <extLst>
        <ext xmlns:x14="http://schemas.microsoft.com/office/spreadsheetml/2009/9/main" uri="{B025F937-C7B1-47D3-B67F-A62EFF666E3E}">
          <x14:id>{4DFEA2B8-5763-4263-B65D-4B6482AFB6BB}</x14:id>
        </ext>
      </extLst>
    </cfRule>
  </conditionalFormatting>
  <conditionalFormatting sqref="R7842 R7587 R7332 R7077 R6822 R6567 R6312 R6057 R5802 R5547 R5292 R5037 R4782 R4527 R4272 R4017 R3762 R3507 R3252 R2997 R2742 R2487 R2232 R1977 R1722 R1467 R1212 R957 R702 R447 R192">
    <cfRule type="containsText" dxfId="191" priority="254" operator="containsText" text="NEUTRAL">
      <formula>NOT(ISERROR(SEARCH("NEUTRAL",R192)))</formula>
    </cfRule>
    <cfRule type="containsText" dxfId="190" priority="255" operator="containsText" text="BULLISH">
      <formula>NOT(ISERROR(SEARCH("BULLISH",R192)))</formula>
    </cfRule>
    <cfRule type="containsText" dxfId="189" priority="256" operator="containsText" text="BEARISH">
      <formula>NOT(ISERROR(SEARCH("BEARISH",R192)))</formula>
    </cfRule>
  </conditionalFormatting>
  <conditionalFormatting sqref="P192 P7842 P7587 P7332 P7077 P6822 P6567 P6312 P6057 P5802 P5547 P5292 P5037 P4782 P4527 P4272 P4017 P3762 P3507 P3252 P2997 P2742 P2487 P2232 P1977 P1722 P1467 P1212 P957 P702 P447">
    <cfRule type="dataBar" priority="253">
      <dataBar>
        <cfvo type="min"/>
        <cfvo type="max"/>
        <color rgb="FF638EC6"/>
      </dataBar>
      <extLst>
        <ext xmlns:x14="http://schemas.microsoft.com/office/spreadsheetml/2009/9/main" uri="{B025F937-C7B1-47D3-B67F-A62EFF666E3E}">
          <x14:id>{6FFBB5A8-91D5-496D-85ED-649FCDD6F2AD}</x14:id>
        </ext>
      </extLst>
    </cfRule>
  </conditionalFormatting>
  <conditionalFormatting sqref="R7843 R7588 R7333 R7078 R6823 R6568 R6313 R6058 R5803 R5548 R5293 R5038 R4783 R4528 R4273 R4018 R3763 R3508 R3253 R2998 R2743 R2488 R2233 R1978 R1723 R1468 R1213 R958 R703 R448 R193">
    <cfRule type="containsText" dxfId="188" priority="250" operator="containsText" text="NEUTRAL">
      <formula>NOT(ISERROR(SEARCH("NEUTRAL",R193)))</formula>
    </cfRule>
    <cfRule type="containsText" dxfId="187" priority="251" operator="containsText" text="BULLISH">
      <formula>NOT(ISERROR(SEARCH("BULLISH",R193)))</formula>
    </cfRule>
    <cfRule type="containsText" dxfId="186" priority="252" operator="containsText" text="BEARISH">
      <formula>NOT(ISERROR(SEARCH("BEARISH",R193)))</formula>
    </cfRule>
  </conditionalFormatting>
  <conditionalFormatting sqref="P193 P7843 P7588 P7333 P7078 P6823 P6568 P6313 P6058 P5803 P5548 P5293 P5038 P4783 P4528 P4273 P4018 P3763 P3508 P3253 P2998 P2743 P2488 P2233 P1978 P1723 P1468 P1213 P958 P703 P448">
    <cfRule type="dataBar" priority="249">
      <dataBar>
        <cfvo type="min"/>
        <cfvo type="max"/>
        <color rgb="FF638EC6"/>
      </dataBar>
      <extLst>
        <ext xmlns:x14="http://schemas.microsoft.com/office/spreadsheetml/2009/9/main" uri="{B025F937-C7B1-47D3-B67F-A62EFF666E3E}">
          <x14:id>{5ED6DCB2-0900-464D-BC9D-BE1852DEFFAA}</x14:id>
        </ext>
      </extLst>
    </cfRule>
  </conditionalFormatting>
  <conditionalFormatting sqref="R7844 R7589 R7334 R7079 R6824 R6569 R6314 R6059 R5804 R5549 R5294 R5039 R4784 R4529 R4274 R4019 R3764 R3509 R3254 R2999 R2744 R2489 R2234 R1979 R1724 R1469 R1214 R959 R704 R449 R194">
    <cfRule type="containsText" dxfId="185" priority="246" operator="containsText" text="NEUTRAL">
      <formula>NOT(ISERROR(SEARCH("NEUTRAL",R194)))</formula>
    </cfRule>
    <cfRule type="containsText" dxfId="184" priority="247" operator="containsText" text="BULLISH">
      <formula>NOT(ISERROR(SEARCH("BULLISH",R194)))</formula>
    </cfRule>
    <cfRule type="containsText" dxfId="183" priority="248" operator="containsText" text="BEARISH">
      <formula>NOT(ISERROR(SEARCH("BEARISH",R194)))</formula>
    </cfRule>
  </conditionalFormatting>
  <conditionalFormatting sqref="P194 P7844 P7589 P7334 P7079 P6824 P6569 P6314 P6059 P5804 P5549 P5294 P5039 P4784 P4529 P4274 P4019 P3764 P3509 P3254 P2999 P2744 P2489 P2234 P1979 P1724 P1469 P1214 P959 P704 P449">
    <cfRule type="dataBar" priority="245">
      <dataBar>
        <cfvo type="min"/>
        <cfvo type="max"/>
        <color rgb="FF638EC6"/>
      </dataBar>
      <extLst>
        <ext xmlns:x14="http://schemas.microsoft.com/office/spreadsheetml/2009/9/main" uri="{B025F937-C7B1-47D3-B67F-A62EFF666E3E}">
          <x14:id>{09EF0135-0DF6-4102-B31A-C7EC877EF7FB}</x14:id>
        </ext>
      </extLst>
    </cfRule>
  </conditionalFormatting>
  <conditionalFormatting sqref="R7845 R7590 R7335 R7080 R6825 R6570 R6315 R6060 R5805 R5550 R5295 R5040 R4785 R4530 R4275 R4020 R3765 R3510 R3255 R3000 R2745 R2490 R2235 R1980 R1725 R1470 R1215 R960 R705 R450 R195">
    <cfRule type="containsText" dxfId="182" priority="242" operator="containsText" text="NEUTRAL">
      <formula>NOT(ISERROR(SEARCH("NEUTRAL",R195)))</formula>
    </cfRule>
    <cfRule type="containsText" dxfId="181" priority="243" operator="containsText" text="BULLISH">
      <formula>NOT(ISERROR(SEARCH("BULLISH",R195)))</formula>
    </cfRule>
    <cfRule type="containsText" dxfId="180" priority="244" operator="containsText" text="BEARISH">
      <formula>NOT(ISERROR(SEARCH("BEARISH",R195)))</formula>
    </cfRule>
  </conditionalFormatting>
  <conditionalFormatting sqref="P195 P7845 P7590 P7335 P7080 P6825 P6570 P6315 P6060 P5805 P5550 P5295 P5040 P4785 P4530 P4275 P4020 P3765 P3510 P3255 P3000 P2745 P2490 P2235 P1980 P1725 P1470 P1215 P960 P705 P450">
    <cfRule type="dataBar" priority="241">
      <dataBar>
        <cfvo type="min"/>
        <cfvo type="max"/>
        <color rgb="FF638EC6"/>
      </dataBar>
      <extLst>
        <ext xmlns:x14="http://schemas.microsoft.com/office/spreadsheetml/2009/9/main" uri="{B025F937-C7B1-47D3-B67F-A62EFF666E3E}">
          <x14:id>{C4E80A2C-BF1F-47A8-9AE3-4D263E113B79}</x14:id>
        </ext>
      </extLst>
    </cfRule>
  </conditionalFormatting>
  <conditionalFormatting sqref="R7846 R7591 R7336 R7081 R6826 R6571 R6316 R6061 R5806 R5551 R5296 R5041 R4786 R4531 R4276 R4021 R3766 R3511 R3256 R3001 R2746 R2491 R2236 R1981 R1726 R1471 R1216 R961 R706 R451 R196">
    <cfRule type="containsText" dxfId="179" priority="238" operator="containsText" text="NEUTRAL">
      <formula>NOT(ISERROR(SEARCH("NEUTRAL",R196)))</formula>
    </cfRule>
    <cfRule type="containsText" dxfId="178" priority="239" operator="containsText" text="BULLISH">
      <formula>NOT(ISERROR(SEARCH("BULLISH",R196)))</formula>
    </cfRule>
    <cfRule type="containsText" dxfId="177" priority="240" operator="containsText" text="BEARISH">
      <formula>NOT(ISERROR(SEARCH("BEARISH",R196)))</formula>
    </cfRule>
  </conditionalFormatting>
  <conditionalFormatting sqref="P196 P7846 P7591 P7336 P7081 P6826 P6571 P6316 P6061 P5806 P5551 P5296 P5041 P4786 P4531 P4276 P4021 P3766 P3511 P3256 P3001 P2746 P2491 P2236 P1981 P1726 P1471 P1216 P961 P706 P451">
    <cfRule type="dataBar" priority="237">
      <dataBar>
        <cfvo type="min"/>
        <cfvo type="max"/>
        <color rgb="FF638EC6"/>
      </dataBar>
      <extLst>
        <ext xmlns:x14="http://schemas.microsoft.com/office/spreadsheetml/2009/9/main" uri="{B025F937-C7B1-47D3-B67F-A62EFF666E3E}">
          <x14:id>{C72CFAE6-6C56-49D2-B46D-459994BF2E27}</x14:id>
        </ext>
      </extLst>
    </cfRule>
  </conditionalFormatting>
  <conditionalFormatting sqref="R7847 R7592 R7337 R7082 R6827 R6572 R6317 R6062 R5807 R5552 R5297 R5042 R4787 R4532 R4277 R4022 R3767 R3512 R3257 R3002 R2747 R2492 R2237 R1982 R1727 R1472 R1217 R962 R707 R452 R197">
    <cfRule type="containsText" dxfId="176" priority="234" operator="containsText" text="NEUTRAL">
      <formula>NOT(ISERROR(SEARCH("NEUTRAL",R197)))</formula>
    </cfRule>
    <cfRule type="containsText" dxfId="175" priority="235" operator="containsText" text="BULLISH">
      <formula>NOT(ISERROR(SEARCH("BULLISH",R197)))</formula>
    </cfRule>
    <cfRule type="containsText" dxfId="174" priority="236" operator="containsText" text="BEARISH">
      <formula>NOT(ISERROR(SEARCH("BEARISH",R197)))</formula>
    </cfRule>
  </conditionalFormatting>
  <conditionalFormatting sqref="P197 P7847 P7592 P7337 P7082 P6827 P6572 P6317 P6062 P5807 P5552 P5297 P5042 P4787 P4532 P4277 P4022 P3767 P3512 P3257 P3002 P2747 P2492 P2237 P1982 P1727 P1472 P1217 P962 P707 P452">
    <cfRule type="dataBar" priority="233">
      <dataBar>
        <cfvo type="min"/>
        <cfvo type="max"/>
        <color rgb="FF638EC6"/>
      </dataBar>
      <extLst>
        <ext xmlns:x14="http://schemas.microsoft.com/office/spreadsheetml/2009/9/main" uri="{B025F937-C7B1-47D3-B67F-A62EFF666E3E}">
          <x14:id>{C55E48F9-D657-4282-AC60-91D642B4898B}</x14:id>
        </ext>
      </extLst>
    </cfRule>
  </conditionalFormatting>
  <conditionalFormatting sqref="R7848 R7593 R7338 R7083 R6828 R6573 R6318 R6063 R5808 R5553 R5298 R5043 R4788 R4533 R4278 R4023 R3768 R3513 R3258 R3003 R2748 R2493 R2238 R1983 R1728 R1473 R1218 R963 R708 R453 R198">
    <cfRule type="containsText" dxfId="173" priority="230" operator="containsText" text="NEUTRAL">
      <formula>NOT(ISERROR(SEARCH("NEUTRAL",R198)))</formula>
    </cfRule>
    <cfRule type="containsText" dxfId="172" priority="231" operator="containsText" text="BULLISH">
      <formula>NOT(ISERROR(SEARCH("BULLISH",R198)))</formula>
    </cfRule>
    <cfRule type="containsText" dxfId="171" priority="232" operator="containsText" text="BEARISH">
      <formula>NOT(ISERROR(SEARCH("BEARISH",R198)))</formula>
    </cfRule>
  </conditionalFormatting>
  <conditionalFormatting sqref="P198 P7848 P7593 P7338 P7083 P6828 P6573 P6318 P6063 P5808 P5553 P5298 P5043 P4788 P4533 P4278 P4023 P3768 P3513 P3258 P3003 P2748 P2493 P2238 P1983 P1728 P1473 P1218 P963 P708 P453">
    <cfRule type="dataBar" priority="229">
      <dataBar>
        <cfvo type="min"/>
        <cfvo type="max"/>
        <color rgb="FF638EC6"/>
      </dataBar>
      <extLst>
        <ext xmlns:x14="http://schemas.microsoft.com/office/spreadsheetml/2009/9/main" uri="{B025F937-C7B1-47D3-B67F-A62EFF666E3E}">
          <x14:id>{3DD79BB8-7CED-4050-979D-F25679134B25}</x14:id>
        </ext>
      </extLst>
    </cfRule>
  </conditionalFormatting>
  <conditionalFormatting sqref="R7849 R7594 R7339 R7084 R6829 R6574 R6319 R6064 R5809 R5554 R5299 R5044 R4789 R4534 R4279 R4024 R3769 R3514 R3259 R3004 R2749 R2494 R2239 R1984 R1729 R1474 R1219 R964 R709 R454 R199">
    <cfRule type="containsText" dxfId="170" priority="226" operator="containsText" text="NEUTRAL">
      <formula>NOT(ISERROR(SEARCH("NEUTRAL",R199)))</formula>
    </cfRule>
    <cfRule type="containsText" dxfId="169" priority="227" operator="containsText" text="BULLISH">
      <formula>NOT(ISERROR(SEARCH("BULLISH",R199)))</formula>
    </cfRule>
    <cfRule type="containsText" dxfId="168" priority="228" operator="containsText" text="BEARISH">
      <formula>NOT(ISERROR(SEARCH("BEARISH",R199)))</formula>
    </cfRule>
  </conditionalFormatting>
  <conditionalFormatting sqref="P199 P7849 P7594 P7339 P7084 P6829 P6574 P6319 P6064 P5809 P5554 P5299 P5044 P4789 P4534 P4279 P4024 P3769 P3514 P3259 P3004 P2749 P2494 P2239 P1984 P1729 P1474 P1219 P964 P709 P454">
    <cfRule type="dataBar" priority="225">
      <dataBar>
        <cfvo type="min"/>
        <cfvo type="max"/>
        <color rgb="FF638EC6"/>
      </dataBar>
      <extLst>
        <ext xmlns:x14="http://schemas.microsoft.com/office/spreadsheetml/2009/9/main" uri="{B025F937-C7B1-47D3-B67F-A62EFF666E3E}">
          <x14:id>{01E4D03A-08EA-40C6-8A48-881E00233816}</x14:id>
        </ext>
      </extLst>
    </cfRule>
  </conditionalFormatting>
  <conditionalFormatting sqref="R7850 R7595 R7340 R7085 R6830 R6575 R6320 R6065 R5810 R5555 R5300 R5045 R4790 R4535 R4280 R4025 R3770 R3515 R3260 R3005 R2750 R2495 R2240 R1985 R1730 R1475 R1220 R965 R710 R455 R200">
    <cfRule type="containsText" dxfId="167" priority="222" operator="containsText" text="NEUTRAL">
      <formula>NOT(ISERROR(SEARCH("NEUTRAL",R200)))</formula>
    </cfRule>
    <cfRule type="containsText" dxfId="166" priority="223" operator="containsText" text="BULLISH">
      <formula>NOT(ISERROR(SEARCH("BULLISH",R200)))</formula>
    </cfRule>
    <cfRule type="containsText" dxfId="165" priority="224" operator="containsText" text="BEARISH">
      <formula>NOT(ISERROR(SEARCH("BEARISH",R200)))</formula>
    </cfRule>
  </conditionalFormatting>
  <conditionalFormatting sqref="P200 P7850 P7595 P7340 P7085 P6830 P6575 P6320 P6065 P5810 P5555 P5300 P5045 P4790 P4535 P4280 P4025 P3770 P3515 P3260 P3005 P2750 P2495 P2240 P1985 P1730 P1475 P1220 P965 P710 P455">
    <cfRule type="dataBar" priority="221">
      <dataBar>
        <cfvo type="min"/>
        <cfvo type="max"/>
        <color rgb="FF638EC6"/>
      </dataBar>
      <extLst>
        <ext xmlns:x14="http://schemas.microsoft.com/office/spreadsheetml/2009/9/main" uri="{B025F937-C7B1-47D3-B67F-A62EFF666E3E}">
          <x14:id>{7DE07A12-14AB-4608-8E29-AB07AC0C4413}</x14:id>
        </ext>
      </extLst>
    </cfRule>
  </conditionalFormatting>
  <conditionalFormatting sqref="R7851 R7596 R7341 R7086 R6831 R6576 R6321 R6066 R5811 R5556 R5301 R5046 R4791 R4536 R4281 R4026 R3771 R3516 R3261 R3006 R2751 R2496 R2241 R1986 R1731 R1476 R1221 R966 R711 R456 R201">
    <cfRule type="containsText" dxfId="164" priority="218" operator="containsText" text="NEUTRAL">
      <formula>NOT(ISERROR(SEARCH("NEUTRAL",R201)))</formula>
    </cfRule>
    <cfRule type="containsText" dxfId="163" priority="219" operator="containsText" text="BULLISH">
      <formula>NOT(ISERROR(SEARCH("BULLISH",R201)))</formula>
    </cfRule>
    <cfRule type="containsText" dxfId="162" priority="220" operator="containsText" text="BEARISH">
      <formula>NOT(ISERROR(SEARCH("BEARISH",R201)))</formula>
    </cfRule>
  </conditionalFormatting>
  <conditionalFormatting sqref="P201 P7851 P7596 P7341 P7086 P6831 P6576 P6321 P6066 P5811 P5556 P5301 P5046 P4791 P4536 P4281 P4026 P3771 P3516 P3261 P3006 P2751 P2496 P2241 P1986 P1731 P1476 P1221 P966 P711 P456">
    <cfRule type="dataBar" priority="217">
      <dataBar>
        <cfvo type="min"/>
        <cfvo type="max"/>
        <color rgb="FF638EC6"/>
      </dataBar>
      <extLst>
        <ext xmlns:x14="http://schemas.microsoft.com/office/spreadsheetml/2009/9/main" uri="{B025F937-C7B1-47D3-B67F-A62EFF666E3E}">
          <x14:id>{20E3A009-076E-421F-84DD-F0C22B4B2766}</x14:id>
        </ext>
      </extLst>
    </cfRule>
  </conditionalFormatting>
  <conditionalFormatting sqref="R7852 R7597 R7342 R7087 R6832 R6577 R6322 R6067 R5812 R5557 R5302 R5047 R4792 R4537 R4282 R4027 R3772 R3517 R3262 R3007 R2752 R2497 R2242 R1987 R1732 R1477 R1222 R967 R712 R457 R202">
    <cfRule type="containsText" dxfId="161" priority="214" operator="containsText" text="NEUTRAL">
      <formula>NOT(ISERROR(SEARCH("NEUTRAL",R202)))</formula>
    </cfRule>
    <cfRule type="containsText" dxfId="160" priority="215" operator="containsText" text="BULLISH">
      <formula>NOT(ISERROR(SEARCH("BULLISH",R202)))</formula>
    </cfRule>
    <cfRule type="containsText" dxfId="159" priority="216" operator="containsText" text="BEARISH">
      <formula>NOT(ISERROR(SEARCH("BEARISH",R202)))</formula>
    </cfRule>
  </conditionalFormatting>
  <conditionalFormatting sqref="P202 P7852 P7597 P7342 P7087 P6832 P6577 P6322 P6067 P5812 P5557 P5302 P5047 P4792 P4537 P4282 P4027 P3772 P3517 P3262 P3007 P2752 P2497 P2242 P1987 P1732 P1477 P1222 P967 P712 P457">
    <cfRule type="dataBar" priority="213">
      <dataBar>
        <cfvo type="min"/>
        <cfvo type="max"/>
        <color rgb="FF638EC6"/>
      </dataBar>
      <extLst>
        <ext xmlns:x14="http://schemas.microsoft.com/office/spreadsheetml/2009/9/main" uri="{B025F937-C7B1-47D3-B67F-A62EFF666E3E}">
          <x14:id>{917698F4-CE01-4D8F-914A-C381EED6A012}</x14:id>
        </ext>
      </extLst>
    </cfRule>
  </conditionalFormatting>
  <conditionalFormatting sqref="R7853 R7598 R7343 R7088 R6833 R6578 R6323 R6068 R5813 R5558 R5303 R5048 R4793 R4538 R4283 R4028 R3773 R3518 R3263 R3008 R2753 R2498 R2243 R1988 R1733 R1478 R1223 R968 R713 R458 R203">
    <cfRule type="containsText" dxfId="158" priority="210" operator="containsText" text="NEUTRAL">
      <formula>NOT(ISERROR(SEARCH("NEUTRAL",R203)))</formula>
    </cfRule>
    <cfRule type="containsText" dxfId="157" priority="211" operator="containsText" text="BULLISH">
      <formula>NOT(ISERROR(SEARCH("BULLISH",R203)))</formula>
    </cfRule>
    <cfRule type="containsText" dxfId="156" priority="212" operator="containsText" text="BEARISH">
      <formula>NOT(ISERROR(SEARCH("BEARISH",R203)))</formula>
    </cfRule>
  </conditionalFormatting>
  <conditionalFormatting sqref="P203 P7853 P7598 P7343 P7088 P6833 P6578 P6323 P6068 P5813 P5558 P5303 P5048 P4793 P4538 P4283 P4028 P3773 P3518 P3263 P3008 P2753 P2498 P2243 P1988 P1733 P1478 P1223 P968 P713 P458">
    <cfRule type="dataBar" priority="209">
      <dataBar>
        <cfvo type="min"/>
        <cfvo type="max"/>
        <color rgb="FF638EC6"/>
      </dataBar>
      <extLst>
        <ext xmlns:x14="http://schemas.microsoft.com/office/spreadsheetml/2009/9/main" uri="{B025F937-C7B1-47D3-B67F-A62EFF666E3E}">
          <x14:id>{00A67367-2D36-43D1-805B-0CA8A496C7F3}</x14:id>
        </ext>
      </extLst>
    </cfRule>
  </conditionalFormatting>
  <conditionalFormatting sqref="R7854 R7599 R7344 R7089 R6834 R6579 R6324 R6069 R5814 R5559 R5304 R5049 R4794 R4539 R4284 R4029 R3774 R3519 R3264 R3009 R2754 R2499 R2244 R1989 R1734 R1479 R1224 R969 R714 R459 R204">
    <cfRule type="containsText" dxfId="155" priority="206" operator="containsText" text="NEUTRAL">
      <formula>NOT(ISERROR(SEARCH("NEUTRAL",R204)))</formula>
    </cfRule>
    <cfRule type="containsText" dxfId="154" priority="207" operator="containsText" text="BULLISH">
      <formula>NOT(ISERROR(SEARCH("BULLISH",R204)))</formula>
    </cfRule>
    <cfRule type="containsText" dxfId="153" priority="208" operator="containsText" text="BEARISH">
      <formula>NOT(ISERROR(SEARCH("BEARISH",R204)))</formula>
    </cfRule>
  </conditionalFormatting>
  <conditionalFormatting sqref="P204 P7854 P7599 P7344 P7089 P6834 P6579 P6324 P6069 P5814 P5559 P5304 P5049 P4794 P4539 P4284 P4029 P3774 P3519 P3264 P3009 P2754 P2499 P2244 P1989 P1734 P1479 P1224 P969 P714 P459">
    <cfRule type="dataBar" priority="205">
      <dataBar>
        <cfvo type="min"/>
        <cfvo type="max"/>
        <color rgb="FF638EC6"/>
      </dataBar>
      <extLst>
        <ext xmlns:x14="http://schemas.microsoft.com/office/spreadsheetml/2009/9/main" uri="{B025F937-C7B1-47D3-B67F-A62EFF666E3E}">
          <x14:id>{92B9AC91-DF17-4486-928C-4F1A3D8E7FF6}</x14:id>
        </ext>
      </extLst>
    </cfRule>
  </conditionalFormatting>
  <conditionalFormatting sqref="R7855 R7600 R7345 R7090 R6835 R6580 R6325 R6070 R5815 R5560 R5305 R5050 R4795 R4540 R4285 R4030 R3775 R3520 R3265 R3010 R2755 R2500 R2245 R1990 R1735 R1480 R1225 R970 R715 R460 R205">
    <cfRule type="containsText" dxfId="152" priority="202" operator="containsText" text="NEUTRAL">
      <formula>NOT(ISERROR(SEARCH("NEUTRAL",R205)))</formula>
    </cfRule>
    <cfRule type="containsText" dxfId="151" priority="203" operator="containsText" text="BULLISH">
      <formula>NOT(ISERROR(SEARCH("BULLISH",R205)))</formula>
    </cfRule>
    <cfRule type="containsText" dxfId="150" priority="204" operator="containsText" text="BEARISH">
      <formula>NOT(ISERROR(SEARCH("BEARISH",R205)))</formula>
    </cfRule>
  </conditionalFormatting>
  <conditionalFormatting sqref="P205 P7855 P7600 P7345 P7090 P6835 P6580 P6325 P6070 P5815 P5560 P5305 P5050 P4795 P4540 P4285 P4030 P3775 P3520 P3265 P3010 P2755 P2500 P2245 P1990 P1735 P1480 P1225 P970 P715 P460">
    <cfRule type="dataBar" priority="201">
      <dataBar>
        <cfvo type="min"/>
        <cfvo type="max"/>
        <color rgb="FF638EC6"/>
      </dataBar>
      <extLst>
        <ext xmlns:x14="http://schemas.microsoft.com/office/spreadsheetml/2009/9/main" uri="{B025F937-C7B1-47D3-B67F-A62EFF666E3E}">
          <x14:id>{12CEEA2C-4EAB-4424-8B79-ED1256736D21}</x14:id>
        </ext>
      </extLst>
    </cfRule>
  </conditionalFormatting>
  <conditionalFormatting sqref="R7856 R7601 R7346 R7091 R6836 R6581 R6326 R6071 R5816 R5561 R5306 R5051 R4796 R4541 R4286 R4031 R3776 R3521 R3266 R3011 R2756 R2501 R2246 R1991 R1736 R1481 R1226 R971 R716 R461 R206">
    <cfRule type="containsText" dxfId="149" priority="198" operator="containsText" text="NEUTRAL">
      <formula>NOT(ISERROR(SEARCH("NEUTRAL",R206)))</formula>
    </cfRule>
    <cfRule type="containsText" dxfId="148" priority="199" operator="containsText" text="BULLISH">
      <formula>NOT(ISERROR(SEARCH("BULLISH",R206)))</formula>
    </cfRule>
    <cfRule type="containsText" dxfId="147" priority="200" operator="containsText" text="BEARISH">
      <formula>NOT(ISERROR(SEARCH("BEARISH",R206)))</formula>
    </cfRule>
  </conditionalFormatting>
  <conditionalFormatting sqref="P206 P7856 P7601 P7346 P7091 P6836 P6581 P6326 P6071 P5816 P5561 P5306 P5051 P4796 P4541 P4286 P4031 P3776 P3521 P3266 P3011 P2756 P2501 P2246 P1991 P1736 P1481 P1226 P971 P716 P461">
    <cfRule type="dataBar" priority="197">
      <dataBar>
        <cfvo type="min"/>
        <cfvo type="max"/>
        <color rgb="FF638EC6"/>
      </dataBar>
      <extLst>
        <ext xmlns:x14="http://schemas.microsoft.com/office/spreadsheetml/2009/9/main" uri="{B025F937-C7B1-47D3-B67F-A62EFF666E3E}">
          <x14:id>{F1D2C296-A31A-4275-99FA-E563B9E90F31}</x14:id>
        </ext>
      </extLst>
    </cfRule>
  </conditionalFormatting>
  <conditionalFormatting sqref="R7857 R7602 R7347 R7092 R6837 R6582 R6327 R6072 R5817 R5562 R5307 R5052 R4797 R4542 R4287 R4032 R3777 R3522 R3267 R3012 R2757 R2502 R2247 R1992 R1737 R1482 R1227 R972 R717 R462 R207">
    <cfRule type="containsText" dxfId="146" priority="194" operator="containsText" text="NEUTRAL">
      <formula>NOT(ISERROR(SEARCH("NEUTRAL",R207)))</formula>
    </cfRule>
    <cfRule type="containsText" dxfId="145" priority="195" operator="containsText" text="BULLISH">
      <formula>NOT(ISERROR(SEARCH("BULLISH",R207)))</formula>
    </cfRule>
    <cfRule type="containsText" dxfId="144" priority="196" operator="containsText" text="BEARISH">
      <formula>NOT(ISERROR(SEARCH("BEARISH",R207)))</formula>
    </cfRule>
  </conditionalFormatting>
  <conditionalFormatting sqref="P207 P7857 P7602 P7347 P7092 P6837 P6582 P6327 P6072 P5817 P5562 P5307 P5052 P4797 P4542 P4287 P4032 P3777 P3522 P3267 P3012 P2757 P2502 P2247 P1992 P1737 P1482 P1227 P972 P717 P462">
    <cfRule type="dataBar" priority="193">
      <dataBar>
        <cfvo type="min"/>
        <cfvo type="max"/>
        <color rgb="FF638EC6"/>
      </dataBar>
      <extLst>
        <ext xmlns:x14="http://schemas.microsoft.com/office/spreadsheetml/2009/9/main" uri="{B025F937-C7B1-47D3-B67F-A62EFF666E3E}">
          <x14:id>{E9FBA9F6-F4E4-49C5-86F7-A357A0FB5123}</x14:id>
        </ext>
      </extLst>
    </cfRule>
  </conditionalFormatting>
  <conditionalFormatting sqref="R7858 R7603 R7348 R7093 R6838 R6583 R6328 R6073 R5818 R5563 R5308 R5053 R4798 R4543 R4288 R4033 R3778 R3523 R3268 R3013 R2758 R2503 R2248 R1993 R1738 R1483 R1228 R973 R718 R463 R208">
    <cfRule type="containsText" dxfId="143" priority="190" operator="containsText" text="NEUTRAL">
      <formula>NOT(ISERROR(SEARCH("NEUTRAL",R208)))</formula>
    </cfRule>
    <cfRule type="containsText" dxfId="142" priority="191" operator="containsText" text="BULLISH">
      <formula>NOT(ISERROR(SEARCH("BULLISH",R208)))</formula>
    </cfRule>
    <cfRule type="containsText" dxfId="141" priority="192" operator="containsText" text="BEARISH">
      <formula>NOT(ISERROR(SEARCH("BEARISH",R208)))</formula>
    </cfRule>
  </conditionalFormatting>
  <conditionalFormatting sqref="P208 P7858 P7603 P7348 P7093 P6838 P6583 P6328 P6073 P5818 P5563 P5308 P5053 P4798 P4543 P4288 P4033 P3778 P3523 P3268 P3013 P2758 P2503 P2248 P1993 P1738 P1483 P1228 P973 P718 P463">
    <cfRule type="dataBar" priority="189">
      <dataBar>
        <cfvo type="min"/>
        <cfvo type="max"/>
        <color rgb="FF638EC6"/>
      </dataBar>
      <extLst>
        <ext xmlns:x14="http://schemas.microsoft.com/office/spreadsheetml/2009/9/main" uri="{B025F937-C7B1-47D3-B67F-A62EFF666E3E}">
          <x14:id>{64FFFDEC-9F3A-4531-99B1-AFB940D99994}</x14:id>
        </ext>
      </extLst>
    </cfRule>
  </conditionalFormatting>
  <conditionalFormatting sqref="R7859 R7604 R7349 R7094 R6839 R6584 R6329 R6074 R5819 R5564 R5309 R5054 R4799 R4544 R4289 R4034 R3779 R3524 R3269 R3014 R2759 R2504 R2249 R1994 R1739 R1484 R1229 R974 R719 R464 R209">
    <cfRule type="containsText" dxfId="140" priority="186" operator="containsText" text="NEUTRAL">
      <formula>NOT(ISERROR(SEARCH("NEUTRAL",R209)))</formula>
    </cfRule>
    <cfRule type="containsText" dxfId="139" priority="187" operator="containsText" text="BULLISH">
      <formula>NOT(ISERROR(SEARCH("BULLISH",R209)))</formula>
    </cfRule>
    <cfRule type="containsText" dxfId="138" priority="188" operator="containsText" text="BEARISH">
      <formula>NOT(ISERROR(SEARCH("BEARISH",R209)))</formula>
    </cfRule>
  </conditionalFormatting>
  <conditionalFormatting sqref="P209 P7859 P7604 P7349 P7094 P6839 P6584 P6329 P6074 P5819 P5564 P5309 P5054 P4799 P4544 P4289 P4034 P3779 P3524 P3269 P3014 P2759 P2504 P2249 P1994 P1739 P1484 P1229 P974 P719 P464">
    <cfRule type="dataBar" priority="185">
      <dataBar>
        <cfvo type="min"/>
        <cfvo type="max"/>
        <color rgb="FF638EC6"/>
      </dataBar>
      <extLst>
        <ext xmlns:x14="http://schemas.microsoft.com/office/spreadsheetml/2009/9/main" uri="{B025F937-C7B1-47D3-B67F-A62EFF666E3E}">
          <x14:id>{D9C3CC4C-BA3E-4AD5-992F-20CFEDD8A0BA}</x14:id>
        </ext>
      </extLst>
    </cfRule>
  </conditionalFormatting>
  <conditionalFormatting sqref="R7860 R7605 R7350 R7095 R6840 R6585 R6330 R6075 R5820 R5565 R5310 R5055 R4800 R4545 R4290 R4035 R3780 R3525 R3270 R3015 R2760 R2505 R2250 R1995 R1740 R1485 R1230 R975 R720 R465 R210">
    <cfRule type="containsText" dxfId="137" priority="182" operator="containsText" text="NEUTRAL">
      <formula>NOT(ISERROR(SEARCH("NEUTRAL",R210)))</formula>
    </cfRule>
    <cfRule type="containsText" dxfId="136" priority="183" operator="containsText" text="BULLISH">
      <formula>NOT(ISERROR(SEARCH("BULLISH",R210)))</formula>
    </cfRule>
    <cfRule type="containsText" dxfId="135" priority="184" operator="containsText" text="BEARISH">
      <formula>NOT(ISERROR(SEARCH("BEARISH",R210)))</formula>
    </cfRule>
  </conditionalFormatting>
  <conditionalFormatting sqref="P210 P7860 P7605 P7350 P7095 P6840 P6585 P6330 P6075 P5820 P5565 P5310 P5055 P4800 P4545 P4290 P4035 P3780 P3525 P3270 P3015 P2760 P2505 P2250 P1995 P1740 P1485 P1230 P975 P720 P465">
    <cfRule type="dataBar" priority="181">
      <dataBar>
        <cfvo type="min"/>
        <cfvo type="max"/>
        <color rgb="FF638EC6"/>
      </dataBar>
      <extLst>
        <ext xmlns:x14="http://schemas.microsoft.com/office/spreadsheetml/2009/9/main" uri="{B025F937-C7B1-47D3-B67F-A62EFF666E3E}">
          <x14:id>{8E3059C6-0FC8-4059-A0C3-ACD90D20E58C}</x14:id>
        </ext>
      </extLst>
    </cfRule>
  </conditionalFormatting>
  <conditionalFormatting sqref="R7861 R7606 R7351 R7096 R6841 R6586 R6331 R6076 R5821 R5566 R5311 R5056 R4801 R4546 R4291 R4036 R3781 R3526 R3271 R3016 R2761 R2506 R2251 R1996 R1741 R1486 R1231 R976 R721 R466 R211">
    <cfRule type="containsText" dxfId="134" priority="178" operator="containsText" text="NEUTRAL">
      <formula>NOT(ISERROR(SEARCH("NEUTRAL",R211)))</formula>
    </cfRule>
    <cfRule type="containsText" dxfId="133" priority="179" operator="containsText" text="BULLISH">
      <formula>NOT(ISERROR(SEARCH("BULLISH",R211)))</formula>
    </cfRule>
    <cfRule type="containsText" dxfId="132" priority="180" operator="containsText" text="BEARISH">
      <formula>NOT(ISERROR(SEARCH("BEARISH",R211)))</formula>
    </cfRule>
  </conditionalFormatting>
  <conditionalFormatting sqref="P211 P7861 P7606 P7351 P7096 P6841 P6586 P6331 P6076 P5821 P5566 P5311 P5056 P4801 P4546 P4291 P4036 P3781 P3526 P3271 P3016 P2761 P2506 P2251 P1996 P1741 P1486 P1231 P976 P721 P466">
    <cfRule type="dataBar" priority="177">
      <dataBar>
        <cfvo type="min"/>
        <cfvo type="max"/>
        <color rgb="FF638EC6"/>
      </dataBar>
      <extLst>
        <ext xmlns:x14="http://schemas.microsoft.com/office/spreadsheetml/2009/9/main" uri="{B025F937-C7B1-47D3-B67F-A62EFF666E3E}">
          <x14:id>{1C569647-9382-4A5B-A006-1925EDDEA381}</x14:id>
        </ext>
      </extLst>
    </cfRule>
  </conditionalFormatting>
  <conditionalFormatting sqref="R7862 R7607 R7352 R7097 R6842 R6587 R6332 R6077 R5822 R5567 R5312 R5057 R4802 R4547 R4292 R4037 R3782 R3527 R3272 R3017 R2762 R2507 R2252 R1997 R1742 R1487 R1232 R977 R722 R467 R212">
    <cfRule type="containsText" dxfId="131" priority="174" operator="containsText" text="NEUTRAL">
      <formula>NOT(ISERROR(SEARCH("NEUTRAL",R212)))</formula>
    </cfRule>
    <cfRule type="containsText" dxfId="130" priority="175" operator="containsText" text="BULLISH">
      <formula>NOT(ISERROR(SEARCH("BULLISH",R212)))</formula>
    </cfRule>
    <cfRule type="containsText" dxfId="129" priority="176" operator="containsText" text="BEARISH">
      <formula>NOT(ISERROR(SEARCH("BEARISH",R212)))</formula>
    </cfRule>
  </conditionalFormatting>
  <conditionalFormatting sqref="P212 P7862 P7607 P7352 P7097 P6842 P6587 P6332 P6077 P5822 P5567 P5312 P5057 P4802 P4547 P4292 P4037 P3782 P3527 P3272 P3017 P2762 P2507 P2252 P1997 P1742 P1487 P1232 P977 P722 P467">
    <cfRule type="dataBar" priority="173">
      <dataBar>
        <cfvo type="min"/>
        <cfvo type="max"/>
        <color rgb="FF638EC6"/>
      </dataBar>
      <extLst>
        <ext xmlns:x14="http://schemas.microsoft.com/office/spreadsheetml/2009/9/main" uri="{B025F937-C7B1-47D3-B67F-A62EFF666E3E}">
          <x14:id>{47761CE9-1D1D-49F5-9D6F-95D56B0978A7}</x14:id>
        </ext>
      </extLst>
    </cfRule>
  </conditionalFormatting>
  <conditionalFormatting sqref="R7863 R7608 R7353 R7098 R6843 R6588 R6333 R6078 R5823 R5568 R5313 R5058 R4803 R4548 R4293 R4038 R3783 R3528 R3273 R3018 R2763 R2508 R2253 R1998 R1743 R1488 R1233 R978 R723 R468 R213">
    <cfRule type="containsText" dxfId="128" priority="170" operator="containsText" text="NEUTRAL">
      <formula>NOT(ISERROR(SEARCH("NEUTRAL",R213)))</formula>
    </cfRule>
    <cfRule type="containsText" dxfId="127" priority="171" operator="containsText" text="BULLISH">
      <formula>NOT(ISERROR(SEARCH("BULLISH",R213)))</formula>
    </cfRule>
    <cfRule type="containsText" dxfId="126" priority="172" operator="containsText" text="BEARISH">
      <formula>NOT(ISERROR(SEARCH("BEARISH",R213)))</formula>
    </cfRule>
  </conditionalFormatting>
  <conditionalFormatting sqref="P213 P7863 P7608 P7353 P7098 P6843 P6588 P6333 P6078 P5823 P5568 P5313 P5058 P4803 P4548 P4293 P4038 P3783 P3528 P3273 P3018 P2763 P2508 P2253 P1998 P1743 P1488 P1233 P978 P723 P468">
    <cfRule type="dataBar" priority="169">
      <dataBar>
        <cfvo type="min"/>
        <cfvo type="max"/>
        <color rgb="FF638EC6"/>
      </dataBar>
      <extLst>
        <ext xmlns:x14="http://schemas.microsoft.com/office/spreadsheetml/2009/9/main" uri="{B025F937-C7B1-47D3-B67F-A62EFF666E3E}">
          <x14:id>{9BA1CCBC-AF9E-4306-B2BE-DC7FFA2C896B}</x14:id>
        </ext>
      </extLst>
    </cfRule>
  </conditionalFormatting>
  <conditionalFormatting sqref="R7864 R7609 R7354 R7099 R6844 R6589 R6334 R6079 R5824 R5569 R5314 R5059 R4804 R4549 R4294 R4039 R3784 R3529 R3274 R3019 R2764 R2509 R2254 R1999 R1744 R1489 R1234 R979 R724 R469 R214">
    <cfRule type="containsText" dxfId="125" priority="166" operator="containsText" text="NEUTRAL">
      <formula>NOT(ISERROR(SEARCH("NEUTRAL",R214)))</formula>
    </cfRule>
    <cfRule type="containsText" dxfId="124" priority="167" operator="containsText" text="BULLISH">
      <formula>NOT(ISERROR(SEARCH("BULLISH",R214)))</formula>
    </cfRule>
    <cfRule type="containsText" dxfId="123" priority="168" operator="containsText" text="BEARISH">
      <formula>NOT(ISERROR(SEARCH("BEARISH",R214)))</formula>
    </cfRule>
  </conditionalFormatting>
  <conditionalFormatting sqref="P214 P7864 P7609 P7354 P7099 P6844 P6589 P6334 P6079 P5824 P5569 P5314 P5059 P4804 P4549 P4294 P4039 P3784 P3529 P3274 P3019 P2764 P2509 P2254 P1999 P1744 P1489 P1234 P979 P724 P469">
    <cfRule type="dataBar" priority="165">
      <dataBar>
        <cfvo type="min"/>
        <cfvo type="max"/>
        <color rgb="FF638EC6"/>
      </dataBar>
      <extLst>
        <ext xmlns:x14="http://schemas.microsoft.com/office/spreadsheetml/2009/9/main" uri="{B025F937-C7B1-47D3-B67F-A62EFF666E3E}">
          <x14:id>{BEE61150-6C71-4890-93AC-0B46BEC857E5}</x14:id>
        </ext>
      </extLst>
    </cfRule>
  </conditionalFormatting>
  <conditionalFormatting sqref="R7865 R7610 R7355 R7100 R6845 R6590 R6335 R6080 R5825 R5570 R5315 R5060 R4805 R4550 R4295 R4040 R3785 R3530 R3275 R3020 R2765 R2510 R2255 R2000 R1745 R1490 R1235 R980 R725 R470 R215">
    <cfRule type="containsText" dxfId="122" priority="162" operator="containsText" text="NEUTRAL">
      <formula>NOT(ISERROR(SEARCH("NEUTRAL",R215)))</formula>
    </cfRule>
    <cfRule type="containsText" dxfId="121" priority="163" operator="containsText" text="BULLISH">
      <formula>NOT(ISERROR(SEARCH("BULLISH",R215)))</formula>
    </cfRule>
    <cfRule type="containsText" dxfId="120" priority="164" operator="containsText" text="BEARISH">
      <formula>NOT(ISERROR(SEARCH("BEARISH",R215)))</formula>
    </cfRule>
  </conditionalFormatting>
  <conditionalFormatting sqref="P215 P7865 P7610 P7355 P7100 P6845 P6590 P6335 P6080 P5825 P5570 P5315 P5060 P4805 P4550 P4295 P4040 P3785 P3530 P3275 P3020 P2765 P2510 P2255 P2000 P1745 P1490 P1235 P980 P725 P470">
    <cfRule type="dataBar" priority="161">
      <dataBar>
        <cfvo type="min"/>
        <cfvo type="max"/>
        <color rgb="FF638EC6"/>
      </dataBar>
      <extLst>
        <ext xmlns:x14="http://schemas.microsoft.com/office/spreadsheetml/2009/9/main" uri="{B025F937-C7B1-47D3-B67F-A62EFF666E3E}">
          <x14:id>{CCB479EB-2E2D-47A3-B3C8-49F1574FE4B1}</x14:id>
        </ext>
      </extLst>
    </cfRule>
  </conditionalFormatting>
  <conditionalFormatting sqref="R7866 R7611 R7356 R7101 R6846 R6591 R6336 R6081 R5826 R5571 R5316 R5061 R4806 R4551 R4296 R4041 R3786 R3531 R3276 R3021 R2766 R2511 R2256 R2001 R1746 R1491 R1236 R981 R726 R471 R216">
    <cfRule type="containsText" dxfId="119" priority="158" operator="containsText" text="NEUTRAL">
      <formula>NOT(ISERROR(SEARCH("NEUTRAL",R216)))</formula>
    </cfRule>
    <cfRule type="containsText" dxfId="118" priority="159" operator="containsText" text="BULLISH">
      <formula>NOT(ISERROR(SEARCH("BULLISH",R216)))</formula>
    </cfRule>
    <cfRule type="containsText" dxfId="117" priority="160" operator="containsText" text="BEARISH">
      <formula>NOT(ISERROR(SEARCH("BEARISH",R216)))</formula>
    </cfRule>
  </conditionalFormatting>
  <conditionalFormatting sqref="P216 P7866 P7611 P7356 P7101 P6846 P6591 P6336 P6081 P5826 P5571 P5316 P5061 P4806 P4551 P4296 P4041 P3786 P3531 P3276 P3021 P2766 P2511 P2256 P2001 P1746 P1491 P1236 P981 P726 P471">
    <cfRule type="dataBar" priority="157">
      <dataBar>
        <cfvo type="min"/>
        <cfvo type="max"/>
        <color rgb="FF638EC6"/>
      </dataBar>
      <extLst>
        <ext xmlns:x14="http://schemas.microsoft.com/office/spreadsheetml/2009/9/main" uri="{B025F937-C7B1-47D3-B67F-A62EFF666E3E}">
          <x14:id>{5997DD02-289E-450B-BA38-11AD384AB7FF}</x14:id>
        </ext>
      </extLst>
    </cfRule>
  </conditionalFormatting>
  <conditionalFormatting sqref="R7867 R7612 R7357 R7102 R6847 R6592 R6337 R6082 R5827 R5572 R5317 R5062 R4807 R4552 R4297 R4042 R3787 R3532 R3277 R3022 R2767 R2512 R2257 R2002 R1747 R1492 R1237 R982 R727 R472 R217">
    <cfRule type="containsText" dxfId="116" priority="154" operator="containsText" text="NEUTRAL">
      <formula>NOT(ISERROR(SEARCH("NEUTRAL",R217)))</formula>
    </cfRule>
    <cfRule type="containsText" dxfId="115" priority="155" operator="containsText" text="BULLISH">
      <formula>NOT(ISERROR(SEARCH("BULLISH",R217)))</formula>
    </cfRule>
    <cfRule type="containsText" dxfId="114" priority="156" operator="containsText" text="BEARISH">
      <formula>NOT(ISERROR(SEARCH("BEARISH",R217)))</formula>
    </cfRule>
  </conditionalFormatting>
  <conditionalFormatting sqref="P217 P7867 P7612 P7357 P7102 P6847 P6592 P6337 P6082 P5827 P5572 P5317 P5062 P4807 P4552 P4297 P4042 P3787 P3532 P3277 P3022 P2767 P2512 P2257 P2002 P1747 P1492 P1237 P982 P727 P472">
    <cfRule type="dataBar" priority="153">
      <dataBar>
        <cfvo type="min"/>
        <cfvo type="max"/>
        <color rgb="FF638EC6"/>
      </dataBar>
      <extLst>
        <ext xmlns:x14="http://schemas.microsoft.com/office/spreadsheetml/2009/9/main" uri="{B025F937-C7B1-47D3-B67F-A62EFF666E3E}">
          <x14:id>{6AB9C6C3-F2E8-4F58-BB1B-88BE9E5CA242}</x14:id>
        </ext>
      </extLst>
    </cfRule>
  </conditionalFormatting>
  <conditionalFormatting sqref="R7868 R7613 R7358 R7103 R6848 R6593 R6338 R6083 R5828 R5573 R5318 R5063 R4808 R4553 R4298 R4043 R3788 R3533 R3278 R3023 R2768 R2513 R2258 R2003 R1748 R1493 R1238 R983 R728 R473 R218">
    <cfRule type="containsText" dxfId="113" priority="150" operator="containsText" text="NEUTRAL">
      <formula>NOT(ISERROR(SEARCH("NEUTRAL",R218)))</formula>
    </cfRule>
    <cfRule type="containsText" dxfId="112" priority="151" operator="containsText" text="BULLISH">
      <formula>NOT(ISERROR(SEARCH("BULLISH",R218)))</formula>
    </cfRule>
    <cfRule type="containsText" dxfId="111" priority="152" operator="containsText" text="BEARISH">
      <formula>NOT(ISERROR(SEARCH("BEARISH",R218)))</formula>
    </cfRule>
  </conditionalFormatting>
  <conditionalFormatting sqref="P218 P7868 P7613 P7358 P7103 P6848 P6593 P6338 P6083 P5828 P5573 P5318 P5063 P4808 P4553 P4298 P4043 P3788 P3533 P3278 P3023 P2768 P2513 P2258 P2003 P1748 P1493 P1238 P983 P728 P473">
    <cfRule type="dataBar" priority="149">
      <dataBar>
        <cfvo type="min"/>
        <cfvo type="max"/>
        <color rgb="FF638EC6"/>
      </dataBar>
      <extLst>
        <ext xmlns:x14="http://schemas.microsoft.com/office/spreadsheetml/2009/9/main" uri="{B025F937-C7B1-47D3-B67F-A62EFF666E3E}">
          <x14:id>{09AE54ED-25EE-4A99-A15A-955B841CE13F}</x14:id>
        </ext>
      </extLst>
    </cfRule>
  </conditionalFormatting>
  <conditionalFormatting sqref="R7869 R7614 R7359 R7104 R6849 R6594 R6339 R6084 R5829 R5574 R5319 R5064 R4809 R4554 R4299 R4044 R3789 R3534 R3279 R3024 R2769 R2514 R2259 R2004 R1749 R1494 R1239 R984 R729 R474 R219">
    <cfRule type="containsText" dxfId="110" priority="146" operator="containsText" text="NEUTRAL">
      <formula>NOT(ISERROR(SEARCH("NEUTRAL",R219)))</formula>
    </cfRule>
    <cfRule type="containsText" dxfId="109" priority="147" operator="containsText" text="BULLISH">
      <formula>NOT(ISERROR(SEARCH("BULLISH",R219)))</formula>
    </cfRule>
    <cfRule type="containsText" dxfId="108" priority="148" operator="containsText" text="BEARISH">
      <formula>NOT(ISERROR(SEARCH("BEARISH",R219)))</formula>
    </cfRule>
  </conditionalFormatting>
  <conditionalFormatting sqref="P219 P7869 P7614 P7359 P7104 P6849 P6594 P6339 P6084 P5829 P5574 P5319 P5064 P4809 P4554 P4299 P4044 P3789 P3534 P3279 P3024 P2769 P2514 P2259 P2004 P1749 P1494 P1239 P984 P729 P474">
    <cfRule type="dataBar" priority="145">
      <dataBar>
        <cfvo type="min"/>
        <cfvo type="max"/>
        <color rgb="FF638EC6"/>
      </dataBar>
      <extLst>
        <ext xmlns:x14="http://schemas.microsoft.com/office/spreadsheetml/2009/9/main" uri="{B025F937-C7B1-47D3-B67F-A62EFF666E3E}">
          <x14:id>{E11B29D1-0CC2-4633-8982-6B8ED1DA6906}</x14:id>
        </ext>
      </extLst>
    </cfRule>
  </conditionalFormatting>
  <conditionalFormatting sqref="R7870 R7615 R7360 R7105 R6850 R6595 R6340 R6085 R5830 R5575 R5320 R5065 R4810 R4555 R4300 R4045 R3790 R3535 R3280 R3025 R2770 R2515 R2260 R2005 R1750 R1495 R1240 R985 R730 R475 R220">
    <cfRule type="containsText" dxfId="107" priority="142" operator="containsText" text="NEUTRAL">
      <formula>NOT(ISERROR(SEARCH("NEUTRAL",R220)))</formula>
    </cfRule>
    <cfRule type="containsText" dxfId="106" priority="143" operator="containsText" text="BULLISH">
      <formula>NOT(ISERROR(SEARCH("BULLISH",R220)))</formula>
    </cfRule>
    <cfRule type="containsText" dxfId="105" priority="144" operator="containsText" text="BEARISH">
      <formula>NOT(ISERROR(SEARCH("BEARISH",R220)))</formula>
    </cfRule>
  </conditionalFormatting>
  <conditionalFormatting sqref="P220 P7870 P7615 P7360 P7105 P6850 P6595 P6340 P6085 P5830 P5575 P5320 P5065 P4810 P4555 P4300 P4045 P3790 P3535 P3280 P3025 P2770 P2515 P2260 P2005 P1750 P1495 P1240 P985 P730 P475">
    <cfRule type="dataBar" priority="141">
      <dataBar>
        <cfvo type="min"/>
        <cfvo type="max"/>
        <color rgb="FF638EC6"/>
      </dataBar>
      <extLst>
        <ext xmlns:x14="http://schemas.microsoft.com/office/spreadsheetml/2009/9/main" uri="{B025F937-C7B1-47D3-B67F-A62EFF666E3E}">
          <x14:id>{B8FF84D6-608A-4931-B2E7-CAE7F570CCBD}</x14:id>
        </ext>
      </extLst>
    </cfRule>
  </conditionalFormatting>
  <conditionalFormatting sqref="R7871 R7616 R7361 R7106 R6851 R6596 R6341 R6086 R5831 R5576 R5321 R5066 R4811 R4556 R4301 R4046 R3791 R3536 R3281 R3026 R2771 R2516 R2261 R2006 R1751 R1496 R1241 R986 R731 R476 R221">
    <cfRule type="containsText" dxfId="104" priority="138" operator="containsText" text="NEUTRAL">
      <formula>NOT(ISERROR(SEARCH("NEUTRAL",R221)))</formula>
    </cfRule>
    <cfRule type="containsText" dxfId="103" priority="139" operator="containsText" text="BULLISH">
      <formula>NOT(ISERROR(SEARCH("BULLISH",R221)))</formula>
    </cfRule>
    <cfRule type="containsText" dxfId="102" priority="140" operator="containsText" text="BEARISH">
      <formula>NOT(ISERROR(SEARCH("BEARISH",R221)))</formula>
    </cfRule>
  </conditionalFormatting>
  <conditionalFormatting sqref="P221 P7871 P7616 P7361 P7106 P6851 P6596 P6341 P6086 P5831 P5576 P5321 P5066 P4811 P4556 P4301 P4046 P3791 P3536 P3281 P3026 P2771 P2516 P2261 P2006 P1751 P1496 P1241 P986 P731 P476">
    <cfRule type="dataBar" priority="137">
      <dataBar>
        <cfvo type="min"/>
        <cfvo type="max"/>
        <color rgb="FF638EC6"/>
      </dataBar>
      <extLst>
        <ext xmlns:x14="http://schemas.microsoft.com/office/spreadsheetml/2009/9/main" uri="{B025F937-C7B1-47D3-B67F-A62EFF666E3E}">
          <x14:id>{80A60493-95AE-47D5-B9B0-630229252635}</x14:id>
        </ext>
      </extLst>
    </cfRule>
  </conditionalFormatting>
  <conditionalFormatting sqref="R7872 R7617 R7362 R7107 R6852 R6597 R6342 R6087 R5832 R5577 R5322 R5067 R4812 R4557 R4302 R4047 R3792 R3537 R3282 R3027 R2772 R2517 R2262 R2007 R1752 R1497 R1242 R987 R732 R477 R222">
    <cfRule type="containsText" dxfId="101" priority="134" operator="containsText" text="NEUTRAL">
      <formula>NOT(ISERROR(SEARCH("NEUTRAL",R222)))</formula>
    </cfRule>
    <cfRule type="containsText" dxfId="100" priority="135" operator="containsText" text="BULLISH">
      <formula>NOT(ISERROR(SEARCH("BULLISH",R222)))</formula>
    </cfRule>
    <cfRule type="containsText" dxfId="99" priority="136" operator="containsText" text="BEARISH">
      <formula>NOT(ISERROR(SEARCH("BEARISH",R222)))</formula>
    </cfRule>
  </conditionalFormatting>
  <conditionalFormatting sqref="P222 P7872 P7617 P7362 P7107 P6852 P6597 P6342 P6087 P5832 P5577 P5322 P5067 P4812 P4557 P4302 P4047 P3792 P3537 P3282 P3027 P2772 P2517 P2262 P2007 P1752 P1497 P1242 P987 P732 P477">
    <cfRule type="dataBar" priority="133">
      <dataBar>
        <cfvo type="min"/>
        <cfvo type="max"/>
        <color rgb="FF638EC6"/>
      </dataBar>
      <extLst>
        <ext xmlns:x14="http://schemas.microsoft.com/office/spreadsheetml/2009/9/main" uri="{B025F937-C7B1-47D3-B67F-A62EFF666E3E}">
          <x14:id>{4B1D6A09-CD38-415B-AB66-0217CD173E50}</x14:id>
        </ext>
      </extLst>
    </cfRule>
  </conditionalFormatting>
  <conditionalFormatting sqref="R7873 R7618 R7363 R7108 R6853 R6598 R6343 R6088 R5833 R5578 R5323 R5068 R4813 R4558 R4303 R4048 R3793 R3538 R3283 R3028 R2773 R2518 R2263 R2008 R1753 R1498 R1243 R988 R733 R478 R223">
    <cfRule type="containsText" dxfId="98" priority="130" operator="containsText" text="NEUTRAL">
      <formula>NOT(ISERROR(SEARCH("NEUTRAL",R223)))</formula>
    </cfRule>
    <cfRule type="containsText" dxfId="97" priority="131" operator="containsText" text="BULLISH">
      <formula>NOT(ISERROR(SEARCH("BULLISH",R223)))</formula>
    </cfRule>
    <cfRule type="containsText" dxfId="96" priority="132" operator="containsText" text="BEARISH">
      <formula>NOT(ISERROR(SEARCH("BEARISH",R223)))</formula>
    </cfRule>
  </conditionalFormatting>
  <conditionalFormatting sqref="P223 P7873 P7618 P7363 P7108 P6853 P6598 P6343 P6088 P5833 P5578 P5323 P5068 P4813 P4558 P4303 P4048 P3793 P3538 P3283 P3028 P2773 P2518 P2263 P2008 P1753 P1498 P1243 P988 P733 P478">
    <cfRule type="dataBar" priority="129">
      <dataBar>
        <cfvo type="min"/>
        <cfvo type="max"/>
        <color rgb="FF638EC6"/>
      </dataBar>
      <extLst>
        <ext xmlns:x14="http://schemas.microsoft.com/office/spreadsheetml/2009/9/main" uri="{B025F937-C7B1-47D3-B67F-A62EFF666E3E}">
          <x14:id>{BA29D770-0944-4B2B-94B4-A949FE6D96BB}</x14:id>
        </ext>
      </extLst>
    </cfRule>
  </conditionalFormatting>
  <conditionalFormatting sqref="R7874 R7619 R7364 R7109 R6854 R6599 R6344 R6089 R5834 R5579 R5324 R5069 R4814 R4559 R4304 R4049 R3794 R3539 R3284 R3029 R2774 R2519 R2264 R2009 R1754 R1499 R1244 R989 R734 R479 R224">
    <cfRule type="containsText" dxfId="95" priority="126" operator="containsText" text="NEUTRAL">
      <formula>NOT(ISERROR(SEARCH("NEUTRAL",R224)))</formula>
    </cfRule>
    <cfRule type="containsText" dxfId="94" priority="127" operator="containsText" text="BULLISH">
      <formula>NOT(ISERROR(SEARCH("BULLISH",R224)))</formula>
    </cfRule>
    <cfRule type="containsText" dxfId="93" priority="128" operator="containsText" text="BEARISH">
      <formula>NOT(ISERROR(SEARCH("BEARISH",R224)))</formula>
    </cfRule>
  </conditionalFormatting>
  <conditionalFormatting sqref="P224 P7874 P7619 P7364 P7109 P6854 P6599 P6344 P6089 P5834 P5579 P5324 P5069 P4814 P4559 P4304 P4049 P3794 P3539 P3284 P3029 P2774 P2519 P2264 P2009 P1754 P1499 P1244 P989 P734 P479">
    <cfRule type="dataBar" priority="125">
      <dataBar>
        <cfvo type="min"/>
        <cfvo type="max"/>
        <color rgb="FF638EC6"/>
      </dataBar>
      <extLst>
        <ext xmlns:x14="http://schemas.microsoft.com/office/spreadsheetml/2009/9/main" uri="{B025F937-C7B1-47D3-B67F-A62EFF666E3E}">
          <x14:id>{E9DFB5A0-FF0C-4761-A9C4-3C3ED69D1417}</x14:id>
        </ext>
      </extLst>
    </cfRule>
  </conditionalFormatting>
  <conditionalFormatting sqref="R7875 R7620 R7365 R7110 R6855 R6600 R6345 R6090 R5835 R5580 R5325 R5070 R4815 R4560 R4305 R4050 R3795 R3540 R3285 R3030 R2775 R2520 R2265 R2010 R1755 R1500 R1245 R990 R735 R480 R225">
    <cfRule type="containsText" dxfId="92" priority="122" operator="containsText" text="NEUTRAL">
      <formula>NOT(ISERROR(SEARCH("NEUTRAL",R225)))</formula>
    </cfRule>
    <cfRule type="containsText" dxfId="91" priority="123" operator="containsText" text="BULLISH">
      <formula>NOT(ISERROR(SEARCH("BULLISH",R225)))</formula>
    </cfRule>
    <cfRule type="containsText" dxfId="90" priority="124" operator="containsText" text="BEARISH">
      <formula>NOT(ISERROR(SEARCH("BEARISH",R225)))</formula>
    </cfRule>
  </conditionalFormatting>
  <conditionalFormatting sqref="P225 P7875 P7620 P7365 P7110 P6855 P6600 P6345 P6090 P5835 P5580 P5325 P5070 P4815 P4560 P4305 P4050 P3795 P3540 P3285 P3030 P2775 P2520 P2265 P2010 P1755 P1500 P1245 P990 P735 P480">
    <cfRule type="dataBar" priority="121">
      <dataBar>
        <cfvo type="min"/>
        <cfvo type="max"/>
        <color rgb="FF638EC6"/>
      </dataBar>
      <extLst>
        <ext xmlns:x14="http://schemas.microsoft.com/office/spreadsheetml/2009/9/main" uri="{B025F937-C7B1-47D3-B67F-A62EFF666E3E}">
          <x14:id>{E18CC427-35E7-49E8-98CD-04386FA1C3D0}</x14:id>
        </ext>
      </extLst>
    </cfRule>
  </conditionalFormatting>
  <conditionalFormatting sqref="R7876 R7621 R7366 R7111 R6856 R6601 R6346 R6091 R5836 R5581 R5326 R5071 R4816 R4561 R4306 R4051 R3796 R3541 R3286 R3031 R2776 R2521 R2266 R2011 R1756 R1501 R1246 R991 R736 R481 R226">
    <cfRule type="containsText" dxfId="89" priority="118" operator="containsText" text="NEUTRAL">
      <formula>NOT(ISERROR(SEARCH("NEUTRAL",R226)))</formula>
    </cfRule>
    <cfRule type="containsText" dxfId="88" priority="119" operator="containsText" text="BULLISH">
      <formula>NOT(ISERROR(SEARCH("BULLISH",R226)))</formula>
    </cfRule>
    <cfRule type="containsText" dxfId="87" priority="120" operator="containsText" text="BEARISH">
      <formula>NOT(ISERROR(SEARCH("BEARISH",R226)))</formula>
    </cfRule>
  </conditionalFormatting>
  <conditionalFormatting sqref="P226 P7876 P7621 P7366 P7111 P6856 P6601 P6346 P6091 P5836 P5581 P5326 P5071 P4816 P4561 P4306 P4051 P3796 P3541 P3286 P3031 P2776 P2521 P2266 P2011 P1756 P1501 P1246 P991 P736 P481">
    <cfRule type="dataBar" priority="117">
      <dataBar>
        <cfvo type="min"/>
        <cfvo type="max"/>
        <color rgb="FF638EC6"/>
      </dataBar>
      <extLst>
        <ext xmlns:x14="http://schemas.microsoft.com/office/spreadsheetml/2009/9/main" uri="{B025F937-C7B1-47D3-B67F-A62EFF666E3E}">
          <x14:id>{6D22A9BF-6CE2-4793-9193-43E785F2EBA2}</x14:id>
        </ext>
      </extLst>
    </cfRule>
  </conditionalFormatting>
  <conditionalFormatting sqref="R7877 R7622 R7367 R7112 R6857 R6602 R6347 R6092 R5837 R5582 R5327 R5072 R4817 R4562 R4307 R4052 R3797 R3542 R3287 R3032 R2777 R2522 R2267 R2012 R1757 R1502 R1247 R992 R737 R482 R227">
    <cfRule type="containsText" dxfId="86" priority="114" operator="containsText" text="NEUTRAL">
      <formula>NOT(ISERROR(SEARCH("NEUTRAL",R227)))</formula>
    </cfRule>
    <cfRule type="containsText" dxfId="85" priority="115" operator="containsText" text="BULLISH">
      <formula>NOT(ISERROR(SEARCH("BULLISH",R227)))</formula>
    </cfRule>
    <cfRule type="containsText" dxfId="84" priority="116" operator="containsText" text="BEARISH">
      <formula>NOT(ISERROR(SEARCH("BEARISH",R227)))</formula>
    </cfRule>
  </conditionalFormatting>
  <conditionalFormatting sqref="P227 P7877 P7622 P7367 P7112 P6857 P6602 P6347 P6092 P5837 P5582 P5327 P5072 P4817 P4562 P4307 P4052 P3797 P3542 P3287 P3032 P2777 P2522 P2267 P2012 P1757 P1502 P1247 P992 P737 P482">
    <cfRule type="dataBar" priority="113">
      <dataBar>
        <cfvo type="min"/>
        <cfvo type="max"/>
        <color rgb="FF638EC6"/>
      </dataBar>
      <extLst>
        <ext xmlns:x14="http://schemas.microsoft.com/office/spreadsheetml/2009/9/main" uri="{B025F937-C7B1-47D3-B67F-A62EFF666E3E}">
          <x14:id>{B1A9B253-1CCB-4321-97DA-8DCAE3F4CA32}</x14:id>
        </ext>
      </extLst>
    </cfRule>
  </conditionalFormatting>
  <conditionalFormatting sqref="R7878 R7623 R7368 R7113 R6858 R6603 R6348 R6093 R5838 R5583 R5328 R5073 R4818 R4563 R4308 R4053 R3798 R3543 R3288 R3033 R2778 R2523 R2268 R2013 R1758 R1503 R1248 R993 R738 R483 R228">
    <cfRule type="containsText" dxfId="83" priority="110" operator="containsText" text="NEUTRAL">
      <formula>NOT(ISERROR(SEARCH("NEUTRAL",R228)))</formula>
    </cfRule>
    <cfRule type="containsText" dxfId="82" priority="111" operator="containsText" text="BULLISH">
      <formula>NOT(ISERROR(SEARCH("BULLISH",R228)))</formula>
    </cfRule>
    <cfRule type="containsText" dxfId="81" priority="112" operator="containsText" text="BEARISH">
      <formula>NOT(ISERROR(SEARCH("BEARISH",R228)))</formula>
    </cfRule>
  </conditionalFormatting>
  <conditionalFormatting sqref="P228 P7878 P7623 P7368 P7113 P6858 P6603 P6348 P6093 P5838 P5583 P5328 P5073 P4818 P4563 P4308 P4053 P3798 P3543 P3288 P3033 P2778 P2523 P2268 P2013 P1758 P1503 P1248 P993 P738 P483">
    <cfRule type="dataBar" priority="109">
      <dataBar>
        <cfvo type="min"/>
        <cfvo type="max"/>
        <color rgb="FF638EC6"/>
      </dataBar>
      <extLst>
        <ext xmlns:x14="http://schemas.microsoft.com/office/spreadsheetml/2009/9/main" uri="{B025F937-C7B1-47D3-B67F-A62EFF666E3E}">
          <x14:id>{56A9EC45-6FFF-47AE-8B14-7815805ED5AA}</x14:id>
        </ext>
      </extLst>
    </cfRule>
  </conditionalFormatting>
  <conditionalFormatting sqref="R7879 R7624 R7369 R7114 R6859 R6604 R6349 R6094 R5839 R5584 R5329 R5074 R4819 R4564 R4309 R4054 R3799 R3544 R3289 R3034 R2779 R2524 R2269 R2014 R1759 R1504 R1249 R994 R739 R484 R229">
    <cfRule type="containsText" dxfId="80" priority="106" operator="containsText" text="NEUTRAL">
      <formula>NOT(ISERROR(SEARCH("NEUTRAL",R229)))</formula>
    </cfRule>
    <cfRule type="containsText" dxfId="79" priority="107" operator="containsText" text="BULLISH">
      <formula>NOT(ISERROR(SEARCH("BULLISH",R229)))</formula>
    </cfRule>
    <cfRule type="containsText" dxfId="78" priority="108" operator="containsText" text="BEARISH">
      <formula>NOT(ISERROR(SEARCH("BEARISH",R229)))</formula>
    </cfRule>
  </conditionalFormatting>
  <conditionalFormatting sqref="P229 P7879 P7624 P7369 P7114 P6859 P6604 P6349 P6094 P5839 P5584 P5329 P5074 P4819 P4564 P4309 P4054 P3799 P3544 P3289 P3034 P2779 P2524 P2269 P2014 P1759 P1504 P1249 P994 P739 P484">
    <cfRule type="dataBar" priority="105">
      <dataBar>
        <cfvo type="min"/>
        <cfvo type="max"/>
        <color rgb="FF638EC6"/>
      </dataBar>
      <extLst>
        <ext xmlns:x14="http://schemas.microsoft.com/office/spreadsheetml/2009/9/main" uri="{B025F937-C7B1-47D3-B67F-A62EFF666E3E}">
          <x14:id>{318B1CC3-DF86-4D6E-8B01-46E948D39F83}</x14:id>
        </ext>
      </extLst>
    </cfRule>
  </conditionalFormatting>
  <conditionalFormatting sqref="R7880 R7625 R7370 R7115 R6860 R6605 R6350 R6095 R5840 R5585 R5330 R5075 R4820 R4565 R4310 R4055 R3800 R3545 R3290 R3035 R2780 R2525 R2270 R2015 R1760 R1505 R1250 R995 R740 R485 R230">
    <cfRule type="containsText" dxfId="77" priority="102" operator="containsText" text="NEUTRAL">
      <formula>NOT(ISERROR(SEARCH("NEUTRAL",R230)))</formula>
    </cfRule>
    <cfRule type="containsText" dxfId="76" priority="103" operator="containsText" text="BULLISH">
      <formula>NOT(ISERROR(SEARCH("BULLISH",R230)))</formula>
    </cfRule>
    <cfRule type="containsText" dxfId="75" priority="104" operator="containsText" text="BEARISH">
      <formula>NOT(ISERROR(SEARCH("BEARISH",R230)))</formula>
    </cfRule>
  </conditionalFormatting>
  <conditionalFormatting sqref="P230 P7880 P7625 P7370 P7115 P6860 P6605 P6350 P6095 P5840 P5585 P5330 P5075 P4820 P4565 P4310 P4055 P3800 P3545 P3290 P3035 P2780 P2525 P2270 P2015 P1760 P1505 P1250 P995 P740 P485">
    <cfRule type="dataBar" priority="101">
      <dataBar>
        <cfvo type="min"/>
        <cfvo type="max"/>
        <color rgb="FF638EC6"/>
      </dataBar>
      <extLst>
        <ext xmlns:x14="http://schemas.microsoft.com/office/spreadsheetml/2009/9/main" uri="{B025F937-C7B1-47D3-B67F-A62EFF666E3E}">
          <x14:id>{D7D1859A-D77D-47E8-A26C-AFA96D2161EE}</x14:id>
        </ext>
      </extLst>
    </cfRule>
  </conditionalFormatting>
  <conditionalFormatting sqref="R7881 R7626 R7371 R7116 R6861 R6606 R6351 R6096 R5841 R5586 R5331 R5076 R4821 R4566 R4311 R4056 R3801 R3546 R3291 R3036 R2781 R2526 R2271 R2016 R1761 R1506 R1251 R996 R741 R486 R231">
    <cfRule type="containsText" dxfId="74" priority="98" operator="containsText" text="NEUTRAL">
      <formula>NOT(ISERROR(SEARCH("NEUTRAL",R231)))</formula>
    </cfRule>
    <cfRule type="containsText" dxfId="73" priority="99" operator="containsText" text="BULLISH">
      <formula>NOT(ISERROR(SEARCH("BULLISH",R231)))</formula>
    </cfRule>
    <cfRule type="containsText" dxfId="72" priority="100" operator="containsText" text="BEARISH">
      <formula>NOT(ISERROR(SEARCH("BEARISH",R231)))</formula>
    </cfRule>
  </conditionalFormatting>
  <conditionalFormatting sqref="P231 P7881 P7626 P7371 P7116 P6861 P6606 P6351 P6096 P5841 P5586 P5331 P5076 P4821 P4566 P4311 P4056 P3801 P3546 P3291 P3036 P2781 P2526 P2271 P2016 P1761 P1506 P1251 P996 P741 P486">
    <cfRule type="dataBar" priority="97">
      <dataBar>
        <cfvo type="min"/>
        <cfvo type="max"/>
        <color rgb="FF638EC6"/>
      </dataBar>
      <extLst>
        <ext xmlns:x14="http://schemas.microsoft.com/office/spreadsheetml/2009/9/main" uri="{B025F937-C7B1-47D3-B67F-A62EFF666E3E}">
          <x14:id>{45ED9283-34E5-4273-B2FC-F6EF0D72138E}</x14:id>
        </ext>
      </extLst>
    </cfRule>
  </conditionalFormatting>
  <conditionalFormatting sqref="R7882 R7627 R7372 R7117 R6862 R6607 R6352 R6097 R5842 R5587 R5332 R5077 R4822 R4567 R4312 R4057 R3802 R3547 R3292 R3037 R2782 R2527 R2272 R2017 R1762 R1507 R1252 R997 R742 R487 R232">
    <cfRule type="containsText" dxfId="71" priority="94" operator="containsText" text="NEUTRAL">
      <formula>NOT(ISERROR(SEARCH("NEUTRAL",R232)))</formula>
    </cfRule>
    <cfRule type="containsText" dxfId="70" priority="95" operator="containsText" text="BULLISH">
      <formula>NOT(ISERROR(SEARCH("BULLISH",R232)))</formula>
    </cfRule>
    <cfRule type="containsText" dxfId="69" priority="96" operator="containsText" text="BEARISH">
      <formula>NOT(ISERROR(SEARCH("BEARISH",R232)))</formula>
    </cfRule>
  </conditionalFormatting>
  <conditionalFormatting sqref="P232 P7882 P7627 P7372 P7117 P6862 P6607 P6352 P6097 P5842 P5587 P5332 P5077 P4822 P4567 P4312 P4057 P3802 P3547 P3292 P3037 P2782 P2527 P2272 P2017 P1762 P1507 P1252 P997 P742 P487">
    <cfRule type="dataBar" priority="93">
      <dataBar>
        <cfvo type="min"/>
        <cfvo type="max"/>
        <color rgb="FF638EC6"/>
      </dataBar>
      <extLst>
        <ext xmlns:x14="http://schemas.microsoft.com/office/spreadsheetml/2009/9/main" uri="{B025F937-C7B1-47D3-B67F-A62EFF666E3E}">
          <x14:id>{17CD5617-1E93-4775-88D2-3090007AB3B5}</x14:id>
        </ext>
      </extLst>
    </cfRule>
  </conditionalFormatting>
  <conditionalFormatting sqref="R7883 R7628 R7373 R7118 R6863 R6608 R6353 R6098 R5843 R5588 R5333 R5078 R4823 R4568 R4313 R4058 R3803 R3548 R3293 R3038 R2783 R2528 R2273 R2018 R1763 R1508 R1253 R998 R743 R488 R233">
    <cfRule type="containsText" dxfId="68" priority="90" operator="containsText" text="NEUTRAL">
      <formula>NOT(ISERROR(SEARCH("NEUTRAL",R233)))</formula>
    </cfRule>
    <cfRule type="containsText" dxfId="67" priority="91" operator="containsText" text="BULLISH">
      <formula>NOT(ISERROR(SEARCH("BULLISH",R233)))</formula>
    </cfRule>
    <cfRule type="containsText" dxfId="66" priority="92" operator="containsText" text="BEARISH">
      <formula>NOT(ISERROR(SEARCH("BEARISH",R233)))</formula>
    </cfRule>
  </conditionalFormatting>
  <conditionalFormatting sqref="P233 P7883 P7628 P7373 P7118 P6863 P6608 P6353 P6098 P5843 P5588 P5333 P5078 P4823 P4568 P4313 P4058 P3803 P3548 P3293 P3038 P2783 P2528 P2273 P2018 P1763 P1508 P1253 P998 P743 P488">
    <cfRule type="dataBar" priority="89">
      <dataBar>
        <cfvo type="min"/>
        <cfvo type="max"/>
        <color rgb="FF638EC6"/>
      </dataBar>
      <extLst>
        <ext xmlns:x14="http://schemas.microsoft.com/office/spreadsheetml/2009/9/main" uri="{B025F937-C7B1-47D3-B67F-A62EFF666E3E}">
          <x14:id>{0B76359F-A5C9-4EF6-BBC4-F901322503C0}</x14:id>
        </ext>
      </extLst>
    </cfRule>
  </conditionalFormatting>
  <conditionalFormatting sqref="R7884 R7629 R7374 R7119 R6864 R6609 R6354 R6099 R5844 R5589 R5334 R5079 R4824 R4569 R4314 R4059 R3804 R3549 R3294 R3039 R2784 R2529 R2274 R2019 R1764 R1509 R1254 R999 R744 R489 R234">
    <cfRule type="containsText" dxfId="65" priority="86" operator="containsText" text="NEUTRAL">
      <formula>NOT(ISERROR(SEARCH("NEUTRAL",R234)))</formula>
    </cfRule>
    <cfRule type="containsText" dxfId="64" priority="87" operator="containsText" text="BULLISH">
      <formula>NOT(ISERROR(SEARCH("BULLISH",R234)))</formula>
    </cfRule>
    <cfRule type="containsText" dxfId="63" priority="88" operator="containsText" text="BEARISH">
      <formula>NOT(ISERROR(SEARCH("BEARISH",R234)))</formula>
    </cfRule>
  </conditionalFormatting>
  <conditionalFormatting sqref="P234 P7884 P7629 P7374 P7119 P6864 P6609 P6354 P6099 P5844 P5589 P5334 P5079 P4824 P4569 P4314 P4059 P3804 P3549 P3294 P3039 P2784 P2529 P2274 P2019 P1764 P1509 P1254 P999 P744 P489">
    <cfRule type="dataBar" priority="85">
      <dataBar>
        <cfvo type="min"/>
        <cfvo type="max"/>
        <color rgb="FF638EC6"/>
      </dataBar>
      <extLst>
        <ext xmlns:x14="http://schemas.microsoft.com/office/spreadsheetml/2009/9/main" uri="{B025F937-C7B1-47D3-B67F-A62EFF666E3E}">
          <x14:id>{7E496F81-C633-47FA-85CF-4FE6ECD7FAE4}</x14:id>
        </ext>
      </extLst>
    </cfRule>
  </conditionalFormatting>
  <conditionalFormatting sqref="R7885 R7630 R7375 R7120 R6865 R6610 R6355 R6100 R5845 R5590 R5335 R5080 R4825 R4570 R4315 R4060 R3805 R3550 R3295 R3040 R2785 R2530 R2275 R2020 R1765 R1510 R1255 R1000 R745 R490 R235">
    <cfRule type="containsText" dxfId="62" priority="82" operator="containsText" text="NEUTRAL">
      <formula>NOT(ISERROR(SEARCH("NEUTRAL",R235)))</formula>
    </cfRule>
    <cfRule type="containsText" dxfId="61" priority="83" operator="containsText" text="BULLISH">
      <formula>NOT(ISERROR(SEARCH("BULLISH",R235)))</formula>
    </cfRule>
    <cfRule type="containsText" dxfId="60" priority="84" operator="containsText" text="BEARISH">
      <formula>NOT(ISERROR(SEARCH("BEARISH",R235)))</formula>
    </cfRule>
  </conditionalFormatting>
  <conditionalFormatting sqref="P235 P7885 P7630 P7375 P7120 P6865 P6610 P6355 P6100 P5845 P5590 P5335 P5080 P4825 P4570 P4315 P4060 P3805 P3550 P3295 P3040 P2785 P2530 P2275 P2020 P1765 P1510 P1255 P1000 P745 P490">
    <cfRule type="dataBar" priority="81">
      <dataBar>
        <cfvo type="min"/>
        <cfvo type="max"/>
        <color rgb="FF638EC6"/>
      </dataBar>
      <extLst>
        <ext xmlns:x14="http://schemas.microsoft.com/office/spreadsheetml/2009/9/main" uri="{B025F937-C7B1-47D3-B67F-A62EFF666E3E}">
          <x14:id>{C8C37509-F933-40B4-9EDB-9A3E027A8A9D}</x14:id>
        </ext>
      </extLst>
    </cfRule>
  </conditionalFormatting>
  <conditionalFormatting sqref="R7886 R7631 R7376 R7121 R6866 R6611 R6356 R6101 R5846 R5591 R5336 R5081 R4826 R4571 R4316 R4061 R3806 R3551 R3296 R3041 R2786 R2531 R2276 R2021 R1766 R1511 R1256 R1001 R746 R491 R236">
    <cfRule type="containsText" dxfId="59" priority="78" operator="containsText" text="NEUTRAL">
      <formula>NOT(ISERROR(SEARCH("NEUTRAL",R236)))</formula>
    </cfRule>
    <cfRule type="containsText" dxfId="58" priority="79" operator="containsText" text="BULLISH">
      <formula>NOT(ISERROR(SEARCH("BULLISH",R236)))</formula>
    </cfRule>
    <cfRule type="containsText" dxfId="57" priority="80" operator="containsText" text="BEARISH">
      <formula>NOT(ISERROR(SEARCH("BEARISH",R236)))</formula>
    </cfRule>
  </conditionalFormatting>
  <conditionalFormatting sqref="P236 P7886 P7631 P7376 P7121 P6866 P6611 P6356 P6101 P5846 P5591 P5336 P5081 P4826 P4571 P4316 P4061 P3806 P3551 P3296 P3041 P2786 P2531 P2276 P2021 P1766 P1511 P1256 P1001 P746 P491">
    <cfRule type="dataBar" priority="77">
      <dataBar>
        <cfvo type="min"/>
        <cfvo type="max"/>
        <color rgb="FF638EC6"/>
      </dataBar>
      <extLst>
        <ext xmlns:x14="http://schemas.microsoft.com/office/spreadsheetml/2009/9/main" uri="{B025F937-C7B1-47D3-B67F-A62EFF666E3E}">
          <x14:id>{CF0FA818-61DA-48B4-A64D-EF5E08FCB4FE}</x14:id>
        </ext>
      </extLst>
    </cfRule>
  </conditionalFormatting>
  <conditionalFormatting sqref="R7887 R7632 R7377 R7122 R6867 R6612 R6357 R6102 R5847 R5592 R5337 R5082 R4827 R4572 R4317 R4062 R3807 R3552 R3297 R3042 R2787 R2532 R2277 R2022 R1767 R1512 R1257 R1002 R747 R492 R237">
    <cfRule type="containsText" dxfId="56" priority="74" operator="containsText" text="NEUTRAL">
      <formula>NOT(ISERROR(SEARCH("NEUTRAL",R237)))</formula>
    </cfRule>
    <cfRule type="containsText" dxfId="55" priority="75" operator="containsText" text="BULLISH">
      <formula>NOT(ISERROR(SEARCH("BULLISH",R237)))</formula>
    </cfRule>
    <cfRule type="containsText" dxfId="54" priority="76" operator="containsText" text="BEARISH">
      <formula>NOT(ISERROR(SEARCH("BEARISH",R237)))</formula>
    </cfRule>
  </conditionalFormatting>
  <conditionalFormatting sqref="P237 P7887 P7632 P7377 P7122 P6867 P6612 P6357 P6102 P5847 P5592 P5337 P5082 P4827 P4572 P4317 P4062 P3807 P3552 P3297 P3042 P2787 P2532 P2277 P2022 P1767 P1512 P1257 P1002 P747 P492">
    <cfRule type="dataBar" priority="73">
      <dataBar>
        <cfvo type="min"/>
        <cfvo type="max"/>
        <color rgb="FF638EC6"/>
      </dataBar>
      <extLst>
        <ext xmlns:x14="http://schemas.microsoft.com/office/spreadsheetml/2009/9/main" uri="{B025F937-C7B1-47D3-B67F-A62EFF666E3E}">
          <x14:id>{25BB1268-D503-433B-A8EF-4AE1FD7AACD9}</x14:id>
        </ext>
      </extLst>
    </cfRule>
  </conditionalFormatting>
  <conditionalFormatting sqref="R7888 R7633 R7378 R7123 R6868 R6613 R6358 R6103 R5848 R5593 R5338 R5083 R4828 R4573 R4318 R4063 R3808 R3553 R3298 R3043 R2788 R2533 R2278 R2023 R1768 R1513 R1258 R1003 R748 R493 R238">
    <cfRule type="containsText" dxfId="53" priority="70" operator="containsText" text="NEUTRAL">
      <formula>NOT(ISERROR(SEARCH("NEUTRAL",R238)))</formula>
    </cfRule>
    <cfRule type="containsText" dxfId="52" priority="71" operator="containsText" text="BULLISH">
      <formula>NOT(ISERROR(SEARCH("BULLISH",R238)))</formula>
    </cfRule>
    <cfRule type="containsText" dxfId="51" priority="72" operator="containsText" text="BEARISH">
      <formula>NOT(ISERROR(SEARCH("BEARISH",R238)))</formula>
    </cfRule>
  </conditionalFormatting>
  <conditionalFormatting sqref="P238 P7888 P7633 P7378 P7123 P6868 P6613 P6358 P6103 P5848 P5593 P5338 P5083 P4828 P4573 P4318 P4063 P3808 P3553 P3298 P3043 P2788 P2533 P2278 P2023 P1768 P1513 P1258 P1003 P748 P493">
    <cfRule type="dataBar" priority="69">
      <dataBar>
        <cfvo type="min"/>
        <cfvo type="max"/>
        <color rgb="FF638EC6"/>
      </dataBar>
      <extLst>
        <ext xmlns:x14="http://schemas.microsoft.com/office/spreadsheetml/2009/9/main" uri="{B025F937-C7B1-47D3-B67F-A62EFF666E3E}">
          <x14:id>{4F6AFDFD-243F-4723-B15B-7288D9D05DE5}</x14:id>
        </ext>
      </extLst>
    </cfRule>
  </conditionalFormatting>
  <conditionalFormatting sqref="R7889 R7634 R7379 R7124 R6869 R6614 R6359 R6104 R5849 R5594 R5339 R5084 R4829 R4574 R4319 R4064 R3809 R3554 R3299 R3044 R2789 R2534 R2279 R2024 R1769 R1514 R1259 R1004 R749 R494 R239">
    <cfRule type="containsText" dxfId="50" priority="66" operator="containsText" text="NEUTRAL">
      <formula>NOT(ISERROR(SEARCH("NEUTRAL",R239)))</formula>
    </cfRule>
    <cfRule type="containsText" dxfId="49" priority="67" operator="containsText" text="BULLISH">
      <formula>NOT(ISERROR(SEARCH("BULLISH",R239)))</formula>
    </cfRule>
    <cfRule type="containsText" dxfId="48" priority="68" operator="containsText" text="BEARISH">
      <formula>NOT(ISERROR(SEARCH("BEARISH",R239)))</formula>
    </cfRule>
  </conditionalFormatting>
  <conditionalFormatting sqref="P239 P7889 P7634 P7379 P7124 P6869 P6614 P6359 P6104 P5849 P5594 P5339 P5084 P4829 P4574 P4319 P4064 P3809 P3554 P3299 P3044 P2789 P2534 P2279 P2024 P1769 P1514 P1259 P1004 P749 P494">
    <cfRule type="dataBar" priority="65">
      <dataBar>
        <cfvo type="min"/>
        <cfvo type="max"/>
        <color rgb="FF638EC6"/>
      </dataBar>
      <extLst>
        <ext xmlns:x14="http://schemas.microsoft.com/office/spreadsheetml/2009/9/main" uri="{B025F937-C7B1-47D3-B67F-A62EFF666E3E}">
          <x14:id>{84BE15C1-BA87-4CE6-85CF-F7ABFD270896}</x14:id>
        </ext>
      </extLst>
    </cfRule>
  </conditionalFormatting>
  <conditionalFormatting sqref="R7890 R7635 R7380 R7125 R6870 R6615 R6360 R6105 R5850 R5595 R5340 R5085 R4830 R4575 R4320 R4065 R3810 R3555 R3300 R3045 R2790 R2535 R2280 R2025 R1770 R1515 R1260 R1005 R750 R495 R240">
    <cfRule type="containsText" dxfId="47" priority="62" operator="containsText" text="NEUTRAL">
      <formula>NOT(ISERROR(SEARCH("NEUTRAL",R240)))</formula>
    </cfRule>
    <cfRule type="containsText" dxfId="46" priority="63" operator="containsText" text="BULLISH">
      <formula>NOT(ISERROR(SEARCH("BULLISH",R240)))</formula>
    </cfRule>
    <cfRule type="containsText" dxfId="45" priority="64" operator="containsText" text="BEARISH">
      <formula>NOT(ISERROR(SEARCH("BEARISH",R240)))</formula>
    </cfRule>
  </conditionalFormatting>
  <conditionalFormatting sqref="P240 P7890 P7635 P7380 P7125 P6870 P6615 P6360 P6105 P5850 P5595 P5340 P5085 P4830 P4575 P4320 P4065 P3810 P3555 P3300 P3045 P2790 P2535 P2280 P2025 P1770 P1515 P1260 P1005 P750 P495">
    <cfRule type="dataBar" priority="61">
      <dataBar>
        <cfvo type="min"/>
        <cfvo type="max"/>
        <color rgb="FF638EC6"/>
      </dataBar>
      <extLst>
        <ext xmlns:x14="http://schemas.microsoft.com/office/spreadsheetml/2009/9/main" uri="{B025F937-C7B1-47D3-B67F-A62EFF666E3E}">
          <x14:id>{21A28520-55EE-448F-95BA-DFC0BD352001}</x14:id>
        </ext>
      </extLst>
    </cfRule>
  </conditionalFormatting>
  <conditionalFormatting sqref="R7891 R7636 R7381 R7126 R6871 R6616 R6361 R6106 R5851 R5596 R5341 R5086 R4831 R4576 R4321 R4066 R3811 R3556 R3301 R3046 R2791 R2536 R2281 R2026 R1771 R1516 R1261 R1006 R751 R496 R241">
    <cfRule type="containsText" dxfId="44" priority="58" operator="containsText" text="NEUTRAL">
      <formula>NOT(ISERROR(SEARCH("NEUTRAL",R241)))</formula>
    </cfRule>
    <cfRule type="containsText" dxfId="43" priority="59" operator="containsText" text="BULLISH">
      <formula>NOT(ISERROR(SEARCH("BULLISH",R241)))</formula>
    </cfRule>
    <cfRule type="containsText" dxfId="42" priority="60" operator="containsText" text="BEARISH">
      <formula>NOT(ISERROR(SEARCH("BEARISH",R241)))</formula>
    </cfRule>
  </conditionalFormatting>
  <conditionalFormatting sqref="P241 P7891 P7636 P7381 P7126 P6871 P6616 P6361 P6106 P5851 P5596 P5341 P5086 P4831 P4576 P4321 P4066 P3811 P3556 P3301 P3046 P2791 P2536 P2281 P2026 P1771 P1516 P1261 P1006 P751 P496">
    <cfRule type="dataBar" priority="57">
      <dataBar>
        <cfvo type="min"/>
        <cfvo type="max"/>
        <color rgb="FF638EC6"/>
      </dataBar>
      <extLst>
        <ext xmlns:x14="http://schemas.microsoft.com/office/spreadsheetml/2009/9/main" uri="{B025F937-C7B1-47D3-B67F-A62EFF666E3E}">
          <x14:id>{D6C8F0E7-BCBA-48FC-BD56-2D7085580EF7}</x14:id>
        </ext>
      </extLst>
    </cfRule>
  </conditionalFormatting>
  <conditionalFormatting sqref="R7892 R7637 R7382 R7127 R6872 R6617 R6362 R6107 R5852 R5597 R5342 R5087 R4832 R4577 R4322 R4067 R3812 R3557 R3302 R3047 R2792 R2537 R2282 R2027 R1772 R1517 R1262 R1007 R752 R497 R242">
    <cfRule type="containsText" dxfId="41" priority="54" operator="containsText" text="NEUTRAL">
      <formula>NOT(ISERROR(SEARCH("NEUTRAL",R242)))</formula>
    </cfRule>
    <cfRule type="containsText" dxfId="40" priority="55" operator="containsText" text="BULLISH">
      <formula>NOT(ISERROR(SEARCH("BULLISH",R242)))</formula>
    </cfRule>
    <cfRule type="containsText" dxfId="39" priority="56" operator="containsText" text="BEARISH">
      <formula>NOT(ISERROR(SEARCH("BEARISH",R242)))</formula>
    </cfRule>
  </conditionalFormatting>
  <conditionalFormatting sqref="P242 P7892 P7637 P7382 P7127 P6872 P6617 P6362 P6107 P5852 P5597 P5342 P5087 P4832 P4577 P4322 P4067 P3812 P3557 P3302 P3047 P2792 P2537 P2282 P2027 P1772 P1517 P1262 P1007 P752 P497">
    <cfRule type="dataBar" priority="53">
      <dataBar>
        <cfvo type="min"/>
        <cfvo type="max"/>
        <color rgb="FF638EC6"/>
      </dataBar>
      <extLst>
        <ext xmlns:x14="http://schemas.microsoft.com/office/spreadsheetml/2009/9/main" uri="{B025F937-C7B1-47D3-B67F-A62EFF666E3E}">
          <x14:id>{3A196F07-49C0-4C93-8748-338F235F8608}</x14:id>
        </ext>
      </extLst>
    </cfRule>
  </conditionalFormatting>
  <conditionalFormatting sqref="R7893 R7638 R7383 R7128 R6873 R6618 R6363 R6108 R5853 R5598 R5343 R5088 R4833 R4578 R4323 R4068 R3813 R3558 R3303 R3048 R2793 R2538 R2283 R2028 R1773 R1518 R1263 R1008 R753 R498 R243">
    <cfRule type="containsText" dxfId="38" priority="50" operator="containsText" text="NEUTRAL">
      <formula>NOT(ISERROR(SEARCH("NEUTRAL",R243)))</formula>
    </cfRule>
    <cfRule type="containsText" dxfId="37" priority="51" operator="containsText" text="BULLISH">
      <formula>NOT(ISERROR(SEARCH("BULLISH",R243)))</formula>
    </cfRule>
    <cfRule type="containsText" dxfId="36" priority="52" operator="containsText" text="BEARISH">
      <formula>NOT(ISERROR(SEARCH("BEARISH",R243)))</formula>
    </cfRule>
  </conditionalFormatting>
  <conditionalFormatting sqref="P243 P7893 P7638 P7383 P7128 P6873 P6618 P6363 P6108 P5853 P5598 P5343 P5088 P4833 P4578 P4323 P4068 P3813 P3558 P3303 P3048 P2793 P2538 P2283 P2028 P1773 P1518 P1263 P1008 P753 P498">
    <cfRule type="dataBar" priority="49">
      <dataBar>
        <cfvo type="min"/>
        <cfvo type="max"/>
        <color rgb="FF638EC6"/>
      </dataBar>
      <extLst>
        <ext xmlns:x14="http://schemas.microsoft.com/office/spreadsheetml/2009/9/main" uri="{B025F937-C7B1-47D3-B67F-A62EFF666E3E}">
          <x14:id>{B5F5E5D3-6D28-4244-BDAD-B34D6A403C2D}</x14:id>
        </ext>
      </extLst>
    </cfRule>
  </conditionalFormatting>
  <conditionalFormatting sqref="R7894 R7639 R7384 R7129 R6874 R6619 R6364 R6109 R5854 R5599 R5344 R5089 R4834 R4579 R4324 R4069 R3814 R3559 R3304 R3049 R2794 R2539 R2284 R2029 R1774 R1519 R1264 R1009 R754 R499 R244">
    <cfRule type="containsText" dxfId="35" priority="46" operator="containsText" text="NEUTRAL">
      <formula>NOT(ISERROR(SEARCH("NEUTRAL",R244)))</formula>
    </cfRule>
    <cfRule type="containsText" dxfId="34" priority="47" operator="containsText" text="BULLISH">
      <formula>NOT(ISERROR(SEARCH("BULLISH",R244)))</formula>
    </cfRule>
    <cfRule type="containsText" dxfId="33" priority="48" operator="containsText" text="BEARISH">
      <formula>NOT(ISERROR(SEARCH("BEARISH",R244)))</formula>
    </cfRule>
  </conditionalFormatting>
  <conditionalFormatting sqref="P244 P7894 P7639 P7384 P7129 P6874 P6619 P6364 P6109 P5854 P5599 P5344 P5089 P4834 P4579 P4324 P4069 P3814 P3559 P3304 P3049 P2794 P2539 P2284 P2029 P1774 P1519 P1264 P1009 P754 P499">
    <cfRule type="dataBar" priority="45">
      <dataBar>
        <cfvo type="min"/>
        <cfvo type="max"/>
        <color rgb="FF638EC6"/>
      </dataBar>
      <extLst>
        <ext xmlns:x14="http://schemas.microsoft.com/office/spreadsheetml/2009/9/main" uri="{B025F937-C7B1-47D3-B67F-A62EFF666E3E}">
          <x14:id>{3CC06EFD-11B7-42CF-9823-9C2FDB0EE3CB}</x14:id>
        </ext>
      </extLst>
    </cfRule>
  </conditionalFormatting>
  <conditionalFormatting sqref="R7895 R7640 R7385 R7130 R6875 R6620 R6365 R6110 R5855 R5600 R5345 R5090 R4835 R4580 R4325 R4070 R3815 R3560 R3305 R3050 R2795 R2540 R2285 R2030 R1775 R1520 R1265 R1010 R755 R500 R245">
    <cfRule type="containsText" dxfId="32" priority="42" operator="containsText" text="NEUTRAL">
      <formula>NOT(ISERROR(SEARCH("NEUTRAL",R245)))</formula>
    </cfRule>
    <cfRule type="containsText" dxfId="31" priority="43" operator="containsText" text="BULLISH">
      <formula>NOT(ISERROR(SEARCH("BULLISH",R245)))</formula>
    </cfRule>
    <cfRule type="containsText" dxfId="30" priority="44" operator="containsText" text="BEARISH">
      <formula>NOT(ISERROR(SEARCH("BEARISH",R245)))</formula>
    </cfRule>
  </conditionalFormatting>
  <conditionalFormatting sqref="P245 P7895 P7640 P7385 P7130 P6875 P6620 P6365 P6110 P5855 P5600 P5345 P5090 P4835 P4580 P4325 P4070 P3815 P3560 P3305 P3050 P2795 P2540 P2285 P2030 P1775 P1520 P1265 P1010 P755 P500">
    <cfRule type="dataBar" priority="41">
      <dataBar>
        <cfvo type="min"/>
        <cfvo type="max"/>
        <color rgb="FF638EC6"/>
      </dataBar>
      <extLst>
        <ext xmlns:x14="http://schemas.microsoft.com/office/spreadsheetml/2009/9/main" uri="{B025F937-C7B1-47D3-B67F-A62EFF666E3E}">
          <x14:id>{A42CA058-7D36-4014-A235-DB68446FADC9}</x14:id>
        </ext>
      </extLst>
    </cfRule>
  </conditionalFormatting>
  <conditionalFormatting sqref="R7896 R7641 R7386 R7131 R6876 R6621 R6366 R6111 R5856 R5601 R5346 R5091 R4836 R4581 R4326 R4071 R3816 R3561 R3306 R3051 R2796 R2541 R2286 R2031 R1776 R1521 R1266 R1011 R756 R501 R246">
    <cfRule type="containsText" dxfId="29" priority="38" operator="containsText" text="NEUTRAL">
      <formula>NOT(ISERROR(SEARCH("NEUTRAL",R246)))</formula>
    </cfRule>
    <cfRule type="containsText" dxfId="28" priority="39" operator="containsText" text="BULLISH">
      <formula>NOT(ISERROR(SEARCH("BULLISH",R246)))</formula>
    </cfRule>
    <cfRule type="containsText" dxfId="27" priority="40" operator="containsText" text="BEARISH">
      <formula>NOT(ISERROR(SEARCH("BEARISH",R246)))</formula>
    </cfRule>
  </conditionalFormatting>
  <conditionalFormatting sqref="P246 P7896 P7641 P7386 P7131 P6876 P6621 P6366 P6111 P5856 P5601 P5346 P5091 P4836 P4581 P4326 P4071 P3816 P3561 P3306 P3051 P2796 P2541 P2286 P2031 P1776 P1521 P1266 P1011 P756 P501">
    <cfRule type="dataBar" priority="37">
      <dataBar>
        <cfvo type="min"/>
        <cfvo type="max"/>
        <color rgb="FF638EC6"/>
      </dataBar>
      <extLst>
        <ext xmlns:x14="http://schemas.microsoft.com/office/spreadsheetml/2009/9/main" uri="{B025F937-C7B1-47D3-B67F-A62EFF666E3E}">
          <x14:id>{817D7C1B-DB79-4260-B9C5-09C3B1662C8D}</x14:id>
        </ext>
      </extLst>
    </cfRule>
  </conditionalFormatting>
  <conditionalFormatting sqref="R7897 R7642 R7387 R7132 R6877 R6622 R6367 R6112 R5857 R5602 R5347 R5092 R4837 R4582 R4327 R4072 R3817 R3562 R3307 R3052 R2797 R2542 R2287 R2032 R1777 R1522 R1267 R1012 R757 R502 R247">
    <cfRule type="containsText" dxfId="26" priority="34" operator="containsText" text="NEUTRAL">
      <formula>NOT(ISERROR(SEARCH("NEUTRAL",R247)))</formula>
    </cfRule>
    <cfRule type="containsText" dxfId="25" priority="35" operator="containsText" text="BULLISH">
      <formula>NOT(ISERROR(SEARCH("BULLISH",R247)))</formula>
    </cfRule>
    <cfRule type="containsText" dxfId="24" priority="36" operator="containsText" text="BEARISH">
      <formula>NOT(ISERROR(SEARCH("BEARISH",R247)))</formula>
    </cfRule>
  </conditionalFormatting>
  <conditionalFormatting sqref="P247 P7897 P7642 P7387 P7132 P6877 P6622 P6367 P6112 P5857 P5602 P5347 P5092 P4837 P4582 P4327 P4072 P3817 P3562 P3307 P3052 P2797 P2542 P2287 P2032 P1777 P1522 P1267 P1012 P757 P502">
    <cfRule type="dataBar" priority="33">
      <dataBar>
        <cfvo type="min"/>
        <cfvo type="max"/>
        <color rgb="FF638EC6"/>
      </dataBar>
      <extLst>
        <ext xmlns:x14="http://schemas.microsoft.com/office/spreadsheetml/2009/9/main" uri="{B025F937-C7B1-47D3-B67F-A62EFF666E3E}">
          <x14:id>{714B9649-6FFB-4EDD-9D85-31531BA4EF94}</x14:id>
        </ext>
      </extLst>
    </cfRule>
  </conditionalFormatting>
  <conditionalFormatting sqref="R7898 R7643 R7388 R7133 R6878 R6623 R6368 R6113 R5858 R5603 R5348 R5093 R4838 R4583 R4328 R4073 R3818 R3563 R3308 R3053 R2798 R2543 R2288 R2033 R1778 R1523 R1268 R1013 R758 R503 R248">
    <cfRule type="containsText" dxfId="23" priority="30" operator="containsText" text="NEUTRAL">
      <formula>NOT(ISERROR(SEARCH("NEUTRAL",R248)))</formula>
    </cfRule>
    <cfRule type="containsText" dxfId="22" priority="31" operator="containsText" text="BULLISH">
      <formula>NOT(ISERROR(SEARCH("BULLISH",R248)))</formula>
    </cfRule>
    <cfRule type="containsText" dxfId="21" priority="32" operator="containsText" text="BEARISH">
      <formula>NOT(ISERROR(SEARCH("BEARISH",R248)))</formula>
    </cfRule>
  </conditionalFormatting>
  <conditionalFormatting sqref="P248 P7898 P7643 P7388 P7133 P6878 P6623 P6368 P6113 P5858 P5603 P5348 P5093 P4838 P4583 P4328 P4073 P3818 P3563 P3308 P3053 P2798 P2543 P2288 P2033 P1778 P1523 P1268 P1013 P758 P503">
    <cfRule type="dataBar" priority="29">
      <dataBar>
        <cfvo type="min"/>
        <cfvo type="max"/>
        <color rgb="FF638EC6"/>
      </dataBar>
      <extLst>
        <ext xmlns:x14="http://schemas.microsoft.com/office/spreadsheetml/2009/9/main" uri="{B025F937-C7B1-47D3-B67F-A62EFF666E3E}">
          <x14:id>{DCFC6DC1-B2BE-4262-86DC-EEEFC7268A60}</x14:id>
        </ext>
      </extLst>
    </cfRule>
  </conditionalFormatting>
  <conditionalFormatting sqref="R7899 R7644 R7389 R7134 R6879 R6624 R6369 R6114 R5859 R5604 R5349 R5094 R4839 R4584 R4329 R4074 R3819 R3564 R3309 R3054 R2799 R2544 R2289 R2034 R1779 R1524 R1269 R1014 R759 R504 R249">
    <cfRule type="containsText" dxfId="20" priority="25" operator="containsText" text="NEUTRAL">
      <formula>NOT(ISERROR(SEARCH("NEUTRAL",R249)))</formula>
    </cfRule>
    <cfRule type="containsText" dxfId="19" priority="26" operator="containsText" text="BULLISH">
      <formula>NOT(ISERROR(SEARCH("BULLISH",R249)))</formula>
    </cfRule>
    <cfRule type="containsText" dxfId="18" priority="27" operator="containsText" text="BEARISH">
      <formula>NOT(ISERROR(SEARCH("BEARISH",R249)))</formula>
    </cfRule>
  </conditionalFormatting>
  <conditionalFormatting sqref="P249 P7899 P7644 P7389 P7134 P6879 P6624 P6369 P6114 P5859 P5604 P5349 P5094 P4839 P4584 P4329 P4074 P3819 P3564 P3309 P3054 P2799 P2544 P2289 P2034 P1779 P1524 P1269 P1014 P759 P504">
    <cfRule type="dataBar" priority="28">
      <dataBar>
        <cfvo type="min"/>
        <cfvo type="max"/>
        <color rgb="FF638EC6"/>
      </dataBar>
      <extLst>
        <ext xmlns:x14="http://schemas.microsoft.com/office/spreadsheetml/2009/9/main" uri="{B025F937-C7B1-47D3-B67F-A62EFF666E3E}">
          <x14:id>{3405C597-5EA6-44A9-BF8B-B238D0F2509B}</x14:id>
        </ext>
      </extLst>
    </cfRule>
  </conditionalFormatting>
  <conditionalFormatting sqref="R7900 R7645 R7390 R7135 R6880 R6625 R6370 R6115 R5860 R5605 R5350 R5095 R4840 R4585 R4330 R4075 R3820 R3565 R3310 R3055 R2800 R2545 R2290 R2035 R1780 R1525 R1270 R1015 R760 R505 R250">
    <cfRule type="containsText" dxfId="17" priority="21" operator="containsText" text="NEUTRAL">
      <formula>NOT(ISERROR(SEARCH("NEUTRAL",R250)))</formula>
    </cfRule>
    <cfRule type="containsText" dxfId="16" priority="22" operator="containsText" text="BULLISH">
      <formula>NOT(ISERROR(SEARCH("BULLISH",R250)))</formula>
    </cfRule>
    <cfRule type="containsText" dxfId="15" priority="23" operator="containsText" text="BEARISH">
      <formula>NOT(ISERROR(SEARCH("BEARISH",R250)))</formula>
    </cfRule>
  </conditionalFormatting>
  <conditionalFormatting sqref="P250 P7900 P7645 P7390 P7135 P6880 P6625 P6370 P6115 P5860 P5605 P5350 P5095 P4840 P4585 P4330 P4075 P3820 P3565 P3310 P3055 P2800 P2545 P2290 P2035 P1780 P1525 P1270 P1015 P760 P505">
    <cfRule type="dataBar" priority="24">
      <dataBar>
        <cfvo type="min"/>
        <cfvo type="max"/>
        <color rgb="FF638EC6"/>
      </dataBar>
      <extLst>
        <ext xmlns:x14="http://schemas.microsoft.com/office/spreadsheetml/2009/9/main" uri="{B025F937-C7B1-47D3-B67F-A62EFF666E3E}">
          <x14:id>{E4610888-3C23-44DB-8991-A6C751A9BB4E}</x14:id>
        </ext>
      </extLst>
    </cfRule>
  </conditionalFormatting>
  <conditionalFormatting sqref="R7901 R7646 R7391 R7136 R6881 R6626 R6371 R6116 R5861 R5606 R5351 R5096 R4841 R4586 R4331 R4076 R3821 R3566 R3311 R3056 R2801 R2546 R2291 R2036 R1781 R1526 R1271 R1016 R761 R506 R251">
    <cfRule type="containsText" dxfId="14" priority="17" operator="containsText" text="NEUTRAL">
      <formula>NOT(ISERROR(SEARCH("NEUTRAL",R251)))</formula>
    </cfRule>
    <cfRule type="containsText" dxfId="13" priority="18" operator="containsText" text="BULLISH">
      <formula>NOT(ISERROR(SEARCH("BULLISH",R251)))</formula>
    </cfRule>
    <cfRule type="containsText" dxfId="12" priority="19" operator="containsText" text="BEARISH">
      <formula>NOT(ISERROR(SEARCH("BEARISH",R251)))</formula>
    </cfRule>
  </conditionalFormatting>
  <conditionalFormatting sqref="P251 P7901 P7646 P7391 P7136 P6881 P6626 P6371 P6116 P5861 P5606 P5351 P5096 P4841 P4586 P4331 P4076 P3821 P3566 P3311 P3056 P2801 P2546 P2291 P2036 P1781 P1526 P1271 P1016 P761 P506">
    <cfRule type="dataBar" priority="20">
      <dataBar>
        <cfvo type="min"/>
        <cfvo type="max"/>
        <color rgb="FF638EC6"/>
      </dataBar>
      <extLst>
        <ext xmlns:x14="http://schemas.microsoft.com/office/spreadsheetml/2009/9/main" uri="{B025F937-C7B1-47D3-B67F-A62EFF666E3E}">
          <x14:id>{FC3AA3B0-8223-4957-AB1B-B57673614FD7}</x14:id>
        </ext>
      </extLst>
    </cfRule>
  </conditionalFormatting>
  <conditionalFormatting sqref="R7902 R7647 R7392 R7137 R6882 R6627 R6372 R6117 R5862 R5607 R5352 R5097 R4842 R4587 R4332 R4077 R3822 R3567 R3312 R3057 R2802 R2547 R2292 R2037 R1782 R1527 R1272 R1017 R762 R507 R252">
    <cfRule type="containsText" dxfId="11" priority="13" operator="containsText" text="NEUTRAL">
      <formula>NOT(ISERROR(SEARCH("NEUTRAL",R252)))</formula>
    </cfRule>
    <cfRule type="containsText" dxfId="10" priority="14" operator="containsText" text="BULLISH">
      <formula>NOT(ISERROR(SEARCH("BULLISH",R252)))</formula>
    </cfRule>
    <cfRule type="containsText" dxfId="9" priority="15" operator="containsText" text="BEARISH">
      <formula>NOT(ISERROR(SEARCH("BEARISH",R252)))</formula>
    </cfRule>
  </conditionalFormatting>
  <conditionalFormatting sqref="P252 P7902 P7647 P7392 P7137 P6882 P6627 P6372 P6117 P5862 P5607 P5352 P5097 P4842 P4587 P4332 P4077 P3822 P3567 P3312 P3057 P2802 P2547 P2292 P2037 P1782 P1527 P1272 P1017 P762 P507">
    <cfRule type="dataBar" priority="16">
      <dataBar>
        <cfvo type="min"/>
        <cfvo type="max"/>
        <color rgb="FF638EC6"/>
      </dataBar>
      <extLst>
        <ext xmlns:x14="http://schemas.microsoft.com/office/spreadsheetml/2009/9/main" uri="{B025F937-C7B1-47D3-B67F-A62EFF666E3E}">
          <x14:id>{C0E9FC5B-4387-4C2B-99CA-E0CF9ECBB97F}</x14:id>
        </ext>
      </extLst>
    </cfRule>
  </conditionalFormatting>
  <conditionalFormatting sqref="R7903 R7648 R7393 R7138 R6883 R6628 R6373 R6118 R5863 R5608 R5353 R5098 R4843 R4588 R4333 R4078 R3823 R3568 R3313 R3058 R2803 R2548 R2293 R2038 R1783 R1528 R1273 R1018 R763 R508 R253">
    <cfRule type="containsText" dxfId="8" priority="9" operator="containsText" text="NEUTRAL">
      <formula>NOT(ISERROR(SEARCH("NEUTRAL",R253)))</formula>
    </cfRule>
    <cfRule type="containsText" dxfId="7" priority="10" operator="containsText" text="BULLISH">
      <formula>NOT(ISERROR(SEARCH("BULLISH",R253)))</formula>
    </cfRule>
    <cfRule type="containsText" dxfId="6" priority="11" operator="containsText" text="BEARISH">
      <formula>NOT(ISERROR(SEARCH("BEARISH",R253)))</formula>
    </cfRule>
  </conditionalFormatting>
  <conditionalFormatting sqref="P253 P7903 P7648 P7393 P7138 P6883 P6628 P6373 P6118 P5863 P5608 P5353 P5098 P4843 P4588 P4333 P4078 P3823 P3568 P3313 P3058 P2803 P2548 P2293 P2038 P1783 P1528 P1273 P1018 P763 P508">
    <cfRule type="dataBar" priority="12">
      <dataBar>
        <cfvo type="min"/>
        <cfvo type="max"/>
        <color rgb="FF638EC6"/>
      </dataBar>
      <extLst>
        <ext xmlns:x14="http://schemas.microsoft.com/office/spreadsheetml/2009/9/main" uri="{B025F937-C7B1-47D3-B67F-A62EFF666E3E}">
          <x14:id>{58F536F4-1366-447A-BEC2-77159D56D6FF}</x14:id>
        </ext>
      </extLst>
    </cfRule>
  </conditionalFormatting>
  <conditionalFormatting sqref="R7904 R7649 R7394 R7139 R6884 R6629 R6374 R6119 R5864 R5609 R5354 R5099 R4844 R4589 R4334 R4079 R3824 R3569 R3314 R3059 R2804 R2549 R2294 R2039 R1784 R1529 R1274 R1019 R764 R509 R254">
    <cfRule type="containsText" dxfId="5" priority="5" operator="containsText" text="NEUTRAL">
      <formula>NOT(ISERROR(SEARCH("NEUTRAL",R254)))</formula>
    </cfRule>
    <cfRule type="containsText" dxfId="4" priority="6" operator="containsText" text="BULLISH">
      <formula>NOT(ISERROR(SEARCH("BULLISH",R254)))</formula>
    </cfRule>
    <cfRule type="containsText" dxfId="3" priority="7" operator="containsText" text="BEARISH">
      <formula>NOT(ISERROR(SEARCH("BEARISH",R254)))</formula>
    </cfRule>
  </conditionalFormatting>
  <conditionalFormatting sqref="P254 P7904 P7649 P7394 P7139 P6884 P6629 P6374 P6119 P5864 P5609 P5354 P5099 P4844 P4589 P4334 P4079 P3824 P3569 P3314 P3059 P2804 P2549 P2294 P2039 P1784 P1529 P1274 P1019 P764 P509">
    <cfRule type="dataBar" priority="8">
      <dataBar>
        <cfvo type="min"/>
        <cfvo type="max"/>
        <color rgb="FF638EC6"/>
      </dataBar>
      <extLst>
        <ext xmlns:x14="http://schemas.microsoft.com/office/spreadsheetml/2009/9/main" uri="{B025F937-C7B1-47D3-B67F-A62EFF666E3E}">
          <x14:id>{221B3D6D-F1B3-4EBD-BAF3-88C447F8707F}</x14:id>
        </ext>
      </extLst>
    </cfRule>
  </conditionalFormatting>
  <conditionalFormatting sqref="R7905 R7650 R7395 R7140 R6885 R6630 R6375 R6120 R5865 R5610 R5355 R5100 R4845 R4590 R4335 R4080 R3825 R3570 R3315 R3060 R2805 R2550 R2295 R2040 R1785 R1530 R1275 R1020 R765 R510 R255">
    <cfRule type="containsText" dxfId="2" priority="1" operator="containsText" text="NEUTRAL">
      <formula>NOT(ISERROR(SEARCH("NEUTRAL",R255)))</formula>
    </cfRule>
    <cfRule type="containsText" dxfId="1" priority="2" operator="containsText" text="BULLISH">
      <formula>NOT(ISERROR(SEARCH("BULLISH",R255)))</formula>
    </cfRule>
    <cfRule type="containsText" dxfId="0" priority="3" operator="containsText" text="BEARISH">
      <formula>NOT(ISERROR(SEARCH("BEARISH",R255)))</formula>
    </cfRule>
  </conditionalFormatting>
  <conditionalFormatting sqref="P255 P7905 P7650 P7395 P7140 P6885 P6630 P6375 P6120 P5865 P5610 P5355 P5100 P4845 P4590 P4335 P4080 P3825 P3570 P3315 P3060 P2805 P2550 P2295 P2040 P1785 P1530 P1275 P1020 P765 P510">
    <cfRule type="dataBar" priority="4">
      <dataBar>
        <cfvo type="min"/>
        <cfvo type="max"/>
        <color rgb="FF638EC6"/>
      </dataBar>
      <extLst>
        <ext xmlns:x14="http://schemas.microsoft.com/office/spreadsheetml/2009/9/main" uri="{B025F937-C7B1-47D3-B67F-A62EFF666E3E}">
          <x14:id>{049E02B3-AE31-4495-8677-2B15B9148058}</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2A2FBFC-2FC0-4A20-9E68-26201653B389}">
            <x14:dataBar minLength="0" maxLength="100" border="1" negativeBarBorderColorSameAsPositive="0">
              <x14:cfvo type="autoMin"/>
              <x14:cfvo type="autoMax"/>
              <x14:borderColor rgb="FF638EC6"/>
              <x14:negativeFillColor rgb="FFFF0000"/>
              <x14:negativeBorderColor rgb="FFFF0000"/>
              <x14:axisColor rgb="FF000000"/>
            </x14:dataBar>
          </x14:cfRule>
          <xm:sqref>P58:P61 P7708:P7711 P7651 P7453:P7456 P7396 P7198:P7201 P7141 P6943:P6946 P6886 P6688:P6691 P6631 P6433:P6436 P6376 P6178:P6181 P6121 P5923:P5926 P5866 P5668:P5671 P5611 P5413:P5416 P5356 P5158:P5161 P5101 P4903:P4906 P4846 P4648:P4651 P4591 P4393:P4396 P4336 P4138:P4141 P4081 P3883:P3886 P3826 P3628:P3631 P3571 P3373:P3376 P3316 P3118:P3121 P3061 P2863:P2866 P2806 P2608:P2611 P2551 P2353:P2356 P2296 P2098:P2101 P2041 P1843:P1846 P1786 P1588:P1591 P1531 P1333:P1336 P1276 P1078:P1081 P1021 P823:P826 P766 P568:P571 P511 P313:P316 P256 P1</xm:sqref>
        </x14:conditionalFormatting>
        <x14:conditionalFormatting xmlns:xm="http://schemas.microsoft.com/office/excel/2006/main">
          <x14:cfRule type="dataBar" id="{7E1C789B-204E-4AB1-A673-4FB5ABCCB3F4}">
            <x14:dataBar minLength="0" maxLength="100" border="1" negativeBarBorderColorSameAsPositive="0">
              <x14:cfvo type="autoMin"/>
              <x14:cfvo type="autoMax"/>
              <x14:borderColor rgb="FF638EC6"/>
              <x14:negativeFillColor rgb="FFFF0000"/>
              <x14:negativeBorderColor rgb="FFFF0000"/>
              <x14:axisColor rgb="FF000000"/>
            </x14:dataBar>
          </x14:cfRule>
          <xm:sqref>P2:P5 P7652:P7655 P7397:P7400 P7142:P7145 P6887:P6890 P6632:P6635 P6377:P6380 P6122:P6125 P5867:P5870 P5612:P5615 P5357:P5360 P5102:P5105 P4847:P4850 P4592:P4595 P4337:P4340 P4082:P4085 P3827:P3830 P3572:P3575 P3317:P3320 P3062:P3065 P2807:P2810 P2552:P2555 P2297:P2300 P2042:P2045 P1787:P1790 P1532:P1535 P1277:P1280 P1022:P1025 P767:P770 P512:P515 P257:P260</xm:sqref>
        </x14:conditionalFormatting>
        <x14:conditionalFormatting xmlns:xm="http://schemas.microsoft.com/office/excel/2006/main">
          <x14:cfRule type="dataBar" id="{15A05277-C083-415D-893F-20AEC62BCDB2}">
            <x14:dataBar minLength="0" maxLength="100" border="1" negativeBarBorderColorSameAsPositive="0">
              <x14:cfvo type="autoMin"/>
              <x14:cfvo type="autoMax"/>
              <x14:borderColor rgb="FF638EC6"/>
              <x14:negativeFillColor rgb="FFFF0000"/>
              <x14:negativeBorderColor rgb="FFFF0000"/>
              <x14:axisColor rgb="FF000000"/>
            </x14:dataBar>
          </x14:cfRule>
          <xm:sqref>P6 P7656 P7401 P7146 P6891 P6636 P6381 P6126 P5871 P5616 P5361 P5106 P4851 P4596 P4341 P4086 P3831 P3576 P3321 P3066 P2811 P2556 P2301 P2046 P1791 P1536 P1281 P1026 P771 P516 P261</xm:sqref>
        </x14:conditionalFormatting>
        <x14:conditionalFormatting xmlns:xm="http://schemas.microsoft.com/office/excel/2006/main">
          <x14:cfRule type="dataBar" id="{4BE13222-0AF1-42E9-9BBF-940E55A65830}">
            <x14:dataBar minLength="0" maxLength="100" border="1" negativeBarBorderColorSameAsPositive="0">
              <x14:cfvo type="autoMin"/>
              <x14:cfvo type="autoMax"/>
              <x14:borderColor rgb="FF638EC6"/>
              <x14:negativeFillColor rgb="FFFF0000"/>
              <x14:negativeBorderColor rgb="FFFF0000"/>
              <x14:axisColor rgb="FF000000"/>
            </x14:dataBar>
          </x14:cfRule>
          <xm:sqref>P7 P7657 P7402 P7147 P6892 P6637 P6382 P6127 P5872 P5617 P5362 P5107 P4852 P4597 P4342 P4087 P3832 P3577 P3322 P3067 P2812 P2557 P2302 P2047 P1792 P1537 P1282 P1027 P772 P517 P262</xm:sqref>
        </x14:conditionalFormatting>
        <x14:conditionalFormatting xmlns:xm="http://schemas.microsoft.com/office/excel/2006/main">
          <x14:cfRule type="dataBar" id="{20B6FD15-7B5F-4A8F-ABB7-A70ACF1E9E17}">
            <x14:dataBar minLength="0" maxLength="100" border="1" negativeBarBorderColorSameAsPositive="0">
              <x14:cfvo type="autoMin"/>
              <x14:cfvo type="autoMax"/>
              <x14:borderColor rgb="FF638EC6"/>
              <x14:negativeFillColor rgb="FFFF0000"/>
              <x14:negativeBorderColor rgb="FFFF0000"/>
              <x14:axisColor rgb="FF000000"/>
            </x14:dataBar>
          </x14:cfRule>
          <xm:sqref>P8 P7658 P7403 P7148 P6893 P6638 P6383 P6128 P5873 P5618 P5363 P5108 P4853 P4598 P4343 P4088 P3833 P3578 P3323 P3068 P2813 P2558 P2303 P2048 P1793 P1538 P1283 P1028 P773 P518 P263</xm:sqref>
        </x14:conditionalFormatting>
        <x14:conditionalFormatting xmlns:xm="http://schemas.microsoft.com/office/excel/2006/main">
          <x14:cfRule type="dataBar" id="{7DAE4FAA-9A65-46CD-9C8D-8420BBEEEA24}">
            <x14:dataBar minLength="0" maxLength="100" border="1" negativeBarBorderColorSameAsPositive="0">
              <x14:cfvo type="autoMin"/>
              <x14:cfvo type="autoMax"/>
              <x14:borderColor rgb="FF638EC6"/>
              <x14:negativeFillColor rgb="FFFF0000"/>
              <x14:negativeBorderColor rgb="FFFF0000"/>
              <x14:axisColor rgb="FF000000"/>
            </x14:dataBar>
          </x14:cfRule>
          <xm:sqref>P9 P7659 P7404 P7149 P6894 P6639 P6384 P6129 P5874 P5619 P5364 P5109 P4854 P4599 P4344 P4089 P3834 P3579 P3324 P3069 P2814 P2559 P2304 P2049 P1794 P1539 P1284 P1029 P774 P519 P264</xm:sqref>
        </x14:conditionalFormatting>
        <x14:conditionalFormatting xmlns:xm="http://schemas.microsoft.com/office/excel/2006/main">
          <x14:cfRule type="dataBar" id="{2C0CB90F-BAEC-4477-95C4-6953CE4606E4}">
            <x14:dataBar minLength="0" maxLength="100" border="1" negativeBarBorderColorSameAsPositive="0">
              <x14:cfvo type="autoMin"/>
              <x14:cfvo type="autoMax"/>
              <x14:borderColor rgb="FF638EC6"/>
              <x14:negativeFillColor rgb="FFFF0000"/>
              <x14:negativeBorderColor rgb="FFFF0000"/>
              <x14:axisColor rgb="FF000000"/>
            </x14:dataBar>
          </x14:cfRule>
          <xm:sqref>P10 P7660 P7405 P7150 P6895 P6640 P6385 P6130 P5875 P5620 P5365 P5110 P4855 P4600 P4345 P4090 P3835 P3580 P3325 P3070 P2815 P2560 P2305 P2050 P1795 P1540 P1285 P1030 P775 P520 P265</xm:sqref>
        </x14:conditionalFormatting>
        <x14:conditionalFormatting xmlns:xm="http://schemas.microsoft.com/office/excel/2006/main">
          <x14:cfRule type="dataBar" id="{9F6A640B-65E1-41D8-99C3-FCDBD3732FE3}">
            <x14:dataBar minLength="0" maxLength="100" border="1" negativeBarBorderColorSameAsPositive="0">
              <x14:cfvo type="autoMin"/>
              <x14:cfvo type="autoMax"/>
              <x14:borderColor rgb="FF638EC6"/>
              <x14:negativeFillColor rgb="FFFF0000"/>
              <x14:negativeBorderColor rgb="FFFF0000"/>
              <x14:axisColor rgb="FF000000"/>
            </x14:dataBar>
          </x14:cfRule>
          <xm:sqref>P11 P7661 P7406 P7151 P6896 P6641 P6386 P6131 P5876 P5621 P5366 P5111 P4856 P4601 P4346 P4091 P3836 P3581 P3326 P3071 P2816 P2561 P2306 P2051 P1796 P1541 P1286 P1031 P776 P521 P266</xm:sqref>
        </x14:conditionalFormatting>
        <x14:conditionalFormatting xmlns:xm="http://schemas.microsoft.com/office/excel/2006/main">
          <x14:cfRule type="dataBar" id="{0BE17E2E-1EBF-43AD-AC98-7AC394E4CE55}">
            <x14:dataBar minLength="0" maxLength="100" border="1" negativeBarBorderColorSameAsPositive="0">
              <x14:cfvo type="autoMin"/>
              <x14:cfvo type="autoMax"/>
              <x14:borderColor rgb="FF638EC6"/>
              <x14:negativeFillColor rgb="FFFF0000"/>
              <x14:negativeBorderColor rgb="FFFF0000"/>
              <x14:axisColor rgb="FF000000"/>
            </x14:dataBar>
          </x14:cfRule>
          <xm:sqref>P12 P7662 P7407 P7152 P6897 P6642 P6387 P6132 P5877 P5622 P5367 P5112 P4857 P4602 P4347 P4092 P3837 P3582 P3327 P3072 P2817 P2562 P2307 P2052 P1797 P1542 P1287 P1032 P777 P522 P267</xm:sqref>
        </x14:conditionalFormatting>
        <x14:conditionalFormatting xmlns:xm="http://schemas.microsoft.com/office/excel/2006/main">
          <x14:cfRule type="dataBar" id="{4DE70874-318B-457B-A2F2-F839E8AE93F0}">
            <x14:dataBar minLength="0" maxLength="100" border="1" negativeBarBorderColorSameAsPositive="0">
              <x14:cfvo type="autoMin"/>
              <x14:cfvo type="autoMax"/>
              <x14:borderColor rgb="FF638EC6"/>
              <x14:negativeFillColor rgb="FFFF0000"/>
              <x14:negativeBorderColor rgb="FFFF0000"/>
              <x14:axisColor rgb="FF000000"/>
            </x14:dataBar>
          </x14:cfRule>
          <xm:sqref>P13 P7663 P7408 P7153 P6898 P6643 P6388 P6133 P5878 P5623 P5368 P5113 P4858 P4603 P4348 P4093 P3838 P3583 P3328 P3073 P2818 P2563 P2308 P2053 P1798 P1543 P1288 P1033 P778 P523 P268</xm:sqref>
        </x14:conditionalFormatting>
        <x14:conditionalFormatting xmlns:xm="http://schemas.microsoft.com/office/excel/2006/main">
          <x14:cfRule type="dataBar" id="{0FA0FED3-2BC5-4592-826D-170856E1F693}">
            <x14:dataBar minLength="0" maxLength="100" border="1" negativeBarBorderColorSameAsPositive="0">
              <x14:cfvo type="autoMin"/>
              <x14:cfvo type="autoMax"/>
              <x14:borderColor rgb="FF638EC6"/>
              <x14:negativeFillColor rgb="FFFF0000"/>
              <x14:negativeBorderColor rgb="FFFF0000"/>
              <x14:axisColor rgb="FF000000"/>
            </x14:dataBar>
          </x14:cfRule>
          <xm:sqref>P14 P7664 P7409 P7154 P6899 P6644 P6389 P6134 P5879 P5624 P5369 P5114 P4859 P4604 P4349 P4094 P3839 P3584 P3329 P3074 P2819 P2564 P2309 P2054 P1799 P1544 P1289 P1034 P779 P524 P269</xm:sqref>
        </x14:conditionalFormatting>
        <x14:conditionalFormatting xmlns:xm="http://schemas.microsoft.com/office/excel/2006/main">
          <x14:cfRule type="dataBar" id="{AE60F7AC-FF6E-4A60-B0CE-B8EC788B712B}">
            <x14:dataBar minLength="0" maxLength="100" border="1" negativeBarBorderColorSameAsPositive="0">
              <x14:cfvo type="autoMin"/>
              <x14:cfvo type="autoMax"/>
              <x14:borderColor rgb="FF638EC6"/>
              <x14:negativeFillColor rgb="FFFF0000"/>
              <x14:negativeBorderColor rgb="FFFF0000"/>
              <x14:axisColor rgb="FF000000"/>
            </x14:dataBar>
          </x14:cfRule>
          <xm:sqref>P15 P7665 P7410 P7155 P6900 P6645 P6390 P6135 P5880 P5625 P5370 P5115 P4860 P4605 P4350 P4095 P3840 P3585 P3330 P3075 P2820 P2565 P2310 P2055 P1800 P1545 P1290 P1035 P780 P525 P270</xm:sqref>
        </x14:conditionalFormatting>
        <x14:conditionalFormatting xmlns:xm="http://schemas.microsoft.com/office/excel/2006/main">
          <x14:cfRule type="dataBar" id="{84F6D087-F3D6-445B-94C3-809214E7FD05}">
            <x14:dataBar minLength="0" maxLength="100" border="1" negativeBarBorderColorSameAsPositive="0">
              <x14:cfvo type="autoMin"/>
              <x14:cfvo type="autoMax"/>
              <x14:borderColor rgb="FF638EC6"/>
              <x14:negativeFillColor rgb="FFFF0000"/>
              <x14:negativeBorderColor rgb="FFFF0000"/>
              <x14:axisColor rgb="FF000000"/>
            </x14:dataBar>
          </x14:cfRule>
          <xm:sqref>P16 P7666 P7411 P7156 P6901 P6646 P6391 P6136 P5881 P5626 P5371 P5116 P4861 P4606 P4351 P4096 P3841 P3586 P3331 P3076 P2821 P2566 P2311 P2056 P1801 P1546 P1291 P1036 P781 P526 P271</xm:sqref>
        </x14:conditionalFormatting>
        <x14:conditionalFormatting xmlns:xm="http://schemas.microsoft.com/office/excel/2006/main">
          <x14:cfRule type="dataBar" id="{F8019E84-C940-4F79-B3F8-8BA7F0DE96F2}">
            <x14:dataBar minLength="0" maxLength="100" border="1" negativeBarBorderColorSameAsPositive="0">
              <x14:cfvo type="autoMin"/>
              <x14:cfvo type="autoMax"/>
              <x14:borderColor rgb="FF638EC6"/>
              <x14:negativeFillColor rgb="FFFF0000"/>
              <x14:negativeBorderColor rgb="FFFF0000"/>
              <x14:axisColor rgb="FF000000"/>
            </x14:dataBar>
          </x14:cfRule>
          <xm:sqref>P17 P7667 P7412 P7157 P6902 P6647 P6392 P6137 P5882 P5627 P5372 P5117 P4862 P4607 P4352 P4097 P3842 P3587 P3332 P3077 P2822 P2567 P2312 P2057 P1802 P1547 P1292 P1037 P782 P527 P272</xm:sqref>
        </x14:conditionalFormatting>
        <x14:conditionalFormatting xmlns:xm="http://schemas.microsoft.com/office/excel/2006/main">
          <x14:cfRule type="dataBar" id="{54F3A0CD-6F2B-49C7-9BC6-BEB74D282249}">
            <x14:dataBar minLength="0" maxLength="100" border="1" negativeBarBorderColorSameAsPositive="0">
              <x14:cfvo type="autoMin"/>
              <x14:cfvo type="autoMax"/>
              <x14:borderColor rgb="FF638EC6"/>
              <x14:negativeFillColor rgb="FFFF0000"/>
              <x14:negativeBorderColor rgb="FFFF0000"/>
              <x14:axisColor rgb="FF000000"/>
            </x14:dataBar>
          </x14:cfRule>
          <xm:sqref>P18 P7668 P7413 P7158 P6903 P6648 P6393 P6138 P5883 P5628 P5373 P5118 P4863 P4608 P4353 P4098 P3843 P3588 P3333 P3078 P2823 P2568 P2313 P2058 P1803 P1548 P1293 P1038 P783 P528 P273</xm:sqref>
        </x14:conditionalFormatting>
        <x14:conditionalFormatting xmlns:xm="http://schemas.microsoft.com/office/excel/2006/main">
          <x14:cfRule type="dataBar" id="{523C177F-46C1-4DC4-91FB-1456F973F6FF}">
            <x14:dataBar minLength="0" maxLength="100" border="1" negativeBarBorderColorSameAsPositive="0">
              <x14:cfvo type="autoMin"/>
              <x14:cfvo type="autoMax"/>
              <x14:borderColor rgb="FF638EC6"/>
              <x14:negativeFillColor rgb="FFFF0000"/>
              <x14:negativeBorderColor rgb="FFFF0000"/>
              <x14:axisColor rgb="FF000000"/>
            </x14:dataBar>
          </x14:cfRule>
          <xm:sqref>P19 P7669 P7414 P7159 P6904 P6649 P6394 P6139 P5884 P5629 P5374 P5119 P4864 P4609 P4354 P4099 P3844 P3589 P3334 P3079 P2824 P2569 P2314 P2059 P1804 P1549 P1294 P1039 P784 P529 P274</xm:sqref>
        </x14:conditionalFormatting>
        <x14:conditionalFormatting xmlns:xm="http://schemas.microsoft.com/office/excel/2006/main">
          <x14:cfRule type="dataBar" id="{DCA601A1-70CA-4AF2-8883-FFD946A71A78}">
            <x14:dataBar minLength="0" maxLength="100" border="1" negativeBarBorderColorSameAsPositive="0">
              <x14:cfvo type="autoMin"/>
              <x14:cfvo type="autoMax"/>
              <x14:borderColor rgb="FF638EC6"/>
              <x14:negativeFillColor rgb="FFFF0000"/>
              <x14:negativeBorderColor rgb="FFFF0000"/>
              <x14:axisColor rgb="FF000000"/>
            </x14:dataBar>
          </x14:cfRule>
          <xm:sqref>P20 P7670 P7415 P7160 P6905 P6650 P6395 P6140 P5885 P5630 P5375 P5120 P4865 P4610 P4355 P4100 P3845 P3590 P3335 P3080 P2825 P2570 P2315 P2060 P1805 P1550 P1295 P1040 P785 P530 P275</xm:sqref>
        </x14:conditionalFormatting>
        <x14:conditionalFormatting xmlns:xm="http://schemas.microsoft.com/office/excel/2006/main">
          <x14:cfRule type="dataBar" id="{23E127F7-AD91-441A-AA86-3FACB4DF9443}">
            <x14:dataBar minLength="0" maxLength="100" border="1" negativeBarBorderColorSameAsPositive="0">
              <x14:cfvo type="autoMin"/>
              <x14:cfvo type="autoMax"/>
              <x14:borderColor rgb="FF638EC6"/>
              <x14:negativeFillColor rgb="FFFF0000"/>
              <x14:negativeBorderColor rgb="FFFF0000"/>
              <x14:axisColor rgb="FF000000"/>
            </x14:dataBar>
          </x14:cfRule>
          <xm:sqref>P21 P7671 P7416 P7161 P6906 P6651 P6396 P6141 P5886 P5631 P5376 P5121 P4866 P4611 P4356 P4101 P3846 P3591 P3336 P3081 P2826 P2571 P2316 P2061 P1806 P1551 P1296 P1041 P786 P531 P276</xm:sqref>
        </x14:conditionalFormatting>
        <x14:conditionalFormatting xmlns:xm="http://schemas.microsoft.com/office/excel/2006/main">
          <x14:cfRule type="dataBar" id="{C16413DD-9EDA-497E-911B-B763877022AA}">
            <x14:dataBar minLength="0" maxLength="100" border="1" negativeBarBorderColorSameAsPositive="0">
              <x14:cfvo type="autoMin"/>
              <x14:cfvo type="autoMax"/>
              <x14:borderColor rgb="FF638EC6"/>
              <x14:negativeFillColor rgb="FFFF0000"/>
              <x14:negativeBorderColor rgb="FFFF0000"/>
              <x14:axisColor rgb="FF000000"/>
            </x14:dataBar>
          </x14:cfRule>
          <xm:sqref>P22 P7672 P7417 P7162 P6907 P6652 P6397 P6142 P5887 P5632 P5377 P5122 P4867 P4612 P4357 P4102 P3847 P3592 P3337 P3082 P2827 P2572 P2317 P2062 P1807 P1552 P1297 P1042 P787 P532 P277</xm:sqref>
        </x14:conditionalFormatting>
        <x14:conditionalFormatting xmlns:xm="http://schemas.microsoft.com/office/excel/2006/main">
          <x14:cfRule type="dataBar" id="{0C915CD3-3ACF-44F9-98A5-0BFDFA94E103}">
            <x14:dataBar minLength="0" maxLength="100" border="1" negativeBarBorderColorSameAsPositive="0">
              <x14:cfvo type="autoMin"/>
              <x14:cfvo type="autoMax"/>
              <x14:borderColor rgb="FF638EC6"/>
              <x14:negativeFillColor rgb="FFFF0000"/>
              <x14:negativeBorderColor rgb="FFFF0000"/>
              <x14:axisColor rgb="FF000000"/>
            </x14:dataBar>
          </x14:cfRule>
          <xm:sqref>P23 P7673 P7418 P7163 P6908 P6653 P6398 P6143 P5888 P5633 P5378 P5123 P4868 P4613 P4358 P4103 P3848 P3593 P3338 P3083 P2828 P2573 P2318 P2063 P1808 P1553 P1298 P1043 P788 P533 P278</xm:sqref>
        </x14:conditionalFormatting>
        <x14:conditionalFormatting xmlns:xm="http://schemas.microsoft.com/office/excel/2006/main">
          <x14:cfRule type="dataBar" id="{7557DB68-20CD-43A5-B43D-947ACC192631}">
            <x14:dataBar minLength="0" maxLength="100" border="1" negativeBarBorderColorSameAsPositive="0">
              <x14:cfvo type="autoMin"/>
              <x14:cfvo type="autoMax"/>
              <x14:borderColor rgb="FF638EC6"/>
              <x14:negativeFillColor rgb="FFFF0000"/>
              <x14:negativeBorderColor rgb="FFFF0000"/>
              <x14:axisColor rgb="FF000000"/>
            </x14:dataBar>
          </x14:cfRule>
          <xm:sqref>P24 P7674 P7419 P7164 P6909 P6654 P6399 P6144 P5889 P5634 P5379 P5124 P4869 P4614 P4359 P4104 P3849 P3594 P3339 P3084 P2829 P2574 P2319 P2064 P1809 P1554 P1299 P1044 P789 P534 P279</xm:sqref>
        </x14:conditionalFormatting>
        <x14:conditionalFormatting xmlns:xm="http://schemas.microsoft.com/office/excel/2006/main">
          <x14:cfRule type="dataBar" id="{6C1FDFCA-26C6-468A-BCED-DF803FBDC3D7}">
            <x14:dataBar minLength="0" maxLength="100" border="1" negativeBarBorderColorSameAsPositive="0">
              <x14:cfvo type="autoMin"/>
              <x14:cfvo type="autoMax"/>
              <x14:borderColor rgb="FF638EC6"/>
              <x14:negativeFillColor rgb="FFFF0000"/>
              <x14:negativeBorderColor rgb="FFFF0000"/>
              <x14:axisColor rgb="FF000000"/>
            </x14:dataBar>
          </x14:cfRule>
          <xm:sqref>P25 P7675 P7420 P7165 P6910 P6655 P6400 P6145 P5890 P5635 P5380 P5125 P4870 P4615 P4360 P4105 P3850 P3595 P3340 P3085 P2830 P2575 P2320 P2065 P1810 P1555 P1300 P1045 P790 P535 P280</xm:sqref>
        </x14:conditionalFormatting>
        <x14:conditionalFormatting xmlns:xm="http://schemas.microsoft.com/office/excel/2006/main">
          <x14:cfRule type="dataBar" id="{A16D7C9C-7981-40E2-BE0C-8CC24E1A2A76}">
            <x14:dataBar minLength="0" maxLength="100" border="1" negativeBarBorderColorSameAsPositive="0">
              <x14:cfvo type="autoMin"/>
              <x14:cfvo type="autoMax"/>
              <x14:borderColor rgb="FF638EC6"/>
              <x14:negativeFillColor rgb="FFFF0000"/>
              <x14:negativeBorderColor rgb="FFFF0000"/>
              <x14:axisColor rgb="FF000000"/>
            </x14:dataBar>
          </x14:cfRule>
          <xm:sqref>P26 P7676 P7421 P7166 P6911 P6656 P6401 P6146 P5891 P5636 P5381 P5126 P4871 P4616 P4361 P4106 P3851 P3596 P3341 P3086 P2831 P2576 P2321 P2066 P1811 P1556 P1301 P1046 P791 P536 P281</xm:sqref>
        </x14:conditionalFormatting>
        <x14:conditionalFormatting xmlns:xm="http://schemas.microsoft.com/office/excel/2006/main">
          <x14:cfRule type="dataBar" id="{41D5BE8B-CD32-4DC4-9650-7222018DA22D}">
            <x14:dataBar minLength="0" maxLength="100" border="1" negativeBarBorderColorSameAsPositive="0">
              <x14:cfvo type="autoMin"/>
              <x14:cfvo type="autoMax"/>
              <x14:borderColor rgb="FF638EC6"/>
              <x14:negativeFillColor rgb="FFFF0000"/>
              <x14:negativeBorderColor rgb="FFFF0000"/>
              <x14:axisColor rgb="FF000000"/>
            </x14:dataBar>
          </x14:cfRule>
          <xm:sqref>P27 P7677 P7422 P7167 P6912 P6657 P6402 P6147 P5892 P5637 P5382 P5127 P4872 P4617 P4362 P4107 P3852 P3597 P3342 P3087 P2832 P2577 P2322 P2067 P1812 P1557 P1302 P1047 P792 P537 P282</xm:sqref>
        </x14:conditionalFormatting>
        <x14:conditionalFormatting xmlns:xm="http://schemas.microsoft.com/office/excel/2006/main">
          <x14:cfRule type="dataBar" id="{8AECAA98-CF72-4044-9A5B-8AEAB836A1A2}">
            <x14:dataBar minLength="0" maxLength="100" border="1" negativeBarBorderColorSameAsPositive="0">
              <x14:cfvo type="autoMin"/>
              <x14:cfvo type="autoMax"/>
              <x14:borderColor rgb="FF638EC6"/>
              <x14:negativeFillColor rgb="FFFF0000"/>
              <x14:negativeBorderColor rgb="FFFF0000"/>
              <x14:axisColor rgb="FF000000"/>
            </x14:dataBar>
          </x14:cfRule>
          <xm:sqref>P28 P7678 P7423 P7168 P6913 P6658 P6403 P6148 P5893 P5638 P5383 P5128 P4873 P4618 P4363 P4108 P3853 P3598 P3343 P3088 P2833 P2578 P2323 P2068 P1813 P1558 P1303 P1048 P793 P538 P283</xm:sqref>
        </x14:conditionalFormatting>
        <x14:conditionalFormatting xmlns:xm="http://schemas.microsoft.com/office/excel/2006/main">
          <x14:cfRule type="dataBar" id="{D537CF7F-8049-493F-AB77-5A9B56D131CE}">
            <x14:dataBar minLength="0" maxLength="100" border="1" negativeBarBorderColorSameAsPositive="0">
              <x14:cfvo type="autoMin"/>
              <x14:cfvo type="autoMax"/>
              <x14:borderColor rgb="FF638EC6"/>
              <x14:negativeFillColor rgb="FFFF0000"/>
              <x14:negativeBorderColor rgb="FFFF0000"/>
              <x14:axisColor rgb="FF000000"/>
            </x14:dataBar>
          </x14:cfRule>
          <xm:sqref>P29 P7679 P7424 P7169 P6914 P6659 P6404 P6149 P5894 P5639 P5384 P5129 P4874 P4619 P4364 P4109 P3854 P3599 P3344 P3089 P2834 P2579 P2324 P2069 P1814 P1559 P1304 P1049 P794 P539 P284</xm:sqref>
        </x14:conditionalFormatting>
        <x14:conditionalFormatting xmlns:xm="http://schemas.microsoft.com/office/excel/2006/main">
          <x14:cfRule type="dataBar" id="{DA06210C-30D4-430C-BE9A-1E50FF6E9EDF}">
            <x14:dataBar minLength="0" maxLength="100" border="1" negativeBarBorderColorSameAsPositive="0">
              <x14:cfvo type="autoMin"/>
              <x14:cfvo type="autoMax"/>
              <x14:borderColor rgb="FF638EC6"/>
              <x14:negativeFillColor rgb="FFFF0000"/>
              <x14:negativeBorderColor rgb="FFFF0000"/>
              <x14:axisColor rgb="FF000000"/>
            </x14:dataBar>
          </x14:cfRule>
          <xm:sqref>P30 P7680 P7425 P7170 P6915 P6660 P6405 P6150 P5895 P5640 P5385 P5130 P4875 P4620 P4365 P4110 P3855 P3600 P3345 P3090 P2835 P2580 P2325 P2070 P1815 P1560 P1305 P1050 P795 P540 P285</xm:sqref>
        </x14:conditionalFormatting>
        <x14:conditionalFormatting xmlns:xm="http://schemas.microsoft.com/office/excel/2006/main">
          <x14:cfRule type="dataBar" id="{0CED65B2-4EED-4BE8-BBA8-61453794164C}">
            <x14:dataBar minLength="0" maxLength="100" border="1" negativeBarBorderColorSameAsPositive="0">
              <x14:cfvo type="autoMin"/>
              <x14:cfvo type="autoMax"/>
              <x14:borderColor rgb="FF638EC6"/>
              <x14:negativeFillColor rgb="FFFF0000"/>
              <x14:negativeBorderColor rgb="FFFF0000"/>
              <x14:axisColor rgb="FF000000"/>
            </x14:dataBar>
          </x14:cfRule>
          <xm:sqref>P31 P7681 P7426 P7171 P6916 P6661 P6406 P6151 P5896 P5641 P5386 P5131 P4876 P4621 P4366 P4111 P3856 P3601 P3346 P3091 P2836 P2581 P2326 P2071 P1816 P1561 P1306 P1051 P796 P541 P286</xm:sqref>
        </x14:conditionalFormatting>
        <x14:conditionalFormatting xmlns:xm="http://schemas.microsoft.com/office/excel/2006/main">
          <x14:cfRule type="dataBar" id="{04C40078-AF82-4E81-8E9E-E1276C43C954}">
            <x14:dataBar minLength="0" maxLength="100" border="1" negativeBarBorderColorSameAsPositive="0">
              <x14:cfvo type="autoMin"/>
              <x14:cfvo type="autoMax"/>
              <x14:borderColor rgb="FF638EC6"/>
              <x14:negativeFillColor rgb="FFFF0000"/>
              <x14:negativeBorderColor rgb="FFFF0000"/>
              <x14:axisColor rgb="FF000000"/>
            </x14:dataBar>
          </x14:cfRule>
          <xm:sqref>P32 P7682 P7427 P7172 P6917 P6662 P6407 P6152 P5897 P5642 P5387 P5132 P4877 P4622 P4367 P4112 P3857 P3602 P3347 P3092 P2837 P2582 P2327 P2072 P1817 P1562 P1307 P1052 P797 P542 P287</xm:sqref>
        </x14:conditionalFormatting>
        <x14:conditionalFormatting xmlns:xm="http://schemas.microsoft.com/office/excel/2006/main">
          <x14:cfRule type="dataBar" id="{896DA638-9B77-4B07-9468-32C89DBDC0CE}">
            <x14:dataBar minLength="0" maxLength="100" border="1" negativeBarBorderColorSameAsPositive="0">
              <x14:cfvo type="autoMin"/>
              <x14:cfvo type="autoMax"/>
              <x14:borderColor rgb="FF638EC6"/>
              <x14:negativeFillColor rgb="FFFF0000"/>
              <x14:negativeBorderColor rgb="FFFF0000"/>
              <x14:axisColor rgb="FF000000"/>
            </x14:dataBar>
          </x14:cfRule>
          <xm:sqref>P33 P7683 P7428 P7173 P6918 P6663 P6408 P6153 P5898 P5643 P5388 P5133 P4878 P4623 P4368 P4113 P3858 P3603 P3348 P3093 P2838 P2583 P2328 P2073 P1818 P1563 P1308 P1053 P798 P543 P288</xm:sqref>
        </x14:conditionalFormatting>
        <x14:conditionalFormatting xmlns:xm="http://schemas.microsoft.com/office/excel/2006/main">
          <x14:cfRule type="dataBar" id="{CB9F78ED-8F1D-4B46-ABDC-2E3CFC81D2E4}">
            <x14:dataBar minLength="0" maxLength="100" border="1" negativeBarBorderColorSameAsPositive="0">
              <x14:cfvo type="autoMin"/>
              <x14:cfvo type="autoMax"/>
              <x14:borderColor rgb="FF638EC6"/>
              <x14:negativeFillColor rgb="FFFF0000"/>
              <x14:negativeBorderColor rgb="FFFF0000"/>
              <x14:axisColor rgb="FF000000"/>
            </x14:dataBar>
          </x14:cfRule>
          <xm:sqref>P34 P7684 P7429 P7174 P6919 P6664 P6409 P6154 P5899 P5644 P5389 P5134 P4879 P4624 P4369 P4114 P3859 P3604 P3349 P3094 P2839 P2584 P2329 P2074 P1819 P1564 P1309 P1054 P799 P544 P289</xm:sqref>
        </x14:conditionalFormatting>
        <x14:conditionalFormatting xmlns:xm="http://schemas.microsoft.com/office/excel/2006/main">
          <x14:cfRule type="dataBar" id="{396A8326-82E5-4D29-8909-67DBD8F70BCE}">
            <x14:dataBar minLength="0" maxLength="100" border="1" negativeBarBorderColorSameAsPositive="0">
              <x14:cfvo type="autoMin"/>
              <x14:cfvo type="autoMax"/>
              <x14:borderColor rgb="FF638EC6"/>
              <x14:negativeFillColor rgb="FFFF0000"/>
              <x14:negativeBorderColor rgb="FFFF0000"/>
              <x14:axisColor rgb="FF000000"/>
            </x14:dataBar>
          </x14:cfRule>
          <xm:sqref>P35 P7685 P7430 P7175 P6920 P6665 P6410 P6155 P5900 P5645 P5390 P5135 P4880 P4625 P4370 P4115 P3860 P3605 P3350 P3095 P2840 P2585 P2330 P2075 P1820 P1565 P1310 P1055 P800 P545 P290</xm:sqref>
        </x14:conditionalFormatting>
        <x14:conditionalFormatting xmlns:xm="http://schemas.microsoft.com/office/excel/2006/main">
          <x14:cfRule type="dataBar" id="{D958708B-5CB6-46EF-A251-44657CB5E0C9}">
            <x14:dataBar minLength="0" maxLength="100" border="1" negativeBarBorderColorSameAsPositive="0">
              <x14:cfvo type="autoMin"/>
              <x14:cfvo type="autoMax"/>
              <x14:borderColor rgb="FF638EC6"/>
              <x14:negativeFillColor rgb="FFFF0000"/>
              <x14:negativeBorderColor rgb="FFFF0000"/>
              <x14:axisColor rgb="FF000000"/>
            </x14:dataBar>
          </x14:cfRule>
          <xm:sqref>P36 P7686 P7431 P7176 P6921 P6666 P6411 P6156 P5901 P5646 P5391 P5136 P4881 P4626 P4371 P4116 P3861 P3606 P3351 P3096 P2841 P2586 P2331 P2076 P1821 P1566 P1311 P1056 P801 P546 P291</xm:sqref>
        </x14:conditionalFormatting>
        <x14:conditionalFormatting xmlns:xm="http://schemas.microsoft.com/office/excel/2006/main">
          <x14:cfRule type="dataBar" id="{1B842ACE-C90A-4387-BA5A-D66C4FD8854F}">
            <x14:dataBar minLength="0" maxLength="100" border="1" negativeBarBorderColorSameAsPositive="0">
              <x14:cfvo type="autoMin"/>
              <x14:cfvo type="autoMax"/>
              <x14:borderColor rgb="FF638EC6"/>
              <x14:negativeFillColor rgb="FFFF0000"/>
              <x14:negativeBorderColor rgb="FFFF0000"/>
              <x14:axisColor rgb="FF000000"/>
            </x14:dataBar>
          </x14:cfRule>
          <xm:sqref>P37 P7687 P7432 P7177 P6922 P6667 P6412 P6157 P5902 P5647 P5392 P5137 P4882 P4627 P4372 P4117 P3862 P3607 P3352 P3097 P2842 P2587 P2332 P2077 P1822 P1567 P1312 P1057 P802 P547 P292</xm:sqref>
        </x14:conditionalFormatting>
        <x14:conditionalFormatting xmlns:xm="http://schemas.microsoft.com/office/excel/2006/main">
          <x14:cfRule type="dataBar" id="{A10A8F36-83C4-4CC8-BBB2-C865E5512D84}">
            <x14:dataBar minLength="0" maxLength="100" border="1" negativeBarBorderColorSameAsPositive="0">
              <x14:cfvo type="autoMin"/>
              <x14:cfvo type="autoMax"/>
              <x14:borderColor rgb="FF638EC6"/>
              <x14:negativeFillColor rgb="FFFF0000"/>
              <x14:negativeBorderColor rgb="FFFF0000"/>
              <x14:axisColor rgb="FF000000"/>
            </x14:dataBar>
          </x14:cfRule>
          <xm:sqref>P38 P7688 P7433 P7178 P6923 P6668 P6413 P6158 P5903 P5648 P5393 P5138 P4883 P4628 P4373 P4118 P3863 P3608 P3353 P3098 P2843 P2588 P2333 P2078 P1823 P1568 P1313 P1058 P803 P548 P293</xm:sqref>
        </x14:conditionalFormatting>
        <x14:conditionalFormatting xmlns:xm="http://schemas.microsoft.com/office/excel/2006/main">
          <x14:cfRule type="dataBar" id="{79AD2E1A-19B9-447B-AC62-730084CA42D2}">
            <x14:dataBar minLength="0" maxLength="100" border="1" negativeBarBorderColorSameAsPositive="0">
              <x14:cfvo type="autoMin"/>
              <x14:cfvo type="autoMax"/>
              <x14:borderColor rgb="FF638EC6"/>
              <x14:negativeFillColor rgb="FFFF0000"/>
              <x14:negativeBorderColor rgb="FFFF0000"/>
              <x14:axisColor rgb="FF000000"/>
            </x14:dataBar>
          </x14:cfRule>
          <xm:sqref>P39 P7689 P7434 P7179 P6924 P6669 P6414 P6159 P5904 P5649 P5394 P5139 P4884 P4629 P4374 P4119 P3864 P3609 P3354 P3099 P2844 P2589 P2334 P2079 P1824 P1569 P1314 P1059 P804 P549 P294</xm:sqref>
        </x14:conditionalFormatting>
        <x14:conditionalFormatting xmlns:xm="http://schemas.microsoft.com/office/excel/2006/main">
          <x14:cfRule type="dataBar" id="{A2DC1D25-F7C9-48F8-BF8D-9766322BB1FE}">
            <x14:dataBar minLength="0" maxLength="100" border="1" negativeBarBorderColorSameAsPositive="0">
              <x14:cfvo type="autoMin"/>
              <x14:cfvo type="autoMax"/>
              <x14:borderColor rgb="FF638EC6"/>
              <x14:negativeFillColor rgb="FFFF0000"/>
              <x14:negativeBorderColor rgb="FFFF0000"/>
              <x14:axisColor rgb="FF000000"/>
            </x14:dataBar>
          </x14:cfRule>
          <xm:sqref>P40 P7690 P7435 P7180 P6925 P6670 P6415 P6160 P5905 P5650 P5395 P5140 P4885 P4630 P4375 P4120 P3865 P3610 P3355 P3100 P2845 P2590 P2335 P2080 P1825 P1570 P1315 P1060 P805 P550 P295</xm:sqref>
        </x14:conditionalFormatting>
        <x14:conditionalFormatting xmlns:xm="http://schemas.microsoft.com/office/excel/2006/main">
          <x14:cfRule type="dataBar" id="{B9CAFDA4-17BD-476B-9FB8-3A3FD9153204}">
            <x14:dataBar minLength="0" maxLength="100" border="1" negativeBarBorderColorSameAsPositive="0">
              <x14:cfvo type="autoMin"/>
              <x14:cfvo type="autoMax"/>
              <x14:borderColor rgb="FF638EC6"/>
              <x14:negativeFillColor rgb="FFFF0000"/>
              <x14:negativeBorderColor rgb="FFFF0000"/>
              <x14:axisColor rgb="FF000000"/>
            </x14:dataBar>
          </x14:cfRule>
          <xm:sqref>P41 P7691 P7436 P7181 P6926 P6671 P6416 P6161 P5906 P5651 P5396 P5141 P4886 P4631 P4376 P4121 P3866 P3611 P3356 P3101 P2846 P2591 P2336 P2081 P1826 P1571 P1316 P1061 P806 P551 P296</xm:sqref>
        </x14:conditionalFormatting>
        <x14:conditionalFormatting xmlns:xm="http://schemas.microsoft.com/office/excel/2006/main">
          <x14:cfRule type="dataBar" id="{33CB3C8C-C52A-44A0-8E0A-467B8C25615D}">
            <x14:dataBar minLength="0" maxLength="100" border="1" negativeBarBorderColorSameAsPositive="0">
              <x14:cfvo type="autoMin"/>
              <x14:cfvo type="autoMax"/>
              <x14:borderColor rgb="FF638EC6"/>
              <x14:negativeFillColor rgb="FFFF0000"/>
              <x14:negativeBorderColor rgb="FFFF0000"/>
              <x14:axisColor rgb="FF000000"/>
            </x14:dataBar>
          </x14:cfRule>
          <xm:sqref>P42 P7692 P7437 P7182 P6927 P6672 P6417 P6162 P5907 P5652 P5397 P5142 P4887 P4632 P4377 P4122 P3867 P3612 P3357 P3102 P2847 P2592 P2337 P2082 P1827 P1572 P1317 P1062 P807 P552 P297</xm:sqref>
        </x14:conditionalFormatting>
        <x14:conditionalFormatting xmlns:xm="http://schemas.microsoft.com/office/excel/2006/main">
          <x14:cfRule type="dataBar" id="{84F9BBE2-95F8-4B12-B292-E3DCA3751174}">
            <x14:dataBar minLength="0" maxLength="100" border="1" negativeBarBorderColorSameAsPositive="0">
              <x14:cfvo type="autoMin"/>
              <x14:cfvo type="autoMax"/>
              <x14:borderColor rgb="FF638EC6"/>
              <x14:negativeFillColor rgb="FFFF0000"/>
              <x14:negativeBorderColor rgb="FFFF0000"/>
              <x14:axisColor rgb="FF000000"/>
            </x14:dataBar>
          </x14:cfRule>
          <xm:sqref>P43 P7693 P7438 P7183 P6928 P6673 P6418 P6163 P5908 P5653 P5398 P5143 P4888 P4633 P4378 P4123 P3868 P3613 P3358 P3103 P2848 P2593 P2338 P2083 P1828 P1573 P1318 P1063 P808 P553 P298</xm:sqref>
        </x14:conditionalFormatting>
        <x14:conditionalFormatting xmlns:xm="http://schemas.microsoft.com/office/excel/2006/main">
          <x14:cfRule type="dataBar" id="{B9D845F7-00FD-4DA9-B103-1CD90C6DEEBC}">
            <x14:dataBar minLength="0" maxLength="100" border="1" negativeBarBorderColorSameAsPositive="0">
              <x14:cfvo type="autoMin"/>
              <x14:cfvo type="autoMax"/>
              <x14:borderColor rgb="FF638EC6"/>
              <x14:negativeFillColor rgb="FFFF0000"/>
              <x14:negativeBorderColor rgb="FFFF0000"/>
              <x14:axisColor rgb="FF000000"/>
            </x14:dataBar>
          </x14:cfRule>
          <xm:sqref>P44 P7694 P7439 P7184 P6929 P6674 P6419 P6164 P5909 P5654 P5399 P5144 P4889 P4634 P4379 P4124 P3869 P3614 P3359 P3104 P2849 P2594 P2339 P2084 P1829 P1574 P1319 P1064 P809 P554 P299</xm:sqref>
        </x14:conditionalFormatting>
        <x14:conditionalFormatting xmlns:xm="http://schemas.microsoft.com/office/excel/2006/main">
          <x14:cfRule type="dataBar" id="{24B40495-F227-4730-A750-D031880AD184}">
            <x14:dataBar minLength="0" maxLength="100" border="1" negativeBarBorderColorSameAsPositive="0">
              <x14:cfvo type="autoMin"/>
              <x14:cfvo type="autoMax"/>
              <x14:borderColor rgb="FF638EC6"/>
              <x14:negativeFillColor rgb="FFFF0000"/>
              <x14:negativeBorderColor rgb="FFFF0000"/>
              <x14:axisColor rgb="FF000000"/>
            </x14:dataBar>
          </x14:cfRule>
          <xm:sqref>P45 P7695 P7440 P7185 P6930 P6675 P6420 P6165 P5910 P5655 P5400 P5145 P4890 P4635 P4380 P4125 P3870 P3615 P3360 P3105 P2850 P2595 P2340 P2085 P1830 P1575 P1320 P1065 P810 P555 P300</xm:sqref>
        </x14:conditionalFormatting>
        <x14:conditionalFormatting xmlns:xm="http://schemas.microsoft.com/office/excel/2006/main">
          <x14:cfRule type="dataBar" id="{9BF34FBE-FA5A-4F03-91DF-43C9692F9ABD}">
            <x14:dataBar minLength="0" maxLength="100" border="1" negativeBarBorderColorSameAsPositive="0">
              <x14:cfvo type="autoMin"/>
              <x14:cfvo type="autoMax"/>
              <x14:borderColor rgb="FF638EC6"/>
              <x14:negativeFillColor rgb="FFFF0000"/>
              <x14:negativeBorderColor rgb="FFFF0000"/>
              <x14:axisColor rgb="FF000000"/>
            </x14:dataBar>
          </x14:cfRule>
          <xm:sqref>P46 P7696 P7441 P7186 P6931 P6676 P6421 P6166 P5911 P5656 P5401 P5146 P4891 P4636 P4381 P4126 P3871 P3616 P3361 P3106 P2851 P2596 P2341 P2086 P1831 P1576 P1321 P1066 P811 P556 P301</xm:sqref>
        </x14:conditionalFormatting>
        <x14:conditionalFormatting xmlns:xm="http://schemas.microsoft.com/office/excel/2006/main">
          <x14:cfRule type="dataBar" id="{077C2C14-7F9B-4678-A866-1FA4366BFD6B}">
            <x14:dataBar minLength="0" maxLength="100" border="1" negativeBarBorderColorSameAsPositive="0">
              <x14:cfvo type="autoMin"/>
              <x14:cfvo type="autoMax"/>
              <x14:borderColor rgb="FF638EC6"/>
              <x14:negativeFillColor rgb="FFFF0000"/>
              <x14:negativeBorderColor rgb="FFFF0000"/>
              <x14:axisColor rgb="FF000000"/>
            </x14:dataBar>
          </x14:cfRule>
          <xm:sqref>P47 P7697 P7442 P7187 P6932 P6677 P6422 P6167 P5912 P5657 P5402 P5147 P4892 P4637 P4382 P4127 P3872 P3617 P3362 P3107 P2852 P2597 P2342 P2087 P1832 P1577 P1322 P1067 P812 P557 P302</xm:sqref>
        </x14:conditionalFormatting>
        <x14:conditionalFormatting xmlns:xm="http://schemas.microsoft.com/office/excel/2006/main">
          <x14:cfRule type="dataBar" id="{850325E4-0D3B-4CDD-B60E-F9C9B1D0AA9C}">
            <x14:dataBar minLength="0" maxLength="100" border="1" negativeBarBorderColorSameAsPositive="0">
              <x14:cfvo type="autoMin"/>
              <x14:cfvo type="autoMax"/>
              <x14:borderColor rgb="FF638EC6"/>
              <x14:negativeFillColor rgb="FFFF0000"/>
              <x14:negativeBorderColor rgb="FFFF0000"/>
              <x14:axisColor rgb="FF000000"/>
            </x14:dataBar>
          </x14:cfRule>
          <xm:sqref>P48 P7698 P7443 P7188 P6933 P6678 P6423 P6168 P5913 P5658 P5403 P5148 P4893 P4638 P4383 P4128 P3873 P3618 P3363 P3108 P2853 P2598 P2343 P2088 P1833 P1578 P1323 P1068 P813 P558 P303</xm:sqref>
        </x14:conditionalFormatting>
        <x14:conditionalFormatting xmlns:xm="http://schemas.microsoft.com/office/excel/2006/main">
          <x14:cfRule type="dataBar" id="{681272BD-3965-442C-BA93-295C90254BCB}">
            <x14:dataBar minLength="0" maxLength="100" border="1" negativeBarBorderColorSameAsPositive="0">
              <x14:cfvo type="autoMin"/>
              <x14:cfvo type="autoMax"/>
              <x14:borderColor rgb="FF638EC6"/>
              <x14:negativeFillColor rgb="FFFF0000"/>
              <x14:negativeBorderColor rgb="FFFF0000"/>
              <x14:axisColor rgb="FF000000"/>
            </x14:dataBar>
          </x14:cfRule>
          <xm:sqref>P49 P7699 P7444 P7189 P6934 P6679 P6424 P6169 P5914 P5659 P5404 P5149 P4894 P4639 P4384 P4129 P3874 P3619 P3364 P3109 P2854 P2599 P2344 P2089 P1834 P1579 P1324 P1069 P814 P559 P304</xm:sqref>
        </x14:conditionalFormatting>
        <x14:conditionalFormatting xmlns:xm="http://schemas.microsoft.com/office/excel/2006/main">
          <x14:cfRule type="dataBar" id="{772E61DE-6622-4A9D-A042-01DAEAEA4BBB}">
            <x14:dataBar minLength="0" maxLength="100" border="1" negativeBarBorderColorSameAsPositive="0">
              <x14:cfvo type="autoMin"/>
              <x14:cfvo type="autoMax"/>
              <x14:borderColor rgb="FF638EC6"/>
              <x14:negativeFillColor rgb="FFFF0000"/>
              <x14:negativeBorderColor rgb="FFFF0000"/>
              <x14:axisColor rgb="FF000000"/>
            </x14:dataBar>
          </x14:cfRule>
          <xm:sqref>P50 P7700 P7445 P7190 P6935 P6680 P6425 P6170 P5915 P5660 P5405 P5150 P4895 P4640 P4385 P4130 P3875 P3620 P3365 P3110 P2855 P2600 P2345 P2090 P1835 P1580 P1325 P1070 P815 P560 P305</xm:sqref>
        </x14:conditionalFormatting>
        <x14:conditionalFormatting xmlns:xm="http://schemas.microsoft.com/office/excel/2006/main">
          <x14:cfRule type="dataBar" id="{FDB6DEFD-42D2-4829-98B0-B36E14F7E6A5}">
            <x14:dataBar minLength="0" maxLength="100" border="1" negativeBarBorderColorSameAsPositive="0">
              <x14:cfvo type="autoMin"/>
              <x14:cfvo type="autoMax"/>
              <x14:borderColor rgb="FF638EC6"/>
              <x14:negativeFillColor rgb="FFFF0000"/>
              <x14:negativeBorderColor rgb="FFFF0000"/>
              <x14:axisColor rgb="FF000000"/>
            </x14:dataBar>
          </x14:cfRule>
          <xm:sqref>P51 P7701 P7446 P7191 P6936 P6681 P6426 P6171 P5916 P5661 P5406 P5151 P4896 P4641 P4386 P4131 P3876 P3621 P3366 P3111 P2856 P2601 P2346 P2091 P1836 P1581 P1326 P1071 P816 P561 P306</xm:sqref>
        </x14:conditionalFormatting>
        <x14:conditionalFormatting xmlns:xm="http://schemas.microsoft.com/office/excel/2006/main">
          <x14:cfRule type="dataBar" id="{C050FE6D-D894-49A2-B9EE-1488BFDF9076}">
            <x14:dataBar minLength="0" maxLength="100" border="1" negativeBarBorderColorSameAsPositive="0">
              <x14:cfvo type="autoMin"/>
              <x14:cfvo type="autoMax"/>
              <x14:borderColor rgb="FF638EC6"/>
              <x14:negativeFillColor rgb="FFFF0000"/>
              <x14:negativeBorderColor rgb="FFFF0000"/>
              <x14:axisColor rgb="FF000000"/>
            </x14:dataBar>
          </x14:cfRule>
          <xm:sqref>P52 P7702 P7447 P7192 P6937 P6682 P6427 P6172 P5917 P5662 P5407 P5152 P4897 P4642 P4387 P4132 P3877 P3622 P3367 P3112 P2857 P2602 P2347 P2092 P1837 P1582 P1327 P1072 P817 P562 P307</xm:sqref>
        </x14:conditionalFormatting>
        <x14:conditionalFormatting xmlns:xm="http://schemas.microsoft.com/office/excel/2006/main">
          <x14:cfRule type="dataBar" id="{4A0C8FC0-C170-429B-819E-21449AEED354}">
            <x14:dataBar minLength="0" maxLength="100" border="1" negativeBarBorderColorSameAsPositive="0">
              <x14:cfvo type="autoMin"/>
              <x14:cfvo type="autoMax"/>
              <x14:borderColor rgb="FF638EC6"/>
              <x14:negativeFillColor rgb="FFFF0000"/>
              <x14:negativeBorderColor rgb="FFFF0000"/>
              <x14:axisColor rgb="FF000000"/>
            </x14:dataBar>
          </x14:cfRule>
          <xm:sqref>P53 P7703 P7448 P7193 P6938 P6683 P6428 P6173 P5918 P5663 P5408 P5153 P4898 P4643 P4388 P4133 P3878 P3623 P3368 P3113 P2858 P2603 P2348 P2093 P1838 P1583 P1328 P1073 P818 P563 P308</xm:sqref>
        </x14:conditionalFormatting>
        <x14:conditionalFormatting xmlns:xm="http://schemas.microsoft.com/office/excel/2006/main">
          <x14:cfRule type="dataBar" id="{35B8C93A-FC3F-4C7D-BDBC-D4D43B40750E}">
            <x14:dataBar minLength="0" maxLength="100" border="1" negativeBarBorderColorSameAsPositive="0">
              <x14:cfvo type="autoMin"/>
              <x14:cfvo type="autoMax"/>
              <x14:borderColor rgb="FF638EC6"/>
              <x14:negativeFillColor rgb="FFFF0000"/>
              <x14:negativeBorderColor rgb="FFFF0000"/>
              <x14:axisColor rgb="FF000000"/>
            </x14:dataBar>
          </x14:cfRule>
          <xm:sqref>P54 P7704 P7449 P7194 P6939 P6684 P6429 P6174 P5919 P5664 P5409 P5154 P4899 P4644 P4389 P4134 P3879 P3624 P3369 P3114 P2859 P2604 P2349 P2094 P1839 P1584 P1329 P1074 P819 P564 P309</xm:sqref>
        </x14:conditionalFormatting>
        <x14:conditionalFormatting xmlns:xm="http://schemas.microsoft.com/office/excel/2006/main">
          <x14:cfRule type="dataBar" id="{B2D695B2-438F-4438-91DF-B4968D5DAA28}">
            <x14:dataBar minLength="0" maxLength="100" border="1" negativeBarBorderColorSameAsPositive="0">
              <x14:cfvo type="autoMin"/>
              <x14:cfvo type="autoMax"/>
              <x14:borderColor rgb="FF638EC6"/>
              <x14:negativeFillColor rgb="FFFF0000"/>
              <x14:negativeBorderColor rgb="FFFF0000"/>
              <x14:axisColor rgb="FF000000"/>
            </x14:dataBar>
          </x14:cfRule>
          <xm:sqref>P55 P7705 P7450 P7195 P6940 P6685 P6430 P6175 P5920 P5665 P5410 P5155 P4900 P4645 P4390 P4135 P3880 P3625 P3370 P3115 P2860 P2605 P2350 P2095 P1840 P1585 P1330 P1075 P820 P565 P310</xm:sqref>
        </x14:conditionalFormatting>
        <x14:conditionalFormatting xmlns:xm="http://schemas.microsoft.com/office/excel/2006/main">
          <x14:cfRule type="dataBar" id="{D78A0B96-5AE1-44BB-8ADD-1C5A4AA71987}">
            <x14:dataBar minLength="0" maxLength="100" border="1" negativeBarBorderColorSameAsPositive="0">
              <x14:cfvo type="autoMin"/>
              <x14:cfvo type="autoMax"/>
              <x14:borderColor rgb="FF638EC6"/>
              <x14:negativeFillColor rgb="FFFF0000"/>
              <x14:negativeBorderColor rgb="FFFF0000"/>
              <x14:axisColor rgb="FF000000"/>
            </x14:dataBar>
          </x14:cfRule>
          <xm:sqref>P56 P7706 P7451 P7196 P6941 P6686 P6431 P6176 P5921 P5666 P5411 P5156 P4901 P4646 P4391 P4136 P3881 P3626 P3371 P3116 P2861 P2606 P2351 P2096 P1841 P1586 P1331 P1076 P821 P566 P311</xm:sqref>
        </x14:conditionalFormatting>
        <x14:conditionalFormatting xmlns:xm="http://schemas.microsoft.com/office/excel/2006/main">
          <x14:cfRule type="dataBar" id="{D3A44C1E-0194-425C-84C9-4CAEF5988741}">
            <x14:dataBar minLength="0" maxLength="100" border="1" negativeBarBorderColorSameAsPositive="0">
              <x14:cfvo type="autoMin"/>
              <x14:cfvo type="autoMax"/>
              <x14:borderColor rgb="FF638EC6"/>
              <x14:negativeFillColor rgb="FFFF0000"/>
              <x14:negativeBorderColor rgb="FFFF0000"/>
              <x14:axisColor rgb="FF000000"/>
            </x14:dataBar>
          </x14:cfRule>
          <xm:sqref>P57 P7707 P7452 P7197 P6942 P6687 P6432 P6177 P5922 P5667 P5412 P5157 P4902 P4647 P4392 P4137 P3882 P3627 P3372 P3117 P2862 P2607 P2352 P2097 P1842 P1587 P1332 P1077 P822 P567 P312</xm:sqref>
        </x14:conditionalFormatting>
        <x14:conditionalFormatting xmlns:xm="http://schemas.microsoft.com/office/excel/2006/main">
          <x14:cfRule type="dataBar" id="{2DED0269-892F-44C6-97ED-57140C423E60}">
            <x14:dataBar minLength="0" maxLength="100" border="1" negativeBarBorderColorSameAsPositive="0">
              <x14:cfvo type="autoMin"/>
              <x14:cfvo type="autoMax"/>
              <x14:borderColor rgb="FF638EC6"/>
              <x14:negativeFillColor rgb="FFFF0000"/>
              <x14:negativeBorderColor rgb="FFFF0000"/>
              <x14:axisColor rgb="FF000000"/>
            </x14:dataBar>
          </x14:cfRule>
          <xm:sqref>P62 P7712 P7457 P7202 P6947 P6692 P6437 P6182 P5927 P5672 P5417 P5162 P4907 P4652 P4397 P4142 P3887 P3632 P3377 P3122 P2867 P2612 P2357 P2102 P1847 P1592 P1337 P1082 P827 P572 P317</xm:sqref>
        </x14:conditionalFormatting>
        <x14:conditionalFormatting xmlns:xm="http://schemas.microsoft.com/office/excel/2006/main">
          <x14:cfRule type="dataBar" id="{0F5C3DDA-CA45-40B2-B5B6-DBCE4BE79FC7}">
            <x14:dataBar minLength="0" maxLength="100" border="1" negativeBarBorderColorSameAsPositive="0">
              <x14:cfvo type="autoMin"/>
              <x14:cfvo type="autoMax"/>
              <x14:borderColor rgb="FF638EC6"/>
              <x14:negativeFillColor rgb="FFFF0000"/>
              <x14:negativeBorderColor rgb="FFFF0000"/>
              <x14:axisColor rgb="FF000000"/>
            </x14:dataBar>
          </x14:cfRule>
          <xm:sqref>P63 P7713 P7458 P7203 P6948 P6693 P6438 P6183 P5928 P5673 P5418 P5163 P4908 P4653 P4398 P4143 P3888 P3633 P3378 P3123 P2868 P2613 P2358 P2103 P1848 P1593 P1338 P1083 P828 P573 P318</xm:sqref>
        </x14:conditionalFormatting>
        <x14:conditionalFormatting xmlns:xm="http://schemas.microsoft.com/office/excel/2006/main">
          <x14:cfRule type="dataBar" id="{C896E289-4277-42DD-A9DE-F8A53D138CF7}">
            <x14:dataBar minLength="0" maxLength="100" border="1" negativeBarBorderColorSameAsPositive="0">
              <x14:cfvo type="autoMin"/>
              <x14:cfvo type="autoMax"/>
              <x14:borderColor rgb="FF638EC6"/>
              <x14:negativeFillColor rgb="FFFF0000"/>
              <x14:negativeBorderColor rgb="FFFF0000"/>
              <x14:axisColor rgb="FF000000"/>
            </x14:dataBar>
          </x14:cfRule>
          <xm:sqref>P64 P7714 P7459 P7204 P6949 P6694 P6439 P6184 P5929 P5674 P5419 P5164 P4909 P4654 P4399 P4144 P3889 P3634 P3379 P3124 P2869 P2614 P2359 P2104 P1849 P1594 P1339 P1084 P829 P574 P319</xm:sqref>
        </x14:conditionalFormatting>
        <x14:conditionalFormatting xmlns:xm="http://schemas.microsoft.com/office/excel/2006/main">
          <x14:cfRule type="dataBar" id="{E470A47D-02CF-4165-BACC-4ABACF0D7B22}">
            <x14:dataBar minLength="0" maxLength="100" border="1" negativeBarBorderColorSameAsPositive="0">
              <x14:cfvo type="autoMin"/>
              <x14:cfvo type="autoMax"/>
              <x14:borderColor rgb="FF638EC6"/>
              <x14:negativeFillColor rgb="FFFF0000"/>
              <x14:negativeBorderColor rgb="FFFF0000"/>
              <x14:axisColor rgb="FF000000"/>
            </x14:dataBar>
          </x14:cfRule>
          <xm:sqref>P65 P7715 P7460 P7205 P6950 P6695 P6440 P6185 P5930 P5675 P5420 P5165 P4910 P4655 P4400 P4145 P3890 P3635 P3380 P3125 P2870 P2615 P2360 P2105 P1850 P1595 P1340 P1085 P830 P575 P320</xm:sqref>
        </x14:conditionalFormatting>
        <x14:conditionalFormatting xmlns:xm="http://schemas.microsoft.com/office/excel/2006/main">
          <x14:cfRule type="dataBar" id="{FF7BAD83-0B24-475F-96E8-7E9475B689DF}">
            <x14:dataBar minLength="0" maxLength="100" border="1" negativeBarBorderColorSameAsPositive="0">
              <x14:cfvo type="autoMin"/>
              <x14:cfvo type="autoMax"/>
              <x14:borderColor rgb="FF638EC6"/>
              <x14:negativeFillColor rgb="FFFF0000"/>
              <x14:negativeBorderColor rgb="FFFF0000"/>
              <x14:axisColor rgb="FF000000"/>
            </x14:dataBar>
          </x14:cfRule>
          <xm:sqref>P66 P7716 P7461 P7206 P6951 P6696 P6441 P6186 P5931 P5676 P5421 P5166 P4911 P4656 P4401 P4146 P3891 P3636 P3381 P3126 P2871 P2616 P2361 P2106 P1851 P1596 P1341 P1086 P831 P576 P321</xm:sqref>
        </x14:conditionalFormatting>
        <x14:conditionalFormatting xmlns:xm="http://schemas.microsoft.com/office/excel/2006/main">
          <x14:cfRule type="dataBar" id="{2AE405D2-4950-4E76-BAD5-9DB231732AA0}">
            <x14:dataBar minLength="0" maxLength="100" border="1" negativeBarBorderColorSameAsPositive="0">
              <x14:cfvo type="autoMin"/>
              <x14:cfvo type="autoMax"/>
              <x14:borderColor rgb="FF638EC6"/>
              <x14:negativeFillColor rgb="FFFF0000"/>
              <x14:negativeBorderColor rgb="FFFF0000"/>
              <x14:axisColor rgb="FF000000"/>
            </x14:dataBar>
          </x14:cfRule>
          <xm:sqref>P67 P7717 P7462 P7207 P6952 P6697 P6442 P6187 P5932 P5677 P5422 P5167 P4912 P4657 P4402 P4147 P3892 P3637 P3382 P3127 P2872 P2617 P2362 P2107 P1852 P1597 P1342 P1087 P832 P577 P322</xm:sqref>
        </x14:conditionalFormatting>
        <x14:conditionalFormatting xmlns:xm="http://schemas.microsoft.com/office/excel/2006/main">
          <x14:cfRule type="dataBar" id="{5163040E-58C2-4041-9CD7-E9E5A7A6554B}">
            <x14:dataBar minLength="0" maxLength="100" border="1" negativeBarBorderColorSameAsPositive="0">
              <x14:cfvo type="autoMin"/>
              <x14:cfvo type="autoMax"/>
              <x14:borderColor rgb="FF638EC6"/>
              <x14:negativeFillColor rgb="FFFF0000"/>
              <x14:negativeBorderColor rgb="FFFF0000"/>
              <x14:axisColor rgb="FF000000"/>
            </x14:dataBar>
          </x14:cfRule>
          <xm:sqref>P68 P7718 P7463 P7208 P6953 P6698 P6443 P6188 P5933 P5678 P5423 P5168 P4913 P4658 P4403 P4148 P3893 P3638 P3383 P3128 P2873 P2618 P2363 P2108 P1853 P1598 P1343 P1088 P833 P578 P323</xm:sqref>
        </x14:conditionalFormatting>
        <x14:conditionalFormatting xmlns:xm="http://schemas.microsoft.com/office/excel/2006/main">
          <x14:cfRule type="dataBar" id="{C913FF0A-D5AD-4E8C-BE13-E16509BDC695}">
            <x14:dataBar minLength="0" maxLength="100" border="1" negativeBarBorderColorSameAsPositive="0">
              <x14:cfvo type="autoMin"/>
              <x14:cfvo type="autoMax"/>
              <x14:borderColor rgb="FF638EC6"/>
              <x14:negativeFillColor rgb="FFFF0000"/>
              <x14:negativeBorderColor rgb="FFFF0000"/>
              <x14:axisColor rgb="FF000000"/>
            </x14:dataBar>
          </x14:cfRule>
          <xm:sqref>P69 P7719 P7464 P7209 P6954 P6699 P6444 P6189 P5934 P5679 P5424 P5169 P4914 P4659 P4404 P4149 P3894 P3639 P3384 P3129 P2874 P2619 P2364 P2109 P1854 P1599 P1344 P1089 P834 P579 P324</xm:sqref>
        </x14:conditionalFormatting>
        <x14:conditionalFormatting xmlns:xm="http://schemas.microsoft.com/office/excel/2006/main">
          <x14:cfRule type="dataBar" id="{D6501DBF-D217-453E-A36B-3E2500FCC2DE}">
            <x14:dataBar minLength="0" maxLength="100" border="1" negativeBarBorderColorSameAsPositive="0">
              <x14:cfvo type="autoMin"/>
              <x14:cfvo type="autoMax"/>
              <x14:borderColor rgb="FF638EC6"/>
              <x14:negativeFillColor rgb="FFFF0000"/>
              <x14:negativeBorderColor rgb="FFFF0000"/>
              <x14:axisColor rgb="FF000000"/>
            </x14:dataBar>
          </x14:cfRule>
          <xm:sqref>P70 P7720 P7465 P7210 P6955 P6700 P6445 P6190 P5935 P5680 P5425 P5170 P4915 P4660 P4405 P4150 P3895 P3640 P3385 P3130 P2875 P2620 P2365 P2110 P1855 P1600 P1345 P1090 P835 P580 P325</xm:sqref>
        </x14:conditionalFormatting>
        <x14:conditionalFormatting xmlns:xm="http://schemas.microsoft.com/office/excel/2006/main">
          <x14:cfRule type="dataBar" id="{9F914A30-E505-41B3-B9B1-0643F5168BBB}">
            <x14:dataBar minLength="0" maxLength="100" border="1" negativeBarBorderColorSameAsPositive="0">
              <x14:cfvo type="autoMin"/>
              <x14:cfvo type="autoMax"/>
              <x14:borderColor rgb="FF638EC6"/>
              <x14:negativeFillColor rgb="FFFF0000"/>
              <x14:negativeBorderColor rgb="FFFF0000"/>
              <x14:axisColor rgb="FF000000"/>
            </x14:dataBar>
          </x14:cfRule>
          <xm:sqref>P71 P7721 P7466 P7211 P6956 P6701 P6446 P6191 P5936 P5681 P5426 P5171 P4916 P4661 P4406 P4151 P3896 P3641 P3386 P3131 P2876 P2621 P2366 P2111 P1856 P1601 P1346 P1091 P836 P581 P326</xm:sqref>
        </x14:conditionalFormatting>
        <x14:conditionalFormatting xmlns:xm="http://schemas.microsoft.com/office/excel/2006/main">
          <x14:cfRule type="dataBar" id="{79DD245C-E0BD-40B2-860D-64F8CA325E64}">
            <x14:dataBar minLength="0" maxLength="100" border="1" negativeBarBorderColorSameAsPositive="0">
              <x14:cfvo type="autoMin"/>
              <x14:cfvo type="autoMax"/>
              <x14:borderColor rgb="FF638EC6"/>
              <x14:negativeFillColor rgb="FFFF0000"/>
              <x14:negativeBorderColor rgb="FFFF0000"/>
              <x14:axisColor rgb="FF000000"/>
            </x14:dataBar>
          </x14:cfRule>
          <xm:sqref>P72 P7722 P7467 P7212 P6957 P6702 P6447 P6192 P5937 P5682 P5427 P5172 P4917 P4662 P4407 P4152 P3897 P3642 P3387 P3132 P2877 P2622 P2367 P2112 P1857 P1602 P1347 P1092 P837 P582 P327</xm:sqref>
        </x14:conditionalFormatting>
        <x14:conditionalFormatting xmlns:xm="http://schemas.microsoft.com/office/excel/2006/main">
          <x14:cfRule type="dataBar" id="{20DBE604-A300-4555-B177-368FCDD8B9EF}">
            <x14:dataBar minLength="0" maxLength="100" border="1" negativeBarBorderColorSameAsPositive="0">
              <x14:cfvo type="autoMin"/>
              <x14:cfvo type="autoMax"/>
              <x14:borderColor rgb="FF638EC6"/>
              <x14:negativeFillColor rgb="FFFF0000"/>
              <x14:negativeBorderColor rgb="FFFF0000"/>
              <x14:axisColor rgb="FF000000"/>
            </x14:dataBar>
          </x14:cfRule>
          <xm:sqref>P73 P7723 P7468 P7213 P6958 P6703 P6448 P6193 P5938 P5683 P5428 P5173 P4918 P4663 P4408 P4153 P3898 P3643 P3388 P3133 P2878 P2623 P2368 P2113 P1858 P1603 P1348 P1093 P838 P583 P328</xm:sqref>
        </x14:conditionalFormatting>
        <x14:conditionalFormatting xmlns:xm="http://schemas.microsoft.com/office/excel/2006/main">
          <x14:cfRule type="dataBar" id="{C722AEED-33ED-48DA-A590-E40C698B4DD4}">
            <x14:dataBar minLength="0" maxLength="100" border="1" negativeBarBorderColorSameAsPositive="0">
              <x14:cfvo type="autoMin"/>
              <x14:cfvo type="autoMax"/>
              <x14:borderColor rgb="FF638EC6"/>
              <x14:negativeFillColor rgb="FFFF0000"/>
              <x14:negativeBorderColor rgb="FFFF0000"/>
              <x14:axisColor rgb="FF000000"/>
            </x14:dataBar>
          </x14:cfRule>
          <xm:sqref>P74 P7724 P7469 P7214 P6959 P6704 P6449 P6194 P5939 P5684 P5429 P5174 P4919 P4664 P4409 P4154 P3899 P3644 P3389 P3134 P2879 P2624 P2369 P2114 P1859 P1604 P1349 P1094 P839 P584 P329</xm:sqref>
        </x14:conditionalFormatting>
        <x14:conditionalFormatting xmlns:xm="http://schemas.microsoft.com/office/excel/2006/main">
          <x14:cfRule type="dataBar" id="{356499B2-4E24-478F-A85D-C98972D26DEC}">
            <x14:dataBar minLength="0" maxLength="100" border="1" negativeBarBorderColorSameAsPositive="0">
              <x14:cfvo type="autoMin"/>
              <x14:cfvo type="autoMax"/>
              <x14:borderColor rgb="FF638EC6"/>
              <x14:negativeFillColor rgb="FFFF0000"/>
              <x14:negativeBorderColor rgb="FFFF0000"/>
              <x14:axisColor rgb="FF000000"/>
            </x14:dataBar>
          </x14:cfRule>
          <xm:sqref>P75 P7725 P7470 P7215 P6960 P6705 P6450 P6195 P5940 P5685 P5430 P5175 P4920 P4665 P4410 P4155 P3900 P3645 P3390 P3135 P2880 P2625 P2370 P2115 P1860 P1605 P1350 P1095 P840 P585 P330</xm:sqref>
        </x14:conditionalFormatting>
        <x14:conditionalFormatting xmlns:xm="http://schemas.microsoft.com/office/excel/2006/main">
          <x14:cfRule type="dataBar" id="{D97D11A8-1D5B-426A-A36F-EA4904591BD9}">
            <x14:dataBar minLength="0" maxLength="100" border="1" negativeBarBorderColorSameAsPositive="0">
              <x14:cfvo type="autoMin"/>
              <x14:cfvo type="autoMax"/>
              <x14:borderColor rgb="FF638EC6"/>
              <x14:negativeFillColor rgb="FFFF0000"/>
              <x14:negativeBorderColor rgb="FFFF0000"/>
              <x14:axisColor rgb="FF000000"/>
            </x14:dataBar>
          </x14:cfRule>
          <xm:sqref>P76 P7726 P7471 P7216 P6961 P6706 P6451 P6196 P5941 P5686 P5431 P5176 P4921 P4666 P4411 P4156 P3901 P3646 P3391 P3136 P2881 P2626 P2371 P2116 P1861 P1606 P1351 P1096 P841 P586 P331</xm:sqref>
        </x14:conditionalFormatting>
        <x14:conditionalFormatting xmlns:xm="http://schemas.microsoft.com/office/excel/2006/main">
          <x14:cfRule type="dataBar" id="{73F4BBB9-C1CE-4548-9302-C243E4C42760}">
            <x14:dataBar minLength="0" maxLength="100" border="1" negativeBarBorderColorSameAsPositive="0">
              <x14:cfvo type="autoMin"/>
              <x14:cfvo type="autoMax"/>
              <x14:borderColor rgb="FF638EC6"/>
              <x14:negativeFillColor rgb="FFFF0000"/>
              <x14:negativeBorderColor rgb="FFFF0000"/>
              <x14:axisColor rgb="FF000000"/>
            </x14:dataBar>
          </x14:cfRule>
          <xm:sqref>P77 P7727 P7472 P7217 P6962 P6707 P6452 P6197 P5942 P5687 P5432 P5177 P4922 P4667 P4412 P4157 P3902 P3647 P3392 P3137 P2882 P2627 P2372 P2117 P1862 P1607 P1352 P1097 P842 P587 P332</xm:sqref>
        </x14:conditionalFormatting>
        <x14:conditionalFormatting xmlns:xm="http://schemas.microsoft.com/office/excel/2006/main">
          <x14:cfRule type="dataBar" id="{CA114BEB-E21B-4950-BBD3-0D12F4364543}">
            <x14:dataBar minLength="0" maxLength="100" border="1" negativeBarBorderColorSameAsPositive="0">
              <x14:cfvo type="autoMin"/>
              <x14:cfvo type="autoMax"/>
              <x14:borderColor rgb="FF638EC6"/>
              <x14:negativeFillColor rgb="FFFF0000"/>
              <x14:negativeBorderColor rgb="FFFF0000"/>
              <x14:axisColor rgb="FF000000"/>
            </x14:dataBar>
          </x14:cfRule>
          <xm:sqref>P78 P7728 P7473 P7218 P6963 P6708 P6453 P6198 P5943 P5688 P5433 P5178 P4923 P4668 P4413 P4158 P3903 P3648 P3393 P3138 P2883 P2628 P2373 P2118 P1863 P1608 P1353 P1098 P843 P588 P333</xm:sqref>
        </x14:conditionalFormatting>
        <x14:conditionalFormatting xmlns:xm="http://schemas.microsoft.com/office/excel/2006/main">
          <x14:cfRule type="dataBar" id="{FCA9169D-A06C-4F32-8D22-72BA82F5E955}">
            <x14:dataBar minLength="0" maxLength="100" border="1" negativeBarBorderColorSameAsPositive="0">
              <x14:cfvo type="autoMin"/>
              <x14:cfvo type="autoMax"/>
              <x14:borderColor rgb="FF638EC6"/>
              <x14:negativeFillColor rgb="FFFF0000"/>
              <x14:negativeBorderColor rgb="FFFF0000"/>
              <x14:axisColor rgb="FF000000"/>
            </x14:dataBar>
          </x14:cfRule>
          <xm:sqref>P79 P7729 P7474 P7219 P6964 P6709 P6454 P6199 P5944 P5689 P5434 P5179 P4924 P4669 P4414 P4159 P3904 P3649 P3394 P3139 P2884 P2629 P2374 P2119 P1864 P1609 P1354 P1099 P844 P589 P334</xm:sqref>
        </x14:conditionalFormatting>
        <x14:conditionalFormatting xmlns:xm="http://schemas.microsoft.com/office/excel/2006/main">
          <x14:cfRule type="dataBar" id="{C4740326-C9F2-4B14-ACFE-1B99ACB4D91F}">
            <x14:dataBar minLength="0" maxLength="100" border="1" negativeBarBorderColorSameAsPositive="0">
              <x14:cfvo type="autoMin"/>
              <x14:cfvo type="autoMax"/>
              <x14:borderColor rgb="FF638EC6"/>
              <x14:negativeFillColor rgb="FFFF0000"/>
              <x14:negativeBorderColor rgb="FFFF0000"/>
              <x14:axisColor rgb="FF000000"/>
            </x14:dataBar>
          </x14:cfRule>
          <xm:sqref>P80 P7730 P7475 P7220 P6965 P6710 P6455 P6200 P5945 P5690 P5435 P5180 P4925 P4670 P4415 P4160 P3905 P3650 P3395 P3140 P2885 P2630 P2375 P2120 P1865 P1610 P1355 P1100 P845 P590 P335</xm:sqref>
        </x14:conditionalFormatting>
        <x14:conditionalFormatting xmlns:xm="http://schemas.microsoft.com/office/excel/2006/main">
          <x14:cfRule type="dataBar" id="{2084F6C1-497F-43B5-ABD9-167FAC2F339B}">
            <x14:dataBar minLength="0" maxLength="100" border="1" negativeBarBorderColorSameAsPositive="0">
              <x14:cfvo type="autoMin"/>
              <x14:cfvo type="autoMax"/>
              <x14:borderColor rgb="FF638EC6"/>
              <x14:negativeFillColor rgb="FFFF0000"/>
              <x14:negativeBorderColor rgb="FFFF0000"/>
              <x14:axisColor rgb="FF000000"/>
            </x14:dataBar>
          </x14:cfRule>
          <xm:sqref>P81 P7731 P7476 P7221 P6966 P6711 P6456 P6201 P5946 P5691 P5436 P5181 P4926 P4671 P4416 P4161 P3906 P3651 P3396 P3141 P2886 P2631 P2376 P2121 P1866 P1611 P1356 P1101 P846 P591 P336</xm:sqref>
        </x14:conditionalFormatting>
        <x14:conditionalFormatting xmlns:xm="http://schemas.microsoft.com/office/excel/2006/main">
          <x14:cfRule type="dataBar" id="{41C4BA2A-C9C0-4C6A-8ADB-745377709761}">
            <x14:dataBar minLength="0" maxLength="100" border="1" negativeBarBorderColorSameAsPositive="0">
              <x14:cfvo type="autoMin"/>
              <x14:cfvo type="autoMax"/>
              <x14:borderColor rgb="FF638EC6"/>
              <x14:negativeFillColor rgb="FFFF0000"/>
              <x14:negativeBorderColor rgb="FFFF0000"/>
              <x14:axisColor rgb="FF000000"/>
            </x14:dataBar>
          </x14:cfRule>
          <xm:sqref>P82 P7732 P7477 P7222 P6967 P6712 P6457 P6202 P5947 P5692 P5437 P5182 P4927 P4672 P4417 P4162 P3907 P3652 P3397 P3142 P2887 P2632 P2377 P2122 P1867 P1612 P1357 P1102 P847 P592 P337</xm:sqref>
        </x14:conditionalFormatting>
        <x14:conditionalFormatting xmlns:xm="http://schemas.microsoft.com/office/excel/2006/main">
          <x14:cfRule type="dataBar" id="{EC638FF9-57E8-4D49-AB00-F53439E0C39D}">
            <x14:dataBar minLength="0" maxLength="100" border="1" negativeBarBorderColorSameAsPositive="0">
              <x14:cfvo type="autoMin"/>
              <x14:cfvo type="autoMax"/>
              <x14:borderColor rgb="FF638EC6"/>
              <x14:negativeFillColor rgb="FFFF0000"/>
              <x14:negativeBorderColor rgb="FFFF0000"/>
              <x14:axisColor rgb="FF000000"/>
            </x14:dataBar>
          </x14:cfRule>
          <xm:sqref>P83 P7733 P7478 P7223 P6968 P6713 P6458 P6203 P5948 P5693 P5438 P5183 P4928 P4673 P4418 P4163 P3908 P3653 P3398 P3143 P2888 P2633 P2378 P2123 P1868 P1613 P1358 P1103 P848 P593 P338</xm:sqref>
        </x14:conditionalFormatting>
        <x14:conditionalFormatting xmlns:xm="http://schemas.microsoft.com/office/excel/2006/main">
          <x14:cfRule type="dataBar" id="{30BF8DF9-278C-48B7-8A5F-E6A549FF9EB6}">
            <x14:dataBar minLength="0" maxLength="100" border="1" negativeBarBorderColorSameAsPositive="0">
              <x14:cfvo type="autoMin"/>
              <x14:cfvo type="autoMax"/>
              <x14:borderColor rgb="FF638EC6"/>
              <x14:negativeFillColor rgb="FFFF0000"/>
              <x14:negativeBorderColor rgb="FFFF0000"/>
              <x14:axisColor rgb="FF000000"/>
            </x14:dataBar>
          </x14:cfRule>
          <xm:sqref>P84 P7734 P7479 P7224 P6969 P6714 P6459 P6204 P5949 P5694 P5439 P5184 P4929 P4674 P4419 P4164 P3909 P3654 P3399 P3144 P2889 P2634 P2379 P2124 P1869 P1614 P1359 P1104 P849 P594 P339</xm:sqref>
        </x14:conditionalFormatting>
        <x14:conditionalFormatting xmlns:xm="http://schemas.microsoft.com/office/excel/2006/main">
          <x14:cfRule type="dataBar" id="{8EAC2C4A-EA78-4392-9D78-4B05D550C597}">
            <x14:dataBar minLength="0" maxLength="100" border="1" negativeBarBorderColorSameAsPositive="0">
              <x14:cfvo type="autoMin"/>
              <x14:cfvo type="autoMax"/>
              <x14:borderColor rgb="FF638EC6"/>
              <x14:negativeFillColor rgb="FFFF0000"/>
              <x14:negativeBorderColor rgb="FFFF0000"/>
              <x14:axisColor rgb="FF000000"/>
            </x14:dataBar>
          </x14:cfRule>
          <xm:sqref>P85 P7735 P7480 P7225 P6970 P6715 P6460 P6205 P5950 P5695 P5440 P5185 P4930 P4675 P4420 P4165 P3910 P3655 P3400 P3145 P2890 P2635 P2380 P2125 P1870 P1615 P1360 P1105 P850 P595 P340</xm:sqref>
        </x14:conditionalFormatting>
        <x14:conditionalFormatting xmlns:xm="http://schemas.microsoft.com/office/excel/2006/main">
          <x14:cfRule type="dataBar" id="{E019F090-74EC-436B-ADB6-781B1C3FA487}">
            <x14:dataBar minLength="0" maxLength="100" border="1" negativeBarBorderColorSameAsPositive="0">
              <x14:cfvo type="autoMin"/>
              <x14:cfvo type="autoMax"/>
              <x14:borderColor rgb="FF638EC6"/>
              <x14:negativeFillColor rgb="FFFF0000"/>
              <x14:negativeBorderColor rgb="FFFF0000"/>
              <x14:axisColor rgb="FF000000"/>
            </x14:dataBar>
          </x14:cfRule>
          <xm:sqref>P86 P7736 P7481 P7226 P6971 P6716 P6461 P6206 P5951 P5696 P5441 P5186 P4931 P4676 P4421 P4166 P3911 P3656 P3401 P3146 P2891 P2636 P2381 P2126 P1871 P1616 P1361 P1106 P851 P596 P341</xm:sqref>
        </x14:conditionalFormatting>
        <x14:conditionalFormatting xmlns:xm="http://schemas.microsoft.com/office/excel/2006/main">
          <x14:cfRule type="dataBar" id="{C5013CF9-58DB-4831-AD1B-832638758F99}">
            <x14:dataBar minLength="0" maxLength="100" border="1" negativeBarBorderColorSameAsPositive="0">
              <x14:cfvo type="autoMin"/>
              <x14:cfvo type="autoMax"/>
              <x14:borderColor rgb="FF638EC6"/>
              <x14:negativeFillColor rgb="FFFF0000"/>
              <x14:negativeBorderColor rgb="FFFF0000"/>
              <x14:axisColor rgb="FF000000"/>
            </x14:dataBar>
          </x14:cfRule>
          <xm:sqref>P87 P7737 P7482 P7227 P6972 P6717 P6462 P6207 P5952 P5697 P5442 P5187 P4932 P4677 P4422 P4167 P3912 P3657 P3402 P3147 P2892 P2637 P2382 P2127 P1872 P1617 P1362 P1107 P852 P597 P342</xm:sqref>
        </x14:conditionalFormatting>
        <x14:conditionalFormatting xmlns:xm="http://schemas.microsoft.com/office/excel/2006/main">
          <x14:cfRule type="dataBar" id="{F26A2F81-C5D8-457D-9062-14DDC3407BEB}">
            <x14:dataBar minLength="0" maxLength="100" border="1" negativeBarBorderColorSameAsPositive="0">
              <x14:cfvo type="autoMin"/>
              <x14:cfvo type="autoMax"/>
              <x14:borderColor rgb="FF638EC6"/>
              <x14:negativeFillColor rgb="FFFF0000"/>
              <x14:negativeBorderColor rgb="FFFF0000"/>
              <x14:axisColor rgb="FF000000"/>
            </x14:dataBar>
          </x14:cfRule>
          <xm:sqref>P88 P7738 P7483 P7228 P6973 P6718 P6463 P6208 P5953 P5698 P5443 P5188 P4933 P4678 P4423 P4168 P3913 P3658 P3403 P3148 P2893 P2638 P2383 P2128 P1873 P1618 P1363 P1108 P853 P598 P343</xm:sqref>
        </x14:conditionalFormatting>
        <x14:conditionalFormatting xmlns:xm="http://schemas.microsoft.com/office/excel/2006/main">
          <x14:cfRule type="dataBar" id="{4E3F4942-6385-42F8-8786-B27E02B82D71}">
            <x14:dataBar minLength="0" maxLength="100" border="1" negativeBarBorderColorSameAsPositive="0">
              <x14:cfvo type="autoMin"/>
              <x14:cfvo type="autoMax"/>
              <x14:borderColor rgb="FF638EC6"/>
              <x14:negativeFillColor rgb="FFFF0000"/>
              <x14:negativeBorderColor rgb="FFFF0000"/>
              <x14:axisColor rgb="FF000000"/>
            </x14:dataBar>
          </x14:cfRule>
          <xm:sqref>P89 P7739 P7484 P7229 P6974 P6719 P6464 P6209 P5954 P5699 P5444 P5189 P4934 P4679 P4424 P4169 P3914 P3659 P3404 P3149 P2894 P2639 P2384 P2129 P1874 P1619 P1364 P1109 P854 P599 P344</xm:sqref>
        </x14:conditionalFormatting>
        <x14:conditionalFormatting xmlns:xm="http://schemas.microsoft.com/office/excel/2006/main">
          <x14:cfRule type="dataBar" id="{499B221E-45FE-4555-8B2D-47170E306F07}">
            <x14:dataBar minLength="0" maxLength="100" border="1" negativeBarBorderColorSameAsPositive="0">
              <x14:cfvo type="autoMin"/>
              <x14:cfvo type="autoMax"/>
              <x14:borderColor rgb="FF638EC6"/>
              <x14:negativeFillColor rgb="FFFF0000"/>
              <x14:negativeBorderColor rgb="FFFF0000"/>
              <x14:axisColor rgb="FF000000"/>
            </x14:dataBar>
          </x14:cfRule>
          <xm:sqref>P90 P7740 P7485 P7230 P6975 P6720 P6465 P6210 P5955 P5700 P5445 P5190 P4935 P4680 P4425 P4170 P3915 P3660 P3405 P3150 P2895 P2640 P2385 P2130 P1875 P1620 P1365 P1110 P855 P600 P345</xm:sqref>
        </x14:conditionalFormatting>
        <x14:conditionalFormatting xmlns:xm="http://schemas.microsoft.com/office/excel/2006/main">
          <x14:cfRule type="dataBar" id="{F9EA64B4-0D29-49EE-8D4A-7C0BF75FE271}">
            <x14:dataBar minLength="0" maxLength="100" border="1" negativeBarBorderColorSameAsPositive="0">
              <x14:cfvo type="autoMin"/>
              <x14:cfvo type="autoMax"/>
              <x14:borderColor rgb="FF638EC6"/>
              <x14:negativeFillColor rgb="FFFF0000"/>
              <x14:negativeBorderColor rgb="FFFF0000"/>
              <x14:axisColor rgb="FF000000"/>
            </x14:dataBar>
          </x14:cfRule>
          <xm:sqref>P91 P7741 P7486 P7231 P6976 P6721 P6466 P6211 P5956 P5701 P5446 P5191 P4936 P4681 P4426 P4171 P3916 P3661 P3406 P3151 P2896 P2641 P2386 P2131 P1876 P1621 P1366 P1111 P856 P601 P346</xm:sqref>
        </x14:conditionalFormatting>
        <x14:conditionalFormatting xmlns:xm="http://schemas.microsoft.com/office/excel/2006/main">
          <x14:cfRule type="dataBar" id="{0C45DB01-4DAC-4D3C-B082-7B4E3F80C541}">
            <x14:dataBar minLength="0" maxLength="100" border="1" negativeBarBorderColorSameAsPositive="0">
              <x14:cfvo type="autoMin"/>
              <x14:cfvo type="autoMax"/>
              <x14:borderColor rgb="FF638EC6"/>
              <x14:negativeFillColor rgb="FFFF0000"/>
              <x14:negativeBorderColor rgb="FFFF0000"/>
              <x14:axisColor rgb="FF000000"/>
            </x14:dataBar>
          </x14:cfRule>
          <xm:sqref>P92 P7742 P7487 P7232 P6977 P6722 P6467 P6212 P5957 P5702 P5447 P5192 P4937 P4682 P4427 P4172 P3917 P3662 P3407 P3152 P2897 P2642 P2387 P2132 P1877 P1622 P1367 P1112 P857 P602 P347</xm:sqref>
        </x14:conditionalFormatting>
        <x14:conditionalFormatting xmlns:xm="http://schemas.microsoft.com/office/excel/2006/main">
          <x14:cfRule type="dataBar" id="{144D9E84-2D04-49C9-8D62-A25A953C7C4E}">
            <x14:dataBar minLength="0" maxLength="100" border="1" negativeBarBorderColorSameAsPositive="0">
              <x14:cfvo type="autoMin"/>
              <x14:cfvo type="autoMax"/>
              <x14:borderColor rgb="FF638EC6"/>
              <x14:negativeFillColor rgb="FFFF0000"/>
              <x14:negativeBorderColor rgb="FFFF0000"/>
              <x14:axisColor rgb="FF000000"/>
            </x14:dataBar>
          </x14:cfRule>
          <xm:sqref>P93 P7743 P7488 P7233 P6978 P6723 P6468 P6213 P5958 P5703 P5448 P5193 P4938 P4683 P4428 P4173 P3918 P3663 P3408 P3153 P2898 P2643 P2388 P2133 P1878 P1623 P1368 P1113 P858 P603 P348</xm:sqref>
        </x14:conditionalFormatting>
        <x14:conditionalFormatting xmlns:xm="http://schemas.microsoft.com/office/excel/2006/main">
          <x14:cfRule type="dataBar" id="{B9B5F8C0-B423-44AC-A222-2006B6312C6A}">
            <x14:dataBar minLength="0" maxLength="100" border="1" negativeBarBorderColorSameAsPositive="0">
              <x14:cfvo type="autoMin"/>
              <x14:cfvo type="autoMax"/>
              <x14:borderColor rgb="FF638EC6"/>
              <x14:negativeFillColor rgb="FFFF0000"/>
              <x14:negativeBorderColor rgb="FFFF0000"/>
              <x14:axisColor rgb="FF000000"/>
            </x14:dataBar>
          </x14:cfRule>
          <xm:sqref>P94 P7744 P7489 P7234 P6979 P6724 P6469 P6214 P5959 P5704 P5449 P5194 P4939 P4684 P4429 P4174 P3919 P3664 P3409 P3154 P2899 P2644 P2389 P2134 P1879 P1624 P1369 P1114 P859 P604 P349</xm:sqref>
        </x14:conditionalFormatting>
        <x14:conditionalFormatting xmlns:xm="http://schemas.microsoft.com/office/excel/2006/main">
          <x14:cfRule type="dataBar" id="{287751E8-1159-49CB-BC77-92351EE4E96F}">
            <x14:dataBar minLength="0" maxLength="100" border="1" negativeBarBorderColorSameAsPositive="0">
              <x14:cfvo type="autoMin"/>
              <x14:cfvo type="autoMax"/>
              <x14:borderColor rgb="FF638EC6"/>
              <x14:negativeFillColor rgb="FFFF0000"/>
              <x14:negativeBorderColor rgb="FFFF0000"/>
              <x14:axisColor rgb="FF000000"/>
            </x14:dataBar>
          </x14:cfRule>
          <xm:sqref>P95 P7745 P7490 P7235 P6980 P6725 P6470 P6215 P5960 P5705 P5450 P5195 P4940 P4685 P4430 P4175 P3920 P3665 P3410 P3155 P2900 P2645 P2390 P2135 P1880 P1625 P1370 P1115 P860 P605 P350</xm:sqref>
        </x14:conditionalFormatting>
        <x14:conditionalFormatting xmlns:xm="http://schemas.microsoft.com/office/excel/2006/main">
          <x14:cfRule type="dataBar" id="{454E018B-32F0-43C9-99A9-927C9F863CBE}">
            <x14:dataBar minLength="0" maxLength="100" border="1" negativeBarBorderColorSameAsPositive="0">
              <x14:cfvo type="autoMin"/>
              <x14:cfvo type="autoMax"/>
              <x14:borderColor rgb="FF638EC6"/>
              <x14:negativeFillColor rgb="FFFF0000"/>
              <x14:negativeBorderColor rgb="FFFF0000"/>
              <x14:axisColor rgb="FF000000"/>
            </x14:dataBar>
          </x14:cfRule>
          <xm:sqref>P96 P7746 P7491 P7236 P6981 P6726 P6471 P6216 P5961 P5706 P5451 P5196 P4941 P4686 P4431 P4176 P3921 P3666 P3411 P3156 P2901 P2646 P2391 P2136 P1881 P1626 P1371 P1116 P861 P606 P351</xm:sqref>
        </x14:conditionalFormatting>
        <x14:conditionalFormatting xmlns:xm="http://schemas.microsoft.com/office/excel/2006/main">
          <x14:cfRule type="dataBar" id="{4C943630-07C8-4F77-AC70-F42233C91972}">
            <x14:dataBar minLength="0" maxLength="100" border="1" negativeBarBorderColorSameAsPositive="0">
              <x14:cfvo type="autoMin"/>
              <x14:cfvo type="autoMax"/>
              <x14:borderColor rgb="FF638EC6"/>
              <x14:negativeFillColor rgb="FFFF0000"/>
              <x14:negativeBorderColor rgb="FFFF0000"/>
              <x14:axisColor rgb="FF000000"/>
            </x14:dataBar>
          </x14:cfRule>
          <xm:sqref>P97 P7747 P7492 P7237 P6982 P6727 P6472 P6217 P5962 P5707 P5452 P5197 P4942 P4687 P4432 P4177 P3922 P3667 P3412 P3157 P2902 P2647 P2392 P2137 P1882 P1627 P1372 P1117 P862 P607 P352</xm:sqref>
        </x14:conditionalFormatting>
        <x14:conditionalFormatting xmlns:xm="http://schemas.microsoft.com/office/excel/2006/main">
          <x14:cfRule type="dataBar" id="{7BDD5726-2E7E-4704-831A-B5417AFA2390}">
            <x14:dataBar minLength="0" maxLength="100" border="1" negativeBarBorderColorSameAsPositive="0">
              <x14:cfvo type="autoMin"/>
              <x14:cfvo type="autoMax"/>
              <x14:borderColor rgb="FF638EC6"/>
              <x14:negativeFillColor rgb="FFFF0000"/>
              <x14:negativeBorderColor rgb="FFFF0000"/>
              <x14:axisColor rgb="FF000000"/>
            </x14:dataBar>
          </x14:cfRule>
          <xm:sqref>P98 P7748 P7493 P7238 P6983 P6728 P6473 P6218 P5963 P5708 P5453 P5198 P4943 P4688 P4433 P4178 P3923 P3668 P3413 P3158 P2903 P2648 P2393 P2138 P1883 P1628 P1373 P1118 P863 P608 P353</xm:sqref>
        </x14:conditionalFormatting>
        <x14:conditionalFormatting xmlns:xm="http://schemas.microsoft.com/office/excel/2006/main">
          <x14:cfRule type="dataBar" id="{8D49BEA9-F032-4E33-989C-F01DCFC814C3}">
            <x14:dataBar minLength="0" maxLength="100" border="1" negativeBarBorderColorSameAsPositive="0">
              <x14:cfvo type="autoMin"/>
              <x14:cfvo type="autoMax"/>
              <x14:borderColor rgb="FF638EC6"/>
              <x14:negativeFillColor rgb="FFFF0000"/>
              <x14:negativeBorderColor rgb="FFFF0000"/>
              <x14:axisColor rgb="FF000000"/>
            </x14:dataBar>
          </x14:cfRule>
          <xm:sqref>P99 P7749 P7494 P7239 P6984 P6729 P6474 P6219 P5964 P5709 P5454 P5199 P4944 P4689 P4434 P4179 P3924 P3669 P3414 P3159 P2904 P2649 P2394 P2139 P1884 P1629 P1374 P1119 P864 P609 P354</xm:sqref>
        </x14:conditionalFormatting>
        <x14:conditionalFormatting xmlns:xm="http://schemas.microsoft.com/office/excel/2006/main">
          <x14:cfRule type="dataBar" id="{71E81BCE-FD22-48B1-B3AC-1AFE9F21B2AF}">
            <x14:dataBar minLength="0" maxLength="100" border="1" negativeBarBorderColorSameAsPositive="0">
              <x14:cfvo type="autoMin"/>
              <x14:cfvo type="autoMax"/>
              <x14:borderColor rgb="FF638EC6"/>
              <x14:negativeFillColor rgb="FFFF0000"/>
              <x14:negativeBorderColor rgb="FFFF0000"/>
              <x14:axisColor rgb="FF000000"/>
            </x14:dataBar>
          </x14:cfRule>
          <xm:sqref>P100 P7750 P7495 P7240 P6985 P6730 P6475 P6220 P5965 P5710 P5455 P5200 P4945 P4690 P4435 P4180 P3925 P3670 P3415 P3160 P2905 P2650 P2395 P2140 P1885 P1630 P1375 P1120 P865 P610 P355</xm:sqref>
        </x14:conditionalFormatting>
        <x14:conditionalFormatting xmlns:xm="http://schemas.microsoft.com/office/excel/2006/main">
          <x14:cfRule type="dataBar" id="{F7005AC9-F356-45DA-857B-F0765359333D}">
            <x14:dataBar minLength="0" maxLength="100" border="1" negativeBarBorderColorSameAsPositive="0">
              <x14:cfvo type="autoMin"/>
              <x14:cfvo type="autoMax"/>
              <x14:borderColor rgb="FF638EC6"/>
              <x14:negativeFillColor rgb="FFFF0000"/>
              <x14:negativeBorderColor rgb="FFFF0000"/>
              <x14:axisColor rgb="FF000000"/>
            </x14:dataBar>
          </x14:cfRule>
          <xm:sqref>P101 P7751 P7496 P7241 P6986 P6731 P6476 P6221 P5966 P5711 P5456 P5201 P4946 P4691 P4436 P4181 P3926 P3671 P3416 P3161 P2906 P2651 P2396 P2141 P1886 P1631 P1376 P1121 P866 P611 P356</xm:sqref>
        </x14:conditionalFormatting>
        <x14:conditionalFormatting xmlns:xm="http://schemas.microsoft.com/office/excel/2006/main">
          <x14:cfRule type="dataBar" id="{6F41171A-80BF-497F-90FB-5131C8A888B8}">
            <x14:dataBar minLength="0" maxLength="100" border="1" negativeBarBorderColorSameAsPositive="0">
              <x14:cfvo type="autoMin"/>
              <x14:cfvo type="autoMax"/>
              <x14:borderColor rgb="FF638EC6"/>
              <x14:negativeFillColor rgb="FFFF0000"/>
              <x14:negativeBorderColor rgb="FFFF0000"/>
              <x14:axisColor rgb="FF000000"/>
            </x14:dataBar>
          </x14:cfRule>
          <xm:sqref>P102 P7752 P7497 P7242 P6987 P6732 P6477 P6222 P5967 P5712 P5457 P5202 P4947 P4692 P4437 P4182 P3927 P3672 P3417 P3162 P2907 P2652 P2397 P2142 P1887 P1632 P1377 P1122 P867 P612 P357</xm:sqref>
        </x14:conditionalFormatting>
        <x14:conditionalFormatting xmlns:xm="http://schemas.microsoft.com/office/excel/2006/main">
          <x14:cfRule type="dataBar" id="{CD772641-9A32-434E-9A0C-39E28F7EBE2F}">
            <x14:dataBar minLength="0" maxLength="100" border="1" negativeBarBorderColorSameAsPositive="0">
              <x14:cfvo type="autoMin"/>
              <x14:cfvo type="autoMax"/>
              <x14:borderColor rgb="FF638EC6"/>
              <x14:negativeFillColor rgb="FFFF0000"/>
              <x14:negativeBorderColor rgb="FFFF0000"/>
              <x14:axisColor rgb="FF000000"/>
            </x14:dataBar>
          </x14:cfRule>
          <xm:sqref>P103 P7753 P7498 P7243 P6988 P6733 P6478 P6223 P5968 P5713 P5458 P5203 P4948 P4693 P4438 P4183 P3928 P3673 P3418 P3163 P2908 P2653 P2398 P2143 P1888 P1633 P1378 P1123 P868 P613 P358</xm:sqref>
        </x14:conditionalFormatting>
        <x14:conditionalFormatting xmlns:xm="http://schemas.microsoft.com/office/excel/2006/main">
          <x14:cfRule type="dataBar" id="{5CC1F7E2-ECF5-4E95-8CEC-1FEEED8F5A38}">
            <x14:dataBar minLength="0" maxLength="100" border="1" negativeBarBorderColorSameAsPositive="0">
              <x14:cfvo type="autoMin"/>
              <x14:cfvo type="autoMax"/>
              <x14:borderColor rgb="FF638EC6"/>
              <x14:negativeFillColor rgb="FFFF0000"/>
              <x14:negativeBorderColor rgb="FFFF0000"/>
              <x14:axisColor rgb="FF000000"/>
            </x14:dataBar>
          </x14:cfRule>
          <xm:sqref>P104 P7754 P7499 P7244 P6989 P6734 P6479 P6224 P5969 P5714 P5459 P5204 P4949 P4694 P4439 P4184 P3929 P3674 P3419 P3164 P2909 P2654 P2399 P2144 P1889 P1634 P1379 P1124 P869 P614 P359</xm:sqref>
        </x14:conditionalFormatting>
        <x14:conditionalFormatting xmlns:xm="http://schemas.microsoft.com/office/excel/2006/main">
          <x14:cfRule type="dataBar" id="{2B75A5EF-2FAE-4840-B1A2-1B1F488176CE}">
            <x14:dataBar minLength="0" maxLength="100" border="1" negativeBarBorderColorSameAsPositive="0">
              <x14:cfvo type="autoMin"/>
              <x14:cfvo type="autoMax"/>
              <x14:borderColor rgb="FF638EC6"/>
              <x14:negativeFillColor rgb="FFFF0000"/>
              <x14:negativeBorderColor rgb="FFFF0000"/>
              <x14:axisColor rgb="FF000000"/>
            </x14:dataBar>
          </x14:cfRule>
          <xm:sqref>P105 P7755 P7500 P7245 P6990 P6735 P6480 P6225 P5970 P5715 P5460 P5205 P4950 P4695 P4440 P4185 P3930 P3675 P3420 P3165 P2910 P2655 P2400 P2145 P1890 P1635 P1380 P1125 P870 P615 P360</xm:sqref>
        </x14:conditionalFormatting>
        <x14:conditionalFormatting xmlns:xm="http://schemas.microsoft.com/office/excel/2006/main">
          <x14:cfRule type="dataBar" id="{324E6985-4094-46FC-B7C7-F31F58A0EB29}">
            <x14:dataBar minLength="0" maxLength="100" border="1" negativeBarBorderColorSameAsPositive="0">
              <x14:cfvo type="autoMin"/>
              <x14:cfvo type="autoMax"/>
              <x14:borderColor rgb="FF638EC6"/>
              <x14:negativeFillColor rgb="FFFF0000"/>
              <x14:negativeBorderColor rgb="FFFF0000"/>
              <x14:axisColor rgb="FF000000"/>
            </x14:dataBar>
          </x14:cfRule>
          <xm:sqref>P106 P7756 P7501 P7246 P6991 P6736 P6481 P6226 P5971 P5716 P5461 P5206 P4951 P4696 P4441 P4186 P3931 P3676 P3421 P3166 P2911 P2656 P2401 P2146 P1891 P1636 P1381 P1126 P871 P616 P361</xm:sqref>
        </x14:conditionalFormatting>
        <x14:conditionalFormatting xmlns:xm="http://schemas.microsoft.com/office/excel/2006/main">
          <x14:cfRule type="dataBar" id="{829A40EE-7708-4F97-B401-46BFA743D4E6}">
            <x14:dataBar minLength="0" maxLength="100" border="1" negativeBarBorderColorSameAsPositive="0">
              <x14:cfvo type="autoMin"/>
              <x14:cfvo type="autoMax"/>
              <x14:borderColor rgb="FF638EC6"/>
              <x14:negativeFillColor rgb="FFFF0000"/>
              <x14:negativeBorderColor rgb="FFFF0000"/>
              <x14:axisColor rgb="FF000000"/>
            </x14:dataBar>
          </x14:cfRule>
          <xm:sqref>P107 P7757 P7502 P7247 P6992 P6737 P6482 P6227 P5972 P5717 P5462 P5207 P4952 P4697 P4442 P4187 P3932 P3677 P3422 P3167 P2912 P2657 P2402 P2147 P1892 P1637 P1382 P1127 P872 P617 P362</xm:sqref>
        </x14:conditionalFormatting>
        <x14:conditionalFormatting xmlns:xm="http://schemas.microsoft.com/office/excel/2006/main">
          <x14:cfRule type="dataBar" id="{C8FFD06A-8A38-45B9-A1DE-4119D08E7129}">
            <x14:dataBar minLength="0" maxLength="100" border="1" negativeBarBorderColorSameAsPositive="0">
              <x14:cfvo type="autoMin"/>
              <x14:cfvo type="autoMax"/>
              <x14:borderColor rgb="FF638EC6"/>
              <x14:negativeFillColor rgb="FFFF0000"/>
              <x14:negativeBorderColor rgb="FFFF0000"/>
              <x14:axisColor rgb="FF000000"/>
            </x14:dataBar>
          </x14:cfRule>
          <xm:sqref>P108 P7758 P7503 P7248 P6993 P6738 P6483 P6228 P5973 P5718 P5463 P5208 P4953 P4698 P4443 P4188 P3933 P3678 P3423 P3168 P2913 P2658 P2403 P2148 P1893 P1638 P1383 P1128 P873 P618 P363</xm:sqref>
        </x14:conditionalFormatting>
        <x14:conditionalFormatting xmlns:xm="http://schemas.microsoft.com/office/excel/2006/main">
          <x14:cfRule type="dataBar" id="{51F421CD-C5F2-4912-801E-B1EEF403A76D}">
            <x14:dataBar minLength="0" maxLength="100" border="1" negativeBarBorderColorSameAsPositive="0">
              <x14:cfvo type="autoMin"/>
              <x14:cfvo type="autoMax"/>
              <x14:borderColor rgb="FF638EC6"/>
              <x14:negativeFillColor rgb="FFFF0000"/>
              <x14:negativeBorderColor rgb="FFFF0000"/>
              <x14:axisColor rgb="FF000000"/>
            </x14:dataBar>
          </x14:cfRule>
          <xm:sqref>P109 P7759 P7504 P7249 P6994 P6739 P6484 P6229 P5974 P5719 P5464 P5209 P4954 P4699 P4444 P4189 P3934 P3679 P3424 P3169 P2914 P2659 P2404 P2149 P1894 P1639 P1384 P1129 P874 P619 P364</xm:sqref>
        </x14:conditionalFormatting>
        <x14:conditionalFormatting xmlns:xm="http://schemas.microsoft.com/office/excel/2006/main">
          <x14:cfRule type="dataBar" id="{EEE87D6A-BFC3-4D60-835B-4348274F53DA}">
            <x14:dataBar minLength="0" maxLength="100" border="1" negativeBarBorderColorSameAsPositive="0">
              <x14:cfvo type="autoMin"/>
              <x14:cfvo type="autoMax"/>
              <x14:borderColor rgb="FF638EC6"/>
              <x14:negativeFillColor rgb="FFFF0000"/>
              <x14:negativeBorderColor rgb="FFFF0000"/>
              <x14:axisColor rgb="FF000000"/>
            </x14:dataBar>
          </x14:cfRule>
          <xm:sqref>P110 P7760 P7505 P7250 P6995 P6740 P6485 P6230 P5975 P5720 P5465 P5210 P4955 P4700 P4445 P4190 P3935 P3680 P3425 P3170 P2915 P2660 P2405 P2150 P1895 P1640 P1385 P1130 P875 P620 P365</xm:sqref>
        </x14:conditionalFormatting>
        <x14:conditionalFormatting xmlns:xm="http://schemas.microsoft.com/office/excel/2006/main">
          <x14:cfRule type="dataBar" id="{847C6A13-072C-460E-A010-55AE4F06F2B7}">
            <x14:dataBar minLength="0" maxLength="100" border="1" negativeBarBorderColorSameAsPositive="0">
              <x14:cfvo type="autoMin"/>
              <x14:cfvo type="autoMax"/>
              <x14:borderColor rgb="FF638EC6"/>
              <x14:negativeFillColor rgb="FFFF0000"/>
              <x14:negativeBorderColor rgb="FFFF0000"/>
              <x14:axisColor rgb="FF000000"/>
            </x14:dataBar>
          </x14:cfRule>
          <xm:sqref>P111 P7761 P7506 P7251 P6996 P6741 P6486 P6231 P5976 P5721 P5466 P5211 P4956 P4701 P4446 P4191 P3936 P3681 P3426 P3171 P2916 P2661 P2406 P2151 P1896 P1641 P1386 P1131 P876 P621 P366</xm:sqref>
        </x14:conditionalFormatting>
        <x14:conditionalFormatting xmlns:xm="http://schemas.microsoft.com/office/excel/2006/main">
          <x14:cfRule type="dataBar" id="{95A50ACB-16E4-44E5-8CC3-BA35DD82A273}">
            <x14:dataBar minLength="0" maxLength="100" border="1" negativeBarBorderColorSameAsPositive="0">
              <x14:cfvo type="autoMin"/>
              <x14:cfvo type="autoMax"/>
              <x14:borderColor rgb="FF638EC6"/>
              <x14:negativeFillColor rgb="FFFF0000"/>
              <x14:negativeBorderColor rgb="FFFF0000"/>
              <x14:axisColor rgb="FF000000"/>
            </x14:dataBar>
          </x14:cfRule>
          <xm:sqref>P112 P7762 P7507 P7252 P6997 P6742 P6487 P6232 P5977 P5722 P5467 P5212 P4957 P4702 P4447 P4192 P3937 P3682 P3427 P3172 P2917 P2662 P2407 P2152 P1897 P1642 P1387 P1132 P877 P622 P367</xm:sqref>
        </x14:conditionalFormatting>
        <x14:conditionalFormatting xmlns:xm="http://schemas.microsoft.com/office/excel/2006/main">
          <x14:cfRule type="dataBar" id="{90CEDE3B-B51D-454E-BC54-99A92AC2157F}">
            <x14:dataBar minLength="0" maxLength="100" border="1" negativeBarBorderColorSameAsPositive="0">
              <x14:cfvo type="autoMin"/>
              <x14:cfvo type="autoMax"/>
              <x14:borderColor rgb="FF638EC6"/>
              <x14:negativeFillColor rgb="FFFF0000"/>
              <x14:negativeBorderColor rgb="FFFF0000"/>
              <x14:axisColor rgb="FF000000"/>
            </x14:dataBar>
          </x14:cfRule>
          <xm:sqref>P113 P7763 P7508 P7253 P6998 P6743 P6488 P6233 P5978 P5723 P5468 P5213 P4958 P4703 P4448 P4193 P3938 P3683 P3428 P3173 P2918 P2663 P2408 P2153 P1898 P1643 P1388 P1133 P878 P623 P368</xm:sqref>
        </x14:conditionalFormatting>
        <x14:conditionalFormatting xmlns:xm="http://schemas.microsoft.com/office/excel/2006/main">
          <x14:cfRule type="dataBar" id="{2570B638-A10E-4C5D-AE3F-63190F4BC196}">
            <x14:dataBar minLength="0" maxLength="100" border="1" negativeBarBorderColorSameAsPositive="0">
              <x14:cfvo type="autoMin"/>
              <x14:cfvo type="autoMax"/>
              <x14:borderColor rgb="FF638EC6"/>
              <x14:negativeFillColor rgb="FFFF0000"/>
              <x14:negativeBorderColor rgb="FFFF0000"/>
              <x14:axisColor rgb="FF000000"/>
            </x14:dataBar>
          </x14:cfRule>
          <xm:sqref>P114 P7764 P7509 P7254 P6999 P6744 P6489 P6234 P5979 P5724 P5469 P5214 P4959 P4704 P4449 P4194 P3939 P3684 P3429 P3174 P2919 P2664 P2409 P2154 P1899 P1644 P1389 P1134 P879 P624 P369</xm:sqref>
        </x14:conditionalFormatting>
        <x14:conditionalFormatting xmlns:xm="http://schemas.microsoft.com/office/excel/2006/main">
          <x14:cfRule type="dataBar" id="{4373D690-7936-4DF0-89F9-5773A7E032FA}">
            <x14:dataBar minLength="0" maxLength="100" border="1" negativeBarBorderColorSameAsPositive="0">
              <x14:cfvo type="autoMin"/>
              <x14:cfvo type="autoMax"/>
              <x14:borderColor rgb="FF638EC6"/>
              <x14:negativeFillColor rgb="FFFF0000"/>
              <x14:negativeBorderColor rgb="FFFF0000"/>
              <x14:axisColor rgb="FF000000"/>
            </x14:dataBar>
          </x14:cfRule>
          <xm:sqref>P115 P7765 P7510 P7255 P7000 P6745 P6490 P6235 P5980 P5725 P5470 P5215 P4960 P4705 P4450 P4195 P3940 P3685 P3430 P3175 P2920 P2665 P2410 P2155 P1900 P1645 P1390 P1135 P880 P625 P370</xm:sqref>
        </x14:conditionalFormatting>
        <x14:conditionalFormatting xmlns:xm="http://schemas.microsoft.com/office/excel/2006/main">
          <x14:cfRule type="dataBar" id="{2D8ACFD9-A2E3-4B91-A473-E679E5CF9BE3}">
            <x14:dataBar minLength="0" maxLength="100" border="1" negativeBarBorderColorSameAsPositive="0">
              <x14:cfvo type="autoMin"/>
              <x14:cfvo type="autoMax"/>
              <x14:borderColor rgb="FF638EC6"/>
              <x14:negativeFillColor rgb="FFFF0000"/>
              <x14:negativeBorderColor rgb="FFFF0000"/>
              <x14:axisColor rgb="FF000000"/>
            </x14:dataBar>
          </x14:cfRule>
          <xm:sqref>P116 P7766 P7511 P7256 P7001 P6746 P6491 P6236 P5981 P5726 P5471 P5216 P4961 P4706 P4451 P4196 P3941 P3686 P3431 P3176 P2921 P2666 P2411 P2156 P1901 P1646 P1391 P1136 P881 P626 P371</xm:sqref>
        </x14:conditionalFormatting>
        <x14:conditionalFormatting xmlns:xm="http://schemas.microsoft.com/office/excel/2006/main">
          <x14:cfRule type="dataBar" id="{78D6F0CB-7ABB-4B33-B716-225617967AAD}">
            <x14:dataBar minLength="0" maxLength="100" border="1" negativeBarBorderColorSameAsPositive="0">
              <x14:cfvo type="autoMin"/>
              <x14:cfvo type="autoMax"/>
              <x14:borderColor rgb="FF638EC6"/>
              <x14:negativeFillColor rgb="FFFF0000"/>
              <x14:negativeBorderColor rgb="FFFF0000"/>
              <x14:axisColor rgb="FF000000"/>
            </x14:dataBar>
          </x14:cfRule>
          <xm:sqref>P117 P7767 P7512 P7257 P7002 P6747 P6492 P6237 P5982 P5727 P5472 P5217 P4962 P4707 P4452 P4197 P3942 P3687 P3432 P3177 P2922 P2667 P2412 P2157 P1902 P1647 P1392 P1137 P882 P627 P372</xm:sqref>
        </x14:conditionalFormatting>
        <x14:conditionalFormatting xmlns:xm="http://schemas.microsoft.com/office/excel/2006/main">
          <x14:cfRule type="dataBar" id="{ED527C93-D884-44E2-81C7-DAE1A6A6438B}">
            <x14:dataBar minLength="0" maxLength="100" border="1" negativeBarBorderColorSameAsPositive="0">
              <x14:cfvo type="autoMin"/>
              <x14:cfvo type="autoMax"/>
              <x14:borderColor rgb="FF638EC6"/>
              <x14:negativeFillColor rgb="FFFF0000"/>
              <x14:negativeBorderColor rgb="FFFF0000"/>
              <x14:axisColor rgb="FF000000"/>
            </x14:dataBar>
          </x14:cfRule>
          <xm:sqref>P118 P7768 P7513 P7258 P7003 P6748 P6493 P6238 P5983 P5728 P5473 P5218 P4963 P4708 P4453 P4198 P3943 P3688 P3433 P3178 P2923 P2668 P2413 P2158 P1903 P1648 P1393 P1138 P883 P628 P373</xm:sqref>
        </x14:conditionalFormatting>
        <x14:conditionalFormatting xmlns:xm="http://schemas.microsoft.com/office/excel/2006/main">
          <x14:cfRule type="dataBar" id="{F89B1702-4CBF-464D-B0C7-2005B29A2DF6}">
            <x14:dataBar minLength="0" maxLength="100" border="1" negativeBarBorderColorSameAsPositive="0">
              <x14:cfvo type="autoMin"/>
              <x14:cfvo type="autoMax"/>
              <x14:borderColor rgb="FF638EC6"/>
              <x14:negativeFillColor rgb="FFFF0000"/>
              <x14:negativeBorderColor rgb="FFFF0000"/>
              <x14:axisColor rgb="FF000000"/>
            </x14:dataBar>
          </x14:cfRule>
          <xm:sqref>P119 P7769 P7514 P7259 P7004 P6749 P6494 P6239 P5984 P5729 P5474 P5219 P4964 P4709 P4454 P4199 P3944 P3689 P3434 P3179 P2924 P2669 P2414 P2159 P1904 P1649 P1394 P1139 P884 P629 P374</xm:sqref>
        </x14:conditionalFormatting>
        <x14:conditionalFormatting xmlns:xm="http://schemas.microsoft.com/office/excel/2006/main">
          <x14:cfRule type="dataBar" id="{EAB8AEFF-0E05-4CB4-AC2A-8E96892E0DF4}">
            <x14:dataBar minLength="0" maxLength="100" border="1" negativeBarBorderColorSameAsPositive="0">
              <x14:cfvo type="autoMin"/>
              <x14:cfvo type="autoMax"/>
              <x14:borderColor rgb="FF638EC6"/>
              <x14:negativeFillColor rgb="FFFF0000"/>
              <x14:negativeBorderColor rgb="FFFF0000"/>
              <x14:axisColor rgb="FF000000"/>
            </x14:dataBar>
          </x14:cfRule>
          <xm:sqref>P120 P7770 P7515 P7260 P7005 P6750 P6495 P6240 P5985 P5730 P5475 P5220 P4965 P4710 P4455 P4200 P3945 P3690 P3435 P3180 P2925 P2670 P2415 P2160 P1905 P1650 P1395 P1140 P885 P630 P375</xm:sqref>
        </x14:conditionalFormatting>
        <x14:conditionalFormatting xmlns:xm="http://schemas.microsoft.com/office/excel/2006/main">
          <x14:cfRule type="dataBar" id="{A4759771-1514-48AC-896F-12BD650E0DF1}">
            <x14:dataBar minLength="0" maxLength="100" border="1" negativeBarBorderColorSameAsPositive="0">
              <x14:cfvo type="autoMin"/>
              <x14:cfvo type="autoMax"/>
              <x14:borderColor rgb="FF638EC6"/>
              <x14:negativeFillColor rgb="FFFF0000"/>
              <x14:negativeBorderColor rgb="FFFF0000"/>
              <x14:axisColor rgb="FF000000"/>
            </x14:dataBar>
          </x14:cfRule>
          <xm:sqref>P121 P7771 P7516 P7261 P7006 P6751 P6496 P6241 P5986 P5731 P5476 P5221 P4966 P4711 P4456 P4201 P3946 P3691 P3436 P3181 P2926 P2671 P2416 P2161 P1906 P1651 P1396 P1141 P886 P631 P376</xm:sqref>
        </x14:conditionalFormatting>
        <x14:conditionalFormatting xmlns:xm="http://schemas.microsoft.com/office/excel/2006/main">
          <x14:cfRule type="dataBar" id="{6897A058-9A13-4B72-814E-0CBD473B8731}">
            <x14:dataBar minLength="0" maxLength="100" border="1" negativeBarBorderColorSameAsPositive="0">
              <x14:cfvo type="autoMin"/>
              <x14:cfvo type="autoMax"/>
              <x14:borderColor rgb="FF638EC6"/>
              <x14:negativeFillColor rgb="FFFF0000"/>
              <x14:negativeBorderColor rgb="FFFF0000"/>
              <x14:axisColor rgb="FF000000"/>
            </x14:dataBar>
          </x14:cfRule>
          <xm:sqref>P122 P7772 P7517 P7262 P7007 P6752 P6497 P6242 P5987 P5732 P5477 P5222 P4967 P4712 P4457 P4202 P3947 P3692 P3437 P3182 P2927 P2672 P2417 P2162 P1907 P1652 P1397 P1142 P887 P632 P377</xm:sqref>
        </x14:conditionalFormatting>
        <x14:conditionalFormatting xmlns:xm="http://schemas.microsoft.com/office/excel/2006/main">
          <x14:cfRule type="dataBar" id="{B9787C51-F4E8-4E1C-8663-E772F36239B3}">
            <x14:dataBar minLength="0" maxLength="100" border="1" negativeBarBorderColorSameAsPositive="0">
              <x14:cfvo type="autoMin"/>
              <x14:cfvo type="autoMax"/>
              <x14:borderColor rgb="FF638EC6"/>
              <x14:negativeFillColor rgb="FFFF0000"/>
              <x14:negativeBorderColor rgb="FFFF0000"/>
              <x14:axisColor rgb="FF000000"/>
            </x14:dataBar>
          </x14:cfRule>
          <xm:sqref>P123 P7773 P7518 P7263 P7008 P6753 P6498 P6243 P5988 P5733 P5478 P5223 P4968 P4713 P4458 P4203 P3948 P3693 P3438 P3183 P2928 P2673 P2418 P2163 P1908 P1653 P1398 P1143 P888 P633 P378</xm:sqref>
        </x14:conditionalFormatting>
        <x14:conditionalFormatting xmlns:xm="http://schemas.microsoft.com/office/excel/2006/main">
          <x14:cfRule type="dataBar" id="{70621D85-33BA-49FC-8D74-3C2CAA152EB1}">
            <x14:dataBar minLength="0" maxLength="100" border="1" negativeBarBorderColorSameAsPositive="0">
              <x14:cfvo type="autoMin"/>
              <x14:cfvo type="autoMax"/>
              <x14:borderColor rgb="FF638EC6"/>
              <x14:negativeFillColor rgb="FFFF0000"/>
              <x14:negativeBorderColor rgb="FFFF0000"/>
              <x14:axisColor rgb="FF000000"/>
            </x14:dataBar>
          </x14:cfRule>
          <xm:sqref>P124 P7774 P7519 P7264 P7009 P6754 P6499 P6244 P5989 P5734 P5479 P5224 P4969 P4714 P4459 P4204 P3949 P3694 P3439 P3184 P2929 P2674 P2419 P2164 P1909 P1654 P1399 P1144 P889 P634 P379</xm:sqref>
        </x14:conditionalFormatting>
        <x14:conditionalFormatting xmlns:xm="http://schemas.microsoft.com/office/excel/2006/main">
          <x14:cfRule type="dataBar" id="{8F4B5247-E275-449C-9FDF-29452933F619}">
            <x14:dataBar minLength="0" maxLength="100" border="1" negativeBarBorderColorSameAsPositive="0">
              <x14:cfvo type="autoMin"/>
              <x14:cfvo type="autoMax"/>
              <x14:borderColor rgb="FF638EC6"/>
              <x14:negativeFillColor rgb="FFFF0000"/>
              <x14:negativeBorderColor rgb="FFFF0000"/>
              <x14:axisColor rgb="FF000000"/>
            </x14:dataBar>
          </x14:cfRule>
          <xm:sqref>P125 P7775 P7520 P7265 P7010 P6755 P6500 P6245 P5990 P5735 P5480 P5225 P4970 P4715 P4460 P4205 P3950 P3695 P3440 P3185 P2930 P2675 P2420 P2165 P1910 P1655 P1400 P1145 P890 P635 P380</xm:sqref>
        </x14:conditionalFormatting>
        <x14:conditionalFormatting xmlns:xm="http://schemas.microsoft.com/office/excel/2006/main">
          <x14:cfRule type="dataBar" id="{7DFEC45D-2C81-4F71-9314-EE2D49C6EC67}">
            <x14:dataBar minLength="0" maxLength="100" border="1" negativeBarBorderColorSameAsPositive="0">
              <x14:cfvo type="autoMin"/>
              <x14:cfvo type="autoMax"/>
              <x14:borderColor rgb="FF638EC6"/>
              <x14:negativeFillColor rgb="FFFF0000"/>
              <x14:negativeBorderColor rgb="FFFF0000"/>
              <x14:axisColor rgb="FF000000"/>
            </x14:dataBar>
          </x14:cfRule>
          <xm:sqref>P126 P7776 P7521 P7266 P7011 P6756 P6501 P6246 P5991 P5736 P5481 P5226 P4971 P4716 P4461 P4206 P3951 P3696 P3441 P3186 P2931 P2676 P2421 P2166 P1911 P1656 P1401 P1146 P891 P636 P381</xm:sqref>
        </x14:conditionalFormatting>
        <x14:conditionalFormatting xmlns:xm="http://schemas.microsoft.com/office/excel/2006/main">
          <x14:cfRule type="dataBar" id="{414A9A75-7534-447A-9179-C2832D03BC17}">
            <x14:dataBar minLength="0" maxLength="100" border="1" negativeBarBorderColorSameAsPositive="0">
              <x14:cfvo type="autoMin"/>
              <x14:cfvo type="autoMax"/>
              <x14:borderColor rgb="FF638EC6"/>
              <x14:negativeFillColor rgb="FFFF0000"/>
              <x14:negativeBorderColor rgb="FFFF0000"/>
              <x14:axisColor rgb="FF000000"/>
            </x14:dataBar>
          </x14:cfRule>
          <xm:sqref>P127 P7777 P7522 P7267 P7012 P6757 P6502 P6247 P5992 P5737 P5482 P5227 P4972 P4717 P4462 P4207 P3952 P3697 P3442 P3187 P2932 P2677 P2422 P2167 P1912 P1657 P1402 P1147 P892 P637 P382</xm:sqref>
        </x14:conditionalFormatting>
        <x14:conditionalFormatting xmlns:xm="http://schemas.microsoft.com/office/excel/2006/main">
          <x14:cfRule type="dataBar" id="{7B576B1B-7329-483F-87CA-E944BA999050}">
            <x14:dataBar minLength="0" maxLength="100" border="1" negativeBarBorderColorSameAsPositive="0">
              <x14:cfvo type="autoMin"/>
              <x14:cfvo type="autoMax"/>
              <x14:borderColor rgb="FF638EC6"/>
              <x14:negativeFillColor rgb="FFFF0000"/>
              <x14:negativeBorderColor rgb="FFFF0000"/>
              <x14:axisColor rgb="FF000000"/>
            </x14:dataBar>
          </x14:cfRule>
          <xm:sqref>P128 P7778 P7523 P7268 P7013 P6758 P6503 P6248 P5993 P5738 P5483 P5228 P4973 P4718 P4463 P4208 P3953 P3698 P3443 P3188 P2933 P2678 P2423 P2168 P1913 P1658 P1403 P1148 P893 P638 P383</xm:sqref>
        </x14:conditionalFormatting>
        <x14:conditionalFormatting xmlns:xm="http://schemas.microsoft.com/office/excel/2006/main">
          <x14:cfRule type="dataBar" id="{7AB7A8C5-07E6-4600-9292-8333B968DF32}">
            <x14:dataBar minLength="0" maxLength="100" border="1" negativeBarBorderColorSameAsPositive="0">
              <x14:cfvo type="autoMin"/>
              <x14:cfvo type="autoMax"/>
              <x14:borderColor rgb="FF638EC6"/>
              <x14:negativeFillColor rgb="FFFF0000"/>
              <x14:negativeBorderColor rgb="FFFF0000"/>
              <x14:axisColor rgb="FF000000"/>
            </x14:dataBar>
          </x14:cfRule>
          <xm:sqref>P129 P7779 P7524 P7269 P7014 P6759 P6504 P6249 P5994 P5739 P5484 P5229 P4974 P4719 P4464 P4209 P3954 P3699 P3444 P3189 P2934 P2679 P2424 P2169 P1914 P1659 P1404 P1149 P894 P639 P384</xm:sqref>
        </x14:conditionalFormatting>
        <x14:conditionalFormatting xmlns:xm="http://schemas.microsoft.com/office/excel/2006/main">
          <x14:cfRule type="dataBar" id="{4F36BDB4-2D70-4E2E-BD2E-0AD24AF8C3A5}">
            <x14:dataBar minLength="0" maxLength="100" border="1" negativeBarBorderColorSameAsPositive="0">
              <x14:cfvo type="autoMin"/>
              <x14:cfvo type="autoMax"/>
              <x14:borderColor rgb="FF638EC6"/>
              <x14:negativeFillColor rgb="FFFF0000"/>
              <x14:negativeBorderColor rgb="FFFF0000"/>
              <x14:axisColor rgb="FF000000"/>
            </x14:dataBar>
          </x14:cfRule>
          <xm:sqref>P130 P7780 P7525 P7270 P7015 P6760 P6505 P6250 P5995 P5740 P5485 P5230 P4975 P4720 P4465 P4210 P3955 P3700 P3445 P3190 P2935 P2680 P2425 P2170 P1915 P1660 P1405 P1150 P895 P640 P385</xm:sqref>
        </x14:conditionalFormatting>
        <x14:conditionalFormatting xmlns:xm="http://schemas.microsoft.com/office/excel/2006/main">
          <x14:cfRule type="dataBar" id="{4CD90329-9F51-4B75-B48D-325B24C055CE}">
            <x14:dataBar minLength="0" maxLength="100" border="1" negativeBarBorderColorSameAsPositive="0">
              <x14:cfvo type="autoMin"/>
              <x14:cfvo type="autoMax"/>
              <x14:borderColor rgb="FF638EC6"/>
              <x14:negativeFillColor rgb="FFFF0000"/>
              <x14:negativeBorderColor rgb="FFFF0000"/>
              <x14:axisColor rgb="FF000000"/>
            </x14:dataBar>
          </x14:cfRule>
          <xm:sqref>P131 P7781 P7526 P7271 P7016 P6761 P6506 P6251 P5996 P5741 P5486 P5231 P4976 P4721 P4466 P4211 P3956 P3701 P3446 P3191 P2936 P2681 P2426 P2171 P1916 P1661 P1406 P1151 P896 P641 P386</xm:sqref>
        </x14:conditionalFormatting>
        <x14:conditionalFormatting xmlns:xm="http://schemas.microsoft.com/office/excel/2006/main">
          <x14:cfRule type="dataBar" id="{8EE16DEB-8E75-4DCD-89F9-339AA88F2188}">
            <x14:dataBar minLength="0" maxLength="100" border="1" negativeBarBorderColorSameAsPositive="0">
              <x14:cfvo type="autoMin"/>
              <x14:cfvo type="autoMax"/>
              <x14:borderColor rgb="FF638EC6"/>
              <x14:negativeFillColor rgb="FFFF0000"/>
              <x14:negativeBorderColor rgb="FFFF0000"/>
              <x14:axisColor rgb="FF000000"/>
            </x14:dataBar>
          </x14:cfRule>
          <xm:sqref>P132 P7782 P7527 P7272 P7017 P6762 P6507 P6252 P5997 P5742 P5487 P5232 P4977 P4722 P4467 P4212 P3957 P3702 P3447 P3192 P2937 P2682 P2427 P2172 P1917 P1662 P1407 P1152 P897 P642 P387</xm:sqref>
        </x14:conditionalFormatting>
        <x14:conditionalFormatting xmlns:xm="http://schemas.microsoft.com/office/excel/2006/main">
          <x14:cfRule type="dataBar" id="{9637238D-23DB-4232-84ED-72E8919C6CFF}">
            <x14:dataBar minLength="0" maxLength="100" border="1" negativeBarBorderColorSameAsPositive="0">
              <x14:cfvo type="autoMin"/>
              <x14:cfvo type="autoMax"/>
              <x14:borderColor rgb="FF638EC6"/>
              <x14:negativeFillColor rgb="FFFF0000"/>
              <x14:negativeBorderColor rgb="FFFF0000"/>
              <x14:axisColor rgb="FF000000"/>
            </x14:dataBar>
          </x14:cfRule>
          <xm:sqref>P133 P7783 P7528 P7273 P7018 P6763 P6508 P6253 P5998 P5743 P5488 P5233 P4978 P4723 P4468 P4213 P3958 P3703 P3448 P3193 P2938 P2683 P2428 P2173 P1918 P1663 P1408 P1153 P898 P643 P388</xm:sqref>
        </x14:conditionalFormatting>
        <x14:conditionalFormatting xmlns:xm="http://schemas.microsoft.com/office/excel/2006/main">
          <x14:cfRule type="dataBar" id="{065253D8-EBF7-411A-A5F2-5EE4391DFC05}">
            <x14:dataBar minLength="0" maxLength="100" border="1" negativeBarBorderColorSameAsPositive="0">
              <x14:cfvo type="autoMin"/>
              <x14:cfvo type="autoMax"/>
              <x14:borderColor rgb="FF638EC6"/>
              <x14:negativeFillColor rgb="FFFF0000"/>
              <x14:negativeBorderColor rgb="FFFF0000"/>
              <x14:axisColor rgb="FF000000"/>
            </x14:dataBar>
          </x14:cfRule>
          <xm:sqref>P134 P7784 P7529 P7274 P7019 P6764 P6509 P6254 P5999 P5744 P5489 P5234 P4979 P4724 P4469 P4214 P3959 P3704 P3449 P3194 P2939 P2684 P2429 P2174 P1919 P1664 P1409 P1154 P899 P644 P389</xm:sqref>
        </x14:conditionalFormatting>
        <x14:conditionalFormatting xmlns:xm="http://schemas.microsoft.com/office/excel/2006/main">
          <x14:cfRule type="dataBar" id="{05BD6F07-4FE6-4182-B269-A4BB8DAEA8D2}">
            <x14:dataBar minLength="0" maxLength="100" border="1" negativeBarBorderColorSameAsPositive="0">
              <x14:cfvo type="autoMin"/>
              <x14:cfvo type="autoMax"/>
              <x14:borderColor rgb="FF638EC6"/>
              <x14:negativeFillColor rgb="FFFF0000"/>
              <x14:negativeBorderColor rgb="FFFF0000"/>
              <x14:axisColor rgb="FF000000"/>
            </x14:dataBar>
          </x14:cfRule>
          <xm:sqref>P135 P7785 P7530 P7275 P7020 P6765 P6510 P6255 P6000 P5745 P5490 P5235 P4980 P4725 P4470 P4215 P3960 P3705 P3450 P3195 P2940 P2685 P2430 P2175 P1920 P1665 P1410 P1155 P900 P645 P390</xm:sqref>
        </x14:conditionalFormatting>
        <x14:conditionalFormatting xmlns:xm="http://schemas.microsoft.com/office/excel/2006/main">
          <x14:cfRule type="dataBar" id="{D70D3FE9-8730-412E-8DBD-41DE8CDF5547}">
            <x14:dataBar minLength="0" maxLength="100" border="1" negativeBarBorderColorSameAsPositive="0">
              <x14:cfvo type="autoMin"/>
              <x14:cfvo type="autoMax"/>
              <x14:borderColor rgb="FF638EC6"/>
              <x14:negativeFillColor rgb="FFFF0000"/>
              <x14:negativeBorderColor rgb="FFFF0000"/>
              <x14:axisColor rgb="FF000000"/>
            </x14:dataBar>
          </x14:cfRule>
          <xm:sqref>P136 P7786 P7531 P7276 P7021 P6766 P6511 P6256 P6001 P5746 P5491 P5236 P4981 P4726 P4471 P4216 P3961 P3706 P3451 P3196 P2941 P2686 P2431 P2176 P1921 P1666 P1411 P1156 P901 P646 P391</xm:sqref>
        </x14:conditionalFormatting>
        <x14:conditionalFormatting xmlns:xm="http://schemas.microsoft.com/office/excel/2006/main">
          <x14:cfRule type="dataBar" id="{BECC4279-3EEB-44A0-8F0C-626ADA649235}">
            <x14:dataBar minLength="0" maxLength="100" border="1" negativeBarBorderColorSameAsPositive="0">
              <x14:cfvo type="autoMin"/>
              <x14:cfvo type="autoMax"/>
              <x14:borderColor rgb="FF638EC6"/>
              <x14:negativeFillColor rgb="FFFF0000"/>
              <x14:negativeBorderColor rgb="FFFF0000"/>
              <x14:axisColor rgb="FF000000"/>
            </x14:dataBar>
          </x14:cfRule>
          <xm:sqref>P137 P7787 P7532 P7277 P7022 P6767 P6512 P6257 P6002 P5747 P5492 P5237 P4982 P4727 P4472 P4217 P3962 P3707 P3452 P3197 P2942 P2687 P2432 P2177 P1922 P1667 P1412 P1157 P902 P647 P392</xm:sqref>
        </x14:conditionalFormatting>
        <x14:conditionalFormatting xmlns:xm="http://schemas.microsoft.com/office/excel/2006/main">
          <x14:cfRule type="dataBar" id="{1CA14DB6-09F3-48F5-86E0-B8DF00577C96}">
            <x14:dataBar minLength="0" maxLength="100" border="1" negativeBarBorderColorSameAsPositive="0">
              <x14:cfvo type="autoMin"/>
              <x14:cfvo type="autoMax"/>
              <x14:borderColor rgb="FF638EC6"/>
              <x14:negativeFillColor rgb="FFFF0000"/>
              <x14:negativeBorderColor rgb="FFFF0000"/>
              <x14:axisColor rgb="FF000000"/>
            </x14:dataBar>
          </x14:cfRule>
          <xm:sqref>P138 P7788 P7533 P7278 P7023 P6768 P6513 P6258 P6003 P5748 P5493 P5238 P4983 P4728 P4473 P4218 P3963 P3708 P3453 P3198 P2943 P2688 P2433 P2178 P1923 P1668 P1413 P1158 P903 P648 P393</xm:sqref>
        </x14:conditionalFormatting>
        <x14:conditionalFormatting xmlns:xm="http://schemas.microsoft.com/office/excel/2006/main">
          <x14:cfRule type="dataBar" id="{6C527BDC-61A0-4999-84ED-4127B0A26048}">
            <x14:dataBar minLength="0" maxLength="100" border="1" negativeBarBorderColorSameAsPositive="0">
              <x14:cfvo type="autoMin"/>
              <x14:cfvo type="autoMax"/>
              <x14:borderColor rgb="FF638EC6"/>
              <x14:negativeFillColor rgb="FFFF0000"/>
              <x14:negativeBorderColor rgb="FFFF0000"/>
              <x14:axisColor rgb="FF000000"/>
            </x14:dataBar>
          </x14:cfRule>
          <xm:sqref>P139 P7789 P7534 P7279 P7024 P6769 P6514 P6259 P6004 P5749 P5494 P5239 P4984 P4729 P4474 P4219 P3964 P3709 P3454 P3199 P2944 P2689 P2434 P2179 P1924 P1669 P1414 P1159 P904 P649 P394</xm:sqref>
        </x14:conditionalFormatting>
        <x14:conditionalFormatting xmlns:xm="http://schemas.microsoft.com/office/excel/2006/main">
          <x14:cfRule type="dataBar" id="{2399473D-74CF-46F8-B0A2-93360BF95CBD}">
            <x14:dataBar minLength="0" maxLength="100" border="1" negativeBarBorderColorSameAsPositive="0">
              <x14:cfvo type="autoMin"/>
              <x14:cfvo type="autoMax"/>
              <x14:borderColor rgb="FF638EC6"/>
              <x14:negativeFillColor rgb="FFFF0000"/>
              <x14:negativeBorderColor rgb="FFFF0000"/>
              <x14:axisColor rgb="FF000000"/>
            </x14:dataBar>
          </x14:cfRule>
          <xm:sqref>P140 P7790 P7535 P7280 P7025 P6770 P6515 P6260 P6005 P5750 P5495 P5240 P4985 P4730 P4475 P4220 P3965 P3710 P3455 P3200 P2945 P2690 P2435 P2180 P1925 P1670 P1415 P1160 P905 P650 P395</xm:sqref>
        </x14:conditionalFormatting>
        <x14:conditionalFormatting xmlns:xm="http://schemas.microsoft.com/office/excel/2006/main">
          <x14:cfRule type="dataBar" id="{902640D4-FE63-4ED1-8BE2-876B8CFFB5BA}">
            <x14:dataBar minLength="0" maxLength="100" border="1" negativeBarBorderColorSameAsPositive="0">
              <x14:cfvo type="autoMin"/>
              <x14:cfvo type="autoMax"/>
              <x14:borderColor rgb="FF638EC6"/>
              <x14:negativeFillColor rgb="FFFF0000"/>
              <x14:negativeBorderColor rgb="FFFF0000"/>
              <x14:axisColor rgb="FF000000"/>
            </x14:dataBar>
          </x14:cfRule>
          <xm:sqref>P141 P7791 P7536 P7281 P7026 P6771 P6516 P6261 P6006 P5751 P5496 P5241 P4986 P4731 P4476 P4221 P3966 P3711 P3456 P3201 P2946 P2691 P2436 P2181 P1926 P1671 P1416 P1161 P906 P651 P396</xm:sqref>
        </x14:conditionalFormatting>
        <x14:conditionalFormatting xmlns:xm="http://schemas.microsoft.com/office/excel/2006/main">
          <x14:cfRule type="dataBar" id="{7B151F48-15D2-4E8E-9C4C-C31EA3FE8BF5}">
            <x14:dataBar minLength="0" maxLength="100" border="1" negativeBarBorderColorSameAsPositive="0">
              <x14:cfvo type="autoMin"/>
              <x14:cfvo type="autoMax"/>
              <x14:borderColor rgb="FF638EC6"/>
              <x14:negativeFillColor rgb="FFFF0000"/>
              <x14:negativeBorderColor rgb="FFFF0000"/>
              <x14:axisColor rgb="FF000000"/>
            </x14:dataBar>
          </x14:cfRule>
          <xm:sqref>P142 P7792 P7537 P7282 P7027 P6772 P6517 P6262 P6007 P5752 P5497 P5242 P4987 P4732 P4477 P4222 P3967 P3712 P3457 P3202 P2947 P2692 P2437 P2182 P1927 P1672 P1417 P1162 P907 P652 P397</xm:sqref>
        </x14:conditionalFormatting>
        <x14:conditionalFormatting xmlns:xm="http://schemas.microsoft.com/office/excel/2006/main">
          <x14:cfRule type="dataBar" id="{2A8D3CD1-334A-438B-97D0-A50EA28E7B13}">
            <x14:dataBar minLength="0" maxLength="100" border="1" negativeBarBorderColorSameAsPositive="0">
              <x14:cfvo type="autoMin"/>
              <x14:cfvo type="autoMax"/>
              <x14:borderColor rgb="FF638EC6"/>
              <x14:negativeFillColor rgb="FFFF0000"/>
              <x14:negativeBorderColor rgb="FFFF0000"/>
              <x14:axisColor rgb="FF000000"/>
            </x14:dataBar>
          </x14:cfRule>
          <xm:sqref>P143 P7793 P7538 P7283 P7028 P6773 P6518 P6263 P6008 P5753 P5498 P5243 P4988 P4733 P4478 P4223 P3968 P3713 P3458 P3203 P2948 P2693 P2438 P2183 P1928 P1673 P1418 P1163 P908 P653 P398</xm:sqref>
        </x14:conditionalFormatting>
        <x14:conditionalFormatting xmlns:xm="http://schemas.microsoft.com/office/excel/2006/main">
          <x14:cfRule type="dataBar" id="{3EE92B87-C0F1-4457-9F06-E06BAD65A59A}">
            <x14:dataBar minLength="0" maxLength="100" border="1" negativeBarBorderColorSameAsPositive="0">
              <x14:cfvo type="autoMin"/>
              <x14:cfvo type="autoMax"/>
              <x14:borderColor rgb="FF638EC6"/>
              <x14:negativeFillColor rgb="FFFF0000"/>
              <x14:negativeBorderColor rgb="FFFF0000"/>
              <x14:axisColor rgb="FF000000"/>
            </x14:dataBar>
          </x14:cfRule>
          <xm:sqref>P144 P7794 P7539 P7284 P7029 P6774 P6519 P6264 P6009 P5754 P5499 P5244 P4989 P4734 P4479 P4224 P3969 P3714 P3459 P3204 P2949 P2694 P2439 P2184 P1929 P1674 P1419 P1164 P909 P654 P399</xm:sqref>
        </x14:conditionalFormatting>
        <x14:conditionalFormatting xmlns:xm="http://schemas.microsoft.com/office/excel/2006/main">
          <x14:cfRule type="dataBar" id="{4E77469D-2583-48B7-8F1C-45952160D7CF}">
            <x14:dataBar minLength="0" maxLength="100" border="1" negativeBarBorderColorSameAsPositive="0">
              <x14:cfvo type="autoMin"/>
              <x14:cfvo type="autoMax"/>
              <x14:borderColor rgb="FF638EC6"/>
              <x14:negativeFillColor rgb="FFFF0000"/>
              <x14:negativeBorderColor rgb="FFFF0000"/>
              <x14:axisColor rgb="FF000000"/>
            </x14:dataBar>
          </x14:cfRule>
          <xm:sqref>P145 P7795 P7540 P7285 P7030 P6775 P6520 P6265 P6010 P5755 P5500 P5245 P4990 P4735 P4480 P4225 P3970 P3715 P3460 P3205 P2950 P2695 P2440 P2185 P1930 P1675 P1420 P1165 P910 P655 P400</xm:sqref>
        </x14:conditionalFormatting>
        <x14:conditionalFormatting xmlns:xm="http://schemas.microsoft.com/office/excel/2006/main">
          <x14:cfRule type="dataBar" id="{D9F29BC6-D455-4C24-BFBA-16374A4FAD39}">
            <x14:dataBar minLength="0" maxLength="100" border="1" negativeBarBorderColorSameAsPositive="0">
              <x14:cfvo type="autoMin"/>
              <x14:cfvo type="autoMax"/>
              <x14:borderColor rgb="FF638EC6"/>
              <x14:negativeFillColor rgb="FFFF0000"/>
              <x14:negativeBorderColor rgb="FFFF0000"/>
              <x14:axisColor rgb="FF000000"/>
            </x14:dataBar>
          </x14:cfRule>
          <xm:sqref>P146 P7796 P7541 P7286 P7031 P6776 P6521 P6266 P6011 P5756 P5501 P5246 P4991 P4736 P4481 P4226 P3971 P3716 P3461 P3206 P2951 P2696 P2441 P2186 P1931 P1676 P1421 P1166 P911 P656 P401</xm:sqref>
        </x14:conditionalFormatting>
        <x14:conditionalFormatting xmlns:xm="http://schemas.microsoft.com/office/excel/2006/main">
          <x14:cfRule type="dataBar" id="{03AB1536-269B-42C6-8E6A-699E53DAC698}">
            <x14:dataBar minLength="0" maxLength="100" border="1" negativeBarBorderColorSameAsPositive="0">
              <x14:cfvo type="autoMin"/>
              <x14:cfvo type="autoMax"/>
              <x14:borderColor rgb="FF638EC6"/>
              <x14:negativeFillColor rgb="FFFF0000"/>
              <x14:negativeBorderColor rgb="FFFF0000"/>
              <x14:axisColor rgb="FF000000"/>
            </x14:dataBar>
          </x14:cfRule>
          <xm:sqref>P147 P7797 P7542 P7287 P7032 P6777 P6522 P6267 P6012 P5757 P5502 P5247 P4992 P4737 P4482 P4227 P3972 P3717 P3462 P3207 P2952 P2697 P2442 P2187 P1932 P1677 P1422 P1167 P912 P657 P402</xm:sqref>
        </x14:conditionalFormatting>
        <x14:conditionalFormatting xmlns:xm="http://schemas.microsoft.com/office/excel/2006/main">
          <x14:cfRule type="dataBar" id="{5470E172-6667-45F0-803F-0104B957179A}">
            <x14:dataBar minLength="0" maxLength="100" border="1" negativeBarBorderColorSameAsPositive="0">
              <x14:cfvo type="autoMin"/>
              <x14:cfvo type="autoMax"/>
              <x14:borderColor rgb="FF638EC6"/>
              <x14:negativeFillColor rgb="FFFF0000"/>
              <x14:negativeBorderColor rgb="FFFF0000"/>
              <x14:axisColor rgb="FF000000"/>
            </x14:dataBar>
          </x14:cfRule>
          <xm:sqref>P148 P7798 P7543 P7288 P7033 P6778 P6523 P6268 P6013 P5758 P5503 P5248 P4993 P4738 P4483 P4228 P3973 P3718 P3463 P3208 P2953 P2698 P2443 P2188 P1933 P1678 P1423 P1168 P913 P658 P403</xm:sqref>
        </x14:conditionalFormatting>
        <x14:conditionalFormatting xmlns:xm="http://schemas.microsoft.com/office/excel/2006/main">
          <x14:cfRule type="dataBar" id="{944D5E17-5C2B-4649-A3AC-323D48A8FE35}">
            <x14:dataBar minLength="0" maxLength="100" border="1" negativeBarBorderColorSameAsPositive="0">
              <x14:cfvo type="autoMin"/>
              <x14:cfvo type="autoMax"/>
              <x14:borderColor rgb="FF638EC6"/>
              <x14:negativeFillColor rgb="FFFF0000"/>
              <x14:negativeBorderColor rgb="FFFF0000"/>
              <x14:axisColor rgb="FF000000"/>
            </x14:dataBar>
          </x14:cfRule>
          <xm:sqref>P149 P7799 P7544 P7289 P7034 P6779 P6524 P6269 P6014 P5759 P5504 P5249 P4994 P4739 P4484 P4229 P3974 P3719 P3464 P3209 P2954 P2699 P2444 P2189 P1934 P1679 P1424 P1169 P914 P659 P404</xm:sqref>
        </x14:conditionalFormatting>
        <x14:conditionalFormatting xmlns:xm="http://schemas.microsoft.com/office/excel/2006/main">
          <x14:cfRule type="dataBar" id="{D9F5B07D-B1AE-4283-9E4C-EF3ADEB09C65}">
            <x14:dataBar minLength="0" maxLength="100" border="1" negativeBarBorderColorSameAsPositive="0">
              <x14:cfvo type="autoMin"/>
              <x14:cfvo type="autoMax"/>
              <x14:borderColor rgb="FF638EC6"/>
              <x14:negativeFillColor rgb="FFFF0000"/>
              <x14:negativeBorderColor rgb="FFFF0000"/>
              <x14:axisColor rgb="FF000000"/>
            </x14:dataBar>
          </x14:cfRule>
          <xm:sqref>P150 P7800 P7545 P7290 P7035 P6780 P6525 P6270 P6015 P5760 P5505 P5250 P4995 P4740 P4485 P4230 P3975 P3720 P3465 P3210 P2955 P2700 P2445 P2190 P1935 P1680 P1425 P1170 P915 P660 P405</xm:sqref>
        </x14:conditionalFormatting>
        <x14:conditionalFormatting xmlns:xm="http://schemas.microsoft.com/office/excel/2006/main">
          <x14:cfRule type="dataBar" id="{1AED3AF9-1CC1-4498-9784-E40625055075}">
            <x14:dataBar minLength="0" maxLength="100" border="1" negativeBarBorderColorSameAsPositive="0">
              <x14:cfvo type="autoMin"/>
              <x14:cfvo type="autoMax"/>
              <x14:borderColor rgb="FF638EC6"/>
              <x14:negativeFillColor rgb="FFFF0000"/>
              <x14:negativeBorderColor rgb="FFFF0000"/>
              <x14:axisColor rgb="FF000000"/>
            </x14:dataBar>
          </x14:cfRule>
          <xm:sqref>P151 P7801 P7546 P7291 P7036 P6781 P6526 P6271 P6016 P5761 P5506 P5251 P4996 P4741 P4486 P4231 P3976 P3721 P3466 P3211 P2956 P2701 P2446 P2191 P1936 P1681 P1426 P1171 P916 P661 P406</xm:sqref>
        </x14:conditionalFormatting>
        <x14:conditionalFormatting xmlns:xm="http://schemas.microsoft.com/office/excel/2006/main">
          <x14:cfRule type="dataBar" id="{421ADE3E-37F2-470F-89DD-A7FA8C0AFAB8}">
            <x14:dataBar minLength="0" maxLength="100" border="1" negativeBarBorderColorSameAsPositive="0">
              <x14:cfvo type="autoMin"/>
              <x14:cfvo type="autoMax"/>
              <x14:borderColor rgb="FF638EC6"/>
              <x14:negativeFillColor rgb="FFFF0000"/>
              <x14:negativeBorderColor rgb="FFFF0000"/>
              <x14:axisColor rgb="FF000000"/>
            </x14:dataBar>
          </x14:cfRule>
          <xm:sqref>P152 P7802 P7547 P7292 P7037 P6782 P6527 P6272 P6017 P5762 P5507 P5252 P4997 P4742 P4487 P4232 P3977 P3722 P3467 P3212 P2957 P2702 P2447 P2192 P1937 P1682 P1427 P1172 P917 P662 P407</xm:sqref>
        </x14:conditionalFormatting>
        <x14:conditionalFormatting xmlns:xm="http://schemas.microsoft.com/office/excel/2006/main">
          <x14:cfRule type="dataBar" id="{33C74FEB-993C-4C68-9D97-7CCE8949619B}">
            <x14:dataBar minLength="0" maxLength="100" border="1" negativeBarBorderColorSameAsPositive="0">
              <x14:cfvo type="autoMin"/>
              <x14:cfvo type="autoMax"/>
              <x14:borderColor rgb="FF638EC6"/>
              <x14:negativeFillColor rgb="FFFF0000"/>
              <x14:negativeBorderColor rgb="FFFF0000"/>
              <x14:axisColor rgb="FF000000"/>
            </x14:dataBar>
          </x14:cfRule>
          <xm:sqref>P153 P7803 P7548 P7293 P7038 P6783 P6528 P6273 P6018 P5763 P5508 P5253 P4998 P4743 P4488 P4233 P3978 P3723 P3468 P3213 P2958 P2703 P2448 P2193 P1938 P1683 P1428 P1173 P918 P663 P408</xm:sqref>
        </x14:conditionalFormatting>
        <x14:conditionalFormatting xmlns:xm="http://schemas.microsoft.com/office/excel/2006/main">
          <x14:cfRule type="dataBar" id="{572871C3-D114-4D50-BF9F-CBA64593D523}">
            <x14:dataBar minLength="0" maxLength="100" border="1" negativeBarBorderColorSameAsPositive="0">
              <x14:cfvo type="autoMin"/>
              <x14:cfvo type="autoMax"/>
              <x14:borderColor rgb="FF638EC6"/>
              <x14:negativeFillColor rgb="FFFF0000"/>
              <x14:negativeBorderColor rgb="FFFF0000"/>
              <x14:axisColor rgb="FF000000"/>
            </x14:dataBar>
          </x14:cfRule>
          <xm:sqref>P154 P7804 P7549 P7294 P7039 P6784 P6529 P6274 P6019 P5764 P5509 P5254 P4999 P4744 P4489 P4234 P3979 P3724 P3469 P3214 P2959 P2704 P2449 P2194 P1939 P1684 P1429 P1174 P919 P664 P409</xm:sqref>
        </x14:conditionalFormatting>
        <x14:conditionalFormatting xmlns:xm="http://schemas.microsoft.com/office/excel/2006/main">
          <x14:cfRule type="dataBar" id="{6AED6F72-38A9-4C29-996B-14FF6452AFFB}">
            <x14:dataBar minLength="0" maxLength="100" border="1" negativeBarBorderColorSameAsPositive="0">
              <x14:cfvo type="autoMin"/>
              <x14:cfvo type="autoMax"/>
              <x14:borderColor rgb="FF638EC6"/>
              <x14:negativeFillColor rgb="FFFF0000"/>
              <x14:negativeBorderColor rgb="FFFF0000"/>
              <x14:axisColor rgb="FF000000"/>
            </x14:dataBar>
          </x14:cfRule>
          <xm:sqref>P155 P7805 P7550 P7295 P7040 P6785 P6530 P6275 P6020 P5765 P5510 P5255 P5000 P4745 P4490 P4235 P3980 P3725 P3470 P3215 P2960 P2705 P2450 P2195 P1940 P1685 P1430 P1175 P920 P665 P410</xm:sqref>
        </x14:conditionalFormatting>
        <x14:conditionalFormatting xmlns:xm="http://schemas.microsoft.com/office/excel/2006/main">
          <x14:cfRule type="dataBar" id="{D03DCC60-624C-4742-9FC2-0ECC791752A9}">
            <x14:dataBar minLength="0" maxLength="100" border="1" negativeBarBorderColorSameAsPositive="0">
              <x14:cfvo type="autoMin"/>
              <x14:cfvo type="autoMax"/>
              <x14:borderColor rgb="FF638EC6"/>
              <x14:negativeFillColor rgb="FFFF0000"/>
              <x14:negativeBorderColor rgb="FFFF0000"/>
              <x14:axisColor rgb="FF000000"/>
            </x14:dataBar>
          </x14:cfRule>
          <xm:sqref>P156 P7806 P7551 P7296 P7041 P6786 P6531 P6276 P6021 P5766 P5511 P5256 P5001 P4746 P4491 P4236 P3981 P3726 P3471 P3216 P2961 P2706 P2451 P2196 P1941 P1686 P1431 P1176 P921 P666 P411</xm:sqref>
        </x14:conditionalFormatting>
        <x14:conditionalFormatting xmlns:xm="http://schemas.microsoft.com/office/excel/2006/main">
          <x14:cfRule type="dataBar" id="{23B6131A-6B13-4185-951A-36BD247792A7}">
            <x14:dataBar minLength="0" maxLength="100" border="1" negativeBarBorderColorSameAsPositive="0">
              <x14:cfvo type="autoMin"/>
              <x14:cfvo type="autoMax"/>
              <x14:borderColor rgb="FF638EC6"/>
              <x14:negativeFillColor rgb="FFFF0000"/>
              <x14:negativeBorderColor rgb="FFFF0000"/>
              <x14:axisColor rgb="FF000000"/>
            </x14:dataBar>
          </x14:cfRule>
          <xm:sqref>P157 P7807 P7552 P7297 P7042 P6787 P6532 P6277 P6022 P5767 P5512 P5257 P5002 P4747 P4492 P4237 P3982 P3727 P3472 P3217 P2962 P2707 P2452 P2197 P1942 P1687 P1432 P1177 P922 P667 P412</xm:sqref>
        </x14:conditionalFormatting>
        <x14:conditionalFormatting xmlns:xm="http://schemas.microsoft.com/office/excel/2006/main">
          <x14:cfRule type="dataBar" id="{B32034C1-9DA5-42E1-8258-E3B258BDC9BA}">
            <x14:dataBar minLength="0" maxLength="100" border="1" negativeBarBorderColorSameAsPositive="0">
              <x14:cfvo type="autoMin"/>
              <x14:cfvo type="autoMax"/>
              <x14:borderColor rgb="FF638EC6"/>
              <x14:negativeFillColor rgb="FFFF0000"/>
              <x14:negativeBorderColor rgb="FFFF0000"/>
              <x14:axisColor rgb="FF000000"/>
            </x14:dataBar>
          </x14:cfRule>
          <xm:sqref>P158 P7808 P7553 P7298 P7043 P6788 P6533 P6278 P6023 P5768 P5513 P5258 P5003 P4748 P4493 P4238 P3983 P3728 P3473 P3218 P2963 P2708 P2453 P2198 P1943 P1688 P1433 P1178 P923 P668 P413</xm:sqref>
        </x14:conditionalFormatting>
        <x14:conditionalFormatting xmlns:xm="http://schemas.microsoft.com/office/excel/2006/main">
          <x14:cfRule type="dataBar" id="{5E69AD94-D78A-40AB-988E-CAC696034728}">
            <x14:dataBar minLength="0" maxLength="100" border="1" negativeBarBorderColorSameAsPositive="0">
              <x14:cfvo type="autoMin"/>
              <x14:cfvo type="autoMax"/>
              <x14:borderColor rgb="FF638EC6"/>
              <x14:negativeFillColor rgb="FFFF0000"/>
              <x14:negativeBorderColor rgb="FFFF0000"/>
              <x14:axisColor rgb="FF000000"/>
            </x14:dataBar>
          </x14:cfRule>
          <xm:sqref>P159 P7809 P7554 P7299 P7044 P6789 P6534 P6279 P6024 P5769 P5514 P5259 P5004 P4749 P4494 P4239 P3984 P3729 P3474 P3219 P2964 P2709 P2454 P2199 P1944 P1689 P1434 P1179 P924 P669 P414</xm:sqref>
        </x14:conditionalFormatting>
        <x14:conditionalFormatting xmlns:xm="http://schemas.microsoft.com/office/excel/2006/main">
          <x14:cfRule type="dataBar" id="{BDC3F081-C1F2-4633-B4A1-886F6DB8B48A}">
            <x14:dataBar minLength="0" maxLength="100" border="1" negativeBarBorderColorSameAsPositive="0">
              <x14:cfvo type="autoMin"/>
              <x14:cfvo type="autoMax"/>
              <x14:borderColor rgb="FF638EC6"/>
              <x14:negativeFillColor rgb="FFFF0000"/>
              <x14:negativeBorderColor rgb="FFFF0000"/>
              <x14:axisColor rgb="FF000000"/>
            </x14:dataBar>
          </x14:cfRule>
          <xm:sqref>P160 P7810 P7555 P7300 P7045 P6790 P6535 P6280 P6025 P5770 P5515 P5260 P5005 P4750 P4495 P4240 P3985 P3730 P3475 P3220 P2965 P2710 P2455 P2200 P1945 P1690 P1435 P1180 P925 P670 P415</xm:sqref>
        </x14:conditionalFormatting>
        <x14:conditionalFormatting xmlns:xm="http://schemas.microsoft.com/office/excel/2006/main">
          <x14:cfRule type="dataBar" id="{3DF9D639-16A9-4DC8-A774-7FE8B7FF2B33}">
            <x14:dataBar minLength="0" maxLength="100" border="1" negativeBarBorderColorSameAsPositive="0">
              <x14:cfvo type="autoMin"/>
              <x14:cfvo type="autoMax"/>
              <x14:borderColor rgb="FF638EC6"/>
              <x14:negativeFillColor rgb="FFFF0000"/>
              <x14:negativeBorderColor rgb="FFFF0000"/>
              <x14:axisColor rgb="FF000000"/>
            </x14:dataBar>
          </x14:cfRule>
          <xm:sqref>P161 P7811 P7556 P7301 P7046 P6791 P6536 P6281 P6026 P5771 P5516 P5261 P5006 P4751 P4496 P4241 P3986 P3731 P3476 P3221 P2966 P2711 P2456 P2201 P1946 P1691 P1436 P1181 P926 P671 P416</xm:sqref>
        </x14:conditionalFormatting>
        <x14:conditionalFormatting xmlns:xm="http://schemas.microsoft.com/office/excel/2006/main">
          <x14:cfRule type="dataBar" id="{D4046DDC-5B86-41FB-97AB-B3AB03C2352F}">
            <x14:dataBar minLength="0" maxLength="100" border="1" negativeBarBorderColorSameAsPositive="0">
              <x14:cfvo type="autoMin"/>
              <x14:cfvo type="autoMax"/>
              <x14:borderColor rgb="FF638EC6"/>
              <x14:negativeFillColor rgb="FFFF0000"/>
              <x14:negativeBorderColor rgb="FFFF0000"/>
              <x14:axisColor rgb="FF000000"/>
            </x14:dataBar>
          </x14:cfRule>
          <xm:sqref>P162 P7812 P7557 P7302 P7047 P6792 P6537 P6282 P6027 P5772 P5517 P5262 P5007 P4752 P4497 P4242 P3987 P3732 P3477 P3222 P2967 P2712 P2457 P2202 P1947 P1692 P1437 P1182 P927 P672 P417</xm:sqref>
        </x14:conditionalFormatting>
        <x14:conditionalFormatting xmlns:xm="http://schemas.microsoft.com/office/excel/2006/main">
          <x14:cfRule type="dataBar" id="{11C9E950-90DD-46D7-9AA6-C6504A5A931B}">
            <x14:dataBar minLength="0" maxLength="100" border="1" negativeBarBorderColorSameAsPositive="0">
              <x14:cfvo type="autoMin"/>
              <x14:cfvo type="autoMax"/>
              <x14:borderColor rgb="FF638EC6"/>
              <x14:negativeFillColor rgb="FFFF0000"/>
              <x14:negativeBorderColor rgb="FFFF0000"/>
              <x14:axisColor rgb="FF000000"/>
            </x14:dataBar>
          </x14:cfRule>
          <xm:sqref>P163 P7813 P7558 P7303 P7048 P6793 P6538 P6283 P6028 P5773 P5518 P5263 P5008 P4753 P4498 P4243 P3988 P3733 P3478 P3223 P2968 P2713 P2458 P2203 P1948 P1693 P1438 P1183 P928 P673 P418</xm:sqref>
        </x14:conditionalFormatting>
        <x14:conditionalFormatting xmlns:xm="http://schemas.microsoft.com/office/excel/2006/main">
          <x14:cfRule type="dataBar" id="{2EE07D3D-D286-44A4-9752-5CE0F7F4E998}">
            <x14:dataBar minLength="0" maxLength="100" border="1" negativeBarBorderColorSameAsPositive="0">
              <x14:cfvo type="autoMin"/>
              <x14:cfvo type="autoMax"/>
              <x14:borderColor rgb="FF638EC6"/>
              <x14:negativeFillColor rgb="FFFF0000"/>
              <x14:negativeBorderColor rgb="FFFF0000"/>
              <x14:axisColor rgb="FF000000"/>
            </x14:dataBar>
          </x14:cfRule>
          <xm:sqref>P164 P7814 P7559 P7304 P7049 P6794 P6539 P6284 P6029 P5774 P5519 P5264 P5009 P4754 P4499 P4244 P3989 P3734 P3479 P3224 P2969 P2714 P2459 P2204 P1949 P1694 P1439 P1184 P929 P674 P419</xm:sqref>
        </x14:conditionalFormatting>
        <x14:conditionalFormatting xmlns:xm="http://schemas.microsoft.com/office/excel/2006/main">
          <x14:cfRule type="dataBar" id="{E5334B9F-BF83-4FA8-88BF-F5D3DF6B414A}">
            <x14:dataBar minLength="0" maxLength="100" border="1" negativeBarBorderColorSameAsPositive="0">
              <x14:cfvo type="autoMin"/>
              <x14:cfvo type="autoMax"/>
              <x14:borderColor rgb="FF638EC6"/>
              <x14:negativeFillColor rgb="FFFF0000"/>
              <x14:negativeBorderColor rgb="FFFF0000"/>
              <x14:axisColor rgb="FF000000"/>
            </x14:dataBar>
          </x14:cfRule>
          <xm:sqref>P165 P7815 P7560 P7305 P7050 P6795 P6540 P6285 P6030 P5775 P5520 P5265 P5010 P4755 P4500 P4245 P3990 P3735 P3480 P3225 P2970 P2715 P2460 P2205 P1950 P1695 P1440 P1185 P930 P675 P420</xm:sqref>
        </x14:conditionalFormatting>
        <x14:conditionalFormatting xmlns:xm="http://schemas.microsoft.com/office/excel/2006/main">
          <x14:cfRule type="dataBar" id="{FD74435D-9EDC-43A2-9015-E3FF3DB654D2}">
            <x14:dataBar minLength="0" maxLength="100" border="1" negativeBarBorderColorSameAsPositive="0">
              <x14:cfvo type="autoMin"/>
              <x14:cfvo type="autoMax"/>
              <x14:borderColor rgb="FF638EC6"/>
              <x14:negativeFillColor rgb="FFFF0000"/>
              <x14:negativeBorderColor rgb="FFFF0000"/>
              <x14:axisColor rgb="FF000000"/>
            </x14:dataBar>
          </x14:cfRule>
          <xm:sqref>P166 P7816 P7561 P7306 P7051 P6796 P6541 P6286 P6031 P5776 P5521 P5266 P5011 P4756 P4501 P4246 P3991 P3736 P3481 P3226 P2971 P2716 P2461 P2206 P1951 P1696 P1441 P1186 P931 P676 P421</xm:sqref>
        </x14:conditionalFormatting>
        <x14:conditionalFormatting xmlns:xm="http://schemas.microsoft.com/office/excel/2006/main">
          <x14:cfRule type="dataBar" id="{00BB51F3-A56E-44D5-8E1A-793F22820DCB}">
            <x14:dataBar minLength="0" maxLength="100" border="1" negativeBarBorderColorSameAsPositive="0">
              <x14:cfvo type="autoMin"/>
              <x14:cfvo type="autoMax"/>
              <x14:borderColor rgb="FF638EC6"/>
              <x14:negativeFillColor rgb="FFFF0000"/>
              <x14:negativeBorderColor rgb="FFFF0000"/>
              <x14:axisColor rgb="FF000000"/>
            </x14:dataBar>
          </x14:cfRule>
          <xm:sqref>P167 P7817 P7562 P7307 P7052 P6797 P6542 P6287 P6032 P5777 P5522 P5267 P5012 P4757 P4502 P4247 P3992 P3737 P3482 P3227 P2972 P2717 P2462 P2207 P1952 P1697 P1442 P1187 P932 P677 P422</xm:sqref>
        </x14:conditionalFormatting>
        <x14:conditionalFormatting xmlns:xm="http://schemas.microsoft.com/office/excel/2006/main">
          <x14:cfRule type="dataBar" id="{E7E7BAAA-2DC6-4552-9DEA-33B803459AC7}">
            <x14:dataBar minLength="0" maxLength="100" border="1" negativeBarBorderColorSameAsPositive="0">
              <x14:cfvo type="autoMin"/>
              <x14:cfvo type="autoMax"/>
              <x14:borderColor rgb="FF638EC6"/>
              <x14:negativeFillColor rgb="FFFF0000"/>
              <x14:negativeBorderColor rgb="FFFF0000"/>
              <x14:axisColor rgb="FF000000"/>
            </x14:dataBar>
          </x14:cfRule>
          <xm:sqref>P168 P7818 P7563 P7308 P7053 P6798 P6543 P6288 P6033 P5778 P5523 P5268 P5013 P4758 P4503 P4248 P3993 P3738 P3483 P3228 P2973 P2718 P2463 P2208 P1953 P1698 P1443 P1188 P933 P678 P423</xm:sqref>
        </x14:conditionalFormatting>
        <x14:conditionalFormatting xmlns:xm="http://schemas.microsoft.com/office/excel/2006/main">
          <x14:cfRule type="dataBar" id="{224C6EA5-EFD7-4613-ACA9-9147A1DE147A}">
            <x14:dataBar minLength="0" maxLength="100" border="1" negativeBarBorderColorSameAsPositive="0">
              <x14:cfvo type="autoMin"/>
              <x14:cfvo type="autoMax"/>
              <x14:borderColor rgb="FF638EC6"/>
              <x14:negativeFillColor rgb="FFFF0000"/>
              <x14:negativeBorderColor rgb="FFFF0000"/>
              <x14:axisColor rgb="FF000000"/>
            </x14:dataBar>
          </x14:cfRule>
          <xm:sqref>P169 P7819 P7564 P7309 P7054 P6799 P6544 P6289 P6034 P5779 P5524 P5269 P5014 P4759 P4504 P4249 P3994 P3739 P3484 P3229 P2974 P2719 P2464 P2209 P1954 P1699 P1444 P1189 P934 P679 P424</xm:sqref>
        </x14:conditionalFormatting>
        <x14:conditionalFormatting xmlns:xm="http://schemas.microsoft.com/office/excel/2006/main">
          <x14:cfRule type="dataBar" id="{DCB01A91-BE8A-461C-A952-5E60BED97B7D}">
            <x14:dataBar minLength="0" maxLength="100" border="1" negativeBarBorderColorSameAsPositive="0">
              <x14:cfvo type="autoMin"/>
              <x14:cfvo type="autoMax"/>
              <x14:borderColor rgb="FF638EC6"/>
              <x14:negativeFillColor rgb="FFFF0000"/>
              <x14:negativeBorderColor rgb="FFFF0000"/>
              <x14:axisColor rgb="FF000000"/>
            </x14:dataBar>
          </x14:cfRule>
          <xm:sqref>P170 P7820 P7565 P7310 P7055 P6800 P6545 P6290 P6035 P5780 P5525 P5270 P5015 P4760 P4505 P4250 P3995 P3740 P3485 P3230 P2975 P2720 P2465 P2210 P1955 P1700 P1445 P1190 P935 P680 P425</xm:sqref>
        </x14:conditionalFormatting>
        <x14:conditionalFormatting xmlns:xm="http://schemas.microsoft.com/office/excel/2006/main">
          <x14:cfRule type="dataBar" id="{11208A89-AD00-4B8D-A2CD-9EF71F200356}">
            <x14:dataBar minLength="0" maxLength="100" border="1" negativeBarBorderColorSameAsPositive="0">
              <x14:cfvo type="autoMin"/>
              <x14:cfvo type="autoMax"/>
              <x14:borderColor rgb="FF638EC6"/>
              <x14:negativeFillColor rgb="FFFF0000"/>
              <x14:negativeBorderColor rgb="FFFF0000"/>
              <x14:axisColor rgb="FF000000"/>
            </x14:dataBar>
          </x14:cfRule>
          <xm:sqref>P171 P7821 P7566 P7311 P7056 P6801 P6546 P6291 P6036 P5781 P5526 P5271 P5016 P4761 P4506 P4251 P3996 P3741 P3486 P3231 P2976 P2721 P2466 P2211 P1956 P1701 P1446 P1191 P936 P681 P426</xm:sqref>
        </x14:conditionalFormatting>
        <x14:conditionalFormatting xmlns:xm="http://schemas.microsoft.com/office/excel/2006/main">
          <x14:cfRule type="dataBar" id="{C814A248-5C2B-458D-84E8-E0B995BF3ACE}">
            <x14:dataBar minLength="0" maxLength="100" border="1" negativeBarBorderColorSameAsPositive="0">
              <x14:cfvo type="autoMin"/>
              <x14:cfvo type="autoMax"/>
              <x14:borderColor rgb="FF638EC6"/>
              <x14:negativeFillColor rgb="FFFF0000"/>
              <x14:negativeBorderColor rgb="FFFF0000"/>
              <x14:axisColor rgb="FF000000"/>
            </x14:dataBar>
          </x14:cfRule>
          <xm:sqref>P172 P7822 P7567 P7312 P7057 P6802 P6547 P6292 P6037 P5782 P5527 P5272 P5017 P4762 P4507 P4252 P3997 P3742 P3487 P3232 P2977 P2722 P2467 P2212 P1957 P1702 P1447 P1192 P937 P682 P427</xm:sqref>
        </x14:conditionalFormatting>
        <x14:conditionalFormatting xmlns:xm="http://schemas.microsoft.com/office/excel/2006/main">
          <x14:cfRule type="dataBar" id="{7CE9CD80-5218-48CA-95D1-8DD28D4DDA67}">
            <x14:dataBar minLength="0" maxLength="100" border="1" negativeBarBorderColorSameAsPositive="0">
              <x14:cfvo type="autoMin"/>
              <x14:cfvo type="autoMax"/>
              <x14:borderColor rgb="FF638EC6"/>
              <x14:negativeFillColor rgb="FFFF0000"/>
              <x14:negativeBorderColor rgb="FFFF0000"/>
              <x14:axisColor rgb="FF000000"/>
            </x14:dataBar>
          </x14:cfRule>
          <xm:sqref>P173 P7823 P7568 P7313 P7058 P6803 P6548 P6293 P6038 P5783 P5528 P5273 P5018 P4763 P4508 P4253 P3998 P3743 P3488 P3233 P2978 P2723 P2468 P2213 P1958 P1703 P1448 P1193 P938 P683 P428</xm:sqref>
        </x14:conditionalFormatting>
        <x14:conditionalFormatting xmlns:xm="http://schemas.microsoft.com/office/excel/2006/main">
          <x14:cfRule type="dataBar" id="{D0297081-0542-4E92-AD65-FB8936DE1FA1}">
            <x14:dataBar minLength="0" maxLength="100" border="1" negativeBarBorderColorSameAsPositive="0">
              <x14:cfvo type="autoMin"/>
              <x14:cfvo type="autoMax"/>
              <x14:borderColor rgb="FF638EC6"/>
              <x14:negativeFillColor rgb="FFFF0000"/>
              <x14:negativeBorderColor rgb="FFFF0000"/>
              <x14:axisColor rgb="FF000000"/>
            </x14:dataBar>
          </x14:cfRule>
          <xm:sqref>P174 P7824 P7569 P7314 P7059 P6804 P6549 P6294 P6039 P5784 P5529 P5274 P5019 P4764 P4509 P4254 P3999 P3744 P3489 P3234 P2979 P2724 P2469 P2214 P1959 P1704 P1449 P1194 P939 P684 P429</xm:sqref>
        </x14:conditionalFormatting>
        <x14:conditionalFormatting xmlns:xm="http://schemas.microsoft.com/office/excel/2006/main">
          <x14:cfRule type="dataBar" id="{96B085C6-B760-443C-8F31-210325B12AAB}">
            <x14:dataBar minLength="0" maxLength="100" border="1" negativeBarBorderColorSameAsPositive="0">
              <x14:cfvo type="autoMin"/>
              <x14:cfvo type="autoMax"/>
              <x14:borderColor rgb="FF638EC6"/>
              <x14:negativeFillColor rgb="FFFF0000"/>
              <x14:negativeBorderColor rgb="FFFF0000"/>
              <x14:axisColor rgb="FF000000"/>
            </x14:dataBar>
          </x14:cfRule>
          <xm:sqref>P175 P7825 P7570 P7315 P7060 P6805 P6550 P6295 P6040 P5785 P5530 P5275 P5020 P4765 P4510 P4255 P4000 P3745 P3490 P3235 P2980 P2725 P2470 P2215 P1960 P1705 P1450 P1195 P940 P685 P430</xm:sqref>
        </x14:conditionalFormatting>
        <x14:conditionalFormatting xmlns:xm="http://schemas.microsoft.com/office/excel/2006/main">
          <x14:cfRule type="dataBar" id="{ABA6338D-7074-488C-A02F-1257895BAF9A}">
            <x14:dataBar minLength="0" maxLength="100" border="1" negativeBarBorderColorSameAsPositive="0">
              <x14:cfvo type="autoMin"/>
              <x14:cfvo type="autoMax"/>
              <x14:borderColor rgb="FF638EC6"/>
              <x14:negativeFillColor rgb="FFFF0000"/>
              <x14:negativeBorderColor rgb="FFFF0000"/>
              <x14:axisColor rgb="FF000000"/>
            </x14:dataBar>
          </x14:cfRule>
          <xm:sqref>P176 P7826 P7571 P7316 P7061 P6806 P6551 P6296 P6041 P5786 P5531 P5276 P5021 P4766 P4511 P4256 P4001 P3746 P3491 P3236 P2981 P2726 P2471 P2216 P1961 P1706 P1451 P1196 P941 P686 P431</xm:sqref>
        </x14:conditionalFormatting>
        <x14:conditionalFormatting xmlns:xm="http://schemas.microsoft.com/office/excel/2006/main">
          <x14:cfRule type="dataBar" id="{004342CB-B739-4537-B3C6-332D2E03CFA1}">
            <x14:dataBar minLength="0" maxLength="100" border="1" negativeBarBorderColorSameAsPositive="0">
              <x14:cfvo type="autoMin"/>
              <x14:cfvo type="autoMax"/>
              <x14:borderColor rgb="FF638EC6"/>
              <x14:negativeFillColor rgb="FFFF0000"/>
              <x14:negativeBorderColor rgb="FFFF0000"/>
              <x14:axisColor rgb="FF000000"/>
            </x14:dataBar>
          </x14:cfRule>
          <xm:sqref>P177 P7827 P7572 P7317 P7062 P6807 P6552 P6297 P6042 P5787 P5532 P5277 P5022 P4767 P4512 P4257 P4002 P3747 P3492 P3237 P2982 P2727 P2472 P2217 P1962 P1707 P1452 P1197 P942 P687 P432</xm:sqref>
        </x14:conditionalFormatting>
        <x14:conditionalFormatting xmlns:xm="http://schemas.microsoft.com/office/excel/2006/main">
          <x14:cfRule type="dataBar" id="{150CE0DA-B541-4227-9FF1-D10B12DFF5FB}">
            <x14:dataBar minLength="0" maxLength="100" border="1" negativeBarBorderColorSameAsPositive="0">
              <x14:cfvo type="autoMin"/>
              <x14:cfvo type="autoMax"/>
              <x14:borderColor rgb="FF638EC6"/>
              <x14:negativeFillColor rgb="FFFF0000"/>
              <x14:negativeBorderColor rgb="FFFF0000"/>
              <x14:axisColor rgb="FF000000"/>
            </x14:dataBar>
          </x14:cfRule>
          <xm:sqref>P178 P7828 P7573 P7318 P7063 P6808 P6553 P6298 P6043 P5788 P5533 P5278 P5023 P4768 P4513 P4258 P4003 P3748 P3493 P3238 P2983 P2728 P2473 P2218 P1963 P1708 P1453 P1198 P943 P688 P433</xm:sqref>
        </x14:conditionalFormatting>
        <x14:conditionalFormatting xmlns:xm="http://schemas.microsoft.com/office/excel/2006/main">
          <x14:cfRule type="dataBar" id="{74987226-D700-4885-A152-FB7785643071}">
            <x14:dataBar minLength="0" maxLength="100" border="1" negativeBarBorderColorSameAsPositive="0">
              <x14:cfvo type="autoMin"/>
              <x14:cfvo type="autoMax"/>
              <x14:borderColor rgb="FF638EC6"/>
              <x14:negativeFillColor rgb="FFFF0000"/>
              <x14:negativeBorderColor rgb="FFFF0000"/>
              <x14:axisColor rgb="FF000000"/>
            </x14:dataBar>
          </x14:cfRule>
          <xm:sqref>P179 P7829 P7574 P7319 P7064 P6809 P6554 P6299 P6044 P5789 P5534 P5279 P5024 P4769 P4514 P4259 P4004 P3749 P3494 P3239 P2984 P2729 P2474 P2219 P1964 P1709 P1454 P1199 P944 P689 P434</xm:sqref>
        </x14:conditionalFormatting>
        <x14:conditionalFormatting xmlns:xm="http://schemas.microsoft.com/office/excel/2006/main">
          <x14:cfRule type="dataBar" id="{793615D9-8FA0-4BD8-AADF-D18CDAC4B00A}">
            <x14:dataBar minLength="0" maxLength="100" border="1" negativeBarBorderColorSameAsPositive="0">
              <x14:cfvo type="autoMin"/>
              <x14:cfvo type="autoMax"/>
              <x14:borderColor rgb="FF638EC6"/>
              <x14:negativeFillColor rgb="FFFF0000"/>
              <x14:negativeBorderColor rgb="FFFF0000"/>
              <x14:axisColor rgb="FF000000"/>
            </x14:dataBar>
          </x14:cfRule>
          <xm:sqref>P180 P7830 P7575 P7320 P7065 P6810 P6555 P6300 P6045 P5790 P5535 P5280 P5025 P4770 P4515 P4260 P4005 P3750 P3495 P3240 P2985 P2730 P2475 P2220 P1965 P1710 P1455 P1200 P945 P690 P435</xm:sqref>
        </x14:conditionalFormatting>
        <x14:conditionalFormatting xmlns:xm="http://schemas.microsoft.com/office/excel/2006/main">
          <x14:cfRule type="dataBar" id="{0E75585D-2233-4C22-B075-18D5EFA6CAC5}">
            <x14:dataBar minLength="0" maxLength="100" border="1" negativeBarBorderColorSameAsPositive="0">
              <x14:cfvo type="autoMin"/>
              <x14:cfvo type="autoMax"/>
              <x14:borderColor rgb="FF638EC6"/>
              <x14:negativeFillColor rgb="FFFF0000"/>
              <x14:negativeBorderColor rgb="FFFF0000"/>
              <x14:axisColor rgb="FF000000"/>
            </x14:dataBar>
          </x14:cfRule>
          <xm:sqref>P181 P7831 P7576 P7321 P7066 P6811 P6556 P6301 P6046 P5791 P5536 P5281 P5026 P4771 P4516 P4261 P4006 P3751 P3496 P3241 P2986 P2731 P2476 P2221 P1966 P1711 P1456 P1201 P946 P691 P436</xm:sqref>
        </x14:conditionalFormatting>
        <x14:conditionalFormatting xmlns:xm="http://schemas.microsoft.com/office/excel/2006/main">
          <x14:cfRule type="dataBar" id="{55FBB3F2-C156-4840-BB9E-3491719BA422}">
            <x14:dataBar minLength="0" maxLength="100" border="1" negativeBarBorderColorSameAsPositive="0">
              <x14:cfvo type="autoMin"/>
              <x14:cfvo type="autoMax"/>
              <x14:borderColor rgb="FF638EC6"/>
              <x14:negativeFillColor rgb="FFFF0000"/>
              <x14:negativeBorderColor rgb="FFFF0000"/>
              <x14:axisColor rgb="FF000000"/>
            </x14:dataBar>
          </x14:cfRule>
          <xm:sqref>P182 P7832 P7577 P7322 P7067 P6812 P6557 P6302 P6047 P5792 P5537 P5282 P5027 P4772 P4517 P4262 P4007 P3752 P3497 P3242 P2987 P2732 P2477 P2222 P1967 P1712 P1457 P1202 P947 P692 P437</xm:sqref>
        </x14:conditionalFormatting>
        <x14:conditionalFormatting xmlns:xm="http://schemas.microsoft.com/office/excel/2006/main">
          <x14:cfRule type="dataBar" id="{BA7BC72D-CC6E-4B46-85A5-BFFFDF017084}">
            <x14:dataBar minLength="0" maxLength="100" border="1" negativeBarBorderColorSameAsPositive="0">
              <x14:cfvo type="autoMin"/>
              <x14:cfvo type="autoMax"/>
              <x14:borderColor rgb="FF638EC6"/>
              <x14:negativeFillColor rgb="FFFF0000"/>
              <x14:negativeBorderColor rgb="FFFF0000"/>
              <x14:axisColor rgb="FF000000"/>
            </x14:dataBar>
          </x14:cfRule>
          <xm:sqref>P183 P7833 P7578 P7323 P7068 P6813 P6558 P6303 P6048 P5793 P5538 P5283 P5028 P4773 P4518 P4263 P4008 P3753 P3498 P3243 P2988 P2733 P2478 P2223 P1968 P1713 P1458 P1203 P948 P693 P438</xm:sqref>
        </x14:conditionalFormatting>
        <x14:conditionalFormatting xmlns:xm="http://schemas.microsoft.com/office/excel/2006/main">
          <x14:cfRule type="dataBar" id="{F9787418-6DB5-497E-9AF7-6B644F060F67}">
            <x14:dataBar minLength="0" maxLength="100" border="1" negativeBarBorderColorSameAsPositive="0">
              <x14:cfvo type="autoMin"/>
              <x14:cfvo type="autoMax"/>
              <x14:borderColor rgb="FF638EC6"/>
              <x14:negativeFillColor rgb="FFFF0000"/>
              <x14:negativeBorderColor rgb="FFFF0000"/>
              <x14:axisColor rgb="FF000000"/>
            </x14:dataBar>
          </x14:cfRule>
          <xm:sqref>P184 P7834 P7579 P7324 P7069 P6814 P6559 P6304 P6049 P5794 P5539 P5284 P5029 P4774 P4519 P4264 P4009 P3754 P3499 P3244 P2989 P2734 P2479 P2224 P1969 P1714 P1459 P1204 P949 P694 P439</xm:sqref>
        </x14:conditionalFormatting>
        <x14:conditionalFormatting xmlns:xm="http://schemas.microsoft.com/office/excel/2006/main">
          <x14:cfRule type="dataBar" id="{722A1D2B-F0F5-4BFB-9978-77A57D6CB465}">
            <x14:dataBar minLength="0" maxLength="100" border="1" negativeBarBorderColorSameAsPositive="0">
              <x14:cfvo type="autoMin"/>
              <x14:cfvo type="autoMax"/>
              <x14:borderColor rgb="FF638EC6"/>
              <x14:negativeFillColor rgb="FFFF0000"/>
              <x14:negativeBorderColor rgb="FFFF0000"/>
              <x14:axisColor rgb="FF000000"/>
            </x14:dataBar>
          </x14:cfRule>
          <xm:sqref>P185 P7835 P7580 P7325 P7070 P6815 P6560 P6305 P6050 P5795 P5540 P5285 P5030 P4775 P4520 P4265 P4010 P3755 P3500 P3245 P2990 P2735 P2480 P2225 P1970 P1715 P1460 P1205 P950 P695 P440</xm:sqref>
        </x14:conditionalFormatting>
        <x14:conditionalFormatting xmlns:xm="http://schemas.microsoft.com/office/excel/2006/main">
          <x14:cfRule type="dataBar" id="{B2973DDE-DC07-4AA5-8F38-71E5CAF637FF}">
            <x14:dataBar minLength="0" maxLength="100" border="1" negativeBarBorderColorSameAsPositive="0">
              <x14:cfvo type="autoMin"/>
              <x14:cfvo type="autoMax"/>
              <x14:borderColor rgb="FF638EC6"/>
              <x14:negativeFillColor rgb="FFFF0000"/>
              <x14:negativeBorderColor rgb="FFFF0000"/>
              <x14:axisColor rgb="FF000000"/>
            </x14:dataBar>
          </x14:cfRule>
          <xm:sqref>P186 P7836 P7581 P7326 P7071 P6816 P6561 P6306 P6051 P5796 P5541 P5286 P5031 P4776 P4521 P4266 P4011 P3756 P3501 P3246 P2991 P2736 P2481 P2226 P1971 P1716 P1461 P1206 P951 P696 P441</xm:sqref>
        </x14:conditionalFormatting>
        <x14:conditionalFormatting xmlns:xm="http://schemas.microsoft.com/office/excel/2006/main">
          <x14:cfRule type="dataBar" id="{D6AD7460-3BD2-4F45-BBC2-D87933EF1D36}">
            <x14:dataBar minLength="0" maxLength="100" border="1" negativeBarBorderColorSameAsPositive="0">
              <x14:cfvo type="autoMin"/>
              <x14:cfvo type="autoMax"/>
              <x14:borderColor rgb="FF638EC6"/>
              <x14:negativeFillColor rgb="FFFF0000"/>
              <x14:negativeBorderColor rgb="FFFF0000"/>
              <x14:axisColor rgb="FF000000"/>
            </x14:dataBar>
          </x14:cfRule>
          <xm:sqref>P187 P7837 P7582 P7327 P7072 P6817 P6562 P6307 P6052 P5797 P5542 P5287 P5032 P4777 P4522 P4267 P4012 P3757 P3502 P3247 P2992 P2737 P2482 P2227 P1972 P1717 P1462 P1207 P952 P697 P442</xm:sqref>
        </x14:conditionalFormatting>
        <x14:conditionalFormatting xmlns:xm="http://schemas.microsoft.com/office/excel/2006/main">
          <x14:cfRule type="dataBar" id="{1EB8ABC8-0565-4420-99F3-089CCF973267}">
            <x14:dataBar minLength="0" maxLength="100" border="1" negativeBarBorderColorSameAsPositive="0">
              <x14:cfvo type="autoMin"/>
              <x14:cfvo type="autoMax"/>
              <x14:borderColor rgb="FF638EC6"/>
              <x14:negativeFillColor rgb="FFFF0000"/>
              <x14:negativeBorderColor rgb="FFFF0000"/>
              <x14:axisColor rgb="FF000000"/>
            </x14:dataBar>
          </x14:cfRule>
          <xm:sqref>P188 P7838 P7583 P7328 P7073 P6818 P6563 P6308 P6053 P5798 P5543 P5288 P5033 P4778 P4523 P4268 P4013 P3758 P3503 P3248 P2993 P2738 P2483 P2228 P1973 P1718 P1463 P1208 P953 P698 P443</xm:sqref>
        </x14:conditionalFormatting>
        <x14:conditionalFormatting xmlns:xm="http://schemas.microsoft.com/office/excel/2006/main">
          <x14:cfRule type="dataBar" id="{638B4B54-8757-4C7C-9A9E-30C08BF803F8}">
            <x14:dataBar minLength="0" maxLength="100" border="1" negativeBarBorderColorSameAsPositive="0">
              <x14:cfvo type="autoMin"/>
              <x14:cfvo type="autoMax"/>
              <x14:borderColor rgb="FF638EC6"/>
              <x14:negativeFillColor rgb="FFFF0000"/>
              <x14:negativeBorderColor rgb="FFFF0000"/>
              <x14:axisColor rgb="FF000000"/>
            </x14:dataBar>
          </x14:cfRule>
          <xm:sqref>P189 P7839 P7584 P7329 P7074 P6819 P6564 P6309 P6054 P5799 P5544 P5289 P5034 P4779 P4524 P4269 P4014 P3759 P3504 P3249 P2994 P2739 P2484 P2229 P1974 P1719 P1464 P1209 P954 P699 P444</xm:sqref>
        </x14:conditionalFormatting>
        <x14:conditionalFormatting xmlns:xm="http://schemas.microsoft.com/office/excel/2006/main">
          <x14:cfRule type="dataBar" id="{477527EB-8D02-49D3-8BF6-C2B243651951}">
            <x14:dataBar minLength="0" maxLength="100" border="1" negativeBarBorderColorSameAsPositive="0">
              <x14:cfvo type="autoMin"/>
              <x14:cfvo type="autoMax"/>
              <x14:borderColor rgb="FF638EC6"/>
              <x14:negativeFillColor rgb="FFFF0000"/>
              <x14:negativeBorderColor rgb="FFFF0000"/>
              <x14:axisColor rgb="FF000000"/>
            </x14:dataBar>
          </x14:cfRule>
          <xm:sqref>P190 P7840 P7585 P7330 P7075 P6820 P6565 P6310 P6055 P5800 P5545 P5290 P5035 P4780 P4525 P4270 P4015 P3760 P3505 P3250 P2995 P2740 P2485 P2230 P1975 P1720 P1465 P1210 P955 P700 P445</xm:sqref>
        </x14:conditionalFormatting>
        <x14:conditionalFormatting xmlns:xm="http://schemas.microsoft.com/office/excel/2006/main">
          <x14:cfRule type="dataBar" id="{4DFEA2B8-5763-4263-B65D-4B6482AFB6BB}">
            <x14:dataBar minLength="0" maxLength="100" border="1" negativeBarBorderColorSameAsPositive="0">
              <x14:cfvo type="autoMin"/>
              <x14:cfvo type="autoMax"/>
              <x14:borderColor rgb="FF638EC6"/>
              <x14:negativeFillColor rgb="FFFF0000"/>
              <x14:negativeBorderColor rgb="FFFF0000"/>
              <x14:axisColor rgb="FF000000"/>
            </x14:dataBar>
          </x14:cfRule>
          <xm:sqref>P191 P7841 P7586 P7331 P7076 P6821 P6566 P6311 P6056 P5801 P5546 P5291 P5036 P4781 P4526 P4271 P4016 P3761 P3506 P3251 P2996 P2741 P2486 P2231 P1976 P1721 P1466 P1211 P956 P701 P446</xm:sqref>
        </x14:conditionalFormatting>
        <x14:conditionalFormatting xmlns:xm="http://schemas.microsoft.com/office/excel/2006/main">
          <x14:cfRule type="dataBar" id="{6FFBB5A8-91D5-496D-85ED-649FCDD6F2AD}">
            <x14:dataBar minLength="0" maxLength="100" border="1" negativeBarBorderColorSameAsPositive="0">
              <x14:cfvo type="autoMin"/>
              <x14:cfvo type="autoMax"/>
              <x14:borderColor rgb="FF638EC6"/>
              <x14:negativeFillColor rgb="FFFF0000"/>
              <x14:negativeBorderColor rgb="FFFF0000"/>
              <x14:axisColor rgb="FF000000"/>
            </x14:dataBar>
          </x14:cfRule>
          <xm:sqref>P192 P7842 P7587 P7332 P7077 P6822 P6567 P6312 P6057 P5802 P5547 P5292 P5037 P4782 P4527 P4272 P4017 P3762 P3507 P3252 P2997 P2742 P2487 P2232 P1977 P1722 P1467 P1212 P957 P702 P447</xm:sqref>
        </x14:conditionalFormatting>
        <x14:conditionalFormatting xmlns:xm="http://schemas.microsoft.com/office/excel/2006/main">
          <x14:cfRule type="dataBar" id="{5ED6DCB2-0900-464D-BC9D-BE1852DEFFAA}">
            <x14:dataBar minLength="0" maxLength="100" border="1" negativeBarBorderColorSameAsPositive="0">
              <x14:cfvo type="autoMin"/>
              <x14:cfvo type="autoMax"/>
              <x14:borderColor rgb="FF638EC6"/>
              <x14:negativeFillColor rgb="FFFF0000"/>
              <x14:negativeBorderColor rgb="FFFF0000"/>
              <x14:axisColor rgb="FF000000"/>
            </x14:dataBar>
          </x14:cfRule>
          <xm:sqref>P193 P7843 P7588 P7333 P7078 P6823 P6568 P6313 P6058 P5803 P5548 P5293 P5038 P4783 P4528 P4273 P4018 P3763 P3508 P3253 P2998 P2743 P2488 P2233 P1978 P1723 P1468 P1213 P958 P703 P448</xm:sqref>
        </x14:conditionalFormatting>
        <x14:conditionalFormatting xmlns:xm="http://schemas.microsoft.com/office/excel/2006/main">
          <x14:cfRule type="dataBar" id="{09EF0135-0DF6-4102-B31A-C7EC877EF7FB}">
            <x14:dataBar minLength="0" maxLength="100" border="1" negativeBarBorderColorSameAsPositive="0">
              <x14:cfvo type="autoMin"/>
              <x14:cfvo type="autoMax"/>
              <x14:borderColor rgb="FF638EC6"/>
              <x14:negativeFillColor rgb="FFFF0000"/>
              <x14:negativeBorderColor rgb="FFFF0000"/>
              <x14:axisColor rgb="FF000000"/>
            </x14:dataBar>
          </x14:cfRule>
          <xm:sqref>P194 P7844 P7589 P7334 P7079 P6824 P6569 P6314 P6059 P5804 P5549 P5294 P5039 P4784 P4529 P4274 P4019 P3764 P3509 P3254 P2999 P2744 P2489 P2234 P1979 P1724 P1469 P1214 P959 P704 P449</xm:sqref>
        </x14:conditionalFormatting>
        <x14:conditionalFormatting xmlns:xm="http://schemas.microsoft.com/office/excel/2006/main">
          <x14:cfRule type="dataBar" id="{C4E80A2C-BF1F-47A8-9AE3-4D263E113B79}">
            <x14:dataBar minLength="0" maxLength="100" border="1" negativeBarBorderColorSameAsPositive="0">
              <x14:cfvo type="autoMin"/>
              <x14:cfvo type="autoMax"/>
              <x14:borderColor rgb="FF638EC6"/>
              <x14:negativeFillColor rgb="FFFF0000"/>
              <x14:negativeBorderColor rgb="FFFF0000"/>
              <x14:axisColor rgb="FF000000"/>
            </x14:dataBar>
          </x14:cfRule>
          <xm:sqref>P195 P7845 P7590 P7335 P7080 P6825 P6570 P6315 P6060 P5805 P5550 P5295 P5040 P4785 P4530 P4275 P4020 P3765 P3510 P3255 P3000 P2745 P2490 P2235 P1980 P1725 P1470 P1215 P960 P705 P450</xm:sqref>
        </x14:conditionalFormatting>
        <x14:conditionalFormatting xmlns:xm="http://schemas.microsoft.com/office/excel/2006/main">
          <x14:cfRule type="dataBar" id="{C72CFAE6-6C56-49D2-B46D-459994BF2E27}">
            <x14:dataBar minLength="0" maxLength="100" border="1" negativeBarBorderColorSameAsPositive="0">
              <x14:cfvo type="autoMin"/>
              <x14:cfvo type="autoMax"/>
              <x14:borderColor rgb="FF638EC6"/>
              <x14:negativeFillColor rgb="FFFF0000"/>
              <x14:negativeBorderColor rgb="FFFF0000"/>
              <x14:axisColor rgb="FF000000"/>
            </x14:dataBar>
          </x14:cfRule>
          <xm:sqref>P196 P7846 P7591 P7336 P7081 P6826 P6571 P6316 P6061 P5806 P5551 P5296 P5041 P4786 P4531 P4276 P4021 P3766 P3511 P3256 P3001 P2746 P2491 P2236 P1981 P1726 P1471 P1216 P961 P706 P451</xm:sqref>
        </x14:conditionalFormatting>
        <x14:conditionalFormatting xmlns:xm="http://schemas.microsoft.com/office/excel/2006/main">
          <x14:cfRule type="dataBar" id="{C55E48F9-D657-4282-AC60-91D642B4898B}">
            <x14:dataBar minLength="0" maxLength="100" border="1" negativeBarBorderColorSameAsPositive="0">
              <x14:cfvo type="autoMin"/>
              <x14:cfvo type="autoMax"/>
              <x14:borderColor rgb="FF638EC6"/>
              <x14:negativeFillColor rgb="FFFF0000"/>
              <x14:negativeBorderColor rgb="FFFF0000"/>
              <x14:axisColor rgb="FF000000"/>
            </x14:dataBar>
          </x14:cfRule>
          <xm:sqref>P197 P7847 P7592 P7337 P7082 P6827 P6572 P6317 P6062 P5807 P5552 P5297 P5042 P4787 P4532 P4277 P4022 P3767 P3512 P3257 P3002 P2747 P2492 P2237 P1982 P1727 P1472 P1217 P962 P707 P452</xm:sqref>
        </x14:conditionalFormatting>
        <x14:conditionalFormatting xmlns:xm="http://schemas.microsoft.com/office/excel/2006/main">
          <x14:cfRule type="dataBar" id="{3DD79BB8-7CED-4050-979D-F25679134B25}">
            <x14:dataBar minLength="0" maxLength="100" border="1" negativeBarBorderColorSameAsPositive="0">
              <x14:cfvo type="autoMin"/>
              <x14:cfvo type="autoMax"/>
              <x14:borderColor rgb="FF638EC6"/>
              <x14:negativeFillColor rgb="FFFF0000"/>
              <x14:negativeBorderColor rgb="FFFF0000"/>
              <x14:axisColor rgb="FF000000"/>
            </x14:dataBar>
          </x14:cfRule>
          <xm:sqref>P198 P7848 P7593 P7338 P7083 P6828 P6573 P6318 P6063 P5808 P5553 P5298 P5043 P4788 P4533 P4278 P4023 P3768 P3513 P3258 P3003 P2748 P2493 P2238 P1983 P1728 P1473 P1218 P963 P708 P453</xm:sqref>
        </x14:conditionalFormatting>
        <x14:conditionalFormatting xmlns:xm="http://schemas.microsoft.com/office/excel/2006/main">
          <x14:cfRule type="dataBar" id="{01E4D03A-08EA-40C6-8A48-881E00233816}">
            <x14:dataBar minLength="0" maxLength="100" border="1" negativeBarBorderColorSameAsPositive="0">
              <x14:cfvo type="autoMin"/>
              <x14:cfvo type="autoMax"/>
              <x14:borderColor rgb="FF638EC6"/>
              <x14:negativeFillColor rgb="FFFF0000"/>
              <x14:negativeBorderColor rgb="FFFF0000"/>
              <x14:axisColor rgb="FF000000"/>
            </x14:dataBar>
          </x14:cfRule>
          <xm:sqref>P199 P7849 P7594 P7339 P7084 P6829 P6574 P6319 P6064 P5809 P5554 P5299 P5044 P4789 P4534 P4279 P4024 P3769 P3514 P3259 P3004 P2749 P2494 P2239 P1984 P1729 P1474 P1219 P964 P709 P454</xm:sqref>
        </x14:conditionalFormatting>
        <x14:conditionalFormatting xmlns:xm="http://schemas.microsoft.com/office/excel/2006/main">
          <x14:cfRule type="dataBar" id="{7DE07A12-14AB-4608-8E29-AB07AC0C4413}">
            <x14:dataBar minLength="0" maxLength="100" border="1" negativeBarBorderColorSameAsPositive="0">
              <x14:cfvo type="autoMin"/>
              <x14:cfvo type="autoMax"/>
              <x14:borderColor rgb="FF638EC6"/>
              <x14:negativeFillColor rgb="FFFF0000"/>
              <x14:negativeBorderColor rgb="FFFF0000"/>
              <x14:axisColor rgb="FF000000"/>
            </x14:dataBar>
          </x14:cfRule>
          <xm:sqref>P200 P7850 P7595 P7340 P7085 P6830 P6575 P6320 P6065 P5810 P5555 P5300 P5045 P4790 P4535 P4280 P4025 P3770 P3515 P3260 P3005 P2750 P2495 P2240 P1985 P1730 P1475 P1220 P965 P710 P455</xm:sqref>
        </x14:conditionalFormatting>
        <x14:conditionalFormatting xmlns:xm="http://schemas.microsoft.com/office/excel/2006/main">
          <x14:cfRule type="dataBar" id="{20E3A009-076E-421F-84DD-F0C22B4B2766}">
            <x14:dataBar minLength="0" maxLength="100" border="1" negativeBarBorderColorSameAsPositive="0">
              <x14:cfvo type="autoMin"/>
              <x14:cfvo type="autoMax"/>
              <x14:borderColor rgb="FF638EC6"/>
              <x14:negativeFillColor rgb="FFFF0000"/>
              <x14:negativeBorderColor rgb="FFFF0000"/>
              <x14:axisColor rgb="FF000000"/>
            </x14:dataBar>
          </x14:cfRule>
          <xm:sqref>P201 P7851 P7596 P7341 P7086 P6831 P6576 P6321 P6066 P5811 P5556 P5301 P5046 P4791 P4536 P4281 P4026 P3771 P3516 P3261 P3006 P2751 P2496 P2241 P1986 P1731 P1476 P1221 P966 P711 P456</xm:sqref>
        </x14:conditionalFormatting>
        <x14:conditionalFormatting xmlns:xm="http://schemas.microsoft.com/office/excel/2006/main">
          <x14:cfRule type="dataBar" id="{917698F4-CE01-4D8F-914A-C381EED6A012}">
            <x14:dataBar minLength="0" maxLength="100" border="1" negativeBarBorderColorSameAsPositive="0">
              <x14:cfvo type="autoMin"/>
              <x14:cfvo type="autoMax"/>
              <x14:borderColor rgb="FF638EC6"/>
              <x14:negativeFillColor rgb="FFFF0000"/>
              <x14:negativeBorderColor rgb="FFFF0000"/>
              <x14:axisColor rgb="FF000000"/>
            </x14:dataBar>
          </x14:cfRule>
          <xm:sqref>P202 P7852 P7597 P7342 P7087 P6832 P6577 P6322 P6067 P5812 P5557 P5302 P5047 P4792 P4537 P4282 P4027 P3772 P3517 P3262 P3007 P2752 P2497 P2242 P1987 P1732 P1477 P1222 P967 P712 P457</xm:sqref>
        </x14:conditionalFormatting>
        <x14:conditionalFormatting xmlns:xm="http://schemas.microsoft.com/office/excel/2006/main">
          <x14:cfRule type="dataBar" id="{00A67367-2D36-43D1-805B-0CA8A496C7F3}">
            <x14:dataBar minLength="0" maxLength="100" border="1" negativeBarBorderColorSameAsPositive="0">
              <x14:cfvo type="autoMin"/>
              <x14:cfvo type="autoMax"/>
              <x14:borderColor rgb="FF638EC6"/>
              <x14:negativeFillColor rgb="FFFF0000"/>
              <x14:negativeBorderColor rgb="FFFF0000"/>
              <x14:axisColor rgb="FF000000"/>
            </x14:dataBar>
          </x14:cfRule>
          <xm:sqref>P203 P7853 P7598 P7343 P7088 P6833 P6578 P6323 P6068 P5813 P5558 P5303 P5048 P4793 P4538 P4283 P4028 P3773 P3518 P3263 P3008 P2753 P2498 P2243 P1988 P1733 P1478 P1223 P968 P713 P458</xm:sqref>
        </x14:conditionalFormatting>
        <x14:conditionalFormatting xmlns:xm="http://schemas.microsoft.com/office/excel/2006/main">
          <x14:cfRule type="dataBar" id="{92B9AC91-DF17-4486-928C-4F1A3D8E7FF6}">
            <x14:dataBar minLength="0" maxLength="100" border="1" negativeBarBorderColorSameAsPositive="0">
              <x14:cfvo type="autoMin"/>
              <x14:cfvo type="autoMax"/>
              <x14:borderColor rgb="FF638EC6"/>
              <x14:negativeFillColor rgb="FFFF0000"/>
              <x14:negativeBorderColor rgb="FFFF0000"/>
              <x14:axisColor rgb="FF000000"/>
            </x14:dataBar>
          </x14:cfRule>
          <xm:sqref>P204 P7854 P7599 P7344 P7089 P6834 P6579 P6324 P6069 P5814 P5559 P5304 P5049 P4794 P4539 P4284 P4029 P3774 P3519 P3264 P3009 P2754 P2499 P2244 P1989 P1734 P1479 P1224 P969 P714 P459</xm:sqref>
        </x14:conditionalFormatting>
        <x14:conditionalFormatting xmlns:xm="http://schemas.microsoft.com/office/excel/2006/main">
          <x14:cfRule type="dataBar" id="{12CEEA2C-4EAB-4424-8B79-ED1256736D21}">
            <x14:dataBar minLength="0" maxLength="100" border="1" negativeBarBorderColorSameAsPositive="0">
              <x14:cfvo type="autoMin"/>
              <x14:cfvo type="autoMax"/>
              <x14:borderColor rgb="FF638EC6"/>
              <x14:negativeFillColor rgb="FFFF0000"/>
              <x14:negativeBorderColor rgb="FFFF0000"/>
              <x14:axisColor rgb="FF000000"/>
            </x14:dataBar>
          </x14:cfRule>
          <xm:sqref>P205 P7855 P7600 P7345 P7090 P6835 P6580 P6325 P6070 P5815 P5560 P5305 P5050 P4795 P4540 P4285 P4030 P3775 P3520 P3265 P3010 P2755 P2500 P2245 P1990 P1735 P1480 P1225 P970 P715 P460</xm:sqref>
        </x14:conditionalFormatting>
        <x14:conditionalFormatting xmlns:xm="http://schemas.microsoft.com/office/excel/2006/main">
          <x14:cfRule type="dataBar" id="{F1D2C296-A31A-4275-99FA-E563B9E90F31}">
            <x14:dataBar minLength="0" maxLength="100" border="1" negativeBarBorderColorSameAsPositive="0">
              <x14:cfvo type="autoMin"/>
              <x14:cfvo type="autoMax"/>
              <x14:borderColor rgb="FF638EC6"/>
              <x14:negativeFillColor rgb="FFFF0000"/>
              <x14:negativeBorderColor rgb="FFFF0000"/>
              <x14:axisColor rgb="FF000000"/>
            </x14:dataBar>
          </x14:cfRule>
          <xm:sqref>P206 P7856 P7601 P7346 P7091 P6836 P6581 P6326 P6071 P5816 P5561 P5306 P5051 P4796 P4541 P4286 P4031 P3776 P3521 P3266 P3011 P2756 P2501 P2246 P1991 P1736 P1481 P1226 P971 P716 P461</xm:sqref>
        </x14:conditionalFormatting>
        <x14:conditionalFormatting xmlns:xm="http://schemas.microsoft.com/office/excel/2006/main">
          <x14:cfRule type="dataBar" id="{E9FBA9F6-F4E4-49C5-86F7-A357A0FB5123}">
            <x14:dataBar minLength="0" maxLength="100" border="1" negativeBarBorderColorSameAsPositive="0">
              <x14:cfvo type="autoMin"/>
              <x14:cfvo type="autoMax"/>
              <x14:borderColor rgb="FF638EC6"/>
              <x14:negativeFillColor rgb="FFFF0000"/>
              <x14:negativeBorderColor rgb="FFFF0000"/>
              <x14:axisColor rgb="FF000000"/>
            </x14:dataBar>
          </x14:cfRule>
          <xm:sqref>P207 P7857 P7602 P7347 P7092 P6837 P6582 P6327 P6072 P5817 P5562 P5307 P5052 P4797 P4542 P4287 P4032 P3777 P3522 P3267 P3012 P2757 P2502 P2247 P1992 P1737 P1482 P1227 P972 P717 P462</xm:sqref>
        </x14:conditionalFormatting>
        <x14:conditionalFormatting xmlns:xm="http://schemas.microsoft.com/office/excel/2006/main">
          <x14:cfRule type="dataBar" id="{64FFFDEC-9F3A-4531-99B1-AFB940D99994}">
            <x14:dataBar minLength="0" maxLength="100" border="1" negativeBarBorderColorSameAsPositive="0">
              <x14:cfvo type="autoMin"/>
              <x14:cfvo type="autoMax"/>
              <x14:borderColor rgb="FF638EC6"/>
              <x14:negativeFillColor rgb="FFFF0000"/>
              <x14:negativeBorderColor rgb="FFFF0000"/>
              <x14:axisColor rgb="FF000000"/>
            </x14:dataBar>
          </x14:cfRule>
          <xm:sqref>P208 P7858 P7603 P7348 P7093 P6838 P6583 P6328 P6073 P5818 P5563 P5308 P5053 P4798 P4543 P4288 P4033 P3778 P3523 P3268 P3013 P2758 P2503 P2248 P1993 P1738 P1483 P1228 P973 P718 P463</xm:sqref>
        </x14:conditionalFormatting>
        <x14:conditionalFormatting xmlns:xm="http://schemas.microsoft.com/office/excel/2006/main">
          <x14:cfRule type="dataBar" id="{D9C3CC4C-BA3E-4AD5-992F-20CFEDD8A0BA}">
            <x14:dataBar minLength="0" maxLength="100" border="1" negativeBarBorderColorSameAsPositive="0">
              <x14:cfvo type="autoMin"/>
              <x14:cfvo type="autoMax"/>
              <x14:borderColor rgb="FF638EC6"/>
              <x14:negativeFillColor rgb="FFFF0000"/>
              <x14:negativeBorderColor rgb="FFFF0000"/>
              <x14:axisColor rgb="FF000000"/>
            </x14:dataBar>
          </x14:cfRule>
          <xm:sqref>P209 P7859 P7604 P7349 P7094 P6839 P6584 P6329 P6074 P5819 P5564 P5309 P5054 P4799 P4544 P4289 P4034 P3779 P3524 P3269 P3014 P2759 P2504 P2249 P1994 P1739 P1484 P1229 P974 P719 P464</xm:sqref>
        </x14:conditionalFormatting>
        <x14:conditionalFormatting xmlns:xm="http://schemas.microsoft.com/office/excel/2006/main">
          <x14:cfRule type="dataBar" id="{8E3059C6-0FC8-4059-A0C3-ACD90D20E58C}">
            <x14:dataBar minLength="0" maxLength="100" border="1" negativeBarBorderColorSameAsPositive="0">
              <x14:cfvo type="autoMin"/>
              <x14:cfvo type="autoMax"/>
              <x14:borderColor rgb="FF638EC6"/>
              <x14:negativeFillColor rgb="FFFF0000"/>
              <x14:negativeBorderColor rgb="FFFF0000"/>
              <x14:axisColor rgb="FF000000"/>
            </x14:dataBar>
          </x14:cfRule>
          <xm:sqref>P210 P7860 P7605 P7350 P7095 P6840 P6585 P6330 P6075 P5820 P5565 P5310 P5055 P4800 P4545 P4290 P4035 P3780 P3525 P3270 P3015 P2760 P2505 P2250 P1995 P1740 P1485 P1230 P975 P720 P465</xm:sqref>
        </x14:conditionalFormatting>
        <x14:conditionalFormatting xmlns:xm="http://schemas.microsoft.com/office/excel/2006/main">
          <x14:cfRule type="dataBar" id="{1C569647-9382-4A5B-A006-1925EDDEA381}">
            <x14:dataBar minLength="0" maxLength="100" border="1" negativeBarBorderColorSameAsPositive="0">
              <x14:cfvo type="autoMin"/>
              <x14:cfvo type="autoMax"/>
              <x14:borderColor rgb="FF638EC6"/>
              <x14:negativeFillColor rgb="FFFF0000"/>
              <x14:negativeBorderColor rgb="FFFF0000"/>
              <x14:axisColor rgb="FF000000"/>
            </x14:dataBar>
          </x14:cfRule>
          <xm:sqref>P211 P7861 P7606 P7351 P7096 P6841 P6586 P6331 P6076 P5821 P5566 P5311 P5056 P4801 P4546 P4291 P4036 P3781 P3526 P3271 P3016 P2761 P2506 P2251 P1996 P1741 P1486 P1231 P976 P721 P466</xm:sqref>
        </x14:conditionalFormatting>
        <x14:conditionalFormatting xmlns:xm="http://schemas.microsoft.com/office/excel/2006/main">
          <x14:cfRule type="dataBar" id="{47761CE9-1D1D-49F5-9D6F-95D56B0978A7}">
            <x14:dataBar minLength="0" maxLength="100" border="1" negativeBarBorderColorSameAsPositive="0">
              <x14:cfvo type="autoMin"/>
              <x14:cfvo type="autoMax"/>
              <x14:borderColor rgb="FF638EC6"/>
              <x14:negativeFillColor rgb="FFFF0000"/>
              <x14:negativeBorderColor rgb="FFFF0000"/>
              <x14:axisColor rgb="FF000000"/>
            </x14:dataBar>
          </x14:cfRule>
          <xm:sqref>P212 P7862 P7607 P7352 P7097 P6842 P6587 P6332 P6077 P5822 P5567 P5312 P5057 P4802 P4547 P4292 P4037 P3782 P3527 P3272 P3017 P2762 P2507 P2252 P1997 P1742 P1487 P1232 P977 P722 P467</xm:sqref>
        </x14:conditionalFormatting>
        <x14:conditionalFormatting xmlns:xm="http://schemas.microsoft.com/office/excel/2006/main">
          <x14:cfRule type="dataBar" id="{9BA1CCBC-AF9E-4306-B2BE-DC7FFA2C896B}">
            <x14:dataBar minLength="0" maxLength="100" border="1" negativeBarBorderColorSameAsPositive="0">
              <x14:cfvo type="autoMin"/>
              <x14:cfvo type="autoMax"/>
              <x14:borderColor rgb="FF638EC6"/>
              <x14:negativeFillColor rgb="FFFF0000"/>
              <x14:negativeBorderColor rgb="FFFF0000"/>
              <x14:axisColor rgb="FF000000"/>
            </x14:dataBar>
          </x14:cfRule>
          <xm:sqref>P213 P7863 P7608 P7353 P7098 P6843 P6588 P6333 P6078 P5823 P5568 P5313 P5058 P4803 P4548 P4293 P4038 P3783 P3528 P3273 P3018 P2763 P2508 P2253 P1998 P1743 P1488 P1233 P978 P723 P468</xm:sqref>
        </x14:conditionalFormatting>
        <x14:conditionalFormatting xmlns:xm="http://schemas.microsoft.com/office/excel/2006/main">
          <x14:cfRule type="dataBar" id="{BEE61150-6C71-4890-93AC-0B46BEC857E5}">
            <x14:dataBar minLength="0" maxLength="100" border="1" negativeBarBorderColorSameAsPositive="0">
              <x14:cfvo type="autoMin"/>
              <x14:cfvo type="autoMax"/>
              <x14:borderColor rgb="FF638EC6"/>
              <x14:negativeFillColor rgb="FFFF0000"/>
              <x14:negativeBorderColor rgb="FFFF0000"/>
              <x14:axisColor rgb="FF000000"/>
            </x14:dataBar>
          </x14:cfRule>
          <xm:sqref>P214 P7864 P7609 P7354 P7099 P6844 P6589 P6334 P6079 P5824 P5569 P5314 P5059 P4804 P4549 P4294 P4039 P3784 P3529 P3274 P3019 P2764 P2509 P2254 P1999 P1744 P1489 P1234 P979 P724 P469</xm:sqref>
        </x14:conditionalFormatting>
        <x14:conditionalFormatting xmlns:xm="http://schemas.microsoft.com/office/excel/2006/main">
          <x14:cfRule type="dataBar" id="{CCB479EB-2E2D-47A3-B3C8-49F1574FE4B1}">
            <x14:dataBar minLength="0" maxLength="100" border="1" negativeBarBorderColorSameAsPositive="0">
              <x14:cfvo type="autoMin"/>
              <x14:cfvo type="autoMax"/>
              <x14:borderColor rgb="FF638EC6"/>
              <x14:negativeFillColor rgb="FFFF0000"/>
              <x14:negativeBorderColor rgb="FFFF0000"/>
              <x14:axisColor rgb="FF000000"/>
            </x14:dataBar>
          </x14:cfRule>
          <xm:sqref>P215 P7865 P7610 P7355 P7100 P6845 P6590 P6335 P6080 P5825 P5570 P5315 P5060 P4805 P4550 P4295 P4040 P3785 P3530 P3275 P3020 P2765 P2510 P2255 P2000 P1745 P1490 P1235 P980 P725 P470</xm:sqref>
        </x14:conditionalFormatting>
        <x14:conditionalFormatting xmlns:xm="http://schemas.microsoft.com/office/excel/2006/main">
          <x14:cfRule type="dataBar" id="{5997DD02-289E-450B-BA38-11AD384AB7FF}">
            <x14:dataBar minLength="0" maxLength="100" border="1" negativeBarBorderColorSameAsPositive="0">
              <x14:cfvo type="autoMin"/>
              <x14:cfvo type="autoMax"/>
              <x14:borderColor rgb="FF638EC6"/>
              <x14:negativeFillColor rgb="FFFF0000"/>
              <x14:negativeBorderColor rgb="FFFF0000"/>
              <x14:axisColor rgb="FF000000"/>
            </x14:dataBar>
          </x14:cfRule>
          <xm:sqref>P216 P7866 P7611 P7356 P7101 P6846 P6591 P6336 P6081 P5826 P5571 P5316 P5061 P4806 P4551 P4296 P4041 P3786 P3531 P3276 P3021 P2766 P2511 P2256 P2001 P1746 P1491 P1236 P981 P726 P471</xm:sqref>
        </x14:conditionalFormatting>
        <x14:conditionalFormatting xmlns:xm="http://schemas.microsoft.com/office/excel/2006/main">
          <x14:cfRule type="dataBar" id="{6AB9C6C3-F2E8-4F58-BB1B-88BE9E5CA242}">
            <x14:dataBar minLength="0" maxLength="100" border="1" negativeBarBorderColorSameAsPositive="0">
              <x14:cfvo type="autoMin"/>
              <x14:cfvo type="autoMax"/>
              <x14:borderColor rgb="FF638EC6"/>
              <x14:negativeFillColor rgb="FFFF0000"/>
              <x14:negativeBorderColor rgb="FFFF0000"/>
              <x14:axisColor rgb="FF000000"/>
            </x14:dataBar>
          </x14:cfRule>
          <xm:sqref>P217 P7867 P7612 P7357 P7102 P6847 P6592 P6337 P6082 P5827 P5572 P5317 P5062 P4807 P4552 P4297 P4042 P3787 P3532 P3277 P3022 P2767 P2512 P2257 P2002 P1747 P1492 P1237 P982 P727 P472</xm:sqref>
        </x14:conditionalFormatting>
        <x14:conditionalFormatting xmlns:xm="http://schemas.microsoft.com/office/excel/2006/main">
          <x14:cfRule type="dataBar" id="{09AE54ED-25EE-4A99-A15A-955B841CE13F}">
            <x14:dataBar minLength="0" maxLength="100" border="1" negativeBarBorderColorSameAsPositive="0">
              <x14:cfvo type="autoMin"/>
              <x14:cfvo type="autoMax"/>
              <x14:borderColor rgb="FF638EC6"/>
              <x14:negativeFillColor rgb="FFFF0000"/>
              <x14:negativeBorderColor rgb="FFFF0000"/>
              <x14:axisColor rgb="FF000000"/>
            </x14:dataBar>
          </x14:cfRule>
          <xm:sqref>P218 P7868 P7613 P7358 P7103 P6848 P6593 P6338 P6083 P5828 P5573 P5318 P5063 P4808 P4553 P4298 P4043 P3788 P3533 P3278 P3023 P2768 P2513 P2258 P2003 P1748 P1493 P1238 P983 P728 P473</xm:sqref>
        </x14:conditionalFormatting>
        <x14:conditionalFormatting xmlns:xm="http://schemas.microsoft.com/office/excel/2006/main">
          <x14:cfRule type="dataBar" id="{E11B29D1-0CC2-4633-8982-6B8ED1DA6906}">
            <x14:dataBar minLength="0" maxLength="100" border="1" negativeBarBorderColorSameAsPositive="0">
              <x14:cfvo type="autoMin"/>
              <x14:cfvo type="autoMax"/>
              <x14:borderColor rgb="FF638EC6"/>
              <x14:negativeFillColor rgb="FFFF0000"/>
              <x14:negativeBorderColor rgb="FFFF0000"/>
              <x14:axisColor rgb="FF000000"/>
            </x14:dataBar>
          </x14:cfRule>
          <xm:sqref>P219 P7869 P7614 P7359 P7104 P6849 P6594 P6339 P6084 P5829 P5574 P5319 P5064 P4809 P4554 P4299 P4044 P3789 P3534 P3279 P3024 P2769 P2514 P2259 P2004 P1749 P1494 P1239 P984 P729 P474</xm:sqref>
        </x14:conditionalFormatting>
        <x14:conditionalFormatting xmlns:xm="http://schemas.microsoft.com/office/excel/2006/main">
          <x14:cfRule type="dataBar" id="{B8FF84D6-608A-4931-B2E7-CAE7F570CCBD}">
            <x14:dataBar minLength="0" maxLength="100" border="1" negativeBarBorderColorSameAsPositive="0">
              <x14:cfvo type="autoMin"/>
              <x14:cfvo type="autoMax"/>
              <x14:borderColor rgb="FF638EC6"/>
              <x14:negativeFillColor rgb="FFFF0000"/>
              <x14:negativeBorderColor rgb="FFFF0000"/>
              <x14:axisColor rgb="FF000000"/>
            </x14:dataBar>
          </x14:cfRule>
          <xm:sqref>P220 P7870 P7615 P7360 P7105 P6850 P6595 P6340 P6085 P5830 P5575 P5320 P5065 P4810 P4555 P4300 P4045 P3790 P3535 P3280 P3025 P2770 P2515 P2260 P2005 P1750 P1495 P1240 P985 P730 P475</xm:sqref>
        </x14:conditionalFormatting>
        <x14:conditionalFormatting xmlns:xm="http://schemas.microsoft.com/office/excel/2006/main">
          <x14:cfRule type="dataBar" id="{80A60493-95AE-47D5-B9B0-630229252635}">
            <x14:dataBar minLength="0" maxLength="100" border="1" negativeBarBorderColorSameAsPositive="0">
              <x14:cfvo type="autoMin"/>
              <x14:cfvo type="autoMax"/>
              <x14:borderColor rgb="FF638EC6"/>
              <x14:negativeFillColor rgb="FFFF0000"/>
              <x14:negativeBorderColor rgb="FFFF0000"/>
              <x14:axisColor rgb="FF000000"/>
            </x14:dataBar>
          </x14:cfRule>
          <xm:sqref>P221 P7871 P7616 P7361 P7106 P6851 P6596 P6341 P6086 P5831 P5576 P5321 P5066 P4811 P4556 P4301 P4046 P3791 P3536 P3281 P3026 P2771 P2516 P2261 P2006 P1751 P1496 P1241 P986 P731 P476</xm:sqref>
        </x14:conditionalFormatting>
        <x14:conditionalFormatting xmlns:xm="http://schemas.microsoft.com/office/excel/2006/main">
          <x14:cfRule type="dataBar" id="{4B1D6A09-CD38-415B-AB66-0217CD173E50}">
            <x14:dataBar minLength="0" maxLength="100" border="1" negativeBarBorderColorSameAsPositive="0">
              <x14:cfvo type="autoMin"/>
              <x14:cfvo type="autoMax"/>
              <x14:borderColor rgb="FF638EC6"/>
              <x14:negativeFillColor rgb="FFFF0000"/>
              <x14:negativeBorderColor rgb="FFFF0000"/>
              <x14:axisColor rgb="FF000000"/>
            </x14:dataBar>
          </x14:cfRule>
          <xm:sqref>P222 P7872 P7617 P7362 P7107 P6852 P6597 P6342 P6087 P5832 P5577 P5322 P5067 P4812 P4557 P4302 P4047 P3792 P3537 P3282 P3027 P2772 P2517 P2262 P2007 P1752 P1497 P1242 P987 P732 P477</xm:sqref>
        </x14:conditionalFormatting>
        <x14:conditionalFormatting xmlns:xm="http://schemas.microsoft.com/office/excel/2006/main">
          <x14:cfRule type="dataBar" id="{BA29D770-0944-4B2B-94B4-A949FE6D96BB}">
            <x14:dataBar minLength="0" maxLength="100" border="1" negativeBarBorderColorSameAsPositive="0">
              <x14:cfvo type="autoMin"/>
              <x14:cfvo type="autoMax"/>
              <x14:borderColor rgb="FF638EC6"/>
              <x14:negativeFillColor rgb="FFFF0000"/>
              <x14:negativeBorderColor rgb="FFFF0000"/>
              <x14:axisColor rgb="FF000000"/>
            </x14:dataBar>
          </x14:cfRule>
          <xm:sqref>P223 P7873 P7618 P7363 P7108 P6853 P6598 P6343 P6088 P5833 P5578 P5323 P5068 P4813 P4558 P4303 P4048 P3793 P3538 P3283 P3028 P2773 P2518 P2263 P2008 P1753 P1498 P1243 P988 P733 P478</xm:sqref>
        </x14:conditionalFormatting>
        <x14:conditionalFormatting xmlns:xm="http://schemas.microsoft.com/office/excel/2006/main">
          <x14:cfRule type="dataBar" id="{E9DFB5A0-FF0C-4761-A9C4-3C3ED69D1417}">
            <x14:dataBar minLength="0" maxLength="100" border="1" negativeBarBorderColorSameAsPositive="0">
              <x14:cfvo type="autoMin"/>
              <x14:cfvo type="autoMax"/>
              <x14:borderColor rgb="FF638EC6"/>
              <x14:negativeFillColor rgb="FFFF0000"/>
              <x14:negativeBorderColor rgb="FFFF0000"/>
              <x14:axisColor rgb="FF000000"/>
            </x14:dataBar>
          </x14:cfRule>
          <xm:sqref>P224 P7874 P7619 P7364 P7109 P6854 P6599 P6344 P6089 P5834 P5579 P5324 P5069 P4814 P4559 P4304 P4049 P3794 P3539 P3284 P3029 P2774 P2519 P2264 P2009 P1754 P1499 P1244 P989 P734 P479</xm:sqref>
        </x14:conditionalFormatting>
        <x14:conditionalFormatting xmlns:xm="http://schemas.microsoft.com/office/excel/2006/main">
          <x14:cfRule type="dataBar" id="{E18CC427-35E7-49E8-98CD-04386FA1C3D0}">
            <x14:dataBar minLength="0" maxLength="100" border="1" negativeBarBorderColorSameAsPositive="0">
              <x14:cfvo type="autoMin"/>
              <x14:cfvo type="autoMax"/>
              <x14:borderColor rgb="FF638EC6"/>
              <x14:negativeFillColor rgb="FFFF0000"/>
              <x14:negativeBorderColor rgb="FFFF0000"/>
              <x14:axisColor rgb="FF000000"/>
            </x14:dataBar>
          </x14:cfRule>
          <xm:sqref>P225 P7875 P7620 P7365 P7110 P6855 P6600 P6345 P6090 P5835 P5580 P5325 P5070 P4815 P4560 P4305 P4050 P3795 P3540 P3285 P3030 P2775 P2520 P2265 P2010 P1755 P1500 P1245 P990 P735 P480</xm:sqref>
        </x14:conditionalFormatting>
        <x14:conditionalFormatting xmlns:xm="http://schemas.microsoft.com/office/excel/2006/main">
          <x14:cfRule type="dataBar" id="{6D22A9BF-6CE2-4793-9193-43E785F2EBA2}">
            <x14:dataBar minLength="0" maxLength="100" border="1" negativeBarBorderColorSameAsPositive="0">
              <x14:cfvo type="autoMin"/>
              <x14:cfvo type="autoMax"/>
              <x14:borderColor rgb="FF638EC6"/>
              <x14:negativeFillColor rgb="FFFF0000"/>
              <x14:negativeBorderColor rgb="FFFF0000"/>
              <x14:axisColor rgb="FF000000"/>
            </x14:dataBar>
          </x14:cfRule>
          <xm:sqref>P226 P7876 P7621 P7366 P7111 P6856 P6601 P6346 P6091 P5836 P5581 P5326 P5071 P4816 P4561 P4306 P4051 P3796 P3541 P3286 P3031 P2776 P2521 P2266 P2011 P1756 P1501 P1246 P991 P736 P481</xm:sqref>
        </x14:conditionalFormatting>
        <x14:conditionalFormatting xmlns:xm="http://schemas.microsoft.com/office/excel/2006/main">
          <x14:cfRule type="dataBar" id="{B1A9B253-1CCB-4321-97DA-8DCAE3F4CA32}">
            <x14:dataBar minLength="0" maxLength="100" border="1" negativeBarBorderColorSameAsPositive="0">
              <x14:cfvo type="autoMin"/>
              <x14:cfvo type="autoMax"/>
              <x14:borderColor rgb="FF638EC6"/>
              <x14:negativeFillColor rgb="FFFF0000"/>
              <x14:negativeBorderColor rgb="FFFF0000"/>
              <x14:axisColor rgb="FF000000"/>
            </x14:dataBar>
          </x14:cfRule>
          <xm:sqref>P227 P7877 P7622 P7367 P7112 P6857 P6602 P6347 P6092 P5837 P5582 P5327 P5072 P4817 P4562 P4307 P4052 P3797 P3542 P3287 P3032 P2777 P2522 P2267 P2012 P1757 P1502 P1247 P992 P737 P482</xm:sqref>
        </x14:conditionalFormatting>
        <x14:conditionalFormatting xmlns:xm="http://schemas.microsoft.com/office/excel/2006/main">
          <x14:cfRule type="dataBar" id="{56A9EC45-6FFF-47AE-8B14-7815805ED5AA}">
            <x14:dataBar minLength="0" maxLength="100" border="1" negativeBarBorderColorSameAsPositive="0">
              <x14:cfvo type="autoMin"/>
              <x14:cfvo type="autoMax"/>
              <x14:borderColor rgb="FF638EC6"/>
              <x14:negativeFillColor rgb="FFFF0000"/>
              <x14:negativeBorderColor rgb="FFFF0000"/>
              <x14:axisColor rgb="FF000000"/>
            </x14:dataBar>
          </x14:cfRule>
          <xm:sqref>P228 P7878 P7623 P7368 P7113 P6858 P6603 P6348 P6093 P5838 P5583 P5328 P5073 P4818 P4563 P4308 P4053 P3798 P3543 P3288 P3033 P2778 P2523 P2268 P2013 P1758 P1503 P1248 P993 P738 P483</xm:sqref>
        </x14:conditionalFormatting>
        <x14:conditionalFormatting xmlns:xm="http://schemas.microsoft.com/office/excel/2006/main">
          <x14:cfRule type="dataBar" id="{318B1CC3-DF86-4D6E-8B01-46E948D39F83}">
            <x14:dataBar minLength="0" maxLength="100" border="1" negativeBarBorderColorSameAsPositive="0">
              <x14:cfvo type="autoMin"/>
              <x14:cfvo type="autoMax"/>
              <x14:borderColor rgb="FF638EC6"/>
              <x14:negativeFillColor rgb="FFFF0000"/>
              <x14:negativeBorderColor rgb="FFFF0000"/>
              <x14:axisColor rgb="FF000000"/>
            </x14:dataBar>
          </x14:cfRule>
          <xm:sqref>P229 P7879 P7624 P7369 P7114 P6859 P6604 P6349 P6094 P5839 P5584 P5329 P5074 P4819 P4564 P4309 P4054 P3799 P3544 P3289 P3034 P2779 P2524 P2269 P2014 P1759 P1504 P1249 P994 P739 P484</xm:sqref>
        </x14:conditionalFormatting>
        <x14:conditionalFormatting xmlns:xm="http://schemas.microsoft.com/office/excel/2006/main">
          <x14:cfRule type="dataBar" id="{D7D1859A-D77D-47E8-A26C-AFA96D2161EE}">
            <x14:dataBar minLength="0" maxLength="100" border="1" negativeBarBorderColorSameAsPositive="0">
              <x14:cfvo type="autoMin"/>
              <x14:cfvo type="autoMax"/>
              <x14:borderColor rgb="FF638EC6"/>
              <x14:negativeFillColor rgb="FFFF0000"/>
              <x14:negativeBorderColor rgb="FFFF0000"/>
              <x14:axisColor rgb="FF000000"/>
            </x14:dataBar>
          </x14:cfRule>
          <xm:sqref>P230 P7880 P7625 P7370 P7115 P6860 P6605 P6350 P6095 P5840 P5585 P5330 P5075 P4820 P4565 P4310 P4055 P3800 P3545 P3290 P3035 P2780 P2525 P2270 P2015 P1760 P1505 P1250 P995 P740 P485</xm:sqref>
        </x14:conditionalFormatting>
        <x14:conditionalFormatting xmlns:xm="http://schemas.microsoft.com/office/excel/2006/main">
          <x14:cfRule type="dataBar" id="{45ED9283-34E5-4273-B2FC-F6EF0D72138E}">
            <x14:dataBar minLength="0" maxLength="100" border="1" negativeBarBorderColorSameAsPositive="0">
              <x14:cfvo type="autoMin"/>
              <x14:cfvo type="autoMax"/>
              <x14:borderColor rgb="FF638EC6"/>
              <x14:negativeFillColor rgb="FFFF0000"/>
              <x14:negativeBorderColor rgb="FFFF0000"/>
              <x14:axisColor rgb="FF000000"/>
            </x14:dataBar>
          </x14:cfRule>
          <xm:sqref>P231 P7881 P7626 P7371 P7116 P6861 P6606 P6351 P6096 P5841 P5586 P5331 P5076 P4821 P4566 P4311 P4056 P3801 P3546 P3291 P3036 P2781 P2526 P2271 P2016 P1761 P1506 P1251 P996 P741 P486</xm:sqref>
        </x14:conditionalFormatting>
        <x14:conditionalFormatting xmlns:xm="http://schemas.microsoft.com/office/excel/2006/main">
          <x14:cfRule type="dataBar" id="{17CD5617-1E93-4775-88D2-3090007AB3B5}">
            <x14:dataBar minLength="0" maxLength="100" border="1" negativeBarBorderColorSameAsPositive="0">
              <x14:cfvo type="autoMin"/>
              <x14:cfvo type="autoMax"/>
              <x14:borderColor rgb="FF638EC6"/>
              <x14:negativeFillColor rgb="FFFF0000"/>
              <x14:negativeBorderColor rgb="FFFF0000"/>
              <x14:axisColor rgb="FF000000"/>
            </x14:dataBar>
          </x14:cfRule>
          <xm:sqref>P232 P7882 P7627 P7372 P7117 P6862 P6607 P6352 P6097 P5842 P5587 P5332 P5077 P4822 P4567 P4312 P4057 P3802 P3547 P3292 P3037 P2782 P2527 P2272 P2017 P1762 P1507 P1252 P997 P742 P487</xm:sqref>
        </x14:conditionalFormatting>
        <x14:conditionalFormatting xmlns:xm="http://schemas.microsoft.com/office/excel/2006/main">
          <x14:cfRule type="dataBar" id="{0B76359F-A5C9-4EF6-BBC4-F901322503C0}">
            <x14:dataBar minLength="0" maxLength="100" border="1" negativeBarBorderColorSameAsPositive="0">
              <x14:cfvo type="autoMin"/>
              <x14:cfvo type="autoMax"/>
              <x14:borderColor rgb="FF638EC6"/>
              <x14:negativeFillColor rgb="FFFF0000"/>
              <x14:negativeBorderColor rgb="FFFF0000"/>
              <x14:axisColor rgb="FF000000"/>
            </x14:dataBar>
          </x14:cfRule>
          <xm:sqref>P233 P7883 P7628 P7373 P7118 P6863 P6608 P6353 P6098 P5843 P5588 P5333 P5078 P4823 P4568 P4313 P4058 P3803 P3548 P3293 P3038 P2783 P2528 P2273 P2018 P1763 P1508 P1253 P998 P743 P488</xm:sqref>
        </x14:conditionalFormatting>
        <x14:conditionalFormatting xmlns:xm="http://schemas.microsoft.com/office/excel/2006/main">
          <x14:cfRule type="dataBar" id="{7E496F81-C633-47FA-85CF-4FE6ECD7FAE4}">
            <x14:dataBar minLength="0" maxLength="100" border="1" negativeBarBorderColorSameAsPositive="0">
              <x14:cfvo type="autoMin"/>
              <x14:cfvo type="autoMax"/>
              <x14:borderColor rgb="FF638EC6"/>
              <x14:negativeFillColor rgb="FFFF0000"/>
              <x14:negativeBorderColor rgb="FFFF0000"/>
              <x14:axisColor rgb="FF000000"/>
            </x14:dataBar>
          </x14:cfRule>
          <xm:sqref>P234 P7884 P7629 P7374 P7119 P6864 P6609 P6354 P6099 P5844 P5589 P5334 P5079 P4824 P4569 P4314 P4059 P3804 P3549 P3294 P3039 P2784 P2529 P2274 P2019 P1764 P1509 P1254 P999 P744 P489</xm:sqref>
        </x14:conditionalFormatting>
        <x14:conditionalFormatting xmlns:xm="http://schemas.microsoft.com/office/excel/2006/main">
          <x14:cfRule type="dataBar" id="{C8C37509-F933-40B4-9EDB-9A3E027A8A9D}">
            <x14:dataBar minLength="0" maxLength="100" border="1" negativeBarBorderColorSameAsPositive="0">
              <x14:cfvo type="autoMin"/>
              <x14:cfvo type="autoMax"/>
              <x14:borderColor rgb="FF638EC6"/>
              <x14:negativeFillColor rgb="FFFF0000"/>
              <x14:negativeBorderColor rgb="FFFF0000"/>
              <x14:axisColor rgb="FF000000"/>
            </x14:dataBar>
          </x14:cfRule>
          <xm:sqref>P235 P7885 P7630 P7375 P7120 P6865 P6610 P6355 P6100 P5845 P5590 P5335 P5080 P4825 P4570 P4315 P4060 P3805 P3550 P3295 P3040 P2785 P2530 P2275 P2020 P1765 P1510 P1255 P1000 P745 P490</xm:sqref>
        </x14:conditionalFormatting>
        <x14:conditionalFormatting xmlns:xm="http://schemas.microsoft.com/office/excel/2006/main">
          <x14:cfRule type="dataBar" id="{CF0FA818-61DA-48B4-A64D-EF5E08FCB4FE}">
            <x14:dataBar minLength="0" maxLength="100" border="1" negativeBarBorderColorSameAsPositive="0">
              <x14:cfvo type="autoMin"/>
              <x14:cfvo type="autoMax"/>
              <x14:borderColor rgb="FF638EC6"/>
              <x14:negativeFillColor rgb="FFFF0000"/>
              <x14:negativeBorderColor rgb="FFFF0000"/>
              <x14:axisColor rgb="FF000000"/>
            </x14:dataBar>
          </x14:cfRule>
          <xm:sqref>P236 P7886 P7631 P7376 P7121 P6866 P6611 P6356 P6101 P5846 P5591 P5336 P5081 P4826 P4571 P4316 P4061 P3806 P3551 P3296 P3041 P2786 P2531 P2276 P2021 P1766 P1511 P1256 P1001 P746 P491</xm:sqref>
        </x14:conditionalFormatting>
        <x14:conditionalFormatting xmlns:xm="http://schemas.microsoft.com/office/excel/2006/main">
          <x14:cfRule type="dataBar" id="{25BB1268-D503-433B-A8EF-4AE1FD7AACD9}">
            <x14:dataBar minLength="0" maxLength="100" border="1" negativeBarBorderColorSameAsPositive="0">
              <x14:cfvo type="autoMin"/>
              <x14:cfvo type="autoMax"/>
              <x14:borderColor rgb="FF638EC6"/>
              <x14:negativeFillColor rgb="FFFF0000"/>
              <x14:negativeBorderColor rgb="FFFF0000"/>
              <x14:axisColor rgb="FF000000"/>
            </x14:dataBar>
          </x14:cfRule>
          <xm:sqref>P237 P7887 P7632 P7377 P7122 P6867 P6612 P6357 P6102 P5847 P5592 P5337 P5082 P4827 P4572 P4317 P4062 P3807 P3552 P3297 P3042 P2787 P2532 P2277 P2022 P1767 P1512 P1257 P1002 P747 P492</xm:sqref>
        </x14:conditionalFormatting>
        <x14:conditionalFormatting xmlns:xm="http://schemas.microsoft.com/office/excel/2006/main">
          <x14:cfRule type="dataBar" id="{4F6AFDFD-243F-4723-B15B-7288D9D05DE5}">
            <x14:dataBar minLength="0" maxLength="100" border="1" negativeBarBorderColorSameAsPositive="0">
              <x14:cfvo type="autoMin"/>
              <x14:cfvo type="autoMax"/>
              <x14:borderColor rgb="FF638EC6"/>
              <x14:negativeFillColor rgb="FFFF0000"/>
              <x14:negativeBorderColor rgb="FFFF0000"/>
              <x14:axisColor rgb="FF000000"/>
            </x14:dataBar>
          </x14:cfRule>
          <xm:sqref>P238 P7888 P7633 P7378 P7123 P6868 P6613 P6358 P6103 P5848 P5593 P5338 P5083 P4828 P4573 P4318 P4063 P3808 P3553 P3298 P3043 P2788 P2533 P2278 P2023 P1768 P1513 P1258 P1003 P748 P493</xm:sqref>
        </x14:conditionalFormatting>
        <x14:conditionalFormatting xmlns:xm="http://schemas.microsoft.com/office/excel/2006/main">
          <x14:cfRule type="dataBar" id="{84BE15C1-BA87-4CE6-85CF-F7ABFD270896}">
            <x14:dataBar minLength="0" maxLength="100" border="1" negativeBarBorderColorSameAsPositive="0">
              <x14:cfvo type="autoMin"/>
              <x14:cfvo type="autoMax"/>
              <x14:borderColor rgb="FF638EC6"/>
              <x14:negativeFillColor rgb="FFFF0000"/>
              <x14:negativeBorderColor rgb="FFFF0000"/>
              <x14:axisColor rgb="FF000000"/>
            </x14:dataBar>
          </x14:cfRule>
          <xm:sqref>P239 P7889 P7634 P7379 P7124 P6869 P6614 P6359 P6104 P5849 P5594 P5339 P5084 P4829 P4574 P4319 P4064 P3809 P3554 P3299 P3044 P2789 P2534 P2279 P2024 P1769 P1514 P1259 P1004 P749 P494</xm:sqref>
        </x14:conditionalFormatting>
        <x14:conditionalFormatting xmlns:xm="http://schemas.microsoft.com/office/excel/2006/main">
          <x14:cfRule type="dataBar" id="{21A28520-55EE-448F-95BA-DFC0BD352001}">
            <x14:dataBar minLength="0" maxLength="100" border="1" negativeBarBorderColorSameAsPositive="0">
              <x14:cfvo type="autoMin"/>
              <x14:cfvo type="autoMax"/>
              <x14:borderColor rgb="FF638EC6"/>
              <x14:negativeFillColor rgb="FFFF0000"/>
              <x14:negativeBorderColor rgb="FFFF0000"/>
              <x14:axisColor rgb="FF000000"/>
            </x14:dataBar>
          </x14:cfRule>
          <xm:sqref>P240 P7890 P7635 P7380 P7125 P6870 P6615 P6360 P6105 P5850 P5595 P5340 P5085 P4830 P4575 P4320 P4065 P3810 P3555 P3300 P3045 P2790 P2535 P2280 P2025 P1770 P1515 P1260 P1005 P750 P495</xm:sqref>
        </x14:conditionalFormatting>
        <x14:conditionalFormatting xmlns:xm="http://schemas.microsoft.com/office/excel/2006/main">
          <x14:cfRule type="dataBar" id="{D6C8F0E7-BCBA-48FC-BD56-2D7085580EF7}">
            <x14:dataBar minLength="0" maxLength="100" border="1" negativeBarBorderColorSameAsPositive="0">
              <x14:cfvo type="autoMin"/>
              <x14:cfvo type="autoMax"/>
              <x14:borderColor rgb="FF638EC6"/>
              <x14:negativeFillColor rgb="FFFF0000"/>
              <x14:negativeBorderColor rgb="FFFF0000"/>
              <x14:axisColor rgb="FF000000"/>
            </x14:dataBar>
          </x14:cfRule>
          <xm:sqref>P241 P7891 P7636 P7381 P7126 P6871 P6616 P6361 P6106 P5851 P5596 P5341 P5086 P4831 P4576 P4321 P4066 P3811 P3556 P3301 P3046 P2791 P2536 P2281 P2026 P1771 P1516 P1261 P1006 P751 P496</xm:sqref>
        </x14:conditionalFormatting>
        <x14:conditionalFormatting xmlns:xm="http://schemas.microsoft.com/office/excel/2006/main">
          <x14:cfRule type="dataBar" id="{3A196F07-49C0-4C93-8748-338F235F8608}">
            <x14:dataBar minLength="0" maxLength="100" border="1" negativeBarBorderColorSameAsPositive="0">
              <x14:cfvo type="autoMin"/>
              <x14:cfvo type="autoMax"/>
              <x14:borderColor rgb="FF638EC6"/>
              <x14:negativeFillColor rgb="FFFF0000"/>
              <x14:negativeBorderColor rgb="FFFF0000"/>
              <x14:axisColor rgb="FF000000"/>
            </x14:dataBar>
          </x14:cfRule>
          <xm:sqref>P242 P7892 P7637 P7382 P7127 P6872 P6617 P6362 P6107 P5852 P5597 P5342 P5087 P4832 P4577 P4322 P4067 P3812 P3557 P3302 P3047 P2792 P2537 P2282 P2027 P1772 P1517 P1262 P1007 P752 P497</xm:sqref>
        </x14:conditionalFormatting>
        <x14:conditionalFormatting xmlns:xm="http://schemas.microsoft.com/office/excel/2006/main">
          <x14:cfRule type="dataBar" id="{B5F5E5D3-6D28-4244-BDAD-B34D6A403C2D}">
            <x14:dataBar minLength="0" maxLength="100" border="1" negativeBarBorderColorSameAsPositive="0">
              <x14:cfvo type="autoMin"/>
              <x14:cfvo type="autoMax"/>
              <x14:borderColor rgb="FF638EC6"/>
              <x14:negativeFillColor rgb="FFFF0000"/>
              <x14:negativeBorderColor rgb="FFFF0000"/>
              <x14:axisColor rgb="FF000000"/>
            </x14:dataBar>
          </x14:cfRule>
          <xm:sqref>P243 P7893 P7638 P7383 P7128 P6873 P6618 P6363 P6108 P5853 P5598 P5343 P5088 P4833 P4578 P4323 P4068 P3813 P3558 P3303 P3048 P2793 P2538 P2283 P2028 P1773 P1518 P1263 P1008 P753 P498</xm:sqref>
        </x14:conditionalFormatting>
        <x14:conditionalFormatting xmlns:xm="http://schemas.microsoft.com/office/excel/2006/main">
          <x14:cfRule type="dataBar" id="{3CC06EFD-11B7-42CF-9823-9C2FDB0EE3CB}">
            <x14:dataBar minLength="0" maxLength="100" border="1" negativeBarBorderColorSameAsPositive="0">
              <x14:cfvo type="autoMin"/>
              <x14:cfvo type="autoMax"/>
              <x14:borderColor rgb="FF638EC6"/>
              <x14:negativeFillColor rgb="FFFF0000"/>
              <x14:negativeBorderColor rgb="FFFF0000"/>
              <x14:axisColor rgb="FF000000"/>
            </x14:dataBar>
          </x14:cfRule>
          <xm:sqref>P244 P7894 P7639 P7384 P7129 P6874 P6619 P6364 P6109 P5854 P5599 P5344 P5089 P4834 P4579 P4324 P4069 P3814 P3559 P3304 P3049 P2794 P2539 P2284 P2029 P1774 P1519 P1264 P1009 P754 P499</xm:sqref>
        </x14:conditionalFormatting>
        <x14:conditionalFormatting xmlns:xm="http://schemas.microsoft.com/office/excel/2006/main">
          <x14:cfRule type="dataBar" id="{A42CA058-7D36-4014-A235-DB68446FADC9}">
            <x14:dataBar minLength="0" maxLength="100" border="1" negativeBarBorderColorSameAsPositive="0">
              <x14:cfvo type="autoMin"/>
              <x14:cfvo type="autoMax"/>
              <x14:borderColor rgb="FF638EC6"/>
              <x14:negativeFillColor rgb="FFFF0000"/>
              <x14:negativeBorderColor rgb="FFFF0000"/>
              <x14:axisColor rgb="FF000000"/>
            </x14:dataBar>
          </x14:cfRule>
          <xm:sqref>P245 P7895 P7640 P7385 P7130 P6875 P6620 P6365 P6110 P5855 P5600 P5345 P5090 P4835 P4580 P4325 P4070 P3815 P3560 P3305 P3050 P2795 P2540 P2285 P2030 P1775 P1520 P1265 P1010 P755 P500</xm:sqref>
        </x14:conditionalFormatting>
        <x14:conditionalFormatting xmlns:xm="http://schemas.microsoft.com/office/excel/2006/main">
          <x14:cfRule type="dataBar" id="{817D7C1B-DB79-4260-B9C5-09C3B1662C8D}">
            <x14:dataBar minLength="0" maxLength="100" border="1" negativeBarBorderColorSameAsPositive="0">
              <x14:cfvo type="autoMin"/>
              <x14:cfvo type="autoMax"/>
              <x14:borderColor rgb="FF638EC6"/>
              <x14:negativeFillColor rgb="FFFF0000"/>
              <x14:negativeBorderColor rgb="FFFF0000"/>
              <x14:axisColor rgb="FF000000"/>
            </x14:dataBar>
          </x14:cfRule>
          <xm:sqref>P246 P7896 P7641 P7386 P7131 P6876 P6621 P6366 P6111 P5856 P5601 P5346 P5091 P4836 P4581 P4326 P4071 P3816 P3561 P3306 P3051 P2796 P2541 P2286 P2031 P1776 P1521 P1266 P1011 P756 P501</xm:sqref>
        </x14:conditionalFormatting>
        <x14:conditionalFormatting xmlns:xm="http://schemas.microsoft.com/office/excel/2006/main">
          <x14:cfRule type="dataBar" id="{714B9649-6FFB-4EDD-9D85-31531BA4EF94}">
            <x14:dataBar minLength="0" maxLength="100" border="1" negativeBarBorderColorSameAsPositive="0">
              <x14:cfvo type="autoMin"/>
              <x14:cfvo type="autoMax"/>
              <x14:borderColor rgb="FF638EC6"/>
              <x14:negativeFillColor rgb="FFFF0000"/>
              <x14:negativeBorderColor rgb="FFFF0000"/>
              <x14:axisColor rgb="FF000000"/>
            </x14:dataBar>
          </x14:cfRule>
          <xm:sqref>P247 P7897 P7642 P7387 P7132 P6877 P6622 P6367 P6112 P5857 P5602 P5347 P5092 P4837 P4582 P4327 P4072 P3817 P3562 P3307 P3052 P2797 P2542 P2287 P2032 P1777 P1522 P1267 P1012 P757 P502</xm:sqref>
        </x14:conditionalFormatting>
        <x14:conditionalFormatting xmlns:xm="http://schemas.microsoft.com/office/excel/2006/main">
          <x14:cfRule type="dataBar" id="{DCFC6DC1-B2BE-4262-86DC-EEEFC7268A60}">
            <x14:dataBar minLength="0" maxLength="100" border="1" negativeBarBorderColorSameAsPositive="0">
              <x14:cfvo type="autoMin"/>
              <x14:cfvo type="autoMax"/>
              <x14:borderColor rgb="FF638EC6"/>
              <x14:negativeFillColor rgb="FFFF0000"/>
              <x14:negativeBorderColor rgb="FFFF0000"/>
              <x14:axisColor rgb="FF000000"/>
            </x14:dataBar>
          </x14:cfRule>
          <xm:sqref>P248 P7898 P7643 P7388 P7133 P6878 P6623 P6368 P6113 P5858 P5603 P5348 P5093 P4838 P4583 P4328 P4073 P3818 P3563 P3308 P3053 P2798 P2543 P2288 P2033 P1778 P1523 P1268 P1013 P758 P503</xm:sqref>
        </x14:conditionalFormatting>
        <x14:conditionalFormatting xmlns:xm="http://schemas.microsoft.com/office/excel/2006/main">
          <x14:cfRule type="dataBar" id="{3405C597-5EA6-44A9-BF8B-B238D0F2509B}">
            <x14:dataBar minLength="0" maxLength="100" border="1" negativeBarBorderColorSameAsPositive="0">
              <x14:cfvo type="autoMin"/>
              <x14:cfvo type="autoMax"/>
              <x14:borderColor rgb="FF638EC6"/>
              <x14:negativeFillColor rgb="FFFF0000"/>
              <x14:negativeBorderColor rgb="FFFF0000"/>
              <x14:axisColor rgb="FF000000"/>
            </x14:dataBar>
          </x14:cfRule>
          <xm:sqref>P249 P7899 P7644 P7389 P7134 P6879 P6624 P6369 P6114 P5859 P5604 P5349 P5094 P4839 P4584 P4329 P4074 P3819 P3564 P3309 P3054 P2799 P2544 P2289 P2034 P1779 P1524 P1269 P1014 P759 P504</xm:sqref>
        </x14:conditionalFormatting>
        <x14:conditionalFormatting xmlns:xm="http://schemas.microsoft.com/office/excel/2006/main">
          <x14:cfRule type="dataBar" id="{E4610888-3C23-44DB-8991-A6C751A9BB4E}">
            <x14:dataBar minLength="0" maxLength="100" border="1" negativeBarBorderColorSameAsPositive="0">
              <x14:cfvo type="autoMin"/>
              <x14:cfvo type="autoMax"/>
              <x14:borderColor rgb="FF638EC6"/>
              <x14:negativeFillColor rgb="FFFF0000"/>
              <x14:negativeBorderColor rgb="FFFF0000"/>
              <x14:axisColor rgb="FF000000"/>
            </x14:dataBar>
          </x14:cfRule>
          <xm:sqref>P250 P7900 P7645 P7390 P7135 P6880 P6625 P6370 P6115 P5860 P5605 P5350 P5095 P4840 P4585 P4330 P4075 P3820 P3565 P3310 P3055 P2800 P2545 P2290 P2035 P1780 P1525 P1270 P1015 P760 P505</xm:sqref>
        </x14:conditionalFormatting>
        <x14:conditionalFormatting xmlns:xm="http://schemas.microsoft.com/office/excel/2006/main">
          <x14:cfRule type="dataBar" id="{FC3AA3B0-8223-4957-AB1B-B57673614FD7}">
            <x14:dataBar minLength="0" maxLength="100" border="1" negativeBarBorderColorSameAsPositive="0">
              <x14:cfvo type="autoMin"/>
              <x14:cfvo type="autoMax"/>
              <x14:borderColor rgb="FF638EC6"/>
              <x14:negativeFillColor rgb="FFFF0000"/>
              <x14:negativeBorderColor rgb="FFFF0000"/>
              <x14:axisColor rgb="FF000000"/>
            </x14:dataBar>
          </x14:cfRule>
          <xm:sqref>P251 P7901 P7646 P7391 P7136 P6881 P6626 P6371 P6116 P5861 P5606 P5351 P5096 P4841 P4586 P4331 P4076 P3821 P3566 P3311 P3056 P2801 P2546 P2291 P2036 P1781 P1526 P1271 P1016 P761 P506</xm:sqref>
        </x14:conditionalFormatting>
        <x14:conditionalFormatting xmlns:xm="http://schemas.microsoft.com/office/excel/2006/main">
          <x14:cfRule type="dataBar" id="{C0E9FC5B-4387-4C2B-99CA-E0CF9ECBB97F}">
            <x14:dataBar minLength="0" maxLength="100" border="1" negativeBarBorderColorSameAsPositive="0">
              <x14:cfvo type="autoMin"/>
              <x14:cfvo type="autoMax"/>
              <x14:borderColor rgb="FF638EC6"/>
              <x14:negativeFillColor rgb="FFFF0000"/>
              <x14:negativeBorderColor rgb="FFFF0000"/>
              <x14:axisColor rgb="FF000000"/>
            </x14:dataBar>
          </x14:cfRule>
          <xm:sqref>P252 P7902 P7647 P7392 P7137 P6882 P6627 P6372 P6117 P5862 P5607 P5352 P5097 P4842 P4587 P4332 P4077 P3822 P3567 P3312 P3057 P2802 P2547 P2292 P2037 P1782 P1527 P1272 P1017 P762 P507</xm:sqref>
        </x14:conditionalFormatting>
        <x14:conditionalFormatting xmlns:xm="http://schemas.microsoft.com/office/excel/2006/main">
          <x14:cfRule type="dataBar" id="{58F536F4-1366-447A-BEC2-77159D56D6FF}">
            <x14:dataBar minLength="0" maxLength="100" border="1" negativeBarBorderColorSameAsPositive="0">
              <x14:cfvo type="autoMin"/>
              <x14:cfvo type="autoMax"/>
              <x14:borderColor rgb="FF638EC6"/>
              <x14:negativeFillColor rgb="FFFF0000"/>
              <x14:negativeBorderColor rgb="FFFF0000"/>
              <x14:axisColor rgb="FF000000"/>
            </x14:dataBar>
          </x14:cfRule>
          <xm:sqref>P253 P7903 P7648 P7393 P7138 P6883 P6628 P6373 P6118 P5863 P5608 P5353 P5098 P4843 P4588 P4333 P4078 P3823 P3568 P3313 P3058 P2803 P2548 P2293 P2038 P1783 P1528 P1273 P1018 P763 P508</xm:sqref>
        </x14:conditionalFormatting>
        <x14:conditionalFormatting xmlns:xm="http://schemas.microsoft.com/office/excel/2006/main">
          <x14:cfRule type="dataBar" id="{221B3D6D-F1B3-4EBD-BAF3-88C447F8707F}">
            <x14:dataBar minLength="0" maxLength="100" border="1" negativeBarBorderColorSameAsPositive="0">
              <x14:cfvo type="autoMin"/>
              <x14:cfvo type="autoMax"/>
              <x14:borderColor rgb="FF638EC6"/>
              <x14:negativeFillColor rgb="FFFF0000"/>
              <x14:negativeBorderColor rgb="FFFF0000"/>
              <x14:axisColor rgb="FF000000"/>
            </x14:dataBar>
          </x14:cfRule>
          <xm:sqref>P254 P7904 P7649 P7394 P7139 P6884 P6629 P6374 P6119 P5864 P5609 P5354 P5099 P4844 P4589 P4334 P4079 P3824 P3569 P3314 P3059 P2804 P2549 P2294 P2039 P1784 P1529 P1274 P1019 P764 P509</xm:sqref>
        </x14:conditionalFormatting>
        <x14:conditionalFormatting xmlns:xm="http://schemas.microsoft.com/office/excel/2006/main">
          <x14:cfRule type="dataBar" id="{049E02B3-AE31-4495-8677-2B15B9148058}">
            <x14:dataBar minLength="0" maxLength="100" border="1" negativeBarBorderColorSameAsPositive="0">
              <x14:cfvo type="autoMin"/>
              <x14:cfvo type="autoMax"/>
              <x14:borderColor rgb="FF638EC6"/>
              <x14:negativeFillColor rgb="FFFF0000"/>
              <x14:negativeBorderColor rgb="FFFF0000"/>
              <x14:axisColor rgb="FF000000"/>
            </x14:dataBar>
          </x14:cfRule>
          <xm:sqref>P255 P7905 P7650 P7395 P7140 P6885 P6630 P6375 P6120 P5865 P5610 P5355 P5100 P4845 P4590 P4335 P4080 P3825 P3570 P3315 P3060 P2805 P2550 P2295 P2040 P1785 P1530 P1275 P1020 P765 P510</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REF</vt:lpstr>
      <vt:lpstr>raw</vt:lpstr>
      <vt:lpstr>RR</vt:lpstr>
      <vt:lpstr>Product</vt:lpstr>
      <vt:lpstr>Staging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tiangi.cen@shroogal.com.au</dc:creator>
  <cp:lastModifiedBy>Joanna</cp:lastModifiedBy>
  <dcterms:created xsi:type="dcterms:W3CDTF">2020-05-19T11:44:38Z</dcterms:created>
  <dcterms:modified xsi:type="dcterms:W3CDTF">2021-02-25T13:26:21Z</dcterms:modified>
</cp:coreProperties>
</file>